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T:\ThucTran\HSTT\TrungThau\20191261297-DLCM-CaiTaoLuoiDien--\"/>
    </mc:Choice>
  </mc:AlternateContent>
  <xr:revisionPtr revIDLastSave="0" documentId="13_ncr:1_{52710C15-DEE8-47D0-99E3-8D839C5C40A2}" xr6:coauthVersionLast="45" xr6:coauthVersionMax="45" xr10:uidLastSave="{00000000-0000-0000-0000-000000000000}"/>
  <bookViews>
    <workbookView xWindow="-108" yWindow="-108" windowWidth="23256" windowHeight="12576" tabRatio="830" firstSheet="6" activeTab="30" xr2:uid="{00000000-000D-0000-FFFF-FFFF00000000}"/>
  </bookViews>
  <sheets>
    <sheet name="SO LIEU" sheetId="17" state="hidden" r:id="rId1"/>
    <sheet name="Sheet1" sheetId="32" state="hidden" r:id="rId2"/>
    <sheet name="1.TONG HOP" sheetId="12" state="hidden" r:id="rId3"/>
    <sheet name="2.TCP-XD" sheetId="11" state="hidden" r:id="rId4"/>
    <sheet name="3.XL-DD" sheetId="7" state="hidden" r:id="rId5"/>
    <sheet name="4.GT" sheetId="6" state="hidden" r:id="rId6"/>
    <sheet name="5.CT-DD" sheetId="5" r:id="rId7"/>
    <sheet name="6.XL-TR" sheetId="9" state="hidden" r:id="rId8"/>
    <sheet name="7.CT-TBA" sheetId="8" state="hidden" r:id="rId9"/>
    <sheet name="DG" sheetId="1" state="hidden" r:id="rId10"/>
    <sheet name="8.LD-TB" sheetId="10" state="hidden" r:id="rId11"/>
    <sheet name="9.CPTN" sheetId="14" state="hidden" r:id="rId12"/>
    <sheet name="10.TNTB" sheetId="13" state="hidden" r:id="rId13"/>
    <sheet name="11.CP-VTTH" sheetId="15" state="hidden" r:id="rId14"/>
    <sheet name="13.VCDD" sheetId="23" state="hidden" r:id="rId15"/>
    <sheet name="14.CP-TK" sheetId="18" state="hidden" r:id="rId16"/>
    <sheet name="15.CP-KS" sheetId="19" state="hidden" r:id="rId17"/>
    <sheet name="16.CTKS" sheetId="20" state="hidden" r:id="rId18"/>
    <sheet name="17.TH-HOTLINE" sheetId="24" state="hidden" r:id="rId19"/>
    <sheet name="18.CT-HOTLINE" sheetId="25" state="hidden" r:id="rId20"/>
    <sheet name="19.VC-HL" sheetId="31" state="hidden" r:id="rId21"/>
    <sheet name="20. LAI VAY" sheetId="26" state="hidden" r:id="rId22"/>
    <sheet name="PP3P" sheetId="2" state="hidden" r:id="rId23"/>
    <sheet name="PP1P" sheetId="3" state="hidden" r:id="rId24"/>
    <sheet name="12.VTTH" sheetId="16" state="hidden" r:id="rId25"/>
    <sheet name="PPHT" sheetId="4" state="hidden" r:id="rId26"/>
    <sheet name="BANG KE MONG TRU" sheetId="35" r:id="rId27"/>
    <sheet name="Sheet2" sheetId="33" state="hidden" r:id="rId28"/>
    <sheet name="BANG KE MONG TRU THUC TE" sheetId="36" r:id="rId29"/>
    <sheet name="Word" sheetId="37" r:id="rId30"/>
    <sheet name="THUC TE LAM VIEC" sheetId="34" r:id="rId31"/>
    <sheet name="BKTL" sheetId="29" state="hidden" r:id="rId32"/>
    <sheet name="BKTL Tram" sheetId="30" state="hidden" r:id="rId33"/>
    <sheet name="VCTC" sheetId="22" state="hidden" r:id="rId34"/>
  </sheets>
  <definedNames>
    <definedName name="_xlnm._FilterDatabase" localSheetId="12" hidden="1">'10.TNTB'!$M$7:$M$271</definedName>
    <definedName name="_xlnm._FilterDatabase" localSheetId="13" hidden="1">'11.CP-VTTH'!$O$6:$O$373</definedName>
    <definedName name="_xlnm._FilterDatabase" localSheetId="24" hidden="1">'12.VTTH'!$G$5:$G$96</definedName>
    <definedName name="_xlnm._FilterDatabase" localSheetId="14" hidden="1">'13.VCDD'!$G$8:$G$338</definedName>
    <definedName name="_xlnm._FilterDatabase" localSheetId="18" hidden="1">'17.TH-HOTLINE'!$G$4:$G$88</definedName>
    <definedName name="_xlnm._FilterDatabase" localSheetId="19" hidden="1">'18.CT-HOTLINE'!$C$7:$C$30</definedName>
    <definedName name="_xlnm._FilterDatabase" localSheetId="3" hidden="1">'2.TCP-XD'!$J$5:$J$227</definedName>
    <definedName name="_xlnm._FilterDatabase" localSheetId="4" hidden="1">'3.XL-DD'!$J$7:$J$42</definedName>
    <definedName name="_xlnm._FilterDatabase" localSheetId="5" hidden="1">'4.GT'!$B$6:$B$127</definedName>
    <definedName name="_xlnm._FilterDatabase" localSheetId="6" hidden="1">'5.CT-DD'!$C$4:$C$960</definedName>
    <definedName name="_xlnm._FilterDatabase" localSheetId="7" hidden="1">'6.XL-TR'!$H$5:$H$380</definedName>
    <definedName name="_xlnm._FilterDatabase" localSheetId="8" hidden="1">'7.CT-TBA'!$C$29:$C$2745</definedName>
    <definedName name="_xlnm._FilterDatabase" localSheetId="10" hidden="1">'8.LD-TB'!$G$6:$G$344</definedName>
    <definedName name="_xlnm._FilterDatabase" localSheetId="11" hidden="1">'9.CPTN'!$H$5:$H$329</definedName>
    <definedName name="_xlnm._FilterDatabase" localSheetId="26" hidden="1">'BANG KE MONG TRU'!$A$1:$O$197</definedName>
    <definedName name="_xlnm._FilterDatabase" localSheetId="28" hidden="1">'BANG KE MONG TRU THUC TE'!$B$1:$O$203</definedName>
    <definedName name="_xlnm._FilterDatabase" localSheetId="22" hidden="1">PP3P!$AA$363:$AL$363</definedName>
    <definedName name="_xlnm._FilterDatabase" localSheetId="29" hidden="1">Word!$B$1:$I$93</definedName>
    <definedName name="BK1P">PP1P!$B$4:$CC$76</definedName>
    <definedName name="BK3P">PP3P!$B$5:$FF$361</definedName>
    <definedName name="BKHT">PPHT!$B$5:$FQ$700</definedName>
    <definedName name="BKTL" localSheetId="31">BKTL!$B$5:$FG$507</definedName>
    <definedName name="CLVC">VCTC!$E$1</definedName>
    <definedName name="CPHOTLINE">'17.TH-HOTLINE'!$A$4:$F$88</definedName>
    <definedName name="CPTN">'9.CPTN'!$B$5:$G$336</definedName>
    <definedName name="CPVCDD">'13.VCDD'!$A$8:$F$340</definedName>
    <definedName name="CTDD">'5.CT-DD'!$A$4:$AB$960</definedName>
    <definedName name="CTTBA">'7.CT-TBA'!$A$28:$T$2746</definedName>
    <definedName name="DAOTD">'7.CT-TBA'!$G$5</definedName>
    <definedName name="DCNC">'SO LIEU'!$M$15</definedName>
    <definedName name="DGHOTLINE">'18.CT-HOTLINE'!$B$8:$T$35</definedName>
    <definedName name="DGMTC">DG!$U$4:$AC$29</definedName>
    <definedName name="DGNC">DG!$O$9:$S$76</definedName>
    <definedName name="DGTN">'10.TNTB'!$U$280:$AE$340</definedName>
    <definedName name="DGVC">VCTC!$A$11:$J$33</definedName>
    <definedName name="DGVCDD">'13.VCDD'!$J$342:$N$394</definedName>
    <definedName name="DONGIA">DG!$A$6:$H$690</definedName>
    <definedName name="DTR1P">'7.CT-TBA'!$D$8</definedName>
    <definedName name="DTR3P">'7.CT-TBA'!$D$9</definedName>
    <definedName name="GTDD">'4.GT'!$A$8:$R$127</definedName>
    <definedName name="HSKK">VCTC!$E$2</definedName>
    <definedName name="KLDD">'5.CT-DD'!$AE$5:$AL$8</definedName>
    <definedName name="LD">DG!$E$75</definedName>
    <definedName name="LDL">DG!$E$76</definedName>
    <definedName name="LDTB">'8.LD-TB'!$A$6:$F$350</definedName>
    <definedName name="MTCDD">'SO LIEU'!$Q$13</definedName>
    <definedName name="NCDD">'SO LIEU'!$M$15</definedName>
    <definedName name="NCTBA">'SO LIEU'!$M$16</definedName>
    <definedName name="NCTL">'11.CP-VTTH'!$B$7:$N$373</definedName>
    <definedName name="_xlnm.Print_Area" localSheetId="2">'1.TONG HOP'!$A$2:$I$16</definedName>
    <definedName name="_xlnm.Print_Area" localSheetId="12">'10.TNTB'!$C$4:$L$271</definedName>
    <definedName name="_xlnm.Print_Area" localSheetId="13">'11.CP-VTTH'!$C$3:$N$373</definedName>
    <definedName name="_xlnm.Print_Area" localSheetId="24">'12.VTTH'!$B$3:$F$96</definedName>
    <definedName name="_xlnm.Print_Area" localSheetId="14">'13.VCDD'!$C$6:$F$338</definedName>
    <definedName name="_xlnm.Print_Area" localSheetId="15">'14.CP-TK'!$A$3:$E$12</definedName>
    <definedName name="_xlnm.Print_Area" localSheetId="16">'15.CP-KS'!$B$3:$F$12</definedName>
    <definedName name="_xlnm.Print_Area" localSheetId="17">'16.CTKS'!$B$1:$H$27</definedName>
    <definedName name="_xlnm.Print_Area" localSheetId="18">'17.TH-HOTLINE'!$B$2:$F$88</definedName>
    <definedName name="_xlnm.Print_Area" localSheetId="19">'18.CT-HOTLINE'!$D$3:$T$30</definedName>
    <definedName name="_xlnm.Print_Area" localSheetId="3">'2.TCP-XD'!$C$2:$I$227</definedName>
    <definedName name="_xlnm.Print_Area" localSheetId="21">'20. LAI VAY'!$A$1:$F$15</definedName>
    <definedName name="_xlnm.Print_Area" localSheetId="4">'3.XL-DD'!$C$4:$I$42</definedName>
    <definedName name="_xlnm.Print_Area" localSheetId="5">'4.GT'!$C$3:$R$127</definedName>
    <definedName name="_xlnm.Print_Area" localSheetId="6">'5.CT-DD'!$D$2:$S$960</definedName>
    <definedName name="_xlnm.Print_Area" localSheetId="7">'6.XL-TR'!$C$3:$G$381</definedName>
    <definedName name="_xlnm.Print_Area" localSheetId="8">'7.CT-TBA'!$D$26:$Q$2745</definedName>
    <definedName name="_xlnm.Print_Area" localSheetId="10">'8.LD-TB'!$B$4:$F$344</definedName>
    <definedName name="_xlnm.Print_Area" localSheetId="11">'9.CPTN'!$C$3:$G$329</definedName>
    <definedName name="_xlnm.Print_Area" localSheetId="31">BKTL!$C$2:$FG$507</definedName>
    <definedName name="_xlnm.Print_Area" localSheetId="32">'BKTL Tram'!$A$1:$AH$39</definedName>
    <definedName name="_xlnm.Print_Area" localSheetId="23">PP1P!$C$1:$CC$76</definedName>
    <definedName name="_xlnm.Print_Area" localSheetId="22">PP3P!$C$2:$FF$361</definedName>
    <definedName name="_xlnm.Print_Area" localSheetId="25">PPHT!$C$2:$FQ$700</definedName>
    <definedName name="_xlnm.Print_Area" localSheetId="29">Word!$C$1:$H$93</definedName>
    <definedName name="_xlnm.Print_Titles" localSheetId="12">'10.TNTB'!$6:$7</definedName>
    <definedName name="_xlnm.Print_Titles" localSheetId="13">'11.CP-VTTH'!$5:$6</definedName>
    <definedName name="_xlnm.Print_Titles" localSheetId="24">'12.VTTH'!$5:$5</definedName>
    <definedName name="_xlnm.Print_Titles" localSheetId="14">'13.VCDD'!$8:$8</definedName>
    <definedName name="_xlnm.Print_Titles" localSheetId="16">'15.CP-KS'!$5:$5</definedName>
    <definedName name="_xlnm.Print_Titles" localSheetId="17">'16.CTKS'!$10:$10</definedName>
    <definedName name="_xlnm.Print_Titles" localSheetId="3">'2.TCP-XD'!$4:$5</definedName>
    <definedName name="_xlnm.Print_Titles" localSheetId="4">'3.XL-DD'!$4:$7</definedName>
    <definedName name="_xlnm.Print_Titles" localSheetId="5">'4.GT'!$5:$6</definedName>
    <definedName name="_xlnm.Print_Titles" localSheetId="6">'5.CT-DD'!$4:$5</definedName>
    <definedName name="_xlnm.Print_Titles" localSheetId="7">'6.XL-TR'!$5:$5</definedName>
    <definedName name="_xlnm.Print_Titles" localSheetId="8">'7.CT-TBA'!$28:$29</definedName>
    <definedName name="_xlnm.Print_Titles" localSheetId="10">'8.LD-TB'!$6:$6</definedName>
    <definedName name="_xlnm.Print_Titles" localSheetId="11">'9.CPTN'!$5:$5</definedName>
    <definedName name="_xlnm.Print_Titles" localSheetId="31">BKTL!$6:$6</definedName>
    <definedName name="_xlnm.Print_Titles" localSheetId="32">'BKTL Tram'!$5:$6</definedName>
    <definedName name="_xlnm.Print_Titles" localSheetId="23">PP1P!$5:$5</definedName>
    <definedName name="_xlnm.Print_Titles" localSheetId="22">PP3P!$6:$6</definedName>
    <definedName name="_xlnm.Print_Titles" localSheetId="25">PPHT!$6:$6</definedName>
    <definedName name="_xlnm.Print_Titles" localSheetId="30">'THUC TE LAM VIEC'!$4:$4</definedName>
    <definedName name="_xlnm.Print_Titles" localSheetId="29">Word!$1:$1</definedName>
    <definedName name="T1P100">'7.CT-TBA'!$B$7</definedName>
    <definedName name="T1P25">'7.CT-TBA'!$B$3</definedName>
    <definedName name="T1P2X25">'7.CT-TBA'!$B$8</definedName>
    <definedName name="T1P2X375">'7.CT-TBA'!$B$9</definedName>
    <definedName name="T1P375">'7.CT-TBA'!$B$4</definedName>
    <definedName name="T1P50">'7.CT-TBA'!$B$5</definedName>
    <definedName name="T1P75">'7.CT-TBA'!$B$6</definedName>
    <definedName name="T3P160">'7.CT-TBA'!$B$15</definedName>
    <definedName name="T3P160N">'7.CT-TBA'!$B$16</definedName>
    <definedName name="T3P250">'7.CT-TBA'!$B$17</definedName>
    <definedName name="T3P320">'7.CT-TBA'!$B$18</definedName>
    <definedName name="T3P400">'7.CT-TBA'!$B$19</definedName>
    <definedName name="T3P560">'7.CT-TBA'!$B$20</definedName>
    <definedName name="T3P630">'7.CT-TBA'!$B$21</definedName>
    <definedName name="TANL">DG!$E$79</definedName>
    <definedName name="TANN">DG!$E$78</definedName>
    <definedName name="TDTR1P">'7.CT-TBA'!$G$2</definedName>
    <definedName name="TDTR3P">'7.CT-TBA'!$G$3</definedName>
    <definedName name="TNTB">'10.TNTB'!$B$8:$L$271</definedName>
    <definedName name="TR3X100">'7.CT-TBA'!$B$14</definedName>
    <definedName name="TR3X25">'7.CT-TBA'!$B$10</definedName>
    <definedName name="TR3X375">'7.CT-TBA'!$B$11</definedName>
    <definedName name="TR3X50">'7.CT-TBA'!$B$12</definedName>
    <definedName name="TR3X75">'7.CT-TBA'!$B$13</definedName>
    <definedName name="TRNC100">'7.CT-TBA'!$D$5</definedName>
    <definedName name="TRNC2X100">'7.CT-TBA'!$D$7</definedName>
    <definedName name="TRNC2X375">'7.CT-TBA'!$D$4</definedName>
    <definedName name="TRNC2X50">'7.CT-TBA'!$D$10</definedName>
    <definedName name="TRNC2X75">'7.CT-TBA'!$D$6</definedName>
    <definedName name="TRNC3X50">'7.CT-TBA'!$D$3</definedName>
    <definedName name="XLDD">'3.XL-DD'!$B$8:$I$42</definedName>
    <definedName name="XLTBA">'6.XL-TR'!$B$5:$G$382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36" l="1"/>
  <c r="C2" i="36"/>
  <c r="D2" i="36"/>
  <c r="E2" i="36"/>
  <c r="F2" i="36"/>
  <c r="G2" i="36"/>
  <c r="H2" i="36"/>
  <c r="I2" i="36"/>
  <c r="J2" i="36"/>
  <c r="K2" i="36"/>
  <c r="L2" i="36"/>
  <c r="M2" i="36"/>
  <c r="N2" i="36"/>
  <c r="O2" i="36"/>
  <c r="A2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5" i="36"/>
  <c r="G91" i="37"/>
  <c r="G92" i="37"/>
  <c r="G93" i="37"/>
  <c r="G87" i="37"/>
  <c r="G88" i="37"/>
  <c r="G89" i="37"/>
  <c r="G90" i="37"/>
  <c r="G85" i="37"/>
  <c r="G86" i="37"/>
  <c r="G83" i="37"/>
  <c r="G84" i="37"/>
  <c r="E91" i="37"/>
  <c r="E92" i="37"/>
  <c r="E93" i="37"/>
  <c r="D91" i="37"/>
  <c r="D92" i="37"/>
  <c r="D93" i="37"/>
  <c r="C91" i="37"/>
  <c r="C92" i="37"/>
  <c r="C93" i="37"/>
  <c r="E87" i="37"/>
  <c r="E88" i="37"/>
  <c r="E89" i="37"/>
  <c r="E90" i="37"/>
  <c r="D87" i="37"/>
  <c r="D88" i="37"/>
  <c r="D89" i="37"/>
  <c r="D90" i="37"/>
  <c r="C87" i="37"/>
  <c r="C88" i="37"/>
  <c r="C89" i="37"/>
  <c r="C90" i="37"/>
  <c r="E85" i="37"/>
  <c r="E86" i="37"/>
  <c r="D85" i="37"/>
  <c r="D86" i="37"/>
  <c r="C85" i="37"/>
  <c r="B85" i="37" s="1"/>
  <c r="C86" i="37"/>
  <c r="E83" i="37"/>
  <c r="E84" i="37"/>
  <c r="D83" i="37"/>
  <c r="D84" i="37"/>
  <c r="C83" i="37"/>
  <c r="C84" i="37"/>
  <c r="G77" i="37"/>
  <c r="G78" i="37"/>
  <c r="G79" i="37"/>
  <c r="G80" i="37"/>
  <c r="G81" i="37"/>
  <c r="G82" i="37"/>
  <c r="G66" i="37"/>
  <c r="G67" i="37"/>
  <c r="G68" i="37"/>
  <c r="G69" i="37"/>
  <c r="G70" i="37"/>
  <c r="G71" i="37"/>
  <c r="G72" i="37"/>
  <c r="G73" i="37"/>
  <c r="G74" i="37"/>
  <c r="G75" i="37"/>
  <c r="G76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48" i="37"/>
  <c r="G49" i="37"/>
  <c r="G50" i="37"/>
  <c r="G5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31" i="37"/>
  <c r="G27" i="37"/>
  <c r="G28" i="37"/>
  <c r="G29" i="37"/>
  <c r="G30" i="37"/>
  <c r="E77" i="37"/>
  <c r="E78" i="37"/>
  <c r="E79" i="37"/>
  <c r="E80" i="37"/>
  <c r="E81" i="37"/>
  <c r="E82" i="37"/>
  <c r="D77" i="37"/>
  <c r="D78" i="37"/>
  <c r="D79" i="37"/>
  <c r="D80" i="37"/>
  <c r="D81" i="37"/>
  <c r="D82" i="37"/>
  <c r="C77" i="37"/>
  <c r="C78" i="37"/>
  <c r="C79" i="37"/>
  <c r="C80" i="37"/>
  <c r="C81" i="37"/>
  <c r="C82" i="37"/>
  <c r="E66" i="37"/>
  <c r="E67" i="37"/>
  <c r="E68" i="37"/>
  <c r="E69" i="37"/>
  <c r="E70" i="37"/>
  <c r="E71" i="37"/>
  <c r="E72" i="37"/>
  <c r="E73" i="37"/>
  <c r="E74" i="37"/>
  <c r="E75" i="37"/>
  <c r="E76" i="37"/>
  <c r="D66" i="37"/>
  <c r="D67" i="37"/>
  <c r="D68" i="37"/>
  <c r="D69" i="37"/>
  <c r="D70" i="37"/>
  <c r="D71" i="37"/>
  <c r="D72" i="37"/>
  <c r="D73" i="37"/>
  <c r="D74" i="37"/>
  <c r="D75" i="37"/>
  <c r="D76" i="37"/>
  <c r="C66" i="37"/>
  <c r="C67" i="37"/>
  <c r="C68" i="37"/>
  <c r="B68" i="37" s="1"/>
  <c r="C69" i="37"/>
  <c r="C70" i="37"/>
  <c r="C71" i="37"/>
  <c r="C72" i="37"/>
  <c r="C73" i="37"/>
  <c r="C74" i="37"/>
  <c r="C75" i="37"/>
  <c r="C76" i="37"/>
  <c r="B76" i="37" s="1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C52" i="37"/>
  <c r="C53" i="37"/>
  <c r="C54" i="37"/>
  <c r="C55" i="37"/>
  <c r="C56" i="37"/>
  <c r="C57" i="37"/>
  <c r="C58" i="37"/>
  <c r="C59" i="37"/>
  <c r="C60" i="37"/>
  <c r="C61" i="37"/>
  <c r="C62" i="37"/>
  <c r="C63" i="37"/>
  <c r="C64" i="37"/>
  <c r="C65" i="37"/>
  <c r="E48" i="37"/>
  <c r="E49" i="37"/>
  <c r="E50" i="37"/>
  <c r="E51" i="37"/>
  <c r="D48" i="37"/>
  <c r="D49" i="37"/>
  <c r="D50" i="37"/>
  <c r="D51" i="37"/>
  <c r="C48" i="37"/>
  <c r="C49" i="37"/>
  <c r="C50" i="37"/>
  <c r="C51" i="37"/>
  <c r="B51" i="37" s="1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C32" i="37"/>
  <c r="B32" i="37" s="1"/>
  <c r="C33" i="37"/>
  <c r="B33" i="37" s="1"/>
  <c r="C34" i="37"/>
  <c r="B34" i="37" s="1"/>
  <c r="C35" i="37"/>
  <c r="B35" i="37" s="1"/>
  <c r="C36" i="37"/>
  <c r="B36" i="37" s="1"/>
  <c r="C37" i="37"/>
  <c r="B37" i="37" s="1"/>
  <c r="C38" i="37"/>
  <c r="B38" i="37" s="1"/>
  <c r="C39" i="37"/>
  <c r="C40" i="37"/>
  <c r="B40" i="37" s="1"/>
  <c r="C41" i="37"/>
  <c r="B41" i="37" s="1"/>
  <c r="C42" i="37"/>
  <c r="B42" i="37" s="1"/>
  <c r="C43" i="37"/>
  <c r="B43" i="37" s="1"/>
  <c r="C44" i="37"/>
  <c r="B44" i="37" s="1"/>
  <c r="C45" i="37"/>
  <c r="B45" i="37" s="1"/>
  <c r="C46" i="37"/>
  <c r="B46" i="37" s="1"/>
  <c r="C47" i="37"/>
  <c r="B47" i="37" s="1"/>
  <c r="E31" i="37"/>
  <c r="D31" i="37"/>
  <c r="C31" i="37"/>
  <c r="E27" i="37"/>
  <c r="E28" i="37"/>
  <c r="E29" i="37"/>
  <c r="E30" i="37"/>
  <c r="D27" i="37"/>
  <c r="D28" i="37"/>
  <c r="D29" i="37"/>
  <c r="D30" i="37"/>
  <c r="C27" i="37"/>
  <c r="C28" i="37"/>
  <c r="C29" i="37"/>
  <c r="C30" i="37"/>
  <c r="G23" i="37"/>
  <c r="G24" i="37"/>
  <c r="G25" i="37"/>
  <c r="G26" i="37"/>
  <c r="E23" i="37"/>
  <c r="E24" i="37"/>
  <c r="E25" i="37"/>
  <c r="E26" i="37"/>
  <c r="D23" i="37"/>
  <c r="D24" i="37"/>
  <c r="D25" i="37"/>
  <c r="D26" i="37"/>
  <c r="C23" i="37"/>
  <c r="C24" i="37"/>
  <c r="C25" i="37"/>
  <c r="C26" i="37"/>
  <c r="G22" i="37"/>
  <c r="G19" i="37"/>
  <c r="G20" i="37"/>
  <c r="G21" i="37"/>
  <c r="G17" i="37"/>
  <c r="G18" i="37"/>
  <c r="G10" i="37"/>
  <c r="G11" i="37"/>
  <c r="G12" i="37"/>
  <c r="G13" i="37"/>
  <c r="G14" i="37"/>
  <c r="G15" i="37"/>
  <c r="G16" i="37"/>
  <c r="G9" i="37"/>
  <c r="E22" i="37"/>
  <c r="D22" i="37"/>
  <c r="C22" i="37"/>
  <c r="B22" i="37" s="1"/>
  <c r="E19" i="37"/>
  <c r="E20" i="37"/>
  <c r="E21" i="37"/>
  <c r="D19" i="37"/>
  <c r="D20" i="37"/>
  <c r="D21" i="37"/>
  <c r="C19" i="37"/>
  <c r="C20" i="37"/>
  <c r="C21" i="37"/>
  <c r="B21" i="37" s="1"/>
  <c r="E17" i="37"/>
  <c r="E18" i="37"/>
  <c r="D17" i="37"/>
  <c r="D18" i="37"/>
  <c r="C17" i="37"/>
  <c r="C18" i="37"/>
  <c r="E10" i="37"/>
  <c r="E11" i="37"/>
  <c r="E12" i="37"/>
  <c r="E13" i="37"/>
  <c r="E14" i="37"/>
  <c r="E15" i="37"/>
  <c r="E16" i="37"/>
  <c r="D10" i="37"/>
  <c r="D11" i="37"/>
  <c r="D12" i="37"/>
  <c r="D13" i="37"/>
  <c r="D14" i="37"/>
  <c r="D15" i="37"/>
  <c r="D16" i="37"/>
  <c r="C10" i="37"/>
  <c r="C11" i="37"/>
  <c r="C12" i="37"/>
  <c r="C13" i="37"/>
  <c r="C14" i="37"/>
  <c r="B14" i="37" s="1"/>
  <c r="C15" i="37"/>
  <c r="C16" i="37"/>
  <c r="E9" i="37"/>
  <c r="D9" i="37"/>
  <c r="C9" i="37"/>
  <c r="E8" i="37"/>
  <c r="D8" i="37"/>
  <c r="C8" i="37"/>
  <c r="D7" i="37"/>
  <c r="E7" i="37"/>
  <c r="D6" i="37"/>
  <c r="E6" i="37"/>
  <c r="D4" i="37"/>
  <c r="E4" i="37"/>
  <c r="D5" i="37"/>
  <c r="E5" i="37"/>
  <c r="D3" i="37"/>
  <c r="E3" i="37"/>
  <c r="D2" i="37"/>
  <c r="E2" i="37"/>
  <c r="C7" i="37"/>
  <c r="C6" i="37"/>
  <c r="C4" i="37"/>
  <c r="B4" i="37" s="1"/>
  <c r="C5" i="37"/>
  <c r="C3" i="37"/>
  <c r="B3" i="37" s="1"/>
  <c r="C2" i="37"/>
  <c r="C1" i="37"/>
  <c r="B10" i="37" l="1"/>
  <c r="B29" i="37"/>
  <c r="B49" i="37"/>
  <c r="B72" i="37"/>
  <c r="B92" i="37"/>
  <c r="B7" i="37"/>
  <c r="B26" i="37"/>
  <c r="B25" i="37"/>
  <c r="B58" i="37"/>
  <c r="B78" i="37"/>
  <c r="B30" i="37"/>
  <c r="B71" i="37"/>
  <c r="B91" i="37"/>
  <c r="B65" i="37"/>
  <c r="B57" i="37"/>
  <c r="B77" i="37"/>
  <c r="B13" i="37"/>
  <c r="B62" i="37"/>
  <c r="B54" i="37"/>
  <c r="B75" i="37"/>
  <c r="B67" i="37"/>
  <c r="B82" i="37"/>
  <c r="B86" i="37"/>
  <c r="H86" i="37" s="1"/>
  <c r="B88" i="37"/>
  <c r="B61" i="37"/>
  <c r="B53" i="37"/>
  <c r="B81" i="37"/>
  <c r="B50" i="37"/>
  <c r="B6" i="37"/>
  <c r="B39" i="37"/>
  <c r="B66" i="37"/>
  <c r="B17" i="37"/>
  <c r="B59" i="37"/>
  <c r="B79" i="37"/>
  <c r="B83" i="37"/>
  <c r="B24" i="37"/>
  <c r="B2" i="37"/>
  <c r="B70" i="37"/>
  <c r="B15" i="37"/>
  <c r="B31" i="37"/>
  <c r="B64" i="37"/>
  <c r="B56" i="37"/>
  <c r="B69" i="37"/>
  <c r="B90" i="37"/>
  <c r="B28" i="37"/>
  <c r="B48" i="37"/>
  <c r="B16" i="37"/>
  <c r="B23" i="37"/>
  <c r="B27" i="37"/>
  <c r="B5" i="37"/>
  <c r="B8" i="37"/>
  <c r="B63" i="37"/>
  <c r="B55" i="37"/>
  <c r="B89" i="37"/>
  <c r="B74" i="37"/>
  <c r="B87" i="37"/>
  <c r="B12" i="37"/>
  <c r="B20" i="37"/>
  <c r="B9" i="37"/>
  <c r="B11" i="37"/>
  <c r="B18" i="37"/>
  <c r="B19" i="37"/>
  <c r="B60" i="37"/>
  <c r="B52" i="37"/>
  <c r="B73" i="37"/>
  <c r="B80" i="37"/>
  <c r="B84" i="37"/>
  <c r="B93" i="37"/>
  <c r="H32" i="37"/>
  <c r="J32" i="37"/>
  <c r="H54" i="37"/>
  <c r="J54" i="37"/>
  <c r="H75" i="37"/>
  <c r="J75" i="37"/>
  <c r="H12" i="37"/>
  <c r="J12" i="37"/>
  <c r="H22" i="37"/>
  <c r="J22" i="37"/>
  <c r="H39" i="37"/>
  <c r="J39" i="37"/>
  <c r="H53" i="37"/>
  <c r="J53" i="37"/>
  <c r="H66" i="37"/>
  <c r="J66" i="37"/>
  <c r="H85" i="37"/>
  <c r="J85" i="37"/>
  <c r="H10" i="37"/>
  <c r="J10" i="37"/>
  <c r="H17" i="37"/>
  <c r="J17" i="37"/>
  <c r="H25" i="37"/>
  <c r="J25" i="37"/>
  <c r="H29" i="37"/>
  <c r="J29" i="37"/>
  <c r="H45" i="37"/>
  <c r="J45" i="37"/>
  <c r="H37" i="37"/>
  <c r="J37" i="37"/>
  <c r="H49" i="37"/>
  <c r="J49" i="37"/>
  <c r="H59" i="37"/>
  <c r="J59" i="37"/>
  <c r="H72" i="37"/>
  <c r="J72" i="37"/>
  <c r="H79" i="37"/>
  <c r="J79" i="37"/>
  <c r="H83" i="37"/>
  <c r="J83" i="37"/>
  <c r="H92" i="37"/>
  <c r="J92" i="37"/>
  <c r="H24" i="37"/>
  <c r="J24" i="37"/>
  <c r="H91" i="37"/>
  <c r="J91" i="37"/>
  <c r="H4" i="37"/>
  <c r="J4" i="37"/>
  <c r="H28" i="37"/>
  <c r="J28" i="37"/>
  <c r="H36" i="37"/>
  <c r="J36" i="37"/>
  <c r="H58" i="37"/>
  <c r="J58" i="37"/>
  <c r="H78" i="37"/>
  <c r="J78" i="37"/>
  <c r="H16" i="37"/>
  <c r="J16" i="37"/>
  <c r="H27" i="37"/>
  <c r="J27" i="37"/>
  <c r="H35" i="37"/>
  <c r="J35" i="37"/>
  <c r="H57" i="37"/>
  <c r="J57" i="37"/>
  <c r="H70" i="37"/>
  <c r="J70" i="37"/>
  <c r="H3" i="37"/>
  <c r="J3" i="37"/>
  <c r="H15" i="37"/>
  <c r="J15" i="37"/>
  <c r="H31" i="37"/>
  <c r="J31" i="37"/>
  <c r="H42" i="37"/>
  <c r="J42" i="37"/>
  <c r="H34" i="37"/>
  <c r="J34" i="37"/>
  <c r="H64" i="37"/>
  <c r="J64" i="37"/>
  <c r="H56" i="37"/>
  <c r="J56" i="37"/>
  <c r="H69" i="37"/>
  <c r="J69" i="37"/>
  <c r="H90" i="37"/>
  <c r="J90" i="37"/>
  <c r="H21" i="37"/>
  <c r="J21" i="37"/>
  <c r="H44" i="37"/>
  <c r="J44" i="37"/>
  <c r="H48" i="37"/>
  <c r="J48" i="37"/>
  <c r="H71" i="37"/>
  <c r="J71" i="37"/>
  <c r="H2" i="37"/>
  <c r="J2" i="37"/>
  <c r="H23" i="37"/>
  <c r="J23" i="37"/>
  <c r="H43" i="37"/>
  <c r="J43" i="37"/>
  <c r="H65" i="37"/>
  <c r="J65" i="37"/>
  <c r="H77" i="37"/>
  <c r="J77" i="37"/>
  <c r="H5" i="37"/>
  <c r="J5" i="37"/>
  <c r="H8" i="37"/>
  <c r="J8" i="37"/>
  <c r="H14" i="37"/>
  <c r="J14" i="37"/>
  <c r="H41" i="37"/>
  <c r="J41" i="37"/>
  <c r="H33" i="37"/>
  <c r="J33" i="37"/>
  <c r="H63" i="37"/>
  <c r="J63" i="37"/>
  <c r="H55" i="37"/>
  <c r="J55" i="37"/>
  <c r="H76" i="37"/>
  <c r="J76" i="37"/>
  <c r="H68" i="37"/>
  <c r="J68" i="37"/>
  <c r="H89" i="37"/>
  <c r="J89" i="37"/>
  <c r="H40" i="37"/>
  <c r="J40" i="37"/>
  <c r="H82" i="37"/>
  <c r="J82" i="37"/>
  <c r="H88" i="37"/>
  <c r="J88" i="37"/>
  <c r="H13" i="37"/>
  <c r="J13" i="37"/>
  <c r="H62" i="37"/>
  <c r="J62" i="37"/>
  <c r="H67" i="37"/>
  <c r="J67" i="37"/>
  <c r="H6" i="37"/>
  <c r="J6" i="37"/>
  <c r="H20" i="37"/>
  <c r="J20" i="37"/>
  <c r="H47" i="37"/>
  <c r="J47" i="37"/>
  <c r="H51" i="37"/>
  <c r="J51" i="37"/>
  <c r="H61" i="37"/>
  <c r="J61" i="37"/>
  <c r="H74" i="37"/>
  <c r="J74" i="37"/>
  <c r="H81" i="37"/>
  <c r="J81" i="37"/>
  <c r="H87" i="37"/>
  <c r="J87" i="37"/>
  <c r="H7" i="37"/>
  <c r="J7" i="37"/>
  <c r="H9" i="37"/>
  <c r="J9" i="37"/>
  <c r="H11" i="37"/>
  <c r="J11" i="37"/>
  <c r="H18" i="37"/>
  <c r="J18" i="37"/>
  <c r="H19" i="37"/>
  <c r="J19" i="37"/>
  <c r="H26" i="37"/>
  <c r="J26" i="37"/>
  <c r="H30" i="37"/>
  <c r="J30" i="37"/>
  <c r="H46" i="37"/>
  <c r="J46" i="37"/>
  <c r="H38" i="37"/>
  <c r="J38" i="37"/>
  <c r="H50" i="37"/>
  <c r="J50" i="37"/>
  <c r="H60" i="37"/>
  <c r="J60" i="37"/>
  <c r="H52" i="37"/>
  <c r="J52" i="37"/>
  <c r="H73" i="37"/>
  <c r="J73" i="37"/>
  <c r="H80" i="37"/>
  <c r="J80" i="37"/>
  <c r="H84" i="37"/>
  <c r="J84" i="37"/>
  <c r="H93" i="37"/>
  <c r="J93" i="37"/>
  <c r="K203" i="36"/>
  <c r="J203" i="36"/>
  <c r="C186" i="36"/>
  <c r="C187" i="36" s="1"/>
  <c r="C188" i="36" s="1"/>
  <c r="C189" i="36" s="1"/>
  <c r="C190" i="36" s="1"/>
  <c r="C191" i="36" s="1"/>
  <c r="C192" i="36" s="1"/>
  <c r="C193" i="36" s="1"/>
  <c r="C194" i="36" s="1"/>
  <c r="C169" i="36"/>
  <c r="C170" i="36" s="1"/>
  <c r="C171" i="36" s="1"/>
  <c r="C172" i="36" s="1"/>
  <c r="C173" i="36" s="1"/>
  <c r="C174" i="36" s="1"/>
  <c r="C175" i="36" s="1"/>
  <c r="C176" i="36" s="1"/>
  <c r="C177" i="36" s="1"/>
  <c r="C178" i="36" s="1"/>
  <c r="C179" i="36" s="1"/>
  <c r="C180" i="36" s="1"/>
  <c r="C181" i="36" s="1"/>
  <c r="C165" i="36"/>
  <c r="C166" i="36" s="1"/>
  <c r="C160" i="36"/>
  <c r="C161" i="36" s="1"/>
  <c r="C162" i="36" s="1"/>
  <c r="C157" i="36"/>
  <c r="C130" i="36"/>
  <c r="C127" i="36"/>
  <c r="C122" i="36"/>
  <c r="C123" i="36" s="1"/>
  <c r="C124" i="36" s="1"/>
  <c r="K118" i="36"/>
  <c r="J118" i="36"/>
  <c r="I118" i="36"/>
  <c r="H118" i="36"/>
  <c r="G118" i="36"/>
  <c r="F118" i="36"/>
  <c r="E118" i="36"/>
  <c r="C117" i="36"/>
  <c r="C107" i="36"/>
  <c r="C108" i="36" s="1"/>
  <c r="C109" i="36" s="1"/>
  <c r="C110" i="36" s="1"/>
  <c r="C111" i="36" s="1"/>
  <c r="C112" i="36" s="1"/>
  <c r="C113" i="36" s="1"/>
  <c r="C114" i="36" s="1"/>
  <c r="C96" i="36"/>
  <c r="C97" i="36" s="1"/>
  <c r="C98" i="36" s="1"/>
  <c r="C99" i="36" s="1"/>
  <c r="C100" i="36" s="1"/>
  <c r="C101" i="36" s="1"/>
  <c r="C102" i="36" s="1"/>
  <c r="C87" i="36"/>
  <c r="C88" i="36" s="1"/>
  <c r="C89" i="36" s="1"/>
  <c r="C90" i="36" s="1"/>
  <c r="C91" i="36" s="1"/>
  <c r="C92" i="36" s="1"/>
  <c r="C84" i="36"/>
  <c r="C80" i="36"/>
  <c r="C81" i="36" s="1"/>
  <c r="C69" i="36"/>
  <c r="C70" i="36" s="1"/>
  <c r="C71" i="36" s="1"/>
  <c r="C72" i="36" s="1"/>
  <c r="C73" i="36" s="1"/>
  <c r="C74" i="36" s="1"/>
  <c r="C75" i="36" s="1"/>
  <c r="C76" i="36" s="1"/>
  <c r="C77" i="36" s="1"/>
  <c r="C53" i="36"/>
  <c r="C54" i="36" s="1"/>
  <c r="C55" i="36" s="1"/>
  <c r="C56" i="36" s="1"/>
  <c r="C57" i="36" s="1"/>
  <c r="C58" i="36" s="1"/>
  <c r="C59" i="36" s="1"/>
  <c r="C60" i="36" s="1"/>
  <c r="C61" i="36" s="1"/>
  <c r="C62" i="36" s="1"/>
  <c r="C63" i="36" s="1"/>
  <c r="C64" i="36" s="1"/>
  <c r="C65" i="36" s="1"/>
  <c r="C66" i="36" s="1"/>
  <c r="C39" i="36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36" i="36"/>
  <c r="C28" i="36"/>
  <c r="C29" i="36" s="1"/>
  <c r="C30" i="36" s="1"/>
  <c r="C31" i="36" s="1"/>
  <c r="C32" i="36" s="1"/>
  <c r="C33" i="36" s="1"/>
  <c r="C13" i="36"/>
  <c r="C14" i="36" s="1"/>
  <c r="C15" i="36" s="1"/>
  <c r="C16" i="36" s="1"/>
  <c r="C17" i="36" s="1"/>
  <c r="C18" i="36" s="1"/>
  <c r="C6" i="36"/>
  <c r="C7" i="36" s="1"/>
  <c r="C8" i="36" s="1"/>
  <c r="C9" i="36" s="1"/>
  <c r="C10" i="36" s="1"/>
  <c r="J86" i="37" l="1"/>
  <c r="C19" i="36"/>
  <c r="C20" i="36" s="1"/>
  <c r="C21" i="36" s="1"/>
  <c r="C22" i="36" s="1"/>
  <c r="C23" i="36" s="1"/>
  <c r="C24" i="36" s="1"/>
  <c r="C25" i="36" s="1"/>
  <c r="C195" i="36"/>
  <c r="C196" i="36" s="1"/>
  <c r="C197" i="36" s="1"/>
  <c r="C198" i="36" s="1"/>
  <c r="C199" i="36" s="1"/>
  <c r="C200" i="36" s="1"/>
  <c r="C201" i="36" s="1"/>
  <c r="C202" i="36" s="1"/>
  <c r="C131" i="36"/>
  <c r="C132" i="36" s="1"/>
  <c r="C133" i="36" s="1"/>
  <c r="C134" i="36" s="1"/>
  <c r="C135" i="36" s="1"/>
  <c r="C136" i="36" s="1"/>
  <c r="C137" i="36" s="1"/>
  <c r="C138" i="36" s="1"/>
  <c r="C139" i="36" s="1"/>
  <c r="C140" i="36" s="1"/>
  <c r="C141" i="36" s="1"/>
  <c r="C142" i="36" s="1"/>
  <c r="C143" i="36" s="1"/>
  <c r="C144" i="36" s="1"/>
  <c r="C145" i="36" s="1"/>
  <c r="C146" i="36" s="1"/>
  <c r="C147" i="36" s="1"/>
  <c r="C148" i="36" s="1"/>
  <c r="C149" i="36" s="1"/>
  <c r="C150" i="36" s="1"/>
  <c r="C151" i="36" s="1"/>
  <c r="C152" i="36" s="1"/>
  <c r="C153" i="36" s="1"/>
  <c r="C154" i="36" s="1"/>
  <c r="I197" i="35"/>
  <c r="H197" i="35"/>
  <c r="E114" i="35" l="1"/>
  <c r="C114" i="35"/>
  <c r="I114" i="35"/>
  <c r="H114" i="35"/>
  <c r="G114" i="35"/>
  <c r="F114" i="35"/>
  <c r="D114" i="35"/>
  <c r="O4" i="35" l="1"/>
  <c r="A5" i="35"/>
  <c r="A6" i="35" s="1"/>
  <c r="A7" i="35" s="1"/>
  <c r="A8" i="35" s="1"/>
  <c r="A9" i="35" s="1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6" i="35" s="1"/>
  <c r="A27" i="35" s="1"/>
  <c r="A28" i="35" s="1"/>
  <c r="A29" i="35" s="1"/>
  <c r="A30" i="35" s="1"/>
  <c r="A31" i="35" s="1"/>
  <c r="A34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51" i="35" s="1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7" i="35" s="1"/>
  <c r="A68" i="35" s="1"/>
  <c r="A69" i="35" s="1"/>
  <c r="A70" i="35" s="1"/>
  <c r="A71" i="35" s="1"/>
  <c r="A72" i="35" s="1"/>
  <c r="A73" i="35" s="1"/>
  <c r="A74" i="35" s="1"/>
  <c r="A75" i="35" s="1"/>
  <c r="A78" i="35" s="1"/>
  <c r="A79" i="35" s="1"/>
  <c r="A82" i="35" s="1"/>
  <c r="A85" i="35" s="1"/>
  <c r="A86" i="35" s="1"/>
  <c r="A87" i="35" s="1"/>
  <c r="A88" i="35" s="1"/>
  <c r="A89" i="35" s="1"/>
  <c r="A90" i="35" s="1"/>
  <c r="A93" i="35" s="1"/>
  <c r="A94" i="35" s="1"/>
  <c r="A95" i="35" s="1"/>
  <c r="A96" i="35" s="1"/>
  <c r="A97" i="35" s="1"/>
  <c r="A98" i="35" s="1"/>
  <c r="A103" i="35" s="1"/>
  <c r="A104" i="35" s="1"/>
  <c r="A105" i="35" s="1"/>
  <c r="A106" i="35" s="1"/>
  <c r="A107" i="35" s="1"/>
  <c r="A108" i="35" s="1"/>
  <c r="A109" i="35" s="1"/>
  <c r="A110" i="35" s="1"/>
  <c r="A113" i="35" s="1"/>
  <c r="A118" i="35" s="1"/>
  <c r="A119" i="35" s="1"/>
  <c r="A120" i="35" s="1"/>
  <c r="A123" i="35" s="1"/>
  <c r="A126" i="35" s="1"/>
  <c r="A127" i="35" s="1"/>
  <c r="A128" i="35" s="1"/>
  <c r="A129" i="35" s="1"/>
  <c r="A130" i="35" s="1"/>
  <c r="A131" i="35" s="1"/>
  <c r="A132" i="35" s="1"/>
  <c r="A133" i="35" s="1"/>
  <c r="A134" i="35" s="1"/>
  <c r="A135" i="35" s="1"/>
  <c r="A136" i="35" s="1"/>
  <c r="A137" i="35" s="1"/>
  <c r="A138" i="35" s="1"/>
  <c r="A139" i="35" s="1"/>
  <c r="A140" i="35" s="1"/>
  <c r="A141" i="35" s="1"/>
  <c r="A142" i="35" s="1"/>
  <c r="A143" i="35" s="1"/>
  <c r="A144" i="35" s="1"/>
  <c r="A145" i="35" s="1"/>
  <c r="A146" i="35" s="1"/>
  <c r="A147" i="35" s="1"/>
  <c r="A148" i="35" s="1"/>
  <c r="A149" i="35" s="1"/>
  <c r="A152" i="35" s="1"/>
  <c r="A155" i="35" s="1"/>
  <c r="A156" i="35" s="1"/>
  <c r="A157" i="35" s="1"/>
  <c r="A160" i="35" s="1"/>
  <c r="A161" i="35" s="1"/>
  <c r="A164" i="35" s="1"/>
  <c r="A165" i="35" s="1"/>
  <c r="A166" i="35" s="1"/>
  <c r="A167" i="35" s="1"/>
  <c r="A168" i="35" s="1"/>
  <c r="A169" i="35" s="1"/>
  <c r="A170" i="35" s="1"/>
  <c r="A171" i="35" s="1"/>
  <c r="A172" i="35" s="1"/>
  <c r="A173" i="35" s="1"/>
  <c r="A174" i="35" s="1"/>
  <c r="A175" i="35" s="1"/>
  <c r="A176" i="35" s="1"/>
  <c r="A181" i="35" s="1"/>
  <c r="A182" i="35" s="1"/>
  <c r="A183" i="35" s="1"/>
  <c r="A184" i="35" s="1"/>
  <c r="A185" i="35" s="1"/>
  <c r="A186" i="35" s="1"/>
  <c r="A187" i="35" s="1"/>
  <c r="A188" i="35" s="1"/>
  <c r="A189" i="35" s="1"/>
  <c r="A190" i="35" s="1"/>
  <c r="A191" i="35" s="1"/>
  <c r="A192" i="35" s="1"/>
  <c r="A193" i="35" s="1"/>
  <c r="A194" i="35" s="1"/>
  <c r="A195" i="35" s="1"/>
  <c r="A196" i="35" s="1"/>
  <c r="D64" i="34" l="1"/>
  <c r="D63" i="34"/>
  <c r="D62" i="34"/>
  <c r="D61" i="34"/>
  <c r="D60" i="34"/>
  <c r="D59" i="34"/>
  <c r="D58" i="34"/>
  <c r="D57" i="34"/>
  <c r="D56" i="34"/>
  <c r="D55" i="34"/>
  <c r="D54" i="34"/>
  <c r="D53" i="34"/>
  <c r="D52" i="34"/>
  <c r="D51" i="34"/>
  <c r="D50" i="34"/>
  <c r="D49" i="34"/>
  <c r="D48" i="34"/>
  <c r="D47" i="34"/>
  <c r="D46" i="34"/>
  <c r="D45" i="34"/>
  <c r="D43" i="34"/>
  <c r="D42" i="34"/>
  <c r="D38" i="34"/>
  <c r="D36" i="34"/>
  <c r="D35" i="34"/>
  <c r="D34" i="34"/>
  <c r="D33" i="34"/>
  <c r="D31" i="34"/>
  <c r="D30" i="34"/>
  <c r="D29" i="34"/>
  <c r="D27" i="34"/>
  <c r="D26" i="34"/>
  <c r="D25" i="34"/>
  <c r="D24" i="34"/>
  <c r="D23" i="34"/>
  <c r="D21" i="34"/>
  <c r="D20" i="34"/>
  <c r="D19" i="34"/>
  <c r="D18" i="34"/>
  <c r="D17" i="34"/>
  <c r="D15" i="34"/>
  <c r="D14" i="34"/>
  <c r="D13" i="34"/>
  <c r="D12" i="34"/>
  <c r="D11" i="34"/>
  <c r="D10" i="34"/>
  <c r="D8" i="34"/>
  <c r="D7" i="34"/>
  <c r="E10" i="33" l="1"/>
  <c r="E9" i="33"/>
  <c r="E8" i="33"/>
  <c r="E7" i="33"/>
  <c r="E6" i="33"/>
  <c r="E5" i="33"/>
  <c r="E4" i="33"/>
  <c r="B5" i="33"/>
  <c r="B6" i="33" s="1"/>
  <c r="B7" i="33" s="1"/>
  <c r="B8" i="33" s="1"/>
  <c r="B9" i="33" s="1"/>
  <c r="B10" i="33" s="1"/>
  <c r="D798" i="5" l="1"/>
  <c r="E798" i="5"/>
  <c r="F798" i="5"/>
  <c r="H798" i="5"/>
  <c r="N798" i="5" s="1"/>
  <c r="O798" i="5"/>
  <c r="P798" i="5"/>
  <c r="R798" i="5"/>
  <c r="V346" i="15" l="1"/>
  <c r="V330" i="15"/>
  <c r="S258" i="15"/>
  <c r="S259" i="15"/>
  <c r="R259" i="15"/>
  <c r="V259" i="15"/>
  <c r="V73" i="15"/>
  <c r="S73" i="15"/>
  <c r="F33" i="7"/>
  <c r="F32" i="7"/>
  <c r="F15" i="7"/>
  <c r="F14" i="7"/>
  <c r="G199" i="5"/>
  <c r="G198" i="5"/>
  <c r="G197" i="5"/>
  <c r="J210" i="5" l="1"/>
  <c r="I207" i="5"/>
  <c r="I206" i="5"/>
  <c r="I205" i="5"/>
  <c r="I204" i="5"/>
  <c r="I190" i="5"/>
  <c r="I189" i="5"/>
  <c r="I188" i="5"/>
  <c r="I187" i="5"/>
  <c r="I172" i="5"/>
  <c r="I171" i="5"/>
  <c r="I170" i="5"/>
  <c r="I169" i="5"/>
  <c r="I61" i="5"/>
  <c r="I60" i="5"/>
  <c r="I59" i="5"/>
  <c r="I58" i="5"/>
  <c r="I75" i="5"/>
  <c r="I76" i="5"/>
  <c r="I78" i="5"/>
  <c r="I77" i="5"/>
  <c r="I146" i="5"/>
  <c r="I145" i="5"/>
  <c r="I144" i="5"/>
  <c r="I143" i="5"/>
  <c r="C9" i="32"/>
  <c r="AB17" i="1" l="1"/>
  <c r="AB11" i="1"/>
  <c r="AB10" i="1"/>
  <c r="AB9" i="1"/>
  <c r="AB7" i="1"/>
  <c r="AB6" i="1"/>
  <c r="V694" i="4" l="1"/>
  <c r="V688" i="4"/>
  <c r="V681" i="4"/>
  <c r="V675" i="4"/>
  <c r="V669" i="4"/>
  <c r="V660" i="4"/>
  <c r="V655" i="4"/>
  <c r="V650" i="4"/>
  <c r="V638" i="4"/>
  <c r="V572" i="4"/>
  <c r="V507" i="4"/>
  <c r="V479" i="4"/>
  <c r="V68" i="4"/>
  <c r="V108" i="4"/>
  <c r="V256" i="4"/>
  <c r="V329" i="4"/>
  <c r="V356" i="4"/>
  <c r="V700" i="4" l="1"/>
  <c r="BT623" i="4"/>
  <c r="BT624" i="4"/>
  <c r="BT625" i="4"/>
  <c r="BT626" i="4"/>
  <c r="BT627" i="4"/>
  <c r="BT628" i="4"/>
  <c r="BT629" i="4"/>
  <c r="BT630" i="4"/>
  <c r="BT631" i="4"/>
  <c r="BT632" i="4"/>
  <c r="BT633" i="4"/>
  <c r="BT634" i="4"/>
  <c r="BT635" i="4"/>
  <c r="BT636" i="4"/>
  <c r="BT637" i="4"/>
  <c r="BJ625" i="4"/>
  <c r="BJ626" i="4"/>
  <c r="BJ627" i="4"/>
  <c r="BJ628" i="4"/>
  <c r="BJ629" i="4"/>
  <c r="BJ630" i="4"/>
  <c r="BJ631" i="4"/>
  <c r="BJ632" i="4"/>
  <c r="BJ633" i="4"/>
  <c r="BJ634" i="4"/>
  <c r="BJ635" i="4"/>
  <c r="BJ636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Q704" i="4"/>
  <c r="R704" i="4"/>
  <c r="S704" i="4"/>
  <c r="T704" i="4"/>
  <c r="Q702" i="4"/>
  <c r="R702" i="4"/>
  <c r="S702" i="4"/>
  <c r="T702" i="4"/>
  <c r="BQ531" i="4"/>
  <c r="BS531" i="4"/>
  <c r="BX531" i="4"/>
  <c r="O531" i="4"/>
  <c r="BX510" i="4" l="1"/>
  <c r="BX511" i="4"/>
  <c r="BX512" i="4"/>
  <c r="BX513" i="4"/>
  <c r="BX514" i="4"/>
  <c r="BX515" i="4"/>
  <c r="BX516" i="4"/>
  <c r="BX517" i="4"/>
  <c r="BX518" i="4"/>
  <c r="BX519" i="4"/>
  <c r="BX520" i="4"/>
  <c r="BX521" i="4"/>
  <c r="BX522" i="4"/>
  <c r="BX523" i="4"/>
  <c r="BX524" i="4"/>
  <c r="BX525" i="4"/>
  <c r="BX526" i="4"/>
  <c r="BX527" i="4"/>
  <c r="BX528" i="4"/>
  <c r="BX529" i="4"/>
  <c r="BX530" i="4"/>
  <c r="BX532" i="4"/>
  <c r="BX533" i="4"/>
  <c r="BX534" i="4"/>
  <c r="BX535" i="4"/>
  <c r="BX536" i="4"/>
  <c r="BX537" i="4"/>
  <c r="BX538" i="4"/>
  <c r="BX539" i="4"/>
  <c r="BX540" i="4"/>
  <c r="BX541" i="4"/>
  <c r="BX542" i="4"/>
  <c r="BX543" i="4"/>
  <c r="BX544" i="4"/>
  <c r="BX545" i="4"/>
  <c r="BX546" i="4"/>
  <c r="BX547" i="4"/>
  <c r="BX548" i="4"/>
  <c r="BX549" i="4"/>
  <c r="BX550" i="4"/>
  <c r="BX551" i="4"/>
  <c r="BX552" i="4"/>
  <c r="BX509" i="4"/>
  <c r="BS541" i="4"/>
  <c r="BS542" i="4"/>
  <c r="BS543" i="4"/>
  <c r="BS544" i="4"/>
  <c r="BS545" i="4"/>
  <c r="BS546" i="4"/>
  <c r="BS547" i="4"/>
  <c r="BS548" i="4"/>
  <c r="BS549" i="4"/>
  <c r="BS550" i="4"/>
  <c r="BS551" i="4"/>
  <c r="BS552" i="4"/>
  <c r="BS510" i="4"/>
  <c r="BS511" i="4"/>
  <c r="BS512" i="4"/>
  <c r="BS513" i="4"/>
  <c r="BS514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2" i="4"/>
  <c r="BS533" i="4"/>
  <c r="BS534" i="4"/>
  <c r="BS535" i="4"/>
  <c r="BS536" i="4"/>
  <c r="BS537" i="4"/>
  <c r="BS538" i="4"/>
  <c r="BS539" i="4"/>
  <c r="BS540" i="4"/>
  <c r="BS509" i="4"/>
  <c r="BI533" i="4"/>
  <c r="BI534" i="4"/>
  <c r="BI535" i="4"/>
  <c r="BI536" i="4"/>
  <c r="BI537" i="4"/>
  <c r="BI538" i="4"/>
  <c r="BI539" i="4"/>
  <c r="BI540" i="4"/>
  <c r="BI541" i="4"/>
  <c r="BI510" i="4"/>
  <c r="BI511" i="4"/>
  <c r="BI512" i="4"/>
  <c r="BI513" i="4"/>
  <c r="BI514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2" i="4"/>
  <c r="BI509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2" i="4"/>
  <c r="O533" i="4"/>
  <c r="O534" i="4"/>
  <c r="O535" i="4"/>
  <c r="O536" i="4"/>
  <c r="O537" i="4"/>
  <c r="O538" i="4"/>
  <c r="O539" i="4"/>
  <c r="O540" i="4"/>
  <c r="O541" i="4"/>
  <c r="H1996" i="8" l="1"/>
  <c r="F1991" i="8"/>
  <c r="F1990" i="8"/>
  <c r="H1762" i="8" l="1"/>
  <c r="E713" i="4" l="1"/>
  <c r="E711" i="4"/>
  <c r="E710" i="4"/>
  <c r="E709" i="4"/>
  <c r="E708" i="4"/>
  <c r="E714" i="4"/>
  <c r="D365" i="2"/>
  <c r="K22" i="31" l="1"/>
  <c r="K21" i="31"/>
  <c r="K20" i="31"/>
  <c r="D22" i="31"/>
  <c r="D21" i="31"/>
  <c r="D20" i="31"/>
  <c r="D18" i="31"/>
  <c r="D17" i="31"/>
  <c r="D16" i="31"/>
  <c r="D14" i="31"/>
  <c r="D13" i="31"/>
  <c r="D12" i="31"/>
  <c r="E22" i="31" l="1"/>
  <c r="P22" i="31" s="1"/>
  <c r="E21" i="31"/>
  <c r="P21" i="31" s="1"/>
  <c r="E20" i="31"/>
  <c r="P20" i="31" s="1"/>
  <c r="E18" i="31"/>
  <c r="P18" i="31" s="1"/>
  <c r="E17" i="31"/>
  <c r="P17" i="31" s="1"/>
  <c r="E16" i="31"/>
  <c r="P16" i="31" s="1"/>
  <c r="E14" i="31"/>
  <c r="P14" i="31" s="1"/>
  <c r="E13" i="31"/>
  <c r="P13" i="31" s="1"/>
  <c r="E12" i="31"/>
  <c r="P12" i="31" s="1"/>
  <c r="J19" i="25"/>
  <c r="J10" i="25"/>
  <c r="P23" i="31" l="1"/>
  <c r="F8" i="24" s="1"/>
  <c r="D6" i="20"/>
  <c r="DZ435" i="29"/>
  <c r="DZ436" i="29"/>
  <c r="DZ437" i="29"/>
  <c r="DZ438" i="29"/>
  <c r="DZ439" i="29"/>
  <c r="DZ440" i="29"/>
  <c r="DZ441" i="29"/>
  <c r="DZ442" i="29"/>
  <c r="DZ443" i="29"/>
  <c r="DZ444" i="29"/>
  <c r="DZ445" i="29"/>
  <c r="DZ446" i="29"/>
  <c r="DZ447" i="29"/>
  <c r="DZ448" i="29"/>
  <c r="DZ434" i="29"/>
  <c r="DD435" i="29"/>
  <c r="DD436" i="29"/>
  <c r="DD437" i="29"/>
  <c r="DD438" i="29"/>
  <c r="DD439" i="29"/>
  <c r="DD440" i="29"/>
  <c r="DD441" i="29"/>
  <c r="DD442" i="29"/>
  <c r="DD443" i="29"/>
  <c r="DD444" i="29"/>
  <c r="DD445" i="29"/>
  <c r="DD446" i="29"/>
  <c r="DD447" i="29"/>
  <c r="DD448" i="29"/>
  <c r="DD434" i="29"/>
  <c r="CG198" i="2" l="1"/>
  <c r="H2102" i="8" l="1"/>
  <c r="H2100" i="8"/>
  <c r="H2069" i="8"/>
  <c r="N11" i="30"/>
  <c r="H2053" i="8"/>
  <c r="H2070" i="8" s="1"/>
  <c r="H2052" i="8"/>
  <c r="H2071" i="8" s="1"/>
  <c r="X11" i="30"/>
  <c r="V11" i="30"/>
  <c r="CY698" i="4" l="1"/>
  <c r="CY694" i="4"/>
  <c r="CY688" i="4"/>
  <c r="CY681" i="4"/>
  <c r="CY675" i="4"/>
  <c r="CY669" i="4"/>
  <c r="CY660" i="4"/>
  <c r="CY655" i="4"/>
  <c r="CY650" i="4"/>
  <c r="CY638" i="4"/>
  <c r="CY572" i="4"/>
  <c r="CY554" i="4"/>
  <c r="CY507" i="4"/>
  <c r="CY479" i="4"/>
  <c r="CY356" i="4"/>
  <c r="CY329" i="4"/>
  <c r="CY256" i="4"/>
  <c r="CY108" i="4"/>
  <c r="CY68" i="4"/>
  <c r="CY700" i="4" l="1"/>
  <c r="H2224" i="8"/>
  <c r="H2223" i="8"/>
  <c r="L241" i="2" l="1"/>
  <c r="E241" i="2"/>
  <c r="CD226" i="4" l="1"/>
  <c r="BT226" i="4"/>
  <c r="BQ226" i="4"/>
  <c r="BI226" i="4"/>
  <c r="BE226" i="4"/>
  <c r="BD226" i="4"/>
  <c r="BA226" i="4"/>
  <c r="AZ226" i="4"/>
  <c r="O226" i="4"/>
  <c r="BS226" i="4" s="1"/>
  <c r="CD225" i="4"/>
  <c r="BT225" i="4"/>
  <c r="BQ225" i="4"/>
  <c r="BI225" i="4"/>
  <c r="BE225" i="4"/>
  <c r="BD225" i="4"/>
  <c r="BA225" i="4"/>
  <c r="AW225" i="4"/>
  <c r="AZ225" i="4" s="1"/>
  <c r="O225" i="4"/>
  <c r="BS225" i="4" s="1"/>
  <c r="CD224" i="4"/>
  <c r="BT224" i="4"/>
  <c r="BQ224" i="4"/>
  <c r="BI224" i="4"/>
  <c r="BE224" i="4"/>
  <c r="BD224" i="4"/>
  <c r="BA224" i="4"/>
  <c r="AW224" i="4"/>
  <c r="AZ224" i="4" s="1"/>
  <c r="O224" i="4"/>
  <c r="BS224" i="4" s="1"/>
  <c r="CD223" i="4"/>
  <c r="BT223" i="4"/>
  <c r="BQ223" i="4"/>
  <c r="BI223" i="4"/>
  <c r="BE223" i="4"/>
  <c r="BD223" i="4"/>
  <c r="BA223" i="4"/>
  <c r="AW223" i="4"/>
  <c r="AZ223" i="4" s="1"/>
  <c r="O223" i="4"/>
  <c r="BS223" i="4" s="1"/>
  <c r="CD222" i="4"/>
  <c r="BT222" i="4"/>
  <c r="BQ222" i="4"/>
  <c r="BI222" i="4"/>
  <c r="BE222" i="4"/>
  <c r="BD222" i="4"/>
  <c r="BA222" i="4"/>
  <c r="AW222" i="4"/>
  <c r="AZ222" i="4" s="1"/>
  <c r="O222" i="4"/>
  <c r="BS222" i="4" s="1"/>
  <c r="CD221" i="4"/>
  <c r="BT221" i="4"/>
  <c r="BQ221" i="4"/>
  <c r="BI221" i="4"/>
  <c r="BE221" i="4"/>
  <c r="BA221" i="4"/>
  <c r="AW221" i="4"/>
  <c r="AZ221" i="4" s="1"/>
  <c r="O221" i="4"/>
  <c r="BS221" i="4" s="1"/>
  <c r="CD220" i="4"/>
  <c r="BS220" i="4"/>
  <c r="BQ220" i="4"/>
  <c r="BJ220" i="4"/>
  <c r="AW220" i="4"/>
  <c r="P220" i="4"/>
  <c r="BT220" i="4" s="1"/>
  <c r="BJ509" i="4" l="1"/>
  <c r="O545" i="4"/>
  <c r="O546" i="4"/>
  <c r="O547" i="4"/>
  <c r="O548" i="4"/>
  <c r="O549" i="4"/>
  <c r="O550" i="4"/>
  <c r="O551" i="4"/>
  <c r="O552" i="4"/>
  <c r="O544" i="4"/>
  <c r="O558" i="4" l="1"/>
  <c r="O559" i="4"/>
  <c r="O560" i="4"/>
  <c r="O561" i="4"/>
  <c r="O562" i="4"/>
  <c r="O563" i="4"/>
  <c r="O564" i="4"/>
  <c r="O565" i="4"/>
  <c r="O566" i="4"/>
  <c r="O567" i="4"/>
  <c r="O568" i="4"/>
  <c r="O569" i="4"/>
  <c r="O570" i="4"/>
  <c r="O557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O230" i="4"/>
  <c r="O231" i="4"/>
  <c r="O232" i="4"/>
  <c r="O233" i="4"/>
  <c r="O234" i="4"/>
  <c r="O235" i="4"/>
  <c r="O236" i="4"/>
  <c r="O237" i="4"/>
  <c r="O238" i="4"/>
  <c r="O239" i="4"/>
  <c r="O229" i="4"/>
  <c r="O702" i="4" l="1"/>
  <c r="H938" i="5"/>
  <c r="F938" i="5"/>
  <c r="E938" i="5"/>
  <c r="D938" i="5"/>
  <c r="CX698" i="4"/>
  <c r="CX694" i="4"/>
  <c r="CX688" i="4"/>
  <c r="CX681" i="4"/>
  <c r="CX675" i="4"/>
  <c r="CX669" i="4"/>
  <c r="CX660" i="4"/>
  <c r="CX655" i="4"/>
  <c r="CX650" i="4"/>
  <c r="CX638" i="4"/>
  <c r="CX572" i="4"/>
  <c r="CX554" i="4"/>
  <c r="CX507" i="4"/>
  <c r="CX479" i="4"/>
  <c r="CX356" i="4"/>
  <c r="CX329" i="4"/>
  <c r="CX256" i="4"/>
  <c r="CX108" i="4"/>
  <c r="CX68" i="4"/>
  <c r="G268" i="1"/>
  <c r="M938" i="5" s="1"/>
  <c r="CX700" i="4" l="1"/>
  <c r="CD482" i="4"/>
  <c r="CD483" i="4"/>
  <c r="CD484" i="4"/>
  <c r="CD485" i="4"/>
  <c r="CD486" i="4"/>
  <c r="CD487" i="4"/>
  <c r="CD488" i="4"/>
  <c r="CD489" i="4"/>
  <c r="CD490" i="4"/>
  <c r="CD491" i="4"/>
  <c r="CD492" i="4"/>
  <c r="CD493" i="4"/>
  <c r="CD494" i="4"/>
  <c r="CD495" i="4"/>
  <c r="CD496" i="4"/>
  <c r="CD497" i="4"/>
  <c r="CD498" i="4"/>
  <c r="CD499" i="4"/>
  <c r="CD500" i="4"/>
  <c r="CD501" i="4"/>
  <c r="CD502" i="4"/>
  <c r="CD503" i="4"/>
  <c r="CD504" i="4"/>
  <c r="CD505" i="4"/>
  <c r="CD506" i="4"/>
  <c r="CD481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482" i="4"/>
  <c r="F1953" i="8"/>
  <c r="H1944" i="8"/>
  <c r="H1943" i="8"/>
  <c r="C1943" i="8" s="1"/>
  <c r="G1943" i="8"/>
  <c r="F1943" i="8"/>
  <c r="E1943" i="8"/>
  <c r="H1783" i="8"/>
  <c r="H1782" i="8"/>
  <c r="H1760" i="8"/>
  <c r="H1759" i="8"/>
  <c r="H1758" i="8"/>
  <c r="T14" i="30"/>
  <c r="H1521" i="8"/>
  <c r="H1520" i="8"/>
  <c r="M1943" i="8" l="1"/>
  <c r="N1943" i="8"/>
  <c r="H936" i="5"/>
  <c r="F936" i="5"/>
  <c r="E936" i="5"/>
  <c r="D936" i="5"/>
  <c r="H934" i="5"/>
  <c r="F934" i="5"/>
  <c r="E934" i="5"/>
  <c r="H932" i="5"/>
  <c r="F932" i="5"/>
  <c r="E932" i="5"/>
  <c r="D932" i="5"/>
  <c r="H937" i="5"/>
  <c r="F937" i="5"/>
  <c r="E937" i="5"/>
  <c r="D937" i="5"/>
  <c r="H935" i="5"/>
  <c r="F935" i="5"/>
  <c r="E935" i="5"/>
  <c r="H933" i="5"/>
  <c r="F933" i="5"/>
  <c r="E933" i="5"/>
  <c r="D933" i="5"/>
  <c r="H2300" i="8" l="1"/>
  <c r="C2300" i="8" s="1"/>
  <c r="H2297" i="8"/>
  <c r="H2296" i="8"/>
  <c r="C2296" i="8" s="1"/>
  <c r="H2291" i="8"/>
  <c r="H2290" i="8"/>
  <c r="N2290" i="8" s="1"/>
  <c r="I2321" i="8"/>
  <c r="H2321" i="8"/>
  <c r="C2321" i="8" s="1"/>
  <c r="G2321" i="8"/>
  <c r="F2321" i="8"/>
  <c r="E2321" i="8"/>
  <c r="I2320" i="8"/>
  <c r="G2320" i="8"/>
  <c r="F2320" i="8"/>
  <c r="E2320" i="8"/>
  <c r="I2319" i="8"/>
  <c r="H2319" i="8"/>
  <c r="C2319" i="8" s="1"/>
  <c r="G2319" i="8"/>
  <c r="F2319" i="8"/>
  <c r="E2319" i="8"/>
  <c r="I2318" i="8"/>
  <c r="H2318" i="8"/>
  <c r="C2318" i="8" s="1"/>
  <c r="G2318" i="8"/>
  <c r="F2318" i="8"/>
  <c r="E2318" i="8"/>
  <c r="N2317" i="8"/>
  <c r="I2317" i="8"/>
  <c r="M2317" i="8" s="1"/>
  <c r="G2317" i="8"/>
  <c r="F2317" i="8"/>
  <c r="E2317" i="8"/>
  <c r="C2317" i="8"/>
  <c r="N2316" i="8"/>
  <c r="I2316" i="8"/>
  <c r="M2316" i="8" s="1"/>
  <c r="G2316" i="8"/>
  <c r="F2316" i="8"/>
  <c r="E2316" i="8"/>
  <c r="C2316" i="8"/>
  <c r="N2315" i="8"/>
  <c r="I2315" i="8"/>
  <c r="M2315" i="8" s="1"/>
  <c r="G2315" i="8"/>
  <c r="F2315" i="8"/>
  <c r="E2315" i="8"/>
  <c r="C2315" i="8"/>
  <c r="N2314" i="8"/>
  <c r="I2314" i="8"/>
  <c r="M2314" i="8" s="1"/>
  <c r="G2314" i="8"/>
  <c r="F2314" i="8"/>
  <c r="E2314" i="8"/>
  <c r="C2314" i="8"/>
  <c r="N2313" i="8"/>
  <c r="I2313" i="8"/>
  <c r="M2313" i="8" s="1"/>
  <c r="G2313" i="8"/>
  <c r="F2313" i="8"/>
  <c r="E2313" i="8"/>
  <c r="C2313" i="8"/>
  <c r="N2312" i="8"/>
  <c r="I2312" i="8"/>
  <c r="M2312" i="8" s="1"/>
  <c r="G2312" i="8"/>
  <c r="F2312" i="8"/>
  <c r="E2312" i="8"/>
  <c r="C2312" i="8"/>
  <c r="N2311" i="8"/>
  <c r="I2311" i="8"/>
  <c r="M2311" i="8" s="1"/>
  <c r="G2311" i="8"/>
  <c r="F2311" i="8"/>
  <c r="E2311" i="8"/>
  <c r="C2311" i="8"/>
  <c r="N2310" i="8"/>
  <c r="I2310" i="8"/>
  <c r="M2310" i="8" s="1"/>
  <c r="G2310" i="8"/>
  <c r="F2310" i="8"/>
  <c r="E2310" i="8"/>
  <c r="C2310" i="8"/>
  <c r="N2309" i="8"/>
  <c r="I2309" i="8"/>
  <c r="M2309" i="8" s="1"/>
  <c r="G2309" i="8"/>
  <c r="F2309" i="8"/>
  <c r="E2309" i="8"/>
  <c r="C2309" i="8"/>
  <c r="N2308" i="8"/>
  <c r="I2308" i="8"/>
  <c r="M2308" i="8" s="1"/>
  <c r="G2308" i="8"/>
  <c r="F2308" i="8"/>
  <c r="E2308" i="8"/>
  <c r="C2308" i="8"/>
  <c r="N2307" i="8"/>
  <c r="I2307" i="8"/>
  <c r="M2307" i="8" s="1"/>
  <c r="G2307" i="8"/>
  <c r="F2307" i="8"/>
  <c r="E2307" i="8"/>
  <c r="C2307" i="8"/>
  <c r="N2306" i="8"/>
  <c r="I2306" i="8"/>
  <c r="M2306" i="8" s="1"/>
  <c r="G2306" i="8"/>
  <c r="F2306" i="8"/>
  <c r="E2306" i="8"/>
  <c r="C2306" i="8"/>
  <c r="N2305" i="8"/>
  <c r="I2305" i="8"/>
  <c r="M2305" i="8" s="1"/>
  <c r="G2305" i="8"/>
  <c r="F2305" i="8"/>
  <c r="E2305" i="8"/>
  <c r="C2305" i="8"/>
  <c r="O2304" i="8"/>
  <c r="N2304" i="8"/>
  <c r="I2304" i="8"/>
  <c r="M2304" i="8" s="1"/>
  <c r="G2304" i="8"/>
  <c r="F2304" i="8"/>
  <c r="C2304" i="8"/>
  <c r="O2303" i="8"/>
  <c r="N2303" i="8"/>
  <c r="I2303" i="8"/>
  <c r="M2303" i="8" s="1"/>
  <c r="G2303" i="8"/>
  <c r="F2303" i="8"/>
  <c r="C2303" i="8"/>
  <c r="O2302" i="8"/>
  <c r="N2302" i="8"/>
  <c r="I2302" i="8"/>
  <c r="M2302" i="8" s="1"/>
  <c r="G2302" i="8"/>
  <c r="F2302" i="8"/>
  <c r="C2302" i="8"/>
  <c r="N2301" i="8"/>
  <c r="I2301" i="8"/>
  <c r="M2301" i="8" s="1"/>
  <c r="G2301" i="8"/>
  <c r="F2301" i="8"/>
  <c r="E2301" i="8"/>
  <c r="C2301" i="8"/>
  <c r="N2300" i="8"/>
  <c r="I2300" i="8"/>
  <c r="G2300" i="8"/>
  <c r="F2300" i="8"/>
  <c r="E2300" i="8"/>
  <c r="N2299" i="8"/>
  <c r="M2299" i="8"/>
  <c r="G2299" i="8"/>
  <c r="F2299" i="8"/>
  <c r="E2299" i="8"/>
  <c r="C2299" i="8"/>
  <c r="N2298" i="8"/>
  <c r="I2298" i="8"/>
  <c r="M2298" i="8" s="1"/>
  <c r="G2298" i="8"/>
  <c r="F2298" i="8"/>
  <c r="E2298" i="8"/>
  <c r="C2298" i="8"/>
  <c r="N2297" i="8"/>
  <c r="I2297" i="8"/>
  <c r="M2297" i="8" s="1"/>
  <c r="G2297" i="8"/>
  <c r="F2297" i="8"/>
  <c r="E2297" i="8"/>
  <c r="C2297" i="8"/>
  <c r="I2296" i="8"/>
  <c r="G2296" i="8"/>
  <c r="F2296" i="8"/>
  <c r="E2296" i="8"/>
  <c r="P2295" i="8"/>
  <c r="O2295" i="8"/>
  <c r="N2295" i="8"/>
  <c r="I2295" i="8"/>
  <c r="M2295" i="8" s="1"/>
  <c r="G2295" i="8"/>
  <c r="F2295" i="8"/>
  <c r="C2295" i="8"/>
  <c r="P2294" i="8"/>
  <c r="O2294" i="8"/>
  <c r="N2294" i="8"/>
  <c r="I2294" i="8"/>
  <c r="M2294" i="8" s="1"/>
  <c r="G2294" i="8"/>
  <c r="F2294" i="8"/>
  <c r="C2294" i="8"/>
  <c r="P2293" i="8"/>
  <c r="O2293" i="8"/>
  <c r="N2293" i="8"/>
  <c r="I2293" i="8"/>
  <c r="M2293" i="8" s="1"/>
  <c r="G2293" i="8"/>
  <c r="F2293" i="8"/>
  <c r="C2293" i="8"/>
  <c r="N2292" i="8"/>
  <c r="I2292" i="8"/>
  <c r="M2292" i="8" s="1"/>
  <c r="G2292" i="8"/>
  <c r="F2292" i="8"/>
  <c r="E2292" i="8"/>
  <c r="C2292" i="8"/>
  <c r="I2291" i="8"/>
  <c r="G2291" i="8"/>
  <c r="F2291" i="8"/>
  <c r="E2291" i="8"/>
  <c r="I2290" i="8"/>
  <c r="M2290" i="8" s="1"/>
  <c r="G2290" i="8"/>
  <c r="F2290" i="8"/>
  <c r="E2290" i="8"/>
  <c r="C2290" i="8"/>
  <c r="N2289" i="8"/>
  <c r="M2289" i="8"/>
  <c r="G2289" i="8"/>
  <c r="F2289" i="8"/>
  <c r="E2289" i="8"/>
  <c r="C2289" i="8"/>
  <c r="N2288" i="8"/>
  <c r="M2288" i="8"/>
  <c r="G2288" i="8"/>
  <c r="F2288" i="8"/>
  <c r="E2288" i="8"/>
  <c r="C2288" i="8"/>
  <c r="N2287" i="8"/>
  <c r="M2287" i="8"/>
  <c r="G2287" i="8"/>
  <c r="F2287" i="8"/>
  <c r="E2287" i="8"/>
  <c r="C2287" i="8"/>
  <c r="N2286" i="8"/>
  <c r="M2286" i="8"/>
  <c r="G2286" i="8"/>
  <c r="F2286" i="8"/>
  <c r="E2286" i="8"/>
  <c r="C2286" i="8"/>
  <c r="I2232" i="8"/>
  <c r="M2232" i="8" s="1"/>
  <c r="F2232" i="8"/>
  <c r="N2225" i="8"/>
  <c r="I2225" i="8"/>
  <c r="M2225" i="8" s="1"/>
  <c r="G2225" i="8"/>
  <c r="F2225" i="8"/>
  <c r="E2225" i="8"/>
  <c r="C2225" i="8"/>
  <c r="H1499" i="8"/>
  <c r="N2224" i="8"/>
  <c r="C2223" i="8"/>
  <c r="H2215" i="8"/>
  <c r="N2245" i="8"/>
  <c r="M2245" i="8"/>
  <c r="G2245" i="8"/>
  <c r="F2245" i="8"/>
  <c r="E2245" i="8"/>
  <c r="C2245" i="8"/>
  <c r="G2244" i="8"/>
  <c r="F2244" i="8"/>
  <c r="E2244" i="8"/>
  <c r="I2243" i="8"/>
  <c r="G2243" i="8"/>
  <c r="F2243" i="8"/>
  <c r="E2243" i="8"/>
  <c r="I2242" i="8"/>
  <c r="H2242" i="8"/>
  <c r="C2242" i="8" s="1"/>
  <c r="G2242" i="8"/>
  <c r="F2242" i="8"/>
  <c r="E2242" i="8"/>
  <c r="I2241" i="8"/>
  <c r="G2241" i="8"/>
  <c r="F2241" i="8"/>
  <c r="E2241" i="8"/>
  <c r="N2240" i="8"/>
  <c r="I2240" i="8"/>
  <c r="M2240" i="8" s="1"/>
  <c r="G2240" i="8"/>
  <c r="F2240" i="8"/>
  <c r="E2240" i="8"/>
  <c r="C2240" i="8"/>
  <c r="N2239" i="8"/>
  <c r="I2239" i="8"/>
  <c r="M2239" i="8" s="1"/>
  <c r="G2239" i="8"/>
  <c r="F2239" i="8"/>
  <c r="E2239" i="8"/>
  <c r="C2239" i="8"/>
  <c r="N2238" i="8"/>
  <c r="I2238" i="8"/>
  <c r="M2238" i="8" s="1"/>
  <c r="G2238" i="8"/>
  <c r="F2238" i="8"/>
  <c r="E2238" i="8"/>
  <c r="C2238" i="8"/>
  <c r="N2237" i="8"/>
  <c r="I2237" i="8"/>
  <c r="M2237" i="8" s="1"/>
  <c r="G2237" i="8"/>
  <c r="F2237" i="8"/>
  <c r="E2237" i="8"/>
  <c r="C2237" i="8"/>
  <c r="N2236" i="8"/>
  <c r="I2236" i="8"/>
  <c r="M2236" i="8" s="1"/>
  <c r="G2236" i="8"/>
  <c r="F2236" i="8"/>
  <c r="E2236" i="8"/>
  <c r="C2236" i="8"/>
  <c r="O2235" i="8"/>
  <c r="N2235" i="8"/>
  <c r="I2235" i="8"/>
  <c r="M2235" i="8" s="1"/>
  <c r="G2235" i="8"/>
  <c r="F2235" i="8"/>
  <c r="E2235" i="8"/>
  <c r="C2235" i="8"/>
  <c r="O2234" i="8"/>
  <c r="N2234" i="8"/>
  <c r="I2234" i="8"/>
  <c r="M2234" i="8" s="1"/>
  <c r="G2234" i="8"/>
  <c r="F2234" i="8"/>
  <c r="E2234" i="8"/>
  <c r="C2234" i="8"/>
  <c r="O2233" i="8"/>
  <c r="N2233" i="8"/>
  <c r="I2233" i="8"/>
  <c r="M2233" i="8" s="1"/>
  <c r="G2233" i="8"/>
  <c r="F2233" i="8"/>
  <c r="E2233" i="8"/>
  <c r="C2233" i="8"/>
  <c r="G2232" i="8"/>
  <c r="E2232" i="8"/>
  <c r="C2232" i="8"/>
  <c r="N2231" i="8"/>
  <c r="M2231" i="8"/>
  <c r="G2231" i="8"/>
  <c r="F2231" i="8"/>
  <c r="E2231" i="8"/>
  <c r="C2231" i="8"/>
  <c r="N2230" i="8"/>
  <c r="I2230" i="8"/>
  <c r="M2230" i="8" s="1"/>
  <c r="G2230" i="8"/>
  <c r="F2230" i="8"/>
  <c r="E2230" i="8"/>
  <c r="C2230" i="8"/>
  <c r="N2229" i="8"/>
  <c r="I2229" i="8"/>
  <c r="M2229" i="8" s="1"/>
  <c r="G2229" i="8"/>
  <c r="F2229" i="8"/>
  <c r="E2229" i="8"/>
  <c r="C2229" i="8"/>
  <c r="P2228" i="8"/>
  <c r="O2228" i="8"/>
  <c r="N2228" i="8"/>
  <c r="I2228" i="8"/>
  <c r="M2228" i="8" s="1"/>
  <c r="G2228" i="8"/>
  <c r="F2228" i="8"/>
  <c r="C2228" i="8"/>
  <c r="P2227" i="8"/>
  <c r="O2227" i="8"/>
  <c r="N2227" i="8"/>
  <c r="I2227" i="8"/>
  <c r="M2227" i="8" s="1"/>
  <c r="G2227" i="8"/>
  <c r="F2227" i="8"/>
  <c r="C2227" i="8"/>
  <c r="N2226" i="8"/>
  <c r="I2226" i="8"/>
  <c r="M2226" i="8" s="1"/>
  <c r="G2226" i="8"/>
  <c r="F2226" i="8"/>
  <c r="E2226" i="8"/>
  <c r="C2226" i="8"/>
  <c r="I2224" i="8"/>
  <c r="G2224" i="8"/>
  <c r="F2224" i="8"/>
  <c r="E2224" i="8"/>
  <c r="C2224" i="8"/>
  <c r="N2223" i="8"/>
  <c r="I2223" i="8"/>
  <c r="G2223" i="8"/>
  <c r="F2223" i="8"/>
  <c r="E2223" i="8"/>
  <c r="H2222" i="8"/>
  <c r="C2222" i="8" s="1"/>
  <c r="G2222" i="8"/>
  <c r="F2222" i="8"/>
  <c r="E2222" i="8"/>
  <c r="H2221" i="8"/>
  <c r="M2221" i="8" s="1"/>
  <c r="G2221" i="8"/>
  <c r="F2221" i="8"/>
  <c r="E2221" i="8"/>
  <c r="H2220" i="8"/>
  <c r="M2220" i="8" s="1"/>
  <c r="G2220" i="8"/>
  <c r="F2220" i="8"/>
  <c r="E2220" i="8"/>
  <c r="H2219" i="8"/>
  <c r="C2219" i="8" s="1"/>
  <c r="G2219" i="8"/>
  <c r="F2219" i="8"/>
  <c r="E2219" i="8"/>
  <c r="H2218" i="8"/>
  <c r="G2218" i="8"/>
  <c r="F2218" i="8"/>
  <c r="E2218" i="8"/>
  <c r="C2218" i="8"/>
  <c r="H2163" i="8"/>
  <c r="C2163" i="8" s="1"/>
  <c r="H2157" i="8"/>
  <c r="C2157" i="8" s="1"/>
  <c r="H2156" i="8"/>
  <c r="H2161" i="8" s="1"/>
  <c r="C2161" i="8" s="1"/>
  <c r="H2170" i="8"/>
  <c r="H2169" i="8"/>
  <c r="H2167" i="8"/>
  <c r="H2172" i="8" s="1"/>
  <c r="I2164" i="8"/>
  <c r="G2164" i="8"/>
  <c r="F2164" i="8"/>
  <c r="E2164" i="8"/>
  <c r="I2163" i="8"/>
  <c r="G2163" i="8"/>
  <c r="F2163" i="8"/>
  <c r="E2163" i="8"/>
  <c r="I2162" i="8"/>
  <c r="G2162" i="8"/>
  <c r="F2162" i="8"/>
  <c r="E2162" i="8"/>
  <c r="I2161" i="8"/>
  <c r="G2161" i="8"/>
  <c r="F2161" i="8"/>
  <c r="E2161" i="8"/>
  <c r="N2160" i="8"/>
  <c r="I2160" i="8"/>
  <c r="M2160" i="8" s="1"/>
  <c r="G2160" i="8"/>
  <c r="F2160" i="8"/>
  <c r="E2160" i="8"/>
  <c r="C2160" i="8"/>
  <c r="I2159" i="8"/>
  <c r="G2159" i="8"/>
  <c r="F2159" i="8"/>
  <c r="E2159" i="8"/>
  <c r="C2159" i="8"/>
  <c r="I2158" i="8"/>
  <c r="G2158" i="8"/>
  <c r="F2158" i="8"/>
  <c r="E2158" i="8"/>
  <c r="I2157" i="8"/>
  <c r="G2157" i="8"/>
  <c r="F2157" i="8"/>
  <c r="E2157" i="8"/>
  <c r="I2156" i="8"/>
  <c r="G2156" i="8"/>
  <c r="F2156" i="8"/>
  <c r="E2156" i="8"/>
  <c r="H2119" i="8"/>
  <c r="F2107" i="8"/>
  <c r="N2107" i="8"/>
  <c r="M2107" i="8"/>
  <c r="G2107" i="8"/>
  <c r="E2107" i="8"/>
  <c r="C2107" i="8"/>
  <c r="H2106" i="8"/>
  <c r="H2105" i="8"/>
  <c r="N2101" i="8"/>
  <c r="I2101" i="8"/>
  <c r="G2101" i="8"/>
  <c r="F2101" i="8"/>
  <c r="E2101" i="8"/>
  <c r="N2099" i="8"/>
  <c r="G2099" i="8"/>
  <c r="F2099" i="8"/>
  <c r="E2099" i="8"/>
  <c r="C2099" i="8"/>
  <c r="H2096" i="8"/>
  <c r="H2082" i="8"/>
  <c r="H2081" i="8"/>
  <c r="F2083" i="8"/>
  <c r="N2083" i="8"/>
  <c r="I2083" i="8"/>
  <c r="M2083" i="8" s="1"/>
  <c r="G2083" i="8"/>
  <c r="E2083" i="8"/>
  <c r="C2083" i="8"/>
  <c r="F2076" i="8"/>
  <c r="F2075" i="8"/>
  <c r="I2078" i="8"/>
  <c r="H2078" i="8"/>
  <c r="N2078" i="8" s="1"/>
  <c r="G2078" i="8"/>
  <c r="F2078" i="8"/>
  <c r="E2078" i="8"/>
  <c r="I2077" i="8"/>
  <c r="H2077" i="8"/>
  <c r="C2077" i="8" s="1"/>
  <c r="G2077" i="8"/>
  <c r="F2077" i="8"/>
  <c r="E2077" i="8"/>
  <c r="H2076" i="8"/>
  <c r="H2075" i="8"/>
  <c r="H2046" i="8"/>
  <c r="F2037" i="8"/>
  <c r="H2028" i="8"/>
  <c r="H2047" i="8" s="1"/>
  <c r="H2027" i="8"/>
  <c r="H2048" i="8" s="1"/>
  <c r="F2028" i="8"/>
  <c r="F2027" i="8"/>
  <c r="M30" i="30"/>
  <c r="O30" i="30"/>
  <c r="P30" i="30"/>
  <c r="S30" i="30"/>
  <c r="T30" i="30"/>
  <c r="U30" i="30"/>
  <c r="V30" i="30"/>
  <c r="W30" i="30"/>
  <c r="Y30" i="30"/>
  <c r="Z30" i="30"/>
  <c r="AA30" i="30"/>
  <c r="AC30" i="30"/>
  <c r="AD30" i="30"/>
  <c r="AE30" i="30"/>
  <c r="AF30" i="30"/>
  <c r="AG30" i="30"/>
  <c r="AH30" i="30"/>
  <c r="K30" i="30"/>
  <c r="Q11" i="30"/>
  <c r="L29" i="30"/>
  <c r="M29" i="30"/>
  <c r="O29" i="30"/>
  <c r="P29" i="30"/>
  <c r="S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K29" i="30"/>
  <c r="V10" i="30"/>
  <c r="V29" i="30" s="1"/>
  <c r="U10" i="30"/>
  <c r="U29" i="30" s="1"/>
  <c r="T10" i="30"/>
  <c r="T29" i="30" s="1"/>
  <c r="R10" i="30"/>
  <c r="R29" i="30" s="1"/>
  <c r="Q10" i="30"/>
  <c r="Q29" i="30" s="1"/>
  <c r="N10" i="30"/>
  <c r="N29" i="30" s="1"/>
  <c r="C2221" i="8" l="1"/>
  <c r="C2078" i="8"/>
  <c r="H2320" i="8"/>
  <c r="M2320" i="8" s="1"/>
  <c r="M2222" i="8"/>
  <c r="H2243" i="8"/>
  <c r="N2296" i="8"/>
  <c r="M2296" i="8"/>
  <c r="M2099" i="8"/>
  <c r="H2120" i="8"/>
  <c r="M2300" i="8"/>
  <c r="C2320" i="8"/>
  <c r="N2291" i="8"/>
  <c r="C2291" i="8"/>
  <c r="C2285" i="8" s="1"/>
  <c r="M2291" i="8"/>
  <c r="H2244" i="8"/>
  <c r="M2244" i="8" s="1"/>
  <c r="H2097" i="8"/>
  <c r="C2156" i="8"/>
  <c r="M2318" i="8"/>
  <c r="N2318" i="8"/>
  <c r="M2319" i="8"/>
  <c r="M2321" i="8"/>
  <c r="N2319" i="8"/>
  <c r="N2321" i="8"/>
  <c r="C2220" i="8"/>
  <c r="M2242" i="8"/>
  <c r="M2224" i="8"/>
  <c r="M2223" i="8"/>
  <c r="N2242" i="8"/>
  <c r="M2218" i="8"/>
  <c r="M2219" i="8"/>
  <c r="C2244" i="8"/>
  <c r="N2218" i="8"/>
  <c r="N2222" i="8"/>
  <c r="H2241" i="8"/>
  <c r="N2219" i="8"/>
  <c r="N2221" i="8"/>
  <c r="N2220" i="8"/>
  <c r="N2232" i="8"/>
  <c r="M2078" i="8"/>
  <c r="M2156" i="8"/>
  <c r="N2156" i="8"/>
  <c r="M2159" i="8"/>
  <c r="M2163" i="8"/>
  <c r="N2157" i="8"/>
  <c r="N2159" i="8"/>
  <c r="N2161" i="8"/>
  <c r="N2163" i="8"/>
  <c r="M2157" i="8"/>
  <c r="M2161" i="8"/>
  <c r="H2158" i="8"/>
  <c r="H2162" i="8"/>
  <c r="H2164" i="8"/>
  <c r="M2101" i="8"/>
  <c r="C2101" i="8"/>
  <c r="M2077" i="8"/>
  <c r="N2077" i="8"/>
  <c r="I2183" i="8"/>
  <c r="M2183" i="8" s="1"/>
  <c r="F2183" i="8"/>
  <c r="Z9" i="30"/>
  <c r="G2183" i="8"/>
  <c r="E2183" i="8"/>
  <c r="C2183" i="8"/>
  <c r="H2126" i="8"/>
  <c r="H2124" i="8"/>
  <c r="H2017" i="8"/>
  <c r="H2019" i="8" s="1"/>
  <c r="H2023" i="8" s="1"/>
  <c r="H1977" i="8"/>
  <c r="H1976" i="8"/>
  <c r="H1975" i="8"/>
  <c r="H1972" i="8"/>
  <c r="H1966" i="8"/>
  <c r="H1961" i="8"/>
  <c r="I1953" i="8"/>
  <c r="M1953" i="8" s="1"/>
  <c r="N1953" i="8"/>
  <c r="G1953" i="8"/>
  <c r="E1953" i="8"/>
  <c r="C1953" i="8"/>
  <c r="H1951" i="8"/>
  <c r="H1950" i="8"/>
  <c r="H1946" i="8"/>
  <c r="H1945" i="8"/>
  <c r="H1938" i="8"/>
  <c r="I1923" i="8"/>
  <c r="G1923" i="8"/>
  <c r="F1923" i="8"/>
  <c r="E1923" i="8"/>
  <c r="C1923" i="8"/>
  <c r="U16" i="30"/>
  <c r="V16" i="30"/>
  <c r="F1908" i="8"/>
  <c r="I1908" i="8"/>
  <c r="H1897" i="8"/>
  <c r="H1902" i="8" s="1"/>
  <c r="I1862" i="8"/>
  <c r="G1862" i="8"/>
  <c r="F1862" i="8"/>
  <c r="E1862" i="8"/>
  <c r="H1856" i="8"/>
  <c r="C1856" i="8" s="1"/>
  <c r="H1846" i="8"/>
  <c r="C1846" i="8" s="1"/>
  <c r="H1845" i="8"/>
  <c r="C1845" i="8" s="1"/>
  <c r="H1840" i="8"/>
  <c r="N1840" i="8" s="1"/>
  <c r="H1839" i="8"/>
  <c r="C1839" i="8" s="1"/>
  <c r="I1833" i="8"/>
  <c r="G1833" i="8"/>
  <c r="F1833" i="8"/>
  <c r="E1833" i="8"/>
  <c r="H1831" i="8"/>
  <c r="H1827" i="8"/>
  <c r="H1817" i="8"/>
  <c r="H1813" i="8"/>
  <c r="H1816" i="8" s="1"/>
  <c r="H1810" i="8"/>
  <c r="H1807" i="8"/>
  <c r="H1806" i="8"/>
  <c r="H1833" i="8" s="1"/>
  <c r="C1833" i="8" s="1"/>
  <c r="I1861" i="8"/>
  <c r="G1861" i="8"/>
  <c r="F1861" i="8"/>
  <c r="E1861" i="8"/>
  <c r="I1860" i="8"/>
  <c r="H1860" i="8"/>
  <c r="G1860" i="8"/>
  <c r="F1860" i="8"/>
  <c r="E1860" i="8"/>
  <c r="C1860" i="8"/>
  <c r="N1859" i="8"/>
  <c r="I1859" i="8"/>
  <c r="M1859" i="8" s="1"/>
  <c r="G1859" i="8"/>
  <c r="F1859" i="8"/>
  <c r="E1859" i="8"/>
  <c r="C1859" i="8"/>
  <c r="N1858" i="8"/>
  <c r="I1858" i="8"/>
  <c r="M1858" i="8" s="1"/>
  <c r="G1858" i="8"/>
  <c r="F1858" i="8"/>
  <c r="E1858" i="8"/>
  <c r="C1858" i="8"/>
  <c r="N1857" i="8"/>
  <c r="I1857" i="8"/>
  <c r="M1857" i="8" s="1"/>
  <c r="G1857" i="8"/>
  <c r="F1857" i="8"/>
  <c r="E1857" i="8"/>
  <c r="C1857" i="8"/>
  <c r="I1856" i="8"/>
  <c r="G1856" i="8"/>
  <c r="F1856" i="8"/>
  <c r="E1856" i="8"/>
  <c r="N1855" i="8"/>
  <c r="I1855" i="8"/>
  <c r="M1855" i="8" s="1"/>
  <c r="G1855" i="8"/>
  <c r="F1855" i="8"/>
  <c r="E1855" i="8"/>
  <c r="C1855" i="8"/>
  <c r="N1854" i="8"/>
  <c r="I1854" i="8"/>
  <c r="M1854" i="8" s="1"/>
  <c r="G1854" i="8"/>
  <c r="F1854" i="8"/>
  <c r="E1854" i="8"/>
  <c r="C1854" i="8"/>
  <c r="N1853" i="8"/>
  <c r="I1853" i="8"/>
  <c r="M1853" i="8" s="1"/>
  <c r="G1853" i="8"/>
  <c r="F1853" i="8"/>
  <c r="E1853" i="8"/>
  <c r="C1853" i="8"/>
  <c r="N1852" i="8"/>
  <c r="I1852" i="8"/>
  <c r="M1852" i="8" s="1"/>
  <c r="G1852" i="8"/>
  <c r="F1852" i="8"/>
  <c r="E1852" i="8"/>
  <c r="C1852" i="8"/>
  <c r="O1851" i="8"/>
  <c r="N1851" i="8"/>
  <c r="I1851" i="8"/>
  <c r="M1851" i="8" s="1"/>
  <c r="G1851" i="8"/>
  <c r="F1851" i="8"/>
  <c r="C1851" i="8"/>
  <c r="O1850" i="8"/>
  <c r="N1850" i="8"/>
  <c r="I1850" i="8"/>
  <c r="M1850" i="8" s="1"/>
  <c r="G1850" i="8"/>
  <c r="F1850" i="8"/>
  <c r="C1850" i="8"/>
  <c r="O1849" i="8"/>
  <c r="N1849" i="8"/>
  <c r="I1849" i="8"/>
  <c r="M1849" i="8" s="1"/>
  <c r="G1849" i="8"/>
  <c r="F1849" i="8"/>
  <c r="C1849" i="8"/>
  <c r="N1848" i="8"/>
  <c r="M1848" i="8"/>
  <c r="G1848" i="8"/>
  <c r="F1848" i="8"/>
  <c r="E1848" i="8"/>
  <c r="C1848" i="8"/>
  <c r="N1847" i="8"/>
  <c r="I1847" i="8"/>
  <c r="M1847" i="8" s="1"/>
  <c r="G1847" i="8"/>
  <c r="F1847" i="8"/>
  <c r="E1847" i="8"/>
  <c r="C1847" i="8"/>
  <c r="I1846" i="8"/>
  <c r="G1846" i="8"/>
  <c r="F1846" i="8"/>
  <c r="E1846" i="8"/>
  <c r="I1845" i="8"/>
  <c r="G1845" i="8"/>
  <c r="F1845" i="8"/>
  <c r="E1845" i="8"/>
  <c r="N1844" i="8"/>
  <c r="I1844" i="8"/>
  <c r="M1844" i="8" s="1"/>
  <c r="G1844" i="8"/>
  <c r="F1844" i="8"/>
  <c r="E1844" i="8"/>
  <c r="C1844" i="8"/>
  <c r="P1843" i="8"/>
  <c r="O1843" i="8"/>
  <c r="N1843" i="8"/>
  <c r="I1843" i="8"/>
  <c r="M1843" i="8" s="1"/>
  <c r="G1843" i="8"/>
  <c r="F1843" i="8"/>
  <c r="C1843" i="8"/>
  <c r="P1842" i="8"/>
  <c r="O1842" i="8"/>
  <c r="N1842" i="8"/>
  <c r="I1842" i="8"/>
  <c r="M1842" i="8" s="1"/>
  <c r="G1842" i="8"/>
  <c r="F1842" i="8"/>
  <c r="C1842" i="8"/>
  <c r="P1841" i="8"/>
  <c r="O1841" i="8"/>
  <c r="N1841" i="8"/>
  <c r="I1841" i="8"/>
  <c r="M1841" i="8" s="1"/>
  <c r="G1841" i="8"/>
  <c r="F1841" i="8"/>
  <c r="C1841" i="8"/>
  <c r="I1840" i="8"/>
  <c r="G1840" i="8"/>
  <c r="F1840" i="8"/>
  <c r="E1840" i="8"/>
  <c r="I1839" i="8"/>
  <c r="G1839" i="8"/>
  <c r="F1839" i="8"/>
  <c r="E1839" i="8"/>
  <c r="N1838" i="8"/>
  <c r="I1838" i="8"/>
  <c r="M1838" i="8" s="1"/>
  <c r="G1838" i="8"/>
  <c r="F1838" i="8"/>
  <c r="E1838" i="8"/>
  <c r="C1838" i="8"/>
  <c r="N1837" i="8"/>
  <c r="M1837" i="8"/>
  <c r="G1837" i="8"/>
  <c r="F1837" i="8"/>
  <c r="E1837" i="8"/>
  <c r="C1837" i="8"/>
  <c r="G1836" i="8"/>
  <c r="F1836" i="8"/>
  <c r="E1836" i="8"/>
  <c r="G1835" i="8"/>
  <c r="F1835" i="8"/>
  <c r="E1835" i="8"/>
  <c r="H1789" i="8"/>
  <c r="C1789" i="8" s="1"/>
  <c r="H1788" i="8"/>
  <c r="C1788" i="8" s="1"/>
  <c r="I1785" i="8"/>
  <c r="G1785" i="8"/>
  <c r="F1785" i="8"/>
  <c r="E1785" i="8"/>
  <c r="C1785" i="8"/>
  <c r="N1783" i="8"/>
  <c r="H1802" i="8"/>
  <c r="H1768" i="8"/>
  <c r="H1766" i="8"/>
  <c r="H1761" i="8"/>
  <c r="H1763" i="8"/>
  <c r="C1763" i="8" s="1"/>
  <c r="I1763" i="8"/>
  <c r="G1763" i="8"/>
  <c r="F1763" i="8"/>
  <c r="E1763" i="8"/>
  <c r="G1802" i="8"/>
  <c r="F1802" i="8"/>
  <c r="E1802" i="8"/>
  <c r="I1801" i="8"/>
  <c r="G1801" i="8"/>
  <c r="F1801" i="8"/>
  <c r="E1801" i="8"/>
  <c r="I1800" i="8"/>
  <c r="G1800" i="8"/>
  <c r="F1800" i="8"/>
  <c r="E1800" i="8"/>
  <c r="N1799" i="8"/>
  <c r="I1799" i="8"/>
  <c r="M1799" i="8" s="1"/>
  <c r="G1799" i="8"/>
  <c r="F1799" i="8"/>
  <c r="E1799" i="8"/>
  <c r="C1799" i="8"/>
  <c r="I1798" i="8"/>
  <c r="G1798" i="8"/>
  <c r="F1798" i="8"/>
  <c r="E1798" i="8"/>
  <c r="C1798" i="8"/>
  <c r="I1797" i="8"/>
  <c r="G1797" i="8"/>
  <c r="F1797" i="8"/>
  <c r="E1797" i="8"/>
  <c r="I1796" i="8"/>
  <c r="G1796" i="8"/>
  <c r="F1796" i="8"/>
  <c r="E1796" i="8"/>
  <c r="C1796" i="8"/>
  <c r="N1795" i="8"/>
  <c r="I1795" i="8"/>
  <c r="M1795" i="8" s="1"/>
  <c r="G1795" i="8"/>
  <c r="F1795" i="8"/>
  <c r="E1795" i="8"/>
  <c r="C1795" i="8"/>
  <c r="I1794" i="8"/>
  <c r="G1794" i="8"/>
  <c r="F1794" i="8"/>
  <c r="E1794" i="8"/>
  <c r="C1794" i="8"/>
  <c r="I1793" i="8"/>
  <c r="M1793" i="8" s="1"/>
  <c r="O1793" i="8"/>
  <c r="G1793" i="8"/>
  <c r="F1793" i="8"/>
  <c r="E1793" i="8"/>
  <c r="C1793" i="8"/>
  <c r="I1792" i="8"/>
  <c r="G1792" i="8"/>
  <c r="F1792" i="8"/>
  <c r="E1792" i="8"/>
  <c r="C1792" i="8"/>
  <c r="I1791" i="8"/>
  <c r="G1791" i="8"/>
  <c r="F1791" i="8"/>
  <c r="E1791" i="8"/>
  <c r="C1791" i="8"/>
  <c r="I1790" i="8"/>
  <c r="C1790" i="8"/>
  <c r="G1790" i="8"/>
  <c r="F1790" i="8"/>
  <c r="E1790" i="8"/>
  <c r="I1789" i="8"/>
  <c r="G1789" i="8"/>
  <c r="F1789" i="8"/>
  <c r="E1789" i="8"/>
  <c r="I1788" i="8"/>
  <c r="G1788" i="8"/>
  <c r="F1788" i="8"/>
  <c r="E1788" i="8"/>
  <c r="N1787" i="8"/>
  <c r="I1787" i="8"/>
  <c r="M1787" i="8" s="1"/>
  <c r="G1787" i="8"/>
  <c r="F1787" i="8"/>
  <c r="E1787" i="8"/>
  <c r="C1787" i="8"/>
  <c r="P1786" i="8"/>
  <c r="O1786" i="8"/>
  <c r="N1786" i="8"/>
  <c r="I1786" i="8"/>
  <c r="M1786" i="8" s="1"/>
  <c r="G1786" i="8"/>
  <c r="F1786" i="8"/>
  <c r="C1786" i="8"/>
  <c r="N1784" i="8"/>
  <c r="I1784" i="8"/>
  <c r="G1784" i="8"/>
  <c r="F1784" i="8"/>
  <c r="E1784" i="8"/>
  <c r="C1784" i="8"/>
  <c r="I1783" i="8"/>
  <c r="M1783" i="8" s="1"/>
  <c r="G1783" i="8"/>
  <c r="F1783" i="8"/>
  <c r="E1783" i="8"/>
  <c r="C1783" i="8"/>
  <c r="N1782" i="8"/>
  <c r="I1782" i="8"/>
  <c r="M1782" i="8" s="1"/>
  <c r="G1782" i="8"/>
  <c r="F1782" i="8"/>
  <c r="E1782" i="8"/>
  <c r="C1782" i="8"/>
  <c r="H1739" i="8"/>
  <c r="H1738" i="8"/>
  <c r="H1736" i="8"/>
  <c r="N1736" i="8" s="1"/>
  <c r="H1733" i="8"/>
  <c r="H1728" i="8"/>
  <c r="H1725" i="8"/>
  <c r="H1730" i="8" s="1"/>
  <c r="I1743" i="8"/>
  <c r="G1743" i="8"/>
  <c r="F1743" i="8"/>
  <c r="E1743" i="8"/>
  <c r="I1742" i="8"/>
  <c r="G1742" i="8"/>
  <c r="F1742" i="8"/>
  <c r="E1742" i="8"/>
  <c r="I1741" i="8"/>
  <c r="G1741" i="8"/>
  <c r="F1741" i="8"/>
  <c r="E1741" i="8"/>
  <c r="I1740" i="8"/>
  <c r="G1740" i="8"/>
  <c r="F1740" i="8"/>
  <c r="E1740" i="8"/>
  <c r="I1739" i="8"/>
  <c r="G1739" i="8"/>
  <c r="F1739" i="8"/>
  <c r="E1739" i="8"/>
  <c r="I1738" i="8"/>
  <c r="G1738" i="8"/>
  <c r="F1738" i="8"/>
  <c r="E1738" i="8"/>
  <c r="I1737" i="8"/>
  <c r="G1737" i="8"/>
  <c r="F1737" i="8"/>
  <c r="E1737" i="8"/>
  <c r="I1736" i="8"/>
  <c r="G1736" i="8"/>
  <c r="F1736" i="8"/>
  <c r="E1736" i="8"/>
  <c r="I1735" i="8"/>
  <c r="G1735" i="8"/>
  <c r="F1735" i="8"/>
  <c r="E1735" i="8"/>
  <c r="H1539" i="8"/>
  <c r="H1573" i="8"/>
  <c r="H1574" i="8" s="1"/>
  <c r="H1572" i="8"/>
  <c r="H1571" i="8"/>
  <c r="H1570" i="8"/>
  <c r="H1569" i="8"/>
  <c r="H1568" i="8"/>
  <c r="H1566" i="8"/>
  <c r="H1577" i="8" s="1"/>
  <c r="H1563" i="8"/>
  <c r="H1565" i="8" s="1"/>
  <c r="H1562" i="8"/>
  <c r="H1564" i="8" s="1"/>
  <c r="H1561" i="8"/>
  <c r="H1560" i="8"/>
  <c r="H1546" i="8"/>
  <c r="H1556" i="8" s="1"/>
  <c r="H1544" i="8"/>
  <c r="H1545" i="8" s="1"/>
  <c r="H1543" i="8"/>
  <c r="H1542" i="8"/>
  <c r="H1533" i="8"/>
  <c r="H1532" i="8"/>
  <c r="H1531" i="8"/>
  <c r="H1530" i="8"/>
  <c r="H1529" i="8"/>
  <c r="H1528" i="8"/>
  <c r="H1536" i="8" s="1"/>
  <c r="H1525" i="8"/>
  <c r="H1527" i="8" s="1"/>
  <c r="H1524" i="8"/>
  <c r="H1526" i="8" s="1"/>
  <c r="H1523" i="8"/>
  <c r="N1523" i="8" s="1"/>
  <c r="H1522" i="8"/>
  <c r="I1523" i="8"/>
  <c r="G1523" i="8"/>
  <c r="F1523" i="8"/>
  <c r="E1523" i="8"/>
  <c r="H1537" i="8"/>
  <c r="H1538" i="8"/>
  <c r="H1508" i="8"/>
  <c r="H1516" i="8" s="1"/>
  <c r="F1508" i="8"/>
  <c r="H1506" i="8"/>
  <c r="H1503" i="8"/>
  <c r="H1502" i="8"/>
  <c r="N1502" i="8" s="1"/>
  <c r="H1501" i="8"/>
  <c r="F1501" i="8"/>
  <c r="H1500" i="8"/>
  <c r="C1500" i="8" s="1"/>
  <c r="F1500" i="8"/>
  <c r="G1500" i="8"/>
  <c r="E1500" i="8"/>
  <c r="I1502" i="8"/>
  <c r="G1502" i="8"/>
  <c r="F1502" i="8"/>
  <c r="E1502" i="8"/>
  <c r="V12" i="30"/>
  <c r="T12" i="30"/>
  <c r="I1029" i="8"/>
  <c r="G1029" i="8"/>
  <c r="F1029" i="8"/>
  <c r="E1029" i="8"/>
  <c r="V35" i="30"/>
  <c r="U35" i="30"/>
  <c r="N2320" i="8" l="1"/>
  <c r="M1840" i="8"/>
  <c r="C1840" i="8"/>
  <c r="N1856" i="8"/>
  <c r="N2244" i="8"/>
  <c r="N1789" i="8"/>
  <c r="M1856" i="8"/>
  <c r="M1502" i="8"/>
  <c r="C1502" i="8"/>
  <c r="H1832" i="8"/>
  <c r="N2243" i="8"/>
  <c r="M2243" i="8"/>
  <c r="C2243" i="8"/>
  <c r="N2241" i="8"/>
  <c r="M2241" i="8"/>
  <c r="C2241" i="8"/>
  <c r="C2217" i="8" s="1"/>
  <c r="N2158" i="8"/>
  <c r="M2158" i="8"/>
  <c r="C2158" i="8"/>
  <c r="N2162" i="8"/>
  <c r="M2162" i="8"/>
  <c r="C2162" i="8"/>
  <c r="N2164" i="8"/>
  <c r="M2164" i="8"/>
  <c r="C2164" i="8"/>
  <c r="N2183" i="8"/>
  <c r="H1967" i="8"/>
  <c r="H1780" i="8"/>
  <c r="N1845" i="8"/>
  <c r="N1846" i="8"/>
  <c r="H1779" i="8"/>
  <c r="M1845" i="8"/>
  <c r="M1846" i="8"/>
  <c r="M1923" i="8"/>
  <c r="N1923" i="8"/>
  <c r="N1839" i="8"/>
  <c r="M1839" i="8"/>
  <c r="M1833" i="8"/>
  <c r="N1833" i="8"/>
  <c r="M1860" i="8"/>
  <c r="N1860" i="8"/>
  <c r="M1802" i="8"/>
  <c r="N1802" i="8"/>
  <c r="C1802" i="8"/>
  <c r="H1737" i="8"/>
  <c r="H1741" i="8"/>
  <c r="N1788" i="8"/>
  <c r="M1789" i="8"/>
  <c r="M1788" i="8"/>
  <c r="H1801" i="8"/>
  <c r="M1791" i="8"/>
  <c r="M1794" i="8"/>
  <c r="M1785" i="8"/>
  <c r="N1785" i="8"/>
  <c r="M1792" i="8"/>
  <c r="N1794" i="8"/>
  <c r="M1763" i="8"/>
  <c r="M1784" i="8"/>
  <c r="N1763" i="8"/>
  <c r="N1791" i="8"/>
  <c r="O1791" i="8"/>
  <c r="N1792" i="8"/>
  <c r="N1797" i="8"/>
  <c r="H1800" i="8"/>
  <c r="M1790" i="8"/>
  <c r="O1792" i="8"/>
  <c r="N1793" i="8"/>
  <c r="M1796" i="8"/>
  <c r="M1798" i="8"/>
  <c r="C1797" i="8"/>
  <c r="M1797" i="8"/>
  <c r="N1790" i="8"/>
  <c r="N1796" i="8"/>
  <c r="N1798" i="8"/>
  <c r="C1736" i="8"/>
  <c r="M1736" i="8"/>
  <c r="H1578" i="8"/>
  <c r="H1517" i="8"/>
  <c r="H1557" i="8"/>
  <c r="M1523" i="8"/>
  <c r="C1523" i="8"/>
  <c r="N1500" i="8"/>
  <c r="M1500" i="8"/>
  <c r="T16" i="30"/>
  <c r="T35" i="30" s="1"/>
  <c r="U34" i="30"/>
  <c r="H1836" i="8" s="1"/>
  <c r="M1836" i="8" s="1"/>
  <c r="T34" i="30"/>
  <c r="H1835" i="8" s="1"/>
  <c r="C1835" i="8" s="1"/>
  <c r="U15" i="30"/>
  <c r="T15" i="30"/>
  <c r="T8" i="30"/>
  <c r="T27" i="30" s="1"/>
  <c r="DT240" i="2"/>
  <c r="V26" i="30"/>
  <c r="T26" i="30"/>
  <c r="V8" i="30"/>
  <c r="U8" i="30"/>
  <c r="V7" i="30"/>
  <c r="T7" i="30"/>
  <c r="N7" i="30"/>
  <c r="M7" i="30"/>
  <c r="H1862" i="8" l="1"/>
  <c r="N1862" i="8" s="1"/>
  <c r="N1836" i="8"/>
  <c r="H1861" i="8"/>
  <c r="C1861" i="8" s="1"/>
  <c r="C1836" i="8"/>
  <c r="C1834" i="8" s="1"/>
  <c r="N1835" i="8"/>
  <c r="M1835" i="8"/>
  <c r="M1737" i="8"/>
  <c r="C1801" i="8"/>
  <c r="N1801" i="8"/>
  <c r="N1741" i="8"/>
  <c r="C1741" i="8"/>
  <c r="M1741" i="8"/>
  <c r="M1801" i="8"/>
  <c r="N1737" i="8"/>
  <c r="C1737" i="8"/>
  <c r="C1781" i="8"/>
  <c r="N1800" i="8"/>
  <c r="M1800" i="8"/>
  <c r="C1800" i="8"/>
  <c r="R35" i="30"/>
  <c r="Q35" i="30"/>
  <c r="N35" i="30"/>
  <c r="L35" i="30"/>
  <c r="R16" i="30"/>
  <c r="Q16" i="30"/>
  <c r="N16" i="30"/>
  <c r="L16" i="30"/>
  <c r="U12" i="30"/>
  <c r="R12" i="30"/>
  <c r="Q12" i="30"/>
  <c r="N12" i="30"/>
  <c r="L12" i="30"/>
  <c r="N15" i="30"/>
  <c r="L15" i="30"/>
  <c r="L14" i="30"/>
  <c r="L33" i="30" s="1"/>
  <c r="R15" i="30"/>
  <c r="Q15" i="30"/>
  <c r="M33" i="30"/>
  <c r="O33" i="30"/>
  <c r="P33" i="30"/>
  <c r="S33" i="30"/>
  <c r="T33" i="30"/>
  <c r="U33" i="30"/>
  <c r="W33" i="30"/>
  <c r="X33" i="30"/>
  <c r="Y33" i="30"/>
  <c r="Z33" i="30"/>
  <c r="AA33" i="30"/>
  <c r="AB33" i="30"/>
  <c r="AD33" i="30"/>
  <c r="AE33" i="30"/>
  <c r="AF33" i="30"/>
  <c r="AG33" i="30"/>
  <c r="AH33" i="30"/>
  <c r="K33" i="30"/>
  <c r="R14" i="30"/>
  <c r="R33" i="30" s="1"/>
  <c r="Q14" i="30"/>
  <c r="Q33" i="30" s="1"/>
  <c r="N14" i="30"/>
  <c r="N33" i="30" s="1"/>
  <c r="V14" i="30"/>
  <c r="V33" i="30" s="1"/>
  <c r="T9" i="30"/>
  <c r="C1862" i="8" l="1"/>
  <c r="M1861" i="8"/>
  <c r="N1861" i="8"/>
  <c r="M1862" i="8"/>
  <c r="M28" i="30"/>
  <c r="O28" i="30"/>
  <c r="P28" i="30"/>
  <c r="S28" i="30"/>
  <c r="T28" i="30"/>
  <c r="X28" i="30"/>
  <c r="Y28" i="30"/>
  <c r="Z28" i="30"/>
  <c r="H2182" i="8" s="1"/>
  <c r="H2187" i="8" s="1"/>
  <c r="AA28" i="30"/>
  <c r="AB28" i="30"/>
  <c r="AC28" i="30"/>
  <c r="AD28" i="30"/>
  <c r="AE28" i="30"/>
  <c r="AF28" i="30"/>
  <c r="AG28" i="30"/>
  <c r="AH28" i="30"/>
  <c r="R9" i="30"/>
  <c r="R28" i="30" s="1"/>
  <c r="Q9" i="30"/>
  <c r="Q28" i="30" s="1"/>
  <c r="L9" i="30"/>
  <c r="L28" i="30" s="1"/>
  <c r="N9" i="30"/>
  <c r="N28" i="30" s="1"/>
  <c r="W9" i="30"/>
  <c r="W28" i="30" s="1"/>
  <c r="V9" i="30"/>
  <c r="V28" i="30" s="1"/>
  <c r="U9" i="30"/>
  <c r="U28" i="30" s="1"/>
  <c r="M32" i="30"/>
  <c r="O32" i="30"/>
  <c r="P32" i="30"/>
  <c r="S32" i="30"/>
  <c r="T32" i="30"/>
  <c r="X32" i="30"/>
  <c r="Y32" i="30"/>
  <c r="Z32" i="30"/>
  <c r="AA32" i="30"/>
  <c r="AC32" i="30"/>
  <c r="AD32" i="30"/>
  <c r="AE32" i="30"/>
  <c r="AF32" i="30"/>
  <c r="AG32" i="30"/>
  <c r="AH32" i="30"/>
  <c r="R13" i="30"/>
  <c r="R32" i="30" s="1"/>
  <c r="Q13" i="30"/>
  <c r="Q32" i="30" s="1"/>
  <c r="N13" i="30"/>
  <c r="N32" i="30" s="1"/>
  <c r="L13" i="30"/>
  <c r="L32" i="30" s="1"/>
  <c r="W13" i="30"/>
  <c r="W32" i="30" s="1"/>
  <c r="V13" i="30"/>
  <c r="V32" i="30" s="1"/>
  <c r="U13" i="30"/>
  <c r="U32" i="30" s="1"/>
  <c r="AZ625" i="4" l="1"/>
  <c r="AZ626" i="4"/>
  <c r="AW627" i="4"/>
  <c r="AZ627" i="4" s="1"/>
  <c r="AW628" i="4"/>
  <c r="AZ628" i="4" s="1"/>
  <c r="AW629" i="4"/>
  <c r="AZ629" i="4" s="1"/>
  <c r="AW630" i="4"/>
  <c r="AZ630" i="4" s="1"/>
  <c r="AW631" i="4"/>
  <c r="AZ631" i="4" s="1"/>
  <c r="AW632" i="4"/>
  <c r="AZ632" i="4" s="1"/>
  <c r="AW633" i="4"/>
  <c r="AZ633" i="4" s="1"/>
  <c r="AW634" i="4"/>
  <c r="AZ634" i="4" s="1"/>
  <c r="AW635" i="4"/>
  <c r="AZ635" i="4" s="1"/>
  <c r="AW636" i="4"/>
  <c r="AZ636" i="4" s="1"/>
  <c r="BQ625" i="4"/>
  <c r="BQ626" i="4"/>
  <c r="BQ627" i="4"/>
  <c r="BQ628" i="4"/>
  <c r="BQ629" i="4"/>
  <c r="BQ630" i="4"/>
  <c r="BQ631" i="4"/>
  <c r="BQ632" i="4"/>
  <c r="BQ633" i="4"/>
  <c r="BQ634" i="4"/>
  <c r="BQ635" i="4"/>
  <c r="BQ636" i="4"/>
  <c r="CD628" i="4"/>
  <c r="CD629" i="4"/>
  <c r="CD630" i="4"/>
  <c r="CD631" i="4"/>
  <c r="CD632" i="4"/>
  <c r="CD633" i="4"/>
  <c r="CD634" i="4"/>
  <c r="CD635" i="4"/>
  <c r="CD636" i="4"/>
  <c r="CD627" i="4"/>
  <c r="BA71" i="4"/>
  <c r="AZ72" i="4"/>
  <c r="AZ73" i="4"/>
  <c r="AZ74" i="4"/>
  <c r="BA74" i="4"/>
  <c r="AZ75" i="4"/>
  <c r="AZ76" i="4"/>
  <c r="BA77" i="4"/>
  <c r="AZ78" i="4"/>
  <c r="AZ79" i="4"/>
  <c r="BA80" i="4"/>
  <c r="AZ81" i="4"/>
  <c r="BA82" i="4"/>
  <c r="AZ83" i="4"/>
  <c r="BA84" i="4"/>
  <c r="AZ85" i="4"/>
  <c r="BA86" i="4"/>
  <c r="AZ87" i="4"/>
  <c r="BA88" i="4"/>
  <c r="AZ89" i="4"/>
  <c r="BA90" i="4"/>
  <c r="AZ91" i="4"/>
  <c r="AZ92" i="4"/>
  <c r="AZ93" i="4"/>
  <c r="AZ94" i="4"/>
  <c r="BA95" i="4"/>
  <c r="BA96" i="4"/>
  <c r="BA97" i="4"/>
  <c r="BA98" i="4"/>
  <c r="BA99" i="4"/>
  <c r="BA100" i="4"/>
  <c r="AZ101" i="4"/>
  <c r="BA101" i="4"/>
  <c r="BA102" i="4"/>
  <c r="AZ103" i="4"/>
  <c r="BA103" i="4"/>
  <c r="AZ104" i="4"/>
  <c r="BA104" i="4"/>
  <c r="BA105" i="4"/>
  <c r="AZ106" i="4"/>
  <c r="BA106" i="4"/>
  <c r="AZ107" i="4"/>
  <c r="BA107" i="4"/>
  <c r="AZ70" i="4"/>
  <c r="AW71" i="4"/>
  <c r="AZ71" i="4" s="1"/>
  <c r="AW72" i="4"/>
  <c r="BA72" i="4" s="1"/>
  <c r="AW73" i="4"/>
  <c r="BA73" i="4" s="1"/>
  <c r="AW74" i="4"/>
  <c r="AW75" i="4"/>
  <c r="BA75" i="4" s="1"/>
  <c r="AW76" i="4"/>
  <c r="BA76" i="4" s="1"/>
  <c r="AW77" i="4"/>
  <c r="AZ77" i="4" s="1"/>
  <c r="AW78" i="4"/>
  <c r="BA78" i="4" s="1"/>
  <c r="AW79" i="4"/>
  <c r="BA79" i="4" s="1"/>
  <c r="AW80" i="4"/>
  <c r="AZ80" i="4" s="1"/>
  <c r="AW81" i="4"/>
  <c r="BA81" i="4" s="1"/>
  <c r="AW82" i="4"/>
  <c r="AZ82" i="4" s="1"/>
  <c r="AW83" i="4"/>
  <c r="BA83" i="4" s="1"/>
  <c r="AW84" i="4"/>
  <c r="AZ84" i="4" s="1"/>
  <c r="AW85" i="4"/>
  <c r="BA85" i="4" s="1"/>
  <c r="AW86" i="4"/>
  <c r="AZ86" i="4" s="1"/>
  <c r="AW87" i="4"/>
  <c r="BA87" i="4" s="1"/>
  <c r="AW88" i="4"/>
  <c r="AZ88" i="4" s="1"/>
  <c r="AW89" i="4"/>
  <c r="BA89" i="4" s="1"/>
  <c r="AW90" i="4"/>
  <c r="AZ90" i="4" s="1"/>
  <c r="AW91" i="4"/>
  <c r="BA91" i="4" s="1"/>
  <c r="AW92" i="4"/>
  <c r="BA92" i="4" s="1"/>
  <c r="AW93" i="4"/>
  <c r="BA93" i="4" s="1"/>
  <c r="AW94" i="4"/>
  <c r="BA94" i="4" s="1"/>
  <c r="AW95" i="4"/>
  <c r="AZ95" i="4" s="1"/>
  <c r="AW96" i="4"/>
  <c r="AZ96" i="4" s="1"/>
  <c r="AW97" i="4"/>
  <c r="AZ97" i="4" s="1"/>
  <c r="AW98" i="4"/>
  <c r="AZ98" i="4" s="1"/>
  <c r="AW99" i="4"/>
  <c r="AZ99" i="4" s="1"/>
  <c r="AW100" i="4"/>
  <c r="AZ100" i="4" s="1"/>
  <c r="AW102" i="4"/>
  <c r="AZ102" i="4" s="1"/>
  <c r="AW105" i="4"/>
  <c r="AZ105" i="4" s="1"/>
  <c r="AW70" i="4"/>
  <c r="BA70" i="4" s="1"/>
  <c r="BJ71" i="4"/>
  <c r="BQ71" i="4"/>
  <c r="BT71" i="4"/>
  <c r="BJ72" i="4"/>
  <c r="BQ72" i="4"/>
  <c r="BT72" i="4"/>
  <c r="BJ73" i="4"/>
  <c r="BQ73" i="4"/>
  <c r="BT73" i="4"/>
  <c r="BJ74" i="4"/>
  <c r="BQ74" i="4"/>
  <c r="BT74" i="4"/>
  <c r="BJ75" i="4"/>
  <c r="BQ75" i="4"/>
  <c r="BT75" i="4"/>
  <c r="BJ76" i="4"/>
  <c r="BQ76" i="4"/>
  <c r="BT76" i="4"/>
  <c r="BJ77" i="4"/>
  <c r="BQ77" i="4"/>
  <c r="BT77" i="4"/>
  <c r="BJ78" i="4"/>
  <c r="BQ78" i="4"/>
  <c r="BT78" i="4"/>
  <c r="BJ79" i="4"/>
  <c r="BQ79" i="4"/>
  <c r="BT79" i="4"/>
  <c r="BJ80" i="4"/>
  <c r="BQ80" i="4"/>
  <c r="BT80" i="4"/>
  <c r="BJ81" i="4"/>
  <c r="BQ81" i="4"/>
  <c r="BT81" i="4"/>
  <c r="BJ82" i="4"/>
  <c r="BQ82" i="4"/>
  <c r="BT82" i="4"/>
  <c r="BJ83" i="4"/>
  <c r="BQ83" i="4"/>
  <c r="BT83" i="4"/>
  <c r="BJ84" i="4"/>
  <c r="BQ84" i="4"/>
  <c r="BT84" i="4"/>
  <c r="BJ85" i="4"/>
  <c r="BQ85" i="4"/>
  <c r="BT85" i="4"/>
  <c r="BJ86" i="4"/>
  <c r="BQ86" i="4"/>
  <c r="BT86" i="4"/>
  <c r="BJ87" i="4"/>
  <c r="BQ87" i="4"/>
  <c r="BT87" i="4"/>
  <c r="BJ88" i="4"/>
  <c r="BQ88" i="4"/>
  <c r="BT88" i="4"/>
  <c r="BJ89" i="4"/>
  <c r="BQ89" i="4"/>
  <c r="BT89" i="4"/>
  <c r="BJ90" i="4"/>
  <c r="BQ90" i="4"/>
  <c r="BT90" i="4"/>
  <c r="BJ91" i="4"/>
  <c r="BQ91" i="4"/>
  <c r="BT91" i="4"/>
  <c r="BJ92" i="4"/>
  <c r="BQ92" i="4"/>
  <c r="BT92" i="4"/>
  <c r="BJ93" i="4"/>
  <c r="BQ93" i="4"/>
  <c r="BT93" i="4"/>
  <c r="BJ94" i="4"/>
  <c r="BQ94" i="4"/>
  <c r="BT94" i="4"/>
  <c r="BJ95" i="4"/>
  <c r="BQ95" i="4"/>
  <c r="BT95" i="4"/>
  <c r="BJ96" i="4"/>
  <c r="BQ96" i="4"/>
  <c r="BT96" i="4"/>
  <c r="BJ97" i="4"/>
  <c r="BQ97" i="4"/>
  <c r="BT97" i="4"/>
  <c r="BJ98" i="4"/>
  <c r="BQ98" i="4"/>
  <c r="BJ99" i="4"/>
  <c r="BQ99" i="4"/>
  <c r="BT99" i="4"/>
  <c r="BJ100" i="4"/>
  <c r="BQ100" i="4"/>
  <c r="BT100" i="4"/>
  <c r="BJ101" i="4"/>
  <c r="BQ101" i="4"/>
  <c r="BT101" i="4"/>
  <c r="BJ102" i="4"/>
  <c r="BQ102" i="4"/>
  <c r="BT102" i="4"/>
  <c r="BJ103" i="4"/>
  <c r="BQ103" i="4"/>
  <c r="BT103" i="4"/>
  <c r="BJ104" i="4"/>
  <c r="BQ104" i="4"/>
  <c r="BT104" i="4"/>
  <c r="BJ105" i="4"/>
  <c r="BQ105" i="4"/>
  <c r="BT105" i="4"/>
  <c r="BJ106" i="4"/>
  <c r="BQ106" i="4"/>
  <c r="BT106" i="4"/>
  <c r="BJ107" i="4"/>
  <c r="BQ107" i="4"/>
  <c r="BT107" i="4"/>
  <c r="BJ70" i="4"/>
  <c r="BT70" i="4"/>
  <c r="BQ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70" i="4"/>
  <c r="CB108" i="4"/>
  <c r="P71" i="4" l="1"/>
  <c r="P70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CD575" i="4" l="1"/>
  <c r="CD576" i="4"/>
  <c r="CD577" i="4"/>
  <c r="CD578" i="4"/>
  <c r="CD579" i="4"/>
  <c r="CD580" i="4"/>
  <c r="CD581" i="4"/>
  <c r="CD582" i="4"/>
  <c r="CD583" i="4"/>
  <c r="CD584" i="4"/>
  <c r="CD585" i="4"/>
  <c r="CD586" i="4"/>
  <c r="CD587" i="4"/>
  <c r="CD588" i="4"/>
  <c r="CD589" i="4"/>
  <c r="CD590" i="4"/>
  <c r="CD591" i="4"/>
  <c r="CD592" i="4"/>
  <c r="CD593" i="4"/>
  <c r="CD594" i="4"/>
  <c r="CD595" i="4"/>
  <c r="CD596" i="4"/>
  <c r="CD574" i="4"/>
  <c r="CL575" i="4"/>
  <c r="CL576" i="4"/>
  <c r="CL577" i="4"/>
  <c r="CL578" i="4"/>
  <c r="CL579" i="4"/>
  <c r="CL580" i="4"/>
  <c r="CL581" i="4"/>
  <c r="CL582" i="4"/>
  <c r="CL583" i="4"/>
  <c r="CL584" i="4"/>
  <c r="CL585" i="4"/>
  <c r="CL586" i="4"/>
  <c r="CL587" i="4"/>
  <c r="CL588" i="4"/>
  <c r="CL589" i="4"/>
  <c r="CL590" i="4"/>
  <c r="CL591" i="4"/>
  <c r="CL592" i="4"/>
  <c r="CL593" i="4"/>
  <c r="CL594" i="4"/>
  <c r="CL595" i="4"/>
  <c r="CL596" i="4"/>
  <c r="CL574" i="4"/>
  <c r="CD430" i="4"/>
  <c r="BJ430" i="4" s="1"/>
  <c r="CD431" i="4"/>
  <c r="BJ431" i="4" s="1"/>
  <c r="CD432" i="4"/>
  <c r="BJ432" i="4" s="1"/>
  <c r="CD433" i="4"/>
  <c r="BJ433" i="4" s="1"/>
  <c r="CD434" i="4"/>
  <c r="BJ434" i="4" s="1"/>
  <c r="CD435" i="4"/>
  <c r="BJ435" i="4" s="1"/>
  <c r="CD436" i="4"/>
  <c r="BJ436" i="4" s="1"/>
  <c r="CD437" i="4"/>
  <c r="BJ437" i="4" s="1"/>
  <c r="CD438" i="4"/>
  <c r="BJ438" i="4" s="1"/>
  <c r="CD439" i="4"/>
  <c r="BJ439" i="4" s="1"/>
  <c r="CD440" i="4"/>
  <c r="BJ440" i="4" s="1"/>
  <c r="CD441" i="4"/>
  <c r="BJ441" i="4" s="1"/>
  <c r="CD442" i="4"/>
  <c r="BJ442" i="4" s="1"/>
  <c r="CD443" i="4"/>
  <c r="BJ443" i="4" s="1"/>
  <c r="CD444" i="4"/>
  <c r="BJ444" i="4" s="1"/>
  <c r="CD445" i="4"/>
  <c r="BJ445" i="4" s="1"/>
  <c r="CD446" i="4"/>
  <c r="BJ446" i="4" s="1"/>
  <c r="CD447" i="4"/>
  <c r="BJ447" i="4" s="1"/>
  <c r="CD448" i="4"/>
  <c r="BJ448" i="4" s="1"/>
  <c r="CD449" i="4"/>
  <c r="BJ449" i="4" s="1"/>
  <c r="CD450" i="4"/>
  <c r="BJ450" i="4" s="1"/>
  <c r="CD451" i="4"/>
  <c r="BJ451" i="4" s="1"/>
  <c r="CD452" i="4"/>
  <c r="BJ452" i="4" s="1"/>
  <c r="CD453" i="4"/>
  <c r="BJ453" i="4" s="1"/>
  <c r="CD454" i="4"/>
  <c r="BJ454" i="4" s="1"/>
  <c r="CD455" i="4"/>
  <c r="BJ455" i="4" s="1"/>
  <c r="CD456" i="4"/>
  <c r="BJ456" i="4" s="1"/>
  <c r="CD457" i="4"/>
  <c r="BJ457" i="4" s="1"/>
  <c r="CD458" i="4"/>
  <c r="BJ458" i="4" s="1"/>
  <c r="CD459" i="4"/>
  <c r="BJ459" i="4" s="1"/>
  <c r="CD460" i="4"/>
  <c r="BJ460" i="4" s="1"/>
  <c r="CD461" i="4"/>
  <c r="BJ461" i="4" s="1"/>
  <c r="CD462" i="4"/>
  <c r="BJ462" i="4" s="1"/>
  <c r="CD463" i="4"/>
  <c r="BJ463" i="4" s="1"/>
  <c r="CD464" i="4"/>
  <c r="BJ464" i="4" s="1"/>
  <c r="CD465" i="4"/>
  <c r="BJ465" i="4" s="1"/>
  <c r="CD466" i="4"/>
  <c r="BJ466" i="4" s="1"/>
  <c r="CD467" i="4"/>
  <c r="BJ467" i="4" s="1"/>
  <c r="CD468" i="4"/>
  <c r="BJ468" i="4" s="1"/>
  <c r="CD469" i="4"/>
  <c r="BJ469" i="4" s="1"/>
  <c r="CD470" i="4"/>
  <c r="BJ470" i="4" s="1"/>
  <c r="CD471" i="4"/>
  <c r="BJ471" i="4" s="1"/>
  <c r="CD472" i="4"/>
  <c r="BJ472" i="4" s="1"/>
  <c r="CD473" i="4"/>
  <c r="BJ473" i="4" s="1"/>
  <c r="CD474" i="4"/>
  <c r="BJ474" i="4" s="1"/>
  <c r="CD475" i="4"/>
  <c r="BJ475" i="4" s="1"/>
  <c r="CD476" i="4"/>
  <c r="BJ476" i="4" s="1"/>
  <c r="CD477" i="4"/>
  <c r="BJ477" i="4" s="1"/>
  <c r="CD478" i="4"/>
  <c r="BJ478" i="4" s="1"/>
  <c r="DA698" i="4"/>
  <c r="DA694" i="4"/>
  <c r="DA688" i="4"/>
  <c r="DA681" i="4"/>
  <c r="DA675" i="4"/>
  <c r="DA669" i="4"/>
  <c r="DA660" i="4"/>
  <c r="DA655" i="4"/>
  <c r="DA650" i="4"/>
  <c r="DA638" i="4"/>
  <c r="DA572" i="4"/>
  <c r="DA554" i="4"/>
  <c r="DA507" i="4"/>
  <c r="DA479" i="4"/>
  <c r="DA356" i="4"/>
  <c r="DA329" i="4"/>
  <c r="DA256" i="4"/>
  <c r="DA108" i="4"/>
  <c r="DA68" i="4"/>
  <c r="AW478" i="4"/>
  <c r="I478" i="4"/>
  <c r="DA700" i="4" l="1"/>
  <c r="CD597" i="4" l="1"/>
  <c r="CD598" i="4"/>
  <c r="CD599" i="4"/>
  <c r="CD600" i="4"/>
  <c r="CD601" i="4"/>
  <c r="CD602" i="4"/>
  <c r="CD603" i="4"/>
  <c r="CD604" i="4"/>
  <c r="CD605" i="4"/>
  <c r="CD606" i="4"/>
  <c r="CD607" i="4"/>
  <c r="CD608" i="4"/>
  <c r="CD609" i="4"/>
  <c r="CD610" i="4"/>
  <c r="CD611" i="4"/>
  <c r="CD612" i="4"/>
  <c r="CD613" i="4"/>
  <c r="CD614" i="4"/>
  <c r="CD615" i="4"/>
  <c r="CD616" i="4"/>
  <c r="CD617" i="4"/>
  <c r="CD618" i="4"/>
  <c r="CD619" i="4"/>
  <c r="CD620" i="4"/>
  <c r="CD621" i="4"/>
  <c r="CD622" i="4"/>
  <c r="CD623" i="4"/>
  <c r="CD624" i="4"/>
  <c r="BJ598" i="4"/>
  <c r="BJ599" i="4"/>
  <c r="BJ600" i="4"/>
  <c r="BJ601" i="4"/>
  <c r="BJ602" i="4"/>
  <c r="BJ603" i="4"/>
  <c r="BJ604" i="4"/>
  <c r="BJ605" i="4"/>
  <c r="BJ606" i="4"/>
  <c r="BJ607" i="4"/>
  <c r="BJ608" i="4"/>
  <c r="BJ609" i="4"/>
  <c r="BJ610" i="4"/>
  <c r="BJ611" i="4"/>
  <c r="BJ612" i="4"/>
  <c r="BJ613" i="4"/>
  <c r="BJ614" i="4"/>
  <c r="BJ615" i="4"/>
  <c r="BJ616" i="4"/>
  <c r="BJ617" i="4"/>
  <c r="BJ618" i="4"/>
  <c r="BJ619" i="4"/>
  <c r="BJ620" i="4"/>
  <c r="BJ621" i="4"/>
  <c r="BJ622" i="4"/>
  <c r="BJ623" i="4"/>
  <c r="BJ624" i="4"/>
  <c r="BJ597" i="4"/>
  <c r="AW598" i="4"/>
  <c r="AZ598" i="4" s="1"/>
  <c r="AW599" i="4"/>
  <c r="AZ599" i="4" s="1"/>
  <c r="AW600" i="4"/>
  <c r="AZ600" i="4" s="1"/>
  <c r="AW601" i="4"/>
  <c r="AZ601" i="4" s="1"/>
  <c r="AW602" i="4"/>
  <c r="AZ602" i="4" s="1"/>
  <c r="AW603" i="4"/>
  <c r="AZ603" i="4" s="1"/>
  <c r="AW604" i="4"/>
  <c r="AZ604" i="4" s="1"/>
  <c r="AW605" i="4"/>
  <c r="AZ605" i="4" s="1"/>
  <c r="AW606" i="4"/>
  <c r="AZ606" i="4" s="1"/>
  <c r="AW607" i="4"/>
  <c r="AZ607" i="4" s="1"/>
  <c r="AW608" i="4"/>
  <c r="AZ608" i="4" s="1"/>
  <c r="AW609" i="4"/>
  <c r="AZ609" i="4" s="1"/>
  <c r="AW610" i="4"/>
  <c r="AZ610" i="4" s="1"/>
  <c r="AW611" i="4"/>
  <c r="AZ611" i="4" s="1"/>
  <c r="AW612" i="4"/>
  <c r="AZ612" i="4" s="1"/>
  <c r="AW613" i="4"/>
  <c r="AZ613" i="4" s="1"/>
  <c r="AW614" i="4"/>
  <c r="AZ614" i="4" s="1"/>
  <c r="AW615" i="4"/>
  <c r="AZ615" i="4" s="1"/>
  <c r="AW616" i="4"/>
  <c r="AZ616" i="4" s="1"/>
  <c r="AW617" i="4"/>
  <c r="AZ617" i="4" s="1"/>
  <c r="AW618" i="4"/>
  <c r="AZ618" i="4" s="1"/>
  <c r="AW619" i="4"/>
  <c r="AZ619" i="4" s="1"/>
  <c r="AW620" i="4"/>
  <c r="AZ620" i="4" s="1"/>
  <c r="AW621" i="4"/>
  <c r="AZ621" i="4" s="1"/>
  <c r="AW622" i="4"/>
  <c r="AZ622" i="4" s="1"/>
  <c r="AW623" i="4"/>
  <c r="AZ623" i="4" s="1"/>
  <c r="AW624" i="4"/>
  <c r="AZ624" i="4" s="1"/>
  <c r="AW597" i="4"/>
  <c r="AZ597" i="4" s="1"/>
  <c r="BQ598" i="4"/>
  <c r="BT598" i="4"/>
  <c r="BQ599" i="4"/>
  <c r="BT599" i="4"/>
  <c r="BQ600" i="4"/>
  <c r="BT600" i="4"/>
  <c r="BQ601" i="4"/>
  <c r="BT601" i="4"/>
  <c r="BQ602" i="4"/>
  <c r="BT602" i="4"/>
  <c r="BQ603" i="4"/>
  <c r="BT603" i="4"/>
  <c r="BQ604" i="4"/>
  <c r="BT604" i="4"/>
  <c r="BQ605" i="4"/>
  <c r="BT605" i="4"/>
  <c r="BQ606" i="4"/>
  <c r="BT606" i="4"/>
  <c r="BQ607" i="4"/>
  <c r="BT607" i="4"/>
  <c r="BQ608" i="4"/>
  <c r="BT608" i="4"/>
  <c r="BQ609" i="4"/>
  <c r="BT609" i="4"/>
  <c r="BQ610" i="4"/>
  <c r="BT610" i="4"/>
  <c r="BQ611" i="4"/>
  <c r="BT611" i="4"/>
  <c r="BQ612" i="4"/>
  <c r="BT612" i="4"/>
  <c r="BQ613" i="4"/>
  <c r="BT613" i="4"/>
  <c r="BQ614" i="4"/>
  <c r="BT614" i="4"/>
  <c r="BQ615" i="4"/>
  <c r="BT615" i="4"/>
  <c r="BQ616" i="4"/>
  <c r="BT616" i="4"/>
  <c r="BQ617" i="4"/>
  <c r="BT617" i="4"/>
  <c r="BQ618" i="4"/>
  <c r="BT618" i="4"/>
  <c r="BQ619" i="4"/>
  <c r="BT619" i="4"/>
  <c r="BQ620" i="4"/>
  <c r="BT620" i="4"/>
  <c r="BQ621" i="4"/>
  <c r="BT621" i="4"/>
  <c r="BQ622" i="4"/>
  <c r="BT622" i="4"/>
  <c r="BQ623" i="4"/>
  <c r="BQ624" i="4"/>
  <c r="BQ597" i="4"/>
  <c r="BT597" i="4"/>
  <c r="P624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597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74" i="4"/>
  <c r="AZ431" i="4"/>
  <c r="AZ432" i="4"/>
  <c r="AZ433" i="4"/>
  <c r="AZ434" i="4"/>
  <c r="AZ435" i="4"/>
  <c r="AZ436" i="4"/>
  <c r="AZ437" i="4"/>
  <c r="AZ438" i="4"/>
  <c r="AZ439" i="4"/>
  <c r="AZ440" i="4"/>
  <c r="AZ441" i="4"/>
  <c r="AZ442" i="4"/>
  <c r="AZ443" i="4"/>
  <c r="AZ444" i="4"/>
  <c r="AZ445" i="4"/>
  <c r="AZ446" i="4"/>
  <c r="AZ447" i="4"/>
  <c r="AZ448" i="4"/>
  <c r="AZ449" i="4"/>
  <c r="AZ450" i="4"/>
  <c r="AZ451" i="4"/>
  <c r="AZ452" i="4"/>
  <c r="AZ453" i="4"/>
  <c r="AZ454" i="4"/>
  <c r="AZ455" i="4"/>
  <c r="AZ456" i="4"/>
  <c r="AZ457" i="4"/>
  <c r="AZ458" i="4"/>
  <c r="AZ459" i="4"/>
  <c r="AZ460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30" i="4"/>
  <c r="BT382" i="4"/>
  <c r="BT383" i="4"/>
  <c r="BT384" i="4"/>
  <c r="BT385" i="4"/>
  <c r="BT386" i="4"/>
  <c r="BT387" i="4"/>
  <c r="BT388" i="4"/>
  <c r="BT389" i="4"/>
  <c r="BT390" i="4"/>
  <c r="BT391" i="4"/>
  <c r="BT392" i="4"/>
  <c r="BT393" i="4"/>
  <c r="BT394" i="4"/>
  <c r="BT395" i="4"/>
  <c r="BT396" i="4"/>
  <c r="BT381" i="4"/>
  <c r="BT380" i="4"/>
  <c r="BT379" i="4"/>
  <c r="BT378" i="4"/>
  <c r="BT377" i="4"/>
  <c r="BT376" i="4"/>
  <c r="BT375" i="4"/>
  <c r="BT374" i="4"/>
  <c r="BT373" i="4"/>
  <c r="BT372" i="4"/>
  <c r="BT371" i="4"/>
  <c r="BT370" i="4"/>
  <c r="BT369" i="4"/>
  <c r="BT368" i="4"/>
  <c r="BT367" i="4"/>
  <c r="BT366" i="4"/>
  <c r="BT365" i="4"/>
  <c r="BT364" i="4"/>
  <c r="BT363" i="4"/>
  <c r="BT362" i="4"/>
  <c r="BT361" i="4"/>
  <c r="BT360" i="4"/>
  <c r="BT359" i="4"/>
  <c r="BT358" i="4"/>
  <c r="BT409" i="4"/>
  <c r="BT410" i="4"/>
  <c r="BT411" i="4"/>
  <c r="BT412" i="4"/>
  <c r="BT413" i="4"/>
  <c r="BT414" i="4"/>
  <c r="BT415" i="4"/>
  <c r="BT416" i="4"/>
  <c r="BT417" i="4"/>
  <c r="BT418" i="4"/>
  <c r="BT419" i="4"/>
  <c r="BT420" i="4"/>
  <c r="BT421" i="4"/>
  <c r="BT422" i="4"/>
  <c r="BT423" i="4"/>
  <c r="BT424" i="4"/>
  <c r="BT425" i="4"/>
  <c r="BT426" i="4"/>
  <c r="BT427" i="4"/>
  <c r="BT428" i="4"/>
  <c r="BT408" i="4"/>
  <c r="BJ409" i="4"/>
  <c r="BJ410" i="4"/>
  <c r="BJ411" i="4"/>
  <c r="BJ412" i="4"/>
  <c r="BJ413" i="4"/>
  <c r="BJ414" i="4"/>
  <c r="BJ415" i="4"/>
  <c r="BJ416" i="4"/>
  <c r="BJ417" i="4"/>
  <c r="BJ418" i="4"/>
  <c r="BJ419" i="4"/>
  <c r="BJ420" i="4"/>
  <c r="BJ421" i="4"/>
  <c r="BJ422" i="4"/>
  <c r="BJ423" i="4"/>
  <c r="BJ424" i="4"/>
  <c r="BJ425" i="4"/>
  <c r="BJ426" i="4"/>
  <c r="BJ427" i="4"/>
  <c r="BJ428" i="4"/>
  <c r="BJ408" i="4"/>
  <c r="AZ409" i="4"/>
  <c r="AZ410" i="4"/>
  <c r="AZ411" i="4"/>
  <c r="AZ412" i="4"/>
  <c r="AZ413" i="4"/>
  <c r="AZ414" i="4"/>
  <c r="AZ415" i="4"/>
  <c r="AZ416" i="4"/>
  <c r="AZ417" i="4"/>
  <c r="AZ418" i="4"/>
  <c r="AZ419" i="4"/>
  <c r="AZ420" i="4"/>
  <c r="AZ421" i="4"/>
  <c r="AZ422" i="4"/>
  <c r="AZ423" i="4"/>
  <c r="AZ424" i="4"/>
  <c r="AZ425" i="4"/>
  <c r="AZ426" i="4"/>
  <c r="AZ427" i="4"/>
  <c r="AZ428" i="4"/>
  <c r="AZ408" i="4"/>
  <c r="CL406" i="4"/>
  <c r="CL407" i="4"/>
  <c r="CL408" i="4"/>
  <c r="CL409" i="4"/>
  <c r="CL410" i="4"/>
  <c r="CL411" i="4"/>
  <c r="CL412" i="4"/>
  <c r="CL413" i="4"/>
  <c r="CL414" i="4"/>
  <c r="CL415" i="4"/>
  <c r="CL416" i="4"/>
  <c r="CL417" i="4"/>
  <c r="CL418" i="4"/>
  <c r="CL419" i="4"/>
  <c r="CL420" i="4"/>
  <c r="CL421" i="4"/>
  <c r="CL422" i="4"/>
  <c r="CL423" i="4"/>
  <c r="CL424" i="4"/>
  <c r="CL425" i="4"/>
  <c r="CL426" i="4"/>
  <c r="CL427" i="4"/>
  <c r="CL428" i="4"/>
  <c r="CL429" i="4"/>
  <c r="CL430" i="4"/>
  <c r="CL431" i="4"/>
  <c r="CL432" i="4"/>
  <c r="CL433" i="4"/>
  <c r="CL434" i="4"/>
  <c r="CL435" i="4"/>
  <c r="CL436" i="4"/>
  <c r="CL437" i="4"/>
  <c r="CL438" i="4"/>
  <c r="CL439" i="4"/>
  <c r="CL440" i="4"/>
  <c r="CL441" i="4"/>
  <c r="CL442" i="4"/>
  <c r="CL443" i="4"/>
  <c r="CL444" i="4"/>
  <c r="CL445" i="4"/>
  <c r="CL446" i="4"/>
  <c r="CL447" i="4"/>
  <c r="CL448" i="4"/>
  <c r="CL449" i="4"/>
  <c r="CL450" i="4"/>
  <c r="CL451" i="4"/>
  <c r="CL452" i="4"/>
  <c r="CL453" i="4"/>
  <c r="CL454" i="4"/>
  <c r="CL455" i="4"/>
  <c r="CL456" i="4"/>
  <c r="CL457" i="4"/>
  <c r="CL458" i="4"/>
  <c r="CL459" i="4"/>
  <c r="CL460" i="4"/>
  <c r="CL461" i="4"/>
  <c r="CL462" i="4"/>
  <c r="CL463" i="4"/>
  <c r="CL464" i="4"/>
  <c r="CL465" i="4"/>
  <c r="CL466" i="4"/>
  <c r="CL467" i="4"/>
  <c r="CL468" i="4"/>
  <c r="CL469" i="4"/>
  <c r="CL470" i="4"/>
  <c r="CL471" i="4"/>
  <c r="CL472" i="4"/>
  <c r="CL473" i="4"/>
  <c r="CL474" i="4"/>
  <c r="CL475" i="4"/>
  <c r="CL476" i="4"/>
  <c r="CL477" i="4"/>
  <c r="CL400" i="4"/>
  <c r="CL401" i="4"/>
  <c r="CL399" i="4"/>
  <c r="CZ698" i="4"/>
  <c r="CZ694" i="4"/>
  <c r="CZ688" i="4"/>
  <c r="CZ681" i="4"/>
  <c r="CZ675" i="4"/>
  <c r="CZ669" i="4"/>
  <c r="CZ660" i="4"/>
  <c r="CZ655" i="4"/>
  <c r="CZ650" i="4"/>
  <c r="CZ638" i="4"/>
  <c r="CZ572" i="4"/>
  <c r="CZ554" i="4"/>
  <c r="CZ507" i="4"/>
  <c r="CZ479" i="4"/>
  <c r="CZ356" i="4"/>
  <c r="CZ329" i="4"/>
  <c r="CZ256" i="4"/>
  <c r="CZ108" i="4"/>
  <c r="CZ68" i="4"/>
  <c r="BA381" i="4"/>
  <c r="BA359" i="4"/>
  <c r="BA360" i="4"/>
  <c r="BA361" i="4"/>
  <c r="BA362" i="4"/>
  <c r="BA363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58" i="4"/>
  <c r="BJ359" i="4"/>
  <c r="BJ360" i="4"/>
  <c r="BJ361" i="4"/>
  <c r="BJ362" i="4"/>
  <c r="BJ363" i="4"/>
  <c r="BJ364" i="4"/>
  <c r="BJ365" i="4"/>
  <c r="BJ366" i="4"/>
  <c r="BJ367" i="4"/>
  <c r="BJ368" i="4"/>
  <c r="BJ369" i="4"/>
  <c r="BJ370" i="4"/>
  <c r="BJ371" i="4"/>
  <c r="BJ372" i="4"/>
  <c r="BJ373" i="4"/>
  <c r="BJ374" i="4"/>
  <c r="BJ375" i="4"/>
  <c r="BJ376" i="4"/>
  <c r="BJ377" i="4"/>
  <c r="BJ378" i="4"/>
  <c r="BJ379" i="4"/>
  <c r="BJ380" i="4"/>
  <c r="BJ381" i="4"/>
  <c r="BJ382" i="4"/>
  <c r="BJ383" i="4"/>
  <c r="BJ385" i="4"/>
  <c r="BJ386" i="4"/>
  <c r="BJ387" i="4"/>
  <c r="BJ388" i="4"/>
  <c r="BJ389" i="4"/>
  <c r="BJ390" i="4"/>
  <c r="BJ391" i="4"/>
  <c r="BJ392" i="4"/>
  <c r="BJ393" i="4"/>
  <c r="BJ394" i="4"/>
  <c r="BJ395" i="4"/>
  <c r="BJ396" i="4"/>
  <c r="BJ358" i="4"/>
  <c r="CD359" i="4"/>
  <c r="CD360" i="4"/>
  <c r="CD361" i="4"/>
  <c r="CD362" i="4"/>
  <c r="CD363" i="4"/>
  <c r="CD364" i="4"/>
  <c r="CD365" i="4"/>
  <c r="CD366" i="4"/>
  <c r="CD367" i="4"/>
  <c r="CD368" i="4"/>
  <c r="CD369" i="4"/>
  <c r="CD370" i="4"/>
  <c r="CD371" i="4"/>
  <c r="CD372" i="4"/>
  <c r="CD373" i="4"/>
  <c r="CD374" i="4"/>
  <c r="CD375" i="4"/>
  <c r="CD376" i="4"/>
  <c r="CD377" i="4"/>
  <c r="CD378" i="4"/>
  <c r="CD379" i="4"/>
  <c r="CD380" i="4"/>
  <c r="CD381" i="4"/>
  <c r="CD382" i="4"/>
  <c r="CD383" i="4"/>
  <c r="CD384" i="4"/>
  <c r="CD385" i="4"/>
  <c r="CD386" i="4"/>
  <c r="CD387" i="4"/>
  <c r="CD388" i="4"/>
  <c r="CD389" i="4"/>
  <c r="CD390" i="4"/>
  <c r="CD391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D411" i="4"/>
  <c r="CD412" i="4"/>
  <c r="CD413" i="4"/>
  <c r="CD414" i="4"/>
  <c r="CD415" i="4"/>
  <c r="CD416" i="4"/>
  <c r="CD417" i="4"/>
  <c r="CD418" i="4"/>
  <c r="CD419" i="4"/>
  <c r="CD420" i="4"/>
  <c r="CD421" i="4"/>
  <c r="CD422" i="4"/>
  <c r="CD423" i="4"/>
  <c r="CD424" i="4"/>
  <c r="CD425" i="4"/>
  <c r="CD426" i="4"/>
  <c r="CD427" i="4"/>
  <c r="CD428" i="4"/>
  <c r="CD429" i="4"/>
  <c r="CD358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65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50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31" i="4"/>
  <c r="CZ700" i="4" l="1"/>
  <c r="O419" i="4"/>
  <c r="O420" i="4"/>
  <c r="O421" i="4"/>
  <c r="O422" i="4"/>
  <c r="O423" i="4"/>
  <c r="O424" i="4"/>
  <c r="O425" i="4"/>
  <c r="O426" i="4"/>
  <c r="O427" i="4"/>
  <c r="O428" i="4"/>
  <c r="O418" i="4"/>
  <c r="P409" i="4"/>
  <c r="P410" i="4"/>
  <c r="P411" i="4"/>
  <c r="P412" i="4"/>
  <c r="P413" i="4"/>
  <c r="P414" i="4"/>
  <c r="P415" i="4"/>
  <c r="P416" i="4"/>
  <c r="P417" i="4"/>
  <c r="P408" i="4"/>
  <c r="I400" i="4"/>
  <c r="I401" i="4"/>
  <c r="I402" i="4"/>
  <c r="I403" i="4"/>
  <c r="I404" i="4"/>
  <c r="I405" i="4"/>
  <c r="I399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84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58" i="4"/>
  <c r="AZ557" i="4"/>
  <c r="AZ558" i="4"/>
  <c r="AZ559" i="4"/>
  <c r="AZ560" i="4"/>
  <c r="AZ561" i="4"/>
  <c r="AZ562" i="4"/>
  <c r="AZ563" i="4"/>
  <c r="AZ564" i="4"/>
  <c r="AZ565" i="4"/>
  <c r="AZ566" i="4"/>
  <c r="AZ567" i="4"/>
  <c r="AZ568" i="4"/>
  <c r="AZ569" i="4"/>
  <c r="AZ570" i="4"/>
  <c r="AZ571" i="4"/>
  <c r="AZ556" i="4"/>
  <c r="CD557" i="4"/>
  <c r="CD558" i="4"/>
  <c r="CD559" i="4"/>
  <c r="CD560" i="4"/>
  <c r="CD561" i="4"/>
  <c r="CD562" i="4"/>
  <c r="CD563" i="4"/>
  <c r="CD564" i="4"/>
  <c r="CD565" i="4"/>
  <c r="CD566" i="4"/>
  <c r="CD567" i="4"/>
  <c r="CD568" i="4"/>
  <c r="CD569" i="4"/>
  <c r="CD570" i="4"/>
  <c r="CD571" i="4"/>
  <c r="CD556" i="4"/>
  <c r="I703" i="4" l="1"/>
  <c r="AZ259" i="4"/>
  <c r="BA259" i="4"/>
  <c r="AZ260" i="4"/>
  <c r="BA260" i="4"/>
  <c r="AZ261" i="4"/>
  <c r="BA261" i="4"/>
  <c r="AZ262" i="4"/>
  <c r="BA262" i="4"/>
  <c r="AZ263" i="4"/>
  <c r="BA263" i="4"/>
  <c r="AZ264" i="4"/>
  <c r="BA264" i="4"/>
  <c r="AZ265" i="4"/>
  <c r="BA265" i="4"/>
  <c r="AZ266" i="4"/>
  <c r="BA266" i="4"/>
  <c r="AZ267" i="4"/>
  <c r="BA267" i="4"/>
  <c r="AZ268" i="4"/>
  <c r="BA268" i="4"/>
  <c r="AZ269" i="4"/>
  <c r="BA269" i="4"/>
  <c r="AZ270" i="4"/>
  <c r="BA270" i="4"/>
  <c r="AZ271" i="4"/>
  <c r="BA271" i="4"/>
  <c r="AZ272" i="4"/>
  <c r="BA272" i="4"/>
  <c r="AZ273" i="4"/>
  <c r="BA273" i="4"/>
  <c r="AZ274" i="4"/>
  <c r="BA274" i="4"/>
  <c r="AZ275" i="4"/>
  <c r="BA275" i="4"/>
  <c r="AZ276" i="4"/>
  <c r="BA276" i="4"/>
  <c r="AZ277" i="4"/>
  <c r="BA277" i="4"/>
  <c r="AZ278" i="4"/>
  <c r="BA278" i="4"/>
  <c r="AZ279" i="4"/>
  <c r="BA279" i="4"/>
  <c r="AZ280" i="4"/>
  <c r="BA280" i="4"/>
  <c r="AZ281" i="4"/>
  <c r="BA281" i="4"/>
  <c r="AZ282" i="4"/>
  <c r="BA282" i="4"/>
  <c r="AZ283" i="4"/>
  <c r="BA283" i="4"/>
  <c r="AZ284" i="4"/>
  <c r="BA284" i="4"/>
  <c r="AZ285" i="4"/>
  <c r="BA285" i="4"/>
  <c r="AZ286" i="4"/>
  <c r="BA286" i="4"/>
  <c r="AZ287" i="4"/>
  <c r="BA287" i="4"/>
  <c r="AZ288" i="4"/>
  <c r="BA288" i="4"/>
  <c r="AZ289" i="4"/>
  <c r="BA289" i="4"/>
  <c r="AZ290" i="4"/>
  <c r="BA290" i="4"/>
  <c r="AZ291" i="4"/>
  <c r="BA291" i="4"/>
  <c r="AZ292" i="4"/>
  <c r="BA292" i="4"/>
  <c r="AZ293" i="4"/>
  <c r="BA293" i="4"/>
  <c r="AZ294" i="4"/>
  <c r="BA294" i="4"/>
  <c r="AZ295" i="4"/>
  <c r="BA295" i="4"/>
  <c r="AZ296" i="4"/>
  <c r="BA296" i="4"/>
  <c r="AZ297" i="4"/>
  <c r="BA297" i="4"/>
  <c r="AZ298" i="4"/>
  <c r="BA298" i="4"/>
  <c r="AZ299" i="4"/>
  <c r="BA299" i="4"/>
  <c r="AZ300" i="4"/>
  <c r="BA300" i="4"/>
  <c r="AZ301" i="4"/>
  <c r="BA301" i="4"/>
  <c r="AZ302" i="4"/>
  <c r="BA302" i="4"/>
  <c r="AZ303" i="4"/>
  <c r="BA303" i="4"/>
  <c r="AZ304" i="4"/>
  <c r="BA304" i="4"/>
  <c r="AZ305" i="4"/>
  <c r="BA305" i="4"/>
  <c r="AZ306" i="4"/>
  <c r="BA306" i="4"/>
  <c r="AZ307" i="4"/>
  <c r="BA307" i="4"/>
  <c r="AZ308" i="4"/>
  <c r="BA308" i="4"/>
  <c r="AZ309" i="4"/>
  <c r="BA309" i="4"/>
  <c r="AZ310" i="4"/>
  <c r="BA310" i="4"/>
  <c r="AZ311" i="4"/>
  <c r="BA311" i="4"/>
  <c r="AZ312" i="4"/>
  <c r="BA312" i="4"/>
  <c r="AZ313" i="4"/>
  <c r="BA313" i="4"/>
  <c r="AZ314" i="4"/>
  <c r="BA314" i="4"/>
  <c r="AZ315" i="4"/>
  <c r="BA315" i="4"/>
  <c r="AZ316" i="4"/>
  <c r="BA316" i="4"/>
  <c r="AZ317" i="4"/>
  <c r="BA317" i="4"/>
  <c r="AZ318" i="4"/>
  <c r="BA318" i="4"/>
  <c r="AZ319" i="4"/>
  <c r="BA319" i="4"/>
  <c r="AZ320" i="4"/>
  <c r="BA320" i="4"/>
  <c r="AZ321" i="4"/>
  <c r="BA321" i="4"/>
  <c r="AZ322" i="4"/>
  <c r="BA322" i="4"/>
  <c r="AZ323" i="4"/>
  <c r="BA323" i="4"/>
  <c r="AZ324" i="4"/>
  <c r="BA324" i="4"/>
  <c r="AZ325" i="4"/>
  <c r="BA325" i="4"/>
  <c r="AZ326" i="4"/>
  <c r="BA326" i="4"/>
  <c r="AZ327" i="4"/>
  <c r="BA327" i="4"/>
  <c r="AZ328" i="4"/>
  <c r="BA328" i="4"/>
  <c r="BA258" i="4"/>
  <c r="AZ258" i="4"/>
  <c r="BI259" i="4" l="1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J277" i="4"/>
  <c r="BI278" i="4"/>
  <c r="BJ278" i="4"/>
  <c r="BJ279" i="4"/>
  <c r="BJ280" i="4"/>
  <c r="BJ281" i="4"/>
  <c r="BJ282" i="4"/>
  <c r="BJ283" i="4"/>
  <c r="BJ284" i="4"/>
  <c r="BJ285" i="4"/>
  <c r="BI286" i="4"/>
  <c r="BJ286" i="4"/>
  <c r="BI287" i="4"/>
  <c r="BJ287" i="4"/>
  <c r="BJ288" i="4"/>
  <c r="BJ289" i="4"/>
  <c r="BJ290" i="4"/>
  <c r="BJ291" i="4"/>
  <c r="BJ292" i="4"/>
  <c r="BJ293" i="4"/>
  <c r="BJ294" i="4"/>
  <c r="BJ295" i="4"/>
  <c r="BJ296" i="4"/>
  <c r="BJ297" i="4"/>
  <c r="BI298" i="4"/>
  <c r="BJ298" i="4"/>
  <c r="BI299" i="4"/>
  <c r="BJ299" i="4"/>
  <c r="BJ300" i="4"/>
  <c r="BI301" i="4"/>
  <c r="BJ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J328" i="4"/>
  <c r="BI258" i="4"/>
  <c r="CD259" i="4"/>
  <c r="CD260" i="4"/>
  <c r="CD261" i="4"/>
  <c r="CD262" i="4"/>
  <c r="CD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328" i="4"/>
  <c r="CD258" i="4"/>
  <c r="BS259" i="4"/>
  <c r="BS260" i="4"/>
  <c r="BS261" i="4"/>
  <c r="BS262" i="4"/>
  <c r="BS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T277" i="4"/>
  <c r="BS278" i="4"/>
  <c r="BT278" i="4"/>
  <c r="BT279" i="4"/>
  <c r="BT280" i="4"/>
  <c r="BT281" i="4"/>
  <c r="BT282" i="4"/>
  <c r="BT283" i="4"/>
  <c r="BT284" i="4"/>
  <c r="BT285" i="4"/>
  <c r="BS286" i="4"/>
  <c r="BT286" i="4"/>
  <c r="BS287" i="4"/>
  <c r="BT287" i="4"/>
  <c r="BT288" i="4"/>
  <c r="BT289" i="4"/>
  <c r="BT290" i="4"/>
  <c r="BT291" i="4"/>
  <c r="BT292" i="4"/>
  <c r="BT293" i="4"/>
  <c r="BT294" i="4"/>
  <c r="BT295" i="4"/>
  <c r="BT296" i="4"/>
  <c r="BT297" i="4"/>
  <c r="BS298" i="4"/>
  <c r="BT298" i="4"/>
  <c r="BS299" i="4"/>
  <c r="BT299" i="4"/>
  <c r="BT300" i="4"/>
  <c r="BS301" i="4"/>
  <c r="BT301" i="4"/>
  <c r="BS302" i="4"/>
  <c r="BS303" i="4"/>
  <c r="BS304" i="4"/>
  <c r="BS305" i="4"/>
  <c r="BS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T328" i="4"/>
  <c r="BQ259" i="4"/>
  <c r="BQ260" i="4"/>
  <c r="BQ261" i="4"/>
  <c r="BQ262" i="4"/>
  <c r="BQ263" i="4"/>
  <c r="BQ264" i="4"/>
  <c r="BQ265" i="4"/>
  <c r="BQ266" i="4"/>
  <c r="BQ267" i="4"/>
  <c r="BQ268" i="4"/>
  <c r="BQ269" i="4"/>
  <c r="BQ270" i="4"/>
  <c r="BQ271" i="4"/>
  <c r="BQ272" i="4"/>
  <c r="BQ273" i="4"/>
  <c r="BQ274" i="4"/>
  <c r="BQ275" i="4"/>
  <c r="BQ276" i="4"/>
  <c r="BQ277" i="4"/>
  <c r="BQ278" i="4"/>
  <c r="BQ279" i="4"/>
  <c r="BQ280" i="4"/>
  <c r="BQ281" i="4"/>
  <c r="BQ282" i="4"/>
  <c r="BQ283" i="4"/>
  <c r="BQ284" i="4"/>
  <c r="BQ285" i="4"/>
  <c r="BQ286" i="4"/>
  <c r="BQ287" i="4"/>
  <c r="BQ288" i="4"/>
  <c r="BQ289" i="4"/>
  <c r="BQ290" i="4"/>
  <c r="BQ291" i="4"/>
  <c r="BQ292" i="4"/>
  <c r="BQ293" i="4"/>
  <c r="BQ294" i="4"/>
  <c r="BQ295" i="4"/>
  <c r="BQ296" i="4"/>
  <c r="BQ297" i="4"/>
  <c r="BQ298" i="4"/>
  <c r="BQ299" i="4"/>
  <c r="BQ300" i="4"/>
  <c r="BQ301" i="4"/>
  <c r="BQ302" i="4"/>
  <c r="BQ303" i="4"/>
  <c r="BQ304" i="4"/>
  <c r="BQ305" i="4"/>
  <c r="BQ306" i="4"/>
  <c r="BQ307" i="4"/>
  <c r="BQ308" i="4"/>
  <c r="BQ309" i="4"/>
  <c r="BQ310" i="4"/>
  <c r="BQ311" i="4"/>
  <c r="BQ312" i="4"/>
  <c r="BQ313" i="4"/>
  <c r="BQ314" i="4"/>
  <c r="BQ315" i="4"/>
  <c r="BQ316" i="4"/>
  <c r="BQ317" i="4"/>
  <c r="BQ318" i="4"/>
  <c r="BQ319" i="4"/>
  <c r="BQ320" i="4"/>
  <c r="BQ321" i="4"/>
  <c r="BQ322" i="4"/>
  <c r="BQ323" i="4"/>
  <c r="BQ324" i="4"/>
  <c r="BQ325" i="4"/>
  <c r="BQ326" i="4"/>
  <c r="BQ327" i="4"/>
  <c r="BQ328" i="4"/>
  <c r="BS258" i="4"/>
  <c r="BQ258" i="4"/>
  <c r="C272" i="5"/>
  <c r="C255" i="5"/>
  <c r="S284" i="5"/>
  <c r="Q284" i="5"/>
  <c r="O284" i="5"/>
  <c r="N284" i="5"/>
  <c r="R284" i="5"/>
  <c r="P284" i="5"/>
  <c r="S283" i="5"/>
  <c r="Q283" i="5"/>
  <c r="O283" i="5"/>
  <c r="N283" i="5"/>
  <c r="R283" i="5"/>
  <c r="P283" i="5"/>
  <c r="S282" i="5"/>
  <c r="Q282" i="5"/>
  <c r="O282" i="5"/>
  <c r="N282" i="5"/>
  <c r="R282" i="5"/>
  <c r="P282" i="5"/>
  <c r="S281" i="5"/>
  <c r="Q281" i="5"/>
  <c r="O281" i="5"/>
  <c r="N281" i="5"/>
  <c r="R281" i="5"/>
  <c r="P281" i="5"/>
  <c r="G280" i="5"/>
  <c r="G277" i="5" s="1"/>
  <c r="R275" i="5"/>
  <c r="P275" i="5"/>
  <c r="O275" i="5"/>
  <c r="S275" i="5"/>
  <c r="Q275" i="5"/>
  <c r="N275" i="5"/>
  <c r="R274" i="5"/>
  <c r="P274" i="5"/>
  <c r="O274" i="5"/>
  <c r="S274" i="5"/>
  <c r="Q274" i="5"/>
  <c r="N274" i="5"/>
  <c r="R273" i="5"/>
  <c r="P273" i="5"/>
  <c r="O273" i="5"/>
  <c r="S273" i="5"/>
  <c r="Q273" i="5"/>
  <c r="N273" i="5"/>
  <c r="R272" i="5"/>
  <c r="P272" i="5"/>
  <c r="O272" i="5"/>
  <c r="S272" i="5"/>
  <c r="Q272" i="5"/>
  <c r="N272" i="5"/>
  <c r="G271" i="5"/>
  <c r="G270" i="5"/>
  <c r="G269" i="5"/>
  <c r="P269" i="5" s="1"/>
  <c r="AD268" i="5"/>
  <c r="AD267" i="5"/>
  <c r="AB267" i="5"/>
  <c r="AA267" i="5"/>
  <c r="Z267" i="5"/>
  <c r="Y267" i="5"/>
  <c r="X267" i="5"/>
  <c r="W267" i="5"/>
  <c r="S266" i="5"/>
  <c r="Q266" i="5"/>
  <c r="O266" i="5"/>
  <c r="N266" i="5"/>
  <c r="R266" i="5"/>
  <c r="P266" i="5"/>
  <c r="S265" i="5"/>
  <c r="Q265" i="5"/>
  <c r="O265" i="5"/>
  <c r="N265" i="5"/>
  <c r="R265" i="5"/>
  <c r="P265" i="5"/>
  <c r="S264" i="5"/>
  <c r="Q264" i="5"/>
  <c r="O264" i="5"/>
  <c r="N264" i="5"/>
  <c r="R264" i="5"/>
  <c r="P264" i="5"/>
  <c r="G263" i="5"/>
  <c r="P263" i="5" s="1"/>
  <c r="R258" i="5"/>
  <c r="P258" i="5"/>
  <c r="O258" i="5"/>
  <c r="S258" i="5"/>
  <c r="Q258" i="5"/>
  <c r="N258" i="5"/>
  <c r="R257" i="5"/>
  <c r="P257" i="5"/>
  <c r="O257" i="5"/>
  <c r="S257" i="5"/>
  <c r="Q257" i="5"/>
  <c r="N257" i="5"/>
  <c r="S256" i="5"/>
  <c r="R256" i="5"/>
  <c r="P256" i="5"/>
  <c r="O256" i="5"/>
  <c r="N256" i="5"/>
  <c r="Q256" i="5"/>
  <c r="R255" i="5"/>
  <c r="P255" i="5"/>
  <c r="O255" i="5"/>
  <c r="S255" i="5"/>
  <c r="Q255" i="5"/>
  <c r="N255" i="5"/>
  <c r="G254" i="5"/>
  <c r="S254" i="5" s="1"/>
  <c r="G253" i="5"/>
  <c r="G252" i="5"/>
  <c r="AD251" i="5"/>
  <c r="AK251" i="5" s="1"/>
  <c r="AD250" i="5"/>
  <c r="AB250" i="5"/>
  <c r="AA250" i="5"/>
  <c r="Z250" i="5"/>
  <c r="X250" i="5"/>
  <c r="W250" i="5"/>
  <c r="S249" i="5"/>
  <c r="Q249" i="5"/>
  <c r="O249" i="5"/>
  <c r="N249" i="5"/>
  <c r="R249" i="5"/>
  <c r="P249" i="5"/>
  <c r="S248" i="5"/>
  <c r="Q248" i="5"/>
  <c r="O248" i="5"/>
  <c r="N248" i="5"/>
  <c r="R248" i="5"/>
  <c r="P248" i="5"/>
  <c r="S247" i="5"/>
  <c r="Q247" i="5"/>
  <c r="O247" i="5"/>
  <c r="N247" i="5"/>
  <c r="R247" i="5"/>
  <c r="P247" i="5"/>
  <c r="S246" i="5"/>
  <c r="Q246" i="5"/>
  <c r="O246" i="5"/>
  <c r="N246" i="5"/>
  <c r="R246" i="5"/>
  <c r="P246" i="5"/>
  <c r="G245" i="5"/>
  <c r="G241" i="5" s="1"/>
  <c r="G240" i="5"/>
  <c r="S240" i="5" s="1"/>
  <c r="G239" i="5"/>
  <c r="G238" i="5"/>
  <c r="Q238" i="5" s="1"/>
  <c r="AD237" i="5"/>
  <c r="AI237" i="5" s="1"/>
  <c r="AD236" i="5"/>
  <c r="AB236" i="5"/>
  <c r="AA236" i="5"/>
  <c r="Z236" i="5"/>
  <c r="Y236" i="5"/>
  <c r="X236" i="5"/>
  <c r="W236" i="5"/>
  <c r="V236" i="5"/>
  <c r="G232" i="5"/>
  <c r="G231" i="5" s="1"/>
  <c r="G227" i="5"/>
  <c r="G226" i="5"/>
  <c r="G225" i="5"/>
  <c r="S235" i="5"/>
  <c r="Q235" i="5"/>
  <c r="O235" i="5"/>
  <c r="N235" i="5"/>
  <c r="F235" i="5"/>
  <c r="E235" i="5"/>
  <c r="D235" i="5"/>
  <c r="S234" i="5"/>
  <c r="Q234" i="5"/>
  <c r="O234" i="5"/>
  <c r="N234" i="5"/>
  <c r="F234" i="5"/>
  <c r="E234" i="5"/>
  <c r="D234" i="5"/>
  <c r="S233" i="5"/>
  <c r="Q233" i="5"/>
  <c r="O233" i="5"/>
  <c r="N233" i="5"/>
  <c r="F233" i="5"/>
  <c r="E233" i="5"/>
  <c r="D233" i="5"/>
  <c r="H232" i="5"/>
  <c r="F232" i="5"/>
  <c r="E232" i="5"/>
  <c r="D232" i="5"/>
  <c r="H231" i="5"/>
  <c r="F231" i="5"/>
  <c r="E231" i="5"/>
  <c r="D231" i="5"/>
  <c r="H230" i="5"/>
  <c r="F230" i="5"/>
  <c r="E230" i="5"/>
  <c r="D230" i="5"/>
  <c r="H229" i="5"/>
  <c r="F229" i="5"/>
  <c r="E229" i="5"/>
  <c r="D229" i="5"/>
  <c r="H228" i="5"/>
  <c r="F228" i="5"/>
  <c r="E228" i="5"/>
  <c r="D228" i="5"/>
  <c r="S252" i="5" l="1"/>
  <c r="O252" i="5"/>
  <c r="Q253" i="5"/>
  <c r="O253" i="5"/>
  <c r="AI267" i="5"/>
  <c r="AH250" i="5"/>
  <c r="G259" i="5"/>
  <c r="R259" i="5" s="1"/>
  <c r="G261" i="5"/>
  <c r="R261" i="5" s="1"/>
  <c r="G228" i="5"/>
  <c r="G262" i="5"/>
  <c r="S262" i="5" s="1"/>
  <c r="G229" i="5"/>
  <c r="G278" i="5"/>
  <c r="R278" i="5" s="1"/>
  <c r="G243" i="5"/>
  <c r="R243" i="5" s="1"/>
  <c r="G276" i="5"/>
  <c r="R276" i="5" s="1"/>
  <c r="P252" i="5"/>
  <c r="G279" i="5"/>
  <c r="R279" i="5" s="1"/>
  <c r="G230" i="5"/>
  <c r="G244" i="5"/>
  <c r="N244" i="5" s="1"/>
  <c r="AJ267" i="5"/>
  <c r="S238" i="5"/>
  <c r="AI236" i="5"/>
  <c r="AG251" i="5"/>
  <c r="AG250" i="5"/>
  <c r="AL250" i="5"/>
  <c r="AH251" i="5"/>
  <c r="AJ237" i="5"/>
  <c r="R253" i="5"/>
  <c r="AH267" i="5"/>
  <c r="AL267" i="5"/>
  <c r="R239" i="5"/>
  <c r="S263" i="5"/>
  <c r="R271" i="5"/>
  <c r="R270" i="5"/>
  <c r="AH236" i="5"/>
  <c r="U236" i="5"/>
  <c r="AE236" i="5" s="1"/>
  <c r="R241" i="5"/>
  <c r="Q241" i="5"/>
  <c r="AK237" i="5"/>
  <c r="O239" i="5"/>
  <c r="S239" i="5"/>
  <c r="Q240" i="5"/>
  <c r="R245" i="5"/>
  <c r="S271" i="5"/>
  <c r="S280" i="5"/>
  <c r="P280" i="5"/>
  <c r="P239" i="5"/>
  <c r="Q269" i="5"/>
  <c r="O271" i="5"/>
  <c r="AF237" i="5"/>
  <c r="O238" i="5"/>
  <c r="N238" i="5"/>
  <c r="O240" i="5"/>
  <c r="AJ250" i="5"/>
  <c r="Q252" i="5"/>
  <c r="G260" i="5"/>
  <c r="R260" i="5" s="1"/>
  <c r="P271" i="5"/>
  <c r="AG237" i="5"/>
  <c r="R238" i="5"/>
  <c r="P240" i="5"/>
  <c r="AK250" i="5"/>
  <c r="O259" i="5"/>
  <c r="Q263" i="5"/>
  <c r="AG267" i="5"/>
  <c r="AK267" i="5"/>
  <c r="AL236" i="5"/>
  <c r="AF236" i="5"/>
  <c r="AJ236" i="5"/>
  <c r="R240" i="5"/>
  <c r="P241" i="5"/>
  <c r="S241" i="5"/>
  <c r="O241" i="5"/>
  <c r="N241" i="5"/>
  <c r="S245" i="5"/>
  <c r="O245" i="5"/>
  <c r="Q245" i="5"/>
  <c r="G242" i="5"/>
  <c r="P245" i="5"/>
  <c r="N245" i="5"/>
  <c r="AG236" i="5"/>
  <c r="AK236" i="5"/>
  <c r="Q254" i="5"/>
  <c r="P254" i="5"/>
  <c r="AH237" i="5"/>
  <c r="AL237" i="5"/>
  <c r="P238" i="5"/>
  <c r="Q239" i="5"/>
  <c r="N240" i="5"/>
  <c r="AJ251" i="5"/>
  <c r="AF251" i="5"/>
  <c r="AI251" i="5"/>
  <c r="AE251" i="5"/>
  <c r="AL251" i="5"/>
  <c r="P253" i="5"/>
  <c r="S253" i="5"/>
  <c r="N253" i="5"/>
  <c r="O254" i="5"/>
  <c r="N254" i="5"/>
  <c r="Q277" i="5"/>
  <c r="P277" i="5"/>
  <c r="S277" i="5"/>
  <c r="O277" i="5"/>
  <c r="R277" i="5"/>
  <c r="N277" i="5"/>
  <c r="AE237" i="5"/>
  <c r="N239" i="5"/>
  <c r="R254" i="5"/>
  <c r="AK268" i="5"/>
  <c r="AG268" i="5"/>
  <c r="AJ268" i="5"/>
  <c r="AF268" i="5"/>
  <c r="AI268" i="5"/>
  <c r="AE268" i="5"/>
  <c r="AL268" i="5"/>
  <c r="AH268" i="5"/>
  <c r="N252" i="5"/>
  <c r="R252" i="5"/>
  <c r="N263" i="5"/>
  <c r="R263" i="5"/>
  <c r="O263" i="5"/>
  <c r="Q270" i="5"/>
  <c r="P270" i="5"/>
  <c r="S270" i="5"/>
  <c r="O270" i="5"/>
  <c r="N270" i="5"/>
  <c r="N269" i="5"/>
  <c r="R269" i="5"/>
  <c r="Q280" i="5"/>
  <c r="O269" i="5"/>
  <c r="S269" i="5"/>
  <c r="Q271" i="5"/>
  <c r="N280" i="5"/>
  <c r="R280" i="5"/>
  <c r="N271" i="5"/>
  <c r="O280" i="5"/>
  <c r="P231" i="5"/>
  <c r="N231" i="5"/>
  <c r="O231" i="5"/>
  <c r="Q232" i="5"/>
  <c r="N232" i="5"/>
  <c r="R232" i="5"/>
  <c r="O232" i="5"/>
  <c r="Q259" i="5" l="1"/>
  <c r="O261" i="5"/>
  <c r="N276" i="5"/>
  <c r="R228" i="5"/>
  <c r="P229" i="5"/>
  <c r="O279" i="5"/>
  <c r="N261" i="5"/>
  <c r="P279" i="5"/>
  <c r="Q278" i="5"/>
  <c r="N229" i="5"/>
  <c r="S261" i="5"/>
  <c r="Q261" i="5"/>
  <c r="P261" i="5"/>
  <c r="Q243" i="5"/>
  <c r="O228" i="5"/>
  <c r="P228" i="5"/>
  <c r="N228" i="5"/>
  <c r="P259" i="5"/>
  <c r="O229" i="5"/>
  <c r="S259" i="5"/>
  <c r="R229" i="5"/>
  <c r="N259" i="5"/>
  <c r="N278" i="5"/>
  <c r="N279" i="5"/>
  <c r="Q279" i="5"/>
  <c r="P278" i="5"/>
  <c r="O278" i="5"/>
  <c r="S279" i="5"/>
  <c r="S278" i="5"/>
  <c r="Q276" i="5"/>
  <c r="P276" i="5"/>
  <c r="S260" i="5"/>
  <c r="Q262" i="5"/>
  <c r="O262" i="5"/>
  <c r="P244" i="5"/>
  <c r="R262" i="5"/>
  <c r="R250" i="5" s="1"/>
  <c r="O244" i="5"/>
  <c r="O276" i="5"/>
  <c r="S276" i="5"/>
  <c r="P262" i="5"/>
  <c r="O243" i="5"/>
  <c r="N262" i="5"/>
  <c r="P243" i="5"/>
  <c r="N243" i="5"/>
  <c r="S243" i="5"/>
  <c r="Q244" i="5"/>
  <c r="S244" i="5"/>
  <c r="R244" i="5"/>
  <c r="N260" i="5"/>
  <c r="O260" i="5"/>
  <c r="O250" i="5" s="1"/>
  <c r="Q260" i="5"/>
  <c r="G236" i="5"/>
  <c r="C236" i="5" s="1"/>
  <c r="C237" i="5" s="1"/>
  <c r="P260" i="5"/>
  <c r="R267" i="5"/>
  <c r="Q242" i="5"/>
  <c r="S242" i="5"/>
  <c r="N242" i="5"/>
  <c r="R242" i="5"/>
  <c r="O242" i="5"/>
  <c r="P242" i="5"/>
  <c r="R231" i="5"/>
  <c r="R230" i="5"/>
  <c r="P230" i="5"/>
  <c r="O230" i="5"/>
  <c r="N230" i="5"/>
  <c r="N267" i="5" l="1"/>
  <c r="Q250" i="5"/>
  <c r="P267" i="5"/>
  <c r="O267" i="5"/>
  <c r="Q267" i="5"/>
  <c r="S250" i="5"/>
  <c r="S267" i="5"/>
  <c r="P236" i="5"/>
  <c r="S236" i="5"/>
  <c r="N236" i="5"/>
  <c r="N250" i="5"/>
  <c r="Q236" i="5"/>
  <c r="P250" i="5"/>
  <c r="O236" i="5"/>
  <c r="R236" i="5"/>
  <c r="C238" i="5"/>
  <c r="C246" i="5"/>
  <c r="C241" i="5"/>
  <c r="C247" i="5"/>
  <c r="C242" i="5"/>
  <c r="C248" i="5"/>
  <c r="C243" i="5"/>
  <c r="C245" i="5"/>
  <c r="C240" i="5"/>
  <c r="C249" i="5"/>
  <c r="C244" i="5"/>
  <c r="C239" i="5"/>
  <c r="G208" i="5"/>
  <c r="G206" i="5" s="1"/>
  <c r="G191" i="5"/>
  <c r="G189" i="5" s="1"/>
  <c r="G182" i="5"/>
  <c r="G181" i="5"/>
  <c r="G180" i="5"/>
  <c r="G173" i="5"/>
  <c r="G171" i="5" s="1"/>
  <c r="G168" i="5"/>
  <c r="G167" i="5"/>
  <c r="G166" i="5"/>
  <c r="G160" i="5"/>
  <c r="G159" i="5" s="1"/>
  <c r="G147" i="5"/>
  <c r="G145" i="5" s="1"/>
  <c r="G119" i="5"/>
  <c r="G118" i="5" s="1"/>
  <c r="G111" i="5"/>
  <c r="G110" i="5"/>
  <c r="G109" i="5"/>
  <c r="G79" i="5"/>
  <c r="G77" i="5" s="1"/>
  <c r="G70" i="5"/>
  <c r="G69" i="5"/>
  <c r="G68" i="5"/>
  <c r="G62" i="5"/>
  <c r="G61" i="5" s="1"/>
  <c r="G54" i="5"/>
  <c r="G53" i="5"/>
  <c r="G52" i="5"/>
  <c r="G45" i="5"/>
  <c r="G42" i="5" s="1"/>
  <c r="G40" i="5"/>
  <c r="G39" i="5"/>
  <c r="G38" i="5"/>
  <c r="G32" i="5"/>
  <c r="G31" i="5" s="1"/>
  <c r="G27" i="5"/>
  <c r="G26" i="5"/>
  <c r="G25" i="5"/>
  <c r="G146" i="5" l="1"/>
  <c r="G44" i="5"/>
  <c r="G207" i="5"/>
  <c r="G43" i="5"/>
  <c r="G78" i="5"/>
  <c r="G190" i="5"/>
  <c r="G172" i="5"/>
  <c r="G205" i="5"/>
  <c r="G188" i="5"/>
  <c r="G170" i="5"/>
  <c r="G157" i="5"/>
  <c r="G158" i="5"/>
  <c r="G144" i="5"/>
  <c r="O144" i="5" s="1"/>
  <c r="G116" i="5"/>
  <c r="G117" i="5"/>
  <c r="G76" i="5"/>
  <c r="G59" i="5"/>
  <c r="G60" i="5"/>
  <c r="G29" i="5"/>
  <c r="G30" i="5"/>
  <c r="V362" i="15" l="1"/>
  <c r="S362" i="15"/>
  <c r="V361" i="15"/>
  <c r="S361" i="15"/>
  <c r="S358" i="15"/>
  <c r="S357" i="15"/>
  <c r="S356" i="15"/>
  <c r="V345" i="15"/>
  <c r="S342" i="15"/>
  <c r="S341" i="15"/>
  <c r="S340" i="15"/>
  <c r="V329" i="15"/>
  <c r="S327" i="15"/>
  <c r="S326" i="15"/>
  <c r="V316" i="15"/>
  <c r="S316" i="15"/>
  <c r="V315" i="15"/>
  <c r="S315" i="15"/>
  <c r="S313" i="15"/>
  <c r="S312" i="15"/>
  <c r="V303" i="15"/>
  <c r="S303" i="15"/>
  <c r="V302" i="15"/>
  <c r="S302" i="15"/>
  <c r="S300" i="15"/>
  <c r="S299" i="15"/>
  <c r="V290" i="15"/>
  <c r="S290" i="15"/>
  <c r="V289" i="15"/>
  <c r="S289" i="15"/>
  <c r="S287" i="15"/>
  <c r="S286" i="15"/>
  <c r="V275" i="15"/>
  <c r="S275" i="15"/>
  <c r="V274" i="15"/>
  <c r="S274" i="15"/>
  <c r="S271" i="15"/>
  <c r="S270" i="15"/>
  <c r="S269" i="15"/>
  <c r="V258" i="15"/>
  <c r="S255" i="15"/>
  <c r="S254" i="15"/>
  <c r="S253" i="15"/>
  <c r="S252" i="15"/>
  <c r="V34" i="15"/>
  <c r="S34" i="15"/>
  <c r="V33" i="15"/>
  <c r="S33" i="15"/>
  <c r="P302" i="4" l="1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03" i="4"/>
  <c r="O300" i="4"/>
  <c r="O289" i="4"/>
  <c r="O290" i="4"/>
  <c r="O291" i="4"/>
  <c r="O292" i="4"/>
  <c r="O293" i="4"/>
  <c r="O294" i="4"/>
  <c r="O295" i="4"/>
  <c r="O296" i="4"/>
  <c r="O297" i="4"/>
  <c r="O288" i="4"/>
  <c r="BS288" i="4" s="1"/>
  <c r="O280" i="4"/>
  <c r="O281" i="4"/>
  <c r="O282" i="4"/>
  <c r="O283" i="4"/>
  <c r="O284" i="4"/>
  <c r="O285" i="4"/>
  <c r="O279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58" i="4"/>
  <c r="BJ266" i="4" l="1"/>
  <c r="BT266" i="4"/>
  <c r="BI282" i="4"/>
  <c r="BS282" i="4"/>
  <c r="BS289" i="4"/>
  <c r="BI289" i="4"/>
  <c r="BT326" i="4"/>
  <c r="BJ326" i="4"/>
  <c r="BT318" i="4"/>
  <c r="BJ318" i="4"/>
  <c r="BT310" i="4"/>
  <c r="BJ310" i="4"/>
  <c r="BJ269" i="4"/>
  <c r="BT269" i="4"/>
  <c r="BI285" i="4"/>
  <c r="BS285" i="4"/>
  <c r="BI292" i="4"/>
  <c r="BS292" i="4"/>
  <c r="BI300" i="4"/>
  <c r="BS300" i="4"/>
  <c r="BJ325" i="4"/>
  <c r="BT325" i="4"/>
  <c r="BJ321" i="4"/>
  <c r="BT321" i="4"/>
  <c r="BJ317" i="4"/>
  <c r="BT317" i="4"/>
  <c r="BJ313" i="4"/>
  <c r="BT313" i="4"/>
  <c r="BJ309" i="4"/>
  <c r="BT309" i="4"/>
  <c r="BJ305" i="4"/>
  <c r="BT305" i="4"/>
  <c r="BJ270" i="4"/>
  <c r="BT270" i="4"/>
  <c r="BJ262" i="4"/>
  <c r="BT262" i="4"/>
  <c r="BS297" i="4"/>
  <c r="BI297" i="4"/>
  <c r="BT322" i="4"/>
  <c r="BJ322" i="4"/>
  <c r="BJ306" i="4"/>
  <c r="BT306" i="4"/>
  <c r="BJ273" i="4"/>
  <c r="BT273" i="4"/>
  <c r="BJ261" i="4"/>
  <c r="BT261" i="4"/>
  <c r="BI296" i="4"/>
  <c r="BS296" i="4"/>
  <c r="BJ276" i="4"/>
  <c r="BT276" i="4"/>
  <c r="BJ272" i="4"/>
  <c r="BT272" i="4"/>
  <c r="BJ268" i="4"/>
  <c r="BT268" i="4"/>
  <c r="BJ264" i="4"/>
  <c r="BT264" i="4"/>
  <c r="BJ260" i="4"/>
  <c r="BT260" i="4"/>
  <c r="BI284" i="4"/>
  <c r="BS284" i="4"/>
  <c r="BI280" i="4"/>
  <c r="BS280" i="4"/>
  <c r="BS295" i="4"/>
  <c r="BI295" i="4"/>
  <c r="BS291" i="4"/>
  <c r="BI291" i="4"/>
  <c r="BJ303" i="4"/>
  <c r="BT303" i="4"/>
  <c r="BJ324" i="4"/>
  <c r="BT324" i="4"/>
  <c r="BJ320" i="4"/>
  <c r="BT320" i="4"/>
  <c r="BJ316" i="4"/>
  <c r="BT316" i="4"/>
  <c r="BJ312" i="4"/>
  <c r="BT312" i="4"/>
  <c r="BJ308" i="4"/>
  <c r="BT308" i="4"/>
  <c r="BT304" i="4"/>
  <c r="BJ304" i="4"/>
  <c r="BJ274" i="4"/>
  <c r="BT274" i="4"/>
  <c r="BI279" i="4"/>
  <c r="BS279" i="4"/>
  <c r="BS293" i="4"/>
  <c r="BI293" i="4"/>
  <c r="BT314" i="4"/>
  <c r="BJ314" i="4"/>
  <c r="BJ258" i="4"/>
  <c r="BT258" i="4"/>
  <c r="BJ265" i="4"/>
  <c r="BT265" i="4"/>
  <c r="BI281" i="4"/>
  <c r="BS281" i="4"/>
  <c r="BJ275" i="4"/>
  <c r="BT275" i="4"/>
  <c r="BJ271" i="4"/>
  <c r="BT271" i="4"/>
  <c r="BJ267" i="4"/>
  <c r="BT267" i="4"/>
  <c r="BJ263" i="4"/>
  <c r="BT263" i="4"/>
  <c r="BJ259" i="4"/>
  <c r="BT259" i="4"/>
  <c r="BI283" i="4"/>
  <c r="BS283" i="4"/>
  <c r="BI294" i="4"/>
  <c r="BS294" i="4"/>
  <c r="BI290" i="4"/>
  <c r="BS290" i="4"/>
  <c r="BJ327" i="4"/>
  <c r="BT327" i="4"/>
  <c r="BJ323" i="4"/>
  <c r="BT323" i="4"/>
  <c r="BJ319" i="4"/>
  <c r="BT319" i="4"/>
  <c r="BJ315" i="4"/>
  <c r="BT315" i="4"/>
  <c r="BJ311" i="4"/>
  <c r="BT311" i="4"/>
  <c r="BJ307" i="4"/>
  <c r="BT307" i="4"/>
  <c r="BJ302" i="4"/>
  <c r="BT302" i="4"/>
  <c r="CD340" i="4"/>
  <c r="AZ332" i="4"/>
  <c r="AZ337" i="4"/>
  <c r="AZ338" i="4"/>
  <c r="AZ340" i="4"/>
  <c r="AZ341" i="4"/>
  <c r="AZ342" i="4"/>
  <c r="AZ343" i="4"/>
  <c r="AZ344" i="4"/>
  <c r="AZ345" i="4"/>
  <c r="AZ346" i="4"/>
  <c r="AZ347" i="4"/>
  <c r="AZ348" i="4"/>
  <c r="AZ349" i="4"/>
  <c r="AZ350" i="4"/>
  <c r="AZ351" i="4"/>
  <c r="AZ352" i="4"/>
  <c r="AZ355" i="4"/>
  <c r="AZ331" i="4"/>
  <c r="BS332" i="4"/>
  <c r="BS333" i="4"/>
  <c r="BS334" i="4"/>
  <c r="BS335" i="4"/>
  <c r="BS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5" i="4"/>
  <c r="BS331" i="4"/>
  <c r="BQ340" i="4"/>
  <c r="BQ341" i="4"/>
  <c r="BI340" i="4"/>
  <c r="BI332" i="4"/>
  <c r="BI333" i="4"/>
  <c r="BI334" i="4"/>
  <c r="BI335" i="4"/>
  <c r="BI336" i="4"/>
  <c r="BI337" i="4"/>
  <c r="BI338" i="4"/>
  <c r="BI339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5" i="4"/>
  <c r="BI331" i="4"/>
  <c r="BQ332" i="4"/>
  <c r="BQ333" i="4"/>
  <c r="BQ334" i="4"/>
  <c r="BQ335" i="4"/>
  <c r="BQ336" i="4"/>
  <c r="BQ337" i="4"/>
  <c r="BQ338" i="4"/>
  <c r="BQ339" i="4"/>
  <c r="BQ342" i="4"/>
  <c r="BQ343" i="4"/>
  <c r="BQ344" i="4"/>
  <c r="BQ345" i="4"/>
  <c r="BQ346" i="4"/>
  <c r="BQ347" i="4"/>
  <c r="BQ348" i="4"/>
  <c r="BQ349" i="4"/>
  <c r="BQ350" i="4"/>
  <c r="BQ351" i="4"/>
  <c r="BQ352" i="4"/>
  <c r="BQ355" i="4"/>
  <c r="BQ331" i="4"/>
  <c r="CD332" i="4"/>
  <c r="CD333" i="4"/>
  <c r="CD334" i="4"/>
  <c r="CD335" i="4"/>
  <c r="CD336" i="4"/>
  <c r="CD337" i="4"/>
  <c r="CD338" i="4"/>
  <c r="CD339" i="4"/>
  <c r="CD341" i="4"/>
  <c r="CD342" i="4"/>
  <c r="CD343" i="4"/>
  <c r="CD344" i="4"/>
  <c r="CD345" i="4"/>
  <c r="CD346" i="4"/>
  <c r="CD347" i="4"/>
  <c r="CD348" i="4"/>
  <c r="CD349" i="4"/>
  <c r="CD350" i="4"/>
  <c r="CD351" i="4"/>
  <c r="CD352" i="4"/>
  <c r="CD355" i="4"/>
  <c r="CD331" i="4"/>
  <c r="O333" i="4"/>
  <c r="O334" i="4"/>
  <c r="O335" i="4"/>
  <c r="O336" i="4"/>
  <c r="O337" i="4"/>
  <c r="O338" i="4"/>
  <c r="O339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32" i="4"/>
  <c r="AZ482" i="4"/>
  <c r="AZ483" i="4"/>
  <c r="AZ484" i="4"/>
  <c r="AZ485" i="4"/>
  <c r="AZ486" i="4"/>
  <c r="AZ487" i="4"/>
  <c r="AZ488" i="4"/>
  <c r="AZ489" i="4"/>
  <c r="AZ490" i="4"/>
  <c r="AZ491" i="4"/>
  <c r="AZ492" i="4"/>
  <c r="AZ493" i="4"/>
  <c r="AZ494" i="4"/>
  <c r="AZ495" i="4"/>
  <c r="AZ496" i="4"/>
  <c r="AZ497" i="4"/>
  <c r="AZ498" i="4"/>
  <c r="AZ499" i="4"/>
  <c r="AZ500" i="4"/>
  <c r="AZ501" i="4"/>
  <c r="AZ502" i="4"/>
  <c r="AZ503" i="4"/>
  <c r="AZ504" i="4"/>
  <c r="AZ505" i="4"/>
  <c r="AZ506" i="4"/>
  <c r="AZ481" i="4"/>
  <c r="BQ482" i="4"/>
  <c r="BQ483" i="4"/>
  <c r="BQ484" i="4"/>
  <c r="BQ485" i="4"/>
  <c r="BQ486" i="4"/>
  <c r="BQ487" i="4"/>
  <c r="BQ488" i="4"/>
  <c r="BQ489" i="4"/>
  <c r="BQ490" i="4"/>
  <c r="BQ491" i="4"/>
  <c r="BQ492" i="4"/>
  <c r="BQ493" i="4"/>
  <c r="BQ494" i="4"/>
  <c r="BQ495" i="4"/>
  <c r="BQ496" i="4"/>
  <c r="BQ497" i="4"/>
  <c r="BQ498" i="4"/>
  <c r="BQ499" i="4"/>
  <c r="BQ500" i="4"/>
  <c r="BQ501" i="4"/>
  <c r="BQ502" i="4"/>
  <c r="BQ503" i="4"/>
  <c r="BQ504" i="4"/>
  <c r="BQ505" i="4"/>
  <c r="BQ506" i="4"/>
  <c r="BQ481" i="4"/>
  <c r="M481" i="4"/>
  <c r="O216" i="4"/>
  <c r="BS216" i="4" s="1"/>
  <c r="O217" i="4"/>
  <c r="BS217" i="4" s="1"/>
  <c r="O218" i="4"/>
  <c r="BS218" i="4" s="1"/>
  <c r="O215" i="4"/>
  <c r="BS215" i="4" s="1"/>
  <c r="CD158" i="4"/>
  <c r="BS158" i="4"/>
  <c r="BQ158" i="4"/>
  <c r="BJ158" i="4"/>
  <c r="BE158" i="4"/>
  <c r="BD158" i="4"/>
  <c r="BA158" i="4"/>
  <c r="AW158" i="4"/>
  <c r="AZ158" i="4" s="1"/>
  <c r="P158" i="4"/>
  <c r="BT158" i="4" s="1"/>
  <c r="BQ111" i="4"/>
  <c r="BS111" i="4"/>
  <c r="BQ112" i="4"/>
  <c r="BS112" i="4"/>
  <c r="BQ113" i="4"/>
  <c r="BS113" i="4"/>
  <c r="BQ114" i="4"/>
  <c r="BS114" i="4"/>
  <c r="BQ115" i="4"/>
  <c r="BS115" i="4"/>
  <c r="BQ116" i="4"/>
  <c r="BS116" i="4"/>
  <c r="BQ117" i="4"/>
  <c r="BS117" i="4"/>
  <c r="BQ118" i="4"/>
  <c r="BS118" i="4"/>
  <c r="BQ119" i="4"/>
  <c r="BS119" i="4"/>
  <c r="BQ120" i="4"/>
  <c r="BS120" i="4"/>
  <c r="BQ121" i="4"/>
  <c r="BS121" i="4"/>
  <c r="BQ122" i="4"/>
  <c r="BS122" i="4"/>
  <c r="BQ123" i="4"/>
  <c r="BS123" i="4"/>
  <c r="BQ124" i="4"/>
  <c r="BS124" i="4"/>
  <c r="BQ125" i="4"/>
  <c r="BS125" i="4"/>
  <c r="BQ126" i="4"/>
  <c r="BS126" i="4"/>
  <c r="BQ127" i="4"/>
  <c r="BS127" i="4"/>
  <c r="BQ128" i="4"/>
  <c r="BS128" i="4"/>
  <c r="BQ129" i="4"/>
  <c r="BS129" i="4"/>
  <c r="BQ130" i="4"/>
  <c r="BS130" i="4"/>
  <c r="BQ131" i="4"/>
  <c r="BS131" i="4"/>
  <c r="BQ132" i="4"/>
  <c r="BS132" i="4"/>
  <c r="BQ133" i="4"/>
  <c r="BS133" i="4"/>
  <c r="BQ134" i="4"/>
  <c r="BS134" i="4"/>
  <c r="BQ135" i="4"/>
  <c r="BS135" i="4"/>
  <c r="BQ136" i="4"/>
  <c r="BS136" i="4"/>
  <c r="BQ137" i="4"/>
  <c r="BS137" i="4"/>
  <c r="BQ138" i="4"/>
  <c r="BS138" i="4"/>
  <c r="BQ139" i="4"/>
  <c r="BS139" i="4"/>
  <c r="BQ140" i="4"/>
  <c r="BS140" i="4"/>
  <c r="BT140" i="4"/>
  <c r="BQ141" i="4"/>
  <c r="BS141" i="4"/>
  <c r="BT141" i="4"/>
  <c r="BQ142" i="4"/>
  <c r="BT142" i="4"/>
  <c r="BQ143" i="4"/>
  <c r="BT143" i="4"/>
  <c r="BQ144" i="4"/>
  <c r="BT144" i="4"/>
  <c r="BQ145" i="4"/>
  <c r="BS145" i="4"/>
  <c r="BT145" i="4"/>
  <c r="BQ146" i="4"/>
  <c r="BS146" i="4"/>
  <c r="BQ147" i="4"/>
  <c r="BT147" i="4"/>
  <c r="BQ148" i="4"/>
  <c r="BT148" i="4"/>
  <c r="BQ149" i="4"/>
  <c r="BT149" i="4"/>
  <c r="BQ150" i="4"/>
  <c r="BT150" i="4"/>
  <c r="BQ151" i="4"/>
  <c r="BT151" i="4"/>
  <c r="BQ152" i="4"/>
  <c r="BT152" i="4"/>
  <c r="BQ153" i="4"/>
  <c r="BS153" i="4"/>
  <c r="BQ154" i="4"/>
  <c r="BS154" i="4"/>
  <c r="BQ155" i="4"/>
  <c r="BS155" i="4"/>
  <c r="BQ156" i="4"/>
  <c r="BS156" i="4"/>
  <c r="BQ157" i="4"/>
  <c r="BS157" i="4"/>
  <c r="BQ159" i="4"/>
  <c r="BS159" i="4"/>
  <c r="BQ160" i="4"/>
  <c r="BS160" i="4"/>
  <c r="BQ161" i="4"/>
  <c r="BS161" i="4"/>
  <c r="BQ162" i="4"/>
  <c r="BS162" i="4"/>
  <c r="BQ163" i="4"/>
  <c r="BS163" i="4"/>
  <c r="BQ164" i="4"/>
  <c r="BS164" i="4"/>
  <c r="BQ165" i="4"/>
  <c r="BS165" i="4"/>
  <c r="BQ166" i="4"/>
  <c r="BS166" i="4"/>
  <c r="BQ167" i="4"/>
  <c r="BS167" i="4"/>
  <c r="BQ168" i="4"/>
  <c r="BS168" i="4"/>
  <c r="BQ169" i="4"/>
  <c r="BS169" i="4"/>
  <c r="BQ170" i="4"/>
  <c r="BS170" i="4"/>
  <c r="BQ171" i="4"/>
  <c r="BS171" i="4"/>
  <c r="BQ172" i="4"/>
  <c r="BS172" i="4"/>
  <c r="BQ173" i="4"/>
  <c r="BS173" i="4"/>
  <c r="BQ174" i="4"/>
  <c r="BS174" i="4"/>
  <c r="BQ175" i="4"/>
  <c r="BS175" i="4"/>
  <c r="BQ176" i="4"/>
  <c r="BS176" i="4"/>
  <c r="BQ177" i="4"/>
  <c r="BS177" i="4"/>
  <c r="BQ178" i="4"/>
  <c r="BS178" i="4"/>
  <c r="BQ179" i="4"/>
  <c r="BS179" i="4"/>
  <c r="BQ180" i="4"/>
  <c r="BS180" i="4"/>
  <c r="BQ181" i="4"/>
  <c r="BS181" i="4"/>
  <c r="BQ182" i="4"/>
  <c r="BS182" i="4"/>
  <c r="BQ183" i="4"/>
  <c r="BS183" i="4"/>
  <c r="BQ184" i="4"/>
  <c r="BS184" i="4"/>
  <c r="BQ185" i="4"/>
  <c r="BS185" i="4"/>
  <c r="BQ186" i="4"/>
  <c r="BS186" i="4"/>
  <c r="BQ187" i="4"/>
  <c r="BS187" i="4"/>
  <c r="BQ188" i="4"/>
  <c r="BT188" i="4"/>
  <c r="BQ189" i="4"/>
  <c r="BT189" i="4"/>
  <c r="BQ190" i="4"/>
  <c r="BT190" i="4"/>
  <c r="BQ191" i="4"/>
  <c r="BT191" i="4"/>
  <c r="BQ192" i="4"/>
  <c r="BT192" i="4"/>
  <c r="BQ193" i="4"/>
  <c r="BT193" i="4"/>
  <c r="BQ194" i="4"/>
  <c r="BT194" i="4"/>
  <c r="BQ195" i="4"/>
  <c r="BT195" i="4"/>
  <c r="BQ196" i="4"/>
  <c r="BS196" i="4"/>
  <c r="BQ197" i="4"/>
  <c r="BS197" i="4"/>
  <c r="BQ198" i="4"/>
  <c r="BS198" i="4"/>
  <c r="BQ199" i="4"/>
  <c r="BS199" i="4"/>
  <c r="BQ200" i="4"/>
  <c r="BS200" i="4"/>
  <c r="BQ201" i="4"/>
  <c r="BS201" i="4"/>
  <c r="BQ202" i="4"/>
  <c r="BS202" i="4"/>
  <c r="BQ203" i="4"/>
  <c r="BS203" i="4"/>
  <c r="BQ204" i="4"/>
  <c r="BS204" i="4"/>
  <c r="BQ205" i="4"/>
  <c r="BS205" i="4"/>
  <c r="BQ206" i="4"/>
  <c r="BS206" i="4"/>
  <c r="BQ207" i="4"/>
  <c r="BS207" i="4"/>
  <c r="BQ208" i="4"/>
  <c r="BS208" i="4"/>
  <c r="BQ209" i="4"/>
  <c r="BS209" i="4"/>
  <c r="BQ210" i="4"/>
  <c r="BS210" i="4"/>
  <c r="BQ211" i="4"/>
  <c r="BS211" i="4"/>
  <c r="BQ212" i="4"/>
  <c r="BS212" i="4"/>
  <c r="BQ213" i="4"/>
  <c r="BS213" i="4"/>
  <c r="BQ214" i="4"/>
  <c r="BS214" i="4"/>
  <c r="BQ215" i="4"/>
  <c r="BQ216" i="4"/>
  <c r="BQ217" i="4"/>
  <c r="BQ218" i="4"/>
  <c r="BQ219" i="4"/>
  <c r="BS219" i="4"/>
  <c r="BQ228" i="4"/>
  <c r="BS228" i="4"/>
  <c r="BQ229" i="4"/>
  <c r="BS229" i="4"/>
  <c r="BQ230" i="4"/>
  <c r="BS230" i="4"/>
  <c r="BQ231" i="4"/>
  <c r="BS231" i="4"/>
  <c r="BQ232" i="4"/>
  <c r="BS232" i="4"/>
  <c r="BQ233" i="4"/>
  <c r="BS233" i="4"/>
  <c r="BQ234" i="4"/>
  <c r="BS234" i="4"/>
  <c r="BQ235" i="4"/>
  <c r="BS235" i="4"/>
  <c r="BQ236" i="4"/>
  <c r="BS236" i="4"/>
  <c r="BQ237" i="4"/>
  <c r="BS237" i="4"/>
  <c r="BQ238" i="4"/>
  <c r="BS238" i="4"/>
  <c r="BQ239" i="4"/>
  <c r="BS239" i="4"/>
  <c r="BQ240" i="4"/>
  <c r="BS240" i="4"/>
  <c r="BQ241" i="4"/>
  <c r="BS241" i="4"/>
  <c r="BT241" i="4"/>
  <c r="BQ242" i="4"/>
  <c r="BT242" i="4"/>
  <c r="BQ243" i="4"/>
  <c r="BT243" i="4"/>
  <c r="BQ244" i="4"/>
  <c r="BT244" i="4"/>
  <c r="BQ245" i="4"/>
  <c r="BT245" i="4"/>
  <c r="BQ246" i="4"/>
  <c r="BT246" i="4"/>
  <c r="BQ247" i="4"/>
  <c r="BT247" i="4"/>
  <c r="BQ248" i="4"/>
  <c r="BT248" i="4"/>
  <c r="BQ249" i="4"/>
  <c r="BT249" i="4"/>
  <c r="BQ250" i="4"/>
  <c r="BT250" i="4"/>
  <c r="BQ251" i="4"/>
  <c r="BT251" i="4"/>
  <c r="BQ252" i="4"/>
  <c r="BT252" i="4"/>
  <c r="BQ253" i="4"/>
  <c r="BT253" i="4"/>
  <c r="BQ254" i="4"/>
  <c r="BS254" i="4"/>
  <c r="BT254" i="4"/>
  <c r="BQ255" i="4"/>
  <c r="BS255" i="4"/>
  <c r="BT255" i="4"/>
  <c r="BQ110" i="4"/>
  <c r="BS110" i="4"/>
  <c r="O189" i="4"/>
  <c r="O190" i="4"/>
  <c r="BS190" i="4" s="1"/>
  <c r="O191" i="4"/>
  <c r="BS191" i="4" s="1"/>
  <c r="O192" i="4"/>
  <c r="BS192" i="4" s="1"/>
  <c r="O193" i="4"/>
  <c r="BS193" i="4" s="1"/>
  <c r="O194" i="4"/>
  <c r="BS194" i="4" s="1"/>
  <c r="O195" i="4"/>
  <c r="BS195" i="4" s="1"/>
  <c r="O188" i="4"/>
  <c r="BS188" i="4" s="1"/>
  <c r="O148" i="4"/>
  <c r="BS148" i="4" s="1"/>
  <c r="O149" i="4"/>
  <c r="BS149" i="4" s="1"/>
  <c r="O150" i="4"/>
  <c r="BS150" i="4" s="1"/>
  <c r="O151" i="4"/>
  <c r="BS151" i="4" s="1"/>
  <c r="O152" i="4"/>
  <c r="BS152" i="4" s="1"/>
  <c r="O147" i="4"/>
  <c r="O143" i="4"/>
  <c r="BS143" i="4" s="1"/>
  <c r="O144" i="4"/>
  <c r="BS144" i="4" s="1"/>
  <c r="O142" i="4"/>
  <c r="O243" i="4"/>
  <c r="BS243" i="4" s="1"/>
  <c r="O244" i="4"/>
  <c r="BS244" i="4" s="1"/>
  <c r="O245" i="4"/>
  <c r="BS245" i="4" s="1"/>
  <c r="O246" i="4"/>
  <c r="BS246" i="4" s="1"/>
  <c r="O247" i="4"/>
  <c r="BS247" i="4" s="1"/>
  <c r="O248" i="4"/>
  <c r="BS248" i="4" s="1"/>
  <c r="O249" i="4"/>
  <c r="BS249" i="4" s="1"/>
  <c r="O250" i="4"/>
  <c r="BS250" i="4" s="1"/>
  <c r="O251" i="4"/>
  <c r="BS251" i="4" s="1"/>
  <c r="O252" i="4"/>
  <c r="BS252" i="4" s="1"/>
  <c r="O253" i="4"/>
  <c r="BS253" i="4" s="1"/>
  <c r="O242" i="4"/>
  <c r="BS242" i="4" s="1"/>
  <c r="P157" i="4"/>
  <c r="BT157" i="4" s="1"/>
  <c r="P159" i="4"/>
  <c r="BT159" i="4" s="1"/>
  <c r="P160" i="4"/>
  <c r="BT160" i="4" s="1"/>
  <c r="P161" i="4"/>
  <c r="BT161" i="4" s="1"/>
  <c r="P162" i="4"/>
  <c r="BT162" i="4" s="1"/>
  <c r="P163" i="4"/>
  <c r="BT163" i="4" s="1"/>
  <c r="P164" i="4"/>
  <c r="BT164" i="4" s="1"/>
  <c r="P165" i="4"/>
  <c r="BT165" i="4" s="1"/>
  <c r="P166" i="4"/>
  <c r="BT166" i="4" s="1"/>
  <c r="P167" i="4"/>
  <c r="BT167" i="4" s="1"/>
  <c r="P168" i="4"/>
  <c r="BT168" i="4" s="1"/>
  <c r="P169" i="4"/>
  <c r="BT169" i="4" s="1"/>
  <c r="P170" i="4"/>
  <c r="BT170" i="4" s="1"/>
  <c r="P171" i="4"/>
  <c r="BT171" i="4" s="1"/>
  <c r="P172" i="4"/>
  <c r="BT172" i="4" s="1"/>
  <c r="P173" i="4"/>
  <c r="BT173" i="4" s="1"/>
  <c r="P174" i="4"/>
  <c r="BT174" i="4" s="1"/>
  <c r="P175" i="4"/>
  <c r="BT175" i="4" s="1"/>
  <c r="P176" i="4"/>
  <c r="BT176" i="4" s="1"/>
  <c r="P177" i="4"/>
  <c r="BT177" i="4" s="1"/>
  <c r="P178" i="4"/>
  <c r="BT178" i="4" s="1"/>
  <c r="P179" i="4"/>
  <c r="BT179" i="4" s="1"/>
  <c r="P180" i="4"/>
  <c r="BT180" i="4" s="1"/>
  <c r="P181" i="4"/>
  <c r="BT181" i="4" s="1"/>
  <c r="P182" i="4"/>
  <c r="BT182" i="4" s="1"/>
  <c r="P183" i="4"/>
  <c r="BT183" i="4" s="1"/>
  <c r="P184" i="4"/>
  <c r="BT184" i="4" s="1"/>
  <c r="P185" i="4"/>
  <c r="BT185" i="4" s="1"/>
  <c r="P186" i="4"/>
  <c r="BT186" i="4" s="1"/>
  <c r="P187" i="4"/>
  <c r="BT187" i="4" s="1"/>
  <c r="P196" i="4"/>
  <c r="BT196" i="4" s="1"/>
  <c r="P197" i="4"/>
  <c r="BT197" i="4" s="1"/>
  <c r="P198" i="4"/>
  <c r="BT198" i="4" s="1"/>
  <c r="P199" i="4"/>
  <c r="BT199" i="4" s="1"/>
  <c r="P200" i="4"/>
  <c r="BT200" i="4" s="1"/>
  <c r="P201" i="4"/>
  <c r="BT201" i="4" s="1"/>
  <c r="P202" i="4"/>
  <c r="BT202" i="4" s="1"/>
  <c r="P203" i="4"/>
  <c r="BT203" i="4" s="1"/>
  <c r="P204" i="4"/>
  <c r="P205" i="4"/>
  <c r="BT205" i="4" s="1"/>
  <c r="P206" i="4"/>
  <c r="BT206" i="4" s="1"/>
  <c r="P207" i="4"/>
  <c r="BT207" i="4" s="1"/>
  <c r="P208" i="4"/>
  <c r="BT208" i="4" s="1"/>
  <c r="P209" i="4"/>
  <c r="BT209" i="4" s="1"/>
  <c r="P210" i="4"/>
  <c r="BT210" i="4" s="1"/>
  <c r="P211" i="4"/>
  <c r="BT211" i="4" s="1"/>
  <c r="P212" i="4"/>
  <c r="BT212" i="4" s="1"/>
  <c r="P213" i="4"/>
  <c r="BT213" i="4" s="1"/>
  <c r="P214" i="4"/>
  <c r="BT214" i="4" s="1"/>
  <c r="BT215" i="4"/>
  <c r="BT216" i="4"/>
  <c r="BT217" i="4"/>
  <c r="BT218" i="4"/>
  <c r="P219" i="4"/>
  <c r="BT219" i="4" s="1"/>
  <c r="P228" i="4"/>
  <c r="BT228" i="4" s="1"/>
  <c r="BT229" i="4"/>
  <c r="BT230" i="4"/>
  <c r="BT231" i="4"/>
  <c r="BT232" i="4"/>
  <c r="BT233" i="4"/>
  <c r="BT234" i="4"/>
  <c r="BT235" i="4"/>
  <c r="BT236" i="4"/>
  <c r="BT237" i="4"/>
  <c r="BT238" i="4"/>
  <c r="BT239" i="4"/>
  <c r="P240" i="4"/>
  <c r="BT240" i="4" s="1"/>
  <c r="P156" i="4"/>
  <c r="BT156" i="4" s="1"/>
  <c r="P111" i="4"/>
  <c r="P112" i="4"/>
  <c r="BT112" i="4" s="1"/>
  <c r="P113" i="4"/>
  <c r="BT113" i="4" s="1"/>
  <c r="P114" i="4"/>
  <c r="BT114" i="4" s="1"/>
  <c r="P115" i="4"/>
  <c r="BT115" i="4" s="1"/>
  <c r="P116" i="4"/>
  <c r="BT116" i="4" s="1"/>
  <c r="P117" i="4"/>
  <c r="BT117" i="4" s="1"/>
  <c r="P118" i="4"/>
  <c r="BT118" i="4" s="1"/>
  <c r="P119" i="4"/>
  <c r="BT119" i="4" s="1"/>
  <c r="P120" i="4"/>
  <c r="BT120" i="4" s="1"/>
  <c r="P121" i="4"/>
  <c r="BT121" i="4" s="1"/>
  <c r="P122" i="4"/>
  <c r="BT122" i="4" s="1"/>
  <c r="P123" i="4"/>
  <c r="BT123" i="4" s="1"/>
  <c r="P124" i="4"/>
  <c r="BT124" i="4" s="1"/>
  <c r="P125" i="4"/>
  <c r="BT125" i="4" s="1"/>
  <c r="P126" i="4"/>
  <c r="BT126" i="4" s="1"/>
  <c r="P127" i="4"/>
  <c r="BT127" i="4" s="1"/>
  <c r="P128" i="4"/>
  <c r="BT128" i="4" s="1"/>
  <c r="P129" i="4"/>
  <c r="BT129" i="4" s="1"/>
  <c r="P130" i="4"/>
  <c r="BT130" i="4" s="1"/>
  <c r="P131" i="4"/>
  <c r="BT131" i="4" s="1"/>
  <c r="P132" i="4"/>
  <c r="BT132" i="4" s="1"/>
  <c r="P133" i="4"/>
  <c r="BT133" i="4" s="1"/>
  <c r="P134" i="4"/>
  <c r="BT134" i="4" s="1"/>
  <c r="P135" i="4"/>
  <c r="BT135" i="4" s="1"/>
  <c r="P136" i="4"/>
  <c r="BT136" i="4" s="1"/>
  <c r="P137" i="4"/>
  <c r="BT137" i="4" s="1"/>
  <c r="P138" i="4"/>
  <c r="BT138" i="4" s="1"/>
  <c r="P139" i="4"/>
  <c r="BT139" i="4" s="1"/>
  <c r="P146" i="4"/>
  <c r="BT146" i="4" s="1"/>
  <c r="P153" i="4"/>
  <c r="BT153" i="4" s="1"/>
  <c r="P154" i="4"/>
  <c r="BT154" i="4" s="1"/>
  <c r="P110" i="4"/>
  <c r="BI244" i="4"/>
  <c r="BI245" i="4"/>
  <c r="BI246" i="4"/>
  <c r="BI247" i="4"/>
  <c r="BI248" i="4"/>
  <c r="BI249" i="4"/>
  <c r="BI250" i="4"/>
  <c r="BI251" i="4"/>
  <c r="BI252" i="4"/>
  <c r="BI253" i="4"/>
  <c r="BI189" i="4"/>
  <c r="BI190" i="4"/>
  <c r="BI191" i="4"/>
  <c r="BI192" i="4"/>
  <c r="BI193" i="4"/>
  <c r="BI194" i="4"/>
  <c r="BI195" i="4"/>
  <c r="BI188" i="4"/>
  <c r="BI148" i="4"/>
  <c r="BI149" i="4"/>
  <c r="BI150" i="4"/>
  <c r="BI151" i="4"/>
  <c r="BI152" i="4"/>
  <c r="BI147" i="4"/>
  <c r="AW111" i="4"/>
  <c r="AZ111" i="4" s="1"/>
  <c r="AW112" i="4"/>
  <c r="BA112" i="4" s="1"/>
  <c r="AW113" i="4"/>
  <c r="AZ113" i="4" s="1"/>
  <c r="AW114" i="4"/>
  <c r="BA114" i="4" s="1"/>
  <c r="AW115" i="4"/>
  <c r="BA115" i="4" s="1"/>
  <c r="AW116" i="4"/>
  <c r="BA116" i="4" s="1"/>
  <c r="AW117" i="4"/>
  <c r="BA117" i="4" s="1"/>
  <c r="AW118" i="4"/>
  <c r="BA118" i="4" s="1"/>
  <c r="AW119" i="4"/>
  <c r="BA119" i="4" s="1"/>
  <c r="AW120" i="4"/>
  <c r="BA120" i="4" s="1"/>
  <c r="AW121" i="4"/>
  <c r="BA121" i="4" s="1"/>
  <c r="AW122" i="4"/>
  <c r="BA122" i="4" s="1"/>
  <c r="AW123" i="4"/>
  <c r="BA123" i="4" s="1"/>
  <c r="AW124" i="4"/>
  <c r="BA124" i="4" s="1"/>
  <c r="AW125" i="4"/>
  <c r="BA125" i="4" s="1"/>
  <c r="AW126" i="4"/>
  <c r="BA126" i="4" s="1"/>
  <c r="AW127" i="4"/>
  <c r="BA127" i="4" s="1"/>
  <c r="AW128" i="4"/>
  <c r="BA128" i="4" s="1"/>
  <c r="AW129" i="4"/>
  <c r="BA129" i="4" s="1"/>
  <c r="AW130" i="4"/>
  <c r="AZ130" i="4" s="1"/>
  <c r="AW131" i="4"/>
  <c r="BA131" i="4" s="1"/>
  <c r="AW132" i="4"/>
  <c r="BA132" i="4" s="1"/>
  <c r="AW133" i="4"/>
  <c r="BA133" i="4" s="1"/>
  <c r="AW134" i="4"/>
  <c r="BA134" i="4" s="1"/>
  <c r="AW135" i="4"/>
  <c r="BA135" i="4" s="1"/>
  <c r="AW136" i="4"/>
  <c r="BA136" i="4" s="1"/>
  <c r="AW137" i="4"/>
  <c r="BA137" i="4" s="1"/>
  <c r="AW138" i="4"/>
  <c r="BA138" i="4" s="1"/>
  <c r="AW139" i="4"/>
  <c r="BA139" i="4" s="1"/>
  <c r="AW140" i="4"/>
  <c r="AW141" i="4"/>
  <c r="AW142" i="4"/>
  <c r="AZ142" i="4" s="1"/>
  <c r="AW143" i="4"/>
  <c r="AZ143" i="4" s="1"/>
  <c r="AW144" i="4"/>
  <c r="AZ144" i="4" s="1"/>
  <c r="AW145" i="4"/>
  <c r="AW146" i="4"/>
  <c r="AW147" i="4"/>
  <c r="AZ147" i="4" s="1"/>
  <c r="AW148" i="4"/>
  <c r="AZ148" i="4" s="1"/>
  <c r="AW149" i="4"/>
  <c r="AZ149" i="4" s="1"/>
  <c r="AW150" i="4"/>
  <c r="AZ150" i="4" s="1"/>
  <c r="AW151" i="4"/>
  <c r="AZ151" i="4" s="1"/>
  <c r="AW152" i="4"/>
  <c r="AZ152" i="4" s="1"/>
  <c r="AW153" i="4"/>
  <c r="AW154" i="4"/>
  <c r="AW155" i="4"/>
  <c r="BA155" i="4" s="1"/>
  <c r="AW156" i="4"/>
  <c r="AZ156" i="4" s="1"/>
  <c r="AW157" i="4"/>
  <c r="AZ157" i="4" s="1"/>
  <c r="AW159" i="4"/>
  <c r="AZ159" i="4" s="1"/>
  <c r="AW160" i="4"/>
  <c r="AZ160" i="4" s="1"/>
  <c r="AW161" i="4"/>
  <c r="AZ161" i="4" s="1"/>
  <c r="AW162" i="4"/>
  <c r="AZ162" i="4" s="1"/>
  <c r="AW163" i="4"/>
  <c r="AZ163" i="4" s="1"/>
  <c r="AW164" i="4"/>
  <c r="AZ164" i="4" s="1"/>
  <c r="AW165" i="4"/>
  <c r="AZ165" i="4" s="1"/>
  <c r="AW166" i="4"/>
  <c r="AZ166" i="4" s="1"/>
  <c r="AW167" i="4"/>
  <c r="AZ167" i="4" s="1"/>
  <c r="AW168" i="4"/>
  <c r="AZ168" i="4" s="1"/>
  <c r="AW169" i="4"/>
  <c r="AZ169" i="4" s="1"/>
  <c r="AW170" i="4"/>
  <c r="AZ170" i="4" s="1"/>
  <c r="AW171" i="4"/>
  <c r="AZ171" i="4" s="1"/>
  <c r="AW172" i="4"/>
  <c r="AZ172" i="4" s="1"/>
  <c r="AW173" i="4"/>
  <c r="AZ173" i="4" s="1"/>
  <c r="AW174" i="4"/>
  <c r="AZ174" i="4" s="1"/>
  <c r="AW175" i="4"/>
  <c r="AZ175" i="4" s="1"/>
  <c r="AW176" i="4"/>
  <c r="AZ176" i="4" s="1"/>
  <c r="AW177" i="4"/>
  <c r="AZ177" i="4" s="1"/>
  <c r="AW178" i="4"/>
  <c r="AW179" i="4"/>
  <c r="AW180" i="4"/>
  <c r="AZ180" i="4" s="1"/>
  <c r="AW181" i="4"/>
  <c r="AZ181" i="4" s="1"/>
  <c r="AW182" i="4"/>
  <c r="AZ182" i="4" s="1"/>
  <c r="AW183" i="4"/>
  <c r="AZ183" i="4" s="1"/>
  <c r="AW184" i="4"/>
  <c r="AZ184" i="4" s="1"/>
  <c r="AW185" i="4"/>
  <c r="AZ185" i="4" s="1"/>
  <c r="AW186" i="4"/>
  <c r="AZ186" i="4" s="1"/>
  <c r="AW187" i="4"/>
  <c r="AZ187" i="4" s="1"/>
  <c r="AW188" i="4"/>
  <c r="AZ188" i="4" s="1"/>
  <c r="AW189" i="4"/>
  <c r="AZ189" i="4" s="1"/>
  <c r="AW190" i="4"/>
  <c r="AZ190" i="4" s="1"/>
  <c r="AW191" i="4"/>
  <c r="BA191" i="4" s="1"/>
  <c r="AW192" i="4"/>
  <c r="AZ192" i="4" s="1"/>
  <c r="AW193" i="4"/>
  <c r="AZ193" i="4" s="1"/>
  <c r="AW194" i="4"/>
  <c r="AZ194" i="4" s="1"/>
  <c r="AW195" i="4"/>
  <c r="BA195" i="4" s="1"/>
  <c r="AW196" i="4"/>
  <c r="AW197" i="4"/>
  <c r="AW198" i="4"/>
  <c r="AZ198" i="4" s="1"/>
  <c r="AW199" i="4"/>
  <c r="AZ199" i="4" s="1"/>
  <c r="AW200" i="4"/>
  <c r="AZ200" i="4" s="1"/>
  <c r="AW201" i="4"/>
  <c r="AZ201" i="4" s="1"/>
  <c r="AW202" i="4"/>
  <c r="AZ202" i="4" s="1"/>
  <c r="AW203" i="4"/>
  <c r="AZ203" i="4" s="1"/>
  <c r="AW204" i="4"/>
  <c r="AZ204" i="4" s="1"/>
  <c r="AW205" i="4"/>
  <c r="AZ205" i="4" s="1"/>
  <c r="AW206" i="4"/>
  <c r="AZ206" i="4" s="1"/>
  <c r="AW207" i="4"/>
  <c r="AZ207" i="4" s="1"/>
  <c r="AW208" i="4"/>
  <c r="AZ208" i="4" s="1"/>
  <c r="AW209" i="4"/>
  <c r="AZ209" i="4" s="1"/>
  <c r="AW210" i="4"/>
  <c r="AZ210" i="4" s="1"/>
  <c r="AW211" i="4"/>
  <c r="AZ211" i="4" s="1"/>
  <c r="AW212" i="4"/>
  <c r="AZ212" i="4" s="1"/>
  <c r="AW213" i="4"/>
  <c r="AZ213" i="4" s="1"/>
  <c r="AW214" i="4"/>
  <c r="AZ214" i="4" s="1"/>
  <c r="AW215" i="4"/>
  <c r="AZ215" i="4" s="1"/>
  <c r="AW216" i="4"/>
  <c r="AZ216" i="4" s="1"/>
  <c r="AW217" i="4"/>
  <c r="AZ217" i="4" s="1"/>
  <c r="AW218" i="4"/>
  <c r="AZ218" i="4" s="1"/>
  <c r="AW219" i="4"/>
  <c r="AW228" i="4"/>
  <c r="AW229" i="4"/>
  <c r="AZ229" i="4" s="1"/>
  <c r="AW230" i="4"/>
  <c r="AZ230" i="4" s="1"/>
  <c r="AW231" i="4"/>
  <c r="AZ231" i="4" s="1"/>
  <c r="AW232" i="4"/>
  <c r="AZ232" i="4" s="1"/>
  <c r="AW233" i="4"/>
  <c r="AZ233" i="4" s="1"/>
  <c r="AW234" i="4"/>
  <c r="AZ234" i="4" s="1"/>
  <c r="AW235" i="4"/>
  <c r="AZ235" i="4" s="1"/>
  <c r="AW236" i="4"/>
  <c r="AZ236" i="4" s="1"/>
  <c r="AW237" i="4"/>
  <c r="AZ237" i="4" s="1"/>
  <c r="AW238" i="4"/>
  <c r="AZ238" i="4" s="1"/>
  <c r="AW239" i="4"/>
  <c r="AZ239" i="4" s="1"/>
  <c r="AW240" i="4"/>
  <c r="AW241" i="4"/>
  <c r="AW242" i="4"/>
  <c r="AZ242" i="4" s="1"/>
  <c r="AW243" i="4"/>
  <c r="AZ243" i="4" s="1"/>
  <c r="AW244" i="4"/>
  <c r="AZ244" i="4" s="1"/>
  <c r="AW245" i="4"/>
  <c r="AZ245" i="4" s="1"/>
  <c r="AW246" i="4"/>
  <c r="AZ246" i="4" s="1"/>
  <c r="AW247" i="4"/>
  <c r="AZ247" i="4" s="1"/>
  <c r="AW248" i="4"/>
  <c r="AZ248" i="4" s="1"/>
  <c r="AW249" i="4"/>
  <c r="AZ249" i="4" s="1"/>
  <c r="AW250" i="4"/>
  <c r="AZ250" i="4" s="1"/>
  <c r="AW251" i="4"/>
  <c r="AZ251" i="4" s="1"/>
  <c r="AW252" i="4"/>
  <c r="AZ252" i="4" s="1"/>
  <c r="AW253" i="4"/>
  <c r="AZ253" i="4" s="1"/>
  <c r="AW254" i="4"/>
  <c r="AW255" i="4"/>
  <c r="AW110" i="4"/>
  <c r="BA110" i="4" s="1"/>
  <c r="BA111" i="4"/>
  <c r="BD111" i="4"/>
  <c r="BE111" i="4"/>
  <c r="AZ112" i="4"/>
  <c r="BD112" i="4"/>
  <c r="BE112" i="4"/>
  <c r="BA113" i="4"/>
  <c r="BD113" i="4"/>
  <c r="BE113" i="4"/>
  <c r="AZ114" i="4"/>
  <c r="BD114" i="4"/>
  <c r="BE114" i="4"/>
  <c r="AZ115" i="4"/>
  <c r="BD115" i="4"/>
  <c r="BE115" i="4"/>
  <c r="AZ116" i="4"/>
  <c r="BD116" i="4"/>
  <c r="BE116" i="4"/>
  <c r="AZ117" i="4"/>
  <c r="BD117" i="4"/>
  <c r="BE117" i="4"/>
  <c r="AZ118" i="4"/>
  <c r="BD118" i="4"/>
  <c r="BE118" i="4"/>
  <c r="AZ119" i="4"/>
  <c r="BD119" i="4"/>
  <c r="BE119" i="4"/>
  <c r="AZ120" i="4"/>
  <c r="BD120" i="4"/>
  <c r="BE120" i="4"/>
  <c r="AZ121" i="4"/>
  <c r="BD121" i="4"/>
  <c r="BE121" i="4"/>
  <c r="AZ122" i="4"/>
  <c r="BD122" i="4"/>
  <c r="BE122" i="4"/>
  <c r="AZ123" i="4"/>
  <c r="BD123" i="4"/>
  <c r="BE123" i="4"/>
  <c r="AZ124" i="4"/>
  <c r="BD124" i="4"/>
  <c r="BE124" i="4"/>
  <c r="AZ125" i="4"/>
  <c r="BD125" i="4"/>
  <c r="BE125" i="4"/>
  <c r="AZ126" i="4"/>
  <c r="BD126" i="4"/>
  <c r="BE126" i="4"/>
  <c r="AZ127" i="4"/>
  <c r="BD127" i="4"/>
  <c r="BE127" i="4"/>
  <c r="AZ128" i="4"/>
  <c r="BD128" i="4"/>
  <c r="BE128" i="4"/>
  <c r="AZ129" i="4"/>
  <c r="BD129" i="4"/>
  <c r="BE129" i="4"/>
  <c r="BA130" i="4"/>
  <c r="BD130" i="4"/>
  <c r="BE130" i="4"/>
  <c r="AZ131" i="4"/>
  <c r="BD131" i="4"/>
  <c r="BE131" i="4"/>
  <c r="AZ132" i="4"/>
  <c r="BD132" i="4"/>
  <c r="BE132" i="4"/>
  <c r="AZ133" i="4"/>
  <c r="BD133" i="4"/>
  <c r="BE133" i="4"/>
  <c r="AZ134" i="4"/>
  <c r="BD134" i="4"/>
  <c r="BE134" i="4"/>
  <c r="AZ135" i="4"/>
  <c r="BD135" i="4"/>
  <c r="BE135" i="4"/>
  <c r="AZ136" i="4"/>
  <c r="BD136" i="4"/>
  <c r="BE136" i="4"/>
  <c r="AZ137" i="4"/>
  <c r="BD137" i="4"/>
  <c r="BE137" i="4"/>
  <c r="AZ138" i="4"/>
  <c r="BD138" i="4"/>
  <c r="BE138" i="4"/>
  <c r="AZ139" i="4"/>
  <c r="BD139" i="4"/>
  <c r="BE139" i="4"/>
  <c r="BA142" i="4"/>
  <c r="BD142" i="4"/>
  <c r="BE142" i="4"/>
  <c r="BA143" i="4"/>
  <c r="BD143" i="4"/>
  <c r="BE143" i="4"/>
  <c r="BA144" i="4"/>
  <c r="BD144" i="4"/>
  <c r="BE144" i="4"/>
  <c r="BA147" i="4"/>
  <c r="BD147" i="4"/>
  <c r="BE147" i="4"/>
  <c r="BA148" i="4"/>
  <c r="BD148" i="4"/>
  <c r="BE148" i="4"/>
  <c r="BA149" i="4"/>
  <c r="BD149" i="4"/>
  <c r="BE149" i="4"/>
  <c r="BA150" i="4"/>
  <c r="BD150" i="4"/>
  <c r="BE150" i="4"/>
  <c r="BA151" i="4"/>
  <c r="BD151" i="4"/>
  <c r="BE151" i="4"/>
  <c r="BA152" i="4"/>
  <c r="BD152" i="4"/>
  <c r="BE152" i="4"/>
  <c r="AZ155" i="4"/>
  <c r="BD155" i="4"/>
  <c r="BE155" i="4"/>
  <c r="BA156" i="4"/>
  <c r="BD156" i="4"/>
  <c r="BE156" i="4"/>
  <c r="BA157" i="4"/>
  <c r="BD157" i="4"/>
  <c r="BE157" i="4"/>
  <c r="BA159" i="4"/>
  <c r="BD159" i="4"/>
  <c r="BE159" i="4"/>
  <c r="BA160" i="4"/>
  <c r="BD160" i="4"/>
  <c r="BE160" i="4"/>
  <c r="BA161" i="4"/>
  <c r="BD161" i="4"/>
  <c r="BE161" i="4"/>
  <c r="BA162" i="4"/>
  <c r="BD162" i="4"/>
  <c r="BE162" i="4"/>
  <c r="BA163" i="4"/>
  <c r="BD163" i="4"/>
  <c r="BE163" i="4"/>
  <c r="BA164" i="4"/>
  <c r="BD164" i="4"/>
  <c r="BE164" i="4"/>
  <c r="BA165" i="4"/>
  <c r="BD165" i="4"/>
  <c r="BE165" i="4"/>
  <c r="BA166" i="4"/>
  <c r="BD166" i="4"/>
  <c r="BE166" i="4"/>
  <c r="BA167" i="4"/>
  <c r="BD167" i="4"/>
  <c r="BE167" i="4"/>
  <c r="BA168" i="4"/>
  <c r="BD168" i="4"/>
  <c r="BE168" i="4"/>
  <c r="BA169" i="4"/>
  <c r="BD169" i="4"/>
  <c r="BE169" i="4"/>
  <c r="BA170" i="4"/>
  <c r="BD170" i="4"/>
  <c r="BE170" i="4"/>
  <c r="BA171" i="4"/>
  <c r="BD171" i="4"/>
  <c r="BE171" i="4"/>
  <c r="BA172" i="4"/>
  <c r="BD172" i="4"/>
  <c r="BE172" i="4"/>
  <c r="BA173" i="4"/>
  <c r="BD173" i="4"/>
  <c r="BE173" i="4"/>
  <c r="BA174" i="4"/>
  <c r="BD174" i="4"/>
  <c r="BE174" i="4"/>
  <c r="BA175" i="4"/>
  <c r="BD175" i="4"/>
  <c r="BE175" i="4"/>
  <c r="BA176" i="4"/>
  <c r="BD176" i="4"/>
  <c r="BE176" i="4"/>
  <c r="BA177" i="4"/>
  <c r="BD177" i="4"/>
  <c r="BE177" i="4"/>
  <c r="BA180" i="4"/>
  <c r="BD180" i="4"/>
  <c r="BE180" i="4"/>
  <c r="BA181" i="4"/>
  <c r="BD181" i="4"/>
  <c r="BE181" i="4"/>
  <c r="BA182" i="4"/>
  <c r="BD182" i="4"/>
  <c r="BE182" i="4"/>
  <c r="BA183" i="4"/>
  <c r="BD183" i="4"/>
  <c r="BE183" i="4"/>
  <c r="BA184" i="4"/>
  <c r="BD184" i="4"/>
  <c r="BE184" i="4"/>
  <c r="BA185" i="4"/>
  <c r="BD185" i="4"/>
  <c r="BE185" i="4"/>
  <c r="BA186" i="4"/>
  <c r="BD186" i="4"/>
  <c r="BE186" i="4"/>
  <c r="BA187" i="4"/>
  <c r="BD187" i="4"/>
  <c r="BE187" i="4"/>
  <c r="BA188" i="4"/>
  <c r="BD188" i="4"/>
  <c r="BE188" i="4"/>
  <c r="BA189" i="4"/>
  <c r="BD189" i="4"/>
  <c r="BE189" i="4"/>
  <c r="BA190" i="4"/>
  <c r="BD190" i="4"/>
  <c r="BE190" i="4"/>
  <c r="AZ191" i="4"/>
  <c r="BD191" i="4"/>
  <c r="BA192" i="4"/>
  <c r="BD192" i="4"/>
  <c r="BE192" i="4"/>
  <c r="BA193" i="4"/>
  <c r="BD193" i="4"/>
  <c r="BE193" i="4"/>
  <c r="BA194" i="4"/>
  <c r="BD194" i="4"/>
  <c r="BE194" i="4"/>
  <c r="AZ195" i="4"/>
  <c r="BD195" i="4"/>
  <c r="BA198" i="4"/>
  <c r="BD198" i="4"/>
  <c r="BE198" i="4"/>
  <c r="BA199" i="4"/>
  <c r="BD199" i="4"/>
  <c r="BE199" i="4"/>
  <c r="BA200" i="4"/>
  <c r="BD200" i="4"/>
  <c r="BE200" i="4"/>
  <c r="BA201" i="4"/>
  <c r="BD201" i="4"/>
  <c r="BE201" i="4"/>
  <c r="BA202" i="4"/>
  <c r="BD202" i="4"/>
  <c r="BE202" i="4"/>
  <c r="BA203" i="4"/>
  <c r="BD203" i="4"/>
  <c r="BE203" i="4"/>
  <c r="BA204" i="4"/>
  <c r="BD204" i="4"/>
  <c r="BE204" i="4"/>
  <c r="BA205" i="4"/>
  <c r="BD205" i="4"/>
  <c r="BE205" i="4"/>
  <c r="BA206" i="4"/>
  <c r="BD206" i="4"/>
  <c r="BE206" i="4"/>
  <c r="BA207" i="4"/>
  <c r="BD207" i="4"/>
  <c r="BE207" i="4"/>
  <c r="BA208" i="4"/>
  <c r="BD208" i="4"/>
  <c r="BE208" i="4"/>
  <c r="BA209" i="4"/>
  <c r="BD209" i="4"/>
  <c r="BE209" i="4"/>
  <c r="BA210" i="4"/>
  <c r="BD210" i="4"/>
  <c r="BE210" i="4"/>
  <c r="BA211" i="4"/>
  <c r="BD211" i="4"/>
  <c r="BE211" i="4"/>
  <c r="BA212" i="4"/>
  <c r="BD212" i="4"/>
  <c r="BE212" i="4"/>
  <c r="BA213" i="4"/>
  <c r="BD213" i="4"/>
  <c r="BE213" i="4"/>
  <c r="BA214" i="4"/>
  <c r="BD214" i="4"/>
  <c r="BE214" i="4"/>
  <c r="BA215" i="4"/>
  <c r="BD215" i="4"/>
  <c r="BE215" i="4"/>
  <c r="BA216" i="4"/>
  <c r="BD216" i="4"/>
  <c r="BE216" i="4"/>
  <c r="BA217" i="4"/>
  <c r="BD217" i="4"/>
  <c r="BE217" i="4"/>
  <c r="BA218" i="4"/>
  <c r="BD218" i="4"/>
  <c r="BE218" i="4"/>
  <c r="BA229" i="4"/>
  <c r="BD229" i="4"/>
  <c r="BE229" i="4"/>
  <c r="BA230" i="4"/>
  <c r="BD230" i="4"/>
  <c r="BE230" i="4"/>
  <c r="BA231" i="4"/>
  <c r="BD231" i="4"/>
  <c r="BE231" i="4"/>
  <c r="BA232" i="4"/>
  <c r="BD232" i="4"/>
  <c r="BE232" i="4"/>
  <c r="BA233" i="4"/>
  <c r="BD233" i="4"/>
  <c r="BE233" i="4"/>
  <c r="BA234" i="4"/>
  <c r="BD234" i="4"/>
  <c r="BE234" i="4"/>
  <c r="BA235" i="4"/>
  <c r="BD235" i="4"/>
  <c r="BE235" i="4"/>
  <c r="BA236" i="4"/>
  <c r="BD236" i="4"/>
  <c r="BE236" i="4"/>
  <c r="BA237" i="4"/>
  <c r="BD237" i="4"/>
  <c r="BE237" i="4"/>
  <c r="BA238" i="4"/>
  <c r="BD238" i="4"/>
  <c r="BE238" i="4"/>
  <c r="BA239" i="4"/>
  <c r="BD239" i="4"/>
  <c r="BE239" i="4"/>
  <c r="BA242" i="4"/>
  <c r="BD242" i="4"/>
  <c r="BE242" i="4"/>
  <c r="BA243" i="4"/>
  <c r="BD243" i="4"/>
  <c r="BE243" i="4"/>
  <c r="BA244" i="4"/>
  <c r="BD244" i="4"/>
  <c r="BE244" i="4"/>
  <c r="BA245" i="4"/>
  <c r="BD245" i="4"/>
  <c r="BE245" i="4"/>
  <c r="BA246" i="4"/>
  <c r="BD246" i="4"/>
  <c r="BE246" i="4"/>
  <c r="BA247" i="4"/>
  <c r="BD247" i="4"/>
  <c r="BE247" i="4"/>
  <c r="BA248" i="4"/>
  <c r="BD248" i="4"/>
  <c r="BE248" i="4"/>
  <c r="BA249" i="4"/>
  <c r="BD249" i="4"/>
  <c r="BE249" i="4"/>
  <c r="BA250" i="4"/>
  <c r="BD250" i="4"/>
  <c r="BE250" i="4"/>
  <c r="BA251" i="4"/>
  <c r="BD251" i="4"/>
  <c r="BE251" i="4"/>
  <c r="BA252" i="4"/>
  <c r="BD252" i="4"/>
  <c r="BE252" i="4"/>
  <c r="BA253" i="4"/>
  <c r="BD253" i="4"/>
  <c r="BE253" i="4"/>
  <c r="AZ254" i="4"/>
  <c r="BA254" i="4"/>
  <c r="BD254" i="4"/>
  <c r="BE254" i="4"/>
  <c r="AZ255" i="4"/>
  <c r="BA255" i="4"/>
  <c r="BD255" i="4"/>
  <c r="BE255" i="4"/>
  <c r="BE110" i="4"/>
  <c r="BD110" i="4"/>
  <c r="AZ110" i="4"/>
  <c r="BJ111" i="4"/>
  <c r="BJ112" i="4"/>
  <c r="BJ113" i="4"/>
  <c r="BJ114" i="4"/>
  <c r="BJ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53" i="4"/>
  <c r="BJ154" i="4"/>
  <c r="BJ155" i="4"/>
  <c r="BJ156" i="4"/>
  <c r="BJ157" i="4"/>
  <c r="BJ159" i="4"/>
  <c r="BJ160" i="4"/>
  <c r="BJ161" i="4"/>
  <c r="BJ162" i="4"/>
  <c r="BJ163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91" i="4"/>
  <c r="BJ195" i="4"/>
  <c r="BJ196" i="4"/>
  <c r="BJ197" i="4"/>
  <c r="BJ198" i="4"/>
  <c r="BJ199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8" i="4"/>
  <c r="BJ240" i="4"/>
  <c r="BJ241" i="4"/>
  <c r="BJ242" i="4"/>
  <c r="BJ243" i="4"/>
  <c r="BJ254" i="4"/>
  <c r="BJ255" i="4"/>
  <c r="BJ110" i="4"/>
  <c r="CD111" i="4"/>
  <c r="CD112" i="4"/>
  <c r="CD113" i="4"/>
  <c r="CD114" i="4"/>
  <c r="CD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9" i="4"/>
  <c r="CD160" i="4"/>
  <c r="CD161" i="4"/>
  <c r="CD162" i="4"/>
  <c r="CD163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8" i="4"/>
  <c r="CD229" i="4"/>
  <c r="CD230" i="4"/>
  <c r="CD231" i="4"/>
  <c r="CD232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110" i="4"/>
  <c r="BT110" i="4" l="1"/>
  <c r="P704" i="4"/>
  <c r="P705" i="4" s="1"/>
  <c r="BS142" i="4"/>
  <c r="O704" i="4"/>
  <c r="BS147" i="4"/>
  <c r="BT111" i="4"/>
  <c r="BT204" i="4"/>
  <c r="BS189" i="4"/>
  <c r="P155" i="4"/>
  <c r="BT155" i="4" s="1"/>
  <c r="BD9" i="4"/>
  <c r="BE9" i="4"/>
  <c r="BD10" i="4"/>
  <c r="BE10" i="4"/>
  <c r="BD11" i="4"/>
  <c r="BE11" i="4"/>
  <c r="BD12" i="4"/>
  <c r="BE12" i="4"/>
  <c r="BD13" i="4"/>
  <c r="BE13" i="4"/>
  <c r="BD14" i="4"/>
  <c r="BE14" i="4"/>
  <c r="BD15" i="4"/>
  <c r="BE15" i="4"/>
  <c r="BD16" i="4"/>
  <c r="BE16" i="4"/>
  <c r="BD17" i="4"/>
  <c r="BE17" i="4"/>
  <c r="BD18" i="4"/>
  <c r="BE18" i="4"/>
  <c r="BD19" i="4"/>
  <c r="BE19" i="4"/>
  <c r="BD20" i="4"/>
  <c r="BE20" i="4"/>
  <c r="BD21" i="4"/>
  <c r="BE21" i="4"/>
  <c r="BD22" i="4"/>
  <c r="BE22" i="4"/>
  <c r="BD23" i="4"/>
  <c r="BE23" i="4"/>
  <c r="BD24" i="4"/>
  <c r="BE24" i="4"/>
  <c r="BD25" i="4"/>
  <c r="BE25" i="4"/>
  <c r="BD26" i="4"/>
  <c r="BE26" i="4"/>
  <c r="BD27" i="4"/>
  <c r="BE27" i="4"/>
  <c r="BD28" i="4"/>
  <c r="BE28" i="4"/>
  <c r="BD29" i="4"/>
  <c r="BE29" i="4"/>
  <c r="BD30" i="4"/>
  <c r="BE30" i="4"/>
  <c r="BD31" i="4"/>
  <c r="BE31" i="4"/>
  <c r="BD32" i="4"/>
  <c r="BE32" i="4"/>
  <c r="BD33" i="4"/>
  <c r="BE33" i="4"/>
  <c r="BD34" i="4"/>
  <c r="BD35" i="4"/>
  <c r="BE35" i="4"/>
  <c r="BD36" i="4"/>
  <c r="BE36" i="4"/>
  <c r="BD37" i="4"/>
  <c r="BE37" i="4"/>
  <c r="BD38" i="4"/>
  <c r="BE38" i="4"/>
  <c r="BD39" i="4"/>
  <c r="BE39" i="4"/>
  <c r="BD40" i="4"/>
  <c r="BE40" i="4"/>
  <c r="BD41" i="4"/>
  <c r="BE41" i="4"/>
  <c r="BE42" i="4"/>
  <c r="BD43" i="4"/>
  <c r="BE43" i="4"/>
  <c r="BE44" i="4"/>
  <c r="BD45" i="4"/>
  <c r="BE45" i="4"/>
  <c r="BD46" i="4"/>
  <c r="BE46" i="4"/>
  <c r="BD47" i="4"/>
  <c r="BE47" i="4"/>
  <c r="BD49" i="4"/>
  <c r="BD50" i="4"/>
  <c r="BE50" i="4"/>
  <c r="BD51" i="4"/>
  <c r="BE51" i="4"/>
  <c r="BD52" i="4"/>
  <c r="BE52" i="4"/>
  <c r="BD53" i="4"/>
  <c r="BE53" i="4"/>
  <c r="BD54" i="4"/>
  <c r="BE54" i="4"/>
  <c r="BD55" i="4"/>
  <c r="BE55" i="4"/>
  <c r="BD56" i="4"/>
  <c r="BE56" i="4"/>
  <c r="BD57" i="4"/>
  <c r="BE57" i="4"/>
  <c r="BD58" i="4"/>
  <c r="BE58" i="4"/>
  <c r="BD59" i="4"/>
  <c r="BE59" i="4"/>
  <c r="BD60" i="4"/>
  <c r="BE60" i="4"/>
  <c r="BD61" i="4"/>
  <c r="BE61" i="4"/>
  <c r="BD62" i="4"/>
  <c r="BE62" i="4"/>
  <c r="BD63" i="4"/>
  <c r="BD64" i="4"/>
  <c r="BE64" i="4"/>
  <c r="BD65" i="4"/>
  <c r="BE65" i="4"/>
  <c r="BE66" i="4"/>
  <c r="BD67" i="4"/>
  <c r="BE67" i="4"/>
  <c r="BE8" i="4"/>
  <c r="BD8" i="4"/>
  <c r="AZ9" i="4"/>
  <c r="BA9" i="4"/>
  <c r="AZ10" i="4"/>
  <c r="BA10" i="4"/>
  <c r="AZ11" i="4"/>
  <c r="BA11" i="4"/>
  <c r="AZ12" i="4"/>
  <c r="BA12" i="4"/>
  <c r="AZ13" i="4"/>
  <c r="BA13" i="4"/>
  <c r="AZ14" i="4"/>
  <c r="BA14" i="4"/>
  <c r="AZ15" i="4"/>
  <c r="BA15" i="4"/>
  <c r="AZ16" i="4"/>
  <c r="BA16" i="4"/>
  <c r="AZ17" i="4"/>
  <c r="BA17" i="4"/>
  <c r="AZ18" i="4"/>
  <c r="BA18" i="4"/>
  <c r="AZ19" i="4"/>
  <c r="BA19" i="4"/>
  <c r="AZ20" i="4"/>
  <c r="BA20" i="4"/>
  <c r="AZ21" i="4"/>
  <c r="BA21" i="4"/>
  <c r="AZ22" i="4"/>
  <c r="BA22" i="4"/>
  <c r="AZ23" i="4"/>
  <c r="BA23" i="4"/>
  <c r="AZ24" i="4"/>
  <c r="BA24" i="4"/>
  <c r="AZ25" i="4"/>
  <c r="BA25" i="4"/>
  <c r="AZ26" i="4"/>
  <c r="BA26" i="4"/>
  <c r="AZ27" i="4"/>
  <c r="BA27" i="4"/>
  <c r="AZ28" i="4"/>
  <c r="BA28" i="4"/>
  <c r="AZ29" i="4"/>
  <c r="BA29" i="4"/>
  <c r="AZ30" i="4"/>
  <c r="BA30" i="4"/>
  <c r="AZ31" i="4"/>
  <c r="BA31" i="4"/>
  <c r="AZ32" i="4"/>
  <c r="BA32" i="4"/>
  <c r="AZ33" i="4"/>
  <c r="BA33" i="4"/>
  <c r="AZ34" i="4"/>
  <c r="BA34" i="4"/>
  <c r="AZ35" i="4"/>
  <c r="BA35" i="4"/>
  <c r="AZ36" i="4"/>
  <c r="BA36" i="4"/>
  <c r="AZ37" i="4"/>
  <c r="BA37" i="4"/>
  <c r="AZ38" i="4"/>
  <c r="BA38" i="4"/>
  <c r="AZ39" i="4"/>
  <c r="BA39" i="4"/>
  <c r="AZ40" i="4"/>
  <c r="BA40" i="4"/>
  <c r="AZ41" i="4"/>
  <c r="BA41" i="4"/>
  <c r="AZ42" i="4"/>
  <c r="BA42" i="4"/>
  <c r="AZ43" i="4"/>
  <c r="BA43" i="4"/>
  <c r="AZ44" i="4"/>
  <c r="BA44" i="4"/>
  <c r="AZ45" i="4"/>
  <c r="BA45" i="4"/>
  <c r="AZ46" i="4"/>
  <c r="BA46" i="4"/>
  <c r="AZ47" i="4"/>
  <c r="BA47" i="4"/>
  <c r="AZ49" i="4"/>
  <c r="BA49" i="4"/>
  <c r="AZ50" i="4"/>
  <c r="BA50" i="4"/>
  <c r="AZ51" i="4"/>
  <c r="BA51" i="4"/>
  <c r="AZ52" i="4"/>
  <c r="BA52" i="4"/>
  <c r="AZ53" i="4"/>
  <c r="BA53" i="4"/>
  <c r="AZ54" i="4"/>
  <c r="BA54" i="4"/>
  <c r="AZ55" i="4"/>
  <c r="BA55" i="4"/>
  <c r="AZ56" i="4"/>
  <c r="BA56" i="4"/>
  <c r="AZ57" i="4"/>
  <c r="BA57" i="4"/>
  <c r="AZ58" i="4"/>
  <c r="BA58" i="4"/>
  <c r="AZ59" i="4"/>
  <c r="BA59" i="4"/>
  <c r="AZ60" i="4"/>
  <c r="BA60" i="4"/>
  <c r="AZ61" i="4"/>
  <c r="BA61" i="4"/>
  <c r="AZ62" i="4"/>
  <c r="BA62" i="4"/>
  <c r="AZ63" i="4"/>
  <c r="BA63" i="4"/>
  <c r="AZ64" i="4"/>
  <c r="BA64" i="4"/>
  <c r="AZ65" i="4"/>
  <c r="BA65" i="4"/>
  <c r="AZ66" i="4"/>
  <c r="BA66" i="4"/>
  <c r="AZ67" i="4"/>
  <c r="BA67" i="4"/>
  <c r="BA8" i="4"/>
  <c r="AZ8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O60" i="4"/>
  <c r="O59" i="4"/>
  <c r="O58" i="4"/>
  <c r="O57" i="4"/>
  <c r="O56" i="4"/>
  <c r="O55" i="4"/>
  <c r="O54" i="4"/>
  <c r="O53" i="4"/>
  <c r="O52" i="4"/>
  <c r="O51" i="4"/>
  <c r="O50" i="4"/>
  <c r="O49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61" i="4"/>
  <c r="O62" i="4"/>
  <c r="O63" i="4"/>
  <c r="O64" i="4"/>
  <c r="O65" i="4"/>
  <c r="O66" i="4"/>
  <c r="O67" i="4"/>
  <c r="DT221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197" i="2"/>
  <c r="E198" i="2"/>
  <c r="L198" i="2"/>
  <c r="E199" i="2"/>
  <c r="L199" i="2"/>
  <c r="E200" i="2"/>
  <c r="L200" i="2"/>
  <c r="E201" i="2"/>
  <c r="L201" i="2"/>
  <c r="E202" i="2"/>
  <c r="L202" i="2"/>
  <c r="E203" i="2"/>
  <c r="L203" i="2"/>
  <c r="E204" i="2"/>
  <c r="L204" i="2"/>
  <c r="E205" i="2"/>
  <c r="L205" i="2"/>
  <c r="E206" i="2"/>
  <c r="L206" i="2"/>
  <c r="E207" i="2"/>
  <c r="L207" i="2"/>
  <c r="E208" i="2"/>
  <c r="L208" i="2"/>
  <c r="E209" i="2"/>
  <c r="L209" i="2"/>
  <c r="E210" i="2"/>
  <c r="L210" i="2"/>
  <c r="E211" i="2"/>
  <c r="L211" i="2"/>
  <c r="E212" i="2"/>
  <c r="L212" i="2"/>
  <c r="E213" i="2"/>
  <c r="L213" i="2"/>
  <c r="E214" i="2"/>
  <c r="L214" i="2"/>
  <c r="E215" i="2"/>
  <c r="L215" i="2"/>
  <c r="E216" i="2"/>
  <c r="L216" i="2"/>
  <c r="E217" i="2"/>
  <c r="L217" i="2"/>
  <c r="E218" i="2"/>
  <c r="L218" i="2"/>
  <c r="E219" i="2"/>
  <c r="L219" i="2"/>
  <c r="E220" i="2"/>
  <c r="L220" i="2"/>
  <c r="E221" i="2"/>
  <c r="L221" i="2"/>
  <c r="E222" i="2"/>
  <c r="L222" i="2"/>
  <c r="E223" i="2"/>
  <c r="L223" i="2"/>
  <c r="E224" i="2"/>
  <c r="L224" i="2"/>
  <c r="E225" i="2"/>
  <c r="L225" i="2"/>
  <c r="E226" i="2"/>
  <c r="L226" i="2"/>
  <c r="E227" i="2"/>
  <c r="L227" i="2"/>
  <c r="E228" i="2"/>
  <c r="L228" i="2"/>
  <c r="E229" i="2"/>
  <c r="L229" i="2"/>
  <c r="L197" i="2"/>
  <c r="E197" i="2"/>
  <c r="DT191" i="2"/>
  <c r="L192" i="2"/>
  <c r="E192" i="2"/>
  <c r="DT152" i="2"/>
  <c r="E704" i="4" l="1"/>
  <c r="L188" i="2"/>
  <c r="E188" i="2"/>
  <c r="L187" i="2"/>
  <c r="E187" i="2"/>
  <c r="L186" i="2"/>
  <c r="E186" i="2"/>
  <c r="L185" i="2"/>
  <c r="E185" i="2"/>
  <c r="L184" i="2"/>
  <c r="E184" i="2"/>
  <c r="L183" i="2"/>
  <c r="E183" i="2"/>
  <c r="L182" i="2"/>
  <c r="E182" i="2"/>
  <c r="L181" i="2"/>
  <c r="E181" i="2"/>
  <c r="L180" i="2"/>
  <c r="E180" i="2"/>
  <c r="L179" i="2"/>
  <c r="E179" i="2"/>
  <c r="L178" i="2"/>
  <c r="E178" i="2"/>
  <c r="L177" i="2"/>
  <c r="E177" i="2"/>
  <c r="L148" i="2"/>
  <c r="E148" i="2"/>
  <c r="L147" i="2"/>
  <c r="E147" i="2"/>
  <c r="L146" i="2"/>
  <c r="E146" i="2"/>
  <c r="L145" i="2"/>
  <c r="E145" i="2"/>
  <c r="L144" i="2"/>
  <c r="E144" i="2"/>
  <c r="L143" i="2"/>
  <c r="E143" i="2"/>
  <c r="L142" i="2"/>
  <c r="E142" i="2"/>
  <c r="L141" i="2"/>
  <c r="E141" i="2"/>
  <c r="L158" i="2"/>
  <c r="E158" i="2"/>
  <c r="L157" i="2"/>
  <c r="E157" i="2"/>
  <c r="L156" i="2"/>
  <c r="E156" i="2"/>
  <c r="L155" i="2"/>
  <c r="E155" i="2"/>
  <c r="L154" i="2"/>
  <c r="E154" i="2"/>
  <c r="L153" i="2"/>
  <c r="E153" i="2"/>
  <c r="L152" i="2"/>
  <c r="E152" i="2"/>
  <c r="L151" i="2"/>
  <c r="E151" i="2"/>
  <c r="E162" i="2"/>
  <c r="L162" i="2"/>
  <c r="E163" i="2"/>
  <c r="L163" i="2"/>
  <c r="E164" i="2"/>
  <c r="L164" i="2"/>
  <c r="E165" i="2"/>
  <c r="L165" i="2"/>
  <c r="E166" i="2"/>
  <c r="L166" i="2"/>
  <c r="E167" i="2"/>
  <c r="L167" i="2"/>
  <c r="E168" i="2"/>
  <c r="L168" i="2"/>
  <c r="E169" i="2"/>
  <c r="L169" i="2"/>
  <c r="E170" i="2"/>
  <c r="L170" i="2"/>
  <c r="E171" i="2"/>
  <c r="L171" i="2"/>
  <c r="E172" i="2"/>
  <c r="L172" i="2"/>
  <c r="E173" i="2"/>
  <c r="L173" i="2"/>
  <c r="E174" i="2"/>
  <c r="L174" i="2"/>
  <c r="L161" i="2"/>
  <c r="E161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E119" i="2"/>
  <c r="L119" i="2"/>
  <c r="E120" i="2"/>
  <c r="L120" i="2"/>
  <c r="E121" i="2"/>
  <c r="L121" i="2"/>
  <c r="E122" i="2"/>
  <c r="L122" i="2"/>
  <c r="E123" i="2"/>
  <c r="L123" i="2"/>
  <c r="E124" i="2"/>
  <c r="L124" i="2"/>
  <c r="E125" i="2"/>
  <c r="L125" i="2"/>
  <c r="E126" i="2"/>
  <c r="L126" i="2"/>
  <c r="E127" i="2"/>
  <c r="L127" i="2"/>
  <c r="E128" i="2"/>
  <c r="L128" i="2"/>
  <c r="E129" i="2"/>
  <c r="L129" i="2"/>
  <c r="E130" i="2"/>
  <c r="L130" i="2"/>
  <c r="E131" i="2"/>
  <c r="L131" i="2"/>
  <c r="E132" i="2"/>
  <c r="L132" i="2"/>
  <c r="E133" i="2"/>
  <c r="L133" i="2"/>
  <c r="E134" i="2"/>
  <c r="L134" i="2"/>
  <c r="E135" i="2"/>
  <c r="L135" i="2"/>
  <c r="E136" i="2"/>
  <c r="L136" i="2"/>
  <c r="E137" i="2"/>
  <c r="L137" i="2"/>
  <c r="L118" i="2"/>
  <c r="E118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E115" i="2"/>
  <c r="L115" i="2"/>
  <c r="E101" i="2"/>
  <c r="L101" i="2"/>
  <c r="E102" i="2"/>
  <c r="L102" i="2"/>
  <c r="E103" i="2"/>
  <c r="L103" i="2"/>
  <c r="E104" i="2"/>
  <c r="L104" i="2"/>
  <c r="E105" i="2"/>
  <c r="L105" i="2"/>
  <c r="E106" i="2"/>
  <c r="L106" i="2"/>
  <c r="E107" i="2"/>
  <c r="L107" i="2"/>
  <c r="E108" i="2"/>
  <c r="L108" i="2"/>
  <c r="E109" i="2"/>
  <c r="L109" i="2"/>
  <c r="E110" i="2"/>
  <c r="L110" i="2"/>
  <c r="E111" i="2"/>
  <c r="L111" i="2"/>
  <c r="E112" i="2"/>
  <c r="L112" i="2"/>
  <c r="E113" i="2"/>
  <c r="L113" i="2"/>
  <c r="E114" i="2"/>
  <c r="L114" i="2"/>
  <c r="L100" i="2"/>
  <c r="E100" i="2"/>
  <c r="DT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83" i="2"/>
  <c r="E84" i="2"/>
  <c r="L84" i="2"/>
  <c r="E85" i="2"/>
  <c r="L85" i="2"/>
  <c r="E86" i="2"/>
  <c r="L86" i="2"/>
  <c r="E87" i="2"/>
  <c r="L87" i="2"/>
  <c r="E88" i="2"/>
  <c r="L88" i="2"/>
  <c r="E89" i="2"/>
  <c r="L89" i="2"/>
  <c r="E90" i="2"/>
  <c r="L90" i="2"/>
  <c r="E91" i="2"/>
  <c r="L91" i="2"/>
  <c r="E92" i="2"/>
  <c r="L92" i="2"/>
  <c r="E93" i="2"/>
  <c r="L93" i="2"/>
  <c r="E94" i="2"/>
  <c r="L94" i="2"/>
  <c r="E95" i="2"/>
  <c r="L95" i="2"/>
  <c r="E96" i="2"/>
  <c r="L96" i="2"/>
  <c r="L83" i="2"/>
  <c r="E83" i="2"/>
  <c r="E202" i="29"/>
  <c r="E163" i="29"/>
  <c r="CW87" i="29"/>
  <c r="DA87" i="29"/>
  <c r="CW88" i="29"/>
  <c r="DA88" i="29"/>
  <c r="CW89" i="29"/>
  <c r="DA89" i="29"/>
  <c r="CW359" i="29"/>
  <c r="DA359" i="29"/>
  <c r="CW360" i="29"/>
  <c r="DA360" i="29"/>
  <c r="CW361" i="29"/>
  <c r="DA361" i="29"/>
  <c r="CW362" i="29"/>
  <c r="DA362" i="29"/>
  <c r="CW363" i="29"/>
  <c r="DA363" i="29"/>
  <c r="CW364" i="29"/>
  <c r="DA364" i="29"/>
  <c r="CW365" i="29"/>
  <c r="DA365" i="29"/>
  <c r="CW366" i="29"/>
  <c r="DA366" i="29"/>
  <c r="CW367" i="29"/>
  <c r="DA367" i="29"/>
  <c r="CW368" i="29"/>
  <c r="DA368" i="29"/>
  <c r="CW369" i="29"/>
  <c r="DA369" i="29"/>
  <c r="CW370" i="29"/>
  <c r="DA370" i="29"/>
  <c r="CW371" i="29"/>
  <c r="DA371" i="29"/>
  <c r="CW372" i="29"/>
  <c r="DA372" i="29"/>
  <c r="CW373" i="29"/>
  <c r="DA373" i="29"/>
  <c r="CW374" i="29"/>
  <c r="DA374" i="29"/>
  <c r="CW375" i="29"/>
  <c r="DA375" i="29"/>
  <c r="CW376" i="29"/>
  <c r="DA376" i="29"/>
  <c r="CW377" i="29"/>
  <c r="DA377" i="29"/>
  <c r="DA358" i="29"/>
  <c r="CW358" i="29"/>
  <c r="BY553" i="4" l="1"/>
  <c r="BQ510" i="4"/>
  <c r="BQ511" i="4"/>
  <c r="BQ512" i="4"/>
  <c r="BQ513" i="4"/>
  <c r="BQ514" i="4"/>
  <c r="BQ515" i="4"/>
  <c r="BQ516" i="4"/>
  <c r="BQ517" i="4"/>
  <c r="BQ518" i="4"/>
  <c r="BQ519" i="4"/>
  <c r="BQ520" i="4"/>
  <c r="BQ521" i="4"/>
  <c r="BQ522" i="4"/>
  <c r="BQ523" i="4"/>
  <c r="BQ524" i="4"/>
  <c r="BQ525" i="4"/>
  <c r="BQ526" i="4"/>
  <c r="BQ527" i="4"/>
  <c r="BQ528" i="4"/>
  <c r="BQ529" i="4"/>
  <c r="BQ530" i="4"/>
  <c r="BQ532" i="4"/>
  <c r="BQ533" i="4"/>
  <c r="BQ534" i="4"/>
  <c r="BQ535" i="4"/>
  <c r="BQ536" i="4"/>
  <c r="BQ537" i="4"/>
  <c r="BQ538" i="4"/>
  <c r="BQ539" i="4"/>
  <c r="BQ540" i="4"/>
  <c r="BQ541" i="4"/>
  <c r="BQ542" i="4"/>
  <c r="BQ543" i="4"/>
  <c r="BQ544" i="4"/>
  <c r="BQ545" i="4"/>
  <c r="BQ546" i="4"/>
  <c r="BQ547" i="4"/>
  <c r="BQ548" i="4"/>
  <c r="BQ549" i="4"/>
  <c r="BQ550" i="4"/>
  <c r="BQ551" i="4"/>
  <c r="BQ552" i="4"/>
  <c r="BQ553" i="4"/>
  <c r="BQ509" i="4"/>
  <c r="BT542" i="4"/>
  <c r="BT543" i="4"/>
  <c r="BT544" i="4"/>
  <c r="BT553" i="4"/>
  <c r="BT509" i="4"/>
  <c r="BA509" i="4"/>
  <c r="BA510" i="4"/>
  <c r="BA511" i="4"/>
  <c r="BA512" i="4"/>
  <c r="BA513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2" i="4"/>
  <c r="AZ533" i="4"/>
  <c r="AZ534" i="4"/>
  <c r="AZ535" i="4"/>
  <c r="AZ536" i="4"/>
  <c r="AZ537" i="4"/>
  <c r="AZ538" i="4"/>
  <c r="AZ539" i="4"/>
  <c r="AZ540" i="4"/>
  <c r="AZ541" i="4"/>
  <c r="AZ542" i="4"/>
  <c r="AZ543" i="4"/>
  <c r="AZ544" i="4"/>
  <c r="AZ545" i="4"/>
  <c r="AZ546" i="4"/>
  <c r="AZ547" i="4"/>
  <c r="AZ548" i="4"/>
  <c r="AZ549" i="4"/>
  <c r="AZ550" i="4"/>
  <c r="AZ551" i="4"/>
  <c r="AZ552" i="4"/>
  <c r="AZ553" i="4"/>
  <c r="BI542" i="4"/>
  <c r="BI543" i="4"/>
  <c r="BI544" i="4"/>
  <c r="BI545" i="4"/>
  <c r="BI546" i="4"/>
  <c r="BI547" i="4"/>
  <c r="BI548" i="4"/>
  <c r="BI549" i="4"/>
  <c r="BI550" i="4"/>
  <c r="BI551" i="4"/>
  <c r="BI552" i="4"/>
  <c r="BI553" i="4"/>
  <c r="CD509" i="4"/>
  <c r="CD510" i="4"/>
  <c r="CD511" i="4"/>
  <c r="CD512" i="4"/>
  <c r="CD513" i="4"/>
  <c r="CD514" i="4"/>
  <c r="CD515" i="4"/>
  <c r="CD516" i="4"/>
  <c r="CD517" i="4"/>
  <c r="CD518" i="4"/>
  <c r="CD519" i="4"/>
  <c r="CD520" i="4"/>
  <c r="CD521" i="4"/>
  <c r="CD522" i="4"/>
  <c r="CD523" i="4"/>
  <c r="CD524" i="4"/>
  <c r="CD525" i="4"/>
  <c r="CD526" i="4"/>
  <c r="CD527" i="4"/>
  <c r="CD528" i="4"/>
  <c r="CD529" i="4"/>
  <c r="CD530" i="4"/>
  <c r="CD532" i="4"/>
  <c r="CD533" i="4"/>
  <c r="CD534" i="4"/>
  <c r="CD535" i="4"/>
  <c r="CD536" i="4"/>
  <c r="CD537" i="4"/>
  <c r="CD538" i="4"/>
  <c r="CD539" i="4"/>
  <c r="CD540" i="4"/>
  <c r="CD541" i="4"/>
  <c r="CD542" i="4"/>
  <c r="CD543" i="4"/>
  <c r="CD544" i="4"/>
  <c r="CD545" i="4"/>
  <c r="CD546" i="4"/>
  <c r="CD547" i="4"/>
  <c r="CD548" i="4"/>
  <c r="CD549" i="4"/>
  <c r="CD550" i="4"/>
  <c r="CD551" i="4"/>
  <c r="CD552" i="4"/>
  <c r="CD553" i="4"/>
  <c r="P542" i="4"/>
  <c r="P543" i="4"/>
  <c r="P509" i="4"/>
  <c r="P703" i="4" s="1"/>
  <c r="CW412" i="29"/>
  <c r="DA412" i="29"/>
  <c r="CW413" i="29"/>
  <c r="DA413" i="29"/>
  <c r="CW414" i="29"/>
  <c r="DA414" i="29"/>
  <c r="CW415" i="29"/>
  <c r="DA415" i="29"/>
  <c r="CW416" i="29"/>
  <c r="DA416" i="29"/>
  <c r="CW417" i="29"/>
  <c r="DA417" i="29"/>
  <c r="CW418" i="29"/>
  <c r="DA418" i="29"/>
  <c r="CW419" i="29"/>
  <c r="DA419" i="29"/>
  <c r="CW420" i="29"/>
  <c r="DA420" i="29"/>
  <c r="CW421" i="29"/>
  <c r="DA421" i="29"/>
  <c r="CW422" i="29"/>
  <c r="DA422" i="29"/>
  <c r="CW423" i="29"/>
  <c r="DA423" i="29"/>
  <c r="CW424" i="29"/>
  <c r="DA424" i="29"/>
  <c r="CW425" i="29"/>
  <c r="DA425" i="29"/>
  <c r="CW426" i="29"/>
  <c r="DA426" i="29"/>
  <c r="CW427" i="29"/>
  <c r="DA427" i="29"/>
  <c r="CW428" i="29"/>
  <c r="DA428" i="29"/>
  <c r="CW429" i="29"/>
  <c r="DA429" i="29"/>
  <c r="CW430" i="29"/>
  <c r="DA430" i="29"/>
  <c r="CW431" i="29"/>
  <c r="DA431" i="29"/>
  <c r="CW411" i="29"/>
  <c r="DA411" i="29"/>
  <c r="CV383" i="29"/>
  <c r="CZ383" i="29"/>
  <c r="CV384" i="29"/>
  <c r="CZ384" i="29"/>
  <c r="CV385" i="29"/>
  <c r="CZ385" i="29"/>
  <c r="CV386" i="29"/>
  <c r="CZ386" i="29"/>
  <c r="CV387" i="29"/>
  <c r="CZ387" i="29"/>
  <c r="CV388" i="29"/>
  <c r="CZ388" i="29"/>
  <c r="CV389" i="29"/>
  <c r="CZ389" i="29"/>
  <c r="CV390" i="29"/>
  <c r="CZ390" i="29"/>
  <c r="CV391" i="29"/>
  <c r="CZ391" i="29"/>
  <c r="CV392" i="29"/>
  <c r="CZ392" i="29"/>
  <c r="CV393" i="29"/>
  <c r="CZ393" i="29"/>
  <c r="CV394" i="29"/>
  <c r="CZ394" i="29"/>
  <c r="CV395" i="29"/>
  <c r="CZ395" i="29"/>
  <c r="CV396" i="29"/>
  <c r="CZ396" i="29"/>
  <c r="CV397" i="29"/>
  <c r="CZ397" i="29"/>
  <c r="CV398" i="29"/>
  <c r="CZ398" i="29"/>
  <c r="CV399" i="29"/>
  <c r="CZ399" i="29"/>
  <c r="CV400" i="29"/>
  <c r="CZ400" i="29"/>
  <c r="CV401" i="29"/>
  <c r="CZ401" i="29"/>
  <c r="CV402" i="29"/>
  <c r="CZ402" i="29"/>
  <c r="CV403" i="29"/>
  <c r="CZ403" i="29"/>
  <c r="CV404" i="29"/>
  <c r="CZ404" i="29"/>
  <c r="CV405" i="29"/>
  <c r="CZ405" i="29"/>
  <c r="CV406" i="29"/>
  <c r="CZ406" i="29"/>
  <c r="CV407" i="29"/>
  <c r="CZ407" i="29"/>
  <c r="CV408" i="29"/>
  <c r="CZ408" i="29"/>
  <c r="CV382" i="29"/>
  <c r="CZ382" i="29"/>
  <c r="CW334" i="29"/>
  <c r="DA334" i="29"/>
  <c r="CW335" i="29"/>
  <c r="DA335" i="29"/>
  <c r="CW336" i="29"/>
  <c r="DA336" i="29"/>
  <c r="CW337" i="29"/>
  <c r="DA337" i="29"/>
  <c r="CW338" i="29"/>
  <c r="DA338" i="29"/>
  <c r="CW339" i="29"/>
  <c r="DA339" i="29"/>
  <c r="CW340" i="29"/>
  <c r="DA340" i="29"/>
  <c r="CW341" i="29"/>
  <c r="DA341" i="29"/>
  <c r="CW342" i="29"/>
  <c r="DA342" i="29"/>
  <c r="CW343" i="29"/>
  <c r="DA343" i="29"/>
  <c r="CW344" i="29"/>
  <c r="DA344" i="29"/>
  <c r="CW345" i="29"/>
  <c r="DA345" i="29"/>
  <c r="CW346" i="29"/>
  <c r="DA346" i="29"/>
  <c r="CW379" i="29"/>
  <c r="DA379" i="29"/>
  <c r="CW333" i="29"/>
  <c r="DA333" i="29"/>
  <c r="CV268" i="29"/>
  <c r="CZ268" i="29"/>
  <c r="CV269" i="29"/>
  <c r="CZ269" i="29"/>
  <c r="CV270" i="29"/>
  <c r="CZ270" i="29"/>
  <c r="CV271" i="29"/>
  <c r="CZ271" i="29"/>
  <c r="CV272" i="29"/>
  <c r="CZ272" i="29"/>
  <c r="CV273" i="29"/>
  <c r="CZ273" i="29"/>
  <c r="CV274" i="29"/>
  <c r="CZ274" i="29"/>
  <c r="CV275" i="29"/>
  <c r="CZ275" i="29"/>
  <c r="CV276" i="29"/>
  <c r="CZ276" i="29"/>
  <c r="CV277" i="29"/>
  <c r="CZ277" i="29"/>
  <c r="CV278" i="29"/>
  <c r="CZ278" i="29"/>
  <c r="CV279" i="29"/>
  <c r="CZ279" i="29"/>
  <c r="CV267" i="29"/>
  <c r="CZ267" i="29"/>
  <c r="CW254" i="29"/>
  <c r="DA254" i="29"/>
  <c r="CW255" i="29"/>
  <c r="DA255" i="29"/>
  <c r="CW256" i="29"/>
  <c r="DA256" i="29"/>
  <c r="CW257" i="29"/>
  <c r="DA257" i="29"/>
  <c r="CW258" i="29"/>
  <c r="DA258" i="29"/>
  <c r="CW259" i="29"/>
  <c r="DA259" i="29"/>
  <c r="CW260" i="29"/>
  <c r="DA260" i="29"/>
  <c r="CW261" i="29"/>
  <c r="DA261" i="29"/>
  <c r="CW262" i="29"/>
  <c r="DA262" i="29"/>
  <c r="CW263" i="29"/>
  <c r="DA263" i="29"/>
  <c r="CW264" i="29"/>
  <c r="DA264" i="29"/>
  <c r="CW265" i="29"/>
  <c r="DA265" i="29"/>
  <c r="CW266" i="29"/>
  <c r="DA266" i="29"/>
  <c r="CW253" i="29"/>
  <c r="DA253" i="29"/>
  <c r="CX188" i="29"/>
  <c r="DB188" i="29"/>
  <c r="CX189" i="29"/>
  <c r="DB189" i="29"/>
  <c r="CX190" i="29"/>
  <c r="DB190" i="29"/>
  <c r="CX191" i="29"/>
  <c r="DB191" i="29"/>
  <c r="CX192" i="29"/>
  <c r="DB192" i="29"/>
  <c r="CX193" i="29"/>
  <c r="DB193" i="29"/>
  <c r="CX194" i="29"/>
  <c r="DB194" i="29"/>
  <c r="CX195" i="29"/>
  <c r="DB195" i="29"/>
  <c r="CX196" i="29"/>
  <c r="DB196" i="29"/>
  <c r="CX197" i="29"/>
  <c r="DB197" i="29"/>
  <c r="CX198" i="29"/>
  <c r="DB198" i="29"/>
  <c r="CX199" i="29"/>
  <c r="DB199" i="29"/>
  <c r="CX200" i="29"/>
  <c r="DB200" i="29"/>
  <c r="CX201" i="29"/>
  <c r="DB201" i="29"/>
  <c r="CX202" i="29"/>
  <c r="DB202" i="29"/>
  <c r="CX203" i="29"/>
  <c r="DB203" i="29"/>
  <c r="CX204" i="29"/>
  <c r="DB204" i="29"/>
  <c r="DB187" i="29"/>
  <c r="CX187" i="29"/>
  <c r="CW208" i="29"/>
  <c r="DA208" i="29"/>
  <c r="CW209" i="29"/>
  <c r="DA209" i="29"/>
  <c r="CW210" i="29"/>
  <c r="DA210" i="29"/>
  <c r="CW211" i="29"/>
  <c r="DA211" i="29"/>
  <c r="CW212" i="29"/>
  <c r="DA212" i="29"/>
  <c r="CW213" i="29"/>
  <c r="DA213" i="29"/>
  <c r="CW214" i="29"/>
  <c r="DA214" i="29"/>
  <c r="CW215" i="29"/>
  <c r="DA215" i="29"/>
  <c r="CW216" i="29"/>
  <c r="DA216" i="29"/>
  <c r="CW217" i="29"/>
  <c r="DA217" i="29"/>
  <c r="CW218" i="29"/>
  <c r="DA218" i="29"/>
  <c r="CW219" i="29"/>
  <c r="DA219" i="29"/>
  <c r="CW220" i="29"/>
  <c r="DA220" i="29"/>
  <c r="CW221" i="29"/>
  <c r="DA221" i="29"/>
  <c r="CW222" i="29"/>
  <c r="DA222" i="29"/>
  <c r="CW223" i="29"/>
  <c r="DA223" i="29"/>
  <c r="CW224" i="29"/>
  <c r="DA224" i="29"/>
  <c r="DA207" i="29"/>
  <c r="CW207" i="29"/>
  <c r="CW123" i="29"/>
  <c r="DA123" i="29"/>
  <c r="CW124" i="29"/>
  <c r="DA124" i="29"/>
  <c r="CW125" i="29"/>
  <c r="DA125" i="29"/>
  <c r="CW126" i="29"/>
  <c r="DA126" i="29"/>
  <c r="CW127" i="29"/>
  <c r="DA127" i="29"/>
  <c r="CW128" i="29"/>
  <c r="DA128" i="29"/>
  <c r="CW129" i="29"/>
  <c r="DA129" i="29"/>
  <c r="CW130" i="29"/>
  <c r="DA130" i="29"/>
  <c r="CW131" i="29"/>
  <c r="DA131" i="29"/>
  <c r="CW132" i="29"/>
  <c r="DA132" i="29"/>
  <c r="CW133" i="29"/>
  <c r="DA133" i="29"/>
  <c r="CW134" i="29"/>
  <c r="DA134" i="29"/>
  <c r="CW135" i="29"/>
  <c r="DA135" i="29"/>
  <c r="CW136" i="29"/>
  <c r="DA136" i="29"/>
  <c r="CW137" i="29"/>
  <c r="DA137" i="29"/>
  <c r="CW138" i="29"/>
  <c r="DA138" i="29"/>
  <c r="CW139" i="29"/>
  <c r="DA139" i="29"/>
  <c r="CW140" i="29"/>
  <c r="DA140" i="29"/>
  <c r="CW141" i="29"/>
  <c r="DA141" i="29"/>
  <c r="CW142" i="29"/>
  <c r="DA142" i="29"/>
  <c r="CW143" i="29"/>
  <c r="DA143" i="29"/>
  <c r="CW144" i="29"/>
  <c r="DA144" i="29"/>
  <c r="CW145" i="29"/>
  <c r="DA145" i="29"/>
  <c r="CW146" i="29"/>
  <c r="DA146" i="29"/>
  <c r="CW147" i="29"/>
  <c r="DA147" i="29"/>
  <c r="CW148" i="29"/>
  <c r="DA148" i="29"/>
  <c r="CW149" i="29"/>
  <c r="DA149" i="29"/>
  <c r="CW150" i="29"/>
  <c r="DA150" i="29"/>
  <c r="CW151" i="29"/>
  <c r="DA151" i="29"/>
  <c r="CW152" i="29"/>
  <c r="DA152" i="29"/>
  <c r="CW153" i="29"/>
  <c r="DA153" i="29"/>
  <c r="CW154" i="29"/>
  <c r="DA154" i="29"/>
  <c r="CW155" i="29"/>
  <c r="DA155" i="29"/>
  <c r="CW156" i="29"/>
  <c r="DA156" i="29"/>
  <c r="CW157" i="29"/>
  <c r="DA157" i="29"/>
  <c r="CW158" i="29"/>
  <c r="DA158" i="29"/>
  <c r="CW159" i="29"/>
  <c r="DA159" i="29"/>
  <c r="CW160" i="29"/>
  <c r="DA160" i="29"/>
  <c r="CW161" i="29"/>
  <c r="DA161" i="29"/>
  <c r="CW162" i="29"/>
  <c r="DA162" i="29"/>
  <c r="CW163" i="29"/>
  <c r="DA163" i="29"/>
  <c r="CW164" i="29"/>
  <c r="DA164" i="29"/>
  <c r="CW165" i="29"/>
  <c r="DA165" i="29"/>
  <c r="CW166" i="29"/>
  <c r="DA166" i="29"/>
  <c r="CW167" i="29"/>
  <c r="DA167" i="29"/>
  <c r="CW168" i="29"/>
  <c r="DA168" i="29"/>
  <c r="CW169" i="29"/>
  <c r="DA169" i="29"/>
  <c r="CW170" i="29"/>
  <c r="DA170" i="29"/>
  <c r="CW171" i="29"/>
  <c r="DA171" i="29"/>
  <c r="CW172" i="29"/>
  <c r="DA172" i="29"/>
  <c r="CW173" i="29"/>
  <c r="DA173" i="29"/>
  <c r="CW174" i="29"/>
  <c r="DA174" i="29"/>
  <c r="CW175" i="29"/>
  <c r="DA175" i="29"/>
  <c r="CW176" i="29"/>
  <c r="DA176" i="29"/>
  <c r="CW177" i="29"/>
  <c r="DA177" i="29"/>
  <c r="CW178" i="29"/>
  <c r="DA178" i="29"/>
  <c r="CW179" i="29"/>
  <c r="DA179" i="29"/>
  <c r="CW180" i="29"/>
  <c r="DA180" i="29"/>
  <c r="CW181" i="29"/>
  <c r="DA181" i="29"/>
  <c r="CW182" i="29"/>
  <c r="DA182" i="29"/>
  <c r="CW183" i="29"/>
  <c r="DA183" i="29"/>
  <c r="CW184" i="29"/>
  <c r="DA184" i="29"/>
  <c r="CW122" i="29"/>
  <c r="DA122" i="29"/>
  <c r="CX94" i="29"/>
  <c r="DB94" i="29"/>
  <c r="CX95" i="29"/>
  <c r="DB95" i="29"/>
  <c r="CX96" i="29"/>
  <c r="DB96" i="29"/>
  <c r="CX97" i="29"/>
  <c r="DB97" i="29"/>
  <c r="CX98" i="29"/>
  <c r="DB98" i="29"/>
  <c r="CX99" i="29"/>
  <c r="DB99" i="29"/>
  <c r="CX100" i="29"/>
  <c r="DB100" i="29"/>
  <c r="CX101" i="29"/>
  <c r="DB101" i="29"/>
  <c r="CX102" i="29"/>
  <c r="DB102" i="29"/>
  <c r="CX103" i="29"/>
  <c r="DB103" i="29"/>
  <c r="CX104" i="29"/>
  <c r="DB104" i="29"/>
  <c r="CX105" i="29"/>
  <c r="DB105" i="29"/>
  <c r="CX106" i="29"/>
  <c r="DB106" i="29"/>
  <c r="CX107" i="29"/>
  <c r="DB107" i="29"/>
  <c r="CX108" i="29"/>
  <c r="DB108" i="29"/>
  <c r="CX109" i="29"/>
  <c r="DB109" i="29"/>
  <c r="CX110" i="29"/>
  <c r="DB110" i="29"/>
  <c r="CX111" i="29"/>
  <c r="DB111" i="29"/>
  <c r="CX112" i="29"/>
  <c r="DB112" i="29"/>
  <c r="CX113" i="29"/>
  <c r="DB113" i="29"/>
  <c r="CX114" i="29"/>
  <c r="DB114" i="29"/>
  <c r="CX115" i="29"/>
  <c r="DB115" i="29"/>
  <c r="CX116" i="29"/>
  <c r="DB116" i="29"/>
  <c r="CX117" i="29"/>
  <c r="DB117" i="29"/>
  <c r="CX118" i="29"/>
  <c r="DB118" i="29"/>
  <c r="CX119" i="29"/>
  <c r="DB119" i="29"/>
  <c r="CX93" i="29"/>
  <c r="CX505" i="29"/>
  <c r="CX493" i="29"/>
  <c r="CX467" i="29"/>
  <c r="CX459" i="29"/>
  <c r="CX453" i="29"/>
  <c r="CX449" i="29"/>
  <c r="CX432" i="29"/>
  <c r="CX409" i="29"/>
  <c r="CX380" i="29"/>
  <c r="CX280" i="29"/>
  <c r="CX249" i="29"/>
  <c r="CX248" i="29"/>
  <c r="CX247" i="29"/>
  <c r="CX246" i="29"/>
  <c r="CX245" i="29"/>
  <c r="CX244" i="29"/>
  <c r="CX243" i="29"/>
  <c r="CX242" i="29"/>
  <c r="CX241" i="29"/>
  <c r="CX240" i="29"/>
  <c r="CX239" i="29"/>
  <c r="CX238" i="29"/>
  <c r="CX237" i="29"/>
  <c r="CX236" i="29"/>
  <c r="CX235" i="29"/>
  <c r="CX234" i="29"/>
  <c r="CX233" i="29"/>
  <c r="CX232" i="29"/>
  <c r="CX231" i="29"/>
  <c r="CX230" i="29"/>
  <c r="CX229" i="29"/>
  <c r="CX228" i="29"/>
  <c r="CX227" i="29"/>
  <c r="CX226" i="29"/>
  <c r="CX91" i="29"/>
  <c r="DB93" i="29"/>
  <c r="CW66" i="29"/>
  <c r="DA66" i="29"/>
  <c r="CW67" i="29"/>
  <c r="DA67" i="29"/>
  <c r="CW68" i="29"/>
  <c r="DA68" i="29"/>
  <c r="CW69" i="29"/>
  <c r="DA69" i="29"/>
  <c r="CW70" i="29"/>
  <c r="DA70" i="29"/>
  <c r="CW71" i="29"/>
  <c r="DA71" i="29"/>
  <c r="CW72" i="29"/>
  <c r="DA72" i="29"/>
  <c r="CW73" i="29"/>
  <c r="DA73" i="29"/>
  <c r="CW74" i="29"/>
  <c r="DA74" i="29"/>
  <c r="CW75" i="29"/>
  <c r="DA75" i="29"/>
  <c r="CW76" i="29"/>
  <c r="DA76" i="29"/>
  <c r="CW77" i="29"/>
  <c r="DA77" i="29"/>
  <c r="CW78" i="29"/>
  <c r="DA78" i="29"/>
  <c r="CW79" i="29"/>
  <c r="DA79" i="29"/>
  <c r="CW80" i="29"/>
  <c r="DA80" i="29"/>
  <c r="CW81" i="29"/>
  <c r="DA81" i="29"/>
  <c r="CW82" i="29"/>
  <c r="DA82" i="29"/>
  <c r="CW83" i="29"/>
  <c r="DA83" i="29"/>
  <c r="CW84" i="29"/>
  <c r="DA84" i="29"/>
  <c r="CW85" i="29"/>
  <c r="DA85" i="29"/>
  <c r="CW86" i="29"/>
  <c r="DA86" i="29"/>
  <c r="CW90" i="29"/>
  <c r="DA90" i="29"/>
  <c r="DA65" i="29"/>
  <c r="CW65" i="29"/>
  <c r="CW9" i="29"/>
  <c r="DA9" i="29"/>
  <c r="CW10" i="29"/>
  <c r="DA10" i="29"/>
  <c r="CW11" i="29"/>
  <c r="DA11" i="29"/>
  <c r="CW12" i="29"/>
  <c r="DA12" i="29"/>
  <c r="CW13" i="29"/>
  <c r="DA13" i="29"/>
  <c r="CW14" i="29"/>
  <c r="DA14" i="29"/>
  <c r="CW15" i="29"/>
  <c r="DA15" i="29"/>
  <c r="CW16" i="29"/>
  <c r="DA16" i="29"/>
  <c r="CW17" i="29"/>
  <c r="DA17" i="29"/>
  <c r="CW18" i="29"/>
  <c r="DA18" i="29"/>
  <c r="CW19" i="29"/>
  <c r="DA19" i="29"/>
  <c r="CW20" i="29"/>
  <c r="DA20" i="29"/>
  <c r="CW21" i="29"/>
  <c r="DA21" i="29"/>
  <c r="CW22" i="29"/>
  <c r="DA22" i="29"/>
  <c r="CW23" i="29"/>
  <c r="DA23" i="29"/>
  <c r="CW24" i="29"/>
  <c r="DA24" i="29"/>
  <c r="CW25" i="29"/>
  <c r="DA25" i="29"/>
  <c r="CW26" i="29"/>
  <c r="DA26" i="29"/>
  <c r="CW27" i="29"/>
  <c r="DA27" i="29"/>
  <c r="CW28" i="29"/>
  <c r="DA28" i="29"/>
  <c r="CW29" i="29"/>
  <c r="DA29" i="29"/>
  <c r="CW30" i="29"/>
  <c r="DA30" i="29"/>
  <c r="CW31" i="29"/>
  <c r="DA31" i="29"/>
  <c r="CW32" i="29"/>
  <c r="DA32" i="29"/>
  <c r="CW33" i="29"/>
  <c r="DA33" i="29"/>
  <c r="CW34" i="29"/>
  <c r="DA34" i="29"/>
  <c r="CW35" i="29"/>
  <c r="DA35" i="29"/>
  <c r="CW36" i="29"/>
  <c r="DA36" i="29"/>
  <c r="CW37" i="29"/>
  <c r="DA37" i="29"/>
  <c r="CW38" i="29"/>
  <c r="DA38" i="29"/>
  <c r="CW39" i="29"/>
  <c r="DA39" i="29"/>
  <c r="CW40" i="29"/>
  <c r="DA40" i="29"/>
  <c r="CW41" i="29"/>
  <c r="DA41" i="29"/>
  <c r="CW42" i="29"/>
  <c r="DA42" i="29"/>
  <c r="CW43" i="29"/>
  <c r="DA43" i="29"/>
  <c r="CW44" i="29"/>
  <c r="DA44" i="29"/>
  <c r="CW45" i="29"/>
  <c r="DA45" i="29"/>
  <c r="CW46" i="29"/>
  <c r="DA46" i="29"/>
  <c r="CW47" i="29"/>
  <c r="DA47" i="29"/>
  <c r="CW48" i="29"/>
  <c r="DA48" i="29"/>
  <c r="CW49" i="29"/>
  <c r="DA49" i="29"/>
  <c r="CW50" i="29"/>
  <c r="DA50" i="29"/>
  <c r="CW51" i="29"/>
  <c r="DA51" i="29"/>
  <c r="CW52" i="29"/>
  <c r="DA52" i="29"/>
  <c r="CW53" i="29"/>
  <c r="DA53" i="29"/>
  <c r="CW54" i="29"/>
  <c r="DA54" i="29"/>
  <c r="CW55" i="29"/>
  <c r="DA55" i="29"/>
  <c r="CW56" i="29"/>
  <c r="DA56" i="29"/>
  <c r="CW57" i="29"/>
  <c r="DA57" i="29"/>
  <c r="CW58" i="29"/>
  <c r="DA58" i="29"/>
  <c r="CW59" i="29"/>
  <c r="DA59" i="29"/>
  <c r="CW60" i="29"/>
  <c r="DA60" i="29"/>
  <c r="CW61" i="29"/>
  <c r="DA61" i="29"/>
  <c r="CW62" i="29"/>
  <c r="DA62" i="29"/>
  <c r="CW8" i="29"/>
  <c r="DA8" i="29"/>
  <c r="P702" i="4" l="1"/>
  <c r="E702" i="4" s="1"/>
  <c r="CX185" i="29"/>
  <c r="CX251" i="29"/>
  <c r="CX63" i="29"/>
  <c r="CW227" i="29"/>
  <c r="DA227" i="29"/>
  <c r="CW228" i="29"/>
  <c r="DA228" i="29"/>
  <c r="CW229" i="29"/>
  <c r="DA229" i="29"/>
  <c r="CW230" i="29"/>
  <c r="DA230" i="29"/>
  <c r="CW231" i="29"/>
  <c r="DA231" i="29"/>
  <c r="CW232" i="29"/>
  <c r="DA232" i="29"/>
  <c r="CW233" i="29"/>
  <c r="DA233" i="29"/>
  <c r="CW234" i="29"/>
  <c r="DA234" i="29"/>
  <c r="CW235" i="29"/>
  <c r="DA235" i="29"/>
  <c r="CW236" i="29"/>
  <c r="DA236" i="29"/>
  <c r="CW237" i="29"/>
  <c r="DA237" i="29"/>
  <c r="CW238" i="29"/>
  <c r="DA238" i="29"/>
  <c r="CW239" i="29"/>
  <c r="DA239" i="29"/>
  <c r="CW240" i="29"/>
  <c r="DA240" i="29"/>
  <c r="CW241" i="29"/>
  <c r="DA241" i="29"/>
  <c r="CW242" i="29"/>
  <c r="DA242" i="29"/>
  <c r="CW243" i="29"/>
  <c r="DA243" i="29"/>
  <c r="CW244" i="29"/>
  <c r="DA244" i="29"/>
  <c r="CW245" i="29"/>
  <c r="DA245" i="29"/>
  <c r="CW246" i="29"/>
  <c r="DA246" i="29"/>
  <c r="CW247" i="29"/>
  <c r="DA247" i="29"/>
  <c r="CW248" i="29"/>
  <c r="DA248" i="29"/>
  <c r="CW249" i="29"/>
  <c r="DA249" i="29"/>
  <c r="CW226" i="29"/>
  <c r="DA226" i="29"/>
  <c r="FI227" i="29"/>
  <c r="FI228" i="29"/>
  <c r="FI229" i="29"/>
  <c r="FI230" i="29"/>
  <c r="FI231" i="29"/>
  <c r="FI232" i="29"/>
  <c r="FI233" i="29"/>
  <c r="FI234" i="29"/>
  <c r="FI235" i="29"/>
  <c r="FI236" i="29"/>
  <c r="FI237" i="29"/>
  <c r="FI238" i="29"/>
  <c r="FI239" i="29"/>
  <c r="FI240" i="29"/>
  <c r="FI241" i="29"/>
  <c r="FI242" i="29"/>
  <c r="FI243" i="29"/>
  <c r="FI244" i="29"/>
  <c r="FI245" i="29"/>
  <c r="FI246" i="29"/>
  <c r="FI247" i="29"/>
  <c r="FI248" i="29"/>
  <c r="FI249" i="29"/>
  <c r="FI226" i="29"/>
  <c r="CX507" i="29" l="1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S243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S195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D243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D237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D231" i="2"/>
  <c r="P195" i="2"/>
  <c r="Q195" i="2"/>
  <c r="E195" i="2"/>
  <c r="F195" i="2"/>
  <c r="G195" i="2"/>
  <c r="H195" i="2"/>
  <c r="I195" i="2"/>
  <c r="J195" i="2"/>
  <c r="K195" i="2"/>
  <c r="L195" i="2"/>
  <c r="M195" i="2"/>
  <c r="N195" i="2"/>
  <c r="O195" i="2"/>
  <c r="D195" i="2"/>
  <c r="CF76" i="2"/>
  <c r="CG76" i="2"/>
  <c r="CF77" i="2"/>
  <c r="CG77" i="2"/>
  <c r="CF78" i="2"/>
  <c r="CG78" i="2"/>
  <c r="CF79" i="2"/>
  <c r="CG79" i="2"/>
  <c r="CF80" i="2"/>
  <c r="CG80" i="2"/>
  <c r="CG75" i="2"/>
  <c r="CF75" i="2"/>
  <c r="E76" i="2"/>
  <c r="L76" i="2"/>
  <c r="E77" i="2"/>
  <c r="L77" i="2"/>
  <c r="E78" i="2"/>
  <c r="L78" i="2"/>
  <c r="E79" i="2"/>
  <c r="L79" i="2"/>
  <c r="E80" i="2"/>
  <c r="L80" i="2"/>
  <c r="L75" i="2"/>
  <c r="E75" i="2"/>
  <c r="CF55" i="2"/>
  <c r="CG55" i="2"/>
  <c r="CF56" i="2"/>
  <c r="CG56" i="2"/>
  <c r="CF57" i="2"/>
  <c r="CG57" i="2"/>
  <c r="CF58" i="2"/>
  <c r="CG58" i="2"/>
  <c r="CF59" i="2"/>
  <c r="CG59" i="2"/>
  <c r="CF60" i="2"/>
  <c r="CG60" i="2"/>
  <c r="CF61" i="2"/>
  <c r="CG61" i="2"/>
  <c r="CF62" i="2"/>
  <c r="CG62" i="2"/>
  <c r="CF63" i="2"/>
  <c r="CG63" i="2"/>
  <c r="CF64" i="2"/>
  <c r="CG64" i="2"/>
  <c r="CF65" i="2"/>
  <c r="CG65" i="2"/>
  <c r="CF66" i="2"/>
  <c r="CG66" i="2"/>
  <c r="CF67" i="2"/>
  <c r="CG67" i="2"/>
  <c r="CF68" i="2"/>
  <c r="CG68" i="2"/>
  <c r="CF69" i="2"/>
  <c r="CG69" i="2"/>
  <c r="CF70" i="2"/>
  <c r="CG70" i="2"/>
  <c r="CF71" i="2"/>
  <c r="CG71" i="2"/>
  <c r="CF72" i="2"/>
  <c r="CG72" i="2"/>
  <c r="E72" i="2"/>
  <c r="L72" i="2"/>
  <c r="E55" i="2"/>
  <c r="L55" i="2"/>
  <c r="E56" i="2"/>
  <c r="L56" i="2"/>
  <c r="E57" i="2"/>
  <c r="L57" i="2"/>
  <c r="E58" i="2"/>
  <c r="L58" i="2"/>
  <c r="E59" i="2"/>
  <c r="L59" i="2"/>
  <c r="E60" i="2"/>
  <c r="L60" i="2"/>
  <c r="E61" i="2"/>
  <c r="L61" i="2"/>
  <c r="E62" i="2"/>
  <c r="L62" i="2"/>
  <c r="E63" i="2"/>
  <c r="L63" i="2"/>
  <c r="E64" i="2"/>
  <c r="L64" i="2"/>
  <c r="E65" i="2"/>
  <c r="L65" i="2"/>
  <c r="E66" i="2"/>
  <c r="L66" i="2"/>
  <c r="E67" i="2"/>
  <c r="L67" i="2"/>
  <c r="E68" i="2"/>
  <c r="L68" i="2"/>
  <c r="E69" i="2"/>
  <c r="L69" i="2"/>
  <c r="E70" i="2"/>
  <c r="L70" i="2"/>
  <c r="E71" i="2"/>
  <c r="L71" i="2"/>
  <c r="L54" i="2"/>
  <c r="E54" i="2"/>
  <c r="CF29" i="2"/>
  <c r="CG29" i="2"/>
  <c r="CF30" i="2"/>
  <c r="CG30" i="2"/>
  <c r="CF31" i="2"/>
  <c r="CG31" i="2"/>
  <c r="CF32" i="2"/>
  <c r="CG32" i="2"/>
  <c r="CF33" i="2"/>
  <c r="CG33" i="2"/>
  <c r="CF34" i="2"/>
  <c r="CG34" i="2"/>
  <c r="CF35" i="2"/>
  <c r="CG35" i="2"/>
  <c r="CF36" i="2"/>
  <c r="CG36" i="2"/>
  <c r="CF37" i="2"/>
  <c r="CG37" i="2"/>
  <c r="CF38" i="2"/>
  <c r="CG38" i="2"/>
  <c r="CF39" i="2"/>
  <c r="CG39" i="2"/>
  <c r="CF40" i="2"/>
  <c r="CG40" i="2"/>
  <c r="CF41" i="2"/>
  <c r="CG41" i="2"/>
  <c r="CF42" i="2"/>
  <c r="CG42" i="2"/>
  <c r="CF43" i="2"/>
  <c r="CG43" i="2"/>
  <c r="CF44" i="2"/>
  <c r="CG44" i="2"/>
  <c r="CF45" i="2"/>
  <c r="CG45" i="2"/>
  <c r="CF46" i="2"/>
  <c r="CG46" i="2"/>
  <c r="CF47" i="2"/>
  <c r="CG47" i="2"/>
  <c r="CF48" i="2"/>
  <c r="CG48" i="2"/>
  <c r="CF49" i="2"/>
  <c r="CG49" i="2"/>
  <c r="CF50" i="2"/>
  <c r="CG50" i="2"/>
  <c r="CF51" i="2"/>
  <c r="CG51" i="2"/>
  <c r="CG28" i="2"/>
  <c r="CF28" i="2"/>
  <c r="E29" i="2"/>
  <c r="L29" i="2"/>
  <c r="E30" i="2"/>
  <c r="L30" i="2"/>
  <c r="E31" i="2"/>
  <c r="L31" i="2"/>
  <c r="E32" i="2"/>
  <c r="L32" i="2"/>
  <c r="E33" i="2"/>
  <c r="L33" i="2"/>
  <c r="E34" i="2"/>
  <c r="L34" i="2"/>
  <c r="E35" i="2"/>
  <c r="L35" i="2"/>
  <c r="E36" i="2"/>
  <c r="L36" i="2"/>
  <c r="E37" i="2"/>
  <c r="L37" i="2"/>
  <c r="E38" i="2"/>
  <c r="L38" i="2"/>
  <c r="E39" i="2"/>
  <c r="L39" i="2"/>
  <c r="E40" i="2"/>
  <c r="L40" i="2"/>
  <c r="E41" i="2"/>
  <c r="L41" i="2"/>
  <c r="E42" i="2"/>
  <c r="L42" i="2"/>
  <c r="E43" i="2"/>
  <c r="L43" i="2"/>
  <c r="E44" i="2"/>
  <c r="L44" i="2"/>
  <c r="E45" i="2"/>
  <c r="L45" i="2"/>
  <c r="E46" i="2"/>
  <c r="L46" i="2"/>
  <c r="E47" i="2"/>
  <c r="L47" i="2"/>
  <c r="E48" i="2"/>
  <c r="L48" i="2"/>
  <c r="E49" i="2"/>
  <c r="L49" i="2"/>
  <c r="E50" i="2"/>
  <c r="L50" i="2"/>
  <c r="E51" i="2"/>
  <c r="L51" i="2"/>
  <c r="L28" i="2"/>
  <c r="E28" i="2"/>
  <c r="E9" i="2"/>
  <c r="L9" i="2"/>
  <c r="E10" i="2"/>
  <c r="L10" i="2"/>
  <c r="E11" i="2"/>
  <c r="L11" i="2"/>
  <c r="E12" i="2"/>
  <c r="L12" i="2"/>
  <c r="E13" i="2"/>
  <c r="L13" i="2"/>
  <c r="E14" i="2"/>
  <c r="L14" i="2"/>
  <c r="E15" i="2"/>
  <c r="L15" i="2"/>
  <c r="E16" i="2"/>
  <c r="L16" i="2"/>
  <c r="E17" i="2"/>
  <c r="L17" i="2"/>
  <c r="E18" i="2"/>
  <c r="L18" i="2"/>
  <c r="E19" i="2"/>
  <c r="L19" i="2"/>
  <c r="E20" i="2"/>
  <c r="L20" i="2"/>
  <c r="E21" i="2"/>
  <c r="L21" i="2"/>
  <c r="E22" i="2"/>
  <c r="L22" i="2"/>
  <c r="E23" i="2"/>
  <c r="L23" i="2"/>
  <c r="E24" i="2"/>
  <c r="L24" i="2"/>
  <c r="E25" i="2"/>
  <c r="L25" i="2"/>
  <c r="L8" i="2"/>
  <c r="E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8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A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EE361" i="2" l="1"/>
  <c r="G11" i="15" s="1"/>
  <c r="E57" i="16"/>
  <c r="AH39" i="30" l="1"/>
  <c r="AG39" i="30"/>
  <c r="AF39" i="30"/>
  <c r="AE39" i="30"/>
  <c r="AD39" i="30"/>
  <c r="AC39" i="30"/>
  <c r="AB39" i="30"/>
  <c r="AA39" i="30"/>
  <c r="Y39" i="30"/>
  <c r="R39" i="30"/>
  <c r="Q39" i="30"/>
  <c r="P39" i="30"/>
  <c r="O39" i="30"/>
  <c r="M39" i="30"/>
  <c r="L39" i="30"/>
  <c r="K39" i="30"/>
  <c r="J39" i="30"/>
  <c r="I39" i="30"/>
  <c r="H39" i="30"/>
  <c r="G39" i="30"/>
  <c r="F39" i="30"/>
  <c r="E39" i="30"/>
  <c r="D39" i="30"/>
  <c r="C39" i="30"/>
  <c r="Z39" i="30"/>
  <c r="T39" i="30"/>
  <c r="U39" i="30"/>
  <c r="S39" i="30"/>
  <c r="N39" i="30"/>
  <c r="X39" i="30"/>
  <c r="W39" i="30"/>
  <c r="V39" i="30"/>
  <c r="E18" i="6" l="1"/>
  <c r="D18" i="6"/>
  <c r="C162" i="5"/>
  <c r="G163" i="5"/>
  <c r="F163" i="5"/>
  <c r="E163" i="5"/>
  <c r="D163" i="5"/>
  <c r="S162" i="5"/>
  <c r="Q162" i="5"/>
  <c r="O162" i="5"/>
  <c r="N162" i="5"/>
  <c r="F162" i="5"/>
  <c r="E162" i="5"/>
  <c r="D162" i="5"/>
  <c r="S161" i="5"/>
  <c r="Q161" i="5"/>
  <c r="O161" i="5"/>
  <c r="N161" i="5"/>
  <c r="F161" i="5"/>
  <c r="E161" i="5"/>
  <c r="D161" i="5"/>
  <c r="R160" i="5"/>
  <c r="Q160" i="5"/>
  <c r="O160" i="5"/>
  <c r="H160" i="5"/>
  <c r="N160" i="5" s="1"/>
  <c r="F160" i="5"/>
  <c r="E160" i="5"/>
  <c r="D160" i="5"/>
  <c r="H159" i="5"/>
  <c r="P159" i="5"/>
  <c r="F159" i="5"/>
  <c r="E159" i="5"/>
  <c r="D159" i="5"/>
  <c r="H158" i="5"/>
  <c r="R158" i="5"/>
  <c r="F158" i="5"/>
  <c r="E158" i="5"/>
  <c r="D158" i="5"/>
  <c r="H157" i="5"/>
  <c r="P157" i="5"/>
  <c r="F157" i="5"/>
  <c r="E157" i="5"/>
  <c r="D157" i="5"/>
  <c r="H156" i="5"/>
  <c r="G156" i="5"/>
  <c r="R156" i="5" s="1"/>
  <c r="F156" i="5"/>
  <c r="E156" i="5"/>
  <c r="D156" i="5"/>
  <c r="I155" i="5"/>
  <c r="F155" i="5"/>
  <c r="E155" i="5"/>
  <c r="D155" i="5"/>
  <c r="I154" i="5"/>
  <c r="F154" i="5"/>
  <c r="E154" i="5"/>
  <c r="D154" i="5"/>
  <c r="I153" i="5"/>
  <c r="F153" i="5"/>
  <c r="E153" i="5"/>
  <c r="D153" i="5"/>
  <c r="AD152" i="5"/>
  <c r="AK152" i="5" s="1"/>
  <c r="AD151" i="5"/>
  <c r="AA151" i="5"/>
  <c r="Z151" i="5"/>
  <c r="X151" i="5"/>
  <c r="W151" i="5"/>
  <c r="AG359" i="2"/>
  <c r="AG325" i="2"/>
  <c r="AG320" i="2"/>
  <c r="AG315" i="2"/>
  <c r="AG310" i="2"/>
  <c r="AG295" i="2"/>
  <c r="AG283" i="2"/>
  <c r="AG279" i="2"/>
  <c r="AG254" i="2"/>
  <c r="AG249" i="2"/>
  <c r="AG189" i="2"/>
  <c r="AG175" i="2"/>
  <c r="AG159" i="2"/>
  <c r="AG149" i="2"/>
  <c r="AG139" i="2"/>
  <c r="AG116" i="2"/>
  <c r="AG98" i="2"/>
  <c r="AG81" i="2"/>
  <c r="AG73" i="2"/>
  <c r="AG52" i="2"/>
  <c r="AG26" i="2"/>
  <c r="S163" i="5" l="1"/>
  <c r="G155" i="5"/>
  <c r="Q155" i="5" s="1"/>
  <c r="G154" i="5"/>
  <c r="N154" i="5" s="1"/>
  <c r="G153" i="5"/>
  <c r="Q153" i="5" s="1"/>
  <c r="Q163" i="5"/>
  <c r="AG361" i="2"/>
  <c r="AH151" i="5"/>
  <c r="O156" i="5"/>
  <c r="AK151" i="5"/>
  <c r="AG151" i="5"/>
  <c r="O158" i="5"/>
  <c r="AJ151" i="5"/>
  <c r="AE152" i="5"/>
  <c r="AI152" i="5"/>
  <c r="P156" i="5"/>
  <c r="N157" i="5"/>
  <c r="R157" i="5"/>
  <c r="P158" i="5"/>
  <c r="N159" i="5"/>
  <c r="R159" i="5"/>
  <c r="N163" i="5"/>
  <c r="AH152" i="5"/>
  <c r="AL152" i="5"/>
  <c r="O157" i="5"/>
  <c r="O159" i="5"/>
  <c r="O163" i="5"/>
  <c r="AF152" i="5"/>
  <c r="AJ152" i="5"/>
  <c r="AG152" i="5"/>
  <c r="N156" i="5"/>
  <c r="N158" i="5"/>
  <c r="I49" i="22"/>
  <c r="I50" i="22"/>
  <c r="I51" i="22"/>
  <c r="I52" i="22"/>
  <c r="I53" i="22"/>
  <c r="I54" i="22"/>
  <c r="I55" i="22"/>
  <c r="I56" i="22"/>
  <c r="I57" i="22"/>
  <c r="I58" i="22"/>
  <c r="I59" i="22"/>
  <c r="I48" i="22"/>
  <c r="I47" i="22"/>
  <c r="F49" i="22"/>
  <c r="H49" i="22" s="1"/>
  <c r="F50" i="22"/>
  <c r="H50" i="22" s="1"/>
  <c r="H51" i="22"/>
  <c r="H52" i="22"/>
  <c r="H53" i="22"/>
  <c r="H54" i="22"/>
  <c r="H55" i="22"/>
  <c r="H56" i="22"/>
  <c r="H57" i="22"/>
  <c r="H58" i="22"/>
  <c r="H59" i="22"/>
  <c r="F48" i="22"/>
  <c r="H48" i="22" s="1"/>
  <c r="F47" i="22"/>
  <c r="H47" i="22" s="1"/>
  <c r="S155" i="5" l="1"/>
  <c r="N155" i="5"/>
  <c r="S154" i="5"/>
  <c r="O155" i="5"/>
  <c r="O153" i="5"/>
  <c r="O154" i="5"/>
  <c r="Q154" i="5"/>
  <c r="N153" i="5"/>
  <c r="E291" i="5"/>
  <c r="E312" i="5"/>
  <c r="E301" i="5"/>
  <c r="N151" i="5" l="1"/>
  <c r="G18" i="6" s="1"/>
  <c r="O151" i="5"/>
  <c r="H18" i="6" s="1"/>
  <c r="E668" i="1"/>
  <c r="E667" i="1"/>
  <c r="E666" i="1"/>
  <c r="E665" i="1"/>
  <c r="E646" i="1"/>
  <c r="E645" i="1"/>
  <c r="E644" i="1"/>
  <c r="E533" i="1"/>
  <c r="E490" i="1"/>
  <c r="E482" i="1"/>
  <c r="E481" i="1"/>
  <c r="K465" i="1"/>
  <c r="K336" i="1"/>
  <c r="K310" i="1"/>
  <c r="G306" i="1"/>
  <c r="L233" i="5" s="1"/>
  <c r="R233" i="5" s="1"/>
  <c r="G301" i="1"/>
  <c r="L161" i="5" s="1"/>
  <c r="R161" i="5" s="1"/>
  <c r="E212" i="1"/>
  <c r="E211" i="1"/>
  <c r="E210" i="1"/>
  <c r="E209" i="1"/>
  <c r="E208" i="1"/>
  <c r="E207" i="1"/>
  <c r="E206" i="1"/>
  <c r="E97" i="1"/>
  <c r="E80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H799" i="5" s="1"/>
  <c r="E60" i="1"/>
  <c r="E58" i="1"/>
  <c r="E47" i="1"/>
  <c r="E45" i="1"/>
  <c r="E44" i="1"/>
  <c r="E43" i="1"/>
  <c r="E42" i="1"/>
  <c r="E41" i="1"/>
  <c r="E40" i="1"/>
  <c r="E39" i="1"/>
  <c r="E38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R64" i="1"/>
  <c r="S64" i="1" s="1"/>
  <c r="G64" i="1"/>
  <c r="F64" i="1"/>
  <c r="R63" i="1"/>
  <c r="S63" i="1" s="1"/>
  <c r="G63" i="1"/>
  <c r="F63" i="1"/>
  <c r="F209" i="11" l="1"/>
  <c r="F222" i="13" l="1"/>
  <c r="F221" i="13"/>
  <c r="G646" i="5" l="1"/>
  <c r="G352" i="5"/>
  <c r="H924" i="5" l="1"/>
  <c r="F924" i="5"/>
  <c r="E924" i="5"/>
  <c r="D924" i="5"/>
  <c r="G218" i="1"/>
  <c r="M924" i="5" s="1"/>
  <c r="F218" i="1"/>
  <c r="K924" i="5" s="1"/>
  <c r="G3" i="8" l="1"/>
  <c r="G2" i="8"/>
  <c r="G5" i="8"/>
  <c r="G312" i="5"/>
  <c r="G301" i="5"/>
  <c r="G291" i="5"/>
  <c r="H2166" i="8" l="1"/>
  <c r="H2171" i="8"/>
  <c r="H1742" i="8"/>
  <c r="H2173" i="8"/>
  <c r="H1740" i="8"/>
  <c r="H1735" i="8"/>
  <c r="F16" i="20"/>
  <c r="N1735" i="8" l="1"/>
  <c r="M1735" i="8"/>
  <c r="C1735" i="8"/>
  <c r="L277" i="15"/>
  <c r="K277" i="15"/>
  <c r="G275" i="15"/>
  <c r="G274" i="15"/>
  <c r="G273" i="15"/>
  <c r="G270" i="15"/>
  <c r="F2203" i="8"/>
  <c r="F2178" i="8"/>
  <c r="G2178" i="8"/>
  <c r="E2178" i="8"/>
  <c r="I2146" i="8"/>
  <c r="G2146" i="8"/>
  <c r="F2146" i="8"/>
  <c r="E2146" i="8"/>
  <c r="N2125" i="8"/>
  <c r="M2125" i="8"/>
  <c r="G2125" i="8"/>
  <c r="F2125" i="8"/>
  <c r="E2125" i="8"/>
  <c r="C2125" i="8"/>
  <c r="G277" i="15"/>
  <c r="H2194" i="8"/>
  <c r="G282" i="15" l="1"/>
  <c r="H2203" i="8"/>
  <c r="H2212" i="8" s="1"/>
  <c r="N277" i="15"/>
  <c r="CT505" i="29" l="1"/>
  <c r="CT493" i="29"/>
  <c r="CT467" i="29"/>
  <c r="CT459" i="29"/>
  <c r="CT453" i="29"/>
  <c r="CT449" i="29"/>
  <c r="CT432" i="29"/>
  <c r="CT409" i="29"/>
  <c r="CT380" i="29"/>
  <c r="CT280" i="29"/>
  <c r="CT251" i="29"/>
  <c r="CT185" i="29"/>
  <c r="CT91" i="29"/>
  <c r="CT63" i="29"/>
  <c r="L61" i="15"/>
  <c r="K61" i="15"/>
  <c r="CT507" i="29" l="1"/>
  <c r="H60" i="15" s="1"/>
  <c r="G284" i="15"/>
  <c r="H1644" i="8"/>
  <c r="F2177" i="8"/>
  <c r="F2150" i="8"/>
  <c r="I2178" i="8" l="1"/>
  <c r="G624" i="1"/>
  <c r="F624" i="1"/>
  <c r="G623" i="1"/>
  <c r="F623" i="1"/>
  <c r="G622" i="1"/>
  <c r="F622" i="1"/>
  <c r="G621" i="1"/>
  <c r="F621" i="1"/>
  <c r="G147" i="1" l="1"/>
  <c r="F147" i="1"/>
  <c r="L2225" i="8" l="1"/>
  <c r="P2225" i="8" s="1"/>
  <c r="L1502" i="8"/>
  <c r="P1502" i="8" s="1"/>
  <c r="L1784" i="8"/>
  <c r="P1784" i="8" s="1"/>
  <c r="K2225" i="8"/>
  <c r="O2225" i="8" s="1"/>
  <c r="K1784" i="8"/>
  <c r="O1784" i="8" s="1"/>
  <c r="K1502" i="8"/>
  <c r="O1502" i="8" s="1"/>
  <c r="H847" i="5"/>
  <c r="F847" i="5"/>
  <c r="E847" i="5"/>
  <c r="D847" i="5"/>
  <c r="E32" i="6"/>
  <c r="D32" i="6"/>
  <c r="F359" i="5"/>
  <c r="E359" i="5"/>
  <c r="D359" i="5"/>
  <c r="G358" i="5"/>
  <c r="R358" i="5" s="1"/>
  <c r="F358" i="5"/>
  <c r="E358" i="5"/>
  <c r="D358" i="5"/>
  <c r="F357" i="5"/>
  <c r="E357" i="5"/>
  <c r="D357" i="5"/>
  <c r="G356" i="5"/>
  <c r="F356" i="5"/>
  <c r="E356" i="5"/>
  <c r="D356" i="5"/>
  <c r="R355" i="5"/>
  <c r="P355" i="5"/>
  <c r="O355" i="5"/>
  <c r="H355" i="5"/>
  <c r="N355" i="5" s="1"/>
  <c r="F355" i="5"/>
  <c r="E355" i="5"/>
  <c r="D355" i="5"/>
  <c r="H354" i="5"/>
  <c r="F354" i="5"/>
  <c r="E354" i="5"/>
  <c r="D354" i="5"/>
  <c r="H353" i="5"/>
  <c r="G353" i="5"/>
  <c r="G354" i="5" s="1"/>
  <c r="F353" i="5"/>
  <c r="E353" i="5"/>
  <c r="D353" i="5"/>
  <c r="P352" i="5"/>
  <c r="H352" i="5"/>
  <c r="F352" i="5"/>
  <c r="E352" i="5"/>
  <c r="D352" i="5"/>
  <c r="AD351" i="5"/>
  <c r="AK351" i="5" s="1"/>
  <c r="AD350" i="5"/>
  <c r="AB350" i="5"/>
  <c r="AA350" i="5"/>
  <c r="Z350" i="5"/>
  <c r="Y350" i="5"/>
  <c r="X350" i="5"/>
  <c r="W350" i="5"/>
  <c r="BJ359" i="2"/>
  <c r="BJ325" i="2"/>
  <c r="BJ320" i="2"/>
  <c r="BJ315" i="2"/>
  <c r="BJ310" i="2"/>
  <c r="BJ295" i="2"/>
  <c r="BJ283" i="2"/>
  <c r="BJ279" i="2"/>
  <c r="BJ254" i="2"/>
  <c r="BJ249" i="2"/>
  <c r="BJ189" i="2"/>
  <c r="BJ175" i="2"/>
  <c r="BJ159" i="2"/>
  <c r="BJ149" i="2"/>
  <c r="BJ139" i="2"/>
  <c r="BJ116" i="2"/>
  <c r="BJ98" i="2"/>
  <c r="BJ81" i="2"/>
  <c r="BJ73" i="2"/>
  <c r="BJ52" i="2"/>
  <c r="BJ26" i="2"/>
  <c r="R345" i="5"/>
  <c r="P345" i="5"/>
  <c r="O345" i="5"/>
  <c r="H345" i="5"/>
  <c r="N345" i="5" s="1"/>
  <c r="F345" i="5"/>
  <c r="E345" i="5"/>
  <c r="D345" i="5"/>
  <c r="G346" i="5"/>
  <c r="F347" i="5"/>
  <c r="E347" i="5"/>
  <c r="D347" i="5"/>
  <c r="F346" i="5"/>
  <c r="E346" i="5"/>
  <c r="D346" i="5"/>
  <c r="G343" i="5"/>
  <c r="G344" i="5" s="1"/>
  <c r="G342" i="5"/>
  <c r="G348" i="5" s="1"/>
  <c r="G150" i="5"/>
  <c r="G125" i="5"/>
  <c r="G86" i="5"/>
  <c r="G87" i="5" s="1"/>
  <c r="Y355" i="5" l="1"/>
  <c r="Y358" i="5"/>
  <c r="Y354" i="5"/>
  <c r="Y353" i="5"/>
  <c r="Y356" i="5"/>
  <c r="Y352" i="5"/>
  <c r="Z356" i="5"/>
  <c r="Z352" i="5"/>
  <c r="Z355" i="5"/>
  <c r="Z353" i="5"/>
  <c r="Z354" i="5"/>
  <c r="Z358" i="5"/>
  <c r="AA353" i="5"/>
  <c r="AA356" i="5"/>
  <c r="AA352" i="5"/>
  <c r="AA358" i="5"/>
  <c r="AA355" i="5"/>
  <c r="AA354" i="5"/>
  <c r="X353" i="5"/>
  <c r="X355" i="5"/>
  <c r="X354" i="5"/>
  <c r="X356" i="5"/>
  <c r="X358" i="5"/>
  <c r="X352" i="5"/>
  <c r="W354" i="5"/>
  <c r="W356" i="5"/>
  <c r="W358" i="5"/>
  <c r="W352" i="5"/>
  <c r="W353" i="5"/>
  <c r="W355" i="5"/>
  <c r="AB352" i="5"/>
  <c r="AB353" i="5"/>
  <c r="AB354" i="5"/>
  <c r="AB355" i="5"/>
  <c r="AB356" i="5"/>
  <c r="AB358" i="5"/>
  <c r="G140" i="5"/>
  <c r="G142" i="5"/>
  <c r="G141" i="5"/>
  <c r="G349" i="5"/>
  <c r="AI350" i="5"/>
  <c r="AG350" i="5"/>
  <c r="AK350" i="5"/>
  <c r="AH350" i="5"/>
  <c r="AL350" i="5"/>
  <c r="AJ350" i="5"/>
  <c r="R354" i="5"/>
  <c r="N354" i="5"/>
  <c r="P354" i="5"/>
  <c r="O354" i="5"/>
  <c r="N353" i="5"/>
  <c r="R353" i="5"/>
  <c r="AE351" i="5"/>
  <c r="AI351" i="5"/>
  <c r="N352" i="5"/>
  <c r="R352" i="5"/>
  <c r="O353" i="5"/>
  <c r="P358" i="5"/>
  <c r="O356" i="5"/>
  <c r="S356" i="5"/>
  <c r="AF351" i="5"/>
  <c r="AJ351" i="5"/>
  <c r="O352" i="5"/>
  <c r="P353" i="5"/>
  <c r="Q356" i="5"/>
  <c r="G357" i="5"/>
  <c r="Y357" i="5" s="1"/>
  <c r="G359" i="5"/>
  <c r="AA359" i="5" s="1"/>
  <c r="AH351" i="5"/>
  <c r="AL351" i="5"/>
  <c r="O358" i="5"/>
  <c r="AG351" i="5"/>
  <c r="N356" i="5"/>
  <c r="N358" i="5"/>
  <c r="BJ361" i="2"/>
  <c r="N346" i="5"/>
  <c r="G347" i="5"/>
  <c r="Q347" i="5" s="1"/>
  <c r="O346" i="5"/>
  <c r="S346" i="5"/>
  <c r="Q346" i="5"/>
  <c r="C200" i="5"/>
  <c r="C183" i="5"/>
  <c r="C74" i="5"/>
  <c r="R32" i="5"/>
  <c r="O32" i="5"/>
  <c r="H32" i="5"/>
  <c r="N32" i="5" s="1"/>
  <c r="F32" i="5"/>
  <c r="E32" i="5"/>
  <c r="D32" i="5"/>
  <c r="H31" i="5"/>
  <c r="F31" i="5"/>
  <c r="E31" i="5"/>
  <c r="D31" i="5"/>
  <c r="H30" i="5"/>
  <c r="F30" i="5"/>
  <c r="E30" i="5"/>
  <c r="D30" i="5"/>
  <c r="H29" i="5"/>
  <c r="R29" i="5"/>
  <c r="F29" i="5"/>
  <c r="E29" i="5"/>
  <c r="D29" i="5"/>
  <c r="H28" i="5"/>
  <c r="G28" i="5"/>
  <c r="F28" i="5"/>
  <c r="E28" i="5"/>
  <c r="D28" i="5"/>
  <c r="R103" i="5"/>
  <c r="P103" i="5"/>
  <c r="O103" i="5"/>
  <c r="H103" i="5"/>
  <c r="N103" i="5" s="1"/>
  <c r="F103" i="5"/>
  <c r="E103" i="5"/>
  <c r="D103" i="5"/>
  <c r="H102" i="5"/>
  <c r="G102" i="5"/>
  <c r="F102" i="5"/>
  <c r="E102" i="5"/>
  <c r="D102" i="5"/>
  <c r="H101" i="5"/>
  <c r="G101" i="5"/>
  <c r="F101" i="5"/>
  <c r="E101" i="5"/>
  <c r="D101" i="5"/>
  <c r="H100" i="5"/>
  <c r="G100" i="5"/>
  <c r="R100" i="5" s="1"/>
  <c r="F100" i="5"/>
  <c r="E100" i="5"/>
  <c r="D100" i="5"/>
  <c r="H99" i="5"/>
  <c r="G99" i="5"/>
  <c r="F99" i="5"/>
  <c r="E99" i="5"/>
  <c r="D99" i="5"/>
  <c r="R45" i="5"/>
  <c r="O45" i="5"/>
  <c r="H45" i="5"/>
  <c r="N45" i="5" s="1"/>
  <c r="F45" i="5"/>
  <c r="E45" i="5"/>
  <c r="D45" i="5"/>
  <c r="H44" i="5"/>
  <c r="F44" i="5"/>
  <c r="E44" i="5"/>
  <c r="D44" i="5"/>
  <c r="H43" i="5"/>
  <c r="F43" i="5"/>
  <c r="E43" i="5"/>
  <c r="D43" i="5"/>
  <c r="H42" i="5"/>
  <c r="R42" i="5"/>
  <c r="F42" i="5"/>
  <c r="E42" i="5"/>
  <c r="D42" i="5"/>
  <c r="H41" i="5"/>
  <c r="G41" i="5"/>
  <c r="F41" i="5"/>
  <c r="E41" i="5"/>
  <c r="D41" i="5"/>
  <c r="R62" i="5"/>
  <c r="O62" i="5"/>
  <c r="H62" i="5"/>
  <c r="N62" i="5" s="1"/>
  <c r="F62" i="5"/>
  <c r="E62" i="5"/>
  <c r="D62" i="5"/>
  <c r="P61" i="5"/>
  <c r="F61" i="5"/>
  <c r="E61" i="5"/>
  <c r="D61" i="5"/>
  <c r="F60" i="5"/>
  <c r="E60" i="5"/>
  <c r="D60" i="5"/>
  <c r="R59" i="5"/>
  <c r="F59" i="5"/>
  <c r="E59" i="5"/>
  <c r="D59" i="5"/>
  <c r="G58" i="5"/>
  <c r="F58" i="5"/>
  <c r="E58" i="5"/>
  <c r="D58" i="5"/>
  <c r="R79" i="5"/>
  <c r="O79" i="5"/>
  <c r="H79" i="5"/>
  <c r="N79" i="5" s="1"/>
  <c r="F79" i="5"/>
  <c r="E79" i="5"/>
  <c r="D79" i="5"/>
  <c r="R78" i="5"/>
  <c r="F78" i="5"/>
  <c r="E78" i="5"/>
  <c r="D78" i="5"/>
  <c r="F77" i="5"/>
  <c r="E77" i="5"/>
  <c r="D77" i="5"/>
  <c r="R76" i="5"/>
  <c r="F76" i="5"/>
  <c r="E76" i="5"/>
  <c r="D76" i="5"/>
  <c r="G75" i="5"/>
  <c r="F75" i="5"/>
  <c r="E75" i="5"/>
  <c r="D75" i="5"/>
  <c r="R119" i="5"/>
  <c r="O119" i="5"/>
  <c r="H119" i="5"/>
  <c r="N119" i="5" s="1"/>
  <c r="F119" i="5"/>
  <c r="E119" i="5"/>
  <c r="D119" i="5"/>
  <c r="H118" i="5"/>
  <c r="F118" i="5"/>
  <c r="E118" i="5"/>
  <c r="D118" i="5"/>
  <c r="H117" i="5"/>
  <c r="F117" i="5"/>
  <c r="E117" i="5"/>
  <c r="D117" i="5"/>
  <c r="H116" i="5"/>
  <c r="R116" i="5"/>
  <c r="F116" i="5"/>
  <c r="E116" i="5"/>
  <c r="D116" i="5"/>
  <c r="H115" i="5"/>
  <c r="G115" i="5"/>
  <c r="F115" i="5"/>
  <c r="E115" i="5"/>
  <c r="D115" i="5"/>
  <c r="R147" i="5"/>
  <c r="O147" i="5"/>
  <c r="H147" i="5"/>
  <c r="N147" i="5" s="1"/>
  <c r="F147" i="5"/>
  <c r="E147" i="5"/>
  <c r="D147" i="5"/>
  <c r="F146" i="5"/>
  <c r="E146" i="5"/>
  <c r="D146" i="5"/>
  <c r="F145" i="5"/>
  <c r="E145" i="5"/>
  <c r="D145" i="5"/>
  <c r="R144" i="5"/>
  <c r="F144" i="5"/>
  <c r="E144" i="5"/>
  <c r="D144" i="5"/>
  <c r="G143" i="5"/>
  <c r="F143" i="5"/>
  <c r="E143" i="5"/>
  <c r="D143" i="5"/>
  <c r="R173" i="5"/>
  <c r="O173" i="5"/>
  <c r="H173" i="5"/>
  <c r="N173" i="5" s="1"/>
  <c r="F173" i="5"/>
  <c r="E173" i="5"/>
  <c r="D173" i="5"/>
  <c r="F172" i="5"/>
  <c r="E172" i="5"/>
  <c r="D172" i="5"/>
  <c r="F171" i="5"/>
  <c r="E171" i="5"/>
  <c r="D171" i="5"/>
  <c r="R170" i="5"/>
  <c r="F170" i="5"/>
  <c r="E170" i="5"/>
  <c r="D170" i="5"/>
  <c r="G169" i="5"/>
  <c r="F169" i="5"/>
  <c r="E169" i="5"/>
  <c r="D169" i="5"/>
  <c r="R191" i="5"/>
  <c r="O191" i="5"/>
  <c r="H191" i="5"/>
  <c r="N191" i="5" s="1"/>
  <c r="F191" i="5"/>
  <c r="E191" i="5"/>
  <c r="D191" i="5"/>
  <c r="F190" i="5"/>
  <c r="E190" i="5"/>
  <c r="D190" i="5"/>
  <c r="F189" i="5"/>
  <c r="E189" i="5"/>
  <c r="D189" i="5"/>
  <c r="R188" i="5"/>
  <c r="F188" i="5"/>
  <c r="E188" i="5"/>
  <c r="D188" i="5"/>
  <c r="G187" i="5"/>
  <c r="F187" i="5"/>
  <c r="E187" i="5"/>
  <c r="D187" i="5"/>
  <c r="H208" i="5"/>
  <c r="N208" i="5" s="1"/>
  <c r="O208" i="5"/>
  <c r="R208" i="5"/>
  <c r="P207" i="5"/>
  <c r="O206" i="5"/>
  <c r="P205" i="5"/>
  <c r="G204" i="5"/>
  <c r="R204" i="5" s="1"/>
  <c r="D203" i="5"/>
  <c r="D204" i="5"/>
  <c r="D205" i="5"/>
  <c r="D206" i="5"/>
  <c r="D207" i="5"/>
  <c r="D208" i="5"/>
  <c r="E208" i="5"/>
  <c r="F208" i="5"/>
  <c r="F204" i="5"/>
  <c r="F205" i="5"/>
  <c r="F206" i="5"/>
  <c r="F207" i="5"/>
  <c r="E204" i="5"/>
  <c r="E205" i="5"/>
  <c r="E206" i="5"/>
  <c r="E207" i="5"/>
  <c r="G405" i="1"/>
  <c r="M232" i="5" s="1"/>
  <c r="S232" i="5" s="1"/>
  <c r="G289" i="1"/>
  <c r="M228" i="5" s="1"/>
  <c r="S228" i="5" s="1"/>
  <c r="F289" i="1"/>
  <c r="K228" i="5" s="1"/>
  <c r="Q228" i="5" s="1"/>
  <c r="G288" i="1"/>
  <c r="M230" i="5" s="1"/>
  <c r="S230" i="5" s="1"/>
  <c r="F288" i="1"/>
  <c r="K230" i="5" s="1"/>
  <c r="Q230" i="5" s="1"/>
  <c r="G287" i="1"/>
  <c r="M229" i="5" s="1"/>
  <c r="S229" i="5" s="1"/>
  <c r="F287" i="1"/>
  <c r="K229" i="5" s="1"/>
  <c r="Q229" i="5" s="1"/>
  <c r="G286" i="1"/>
  <c r="M231" i="5" s="1"/>
  <c r="S231" i="5" s="1"/>
  <c r="F286" i="1"/>
  <c r="K231" i="5" s="1"/>
  <c r="Q231" i="5" s="1"/>
  <c r="W359" i="5" l="1"/>
  <c r="X359" i="5"/>
  <c r="AB359" i="5"/>
  <c r="W357" i="5"/>
  <c r="X357" i="5"/>
  <c r="Z357" i="5"/>
  <c r="Z359" i="5"/>
  <c r="AB357" i="5"/>
  <c r="AA357" i="5"/>
  <c r="Y359" i="5"/>
  <c r="K187" i="5"/>
  <c r="Q187" i="5" s="1"/>
  <c r="K156" i="5"/>
  <c r="Q156" i="5" s="1"/>
  <c r="K30" i="5"/>
  <c r="K158" i="5"/>
  <c r="Q158" i="5" s="1"/>
  <c r="K78" i="5"/>
  <c r="Q78" i="5" s="1"/>
  <c r="K159" i="5"/>
  <c r="Q159" i="5" s="1"/>
  <c r="K29" i="5"/>
  <c r="Q29" i="5" s="1"/>
  <c r="K157" i="5"/>
  <c r="Q157" i="5" s="1"/>
  <c r="M99" i="5"/>
  <c r="S99" i="5" s="1"/>
  <c r="M156" i="5"/>
  <c r="S156" i="5" s="1"/>
  <c r="M103" i="5"/>
  <c r="S103" i="5" s="1"/>
  <c r="M160" i="5"/>
  <c r="S160" i="5" s="1"/>
  <c r="M61" i="5"/>
  <c r="S61" i="5" s="1"/>
  <c r="M159" i="5"/>
  <c r="S159" i="5" s="1"/>
  <c r="M101" i="5"/>
  <c r="M158" i="5"/>
  <c r="S158" i="5" s="1"/>
  <c r="M59" i="5"/>
  <c r="M157" i="5"/>
  <c r="S157" i="5" s="1"/>
  <c r="M188" i="5"/>
  <c r="M190" i="5"/>
  <c r="S190" i="5" s="1"/>
  <c r="M143" i="5"/>
  <c r="S143" i="5" s="1"/>
  <c r="M145" i="5"/>
  <c r="S145" i="5" s="1"/>
  <c r="M76" i="5"/>
  <c r="S76" i="5" s="1"/>
  <c r="M78" i="5"/>
  <c r="S78" i="5" s="1"/>
  <c r="M41" i="5"/>
  <c r="S41" i="5" s="1"/>
  <c r="M43" i="5"/>
  <c r="S43" i="5" s="1"/>
  <c r="M29" i="5"/>
  <c r="S29" i="5" s="1"/>
  <c r="M31" i="5"/>
  <c r="S31" i="5" s="1"/>
  <c r="M207" i="5"/>
  <c r="S207" i="5" s="1"/>
  <c r="M205" i="5"/>
  <c r="S205" i="5" s="1"/>
  <c r="M169" i="5"/>
  <c r="M171" i="5"/>
  <c r="S171" i="5" s="1"/>
  <c r="M116" i="5"/>
  <c r="S116" i="5" s="1"/>
  <c r="M118" i="5"/>
  <c r="S118" i="5" s="1"/>
  <c r="M58" i="5"/>
  <c r="M60" i="5"/>
  <c r="S60" i="5" s="1"/>
  <c r="M100" i="5"/>
  <c r="S100" i="5" s="1"/>
  <c r="M102" i="5"/>
  <c r="S102" i="5" s="1"/>
  <c r="M187" i="5"/>
  <c r="M189" i="5"/>
  <c r="S189" i="5" s="1"/>
  <c r="M144" i="5"/>
  <c r="S144" i="5" s="1"/>
  <c r="M146" i="5"/>
  <c r="S146" i="5" s="1"/>
  <c r="M75" i="5"/>
  <c r="S75" i="5" s="1"/>
  <c r="M77" i="5"/>
  <c r="S77" i="5" s="1"/>
  <c r="M42" i="5"/>
  <c r="S42" i="5" s="1"/>
  <c r="M44" i="5"/>
  <c r="S44" i="5" s="1"/>
  <c r="M28" i="5"/>
  <c r="S28" i="5" s="1"/>
  <c r="M30" i="5"/>
  <c r="S30" i="5" s="1"/>
  <c r="M206" i="5"/>
  <c r="S206" i="5" s="1"/>
  <c r="M204" i="5"/>
  <c r="S204" i="5" s="1"/>
  <c r="M170" i="5"/>
  <c r="S170" i="5" s="1"/>
  <c r="M172" i="5"/>
  <c r="S172" i="5" s="1"/>
  <c r="M115" i="5"/>
  <c r="S115" i="5" s="1"/>
  <c r="M117" i="5"/>
  <c r="S117" i="5" s="1"/>
  <c r="O347" i="5"/>
  <c r="S347" i="5"/>
  <c r="N347" i="5"/>
  <c r="O207" i="5"/>
  <c r="N206" i="5"/>
  <c r="K145" i="5"/>
  <c r="Q145" i="5" s="1"/>
  <c r="S59" i="5"/>
  <c r="K61" i="5"/>
  <c r="Q61" i="5" s="1"/>
  <c r="R207" i="5"/>
  <c r="R206" i="5"/>
  <c r="M119" i="5"/>
  <c r="S119" i="5" s="1"/>
  <c r="K207" i="5"/>
  <c r="Q207" i="5" s="1"/>
  <c r="K190" i="5"/>
  <c r="Q190" i="5" s="1"/>
  <c r="K77" i="5"/>
  <c r="Q77" i="5" s="1"/>
  <c r="M62" i="5"/>
  <c r="S62" i="5" s="1"/>
  <c r="M45" i="5"/>
  <c r="S45" i="5" s="1"/>
  <c r="K102" i="5"/>
  <c r="Q102" i="5" s="1"/>
  <c r="P206" i="5"/>
  <c r="O205" i="5"/>
  <c r="K206" i="5"/>
  <c r="Q206" i="5" s="1"/>
  <c r="K189" i="5"/>
  <c r="Q189" i="5" s="1"/>
  <c r="M173" i="5"/>
  <c r="S173" i="5" s="1"/>
  <c r="K146" i="5"/>
  <c r="Q146" i="5" s="1"/>
  <c r="K118" i="5"/>
  <c r="Q118" i="5" s="1"/>
  <c r="K101" i="5"/>
  <c r="Q101" i="5" s="1"/>
  <c r="M32" i="5"/>
  <c r="S32" i="5" s="1"/>
  <c r="K58" i="5"/>
  <c r="Q58" i="5" s="1"/>
  <c r="K204" i="5"/>
  <c r="Q204" i="5" s="1"/>
  <c r="K169" i="5"/>
  <c r="Q169" i="5" s="1"/>
  <c r="K76" i="5"/>
  <c r="Q76" i="5" s="1"/>
  <c r="K28" i="5"/>
  <c r="Q28" i="5" s="1"/>
  <c r="P204" i="5"/>
  <c r="P170" i="5"/>
  <c r="K144" i="5"/>
  <c r="Q144" i="5" s="1"/>
  <c r="K75" i="5"/>
  <c r="Q75" i="5" s="1"/>
  <c r="K100" i="5"/>
  <c r="Q100" i="5" s="1"/>
  <c r="P29" i="5"/>
  <c r="K205" i="5"/>
  <c r="Q205" i="5" s="1"/>
  <c r="O204" i="5"/>
  <c r="K188" i="5"/>
  <c r="Q188" i="5" s="1"/>
  <c r="K172" i="5"/>
  <c r="Q172" i="5" s="1"/>
  <c r="K143" i="5"/>
  <c r="Q143" i="5" s="1"/>
  <c r="K117" i="5"/>
  <c r="Q117" i="5" s="1"/>
  <c r="P76" i="5"/>
  <c r="K60" i="5"/>
  <c r="Q60" i="5" s="1"/>
  <c r="K44" i="5"/>
  <c r="Q44" i="5" s="1"/>
  <c r="K99" i="5"/>
  <c r="Q99" i="5" s="1"/>
  <c r="K31" i="5"/>
  <c r="Q31" i="5" s="1"/>
  <c r="K115" i="5"/>
  <c r="Q115" i="5" s="1"/>
  <c r="K42" i="5"/>
  <c r="Q42" i="5" s="1"/>
  <c r="N204" i="5"/>
  <c r="P78" i="5"/>
  <c r="K41" i="5"/>
  <c r="Q41" i="5" s="1"/>
  <c r="R205" i="5"/>
  <c r="M208" i="5"/>
  <c r="S208" i="5" s="1"/>
  <c r="N207" i="5"/>
  <c r="N205" i="5"/>
  <c r="M191" i="5"/>
  <c r="S191" i="5" s="1"/>
  <c r="K170" i="5"/>
  <c r="Q170" i="5" s="1"/>
  <c r="K171" i="5"/>
  <c r="Q171" i="5" s="1"/>
  <c r="P144" i="5"/>
  <c r="M147" i="5"/>
  <c r="S147" i="5" s="1"/>
  <c r="K116" i="5"/>
  <c r="Q116" i="5" s="1"/>
  <c r="M79" i="5"/>
  <c r="S79" i="5" s="1"/>
  <c r="K59" i="5"/>
  <c r="Q59" i="5" s="1"/>
  <c r="K43" i="5"/>
  <c r="Q43" i="5" s="1"/>
  <c r="P100" i="5"/>
  <c r="P359" i="5"/>
  <c r="O359" i="5"/>
  <c r="R359" i="5"/>
  <c r="N359" i="5"/>
  <c r="Q357" i="5"/>
  <c r="S357" i="5"/>
  <c r="O357" i="5"/>
  <c r="N357" i="5"/>
  <c r="Q30" i="5"/>
  <c r="O29" i="5"/>
  <c r="P31" i="5"/>
  <c r="N28" i="5"/>
  <c r="R28" i="5"/>
  <c r="N30" i="5"/>
  <c r="R30" i="5"/>
  <c r="O28" i="5"/>
  <c r="O30" i="5"/>
  <c r="P28" i="5"/>
  <c r="N29" i="5"/>
  <c r="P30" i="5"/>
  <c r="N31" i="5"/>
  <c r="R31" i="5"/>
  <c r="O31" i="5"/>
  <c r="O100" i="5"/>
  <c r="P102" i="5"/>
  <c r="O99" i="5"/>
  <c r="O101" i="5"/>
  <c r="S101" i="5"/>
  <c r="N99" i="5"/>
  <c r="R99" i="5"/>
  <c r="N101" i="5"/>
  <c r="R101" i="5"/>
  <c r="P99" i="5"/>
  <c r="N100" i="5"/>
  <c r="P101" i="5"/>
  <c r="N102" i="5"/>
  <c r="R102" i="5"/>
  <c r="O102" i="5"/>
  <c r="P59" i="5"/>
  <c r="O59" i="5"/>
  <c r="O42" i="5"/>
  <c r="P44" i="5"/>
  <c r="P42" i="5"/>
  <c r="N41" i="5"/>
  <c r="R41" i="5"/>
  <c r="N43" i="5"/>
  <c r="R43" i="5"/>
  <c r="O41" i="5"/>
  <c r="O43" i="5"/>
  <c r="P41" i="5"/>
  <c r="N42" i="5"/>
  <c r="P43" i="5"/>
  <c r="N44" i="5"/>
  <c r="R44" i="5"/>
  <c r="O44" i="5"/>
  <c r="O58" i="5"/>
  <c r="S58" i="5"/>
  <c r="O60" i="5"/>
  <c r="N58" i="5"/>
  <c r="R58" i="5"/>
  <c r="P58" i="5"/>
  <c r="N59" i="5"/>
  <c r="P60" i="5"/>
  <c r="N61" i="5"/>
  <c r="R61" i="5"/>
  <c r="N60" i="5"/>
  <c r="R60" i="5"/>
  <c r="O61" i="5"/>
  <c r="O76" i="5"/>
  <c r="O78" i="5"/>
  <c r="O75" i="5"/>
  <c r="O77" i="5"/>
  <c r="N75" i="5"/>
  <c r="R75" i="5"/>
  <c r="N77" i="5"/>
  <c r="R77" i="5"/>
  <c r="P75" i="5"/>
  <c r="N76" i="5"/>
  <c r="P77" i="5"/>
  <c r="N78" i="5"/>
  <c r="O116" i="5"/>
  <c r="P118" i="5"/>
  <c r="P116" i="5"/>
  <c r="N117" i="5"/>
  <c r="O115" i="5"/>
  <c r="O117" i="5"/>
  <c r="N115" i="5"/>
  <c r="R117" i="5"/>
  <c r="P115" i="5"/>
  <c r="N116" i="5"/>
  <c r="P117" i="5"/>
  <c r="N118" i="5"/>
  <c r="R118" i="5"/>
  <c r="R115" i="5"/>
  <c r="O118" i="5"/>
  <c r="P146" i="5"/>
  <c r="O143" i="5"/>
  <c r="O145" i="5"/>
  <c r="N143" i="5"/>
  <c r="R143" i="5"/>
  <c r="N145" i="5"/>
  <c r="R145" i="5"/>
  <c r="P143" i="5"/>
  <c r="N144" i="5"/>
  <c r="P145" i="5"/>
  <c r="N146" i="5"/>
  <c r="R146" i="5"/>
  <c r="O146" i="5"/>
  <c r="O170" i="5"/>
  <c r="P172" i="5"/>
  <c r="O169" i="5"/>
  <c r="S169" i="5"/>
  <c r="O171" i="5"/>
  <c r="N169" i="5"/>
  <c r="R169" i="5"/>
  <c r="N171" i="5"/>
  <c r="R171" i="5"/>
  <c r="P169" i="5"/>
  <c r="N170" i="5"/>
  <c r="P171" i="5"/>
  <c r="N172" i="5"/>
  <c r="R172" i="5"/>
  <c r="O172" i="5"/>
  <c r="O188" i="5"/>
  <c r="P190" i="5"/>
  <c r="S188" i="5"/>
  <c r="P188" i="5"/>
  <c r="O187" i="5"/>
  <c r="S187" i="5"/>
  <c r="O189" i="5"/>
  <c r="P187" i="5"/>
  <c r="N188" i="5"/>
  <c r="P189" i="5"/>
  <c r="N190" i="5"/>
  <c r="R190" i="5"/>
  <c r="N187" i="5"/>
  <c r="R187" i="5"/>
  <c r="N189" i="5"/>
  <c r="R189" i="5"/>
  <c r="O190" i="5"/>
  <c r="Q151" i="5" l="1"/>
  <c r="J18" i="6" s="1"/>
  <c r="N350" i="5"/>
  <c r="G32" i="6" s="1"/>
  <c r="O350" i="5"/>
  <c r="H32" i="6" s="1"/>
  <c r="E106" i="6"/>
  <c r="D106" i="6"/>
  <c r="E104" i="6"/>
  <c r="D104" i="6"/>
  <c r="S83" i="5"/>
  <c r="Q83" i="5"/>
  <c r="O83" i="5"/>
  <c r="N83" i="5"/>
  <c r="F83" i="5"/>
  <c r="E83" i="5"/>
  <c r="D83" i="5"/>
  <c r="S82" i="5"/>
  <c r="Q82" i="5"/>
  <c r="O82" i="5"/>
  <c r="N82" i="5"/>
  <c r="F82" i="5"/>
  <c r="E82" i="5"/>
  <c r="D82" i="5"/>
  <c r="S81" i="5"/>
  <c r="Q81" i="5"/>
  <c r="O81" i="5"/>
  <c r="N81" i="5"/>
  <c r="F81" i="5"/>
  <c r="E81" i="5"/>
  <c r="D81" i="5"/>
  <c r="S80" i="5"/>
  <c r="Q80" i="5"/>
  <c r="O80" i="5"/>
  <c r="N80" i="5"/>
  <c r="F80" i="5"/>
  <c r="E80" i="5"/>
  <c r="D80" i="5"/>
  <c r="R74" i="5"/>
  <c r="P74" i="5"/>
  <c r="O74" i="5"/>
  <c r="F74" i="5"/>
  <c r="E74" i="5"/>
  <c r="D74" i="5"/>
  <c r="R73" i="5"/>
  <c r="P73" i="5"/>
  <c r="O73" i="5"/>
  <c r="F73" i="5"/>
  <c r="E73" i="5"/>
  <c r="D73" i="5"/>
  <c r="R72" i="5"/>
  <c r="P72" i="5"/>
  <c r="O72" i="5"/>
  <c r="F72" i="5"/>
  <c r="E72" i="5"/>
  <c r="D72" i="5"/>
  <c r="R71" i="5"/>
  <c r="P71" i="5"/>
  <c r="O71" i="5"/>
  <c r="F71" i="5"/>
  <c r="E71" i="5"/>
  <c r="D71" i="5"/>
  <c r="I70" i="5"/>
  <c r="S70" i="5"/>
  <c r="F70" i="5"/>
  <c r="E70" i="5"/>
  <c r="D70" i="5"/>
  <c r="I69" i="5"/>
  <c r="F69" i="5"/>
  <c r="E69" i="5"/>
  <c r="D69" i="5"/>
  <c r="I68" i="5"/>
  <c r="F68" i="5"/>
  <c r="E68" i="5"/>
  <c r="D68" i="5"/>
  <c r="AD67" i="5"/>
  <c r="AI67" i="5" s="1"/>
  <c r="AD66" i="5"/>
  <c r="AA66" i="5"/>
  <c r="Z66" i="5"/>
  <c r="X66" i="5"/>
  <c r="W66" i="5"/>
  <c r="S49" i="5"/>
  <c r="Q49" i="5"/>
  <c r="O49" i="5"/>
  <c r="N49" i="5"/>
  <c r="F49" i="5"/>
  <c r="E49" i="5"/>
  <c r="D49" i="5"/>
  <c r="S48" i="5"/>
  <c r="Q48" i="5"/>
  <c r="O48" i="5"/>
  <c r="N48" i="5"/>
  <c r="F48" i="5"/>
  <c r="E48" i="5"/>
  <c r="D48" i="5"/>
  <c r="S47" i="5"/>
  <c r="Q47" i="5"/>
  <c r="O47" i="5"/>
  <c r="N47" i="5"/>
  <c r="F47" i="5"/>
  <c r="E47" i="5"/>
  <c r="D47" i="5"/>
  <c r="S46" i="5"/>
  <c r="Q46" i="5"/>
  <c r="O46" i="5"/>
  <c r="N46" i="5"/>
  <c r="F46" i="5"/>
  <c r="E46" i="5"/>
  <c r="D46" i="5"/>
  <c r="I40" i="5"/>
  <c r="S40" i="5"/>
  <c r="F40" i="5"/>
  <c r="E40" i="5"/>
  <c r="D40" i="5"/>
  <c r="I39" i="5"/>
  <c r="S39" i="5"/>
  <c r="F39" i="5"/>
  <c r="E39" i="5"/>
  <c r="D39" i="5"/>
  <c r="I38" i="5"/>
  <c r="Q38" i="5"/>
  <c r="F38" i="5"/>
  <c r="E38" i="5"/>
  <c r="D38" i="5"/>
  <c r="AD37" i="5"/>
  <c r="AI37" i="5" s="1"/>
  <c r="AD36" i="5"/>
  <c r="AA36" i="5"/>
  <c r="Z36" i="5"/>
  <c r="X36" i="5"/>
  <c r="W36" i="5"/>
  <c r="G253" i="15"/>
  <c r="G259" i="15"/>
  <c r="G258" i="15"/>
  <c r="H1971" i="8"/>
  <c r="G252" i="15"/>
  <c r="C252" i="15" s="1"/>
  <c r="L252" i="15"/>
  <c r="K252" i="15"/>
  <c r="C253" i="15" l="1"/>
  <c r="O39" i="5"/>
  <c r="AG36" i="5"/>
  <c r="AK66" i="5"/>
  <c r="AF67" i="5"/>
  <c r="AG66" i="5"/>
  <c r="AJ67" i="5"/>
  <c r="S68" i="5"/>
  <c r="S69" i="5"/>
  <c r="Q70" i="5"/>
  <c r="O68" i="5"/>
  <c r="O69" i="5"/>
  <c r="AJ66" i="5"/>
  <c r="N38" i="5"/>
  <c r="AJ36" i="5"/>
  <c r="AG67" i="5"/>
  <c r="AK67" i="5"/>
  <c r="Q69" i="5"/>
  <c r="N70" i="5"/>
  <c r="AJ37" i="5"/>
  <c r="AH66" i="5"/>
  <c r="AH67" i="5"/>
  <c r="AL67" i="5"/>
  <c r="Q68" i="5"/>
  <c r="N69" i="5"/>
  <c r="O70" i="5"/>
  <c r="AK36" i="5"/>
  <c r="AF37" i="5"/>
  <c r="AE67" i="5"/>
  <c r="N68" i="5"/>
  <c r="AG37" i="5"/>
  <c r="AK37" i="5"/>
  <c r="O38" i="5"/>
  <c r="Q40" i="5"/>
  <c r="AH37" i="5"/>
  <c r="AL37" i="5"/>
  <c r="Q39" i="5"/>
  <c r="N40" i="5"/>
  <c r="AH36" i="5"/>
  <c r="AE37" i="5"/>
  <c r="N39" i="5"/>
  <c r="O40" i="5"/>
  <c r="N252" i="15"/>
  <c r="C2117" i="8"/>
  <c r="C2113" i="8"/>
  <c r="C2112" i="8"/>
  <c r="F2100" i="8"/>
  <c r="C2029" i="8"/>
  <c r="E2029" i="8"/>
  <c r="F2029" i="8"/>
  <c r="G2029" i="8"/>
  <c r="I2029" i="8"/>
  <c r="M2029" i="8" s="1"/>
  <c r="N2029" i="8"/>
  <c r="R2029" i="8"/>
  <c r="G2071" i="8"/>
  <c r="F2071" i="8"/>
  <c r="E2071" i="8"/>
  <c r="I2070" i="8"/>
  <c r="G2070" i="8"/>
  <c r="F2070" i="8"/>
  <c r="E2070" i="8"/>
  <c r="I2069" i="8"/>
  <c r="G2069" i="8"/>
  <c r="F2069" i="8"/>
  <c r="E2069" i="8"/>
  <c r="C2069" i="8"/>
  <c r="N2068" i="8"/>
  <c r="I2068" i="8"/>
  <c r="M2068" i="8" s="1"/>
  <c r="G2068" i="8"/>
  <c r="F2068" i="8"/>
  <c r="E2068" i="8"/>
  <c r="C2068" i="8"/>
  <c r="N2067" i="8"/>
  <c r="I2067" i="8"/>
  <c r="M2067" i="8" s="1"/>
  <c r="G2067" i="8"/>
  <c r="F2067" i="8"/>
  <c r="E2067" i="8"/>
  <c r="C2067" i="8"/>
  <c r="N2066" i="8"/>
  <c r="I2066" i="8"/>
  <c r="M2066" i="8" s="1"/>
  <c r="G2066" i="8"/>
  <c r="F2066" i="8"/>
  <c r="E2066" i="8"/>
  <c r="C2066" i="8"/>
  <c r="N2065" i="8"/>
  <c r="I2065" i="8"/>
  <c r="M2065" i="8" s="1"/>
  <c r="G2065" i="8"/>
  <c r="F2065" i="8"/>
  <c r="E2065" i="8"/>
  <c r="C2065" i="8"/>
  <c r="N2064" i="8"/>
  <c r="I2064" i="8"/>
  <c r="M2064" i="8" s="1"/>
  <c r="G2064" i="8"/>
  <c r="F2064" i="8"/>
  <c r="E2064" i="8"/>
  <c r="C2064" i="8"/>
  <c r="O2063" i="8"/>
  <c r="N2063" i="8"/>
  <c r="I2063" i="8"/>
  <c r="M2063" i="8" s="1"/>
  <c r="G2063" i="8"/>
  <c r="F2063" i="8"/>
  <c r="E2063" i="8"/>
  <c r="C2063" i="8"/>
  <c r="O2062" i="8"/>
  <c r="N2062" i="8"/>
  <c r="I2062" i="8"/>
  <c r="M2062" i="8" s="1"/>
  <c r="G2062" i="8"/>
  <c r="F2062" i="8"/>
  <c r="E2062" i="8"/>
  <c r="C2062" i="8"/>
  <c r="O2061" i="8"/>
  <c r="N2061" i="8"/>
  <c r="I2061" i="8"/>
  <c r="M2061" i="8" s="1"/>
  <c r="G2061" i="8"/>
  <c r="F2061" i="8"/>
  <c r="E2061" i="8"/>
  <c r="C2061" i="8"/>
  <c r="N2060" i="8"/>
  <c r="I2060" i="8"/>
  <c r="M2060" i="8" s="1"/>
  <c r="G2060" i="8"/>
  <c r="F2060" i="8"/>
  <c r="E2060" i="8"/>
  <c r="C2060" i="8"/>
  <c r="N2059" i="8"/>
  <c r="M2059" i="8"/>
  <c r="G2059" i="8"/>
  <c r="F2059" i="8"/>
  <c r="E2059" i="8"/>
  <c r="C2059" i="8"/>
  <c r="N2058" i="8"/>
  <c r="I2058" i="8"/>
  <c r="M2058" i="8" s="1"/>
  <c r="G2058" i="8"/>
  <c r="F2058" i="8"/>
  <c r="E2058" i="8"/>
  <c r="C2058" i="8"/>
  <c r="I2057" i="8"/>
  <c r="G2057" i="8"/>
  <c r="F2057" i="8"/>
  <c r="E2057" i="8"/>
  <c r="C2057" i="8"/>
  <c r="P2056" i="8"/>
  <c r="O2056" i="8"/>
  <c r="N2056" i="8"/>
  <c r="I2056" i="8"/>
  <c r="M2056" i="8" s="1"/>
  <c r="G2056" i="8"/>
  <c r="F2056" i="8"/>
  <c r="C2056" i="8"/>
  <c r="P2055" i="8"/>
  <c r="O2055" i="8"/>
  <c r="N2055" i="8"/>
  <c r="I2055" i="8"/>
  <c r="M2055" i="8" s="1"/>
  <c r="G2055" i="8"/>
  <c r="F2055" i="8"/>
  <c r="C2055" i="8"/>
  <c r="R2054" i="8"/>
  <c r="I2054" i="8"/>
  <c r="N2054" i="8"/>
  <c r="G2054" i="8"/>
  <c r="F2054" i="8"/>
  <c r="E2054" i="8"/>
  <c r="C2054" i="8"/>
  <c r="R2053" i="8"/>
  <c r="I2053" i="8"/>
  <c r="G2053" i="8"/>
  <c r="F2053" i="8"/>
  <c r="E2053" i="8"/>
  <c r="C2053" i="8"/>
  <c r="R2052" i="8"/>
  <c r="I2052" i="8"/>
  <c r="G2052" i="8"/>
  <c r="F2052" i="8"/>
  <c r="E2052" i="8"/>
  <c r="C2052" i="8"/>
  <c r="R2051" i="8"/>
  <c r="N2051" i="8"/>
  <c r="M2051" i="8"/>
  <c r="G2051" i="8"/>
  <c r="F2051" i="8"/>
  <c r="E2051" i="8"/>
  <c r="C2051" i="8"/>
  <c r="R2050" i="8"/>
  <c r="N2050" i="8"/>
  <c r="M2050" i="8"/>
  <c r="G2050" i="8"/>
  <c r="F2050" i="8"/>
  <c r="E2050" i="8"/>
  <c r="C2050" i="8"/>
  <c r="C21" i="30"/>
  <c r="C2100" i="8"/>
  <c r="E2100" i="8"/>
  <c r="G2100" i="8"/>
  <c r="M2100" i="8"/>
  <c r="N2100" i="8"/>
  <c r="C2102" i="8"/>
  <c r="E2102" i="8"/>
  <c r="F2102" i="8"/>
  <c r="G2102" i="8"/>
  <c r="I2102" i="8"/>
  <c r="M2102" i="8" s="1"/>
  <c r="N2102" i="8"/>
  <c r="C2103" i="8"/>
  <c r="F2103" i="8"/>
  <c r="G2103" i="8"/>
  <c r="I2103" i="8"/>
  <c r="M2103" i="8" s="1"/>
  <c r="N2103" i="8"/>
  <c r="O2103" i="8"/>
  <c r="P2103" i="8"/>
  <c r="C2104" i="8"/>
  <c r="F2104" i="8"/>
  <c r="G2104" i="8"/>
  <c r="I2104" i="8"/>
  <c r="M2104" i="8" s="1"/>
  <c r="N2104" i="8"/>
  <c r="O2104" i="8"/>
  <c r="P2104" i="8"/>
  <c r="C2105" i="8"/>
  <c r="E2105" i="8"/>
  <c r="F2105" i="8"/>
  <c r="G2105" i="8"/>
  <c r="I2105" i="8"/>
  <c r="M2105" i="8" s="1"/>
  <c r="N2105" i="8"/>
  <c r="C2106" i="8"/>
  <c r="E2106" i="8"/>
  <c r="F2106" i="8"/>
  <c r="G2106" i="8"/>
  <c r="I2106" i="8"/>
  <c r="M2106" i="8" s="1"/>
  <c r="N2106" i="8"/>
  <c r="E2108" i="8"/>
  <c r="F2108" i="8"/>
  <c r="G2108" i="8"/>
  <c r="I2108" i="8"/>
  <c r="C2109" i="8"/>
  <c r="F2109" i="8"/>
  <c r="G2109" i="8"/>
  <c r="I2109" i="8"/>
  <c r="M2109" i="8" s="1"/>
  <c r="N2109" i="8"/>
  <c r="O2109" i="8"/>
  <c r="C2110" i="8"/>
  <c r="F2110" i="8"/>
  <c r="G2110" i="8"/>
  <c r="I2110" i="8"/>
  <c r="M2110" i="8" s="1"/>
  <c r="N2110" i="8"/>
  <c r="O2110" i="8"/>
  <c r="C2111" i="8"/>
  <c r="F2111" i="8"/>
  <c r="G2111" i="8"/>
  <c r="I2111" i="8"/>
  <c r="M2111" i="8" s="1"/>
  <c r="N2111" i="8"/>
  <c r="O2111" i="8"/>
  <c r="E2112" i="8"/>
  <c r="F2112" i="8"/>
  <c r="G2112" i="8"/>
  <c r="I2112" i="8"/>
  <c r="E2113" i="8"/>
  <c r="F2113" i="8"/>
  <c r="G2113" i="8"/>
  <c r="I2113" i="8"/>
  <c r="N2113" i="8"/>
  <c r="C2114" i="8"/>
  <c r="E2114" i="8"/>
  <c r="F2114" i="8"/>
  <c r="G2114" i="8"/>
  <c r="I2114" i="8"/>
  <c r="M2114" i="8" s="1"/>
  <c r="N2114" i="8"/>
  <c r="E2115" i="8"/>
  <c r="F2115" i="8"/>
  <c r="G2115" i="8"/>
  <c r="I2115" i="8"/>
  <c r="C2116" i="8"/>
  <c r="E2116" i="8"/>
  <c r="F2116" i="8"/>
  <c r="G2116" i="8"/>
  <c r="I2116" i="8"/>
  <c r="M2116" i="8" s="1"/>
  <c r="N2116" i="8"/>
  <c r="E2117" i="8"/>
  <c r="F2117" i="8"/>
  <c r="G2117" i="8"/>
  <c r="I2117" i="8"/>
  <c r="C2118" i="8"/>
  <c r="E2118" i="8"/>
  <c r="F2118" i="8"/>
  <c r="G2118" i="8"/>
  <c r="I2118" i="8"/>
  <c r="M2118" i="8" s="1"/>
  <c r="N2118" i="8"/>
  <c r="E2119" i="8"/>
  <c r="F2119" i="8"/>
  <c r="G2119" i="8"/>
  <c r="I2119" i="8"/>
  <c r="E2120" i="8"/>
  <c r="F2120" i="8"/>
  <c r="G2120" i="8"/>
  <c r="I2120" i="8"/>
  <c r="H2213" i="8"/>
  <c r="F2182" i="8"/>
  <c r="H1974" i="8"/>
  <c r="O66" i="5" l="1"/>
  <c r="H106" i="6" s="1"/>
  <c r="M2113" i="8"/>
  <c r="N2112" i="8"/>
  <c r="M2112" i="8"/>
  <c r="N2117" i="8"/>
  <c r="N2108" i="8"/>
  <c r="M2117" i="8"/>
  <c r="M2108" i="8"/>
  <c r="C2108" i="8"/>
  <c r="N36" i="5"/>
  <c r="G104" i="6" s="1"/>
  <c r="C2115" i="8"/>
  <c r="N2115" i="8"/>
  <c r="C2120" i="8"/>
  <c r="O36" i="5"/>
  <c r="H104" i="6" s="1"/>
  <c r="M2115" i="8"/>
  <c r="C2119" i="8"/>
  <c r="N2119" i="8"/>
  <c r="M2119" i="8"/>
  <c r="M2069" i="8"/>
  <c r="M2057" i="8"/>
  <c r="N2069" i="8"/>
  <c r="N2057" i="8"/>
  <c r="N2071" i="8"/>
  <c r="C2071" i="8"/>
  <c r="M2071" i="8"/>
  <c r="M2053" i="8"/>
  <c r="M2052" i="8"/>
  <c r="N2053" i="8"/>
  <c r="M2054" i="8"/>
  <c r="N2052" i="8"/>
  <c r="M1819" i="8"/>
  <c r="I1818" i="8"/>
  <c r="F1818" i="8"/>
  <c r="N1819" i="8"/>
  <c r="G1819" i="8"/>
  <c r="F1819" i="8"/>
  <c r="E1819" i="8"/>
  <c r="C1819" i="8"/>
  <c r="N1816" i="8"/>
  <c r="N1810" i="8"/>
  <c r="I1816" i="8"/>
  <c r="G1816" i="8"/>
  <c r="F1816" i="8"/>
  <c r="E1816" i="8"/>
  <c r="P1813" i="8"/>
  <c r="O1813" i="8"/>
  <c r="N1813" i="8"/>
  <c r="I1813" i="8"/>
  <c r="M1813" i="8" s="1"/>
  <c r="G1813" i="8"/>
  <c r="F1813" i="8"/>
  <c r="C1813" i="8"/>
  <c r="I1810" i="8"/>
  <c r="G1810" i="8"/>
  <c r="F1810" i="8"/>
  <c r="E1810" i="8"/>
  <c r="C1808" i="8"/>
  <c r="G1808" i="8"/>
  <c r="F1808" i="8"/>
  <c r="E1808" i="8"/>
  <c r="F1746" i="8"/>
  <c r="I1746" i="8"/>
  <c r="G1746" i="8"/>
  <c r="E1746" i="8"/>
  <c r="O1676" i="8"/>
  <c r="F1676" i="8"/>
  <c r="I1676" i="8"/>
  <c r="G1676" i="8"/>
  <c r="H1673" i="8"/>
  <c r="C1673" i="8" s="1"/>
  <c r="I1670" i="8"/>
  <c r="G1670" i="8"/>
  <c r="F1670" i="8"/>
  <c r="H1672" i="8"/>
  <c r="N1667" i="8"/>
  <c r="I1673" i="8"/>
  <c r="G1673" i="8"/>
  <c r="F1673" i="8"/>
  <c r="E1673" i="8"/>
  <c r="I1667" i="8"/>
  <c r="G1667" i="8"/>
  <c r="F1667" i="8"/>
  <c r="E1667" i="8"/>
  <c r="H1658" i="8"/>
  <c r="I1659" i="8"/>
  <c r="G1659" i="8"/>
  <c r="F1659" i="8"/>
  <c r="E1659" i="8"/>
  <c r="F1648" i="8"/>
  <c r="G1648" i="8"/>
  <c r="E1648" i="8"/>
  <c r="C1648" i="8"/>
  <c r="H1659" i="8"/>
  <c r="C1659" i="8" s="1"/>
  <c r="G331" i="15"/>
  <c r="I1645" i="8"/>
  <c r="H1645" i="8"/>
  <c r="G1645" i="8"/>
  <c r="F1645" i="8"/>
  <c r="E1645" i="8"/>
  <c r="C1645" i="8"/>
  <c r="P1642" i="8"/>
  <c r="O1642" i="8"/>
  <c r="N1642" i="8"/>
  <c r="I1642" i="8"/>
  <c r="M1642" i="8" s="1"/>
  <c r="G1642" i="8"/>
  <c r="F1642" i="8"/>
  <c r="C1642" i="8"/>
  <c r="C1638" i="8"/>
  <c r="I1638" i="8"/>
  <c r="G1638" i="8"/>
  <c r="F1638" i="8"/>
  <c r="E1638" i="8"/>
  <c r="G570" i="1"/>
  <c r="F570" i="1"/>
  <c r="E2122" i="8"/>
  <c r="G368" i="15"/>
  <c r="G367" i="15"/>
  <c r="G363" i="15"/>
  <c r="G359" i="15"/>
  <c r="G358" i="15"/>
  <c r="L370" i="15"/>
  <c r="K370" i="15"/>
  <c r="L369" i="15"/>
  <c r="K369" i="15"/>
  <c r="L368" i="15"/>
  <c r="K368" i="15"/>
  <c r="L367" i="15"/>
  <c r="K367" i="15"/>
  <c r="L366" i="15"/>
  <c r="K366" i="15"/>
  <c r="L365" i="15"/>
  <c r="K365" i="15"/>
  <c r="L364" i="15"/>
  <c r="K364" i="15"/>
  <c r="L363" i="15"/>
  <c r="K363" i="15"/>
  <c r="L362" i="15"/>
  <c r="K362" i="15"/>
  <c r="L361" i="15"/>
  <c r="K361" i="15"/>
  <c r="L360" i="15"/>
  <c r="K360" i="15"/>
  <c r="L359" i="15"/>
  <c r="K359" i="15"/>
  <c r="L358" i="15"/>
  <c r="K358" i="15"/>
  <c r="L357" i="15"/>
  <c r="K357" i="15"/>
  <c r="L356" i="15"/>
  <c r="K356" i="15"/>
  <c r="C356" i="15"/>
  <c r="G354" i="15"/>
  <c r="G353" i="15"/>
  <c r="G347" i="15"/>
  <c r="G346" i="15"/>
  <c r="G345" i="15"/>
  <c r="G343" i="15"/>
  <c r="G341" i="15"/>
  <c r="L354" i="15"/>
  <c r="K354" i="15"/>
  <c r="L353" i="15"/>
  <c r="K353" i="15"/>
  <c r="L352" i="15"/>
  <c r="K352" i="15"/>
  <c r="L351" i="15"/>
  <c r="K351" i="15"/>
  <c r="L350" i="15"/>
  <c r="K350" i="15"/>
  <c r="L349" i="15"/>
  <c r="K349" i="15"/>
  <c r="L348" i="15"/>
  <c r="K348" i="15"/>
  <c r="L347" i="15"/>
  <c r="K347" i="15"/>
  <c r="L346" i="15"/>
  <c r="K346" i="15"/>
  <c r="L345" i="15"/>
  <c r="K345" i="15"/>
  <c r="L344" i="15"/>
  <c r="K344" i="15"/>
  <c r="L343" i="15"/>
  <c r="K343" i="15"/>
  <c r="L342" i="15"/>
  <c r="K342" i="15"/>
  <c r="L341" i="15"/>
  <c r="K341" i="15"/>
  <c r="L340" i="15"/>
  <c r="K340" i="15"/>
  <c r="C340" i="15"/>
  <c r="G337" i="15"/>
  <c r="G335" i="15"/>
  <c r="G333" i="15"/>
  <c r="G330" i="15"/>
  <c r="G329" i="15"/>
  <c r="G328" i="15"/>
  <c r="G326" i="15"/>
  <c r="H1585" i="8" s="1"/>
  <c r="G269" i="15"/>
  <c r="L270" i="15"/>
  <c r="K270" i="15"/>
  <c r="G267" i="15"/>
  <c r="N356" i="15" l="1"/>
  <c r="M2120" i="8"/>
  <c r="C2098" i="8"/>
  <c r="N2120" i="8"/>
  <c r="N365" i="15"/>
  <c r="N358" i="15"/>
  <c r="C1816" i="8"/>
  <c r="M1816" i="8"/>
  <c r="N2070" i="8"/>
  <c r="M2070" i="8"/>
  <c r="C2070" i="8"/>
  <c r="C2049" i="8" s="1"/>
  <c r="N363" i="15"/>
  <c r="H1689" i="8"/>
  <c r="H1688" i="8"/>
  <c r="N1808" i="8"/>
  <c r="M1808" i="8"/>
  <c r="C1676" i="8"/>
  <c r="N1676" i="8"/>
  <c r="C1810" i="8"/>
  <c r="M1810" i="8"/>
  <c r="M1676" i="8"/>
  <c r="H1660" i="8"/>
  <c r="C1667" i="8"/>
  <c r="M1667" i="8"/>
  <c r="N1673" i="8"/>
  <c r="M1673" i="8"/>
  <c r="O1670" i="8"/>
  <c r="C1670" i="8"/>
  <c r="P1670" i="8"/>
  <c r="M1670" i="8"/>
  <c r="N1670" i="8"/>
  <c r="M1659" i="8"/>
  <c r="N1659" i="8"/>
  <c r="M1648" i="8"/>
  <c r="N1648" i="8"/>
  <c r="M1645" i="8"/>
  <c r="N1645" i="8"/>
  <c r="M1638" i="8"/>
  <c r="N1638" i="8"/>
  <c r="N360" i="15"/>
  <c r="N369" i="15"/>
  <c r="N367" i="15"/>
  <c r="N357" i="15"/>
  <c r="N364" i="15"/>
  <c r="N361" i="15"/>
  <c r="N346" i="15"/>
  <c r="N368" i="15"/>
  <c r="C357" i="15"/>
  <c r="C358" i="15" s="1"/>
  <c r="C359" i="15" s="1"/>
  <c r="C360" i="15" s="1"/>
  <c r="C361" i="15" s="1"/>
  <c r="C362" i="15" s="1"/>
  <c r="C363" i="15" s="1"/>
  <c r="C364" i="15" s="1"/>
  <c r="C365" i="15" s="1"/>
  <c r="C366" i="15" s="1"/>
  <c r="C367" i="15" s="1"/>
  <c r="C368" i="15" s="1"/>
  <c r="C369" i="15" s="1"/>
  <c r="N359" i="15"/>
  <c r="N362" i="15"/>
  <c r="N366" i="15"/>
  <c r="N344" i="15"/>
  <c r="N354" i="15"/>
  <c r="N340" i="15"/>
  <c r="N345" i="15"/>
  <c r="N348" i="15"/>
  <c r="N349" i="15"/>
  <c r="C341" i="15"/>
  <c r="C342" i="15" s="1"/>
  <c r="C343" i="15" s="1"/>
  <c r="C344" i="15" s="1"/>
  <c r="C345" i="15" s="1"/>
  <c r="C346" i="15" s="1"/>
  <c r="C347" i="15" s="1"/>
  <c r="C348" i="15" s="1"/>
  <c r="C349" i="15" s="1"/>
  <c r="N342" i="15"/>
  <c r="N343" i="15"/>
  <c r="N347" i="15"/>
  <c r="N353" i="15"/>
  <c r="N341" i="15"/>
  <c r="N270" i="15"/>
  <c r="L266" i="15"/>
  <c r="K266" i="15"/>
  <c r="G260" i="15"/>
  <c r="G256" i="15"/>
  <c r="G255" i="15"/>
  <c r="G254" i="15"/>
  <c r="C254" i="15" s="1"/>
  <c r="L254" i="15"/>
  <c r="K254" i="15"/>
  <c r="G266" i="15"/>
  <c r="G352" i="15"/>
  <c r="N352" i="15" s="1"/>
  <c r="G350" i="15"/>
  <c r="N350" i="15" s="1"/>
  <c r="G351" i="15" l="1"/>
  <c r="N351" i="15" s="1"/>
  <c r="C350" i="15"/>
  <c r="N266" i="15"/>
  <c r="N254" i="15"/>
  <c r="E101" i="6"/>
  <c r="D101" i="6"/>
  <c r="D102" i="6"/>
  <c r="E102" i="6"/>
  <c r="S16" i="5"/>
  <c r="Q16" i="5"/>
  <c r="O16" i="5"/>
  <c r="N16" i="5"/>
  <c r="F16" i="5"/>
  <c r="E16" i="5"/>
  <c r="D16" i="5"/>
  <c r="S15" i="5"/>
  <c r="Q15" i="5"/>
  <c r="O15" i="5"/>
  <c r="N15" i="5"/>
  <c r="F15" i="5"/>
  <c r="E15" i="5"/>
  <c r="D15" i="5"/>
  <c r="G14" i="5"/>
  <c r="F14" i="5"/>
  <c r="E14" i="5"/>
  <c r="D14" i="5"/>
  <c r="AD13" i="5"/>
  <c r="AL13" i="5" s="1"/>
  <c r="AD12" i="5"/>
  <c r="AA12" i="5"/>
  <c r="Z12" i="5"/>
  <c r="X12" i="5"/>
  <c r="W12" i="5"/>
  <c r="C351" i="15" l="1"/>
  <c r="C352" i="15" s="1"/>
  <c r="C353" i="15" s="1"/>
  <c r="C354" i="15" s="1"/>
  <c r="AK12" i="5"/>
  <c r="AG12" i="5"/>
  <c r="AH12" i="5"/>
  <c r="AJ12" i="5"/>
  <c r="AI13" i="5"/>
  <c r="AE13" i="5"/>
  <c r="AF13" i="5"/>
  <c r="AJ13" i="5"/>
  <c r="AG13" i="5"/>
  <c r="AK13" i="5"/>
  <c r="Q14" i="5"/>
  <c r="Q12" i="5" s="1"/>
  <c r="J101" i="6" s="1"/>
  <c r="O14" i="5"/>
  <c r="O12" i="5" s="1"/>
  <c r="H101" i="6" s="1"/>
  <c r="S14" i="5"/>
  <c r="S12" i="5" s="1"/>
  <c r="L101" i="6" s="1"/>
  <c r="AH13" i="5"/>
  <c r="N14" i="5"/>
  <c r="N12" i="5" s="1"/>
  <c r="G101" i="6" s="1"/>
  <c r="G97" i="5"/>
  <c r="E21" i="30"/>
  <c r="F21" i="30"/>
  <c r="G21" i="30"/>
  <c r="H21" i="30"/>
  <c r="I21" i="30"/>
  <c r="J21" i="30"/>
  <c r="E44" i="16" s="1"/>
  <c r="K21" i="30"/>
  <c r="E56" i="16" s="1"/>
  <c r="L21" i="30"/>
  <c r="E55" i="16" s="1"/>
  <c r="M21" i="30"/>
  <c r="E50" i="16" s="1"/>
  <c r="O21" i="30"/>
  <c r="E51" i="16" s="1"/>
  <c r="P21" i="30"/>
  <c r="E52" i="16" s="1"/>
  <c r="Q21" i="30"/>
  <c r="E46" i="16" s="1"/>
  <c r="R21" i="30"/>
  <c r="E47" i="16" s="1"/>
  <c r="Y21" i="30"/>
  <c r="AB21" i="30"/>
  <c r="AC21" i="30"/>
  <c r="AD21" i="30"/>
  <c r="AE21" i="30"/>
  <c r="E43" i="16" s="1"/>
  <c r="G43" i="16" s="1"/>
  <c r="AF21" i="30"/>
  <c r="AG21" i="30"/>
  <c r="AH21" i="30"/>
  <c r="E82" i="16" s="1"/>
  <c r="D21" i="30"/>
  <c r="Z21" i="30" l="1"/>
  <c r="E64" i="16" s="1"/>
  <c r="G276" i="15"/>
  <c r="G283" i="15" l="1"/>
  <c r="G281" i="15"/>
  <c r="G280" i="15"/>
  <c r="H2193" i="8"/>
  <c r="T21" i="30"/>
  <c r="E65" i="16" s="1"/>
  <c r="N21" i="30"/>
  <c r="E45" i="16" s="1"/>
  <c r="AA21" i="30"/>
  <c r="G263" i="15"/>
  <c r="G336" i="15"/>
  <c r="H2214" i="8" l="1"/>
  <c r="H1635" i="8"/>
  <c r="H1661" i="8" s="1"/>
  <c r="G338" i="15"/>
  <c r="W21" i="30"/>
  <c r="E68" i="16" s="1"/>
  <c r="G334" i="15"/>
  <c r="V21" i="30"/>
  <c r="E67" i="16" s="1"/>
  <c r="G264" i="15"/>
  <c r="U21" i="30"/>
  <c r="E66" i="16" s="1"/>
  <c r="G265" i="15"/>
  <c r="X21" i="30"/>
  <c r="E69" i="16" s="1"/>
  <c r="G262" i="15"/>
  <c r="S21" i="30"/>
  <c r="G370" i="15"/>
  <c r="H1662" i="8"/>
  <c r="H1686" i="8" s="1"/>
  <c r="H1803" i="8"/>
  <c r="H1633" i="8"/>
  <c r="H1626" i="8"/>
  <c r="H1622" i="8"/>
  <c r="H1611" i="8"/>
  <c r="I1624" i="8"/>
  <c r="F1624" i="8"/>
  <c r="G1624" i="8"/>
  <c r="E1624" i="8"/>
  <c r="H1606" i="8"/>
  <c r="H1597" i="8"/>
  <c r="H1592" i="8"/>
  <c r="H1593" i="8" s="1"/>
  <c r="H1590" i="8"/>
  <c r="H1589" i="8"/>
  <c r="H1584" i="8"/>
  <c r="H1583" i="8"/>
  <c r="H1582" i="8"/>
  <c r="H1616" i="8" l="1"/>
  <c r="H1614" i="8"/>
  <c r="N370" i="15"/>
  <c r="N355" i="15" s="1"/>
  <c r="C370" i="15"/>
  <c r="B262" i="23"/>
  <c r="B266" i="23" s="1"/>
  <c r="B186" i="11"/>
  <c r="B271" i="14"/>
  <c r="I267" i="14"/>
  <c r="B267" i="14"/>
  <c r="I265" i="14"/>
  <c r="B265" i="14"/>
  <c r="I263" i="14"/>
  <c r="B263" i="14"/>
  <c r="F213" i="13"/>
  <c r="S221" i="13"/>
  <c r="B164" i="11"/>
  <c r="A272" i="10"/>
  <c r="H268" i="10"/>
  <c r="A268" i="10"/>
  <c r="H266" i="10"/>
  <c r="A266" i="10"/>
  <c r="H264" i="10"/>
  <c r="A264" i="10"/>
  <c r="B141" i="11"/>
  <c r="B118" i="11"/>
  <c r="B261" i="23"/>
  <c r="B259" i="23"/>
  <c r="B257" i="23"/>
  <c r="B83" i="11"/>
  <c r="B58" i="11"/>
  <c r="B35" i="11"/>
  <c r="L338" i="15"/>
  <c r="K338" i="15"/>
  <c r="L337" i="15"/>
  <c r="K337" i="15"/>
  <c r="L336" i="15"/>
  <c r="K336" i="15"/>
  <c r="L335" i="15"/>
  <c r="K335" i="15"/>
  <c r="L334" i="15"/>
  <c r="K334" i="15"/>
  <c r="L333" i="15"/>
  <c r="K333" i="15"/>
  <c r="L332" i="15"/>
  <c r="K332" i="15"/>
  <c r="L331" i="15"/>
  <c r="K331" i="15"/>
  <c r="L330" i="15"/>
  <c r="K330" i="15"/>
  <c r="L329" i="15"/>
  <c r="K329" i="15"/>
  <c r="L328" i="15"/>
  <c r="K328" i="15"/>
  <c r="L327" i="15"/>
  <c r="K327" i="15"/>
  <c r="L326" i="15"/>
  <c r="K326" i="15"/>
  <c r="C326" i="15"/>
  <c r="C327" i="15" s="1"/>
  <c r="C328" i="15" s="1"/>
  <c r="C329" i="15" s="1"/>
  <c r="C330" i="15" s="1"/>
  <c r="C331" i="15" s="1"/>
  <c r="C332" i="15" s="1"/>
  <c r="C333" i="15" s="1"/>
  <c r="C334" i="15" s="1"/>
  <c r="C335" i="15" s="1"/>
  <c r="C336" i="15" s="1"/>
  <c r="C337" i="15" s="1"/>
  <c r="C338" i="15" s="1"/>
  <c r="B275" i="9"/>
  <c r="I270" i="9"/>
  <c r="I267" i="9"/>
  <c r="H265" i="9"/>
  <c r="I264" i="9"/>
  <c r="B264" i="9"/>
  <c r="H1696" i="8"/>
  <c r="E1580" i="8"/>
  <c r="I1690" i="8"/>
  <c r="M1690" i="8" s="1"/>
  <c r="G1690" i="8"/>
  <c r="F1690" i="8"/>
  <c r="E1690" i="8"/>
  <c r="C1690" i="8"/>
  <c r="N1689" i="8"/>
  <c r="I1689" i="8"/>
  <c r="M1689" i="8" s="1"/>
  <c r="G1689" i="8"/>
  <c r="F1689" i="8"/>
  <c r="E1689" i="8"/>
  <c r="C1689" i="8"/>
  <c r="N1688" i="8"/>
  <c r="I1688" i="8"/>
  <c r="M1688" i="8" s="1"/>
  <c r="G1688" i="8"/>
  <c r="F1688" i="8"/>
  <c r="E1688" i="8"/>
  <c r="C1688" i="8"/>
  <c r="N1687" i="8"/>
  <c r="I1687" i="8"/>
  <c r="M1687" i="8" s="1"/>
  <c r="G1687" i="8"/>
  <c r="F1687" i="8"/>
  <c r="E1687" i="8"/>
  <c r="C1687" i="8"/>
  <c r="N1686" i="8"/>
  <c r="I1686" i="8"/>
  <c r="M1686" i="8" s="1"/>
  <c r="G1686" i="8"/>
  <c r="F1686" i="8"/>
  <c r="E1686" i="8"/>
  <c r="C1686" i="8"/>
  <c r="N1685" i="8"/>
  <c r="I1685" i="8"/>
  <c r="M1685" i="8" s="1"/>
  <c r="G1685" i="8"/>
  <c r="F1685" i="8"/>
  <c r="E1685" i="8"/>
  <c r="C1685" i="8"/>
  <c r="N1684" i="8"/>
  <c r="I1684" i="8"/>
  <c r="M1684" i="8" s="1"/>
  <c r="G1684" i="8"/>
  <c r="F1684" i="8"/>
  <c r="E1684" i="8"/>
  <c r="C1684" i="8"/>
  <c r="N1683" i="8"/>
  <c r="I1683" i="8"/>
  <c r="M1683" i="8" s="1"/>
  <c r="G1683" i="8"/>
  <c r="F1683" i="8"/>
  <c r="E1683" i="8"/>
  <c r="C1683" i="8"/>
  <c r="N1682" i="8"/>
  <c r="I1682" i="8"/>
  <c r="M1682" i="8" s="1"/>
  <c r="G1682" i="8"/>
  <c r="F1682" i="8"/>
  <c r="E1682" i="8"/>
  <c r="C1682" i="8"/>
  <c r="N1681" i="8"/>
  <c r="I1681" i="8"/>
  <c r="M1681" i="8" s="1"/>
  <c r="G1681" i="8"/>
  <c r="F1681" i="8"/>
  <c r="E1681" i="8"/>
  <c r="C1681" i="8"/>
  <c r="N1680" i="8"/>
  <c r="I1680" i="8"/>
  <c r="M1680" i="8" s="1"/>
  <c r="G1680" i="8"/>
  <c r="F1680" i="8"/>
  <c r="E1680" i="8"/>
  <c r="C1680" i="8"/>
  <c r="O1679" i="8"/>
  <c r="N1679" i="8"/>
  <c r="I1679" i="8"/>
  <c r="M1679" i="8" s="1"/>
  <c r="G1679" i="8"/>
  <c r="F1679" i="8"/>
  <c r="C1679" i="8"/>
  <c r="O1678" i="8"/>
  <c r="N1678" i="8"/>
  <c r="I1678" i="8"/>
  <c r="M1678" i="8" s="1"/>
  <c r="G1678" i="8"/>
  <c r="F1678" i="8"/>
  <c r="C1678" i="8"/>
  <c r="O1677" i="8"/>
  <c r="N1677" i="8"/>
  <c r="I1677" i="8"/>
  <c r="M1677" i="8" s="1"/>
  <c r="G1677" i="8"/>
  <c r="F1677" i="8"/>
  <c r="C1677" i="8"/>
  <c r="N1675" i="8"/>
  <c r="M1675" i="8"/>
  <c r="G1675" i="8"/>
  <c r="F1675" i="8"/>
  <c r="E1675" i="8"/>
  <c r="C1675" i="8"/>
  <c r="I1674" i="8"/>
  <c r="H1674" i="8"/>
  <c r="C1674" i="8" s="1"/>
  <c r="G1674" i="8"/>
  <c r="F1674" i="8"/>
  <c r="E1674" i="8"/>
  <c r="N1672" i="8"/>
  <c r="I1672" i="8"/>
  <c r="M1672" i="8" s="1"/>
  <c r="G1672" i="8"/>
  <c r="F1672" i="8"/>
  <c r="E1672" i="8"/>
  <c r="C1672" i="8"/>
  <c r="N1671" i="8"/>
  <c r="I1671" i="8"/>
  <c r="M1671" i="8" s="1"/>
  <c r="G1671" i="8"/>
  <c r="F1671" i="8"/>
  <c r="C1671" i="8"/>
  <c r="P1669" i="8"/>
  <c r="O1669" i="8"/>
  <c r="N1669" i="8"/>
  <c r="I1669" i="8"/>
  <c r="M1669" i="8" s="1"/>
  <c r="G1669" i="8"/>
  <c r="F1669" i="8"/>
  <c r="C1669" i="8"/>
  <c r="N1668" i="8"/>
  <c r="I1668" i="8"/>
  <c r="M1668" i="8" s="1"/>
  <c r="G1668" i="8"/>
  <c r="F1668" i="8"/>
  <c r="E1668" i="8"/>
  <c r="C1668" i="8"/>
  <c r="N1666" i="8"/>
  <c r="I1666" i="8"/>
  <c r="M1666" i="8" s="1"/>
  <c r="G1666" i="8"/>
  <c r="F1666" i="8"/>
  <c r="E1666" i="8"/>
  <c r="C1666" i="8"/>
  <c r="N1665" i="8"/>
  <c r="M1665" i="8"/>
  <c r="G1665" i="8"/>
  <c r="F1665" i="8"/>
  <c r="E1665" i="8"/>
  <c r="C1665" i="8"/>
  <c r="N1664" i="8"/>
  <c r="M1664" i="8"/>
  <c r="G1664" i="8"/>
  <c r="F1664" i="8"/>
  <c r="E1664" i="8"/>
  <c r="C1664" i="8"/>
  <c r="S1663" i="8"/>
  <c r="T1663" i="8" s="1"/>
  <c r="C1663" i="8"/>
  <c r="S1662" i="8"/>
  <c r="T1662" i="8" s="1"/>
  <c r="C1662" i="8"/>
  <c r="G1661" i="8"/>
  <c r="F1661" i="8"/>
  <c r="E1661" i="8"/>
  <c r="I1660" i="8"/>
  <c r="G1660" i="8"/>
  <c r="F1660" i="8"/>
  <c r="E1660" i="8"/>
  <c r="I1658" i="8"/>
  <c r="G1658" i="8"/>
  <c r="F1658" i="8"/>
  <c r="E1658" i="8"/>
  <c r="N1657" i="8"/>
  <c r="I1657" i="8"/>
  <c r="M1657" i="8" s="1"/>
  <c r="G1657" i="8"/>
  <c r="F1657" i="8"/>
  <c r="E1657" i="8"/>
  <c r="C1657" i="8"/>
  <c r="I1656" i="8"/>
  <c r="G1656" i="8"/>
  <c r="F1656" i="8"/>
  <c r="E1656" i="8"/>
  <c r="I1655" i="8"/>
  <c r="G1655" i="8"/>
  <c r="F1655" i="8"/>
  <c r="E1655" i="8"/>
  <c r="I1654" i="8"/>
  <c r="G1654" i="8"/>
  <c r="F1654" i="8"/>
  <c r="E1654" i="8"/>
  <c r="N1653" i="8"/>
  <c r="I1653" i="8"/>
  <c r="M1653" i="8" s="1"/>
  <c r="G1653" i="8"/>
  <c r="F1653" i="8"/>
  <c r="E1653" i="8"/>
  <c r="C1653" i="8"/>
  <c r="I1652" i="8"/>
  <c r="G1652" i="8"/>
  <c r="F1652" i="8"/>
  <c r="E1652" i="8"/>
  <c r="I1651" i="8"/>
  <c r="G1651" i="8"/>
  <c r="F1651" i="8"/>
  <c r="E1651" i="8"/>
  <c r="I1650" i="8"/>
  <c r="G1650" i="8"/>
  <c r="F1650" i="8"/>
  <c r="E1650" i="8"/>
  <c r="I1649" i="8"/>
  <c r="G1649" i="8"/>
  <c r="F1649" i="8"/>
  <c r="E1649" i="8"/>
  <c r="I1647" i="8"/>
  <c r="G1647" i="8"/>
  <c r="F1647" i="8"/>
  <c r="E1647" i="8"/>
  <c r="I1646" i="8"/>
  <c r="H1646" i="8"/>
  <c r="C1646" i="8" s="1"/>
  <c r="G1646" i="8"/>
  <c r="F1646" i="8"/>
  <c r="E1646" i="8"/>
  <c r="I1644" i="8"/>
  <c r="G1644" i="8"/>
  <c r="F1644" i="8"/>
  <c r="E1644" i="8"/>
  <c r="N1643" i="8"/>
  <c r="I1643" i="8"/>
  <c r="M1643" i="8" s="1"/>
  <c r="G1643" i="8"/>
  <c r="F1643" i="8"/>
  <c r="C1643" i="8"/>
  <c r="I1641" i="8"/>
  <c r="G1641" i="8"/>
  <c r="F1641" i="8"/>
  <c r="I1640" i="8"/>
  <c r="G1640" i="8"/>
  <c r="F1640" i="8"/>
  <c r="E1640" i="8"/>
  <c r="I1639" i="8"/>
  <c r="G1639" i="8"/>
  <c r="F1639" i="8"/>
  <c r="E1639" i="8"/>
  <c r="I1637" i="8"/>
  <c r="G1637" i="8"/>
  <c r="F1637" i="8"/>
  <c r="E1637" i="8"/>
  <c r="N1636" i="8"/>
  <c r="M1636" i="8"/>
  <c r="G1636" i="8"/>
  <c r="F1636" i="8"/>
  <c r="E1636" i="8"/>
  <c r="C1636" i="8"/>
  <c r="N1635" i="8"/>
  <c r="M1635" i="8"/>
  <c r="G1635" i="8"/>
  <c r="F1635" i="8"/>
  <c r="E1635" i="8"/>
  <c r="C1635" i="8"/>
  <c r="S1634" i="8"/>
  <c r="T1634" i="8" s="1"/>
  <c r="C1634" i="8"/>
  <c r="S1633" i="8"/>
  <c r="H1656" i="8"/>
  <c r="I1632" i="8"/>
  <c r="G1632" i="8"/>
  <c r="F1632" i="8"/>
  <c r="E1632" i="8"/>
  <c r="I1631" i="8"/>
  <c r="G1631" i="8"/>
  <c r="F1631" i="8"/>
  <c r="I1630" i="8"/>
  <c r="G1630" i="8"/>
  <c r="F1630" i="8"/>
  <c r="I1629" i="8"/>
  <c r="G1629" i="8"/>
  <c r="F1629" i="8"/>
  <c r="I1628" i="8"/>
  <c r="G1628" i="8"/>
  <c r="F1628" i="8"/>
  <c r="E1628" i="8"/>
  <c r="S1627" i="8"/>
  <c r="T1627" i="8" s="1"/>
  <c r="C1627" i="8"/>
  <c r="S1626" i="8"/>
  <c r="G1625" i="8"/>
  <c r="F1625" i="8"/>
  <c r="E1625" i="8"/>
  <c r="S1623" i="8"/>
  <c r="T1623" i="8" s="1"/>
  <c r="C1623" i="8"/>
  <c r="S1622" i="8"/>
  <c r="C1622" i="8"/>
  <c r="I1621" i="8"/>
  <c r="G1621" i="8"/>
  <c r="F1621" i="8"/>
  <c r="E1621" i="8"/>
  <c r="I1620" i="8"/>
  <c r="G1620" i="8"/>
  <c r="F1620" i="8"/>
  <c r="E1620" i="8"/>
  <c r="I1619" i="8"/>
  <c r="G1619" i="8"/>
  <c r="F1619" i="8"/>
  <c r="E1619" i="8"/>
  <c r="I1618" i="8"/>
  <c r="G1618" i="8"/>
  <c r="F1618" i="8"/>
  <c r="E1618" i="8"/>
  <c r="I1617" i="8"/>
  <c r="G1617" i="8"/>
  <c r="F1617" i="8"/>
  <c r="E1617" i="8"/>
  <c r="I1616" i="8"/>
  <c r="G1616" i="8"/>
  <c r="F1616" i="8"/>
  <c r="E1616" i="8"/>
  <c r="I1615" i="8"/>
  <c r="G1615" i="8"/>
  <c r="F1615" i="8"/>
  <c r="E1615" i="8"/>
  <c r="I1614" i="8"/>
  <c r="G1614" i="8"/>
  <c r="F1614" i="8"/>
  <c r="E1614" i="8"/>
  <c r="I1613" i="8"/>
  <c r="G1613" i="8"/>
  <c r="F1613" i="8"/>
  <c r="E1613" i="8"/>
  <c r="S1612" i="8"/>
  <c r="T1612" i="8" s="1"/>
  <c r="C1612" i="8"/>
  <c r="S1611" i="8"/>
  <c r="H1618" i="8"/>
  <c r="C1618" i="8" s="1"/>
  <c r="G1610" i="8"/>
  <c r="F1610" i="8"/>
  <c r="E1610" i="8"/>
  <c r="G1609" i="8"/>
  <c r="F1609" i="8"/>
  <c r="E1609" i="8"/>
  <c r="I1608" i="8"/>
  <c r="G1608" i="8"/>
  <c r="F1608" i="8"/>
  <c r="E1608" i="8"/>
  <c r="S1607" i="8"/>
  <c r="T1607" i="8" s="1"/>
  <c r="C1607" i="8"/>
  <c r="S1606" i="8"/>
  <c r="H1609" i="8"/>
  <c r="C1606" i="8"/>
  <c r="I1605" i="8"/>
  <c r="G1605" i="8"/>
  <c r="F1605" i="8"/>
  <c r="E1605" i="8"/>
  <c r="G1604" i="8"/>
  <c r="F1604" i="8"/>
  <c r="E1604" i="8"/>
  <c r="G1603" i="8"/>
  <c r="F1603" i="8"/>
  <c r="E1603" i="8"/>
  <c r="G1602" i="8"/>
  <c r="F1602" i="8"/>
  <c r="E1602" i="8"/>
  <c r="I1601" i="8"/>
  <c r="G1601" i="8"/>
  <c r="F1601" i="8"/>
  <c r="E1601" i="8"/>
  <c r="I1600" i="8"/>
  <c r="G1600" i="8"/>
  <c r="F1600" i="8"/>
  <c r="E1600" i="8"/>
  <c r="I1599" i="8"/>
  <c r="G1599" i="8"/>
  <c r="F1599" i="8"/>
  <c r="E1599" i="8"/>
  <c r="S1598" i="8"/>
  <c r="T1598" i="8" s="1"/>
  <c r="C1598" i="8"/>
  <c r="S1597" i="8"/>
  <c r="H1602" i="8"/>
  <c r="I1596" i="8"/>
  <c r="G1596" i="8"/>
  <c r="F1596" i="8"/>
  <c r="E1596" i="8"/>
  <c r="I1595" i="8"/>
  <c r="G1595" i="8"/>
  <c r="F1595" i="8"/>
  <c r="E1595" i="8"/>
  <c r="G1594" i="8"/>
  <c r="F1594" i="8"/>
  <c r="E1594" i="8"/>
  <c r="I1593" i="8"/>
  <c r="G1593" i="8"/>
  <c r="F1593" i="8"/>
  <c r="E1593" i="8"/>
  <c r="S1592" i="8"/>
  <c r="H1596" i="8"/>
  <c r="S1591" i="8"/>
  <c r="A1591" i="8"/>
  <c r="I1590" i="8"/>
  <c r="M1590" i="8" s="1"/>
  <c r="G1590" i="8"/>
  <c r="F1590" i="8"/>
  <c r="E1590" i="8"/>
  <c r="C1590" i="8"/>
  <c r="I1589" i="8"/>
  <c r="G1589" i="8"/>
  <c r="F1589" i="8"/>
  <c r="E1589" i="8"/>
  <c r="C1589" i="8"/>
  <c r="I1588" i="8"/>
  <c r="M1588" i="8" s="1"/>
  <c r="G1588" i="8"/>
  <c r="F1588" i="8"/>
  <c r="E1588" i="8"/>
  <c r="C1588" i="8"/>
  <c r="M1587" i="8"/>
  <c r="G1587" i="8"/>
  <c r="F1587" i="8"/>
  <c r="E1587" i="8"/>
  <c r="C1587" i="8"/>
  <c r="M1586" i="8"/>
  <c r="G1586" i="8"/>
  <c r="F1586" i="8"/>
  <c r="E1586" i="8"/>
  <c r="C1586" i="8"/>
  <c r="G1585" i="8"/>
  <c r="F1585" i="8"/>
  <c r="E1585" i="8"/>
  <c r="C1585" i="8"/>
  <c r="I1584" i="8"/>
  <c r="G1584" i="8"/>
  <c r="F1584" i="8"/>
  <c r="E1584" i="8"/>
  <c r="C1584" i="8"/>
  <c r="I1583" i="8"/>
  <c r="G1583" i="8"/>
  <c r="F1583" i="8"/>
  <c r="E1583" i="8"/>
  <c r="C1583" i="8"/>
  <c r="I1582" i="8"/>
  <c r="G1582" i="8"/>
  <c r="F1582" i="8"/>
  <c r="E1582" i="8"/>
  <c r="C1582" i="8"/>
  <c r="S1581" i="8"/>
  <c r="A1581" i="8"/>
  <c r="S1580" i="8"/>
  <c r="T1580" i="8" s="1"/>
  <c r="FO698" i="4"/>
  <c r="FN698" i="4"/>
  <c r="FM698" i="4"/>
  <c r="FL698" i="4"/>
  <c r="FK698" i="4"/>
  <c r="FJ698" i="4"/>
  <c r="FI698" i="4"/>
  <c r="FH698" i="4"/>
  <c r="FG698" i="4"/>
  <c r="FF698" i="4"/>
  <c r="FE698" i="4"/>
  <c r="FD698" i="4"/>
  <c r="FC698" i="4"/>
  <c r="FB698" i="4"/>
  <c r="FA698" i="4"/>
  <c r="EZ698" i="4"/>
  <c r="EY698" i="4"/>
  <c r="EX698" i="4"/>
  <c r="EW698" i="4"/>
  <c r="EV698" i="4"/>
  <c r="EU698" i="4"/>
  <c r="ET698" i="4"/>
  <c r="ES698" i="4"/>
  <c r="ER698" i="4"/>
  <c r="EQ698" i="4"/>
  <c r="EP698" i="4"/>
  <c r="EO698" i="4"/>
  <c r="EN698" i="4"/>
  <c r="EM698" i="4"/>
  <c r="EL698" i="4"/>
  <c r="EK698" i="4"/>
  <c r="EJ698" i="4"/>
  <c r="EI698" i="4"/>
  <c r="EH698" i="4"/>
  <c r="EG698" i="4"/>
  <c r="EF698" i="4"/>
  <c r="EE698" i="4"/>
  <c r="ED698" i="4"/>
  <c r="EC698" i="4"/>
  <c r="EB698" i="4"/>
  <c r="EA698" i="4"/>
  <c r="DZ698" i="4"/>
  <c r="DY698" i="4"/>
  <c r="DX698" i="4"/>
  <c r="DW698" i="4"/>
  <c r="DV698" i="4"/>
  <c r="DU698" i="4"/>
  <c r="DT698" i="4"/>
  <c r="DS698" i="4"/>
  <c r="DR698" i="4"/>
  <c r="DQ698" i="4"/>
  <c r="DP698" i="4"/>
  <c r="DO698" i="4"/>
  <c r="DN698" i="4"/>
  <c r="DM698" i="4"/>
  <c r="DL698" i="4"/>
  <c r="DK698" i="4"/>
  <c r="DJ698" i="4"/>
  <c r="DI698" i="4"/>
  <c r="DH698" i="4"/>
  <c r="DG698" i="4"/>
  <c r="DF698" i="4"/>
  <c r="DE698" i="4"/>
  <c r="DD698" i="4"/>
  <c r="DC698" i="4"/>
  <c r="DB698" i="4"/>
  <c r="CW698" i="4"/>
  <c r="CV698" i="4"/>
  <c r="CU698" i="4"/>
  <c r="CT698" i="4"/>
  <c r="CS698" i="4"/>
  <c r="CR698" i="4"/>
  <c r="CQ698" i="4"/>
  <c r="CP698" i="4"/>
  <c r="CO698" i="4"/>
  <c r="CN698" i="4"/>
  <c r="CM698" i="4"/>
  <c r="CL698" i="4"/>
  <c r="CK698" i="4"/>
  <c r="CJ698" i="4"/>
  <c r="CI698" i="4"/>
  <c r="CH698" i="4"/>
  <c r="CG698" i="4"/>
  <c r="CF698" i="4"/>
  <c r="CE698" i="4"/>
  <c r="CD698" i="4"/>
  <c r="CC698" i="4"/>
  <c r="CB698" i="4"/>
  <c r="CA698" i="4"/>
  <c r="BZ698" i="4"/>
  <c r="BY698" i="4"/>
  <c r="BX698" i="4"/>
  <c r="BW698" i="4"/>
  <c r="BV698" i="4"/>
  <c r="BU698" i="4"/>
  <c r="BT698" i="4"/>
  <c r="BS698" i="4"/>
  <c r="BR698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Q698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A698" i="4"/>
  <c r="FO694" i="4"/>
  <c r="FN694" i="4"/>
  <c r="FM694" i="4"/>
  <c r="FL694" i="4"/>
  <c r="FK694" i="4"/>
  <c r="FJ694" i="4"/>
  <c r="FI694" i="4"/>
  <c r="FH694" i="4"/>
  <c r="FG694" i="4"/>
  <c r="FF694" i="4"/>
  <c r="FE694" i="4"/>
  <c r="FD694" i="4"/>
  <c r="FC694" i="4"/>
  <c r="FB694" i="4"/>
  <c r="FA694" i="4"/>
  <c r="EZ694" i="4"/>
  <c r="EY694" i="4"/>
  <c r="EX694" i="4"/>
  <c r="EW694" i="4"/>
  <c r="EV694" i="4"/>
  <c r="EU694" i="4"/>
  <c r="ET694" i="4"/>
  <c r="ES694" i="4"/>
  <c r="ER694" i="4"/>
  <c r="EQ694" i="4"/>
  <c r="EP694" i="4"/>
  <c r="EO694" i="4"/>
  <c r="EN694" i="4"/>
  <c r="EM694" i="4"/>
  <c r="EL694" i="4"/>
  <c r="EK694" i="4"/>
  <c r="EJ694" i="4"/>
  <c r="EI694" i="4"/>
  <c r="EH694" i="4"/>
  <c r="EG694" i="4"/>
  <c r="EF694" i="4"/>
  <c r="EE694" i="4"/>
  <c r="ED694" i="4"/>
  <c r="EC694" i="4"/>
  <c r="EB694" i="4"/>
  <c r="EA694" i="4"/>
  <c r="DZ694" i="4"/>
  <c r="DY694" i="4"/>
  <c r="DX694" i="4"/>
  <c r="DW694" i="4"/>
  <c r="DV694" i="4"/>
  <c r="DU694" i="4"/>
  <c r="DT694" i="4"/>
  <c r="DS694" i="4"/>
  <c r="DR694" i="4"/>
  <c r="DQ694" i="4"/>
  <c r="DP694" i="4"/>
  <c r="DO694" i="4"/>
  <c r="DN694" i="4"/>
  <c r="DM694" i="4"/>
  <c r="DL694" i="4"/>
  <c r="DK694" i="4"/>
  <c r="DJ694" i="4"/>
  <c r="DI694" i="4"/>
  <c r="DH694" i="4"/>
  <c r="DG694" i="4"/>
  <c r="DF694" i="4"/>
  <c r="DE694" i="4"/>
  <c r="DD694" i="4"/>
  <c r="DC694" i="4"/>
  <c r="DB694" i="4"/>
  <c r="CW694" i="4"/>
  <c r="CV694" i="4"/>
  <c r="CU694" i="4"/>
  <c r="CT694" i="4"/>
  <c r="CS694" i="4"/>
  <c r="CR694" i="4"/>
  <c r="CQ694" i="4"/>
  <c r="CP694" i="4"/>
  <c r="CO694" i="4"/>
  <c r="CN694" i="4"/>
  <c r="CM694" i="4"/>
  <c r="CL694" i="4"/>
  <c r="CK694" i="4"/>
  <c r="CJ694" i="4"/>
  <c r="CI694" i="4"/>
  <c r="CH694" i="4"/>
  <c r="CG694" i="4"/>
  <c r="CF694" i="4"/>
  <c r="CE694" i="4"/>
  <c r="CD694" i="4"/>
  <c r="CC694" i="4"/>
  <c r="CB694" i="4"/>
  <c r="CA694" i="4"/>
  <c r="BZ694" i="4"/>
  <c r="BY694" i="4"/>
  <c r="BX694" i="4"/>
  <c r="BW694" i="4"/>
  <c r="BV694" i="4"/>
  <c r="BU694" i="4"/>
  <c r="BT694" i="4"/>
  <c r="BS694" i="4"/>
  <c r="BR694" i="4"/>
  <c r="BQ694" i="4"/>
  <c r="BP694" i="4"/>
  <c r="BO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U694" i="4"/>
  <c r="AT694" i="4"/>
  <c r="AS694" i="4"/>
  <c r="AR694" i="4"/>
  <c r="AQ694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A694" i="4"/>
  <c r="FO688" i="4"/>
  <c r="FN688" i="4"/>
  <c r="FM688" i="4"/>
  <c r="FL688" i="4"/>
  <c r="FK688" i="4"/>
  <c r="FJ688" i="4"/>
  <c r="FI688" i="4"/>
  <c r="FH688" i="4"/>
  <c r="FG688" i="4"/>
  <c r="FF688" i="4"/>
  <c r="FE688" i="4"/>
  <c r="FD688" i="4"/>
  <c r="FC688" i="4"/>
  <c r="FB688" i="4"/>
  <c r="FA688" i="4"/>
  <c r="EZ688" i="4"/>
  <c r="EY688" i="4"/>
  <c r="EX688" i="4"/>
  <c r="EW688" i="4"/>
  <c r="EV688" i="4"/>
  <c r="EU688" i="4"/>
  <c r="ET688" i="4"/>
  <c r="ES688" i="4"/>
  <c r="ER688" i="4"/>
  <c r="EQ688" i="4"/>
  <c r="EP688" i="4"/>
  <c r="EO688" i="4"/>
  <c r="EN688" i="4"/>
  <c r="EM688" i="4"/>
  <c r="EL688" i="4"/>
  <c r="EK688" i="4"/>
  <c r="EJ688" i="4"/>
  <c r="EI688" i="4"/>
  <c r="EH688" i="4"/>
  <c r="EG688" i="4"/>
  <c r="EF688" i="4"/>
  <c r="EE688" i="4"/>
  <c r="ED688" i="4"/>
  <c r="EC688" i="4"/>
  <c r="EB688" i="4"/>
  <c r="EA688" i="4"/>
  <c r="DZ688" i="4"/>
  <c r="DY688" i="4"/>
  <c r="DX688" i="4"/>
  <c r="DW688" i="4"/>
  <c r="DV688" i="4"/>
  <c r="DU688" i="4"/>
  <c r="DT688" i="4"/>
  <c r="DS688" i="4"/>
  <c r="DR688" i="4"/>
  <c r="DQ688" i="4"/>
  <c r="DP688" i="4"/>
  <c r="DO688" i="4"/>
  <c r="DN688" i="4"/>
  <c r="DM688" i="4"/>
  <c r="DL688" i="4"/>
  <c r="DK688" i="4"/>
  <c r="DJ688" i="4"/>
  <c r="DI688" i="4"/>
  <c r="DH688" i="4"/>
  <c r="DG688" i="4"/>
  <c r="DF688" i="4"/>
  <c r="DE688" i="4"/>
  <c r="DD688" i="4"/>
  <c r="DC688" i="4"/>
  <c r="DB688" i="4"/>
  <c r="CW688" i="4"/>
  <c r="CV688" i="4"/>
  <c r="CU688" i="4"/>
  <c r="CT688" i="4"/>
  <c r="CS688" i="4"/>
  <c r="CR688" i="4"/>
  <c r="CQ688" i="4"/>
  <c r="CP688" i="4"/>
  <c r="CO688" i="4"/>
  <c r="CN688" i="4"/>
  <c r="CM688" i="4"/>
  <c r="CL688" i="4"/>
  <c r="CK688" i="4"/>
  <c r="CJ688" i="4"/>
  <c r="CI688" i="4"/>
  <c r="CH688" i="4"/>
  <c r="CG688" i="4"/>
  <c r="CF688" i="4"/>
  <c r="CE688" i="4"/>
  <c r="CD688" i="4"/>
  <c r="CC688" i="4"/>
  <c r="CB688" i="4"/>
  <c r="CA688" i="4"/>
  <c r="BZ688" i="4"/>
  <c r="BY688" i="4"/>
  <c r="BX688" i="4"/>
  <c r="BW688" i="4"/>
  <c r="BV688" i="4"/>
  <c r="BU688" i="4"/>
  <c r="BT688" i="4"/>
  <c r="BS688" i="4"/>
  <c r="BR688" i="4"/>
  <c r="BQ688" i="4"/>
  <c r="BP688" i="4"/>
  <c r="BO688" i="4"/>
  <c r="BN688" i="4"/>
  <c r="BM688" i="4"/>
  <c r="BL688" i="4"/>
  <c r="BK688" i="4"/>
  <c r="BJ688" i="4"/>
  <c r="BI688" i="4"/>
  <c r="BH688" i="4"/>
  <c r="BG688" i="4"/>
  <c r="BF688" i="4"/>
  <c r="BE688" i="4"/>
  <c r="BD688" i="4"/>
  <c r="BC688" i="4"/>
  <c r="BB688" i="4"/>
  <c r="BA688" i="4"/>
  <c r="AZ688" i="4"/>
  <c r="AY688" i="4"/>
  <c r="AX688" i="4"/>
  <c r="AW688" i="4"/>
  <c r="AV688" i="4"/>
  <c r="AU688" i="4"/>
  <c r="AT688" i="4"/>
  <c r="AS688" i="4"/>
  <c r="AR688" i="4"/>
  <c r="AQ688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W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A688" i="4"/>
  <c r="FO681" i="4"/>
  <c r="FN681" i="4"/>
  <c r="FM681" i="4"/>
  <c r="FL681" i="4"/>
  <c r="FK681" i="4"/>
  <c r="FJ681" i="4"/>
  <c r="FI681" i="4"/>
  <c r="FH681" i="4"/>
  <c r="FG681" i="4"/>
  <c r="FF681" i="4"/>
  <c r="FE681" i="4"/>
  <c r="FD681" i="4"/>
  <c r="FC681" i="4"/>
  <c r="FB681" i="4"/>
  <c r="FA681" i="4"/>
  <c r="EZ681" i="4"/>
  <c r="EY681" i="4"/>
  <c r="EX681" i="4"/>
  <c r="EW681" i="4"/>
  <c r="EV681" i="4"/>
  <c r="EU681" i="4"/>
  <c r="ET681" i="4"/>
  <c r="ES681" i="4"/>
  <c r="ER681" i="4"/>
  <c r="EQ681" i="4"/>
  <c r="EP681" i="4"/>
  <c r="EO681" i="4"/>
  <c r="EN681" i="4"/>
  <c r="EM681" i="4"/>
  <c r="EL681" i="4"/>
  <c r="EK681" i="4"/>
  <c r="EJ681" i="4"/>
  <c r="EI681" i="4"/>
  <c r="EH681" i="4"/>
  <c r="EG681" i="4"/>
  <c r="EF681" i="4"/>
  <c r="EE681" i="4"/>
  <c r="ED681" i="4"/>
  <c r="EC681" i="4"/>
  <c r="EB681" i="4"/>
  <c r="EA681" i="4"/>
  <c r="DZ681" i="4"/>
  <c r="DY681" i="4"/>
  <c r="DX681" i="4"/>
  <c r="DW681" i="4"/>
  <c r="DV681" i="4"/>
  <c r="DU681" i="4"/>
  <c r="DT681" i="4"/>
  <c r="DS681" i="4"/>
  <c r="DR681" i="4"/>
  <c r="DQ681" i="4"/>
  <c r="DP681" i="4"/>
  <c r="DO681" i="4"/>
  <c r="DN681" i="4"/>
  <c r="DM681" i="4"/>
  <c r="DL681" i="4"/>
  <c r="DK681" i="4"/>
  <c r="DJ681" i="4"/>
  <c r="DI681" i="4"/>
  <c r="DH681" i="4"/>
  <c r="DG681" i="4"/>
  <c r="DF681" i="4"/>
  <c r="DE681" i="4"/>
  <c r="DD681" i="4"/>
  <c r="DC681" i="4"/>
  <c r="DB681" i="4"/>
  <c r="CW681" i="4"/>
  <c r="CV681" i="4"/>
  <c r="CU681" i="4"/>
  <c r="CT681" i="4"/>
  <c r="CS681" i="4"/>
  <c r="CR681" i="4"/>
  <c r="CQ681" i="4"/>
  <c r="CP681" i="4"/>
  <c r="CO681" i="4"/>
  <c r="CN681" i="4"/>
  <c r="CM681" i="4"/>
  <c r="CL681" i="4"/>
  <c r="CK681" i="4"/>
  <c r="CJ681" i="4"/>
  <c r="CI681" i="4"/>
  <c r="CH681" i="4"/>
  <c r="CG681" i="4"/>
  <c r="CF681" i="4"/>
  <c r="CE681" i="4"/>
  <c r="CD681" i="4"/>
  <c r="CC681" i="4"/>
  <c r="CB681" i="4"/>
  <c r="CA681" i="4"/>
  <c r="BZ681" i="4"/>
  <c r="BY681" i="4"/>
  <c r="BX681" i="4"/>
  <c r="BW681" i="4"/>
  <c r="BV681" i="4"/>
  <c r="BU681" i="4"/>
  <c r="BT681" i="4"/>
  <c r="BS681" i="4"/>
  <c r="BR681" i="4"/>
  <c r="BQ681" i="4"/>
  <c r="BP681" i="4"/>
  <c r="BO681" i="4"/>
  <c r="BN681" i="4"/>
  <c r="BM681" i="4"/>
  <c r="BL681" i="4"/>
  <c r="BK681" i="4"/>
  <c r="BJ681" i="4"/>
  <c r="BI681" i="4"/>
  <c r="BH681" i="4"/>
  <c r="BG681" i="4"/>
  <c r="BF681" i="4"/>
  <c r="BE681" i="4"/>
  <c r="BD681" i="4"/>
  <c r="BC681" i="4"/>
  <c r="BB681" i="4"/>
  <c r="BA681" i="4"/>
  <c r="AZ681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A681" i="4"/>
  <c r="FP700" i="4"/>
  <c r="FO675" i="4"/>
  <c r="FN675" i="4"/>
  <c r="FM675" i="4"/>
  <c r="FL675" i="4"/>
  <c r="FK675" i="4"/>
  <c r="FJ675" i="4"/>
  <c r="FI675" i="4"/>
  <c r="FH675" i="4"/>
  <c r="FG675" i="4"/>
  <c r="FF675" i="4"/>
  <c r="FE675" i="4"/>
  <c r="FD675" i="4"/>
  <c r="FC675" i="4"/>
  <c r="FB675" i="4"/>
  <c r="FA675" i="4"/>
  <c r="EZ675" i="4"/>
  <c r="EY675" i="4"/>
  <c r="EX675" i="4"/>
  <c r="EW675" i="4"/>
  <c r="EV675" i="4"/>
  <c r="EU675" i="4"/>
  <c r="ET675" i="4"/>
  <c r="ES675" i="4"/>
  <c r="ER675" i="4"/>
  <c r="EQ675" i="4"/>
  <c r="EP675" i="4"/>
  <c r="EO675" i="4"/>
  <c r="EN675" i="4"/>
  <c r="EM675" i="4"/>
  <c r="EL675" i="4"/>
  <c r="EK675" i="4"/>
  <c r="EJ675" i="4"/>
  <c r="EI675" i="4"/>
  <c r="EH675" i="4"/>
  <c r="EG675" i="4"/>
  <c r="EF675" i="4"/>
  <c r="EE675" i="4"/>
  <c r="ED675" i="4"/>
  <c r="EC675" i="4"/>
  <c r="EB675" i="4"/>
  <c r="EA675" i="4"/>
  <c r="DZ675" i="4"/>
  <c r="DY675" i="4"/>
  <c r="DX675" i="4"/>
  <c r="DW675" i="4"/>
  <c r="DV675" i="4"/>
  <c r="DU675" i="4"/>
  <c r="DT675" i="4"/>
  <c r="DS675" i="4"/>
  <c r="DR675" i="4"/>
  <c r="DQ675" i="4"/>
  <c r="DP675" i="4"/>
  <c r="DO675" i="4"/>
  <c r="DN675" i="4"/>
  <c r="DM675" i="4"/>
  <c r="DL675" i="4"/>
  <c r="DK675" i="4"/>
  <c r="DJ675" i="4"/>
  <c r="DI675" i="4"/>
  <c r="DH675" i="4"/>
  <c r="DG675" i="4"/>
  <c r="DF675" i="4"/>
  <c r="DE675" i="4"/>
  <c r="DD675" i="4"/>
  <c r="DC675" i="4"/>
  <c r="DB675" i="4"/>
  <c r="CW675" i="4"/>
  <c r="CV675" i="4"/>
  <c r="CU675" i="4"/>
  <c r="CT675" i="4"/>
  <c r="CS675" i="4"/>
  <c r="CR675" i="4"/>
  <c r="CQ675" i="4"/>
  <c r="CP675" i="4"/>
  <c r="CO675" i="4"/>
  <c r="CN675" i="4"/>
  <c r="CM675" i="4"/>
  <c r="CL675" i="4"/>
  <c r="CK675" i="4"/>
  <c r="CJ675" i="4"/>
  <c r="CI675" i="4"/>
  <c r="CH675" i="4"/>
  <c r="CG675" i="4"/>
  <c r="CF675" i="4"/>
  <c r="CE675" i="4"/>
  <c r="CD675" i="4"/>
  <c r="CC675" i="4"/>
  <c r="CB675" i="4"/>
  <c r="CA675" i="4"/>
  <c r="BZ675" i="4"/>
  <c r="BY675" i="4"/>
  <c r="BX675" i="4"/>
  <c r="BW675" i="4"/>
  <c r="BV675" i="4"/>
  <c r="BU675" i="4"/>
  <c r="BT675" i="4"/>
  <c r="BS675" i="4"/>
  <c r="BR675" i="4"/>
  <c r="BQ675" i="4"/>
  <c r="BP675" i="4"/>
  <c r="BO675" i="4"/>
  <c r="BN675" i="4"/>
  <c r="BM675" i="4"/>
  <c r="BL675" i="4"/>
  <c r="BK675" i="4"/>
  <c r="BJ675" i="4"/>
  <c r="BI675" i="4"/>
  <c r="BH675" i="4"/>
  <c r="BG675" i="4"/>
  <c r="BF675" i="4"/>
  <c r="BE675" i="4"/>
  <c r="BD675" i="4"/>
  <c r="BC675" i="4"/>
  <c r="BB675" i="4"/>
  <c r="BA675" i="4"/>
  <c r="AZ675" i="4"/>
  <c r="AY675" i="4"/>
  <c r="AX675" i="4"/>
  <c r="AW675" i="4"/>
  <c r="AV675" i="4"/>
  <c r="AU675" i="4"/>
  <c r="AT675" i="4"/>
  <c r="AS675" i="4"/>
  <c r="AR675" i="4"/>
  <c r="AQ675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U675" i="4"/>
  <c r="T675" i="4"/>
  <c r="S675" i="4"/>
  <c r="R675" i="4"/>
  <c r="Q675" i="4"/>
  <c r="O675" i="4"/>
  <c r="N675" i="4"/>
  <c r="M675" i="4"/>
  <c r="L675" i="4"/>
  <c r="K675" i="4"/>
  <c r="J675" i="4"/>
  <c r="I675" i="4"/>
  <c r="H675" i="4"/>
  <c r="G675" i="4"/>
  <c r="F675" i="4"/>
  <c r="E675" i="4"/>
  <c r="A675" i="4"/>
  <c r="P675" i="4"/>
  <c r="N332" i="15" l="1"/>
  <c r="N334" i="15"/>
  <c r="N330" i="15"/>
  <c r="N331" i="15"/>
  <c r="N333" i="15"/>
  <c r="N335" i="15"/>
  <c r="N337" i="15"/>
  <c r="N336" i="15"/>
  <c r="N326" i="15"/>
  <c r="N327" i="15"/>
  <c r="N329" i="15"/>
  <c r="N328" i="15"/>
  <c r="N338" i="15"/>
  <c r="B268" i="23"/>
  <c r="T1633" i="8"/>
  <c r="T1592" i="8"/>
  <c r="H1608" i="8"/>
  <c r="C1608" i="8" s="1"/>
  <c r="H1640" i="8"/>
  <c r="C1640" i="8" s="1"/>
  <c r="C1592" i="8"/>
  <c r="M1593" i="8"/>
  <c r="H1594" i="8"/>
  <c r="C1594" i="8" s="1"/>
  <c r="D1592" i="8"/>
  <c r="D1597" i="8" s="1"/>
  <c r="D1606" i="8" s="1"/>
  <c r="D1611" i="8" s="1"/>
  <c r="D1622" i="8" s="1"/>
  <c r="D1626" i="8" s="1"/>
  <c r="D1633" i="8" s="1"/>
  <c r="D1662" i="8" s="1"/>
  <c r="D1690" i="8" s="1"/>
  <c r="M1674" i="8"/>
  <c r="C1581" i="8"/>
  <c r="T1606" i="8"/>
  <c r="C1614" i="8"/>
  <c r="T1622" i="8"/>
  <c r="N1651" i="8"/>
  <c r="N1674" i="8"/>
  <c r="N1590" i="8"/>
  <c r="N1588" i="8"/>
  <c r="M1589" i="8"/>
  <c r="N1589" i="8"/>
  <c r="H1610" i="8"/>
  <c r="C1610" i="8" s="1"/>
  <c r="C1654" i="8"/>
  <c r="B264" i="23"/>
  <c r="A255" i="23"/>
  <c r="B267" i="9"/>
  <c r="B270" i="9"/>
  <c r="N1596" i="8"/>
  <c r="M1596" i="8"/>
  <c r="C1596" i="8"/>
  <c r="N1602" i="8"/>
  <c r="C1602" i="8"/>
  <c r="N1582" i="8"/>
  <c r="N1584" i="8"/>
  <c r="M1585" i="8"/>
  <c r="H1595" i="8"/>
  <c r="T1597" i="8"/>
  <c r="H1599" i="8"/>
  <c r="N1609" i="8"/>
  <c r="C1609" i="8"/>
  <c r="H1629" i="8"/>
  <c r="C1626" i="8"/>
  <c r="H1628" i="8"/>
  <c r="T1626" i="8"/>
  <c r="N1587" i="8"/>
  <c r="M1583" i="8"/>
  <c r="N1585" i="8"/>
  <c r="C1597" i="8"/>
  <c r="H1601" i="8"/>
  <c r="M1582" i="8"/>
  <c r="M1584" i="8"/>
  <c r="N1618" i="8"/>
  <c r="M1618" i="8"/>
  <c r="N1583" i="8"/>
  <c r="N1586" i="8"/>
  <c r="H1605" i="8"/>
  <c r="H1603" i="8"/>
  <c r="H1617" i="8"/>
  <c r="H1613" i="8"/>
  <c r="T1611" i="8"/>
  <c r="C1611" i="8"/>
  <c r="N1656" i="8"/>
  <c r="M1656" i="8"/>
  <c r="C1656" i="8"/>
  <c r="M1625" i="8"/>
  <c r="C1633" i="8"/>
  <c r="N1646" i="8"/>
  <c r="M1646" i="8"/>
  <c r="N1625" i="8"/>
  <c r="E123" i="6"/>
  <c r="D123" i="6"/>
  <c r="E122" i="6"/>
  <c r="D122" i="6"/>
  <c r="R701" i="5"/>
  <c r="Q701" i="5"/>
  <c r="O701" i="5"/>
  <c r="N701" i="5"/>
  <c r="F701" i="5"/>
  <c r="E701" i="5"/>
  <c r="D701" i="5"/>
  <c r="R700" i="5"/>
  <c r="Q700" i="5"/>
  <c r="O700" i="5"/>
  <c r="N700" i="5"/>
  <c r="F700" i="5"/>
  <c r="E700" i="5"/>
  <c r="D700" i="5"/>
  <c r="R699" i="5"/>
  <c r="Q699" i="5"/>
  <c r="O699" i="5"/>
  <c r="N699" i="5"/>
  <c r="F699" i="5"/>
  <c r="E699" i="5"/>
  <c r="D699" i="5"/>
  <c r="R698" i="5"/>
  <c r="P698" i="5"/>
  <c r="O698" i="5"/>
  <c r="H698" i="5"/>
  <c r="N698" i="5" s="1"/>
  <c r="F698" i="5"/>
  <c r="E698" i="5"/>
  <c r="D698" i="5"/>
  <c r="R697" i="5"/>
  <c r="P697" i="5"/>
  <c r="O697" i="5"/>
  <c r="H697" i="5"/>
  <c r="N697" i="5" s="1"/>
  <c r="F697" i="5"/>
  <c r="E697" i="5"/>
  <c r="D697" i="5"/>
  <c r="AD696" i="5"/>
  <c r="AK696" i="5" s="1"/>
  <c r="AD695" i="5"/>
  <c r="AA695" i="5"/>
  <c r="Z695" i="5"/>
  <c r="X695" i="5"/>
  <c r="W695" i="5"/>
  <c r="Q694" i="5"/>
  <c r="O694" i="5"/>
  <c r="N694" i="5"/>
  <c r="F694" i="5"/>
  <c r="E694" i="5"/>
  <c r="D694" i="5"/>
  <c r="R693" i="5"/>
  <c r="Q693" i="5"/>
  <c r="O693" i="5"/>
  <c r="N693" i="5"/>
  <c r="F693" i="5"/>
  <c r="E693" i="5"/>
  <c r="D693" i="5"/>
  <c r="R692" i="5"/>
  <c r="Q692" i="5"/>
  <c r="O692" i="5"/>
  <c r="N692" i="5"/>
  <c r="F692" i="5"/>
  <c r="E692" i="5"/>
  <c r="D692" i="5"/>
  <c r="R691" i="5"/>
  <c r="P691" i="5"/>
  <c r="O691" i="5"/>
  <c r="H691" i="5"/>
  <c r="N691" i="5" s="1"/>
  <c r="F691" i="5"/>
  <c r="E691" i="5"/>
  <c r="D691" i="5"/>
  <c r="R690" i="5"/>
  <c r="P690" i="5"/>
  <c r="O690" i="5"/>
  <c r="H690" i="5"/>
  <c r="N690" i="5" s="1"/>
  <c r="F690" i="5"/>
  <c r="E690" i="5"/>
  <c r="D690" i="5"/>
  <c r="AD689" i="5"/>
  <c r="AI689" i="5" s="1"/>
  <c r="AD688" i="5"/>
  <c r="AA688" i="5"/>
  <c r="Z688" i="5"/>
  <c r="X688" i="5"/>
  <c r="W688" i="5"/>
  <c r="O695" i="5" l="1"/>
  <c r="H123" i="6" s="1"/>
  <c r="R695" i="5"/>
  <c r="K123" i="6" s="1"/>
  <c r="O688" i="5"/>
  <c r="H122" i="6" s="1"/>
  <c r="M1651" i="8"/>
  <c r="N1593" i="8"/>
  <c r="N325" i="15"/>
  <c r="G271" i="9" s="1"/>
  <c r="H271" i="9" s="1"/>
  <c r="AK695" i="5"/>
  <c r="AG688" i="5"/>
  <c r="AG695" i="5"/>
  <c r="N688" i="5"/>
  <c r="G122" i="6" s="1"/>
  <c r="AK688" i="5"/>
  <c r="N1654" i="8"/>
  <c r="N1614" i="8"/>
  <c r="N1608" i="8"/>
  <c r="M1640" i="8"/>
  <c r="N1640" i="8"/>
  <c r="M1654" i="8"/>
  <c r="N1610" i="8"/>
  <c r="M1608" i="8"/>
  <c r="N1594" i="8"/>
  <c r="H1615" i="8"/>
  <c r="N1615" i="8" s="1"/>
  <c r="M1614" i="8"/>
  <c r="H1619" i="8"/>
  <c r="M1619" i="8" s="1"/>
  <c r="C1593" i="8"/>
  <c r="C1625" i="8"/>
  <c r="O1651" i="8"/>
  <c r="C1651" i="8"/>
  <c r="A262" i="23"/>
  <c r="N1655" i="8"/>
  <c r="M1655" i="8"/>
  <c r="C1655" i="8"/>
  <c r="M1639" i="8"/>
  <c r="C1639" i="8"/>
  <c r="N1639" i="8"/>
  <c r="N1650" i="8"/>
  <c r="C1650" i="8"/>
  <c r="O1650" i="8"/>
  <c r="M1650" i="8"/>
  <c r="N1613" i="8"/>
  <c r="M1613" i="8"/>
  <c r="C1613" i="8"/>
  <c r="N1603" i="8"/>
  <c r="C1603" i="8"/>
  <c r="N1628" i="8"/>
  <c r="M1628" i="8"/>
  <c r="C1628" i="8"/>
  <c r="H1632" i="8"/>
  <c r="N1599" i="8"/>
  <c r="H1600" i="8"/>
  <c r="M1599" i="8"/>
  <c r="C1599" i="8"/>
  <c r="N1581" i="8"/>
  <c r="N1595" i="8"/>
  <c r="M1595" i="8"/>
  <c r="C1595" i="8"/>
  <c r="M1652" i="8"/>
  <c r="C1652" i="8"/>
  <c r="N1652" i="8"/>
  <c r="N1637" i="8"/>
  <c r="M1637" i="8"/>
  <c r="C1637" i="8"/>
  <c r="N1616" i="8"/>
  <c r="M1616" i="8"/>
  <c r="C1616" i="8"/>
  <c r="N1617" i="8"/>
  <c r="M1617" i="8"/>
  <c r="C1617" i="8"/>
  <c r="N1605" i="8"/>
  <c r="M1605" i="8"/>
  <c r="C1605" i="8"/>
  <c r="O1649" i="8"/>
  <c r="N1649" i="8"/>
  <c r="C1649" i="8"/>
  <c r="M1649" i="8"/>
  <c r="N1647" i="8"/>
  <c r="M1647" i="8"/>
  <c r="C1647" i="8"/>
  <c r="N1601" i="8"/>
  <c r="M1601" i="8"/>
  <c r="C1601" i="8"/>
  <c r="O1641" i="8"/>
  <c r="P1641" i="8"/>
  <c r="N1641" i="8"/>
  <c r="M1641" i="8"/>
  <c r="C1641" i="8"/>
  <c r="M1581" i="8"/>
  <c r="H1630" i="8"/>
  <c r="N1629" i="8"/>
  <c r="M1629" i="8"/>
  <c r="C1629" i="8"/>
  <c r="O1629" i="8"/>
  <c r="N695" i="5"/>
  <c r="G123" i="6" s="1"/>
  <c r="AJ688" i="5"/>
  <c r="AJ695" i="5"/>
  <c r="AH696" i="5"/>
  <c r="AL696" i="5"/>
  <c r="AH688" i="5"/>
  <c r="AF689" i="5"/>
  <c r="AJ689" i="5"/>
  <c r="AG689" i="5"/>
  <c r="AK689" i="5"/>
  <c r="AE696" i="5"/>
  <c r="AI696" i="5"/>
  <c r="AH695" i="5"/>
  <c r="AF696" i="5"/>
  <c r="AJ696" i="5"/>
  <c r="AH689" i="5"/>
  <c r="AL689" i="5"/>
  <c r="AE689" i="5"/>
  <c r="AG696" i="5"/>
  <c r="L63" i="15"/>
  <c r="K63" i="15"/>
  <c r="K43" i="15"/>
  <c r="L43" i="15"/>
  <c r="K44" i="15"/>
  <c r="L44" i="15"/>
  <c r="K45" i="15"/>
  <c r="L45" i="15"/>
  <c r="S45" i="15"/>
  <c r="V45" i="15"/>
  <c r="K46" i="15"/>
  <c r="L46" i="15"/>
  <c r="S46" i="15"/>
  <c r="V46" i="15"/>
  <c r="K47" i="15"/>
  <c r="L47" i="15"/>
  <c r="S47" i="15"/>
  <c r="V47" i="15"/>
  <c r="K48" i="15"/>
  <c r="L48" i="15"/>
  <c r="S48" i="15"/>
  <c r="V48" i="15"/>
  <c r="K49" i="15"/>
  <c r="L49" i="15"/>
  <c r="S49" i="15"/>
  <c r="V49" i="15"/>
  <c r="K51" i="15"/>
  <c r="L51" i="15"/>
  <c r="K52" i="15"/>
  <c r="L52" i="15"/>
  <c r="K53" i="15"/>
  <c r="L53" i="15"/>
  <c r="S53" i="15"/>
  <c r="V53" i="15"/>
  <c r="K54" i="15"/>
  <c r="L54" i="15"/>
  <c r="S54" i="15"/>
  <c r="V54" i="15"/>
  <c r="K55" i="15"/>
  <c r="L55" i="15"/>
  <c r="S55" i="15"/>
  <c r="V55" i="15"/>
  <c r="K56" i="15"/>
  <c r="L56" i="15"/>
  <c r="S56" i="15"/>
  <c r="V56" i="15"/>
  <c r="K57" i="15"/>
  <c r="L57" i="15"/>
  <c r="S57" i="15"/>
  <c r="V57" i="15"/>
  <c r="K58" i="15"/>
  <c r="L58" i="15"/>
  <c r="C1619" i="8" l="1"/>
  <c r="N1619" i="8"/>
  <c r="N44" i="15"/>
  <c r="C1615" i="8"/>
  <c r="N58" i="15"/>
  <c r="N46" i="15"/>
  <c r="M1615" i="8"/>
  <c r="N43" i="15"/>
  <c r="N47" i="15"/>
  <c r="N1661" i="8"/>
  <c r="C1661" i="8"/>
  <c r="M1661" i="8"/>
  <c r="H1604" i="8"/>
  <c r="N1600" i="8"/>
  <c r="M1600" i="8"/>
  <c r="C1600" i="8"/>
  <c r="N1632" i="8"/>
  <c r="M1632" i="8"/>
  <c r="C1632" i="8"/>
  <c r="M1660" i="8"/>
  <c r="C1660" i="8"/>
  <c r="N1660" i="8"/>
  <c r="H1631" i="8"/>
  <c r="N1630" i="8"/>
  <c r="C1630" i="8"/>
  <c r="O1630" i="8"/>
  <c r="M1630" i="8"/>
  <c r="N1644" i="8"/>
  <c r="M1644" i="8"/>
  <c r="C1644" i="8"/>
  <c r="M1658" i="8"/>
  <c r="C1658" i="8"/>
  <c r="N1658" i="8"/>
  <c r="N45" i="15"/>
  <c r="N57" i="15"/>
  <c r="N56" i="15"/>
  <c r="N53" i="15"/>
  <c r="N51" i="15"/>
  <c r="N55" i="15"/>
  <c r="N54" i="15"/>
  <c r="N52" i="15"/>
  <c r="N49" i="15"/>
  <c r="N48" i="15"/>
  <c r="N42" i="15" l="1"/>
  <c r="N50" i="15"/>
  <c r="N1631" i="8"/>
  <c r="O1631" i="8"/>
  <c r="M1631" i="8"/>
  <c r="C1631" i="8"/>
  <c r="C1604" i="8"/>
  <c r="N1604" i="8"/>
  <c r="AT669" i="4" l="1"/>
  <c r="AS669" i="4"/>
  <c r="AT660" i="4"/>
  <c r="AS660" i="4"/>
  <c r="AT655" i="4"/>
  <c r="AS655" i="4"/>
  <c r="AT650" i="4"/>
  <c r="AS650" i="4"/>
  <c r="AT638" i="4"/>
  <c r="AS638" i="4"/>
  <c r="AT572" i="4"/>
  <c r="AS572" i="4"/>
  <c r="AT554" i="4"/>
  <c r="AS554" i="4"/>
  <c r="AT507" i="4"/>
  <c r="AS507" i="4"/>
  <c r="AT479" i="4"/>
  <c r="AS479" i="4"/>
  <c r="AT356" i="4"/>
  <c r="AS356" i="4"/>
  <c r="AT329" i="4"/>
  <c r="AS329" i="4"/>
  <c r="AT256" i="4"/>
  <c r="AS256" i="4"/>
  <c r="AT108" i="4"/>
  <c r="AS108" i="4"/>
  <c r="AT68" i="4"/>
  <c r="AS68" i="4"/>
  <c r="AF669" i="4"/>
  <c r="AF660" i="4"/>
  <c r="AF655" i="4"/>
  <c r="AF650" i="4"/>
  <c r="AF638" i="4"/>
  <c r="AF572" i="4"/>
  <c r="AF554" i="4"/>
  <c r="AF507" i="4"/>
  <c r="AF479" i="4"/>
  <c r="AF356" i="4"/>
  <c r="AF329" i="4"/>
  <c r="AF256" i="4"/>
  <c r="AF108" i="4"/>
  <c r="AF68" i="4"/>
  <c r="AD669" i="4"/>
  <c r="AD660" i="4"/>
  <c r="AD655" i="4"/>
  <c r="AD650" i="4"/>
  <c r="AD638" i="4"/>
  <c r="AD572" i="4"/>
  <c r="AD554" i="4"/>
  <c r="AD507" i="4"/>
  <c r="AD479" i="4"/>
  <c r="AD356" i="4"/>
  <c r="AD329" i="4"/>
  <c r="AD256" i="4"/>
  <c r="AD108" i="4"/>
  <c r="AD68" i="4"/>
  <c r="AA669" i="4"/>
  <c r="AA660" i="4"/>
  <c r="AA655" i="4"/>
  <c r="AA650" i="4"/>
  <c r="AA638" i="4"/>
  <c r="AA572" i="4"/>
  <c r="AA554" i="4"/>
  <c r="AA507" i="4"/>
  <c r="AA479" i="4"/>
  <c r="AA356" i="4"/>
  <c r="AA329" i="4"/>
  <c r="AA256" i="4"/>
  <c r="AA108" i="4"/>
  <c r="AA68" i="4"/>
  <c r="CI669" i="4"/>
  <c r="CI660" i="4"/>
  <c r="CI655" i="4"/>
  <c r="CI650" i="4"/>
  <c r="CI638" i="4"/>
  <c r="CI572" i="4"/>
  <c r="CI554" i="4"/>
  <c r="CI507" i="4"/>
  <c r="CI479" i="4"/>
  <c r="CI356" i="4"/>
  <c r="CI329" i="4"/>
  <c r="CI256" i="4"/>
  <c r="CI108" i="4"/>
  <c r="CI68" i="4"/>
  <c r="CO669" i="4"/>
  <c r="CO660" i="4"/>
  <c r="CO655" i="4"/>
  <c r="CO650" i="4"/>
  <c r="CO638" i="4"/>
  <c r="CO572" i="4"/>
  <c r="CO554" i="4"/>
  <c r="CO507" i="4"/>
  <c r="CO479" i="4"/>
  <c r="CO356" i="4"/>
  <c r="CO329" i="4"/>
  <c r="CO256" i="4"/>
  <c r="CO108" i="4"/>
  <c r="CO68" i="4"/>
  <c r="CO700" i="4" l="1"/>
  <c r="AS700" i="4"/>
  <c r="AT700" i="4"/>
  <c r="AD700" i="4"/>
  <c r="AA700" i="4"/>
  <c r="AF700" i="4"/>
  <c r="CI700" i="4"/>
  <c r="D5" i="20" l="1"/>
  <c r="O571" i="4"/>
  <c r="O703" i="4" l="1"/>
  <c r="E703" i="4" s="1"/>
  <c r="A507" i="29"/>
  <c r="FE505" i="29"/>
  <c r="FD505" i="29"/>
  <c r="FC505" i="29"/>
  <c r="FB505" i="29"/>
  <c r="FA505" i="29"/>
  <c r="EZ505" i="29"/>
  <c r="EY505" i="29"/>
  <c r="EX505" i="29"/>
  <c r="EW505" i="29"/>
  <c r="EV505" i="29"/>
  <c r="EU505" i="29"/>
  <c r="ET505" i="29"/>
  <c r="ES505" i="29"/>
  <c r="ER505" i="29"/>
  <c r="EQ505" i="29"/>
  <c r="EP505" i="29"/>
  <c r="EO505" i="29"/>
  <c r="EN505" i="29"/>
  <c r="EM505" i="29"/>
  <c r="EL505" i="29"/>
  <c r="EK505" i="29"/>
  <c r="EJ505" i="29"/>
  <c r="EI505" i="29"/>
  <c r="EH505" i="29"/>
  <c r="EG505" i="29"/>
  <c r="EF505" i="29"/>
  <c r="EE505" i="29"/>
  <c r="ED505" i="29"/>
  <c r="EC505" i="29"/>
  <c r="EB505" i="29"/>
  <c r="EA505" i="29"/>
  <c r="DZ505" i="29"/>
  <c r="DY505" i="29"/>
  <c r="DX505" i="29"/>
  <c r="DW505" i="29"/>
  <c r="DV505" i="29"/>
  <c r="DU505" i="29"/>
  <c r="DT505" i="29"/>
  <c r="DS505" i="29"/>
  <c r="DR505" i="29"/>
  <c r="DQ505" i="29"/>
  <c r="DP505" i="29"/>
  <c r="DO505" i="29"/>
  <c r="DN505" i="29"/>
  <c r="DM505" i="29"/>
  <c r="DL505" i="29"/>
  <c r="DK505" i="29"/>
  <c r="DJ505" i="29"/>
  <c r="DI505" i="29"/>
  <c r="DH505" i="29"/>
  <c r="DG505" i="29"/>
  <c r="DF505" i="29"/>
  <c r="DE505" i="29"/>
  <c r="DD505" i="29"/>
  <c r="DC505" i="29"/>
  <c r="DB505" i="29"/>
  <c r="DA505" i="29"/>
  <c r="CZ505" i="29"/>
  <c r="CY505" i="29"/>
  <c r="CW505" i="29"/>
  <c r="CV505" i="29"/>
  <c r="CU505" i="29"/>
  <c r="CS505" i="29"/>
  <c r="CR505" i="29"/>
  <c r="CQ505" i="29"/>
  <c r="CP505" i="29"/>
  <c r="CO505" i="29"/>
  <c r="CN505" i="29"/>
  <c r="CM505" i="29"/>
  <c r="CL505" i="29"/>
  <c r="CK505" i="29"/>
  <c r="CJ505" i="29"/>
  <c r="CI505" i="29"/>
  <c r="CH505" i="29"/>
  <c r="CG505" i="29"/>
  <c r="CF505" i="29"/>
  <c r="CE505" i="29"/>
  <c r="CD505" i="29"/>
  <c r="CC505" i="29"/>
  <c r="CB505" i="29"/>
  <c r="CA505" i="29"/>
  <c r="BZ505" i="29"/>
  <c r="BY505" i="29"/>
  <c r="BX505" i="29"/>
  <c r="BW505" i="29"/>
  <c r="BV505" i="29"/>
  <c r="BU505" i="29"/>
  <c r="BT505" i="29"/>
  <c r="BS505" i="29"/>
  <c r="BR505" i="29"/>
  <c r="BQ505" i="29"/>
  <c r="BP505" i="29"/>
  <c r="BO505" i="29"/>
  <c r="BN505" i="29"/>
  <c r="BM505" i="29"/>
  <c r="BL505" i="29"/>
  <c r="BK505" i="29"/>
  <c r="BJ505" i="29"/>
  <c r="BI505" i="29"/>
  <c r="BH505" i="29"/>
  <c r="BG505" i="29"/>
  <c r="BF505" i="29"/>
  <c r="BE505" i="29"/>
  <c r="BD505" i="29"/>
  <c r="BC505" i="29"/>
  <c r="BB505" i="29"/>
  <c r="BA505" i="29"/>
  <c r="AZ505" i="29"/>
  <c r="AY505" i="29"/>
  <c r="AX505" i="29"/>
  <c r="AW505" i="29"/>
  <c r="AV505" i="29"/>
  <c r="AU505" i="29"/>
  <c r="AT505" i="29"/>
  <c r="AS505" i="29"/>
  <c r="AR505" i="29"/>
  <c r="AQ505" i="29"/>
  <c r="AP505" i="29"/>
  <c r="AO505" i="29"/>
  <c r="AN505" i="29"/>
  <c r="AM505" i="29"/>
  <c r="AL505" i="29"/>
  <c r="AK505" i="29"/>
  <c r="AJ505" i="29"/>
  <c r="AI505" i="29"/>
  <c r="AH505" i="29"/>
  <c r="AG505" i="29"/>
  <c r="AF505" i="29"/>
  <c r="AE505" i="29"/>
  <c r="AD505" i="29"/>
  <c r="AC505" i="29"/>
  <c r="AB505" i="29"/>
  <c r="AA505" i="29"/>
  <c r="Z505" i="29"/>
  <c r="Y505" i="29"/>
  <c r="X505" i="29"/>
  <c r="W505" i="29"/>
  <c r="V505" i="29"/>
  <c r="U505" i="29"/>
  <c r="T505" i="29"/>
  <c r="S505" i="29"/>
  <c r="R505" i="29"/>
  <c r="Q505" i="29"/>
  <c r="P505" i="29"/>
  <c r="O505" i="29"/>
  <c r="N505" i="29"/>
  <c r="M505" i="29"/>
  <c r="L505" i="29"/>
  <c r="K505" i="29"/>
  <c r="J505" i="29"/>
  <c r="I505" i="29"/>
  <c r="H505" i="29"/>
  <c r="G505" i="29"/>
  <c r="F505" i="29"/>
  <c r="E505" i="29"/>
  <c r="A505" i="29"/>
  <c r="FE493" i="29"/>
  <c r="FD493" i="29"/>
  <c r="FC493" i="29"/>
  <c r="FB493" i="29"/>
  <c r="FA493" i="29"/>
  <c r="EZ493" i="29"/>
  <c r="EY493" i="29"/>
  <c r="EX493" i="29"/>
  <c r="EW493" i="29"/>
  <c r="EV493" i="29"/>
  <c r="EU493" i="29"/>
  <c r="ET493" i="29"/>
  <c r="ES493" i="29"/>
  <c r="ER493" i="29"/>
  <c r="EQ493" i="29"/>
  <c r="EP493" i="29"/>
  <c r="EO493" i="29"/>
  <c r="EN493" i="29"/>
  <c r="EM493" i="29"/>
  <c r="EL493" i="29"/>
  <c r="EK493" i="29"/>
  <c r="EJ493" i="29"/>
  <c r="EI493" i="29"/>
  <c r="EH493" i="29"/>
  <c r="EG493" i="29"/>
  <c r="EF493" i="29"/>
  <c r="EE493" i="29"/>
  <c r="ED493" i="29"/>
  <c r="EC493" i="29"/>
  <c r="EB493" i="29"/>
  <c r="EA493" i="29"/>
  <c r="DZ493" i="29"/>
  <c r="DY493" i="29"/>
  <c r="DX493" i="29"/>
  <c r="DW493" i="29"/>
  <c r="DV493" i="29"/>
  <c r="DU493" i="29"/>
  <c r="DT493" i="29"/>
  <c r="DS493" i="29"/>
  <c r="DR493" i="29"/>
  <c r="DQ493" i="29"/>
  <c r="DP493" i="29"/>
  <c r="DO493" i="29"/>
  <c r="DN493" i="29"/>
  <c r="DM493" i="29"/>
  <c r="DL493" i="29"/>
  <c r="DK493" i="29"/>
  <c r="DJ493" i="29"/>
  <c r="DI493" i="29"/>
  <c r="DH493" i="29"/>
  <c r="DG493" i="29"/>
  <c r="DF493" i="29"/>
  <c r="DE493" i="29"/>
  <c r="DD493" i="29"/>
  <c r="DC493" i="29"/>
  <c r="DB493" i="29"/>
  <c r="DA493" i="29"/>
  <c r="CZ493" i="29"/>
  <c r="CY493" i="29"/>
  <c r="CW493" i="29"/>
  <c r="CV493" i="29"/>
  <c r="CU493" i="29"/>
  <c r="CS493" i="29"/>
  <c r="CR493" i="29"/>
  <c r="CQ493" i="29"/>
  <c r="CP493" i="29"/>
  <c r="CO493" i="29"/>
  <c r="CN493" i="29"/>
  <c r="CM493" i="29"/>
  <c r="CL493" i="29"/>
  <c r="CK493" i="29"/>
  <c r="CJ493" i="29"/>
  <c r="CI493" i="29"/>
  <c r="CH493" i="29"/>
  <c r="CG493" i="29"/>
  <c r="CF493" i="29"/>
  <c r="CE493" i="29"/>
  <c r="CD493" i="29"/>
  <c r="CC493" i="29"/>
  <c r="CB493" i="29"/>
  <c r="CA493" i="29"/>
  <c r="BZ493" i="29"/>
  <c r="BY493" i="29"/>
  <c r="BX493" i="29"/>
  <c r="BW493" i="29"/>
  <c r="BV493" i="29"/>
  <c r="BU493" i="29"/>
  <c r="BT493" i="29"/>
  <c r="BS493" i="29"/>
  <c r="BR493" i="29"/>
  <c r="BQ493" i="29"/>
  <c r="BP493" i="29"/>
  <c r="BO493" i="29"/>
  <c r="BN493" i="29"/>
  <c r="BM493" i="29"/>
  <c r="BL493" i="29"/>
  <c r="BK493" i="29"/>
  <c r="BJ493" i="29"/>
  <c r="BI493" i="29"/>
  <c r="BH493" i="29"/>
  <c r="BG493" i="29"/>
  <c r="BF493" i="29"/>
  <c r="BE493" i="29"/>
  <c r="BD493" i="29"/>
  <c r="BC493" i="29"/>
  <c r="BB493" i="29"/>
  <c r="BA493" i="29"/>
  <c r="AZ493" i="29"/>
  <c r="AY493" i="29"/>
  <c r="AX493" i="29"/>
  <c r="AW493" i="29"/>
  <c r="AV493" i="29"/>
  <c r="AU493" i="29"/>
  <c r="AT493" i="29"/>
  <c r="AS493" i="29"/>
  <c r="AR493" i="29"/>
  <c r="AQ493" i="29"/>
  <c r="AP493" i="29"/>
  <c r="AO493" i="29"/>
  <c r="AN493" i="29"/>
  <c r="AM493" i="29"/>
  <c r="AL493" i="29"/>
  <c r="AK493" i="29"/>
  <c r="AJ493" i="29"/>
  <c r="AI493" i="29"/>
  <c r="AH493" i="29"/>
  <c r="AG493" i="29"/>
  <c r="AF493" i="29"/>
  <c r="AE493" i="29"/>
  <c r="AD493" i="29"/>
  <c r="AC493" i="29"/>
  <c r="AB493" i="29"/>
  <c r="AA493" i="29"/>
  <c r="Z493" i="29"/>
  <c r="Y493" i="29"/>
  <c r="X493" i="29"/>
  <c r="W493" i="29"/>
  <c r="V493" i="29"/>
  <c r="U493" i="29"/>
  <c r="T493" i="29"/>
  <c r="S493" i="29"/>
  <c r="R493" i="29"/>
  <c r="Q493" i="29"/>
  <c r="P493" i="29"/>
  <c r="O493" i="29"/>
  <c r="N493" i="29"/>
  <c r="M493" i="29"/>
  <c r="L493" i="29"/>
  <c r="K493" i="29"/>
  <c r="J493" i="29"/>
  <c r="I493" i="29"/>
  <c r="H493" i="29"/>
  <c r="G493" i="29"/>
  <c r="F493" i="29"/>
  <c r="E493" i="29"/>
  <c r="A493" i="29"/>
  <c r="FE467" i="29"/>
  <c r="FD467" i="29"/>
  <c r="FC467" i="29"/>
  <c r="FB467" i="29"/>
  <c r="FA467" i="29"/>
  <c r="EZ467" i="29"/>
  <c r="EY467" i="29"/>
  <c r="EX467" i="29"/>
  <c r="EW467" i="29"/>
  <c r="EV467" i="29"/>
  <c r="EU467" i="29"/>
  <c r="ET467" i="29"/>
  <c r="ES467" i="29"/>
  <c r="ER467" i="29"/>
  <c r="EQ467" i="29"/>
  <c r="EP467" i="29"/>
  <c r="EO467" i="29"/>
  <c r="EN467" i="29"/>
  <c r="EM467" i="29"/>
  <c r="EL467" i="29"/>
  <c r="EK467" i="29"/>
  <c r="EJ467" i="29"/>
  <c r="EI467" i="29"/>
  <c r="EH467" i="29"/>
  <c r="EG467" i="29"/>
  <c r="EF467" i="29"/>
  <c r="EE467" i="29"/>
  <c r="ED467" i="29"/>
  <c r="EC467" i="29"/>
  <c r="EB467" i="29"/>
  <c r="EA467" i="29"/>
  <c r="DZ467" i="29"/>
  <c r="DY467" i="29"/>
  <c r="DX467" i="29"/>
  <c r="DW467" i="29"/>
  <c r="DV467" i="29"/>
  <c r="DU467" i="29"/>
  <c r="DT467" i="29"/>
  <c r="DS467" i="29"/>
  <c r="DR467" i="29"/>
  <c r="DQ467" i="29"/>
  <c r="DP467" i="29"/>
  <c r="DO467" i="29"/>
  <c r="DN467" i="29"/>
  <c r="DM467" i="29"/>
  <c r="DL467" i="29"/>
  <c r="DK467" i="29"/>
  <c r="DJ467" i="29"/>
  <c r="DI467" i="29"/>
  <c r="DH467" i="29"/>
  <c r="DG467" i="29"/>
  <c r="DF467" i="29"/>
  <c r="DE467" i="29"/>
  <c r="DD467" i="29"/>
  <c r="DC467" i="29"/>
  <c r="DB467" i="29"/>
  <c r="DA467" i="29"/>
  <c r="CZ467" i="29"/>
  <c r="CY467" i="29"/>
  <c r="CW467" i="29"/>
  <c r="CV467" i="29"/>
  <c r="CU467" i="29"/>
  <c r="CS467" i="29"/>
  <c r="CR467" i="29"/>
  <c r="CQ467" i="29"/>
  <c r="CP467" i="29"/>
  <c r="CO467" i="29"/>
  <c r="CN467" i="29"/>
  <c r="CM467" i="29"/>
  <c r="CL467" i="29"/>
  <c r="CK467" i="29"/>
  <c r="CJ467" i="29"/>
  <c r="CI467" i="29"/>
  <c r="CH467" i="29"/>
  <c r="CG467" i="29"/>
  <c r="CF467" i="29"/>
  <c r="CE467" i="29"/>
  <c r="CD467" i="29"/>
  <c r="CC467" i="29"/>
  <c r="CB467" i="29"/>
  <c r="CA467" i="29"/>
  <c r="BZ467" i="29"/>
  <c r="BY467" i="29"/>
  <c r="BX467" i="29"/>
  <c r="BW467" i="29"/>
  <c r="BV467" i="29"/>
  <c r="BU467" i="29"/>
  <c r="BT467" i="29"/>
  <c r="BS467" i="29"/>
  <c r="BR467" i="29"/>
  <c r="BQ467" i="29"/>
  <c r="BP467" i="29"/>
  <c r="BO467" i="29"/>
  <c r="BN467" i="29"/>
  <c r="BM467" i="29"/>
  <c r="BL467" i="29"/>
  <c r="BK467" i="29"/>
  <c r="BJ467" i="29"/>
  <c r="BI467" i="29"/>
  <c r="BH467" i="29"/>
  <c r="BG467" i="29"/>
  <c r="BF467" i="29"/>
  <c r="BE467" i="29"/>
  <c r="BD467" i="29"/>
  <c r="BC467" i="29"/>
  <c r="BB467" i="29"/>
  <c r="BA467" i="29"/>
  <c r="AZ467" i="29"/>
  <c r="AY467" i="29"/>
  <c r="AX467" i="29"/>
  <c r="AW467" i="29"/>
  <c r="AV467" i="29"/>
  <c r="AU467" i="29"/>
  <c r="AT467" i="29"/>
  <c r="AS467" i="29"/>
  <c r="AR467" i="29"/>
  <c r="AQ467" i="29"/>
  <c r="AP467" i="29"/>
  <c r="AO467" i="29"/>
  <c r="AN467" i="29"/>
  <c r="AM467" i="29"/>
  <c r="AL467" i="29"/>
  <c r="AK467" i="29"/>
  <c r="AJ467" i="29"/>
  <c r="AI467" i="29"/>
  <c r="AH467" i="29"/>
  <c r="AG467" i="29"/>
  <c r="AF467" i="29"/>
  <c r="AE467" i="29"/>
  <c r="AD467" i="29"/>
  <c r="AC467" i="29"/>
  <c r="AB467" i="29"/>
  <c r="AA467" i="29"/>
  <c r="Z467" i="29"/>
  <c r="Y467" i="29"/>
  <c r="X467" i="29"/>
  <c r="W467" i="29"/>
  <c r="V467" i="29"/>
  <c r="U467" i="29"/>
  <c r="T467" i="29"/>
  <c r="S467" i="29"/>
  <c r="R467" i="29"/>
  <c r="Q467" i="29"/>
  <c r="P467" i="29"/>
  <c r="O467" i="29"/>
  <c r="N467" i="29"/>
  <c r="M467" i="29"/>
  <c r="L467" i="29"/>
  <c r="K467" i="29"/>
  <c r="J467" i="29"/>
  <c r="I467" i="29"/>
  <c r="H467" i="29"/>
  <c r="G467" i="29"/>
  <c r="F467" i="29"/>
  <c r="E467" i="29"/>
  <c r="A467" i="29"/>
  <c r="FK460" i="29"/>
  <c r="FE459" i="29"/>
  <c r="FD459" i="29"/>
  <c r="FC459" i="29"/>
  <c r="FB459" i="29"/>
  <c r="FA459" i="29"/>
  <c r="EZ459" i="29"/>
  <c r="EY459" i="29"/>
  <c r="EX459" i="29"/>
  <c r="EW459" i="29"/>
  <c r="EV459" i="29"/>
  <c r="EU459" i="29"/>
  <c r="ET459" i="29"/>
  <c r="ES459" i="29"/>
  <c r="ER459" i="29"/>
  <c r="EQ459" i="29"/>
  <c r="EP459" i="29"/>
  <c r="EO459" i="29"/>
  <c r="EN459" i="29"/>
  <c r="EM459" i="29"/>
  <c r="EL459" i="29"/>
  <c r="EK459" i="29"/>
  <c r="EJ459" i="29"/>
  <c r="EI459" i="29"/>
  <c r="EH459" i="29"/>
  <c r="EG459" i="29"/>
  <c r="EF459" i="29"/>
  <c r="EE459" i="29"/>
  <c r="ED459" i="29"/>
  <c r="EC459" i="29"/>
  <c r="EB459" i="29"/>
  <c r="EA459" i="29"/>
  <c r="DZ459" i="29"/>
  <c r="DY459" i="29"/>
  <c r="DX459" i="29"/>
  <c r="DW459" i="29"/>
  <c r="DV459" i="29"/>
  <c r="DU459" i="29"/>
  <c r="DT459" i="29"/>
  <c r="DS459" i="29"/>
  <c r="DR459" i="29"/>
  <c r="DQ459" i="29"/>
  <c r="DP459" i="29"/>
  <c r="DO459" i="29"/>
  <c r="FK459" i="29" s="1"/>
  <c r="DN459" i="29"/>
  <c r="DM459" i="29"/>
  <c r="DL459" i="29"/>
  <c r="DK459" i="29"/>
  <c r="DJ459" i="29"/>
  <c r="DI459" i="29"/>
  <c r="DH459" i="29"/>
  <c r="DG459" i="29"/>
  <c r="DF459" i="29"/>
  <c r="DE459" i="29"/>
  <c r="DD459" i="29"/>
  <c r="DC459" i="29"/>
  <c r="DB459" i="29"/>
  <c r="DA459" i="29"/>
  <c r="CZ459" i="29"/>
  <c r="CY459" i="29"/>
  <c r="CW459" i="29"/>
  <c r="CV459" i="29"/>
  <c r="CU459" i="29"/>
  <c r="CS459" i="29"/>
  <c r="CR459" i="29"/>
  <c r="CQ459" i="29"/>
  <c r="CP459" i="29"/>
  <c r="CO459" i="29"/>
  <c r="CN459" i="29"/>
  <c r="CM459" i="29"/>
  <c r="CL459" i="29"/>
  <c r="CK459" i="29"/>
  <c r="CJ459" i="29"/>
  <c r="CI459" i="29"/>
  <c r="CH459" i="29"/>
  <c r="CG459" i="29"/>
  <c r="CF459" i="29"/>
  <c r="CE459" i="29"/>
  <c r="CD459" i="29"/>
  <c r="CC459" i="29"/>
  <c r="CB459" i="29"/>
  <c r="CA459" i="29"/>
  <c r="BZ459" i="29"/>
  <c r="BY459" i="29"/>
  <c r="BX459" i="29"/>
  <c r="BW459" i="29"/>
  <c r="BV459" i="29"/>
  <c r="BU459" i="29"/>
  <c r="BT459" i="29"/>
  <c r="BS459" i="29"/>
  <c r="BR459" i="29"/>
  <c r="BQ459" i="29"/>
  <c r="BP459" i="29"/>
  <c r="BO459" i="29"/>
  <c r="BN459" i="29"/>
  <c r="BM459" i="29"/>
  <c r="BL459" i="29"/>
  <c r="BK459" i="29"/>
  <c r="BJ459" i="29"/>
  <c r="BI459" i="29"/>
  <c r="BH459" i="29"/>
  <c r="BG459" i="29"/>
  <c r="BF459" i="29"/>
  <c r="BE459" i="29"/>
  <c r="BD459" i="29"/>
  <c r="BC459" i="29"/>
  <c r="BB459" i="29"/>
  <c r="BA459" i="29"/>
  <c r="AZ459" i="29"/>
  <c r="AY459" i="29"/>
  <c r="AX459" i="29"/>
  <c r="AW459" i="29"/>
  <c r="AV459" i="29"/>
  <c r="AU459" i="29"/>
  <c r="AT459" i="29"/>
  <c r="AS459" i="29"/>
  <c r="AR459" i="29"/>
  <c r="AQ459" i="29"/>
  <c r="AP459" i="29"/>
  <c r="AO459" i="29"/>
  <c r="AN459" i="29"/>
  <c r="AM459" i="29"/>
  <c r="AL459" i="29"/>
  <c r="AK459" i="29"/>
  <c r="AJ459" i="29"/>
  <c r="AI459" i="29"/>
  <c r="AH459" i="29"/>
  <c r="AG459" i="29"/>
  <c r="AF459" i="29"/>
  <c r="AE459" i="29"/>
  <c r="AD459" i="29"/>
  <c r="AC459" i="29"/>
  <c r="AB459" i="29"/>
  <c r="AA459" i="29"/>
  <c r="Z459" i="29"/>
  <c r="Y459" i="29"/>
  <c r="X459" i="29"/>
  <c r="W459" i="29"/>
  <c r="V459" i="29"/>
  <c r="U459" i="29"/>
  <c r="T459" i="29"/>
  <c r="S459" i="29"/>
  <c r="R459" i="29"/>
  <c r="Q459" i="29"/>
  <c r="P459" i="29"/>
  <c r="O459" i="29"/>
  <c r="N459" i="29"/>
  <c r="M459" i="29"/>
  <c r="L459" i="29"/>
  <c r="K459" i="29"/>
  <c r="J459" i="29"/>
  <c r="I459" i="29"/>
  <c r="H459" i="29"/>
  <c r="G459" i="29"/>
  <c r="F459" i="29"/>
  <c r="E459" i="29"/>
  <c r="A459" i="29"/>
  <c r="FK454" i="29"/>
  <c r="FE453" i="29"/>
  <c r="FD453" i="29"/>
  <c r="FC453" i="29"/>
  <c r="FB453" i="29"/>
  <c r="FA453" i="29"/>
  <c r="EZ453" i="29"/>
  <c r="EY453" i="29"/>
  <c r="EX453" i="29"/>
  <c r="EW453" i="29"/>
  <c r="EV453" i="29"/>
  <c r="EU453" i="29"/>
  <c r="ET453" i="29"/>
  <c r="ES453" i="29"/>
  <c r="ER453" i="29"/>
  <c r="EQ453" i="29"/>
  <c r="EP453" i="29"/>
  <c r="EO453" i="29"/>
  <c r="EN453" i="29"/>
  <c r="EM453" i="29"/>
  <c r="EL453" i="29"/>
  <c r="EK453" i="29"/>
  <c r="EJ453" i="29"/>
  <c r="EI453" i="29"/>
  <c r="EH453" i="29"/>
  <c r="EG453" i="29"/>
  <c r="EF453" i="29"/>
  <c r="EE453" i="29"/>
  <c r="ED453" i="29"/>
  <c r="EC453" i="29"/>
  <c r="EB453" i="29"/>
  <c r="EA453" i="29"/>
  <c r="DZ453" i="29"/>
  <c r="DY453" i="29"/>
  <c r="DX453" i="29"/>
  <c r="DW453" i="29"/>
  <c r="DV453" i="29"/>
  <c r="DU453" i="29"/>
  <c r="DT453" i="29"/>
  <c r="DS453" i="29"/>
  <c r="DR453" i="29"/>
  <c r="DQ453" i="29"/>
  <c r="DP453" i="29"/>
  <c r="DO453" i="29"/>
  <c r="FK453" i="29" s="1"/>
  <c r="DN453" i="29"/>
  <c r="DM453" i="29"/>
  <c r="DL453" i="29"/>
  <c r="DK453" i="29"/>
  <c r="DJ453" i="29"/>
  <c r="DI453" i="29"/>
  <c r="DH453" i="29"/>
  <c r="DG453" i="29"/>
  <c r="DF453" i="29"/>
  <c r="DE453" i="29"/>
  <c r="DD453" i="29"/>
  <c r="DC453" i="29"/>
  <c r="DB453" i="29"/>
  <c r="DA453" i="29"/>
  <c r="CZ453" i="29"/>
  <c r="CY453" i="29"/>
  <c r="CW453" i="29"/>
  <c r="CV453" i="29"/>
  <c r="CU453" i="29"/>
  <c r="CS453" i="29"/>
  <c r="CR453" i="29"/>
  <c r="CQ453" i="29"/>
  <c r="CP453" i="29"/>
  <c r="CO453" i="29"/>
  <c r="CN453" i="29"/>
  <c r="CM453" i="29"/>
  <c r="CL453" i="29"/>
  <c r="CK453" i="29"/>
  <c r="CJ453" i="29"/>
  <c r="CI453" i="29"/>
  <c r="CH453" i="29"/>
  <c r="CG453" i="29"/>
  <c r="CF453" i="29"/>
  <c r="CE453" i="29"/>
  <c r="CD453" i="29"/>
  <c r="CC453" i="29"/>
  <c r="CB453" i="29"/>
  <c r="CA453" i="29"/>
  <c r="BZ453" i="29"/>
  <c r="BY453" i="29"/>
  <c r="BX453" i="29"/>
  <c r="BW453" i="29"/>
  <c r="BV453" i="29"/>
  <c r="BU453" i="29"/>
  <c r="BT453" i="29"/>
  <c r="BS453" i="29"/>
  <c r="BR453" i="29"/>
  <c r="BQ453" i="29"/>
  <c r="BP453" i="29"/>
  <c r="BO453" i="29"/>
  <c r="BN453" i="29"/>
  <c r="BM453" i="29"/>
  <c r="BL453" i="29"/>
  <c r="BK453" i="29"/>
  <c r="BJ453" i="29"/>
  <c r="BI453" i="29"/>
  <c r="BH453" i="29"/>
  <c r="BG453" i="29"/>
  <c r="BF453" i="29"/>
  <c r="BE453" i="29"/>
  <c r="BD453" i="29"/>
  <c r="BC453" i="29"/>
  <c r="BB453" i="29"/>
  <c r="BA453" i="29"/>
  <c r="AZ453" i="29"/>
  <c r="AY453" i="29"/>
  <c r="AX453" i="29"/>
  <c r="AW453" i="29"/>
  <c r="AV453" i="29"/>
  <c r="AU453" i="29"/>
  <c r="AT453" i="29"/>
  <c r="AS453" i="29"/>
  <c r="AR453" i="29"/>
  <c r="AQ453" i="29"/>
  <c r="AP453" i="29"/>
  <c r="AO453" i="29"/>
  <c r="AN453" i="29"/>
  <c r="AM453" i="29"/>
  <c r="AL453" i="29"/>
  <c r="AK453" i="29"/>
  <c r="AJ453" i="29"/>
  <c r="AI453" i="29"/>
  <c r="AH453" i="29"/>
  <c r="AG453" i="29"/>
  <c r="AF453" i="29"/>
  <c r="AE453" i="29"/>
  <c r="AD453" i="29"/>
  <c r="AC453" i="29"/>
  <c r="AB453" i="29"/>
  <c r="AA453" i="29"/>
  <c r="Z453" i="29"/>
  <c r="Y453" i="29"/>
  <c r="X453" i="29"/>
  <c r="W453" i="29"/>
  <c r="V453" i="29"/>
  <c r="U453" i="29"/>
  <c r="T453" i="29"/>
  <c r="S453" i="29"/>
  <c r="R453" i="29"/>
  <c r="Q453" i="29"/>
  <c r="P453" i="29"/>
  <c r="O453" i="29"/>
  <c r="N453" i="29"/>
  <c r="M453" i="29"/>
  <c r="L453" i="29"/>
  <c r="K453" i="29"/>
  <c r="J453" i="29"/>
  <c r="I453" i="29"/>
  <c r="H453" i="29"/>
  <c r="G453" i="29"/>
  <c r="F453" i="29"/>
  <c r="E453" i="29"/>
  <c r="A453" i="29"/>
  <c r="FK450" i="29"/>
  <c r="FE449" i="29"/>
  <c r="FD449" i="29"/>
  <c r="FC449" i="29"/>
  <c r="FB449" i="29"/>
  <c r="FA449" i="29"/>
  <c r="EZ449" i="29"/>
  <c r="EY449" i="29"/>
  <c r="EX449" i="29"/>
  <c r="EW449" i="29"/>
  <c r="EV449" i="29"/>
  <c r="EU449" i="29"/>
  <c r="ET449" i="29"/>
  <c r="ES449" i="29"/>
  <c r="ER449" i="29"/>
  <c r="EQ449" i="29"/>
  <c r="EP449" i="29"/>
  <c r="EO449" i="29"/>
  <c r="EN449" i="29"/>
  <c r="EM449" i="29"/>
  <c r="EL449" i="29"/>
  <c r="EK449" i="29"/>
  <c r="EJ449" i="29"/>
  <c r="EI449" i="29"/>
  <c r="EH449" i="29"/>
  <c r="EG449" i="29"/>
  <c r="EF449" i="29"/>
  <c r="EE449" i="29"/>
  <c r="ED449" i="29"/>
  <c r="EC449" i="29"/>
  <c r="EB449" i="29"/>
  <c r="EA449" i="29"/>
  <c r="DZ449" i="29"/>
  <c r="DY449" i="29"/>
  <c r="DX449" i="29"/>
  <c r="DW449" i="29"/>
  <c r="DV449" i="29"/>
  <c r="DU449" i="29"/>
  <c r="DT449" i="29"/>
  <c r="DS449" i="29"/>
  <c r="DR449" i="29"/>
  <c r="DQ449" i="29"/>
  <c r="DP449" i="29"/>
  <c r="DO449" i="29"/>
  <c r="FK449" i="29" s="1"/>
  <c r="DN449" i="29"/>
  <c r="DM449" i="29"/>
  <c r="DL449" i="29"/>
  <c r="DK449" i="29"/>
  <c r="DJ449" i="29"/>
  <c r="DI449" i="29"/>
  <c r="DH449" i="29"/>
  <c r="DG449" i="29"/>
  <c r="DF449" i="29"/>
  <c r="DE449" i="29"/>
  <c r="DD449" i="29"/>
  <c r="DC449" i="29"/>
  <c r="DB449" i="29"/>
  <c r="DA449" i="29"/>
  <c r="CZ449" i="29"/>
  <c r="CY449" i="29"/>
  <c r="CW449" i="29"/>
  <c r="CV449" i="29"/>
  <c r="CU449" i="29"/>
  <c r="CS449" i="29"/>
  <c r="CR449" i="29"/>
  <c r="CQ449" i="29"/>
  <c r="CP449" i="29"/>
  <c r="CO449" i="29"/>
  <c r="CN449" i="29"/>
  <c r="CM449" i="29"/>
  <c r="CL449" i="29"/>
  <c r="CK449" i="29"/>
  <c r="CJ449" i="29"/>
  <c r="CI449" i="29"/>
  <c r="CH449" i="29"/>
  <c r="CG449" i="29"/>
  <c r="CF449" i="29"/>
  <c r="CE449" i="29"/>
  <c r="CD449" i="29"/>
  <c r="CC449" i="29"/>
  <c r="CB449" i="29"/>
  <c r="CA449" i="29"/>
  <c r="BZ449" i="29"/>
  <c r="BY449" i="29"/>
  <c r="BX449" i="29"/>
  <c r="BW449" i="29"/>
  <c r="BV449" i="29"/>
  <c r="BU449" i="29"/>
  <c r="BT449" i="29"/>
  <c r="BS449" i="29"/>
  <c r="BR449" i="29"/>
  <c r="BQ449" i="29"/>
  <c r="BP449" i="29"/>
  <c r="BO449" i="29"/>
  <c r="BN449" i="29"/>
  <c r="BM449" i="29"/>
  <c r="BL449" i="29"/>
  <c r="BK449" i="29"/>
  <c r="BJ449" i="29"/>
  <c r="BI449" i="29"/>
  <c r="BH449" i="29"/>
  <c r="BG449" i="29"/>
  <c r="BF449" i="29"/>
  <c r="BE449" i="29"/>
  <c r="BD449" i="29"/>
  <c r="BC449" i="29"/>
  <c r="BB449" i="29"/>
  <c r="BA449" i="29"/>
  <c r="AZ449" i="29"/>
  <c r="AY449" i="29"/>
  <c r="AX449" i="29"/>
  <c r="AW449" i="29"/>
  <c r="AV449" i="29"/>
  <c r="AU449" i="29"/>
  <c r="AT449" i="29"/>
  <c r="AS449" i="29"/>
  <c r="AR449" i="29"/>
  <c r="AQ449" i="29"/>
  <c r="AP449" i="29"/>
  <c r="AO449" i="29"/>
  <c r="AN449" i="29"/>
  <c r="AM449" i="29"/>
  <c r="AL449" i="29"/>
  <c r="AK449" i="29"/>
  <c r="AJ449" i="29"/>
  <c r="AI449" i="29"/>
  <c r="AH449" i="29"/>
  <c r="AG449" i="29"/>
  <c r="AF449" i="29"/>
  <c r="AE449" i="29"/>
  <c r="AD449" i="29"/>
  <c r="AC449" i="29"/>
  <c r="AB449" i="29"/>
  <c r="AA449" i="29"/>
  <c r="Z449" i="29"/>
  <c r="Y449" i="29"/>
  <c r="X449" i="29"/>
  <c r="W449" i="29"/>
  <c r="V449" i="29"/>
  <c r="U449" i="29"/>
  <c r="T449" i="29"/>
  <c r="S449" i="29"/>
  <c r="R449" i="29"/>
  <c r="Q449" i="29"/>
  <c r="P449" i="29"/>
  <c r="O449" i="29"/>
  <c r="N449" i="29"/>
  <c r="M449" i="29"/>
  <c r="L449" i="29"/>
  <c r="K449" i="29"/>
  <c r="J449" i="29"/>
  <c r="I449" i="29"/>
  <c r="H449" i="29"/>
  <c r="G449" i="29"/>
  <c r="F449" i="29"/>
  <c r="E449" i="29"/>
  <c r="A449" i="29"/>
  <c r="FE432" i="29"/>
  <c r="FD432" i="29"/>
  <c r="FC432" i="29"/>
  <c r="FB432" i="29"/>
  <c r="FA432" i="29"/>
  <c r="EZ432" i="29"/>
  <c r="EY432" i="29"/>
  <c r="EX432" i="29"/>
  <c r="EW432" i="29"/>
  <c r="EV432" i="29"/>
  <c r="EU432" i="29"/>
  <c r="ET432" i="29"/>
  <c r="ES432" i="29"/>
  <c r="ER432" i="29"/>
  <c r="EQ432" i="29"/>
  <c r="EP432" i="29"/>
  <c r="EO432" i="29"/>
  <c r="EN432" i="29"/>
  <c r="EM432" i="29"/>
  <c r="EL432" i="29"/>
  <c r="EK432" i="29"/>
  <c r="EJ432" i="29"/>
  <c r="EI432" i="29"/>
  <c r="EH432" i="29"/>
  <c r="EG432" i="29"/>
  <c r="EF432" i="29"/>
  <c r="EE432" i="29"/>
  <c r="ED432" i="29"/>
  <c r="EC432" i="29"/>
  <c r="EB432" i="29"/>
  <c r="EA432" i="29"/>
  <c r="DZ432" i="29"/>
  <c r="DY432" i="29"/>
  <c r="DX432" i="29"/>
  <c r="DW432" i="29"/>
  <c r="DV432" i="29"/>
  <c r="DU432" i="29"/>
  <c r="DT432" i="29"/>
  <c r="DS432" i="29"/>
  <c r="DR432" i="29"/>
  <c r="DQ432" i="29"/>
  <c r="DP432" i="29"/>
  <c r="DO432" i="29"/>
  <c r="FK432" i="29" s="1"/>
  <c r="DN432" i="29"/>
  <c r="DM432" i="29"/>
  <c r="DL432" i="29"/>
  <c r="DK432" i="29"/>
  <c r="DJ432" i="29"/>
  <c r="DI432" i="29"/>
  <c r="DH432" i="29"/>
  <c r="DG432" i="29"/>
  <c r="DF432" i="29"/>
  <c r="DE432" i="29"/>
  <c r="DD432" i="29"/>
  <c r="DC432" i="29"/>
  <c r="DB432" i="29"/>
  <c r="DA432" i="29"/>
  <c r="CZ432" i="29"/>
  <c r="CY432" i="29"/>
  <c r="CW432" i="29"/>
  <c r="CV432" i="29"/>
  <c r="CU432" i="29"/>
  <c r="CS432" i="29"/>
  <c r="CR432" i="29"/>
  <c r="CQ432" i="29"/>
  <c r="CP432" i="29"/>
  <c r="CO432" i="29"/>
  <c r="CN432" i="29"/>
  <c r="CM432" i="29"/>
  <c r="CL432" i="29"/>
  <c r="CK432" i="29"/>
  <c r="CJ432" i="29"/>
  <c r="CI432" i="29"/>
  <c r="CH432" i="29"/>
  <c r="CG432" i="29"/>
  <c r="CF432" i="29"/>
  <c r="CE432" i="29"/>
  <c r="CD432" i="29"/>
  <c r="CC432" i="29"/>
  <c r="CB432" i="29"/>
  <c r="CA432" i="29"/>
  <c r="BZ432" i="29"/>
  <c r="BY432" i="29"/>
  <c r="BX432" i="29"/>
  <c r="BW432" i="29"/>
  <c r="BV432" i="29"/>
  <c r="BU432" i="29"/>
  <c r="BT432" i="29"/>
  <c r="BS432" i="29"/>
  <c r="BR432" i="29"/>
  <c r="BQ432" i="29"/>
  <c r="BP432" i="29"/>
  <c r="BO432" i="29"/>
  <c r="BN432" i="29"/>
  <c r="BM432" i="29"/>
  <c r="BL432" i="29"/>
  <c r="BK432" i="29"/>
  <c r="BJ432" i="29"/>
  <c r="BI432" i="29"/>
  <c r="BH432" i="29"/>
  <c r="BG432" i="29"/>
  <c r="BF432" i="29"/>
  <c r="BE432" i="29"/>
  <c r="BD432" i="29"/>
  <c r="BC432" i="29"/>
  <c r="BB432" i="29"/>
  <c r="BA432" i="29"/>
  <c r="AZ432" i="29"/>
  <c r="AY432" i="29"/>
  <c r="AX432" i="29"/>
  <c r="AW432" i="29"/>
  <c r="AV432" i="29"/>
  <c r="AU432" i="29"/>
  <c r="AT432" i="29"/>
  <c r="AS432" i="29"/>
  <c r="AR432" i="29"/>
  <c r="AQ432" i="29"/>
  <c r="AP432" i="29"/>
  <c r="AO432" i="29"/>
  <c r="AN432" i="29"/>
  <c r="AM432" i="29"/>
  <c r="AL432" i="29"/>
  <c r="AK432" i="29"/>
  <c r="AJ432" i="29"/>
  <c r="AI432" i="29"/>
  <c r="AH432" i="29"/>
  <c r="AG432" i="29"/>
  <c r="AF432" i="29"/>
  <c r="AE432" i="29"/>
  <c r="AD432" i="29"/>
  <c r="AC432" i="29"/>
  <c r="AB432" i="29"/>
  <c r="AA432" i="29"/>
  <c r="Z432" i="29"/>
  <c r="Y432" i="29"/>
  <c r="X432" i="29"/>
  <c r="W432" i="29"/>
  <c r="V432" i="29"/>
  <c r="U432" i="29"/>
  <c r="T432" i="29"/>
  <c r="S432" i="29"/>
  <c r="R432" i="29"/>
  <c r="Q432" i="29"/>
  <c r="P432" i="29"/>
  <c r="O432" i="29"/>
  <c r="N432" i="29"/>
  <c r="M432" i="29"/>
  <c r="L432" i="29"/>
  <c r="K432" i="29"/>
  <c r="J432" i="29"/>
  <c r="I432" i="29"/>
  <c r="H432" i="29"/>
  <c r="G432" i="29"/>
  <c r="F432" i="29"/>
  <c r="E432" i="29"/>
  <c r="A432" i="29"/>
  <c r="FK410" i="29"/>
  <c r="FE409" i="29"/>
  <c r="FD409" i="29"/>
  <c r="FC409" i="29"/>
  <c r="FB409" i="29"/>
  <c r="FA409" i="29"/>
  <c r="EZ409" i="29"/>
  <c r="EY409" i="29"/>
  <c r="EX409" i="29"/>
  <c r="EW409" i="29"/>
  <c r="EV409" i="29"/>
  <c r="EU409" i="29"/>
  <c r="ET409" i="29"/>
  <c r="ES409" i="29"/>
  <c r="ER409" i="29"/>
  <c r="EQ409" i="29"/>
  <c r="EP409" i="29"/>
  <c r="EO409" i="29"/>
  <c r="EN409" i="29"/>
  <c r="EM409" i="29"/>
  <c r="EL409" i="29"/>
  <c r="EK409" i="29"/>
  <c r="EJ409" i="29"/>
  <c r="EI409" i="29"/>
  <c r="EH409" i="29"/>
  <c r="EG409" i="29"/>
  <c r="EF409" i="29"/>
  <c r="EE409" i="29"/>
  <c r="ED409" i="29"/>
  <c r="EC409" i="29"/>
  <c r="EB409" i="29"/>
  <c r="EA409" i="29"/>
  <c r="DZ409" i="29"/>
  <c r="DY409" i="29"/>
  <c r="DX409" i="29"/>
  <c r="DW409" i="29"/>
  <c r="DV409" i="29"/>
  <c r="DU409" i="29"/>
  <c r="DT409" i="29"/>
  <c r="DS409" i="29"/>
  <c r="DR409" i="29"/>
  <c r="DQ409" i="29"/>
  <c r="DP409" i="29"/>
  <c r="DO409" i="29"/>
  <c r="FK409" i="29" s="1"/>
  <c r="DN409" i="29"/>
  <c r="DM409" i="29"/>
  <c r="DL409" i="29"/>
  <c r="DK409" i="29"/>
  <c r="DJ409" i="29"/>
  <c r="DI409" i="29"/>
  <c r="DH409" i="29"/>
  <c r="DG409" i="29"/>
  <c r="DF409" i="29"/>
  <c r="DE409" i="29"/>
  <c r="DD409" i="29"/>
  <c r="DC409" i="29"/>
  <c r="DB409" i="29"/>
  <c r="DA409" i="29"/>
  <c r="CZ409" i="29"/>
  <c r="CY409" i="29"/>
  <c r="CW409" i="29"/>
  <c r="CV409" i="29"/>
  <c r="CU409" i="29"/>
  <c r="CS409" i="29"/>
  <c r="CR409" i="29"/>
  <c r="CQ409" i="29"/>
  <c r="CP409" i="29"/>
  <c r="CO409" i="29"/>
  <c r="CN409" i="29"/>
  <c r="CM409" i="29"/>
  <c r="CL409" i="29"/>
  <c r="CK409" i="29"/>
  <c r="CJ409" i="29"/>
  <c r="CI409" i="29"/>
  <c r="CH409" i="29"/>
  <c r="CG409" i="29"/>
  <c r="CF409" i="29"/>
  <c r="CE409" i="29"/>
  <c r="CD409" i="29"/>
  <c r="CC409" i="29"/>
  <c r="CB409" i="29"/>
  <c r="CA409" i="29"/>
  <c r="BZ409" i="29"/>
  <c r="BY409" i="29"/>
  <c r="BX409" i="29"/>
  <c r="BW409" i="29"/>
  <c r="BV409" i="29"/>
  <c r="BU409" i="29"/>
  <c r="BT409" i="29"/>
  <c r="BS409" i="29"/>
  <c r="BR409" i="29"/>
  <c r="BQ409" i="29"/>
  <c r="BP409" i="29"/>
  <c r="BO409" i="29"/>
  <c r="BN409" i="29"/>
  <c r="BM409" i="29"/>
  <c r="BL409" i="29"/>
  <c r="BK409" i="29"/>
  <c r="BJ409" i="29"/>
  <c r="BI409" i="29"/>
  <c r="BH409" i="29"/>
  <c r="BG409" i="29"/>
  <c r="BF409" i="29"/>
  <c r="BE409" i="29"/>
  <c r="BD409" i="29"/>
  <c r="BC409" i="29"/>
  <c r="BB409" i="29"/>
  <c r="BA409" i="29"/>
  <c r="AZ409" i="29"/>
  <c r="AY409" i="29"/>
  <c r="AX409" i="29"/>
  <c r="AW409" i="29"/>
  <c r="AV409" i="29"/>
  <c r="AU409" i="29"/>
  <c r="AT409" i="29"/>
  <c r="AS409" i="29"/>
  <c r="AR409" i="29"/>
  <c r="AQ409" i="29"/>
  <c r="AP409" i="29"/>
  <c r="AO409" i="29"/>
  <c r="AN409" i="29"/>
  <c r="AM409" i="29"/>
  <c r="AL409" i="29"/>
  <c r="AK409" i="29"/>
  <c r="AJ409" i="29"/>
  <c r="AI409" i="29"/>
  <c r="AH409" i="29"/>
  <c r="AG409" i="29"/>
  <c r="AF409" i="29"/>
  <c r="AE409" i="29"/>
  <c r="AD409" i="29"/>
  <c r="AC409" i="29"/>
  <c r="AB409" i="29"/>
  <c r="AA409" i="29"/>
  <c r="Z409" i="29"/>
  <c r="Y409" i="29"/>
  <c r="X409" i="29"/>
  <c r="W409" i="29"/>
  <c r="V409" i="29"/>
  <c r="U409" i="29"/>
  <c r="T409" i="29"/>
  <c r="S409" i="29"/>
  <c r="R409" i="29"/>
  <c r="Q409" i="29"/>
  <c r="P409" i="29"/>
  <c r="O409" i="29"/>
  <c r="N409" i="29"/>
  <c r="M409" i="29"/>
  <c r="L409" i="29"/>
  <c r="K409" i="29"/>
  <c r="J409" i="29"/>
  <c r="I409" i="29"/>
  <c r="H409" i="29"/>
  <c r="G409" i="29"/>
  <c r="F409" i="29"/>
  <c r="E409" i="29"/>
  <c r="A409" i="29"/>
  <c r="FK381" i="29"/>
  <c r="FE380" i="29"/>
  <c r="FD380" i="29"/>
  <c r="FC380" i="29"/>
  <c r="FB380" i="29"/>
  <c r="FA380" i="29"/>
  <c r="EZ380" i="29"/>
  <c r="EY380" i="29"/>
  <c r="EX380" i="29"/>
  <c r="EW380" i="29"/>
  <c r="EV380" i="29"/>
  <c r="EU380" i="29"/>
  <c r="ET380" i="29"/>
  <c r="ES380" i="29"/>
  <c r="ER380" i="29"/>
  <c r="EQ380" i="29"/>
  <c r="EP380" i="29"/>
  <c r="EO380" i="29"/>
  <c r="EN380" i="29"/>
  <c r="EM380" i="29"/>
  <c r="EL380" i="29"/>
  <c r="EK380" i="29"/>
  <c r="EJ380" i="29"/>
  <c r="EI380" i="29"/>
  <c r="EH380" i="29"/>
  <c r="EG380" i="29"/>
  <c r="EF380" i="29"/>
  <c r="EE380" i="29"/>
  <c r="ED380" i="29"/>
  <c r="EC380" i="29"/>
  <c r="EB380" i="29"/>
  <c r="EA380" i="29"/>
  <c r="DZ380" i="29"/>
  <c r="DY380" i="29"/>
  <c r="DX380" i="29"/>
  <c r="DW380" i="29"/>
  <c r="DV380" i="29"/>
  <c r="DU380" i="29"/>
  <c r="DT380" i="29"/>
  <c r="DS380" i="29"/>
  <c r="DR380" i="29"/>
  <c r="DQ380" i="29"/>
  <c r="DP380" i="29"/>
  <c r="DO380" i="29"/>
  <c r="FK380" i="29" s="1"/>
  <c r="DN380" i="29"/>
  <c r="DM380" i="29"/>
  <c r="DL380" i="29"/>
  <c r="DK380" i="29"/>
  <c r="DJ380" i="29"/>
  <c r="DI380" i="29"/>
  <c r="DH380" i="29"/>
  <c r="DG380" i="29"/>
  <c r="DF380" i="29"/>
  <c r="DE380" i="29"/>
  <c r="DD380" i="29"/>
  <c r="DC380" i="29"/>
  <c r="DB380" i="29"/>
  <c r="CZ380" i="29"/>
  <c r="CY380" i="29"/>
  <c r="CV380" i="29"/>
  <c r="CU380" i="29"/>
  <c r="CS380" i="29"/>
  <c r="CR380" i="29"/>
  <c r="CQ380" i="29"/>
  <c r="CP380" i="29"/>
  <c r="CO380" i="29"/>
  <c r="CN380" i="29"/>
  <c r="CM380" i="29"/>
  <c r="CL380" i="29"/>
  <c r="CK380" i="29"/>
  <c r="CJ380" i="29"/>
  <c r="CI380" i="29"/>
  <c r="CH380" i="29"/>
  <c r="CG380" i="29"/>
  <c r="CF380" i="29"/>
  <c r="CE380" i="29"/>
  <c r="CD380" i="29"/>
  <c r="CC380" i="29"/>
  <c r="CB380" i="29"/>
  <c r="CA380" i="29"/>
  <c r="BZ380" i="29"/>
  <c r="BY380" i="29"/>
  <c r="BX380" i="29"/>
  <c r="BW380" i="29"/>
  <c r="BV380" i="29"/>
  <c r="BU380" i="29"/>
  <c r="BT380" i="29"/>
  <c r="BS380" i="29"/>
  <c r="BR380" i="29"/>
  <c r="BQ380" i="29"/>
  <c r="BP380" i="29"/>
  <c r="BO380" i="29"/>
  <c r="BN380" i="29"/>
  <c r="BM380" i="29"/>
  <c r="BL380" i="29"/>
  <c r="BK380" i="29"/>
  <c r="BJ380" i="29"/>
  <c r="BI380" i="29"/>
  <c r="BH380" i="29"/>
  <c r="BG380" i="29"/>
  <c r="BF380" i="29"/>
  <c r="BE380" i="29"/>
  <c r="BD380" i="29"/>
  <c r="BC380" i="29"/>
  <c r="BB380" i="29"/>
  <c r="BA380" i="29"/>
  <c r="AZ380" i="29"/>
  <c r="AY380" i="29"/>
  <c r="AX380" i="29"/>
  <c r="AW380" i="29"/>
  <c r="AV380" i="29"/>
  <c r="AU380" i="29"/>
  <c r="AT380" i="29"/>
  <c r="AS380" i="29"/>
  <c r="AR380" i="29"/>
  <c r="AQ380" i="29"/>
  <c r="AP380" i="29"/>
  <c r="AO380" i="29"/>
  <c r="AN380" i="29"/>
  <c r="AM380" i="29"/>
  <c r="AL380" i="29"/>
  <c r="AK380" i="29"/>
  <c r="AJ380" i="29"/>
  <c r="AI380" i="29"/>
  <c r="AH380" i="29"/>
  <c r="AG380" i="29"/>
  <c r="AF380" i="29"/>
  <c r="AE380" i="29"/>
  <c r="AD380" i="29"/>
  <c r="AC380" i="29"/>
  <c r="AB380" i="29"/>
  <c r="AA380" i="29"/>
  <c r="Z380" i="29"/>
  <c r="Y380" i="29"/>
  <c r="X380" i="29"/>
  <c r="W380" i="29"/>
  <c r="V380" i="29"/>
  <c r="U380" i="29"/>
  <c r="T380" i="29"/>
  <c r="S380" i="29"/>
  <c r="R380" i="29"/>
  <c r="Q380" i="29"/>
  <c r="P380" i="29"/>
  <c r="O380" i="29"/>
  <c r="N380" i="29"/>
  <c r="M380" i="29"/>
  <c r="L380" i="29"/>
  <c r="K380" i="29"/>
  <c r="J380" i="29"/>
  <c r="I380" i="29"/>
  <c r="H380" i="29"/>
  <c r="G380" i="29"/>
  <c r="F380" i="29"/>
  <c r="E380" i="29"/>
  <c r="A380" i="29"/>
  <c r="FK281" i="29"/>
  <c r="FE280" i="29"/>
  <c r="FD280" i="29"/>
  <c r="FC280" i="29"/>
  <c r="FB280" i="29"/>
  <c r="FA280" i="29"/>
  <c r="EZ280" i="29"/>
  <c r="EY280" i="29"/>
  <c r="EX280" i="29"/>
  <c r="EW280" i="29"/>
  <c r="EV280" i="29"/>
  <c r="EU280" i="29"/>
  <c r="ET280" i="29"/>
  <c r="ES280" i="29"/>
  <c r="ER280" i="29"/>
  <c r="EQ280" i="29"/>
  <c r="EP280" i="29"/>
  <c r="EO280" i="29"/>
  <c r="EN280" i="29"/>
  <c r="EM280" i="29"/>
  <c r="EL280" i="29"/>
  <c r="EK280" i="29"/>
  <c r="EJ280" i="29"/>
  <c r="EI280" i="29"/>
  <c r="EH280" i="29"/>
  <c r="EG280" i="29"/>
  <c r="EF280" i="29"/>
  <c r="EE280" i="29"/>
  <c r="ED280" i="29"/>
  <c r="EC280" i="29"/>
  <c r="EB280" i="29"/>
  <c r="EA280" i="29"/>
  <c r="DZ280" i="29"/>
  <c r="DY280" i="29"/>
  <c r="DX280" i="29"/>
  <c r="DW280" i="29"/>
  <c r="DV280" i="29"/>
  <c r="DU280" i="29"/>
  <c r="DT280" i="29"/>
  <c r="DS280" i="29"/>
  <c r="DR280" i="29"/>
  <c r="DQ280" i="29"/>
  <c r="DP280" i="29"/>
  <c r="DO280" i="29"/>
  <c r="FK280" i="29" s="1"/>
  <c r="DN280" i="29"/>
  <c r="DM280" i="29"/>
  <c r="DL280" i="29"/>
  <c r="DK280" i="29"/>
  <c r="DJ280" i="29"/>
  <c r="DI280" i="29"/>
  <c r="DH280" i="29"/>
  <c r="DG280" i="29"/>
  <c r="DF280" i="29"/>
  <c r="DE280" i="29"/>
  <c r="DD280" i="29"/>
  <c r="DC280" i="29"/>
  <c r="DB280" i="29"/>
  <c r="CZ280" i="29"/>
  <c r="CY280" i="29"/>
  <c r="CV280" i="29"/>
  <c r="CU280" i="29"/>
  <c r="CS280" i="29"/>
  <c r="CR280" i="29"/>
  <c r="CQ280" i="29"/>
  <c r="CP280" i="29"/>
  <c r="CO280" i="29"/>
  <c r="CN280" i="29"/>
  <c r="CM280" i="29"/>
  <c r="CL280" i="29"/>
  <c r="CK280" i="29"/>
  <c r="CJ280" i="29"/>
  <c r="CI280" i="29"/>
  <c r="CH280" i="29"/>
  <c r="CG280" i="29"/>
  <c r="CF280" i="29"/>
  <c r="CE280" i="29"/>
  <c r="CD280" i="29"/>
  <c r="CC280" i="29"/>
  <c r="CB280" i="29"/>
  <c r="CA280" i="29"/>
  <c r="BZ280" i="29"/>
  <c r="BY280" i="29"/>
  <c r="BX280" i="29"/>
  <c r="BW280" i="29"/>
  <c r="BV280" i="29"/>
  <c r="BU280" i="29"/>
  <c r="BT280" i="29"/>
  <c r="BS280" i="29"/>
  <c r="BR280" i="29"/>
  <c r="BQ280" i="29"/>
  <c r="BP280" i="29"/>
  <c r="BO280" i="29"/>
  <c r="BN280" i="29"/>
  <c r="BM280" i="29"/>
  <c r="BL280" i="29"/>
  <c r="BK280" i="29"/>
  <c r="BJ280" i="29"/>
  <c r="BI280" i="29"/>
  <c r="BH280" i="29"/>
  <c r="BG280" i="29"/>
  <c r="BF280" i="29"/>
  <c r="BE280" i="29"/>
  <c r="BD280" i="29"/>
  <c r="BC280" i="29"/>
  <c r="BB280" i="29"/>
  <c r="BA280" i="29"/>
  <c r="AZ280" i="29"/>
  <c r="AY280" i="29"/>
  <c r="AX280" i="29"/>
  <c r="AW280" i="29"/>
  <c r="AV280" i="29"/>
  <c r="AU280" i="29"/>
  <c r="AT280" i="29"/>
  <c r="AS280" i="29"/>
  <c r="AR280" i="29"/>
  <c r="AQ280" i="29"/>
  <c r="AP280" i="29"/>
  <c r="AO280" i="29"/>
  <c r="AN280" i="29"/>
  <c r="AM280" i="29"/>
  <c r="AL280" i="29"/>
  <c r="AK280" i="29"/>
  <c r="AJ280" i="29"/>
  <c r="AI280" i="29"/>
  <c r="AH280" i="29"/>
  <c r="AG280" i="29"/>
  <c r="AF280" i="29"/>
  <c r="AE280" i="29"/>
  <c r="AD280" i="29"/>
  <c r="AC280" i="29"/>
  <c r="AB280" i="29"/>
  <c r="AA280" i="29"/>
  <c r="Z280" i="29"/>
  <c r="Y280" i="29"/>
  <c r="X280" i="29"/>
  <c r="W280" i="29"/>
  <c r="V280" i="29"/>
  <c r="U280" i="29"/>
  <c r="T280" i="29"/>
  <c r="S280" i="29"/>
  <c r="R280" i="29"/>
  <c r="Q280" i="29"/>
  <c r="P280" i="29"/>
  <c r="O280" i="29"/>
  <c r="N280" i="29"/>
  <c r="M280" i="29"/>
  <c r="L280" i="29"/>
  <c r="K280" i="29"/>
  <c r="J280" i="29"/>
  <c r="I280" i="29"/>
  <c r="H280" i="29"/>
  <c r="G280" i="29"/>
  <c r="F280" i="29"/>
  <c r="E280" i="29"/>
  <c r="A280" i="29"/>
  <c r="FK252" i="29"/>
  <c r="FE251" i="29"/>
  <c r="FD251" i="29"/>
  <c r="FC251" i="29"/>
  <c r="FB251" i="29"/>
  <c r="FA251" i="29"/>
  <c r="EZ251" i="29"/>
  <c r="EY251" i="29"/>
  <c r="EX251" i="29"/>
  <c r="EW251" i="29"/>
  <c r="EV251" i="29"/>
  <c r="EU251" i="29"/>
  <c r="ET251" i="29"/>
  <c r="ES251" i="29"/>
  <c r="ER251" i="29"/>
  <c r="EQ251" i="29"/>
  <c r="EP251" i="29"/>
  <c r="EO251" i="29"/>
  <c r="EN251" i="29"/>
  <c r="EM251" i="29"/>
  <c r="EL251" i="29"/>
  <c r="EK251" i="29"/>
  <c r="EJ251" i="29"/>
  <c r="EI251" i="29"/>
  <c r="EH251" i="29"/>
  <c r="EG251" i="29"/>
  <c r="EF251" i="29"/>
  <c r="EE251" i="29"/>
  <c r="ED251" i="29"/>
  <c r="EC251" i="29"/>
  <c r="EB251" i="29"/>
  <c r="EA251" i="29"/>
  <c r="DZ251" i="29"/>
  <c r="DY251" i="29"/>
  <c r="DX251" i="29"/>
  <c r="DW251" i="29"/>
  <c r="DV251" i="29"/>
  <c r="DU251" i="29"/>
  <c r="DT251" i="29"/>
  <c r="DS251" i="29"/>
  <c r="DR251" i="29"/>
  <c r="DQ251" i="29"/>
  <c r="DP251" i="29"/>
  <c r="DO251" i="29"/>
  <c r="FK251" i="29" s="1"/>
  <c r="DN251" i="29"/>
  <c r="DM251" i="29"/>
  <c r="DL251" i="29"/>
  <c r="DK251" i="29"/>
  <c r="DJ251" i="29"/>
  <c r="DI251" i="29"/>
  <c r="DG251" i="29"/>
  <c r="DF251" i="29"/>
  <c r="DE251" i="29"/>
  <c r="DD251" i="29"/>
  <c r="DC251" i="29"/>
  <c r="DB251" i="29"/>
  <c r="DA251" i="29"/>
  <c r="CZ251" i="29"/>
  <c r="CY251" i="29"/>
  <c r="CW251" i="29"/>
  <c r="CV251" i="29"/>
  <c r="CU251" i="29"/>
  <c r="CS251" i="29"/>
  <c r="CR251" i="29"/>
  <c r="CQ251" i="29"/>
  <c r="CP251" i="29"/>
  <c r="CO251" i="29"/>
  <c r="CN251" i="29"/>
  <c r="CM251" i="29"/>
  <c r="CL251" i="29"/>
  <c r="CK251" i="29"/>
  <c r="CJ251" i="29"/>
  <c r="CI251" i="29"/>
  <c r="CH251" i="29"/>
  <c r="CG251" i="29"/>
  <c r="CF251" i="29"/>
  <c r="CE251" i="29"/>
  <c r="CD251" i="29"/>
  <c r="CC251" i="29"/>
  <c r="CB251" i="29"/>
  <c r="CA251" i="29"/>
  <c r="BZ251" i="29"/>
  <c r="BY251" i="29"/>
  <c r="BX251" i="29"/>
  <c r="BW251" i="29"/>
  <c r="BV251" i="29"/>
  <c r="BU251" i="29"/>
  <c r="BT251" i="29"/>
  <c r="BS251" i="29"/>
  <c r="BR251" i="29"/>
  <c r="BQ251" i="29"/>
  <c r="BP251" i="29"/>
  <c r="BO251" i="29"/>
  <c r="BN251" i="29"/>
  <c r="BM251" i="29"/>
  <c r="BL251" i="29"/>
  <c r="BK251" i="29"/>
  <c r="BJ251" i="29"/>
  <c r="BI251" i="29"/>
  <c r="BH251" i="29"/>
  <c r="BG251" i="29"/>
  <c r="BF251" i="29"/>
  <c r="BE251" i="29"/>
  <c r="BD251" i="29"/>
  <c r="BC251" i="29"/>
  <c r="BB251" i="29"/>
  <c r="BA251" i="29"/>
  <c r="AZ251" i="29"/>
  <c r="AY251" i="29"/>
  <c r="AX251" i="29"/>
  <c r="AW251" i="29"/>
  <c r="AV251" i="29"/>
  <c r="AU251" i="29"/>
  <c r="AT251" i="29"/>
  <c r="AS251" i="29"/>
  <c r="AR251" i="29"/>
  <c r="AQ251" i="29"/>
  <c r="AP251" i="29"/>
  <c r="AO251" i="29"/>
  <c r="AN251" i="29"/>
  <c r="AM251" i="29"/>
  <c r="AL251" i="29"/>
  <c r="AK251" i="29"/>
  <c r="AJ251" i="29"/>
  <c r="AI251" i="29"/>
  <c r="AH251" i="29"/>
  <c r="AG251" i="29"/>
  <c r="AF251" i="29"/>
  <c r="AE251" i="29"/>
  <c r="AD251" i="29"/>
  <c r="AC251" i="29"/>
  <c r="AB251" i="29"/>
  <c r="AA251" i="29"/>
  <c r="Z251" i="29"/>
  <c r="Y251" i="29"/>
  <c r="X251" i="29"/>
  <c r="W251" i="29"/>
  <c r="V251" i="29"/>
  <c r="U251" i="29"/>
  <c r="T251" i="29"/>
  <c r="S251" i="29"/>
  <c r="R251" i="29"/>
  <c r="Q251" i="29"/>
  <c r="P251" i="29"/>
  <c r="O251" i="29"/>
  <c r="N251" i="29"/>
  <c r="M251" i="29"/>
  <c r="L251" i="29"/>
  <c r="K251" i="29"/>
  <c r="J251" i="29"/>
  <c r="I251" i="29"/>
  <c r="H251" i="29"/>
  <c r="G251" i="29"/>
  <c r="F251" i="29"/>
  <c r="E251" i="29"/>
  <c r="A251" i="29"/>
  <c r="FK186" i="29"/>
  <c r="FE185" i="29"/>
  <c r="FD185" i="29"/>
  <c r="FC185" i="29"/>
  <c r="FB185" i="29"/>
  <c r="FA185" i="29"/>
  <c r="EZ185" i="29"/>
  <c r="EY185" i="29"/>
  <c r="EX185" i="29"/>
  <c r="EW185" i="29"/>
  <c r="EV185" i="29"/>
  <c r="EU185" i="29"/>
  <c r="ET185" i="29"/>
  <c r="ES185" i="29"/>
  <c r="ER185" i="29"/>
  <c r="EQ185" i="29"/>
  <c r="EP185" i="29"/>
  <c r="EO185" i="29"/>
  <c r="EN185" i="29"/>
  <c r="EM185" i="29"/>
  <c r="EL185" i="29"/>
  <c r="EK185" i="29"/>
  <c r="EJ185" i="29"/>
  <c r="EI185" i="29"/>
  <c r="EH185" i="29"/>
  <c r="EG185" i="29"/>
  <c r="EF185" i="29"/>
  <c r="EE185" i="29"/>
  <c r="ED185" i="29"/>
  <c r="EC185" i="29"/>
  <c r="EB185" i="29"/>
  <c r="EA185" i="29"/>
  <c r="DZ185" i="29"/>
  <c r="DY185" i="29"/>
  <c r="DX185" i="29"/>
  <c r="DW185" i="29"/>
  <c r="DV185" i="29"/>
  <c r="DU185" i="29"/>
  <c r="DT185" i="29"/>
  <c r="DS185" i="29"/>
  <c r="DR185" i="29"/>
  <c r="DQ185" i="29"/>
  <c r="DP185" i="29"/>
  <c r="DO185" i="29"/>
  <c r="FK185" i="29" s="1"/>
  <c r="DN185" i="29"/>
  <c r="DM185" i="29"/>
  <c r="DL185" i="29"/>
  <c r="DK185" i="29"/>
  <c r="DJ185" i="29"/>
  <c r="DI185" i="29"/>
  <c r="DH185" i="29"/>
  <c r="DG185" i="29"/>
  <c r="DF185" i="29"/>
  <c r="DE185" i="29"/>
  <c r="DD185" i="29"/>
  <c r="DC185" i="29"/>
  <c r="DB185" i="29"/>
  <c r="DA185" i="29"/>
  <c r="CY185" i="29"/>
  <c r="CW185" i="29"/>
  <c r="CV185" i="29"/>
  <c r="CU185" i="29"/>
  <c r="CS185" i="29"/>
  <c r="CR185" i="29"/>
  <c r="CQ185" i="29"/>
  <c r="CP185" i="29"/>
  <c r="CO185" i="29"/>
  <c r="CN185" i="29"/>
  <c r="CM185" i="29"/>
  <c r="CL185" i="29"/>
  <c r="CK185" i="29"/>
  <c r="CJ185" i="29"/>
  <c r="CI185" i="29"/>
  <c r="CH185" i="29"/>
  <c r="CG185" i="29"/>
  <c r="CF185" i="29"/>
  <c r="CE185" i="29"/>
  <c r="CD185" i="29"/>
  <c r="CC185" i="29"/>
  <c r="CB185" i="29"/>
  <c r="CA185" i="29"/>
  <c r="BZ185" i="29"/>
  <c r="BY185" i="29"/>
  <c r="BX185" i="29"/>
  <c r="BW185" i="29"/>
  <c r="BV185" i="29"/>
  <c r="BU185" i="29"/>
  <c r="BT185" i="29"/>
  <c r="BS185" i="29"/>
  <c r="BR185" i="29"/>
  <c r="BQ185" i="29"/>
  <c r="BP185" i="29"/>
  <c r="BO185" i="29"/>
  <c r="BN185" i="29"/>
  <c r="BM185" i="29"/>
  <c r="BL185" i="29"/>
  <c r="BK185" i="29"/>
  <c r="BJ185" i="29"/>
  <c r="BI185" i="29"/>
  <c r="BH185" i="29"/>
  <c r="BG185" i="29"/>
  <c r="BF185" i="29"/>
  <c r="BE185" i="29"/>
  <c r="BD185" i="29"/>
  <c r="BC185" i="29"/>
  <c r="BB185" i="29"/>
  <c r="BA185" i="29"/>
  <c r="AZ185" i="29"/>
  <c r="AY185" i="29"/>
  <c r="AX185" i="29"/>
  <c r="AW185" i="29"/>
  <c r="AV185" i="29"/>
  <c r="AU185" i="29"/>
  <c r="AT185" i="29"/>
  <c r="AS185" i="29"/>
  <c r="AR185" i="29"/>
  <c r="AQ185" i="29"/>
  <c r="AP185" i="29"/>
  <c r="AO185" i="29"/>
  <c r="AN185" i="29"/>
  <c r="AM185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A185" i="29"/>
  <c r="FK92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EE91" i="29"/>
  <c r="ED91" i="29"/>
  <c r="EC91" i="29"/>
  <c r="EB91" i="29"/>
  <c r="EA91" i="29"/>
  <c r="DZ91" i="29"/>
  <c r="DY91" i="29"/>
  <c r="DX91" i="29"/>
  <c r="DW91" i="29"/>
  <c r="DV91" i="29"/>
  <c r="DU91" i="29"/>
  <c r="DT91" i="29"/>
  <c r="DS91" i="29"/>
  <c r="DR91" i="29"/>
  <c r="DQ91" i="29"/>
  <c r="DP91" i="29"/>
  <c r="DO91" i="29"/>
  <c r="FK91" i="29" s="1"/>
  <c r="DN91" i="29"/>
  <c r="DM91" i="29"/>
  <c r="DL91" i="29"/>
  <c r="DK91" i="29"/>
  <c r="DJ91" i="29"/>
  <c r="DI91" i="29"/>
  <c r="DH91" i="29"/>
  <c r="DG91" i="29"/>
  <c r="DF91" i="29"/>
  <c r="DE91" i="29"/>
  <c r="DD91" i="29"/>
  <c r="DC91" i="29"/>
  <c r="DB91" i="29"/>
  <c r="CZ91" i="29"/>
  <c r="CY91" i="29"/>
  <c r="CV91" i="29"/>
  <c r="CU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A91" i="29"/>
  <c r="FK64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EE63" i="29"/>
  <c r="ED63" i="29"/>
  <c r="EC63" i="29"/>
  <c r="EB63" i="29"/>
  <c r="EA63" i="29"/>
  <c r="DZ63" i="29"/>
  <c r="DY63" i="29"/>
  <c r="DX63" i="29"/>
  <c r="DW63" i="29"/>
  <c r="DV63" i="29"/>
  <c r="DU63" i="29"/>
  <c r="DT63" i="29"/>
  <c r="DS63" i="29"/>
  <c r="DR63" i="29"/>
  <c r="DQ63" i="29"/>
  <c r="DP63" i="29"/>
  <c r="DO63" i="29"/>
  <c r="DN63" i="29"/>
  <c r="DM63" i="29"/>
  <c r="DL63" i="29"/>
  <c r="DK63" i="29"/>
  <c r="DJ63" i="29"/>
  <c r="DI63" i="29"/>
  <c r="DH63" i="29"/>
  <c r="DG63" i="29"/>
  <c r="DF63" i="29"/>
  <c r="DE63" i="29"/>
  <c r="DD63" i="29"/>
  <c r="DC63" i="29"/>
  <c r="DB63" i="29"/>
  <c r="CZ63" i="29"/>
  <c r="CY63" i="29"/>
  <c r="CV63" i="29"/>
  <c r="CU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U507" i="29" s="1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A63" i="29"/>
  <c r="C3" i="29"/>
  <c r="S507" i="29" l="1"/>
  <c r="Q507" i="29"/>
  <c r="Y507" i="29"/>
  <c r="AC507" i="29"/>
  <c r="AK507" i="29"/>
  <c r="AO507" i="29"/>
  <c r="AS507" i="29"/>
  <c r="AW507" i="29"/>
  <c r="BA507" i="29"/>
  <c r="BE507" i="29"/>
  <c r="BI507" i="29"/>
  <c r="BM507" i="29"/>
  <c r="BQ507" i="29"/>
  <c r="BU507" i="29"/>
  <c r="I507" i="29"/>
  <c r="AG507" i="29"/>
  <c r="M507" i="29"/>
  <c r="CW63" i="29"/>
  <c r="J507" i="29"/>
  <c r="R507" i="29"/>
  <c r="V507" i="29"/>
  <c r="Z507" i="29"/>
  <c r="AH507" i="29"/>
  <c r="AL507" i="29"/>
  <c r="AP507" i="29"/>
  <c r="AT507" i="29"/>
  <c r="AX507" i="29"/>
  <c r="BB507" i="29"/>
  <c r="BF507" i="29"/>
  <c r="BJ507" i="29"/>
  <c r="BN507" i="29"/>
  <c r="BR507" i="29"/>
  <c r="BV507" i="29"/>
  <c r="BZ507" i="29"/>
  <c r="CD507" i="29"/>
  <c r="CH507" i="29"/>
  <c r="CL507" i="29"/>
  <c r="CP507" i="29"/>
  <c r="CU507" i="29"/>
  <c r="F507" i="29"/>
  <c r="N507" i="29"/>
  <c r="AD507" i="29"/>
  <c r="T507" i="29"/>
  <c r="DA380" i="29"/>
  <c r="CW280" i="29"/>
  <c r="DA280" i="29"/>
  <c r="E507" i="29"/>
  <c r="DJ507" i="29"/>
  <c r="G76" i="15" s="1"/>
  <c r="ED507" i="29"/>
  <c r="E39" i="16" s="1"/>
  <c r="EX507" i="29"/>
  <c r="DR507" i="29"/>
  <c r="E31" i="16" s="1"/>
  <c r="DV507" i="29"/>
  <c r="EH507" i="29"/>
  <c r="ET507" i="29"/>
  <c r="G507" i="29"/>
  <c r="O507" i="29"/>
  <c r="W507" i="29"/>
  <c r="AE507" i="29"/>
  <c r="AM507" i="29"/>
  <c r="AU507" i="29"/>
  <c r="BC507" i="29"/>
  <c r="BK507" i="29"/>
  <c r="BS507" i="29"/>
  <c r="BW507" i="29"/>
  <c r="CA507" i="29"/>
  <c r="CE507" i="29"/>
  <c r="CI507" i="29"/>
  <c r="CM507" i="29"/>
  <c r="CQ507" i="29"/>
  <c r="G61" i="15" s="1"/>
  <c r="CV507" i="29"/>
  <c r="E14" i="16" s="1"/>
  <c r="DC507" i="29"/>
  <c r="G89" i="15" s="1"/>
  <c r="DG507" i="29"/>
  <c r="G92" i="15" s="1"/>
  <c r="DK507" i="29"/>
  <c r="DO507" i="29"/>
  <c r="E28" i="16" s="1"/>
  <c r="DS507" i="29"/>
  <c r="DW507" i="29"/>
  <c r="EA507" i="29"/>
  <c r="EE507" i="29"/>
  <c r="E40" i="16" s="1"/>
  <c r="EI507" i="29"/>
  <c r="EM507" i="29"/>
  <c r="EQ507" i="29"/>
  <c r="EU507" i="29"/>
  <c r="EY507" i="29"/>
  <c r="FC507" i="29"/>
  <c r="H507" i="29"/>
  <c r="L507" i="29"/>
  <c r="P507" i="29"/>
  <c r="X507" i="29"/>
  <c r="AB507" i="29"/>
  <c r="AF507" i="29"/>
  <c r="AJ507" i="29"/>
  <c r="AN507" i="29"/>
  <c r="AR507" i="29"/>
  <c r="AV507" i="29"/>
  <c r="AZ507" i="29"/>
  <c r="BD507" i="29"/>
  <c r="BH507" i="29"/>
  <c r="BL507" i="29"/>
  <c r="BP507" i="29"/>
  <c r="BT507" i="29"/>
  <c r="BX507" i="29"/>
  <c r="CB507" i="29"/>
  <c r="CF507" i="29"/>
  <c r="CJ507" i="29"/>
  <c r="CN507" i="29"/>
  <c r="CR507" i="29"/>
  <c r="G62" i="15" s="1"/>
  <c r="DB507" i="29"/>
  <c r="DF507" i="29"/>
  <c r="G91" i="15" s="1"/>
  <c r="DN507" i="29"/>
  <c r="DZ507" i="29"/>
  <c r="E35" i="16" s="1"/>
  <c r="EL507" i="29"/>
  <c r="EP507" i="29"/>
  <c r="FB507" i="29"/>
  <c r="BV509" i="29"/>
  <c r="K507" i="29"/>
  <c r="AA507" i="29"/>
  <c r="AI507" i="29"/>
  <c r="AQ507" i="29"/>
  <c r="AY507" i="29"/>
  <c r="BG507" i="29"/>
  <c r="BO507" i="29"/>
  <c r="CY507" i="29"/>
  <c r="DD507" i="29"/>
  <c r="DL507" i="29"/>
  <c r="DP507" i="29"/>
  <c r="DT507" i="29"/>
  <c r="DX507" i="29"/>
  <c r="EB507" i="29"/>
  <c r="E37" i="16" s="1"/>
  <c r="EF507" i="29"/>
  <c r="EJ507" i="29"/>
  <c r="EN507" i="29"/>
  <c r="ER507" i="29"/>
  <c r="EV507" i="29"/>
  <c r="EZ507" i="29"/>
  <c r="FD507" i="29"/>
  <c r="CW380" i="29"/>
  <c r="BY507" i="29"/>
  <c r="CC507" i="29"/>
  <c r="CG507" i="29"/>
  <c r="CK507" i="29"/>
  <c r="CO507" i="29"/>
  <c r="CS507" i="29"/>
  <c r="G63" i="15" s="1"/>
  <c r="DE507" i="29"/>
  <c r="DI507" i="29"/>
  <c r="DM507" i="29"/>
  <c r="E26" i="16" s="1"/>
  <c r="DQ507" i="29"/>
  <c r="E30" i="16" s="1"/>
  <c r="DU507" i="29"/>
  <c r="DY507" i="29"/>
  <c r="EC507" i="29"/>
  <c r="EG507" i="29"/>
  <c r="EK507" i="29"/>
  <c r="EO507" i="29"/>
  <c r="ES507" i="29"/>
  <c r="EW507" i="29"/>
  <c r="FA507" i="29"/>
  <c r="G73" i="15" s="1"/>
  <c r="FE507" i="29"/>
  <c r="DH251" i="29"/>
  <c r="DH507" i="29" s="1"/>
  <c r="CZ185" i="29"/>
  <c r="CZ507" i="29" s="1"/>
  <c r="E17" i="16" s="1"/>
  <c r="DA91" i="29"/>
  <c r="CW91" i="29"/>
  <c r="DA63" i="29"/>
  <c r="FK63" i="29"/>
  <c r="EN359" i="2"/>
  <c r="EN325" i="2"/>
  <c r="EN320" i="2"/>
  <c r="EN315" i="2"/>
  <c r="EN310" i="2"/>
  <c r="EN295" i="2"/>
  <c r="EN283" i="2"/>
  <c r="EN279" i="2"/>
  <c r="EN254" i="2"/>
  <c r="EN249" i="2"/>
  <c r="EN189" i="2"/>
  <c r="EN175" i="2"/>
  <c r="EN159" i="2"/>
  <c r="EN149" i="2"/>
  <c r="EN139" i="2"/>
  <c r="EN116" i="2"/>
  <c r="EN98" i="2"/>
  <c r="EN81" i="2"/>
  <c r="EN73" i="2"/>
  <c r="EN52" i="2"/>
  <c r="EN26" i="2"/>
  <c r="ER359" i="2"/>
  <c r="EQ359" i="2"/>
  <c r="ER325" i="2"/>
  <c r="EQ325" i="2"/>
  <c r="ER320" i="2"/>
  <c r="EQ320" i="2"/>
  <c r="ER315" i="2"/>
  <c r="EQ315" i="2"/>
  <c r="ER310" i="2"/>
  <c r="EQ310" i="2"/>
  <c r="ER295" i="2"/>
  <c r="EQ295" i="2"/>
  <c r="ER283" i="2"/>
  <c r="EQ283" i="2"/>
  <c r="ER279" i="2"/>
  <c r="EQ279" i="2"/>
  <c r="ER254" i="2"/>
  <c r="EQ254" i="2"/>
  <c r="ER249" i="2"/>
  <c r="EQ249" i="2"/>
  <c r="ER189" i="2"/>
  <c r="EQ189" i="2"/>
  <c r="ER175" i="2"/>
  <c r="EQ175" i="2"/>
  <c r="ER159" i="2"/>
  <c r="EQ159" i="2"/>
  <c r="ER149" i="2"/>
  <c r="EQ149" i="2"/>
  <c r="ER139" i="2"/>
  <c r="EQ139" i="2"/>
  <c r="ER116" i="2"/>
  <c r="EQ116" i="2"/>
  <c r="ER98" i="2"/>
  <c r="EQ98" i="2"/>
  <c r="ER81" i="2"/>
  <c r="EQ81" i="2"/>
  <c r="ER73" i="2"/>
  <c r="EQ73" i="2"/>
  <c r="ER52" i="2"/>
  <c r="EQ52" i="2"/>
  <c r="ER26" i="2"/>
  <c r="EQ26" i="2"/>
  <c r="EA359" i="2"/>
  <c r="EA325" i="2"/>
  <c r="EA320" i="2"/>
  <c r="EA315" i="2"/>
  <c r="EA310" i="2"/>
  <c r="EA295" i="2"/>
  <c r="EA283" i="2"/>
  <c r="EA279" i="2"/>
  <c r="EA254" i="2"/>
  <c r="EA249" i="2"/>
  <c r="EA189" i="2"/>
  <c r="EA175" i="2"/>
  <c r="EA159" i="2"/>
  <c r="EA149" i="2"/>
  <c r="EA139" i="2"/>
  <c r="EA116" i="2"/>
  <c r="EA98" i="2"/>
  <c r="EA81" i="2"/>
  <c r="EA73" i="2"/>
  <c r="EA52" i="2"/>
  <c r="EA26" i="2"/>
  <c r="DW359" i="2"/>
  <c r="DV359" i="2"/>
  <c r="DW325" i="2"/>
  <c r="DV325" i="2"/>
  <c r="DW320" i="2"/>
  <c r="DV320" i="2"/>
  <c r="DW315" i="2"/>
  <c r="DV315" i="2"/>
  <c r="DW310" i="2"/>
  <c r="DV310" i="2"/>
  <c r="DW295" i="2"/>
  <c r="DV295" i="2"/>
  <c r="DW283" i="2"/>
  <c r="DV283" i="2"/>
  <c r="DW279" i="2"/>
  <c r="DV279" i="2"/>
  <c r="DW254" i="2"/>
  <c r="DV254" i="2"/>
  <c r="DW249" i="2"/>
  <c r="DV249" i="2"/>
  <c r="DW189" i="2"/>
  <c r="DV189" i="2"/>
  <c r="DW175" i="2"/>
  <c r="DV175" i="2"/>
  <c r="DW159" i="2"/>
  <c r="DV159" i="2"/>
  <c r="DW149" i="2"/>
  <c r="DV149" i="2"/>
  <c r="DW139" i="2"/>
  <c r="DV139" i="2"/>
  <c r="DW116" i="2"/>
  <c r="DV116" i="2"/>
  <c r="DW98" i="2"/>
  <c r="DV98" i="2"/>
  <c r="DW81" i="2"/>
  <c r="DV81" i="2"/>
  <c r="DW73" i="2"/>
  <c r="DV73" i="2"/>
  <c r="DW52" i="2"/>
  <c r="DV52" i="2"/>
  <c r="DW26" i="2"/>
  <c r="DV26" i="2"/>
  <c r="EX359" i="2"/>
  <c r="EX325" i="2"/>
  <c r="EX320" i="2"/>
  <c r="EX315" i="2"/>
  <c r="EX310" i="2"/>
  <c r="EX295" i="2"/>
  <c r="EX283" i="2"/>
  <c r="EX279" i="2"/>
  <c r="EX254" i="2"/>
  <c r="EX249" i="2"/>
  <c r="EX189" i="2"/>
  <c r="EX175" i="2"/>
  <c r="EX159" i="2"/>
  <c r="EX149" i="2"/>
  <c r="EX139" i="2"/>
  <c r="EX116" i="2"/>
  <c r="EX98" i="2"/>
  <c r="EX81" i="2"/>
  <c r="EX73" i="2"/>
  <c r="EX52" i="2"/>
  <c r="EX26" i="2"/>
  <c r="G90" i="15" l="1"/>
  <c r="E21" i="16"/>
  <c r="G67" i="15"/>
  <c r="G931" i="5"/>
  <c r="G75" i="15"/>
  <c r="E23" i="16"/>
  <c r="G78" i="15"/>
  <c r="E25" i="16"/>
  <c r="E34" i="16"/>
  <c r="G83" i="15"/>
  <c r="G85" i="15"/>
  <c r="E19" i="16"/>
  <c r="G79" i="15"/>
  <c r="E32" i="16"/>
  <c r="E33" i="16"/>
  <c r="G82" i="15"/>
  <c r="G88" i="15"/>
  <c r="E16" i="16"/>
  <c r="G65" i="15"/>
  <c r="H65" i="15" s="1"/>
  <c r="G60" i="15"/>
  <c r="E7" i="16"/>
  <c r="G93" i="15"/>
  <c r="E29" i="16"/>
  <c r="G81" i="15"/>
  <c r="G74" i="15"/>
  <c r="E27" i="16"/>
  <c r="E36" i="16"/>
  <c r="G77" i="15"/>
  <c r="E24" i="16"/>
  <c r="H61" i="15"/>
  <c r="N61" i="15" s="1"/>
  <c r="E8" i="16"/>
  <c r="ER361" i="2"/>
  <c r="E42" i="16" s="1"/>
  <c r="G94" i="15"/>
  <c r="DW361" i="2"/>
  <c r="G33" i="15" s="1"/>
  <c r="H33" i="15" s="1"/>
  <c r="DV361" i="2"/>
  <c r="G34" i="15" s="1"/>
  <c r="H34" i="15" s="1"/>
  <c r="CW507" i="29"/>
  <c r="AB510" i="29"/>
  <c r="AB511" i="29" s="1"/>
  <c r="BV510" i="29"/>
  <c r="EQ361" i="2"/>
  <c r="DA507" i="29"/>
  <c r="G86" i="15" s="1"/>
  <c r="EA361" i="2"/>
  <c r="E12" i="16" s="1"/>
  <c r="EX361" i="2"/>
  <c r="EN361" i="2"/>
  <c r="G87" i="15" l="1"/>
  <c r="E15" i="16"/>
  <c r="E18" i="16"/>
  <c r="H2138" i="8"/>
  <c r="H2153" i="8"/>
  <c r="H2147" i="8" l="1"/>
  <c r="H2146" i="8"/>
  <c r="R21" i="15"/>
  <c r="C2146" i="8" l="1"/>
  <c r="M2146" i="8"/>
  <c r="N2146" i="8"/>
  <c r="C18" i="20"/>
  <c r="AE336" i="13" l="1"/>
  <c r="AD333" i="13"/>
  <c r="AD332" i="13"/>
  <c r="K14" i="7" l="1"/>
  <c r="E196" i="11" l="1"/>
  <c r="H840" i="5" l="1"/>
  <c r="F840" i="5"/>
  <c r="E840" i="5"/>
  <c r="D840" i="5"/>
  <c r="CG325" i="2" l="1"/>
  <c r="CF320" i="2"/>
  <c r="CF310" i="2"/>
  <c r="CG295" i="2"/>
  <c r="CF295" i="2"/>
  <c r="CF254" i="2"/>
  <c r="CF249" i="2"/>
  <c r="CF175" i="2"/>
  <c r="CF149" i="2"/>
  <c r="CG139" i="2"/>
  <c r="CF116" i="2"/>
  <c r="CF73" i="2"/>
  <c r="CG73" i="2"/>
  <c r="CG359" i="2"/>
  <c r="CG283" i="2"/>
  <c r="CG159" i="2"/>
  <c r="CG98" i="2"/>
  <c r="CF359" i="2"/>
  <c r="CF26" i="2"/>
  <c r="CG189" i="2" l="1"/>
  <c r="CF81" i="2"/>
  <c r="CF98" i="2"/>
  <c r="CF189" i="2"/>
  <c r="CG315" i="2"/>
  <c r="CG175" i="2"/>
  <c r="CG249" i="2"/>
  <c r="CG320" i="2"/>
  <c r="CF139" i="2"/>
  <c r="CG279" i="2"/>
  <c r="CG310" i="2"/>
  <c r="CF325" i="2"/>
  <c r="CF315" i="2"/>
  <c r="CF283" i="2"/>
  <c r="CF279" i="2"/>
  <c r="CG254" i="2"/>
  <c r="CF159" i="2"/>
  <c r="CG149" i="2"/>
  <c r="CG116" i="2"/>
  <c r="CG81" i="2"/>
  <c r="CF52" i="2"/>
  <c r="CG52" i="2"/>
  <c r="CG26" i="2"/>
  <c r="CF361" i="2" l="1"/>
  <c r="CG361" i="2"/>
  <c r="H846" i="5" l="1"/>
  <c r="F846" i="5"/>
  <c r="E846" i="5"/>
  <c r="D846" i="5"/>
  <c r="G569" i="1"/>
  <c r="M846" i="5" s="1"/>
  <c r="F569" i="1"/>
  <c r="K846" i="5" s="1"/>
  <c r="S842" i="5" l="1"/>
  <c r="R842" i="5"/>
  <c r="Q842" i="5"/>
  <c r="P842" i="5"/>
  <c r="O842" i="5"/>
  <c r="H842" i="5"/>
  <c r="N842" i="5" s="1"/>
  <c r="F842" i="5"/>
  <c r="E842" i="5"/>
  <c r="D842" i="5"/>
  <c r="C842" i="5"/>
  <c r="G642" i="1"/>
  <c r="F642" i="1"/>
  <c r="R294" i="5" l="1"/>
  <c r="P294" i="5"/>
  <c r="O294" i="5"/>
  <c r="H294" i="5"/>
  <c r="N294" i="5" s="1"/>
  <c r="F294" i="5"/>
  <c r="E294" i="5"/>
  <c r="D294" i="5"/>
  <c r="R305" i="5"/>
  <c r="P305" i="5"/>
  <c r="O305" i="5"/>
  <c r="H305" i="5"/>
  <c r="N305" i="5" s="1"/>
  <c r="F305" i="5"/>
  <c r="E305" i="5"/>
  <c r="D305" i="5"/>
  <c r="R316" i="5"/>
  <c r="P316" i="5"/>
  <c r="O316" i="5"/>
  <c r="H316" i="5"/>
  <c r="N316" i="5" s="1"/>
  <c r="F316" i="5"/>
  <c r="E316" i="5"/>
  <c r="D316" i="5"/>
  <c r="S93" i="15" l="1"/>
  <c r="S90" i="15" l="1"/>
  <c r="S89" i="15"/>
  <c r="S245" i="13" l="1"/>
  <c r="S233" i="13"/>
  <c r="S209" i="13"/>
  <c r="S197" i="13"/>
  <c r="S139" i="13"/>
  <c r="S94" i="13"/>
  <c r="S10" i="13"/>
  <c r="C338" i="5" l="1"/>
  <c r="F337" i="5"/>
  <c r="E337" i="5"/>
  <c r="D337" i="5"/>
  <c r="G336" i="5"/>
  <c r="F336" i="5"/>
  <c r="E336" i="5"/>
  <c r="D336" i="5"/>
  <c r="F328" i="5"/>
  <c r="E328" i="5"/>
  <c r="D328" i="5"/>
  <c r="G327" i="5"/>
  <c r="F327" i="5"/>
  <c r="E327" i="5"/>
  <c r="D327" i="5"/>
  <c r="F318" i="5"/>
  <c r="E318" i="5"/>
  <c r="D318" i="5"/>
  <c r="F317" i="5"/>
  <c r="E317" i="5"/>
  <c r="D317" i="5"/>
  <c r="F307" i="5"/>
  <c r="E307" i="5"/>
  <c r="D307" i="5"/>
  <c r="F306" i="5"/>
  <c r="E306" i="5"/>
  <c r="D306" i="5"/>
  <c r="G296" i="5"/>
  <c r="F296" i="5"/>
  <c r="E296" i="5"/>
  <c r="D296" i="5"/>
  <c r="F295" i="5"/>
  <c r="E295" i="5"/>
  <c r="D295" i="5"/>
  <c r="O336" i="5" l="1"/>
  <c r="S336" i="5"/>
  <c r="Q336" i="5"/>
  <c r="G337" i="5"/>
  <c r="N336" i="5"/>
  <c r="O327" i="5"/>
  <c r="S327" i="5"/>
  <c r="Q327" i="5"/>
  <c r="G328" i="5"/>
  <c r="N327" i="5"/>
  <c r="O317" i="5"/>
  <c r="S317" i="5"/>
  <c r="Q317" i="5"/>
  <c r="G318" i="5"/>
  <c r="N317" i="5"/>
  <c r="Q306" i="5"/>
  <c r="G307" i="5"/>
  <c r="O306" i="5"/>
  <c r="S306" i="5"/>
  <c r="N306" i="5"/>
  <c r="S296" i="5"/>
  <c r="O296" i="5"/>
  <c r="N296" i="5"/>
  <c r="N295" i="5"/>
  <c r="O295" i="5"/>
  <c r="Q295" i="5"/>
  <c r="S295" i="5"/>
  <c r="Q296" i="5"/>
  <c r="S337" i="5" l="1"/>
  <c r="O337" i="5"/>
  <c r="Q337" i="5"/>
  <c r="N337" i="5"/>
  <c r="S328" i="5"/>
  <c r="O328" i="5"/>
  <c r="N328" i="5"/>
  <c r="Q328" i="5"/>
  <c r="S318" i="5"/>
  <c r="O318" i="5"/>
  <c r="N318" i="5"/>
  <c r="Q318" i="5"/>
  <c r="S307" i="5"/>
  <c r="O307" i="5"/>
  <c r="N307" i="5"/>
  <c r="Q307" i="5"/>
  <c r="H812" i="5" l="1"/>
  <c r="H839" i="5" l="1"/>
  <c r="F839" i="5"/>
  <c r="E839" i="5"/>
  <c r="D839" i="5"/>
  <c r="V17" i="15" l="1"/>
  <c r="FC359" i="2"/>
  <c r="FC325" i="2"/>
  <c r="FC320" i="2"/>
  <c r="FC315" i="2"/>
  <c r="FC310" i="2"/>
  <c r="FC295" i="2"/>
  <c r="FC283" i="2"/>
  <c r="FC279" i="2"/>
  <c r="FC254" i="2"/>
  <c r="FC249" i="2"/>
  <c r="FC189" i="2"/>
  <c r="FC175" i="2"/>
  <c r="FC159" i="2"/>
  <c r="FC149" i="2"/>
  <c r="FC139" i="2"/>
  <c r="FC116" i="2"/>
  <c r="FC98" i="2"/>
  <c r="FC81" i="2"/>
  <c r="FC73" i="2"/>
  <c r="FC52" i="2"/>
  <c r="FC26" i="2"/>
  <c r="FD359" i="2"/>
  <c r="FD325" i="2"/>
  <c r="FD320" i="2"/>
  <c r="FD315" i="2"/>
  <c r="FD310" i="2"/>
  <c r="FD295" i="2"/>
  <c r="FD283" i="2"/>
  <c r="FD279" i="2"/>
  <c r="FD254" i="2"/>
  <c r="FD249" i="2"/>
  <c r="FD189" i="2"/>
  <c r="FD175" i="2"/>
  <c r="FD159" i="2"/>
  <c r="FD149" i="2"/>
  <c r="FD139" i="2"/>
  <c r="FD116" i="2"/>
  <c r="FD98" i="2"/>
  <c r="FD81" i="2"/>
  <c r="FD73" i="2"/>
  <c r="FD52" i="2"/>
  <c r="FD26" i="2"/>
  <c r="EG359" i="2"/>
  <c r="EG325" i="2"/>
  <c r="EG320" i="2"/>
  <c r="EG315" i="2"/>
  <c r="EG310" i="2"/>
  <c r="EG295" i="2"/>
  <c r="EG283" i="2"/>
  <c r="EG279" i="2"/>
  <c r="EG254" i="2"/>
  <c r="EG249" i="2"/>
  <c r="EG189" i="2"/>
  <c r="EG175" i="2"/>
  <c r="EG159" i="2"/>
  <c r="EG149" i="2"/>
  <c r="EG139" i="2"/>
  <c r="EG116" i="2"/>
  <c r="EG98" i="2"/>
  <c r="EG81" i="2"/>
  <c r="EG73" i="2"/>
  <c r="EG52" i="2"/>
  <c r="EG26" i="2"/>
  <c r="FC361" i="2" l="1"/>
  <c r="G17" i="15" s="1"/>
  <c r="H17" i="15" s="1"/>
  <c r="FD361" i="2"/>
  <c r="H22" i="15" s="1"/>
  <c r="EG361" i="2"/>
  <c r="H2" i="8"/>
  <c r="H3" i="8"/>
  <c r="G156" i="1" l="1"/>
  <c r="M840" i="5" s="1"/>
  <c r="F156" i="1"/>
  <c r="K840" i="5" s="1"/>
  <c r="G155" i="1"/>
  <c r="M839" i="5" s="1"/>
  <c r="F155" i="1"/>
  <c r="K839" i="5" s="1"/>
  <c r="Y10" i="25" l="1"/>
  <c r="G302" i="1" l="1"/>
  <c r="E49" i="16" l="1"/>
  <c r="G50" i="16" l="1"/>
  <c r="G47" i="16"/>
  <c r="C20" i="16"/>
  <c r="C61" i="16"/>
  <c r="C60" i="16"/>
  <c r="C59" i="16"/>
  <c r="C58" i="16"/>
  <c r="C57" i="16"/>
  <c r="C56" i="16"/>
  <c r="C55" i="16"/>
  <c r="C54" i="16"/>
  <c r="E72" i="16"/>
  <c r="G72" i="16" s="1"/>
  <c r="E71" i="16"/>
  <c r="G71" i="16" s="1"/>
  <c r="G70" i="16"/>
  <c r="G69" i="16"/>
  <c r="G68" i="16"/>
  <c r="G67" i="16"/>
  <c r="G66" i="16"/>
  <c r="G65" i="16"/>
  <c r="G64" i="16"/>
  <c r="G63" i="16"/>
  <c r="G62" i="16"/>
  <c r="G56" i="16"/>
  <c r="G55" i="16"/>
  <c r="G54" i="16"/>
  <c r="C53" i="16"/>
  <c r="C52" i="16"/>
  <c r="C51" i="16"/>
  <c r="C50" i="16"/>
  <c r="C49" i="16"/>
  <c r="C48" i="16"/>
  <c r="C47" i="16"/>
  <c r="C46" i="16"/>
  <c r="C45" i="16"/>
  <c r="C44" i="16"/>
  <c r="C42" i="16"/>
  <c r="C41" i="16"/>
  <c r="C40" i="16"/>
  <c r="C39" i="16"/>
  <c r="C38" i="16"/>
  <c r="C37" i="16"/>
  <c r="C36" i="16"/>
  <c r="C35" i="16"/>
  <c r="C34" i="16"/>
  <c r="C33" i="16"/>
  <c r="G53" i="16"/>
  <c r="G52" i="16"/>
  <c r="G51" i="16"/>
  <c r="G49" i="16"/>
  <c r="G48" i="16"/>
  <c r="G46" i="16"/>
  <c r="G44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19" i="16"/>
  <c r="C18" i="16"/>
  <c r="C17" i="16"/>
  <c r="C16" i="16"/>
  <c r="C15" i="16"/>
  <c r="C14" i="16"/>
  <c r="H927" i="5" l="1"/>
  <c r="F927" i="5"/>
  <c r="E927" i="5"/>
  <c r="D927" i="5"/>
  <c r="H926" i="5"/>
  <c r="F926" i="5"/>
  <c r="E926" i="5"/>
  <c r="D926" i="5"/>
  <c r="G617" i="1"/>
  <c r="M926" i="5" s="1"/>
  <c r="G619" i="1"/>
  <c r="H931" i="5" l="1"/>
  <c r="F931" i="5"/>
  <c r="E931" i="5"/>
  <c r="D931" i="5"/>
  <c r="G620" i="1"/>
  <c r="M931" i="5" s="1"/>
  <c r="F620" i="1"/>
  <c r="K931" i="5" s="1"/>
  <c r="G618" i="1"/>
  <c r="H930" i="5"/>
  <c r="F930" i="5"/>
  <c r="E930" i="5"/>
  <c r="D930" i="5"/>
  <c r="F1919" i="8"/>
  <c r="F1918" i="8"/>
  <c r="G1919" i="8"/>
  <c r="E1919" i="8"/>
  <c r="G1918" i="8"/>
  <c r="E1918" i="8"/>
  <c r="G1759" i="8"/>
  <c r="F1759" i="8"/>
  <c r="E1759" i="8"/>
  <c r="F1758" i="8"/>
  <c r="G1758" i="8"/>
  <c r="E1758" i="8"/>
  <c r="C2273" i="8"/>
  <c r="C2274" i="8"/>
  <c r="H2281" i="8"/>
  <c r="C2281" i="8" s="1"/>
  <c r="F2211" i="8"/>
  <c r="G2216" i="8"/>
  <c r="F2216" i="8"/>
  <c r="E2216" i="8"/>
  <c r="N2192" i="8"/>
  <c r="N2191" i="8"/>
  <c r="G2192" i="8"/>
  <c r="F2192" i="8"/>
  <c r="E2192" i="8"/>
  <c r="G2191" i="8"/>
  <c r="F2191" i="8"/>
  <c r="E2191" i="8"/>
  <c r="I2283" i="8"/>
  <c r="G2283" i="8"/>
  <c r="F2283" i="8"/>
  <c r="E2283" i="8"/>
  <c r="H2282" i="8"/>
  <c r="I2281" i="8"/>
  <c r="G2281" i="8"/>
  <c r="F2281" i="8"/>
  <c r="E2281" i="8"/>
  <c r="I2268" i="8"/>
  <c r="G2268" i="8"/>
  <c r="F2268" i="8"/>
  <c r="E2268" i="8"/>
  <c r="C2268" i="8"/>
  <c r="N2276" i="8"/>
  <c r="I2276" i="8"/>
  <c r="M2276" i="8" s="1"/>
  <c r="G2276" i="8"/>
  <c r="F2276" i="8"/>
  <c r="E2276" i="8"/>
  <c r="C2276" i="8"/>
  <c r="N2275" i="8"/>
  <c r="I2275" i="8"/>
  <c r="M2275" i="8" s="1"/>
  <c r="G2275" i="8"/>
  <c r="F2275" i="8"/>
  <c r="E2275" i="8"/>
  <c r="C2275" i="8"/>
  <c r="I2274" i="8"/>
  <c r="G2274" i="8"/>
  <c r="F2274" i="8"/>
  <c r="E2274" i="8"/>
  <c r="N2273" i="8"/>
  <c r="I2273" i="8"/>
  <c r="G2273" i="8"/>
  <c r="F2273" i="8"/>
  <c r="E2273" i="8"/>
  <c r="C2264" i="8"/>
  <c r="I2264" i="8"/>
  <c r="G2264" i="8"/>
  <c r="F2264" i="8"/>
  <c r="E2264" i="8"/>
  <c r="I2259" i="8"/>
  <c r="G2259" i="8"/>
  <c r="F2259" i="8"/>
  <c r="E2259" i="8"/>
  <c r="C2259" i="8"/>
  <c r="N2256" i="8"/>
  <c r="P2256" i="8"/>
  <c r="O2256" i="8"/>
  <c r="I2256" i="8"/>
  <c r="M2256" i="8" s="1"/>
  <c r="G2256" i="8"/>
  <c r="F2256" i="8"/>
  <c r="C2256" i="8"/>
  <c r="I2253" i="8"/>
  <c r="I2254" i="8"/>
  <c r="H2284" i="8"/>
  <c r="I2255" i="8"/>
  <c r="M2255" i="8" s="1"/>
  <c r="N2255" i="8"/>
  <c r="G2255" i="8"/>
  <c r="F2255" i="8"/>
  <c r="E2255" i="8"/>
  <c r="C2255" i="8"/>
  <c r="G2249" i="8"/>
  <c r="F2249" i="8"/>
  <c r="E2249" i="8"/>
  <c r="I2179" i="8"/>
  <c r="M2179" i="8" s="1"/>
  <c r="G2179" i="8"/>
  <c r="F2179" i="8"/>
  <c r="E2179" i="8"/>
  <c r="C2179" i="8"/>
  <c r="H2283" i="8" l="1"/>
  <c r="C2283" i="8" s="1"/>
  <c r="C2192" i="8"/>
  <c r="M2249" i="8"/>
  <c r="C2216" i="8"/>
  <c r="N2274" i="8"/>
  <c r="M2273" i="8"/>
  <c r="M2274" i="8"/>
  <c r="M2192" i="8"/>
  <c r="M2191" i="8"/>
  <c r="C2191" i="8"/>
  <c r="M2281" i="8"/>
  <c r="N2281" i="8"/>
  <c r="M2268" i="8"/>
  <c r="N2268" i="8"/>
  <c r="M2264" i="8"/>
  <c r="N2264" i="8"/>
  <c r="M2259" i="8"/>
  <c r="N2259" i="8"/>
  <c r="C2249" i="8"/>
  <c r="N2249" i="8"/>
  <c r="N2179" i="8"/>
  <c r="M2283" i="8" l="1"/>
  <c r="N2283" i="8"/>
  <c r="M2216" i="8"/>
  <c r="N2216" i="8"/>
  <c r="G575" i="5" l="1"/>
  <c r="G586" i="5"/>
  <c r="G595" i="5"/>
  <c r="G606" i="5"/>
  <c r="G615" i="5"/>
  <c r="G566" i="5"/>
  <c r="F2174" i="8" l="1"/>
  <c r="F2173" i="8"/>
  <c r="F2012" i="8"/>
  <c r="F2011" i="8"/>
  <c r="F1905" i="8"/>
  <c r="F1904" i="8"/>
  <c r="F1733" i="8"/>
  <c r="F1732" i="8"/>
  <c r="F1484" i="8"/>
  <c r="F1483" i="8"/>
  <c r="F1385" i="8"/>
  <c r="F1384" i="8"/>
  <c r="F1013" i="8"/>
  <c r="F1012" i="8"/>
  <c r="F585" i="8"/>
  <c r="F584" i="8"/>
  <c r="G216" i="5"/>
  <c r="G22" i="5"/>
  <c r="G10" i="5" l="1"/>
  <c r="A3" i="12"/>
  <c r="G532" i="1" l="1"/>
  <c r="G98" i="5" l="1"/>
  <c r="G96" i="5"/>
  <c r="F845" i="5" l="1"/>
  <c r="E845" i="5"/>
  <c r="D845" i="5"/>
  <c r="H844" i="5"/>
  <c r="F844" i="5"/>
  <c r="E844" i="5"/>
  <c r="D844" i="5"/>
  <c r="B185" i="11"/>
  <c r="B184" i="11"/>
  <c r="B188" i="11"/>
  <c r="B187" i="11"/>
  <c r="B189" i="11"/>
  <c r="B190" i="11"/>
  <c r="B318" i="23"/>
  <c r="B324" i="23" s="1"/>
  <c r="B304" i="23"/>
  <c r="B310" i="23" s="1"/>
  <c r="B290" i="23"/>
  <c r="B294" i="23" s="1"/>
  <c r="B276" i="23"/>
  <c r="B282" i="23" s="1"/>
  <c r="B248" i="23"/>
  <c r="B250" i="23" s="1"/>
  <c r="B234" i="23"/>
  <c r="B317" i="23"/>
  <c r="B315" i="23"/>
  <c r="B313" i="23"/>
  <c r="B303" i="23"/>
  <c r="B301" i="23"/>
  <c r="B299" i="23"/>
  <c r="A297" i="23" s="1"/>
  <c r="B289" i="23"/>
  <c r="B287" i="23"/>
  <c r="B285" i="23"/>
  <c r="B275" i="23"/>
  <c r="B273" i="23"/>
  <c r="B271" i="23"/>
  <c r="A269" i="23" s="1"/>
  <c r="B247" i="23"/>
  <c r="B245" i="23"/>
  <c r="B243" i="23"/>
  <c r="A241" i="23" s="1"/>
  <c r="B233" i="23"/>
  <c r="B231" i="23"/>
  <c r="B229" i="23"/>
  <c r="B167" i="11"/>
  <c r="B313" i="14"/>
  <c r="I309" i="14"/>
  <c r="B309" i="14"/>
  <c r="I307" i="14"/>
  <c r="B307" i="14"/>
  <c r="I305" i="14"/>
  <c r="B305" i="14"/>
  <c r="F253" i="13"/>
  <c r="H1987" i="8"/>
  <c r="G1987" i="8"/>
  <c r="F1987" i="8"/>
  <c r="E1987" i="8"/>
  <c r="M2252" i="8"/>
  <c r="G2252" i="8"/>
  <c r="F2252" i="8"/>
  <c r="E2252" i="8"/>
  <c r="M2262" i="8"/>
  <c r="G2262" i="8"/>
  <c r="F2262" i="8"/>
  <c r="E2262" i="8"/>
  <c r="C2262" i="8"/>
  <c r="C2251" i="8"/>
  <c r="N2250" i="8"/>
  <c r="M2251" i="8"/>
  <c r="G2251" i="8"/>
  <c r="F2251" i="8"/>
  <c r="E2251" i="8"/>
  <c r="G2250" i="8"/>
  <c r="F2250" i="8"/>
  <c r="E2250" i="8"/>
  <c r="C2250" i="8"/>
  <c r="N2194" i="8"/>
  <c r="M2194" i="8"/>
  <c r="G2194" i="8"/>
  <c r="F2194" i="8"/>
  <c r="E2194" i="8"/>
  <c r="C2194" i="8"/>
  <c r="F2193" i="8"/>
  <c r="F2202" i="8"/>
  <c r="M2202" i="8"/>
  <c r="G2202" i="8"/>
  <c r="E2202" i="8"/>
  <c r="N2196" i="8"/>
  <c r="I2196" i="8"/>
  <c r="M2196" i="8" s="1"/>
  <c r="G2196" i="8"/>
  <c r="F2196" i="8"/>
  <c r="E2196" i="8"/>
  <c r="C2196" i="8"/>
  <c r="F2128" i="8"/>
  <c r="F2127" i="8"/>
  <c r="F2126" i="8"/>
  <c r="F2124" i="8"/>
  <c r="F2093" i="8"/>
  <c r="H2072" i="8"/>
  <c r="F1952" i="8"/>
  <c r="F1945" i="8"/>
  <c r="N1945" i="8"/>
  <c r="M1945" i="8"/>
  <c r="G1945" i="8"/>
  <c r="E1945" i="8"/>
  <c r="C1945" i="8"/>
  <c r="F1944" i="8"/>
  <c r="N1944" i="8"/>
  <c r="M1944" i="8"/>
  <c r="G1944" i="8"/>
  <c r="E1944" i="8"/>
  <c r="C1944" i="8"/>
  <c r="M1807" i="8"/>
  <c r="G1807" i="8"/>
  <c r="F1807" i="8"/>
  <c r="E1807" i="8"/>
  <c r="F1806" i="8"/>
  <c r="G1806" i="8"/>
  <c r="E1806" i="8"/>
  <c r="M1567" i="8"/>
  <c r="C1566" i="8"/>
  <c r="C1561" i="8"/>
  <c r="N1560" i="8"/>
  <c r="I1578" i="8"/>
  <c r="G1578" i="8"/>
  <c r="F1578" i="8"/>
  <c r="E1578" i="8"/>
  <c r="I1577" i="8"/>
  <c r="G1577" i="8"/>
  <c r="F1577" i="8"/>
  <c r="E1577" i="8"/>
  <c r="N1576" i="8"/>
  <c r="I1576" i="8"/>
  <c r="M1576" i="8" s="1"/>
  <c r="G1576" i="8"/>
  <c r="F1576" i="8"/>
  <c r="E1576" i="8"/>
  <c r="C1576" i="8"/>
  <c r="I1575" i="8"/>
  <c r="G1575" i="8"/>
  <c r="F1575" i="8"/>
  <c r="E1575" i="8"/>
  <c r="C1575" i="8"/>
  <c r="N1574" i="8"/>
  <c r="I1574" i="8"/>
  <c r="M1574" i="8" s="1"/>
  <c r="G1574" i="8"/>
  <c r="F1574" i="8"/>
  <c r="E1574" i="8"/>
  <c r="C1574" i="8"/>
  <c r="N1573" i="8"/>
  <c r="I1573" i="8"/>
  <c r="M1573" i="8" s="1"/>
  <c r="G1573" i="8"/>
  <c r="F1573" i="8"/>
  <c r="E1573" i="8"/>
  <c r="C1573" i="8"/>
  <c r="N1572" i="8"/>
  <c r="I1572" i="8"/>
  <c r="M1572" i="8" s="1"/>
  <c r="G1572" i="8"/>
  <c r="F1572" i="8"/>
  <c r="E1572" i="8"/>
  <c r="C1572" i="8"/>
  <c r="N1571" i="8"/>
  <c r="I1571" i="8"/>
  <c r="M1571" i="8" s="1"/>
  <c r="G1571" i="8"/>
  <c r="F1571" i="8"/>
  <c r="E1571" i="8"/>
  <c r="C1571" i="8"/>
  <c r="O1570" i="8"/>
  <c r="N1570" i="8"/>
  <c r="I1570" i="8"/>
  <c r="M1570" i="8" s="1"/>
  <c r="G1570" i="8"/>
  <c r="F1570" i="8"/>
  <c r="C1570" i="8"/>
  <c r="O1569" i="8"/>
  <c r="N1569" i="8"/>
  <c r="I1569" i="8"/>
  <c r="M1569" i="8" s="1"/>
  <c r="G1569" i="8"/>
  <c r="F1569" i="8"/>
  <c r="C1569" i="8"/>
  <c r="O1568" i="8"/>
  <c r="N1568" i="8"/>
  <c r="I1568" i="8"/>
  <c r="M1568" i="8" s="1"/>
  <c r="G1568" i="8"/>
  <c r="F1568" i="8"/>
  <c r="C1568" i="8"/>
  <c r="G1567" i="8"/>
  <c r="F1567" i="8"/>
  <c r="E1567" i="8"/>
  <c r="I1566" i="8"/>
  <c r="G1566" i="8"/>
  <c r="F1566" i="8"/>
  <c r="E1566" i="8"/>
  <c r="I1565" i="8"/>
  <c r="G1565" i="8"/>
  <c r="F1565" i="8"/>
  <c r="E1565" i="8"/>
  <c r="C1565" i="8"/>
  <c r="I1564" i="8"/>
  <c r="G1564" i="8"/>
  <c r="F1564" i="8"/>
  <c r="E1564" i="8"/>
  <c r="C1564" i="8"/>
  <c r="N1563" i="8"/>
  <c r="P1563" i="8"/>
  <c r="O1563" i="8"/>
  <c r="I1563" i="8"/>
  <c r="M1563" i="8" s="1"/>
  <c r="G1563" i="8"/>
  <c r="F1563" i="8"/>
  <c r="C1563" i="8"/>
  <c r="N1562" i="8"/>
  <c r="P1562" i="8"/>
  <c r="O1562" i="8"/>
  <c r="I1562" i="8"/>
  <c r="M1562" i="8" s="1"/>
  <c r="G1562" i="8"/>
  <c r="F1562" i="8"/>
  <c r="C1562" i="8"/>
  <c r="I1561" i="8"/>
  <c r="G1561" i="8"/>
  <c r="F1561" i="8"/>
  <c r="E1561" i="8"/>
  <c r="I1560" i="8"/>
  <c r="G1560" i="8"/>
  <c r="F1560" i="8"/>
  <c r="E1560" i="8"/>
  <c r="F1543" i="8"/>
  <c r="C1558" i="8"/>
  <c r="I1542" i="8"/>
  <c r="M1542" i="8" s="1"/>
  <c r="N1542" i="8"/>
  <c r="G1542" i="8"/>
  <c r="F1542" i="8"/>
  <c r="E1542" i="8"/>
  <c r="C1542" i="8"/>
  <c r="F1546" i="8"/>
  <c r="G1546" i="8"/>
  <c r="E1546" i="8"/>
  <c r="G1543" i="8"/>
  <c r="E1543" i="8"/>
  <c r="I1558" i="8"/>
  <c r="G1558" i="8"/>
  <c r="F1558" i="8"/>
  <c r="E1558" i="8"/>
  <c r="F1554" i="8"/>
  <c r="N1528" i="8"/>
  <c r="C1525" i="8"/>
  <c r="N1522" i="8"/>
  <c r="G1538" i="8"/>
  <c r="F1538" i="8"/>
  <c r="E1538" i="8"/>
  <c r="I1537" i="8"/>
  <c r="G1537" i="8"/>
  <c r="F1537" i="8"/>
  <c r="E1537" i="8"/>
  <c r="I1536" i="8"/>
  <c r="G1536" i="8"/>
  <c r="F1536" i="8"/>
  <c r="E1536" i="8"/>
  <c r="N1535" i="8"/>
  <c r="I1535" i="8"/>
  <c r="M1535" i="8" s="1"/>
  <c r="G1535" i="8"/>
  <c r="F1535" i="8"/>
  <c r="E1535" i="8"/>
  <c r="C1535" i="8"/>
  <c r="N1534" i="8"/>
  <c r="I1534" i="8"/>
  <c r="M1534" i="8" s="1"/>
  <c r="G1534" i="8"/>
  <c r="F1534" i="8"/>
  <c r="E1534" i="8"/>
  <c r="C1534" i="8"/>
  <c r="N1533" i="8"/>
  <c r="I1533" i="8"/>
  <c r="M1533" i="8" s="1"/>
  <c r="G1533" i="8"/>
  <c r="F1533" i="8"/>
  <c r="E1533" i="8"/>
  <c r="C1533" i="8"/>
  <c r="N1532" i="8"/>
  <c r="I1532" i="8"/>
  <c r="M1532" i="8" s="1"/>
  <c r="G1532" i="8"/>
  <c r="F1532" i="8"/>
  <c r="E1532" i="8"/>
  <c r="C1532" i="8"/>
  <c r="O1531" i="8"/>
  <c r="N1531" i="8"/>
  <c r="I1531" i="8"/>
  <c r="M1531" i="8" s="1"/>
  <c r="G1531" i="8"/>
  <c r="F1531" i="8"/>
  <c r="E1531" i="8"/>
  <c r="C1531" i="8"/>
  <c r="O1530" i="8"/>
  <c r="N1530" i="8"/>
  <c r="I1530" i="8"/>
  <c r="M1530" i="8" s="1"/>
  <c r="G1530" i="8"/>
  <c r="F1530" i="8"/>
  <c r="E1530" i="8"/>
  <c r="C1530" i="8"/>
  <c r="O1529" i="8"/>
  <c r="N1529" i="8"/>
  <c r="I1529" i="8"/>
  <c r="M1529" i="8" s="1"/>
  <c r="G1529" i="8"/>
  <c r="F1529" i="8"/>
  <c r="E1529" i="8"/>
  <c r="C1529" i="8"/>
  <c r="I1528" i="8"/>
  <c r="G1528" i="8"/>
  <c r="F1528" i="8"/>
  <c r="E1528" i="8"/>
  <c r="I1527" i="8"/>
  <c r="G1527" i="8"/>
  <c r="F1527" i="8"/>
  <c r="E1527" i="8"/>
  <c r="I1526" i="8"/>
  <c r="G1526" i="8"/>
  <c r="F1526" i="8"/>
  <c r="E1526" i="8"/>
  <c r="I1525" i="8"/>
  <c r="G1525" i="8"/>
  <c r="F1525" i="8"/>
  <c r="I1524" i="8"/>
  <c r="G1524" i="8"/>
  <c r="F1524" i="8"/>
  <c r="I1522" i="8"/>
  <c r="G1522" i="8"/>
  <c r="F1522" i="8"/>
  <c r="E1522" i="8"/>
  <c r="I1521" i="8"/>
  <c r="G1521" i="8"/>
  <c r="F1521" i="8"/>
  <c r="E1521" i="8"/>
  <c r="I1520" i="8"/>
  <c r="G1520" i="8"/>
  <c r="F1520" i="8"/>
  <c r="E1520" i="8"/>
  <c r="C1560" i="8" l="1"/>
  <c r="M1560" i="8"/>
  <c r="B278" i="23"/>
  <c r="A276" i="23" s="1"/>
  <c r="N1546" i="8"/>
  <c r="G45" i="16"/>
  <c r="A227" i="23"/>
  <c r="B236" i="23"/>
  <c r="A234" i="23" s="1"/>
  <c r="B254" i="23"/>
  <c r="B322" i="23"/>
  <c r="B240" i="23"/>
  <c r="B292" i="23"/>
  <c r="A290" i="23" s="1"/>
  <c r="B320" i="23"/>
  <c r="A248" i="23"/>
  <c r="B308" i="23"/>
  <c r="B238" i="23"/>
  <c r="B252" i="23"/>
  <c r="B280" i="23"/>
  <c r="B296" i="23"/>
  <c r="B306" i="23"/>
  <c r="A311" i="23"/>
  <c r="A283" i="23"/>
  <c r="C2252" i="8"/>
  <c r="N2202" i="8"/>
  <c r="N2252" i="8"/>
  <c r="N2262" i="8"/>
  <c r="N2251" i="8"/>
  <c r="M2250" i="8"/>
  <c r="C2202" i="8"/>
  <c r="N1561" i="8"/>
  <c r="N1566" i="8"/>
  <c r="M1577" i="8"/>
  <c r="C1807" i="8"/>
  <c r="C1578" i="8"/>
  <c r="M1561" i="8"/>
  <c r="M1566" i="8"/>
  <c r="N1807" i="8"/>
  <c r="C1567" i="8"/>
  <c r="N1521" i="8"/>
  <c r="M1565" i="8"/>
  <c r="N1565" i="8"/>
  <c r="M1564" i="8"/>
  <c r="M1575" i="8"/>
  <c r="N1564" i="8"/>
  <c r="N1567" i="8"/>
  <c r="N1575" i="8"/>
  <c r="C1546" i="8"/>
  <c r="M1546" i="8"/>
  <c r="M1558" i="8"/>
  <c r="N1558" i="8"/>
  <c r="O1524" i="8"/>
  <c r="P1524" i="8"/>
  <c r="O1525" i="8"/>
  <c r="C1521" i="8"/>
  <c r="M1521" i="8"/>
  <c r="C1522" i="8"/>
  <c r="M1522" i="8"/>
  <c r="M1538" i="8"/>
  <c r="C1538" i="8"/>
  <c r="N1520" i="8"/>
  <c r="C1520" i="8"/>
  <c r="N1527" i="8"/>
  <c r="M1528" i="8"/>
  <c r="C1528" i="8"/>
  <c r="P1525" i="8"/>
  <c r="N1525" i="8"/>
  <c r="M1525" i="8"/>
  <c r="M1526" i="8"/>
  <c r="C1526" i="8"/>
  <c r="N1524" i="8"/>
  <c r="C1524" i="8"/>
  <c r="M1524" i="8"/>
  <c r="M1520" i="8"/>
  <c r="N1526" i="8"/>
  <c r="C1537" i="8"/>
  <c r="N1537" i="8"/>
  <c r="M1537" i="8"/>
  <c r="N1538" i="8"/>
  <c r="N1577" i="8" l="1"/>
  <c r="A318" i="23"/>
  <c r="A304" i="23"/>
  <c r="N1578" i="8"/>
  <c r="C1577" i="8"/>
  <c r="C1559" i="8" s="1"/>
  <c r="M1578" i="8"/>
  <c r="M1527" i="8"/>
  <c r="C1527" i="8"/>
  <c r="M1536" i="8"/>
  <c r="N1536" i="8"/>
  <c r="C1536" i="8"/>
  <c r="C1519" i="8" l="1"/>
  <c r="F1511" i="8" l="1"/>
  <c r="F1510" i="8"/>
  <c r="F1509" i="8"/>
  <c r="F1547" i="8"/>
  <c r="F1515" i="8"/>
  <c r="B162" i="11" l="1"/>
  <c r="B163" i="11"/>
  <c r="B165" i="11"/>
  <c r="B166" i="11"/>
  <c r="B243" i="14"/>
  <c r="I239" i="14"/>
  <c r="B239" i="14"/>
  <c r="I237" i="14"/>
  <c r="B237" i="14"/>
  <c r="I235" i="14"/>
  <c r="B235" i="14"/>
  <c r="B257" i="14"/>
  <c r="I253" i="14"/>
  <c r="B253" i="14"/>
  <c r="I251" i="14"/>
  <c r="B251" i="14"/>
  <c r="I249" i="14"/>
  <c r="B249" i="14"/>
  <c r="B285" i="14"/>
  <c r="I281" i="14"/>
  <c r="B281" i="14"/>
  <c r="I279" i="14"/>
  <c r="B279" i="14"/>
  <c r="I277" i="14"/>
  <c r="B277" i="14"/>
  <c r="B299" i="14"/>
  <c r="I295" i="14"/>
  <c r="B295" i="14"/>
  <c r="I293" i="14"/>
  <c r="B293" i="14"/>
  <c r="I291" i="14"/>
  <c r="B291" i="14"/>
  <c r="F246" i="13"/>
  <c r="F245" i="13"/>
  <c r="F239" i="13"/>
  <c r="F234" i="13"/>
  <c r="F233" i="13"/>
  <c r="F226" i="13"/>
  <c r="F210" i="13"/>
  <c r="F209" i="13"/>
  <c r="F201" i="13"/>
  <c r="F198" i="13"/>
  <c r="F197" i="13"/>
  <c r="F1196" i="8"/>
  <c r="F1195" i="8"/>
  <c r="F2638" i="8"/>
  <c r="F2637" i="8"/>
  <c r="F2570" i="8"/>
  <c r="F2569" i="8"/>
  <c r="F2568" i="8"/>
  <c r="F2426" i="8"/>
  <c r="F2425" i="8"/>
  <c r="F2367" i="8"/>
  <c r="F2366" i="8"/>
  <c r="F2365" i="8"/>
  <c r="F1107" i="8"/>
  <c r="F1106" i="8"/>
  <c r="F899" i="8"/>
  <c r="F898" i="8"/>
  <c r="F787" i="8"/>
  <c r="F786" i="8"/>
  <c r="F751" i="8"/>
  <c r="F750" i="8"/>
  <c r="F749" i="8"/>
  <c r="F442" i="8"/>
  <c r="F441" i="8"/>
  <c r="F315" i="8"/>
  <c r="F314" i="8"/>
  <c r="F2278" i="8" l="1"/>
  <c r="F2044" i="8"/>
  <c r="C2035" i="8"/>
  <c r="H2024" i="8"/>
  <c r="I2035" i="8"/>
  <c r="G2035" i="8"/>
  <c r="F2035" i="8"/>
  <c r="E2035" i="8"/>
  <c r="I2032" i="8"/>
  <c r="G2032" i="8"/>
  <c r="F2032" i="8"/>
  <c r="R2030" i="8"/>
  <c r="R2028" i="8"/>
  <c r="R2027" i="8"/>
  <c r="R1450" i="8"/>
  <c r="H2013" i="8"/>
  <c r="F2016" i="8"/>
  <c r="I2015" i="8"/>
  <c r="G2015" i="8"/>
  <c r="F2015" i="8"/>
  <c r="E2015" i="8"/>
  <c r="H1992" i="8"/>
  <c r="R1451" i="8"/>
  <c r="F207" i="13"/>
  <c r="O2032" i="8" l="1"/>
  <c r="C2032" i="8"/>
  <c r="H2020" i="8"/>
  <c r="M2035" i="8"/>
  <c r="N2035" i="8"/>
  <c r="P2032" i="8"/>
  <c r="M2032" i="8"/>
  <c r="N2032" i="8"/>
  <c r="F1976" i="8" l="1"/>
  <c r="F1977" i="8"/>
  <c r="F1972" i="8"/>
  <c r="F1973" i="8"/>
  <c r="F1974" i="8"/>
  <c r="F1975" i="8"/>
  <c r="F1971" i="8"/>
  <c r="H1871" i="8"/>
  <c r="C1871" i="8" s="1"/>
  <c r="H1870" i="8"/>
  <c r="C1870" i="8" s="1"/>
  <c r="H1869" i="8"/>
  <c r="C1869" i="8" s="1"/>
  <c r="F1870" i="8"/>
  <c r="F1871" i="8"/>
  <c r="F1869" i="8"/>
  <c r="G1871" i="8"/>
  <c r="E1871" i="8"/>
  <c r="G1870" i="8"/>
  <c r="E1870" i="8"/>
  <c r="G1869" i="8"/>
  <c r="E1869" i="8"/>
  <c r="F1747" i="8"/>
  <c r="H1697" i="8"/>
  <c r="C1697" i="8" s="1"/>
  <c r="H1698" i="8"/>
  <c r="C1698" i="8" s="1"/>
  <c r="F1697" i="8"/>
  <c r="F1698" i="8"/>
  <c r="F1696" i="8"/>
  <c r="G1698" i="8"/>
  <c r="E1698" i="8"/>
  <c r="G1697" i="8"/>
  <c r="E1697" i="8"/>
  <c r="C1696" i="8"/>
  <c r="G1696" i="8"/>
  <c r="E1696" i="8"/>
  <c r="H1449" i="8"/>
  <c r="C1449" i="8" s="1"/>
  <c r="H1450" i="8"/>
  <c r="C1450" i="8" s="1"/>
  <c r="H1448" i="8"/>
  <c r="C1448" i="8" s="1"/>
  <c r="F1449" i="8"/>
  <c r="F1450" i="8"/>
  <c r="F1448" i="8"/>
  <c r="G1450" i="8"/>
  <c r="E1450" i="8"/>
  <c r="G1449" i="8"/>
  <c r="E1449" i="8"/>
  <c r="G1448" i="8"/>
  <c r="E1448" i="8"/>
  <c r="G486" i="1"/>
  <c r="H1351" i="8"/>
  <c r="M1351" i="8" s="1"/>
  <c r="H1350" i="8"/>
  <c r="C1350" i="8" s="1"/>
  <c r="H1349" i="8"/>
  <c r="C1349" i="8" s="1"/>
  <c r="F1351" i="8"/>
  <c r="F1350" i="8"/>
  <c r="F1349" i="8"/>
  <c r="G1351" i="8"/>
  <c r="E1351" i="8"/>
  <c r="G1350" i="8"/>
  <c r="E1350" i="8"/>
  <c r="G1349" i="8"/>
  <c r="E1349" i="8"/>
  <c r="F1488" i="8"/>
  <c r="C1488" i="8"/>
  <c r="G1488" i="8"/>
  <c r="E1488" i="8"/>
  <c r="N1870" i="8" l="1"/>
  <c r="M1349" i="8"/>
  <c r="M1869" i="8"/>
  <c r="M1871" i="8"/>
  <c r="M1870" i="8"/>
  <c r="N1349" i="8"/>
  <c r="N1869" i="8"/>
  <c r="N1871" i="8"/>
  <c r="N1697" i="8"/>
  <c r="M1697" i="8"/>
  <c r="M1696" i="8"/>
  <c r="M1698" i="8"/>
  <c r="N1696" i="8"/>
  <c r="N1698" i="8"/>
  <c r="M1449" i="8"/>
  <c r="N1449" i="8"/>
  <c r="M1448" i="8"/>
  <c r="M1450" i="8"/>
  <c r="N1448" i="8"/>
  <c r="N1450" i="8"/>
  <c r="C1351" i="8"/>
  <c r="N1351" i="8"/>
  <c r="N1350" i="8"/>
  <c r="M1350" i="8"/>
  <c r="M1488" i="8"/>
  <c r="N1488" i="8"/>
  <c r="L323" i="15" l="1"/>
  <c r="K323" i="15"/>
  <c r="N323" i="15" l="1"/>
  <c r="L283" i="15" l="1"/>
  <c r="K283" i="15"/>
  <c r="N283" i="15" l="1"/>
  <c r="H2128" i="8"/>
  <c r="H2127" i="8"/>
  <c r="F1963" i="8"/>
  <c r="I1957" i="8"/>
  <c r="G1957" i="8"/>
  <c r="F1957" i="8"/>
  <c r="E1957" i="8"/>
  <c r="F1936" i="8"/>
  <c r="F1829" i="8"/>
  <c r="F1776" i="8"/>
  <c r="I1823" i="8"/>
  <c r="G1823" i="8"/>
  <c r="F1823" i="8"/>
  <c r="E1823" i="8"/>
  <c r="F1771" i="8"/>
  <c r="F1770" i="8"/>
  <c r="F1769" i="8"/>
  <c r="F979" i="8"/>
  <c r="I979" i="8"/>
  <c r="G979" i="8"/>
  <c r="E979" i="8"/>
  <c r="F556" i="8"/>
  <c r="I556" i="8"/>
  <c r="G556" i="8"/>
  <c r="E556" i="8"/>
  <c r="F1435" i="8" l="1"/>
  <c r="F1408" i="8"/>
  <c r="F1407" i="8"/>
  <c r="F1406" i="8"/>
  <c r="F1427" i="8"/>
  <c r="F1428" i="8"/>
  <c r="F1405" i="8"/>
  <c r="F1413" i="8"/>
  <c r="F1065" i="8"/>
  <c r="F1042" i="8"/>
  <c r="I1060" i="8"/>
  <c r="G1060" i="8"/>
  <c r="F1060" i="8"/>
  <c r="E1060" i="8"/>
  <c r="I631" i="8"/>
  <c r="G631" i="8"/>
  <c r="F631" i="8"/>
  <c r="E631" i="8"/>
  <c r="C1001" i="8" l="1"/>
  <c r="G1001" i="8"/>
  <c r="F1001" i="8"/>
  <c r="E1001" i="8"/>
  <c r="F636" i="8"/>
  <c r="F613" i="8"/>
  <c r="F608" i="8"/>
  <c r="F607" i="8"/>
  <c r="F606" i="8"/>
  <c r="N1001" i="8" l="1"/>
  <c r="FU69" i="4"/>
  <c r="FU109" i="4"/>
  <c r="FU257" i="4"/>
  <c r="FU330" i="4"/>
  <c r="FU357" i="4"/>
  <c r="FU480" i="4"/>
  <c r="FU508" i="4"/>
  <c r="FU555" i="4"/>
  <c r="FU573" i="4"/>
  <c r="FU639" i="4"/>
  <c r="FU651" i="4"/>
  <c r="CJ669" i="4" l="1"/>
  <c r="CJ660" i="4"/>
  <c r="CJ655" i="4"/>
  <c r="CJ650" i="4"/>
  <c r="CJ638" i="4"/>
  <c r="CJ572" i="4"/>
  <c r="CJ554" i="4"/>
  <c r="CJ507" i="4"/>
  <c r="CJ479" i="4"/>
  <c r="CJ356" i="4"/>
  <c r="CJ329" i="4"/>
  <c r="CJ256" i="4"/>
  <c r="CJ108" i="4"/>
  <c r="CJ68" i="4"/>
  <c r="CK669" i="4"/>
  <c r="CK660" i="4"/>
  <c r="CK655" i="4"/>
  <c r="CK650" i="4"/>
  <c r="CK638" i="4"/>
  <c r="CK572" i="4"/>
  <c r="CK554" i="4"/>
  <c r="CK507" i="4"/>
  <c r="CK479" i="4"/>
  <c r="CK356" i="4"/>
  <c r="CK329" i="4"/>
  <c r="CK256" i="4"/>
  <c r="CK108" i="4"/>
  <c r="CK68" i="4"/>
  <c r="CH650" i="4"/>
  <c r="CF638" i="4"/>
  <c r="CF554" i="4"/>
  <c r="CF507" i="4"/>
  <c r="CH669" i="4"/>
  <c r="CH660" i="4"/>
  <c r="CH655" i="4"/>
  <c r="CH638" i="4"/>
  <c r="CH572" i="4"/>
  <c r="CH554" i="4"/>
  <c r="CH507" i="4"/>
  <c r="CH479" i="4"/>
  <c r="CH356" i="4"/>
  <c r="CH329" i="4"/>
  <c r="CH256" i="4"/>
  <c r="CH68" i="4"/>
  <c r="CF660" i="4"/>
  <c r="CF655" i="4"/>
  <c r="CF650" i="4"/>
  <c r="CF572" i="4"/>
  <c r="CF256" i="4"/>
  <c r="CF108" i="4"/>
  <c r="H247" i="1"/>
  <c r="G247" i="1"/>
  <c r="F247" i="1"/>
  <c r="CJ700" i="4" l="1"/>
  <c r="CK700" i="4"/>
  <c r="CF479" i="4"/>
  <c r="CH108" i="4"/>
  <c r="CH700" i="4" s="1"/>
  <c r="CF356" i="4"/>
  <c r="CF329" i="4"/>
  <c r="CF669" i="4"/>
  <c r="CF68" i="4"/>
  <c r="CF700" i="4" l="1"/>
  <c r="CU669" i="4" l="1"/>
  <c r="CU660" i="4"/>
  <c r="CU655" i="4"/>
  <c r="CU650" i="4"/>
  <c r="CU638" i="4"/>
  <c r="CU572" i="4"/>
  <c r="CU554" i="4"/>
  <c r="CU507" i="4"/>
  <c r="CU479" i="4"/>
  <c r="CU356" i="4"/>
  <c r="CU329" i="4"/>
  <c r="CU256" i="4"/>
  <c r="CU108" i="4"/>
  <c r="CU68" i="4"/>
  <c r="CQ669" i="4"/>
  <c r="CQ660" i="4"/>
  <c r="CQ655" i="4"/>
  <c r="CQ650" i="4"/>
  <c r="CQ638" i="4"/>
  <c r="CQ572" i="4"/>
  <c r="CQ554" i="4"/>
  <c r="CQ507" i="4"/>
  <c r="CQ479" i="4"/>
  <c r="CQ356" i="4"/>
  <c r="CQ329" i="4"/>
  <c r="CQ256" i="4"/>
  <c r="CQ108" i="4"/>
  <c r="CQ68" i="4"/>
  <c r="CG669" i="4"/>
  <c r="CG660" i="4"/>
  <c r="CG655" i="4"/>
  <c r="CG650" i="4"/>
  <c r="CG638" i="4"/>
  <c r="CG572" i="4"/>
  <c r="CG554" i="4"/>
  <c r="CG507" i="4"/>
  <c r="CG479" i="4"/>
  <c r="CG356" i="4"/>
  <c r="CG329" i="4"/>
  <c r="CG256" i="4"/>
  <c r="CG108" i="4"/>
  <c r="CG68" i="4"/>
  <c r="CE669" i="4"/>
  <c r="CE660" i="4"/>
  <c r="CE655" i="4"/>
  <c r="CE650" i="4"/>
  <c r="CE638" i="4"/>
  <c r="CE572" i="4"/>
  <c r="CE554" i="4"/>
  <c r="CE507" i="4"/>
  <c r="CE479" i="4"/>
  <c r="CE356" i="4"/>
  <c r="CE329" i="4"/>
  <c r="CE256" i="4"/>
  <c r="CE108" i="4"/>
  <c r="CE68" i="4"/>
  <c r="CD669" i="4"/>
  <c r="CD660" i="4"/>
  <c r="CD655" i="4"/>
  <c r="CD650" i="4"/>
  <c r="CD638" i="4"/>
  <c r="CD572" i="4"/>
  <c r="CD554" i="4"/>
  <c r="CD507" i="4"/>
  <c r="CD479" i="4"/>
  <c r="CD356" i="4"/>
  <c r="CD329" i="4"/>
  <c r="CD256" i="4"/>
  <c r="CD108" i="4"/>
  <c r="CD68" i="4"/>
  <c r="CG700" i="4" l="1"/>
  <c r="CU700" i="4"/>
  <c r="CE700" i="4"/>
  <c r="CQ700" i="4"/>
  <c r="CD700" i="4"/>
  <c r="AZ669" i="4"/>
  <c r="F2265" i="8"/>
  <c r="G958" i="5" l="1"/>
  <c r="F25" i="13"/>
  <c r="I2212" i="8"/>
  <c r="G2212" i="8"/>
  <c r="F2212" i="8"/>
  <c r="E2212" i="8"/>
  <c r="H2188" i="8"/>
  <c r="H2180" i="8"/>
  <c r="H2175" i="8"/>
  <c r="H2148" i="8"/>
  <c r="H2151" i="8" s="1"/>
  <c r="A328" i="10"/>
  <c r="H324" i="10"/>
  <c r="A324" i="10"/>
  <c r="H322" i="10"/>
  <c r="A322" i="10"/>
  <c r="H320" i="10"/>
  <c r="A320" i="10"/>
  <c r="A310" i="10"/>
  <c r="A308" i="10"/>
  <c r="A306" i="10"/>
  <c r="A314" i="10"/>
  <c r="H310" i="10"/>
  <c r="H308" i="10"/>
  <c r="H306" i="10"/>
  <c r="B145" i="11"/>
  <c r="B144" i="11"/>
  <c r="B122" i="11"/>
  <c r="B121" i="11"/>
  <c r="B87" i="11"/>
  <c r="B86" i="11"/>
  <c r="B63" i="11"/>
  <c r="B62" i="11"/>
  <c r="B40" i="11"/>
  <c r="B39" i="11"/>
  <c r="B343" i="9"/>
  <c r="I338" i="9"/>
  <c r="I335" i="9"/>
  <c r="H333" i="9"/>
  <c r="I332" i="9"/>
  <c r="B332" i="9"/>
  <c r="B338" i="9" s="1"/>
  <c r="B326" i="9"/>
  <c r="I321" i="9"/>
  <c r="I318" i="9"/>
  <c r="H316" i="9"/>
  <c r="I315" i="9"/>
  <c r="B315" i="9"/>
  <c r="B321" i="9" s="1"/>
  <c r="L284" i="15"/>
  <c r="K284" i="15"/>
  <c r="L282" i="15"/>
  <c r="K282" i="15"/>
  <c r="L281" i="15"/>
  <c r="K281" i="15"/>
  <c r="L280" i="15"/>
  <c r="K280" i="15"/>
  <c r="L279" i="15"/>
  <c r="K279" i="15"/>
  <c r="L278" i="15"/>
  <c r="K278" i="15"/>
  <c r="L276" i="15"/>
  <c r="K276" i="15"/>
  <c r="L275" i="15"/>
  <c r="K275" i="15"/>
  <c r="L274" i="15"/>
  <c r="K274" i="15"/>
  <c r="L273" i="15"/>
  <c r="K273" i="15"/>
  <c r="L272" i="15"/>
  <c r="K272" i="15"/>
  <c r="L271" i="15"/>
  <c r="K271" i="15"/>
  <c r="L269" i="15"/>
  <c r="K269" i="15"/>
  <c r="H2002" i="8"/>
  <c r="H2005" i="8" s="1"/>
  <c r="G2126" i="8"/>
  <c r="E2126" i="8"/>
  <c r="C2126" i="8"/>
  <c r="H1982" i="8"/>
  <c r="C1977" i="8"/>
  <c r="M1975" i="8"/>
  <c r="G1975" i="8"/>
  <c r="E1975" i="8"/>
  <c r="C1975" i="8"/>
  <c r="M1974" i="8"/>
  <c r="G1974" i="8"/>
  <c r="E1974" i="8"/>
  <c r="C1974" i="8"/>
  <c r="G485" i="1"/>
  <c r="L2126" i="8" s="1"/>
  <c r="G484" i="1"/>
  <c r="G483" i="1"/>
  <c r="L1448" i="8" s="1"/>
  <c r="P1448" i="8" s="1"/>
  <c r="G1973" i="8"/>
  <c r="E1973" i="8"/>
  <c r="C1973" i="8"/>
  <c r="G1972" i="8"/>
  <c r="E1972" i="8"/>
  <c r="C1972" i="8"/>
  <c r="I2322" i="8"/>
  <c r="M2322" i="8" s="1"/>
  <c r="G2322" i="8"/>
  <c r="F2322" i="8"/>
  <c r="E2322" i="8"/>
  <c r="C2322" i="8"/>
  <c r="I2284" i="8"/>
  <c r="G2284" i="8"/>
  <c r="F2284" i="8"/>
  <c r="E2284" i="8"/>
  <c r="I2282" i="8"/>
  <c r="G2282" i="8"/>
  <c r="F2282" i="8"/>
  <c r="E2282" i="8"/>
  <c r="N2280" i="8"/>
  <c r="I2280" i="8"/>
  <c r="M2280" i="8" s="1"/>
  <c r="G2280" i="8"/>
  <c r="F2280" i="8"/>
  <c r="E2280" i="8"/>
  <c r="C2280" i="8"/>
  <c r="I2279" i="8"/>
  <c r="G2279" i="8"/>
  <c r="F2279" i="8"/>
  <c r="E2279" i="8"/>
  <c r="I2278" i="8"/>
  <c r="G2278" i="8"/>
  <c r="E2278" i="8"/>
  <c r="N2277" i="8"/>
  <c r="I2277" i="8"/>
  <c r="M2277" i="8" s="1"/>
  <c r="G2277" i="8"/>
  <c r="F2277" i="8"/>
  <c r="E2277" i="8"/>
  <c r="C2277" i="8"/>
  <c r="I2272" i="8"/>
  <c r="G2272" i="8"/>
  <c r="F2272" i="8"/>
  <c r="E2272" i="8"/>
  <c r="I2271" i="8"/>
  <c r="G2271" i="8"/>
  <c r="F2271" i="8"/>
  <c r="E2271" i="8"/>
  <c r="I2270" i="8"/>
  <c r="G2270" i="8"/>
  <c r="F2270" i="8"/>
  <c r="E2270" i="8"/>
  <c r="I2269" i="8"/>
  <c r="G2269" i="8"/>
  <c r="F2269" i="8"/>
  <c r="E2269" i="8"/>
  <c r="I2267" i="8"/>
  <c r="G2267" i="8"/>
  <c r="F2267" i="8"/>
  <c r="I2266" i="8"/>
  <c r="G2266" i="8"/>
  <c r="F2266" i="8"/>
  <c r="I2265" i="8"/>
  <c r="G2265" i="8"/>
  <c r="I2263" i="8"/>
  <c r="G2263" i="8"/>
  <c r="F2263" i="8"/>
  <c r="E2263" i="8"/>
  <c r="I2261" i="8"/>
  <c r="G2261" i="8"/>
  <c r="F2261" i="8"/>
  <c r="E2261" i="8"/>
  <c r="I2260" i="8"/>
  <c r="G2260" i="8"/>
  <c r="F2260" i="8"/>
  <c r="E2260" i="8"/>
  <c r="I2258" i="8"/>
  <c r="G2258" i="8"/>
  <c r="F2258" i="8"/>
  <c r="I2257" i="8"/>
  <c r="G2257" i="8"/>
  <c r="F2257" i="8"/>
  <c r="G2254" i="8"/>
  <c r="F2254" i="8"/>
  <c r="E2254" i="8"/>
  <c r="G2253" i="8"/>
  <c r="F2253" i="8"/>
  <c r="E2253" i="8"/>
  <c r="S2247" i="8"/>
  <c r="T2247" i="8" s="1"/>
  <c r="C2247" i="8"/>
  <c r="S2246" i="8"/>
  <c r="N2270" i="8"/>
  <c r="G2215" i="8"/>
  <c r="F2215" i="8"/>
  <c r="E2215" i="8"/>
  <c r="I2214" i="8"/>
  <c r="G2214" i="8"/>
  <c r="F2214" i="8"/>
  <c r="E2214" i="8"/>
  <c r="I2213" i="8"/>
  <c r="G2213" i="8"/>
  <c r="F2213" i="8"/>
  <c r="E2213" i="8"/>
  <c r="N2211" i="8"/>
  <c r="I2211" i="8"/>
  <c r="M2211" i="8" s="1"/>
  <c r="G2211" i="8"/>
  <c r="E2211" i="8"/>
  <c r="C2211" i="8"/>
  <c r="I2210" i="8"/>
  <c r="G2210" i="8"/>
  <c r="F2210" i="8"/>
  <c r="E2210" i="8"/>
  <c r="I2209" i="8"/>
  <c r="G2209" i="8"/>
  <c r="F2209" i="8"/>
  <c r="E2209" i="8"/>
  <c r="I2208" i="8"/>
  <c r="G2208" i="8"/>
  <c r="F2208" i="8"/>
  <c r="E2208" i="8"/>
  <c r="I2207" i="8"/>
  <c r="G2207" i="8"/>
  <c r="F2207" i="8"/>
  <c r="E2207" i="8"/>
  <c r="I2206" i="8"/>
  <c r="G2206" i="8"/>
  <c r="F2206" i="8"/>
  <c r="E2206" i="8"/>
  <c r="I2205" i="8"/>
  <c r="G2205" i="8"/>
  <c r="F2205" i="8"/>
  <c r="E2205" i="8"/>
  <c r="I2204" i="8"/>
  <c r="G2204" i="8"/>
  <c r="F2204" i="8"/>
  <c r="E2204" i="8"/>
  <c r="G2203" i="8"/>
  <c r="E2203" i="8"/>
  <c r="I2201" i="8"/>
  <c r="G2201" i="8"/>
  <c r="F2201" i="8"/>
  <c r="E2201" i="8"/>
  <c r="I2200" i="8"/>
  <c r="G2200" i="8"/>
  <c r="F2200" i="8"/>
  <c r="E2200" i="8"/>
  <c r="I2199" i="8"/>
  <c r="G2199" i="8"/>
  <c r="F2199" i="8"/>
  <c r="I2198" i="8"/>
  <c r="G2198" i="8"/>
  <c r="F2198" i="8"/>
  <c r="I2197" i="8"/>
  <c r="G2197" i="8"/>
  <c r="F2197" i="8"/>
  <c r="E2197" i="8"/>
  <c r="I2195" i="8"/>
  <c r="G2195" i="8"/>
  <c r="F2195" i="8"/>
  <c r="E2195" i="8"/>
  <c r="G2193" i="8"/>
  <c r="E2193" i="8"/>
  <c r="S2189" i="8"/>
  <c r="T2189" i="8" s="1"/>
  <c r="C2189" i="8"/>
  <c r="S2188" i="8"/>
  <c r="I2187" i="8"/>
  <c r="G2187" i="8"/>
  <c r="F2187" i="8"/>
  <c r="E2187" i="8"/>
  <c r="I2186" i="8"/>
  <c r="G2186" i="8"/>
  <c r="F2186" i="8"/>
  <c r="I2185" i="8"/>
  <c r="G2185" i="8"/>
  <c r="F2185" i="8"/>
  <c r="E2185" i="8"/>
  <c r="I2184" i="8"/>
  <c r="G2184" i="8"/>
  <c r="F2184" i="8"/>
  <c r="G2182" i="8"/>
  <c r="E2182" i="8"/>
  <c r="S2181" i="8"/>
  <c r="T2181" i="8" s="1"/>
  <c r="C2181" i="8"/>
  <c r="S2180" i="8"/>
  <c r="G2177" i="8"/>
  <c r="E2177" i="8"/>
  <c r="S2176" i="8"/>
  <c r="T2176" i="8" s="1"/>
  <c r="C2176" i="8"/>
  <c r="S2175" i="8"/>
  <c r="I2174" i="8"/>
  <c r="G2174" i="8"/>
  <c r="E2174" i="8"/>
  <c r="I2173" i="8"/>
  <c r="G2173" i="8"/>
  <c r="E2173" i="8"/>
  <c r="I2172" i="8"/>
  <c r="G2172" i="8"/>
  <c r="F2172" i="8"/>
  <c r="E2172" i="8"/>
  <c r="I2171" i="8"/>
  <c r="G2171" i="8"/>
  <c r="F2171" i="8"/>
  <c r="E2171" i="8"/>
  <c r="I2170" i="8"/>
  <c r="G2170" i="8"/>
  <c r="F2170" i="8"/>
  <c r="E2170" i="8"/>
  <c r="I2169" i="8"/>
  <c r="G2169" i="8"/>
  <c r="F2169" i="8"/>
  <c r="E2169" i="8"/>
  <c r="I2168" i="8"/>
  <c r="G2168" i="8"/>
  <c r="F2168" i="8"/>
  <c r="E2168" i="8"/>
  <c r="I2167" i="8"/>
  <c r="G2167" i="8"/>
  <c r="F2167" i="8"/>
  <c r="E2167" i="8"/>
  <c r="I2166" i="8"/>
  <c r="G2166" i="8"/>
  <c r="F2166" i="8"/>
  <c r="E2166" i="8"/>
  <c r="S2154" i="8"/>
  <c r="T2154" i="8" s="1"/>
  <c r="C2154" i="8"/>
  <c r="S2153" i="8"/>
  <c r="G2152" i="8"/>
  <c r="F2152" i="8"/>
  <c r="E2152" i="8"/>
  <c r="G2151" i="8"/>
  <c r="F2151" i="8"/>
  <c r="E2151" i="8"/>
  <c r="G2150" i="8"/>
  <c r="E2150" i="8"/>
  <c r="S2149" i="8"/>
  <c r="T2149" i="8" s="1"/>
  <c r="C2149" i="8"/>
  <c r="S2148" i="8"/>
  <c r="I2147" i="8"/>
  <c r="G2147" i="8"/>
  <c r="F2147" i="8"/>
  <c r="E2147" i="8"/>
  <c r="G2145" i="8"/>
  <c r="F2145" i="8"/>
  <c r="E2145" i="8"/>
  <c r="G2144" i="8"/>
  <c r="F2144" i="8"/>
  <c r="E2144" i="8"/>
  <c r="G2143" i="8"/>
  <c r="F2143" i="8"/>
  <c r="E2143" i="8"/>
  <c r="I2142" i="8"/>
  <c r="G2142" i="8"/>
  <c r="F2142" i="8"/>
  <c r="E2142" i="8"/>
  <c r="I2141" i="8"/>
  <c r="G2141" i="8"/>
  <c r="F2141" i="8"/>
  <c r="E2141" i="8"/>
  <c r="I2140" i="8"/>
  <c r="G2140" i="8"/>
  <c r="F2140" i="8"/>
  <c r="E2140" i="8"/>
  <c r="S2139" i="8"/>
  <c r="T2139" i="8" s="1"/>
  <c r="C2139" i="8"/>
  <c r="S2138" i="8"/>
  <c r="I2137" i="8"/>
  <c r="G2137" i="8"/>
  <c r="F2137" i="8"/>
  <c r="E2137" i="8"/>
  <c r="I2136" i="8"/>
  <c r="G2136" i="8"/>
  <c r="F2136" i="8"/>
  <c r="E2136" i="8"/>
  <c r="G2135" i="8"/>
  <c r="F2135" i="8"/>
  <c r="E2135" i="8"/>
  <c r="I2134" i="8"/>
  <c r="G2134" i="8"/>
  <c r="F2134" i="8"/>
  <c r="E2134" i="8"/>
  <c r="S2133" i="8"/>
  <c r="S2132" i="8"/>
  <c r="A2132" i="8"/>
  <c r="I2131" i="8"/>
  <c r="G2131" i="8"/>
  <c r="F2131" i="8"/>
  <c r="E2131" i="8"/>
  <c r="C2131" i="8"/>
  <c r="I2130" i="8"/>
  <c r="C2130" i="8"/>
  <c r="G2130" i="8"/>
  <c r="F2130" i="8"/>
  <c r="E2130" i="8"/>
  <c r="G2129" i="8"/>
  <c r="F2129" i="8"/>
  <c r="E2129" i="8"/>
  <c r="C2129" i="8"/>
  <c r="G2128" i="8"/>
  <c r="E2128" i="8"/>
  <c r="C2128" i="8"/>
  <c r="G2127" i="8"/>
  <c r="E2127" i="8"/>
  <c r="C2127" i="8"/>
  <c r="C2124" i="8"/>
  <c r="G2124" i="8"/>
  <c r="E2124" i="8"/>
  <c r="S2123" i="8"/>
  <c r="A2123" i="8"/>
  <c r="S2122" i="8"/>
  <c r="T2122" i="8" s="1"/>
  <c r="C2323" i="8"/>
  <c r="S2323" i="8"/>
  <c r="T2323" i="8" s="1"/>
  <c r="E1969" i="8"/>
  <c r="I2121" i="8"/>
  <c r="C2121" i="8"/>
  <c r="G2121" i="8"/>
  <c r="F2121" i="8"/>
  <c r="E2121" i="8"/>
  <c r="I2097" i="8"/>
  <c r="G2097" i="8"/>
  <c r="F2097" i="8"/>
  <c r="E2097" i="8"/>
  <c r="I2096" i="8"/>
  <c r="G2096" i="8"/>
  <c r="F2096" i="8"/>
  <c r="E2096" i="8"/>
  <c r="N2095" i="8"/>
  <c r="I2095" i="8"/>
  <c r="M2095" i="8" s="1"/>
  <c r="G2095" i="8"/>
  <c r="F2095" i="8"/>
  <c r="E2095" i="8"/>
  <c r="C2095" i="8"/>
  <c r="I2094" i="8"/>
  <c r="G2094" i="8"/>
  <c r="F2094" i="8"/>
  <c r="E2094" i="8"/>
  <c r="I2093" i="8"/>
  <c r="G2093" i="8"/>
  <c r="E2093" i="8"/>
  <c r="N2092" i="8"/>
  <c r="I2092" i="8"/>
  <c r="M2092" i="8" s="1"/>
  <c r="G2092" i="8"/>
  <c r="F2092" i="8"/>
  <c r="E2092" i="8"/>
  <c r="C2092" i="8"/>
  <c r="I2091" i="8"/>
  <c r="G2091" i="8"/>
  <c r="F2091" i="8"/>
  <c r="E2091" i="8"/>
  <c r="I2090" i="8"/>
  <c r="G2090" i="8"/>
  <c r="F2090" i="8"/>
  <c r="E2090" i="8"/>
  <c r="I2089" i="8"/>
  <c r="G2089" i="8"/>
  <c r="F2089" i="8"/>
  <c r="E2089" i="8"/>
  <c r="I2088" i="8"/>
  <c r="G2088" i="8"/>
  <c r="F2088" i="8"/>
  <c r="E2088" i="8"/>
  <c r="I2087" i="8"/>
  <c r="G2087" i="8"/>
  <c r="F2087" i="8"/>
  <c r="I2086" i="8"/>
  <c r="G2086" i="8"/>
  <c r="F2086" i="8"/>
  <c r="I2085" i="8"/>
  <c r="G2085" i="8"/>
  <c r="F2085" i="8"/>
  <c r="I2084" i="8"/>
  <c r="G2084" i="8"/>
  <c r="F2084" i="8"/>
  <c r="E2084" i="8"/>
  <c r="I2082" i="8"/>
  <c r="G2082" i="8"/>
  <c r="F2082" i="8"/>
  <c r="E2082" i="8"/>
  <c r="I2081" i="8"/>
  <c r="G2081" i="8"/>
  <c r="F2081" i="8"/>
  <c r="E2081" i="8"/>
  <c r="I2080" i="8"/>
  <c r="G2080" i="8"/>
  <c r="F2080" i="8"/>
  <c r="E2080" i="8"/>
  <c r="I2079" i="8"/>
  <c r="G2079" i="8"/>
  <c r="F2079" i="8"/>
  <c r="E2079" i="8"/>
  <c r="G2076" i="8"/>
  <c r="E2076" i="8"/>
  <c r="G2075" i="8"/>
  <c r="E2075" i="8"/>
  <c r="S2073" i="8"/>
  <c r="T2073" i="8" s="1"/>
  <c r="C2073" i="8"/>
  <c r="S2072" i="8"/>
  <c r="G2048" i="8"/>
  <c r="F2048" i="8"/>
  <c r="E2048" i="8"/>
  <c r="I2047" i="8"/>
  <c r="G2047" i="8"/>
  <c r="F2047" i="8"/>
  <c r="E2047" i="8"/>
  <c r="I2046" i="8"/>
  <c r="G2046" i="8"/>
  <c r="F2046" i="8"/>
  <c r="E2046" i="8"/>
  <c r="N2045" i="8"/>
  <c r="I2045" i="8"/>
  <c r="M2045" i="8" s="1"/>
  <c r="G2045" i="8"/>
  <c r="F2045" i="8"/>
  <c r="E2045" i="8"/>
  <c r="C2045" i="8"/>
  <c r="I2044" i="8"/>
  <c r="G2044" i="8"/>
  <c r="E2044" i="8"/>
  <c r="I2043" i="8"/>
  <c r="G2043" i="8"/>
  <c r="F2043" i="8"/>
  <c r="E2043" i="8"/>
  <c r="I2042" i="8"/>
  <c r="G2042" i="8"/>
  <c r="F2042" i="8"/>
  <c r="E2042" i="8"/>
  <c r="I2041" i="8"/>
  <c r="G2041" i="8"/>
  <c r="F2041" i="8"/>
  <c r="E2041" i="8"/>
  <c r="I2040" i="8"/>
  <c r="G2040" i="8"/>
  <c r="F2040" i="8"/>
  <c r="E2040" i="8"/>
  <c r="I2039" i="8"/>
  <c r="G2039" i="8"/>
  <c r="F2039" i="8"/>
  <c r="E2039" i="8"/>
  <c r="I2038" i="8"/>
  <c r="G2038" i="8"/>
  <c r="F2038" i="8"/>
  <c r="E2038" i="8"/>
  <c r="G2037" i="8"/>
  <c r="E2037" i="8"/>
  <c r="I2036" i="8"/>
  <c r="G2036" i="8"/>
  <c r="F2036" i="8"/>
  <c r="E2036" i="8"/>
  <c r="I2034" i="8"/>
  <c r="G2034" i="8"/>
  <c r="F2034" i="8"/>
  <c r="E2034" i="8"/>
  <c r="I2033" i="8"/>
  <c r="G2033" i="8"/>
  <c r="F2033" i="8"/>
  <c r="I2031" i="8"/>
  <c r="G2031" i="8"/>
  <c r="F2031" i="8"/>
  <c r="I2030" i="8"/>
  <c r="G2030" i="8"/>
  <c r="F2030" i="8"/>
  <c r="E2030" i="8"/>
  <c r="G2028" i="8"/>
  <c r="E2028" i="8"/>
  <c r="G2027" i="8"/>
  <c r="E2027" i="8"/>
  <c r="S2025" i="8"/>
  <c r="T2025" i="8" s="1"/>
  <c r="C2025" i="8"/>
  <c r="S2024" i="8"/>
  <c r="I2023" i="8"/>
  <c r="G2023" i="8"/>
  <c r="F2023" i="8"/>
  <c r="E2023" i="8"/>
  <c r="I2022" i="8"/>
  <c r="G2022" i="8"/>
  <c r="F2022" i="8"/>
  <c r="I2021" i="8"/>
  <c r="G2021" i="8"/>
  <c r="F2021" i="8"/>
  <c r="I2020" i="8"/>
  <c r="G2020" i="8"/>
  <c r="F2020" i="8"/>
  <c r="I2019" i="8"/>
  <c r="G2019" i="8"/>
  <c r="F2019" i="8"/>
  <c r="E2019" i="8"/>
  <c r="S2018" i="8"/>
  <c r="T2018" i="8" s="1"/>
  <c r="C2018" i="8"/>
  <c r="S2017" i="8"/>
  <c r="G2016" i="8"/>
  <c r="E2016" i="8"/>
  <c r="S2014" i="8"/>
  <c r="T2014" i="8" s="1"/>
  <c r="C2014" i="8"/>
  <c r="S2013" i="8"/>
  <c r="I2012" i="8"/>
  <c r="G2012" i="8"/>
  <c r="E2012" i="8"/>
  <c r="I2011" i="8"/>
  <c r="G2011" i="8"/>
  <c r="E2011" i="8"/>
  <c r="I2010" i="8"/>
  <c r="G2010" i="8"/>
  <c r="F2010" i="8"/>
  <c r="E2010" i="8"/>
  <c r="I2009" i="8"/>
  <c r="G2009" i="8"/>
  <c r="F2009" i="8"/>
  <c r="E2009" i="8"/>
  <c r="I2008" i="8"/>
  <c r="G2008" i="8"/>
  <c r="F2008" i="8"/>
  <c r="E2008" i="8"/>
  <c r="I2007" i="8"/>
  <c r="G2007" i="8"/>
  <c r="F2007" i="8"/>
  <c r="E2007" i="8"/>
  <c r="I2006" i="8"/>
  <c r="G2006" i="8"/>
  <c r="F2006" i="8"/>
  <c r="E2006" i="8"/>
  <c r="I2005" i="8"/>
  <c r="G2005" i="8"/>
  <c r="F2005" i="8"/>
  <c r="E2005" i="8"/>
  <c r="I2004" i="8"/>
  <c r="G2004" i="8"/>
  <c r="F2004" i="8"/>
  <c r="E2004" i="8"/>
  <c r="S2003" i="8"/>
  <c r="T2003" i="8" s="1"/>
  <c r="C2003" i="8"/>
  <c r="S2002" i="8"/>
  <c r="G2001" i="8"/>
  <c r="F2001" i="8"/>
  <c r="E2001" i="8"/>
  <c r="G2000" i="8"/>
  <c r="F2000" i="8"/>
  <c r="E2000" i="8"/>
  <c r="I1999" i="8"/>
  <c r="G1999" i="8"/>
  <c r="F1999" i="8"/>
  <c r="E1999" i="8"/>
  <c r="S1998" i="8"/>
  <c r="T1998" i="8" s="1"/>
  <c r="C1998" i="8"/>
  <c r="S1997" i="8"/>
  <c r="H2000" i="8"/>
  <c r="I1996" i="8"/>
  <c r="G1996" i="8"/>
  <c r="F1996" i="8"/>
  <c r="E1996" i="8"/>
  <c r="G1995" i="8"/>
  <c r="F1995" i="8"/>
  <c r="E1995" i="8"/>
  <c r="G1994" i="8"/>
  <c r="F1994" i="8"/>
  <c r="E1994" i="8"/>
  <c r="G1993" i="8"/>
  <c r="F1993" i="8"/>
  <c r="E1993" i="8"/>
  <c r="I1992" i="8"/>
  <c r="G1992" i="8"/>
  <c r="F1992" i="8"/>
  <c r="E1992" i="8"/>
  <c r="I1991" i="8"/>
  <c r="G1991" i="8"/>
  <c r="E1991" i="8"/>
  <c r="I1990" i="8"/>
  <c r="G1990" i="8"/>
  <c r="E1990" i="8"/>
  <c r="S1989" i="8"/>
  <c r="T1989" i="8" s="1"/>
  <c r="C1989" i="8"/>
  <c r="S1988" i="8"/>
  <c r="I1986" i="8"/>
  <c r="G1986" i="8"/>
  <c r="F1986" i="8"/>
  <c r="E1986" i="8"/>
  <c r="I1985" i="8"/>
  <c r="G1985" i="8"/>
  <c r="F1985" i="8"/>
  <c r="E1985" i="8"/>
  <c r="G1984" i="8"/>
  <c r="F1984" i="8"/>
  <c r="E1984" i="8"/>
  <c r="I1983" i="8"/>
  <c r="G1983" i="8"/>
  <c r="F1983" i="8"/>
  <c r="E1983" i="8"/>
  <c r="S1982" i="8"/>
  <c r="S1981" i="8"/>
  <c r="A1981" i="8"/>
  <c r="I1980" i="8"/>
  <c r="C1980" i="8"/>
  <c r="G1980" i="8"/>
  <c r="F1980" i="8"/>
  <c r="E1980" i="8"/>
  <c r="I1979" i="8"/>
  <c r="G1979" i="8"/>
  <c r="F1979" i="8"/>
  <c r="E1979" i="8"/>
  <c r="C1979" i="8"/>
  <c r="I1978" i="8"/>
  <c r="G1978" i="8"/>
  <c r="F1978" i="8"/>
  <c r="E1978" i="8"/>
  <c r="C1978" i="8"/>
  <c r="G1977" i="8"/>
  <c r="E1977" i="8"/>
  <c r="G1976" i="8"/>
  <c r="E1976" i="8"/>
  <c r="G1971" i="8"/>
  <c r="E1971" i="8"/>
  <c r="C1971" i="8"/>
  <c r="S1970" i="8"/>
  <c r="A1970" i="8"/>
  <c r="S1969" i="8"/>
  <c r="T1969" i="8" s="1"/>
  <c r="L257" i="15"/>
  <c r="K257" i="15"/>
  <c r="L267" i="15"/>
  <c r="K267" i="15"/>
  <c r="L265" i="15"/>
  <c r="K265" i="15"/>
  <c r="L264" i="15"/>
  <c r="K264" i="15"/>
  <c r="L263" i="15"/>
  <c r="K263" i="15"/>
  <c r="L262" i="15"/>
  <c r="K262" i="15"/>
  <c r="L261" i="15"/>
  <c r="K261" i="15"/>
  <c r="L260" i="15"/>
  <c r="K260" i="15"/>
  <c r="L259" i="15"/>
  <c r="K259" i="15"/>
  <c r="L258" i="15"/>
  <c r="K258" i="15"/>
  <c r="L256" i="15"/>
  <c r="K256" i="15"/>
  <c r="L255" i="15"/>
  <c r="K255" i="15"/>
  <c r="L253" i="15"/>
  <c r="K253" i="15"/>
  <c r="C255" i="15"/>
  <c r="S92" i="15"/>
  <c r="S91" i="15"/>
  <c r="L75" i="15"/>
  <c r="K75" i="15"/>
  <c r="L92" i="15"/>
  <c r="L89" i="15"/>
  <c r="L90" i="15"/>
  <c r="L91" i="15"/>
  <c r="EH359" i="2"/>
  <c r="EH325" i="2"/>
  <c r="EH320" i="2"/>
  <c r="EH315" i="2"/>
  <c r="EH310" i="2"/>
  <c r="EH295" i="2"/>
  <c r="EH283" i="2"/>
  <c r="EH279" i="2"/>
  <c r="EH254" i="2"/>
  <c r="EH249" i="2"/>
  <c r="EH189" i="2"/>
  <c r="EH175" i="2"/>
  <c r="EH159" i="2"/>
  <c r="EH149" i="2"/>
  <c r="EH139" i="2"/>
  <c r="EH116" i="2"/>
  <c r="EH98" i="2"/>
  <c r="EH81" i="2"/>
  <c r="EH73" i="2"/>
  <c r="EH52" i="2"/>
  <c r="EH26" i="2"/>
  <c r="AK669" i="4"/>
  <c r="AK660" i="4"/>
  <c r="AK655" i="4"/>
  <c r="AK650" i="4"/>
  <c r="AK638" i="4"/>
  <c r="AK572" i="4"/>
  <c r="AK554" i="4"/>
  <c r="AK507" i="4"/>
  <c r="AK479" i="4"/>
  <c r="AK356" i="4"/>
  <c r="AK329" i="4"/>
  <c r="AK256" i="4"/>
  <c r="AK108" i="4"/>
  <c r="AK68" i="4"/>
  <c r="AL669" i="4"/>
  <c r="AL660" i="4"/>
  <c r="AL655" i="4"/>
  <c r="AL650" i="4"/>
  <c r="AL638" i="4"/>
  <c r="AL572" i="4"/>
  <c r="AL554" i="4"/>
  <c r="AL507" i="4"/>
  <c r="AL479" i="4"/>
  <c r="AL356" i="4"/>
  <c r="AL329" i="4"/>
  <c r="AL256" i="4"/>
  <c r="AL108" i="4"/>
  <c r="AL68" i="4"/>
  <c r="Y669" i="4"/>
  <c r="Y660" i="4"/>
  <c r="Y655" i="4"/>
  <c r="Y650" i="4"/>
  <c r="Y638" i="4"/>
  <c r="Y572" i="4"/>
  <c r="Y554" i="4"/>
  <c r="Y507" i="4"/>
  <c r="Y479" i="4"/>
  <c r="Y356" i="4"/>
  <c r="Y329" i="4"/>
  <c r="Y256" i="4"/>
  <c r="Y108" i="4"/>
  <c r="Y68" i="4"/>
  <c r="L1974" i="8" l="1"/>
  <c r="P1974" i="8" s="1"/>
  <c r="L2125" i="8"/>
  <c r="P2125" i="8" s="1"/>
  <c r="C2175" i="8"/>
  <c r="H2178" i="8"/>
  <c r="H2177" i="8"/>
  <c r="H2004" i="8"/>
  <c r="N2004" i="8" s="1"/>
  <c r="H2007" i="8"/>
  <c r="AK700" i="4"/>
  <c r="AL700" i="4"/>
  <c r="N276" i="15"/>
  <c r="EH361" i="2"/>
  <c r="C2002" i="8"/>
  <c r="H2184" i="8"/>
  <c r="H2185" i="8" s="1"/>
  <c r="H1983" i="8"/>
  <c r="M1985" i="8"/>
  <c r="L1975" i="8"/>
  <c r="P1975" i="8" s="1"/>
  <c r="N278" i="15"/>
  <c r="N280" i="15"/>
  <c r="N282" i="15"/>
  <c r="N271" i="15"/>
  <c r="N269" i="15"/>
  <c r="N279" i="15"/>
  <c r="N281" i="15"/>
  <c r="N284" i="15"/>
  <c r="H2009" i="8"/>
  <c r="N273" i="15"/>
  <c r="N2212" i="8"/>
  <c r="M2212" i="8"/>
  <c r="C2212" i="8"/>
  <c r="B335" i="9"/>
  <c r="B318" i="9"/>
  <c r="N275" i="15"/>
  <c r="C269" i="15"/>
  <c r="N272" i="15"/>
  <c r="P2126" i="8"/>
  <c r="M2126" i="8"/>
  <c r="N2126" i="8"/>
  <c r="N1975" i="8"/>
  <c r="N1974" i="8"/>
  <c r="N258" i="15"/>
  <c r="N253" i="15"/>
  <c r="H1993" i="8"/>
  <c r="C1993" i="8" s="1"/>
  <c r="C1988" i="8"/>
  <c r="T2188" i="8"/>
  <c r="N2197" i="8"/>
  <c r="M1973" i="8"/>
  <c r="C2123" i="8"/>
  <c r="M2128" i="8"/>
  <c r="T2175" i="8"/>
  <c r="C2188" i="8"/>
  <c r="N2267" i="8"/>
  <c r="N1973" i="8"/>
  <c r="M1972" i="8"/>
  <c r="N1972" i="8"/>
  <c r="N2127" i="8"/>
  <c r="N2128" i="8"/>
  <c r="H2150" i="8"/>
  <c r="N2129" i="8"/>
  <c r="T2148" i="8"/>
  <c r="N2265" i="8"/>
  <c r="T2002" i="8"/>
  <c r="M2124" i="8"/>
  <c r="N2124" i="8"/>
  <c r="N2131" i="8"/>
  <c r="C2148" i="8"/>
  <c r="N2266" i="8"/>
  <c r="M2127" i="8"/>
  <c r="M2129" i="8"/>
  <c r="M2131" i="8"/>
  <c r="H2136" i="8"/>
  <c r="H2134" i="8"/>
  <c r="D2133" i="8"/>
  <c r="D2138" i="8" s="1"/>
  <c r="D2148" i="8" s="1"/>
  <c r="D2153" i="8" s="1"/>
  <c r="D2175" i="8" s="1"/>
  <c r="D2180" i="8" s="1"/>
  <c r="D2188" i="8" s="1"/>
  <c r="D2246" i="8" s="1"/>
  <c r="D2322" i="8" s="1"/>
  <c r="M2170" i="8"/>
  <c r="C2170" i="8"/>
  <c r="N2170" i="8"/>
  <c r="M2182" i="8"/>
  <c r="C2182" i="8"/>
  <c r="N2182" i="8"/>
  <c r="M2121" i="8"/>
  <c r="M2130" i="8"/>
  <c r="T2133" i="8"/>
  <c r="M2147" i="8"/>
  <c r="C2147" i="8"/>
  <c r="N2147" i="8"/>
  <c r="N2130" i="8"/>
  <c r="C2133" i="8"/>
  <c r="H2135" i="8"/>
  <c r="H2137" i="8"/>
  <c r="C2151" i="8"/>
  <c r="N2151" i="8"/>
  <c r="M2270" i="8"/>
  <c r="C2270" i="8"/>
  <c r="C2138" i="8"/>
  <c r="T2138" i="8"/>
  <c r="C2153" i="8"/>
  <c r="T2153" i="8"/>
  <c r="C2180" i="8"/>
  <c r="T2180" i="8"/>
  <c r="C2246" i="8"/>
  <c r="T2246" i="8"/>
  <c r="H2008" i="8"/>
  <c r="M2008" i="8" s="1"/>
  <c r="N2085" i="8"/>
  <c r="T2017" i="8"/>
  <c r="T2072" i="8"/>
  <c r="M2075" i="8"/>
  <c r="N2086" i="8"/>
  <c r="T1988" i="8"/>
  <c r="H1990" i="8"/>
  <c r="H1991" i="8" s="1"/>
  <c r="C1976" i="8"/>
  <c r="C1970" i="8" s="1"/>
  <c r="H1994" i="8"/>
  <c r="N1994" i="8" s="1"/>
  <c r="C2017" i="8"/>
  <c r="C2072" i="8"/>
  <c r="N2087" i="8"/>
  <c r="N2000" i="8"/>
  <c r="C2000" i="8"/>
  <c r="M1976" i="8"/>
  <c r="M1978" i="8"/>
  <c r="M1980" i="8"/>
  <c r="N1976" i="8"/>
  <c r="N1978" i="8"/>
  <c r="N1980" i="8"/>
  <c r="H2001" i="8"/>
  <c r="H1999" i="8"/>
  <c r="T1997" i="8"/>
  <c r="C1997" i="8"/>
  <c r="H2021" i="8"/>
  <c r="N2020" i="8"/>
  <c r="M2020" i="8"/>
  <c r="C2020" i="8"/>
  <c r="M1971" i="8"/>
  <c r="M1977" i="8"/>
  <c r="M1979" i="8"/>
  <c r="C1982" i="8"/>
  <c r="T1982" i="8"/>
  <c r="N1971" i="8"/>
  <c r="N1977" i="8"/>
  <c r="N1979" i="8"/>
  <c r="D1982" i="8"/>
  <c r="D1988" i="8" s="1"/>
  <c r="D1997" i="8" s="1"/>
  <c r="D2002" i="8" s="1"/>
  <c r="D2013" i="8" s="1"/>
  <c r="D2017" i="8" s="1"/>
  <c r="D2024" i="8" s="1"/>
  <c r="D2072" i="8" s="1"/>
  <c r="D2121" i="8" s="1"/>
  <c r="M2089" i="8"/>
  <c r="C2089" i="8"/>
  <c r="C2013" i="8"/>
  <c r="T2013" i="8"/>
  <c r="C2024" i="8"/>
  <c r="T2024" i="8"/>
  <c r="N2089" i="8"/>
  <c r="N259" i="15"/>
  <c r="N255" i="15"/>
  <c r="N256" i="15"/>
  <c r="N257" i="15"/>
  <c r="N260" i="15"/>
  <c r="N261" i="15"/>
  <c r="N262" i="15"/>
  <c r="N263" i="15"/>
  <c r="N264" i="15"/>
  <c r="N265" i="15"/>
  <c r="N267" i="15"/>
  <c r="C256" i="15"/>
  <c r="Y700" i="4"/>
  <c r="N2178" i="8" l="1"/>
  <c r="C2178" i="8"/>
  <c r="M2178" i="8"/>
  <c r="M2004" i="8"/>
  <c r="N251" i="15"/>
  <c r="G322" i="9" s="1"/>
  <c r="H322" i="9" s="1"/>
  <c r="C270" i="15"/>
  <c r="C271" i="15" s="1"/>
  <c r="C272" i="15" s="1"/>
  <c r="C273" i="15" s="1"/>
  <c r="C274" i="15" s="1"/>
  <c r="C275" i="15" s="1"/>
  <c r="C276" i="15" s="1"/>
  <c r="G13" i="15"/>
  <c r="E58" i="16"/>
  <c r="G58" i="16" s="1"/>
  <c r="N1987" i="8"/>
  <c r="C1987" i="8"/>
  <c r="N1985" i="8"/>
  <c r="C1985" i="8"/>
  <c r="O2087" i="8"/>
  <c r="N1993" i="8"/>
  <c r="O2085" i="8"/>
  <c r="N274" i="15"/>
  <c r="N268" i="15" s="1"/>
  <c r="G339" i="9" s="1"/>
  <c r="H339" i="9" s="1"/>
  <c r="C257" i="15"/>
  <c r="C258" i="15" s="1"/>
  <c r="C259" i="15" s="1"/>
  <c r="C260" i="15" s="1"/>
  <c r="C261" i="15" s="1"/>
  <c r="C262" i="15" s="1"/>
  <c r="C263" i="15" s="1"/>
  <c r="C264" i="15" s="1"/>
  <c r="M2265" i="8"/>
  <c r="M2199" i="8"/>
  <c r="M2197" i="8"/>
  <c r="O2266" i="8"/>
  <c r="M2087" i="8"/>
  <c r="N2199" i="8"/>
  <c r="M2086" i="8"/>
  <c r="C2087" i="8"/>
  <c r="C2265" i="8"/>
  <c r="N2177" i="8"/>
  <c r="M2267" i="8"/>
  <c r="M2177" i="8"/>
  <c r="N2123" i="8"/>
  <c r="C2086" i="8"/>
  <c r="O2265" i="8"/>
  <c r="M2266" i="8"/>
  <c r="C2267" i="8"/>
  <c r="C2197" i="8"/>
  <c r="C2266" i="8"/>
  <c r="O2267" i="8"/>
  <c r="M2085" i="8"/>
  <c r="M2123" i="8"/>
  <c r="C2177" i="8"/>
  <c r="C2004" i="8"/>
  <c r="N2152" i="8"/>
  <c r="C2152" i="8"/>
  <c r="C2085" i="8"/>
  <c r="N2193" i="8"/>
  <c r="M2193" i="8"/>
  <c r="M2150" i="8"/>
  <c r="C2199" i="8"/>
  <c r="C2193" i="8"/>
  <c r="N2150" i="8"/>
  <c r="C2150" i="8"/>
  <c r="M2019" i="8"/>
  <c r="O2086" i="8"/>
  <c r="N2008" i="8"/>
  <c r="M2257" i="8"/>
  <c r="C2257" i="8"/>
  <c r="N2257" i="8"/>
  <c r="N2271" i="8"/>
  <c r="M2271" i="8"/>
  <c r="C2271" i="8"/>
  <c r="N2204" i="8"/>
  <c r="C2204" i="8"/>
  <c r="M2204" i="8"/>
  <c r="O2204" i="8"/>
  <c r="M2210" i="8"/>
  <c r="C2210" i="8"/>
  <c r="N2210" i="8"/>
  <c r="M2140" i="8"/>
  <c r="C2140" i="8"/>
  <c r="N2140" i="8"/>
  <c r="H2168" i="8"/>
  <c r="N2167" i="8"/>
  <c r="M2167" i="8"/>
  <c r="C2167" i="8"/>
  <c r="M2137" i="8"/>
  <c r="C2137" i="8"/>
  <c r="N2137" i="8"/>
  <c r="M2187" i="8"/>
  <c r="C2187" i="8"/>
  <c r="N2187" i="8"/>
  <c r="M2134" i="8"/>
  <c r="C2134" i="8"/>
  <c r="N2134" i="8"/>
  <c r="M2253" i="8"/>
  <c r="C2253" i="8"/>
  <c r="N2253" i="8"/>
  <c r="N2269" i="8"/>
  <c r="M2269" i="8"/>
  <c r="C2269" i="8"/>
  <c r="N2209" i="8"/>
  <c r="M2209" i="8"/>
  <c r="C2209" i="8"/>
  <c r="M2203" i="8"/>
  <c r="C2203" i="8"/>
  <c r="N2203" i="8"/>
  <c r="N2201" i="8"/>
  <c r="M2201" i="8"/>
  <c r="C2201" i="8"/>
  <c r="C2135" i="8"/>
  <c r="N2135" i="8"/>
  <c r="M2136" i="8"/>
  <c r="C2136" i="8"/>
  <c r="N2136" i="8"/>
  <c r="N2278" i="8"/>
  <c r="M2278" i="8"/>
  <c r="C2278" i="8"/>
  <c r="N2258" i="8"/>
  <c r="M2258" i="8"/>
  <c r="C2258" i="8"/>
  <c r="M2207" i="8"/>
  <c r="C2207" i="8"/>
  <c r="N2207" i="8"/>
  <c r="M2198" i="8"/>
  <c r="C2198" i="8"/>
  <c r="N2198" i="8"/>
  <c r="N2206" i="8"/>
  <c r="C2206" i="8"/>
  <c r="O2206" i="8"/>
  <c r="M2206" i="8"/>
  <c r="C2144" i="8"/>
  <c r="N2144" i="8"/>
  <c r="N2171" i="8"/>
  <c r="M2171" i="8"/>
  <c r="C2171" i="8"/>
  <c r="M2263" i="8"/>
  <c r="C2263" i="8"/>
  <c r="N2263" i="8"/>
  <c r="N2254" i="8"/>
  <c r="M2254" i="8"/>
  <c r="C2254" i="8"/>
  <c r="O2205" i="8"/>
  <c r="N2205" i="8"/>
  <c r="C2205" i="8"/>
  <c r="M2205" i="8"/>
  <c r="M2195" i="8"/>
  <c r="C2195" i="8"/>
  <c r="N2195" i="8"/>
  <c r="M2208" i="8"/>
  <c r="C2208" i="8"/>
  <c r="N2208" i="8"/>
  <c r="M2166" i="8"/>
  <c r="C2166" i="8"/>
  <c r="N2166" i="8"/>
  <c r="M2142" i="8"/>
  <c r="C2142" i="8"/>
  <c r="N2142" i="8"/>
  <c r="N2184" i="8"/>
  <c r="M2184" i="8"/>
  <c r="C2184" i="8"/>
  <c r="N2169" i="8"/>
  <c r="M2169" i="8"/>
  <c r="C2169" i="8"/>
  <c r="C2143" i="8"/>
  <c r="N2143" i="8"/>
  <c r="C2008" i="8"/>
  <c r="C1994" i="8"/>
  <c r="M1990" i="8"/>
  <c r="N1990" i="8"/>
  <c r="C1990" i="8"/>
  <c r="N2019" i="8"/>
  <c r="C2019" i="8"/>
  <c r="N2075" i="8"/>
  <c r="C2075" i="8"/>
  <c r="M2084" i="8"/>
  <c r="C2084" i="8"/>
  <c r="N2084" i="8"/>
  <c r="N2090" i="8"/>
  <c r="M2090" i="8"/>
  <c r="C2090" i="8"/>
  <c r="M2033" i="8"/>
  <c r="C2033" i="8"/>
  <c r="N2033" i="8"/>
  <c r="M2031" i="8"/>
  <c r="C2031" i="8"/>
  <c r="N2031" i="8"/>
  <c r="M2044" i="8"/>
  <c r="C2044" i="8"/>
  <c r="N2044" i="8"/>
  <c r="N2030" i="8"/>
  <c r="M2030" i="8"/>
  <c r="C2030" i="8"/>
  <c r="N2009" i="8"/>
  <c r="M2009" i="8"/>
  <c r="C2009" i="8"/>
  <c r="M1983" i="8"/>
  <c r="C1983" i="8"/>
  <c r="N1983" i="8"/>
  <c r="N1970" i="8"/>
  <c r="M1970" i="8"/>
  <c r="M1999" i="8"/>
  <c r="C1999" i="8"/>
  <c r="N1999" i="8"/>
  <c r="N1984" i="8"/>
  <c r="C1984" i="8"/>
  <c r="M2079" i="8"/>
  <c r="C2079" i="8"/>
  <c r="N2079" i="8"/>
  <c r="N2088" i="8"/>
  <c r="M2088" i="8"/>
  <c r="C2088" i="8"/>
  <c r="O2038" i="8"/>
  <c r="N2038" i="8"/>
  <c r="C2038" i="8"/>
  <c r="M2038" i="8"/>
  <c r="M2037" i="8"/>
  <c r="C2037" i="8"/>
  <c r="N2037" i="8"/>
  <c r="N2027" i="8"/>
  <c r="M2027" i="8"/>
  <c r="C2027" i="8"/>
  <c r="N2016" i="8"/>
  <c r="M2016" i="8"/>
  <c r="C2016" i="8"/>
  <c r="M2007" i="8"/>
  <c r="C2007" i="8"/>
  <c r="N2007" i="8"/>
  <c r="M1996" i="8"/>
  <c r="C1996" i="8"/>
  <c r="N1996" i="8"/>
  <c r="C2001" i="8"/>
  <c r="N2001" i="8"/>
  <c r="H1995" i="8"/>
  <c r="N1991" i="8"/>
  <c r="M1991" i="8"/>
  <c r="C1991" i="8"/>
  <c r="N2093" i="8"/>
  <c r="M2093" i="8"/>
  <c r="C2093" i="8"/>
  <c r="N2080" i="8"/>
  <c r="M2080" i="8"/>
  <c r="C2080" i="8"/>
  <c r="N2041" i="8"/>
  <c r="M2041" i="8"/>
  <c r="C2041" i="8"/>
  <c r="N2043" i="8"/>
  <c r="M2043" i="8"/>
  <c r="C2043" i="8"/>
  <c r="N2040" i="8"/>
  <c r="C2040" i="8"/>
  <c r="M2040" i="8"/>
  <c r="O2040" i="8"/>
  <c r="H2010" i="8"/>
  <c r="M2005" i="8"/>
  <c r="C2005" i="8"/>
  <c r="H2006" i="8"/>
  <c r="N2005" i="8"/>
  <c r="N2076" i="8"/>
  <c r="M2076" i="8"/>
  <c r="C2076" i="8"/>
  <c r="M2028" i="8"/>
  <c r="C2028" i="8"/>
  <c r="N2028" i="8"/>
  <c r="O2039" i="8"/>
  <c r="N2039" i="8"/>
  <c r="C2039" i="8"/>
  <c r="M2039" i="8"/>
  <c r="M2042" i="8"/>
  <c r="C2042" i="8"/>
  <c r="N2042" i="8"/>
  <c r="M1992" i="8"/>
  <c r="C1992" i="8"/>
  <c r="N1992" i="8"/>
  <c r="M2021" i="8"/>
  <c r="C2021" i="8"/>
  <c r="H2022" i="8"/>
  <c r="N2021" i="8"/>
  <c r="N1986" i="8"/>
  <c r="M1986" i="8"/>
  <c r="C1986" i="8"/>
  <c r="B33" i="11"/>
  <c r="B34" i="11"/>
  <c r="B36" i="11"/>
  <c r="B37" i="11"/>
  <c r="I1594" i="8"/>
  <c r="M1594" i="8" s="1"/>
  <c r="I1968" i="8"/>
  <c r="I1863" i="8"/>
  <c r="I1579" i="8"/>
  <c r="I1442" i="8"/>
  <c r="I1068" i="8"/>
  <c r="I639" i="8"/>
  <c r="A282" i="10"/>
  <c r="A280" i="10"/>
  <c r="A278" i="10"/>
  <c r="A296" i="10"/>
  <c r="A294" i="10"/>
  <c r="A292" i="10"/>
  <c r="A254" i="10"/>
  <c r="A252" i="10"/>
  <c r="A250" i="10"/>
  <c r="A240" i="10"/>
  <c r="A238" i="10"/>
  <c r="A236" i="10"/>
  <c r="A244" i="10"/>
  <c r="H240" i="10"/>
  <c r="H238" i="10"/>
  <c r="H236" i="10"/>
  <c r="A258" i="10"/>
  <c r="H254" i="10"/>
  <c r="H252" i="10"/>
  <c r="H250" i="10"/>
  <c r="A286" i="10"/>
  <c r="H282" i="10"/>
  <c r="H280" i="10"/>
  <c r="H278" i="10"/>
  <c r="A300" i="10"/>
  <c r="H296" i="10"/>
  <c r="H294" i="10"/>
  <c r="H292" i="10"/>
  <c r="B56" i="11"/>
  <c r="B57" i="11"/>
  <c r="B59" i="11"/>
  <c r="B60" i="11"/>
  <c r="B81" i="11"/>
  <c r="B82" i="11"/>
  <c r="B84" i="11"/>
  <c r="B85" i="11"/>
  <c r="B139" i="11"/>
  <c r="B140" i="11"/>
  <c r="B142" i="11"/>
  <c r="B143" i="11"/>
  <c r="B117" i="11"/>
  <c r="B258" i="9"/>
  <c r="I253" i="9"/>
  <c r="I250" i="9"/>
  <c r="H248" i="9"/>
  <c r="I247" i="9"/>
  <c r="B247" i="9"/>
  <c r="B250" i="9" s="1"/>
  <c r="B120" i="11"/>
  <c r="B116" i="11"/>
  <c r="B119" i="11"/>
  <c r="E1864" i="8"/>
  <c r="B309" i="9"/>
  <c r="I304" i="9"/>
  <c r="I301" i="9"/>
  <c r="H299" i="9"/>
  <c r="I298" i="9"/>
  <c r="B298" i="9"/>
  <c r="B301" i="9" s="1"/>
  <c r="B292" i="9"/>
  <c r="I287" i="9"/>
  <c r="I284" i="9"/>
  <c r="H282" i="9"/>
  <c r="I281" i="9"/>
  <c r="B281" i="9"/>
  <c r="B287" i="9" s="1"/>
  <c r="L324" i="15"/>
  <c r="K324" i="15"/>
  <c r="L322" i="15"/>
  <c r="K322" i="15"/>
  <c r="L321" i="15"/>
  <c r="K321" i="15"/>
  <c r="L320" i="15"/>
  <c r="K320" i="15"/>
  <c r="L319" i="15"/>
  <c r="K319" i="15"/>
  <c r="L318" i="15"/>
  <c r="K318" i="15"/>
  <c r="L317" i="15"/>
  <c r="K317" i="15"/>
  <c r="L316" i="15"/>
  <c r="K316" i="15"/>
  <c r="L315" i="15"/>
  <c r="K315" i="15"/>
  <c r="L314" i="15"/>
  <c r="K314" i="15"/>
  <c r="L313" i="15"/>
  <c r="K313" i="15"/>
  <c r="L312" i="15"/>
  <c r="K312" i="15"/>
  <c r="C312" i="15"/>
  <c r="C313" i="15" s="1"/>
  <c r="C314" i="15" s="1"/>
  <c r="C315" i="15" s="1"/>
  <c r="C316" i="15" s="1"/>
  <c r="C317" i="15" s="1"/>
  <c r="C318" i="15" s="1"/>
  <c r="C319" i="15" s="1"/>
  <c r="C320" i="15" s="1"/>
  <c r="C321" i="15" s="1"/>
  <c r="L310" i="15"/>
  <c r="K310" i="15"/>
  <c r="L309" i="15"/>
  <c r="K309" i="15"/>
  <c r="L308" i="15"/>
  <c r="K308" i="15"/>
  <c r="L307" i="15"/>
  <c r="K307" i="15"/>
  <c r="L306" i="15"/>
  <c r="K306" i="15"/>
  <c r="L305" i="15"/>
  <c r="K305" i="15"/>
  <c r="L304" i="15"/>
  <c r="K304" i="15"/>
  <c r="L303" i="15"/>
  <c r="K303" i="15"/>
  <c r="L302" i="15"/>
  <c r="K302" i="15"/>
  <c r="L301" i="15"/>
  <c r="K301" i="15"/>
  <c r="L300" i="15"/>
  <c r="K300" i="15"/>
  <c r="L299" i="15"/>
  <c r="K299" i="15"/>
  <c r="C299" i="15"/>
  <c r="C300" i="15" s="1"/>
  <c r="C301" i="15" s="1"/>
  <c r="C302" i="15" s="1"/>
  <c r="C303" i="15" s="1"/>
  <c r="C304" i="15" s="1"/>
  <c r="C305" i="15" s="1"/>
  <c r="C306" i="15" s="1"/>
  <c r="C307" i="15" s="1"/>
  <c r="C308" i="15" s="1"/>
  <c r="C309" i="15" s="1"/>
  <c r="C310" i="15" s="1"/>
  <c r="B241" i="9"/>
  <c r="I236" i="9"/>
  <c r="I233" i="9"/>
  <c r="H231" i="9"/>
  <c r="I230" i="9"/>
  <c r="B230" i="9"/>
  <c r="F1931" i="8"/>
  <c r="F1930" i="8"/>
  <c r="F1929" i="8"/>
  <c r="H1941" i="8"/>
  <c r="H1916" i="8"/>
  <c r="H1909" i="8"/>
  <c r="H1911" i="8" s="1"/>
  <c r="H1906" i="8"/>
  <c r="H1908" i="8" s="1"/>
  <c r="H1895" i="8"/>
  <c r="H1890" i="8"/>
  <c r="H1893" i="8" s="1"/>
  <c r="H1881" i="8"/>
  <c r="H1889" i="8" s="1"/>
  <c r="H1876" i="8"/>
  <c r="H1874" i="8"/>
  <c r="N1874" i="8" s="1"/>
  <c r="H1873" i="8"/>
  <c r="C1873" i="8" s="1"/>
  <c r="H1868" i="8"/>
  <c r="C1868" i="8" s="1"/>
  <c r="H1867" i="8"/>
  <c r="N1867" i="8" s="1"/>
  <c r="H1866" i="8"/>
  <c r="N1866" i="8" s="1"/>
  <c r="G1968" i="8"/>
  <c r="F1968" i="8"/>
  <c r="E1968" i="8"/>
  <c r="C1968" i="8"/>
  <c r="I1967" i="8"/>
  <c r="G1967" i="8"/>
  <c r="F1967" i="8"/>
  <c r="E1967" i="8"/>
  <c r="I1966" i="8"/>
  <c r="G1966" i="8"/>
  <c r="F1966" i="8"/>
  <c r="E1966" i="8"/>
  <c r="N1965" i="8"/>
  <c r="I1965" i="8"/>
  <c r="M1965" i="8" s="1"/>
  <c r="G1965" i="8"/>
  <c r="F1965" i="8"/>
  <c r="E1965" i="8"/>
  <c r="C1965" i="8"/>
  <c r="I1964" i="8"/>
  <c r="G1964" i="8"/>
  <c r="F1964" i="8"/>
  <c r="E1964" i="8"/>
  <c r="I1963" i="8"/>
  <c r="G1963" i="8"/>
  <c r="E1963" i="8"/>
  <c r="N1962" i="8"/>
  <c r="I1962" i="8"/>
  <c r="M1962" i="8" s="1"/>
  <c r="G1962" i="8"/>
  <c r="F1962" i="8"/>
  <c r="E1962" i="8"/>
  <c r="C1962" i="8"/>
  <c r="I1961" i="8"/>
  <c r="G1961" i="8"/>
  <c r="F1961" i="8"/>
  <c r="E1961" i="8"/>
  <c r="I1960" i="8"/>
  <c r="G1960" i="8"/>
  <c r="F1960" i="8"/>
  <c r="E1960" i="8"/>
  <c r="I1959" i="8"/>
  <c r="G1959" i="8"/>
  <c r="F1959" i="8"/>
  <c r="E1959" i="8"/>
  <c r="I1958" i="8"/>
  <c r="G1958" i="8"/>
  <c r="F1958" i="8"/>
  <c r="E1958" i="8"/>
  <c r="I1956" i="8"/>
  <c r="G1956" i="8"/>
  <c r="F1956" i="8"/>
  <c r="I1955" i="8"/>
  <c r="G1955" i="8"/>
  <c r="F1955" i="8"/>
  <c r="I1954" i="8"/>
  <c r="G1954" i="8"/>
  <c r="F1954" i="8"/>
  <c r="G1952" i="8"/>
  <c r="E1952" i="8"/>
  <c r="I1951" i="8"/>
  <c r="G1951" i="8"/>
  <c r="F1951" i="8"/>
  <c r="E1951" i="8"/>
  <c r="I1950" i="8"/>
  <c r="G1950" i="8"/>
  <c r="F1950" i="8"/>
  <c r="E1950" i="8"/>
  <c r="I1949" i="8"/>
  <c r="G1949" i="8"/>
  <c r="F1949" i="8"/>
  <c r="I1948" i="8"/>
  <c r="G1948" i="8"/>
  <c r="F1948" i="8"/>
  <c r="I1947" i="8"/>
  <c r="G1947" i="8"/>
  <c r="F1947" i="8"/>
  <c r="E1947" i="8"/>
  <c r="I1946" i="8"/>
  <c r="G1946" i="8"/>
  <c r="F1946" i="8"/>
  <c r="E1946" i="8"/>
  <c r="S1942" i="8"/>
  <c r="T1942" i="8" s="1"/>
  <c r="C1942" i="8"/>
  <c r="S1941" i="8"/>
  <c r="G1940" i="8"/>
  <c r="F1940" i="8"/>
  <c r="E1940" i="8"/>
  <c r="I1939" i="8"/>
  <c r="G1939" i="8"/>
  <c r="F1939" i="8"/>
  <c r="E1939" i="8"/>
  <c r="I1938" i="8"/>
  <c r="G1938" i="8"/>
  <c r="F1938" i="8"/>
  <c r="E1938" i="8"/>
  <c r="N1937" i="8"/>
  <c r="I1937" i="8"/>
  <c r="M1937" i="8" s="1"/>
  <c r="G1937" i="8"/>
  <c r="F1937" i="8"/>
  <c r="E1937" i="8"/>
  <c r="C1937" i="8"/>
  <c r="I1936" i="8"/>
  <c r="G1936" i="8"/>
  <c r="E1936" i="8"/>
  <c r="I1935" i="8"/>
  <c r="G1935" i="8"/>
  <c r="F1935" i="8"/>
  <c r="E1935" i="8"/>
  <c r="I1934" i="8"/>
  <c r="G1934" i="8"/>
  <c r="F1934" i="8"/>
  <c r="E1934" i="8"/>
  <c r="N1933" i="8"/>
  <c r="I1933" i="8"/>
  <c r="M1933" i="8" s="1"/>
  <c r="G1933" i="8"/>
  <c r="F1933" i="8"/>
  <c r="E1933" i="8"/>
  <c r="C1933" i="8"/>
  <c r="I1932" i="8"/>
  <c r="G1932" i="8"/>
  <c r="F1932" i="8"/>
  <c r="E1932" i="8"/>
  <c r="I1931" i="8"/>
  <c r="G1931" i="8"/>
  <c r="E1931" i="8"/>
  <c r="I1930" i="8"/>
  <c r="G1930" i="8"/>
  <c r="E1930" i="8"/>
  <c r="I1929" i="8"/>
  <c r="G1929" i="8"/>
  <c r="E1929" i="8"/>
  <c r="I1928" i="8"/>
  <c r="G1928" i="8"/>
  <c r="F1928" i="8"/>
  <c r="E1928" i="8"/>
  <c r="I1927" i="8"/>
  <c r="G1927" i="8"/>
  <c r="F1927" i="8"/>
  <c r="E1927" i="8"/>
  <c r="I1926" i="8"/>
  <c r="G1926" i="8"/>
  <c r="F1926" i="8"/>
  <c r="E1926" i="8"/>
  <c r="I1925" i="8"/>
  <c r="G1925" i="8"/>
  <c r="F1925" i="8"/>
  <c r="I1924" i="8"/>
  <c r="G1924" i="8"/>
  <c r="F1924" i="8"/>
  <c r="I1922" i="8"/>
  <c r="G1922" i="8"/>
  <c r="F1922" i="8"/>
  <c r="E1922" i="8"/>
  <c r="I1921" i="8"/>
  <c r="G1921" i="8"/>
  <c r="F1921" i="8"/>
  <c r="E1921" i="8"/>
  <c r="I1920" i="8"/>
  <c r="G1920" i="8"/>
  <c r="F1920" i="8"/>
  <c r="E1920" i="8"/>
  <c r="S1917" i="8"/>
  <c r="T1917" i="8" s="1"/>
  <c r="C1917" i="8"/>
  <c r="S1916" i="8"/>
  <c r="I1915" i="8"/>
  <c r="G1915" i="8"/>
  <c r="F1915" i="8"/>
  <c r="E1915" i="8"/>
  <c r="I1914" i="8"/>
  <c r="G1914" i="8"/>
  <c r="F1914" i="8"/>
  <c r="I1913" i="8"/>
  <c r="G1913" i="8"/>
  <c r="F1913" i="8"/>
  <c r="I1912" i="8"/>
  <c r="G1912" i="8"/>
  <c r="F1912" i="8"/>
  <c r="I1911" i="8"/>
  <c r="G1911" i="8"/>
  <c r="F1911" i="8"/>
  <c r="E1911" i="8"/>
  <c r="S1910" i="8"/>
  <c r="T1910" i="8" s="1"/>
  <c r="C1910" i="8"/>
  <c r="S1909" i="8"/>
  <c r="G1908" i="8"/>
  <c r="E1908" i="8"/>
  <c r="S1907" i="8"/>
  <c r="T1907" i="8" s="1"/>
  <c r="C1907" i="8"/>
  <c r="S1906" i="8"/>
  <c r="I1905" i="8"/>
  <c r="G1905" i="8"/>
  <c r="E1905" i="8"/>
  <c r="I1904" i="8"/>
  <c r="G1904" i="8"/>
  <c r="E1904" i="8"/>
  <c r="I1903" i="8"/>
  <c r="G1903" i="8"/>
  <c r="F1903" i="8"/>
  <c r="E1903" i="8"/>
  <c r="I1902" i="8"/>
  <c r="G1902" i="8"/>
  <c r="F1902" i="8"/>
  <c r="E1902" i="8"/>
  <c r="I1901" i="8"/>
  <c r="G1901" i="8"/>
  <c r="F1901" i="8"/>
  <c r="E1901" i="8"/>
  <c r="I1900" i="8"/>
  <c r="G1900" i="8"/>
  <c r="F1900" i="8"/>
  <c r="E1900" i="8"/>
  <c r="I1899" i="8"/>
  <c r="G1899" i="8"/>
  <c r="F1899" i="8"/>
  <c r="E1899" i="8"/>
  <c r="I1898" i="8"/>
  <c r="G1898" i="8"/>
  <c r="F1898" i="8"/>
  <c r="E1898" i="8"/>
  <c r="I1897" i="8"/>
  <c r="G1897" i="8"/>
  <c r="F1897" i="8"/>
  <c r="E1897" i="8"/>
  <c r="S1896" i="8"/>
  <c r="T1896" i="8" s="1"/>
  <c r="C1896" i="8"/>
  <c r="S1895" i="8"/>
  <c r="G1894" i="8"/>
  <c r="F1894" i="8"/>
  <c r="E1894" i="8"/>
  <c r="G1893" i="8"/>
  <c r="F1893" i="8"/>
  <c r="E1893" i="8"/>
  <c r="I1892" i="8"/>
  <c r="G1892" i="8"/>
  <c r="F1892" i="8"/>
  <c r="E1892" i="8"/>
  <c r="S1891" i="8"/>
  <c r="T1891" i="8" s="1"/>
  <c r="C1891" i="8"/>
  <c r="S1890" i="8"/>
  <c r="I1889" i="8"/>
  <c r="G1889" i="8"/>
  <c r="F1889" i="8"/>
  <c r="E1889" i="8"/>
  <c r="G1888" i="8"/>
  <c r="F1888" i="8"/>
  <c r="E1888" i="8"/>
  <c r="G1887" i="8"/>
  <c r="F1887" i="8"/>
  <c r="E1887" i="8"/>
  <c r="G1886" i="8"/>
  <c r="F1886" i="8"/>
  <c r="E1886" i="8"/>
  <c r="I1885" i="8"/>
  <c r="G1885" i="8"/>
  <c r="F1885" i="8"/>
  <c r="E1885" i="8"/>
  <c r="I1884" i="8"/>
  <c r="G1884" i="8"/>
  <c r="F1884" i="8"/>
  <c r="E1884" i="8"/>
  <c r="I1883" i="8"/>
  <c r="G1883" i="8"/>
  <c r="F1883" i="8"/>
  <c r="E1883" i="8"/>
  <c r="S1882" i="8"/>
  <c r="T1882" i="8" s="1"/>
  <c r="C1882" i="8"/>
  <c r="S1881" i="8"/>
  <c r="I1880" i="8"/>
  <c r="G1880" i="8"/>
  <c r="F1880" i="8"/>
  <c r="E1880" i="8"/>
  <c r="I1879" i="8"/>
  <c r="G1879" i="8"/>
  <c r="F1879" i="8"/>
  <c r="E1879" i="8"/>
  <c r="I1878" i="8"/>
  <c r="G1878" i="8"/>
  <c r="F1878" i="8"/>
  <c r="E1878" i="8"/>
  <c r="I1877" i="8"/>
  <c r="G1877" i="8"/>
  <c r="F1877" i="8"/>
  <c r="E1877" i="8"/>
  <c r="S1876" i="8"/>
  <c r="S1875" i="8"/>
  <c r="A1875" i="8"/>
  <c r="I1874" i="8"/>
  <c r="G1874" i="8"/>
  <c r="F1874" i="8"/>
  <c r="E1874" i="8"/>
  <c r="I1873" i="8"/>
  <c r="G1873" i="8"/>
  <c r="F1873" i="8"/>
  <c r="E1873" i="8"/>
  <c r="N1872" i="8"/>
  <c r="I1872" i="8"/>
  <c r="M1872" i="8" s="1"/>
  <c r="G1872" i="8"/>
  <c r="F1872" i="8"/>
  <c r="E1872" i="8"/>
  <c r="C1872" i="8"/>
  <c r="I1868" i="8"/>
  <c r="G1868" i="8"/>
  <c r="F1868" i="8"/>
  <c r="E1868" i="8"/>
  <c r="I1867" i="8"/>
  <c r="G1867" i="8"/>
  <c r="F1867" i="8"/>
  <c r="E1867" i="8"/>
  <c r="I1866" i="8"/>
  <c r="G1866" i="8"/>
  <c r="F1866" i="8"/>
  <c r="E1866" i="8"/>
  <c r="S1865" i="8"/>
  <c r="A1865" i="8"/>
  <c r="S1864" i="8"/>
  <c r="T1864" i="8" s="1"/>
  <c r="H1693" i="8"/>
  <c r="C1693" i="8" s="1"/>
  <c r="E1691" i="8"/>
  <c r="C1579" i="8"/>
  <c r="C1863" i="8"/>
  <c r="H1755" i="8"/>
  <c r="H1748" i="8"/>
  <c r="H1744" i="8"/>
  <c r="H1722" i="8"/>
  <c r="H1717" i="8"/>
  <c r="H1720" i="8" s="1"/>
  <c r="H1708" i="8"/>
  <c r="H1714" i="8" s="1"/>
  <c r="C1714" i="8" s="1"/>
  <c r="H1703" i="8"/>
  <c r="H1704" i="8" s="1"/>
  <c r="H1701" i="8"/>
  <c r="C1701" i="8" s="1"/>
  <c r="H1700" i="8"/>
  <c r="C1700" i="8" s="1"/>
  <c r="H1695" i="8"/>
  <c r="H1694" i="8"/>
  <c r="G1863" i="8"/>
  <c r="F1863" i="8"/>
  <c r="E1863" i="8"/>
  <c r="I1832" i="8"/>
  <c r="G1832" i="8"/>
  <c r="F1832" i="8"/>
  <c r="E1832" i="8"/>
  <c r="I1831" i="8"/>
  <c r="G1831" i="8"/>
  <c r="F1831" i="8"/>
  <c r="E1831" i="8"/>
  <c r="N1830" i="8"/>
  <c r="I1830" i="8"/>
  <c r="M1830" i="8" s="1"/>
  <c r="G1830" i="8"/>
  <c r="F1830" i="8"/>
  <c r="E1830" i="8"/>
  <c r="C1830" i="8"/>
  <c r="I1829" i="8"/>
  <c r="G1829" i="8"/>
  <c r="E1829" i="8"/>
  <c r="N1828" i="8"/>
  <c r="I1828" i="8"/>
  <c r="M1828" i="8" s="1"/>
  <c r="G1828" i="8"/>
  <c r="F1828" i="8"/>
  <c r="E1828" i="8"/>
  <c r="C1828" i="8"/>
  <c r="I1827" i="8"/>
  <c r="G1827" i="8"/>
  <c r="F1827" i="8"/>
  <c r="E1827" i="8"/>
  <c r="I1826" i="8"/>
  <c r="G1826" i="8"/>
  <c r="F1826" i="8"/>
  <c r="E1826" i="8"/>
  <c r="I1825" i="8"/>
  <c r="G1825" i="8"/>
  <c r="F1825" i="8"/>
  <c r="E1825" i="8"/>
  <c r="I1824" i="8"/>
  <c r="G1824" i="8"/>
  <c r="F1824" i="8"/>
  <c r="E1824" i="8"/>
  <c r="I1822" i="8"/>
  <c r="G1822" i="8"/>
  <c r="F1822" i="8"/>
  <c r="I1821" i="8"/>
  <c r="G1821" i="8"/>
  <c r="F1821" i="8"/>
  <c r="I1820" i="8"/>
  <c r="G1820" i="8"/>
  <c r="F1820" i="8"/>
  <c r="G1818" i="8"/>
  <c r="E1818" i="8"/>
  <c r="I1817" i="8"/>
  <c r="G1817" i="8"/>
  <c r="F1817" i="8"/>
  <c r="E1817" i="8"/>
  <c r="I1815" i="8"/>
  <c r="G1815" i="8"/>
  <c r="F1815" i="8"/>
  <c r="E1815" i="8"/>
  <c r="I1814" i="8"/>
  <c r="G1814" i="8"/>
  <c r="F1814" i="8"/>
  <c r="I1812" i="8"/>
  <c r="G1812" i="8"/>
  <c r="F1812" i="8"/>
  <c r="I1811" i="8"/>
  <c r="G1811" i="8"/>
  <c r="F1811" i="8"/>
  <c r="E1811" i="8"/>
  <c r="I1809" i="8"/>
  <c r="G1809" i="8"/>
  <c r="F1809" i="8"/>
  <c r="E1809" i="8"/>
  <c r="S1804" i="8"/>
  <c r="T1804" i="8" s="1"/>
  <c r="C1804" i="8"/>
  <c r="S1803" i="8"/>
  <c r="G1780" i="8"/>
  <c r="F1780" i="8"/>
  <c r="E1780" i="8"/>
  <c r="I1779" i="8"/>
  <c r="G1779" i="8"/>
  <c r="F1779" i="8"/>
  <c r="E1779" i="8"/>
  <c r="I1778" i="8"/>
  <c r="G1778" i="8"/>
  <c r="F1778" i="8"/>
  <c r="E1778" i="8"/>
  <c r="N1777" i="8"/>
  <c r="I1777" i="8"/>
  <c r="M1777" i="8" s="1"/>
  <c r="G1777" i="8"/>
  <c r="F1777" i="8"/>
  <c r="E1777" i="8"/>
  <c r="C1777" i="8"/>
  <c r="I1776" i="8"/>
  <c r="G1776" i="8"/>
  <c r="E1776" i="8"/>
  <c r="I1775" i="8"/>
  <c r="G1775" i="8"/>
  <c r="F1775" i="8"/>
  <c r="E1775" i="8"/>
  <c r="I1774" i="8"/>
  <c r="G1774" i="8"/>
  <c r="F1774" i="8"/>
  <c r="E1774" i="8"/>
  <c r="N1773" i="8"/>
  <c r="I1773" i="8"/>
  <c r="M1773" i="8" s="1"/>
  <c r="G1773" i="8"/>
  <c r="F1773" i="8"/>
  <c r="E1773" i="8"/>
  <c r="C1773" i="8"/>
  <c r="I1772" i="8"/>
  <c r="G1772" i="8"/>
  <c r="F1772" i="8"/>
  <c r="E1772" i="8"/>
  <c r="I1771" i="8"/>
  <c r="G1771" i="8"/>
  <c r="E1771" i="8"/>
  <c r="I1770" i="8"/>
  <c r="G1770" i="8"/>
  <c r="E1770" i="8"/>
  <c r="I1769" i="8"/>
  <c r="G1769" i="8"/>
  <c r="E1769" i="8"/>
  <c r="I1768" i="8"/>
  <c r="G1768" i="8"/>
  <c r="F1768" i="8"/>
  <c r="E1768" i="8"/>
  <c r="I1767" i="8"/>
  <c r="G1767" i="8"/>
  <c r="F1767" i="8"/>
  <c r="E1767" i="8"/>
  <c r="I1766" i="8"/>
  <c r="G1766" i="8"/>
  <c r="F1766" i="8"/>
  <c r="E1766" i="8"/>
  <c r="I1765" i="8"/>
  <c r="G1765" i="8"/>
  <c r="F1765" i="8"/>
  <c r="E1765" i="8"/>
  <c r="I1764" i="8"/>
  <c r="G1764" i="8"/>
  <c r="F1764" i="8"/>
  <c r="I1762" i="8"/>
  <c r="G1762" i="8"/>
  <c r="F1762" i="8"/>
  <c r="E1762" i="8"/>
  <c r="I1761" i="8"/>
  <c r="G1761" i="8"/>
  <c r="F1761" i="8"/>
  <c r="E1761" i="8"/>
  <c r="I1760" i="8"/>
  <c r="G1760" i="8"/>
  <c r="F1760" i="8"/>
  <c r="E1760" i="8"/>
  <c r="S1756" i="8"/>
  <c r="T1756" i="8" s="1"/>
  <c r="C1756" i="8"/>
  <c r="S1755" i="8"/>
  <c r="I1754" i="8"/>
  <c r="G1754" i="8"/>
  <c r="F1754" i="8"/>
  <c r="E1754" i="8"/>
  <c r="I1753" i="8"/>
  <c r="G1753" i="8"/>
  <c r="F1753" i="8"/>
  <c r="I1752" i="8"/>
  <c r="G1752" i="8"/>
  <c r="F1752" i="8"/>
  <c r="I1751" i="8"/>
  <c r="G1751" i="8"/>
  <c r="F1751" i="8"/>
  <c r="I1750" i="8"/>
  <c r="G1750" i="8"/>
  <c r="F1750" i="8"/>
  <c r="E1750" i="8"/>
  <c r="S1749" i="8"/>
  <c r="T1749" i="8" s="1"/>
  <c r="C1749" i="8"/>
  <c r="S1748" i="8"/>
  <c r="G1747" i="8"/>
  <c r="E1747" i="8"/>
  <c r="S1745" i="8"/>
  <c r="T1745" i="8" s="1"/>
  <c r="C1745" i="8"/>
  <c r="S1744" i="8"/>
  <c r="I1733" i="8"/>
  <c r="G1733" i="8"/>
  <c r="E1733" i="8"/>
  <c r="I1732" i="8"/>
  <c r="G1732" i="8"/>
  <c r="E1732" i="8"/>
  <c r="I1731" i="8"/>
  <c r="G1731" i="8"/>
  <c r="F1731" i="8"/>
  <c r="E1731" i="8"/>
  <c r="I1730" i="8"/>
  <c r="G1730" i="8"/>
  <c r="F1730" i="8"/>
  <c r="E1730" i="8"/>
  <c r="I1729" i="8"/>
  <c r="G1729" i="8"/>
  <c r="F1729" i="8"/>
  <c r="E1729" i="8"/>
  <c r="I1728" i="8"/>
  <c r="G1728" i="8"/>
  <c r="F1728" i="8"/>
  <c r="E1728" i="8"/>
  <c r="I1727" i="8"/>
  <c r="G1727" i="8"/>
  <c r="F1727" i="8"/>
  <c r="E1727" i="8"/>
  <c r="I1726" i="8"/>
  <c r="G1726" i="8"/>
  <c r="F1726" i="8"/>
  <c r="E1726" i="8"/>
  <c r="I1725" i="8"/>
  <c r="G1725" i="8"/>
  <c r="F1725" i="8"/>
  <c r="E1725" i="8"/>
  <c r="S1723" i="8"/>
  <c r="T1723" i="8" s="1"/>
  <c r="C1723" i="8"/>
  <c r="S1722" i="8"/>
  <c r="G1721" i="8"/>
  <c r="F1721" i="8"/>
  <c r="E1721" i="8"/>
  <c r="G1720" i="8"/>
  <c r="F1720" i="8"/>
  <c r="E1720" i="8"/>
  <c r="I1719" i="8"/>
  <c r="G1719" i="8"/>
  <c r="F1719" i="8"/>
  <c r="E1719" i="8"/>
  <c r="S1718" i="8"/>
  <c r="T1718" i="8" s="1"/>
  <c r="C1718" i="8"/>
  <c r="S1717" i="8"/>
  <c r="I1716" i="8"/>
  <c r="G1716" i="8"/>
  <c r="F1716" i="8"/>
  <c r="E1716" i="8"/>
  <c r="G1715" i="8"/>
  <c r="F1715" i="8"/>
  <c r="E1715" i="8"/>
  <c r="G1714" i="8"/>
  <c r="F1714" i="8"/>
  <c r="E1714" i="8"/>
  <c r="G1713" i="8"/>
  <c r="F1713" i="8"/>
  <c r="E1713" i="8"/>
  <c r="I1712" i="8"/>
  <c r="G1712" i="8"/>
  <c r="F1712" i="8"/>
  <c r="E1712" i="8"/>
  <c r="I1711" i="8"/>
  <c r="G1711" i="8"/>
  <c r="F1711" i="8"/>
  <c r="E1711" i="8"/>
  <c r="I1710" i="8"/>
  <c r="G1710" i="8"/>
  <c r="F1710" i="8"/>
  <c r="E1710" i="8"/>
  <c r="S1709" i="8"/>
  <c r="T1709" i="8" s="1"/>
  <c r="C1709" i="8"/>
  <c r="S1708" i="8"/>
  <c r="I1707" i="8"/>
  <c r="G1707" i="8"/>
  <c r="F1707" i="8"/>
  <c r="E1707" i="8"/>
  <c r="I1706" i="8"/>
  <c r="G1706" i="8"/>
  <c r="F1706" i="8"/>
  <c r="E1706" i="8"/>
  <c r="I1705" i="8"/>
  <c r="G1705" i="8"/>
  <c r="F1705" i="8"/>
  <c r="E1705" i="8"/>
  <c r="I1704" i="8"/>
  <c r="G1704" i="8"/>
  <c r="F1704" i="8"/>
  <c r="E1704" i="8"/>
  <c r="S1703" i="8"/>
  <c r="C1703" i="8"/>
  <c r="S1702" i="8"/>
  <c r="A1702" i="8"/>
  <c r="I1701" i="8"/>
  <c r="G1701" i="8"/>
  <c r="F1701" i="8"/>
  <c r="E1701" i="8"/>
  <c r="I1700" i="8"/>
  <c r="G1700" i="8"/>
  <c r="F1700" i="8"/>
  <c r="E1700" i="8"/>
  <c r="I1699" i="8"/>
  <c r="M1699" i="8" s="1"/>
  <c r="G1699" i="8"/>
  <c r="F1699" i="8"/>
  <c r="E1699" i="8"/>
  <c r="C1699" i="8"/>
  <c r="I1695" i="8"/>
  <c r="G1695" i="8"/>
  <c r="F1695" i="8"/>
  <c r="E1695" i="8"/>
  <c r="I1694" i="8"/>
  <c r="M1694" i="8" s="1"/>
  <c r="G1694" i="8"/>
  <c r="F1694" i="8"/>
  <c r="E1694" i="8"/>
  <c r="C1694" i="8"/>
  <c r="I1693" i="8"/>
  <c r="G1693" i="8"/>
  <c r="F1693" i="8"/>
  <c r="E1693" i="8"/>
  <c r="S1692" i="8"/>
  <c r="A1692" i="8"/>
  <c r="S1691" i="8"/>
  <c r="T1691" i="8" s="1"/>
  <c r="H1496" i="8"/>
  <c r="H1489" i="8"/>
  <c r="H1491" i="8" s="1"/>
  <c r="H1485" i="8"/>
  <c r="H1474" i="8"/>
  <c r="H1469" i="8"/>
  <c r="C1469" i="8" s="1"/>
  <c r="H1460" i="8"/>
  <c r="C1460" i="8" s="1"/>
  <c r="H1455" i="8"/>
  <c r="H1456" i="8" s="1"/>
  <c r="H1453" i="8"/>
  <c r="N1453" i="8" s="1"/>
  <c r="H1452" i="8"/>
  <c r="C1452" i="8" s="1"/>
  <c r="N1451" i="8"/>
  <c r="H1447" i="8"/>
  <c r="C1447" i="8" s="1"/>
  <c r="H1446" i="8"/>
  <c r="C1446" i="8" s="1"/>
  <c r="H1445" i="8"/>
  <c r="C1445" i="8" s="1"/>
  <c r="E1443" i="8"/>
  <c r="G1579" i="8"/>
  <c r="F1579" i="8"/>
  <c r="E1579" i="8"/>
  <c r="I1557" i="8"/>
  <c r="G1557" i="8"/>
  <c r="F1557" i="8"/>
  <c r="E1557" i="8"/>
  <c r="I1556" i="8"/>
  <c r="G1556" i="8"/>
  <c r="F1556" i="8"/>
  <c r="E1556" i="8"/>
  <c r="N1555" i="8"/>
  <c r="I1555" i="8"/>
  <c r="M1555" i="8" s="1"/>
  <c r="G1555" i="8"/>
  <c r="F1555" i="8"/>
  <c r="E1555" i="8"/>
  <c r="C1555" i="8"/>
  <c r="I1554" i="8"/>
  <c r="G1554" i="8"/>
  <c r="E1554" i="8"/>
  <c r="I1553" i="8"/>
  <c r="G1553" i="8"/>
  <c r="F1553" i="8"/>
  <c r="E1553" i="8"/>
  <c r="I1552" i="8"/>
  <c r="G1552" i="8"/>
  <c r="F1552" i="8"/>
  <c r="E1552" i="8"/>
  <c r="I1551" i="8"/>
  <c r="G1551" i="8"/>
  <c r="F1551" i="8"/>
  <c r="E1551" i="8"/>
  <c r="I1550" i="8"/>
  <c r="G1550" i="8"/>
  <c r="F1550" i="8"/>
  <c r="E1550" i="8"/>
  <c r="I1549" i="8"/>
  <c r="G1549" i="8"/>
  <c r="F1549" i="8"/>
  <c r="I1548" i="8"/>
  <c r="G1548" i="8"/>
  <c r="F1548" i="8"/>
  <c r="I1547" i="8"/>
  <c r="G1547" i="8"/>
  <c r="I1545" i="8"/>
  <c r="G1545" i="8"/>
  <c r="F1545" i="8"/>
  <c r="E1545" i="8"/>
  <c r="I1544" i="8"/>
  <c r="G1544" i="8"/>
  <c r="F1544" i="8"/>
  <c r="S1540" i="8"/>
  <c r="T1540" i="8" s="1"/>
  <c r="S1539" i="8"/>
  <c r="G1518" i="8"/>
  <c r="F1518" i="8"/>
  <c r="E1518" i="8"/>
  <c r="I1517" i="8"/>
  <c r="G1517" i="8"/>
  <c r="F1517" i="8"/>
  <c r="E1517" i="8"/>
  <c r="I1516" i="8"/>
  <c r="G1516" i="8"/>
  <c r="F1516" i="8"/>
  <c r="E1516" i="8"/>
  <c r="I1515" i="8"/>
  <c r="G1515" i="8"/>
  <c r="E1515" i="8"/>
  <c r="I1514" i="8"/>
  <c r="G1514" i="8"/>
  <c r="F1514" i="8"/>
  <c r="E1514" i="8"/>
  <c r="I1513" i="8"/>
  <c r="G1513" i="8"/>
  <c r="F1513" i="8"/>
  <c r="E1513" i="8"/>
  <c r="N1512" i="8"/>
  <c r="I1512" i="8"/>
  <c r="M1512" i="8" s="1"/>
  <c r="G1512" i="8"/>
  <c r="F1512" i="8"/>
  <c r="E1512" i="8"/>
  <c r="C1512" i="8"/>
  <c r="I1511" i="8"/>
  <c r="G1511" i="8"/>
  <c r="E1511" i="8"/>
  <c r="I1510" i="8"/>
  <c r="G1510" i="8"/>
  <c r="E1510" i="8"/>
  <c r="I1509" i="8"/>
  <c r="G1509" i="8"/>
  <c r="E1509" i="8"/>
  <c r="G1508" i="8"/>
  <c r="E1508" i="8"/>
  <c r="I1507" i="8"/>
  <c r="G1507" i="8"/>
  <c r="F1507" i="8"/>
  <c r="E1507" i="8"/>
  <c r="I1506" i="8"/>
  <c r="G1506" i="8"/>
  <c r="F1506" i="8"/>
  <c r="E1506" i="8"/>
  <c r="I1505" i="8"/>
  <c r="G1505" i="8"/>
  <c r="F1505" i="8"/>
  <c r="E1505" i="8"/>
  <c r="I1504" i="8"/>
  <c r="G1504" i="8"/>
  <c r="F1504" i="8"/>
  <c r="I1503" i="8"/>
  <c r="G1503" i="8"/>
  <c r="F1503" i="8"/>
  <c r="E1503" i="8"/>
  <c r="G1501" i="8"/>
  <c r="E1501" i="8"/>
  <c r="I1499" i="8"/>
  <c r="G1499" i="8"/>
  <c r="F1499" i="8"/>
  <c r="E1499" i="8"/>
  <c r="S1497" i="8"/>
  <c r="T1497" i="8" s="1"/>
  <c r="S1496" i="8"/>
  <c r="I1495" i="8"/>
  <c r="G1495" i="8"/>
  <c r="F1495" i="8"/>
  <c r="E1495" i="8"/>
  <c r="I1494" i="8"/>
  <c r="G1494" i="8"/>
  <c r="F1494" i="8"/>
  <c r="I1493" i="8"/>
  <c r="G1493" i="8"/>
  <c r="F1493" i="8"/>
  <c r="I1492" i="8"/>
  <c r="G1492" i="8"/>
  <c r="F1492" i="8"/>
  <c r="I1491" i="8"/>
  <c r="G1491" i="8"/>
  <c r="F1491" i="8"/>
  <c r="E1491" i="8"/>
  <c r="S1490" i="8"/>
  <c r="T1490" i="8" s="1"/>
  <c r="C1490" i="8"/>
  <c r="S1489" i="8"/>
  <c r="I1487" i="8"/>
  <c r="G1487" i="8"/>
  <c r="F1487" i="8"/>
  <c r="E1487" i="8"/>
  <c r="S1486" i="8"/>
  <c r="T1486" i="8" s="1"/>
  <c r="C1486" i="8"/>
  <c r="S1485" i="8"/>
  <c r="I1484" i="8"/>
  <c r="G1484" i="8"/>
  <c r="E1484" i="8"/>
  <c r="I1483" i="8"/>
  <c r="G1483" i="8"/>
  <c r="E1483" i="8"/>
  <c r="I1482" i="8"/>
  <c r="G1482" i="8"/>
  <c r="F1482" i="8"/>
  <c r="E1482" i="8"/>
  <c r="I1481" i="8"/>
  <c r="G1481" i="8"/>
  <c r="F1481" i="8"/>
  <c r="E1481" i="8"/>
  <c r="I1480" i="8"/>
  <c r="G1480" i="8"/>
  <c r="F1480" i="8"/>
  <c r="E1480" i="8"/>
  <c r="I1479" i="8"/>
  <c r="G1479" i="8"/>
  <c r="F1479" i="8"/>
  <c r="E1479" i="8"/>
  <c r="I1478" i="8"/>
  <c r="G1478" i="8"/>
  <c r="F1478" i="8"/>
  <c r="E1478" i="8"/>
  <c r="I1477" i="8"/>
  <c r="G1477" i="8"/>
  <c r="F1477" i="8"/>
  <c r="E1477" i="8"/>
  <c r="I1476" i="8"/>
  <c r="G1476" i="8"/>
  <c r="F1476" i="8"/>
  <c r="E1476" i="8"/>
  <c r="S1475" i="8"/>
  <c r="T1475" i="8" s="1"/>
  <c r="C1475" i="8"/>
  <c r="S1474" i="8"/>
  <c r="G1473" i="8"/>
  <c r="F1473" i="8"/>
  <c r="E1473" i="8"/>
  <c r="G1472" i="8"/>
  <c r="F1472" i="8"/>
  <c r="E1472" i="8"/>
  <c r="I1471" i="8"/>
  <c r="G1471" i="8"/>
  <c r="F1471" i="8"/>
  <c r="E1471" i="8"/>
  <c r="S1470" i="8"/>
  <c r="T1470" i="8" s="1"/>
  <c r="C1470" i="8"/>
  <c r="S1469" i="8"/>
  <c r="I1468" i="8"/>
  <c r="G1468" i="8"/>
  <c r="F1468" i="8"/>
  <c r="E1468" i="8"/>
  <c r="G1467" i="8"/>
  <c r="F1467" i="8"/>
  <c r="E1467" i="8"/>
  <c r="G1466" i="8"/>
  <c r="F1466" i="8"/>
  <c r="E1466" i="8"/>
  <c r="G1465" i="8"/>
  <c r="F1465" i="8"/>
  <c r="E1465" i="8"/>
  <c r="I1464" i="8"/>
  <c r="G1464" i="8"/>
  <c r="F1464" i="8"/>
  <c r="E1464" i="8"/>
  <c r="I1463" i="8"/>
  <c r="G1463" i="8"/>
  <c r="F1463" i="8"/>
  <c r="E1463" i="8"/>
  <c r="I1462" i="8"/>
  <c r="G1462" i="8"/>
  <c r="F1462" i="8"/>
  <c r="E1462" i="8"/>
  <c r="S1461" i="8"/>
  <c r="T1461" i="8" s="1"/>
  <c r="C1461" i="8"/>
  <c r="S1460" i="8"/>
  <c r="I1459" i="8"/>
  <c r="G1459" i="8"/>
  <c r="F1459" i="8"/>
  <c r="E1459" i="8"/>
  <c r="I1458" i="8"/>
  <c r="G1458" i="8"/>
  <c r="F1458" i="8"/>
  <c r="E1458" i="8"/>
  <c r="I1457" i="8"/>
  <c r="G1457" i="8"/>
  <c r="F1457" i="8"/>
  <c r="E1457" i="8"/>
  <c r="I1456" i="8"/>
  <c r="G1456" i="8"/>
  <c r="F1456" i="8"/>
  <c r="E1456" i="8"/>
  <c r="S1455" i="8"/>
  <c r="S1454" i="8"/>
  <c r="A1454" i="8"/>
  <c r="I1453" i="8"/>
  <c r="G1453" i="8"/>
  <c r="F1453" i="8"/>
  <c r="E1453" i="8"/>
  <c r="I1452" i="8"/>
  <c r="G1452" i="8"/>
  <c r="F1452" i="8"/>
  <c r="E1452" i="8"/>
  <c r="I1451" i="8"/>
  <c r="G1451" i="8"/>
  <c r="F1451" i="8"/>
  <c r="E1451" i="8"/>
  <c r="I1447" i="8"/>
  <c r="G1447" i="8"/>
  <c r="F1447" i="8"/>
  <c r="E1447" i="8"/>
  <c r="I1446" i="8"/>
  <c r="G1446" i="8"/>
  <c r="F1446" i="8"/>
  <c r="E1446" i="8"/>
  <c r="I1445" i="8"/>
  <c r="G1445" i="8"/>
  <c r="F1445" i="8"/>
  <c r="E1445" i="8"/>
  <c r="S1444" i="8"/>
  <c r="A1444" i="8"/>
  <c r="S1443" i="8"/>
  <c r="T1443" i="8" s="1"/>
  <c r="H1442" i="8"/>
  <c r="C1442" i="8" s="1"/>
  <c r="H1418" i="8"/>
  <c r="H1396" i="8"/>
  <c r="H1399" i="8" s="1"/>
  <c r="H1389" i="8"/>
  <c r="H1392" i="8" s="1"/>
  <c r="H1386" i="8"/>
  <c r="C1386" i="8" s="1"/>
  <c r="H1375" i="8"/>
  <c r="H1370" i="8"/>
  <c r="H1373" i="8" s="1"/>
  <c r="C1373" i="8" s="1"/>
  <c r="H1361" i="8"/>
  <c r="H1367" i="8" s="1"/>
  <c r="H1356" i="8"/>
  <c r="H1354" i="8"/>
  <c r="C1354" i="8" s="1"/>
  <c r="H1353" i="8"/>
  <c r="C1353" i="8" s="1"/>
  <c r="N1352" i="8"/>
  <c r="H1348" i="8"/>
  <c r="H1347" i="8"/>
  <c r="H1346" i="8"/>
  <c r="E1344" i="8"/>
  <c r="A1355" i="8"/>
  <c r="G1442" i="8"/>
  <c r="F1442" i="8"/>
  <c r="E1442" i="8"/>
  <c r="I1441" i="8"/>
  <c r="G1441" i="8"/>
  <c r="F1441" i="8"/>
  <c r="E1441" i="8"/>
  <c r="I1440" i="8"/>
  <c r="G1440" i="8"/>
  <c r="F1440" i="8"/>
  <c r="E1440" i="8"/>
  <c r="N1439" i="8"/>
  <c r="I1439" i="8"/>
  <c r="M1439" i="8" s="1"/>
  <c r="G1439" i="8"/>
  <c r="F1439" i="8"/>
  <c r="E1439" i="8"/>
  <c r="C1439" i="8"/>
  <c r="I1438" i="8"/>
  <c r="G1438" i="8"/>
  <c r="F1438" i="8"/>
  <c r="E1438" i="8"/>
  <c r="I1437" i="8"/>
  <c r="G1437" i="8"/>
  <c r="F1437" i="8"/>
  <c r="E1437" i="8"/>
  <c r="C1437" i="8"/>
  <c r="N1436" i="8"/>
  <c r="I1436" i="8"/>
  <c r="M1436" i="8" s="1"/>
  <c r="G1436" i="8"/>
  <c r="F1436" i="8"/>
  <c r="C1436" i="8"/>
  <c r="I1435" i="8"/>
  <c r="G1435" i="8"/>
  <c r="E1435" i="8"/>
  <c r="N1434" i="8"/>
  <c r="I1434" i="8"/>
  <c r="M1434" i="8" s="1"/>
  <c r="G1434" i="8"/>
  <c r="F1434" i="8"/>
  <c r="E1434" i="8"/>
  <c r="C1434" i="8"/>
  <c r="I1433" i="8"/>
  <c r="G1433" i="8"/>
  <c r="F1433" i="8"/>
  <c r="E1433" i="8"/>
  <c r="I1432" i="8"/>
  <c r="G1432" i="8"/>
  <c r="F1432" i="8"/>
  <c r="E1432" i="8"/>
  <c r="I1431" i="8"/>
  <c r="G1431" i="8"/>
  <c r="F1431" i="8"/>
  <c r="E1431" i="8"/>
  <c r="I1430" i="8"/>
  <c r="G1430" i="8"/>
  <c r="F1430" i="8"/>
  <c r="E1430" i="8"/>
  <c r="I1429" i="8"/>
  <c r="G1429" i="8"/>
  <c r="F1429" i="8"/>
  <c r="I1428" i="8"/>
  <c r="G1428" i="8"/>
  <c r="I1427" i="8"/>
  <c r="G1427" i="8"/>
  <c r="I1426" i="8"/>
  <c r="G1426" i="8"/>
  <c r="F1426" i="8"/>
  <c r="E1426" i="8"/>
  <c r="I1425" i="8"/>
  <c r="G1425" i="8"/>
  <c r="F1425" i="8"/>
  <c r="E1425" i="8"/>
  <c r="I1424" i="8"/>
  <c r="G1424" i="8"/>
  <c r="F1424" i="8"/>
  <c r="E1424" i="8"/>
  <c r="I1423" i="8"/>
  <c r="G1423" i="8"/>
  <c r="F1423" i="8"/>
  <c r="I1422" i="8"/>
  <c r="G1422" i="8"/>
  <c r="F1422" i="8"/>
  <c r="I1421" i="8"/>
  <c r="G1421" i="8"/>
  <c r="F1421" i="8"/>
  <c r="E1421" i="8"/>
  <c r="I1420" i="8"/>
  <c r="G1420" i="8"/>
  <c r="F1420" i="8"/>
  <c r="E1420" i="8"/>
  <c r="S1419" i="8"/>
  <c r="T1419" i="8" s="1"/>
  <c r="C1419" i="8"/>
  <c r="S1418" i="8"/>
  <c r="G1417" i="8"/>
  <c r="F1417" i="8"/>
  <c r="E1417" i="8"/>
  <c r="I1416" i="8"/>
  <c r="G1416" i="8"/>
  <c r="F1416" i="8"/>
  <c r="E1416" i="8"/>
  <c r="I1415" i="8"/>
  <c r="G1415" i="8"/>
  <c r="F1415" i="8"/>
  <c r="E1415" i="8"/>
  <c r="N1414" i="8"/>
  <c r="I1414" i="8"/>
  <c r="M1414" i="8" s="1"/>
  <c r="G1414" i="8"/>
  <c r="F1414" i="8"/>
  <c r="E1414" i="8"/>
  <c r="C1414" i="8"/>
  <c r="I1413" i="8"/>
  <c r="G1413" i="8"/>
  <c r="E1413" i="8"/>
  <c r="I1412" i="8"/>
  <c r="G1412" i="8"/>
  <c r="F1412" i="8"/>
  <c r="E1412" i="8"/>
  <c r="I1411" i="8"/>
  <c r="G1411" i="8"/>
  <c r="F1411" i="8"/>
  <c r="E1411" i="8"/>
  <c r="N1410" i="8"/>
  <c r="I1410" i="8"/>
  <c r="M1410" i="8" s="1"/>
  <c r="G1410" i="8"/>
  <c r="F1410" i="8"/>
  <c r="E1410" i="8"/>
  <c r="C1410" i="8"/>
  <c r="I1409" i="8"/>
  <c r="G1409" i="8"/>
  <c r="F1409" i="8"/>
  <c r="E1409" i="8"/>
  <c r="I1408" i="8"/>
  <c r="G1408" i="8"/>
  <c r="E1408" i="8"/>
  <c r="I1407" i="8"/>
  <c r="G1407" i="8"/>
  <c r="E1407" i="8"/>
  <c r="I1406" i="8"/>
  <c r="G1406" i="8"/>
  <c r="E1406" i="8"/>
  <c r="I1405" i="8"/>
  <c r="G1405" i="8"/>
  <c r="E1405" i="8"/>
  <c r="I1404" i="8"/>
  <c r="G1404" i="8"/>
  <c r="F1404" i="8"/>
  <c r="E1404" i="8"/>
  <c r="I1403" i="8"/>
  <c r="G1403" i="8"/>
  <c r="F1403" i="8"/>
  <c r="E1403" i="8"/>
  <c r="I1402" i="8"/>
  <c r="G1402" i="8"/>
  <c r="F1402" i="8"/>
  <c r="I1401" i="8"/>
  <c r="G1401" i="8"/>
  <c r="F1401" i="8"/>
  <c r="I1400" i="8"/>
  <c r="G1400" i="8"/>
  <c r="F1400" i="8"/>
  <c r="E1400" i="8"/>
  <c r="I1399" i="8"/>
  <c r="G1399" i="8"/>
  <c r="F1399" i="8"/>
  <c r="E1399" i="8"/>
  <c r="I1398" i="8"/>
  <c r="G1398" i="8"/>
  <c r="F1398" i="8"/>
  <c r="E1398" i="8"/>
  <c r="S1397" i="8"/>
  <c r="T1397" i="8" s="1"/>
  <c r="C1397" i="8"/>
  <c r="S1396" i="8"/>
  <c r="I1395" i="8"/>
  <c r="G1395" i="8"/>
  <c r="F1395" i="8"/>
  <c r="E1395" i="8"/>
  <c r="I1394" i="8"/>
  <c r="G1394" i="8"/>
  <c r="F1394" i="8"/>
  <c r="I1393" i="8"/>
  <c r="G1393" i="8"/>
  <c r="F1393" i="8"/>
  <c r="I1392" i="8"/>
  <c r="G1392" i="8"/>
  <c r="F1392" i="8"/>
  <c r="I1391" i="8"/>
  <c r="G1391" i="8"/>
  <c r="F1391" i="8"/>
  <c r="E1391" i="8"/>
  <c r="S1390" i="8"/>
  <c r="T1390" i="8" s="1"/>
  <c r="C1390" i="8"/>
  <c r="S1389" i="8"/>
  <c r="I1388" i="8"/>
  <c r="G1388" i="8"/>
  <c r="F1388" i="8"/>
  <c r="E1388" i="8"/>
  <c r="S1387" i="8"/>
  <c r="T1387" i="8" s="1"/>
  <c r="C1387" i="8"/>
  <c r="S1386" i="8"/>
  <c r="I1385" i="8"/>
  <c r="G1385" i="8"/>
  <c r="E1385" i="8"/>
  <c r="I1384" i="8"/>
  <c r="G1384" i="8"/>
  <c r="E1384" i="8"/>
  <c r="I1383" i="8"/>
  <c r="G1383" i="8"/>
  <c r="F1383" i="8"/>
  <c r="E1383" i="8"/>
  <c r="I1382" i="8"/>
  <c r="G1382" i="8"/>
  <c r="F1382" i="8"/>
  <c r="E1382" i="8"/>
  <c r="I1381" i="8"/>
  <c r="G1381" i="8"/>
  <c r="F1381" i="8"/>
  <c r="E1381" i="8"/>
  <c r="I1380" i="8"/>
  <c r="G1380" i="8"/>
  <c r="F1380" i="8"/>
  <c r="E1380" i="8"/>
  <c r="I1379" i="8"/>
  <c r="G1379" i="8"/>
  <c r="F1379" i="8"/>
  <c r="E1379" i="8"/>
  <c r="I1378" i="8"/>
  <c r="G1378" i="8"/>
  <c r="F1378" i="8"/>
  <c r="E1378" i="8"/>
  <c r="I1377" i="8"/>
  <c r="G1377" i="8"/>
  <c r="F1377" i="8"/>
  <c r="E1377" i="8"/>
  <c r="S1376" i="8"/>
  <c r="T1376" i="8" s="1"/>
  <c r="C1376" i="8"/>
  <c r="S1375" i="8"/>
  <c r="G1374" i="8"/>
  <c r="F1374" i="8"/>
  <c r="E1374" i="8"/>
  <c r="G1373" i="8"/>
  <c r="F1373" i="8"/>
  <c r="E1373" i="8"/>
  <c r="I1372" i="8"/>
  <c r="G1372" i="8"/>
  <c r="F1372" i="8"/>
  <c r="E1372" i="8"/>
  <c r="S1371" i="8"/>
  <c r="T1371" i="8" s="1"/>
  <c r="C1371" i="8"/>
  <c r="S1370" i="8"/>
  <c r="I1369" i="8"/>
  <c r="G1369" i="8"/>
  <c r="F1369" i="8"/>
  <c r="E1369" i="8"/>
  <c r="G1368" i="8"/>
  <c r="F1368" i="8"/>
  <c r="E1368" i="8"/>
  <c r="G1367" i="8"/>
  <c r="F1367" i="8"/>
  <c r="E1367" i="8"/>
  <c r="G1366" i="8"/>
  <c r="F1366" i="8"/>
  <c r="E1366" i="8"/>
  <c r="I1365" i="8"/>
  <c r="G1365" i="8"/>
  <c r="F1365" i="8"/>
  <c r="E1365" i="8"/>
  <c r="I1364" i="8"/>
  <c r="G1364" i="8"/>
  <c r="F1364" i="8"/>
  <c r="E1364" i="8"/>
  <c r="I1363" i="8"/>
  <c r="G1363" i="8"/>
  <c r="F1363" i="8"/>
  <c r="E1363" i="8"/>
  <c r="S1362" i="8"/>
  <c r="T1362" i="8" s="1"/>
  <c r="C1362" i="8"/>
  <c r="S1361" i="8"/>
  <c r="I1360" i="8"/>
  <c r="G1360" i="8"/>
  <c r="F1360" i="8"/>
  <c r="E1360" i="8"/>
  <c r="I1359" i="8"/>
  <c r="G1359" i="8"/>
  <c r="F1359" i="8"/>
  <c r="E1359" i="8"/>
  <c r="I1358" i="8"/>
  <c r="G1358" i="8"/>
  <c r="F1358" i="8"/>
  <c r="E1358" i="8"/>
  <c r="I1357" i="8"/>
  <c r="G1357" i="8"/>
  <c r="F1357" i="8"/>
  <c r="E1357" i="8"/>
  <c r="S1356" i="8"/>
  <c r="S1355" i="8"/>
  <c r="I1354" i="8"/>
  <c r="G1354" i="8"/>
  <c r="F1354" i="8"/>
  <c r="E1354" i="8"/>
  <c r="I1353" i="8"/>
  <c r="G1353" i="8"/>
  <c r="F1353" i="8"/>
  <c r="E1353" i="8"/>
  <c r="I1352" i="8"/>
  <c r="G1352" i="8"/>
  <c r="F1352" i="8"/>
  <c r="E1352" i="8"/>
  <c r="I1348" i="8"/>
  <c r="G1348" i="8"/>
  <c r="F1348" i="8"/>
  <c r="E1348" i="8"/>
  <c r="I1347" i="8"/>
  <c r="G1347" i="8"/>
  <c r="F1347" i="8"/>
  <c r="E1347" i="8"/>
  <c r="I1346" i="8"/>
  <c r="G1346" i="8"/>
  <c r="F1346" i="8"/>
  <c r="E1346" i="8"/>
  <c r="S1345" i="8"/>
  <c r="A1345" i="8"/>
  <c r="S1344" i="8"/>
  <c r="T1344" i="8" s="1"/>
  <c r="H1921" i="8" l="1"/>
  <c r="H1939" i="8" s="1"/>
  <c r="H1920" i="8"/>
  <c r="H1940" i="8" s="1"/>
  <c r="H1924" i="8"/>
  <c r="H1925" i="8"/>
  <c r="H1751" i="8"/>
  <c r="H1750" i="8"/>
  <c r="H1754" i="8" s="1"/>
  <c r="C278" i="15"/>
  <c r="C279" i="15" s="1"/>
  <c r="C280" i="15" s="1"/>
  <c r="C281" i="15" s="1"/>
  <c r="C282" i="15" s="1"/>
  <c r="C283" i="15" s="1"/>
  <c r="C284" i="15" s="1"/>
  <c r="C277" i="15"/>
  <c r="C1722" i="8"/>
  <c r="C1867" i="8"/>
  <c r="M1867" i="8"/>
  <c r="M1900" i="8"/>
  <c r="C265" i="15"/>
  <c r="C266" i="15" s="1"/>
  <c r="C267" i="15" s="1"/>
  <c r="T1722" i="8"/>
  <c r="C1874" i="8"/>
  <c r="H1459" i="8"/>
  <c r="N1459" i="8" s="1"/>
  <c r="H1458" i="8"/>
  <c r="H1457" i="8"/>
  <c r="H1357" i="8"/>
  <c r="C1357" i="8" s="1"/>
  <c r="H1360" i="8"/>
  <c r="H1359" i="8"/>
  <c r="H1358" i="8"/>
  <c r="H1706" i="8"/>
  <c r="H1705" i="8"/>
  <c r="H1878" i="8"/>
  <c r="H1880" i="8"/>
  <c r="H1879" i="8"/>
  <c r="N1879" i="8" s="1"/>
  <c r="M1874" i="8"/>
  <c r="H845" i="5"/>
  <c r="I2135" i="8"/>
  <c r="M2135" i="8" s="1"/>
  <c r="I1984" i="8"/>
  <c r="M1984" i="8" s="1"/>
  <c r="H1412" i="8"/>
  <c r="C1412" i="8" s="1"/>
  <c r="N316" i="15"/>
  <c r="H1776" i="8"/>
  <c r="H1472" i="8"/>
  <c r="N1472" i="8" s="1"/>
  <c r="H1471" i="8"/>
  <c r="C1471" i="8" s="1"/>
  <c r="C1963" i="8"/>
  <c r="C1539" i="8"/>
  <c r="C1540" i="8" s="1"/>
  <c r="B253" i="9"/>
  <c r="B304" i="9"/>
  <c r="H1877" i="8"/>
  <c r="C1451" i="8"/>
  <c r="C1455" i="8"/>
  <c r="C1389" i="8"/>
  <c r="M1392" i="8"/>
  <c r="C1375" i="8"/>
  <c r="H1377" i="8"/>
  <c r="M1377" i="8" s="1"/>
  <c r="H1382" i="8"/>
  <c r="M1382" i="8" s="1"/>
  <c r="M1447" i="8"/>
  <c r="N302" i="15"/>
  <c r="N315" i="15"/>
  <c r="C322" i="15"/>
  <c r="C324" i="15" s="1"/>
  <c r="C323" i="15"/>
  <c r="C1396" i="8"/>
  <c r="H1398" i="8"/>
  <c r="M1398" i="8" s="1"/>
  <c r="H1413" i="8"/>
  <c r="H1428" i="8"/>
  <c r="M1428" i="8" s="1"/>
  <c r="H1435" i="8"/>
  <c r="T1361" i="8"/>
  <c r="N1446" i="8"/>
  <c r="C1352" i="8"/>
  <c r="H1391" i="8"/>
  <c r="N1391" i="8" s="1"/>
  <c r="H1369" i="8"/>
  <c r="M1369" i="8" s="1"/>
  <c r="C1489" i="8"/>
  <c r="H1492" i="8"/>
  <c r="M1492" i="8" s="1"/>
  <c r="T1489" i="8"/>
  <c r="H1366" i="8"/>
  <c r="N1366" i="8" s="1"/>
  <c r="H1363" i="8"/>
  <c r="C1363" i="8" s="1"/>
  <c r="T1389" i="8"/>
  <c r="T1708" i="8"/>
  <c r="H1365" i="8"/>
  <c r="C1365" i="8" s="1"/>
  <c r="M1446" i="8"/>
  <c r="H1716" i="8"/>
  <c r="C1716" i="8" s="1"/>
  <c r="H1712" i="8"/>
  <c r="C1712" i="8" s="1"/>
  <c r="T1386" i="8"/>
  <c r="C1708" i="8"/>
  <c r="C1748" i="8"/>
  <c r="H1713" i="8"/>
  <c r="N1713" i="8" s="1"/>
  <c r="H1710" i="8"/>
  <c r="C1710" i="8" s="1"/>
  <c r="T1396" i="8"/>
  <c r="T1469" i="8"/>
  <c r="N299" i="15"/>
  <c r="N301" i="15"/>
  <c r="N314" i="15"/>
  <c r="N324" i="15"/>
  <c r="N300" i="15"/>
  <c r="N304" i="15"/>
  <c r="N306" i="15"/>
  <c r="N308" i="15"/>
  <c r="N310" i="15"/>
  <c r="N313" i="15"/>
  <c r="N305" i="15"/>
  <c r="N307" i="15"/>
  <c r="N309" i="15"/>
  <c r="N312" i="15"/>
  <c r="N303" i="15"/>
  <c r="N317" i="15"/>
  <c r="N318" i="15"/>
  <c r="N319" i="15"/>
  <c r="N320" i="15"/>
  <c r="N321" i="15"/>
  <c r="N322" i="15"/>
  <c r="M2215" i="8"/>
  <c r="N2215" i="8"/>
  <c r="C2215" i="8"/>
  <c r="N2282" i="8"/>
  <c r="M2282" i="8"/>
  <c r="C2282" i="8"/>
  <c r="M2272" i="8"/>
  <c r="C2272" i="8"/>
  <c r="N2272" i="8"/>
  <c r="M2185" i="8"/>
  <c r="C2185" i="8"/>
  <c r="N2185" i="8"/>
  <c r="M2200" i="8"/>
  <c r="C2200" i="8"/>
  <c r="C2190" i="8" s="1"/>
  <c r="N2200" i="8"/>
  <c r="N2284" i="8"/>
  <c r="M2284" i="8"/>
  <c r="C2284" i="8"/>
  <c r="M2168" i="8"/>
  <c r="C2168" i="8"/>
  <c r="N2168" i="8"/>
  <c r="N2214" i="8"/>
  <c r="M2214" i="8"/>
  <c r="C2214" i="8"/>
  <c r="N2213" i="8"/>
  <c r="M2213" i="8"/>
  <c r="C2213" i="8"/>
  <c r="M2172" i="8"/>
  <c r="C2172" i="8"/>
  <c r="N2172" i="8"/>
  <c r="M2279" i="8"/>
  <c r="C2279" i="8"/>
  <c r="N2279" i="8"/>
  <c r="N2261" i="8"/>
  <c r="M2261" i="8"/>
  <c r="C2261" i="8"/>
  <c r="M2141" i="8"/>
  <c r="C2141" i="8"/>
  <c r="N2141" i="8"/>
  <c r="M2260" i="8"/>
  <c r="C2260" i="8"/>
  <c r="N2260" i="8"/>
  <c r="H1420" i="8"/>
  <c r="H1441" i="8" s="1"/>
  <c r="C1441" i="8" s="1"/>
  <c r="C2097" i="8"/>
  <c r="N2097" i="8"/>
  <c r="M2097" i="8"/>
  <c r="M2023" i="8"/>
  <c r="N2023" i="8"/>
  <c r="C2023" i="8"/>
  <c r="H1381" i="8"/>
  <c r="H1380" i="8"/>
  <c r="C1380" i="8" s="1"/>
  <c r="H1378" i="8"/>
  <c r="M1378" i="8" s="1"/>
  <c r="H1477" i="8"/>
  <c r="M1477" i="8" s="1"/>
  <c r="H1479" i="8"/>
  <c r="C1479" i="8" s="1"/>
  <c r="H1481" i="8"/>
  <c r="H1476" i="8"/>
  <c r="H1480" i="8"/>
  <c r="M1579" i="8"/>
  <c r="N2047" i="8"/>
  <c r="M2047" i="8"/>
  <c r="C2047" i="8"/>
  <c r="N2082" i="8"/>
  <c r="M2082" i="8"/>
  <c r="C2082" i="8"/>
  <c r="N2046" i="8"/>
  <c r="M2046" i="8"/>
  <c r="C2046" i="8"/>
  <c r="M2036" i="8"/>
  <c r="C2036" i="8"/>
  <c r="N2036" i="8"/>
  <c r="M2091" i="8"/>
  <c r="C2091" i="8"/>
  <c r="N2091" i="8"/>
  <c r="M1863" i="8"/>
  <c r="M2094" i="8"/>
  <c r="C2094" i="8"/>
  <c r="N2094" i="8"/>
  <c r="C1995" i="8"/>
  <c r="N1995" i="8"/>
  <c r="M2081" i="8"/>
  <c r="C2081" i="8"/>
  <c r="N2081" i="8"/>
  <c r="N2096" i="8"/>
  <c r="M2096" i="8"/>
  <c r="C2096" i="8"/>
  <c r="H1427" i="8"/>
  <c r="C1427" i="8" s="1"/>
  <c r="C1728" i="8"/>
  <c r="N1729" i="8"/>
  <c r="M1726" i="8"/>
  <c r="C1725" i="8"/>
  <c r="M1968" i="8"/>
  <c r="N2022" i="8"/>
  <c r="M2022" i="8"/>
  <c r="C2022" i="8"/>
  <c r="N2006" i="8"/>
  <c r="M2006" i="8"/>
  <c r="C2006" i="8"/>
  <c r="M2010" i="8"/>
  <c r="C2010" i="8"/>
  <c r="N2010" i="8"/>
  <c r="M2034" i="8"/>
  <c r="C2034" i="8"/>
  <c r="N2034" i="8"/>
  <c r="M1442" i="8"/>
  <c r="N2048" i="8"/>
  <c r="C2048" i="8"/>
  <c r="M2048" i="8"/>
  <c r="B284" i="9"/>
  <c r="B233" i="9"/>
  <c r="B236" i="9"/>
  <c r="C1866" i="8"/>
  <c r="M1866" i="8"/>
  <c r="C1487" i="8"/>
  <c r="N1487" i="8"/>
  <c r="T1455" i="8"/>
  <c r="C1552" i="8"/>
  <c r="M1868" i="8"/>
  <c r="M1873" i="8"/>
  <c r="C1876" i="8"/>
  <c r="T1876" i="8"/>
  <c r="M1889" i="8"/>
  <c r="C1889" i="8"/>
  <c r="N1889" i="8"/>
  <c r="N1922" i="8"/>
  <c r="M1922" i="8"/>
  <c r="C1922" i="8"/>
  <c r="H1409" i="8"/>
  <c r="N1409" i="8" s="1"/>
  <c r="M1487" i="8"/>
  <c r="T1539" i="8"/>
  <c r="T1748" i="8"/>
  <c r="N1868" i="8"/>
  <c r="N1873" i="8"/>
  <c r="D1876" i="8"/>
  <c r="D1881" i="8" s="1"/>
  <c r="D1890" i="8" s="1"/>
  <c r="D1895" i="8" s="1"/>
  <c r="D1906" i="8" s="1"/>
  <c r="D1909" i="8" s="1"/>
  <c r="D1916" i="8" s="1"/>
  <c r="D1941" i="8" s="1"/>
  <c r="D1968" i="8" s="1"/>
  <c r="N1911" i="8"/>
  <c r="H1915" i="8"/>
  <c r="M1911" i="8"/>
  <c r="C1911" i="8"/>
  <c r="T1485" i="8"/>
  <c r="C1893" i="8"/>
  <c r="N1893" i="8"/>
  <c r="N1908" i="8"/>
  <c r="M1908" i="8"/>
  <c r="C1908" i="8"/>
  <c r="C1906" i="8"/>
  <c r="T1906" i="8"/>
  <c r="C1916" i="8"/>
  <c r="T1916" i="8"/>
  <c r="M1960" i="8"/>
  <c r="C1960" i="8"/>
  <c r="H1886" i="8"/>
  <c r="C1890" i="8"/>
  <c r="T1890" i="8"/>
  <c r="H1892" i="8"/>
  <c r="H1894" i="8"/>
  <c r="N1960" i="8"/>
  <c r="C1909" i="8"/>
  <c r="T1909" i="8"/>
  <c r="H1929" i="8"/>
  <c r="H1932" i="8"/>
  <c r="H1934" i="8"/>
  <c r="H1931" i="8"/>
  <c r="H1930" i="8"/>
  <c r="C1881" i="8"/>
  <c r="T1881" i="8"/>
  <c r="H1883" i="8"/>
  <c r="H1885" i="8"/>
  <c r="H1887" i="8"/>
  <c r="C1895" i="8"/>
  <c r="T1895" i="8"/>
  <c r="C1941" i="8"/>
  <c r="T1941" i="8"/>
  <c r="C1803" i="8"/>
  <c r="N1809" i="8"/>
  <c r="C1809" i="8"/>
  <c r="T1803" i="8"/>
  <c r="N1714" i="8"/>
  <c r="C1695" i="8"/>
  <c r="C1692" i="8" s="1"/>
  <c r="H1408" i="8"/>
  <c r="M1408" i="8" s="1"/>
  <c r="H1422" i="8"/>
  <c r="M1422" i="8" s="1"/>
  <c r="N1694" i="8"/>
  <c r="N1699" i="8"/>
  <c r="T1703" i="8"/>
  <c r="M1751" i="8"/>
  <c r="C1751" i="8"/>
  <c r="H1752" i="8"/>
  <c r="N1751" i="8"/>
  <c r="H1426" i="8"/>
  <c r="M1693" i="8"/>
  <c r="M1695" i="8"/>
  <c r="M1700" i="8"/>
  <c r="M1747" i="8"/>
  <c r="C1747" i="8"/>
  <c r="N1747" i="8"/>
  <c r="N1693" i="8"/>
  <c r="N1695" i="8"/>
  <c r="N1700" i="8"/>
  <c r="N1701" i="8"/>
  <c r="M1701" i="8"/>
  <c r="D1703" i="8"/>
  <c r="D1708" i="8" s="1"/>
  <c r="D1717" i="8" s="1"/>
  <c r="D1722" i="8" s="1"/>
  <c r="D1744" i="8" s="1"/>
  <c r="D1748" i="8" s="1"/>
  <c r="D1755" i="8" s="1"/>
  <c r="D1803" i="8" s="1"/>
  <c r="D1863" i="8" s="1"/>
  <c r="H1707" i="8"/>
  <c r="N1720" i="8"/>
  <c r="C1720" i="8"/>
  <c r="H1400" i="8"/>
  <c r="C1400" i="8" s="1"/>
  <c r="H1421" i="8"/>
  <c r="H1429" i="8"/>
  <c r="M1452" i="8"/>
  <c r="H1388" i="8"/>
  <c r="M1388" i="8" s="1"/>
  <c r="C1717" i="8"/>
  <c r="T1717" i="8"/>
  <c r="H1719" i="8"/>
  <c r="H1721" i="8"/>
  <c r="M1826" i="8"/>
  <c r="C1826" i="8"/>
  <c r="N1826" i="8"/>
  <c r="C1744" i="8"/>
  <c r="T1744" i="8"/>
  <c r="C1755" i="8"/>
  <c r="T1755" i="8"/>
  <c r="M1809" i="8"/>
  <c r="C1554" i="8"/>
  <c r="C1491" i="8"/>
  <c r="C1453" i="8"/>
  <c r="M1453" i="8"/>
  <c r="M1451" i="8"/>
  <c r="M1445" i="8"/>
  <c r="H1423" i="8"/>
  <c r="C1423" i="8" s="1"/>
  <c r="N1445" i="8"/>
  <c r="N1447" i="8"/>
  <c r="N1452" i="8"/>
  <c r="D1455" i="8"/>
  <c r="D1460" i="8" s="1"/>
  <c r="D1469" i="8" s="1"/>
  <c r="D1474" i="8" s="1"/>
  <c r="D1485" i="8" s="1"/>
  <c r="D1489" i="8" s="1"/>
  <c r="D1496" i="8" s="1"/>
  <c r="D1539" i="8" s="1"/>
  <c r="D1579" i="8" s="1"/>
  <c r="H1406" i="8"/>
  <c r="M1406" i="8" s="1"/>
  <c r="T1460" i="8"/>
  <c r="H1465" i="8"/>
  <c r="H1407" i="8"/>
  <c r="N1407" i="8" s="1"/>
  <c r="H1468" i="8"/>
  <c r="H1466" i="8"/>
  <c r="H1464" i="8"/>
  <c r="H1462" i="8"/>
  <c r="C1485" i="8"/>
  <c r="H1473" i="8"/>
  <c r="M1491" i="8"/>
  <c r="H1495" i="8"/>
  <c r="N1491" i="8"/>
  <c r="C1474" i="8"/>
  <c r="T1474" i="8"/>
  <c r="C1496" i="8"/>
  <c r="C1497" i="8" s="1"/>
  <c r="T1496" i="8"/>
  <c r="H1402" i="8"/>
  <c r="M1402" i="8" s="1"/>
  <c r="T1375" i="8"/>
  <c r="C1367" i="8"/>
  <c r="C1361" i="8"/>
  <c r="N1354" i="8"/>
  <c r="C1346" i="8"/>
  <c r="C1348" i="8"/>
  <c r="N1348" i="8"/>
  <c r="M1348" i="8"/>
  <c r="M1346" i="8"/>
  <c r="N1346" i="8"/>
  <c r="N1353" i="8"/>
  <c r="M1354" i="8"/>
  <c r="M1352" i="8"/>
  <c r="C1356" i="8"/>
  <c r="T1356" i="8"/>
  <c r="H1374" i="8"/>
  <c r="H1372" i="8"/>
  <c r="T1370" i="8"/>
  <c r="C1370" i="8"/>
  <c r="D1356" i="8"/>
  <c r="D1361" i="8" s="1"/>
  <c r="D1370" i="8" s="1"/>
  <c r="D1375" i="8" s="1"/>
  <c r="D1386" i="8" s="1"/>
  <c r="D1389" i="8" s="1"/>
  <c r="D1396" i="8" s="1"/>
  <c r="D1418" i="8" s="1"/>
  <c r="D1442" i="8" s="1"/>
  <c r="M1353" i="8"/>
  <c r="N1367" i="8"/>
  <c r="N1373" i="8"/>
  <c r="H1431" i="8"/>
  <c r="T1418" i="8"/>
  <c r="C1418" i="8"/>
  <c r="H1430" i="8"/>
  <c r="H1432" i="8"/>
  <c r="N1437" i="8"/>
  <c r="M1437" i="8"/>
  <c r="H1401" i="8"/>
  <c r="H1411" i="8"/>
  <c r="F1056" i="8"/>
  <c r="F1037" i="8"/>
  <c r="F1036" i="8"/>
  <c r="F1035" i="8"/>
  <c r="F1058" i="8"/>
  <c r="F1057" i="8"/>
  <c r="C2248" i="8" l="1"/>
  <c r="M1357" i="8"/>
  <c r="N1357" i="8"/>
  <c r="C2026" i="8"/>
  <c r="C2074" i="8"/>
  <c r="C1865" i="8"/>
  <c r="M1412" i="8"/>
  <c r="N1412" i="8"/>
  <c r="N1759" i="8"/>
  <c r="C1759" i="8"/>
  <c r="M1759" i="8"/>
  <c r="N1758" i="8"/>
  <c r="M1758" i="8"/>
  <c r="C1758" i="8"/>
  <c r="M1963" i="8"/>
  <c r="N1471" i="8"/>
  <c r="M1471" i="8"/>
  <c r="C1879" i="8"/>
  <c r="N1963" i="8"/>
  <c r="N339" i="15"/>
  <c r="G288" i="9" s="1"/>
  <c r="H288" i="9" s="1"/>
  <c r="N298" i="15"/>
  <c r="G237" i="9" s="1"/>
  <c r="H237" i="9" s="1"/>
  <c r="C1472" i="8"/>
  <c r="M1543" i="8"/>
  <c r="N1543" i="8"/>
  <c r="C1543" i="8"/>
  <c r="M1879" i="8"/>
  <c r="C1366" i="8"/>
  <c r="C1444" i="8"/>
  <c r="H1417" i="8"/>
  <c r="C1417" i="8" s="1"/>
  <c r="C1398" i="8"/>
  <c r="C1459" i="8"/>
  <c r="M1459" i="8"/>
  <c r="N1492" i="8"/>
  <c r="M1363" i="8"/>
  <c r="N1428" i="8"/>
  <c r="M1391" i="8"/>
  <c r="N1365" i="8"/>
  <c r="N1363" i="8"/>
  <c r="C1428" i="8"/>
  <c r="O1428" i="8"/>
  <c r="M1710" i="8"/>
  <c r="H1364" i="8"/>
  <c r="N1364" i="8" s="1"/>
  <c r="N1479" i="8"/>
  <c r="N1710" i="8"/>
  <c r="N1392" i="8"/>
  <c r="N1398" i="8"/>
  <c r="H1393" i="8"/>
  <c r="M1393" i="8" s="1"/>
  <c r="H1493" i="8"/>
  <c r="M1493" i="8" s="1"/>
  <c r="M1479" i="8"/>
  <c r="M1716" i="8"/>
  <c r="M1427" i="8"/>
  <c r="C1392" i="8"/>
  <c r="O1427" i="8"/>
  <c r="C1492" i="8"/>
  <c r="N1716" i="8"/>
  <c r="H1711" i="8"/>
  <c r="C1711" i="8" s="1"/>
  <c r="C1377" i="8"/>
  <c r="N1728" i="8"/>
  <c r="N1369" i="8"/>
  <c r="C1369" i="8"/>
  <c r="H1395" i="8"/>
  <c r="C1391" i="8"/>
  <c r="M1365" i="8"/>
  <c r="C1713" i="8"/>
  <c r="M1712" i="8"/>
  <c r="M1750" i="8"/>
  <c r="N1377" i="8"/>
  <c r="C1750" i="8"/>
  <c r="N1420" i="8"/>
  <c r="N1750" i="8"/>
  <c r="N1712" i="8"/>
  <c r="N1427" i="8"/>
  <c r="M1400" i="8"/>
  <c r="N1900" i="8"/>
  <c r="C1900" i="8"/>
  <c r="N311" i="15"/>
  <c r="G254" i="9" s="1"/>
  <c r="H254" i="9" s="1"/>
  <c r="G305" i="9"/>
  <c r="H305" i="9" s="1"/>
  <c r="N1441" i="8"/>
  <c r="N1382" i="8"/>
  <c r="M1441" i="8"/>
  <c r="M1552" i="8"/>
  <c r="C1729" i="8"/>
  <c r="M1729" i="8"/>
  <c r="M1409" i="8"/>
  <c r="N1725" i="8"/>
  <c r="M1728" i="8"/>
  <c r="M1420" i="8"/>
  <c r="C1409" i="8"/>
  <c r="C1420" i="8"/>
  <c r="C1408" i="8"/>
  <c r="M1725" i="8"/>
  <c r="C2145" i="8"/>
  <c r="N2145" i="8"/>
  <c r="N2186" i="8"/>
  <c r="M2186" i="8"/>
  <c r="C2186" i="8"/>
  <c r="M1898" i="8"/>
  <c r="N1429" i="8"/>
  <c r="C1557" i="8"/>
  <c r="H1903" i="8"/>
  <c r="H1899" i="8"/>
  <c r="C1898" i="8"/>
  <c r="N1898" i="8"/>
  <c r="N1726" i="8"/>
  <c r="C1726" i="8"/>
  <c r="H1383" i="8"/>
  <c r="H1379" i="8"/>
  <c r="C1378" i="8"/>
  <c r="N1378" i="8"/>
  <c r="H1482" i="8"/>
  <c r="H1478" i="8"/>
  <c r="N1477" i="8"/>
  <c r="C1477" i="8"/>
  <c r="N1554" i="8"/>
  <c r="N1402" i="8"/>
  <c r="M1865" i="8"/>
  <c r="M1958" i="8"/>
  <c r="C1958" i="8"/>
  <c r="N1958" i="8"/>
  <c r="N1952" i="8"/>
  <c r="M1952" i="8"/>
  <c r="C1952" i="8"/>
  <c r="N1934" i="8"/>
  <c r="M1934" i="8"/>
  <c r="C1934" i="8"/>
  <c r="M1949" i="8"/>
  <c r="C1949" i="8"/>
  <c r="N1949" i="8"/>
  <c r="O1954" i="8"/>
  <c r="C1954" i="8"/>
  <c r="N1954" i="8"/>
  <c r="M1954" i="8"/>
  <c r="H1927" i="8"/>
  <c r="M1925" i="8"/>
  <c r="C1925" i="8"/>
  <c r="N1925" i="8"/>
  <c r="C1887" i="8"/>
  <c r="N1887" i="8"/>
  <c r="N1921" i="8"/>
  <c r="M1921" i="8"/>
  <c r="C1921" i="8"/>
  <c r="N1936" i="8"/>
  <c r="M1936" i="8"/>
  <c r="C1936" i="8"/>
  <c r="N1901" i="8"/>
  <c r="M1901" i="8"/>
  <c r="C1901" i="8"/>
  <c r="N1961" i="8"/>
  <c r="M1961" i="8"/>
  <c r="C1961" i="8"/>
  <c r="N1920" i="8"/>
  <c r="M1920" i="8"/>
  <c r="C1920" i="8"/>
  <c r="N1880" i="8"/>
  <c r="M1880" i="8"/>
  <c r="C1880" i="8"/>
  <c r="N1877" i="8"/>
  <c r="M1877" i="8"/>
  <c r="C1877" i="8"/>
  <c r="N1878" i="8"/>
  <c r="M1878" i="8"/>
  <c r="C1878" i="8"/>
  <c r="O1955" i="8"/>
  <c r="C1955" i="8"/>
  <c r="N1955" i="8"/>
  <c r="M1955" i="8"/>
  <c r="H1926" i="8"/>
  <c r="N1924" i="8"/>
  <c r="M1924" i="8"/>
  <c r="C1924" i="8"/>
  <c r="H1913" i="8"/>
  <c r="N1912" i="8"/>
  <c r="M1912" i="8"/>
  <c r="C1912" i="8"/>
  <c r="N1948" i="8"/>
  <c r="M1948" i="8"/>
  <c r="C1948" i="8"/>
  <c r="N1400" i="8"/>
  <c r="M1947" i="8"/>
  <c r="C1947" i="8"/>
  <c r="N1947" i="8"/>
  <c r="N1946" i="8"/>
  <c r="M1946" i="8"/>
  <c r="C1946" i="8"/>
  <c r="M1897" i="8"/>
  <c r="C1897" i="8"/>
  <c r="N1897" i="8"/>
  <c r="M1885" i="8"/>
  <c r="C1885" i="8"/>
  <c r="N1885" i="8"/>
  <c r="N1928" i="8"/>
  <c r="M1928" i="8"/>
  <c r="C1928" i="8"/>
  <c r="N1932" i="8"/>
  <c r="M1932" i="8"/>
  <c r="C1932" i="8"/>
  <c r="N1894" i="8"/>
  <c r="C1894" i="8"/>
  <c r="N1886" i="8"/>
  <c r="C1886" i="8"/>
  <c r="N1915" i="8"/>
  <c r="M1915" i="8"/>
  <c r="C1915" i="8"/>
  <c r="N1865" i="8"/>
  <c r="M1935" i="8"/>
  <c r="C1935" i="8"/>
  <c r="N1935" i="8"/>
  <c r="C1553" i="8"/>
  <c r="C1382" i="8"/>
  <c r="N1406" i="8"/>
  <c r="N1552" i="8"/>
  <c r="O1956" i="8"/>
  <c r="C1956" i="8"/>
  <c r="N1956" i="8"/>
  <c r="M1956" i="8"/>
  <c r="N1959" i="8"/>
  <c r="M1959" i="8"/>
  <c r="C1959" i="8"/>
  <c r="M1883" i="8"/>
  <c r="C1883" i="8"/>
  <c r="H1884" i="8"/>
  <c r="N1883" i="8"/>
  <c r="M1930" i="8"/>
  <c r="O1930" i="8"/>
  <c r="C1930" i="8"/>
  <c r="N1930" i="8"/>
  <c r="O1931" i="8"/>
  <c r="N1931" i="8"/>
  <c r="C1931" i="8"/>
  <c r="M1931" i="8"/>
  <c r="N1929" i="8"/>
  <c r="C1929" i="8"/>
  <c r="M1929" i="8"/>
  <c r="O1929" i="8"/>
  <c r="N1892" i="8"/>
  <c r="M1892" i="8"/>
  <c r="C1892" i="8"/>
  <c r="M1381" i="8"/>
  <c r="M1814" i="8"/>
  <c r="C1814" i="8"/>
  <c r="N1814" i="8"/>
  <c r="O1821" i="8"/>
  <c r="C1821" i="8"/>
  <c r="N1821" i="8"/>
  <c r="M1821" i="8"/>
  <c r="N1818" i="8"/>
  <c r="M1818" i="8"/>
  <c r="C1818" i="8"/>
  <c r="M1760" i="8"/>
  <c r="C1760" i="8"/>
  <c r="N1760" i="8"/>
  <c r="N1730" i="8"/>
  <c r="M1730" i="8"/>
  <c r="C1730" i="8"/>
  <c r="N1768" i="8"/>
  <c r="M1768" i="8"/>
  <c r="C1768" i="8"/>
  <c r="H1778" i="8"/>
  <c r="N1772" i="8"/>
  <c r="M1772" i="8"/>
  <c r="C1772" i="8"/>
  <c r="N1754" i="8"/>
  <c r="M1754" i="8"/>
  <c r="C1754" i="8"/>
  <c r="N1719" i="8"/>
  <c r="M1719" i="8"/>
  <c r="C1719" i="8"/>
  <c r="C1388" i="8"/>
  <c r="N1388" i="8"/>
  <c r="M1707" i="8"/>
  <c r="C1707" i="8"/>
  <c r="N1707" i="8"/>
  <c r="O1408" i="8"/>
  <c r="N1408" i="8"/>
  <c r="M1444" i="8"/>
  <c r="M1811" i="8"/>
  <c r="C1811" i="8"/>
  <c r="N1811" i="8"/>
  <c r="O1820" i="8"/>
  <c r="C1820" i="8"/>
  <c r="N1820" i="8"/>
  <c r="M1820" i="8"/>
  <c r="N1812" i="8"/>
  <c r="M1812" i="8"/>
  <c r="C1812" i="8"/>
  <c r="M1770" i="8"/>
  <c r="O1770" i="8"/>
  <c r="C1770" i="8"/>
  <c r="N1770" i="8"/>
  <c r="O1771" i="8"/>
  <c r="N1771" i="8"/>
  <c r="C1771" i="8"/>
  <c r="M1771" i="8"/>
  <c r="M1765" i="8"/>
  <c r="C1765" i="8"/>
  <c r="N1765" i="8"/>
  <c r="M1429" i="8"/>
  <c r="N1692" i="8"/>
  <c r="N1832" i="8"/>
  <c r="M1832" i="8"/>
  <c r="C1832" i="8"/>
  <c r="N1827" i="8"/>
  <c r="M1827" i="8"/>
  <c r="C1827" i="8"/>
  <c r="N1761" i="8"/>
  <c r="M1761" i="8"/>
  <c r="C1761" i="8"/>
  <c r="N1774" i="8"/>
  <c r="M1774" i="8"/>
  <c r="C1774" i="8"/>
  <c r="N1769" i="8"/>
  <c r="C1769" i="8"/>
  <c r="M1769" i="8"/>
  <c r="O1769" i="8"/>
  <c r="O1429" i="8"/>
  <c r="C1429" i="8"/>
  <c r="M1704" i="8"/>
  <c r="C1704" i="8"/>
  <c r="N1704" i="8"/>
  <c r="M1692" i="8"/>
  <c r="H1753" i="8"/>
  <c r="N1752" i="8"/>
  <c r="M1752" i="8"/>
  <c r="C1752" i="8"/>
  <c r="M1407" i="8"/>
  <c r="M1824" i="8"/>
  <c r="C1824" i="8"/>
  <c r="N1824" i="8"/>
  <c r="O1822" i="8"/>
  <c r="C1822" i="8"/>
  <c r="N1822" i="8"/>
  <c r="M1822" i="8"/>
  <c r="N1825" i="8"/>
  <c r="M1825" i="8"/>
  <c r="C1825" i="8"/>
  <c r="M1762" i="8"/>
  <c r="C1762" i="8"/>
  <c r="N1762" i="8"/>
  <c r="M1764" i="8"/>
  <c r="C1764" i="8"/>
  <c r="N1764" i="8"/>
  <c r="N1776" i="8"/>
  <c r="M1776" i="8"/>
  <c r="C1776" i="8"/>
  <c r="M1775" i="8"/>
  <c r="C1775" i="8"/>
  <c r="N1775" i="8"/>
  <c r="N1721" i="8"/>
  <c r="C1721" i="8"/>
  <c r="H1438" i="8"/>
  <c r="N1421" i="8"/>
  <c r="C1421" i="8"/>
  <c r="M1705" i="8"/>
  <c r="C1705" i="8"/>
  <c r="N1705" i="8"/>
  <c r="N1706" i="8"/>
  <c r="M1706" i="8"/>
  <c r="C1706" i="8"/>
  <c r="N1422" i="8"/>
  <c r="H1424" i="8"/>
  <c r="C1422" i="8"/>
  <c r="M1421" i="8"/>
  <c r="M1554" i="8"/>
  <c r="M1550" i="8"/>
  <c r="C1550" i="8"/>
  <c r="N1550" i="8"/>
  <c r="O1549" i="8"/>
  <c r="C1549" i="8"/>
  <c r="N1549" i="8"/>
  <c r="M1549" i="8"/>
  <c r="N1551" i="8"/>
  <c r="M1551" i="8"/>
  <c r="C1551" i="8"/>
  <c r="M1503" i="8"/>
  <c r="C1503" i="8"/>
  <c r="N1503" i="8"/>
  <c r="M1476" i="8"/>
  <c r="C1476" i="8"/>
  <c r="N1476" i="8"/>
  <c r="M1510" i="8"/>
  <c r="O1510" i="8"/>
  <c r="C1510" i="8"/>
  <c r="N1510" i="8"/>
  <c r="M1504" i="8"/>
  <c r="C1504" i="8"/>
  <c r="N1504" i="8"/>
  <c r="N1515" i="8"/>
  <c r="M1515" i="8"/>
  <c r="C1515" i="8"/>
  <c r="M1514" i="8"/>
  <c r="C1514" i="8"/>
  <c r="N1514" i="8"/>
  <c r="N1473" i="8"/>
  <c r="C1473" i="8"/>
  <c r="M1468" i="8"/>
  <c r="C1468" i="8"/>
  <c r="N1468" i="8"/>
  <c r="N1457" i="8"/>
  <c r="M1457" i="8"/>
  <c r="C1457" i="8"/>
  <c r="N1423" i="8"/>
  <c r="H1425" i="8"/>
  <c r="M1423" i="8"/>
  <c r="M1544" i="8"/>
  <c r="C1544" i="8"/>
  <c r="N1544" i="8"/>
  <c r="O1548" i="8"/>
  <c r="C1548" i="8"/>
  <c r="N1548" i="8"/>
  <c r="M1548" i="8"/>
  <c r="M1499" i="8"/>
  <c r="C1499" i="8"/>
  <c r="N1499" i="8"/>
  <c r="N1508" i="8"/>
  <c r="M1508" i="8"/>
  <c r="C1508" i="8"/>
  <c r="N1495" i="8"/>
  <c r="M1495" i="8"/>
  <c r="C1495" i="8"/>
  <c r="M1462" i="8"/>
  <c r="C1462" i="8"/>
  <c r="N1462" i="8"/>
  <c r="H1463" i="8"/>
  <c r="N1465" i="8"/>
  <c r="C1465" i="8"/>
  <c r="N1456" i="8"/>
  <c r="M1456" i="8"/>
  <c r="C1456" i="8"/>
  <c r="N1405" i="8"/>
  <c r="C1405" i="8"/>
  <c r="H1415" i="8"/>
  <c r="M1405" i="8"/>
  <c r="N1380" i="8"/>
  <c r="M1380" i="8"/>
  <c r="O1547" i="8"/>
  <c r="C1547" i="8"/>
  <c r="N1547" i="8"/>
  <c r="M1547" i="8"/>
  <c r="O1511" i="8"/>
  <c r="N1511" i="8"/>
  <c r="C1511" i="8"/>
  <c r="M1511" i="8"/>
  <c r="H1507" i="8"/>
  <c r="M1505" i="8"/>
  <c r="C1505" i="8"/>
  <c r="N1505" i="8"/>
  <c r="M1464" i="8"/>
  <c r="C1464" i="8"/>
  <c r="N1464" i="8"/>
  <c r="O1407" i="8"/>
  <c r="C1407" i="8"/>
  <c r="N1501" i="8"/>
  <c r="M1501" i="8"/>
  <c r="C1501" i="8"/>
  <c r="N1513" i="8"/>
  <c r="M1513" i="8"/>
  <c r="C1513" i="8"/>
  <c r="N1509" i="8"/>
  <c r="C1509" i="8"/>
  <c r="M1509" i="8"/>
  <c r="O1509" i="8"/>
  <c r="N1480" i="8"/>
  <c r="M1480" i="8"/>
  <c r="C1480" i="8"/>
  <c r="C1466" i="8"/>
  <c r="N1466" i="8"/>
  <c r="N1458" i="8"/>
  <c r="M1458" i="8"/>
  <c r="C1458" i="8"/>
  <c r="O1406" i="8"/>
  <c r="C1406" i="8"/>
  <c r="N1444" i="8"/>
  <c r="H1404" i="8"/>
  <c r="C1402" i="8"/>
  <c r="N1381" i="8"/>
  <c r="C1381" i="8"/>
  <c r="N1413" i="8"/>
  <c r="M1413" i="8"/>
  <c r="C1413" i="8"/>
  <c r="H1416" i="8"/>
  <c r="M1399" i="8"/>
  <c r="C1399" i="8"/>
  <c r="N1399" i="8"/>
  <c r="N1430" i="8"/>
  <c r="M1430" i="8"/>
  <c r="C1430" i="8"/>
  <c r="M1358" i="8"/>
  <c r="C1358" i="8"/>
  <c r="N1358" i="8"/>
  <c r="N1359" i="8"/>
  <c r="M1359" i="8"/>
  <c r="C1359" i="8"/>
  <c r="H1433" i="8"/>
  <c r="N1432" i="8"/>
  <c r="M1432" i="8"/>
  <c r="C1432" i="8"/>
  <c r="N1426" i="8"/>
  <c r="H1440" i="8"/>
  <c r="M1426" i="8"/>
  <c r="C1426" i="8"/>
  <c r="N1431" i="8"/>
  <c r="M1431" i="8"/>
  <c r="C1431" i="8"/>
  <c r="M1360" i="8"/>
  <c r="C1360" i="8"/>
  <c r="N1360" i="8"/>
  <c r="N1372" i="8"/>
  <c r="M1372" i="8"/>
  <c r="C1372" i="8"/>
  <c r="N1347" i="8"/>
  <c r="N1345" i="8" s="1"/>
  <c r="M1347" i="8"/>
  <c r="M1345" i="8" s="1"/>
  <c r="C1347" i="8"/>
  <c r="C1345" i="8" s="1"/>
  <c r="N1411" i="8"/>
  <c r="M1411" i="8"/>
  <c r="C1411" i="8"/>
  <c r="N1435" i="8"/>
  <c r="M1435" i="8"/>
  <c r="C1435" i="8"/>
  <c r="N1374" i="8"/>
  <c r="C1374" i="8"/>
  <c r="N1401" i="8"/>
  <c r="H1403" i="8"/>
  <c r="M1401" i="8"/>
  <c r="C1401" i="8"/>
  <c r="L41" i="15"/>
  <c r="K41" i="15"/>
  <c r="L40" i="15"/>
  <c r="K40" i="15"/>
  <c r="L39" i="15"/>
  <c r="K39" i="15"/>
  <c r="H39" i="15"/>
  <c r="L38" i="15"/>
  <c r="K38" i="15"/>
  <c r="L37" i="15"/>
  <c r="K37" i="15"/>
  <c r="L36" i="15"/>
  <c r="K36" i="15"/>
  <c r="L35" i="15"/>
  <c r="K35" i="15"/>
  <c r="L34" i="15"/>
  <c r="K34" i="15"/>
  <c r="L33" i="15"/>
  <c r="K33" i="15"/>
  <c r="L32" i="15"/>
  <c r="K32" i="15"/>
  <c r="L31" i="15"/>
  <c r="K31" i="15"/>
  <c r="S30" i="15"/>
  <c r="R30" i="15"/>
  <c r="L30" i="15"/>
  <c r="K30" i="15"/>
  <c r="S29" i="15"/>
  <c r="R29" i="15"/>
  <c r="L29" i="15"/>
  <c r="K29" i="15"/>
  <c r="L28" i="15"/>
  <c r="K28" i="15"/>
  <c r="V27" i="15"/>
  <c r="S27" i="15"/>
  <c r="L26" i="15"/>
  <c r="K26" i="15"/>
  <c r="L25" i="15"/>
  <c r="K25" i="15"/>
  <c r="L24" i="15"/>
  <c r="K24" i="15"/>
  <c r="L23" i="15"/>
  <c r="K23" i="15"/>
  <c r="L22" i="15"/>
  <c r="K22" i="15"/>
  <c r="L21" i="15"/>
  <c r="K21" i="15"/>
  <c r="V20" i="15"/>
  <c r="S20" i="15"/>
  <c r="L20" i="15"/>
  <c r="K20" i="15"/>
  <c r="V19" i="15"/>
  <c r="S19" i="15"/>
  <c r="L19" i="15"/>
  <c r="K19" i="15"/>
  <c r="V18" i="15"/>
  <c r="S18" i="15"/>
  <c r="L18" i="15"/>
  <c r="K18" i="15"/>
  <c r="S17" i="15"/>
  <c r="L17" i="15"/>
  <c r="K17" i="15"/>
  <c r="V16" i="15"/>
  <c r="S16" i="15"/>
  <c r="L16" i="15"/>
  <c r="K16" i="15"/>
  <c r="V15" i="15"/>
  <c r="S15" i="15"/>
  <c r="L15" i="15"/>
  <c r="K15" i="15"/>
  <c r="V14" i="15"/>
  <c r="S14" i="15"/>
  <c r="L14" i="15"/>
  <c r="K14" i="15"/>
  <c r="V13" i="15"/>
  <c r="S13" i="15"/>
  <c r="L13" i="15"/>
  <c r="K13" i="15"/>
  <c r="C8" i="15"/>
  <c r="C9" i="15" s="1"/>
  <c r="M2173" i="8" l="1"/>
  <c r="H1620" i="8"/>
  <c r="N1806" i="8"/>
  <c r="M1806" i="8"/>
  <c r="C1806" i="8"/>
  <c r="M1417" i="8"/>
  <c r="N1417" i="8"/>
  <c r="H1368" i="8"/>
  <c r="N1368" i="8" s="1"/>
  <c r="M1364" i="8"/>
  <c r="N1493" i="8"/>
  <c r="M1711" i="8"/>
  <c r="N1393" i="8"/>
  <c r="H1394" i="8"/>
  <c r="M1394" i="8" s="1"/>
  <c r="C1393" i="8"/>
  <c r="H1494" i="8"/>
  <c r="N1494" i="8" s="1"/>
  <c r="H1715" i="8"/>
  <c r="C1715" i="8" s="1"/>
  <c r="C1493" i="8"/>
  <c r="N1711" i="8"/>
  <c r="C1364" i="8"/>
  <c r="N1957" i="8"/>
  <c r="M1957" i="8"/>
  <c r="C1957" i="8"/>
  <c r="N1823" i="8"/>
  <c r="M1823" i="8"/>
  <c r="C1823" i="8"/>
  <c r="N1395" i="8"/>
  <c r="M1395" i="8"/>
  <c r="C1395" i="8"/>
  <c r="M1557" i="8"/>
  <c r="N1553" i="8"/>
  <c r="N1557" i="8"/>
  <c r="M1553" i="8"/>
  <c r="H2011" i="8"/>
  <c r="H1384" i="8"/>
  <c r="H1483" i="8"/>
  <c r="C1731" i="8"/>
  <c r="N1731" i="8"/>
  <c r="M1731" i="8"/>
  <c r="C1899" i="8"/>
  <c r="N1899" i="8"/>
  <c r="M1899" i="8"/>
  <c r="N1478" i="8"/>
  <c r="C1478" i="8"/>
  <c r="M1478" i="8"/>
  <c r="C1379" i="8"/>
  <c r="N1379" i="8"/>
  <c r="M1379" i="8"/>
  <c r="N1727" i="8"/>
  <c r="C1727" i="8"/>
  <c r="M1727" i="8"/>
  <c r="N1903" i="8"/>
  <c r="C1903" i="8"/>
  <c r="M1903" i="8"/>
  <c r="C1482" i="8"/>
  <c r="N1482" i="8"/>
  <c r="M1482" i="8"/>
  <c r="C1383" i="8"/>
  <c r="N1383" i="8"/>
  <c r="M1383" i="8"/>
  <c r="N35" i="15"/>
  <c r="N37" i="15"/>
  <c r="N38" i="15"/>
  <c r="N41" i="15"/>
  <c r="N14" i="15"/>
  <c r="N25" i="15"/>
  <c r="N16" i="15"/>
  <c r="N18" i="15"/>
  <c r="N20" i="15"/>
  <c r="N28" i="15"/>
  <c r="N30" i="15"/>
  <c r="M1902" i="8"/>
  <c r="C1902" i="8"/>
  <c r="N1902" i="8"/>
  <c r="M1940" i="8"/>
  <c r="C1940" i="8"/>
  <c r="N1940" i="8"/>
  <c r="N1964" i="8"/>
  <c r="M1964" i="8"/>
  <c r="C1964" i="8"/>
  <c r="M1951" i="8"/>
  <c r="C1951" i="8"/>
  <c r="N1951" i="8"/>
  <c r="N1966" i="8"/>
  <c r="M1966" i="8"/>
  <c r="C1966" i="8"/>
  <c r="N1938" i="8"/>
  <c r="M1938" i="8"/>
  <c r="C1938" i="8"/>
  <c r="N1913" i="8"/>
  <c r="M1913" i="8"/>
  <c r="C1913" i="8"/>
  <c r="H1914" i="8"/>
  <c r="M1926" i="8"/>
  <c r="C1926" i="8"/>
  <c r="N1926" i="8"/>
  <c r="N1939" i="8"/>
  <c r="M1939" i="8"/>
  <c r="C1939" i="8"/>
  <c r="N1950" i="8"/>
  <c r="M1950" i="8"/>
  <c r="C1950" i="8"/>
  <c r="N1884" i="8"/>
  <c r="H1888" i="8"/>
  <c r="M1884" i="8"/>
  <c r="C1884" i="8"/>
  <c r="N1967" i="8"/>
  <c r="M1967" i="8"/>
  <c r="C1967" i="8"/>
  <c r="M1927" i="8"/>
  <c r="C1927" i="8"/>
  <c r="N1927" i="8"/>
  <c r="C1438" i="8"/>
  <c r="M1438" i="8"/>
  <c r="N1438" i="8"/>
  <c r="M1766" i="8"/>
  <c r="C1766" i="8"/>
  <c r="N1766" i="8"/>
  <c r="N1779" i="8"/>
  <c r="M1779" i="8"/>
  <c r="C1779" i="8"/>
  <c r="M1780" i="8"/>
  <c r="C1780" i="8"/>
  <c r="N1780" i="8"/>
  <c r="M1817" i="8"/>
  <c r="C1817" i="8"/>
  <c r="N1817" i="8"/>
  <c r="M1753" i="8"/>
  <c r="C1753" i="8"/>
  <c r="N1753" i="8"/>
  <c r="N1778" i="8"/>
  <c r="M1778" i="8"/>
  <c r="C1778" i="8"/>
  <c r="M1767" i="8"/>
  <c r="C1767" i="8"/>
  <c r="N1767" i="8"/>
  <c r="N1815" i="8"/>
  <c r="M1815" i="8"/>
  <c r="C1815" i="8"/>
  <c r="N1831" i="8"/>
  <c r="M1831" i="8"/>
  <c r="C1831" i="8"/>
  <c r="C1424" i="8"/>
  <c r="M1424" i="8"/>
  <c r="N1424" i="8"/>
  <c r="N1829" i="8"/>
  <c r="M1829" i="8"/>
  <c r="C1829" i="8"/>
  <c r="N1556" i="8"/>
  <c r="M1556" i="8"/>
  <c r="C1556" i="8"/>
  <c r="M1507" i="8"/>
  <c r="C1507" i="8"/>
  <c r="N1507" i="8"/>
  <c r="M1415" i="8"/>
  <c r="C1415" i="8"/>
  <c r="N1415" i="8"/>
  <c r="N1516" i="8"/>
  <c r="M1516" i="8"/>
  <c r="C1516" i="8"/>
  <c r="C1425" i="8"/>
  <c r="N1425" i="8"/>
  <c r="M1425" i="8"/>
  <c r="N1517" i="8"/>
  <c r="M1517" i="8"/>
  <c r="C1517" i="8"/>
  <c r="M1518" i="8"/>
  <c r="C1518" i="8"/>
  <c r="N1518" i="8"/>
  <c r="M1545" i="8"/>
  <c r="C1545" i="8"/>
  <c r="N1545" i="8"/>
  <c r="M1506" i="8"/>
  <c r="C1506" i="8"/>
  <c r="N1506" i="8"/>
  <c r="N1463" i="8"/>
  <c r="H1467" i="8"/>
  <c r="M1463" i="8"/>
  <c r="C1463" i="8"/>
  <c r="M1481" i="8"/>
  <c r="C1481" i="8"/>
  <c r="N1481" i="8"/>
  <c r="C1404" i="8"/>
  <c r="M1404" i="8"/>
  <c r="N1404" i="8"/>
  <c r="N1440" i="8"/>
  <c r="M1440" i="8"/>
  <c r="C1440" i="8"/>
  <c r="N1403" i="8"/>
  <c r="M1403" i="8"/>
  <c r="C1403" i="8"/>
  <c r="N1433" i="8"/>
  <c r="M1433" i="8"/>
  <c r="C1433" i="8"/>
  <c r="M1416" i="8"/>
  <c r="C1416" i="8"/>
  <c r="N1416" i="8"/>
  <c r="N13" i="15"/>
  <c r="N36" i="15"/>
  <c r="N17" i="15"/>
  <c r="N31" i="15"/>
  <c r="N32" i="15"/>
  <c r="N34" i="15"/>
  <c r="N15" i="15"/>
  <c r="N19" i="15"/>
  <c r="N29" i="15"/>
  <c r="N33" i="15"/>
  <c r="N40" i="15"/>
  <c r="N39" i="15"/>
  <c r="C1805" i="8" l="1"/>
  <c r="C1757" i="8"/>
  <c r="H2174" i="8"/>
  <c r="N2174" i="8" s="1"/>
  <c r="N2173" i="8"/>
  <c r="C2173" i="8"/>
  <c r="C1620" i="8"/>
  <c r="N1620" i="8"/>
  <c r="H1621" i="8"/>
  <c r="M1620" i="8"/>
  <c r="C1494" i="8"/>
  <c r="C1541" i="8"/>
  <c r="C1498" i="8"/>
  <c r="N1394" i="8"/>
  <c r="C1368" i="8"/>
  <c r="N1715" i="8"/>
  <c r="M1494" i="8"/>
  <c r="C1394" i="8"/>
  <c r="M1483" i="8"/>
  <c r="C1483" i="8"/>
  <c r="N1483" i="8"/>
  <c r="H1484" i="8"/>
  <c r="M1732" i="8"/>
  <c r="C1732" i="8"/>
  <c r="N1732" i="8"/>
  <c r="M1384" i="8"/>
  <c r="H1385" i="8"/>
  <c r="C1384" i="8"/>
  <c r="N1384" i="8"/>
  <c r="C1904" i="8"/>
  <c r="M1904" i="8"/>
  <c r="H1905" i="8"/>
  <c r="N1904" i="8"/>
  <c r="M2011" i="8"/>
  <c r="H2012" i="8"/>
  <c r="C2011" i="8"/>
  <c r="N2011" i="8"/>
  <c r="N1914" i="8"/>
  <c r="M1914" i="8"/>
  <c r="C1914" i="8"/>
  <c r="N1888" i="8"/>
  <c r="C1888" i="8"/>
  <c r="N1467" i="8"/>
  <c r="C1467" i="8"/>
  <c r="T68" i="4"/>
  <c r="EV669" i="4"/>
  <c r="EW669" i="4"/>
  <c r="EX669" i="4"/>
  <c r="EY669" i="4"/>
  <c r="EZ669" i="4"/>
  <c r="FA669" i="4"/>
  <c r="FB669" i="4"/>
  <c r="FC669" i="4"/>
  <c r="FD669" i="4"/>
  <c r="FE669" i="4"/>
  <c r="FF669" i="4"/>
  <c r="FG669" i="4"/>
  <c r="FH669" i="4"/>
  <c r="FI669" i="4"/>
  <c r="FJ669" i="4"/>
  <c r="FK669" i="4"/>
  <c r="FL669" i="4"/>
  <c r="DF669" i="4"/>
  <c r="FM669" i="4"/>
  <c r="FN669" i="4"/>
  <c r="FO669" i="4"/>
  <c r="EV660" i="4"/>
  <c r="EW660" i="4"/>
  <c r="EX660" i="4"/>
  <c r="EY660" i="4"/>
  <c r="EZ660" i="4"/>
  <c r="FA660" i="4"/>
  <c r="FB660" i="4"/>
  <c r="FC660" i="4"/>
  <c r="FD660" i="4"/>
  <c r="FE660" i="4"/>
  <c r="FF660" i="4"/>
  <c r="FG660" i="4"/>
  <c r="FH660" i="4"/>
  <c r="FI660" i="4"/>
  <c r="FJ660" i="4"/>
  <c r="FK660" i="4"/>
  <c r="FL660" i="4"/>
  <c r="DF660" i="4"/>
  <c r="FM660" i="4"/>
  <c r="FN660" i="4"/>
  <c r="FO660" i="4"/>
  <c r="EV655" i="4"/>
  <c r="EW655" i="4"/>
  <c r="EX655" i="4"/>
  <c r="EY655" i="4"/>
  <c r="EZ655" i="4"/>
  <c r="FA655" i="4"/>
  <c r="FB655" i="4"/>
  <c r="FC655" i="4"/>
  <c r="FD655" i="4"/>
  <c r="FE655" i="4"/>
  <c r="FF655" i="4"/>
  <c r="FG655" i="4"/>
  <c r="FH655" i="4"/>
  <c r="FI655" i="4"/>
  <c r="FJ655" i="4"/>
  <c r="FK655" i="4"/>
  <c r="FL655" i="4"/>
  <c r="DF655" i="4"/>
  <c r="FM655" i="4"/>
  <c r="FN655" i="4"/>
  <c r="FO655" i="4"/>
  <c r="EV650" i="4"/>
  <c r="EW650" i="4"/>
  <c r="EX650" i="4"/>
  <c r="EY650" i="4"/>
  <c r="EZ650" i="4"/>
  <c r="FA650" i="4"/>
  <c r="FB650" i="4"/>
  <c r="FC650" i="4"/>
  <c r="FD650" i="4"/>
  <c r="FE650" i="4"/>
  <c r="FF650" i="4"/>
  <c r="FG650" i="4"/>
  <c r="FH650" i="4"/>
  <c r="FI650" i="4"/>
  <c r="FJ650" i="4"/>
  <c r="FK650" i="4"/>
  <c r="FL650" i="4"/>
  <c r="DF650" i="4"/>
  <c r="FM650" i="4"/>
  <c r="FN650" i="4"/>
  <c r="FO650" i="4"/>
  <c r="EV638" i="4"/>
  <c r="EW638" i="4"/>
  <c r="EX638" i="4"/>
  <c r="EY638" i="4"/>
  <c r="EZ638" i="4"/>
  <c r="FA638" i="4"/>
  <c r="FB638" i="4"/>
  <c r="FC638" i="4"/>
  <c r="FD638" i="4"/>
  <c r="FE638" i="4"/>
  <c r="FF638" i="4"/>
  <c r="FG638" i="4"/>
  <c r="FH638" i="4"/>
  <c r="FI638" i="4"/>
  <c r="FJ638" i="4"/>
  <c r="FK638" i="4"/>
  <c r="FL638" i="4"/>
  <c r="DF638" i="4"/>
  <c r="FM638" i="4"/>
  <c r="FN638" i="4"/>
  <c r="FO638" i="4"/>
  <c r="EV572" i="4"/>
  <c r="EW572" i="4"/>
  <c r="EX572" i="4"/>
  <c r="EY572" i="4"/>
  <c r="EZ572" i="4"/>
  <c r="FA572" i="4"/>
  <c r="FB572" i="4"/>
  <c r="FC572" i="4"/>
  <c r="FD572" i="4"/>
  <c r="FE572" i="4"/>
  <c r="FF572" i="4"/>
  <c r="FG572" i="4"/>
  <c r="FH572" i="4"/>
  <c r="FI572" i="4"/>
  <c r="FJ572" i="4"/>
  <c r="FK572" i="4"/>
  <c r="FL572" i="4"/>
  <c r="DF572" i="4"/>
  <c r="FM572" i="4"/>
  <c r="FN572" i="4"/>
  <c r="FO572" i="4"/>
  <c r="EV554" i="4"/>
  <c r="EW554" i="4"/>
  <c r="EX554" i="4"/>
  <c r="EY554" i="4"/>
  <c r="EZ554" i="4"/>
  <c r="FA554" i="4"/>
  <c r="FB554" i="4"/>
  <c r="FC554" i="4"/>
  <c r="FD554" i="4"/>
  <c r="FE554" i="4"/>
  <c r="FF554" i="4"/>
  <c r="FG554" i="4"/>
  <c r="FH554" i="4"/>
  <c r="FI554" i="4"/>
  <c r="FJ554" i="4"/>
  <c r="FK554" i="4"/>
  <c r="FL554" i="4"/>
  <c r="DF554" i="4"/>
  <c r="FM554" i="4"/>
  <c r="FN554" i="4"/>
  <c r="FO554" i="4"/>
  <c r="EV507" i="4"/>
  <c r="EW507" i="4"/>
  <c r="EX507" i="4"/>
  <c r="EY507" i="4"/>
  <c r="EZ507" i="4"/>
  <c r="FA507" i="4"/>
  <c r="FB507" i="4"/>
  <c r="FC507" i="4"/>
  <c r="FD507" i="4"/>
  <c r="FE507" i="4"/>
  <c r="FF507" i="4"/>
  <c r="FG507" i="4"/>
  <c r="FH507" i="4"/>
  <c r="FI507" i="4"/>
  <c r="FJ507" i="4"/>
  <c r="FK507" i="4"/>
  <c r="FL507" i="4"/>
  <c r="DF507" i="4"/>
  <c r="FM507" i="4"/>
  <c r="FN507" i="4"/>
  <c r="FO507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DF479" i="4"/>
  <c r="FM479" i="4"/>
  <c r="FN479" i="4"/>
  <c r="FO479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DF356" i="4"/>
  <c r="FM356" i="4"/>
  <c r="FN356" i="4"/>
  <c r="FO356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DF329" i="4"/>
  <c r="FM329" i="4"/>
  <c r="FN329" i="4"/>
  <c r="FO329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DF256" i="4"/>
  <c r="FM256" i="4"/>
  <c r="FN256" i="4"/>
  <c r="FO256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DF108" i="4"/>
  <c r="FM108" i="4"/>
  <c r="FN108" i="4"/>
  <c r="FO108" i="4"/>
  <c r="BV669" i="4"/>
  <c r="BV660" i="4"/>
  <c r="BV655" i="4"/>
  <c r="BV650" i="4"/>
  <c r="BV638" i="4"/>
  <c r="BV572" i="4"/>
  <c r="BV554" i="4"/>
  <c r="BV507" i="4"/>
  <c r="BV479" i="4"/>
  <c r="BV356" i="4"/>
  <c r="BV329" i="4"/>
  <c r="BV256" i="4"/>
  <c r="BV108" i="4"/>
  <c r="B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DF68" i="4"/>
  <c r="FM68" i="4"/>
  <c r="FN68" i="4"/>
  <c r="FO68" i="4"/>
  <c r="N1738" i="8" l="1"/>
  <c r="M1738" i="8"/>
  <c r="C1738" i="8"/>
  <c r="H1743" i="8"/>
  <c r="N1742" i="8"/>
  <c r="M1742" i="8"/>
  <c r="C1742" i="8"/>
  <c r="N1740" i="8"/>
  <c r="M1740" i="8"/>
  <c r="C1740" i="8"/>
  <c r="M1739" i="8"/>
  <c r="C1739" i="8"/>
  <c r="N1739" i="8"/>
  <c r="C2174" i="8"/>
  <c r="C2165" i="8" s="1"/>
  <c r="C2155" i="8" s="1"/>
  <c r="M2174" i="8"/>
  <c r="N2132" i="8"/>
  <c r="N1746" i="8"/>
  <c r="C1746" i="8"/>
  <c r="M1746" i="8"/>
  <c r="N1624" i="8"/>
  <c r="C1624" i="8"/>
  <c r="M1624" i="8"/>
  <c r="C1621" i="8"/>
  <c r="N1621" i="8"/>
  <c r="M1621" i="8"/>
  <c r="FJ700" i="4"/>
  <c r="FB700" i="4"/>
  <c r="EX700" i="4"/>
  <c r="FM700" i="4"/>
  <c r="FF700" i="4"/>
  <c r="FO700" i="4"/>
  <c r="FH700" i="4"/>
  <c r="G930" i="5" s="1"/>
  <c r="FD700" i="4"/>
  <c r="EZ700" i="4"/>
  <c r="FL700" i="4"/>
  <c r="FN700" i="4"/>
  <c r="G926" i="5" s="1"/>
  <c r="FK700" i="4"/>
  <c r="FG700" i="4"/>
  <c r="G57" i="16" s="1"/>
  <c r="FC700" i="4"/>
  <c r="EY700" i="4"/>
  <c r="DF700" i="4"/>
  <c r="FI700" i="4"/>
  <c r="FE700" i="4"/>
  <c r="FA700" i="4"/>
  <c r="BV700" i="4"/>
  <c r="N1918" i="8"/>
  <c r="M1918" i="8"/>
  <c r="C1918" i="8"/>
  <c r="N1919" i="8"/>
  <c r="M1919" i="8"/>
  <c r="C1919" i="8"/>
  <c r="N2015" i="8"/>
  <c r="M2015" i="8"/>
  <c r="C2015" i="8"/>
  <c r="N1385" i="8"/>
  <c r="N1355" i="8" s="1"/>
  <c r="M1385" i="8"/>
  <c r="C1385" i="8"/>
  <c r="C1355" i="8" s="1"/>
  <c r="C1344" i="8" s="1"/>
  <c r="M1905" i="8"/>
  <c r="N1905" i="8"/>
  <c r="C1905" i="8"/>
  <c r="M2012" i="8"/>
  <c r="N2012" i="8"/>
  <c r="C2012" i="8"/>
  <c r="C1733" i="8"/>
  <c r="N1733" i="8"/>
  <c r="M1733" i="8"/>
  <c r="C1484" i="8"/>
  <c r="C1454" i="8" s="1"/>
  <c r="C1443" i="8" s="1"/>
  <c r="N1484" i="8"/>
  <c r="N1454" i="8" s="1"/>
  <c r="M1484" i="8"/>
  <c r="H73" i="15"/>
  <c r="EU669" i="4"/>
  <c r="ET669" i="4"/>
  <c r="ES669" i="4"/>
  <c r="ER669" i="4"/>
  <c r="EQ669" i="4"/>
  <c r="EP669" i="4"/>
  <c r="EO669" i="4"/>
  <c r="EN669" i="4"/>
  <c r="EM669" i="4"/>
  <c r="EL669" i="4"/>
  <c r="EK669" i="4"/>
  <c r="EJ669" i="4"/>
  <c r="EI669" i="4"/>
  <c r="EH669" i="4"/>
  <c r="EG669" i="4"/>
  <c r="EF669" i="4"/>
  <c r="EE669" i="4"/>
  <c r="ED669" i="4"/>
  <c r="EC669" i="4"/>
  <c r="EB669" i="4"/>
  <c r="EA669" i="4"/>
  <c r="DZ669" i="4"/>
  <c r="DY669" i="4"/>
  <c r="DX669" i="4"/>
  <c r="DW669" i="4"/>
  <c r="DV669" i="4"/>
  <c r="DU669" i="4"/>
  <c r="DT669" i="4"/>
  <c r="DS669" i="4"/>
  <c r="DR669" i="4"/>
  <c r="DQ669" i="4"/>
  <c r="DP669" i="4"/>
  <c r="DO669" i="4"/>
  <c r="DN669" i="4"/>
  <c r="DM669" i="4"/>
  <c r="DL669" i="4"/>
  <c r="DK669" i="4"/>
  <c r="DJ669" i="4"/>
  <c r="DI669" i="4"/>
  <c r="DH669" i="4"/>
  <c r="DG669" i="4"/>
  <c r="DE669" i="4"/>
  <c r="DD669" i="4"/>
  <c r="DC669" i="4"/>
  <c r="DB669" i="4"/>
  <c r="EU660" i="4"/>
  <c r="ET660" i="4"/>
  <c r="ES660" i="4"/>
  <c r="ER660" i="4"/>
  <c r="EQ660" i="4"/>
  <c r="EP660" i="4"/>
  <c r="EO660" i="4"/>
  <c r="EN660" i="4"/>
  <c r="EM660" i="4"/>
  <c r="EL660" i="4"/>
  <c r="EK660" i="4"/>
  <c r="EJ660" i="4"/>
  <c r="EI660" i="4"/>
  <c r="EH660" i="4"/>
  <c r="EG660" i="4"/>
  <c r="EF660" i="4"/>
  <c r="EE660" i="4"/>
  <c r="ED660" i="4"/>
  <c r="EC660" i="4"/>
  <c r="EB660" i="4"/>
  <c r="EA660" i="4"/>
  <c r="DZ660" i="4"/>
  <c r="DY660" i="4"/>
  <c r="DX660" i="4"/>
  <c r="DW660" i="4"/>
  <c r="DV660" i="4"/>
  <c r="DU660" i="4"/>
  <c r="DT660" i="4"/>
  <c r="DS660" i="4"/>
  <c r="DR660" i="4"/>
  <c r="DQ660" i="4"/>
  <c r="DP660" i="4"/>
  <c r="DO660" i="4"/>
  <c r="DN660" i="4"/>
  <c r="DM660" i="4"/>
  <c r="DL660" i="4"/>
  <c r="DK660" i="4"/>
  <c r="DJ660" i="4"/>
  <c r="DI660" i="4"/>
  <c r="DH660" i="4"/>
  <c r="DG660" i="4"/>
  <c r="DE660" i="4"/>
  <c r="DD660" i="4"/>
  <c r="DC660" i="4"/>
  <c r="DB660" i="4"/>
  <c r="EU655" i="4"/>
  <c r="ET655" i="4"/>
  <c r="ES655" i="4"/>
  <c r="ER655" i="4"/>
  <c r="EQ655" i="4"/>
  <c r="EP655" i="4"/>
  <c r="EO655" i="4"/>
  <c r="EN655" i="4"/>
  <c r="EM655" i="4"/>
  <c r="EL655" i="4"/>
  <c r="EK655" i="4"/>
  <c r="EJ655" i="4"/>
  <c r="EI655" i="4"/>
  <c r="EH655" i="4"/>
  <c r="EG655" i="4"/>
  <c r="EF655" i="4"/>
  <c r="EE655" i="4"/>
  <c r="ED655" i="4"/>
  <c r="EC655" i="4"/>
  <c r="EB655" i="4"/>
  <c r="EA655" i="4"/>
  <c r="DZ655" i="4"/>
  <c r="DY655" i="4"/>
  <c r="DX655" i="4"/>
  <c r="DW655" i="4"/>
  <c r="DV655" i="4"/>
  <c r="DU655" i="4"/>
  <c r="DT655" i="4"/>
  <c r="DS655" i="4"/>
  <c r="DR655" i="4"/>
  <c r="DQ655" i="4"/>
  <c r="DP655" i="4"/>
  <c r="DO655" i="4"/>
  <c r="DN655" i="4"/>
  <c r="DM655" i="4"/>
  <c r="DL655" i="4"/>
  <c r="DK655" i="4"/>
  <c r="DJ655" i="4"/>
  <c r="DI655" i="4"/>
  <c r="DH655" i="4"/>
  <c r="DG655" i="4"/>
  <c r="DE655" i="4"/>
  <c r="DD655" i="4"/>
  <c r="DC655" i="4"/>
  <c r="DB655" i="4"/>
  <c r="EU650" i="4"/>
  <c r="ET650" i="4"/>
  <c r="ES650" i="4"/>
  <c r="ER650" i="4"/>
  <c r="EQ650" i="4"/>
  <c r="EP650" i="4"/>
  <c r="EO650" i="4"/>
  <c r="EN650" i="4"/>
  <c r="EM650" i="4"/>
  <c r="EL650" i="4"/>
  <c r="EK650" i="4"/>
  <c r="EJ650" i="4"/>
  <c r="EI650" i="4"/>
  <c r="EH650" i="4"/>
  <c r="EG650" i="4"/>
  <c r="EF650" i="4"/>
  <c r="EE650" i="4"/>
  <c r="ED650" i="4"/>
  <c r="EC650" i="4"/>
  <c r="EB650" i="4"/>
  <c r="EA650" i="4"/>
  <c r="DZ650" i="4"/>
  <c r="DY650" i="4"/>
  <c r="FU650" i="4" s="1"/>
  <c r="DX650" i="4"/>
  <c r="DW650" i="4"/>
  <c r="DV650" i="4"/>
  <c r="DU650" i="4"/>
  <c r="DT650" i="4"/>
  <c r="DS650" i="4"/>
  <c r="DR650" i="4"/>
  <c r="DQ650" i="4"/>
  <c r="DP650" i="4"/>
  <c r="DO650" i="4"/>
  <c r="DN650" i="4"/>
  <c r="DM650" i="4"/>
  <c r="DL650" i="4"/>
  <c r="DK650" i="4"/>
  <c r="DJ650" i="4"/>
  <c r="DI650" i="4"/>
  <c r="DH650" i="4"/>
  <c r="DG650" i="4"/>
  <c r="DE650" i="4"/>
  <c r="DD650" i="4"/>
  <c r="DC650" i="4"/>
  <c r="DB650" i="4"/>
  <c r="EU638" i="4"/>
  <c r="ET638" i="4"/>
  <c r="ES638" i="4"/>
  <c r="ER638" i="4"/>
  <c r="EQ638" i="4"/>
  <c r="EP638" i="4"/>
  <c r="EO638" i="4"/>
  <c r="EN638" i="4"/>
  <c r="EM638" i="4"/>
  <c r="EL638" i="4"/>
  <c r="EK638" i="4"/>
  <c r="EJ638" i="4"/>
  <c r="EI638" i="4"/>
  <c r="EH638" i="4"/>
  <c r="EG638" i="4"/>
  <c r="EF638" i="4"/>
  <c r="EE638" i="4"/>
  <c r="ED638" i="4"/>
  <c r="EC638" i="4"/>
  <c r="EB638" i="4"/>
  <c r="EA638" i="4"/>
  <c r="DZ638" i="4"/>
  <c r="DY638" i="4"/>
  <c r="FU638" i="4" s="1"/>
  <c r="DX638" i="4"/>
  <c r="DW638" i="4"/>
  <c r="DV638" i="4"/>
  <c r="DU638" i="4"/>
  <c r="DT638" i="4"/>
  <c r="DS638" i="4"/>
  <c r="DR638" i="4"/>
  <c r="DQ638" i="4"/>
  <c r="DP638" i="4"/>
  <c r="DO638" i="4"/>
  <c r="DN638" i="4"/>
  <c r="DM638" i="4"/>
  <c r="DL638" i="4"/>
  <c r="DK638" i="4"/>
  <c r="DJ638" i="4"/>
  <c r="DI638" i="4"/>
  <c r="DH638" i="4"/>
  <c r="DG638" i="4"/>
  <c r="DE638" i="4"/>
  <c r="DD638" i="4"/>
  <c r="DC638" i="4"/>
  <c r="DB638" i="4"/>
  <c r="EU572" i="4"/>
  <c r="ET572" i="4"/>
  <c r="ES572" i="4"/>
  <c r="ER572" i="4"/>
  <c r="EQ572" i="4"/>
  <c r="EP572" i="4"/>
  <c r="EO572" i="4"/>
  <c r="EN572" i="4"/>
  <c r="EM572" i="4"/>
  <c r="EL572" i="4"/>
  <c r="EK572" i="4"/>
  <c r="EJ572" i="4"/>
  <c r="EI572" i="4"/>
  <c r="EH572" i="4"/>
  <c r="EG572" i="4"/>
  <c r="EF572" i="4"/>
  <c r="EE572" i="4"/>
  <c r="ED572" i="4"/>
  <c r="EC572" i="4"/>
  <c r="EB572" i="4"/>
  <c r="EA572" i="4"/>
  <c r="DZ572" i="4"/>
  <c r="DY572" i="4"/>
  <c r="FU572" i="4" s="1"/>
  <c r="DX572" i="4"/>
  <c r="DW572" i="4"/>
  <c r="DV572" i="4"/>
  <c r="DU572" i="4"/>
  <c r="DT572" i="4"/>
  <c r="DS572" i="4"/>
  <c r="DR572" i="4"/>
  <c r="DQ572" i="4"/>
  <c r="DP572" i="4"/>
  <c r="DO572" i="4"/>
  <c r="DN572" i="4"/>
  <c r="DM572" i="4"/>
  <c r="DL572" i="4"/>
  <c r="DK572" i="4"/>
  <c r="DJ572" i="4"/>
  <c r="DI572" i="4"/>
  <c r="DH572" i="4"/>
  <c r="DG572" i="4"/>
  <c r="DE572" i="4"/>
  <c r="DD572" i="4"/>
  <c r="DC572" i="4"/>
  <c r="DB572" i="4"/>
  <c r="EU554" i="4"/>
  <c r="ET554" i="4"/>
  <c r="ES554" i="4"/>
  <c r="ER554" i="4"/>
  <c r="EQ554" i="4"/>
  <c r="EP554" i="4"/>
  <c r="EO554" i="4"/>
  <c r="EN554" i="4"/>
  <c r="EM554" i="4"/>
  <c r="EL554" i="4"/>
  <c r="EK554" i="4"/>
  <c r="EJ554" i="4"/>
  <c r="EI554" i="4"/>
  <c r="EH554" i="4"/>
  <c r="EG554" i="4"/>
  <c r="EF554" i="4"/>
  <c r="EE554" i="4"/>
  <c r="ED554" i="4"/>
  <c r="EC554" i="4"/>
  <c r="EB554" i="4"/>
  <c r="EA554" i="4"/>
  <c r="DZ554" i="4"/>
  <c r="DY554" i="4"/>
  <c r="FU554" i="4" s="1"/>
  <c r="DX554" i="4"/>
  <c r="DW554" i="4"/>
  <c r="DV554" i="4"/>
  <c r="DU554" i="4"/>
  <c r="DT554" i="4"/>
  <c r="DS554" i="4"/>
  <c r="DR554" i="4"/>
  <c r="DQ554" i="4"/>
  <c r="DP554" i="4"/>
  <c r="DO554" i="4"/>
  <c r="DN554" i="4"/>
  <c r="DM554" i="4"/>
  <c r="DL554" i="4"/>
  <c r="DJ554" i="4"/>
  <c r="DI554" i="4"/>
  <c r="DH554" i="4"/>
  <c r="DG554" i="4"/>
  <c r="DE554" i="4"/>
  <c r="DD554" i="4"/>
  <c r="DC554" i="4"/>
  <c r="DB554" i="4"/>
  <c r="EU507" i="4"/>
  <c r="ET507" i="4"/>
  <c r="ES507" i="4"/>
  <c r="ER507" i="4"/>
  <c r="EQ507" i="4"/>
  <c r="EP507" i="4"/>
  <c r="EO507" i="4"/>
  <c r="EN507" i="4"/>
  <c r="EM507" i="4"/>
  <c r="EL507" i="4"/>
  <c r="EK507" i="4"/>
  <c r="EJ507" i="4"/>
  <c r="EI507" i="4"/>
  <c r="EH507" i="4"/>
  <c r="EG507" i="4"/>
  <c r="EF507" i="4"/>
  <c r="EE507" i="4"/>
  <c r="ED507" i="4"/>
  <c r="EC507" i="4"/>
  <c r="EB507" i="4"/>
  <c r="EA507" i="4"/>
  <c r="DZ507" i="4"/>
  <c r="DY507" i="4"/>
  <c r="FU507" i="4" s="1"/>
  <c r="DX507" i="4"/>
  <c r="DW507" i="4"/>
  <c r="DV507" i="4"/>
  <c r="DU507" i="4"/>
  <c r="DT507" i="4"/>
  <c r="DS507" i="4"/>
  <c r="DR507" i="4"/>
  <c r="DQ507" i="4"/>
  <c r="DP507" i="4"/>
  <c r="DO507" i="4"/>
  <c r="DM507" i="4"/>
  <c r="DL507" i="4"/>
  <c r="DK507" i="4"/>
  <c r="DJ507" i="4"/>
  <c r="DI507" i="4"/>
  <c r="DH507" i="4"/>
  <c r="DG507" i="4"/>
  <c r="DE507" i="4"/>
  <c r="DD507" i="4"/>
  <c r="DC507" i="4"/>
  <c r="DB507" i="4"/>
  <c r="ET479" i="4"/>
  <c r="ES479" i="4"/>
  <c r="ER479" i="4"/>
  <c r="EQ479" i="4"/>
  <c r="EP479" i="4"/>
  <c r="EO479" i="4"/>
  <c r="EN479" i="4"/>
  <c r="EM479" i="4"/>
  <c r="EL479" i="4"/>
  <c r="EK479" i="4"/>
  <c r="EJ479" i="4"/>
  <c r="EI479" i="4"/>
  <c r="EH479" i="4"/>
  <c r="EG479" i="4"/>
  <c r="EF479" i="4"/>
  <c r="EE479" i="4"/>
  <c r="ED479" i="4"/>
  <c r="EC479" i="4"/>
  <c r="EB479" i="4"/>
  <c r="EA479" i="4"/>
  <c r="DZ479" i="4"/>
  <c r="DY479" i="4"/>
  <c r="FU479" i="4" s="1"/>
  <c r="DX479" i="4"/>
  <c r="DW479" i="4"/>
  <c r="DV479" i="4"/>
  <c r="DU479" i="4"/>
  <c r="DT479" i="4"/>
  <c r="DS479" i="4"/>
  <c r="DR479" i="4"/>
  <c r="DQ479" i="4"/>
  <c r="DP479" i="4"/>
  <c r="DO479" i="4"/>
  <c r="DN479" i="4"/>
  <c r="DM479" i="4"/>
  <c r="DL479" i="4"/>
  <c r="DK479" i="4"/>
  <c r="DJ479" i="4"/>
  <c r="DI479" i="4"/>
  <c r="DH479" i="4"/>
  <c r="DG479" i="4"/>
  <c r="DE479" i="4"/>
  <c r="DD479" i="4"/>
  <c r="DC479" i="4"/>
  <c r="DB479" i="4"/>
  <c r="ET356" i="4"/>
  <c r="ES356" i="4"/>
  <c r="ER356" i="4"/>
  <c r="EQ356" i="4"/>
  <c r="EP356" i="4"/>
  <c r="EO356" i="4"/>
  <c r="EN356" i="4"/>
  <c r="EM356" i="4"/>
  <c r="EL356" i="4"/>
  <c r="EK356" i="4"/>
  <c r="EJ356" i="4"/>
  <c r="EI356" i="4"/>
  <c r="EH356" i="4"/>
  <c r="EG356" i="4"/>
  <c r="EF356" i="4"/>
  <c r="EE356" i="4"/>
  <c r="ED356" i="4"/>
  <c r="EC356" i="4"/>
  <c r="EB356" i="4"/>
  <c r="EA356" i="4"/>
  <c r="DZ356" i="4"/>
  <c r="DY356" i="4"/>
  <c r="FU356" i="4" s="1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K356" i="4"/>
  <c r="DJ356" i="4"/>
  <c r="DI356" i="4"/>
  <c r="DH356" i="4"/>
  <c r="DG356" i="4"/>
  <c r="DE356" i="4"/>
  <c r="DD356" i="4"/>
  <c r="DC356" i="4"/>
  <c r="DB356" i="4"/>
  <c r="ES329" i="4"/>
  <c r="ER329" i="4"/>
  <c r="EQ329" i="4"/>
  <c r="EP329" i="4"/>
  <c r="EO329" i="4"/>
  <c r="EN329" i="4"/>
  <c r="EM329" i="4"/>
  <c r="EL329" i="4"/>
  <c r="EK329" i="4"/>
  <c r="EJ329" i="4"/>
  <c r="EI329" i="4"/>
  <c r="EH329" i="4"/>
  <c r="EG329" i="4"/>
  <c r="EF329" i="4"/>
  <c r="EE329" i="4"/>
  <c r="ED329" i="4"/>
  <c r="EC329" i="4"/>
  <c r="EB329" i="4"/>
  <c r="EA329" i="4"/>
  <c r="DZ329" i="4"/>
  <c r="DY329" i="4"/>
  <c r="FU329" i="4" s="1"/>
  <c r="DX329" i="4"/>
  <c r="DW329" i="4"/>
  <c r="DV329" i="4"/>
  <c r="DU329" i="4"/>
  <c r="DT329" i="4"/>
  <c r="DS329" i="4"/>
  <c r="DR329" i="4"/>
  <c r="DQ329" i="4"/>
  <c r="DP329" i="4"/>
  <c r="DO329" i="4"/>
  <c r="DN329" i="4"/>
  <c r="DM329" i="4"/>
  <c r="DL329" i="4"/>
  <c r="DK329" i="4"/>
  <c r="DJ329" i="4"/>
  <c r="DI329" i="4"/>
  <c r="DH329" i="4"/>
  <c r="DG329" i="4"/>
  <c r="DE329" i="4"/>
  <c r="DD329" i="4"/>
  <c r="DC329" i="4"/>
  <c r="DB329" i="4"/>
  <c r="ES256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FU256" i="4" s="1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E256" i="4"/>
  <c r="DD256" i="4"/>
  <c r="DC256" i="4"/>
  <c r="DB256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FU108" i="4" s="1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E108" i="4"/>
  <c r="DD108" i="4"/>
  <c r="DC108" i="4"/>
  <c r="DB108" i="4"/>
  <c r="EW68" i="4"/>
  <c r="EW700" i="4" s="1"/>
  <c r="EV68" i="4"/>
  <c r="EV700" i="4" s="1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E68" i="4"/>
  <c r="DD68" i="4"/>
  <c r="DC68" i="4"/>
  <c r="DB68" i="4"/>
  <c r="N1591" i="8" l="1"/>
  <c r="C2132" i="8"/>
  <c r="C2122" i="8" s="1"/>
  <c r="N1743" i="8"/>
  <c r="N1702" i="8" s="1"/>
  <c r="M1743" i="8"/>
  <c r="C1743" i="8"/>
  <c r="C1734" i="8" s="1"/>
  <c r="C1724" i="8" s="1"/>
  <c r="C1702" i="8" s="1"/>
  <c r="C1691" i="8" s="1"/>
  <c r="C1591" i="8"/>
  <c r="C1580" i="8" s="1"/>
  <c r="DD700" i="4"/>
  <c r="DI700" i="4"/>
  <c r="DM700" i="4"/>
  <c r="DQ700" i="4"/>
  <c r="DU700" i="4"/>
  <c r="EC700" i="4"/>
  <c r="EG700" i="4"/>
  <c r="EK700" i="4"/>
  <c r="EO700" i="4"/>
  <c r="ES700" i="4"/>
  <c r="DE700" i="4"/>
  <c r="DV700" i="4"/>
  <c r="EU700" i="4"/>
  <c r="DC700" i="4"/>
  <c r="DH700" i="4"/>
  <c r="DL700" i="4"/>
  <c r="DP700" i="4"/>
  <c r="DT700" i="4"/>
  <c r="DX700" i="4"/>
  <c r="EB700" i="4"/>
  <c r="G31" i="16" s="1"/>
  <c r="EF700" i="4"/>
  <c r="EJ700" i="4"/>
  <c r="EN700" i="4"/>
  <c r="ER700" i="4"/>
  <c r="G41" i="16" s="1"/>
  <c r="DB700" i="4"/>
  <c r="DG700" i="4"/>
  <c r="G14" i="16" s="1"/>
  <c r="DO700" i="4"/>
  <c r="DS700" i="4"/>
  <c r="DW700" i="4"/>
  <c r="EA700" i="4"/>
  <c r="G30" i="16" s="1"/>
  <c r="EE700" i="4"/>
  <c r="EI700" i="4"/>
  <c r="EM700" i="4"/>
  <c r="EQ700" i="4"/>
  <c r="DJ700" i="4"/>
  <c r="FU68" i="4"/>
  <c r="DY700" i="4"/>
  <c r="G28" i="16" s="1"/>
  <c r="DZ700" i="4"/>
  <c r="G29" i="16" s="1"/>
  <c r="ED700" i="4"/>
  <c r="EH700" i="4"/>
  <c r="EL700" i="4"/>
  <c r="G37" i="16" s="1"/>
  <c r="EP700" i="4"/>
  <c r="G40" i="16" s="1"/>
  <c r="ET700" i="4"/>
  <c r="DR700" i="4"/>
  <c r="N1981" i="8"/>
  <c r="O930" i="5"/>
  <c r="P930" i="5"/>
  <c r="R930" i="5"/>
  <c r="C930" i="5"/>
  <c r="N930" i="5"/>
  <c r="C926" i="5"/>
  <c r="P926" i="5"/>
  <c r="O926" i="5"/>
  <c r="N926" i="5"/>
  <c r="S926" i="5"/>
  <c r="G927" i="5"/>
  <c r="R926" i="5"/>
  <c r="N1875" i="8"/>
  <c r="C1875" i="8"/>
  <c r="C1864" i="8" s="1"/>
  <c r="C1981" i="8"/>
  <c r="C1969" i="8" s="1"/>
  <c r="G35" i="16"/>
  <c r="G39" i="16"/>
  <c r="G16" i="16"/>
  <c r="G36" i="16"/>
  <c r="G42" i="16"/>
  <c r="G8" i="16"/>
  <c r="G17" i="16"/>
  <c r="G33" i="16"/>
  <c r="G34" i="16"/>
  <c r="G38" i="16"/>
  <c r="CW660" i="4"/>
  <c r="CV660" i="4"/>
  <c r="CT660" i="4"/>
  <c r="CS660" i="4"/>
  <c r="CR660" i="4"/>
  <c r="CP660" i="4"/>
  <c r="CN660" i="4"/>
  <c r="CM660" i="4"/>
  <c r="CL660" i="4"/>
  <c r="CC660" i="4"/>
  <c r="CB660" i="4"/>
  <c r="CA660" i="4"/>
  <c r="BZ660" i="4"/>
  <c r="BY660" i="4"/>
  <c r="BX660" i="4"/>
  <c r="BW660" i="4"/>
  <c r="BU660" i="4"/>
  <c r="BT660" i="4"/>
  <c r="BS660" i="4"/>
  <c r="BR660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AR660" i="4"/>
  <c r="AQ660" i="4"/>
  <c r="AP660" i="4"/>
  <c r="AO660" i="4"/>
  <c r="AN660" i="4"/>
  <c r="AM660" i="4"/>
  <c r="AJ660" i="4"/>
  <c r="AI660" i="4"/>
  <c r="AH660" i="4"/>
  <c r="AG660" i="4"/>
  <c r="AE660" i="4"/>
  <c r="AC660" i="4"/>
  <c r="AB660" i="4"/>
  <c r="Z660" i="4"/>
  <c r="X660" i="4"/>
  <c r="W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A660" i="4"/>
  <c r="CW655" i="4"/>
  <c r="CV655" i="4"/>
  <c r="CT655" i="4"/>
  <c r="CS655" i="4"/>
  <c r="CR655" i="4"/>
  <c r="CP655" i="4"/>
  <c r="CN655" i="4"/>
  <c r="CM655" i="4"/>
  <c r="CL655" i="4"/>
  <c r="CC655" i="4"/>
  <c r="CB655" i="4"/>
  <c r="CA655" i="4"/>
  <c r="BZ655" i="4"/>
  <c r="BY655" i="4"/>
  <c r="BX655" i="4"/>
  <c r="BW655" i="4"/>
  <c r="BU655" i="4"/>
  <c r="BT655" i="4"/>
  <c r="BS655" i="4"/>
  <c r="BR655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AR655" i="4"/>
  <c r="AQ655" i="4"/>
  <c r="AP655" i="4"/>
  <c r="AO655" i="4"/>
  <c r="AN655" i="4"/>
  <c r="AM655" i="4"/>
  <c r="AJ655" i="4"/>
  <c r="AI655" i="4"/>
  <c r="AH655" i="4"/>
  <c r="AG655" i="4"/>
  <c r="AE655" i="4"/>
  <c r="AC655" i="4"/>
  <c r="AB655" i="4"/>
  <c r="Z655" i="4"/>
  <c r="X655" i="4"/>
  <c r="W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A655" i="4"/>
  <c r="CW650" i="4"/>
  <c r="CV650" i="4"/>
  <c r="CT650" i="4"/>
  <c r="CS650" i="4"/>
  <c r="CR650" i="4"/>
  <c r="CP650" i="4"/>
  <c r="CN650" i="4"/>
  <c r="CM650" i="4"/>
  <c r="CL650" i="4"/>
  <c r="CC650" i="4"/>
  <c r="CB650" i="4"/>
  <c r="CA650" i="4"/>
  <c r="BZ650" i="4"/>
  <c r="BY650" i="4"/>
  <c r="BX650" i="4"/>
  <c r="BW650" i="4"/>
  <c r="BU650" i="4"/>
  <c r="BT650" i="4"/>
  <c r="BS650" i="4"/>
  <c r="BR650" i="4"/>
  <c r="BQ650" i="4"/>
  <c r="BP650" i="4"/>
  <c r="BO650" i="4"/>
  <c r="BN650" i="4"/>
  <c r="BM650" i="4"/>
  <c r="BL650" i="4"/>
  <c r="BK650" i="4"/>
  <c r="BJ650" i="4"/>
  <c r="BI650" i="4"/>
  <c r="BH650" i="4"/>
  <c r="BG650" i="4"/>
  <c r="BF650" i="4"/>
  <c r="BE650" i="4"/>
  <c r="BD650" i="4"/>
  <c r="BC650" i="4"/>
  <c r="BB650" i="4"/>
  <c r="BA650" i="4"/>
  <c r="AZ650" i="4"/>
  <c r="AY650" i="4"/>
  <c r="AX650" i="4"/>
  <c r="AW650" i="4"/>
  <c r="AV650" i="4"/>
  <c r="AU650" i="4"/>
  <c r="AR650" i="4"/>
  <c r="AQ650" i="4"/>
  <c r="AP650" i="4"/>
  <c r="AO650" i="4"/>
  <c r="AN650" i="4"/>
  <c r="AM650" i="4"/>
  <c r="AJ650" i="4"/>
  <c r="AI650" i="4"/>
  <c r="AH650" i="4"/>
  <c r="AG650" i="4"/>
  <c r="AE650" i="4"/>
  <c r="AC650" i="4"/>
  <c r="AB650" i="4"/>
  <c r="Z650" i="4"/>
  <c r="X650" i="4"/>
  <c r="W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A650" i="4"/>
  <c r="DN507" i="4"/>
  <c r="DN700" i="4" s="1"/>
  <c r="G7" i="16" l="1"/>
  <c r="G25" i="16"/>
  <c r="G20" i="16"/>
  <c r="G19" i="16"/>
  <c r="G32" i="16"/>
  <c r="G22" i="16"/>
  <c r="G24" i="16"/>
  <c r="H67" i="15"/>
  <c r="G27" i="16"/>
  <c r="G15" i="16"/>
  <c r="R927" i="5"/>
  <c r="C927" i="5"/>
  <c r="P927" i="5"/>
  <c r="O927" i="5"/>
  <c r="N927" i="5"/>
  <c r="O931" i="5"/>
  <c r="P931" i="5"/>
  <c r="S931" i="5"/>
  <c r="Q931" i="5"/>
  <c r="R931" i="5"/>
  <c r="C931" i="5"/>
  <c r="N931" i="5"/>
  <c r="N75" i="15"/>
  <c r="X68" i="4"/>
  <c r="Z68" i="4"/>
  <c r="AB68" i="4"/>
  <c r="AC68" i="4"/>
  <c r="AE68" i="4"/>
  <c r="AG68" i="4"/>
  <c r="AH68" i="4"/>
  <c r="AI68" i="4"/>
  <c r="AJ68" i="4"/>
  <c r="AM68" i="4"/>
  <c r="AN68" i="4"/>
  <c r="AO68" i="4"/>
  <c r="AP68" i="4"/>
  <c r="AQ68" i="4"/>
  <c r="AR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W68" i="4"/>
  <c r="BX68" i="4"/>
  <c r="BY68" i="4"/>
  <c r="BZ68" i="4"/>
  <c r="CA68" i="4"/>
  <c r="CB68" i="4"/>
  <c r="CC68" i="4"/>
  <c r="CL68" i="4"/>
  <c r="CM68" i="4"/>
  <c r="CN68" i="4"/>
  <c r="CP68" i="4"/>
  <c r="CR68" i="4"/>
  <c r="CS68" i="4"/>
  <c r="CT68" i="4"/>
  <c r="CV68" i="4"/>
  <c r="CW68" i="4"/>
  <c r="W68" i="4"/>
  <c r="F68" i="4"/>
  <c r="G68" i="4"/>
  <c r="H68" i="4"/>
  <c r="I68" i="4"/>
  <c r="J68" i="4"/>
  <c r="K68" i="4"/>
  <c r="L68" i="4"/>
  <c r="M68" i="4"/>
  <c r="N68" i="4"/>
  <c r="O68" i="4"/>
  <c r="Q68" i="4"/>
  <c r="E68" i="4"/>
  <c r="U68" i="4"/>
  <c r="CW572" i="4"/>
  <c r="CV572" i="4"/>
  <c r="CT572" i="4"/>
  <c r="CS572" i="4"/>
  <c r="CR572" i="4"/>
  <c r="CP572" i="4"/>
  <c r="CN572" i="4"/>
  <c r="CM572" i="4"/>
  <c r="CL572" i="4"/>
  <c r="CC572" i="4"/>
  <c r="CB572" i="4"/>
  <c r="CA572" i="4"/>
  <c r="BZ572" i="4"/>
  <c r="BY572" i="4"/>
  <c r="BX572" i="4"/>
  <c r="BW572" i="4"/>
  <c r="BU572" i="4"/>
  <c r="BT572" i="4"/>
  <c r="BS572" i="4"/>
  <c r="BR572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U572" i="4"/>
  <c r="AR572" i="4"/>
  <c r="AQ572" i="4"/>
  <c r="AP572" i="4"/>
  <c r="AO572" i="4"/>
  <c r="AN572" i="4"/>
  <c r="AM572" i="4"/>
  <c r="AJ572" i="4"/>
  <c r="AI572" i="4"/>
  <c r="AH572" i="4"/>
  <c r="AG572" i="4"/>
  <c r="AE572" i="4"/>
  <c r="AC572" i="4"/>
  <c r="AB572" i="4"/>
  <c r="Z572" i="4"/>
  <c r="X572" i="4"/>
  <c r="W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A572" i="4"/>
  <c r="CW554" i="4"/>
  <c r="CV554" i="4"/>
  <c r="CT554" i="4"/>
  <c r="CS554" i="4"/>
  <c r="CR554" i="4"/>
  <c r="CP554" i="4"/>
  <c r="CN554" i="4"/>
  <c r="CM554" i="4"/>
  <c r="CL554" i="4"/>
  <c r="CC554" i="4"/>
  <c r="CB554" i="4"/>
  <c r="CA554" i="4"/>
  <c r="BZ554" i="4"/>
  <c r="BY554" i="4"/>
  <c r="BX554" i="4"/>
  <c r="BW554" i="4"/>
  <c r="BU554" i="4"/>
  <c r="BT554" i="4"/>
  <c r="BS554" i="4"/>
  <c r="BR554" i="4"/>
  <c r="BQ554" i="4"/>
  <c r="BP554" i="4"/>
  <c r="BO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AU554" i="4"/>
  <c r="AR554" i="4"/>
  <c r="AQ554" i="4"/>
  <c r="AP554" i="4"/>
  <c r="AO554" i="4"/>
  <c r="AN554" i="4"/>
  <c r="AM554" i="4"/>
  <c r="AJ554" i="4"/>
  <c r="AI554" i="4"/>
  <c r="AH554" i="4"/>
  <c r="AG554" i="4"/>
  <c r="AE554" i="4"/>
  <c r="AC554" i="4"/>
  <c r="AB554" i="4"/>
  <c r="Z554" i="4"/>
  <c r="X554" i="4"/>
  <c r="W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A554" i="4"/>
  <c r="CW507" i="4"/>
  <c r="CV507" i="4"/>
  <c r="CT507" i="4"/>
  <c r="CS507" i="4"/>
  <c r="CR507" i="4"/>
  <c r="CP507" i="4"/>
  <c r="CN507" i="4"/>
  <c r="CM507" i="4"/>
  <c r="CL507" i="4"/>
  <c r="CC507" i="4"/>
  <c r="CB507" i="4"/>
  <c r="CA507" i="4"/>
  <c r="BZ507" i="4"/>
  <c r="BY507" i="4"/>
  <c r="BX507" i="4"/>
  <c r="BW507" i="4"/>
  <c r="BU507" i="4"/>
  <c r="BT507" i="4"/>
  <c r="BS507" i="4"/>
  <c r="BR507" i="4"/>
  <c r="BQ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AR507" i="4"/>
  <c r="AQ507" i="4"/>
  <c r="AP507" i="4"/>
  <c r="AO507" i="4"/>
  <c r="AN507" i="4"/>
  <c r="AM507" i="4"/>
  <c r="AJ507" i="4"/>
  <c r="AI507" i="4"/>
  <c r="AH507" i="4"/>
  <c r="AG507" i="4"/>
  <c r="AE507" i="4"/>
  <c r="AC507" i="4"/>
  <c r="AB507" i="4"/>
  <c r="Z507" i="4"/>
  <c r="X507" i="4"/>
  <c r="W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A507" i="4"/>
  <c r="CW479" i="4"/>
  <c r="CV479" i="4"/>
  <c r="CT479" i="4"/>
  <c r="CS479" i="4"/>
  <c r="CR479" i="4"/>
  <c r="CP479" i="4"/>
  <c r="CN479" i="4"/>
  <c r="CM479" i="4"/>
  <c r="CL479" i="4"/>
  <c r="CC479" i="4"/>
  <c r="CB479" i="4"/>
  <c r="CA479" i="4"/>
  <c r="BZ479" i="4"/>
  <c r="BY479" i="4"/>
  <c r="BX479" i="4"/>
  <c r="BW479" i="4"/>
  <c r="BU479" i="4"/>
  <c r="BT479" i="4"/>
  <c r="BS479" i="4"/>
  <c r="BR479" i="4"/>
  <c r="BQ479" i="4"/>
  <c r="BP479" i="4"/>
  <c r="BO479" i="4"/>
  <c r="BN479" i="4"/>
  <c r="BM479" i="4"/>
  <c r="BL479" i="4"/>
  <c r="BK479" i="4"/>
  <c r="BJ47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V479" i="4"/>
  <c r="AU479" i="4"/>
  <c r="AR479" i="4"/>
  <c r="AQ479" i="4"/>
  <c r="AP479" i="4"/>
  <c r="AO479" i="4"/>
  <c r="AN479" i="4"/>
  <c r="AM479" i="4"/>
  <c r="AJ479" i="4"/>
  <c r="AI479" i="4"/>
  <c r="AH479" i="4"/>
  <c r="AG479" i="4"/>
  <c r="AE479" i="4"/>
  <c r="AC479" i="4"/>
  <c r="AB479" i="4"/>
  <c r="Z479" i="4"/>
  <c r="X479" i="4"/>
  <c r="W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A479" i="4"/>
  <c r="CW356" i="4"/>
  <c r="CV356" i="4"/>
  <c r="CT356" i="4"/>
  <c r="CS356" i="4"/>
  <c r="CR356" i="4"/>
  <c r="CP356" i="4"/>
  <c r="CN356" i="4"/>
  <c r="CM356" i="4"/>
  <c r="CL356" i="4"/>
  <c r="CC356" i="4"/>
  <c r="CB356" i="4"/>
  <c r="CA356" i="4"/>
  <c r="BZ356" i="4"/>
  <c r="BY356" i="4"/>
  <c r="BX356" i="4"/>
  <c r="BW356" i="4"/>
  <c r="BU356" i="4"/>
  <c r="BT356" i="4"/>
  <c r="BS356" i="4"/>
  <c r="BR356" i="4"/>
  <c r="BQ356" i="4"/>
  <c r="BP356" i="4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AR356" i="4"/>
  <c r="AQ356" i="4"/>
  <c r="AP356" i="4"/>
  <c r="AO356" i="4"/>
  <c r="AN356" i="4"/>
  <c r="AM356" i="4"/>
  <c r="AJ356" i="4"/>
  <c r="AI356" i="4"/>
  <c r="AH356" i="4"/>
  <c r="AG356" i="4"/>
  <c r="AE356" i="4"/>
  <c r="AC356" i="4"/>
  <c r="AB356" i="4"/>
  <c r="Z356" i="4"/>
  <c r="X356" i="4"/>
  <c r="W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A356" i="4"/>
  <c r="CW329" i="4"/>
  <c r="CV329" i="4"/>
  <c r="CT329" i="4"/>
  <c r="CS329" i="4"/>
  <c r="CR329" i="4"/>
  <c r="CP329" i="4"/>
  <c r="CN329" i="4"/>
  <c r="CM329" i="4"/>
  <c r="CL329" i="4"/>
  <c r="CC329" i="4"/>
  <c r="CB329" i="4"/>
  <c r="CA329" i="4"/>
  <c r="BZ329" i="4"/>
  <c r="BY329" i="4"/>
  <c r="BX329" i="4"/>
  <c r="BW329" i="4"/>
  <c r="BU329" i="4"/>
  <c r="BT329" i="4"/>
  <c r="BS329" i="4"/>
  <c r="BR329" i="4"/>
  <c r="BQ329" i="4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AR329" i="4"/>
  <c r="AQ329" i="4"/>
  <c r="AP329" i="4"/>
  <c r="AO329" i="4"/>
  <c r="AN329" i="4"/>
  <c r="AM329" i="4"/>
  <c r="AJ329" i="4"/>
  <c r="AI329" i="4"/>
  <c r="AH329" i="4"/>
  <c r="AG329" i="4"/>
  <c r="AE329" i="4"/>
  <c r="AC329" i="4"/>
  <c r="AB329" i="4"/>
  <c r="Z329" i="4"/>
  <c r="X329" i="4"/>
  <c r="W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A329" i="4"/>
  <c r="CW256" i="4"/>
  <c r="CV256" i="4"/>
  <c r="CT256" i="4"/>
  <c r="CS256" i="4"/>
  <c r="CR256" i="4"/>
  <c r="CP256" i="4"/>
  <c r="CN256" i="4"/>
  <c r="CM256" i="4"/>
  <c r="CL256" i="4"/>
  <c r="CC256" i="4"/>
  <c r="CB256" i="4"/>
  <c r="CA256" i="4"/>
  <c r="BZ256" i="4"/>
  <c r="BY256" i="4"/>
  <c r="BX256" i="4"/>
  <c r="BW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R256" i="4"/>
  <c r="AQ256" i="4"/>
  <c r="AP256" i="4"/>
  <c r="AO256" i="4"/>
  <c r="AN256" i="4"/>
  <c r="AM256" i="4"/>
  <c r="AJ256" i="4"/>
  <c r="AI256" i="4"/>
  <c r="AH256" i="4"/>
  <c r="AG256" i="4"/>
  <c r="AE256" i="4"/>
  <c r="AC256" i="4"/>
  <c r="AB256" i="4"/>
  <c r="Z256" i="4"/>
  <c r="X256" i="4"/>
  <c r="W256" i="4"/>
  <c r="U256" i="4"/>
  <c r="T256" i="4"/>
  <c r="S256" i="4"/>
  <c r="R256" i="4"/>
  <c r="Q256" i="4"/>
  <c r="P256" i="4"/>
  <c r="O256" i="4"/>
  <c r="N256" i="4"/>
  <c r="L256" i="4"/>
  <c r="K256" i="4"/>
  <c r="J256" i="4"/>
  <c r="I256" i="4"/>
  <c r="H256" i="4"/>
  <c r="G256" i="4"/>
  <c r="F256" i="4"/>
  <c r="E256" i="4"/>
  <c r="A256" i="4"/>
  <c r="CW108" i="4"/>
  <c r="CV108" i="4"/>
  <c r="CT108" i="4"/>
  <c r="CS108" i="4"/>
  <c r="CR108" i="4"/>
  <c r="CP108" i="4"/>
  <c r="CN108" i="4"/>
  <c r="CM108" i="4"/>
  <c r="CL108" i="4"/>
  <c r="CC108" i="4"/>
  <c r="CA108" i="4"/>
  <c r="BZ108" i="4"/>
  <c r="BY108" i="4"/>
  <c r="BX108" i="4"/>
  <c r="BW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R108" i="4"/>
  <c r="AQ108" i="4"/>
  <c r="AP108" i="4"/>
  <c r="AO108" i="4"/>
  <c r="AN108" i="4"/>
  <c r="AM108" i="4"/>
  <c r="AJ108" i="4"/>
  <c r="AI108" i="4"/>
  <c r="AH108" i="4"/>
  <c r="AG108" i="4"/>
  <c r="AE108" i="4"/>
  <c r="AC108" i="4"/>
  <c r="AB108" i="4"/>
  <c r="Z108" i="4"/>
  <c r="X108" i="4"/>
  <c r="W108" i="4"/>
  <c r="U108" i="4"/>
  <c r="T108" i="4"/>
  <c r="S108" i="4"/>
  <c r="R108" i="4"/>
  <c r="Q108" i="4"/>
  <c r="P108" i="4"/>
  <c r="O108" i="4"/>
  <c r="N108" i="4"/>
  <c r="L108" i="4"/>
  <c r="K108" i="4"/>
  <c r="J108" i="4"/>
  <c r="I108" i="4"/>
  <c r="H108" i="4"/>
  <c r="G108" i="4"/>
  <c r="F108" i="4"/>
  <c r="E108" i="4"/>
  <c r="A108" i="4"/>
  <c r="G21" i="16" l="1"/>
  <c r="DK554" i="4"/>
  <c r="DK700" i="4" s="1"/>
  <c r="P68" i="4"/>
  <c r="M108" i="4"/>
  <c r="M256" i="4"/>
  <c r="E41" i="6"/>
  <c r="D41" i="6"/>
  <c r="R411" i="5"/>
  <c r="P411" i="5"/>
  <c r="O411" i="5"/>
  <c r="N411" i="5"/>
  <c r="F411" i="5"/>
  <c r="E411" i="5"/>
  <c r="D411" i="5"/>
  <c r="R410" i="5"/>
  <c r="P410" i="5"/>
  <c r="O410" i="5"/>
  <c r="F410" i="5"/>
  <c r="E410" i="5"/>
  <c r="D410" i="5"/>
  <c r="R409" i="5"/>
  <c r="P409" i="5"/>
  <c r="O409" i="5"/>
  <c r="F409" i="5"/>
  <c r="E409" i="5"/>
  <c r="D409" i="5"/>
  <c r="R408" i="5"/>
  <c r="P408" i="5"/>
  <c r="O408" i="5"/>
  <c r="H408" i="5"/>
  <c r="N408" i="5" s="1"/>
  <c r="F408" i="5"/>
  <c r="E408" i="5"/>
  <c r="D408" i="5"/>
  <c r="H407" i="5"/>
  <c r="G407" i="5"/>
  <c r="F407" i="5"/>
  <c r="E407" i="5"/>
  <c r="D407" i="5"/>
  <c r="R406" i="5"/>
  <c r="P406" i="5"/>
  <c r="O406" i="5"/>
  <c r="H406" i="5"/>
  <c r="N406" i="5" s="1"/>
  <c r="F406" i="5"/>
  <c r="E406" i="5"/>
  <c r="D406" i="5"/>
  <c r="AD405" i="5"/>
  <c r="AJ405" i="5" s="1"/>
  <c r="AD404" i="5"/>
  <c r="AB404" i="5"/>
  <c r="AA404" i="5"/>
  <c r="Z404" i="5"/>
  <c r="X404" i="5"/>
  <c r="W404" i="5"/>
  <c r="R15" i="1"/>
  <c r="S15" i="1" s="1"/>
  <c r="G15" i="1"/>
  <c r="F15" i="1"/>
  <c r="E43" i="6"/>
  <c r="D43" i="6"/>
  <c r="R428" i="5"/>
  <c r="P428" i="5"/>
  <c r="O428" i="5"/>
  <c r="N428" i="5"/>
  <c r="F428" i="5"/>
  <c r="E428" i="5"/>
  <c r="D428" i="5"/>
  <c r="R427" i="5"/>
  <c r="P427" i="5"/>
  <c r="O427" i="5"/>
  <c r="F427" i="5"/>
  <c r="E427" i="5"/>
  <c r="D427" i="5"/>
  <c r="R426" i="5"/>
  <c r="P426" i="5"/>
  <c r="O426" i="5"/>
  <c r="F426" i="5"/>
  <c r="E426" i="5"/>
  <c r="D426" i="5"/>
  <c r="R425" i="5"/>
  <c r="P425" i="5"/>
  <c r="O425" i="5"/>
  <c r="H425" i="5"/>
  <c r="N425" i="5" s="1"/>
  <c r="F425" i="5"/>
  <c r="E425" i="5"/>
  <c r="D425" i="5"/>
  <c r="R424" i="5"/>
  <c r="P424" i="5"/>
  <c r="O424" i="5"/>
  <c r="H424" i="5"/>
  <c r="N424" i="5" s="1"/>
  <c r="F424" i="5"/>
  <c r="E424" i="5"/>
  <c r="D424" i="5"/>
  <c r="R423" i="5"/>
  <c r="P423" i="5"/>
  <c r="O423" i="5"/>
  <c r="H423" i="5"/>
  <c r="N423" i="5" s="1"/>
  <c r="F423" i="5"/>
  <c r="E423" i="5"/>
  <c r="D423" i="5"/>
  <c r="AD422" i="5"/>
  <c r="AI422" i="5" s="1"/>
  <c r="AD421" i="5"/>
  <c r="AB421" i="5"/>
  <c r="AA421" i="5"/>
  <c r="Z421" i="5"/>
  <c r="Y421" i="5"/>
  <c r="X421" i="5"/>
  <c r="W421" i="5"/>
  <c r="V26" i="2"/>
  <c r="M410" i="5" l="1"/>
  <c r="S410" i="5" s="1"/>
  <c r="L1604" i="8"/>
  <c r="P1604" i="8" s="1"/>
  <c r="K410" i="5"/>
  <c r="Q410" i="5" s="1"/>
  <c r="K1604" i="8"/>
  <c r="O1604" i="8" s="1"/>
  <c r="G18" i="16"/>
  <c r="AJ404" i="5"/>
  <c r="AH404" i="5"/>
  <c r="P421" i="5"/>
  <c r="I43" i="6" s="1"/>
  <c r="AK404" i="5"/>
  <c r="AG405" i="5"/>
  <c r="AG404" i="5"/>
  <c r="AK405" i="5"/>
  <c r="O421" i="5"/>
  <c r="H43" i="6" s="1"/>
  <c r="AL404" i="5"/>
  <c r="AH405" i="5"/>
  <c r="AL405" i="5"/>
  <c r="O407" i="5"/>
  <c r="O404" i="5" s="1"/>
  <c r="H41" i="6" s="1"/>
  <c r="N407" i="5"/>
  <c r="AE405" i="5"/>
  <c r="AI405" i="5"/>
  <c r="P407" i="5"/>
  <c r="P404" i="5" s="1"/>
  <c r="I41" i="6" s="1"/>
  <c r="R407" i="5"/>
  <c r="R404" i="5" s="1"/>
  <c r="K41" i="6" s="1"/>
  <c r="AF405" i="5"/>
  <c r="AI421" i="5"/>
  <c r="AJ422" i="5"/>
  <c r="R421" i="5"/>
  <c r="K43" i="6" s="1"/>
  <c r="AG421" i="5"/>
  <c r="AK421" i="5"/>
  <c r="AF422" i="5"/>
  <c r="AJ421" i="5"/>
  <c r="AL421" i="5"/>
  <c r="AG422" i="5"/>
  <c r="AK422" i="5"/>
  <c r="AH421" i="5"/>
  <c r="AH422" i="5"/>
  <c r="AL422" i="5"/>
  <c r="AE422" i="5"/>
  <c r="FE325" i="2" l="1"/>
  <c r="FB325" i="2"/>
  <c r="FA325" i="2"/>
  <c r="EZ325" i="2"/>
  <c r="EY325" i="2"/>
  <c r="EW325" i="2"/>
  <c r="EV325" i="2"/>
  <c r="EU325" i="2"/>
  <c r="ET325" i="2"/>
  <c r="ES325" i="2"/>
  <c r="EI325" i="2"/>
  <c r="EP325" i="2"/>
  <c r="EO325" i="2"/>
  <c r="EM325" i="2"/>
  <c r="EL325" i="2"/>
  <c r="EK325" i="2"/>
  <c r="EJ325" i="2"/>
  <c r="EF325" i="2"/>
  <c r="ED325" i="2"/>
  <c r="EC325" i="2"/>
  <c r="EB325" i="2"/>
  <c r="DZ325" i="2"/>
  <c r="DY325" i="2"/>
  <c r="DX325" i="2"/>
  <c r="DU325" i="2"/>
  <c r="DT325" i="2"/>
  <c r="DS325" i="2"/>
  <c r="DR325" i="2"/>
  <c r="DQ325" i="2"/>
  <c r="DP325" i="2"/>
  <c r="DO325" i="2"/>
  <c r="DN325" i="2"/>
  <c r="DM325" i="2"/>
  <c r="DL325" i="2"/>
  <c r="DK325" i="2"/>
  <c r="DJ325" i="2"/>
  <c r="DI325" i="2"/>
  <c r="DH325" i="2"/>
  <c r="DG325" i="2"/>
  <c r="DF325" i="2"/>
  <c r="DE325" i="2"/>
  <c r="DD325" i="2"/>
  <c r="DC325" i="2"/>
  <c r="DB325" i="2"/>
  <c r="DA325" i="2"/>
  <c r="CZ325" i="2"/>
  <c r="CY325" i="2"/>
  <c r="CX325" i="2"/>
  <c r="CW325" i="2"/>
  <c r="CV325" i="2"/>
  <c r="CU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A325" i="2"/>
  <c r="FE320" i="2"/>
  <c r="FB320" i="2"/>
  <c r="FA320" i="2"/>
  <c r="EZ320" i="2"/>
  <c r="EY320" i="2"/>
  <c r="EW320" i="2"/>
  <c r="EV320" i="2"/>
  <c r="EU320" i="2"/>
  <c r="ET320" i="2"/>
  <c r="ES320" i="2"/>
  <c r="EI320" i="2"/>
  <c r="EP320" i="2"/>
  <c r="EO320" i="2"/>
  <c r="EM320" i="2"/>
  <c r="EL320" i="2"/>
  <c r="EK320" i="2"/>
  <c r="EJ320" i="2"/>
  <c r="EF320" i="2"/>
  <c r="ED320" i="2"/>
  <c r="EC320" i="2"/>
  <c r="EB320" i="2"/>
  <c r="DZ320" i="2"/>
  <c r="DY320" i="2"/>
  <c r="DX320" i="2"/>
  <c r="DU320" i="2"/>
  <c r="DT320" i="2"/>
  <c r="DS320" i="2"/>
  <c r="DR320" i="2"/>
  <c r="DQ320" i="2"/>
  <c r="DP320" i="2"/>
  <c r="DO320" i="2"/>
  <c r="DN320" i="2"/>
  <c r="DM320" i="2"/>
  <c r="DL320" i="2"/>
  <c r="DK320" i="2"/>
  <c r="DJ320" i="2"/>
  <c r="DI320" i="2"/>
  <c r="DH320" i="2"/>
  <c r="DG320" i="2"/>
  <c r="DF320" i="2"/>
  <c r="DE320" i="2"/>
  <c r="DD320" i="2"/>
  <c r="DC320" i="2"/>
  <c r="DB320" i="2"/>
  <c r="DA320" i="2"/>
  <c r="CZ320" i="2"/>
  <c r="CY320" i="2"/>
  <c r="CX320" i="2"/>
  <c r="CW320" i="2"/>
  <c r="CV320" i="2"/>
  <c r="CU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A320" i="2"/>
  <c r="A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X315" i="2"/>
  <c r="DY315" i="2"/>
  <c r="DZ315" i="2"/>
  <c r="EB315" i="2"/>
  <c r="EC315" i="2"/>
  <c r="ED315" i="2"/>
  <c r="EF315" i="2"/>
  <c r="EJ315" i="2"/>
  <c r="EK315" i="2"/>
  <c r="EL315" i="2"/>
  <c r="EM315" i="2"/>
  <c r="EO315" i="2"/>
  <c r="EP315" i="2"/>
  <c r="EI315" i="2"/>
  <c r="ES315" i="2"/>
  <c r="ET315" i="2"/>
  <c r="EU315" i="2"/>
  <c r="EV315" i="2"/>
  <c r="EW315" i="2"/>
  <c r="EY315" i="2"/>
  <c r="EZ315" i="2"/>
  <c r="FA315" i="2"/>
  <c r="FB315" i="2"/>
  <c r="FE315" i="2"/>
  <c r="FE310" i="2"/>
  <c r="FB310" i="2"/>
  <c r="FA310" i="2"/>
  <c r="EZ310" i="2"/>
  <c r="EY310" i="2"/>
  <c r="EW310" i="2"/>
  <c r="EV310" i="2"/>
  <c r="EU310" i="2"/>
  <c r="ET310" i="2"/>
  <c r="ES310" i="2"/>
  <c r="EI310" i="2"/>
  <c r="EP310" i="2"/>
  <c r="EO310" i="2"/>
  <c r="EM310" i="2"/>
  <c r="EL310" i="2"/>
  <c r="EK310" i="2"/>
  <c r="EJ310" i="2"/>
  <c r="EF310" i="2"/>
  <c r="ED310" i="2"/>
  <c r="EC310" i="2"/>
  <c r="EB310" i="2"/>
  <c r="DZ310" i="2"/>
  <c r="DY310" i="2"/>
  <c r="DX310" i="2"/>
  <c r="DU310" i="2"/>
  <c r="DT310" i="2"/>
  <c r="DS310" i="2"/>
  <c r="DR310" i="2"/>
  <c r="DQ310" i="2"/>
  <c r="DP310" i="2"/>
  <c r="DO310" i="2"/>
  <c r="DN310" i="2"/>
  <c r="DM310" i="2"/>
  <c r="DL310" i="2"/>
  <c r="DK310" i="2"/>
  <c r="DJ310" i="2"/>
  <c r="DI310" i="2"/>
  <c r="DH310" i="2"/>
  <c r="DG310" i="2"/>
  <c r="DF310" i="2"/>
  <c r="DE310" i="2"/>
  <c r="DD310" i="2"/>
  <c r="DC310" i="2"/>
  <c r="DB310" i="2"/>
  <c r="DA310" i="2"/>
  <c r="CZ310" i="2"/>
  <c r="CY310" i="2"/>
  <c r="CX310" i="2"/>
  <c r="CW310" i="2"/>
  <c r="CV310" i="2"/>
  <c r="CU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A310" i="2"/>
  <c r="FE175" i="2"/>
  <c r="FB175" i="2"/>
  <c r="FA175" i="2"/>
  <c r="EZ175" i="2"/>
  <c r="EY175" i="2"/>
  <c r="EW175" i="2"/>
  <c r="EV175" i="2"/>
  <c r="EU175" i="2"/>
  <c r="ET175" i="2"/>
  <c r="ES175" i="2"/>
  <c r="EI175" i="2"/>
  <c r="EP175" i="2"/>
  <c r="EO175" i="2"/>
  <c r="EM175" i="2"/>
  <c r="EL175" i="2"/>
  <c r="EK175" i="2"/>
  <c r="EJ175" i="2"/>
  <c r="EF175" i="2"/>
  <c r="ED175" i="2"/>
  <c r="EC175" i="2"/>
  <c r="EB175" i="2"/>
  <c r="DZ175" i="2"/>
  <c r="DY175" i="2"/>
  <c r="DX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A175" i="2"/>
  <c r="FE159" i="2"/>
  <c r="FB159" i="2"/>
  <c r="FA159" i="2"/>
  <c r="EZ159" i="2"/>
  <c r="EY159" i="2"/>
  <c r="EW159" i="2"/>
  <c r="EV159" i="2"/>
  <c r="EU159" i="2"/>
  <c r="ET159" i="2"/>
  <c r="ES159" i="2"/>
  <c r="EI159" i="2"/>
  <c r="EP159" i="2"/>
  <c r="EO159" i="2"/>
  <c r="EM159" i="2"/>
  <c r="EL159" i="2"/>
  <c r="EK159" i="2"/>
  <c r="EJ159" i="2"/>
  <c r="EF159" i="2"/>
  <c r="ED159" i="2"/>
  <c r="EC159" i="2"/>
  <c r="EB159" i="2"/>
  <c r="DZ159" i="2"/>
  <c r="DY159" i="2"/>
  <c r="DX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A159" i="2"/>
  <c r="FE295" i="2"/>
  <c r="FB295" i="2"/>
  <c r="FA295" i="2"/>
  <c r="EZ295" i="2"/>
  <c r="EY295" i="2"/>
  <c r="EW295" i="2"/>
  <c r="EV295" i="2"/>
  <c r="EU295" i="2"/>
  <c r="ET295" i="2"/>
  <c r="ES295" i="2"/>
  <c r="EI295" i="2"/>
  <c r="EP295" i="2"/>
  <c r="EO295" i="2"/>
  <c r="EM295" i="2"/>
  <c r="EL295" i="2"/>
  <c r="EK295" i="2"/>
  <c r="EJ295" i="2"/>
  <c r="EF295" i="2"/>
  <c r="ED295" i="2"/>
  <c r="EC295" i="2"/>
  <c r="EB295" i="2"/>
  <c r="DZ295" i="2"/>
  <c r="DY295" i="2"/>
  <c r="DX295" i="2"/>
  <c r="DU295" i="2"/>
  <c r="DT295" i="2"/>
  <c r="DS295" i="2"/>
  <c r="DR295" i="2"/>
  <c r="DQ295" i="2"/>
  <c r="DP295" i="2"/>
  <c r="DO295" i="2"/>
  <c r="DN295" i="2"/>
  <c r="DM295" i="2"/>
  <c r="DL295" i="2"/>
  <c r="DK295" i="2"/>
  <c r="DJ295" i="2"/>
  <c r="DI295" i="2"/>
  <c r="DH295" i="2"/>
  <c r="DG295" i="2"/>
  <c r="DF295" i="2"/>
  <c r="DE295" i="2"/>
  <c r="DD295" i="2"/>
  <c r="DC295" i="2"/>
  <c r="DB295" i="2"/>
  <c r="DA295" i="2"/>
  <c r="CZ295" i="2"/>
  <c r="CY295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Q295" i="2"/>
  <c r="P295" i="2"/>
  <c r="O295" i="2"/>
  <c r="N295" i="2"/>
  <c r="M295" i="2"/>
  <c r="K295" i="2"/>
  <c r="J295" i="2"/>
  <c r="I295" i="2"/>
  <c r="H295" i="2"/>
  <c r="G295" i="2"/>
  <c r="E295" i="2"/>
  <c r="D295" i="2"/>
  <c r="A295" i="2"/>
  <c r="F295" i="2" l="1"/>
  <c r="L295" i="2"/>
  <c r="FE283" i="2"/>
  <c r="FB283" i="2"/>
  <c r="FA283" i="2"/>
  <c r="EZ283" i="2"/>
  <c r="EY283" i="2"/>
  <c r="EW283" i="2"/>
  <c r="EV283" i="2"/>
  <c r="EU283" i="2"/>
  <c r="ET283" i="2"/>
  <c r="ES283" i="2"/>
  <c r="EI283" i="2"/>
  <c r="EP283" i="2"/>
  <c r="EO283" i="2"/>
  <c r="EM283" i="2"/>
  <c r="EL283" i="2"/>
  <c r="EK283" i="2"/>
  <c r="EJ283" i="2"/>
  <c r="EF283" i="2"/>
  <c r="ED283" i="2"/>
  <c r="EC283" i="2"/>
  <c r="EB283" i="2"/>
  <c r="DZ283" i="2"/>
  <c r="DY283" i="2"/>
  <c r="DX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A283" i="2"/>
  <c r="FE149" i="2"/>
  <c r="FB149" i="2"/>
  <c r="FA149" i="2"/>
  <c r="EZ149" i="2"/>
  <c r="EY149" i="2"/>
  <c r="EW149" i="2"/>
  <c r="EV149" i="2"/>
  <c r="EU149" i="2"/>
  <c r="ET149" i="2"/>
  <c r="ES149" i="2"/>
  <c r="EI149" i="2"/>
  <c r="EP149" i="2"/>
  <c r="EO149" i="2"/>
  <c r="EM149" i="2"/>
  <c r="EL149" i="2"/>
  <c r="EK149" i="2"/>
  <c r="EJ149" i="2"/>
  <c r="EF149" i="2"/>
  <c r="ED149" i="2"/>
  <c r="EC149" i="2"/>
  <c r="EB149" i="2"/>
  <c r="DZ149" i="2"/>
  <c r="DY149" i="2"/>
  <c r="DX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A149" i="2"/>
  <c r="FE139" i="2"/>
  <c r="FB139" i="2"/>
  <c r="FA139" i="2"/>
  <c r="EZ139" i="2"/>
  <c r="EY139" i="2"/>
  <c r="EW139" i="2"/>
  <c r="EV139" i="2"/>
  <c r="EU139" i="2"/>
  <c r="ET139" i="2"/>
  <c r="ES139" i="2"/>
  <c r="EI139" i="2"/>
  <c r="EP139" i="2"/>
  <c r="EO139" i="2"/>
  <c r="EM139" i="2"/>
  <c r="EL139" i="2"/>
  <c r="EK139" i="2"/>
  <c r="EJ139" i="2"/>
  <c r="EF139" i="2"/>
  <c r="ED139" i="2"/>
  <c r="EC139" i="2"/>
  <c r="EB139" i="2"/>
  <c r="DZ139" i="2"/>
  <c r="DY139" i="2"/>
  <c r="DX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A139" i="2"/>
  <c r="FE116" i="2"/>
  <c r="FB116" i="2"/>
  <c r="FA116" i="2"/>
  <c r="EZ116" i="2"/>
  <c r="EY116" i="2"/>
  <c r="EW116" i="2"/>
  <c r="EV116" i="2"/>
  <c r="EU116" i="2"/>
  <c r="ET116" i="2"/>
  <c r="ES116" i="2"/>
  <c r="EI116" i="2"/>
  <c r="EP116" i="2"/>
  <c r="EO116" i="2"/>
  <c r="EM116" i="2"/>
  <c r="EL116" i="2"/>
  <c r="EK116" i="2"/>
  <c r="EJ116" i="2"/>
  <c r="EF116" i="2"/>
  <c r="ED116" i="2"/>
  <c r="EC116" i="2"/>
  <c r="EB116" i="2"/>
  <c r="DZ116" i="2"/>
  <c r="DY116" i="2"/>
  <c r="DX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Q116" i="2"/>
  <c r="P116" i="2"/>
  <c r="O116" i="2"/>
  <c r="N116" i="2"/>
  <c r="M116" i="2"/>
  <c r="K116" i="2"/>
  <c r="J116" i="2"/>
  <c r="I116" i="2"/>
  <c r="H116" i="2"/>
  <c r="G116" i="2"/>
  <c r="E116" i="2"/>
  <c r="D116" i="2"/>
  <c r="A116" i="2"/>
  <c r="FE279" i="2"/>
  <c r="FB279" i="2"/>
  <c r="FA279" i="2"/>
  <c r="EZ279" i="2"/>
  <c r="EY279" i="2"/>
  <c r="EW279" i="2"/>
  <c r="EV279" i="2"/>
  <c r="EU279" i="2"/>
  <c r="ET279" i="2"/>
  <c r="ES279" i="2"/>
  <c r="EI279" i="2"/>
  <c r="EP279" i="2"/>
  <c r="EO279" i="2"/>
  <c r="EM279" i="2"/>
  <c r="EL279" i="2"/>
  <c r="EK279" i="2"/>
  <c r="EJ279" i="2"/>
  <c r="EF279" i="2"/>
  <c r="ED279" i="2"/>
  <c r="EC279" i="2"/>
  <c r="EB279" i="2"/>
  <c r="DZ279" i="2"/>
  <c r="DY279" i="2"/>
  <c r="DX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Q279" i="2"/>
  <c r="P279" i="2"/>
  <c r="O279" i="2"/>
  <c r="N279" i="2"/>
  <c r="M279" i="2"/>
  <c r="K279" i="2"/>
  <c r="J279" i="2"/>
  <c r="I279" i="2"/>
  <c r="H279" i="2"/>
  <c r="G279" i="2"/>
  <c r="E279" i="2"/>
  <c r="D279" i="2"/>
  <c r="A279" i="2"/>
  <c r="F279" i="2" l="1"/>
  <c r="F116" i="2"/>
  <c r="L116" i="2"/>
  <c r="L279" i="2"/>
  <c r="FE254" i="2" l="1"/>
  <c r="FB254" i="2"/>
  <c r="FA254" i="2"/>
  <c r="EZ254" i="2"/>
  <c r="EY254" i="2"/>
  <c r="EW254" i="2"/>
  <c r="EV254" i="2"/>
  <c r="EU254" i="2"/>
  <c r="ET254" i="2"/>
  <c r="ES254" i="2"/>
  <c r="EI254" i="2"/>
  <c r="EP254" i="2"/>
  <c r="EO254" i="2"/>
  <c r="EM254" i="2"/>
  <c r="EL254" i="2"/>
  <c r="EK254" i="2"/>
  <c r="EJ254" i="2"/>
  <c r="EF254" i="2"/>
  <c r="ED254" i="2"/>
  <c r="EC254" i="2"/>
  <c r="EB254" i="2"/>
  <c r="DZ254" i="2"/>
  <c r="DY254" i="2"/>
  <c r="DX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A254" i="2"/>
  <c r="FE98" i="2"/>
  <c r="FB98" i="2"/>
  <c r="FA98" i="2"/>
  <c r="EZ98" i="2"/>
  <c r="EY98" i="2"/>
  <c r="EW98" i="2"/>
  <c r="EV98" i="2"/>
  <c r="EU98" i="2"/>
  <c r="ET98" i="2"/>
  <c r="ES98" i="2"/>
  <c r="EI98" i="2"/>
  <c r="EP98" i="2"/>
  <c r="EO98" i="2"/>
  <c r="EM98" i="2"/>
  <c r="EL98" i="2"/>
  <c r="EK98" i="2"/>
  <c r="EJ98" i="2"/>
  <c r="EF98" i="2"/>
  <c r="ED98" i="2"/>
  <c r="EC98" i="2"/>
  <c r="EB98" i="2"/>
  <c r="DZ98" i="2"/>
  <c r="DY98" i="2"/>
  <c r="DX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Q98" i="2"/>
  <c r="P98" i="2"/>
  <c r="O98" i="2"/>
  <c r="N98" i="2"/>
  <c r="M98" i="2"/>
  <c r="K98" i="2"/>
  <c r="J98" i="2"/>
  <c r="I98" i="2"/>
  <c r="H98" i="2"/>
  <c r="G98" i="2"/>
  <c r="E98" i="2"/>
  <c r="D98" i="2"/>
  <c r="A98" i="2"/>
  <c r="F98" i="2" l="1"/>
  <c r="L98" i="2"/>
  <c r="FE81" i="2"/>
  <c r="FB81" i="2"/>
  <c r="FA81" i="2"/>
  <c r="EZ81" i="2"/>
  <c r="EY81" i="2"/>
  <c r="EW81" i="2"/>
  <c r="EV81" i="2"/>
  <c r="EU81" i="2"/>
  <c r="ET81" i="2"/>
  <c r="ES81" i="2"/>
  <c r="EI81" i="2"/>
  <c r="EP81" i="2"/>
  <c r="EO81" i="2"/>
  <c r="EM81" i="2"/>
  <c r="EL81" i="2"/>
  <c r="EK81" i="2"/>
  <c r="EJ81" i="2"/>
  <c r="EF81" i="2"/>
  <c r="ED81" i="2"/>
  <c r="EC81" i="2"/>
  <c r="EB81" i="2"/>
  <c r="DZ81" i="2"/>
  <c r="DY81" i="2"/>
  <c r="DX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A81" i="2"/>
  <c r="FE249" i="2"/>
  <c r="FB249" i="2"/>
  <c r="FA249" i="2"/>
  <c r="EZ249" i="2"/>
  <c r="EY249" i="2"/>
  <c r="EW249" i="2"/>
  <c r="EV249" i="2"/>
  <c r="EU249" i="2"/>
  <c r="ET249" i="2"/>
  <c r="ES249" i="2"/>
  <c r="EI249" i="2"/>
  <c r="EP249" i="2"/>
  <c r="EO249" i="2"/>
  <c r="EM249" i="2"/>
  <c r="EL249" i="2"/>
  <c r="EK249" i="2"/>
  <c r="EJ249" i="2"/>
  <c r="EF249" i="2"/>
  <c r="ED249" i="2"/>
  <c r="EC249" i="2"/>
  <c r="EB249" i="2"/>
  <c r="DZ249" i="2"/>
  <c r="DY249" i="2"/>
  <c r="DX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A249" i="2"/>
  <c r="A243" i="2"/>
  <c r="FE73" i="2"/>
  <c r="FB73" i="2"/>
  <c r="FA73" i="2"/>
  <c r="EZ73" i="2"/>
  <c r="EY73" i="2"/>
  <c r="EW73" i="2"/>
  <c r="EV73" i="2"/>
  <c r="EU73" i="2"/>
  <c r="ET73" i="2"/>
  <c r="ES73" i="2"/>
  <c r="EI73" i="2"/>
  <c r="EP73" i="2"/>
  <c r="EO73" i="2"/>
  <c r="EM73" i="2"/>
  <c r="EL73" i="2"/>
  <c r="EK73" i="2"/>
  <c r="EJ73" i="2"/>
  <c r="EF73" i="2"/>
  <c r="ED73" i="2"/>
  <c r="EC73" i="2"/>
  <c r="EB73" i="2"/>
  <c r="DZ73" i="2"/>
  <c r="DY73" i="2"/>
  <c r="DX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A73" i="2"/>
  <c r="FE52" i="2"/>
  <c r="FB52" i="2"/>
  <c r="FA52" i="2"/>
  <c r="EZ52" i="2"/>
  <c r="EY52" i="2"/>
  <c r="EW52" i="2"/>
  <c r="EV52" i="2"/>
  <c r="EU52" i="2"/>
  <c r="ET52" i="2"/>
  <c r="ES52" i="2"/>
  <c r="EI52" i="2"/>
  <c r="EP52" i="2"/>
  <c r="EO52" i="2"/>
  <c r="EM52" i="2"/>
  <c r="EL52" i="2"/>
  <c r="EK52" i="2"/>
  <c r="EJ52" i="2"/>
  <c r="EF52" i="2"/>
  <c r="ED52" i="2"/>
  <c r="EC52" i="2"/>
  <c r="EB52" i="2"/>
  <c r="DZ52" i="2"/>
  <c r="DY52" i="2"/>
  <c r="DX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Q52" i="2"/>
  <c r="P52" i="2"/>
  <c r="O52" i="2"/>
  <c r="N52" i="2"/>
  <c r="M52" i="2"/>
  <c r="K52" i="2"/>
  <c r="J52" i="2"/>
  <c r="I52" i="2"/>
  <c r="H52" i="2"/>
  <c r="G52" i="2"/>
  <c r="E52" i="2"/>
  <c r="D52" i="2"/>
  <c r="A52" i="2"/>
  <c r="L52" i="2"/>
  <c r="F52" i="2"/>
  <c r="A237" i="2"/>
  <c r="A231" i="2"/>
  <c r="A195" i="2"/>
  <c r="CB359" i="2"/>
  <c r="CB189" i="2"/>
  <c r="CB26" i="2"/>
  <c r="AI359" i="2"/>
  <c r="AI189" i="2"/>
  <c r="AI26" i="2"/>
  <c r="Y404" i="5" l="1"/>
  <c r="AI404" i="5" s="1"/>
  <c r="AI361" i="2"/>
  <c r="CB361" i="2"/>
  <c r="BZ359" i="2"/>
  <c r="BZ189" i="2"/>
  <c r="BZ26" i="2"/>
  <c r="BZ361" i="2" l="1"/>
  <c r="A669" i="4"/>
  <c r="A638" i="4"/>
  <c r="A68" i="4"/>
  <c r="A700" i="4"/>
  <c r="G938" i="5" s="1"/>
  <c r="A26" i="2"/>
  <c r="A189" i="2"/>
  <c r="A359" i="2"/>
  <c r="A361" i="2"/>
  <c r="A31" i="3"/>
  <c r="A55" i="3"/>
  <c r="A74" i="3"/>
  <c r="A76" i="3"/>
  <c r="Y3" i="5" s="1"/>
  <c r="G924" i="5" l="1"/>
  <c r="P924" i="5" s="1"/>
  <c r="G934" i="5"/>
  <c r="G932" i="5"/>
  <c r="G935" i="5"/>
  <c r="G933" i="5"/>
  <c r="Y66" i="5"/>
  <c r="AI66" i="5" s="1"/>
  <c r="Y151" i="5"/>
  <c r="AI151" i="5" s="1"/>
  <c r="Y12" i="5"/>
  <c r="AI12" i="5" s="1"/>
  <c r="Y36" i="5"/>
  <c r="AI36" i="5" s="1"/>
  <c r="Y695" i="5"/>
  <c r="AI695" i="5" s="1"/>
  <c r="Y688" i="5"/>
  <c r="AI688" i="5" s="1"/>
  <c r="AB3" i="5"/>
  <c r="AB151" i="5" s="1"/>
  <c r="AL151" i="5" s="1"/>
  <c r="V3" i="5"/>
  <c r="U3" i="5"/>
  <c r="H881" i="5"/>
  <c r="F881" i="5"/>
  <c r="E881" i="5"/>
  <c r="D881" i="5"/>
  <c r="C924" i="5" l="1"/>
  <c r="S924" i="5"/>
  <c r="N924" i="5"/>
  <c r="O924" i="5"/>
  <c r="Q924" i="5"/>
  <c r="R924" i="5"/>
  <c r="C932" i="5"/>
  <c r="N932" i="5"/>
  <c r="P932" i="5"/>
  <c r="R932" i="5"/>
  <c r="O932" i="5"/>
  <c r="P934" i="5"/>
  <c r="N934" i="5"/>
  <c r="Q934" i="5"/>
  <c r="R934" i="5"/>
  <c r="S934" i="5"/>
  <c r="O934" i="5"/>
  <c r="C934" i="5"/>
  <c r="G936" i="5"/>
  <c r="R935" i="5"/>
  <c r="G937" i="5"/>
  <c r="P935" i="5"/>
  <c r="Q935" i="5"/>
  <c r="N935" i="5"/>
  <c r="O935" i="5"/>
  <c r="S935" i="5"/>
  <c r="C935" i="5"/>
  <c r="R933" i="5"/>
  <c r="O933" i="5"/>
  <c r="P933" i="5"/>
  <c r="N933" i="5"/>
  <c r="C933" i="5"/>
  <c r="V66" i="5"/>
  <c r="AF66" i="5" s="1"/>
  <c r="V350" i="5"/>
  <c r="AB12" i="5"/>
  <c r="AL12" i="5" s="1"/>
  <c r="AB66" i="5"/>
  <c r="AB36" i="5"/>
  <c r="V12" i="5"/>
  <c r="AF12" i="5" s="1"/>
  <c r="V36" i="5"/>
  <c r="AB695" i="5"/>
  <c r="AB688" i="5"/>
  <c r="V695" i="5"/>
  <c r="V688" i="5"/>
  <c r="G840" i="5"/>
  <c r="G839" i="5"/>
  <c r="V421" i="5"/>
  <c r="F43" i="6" s="1"/>
  <c r="O43" i="6" s="1"/>
  <c r="V404" i="5"/>
  <c r="F41" i="6" s="1"/>
  <c r="I501" i="8"/>
  <c r="G501" i="8"/>
  <c r="F501" i="8"/>
  <c r="E501" i="8"/>
  <c r="P938" i="5" l="1"/>
  <c r="S938" i="5"/>
  <c r="O938" i="5"/>
  <c r="R938" i="5"/>
  <c r="N938" i="5"/>
  <c r="C938" i="5"/>
  <c r="R936" i="5"/>
  <c r="N936" i="5"/>
  <c r="C936" i="5"/>
  <c r="P936" i="5"/>
  <c r="O936" i="5"/>
  <c r="R937" i="5"/>
  <c r="P937" i="5"/>
  <c r="N937" i="5"/>
  <c r="O937" i="5"/>
  <c r="C937" i="5"/>
  <c r="F32" i="6"/>
  <c r="B32" i="6" s="1"/>
  <c r="V354" i="5"/>
  <c r="V356" i="5"/>
  <c r="V358" i="5"/>
  <c r="V352" i="5"/>
  <c r="V359" i="5"/>
  <c r="V353" i="5"/>
  <c r="V355" i="5"/>
  <c r="V357" i="5"/>
  <c r="U66" i="5"/>
  <c r="G66" i="5" s="1"/>
  <c r="C66" i="5" s="1"/>
  <c r="C67" i="5" s="1"/>
  <c r="U350" i="5"/>
  <c r="AF350" i="5"/>
  <c r="F101" i="6"/>
  <c r="M101" i="6" s="1"/>
  <c r="U12" i="5"/>
  <c r="AE12" i="5" s="1"/>
  <c r="F104" i="6"/>
  <c r="AL36" i="5"/>
  <c r="F106" i="6"/>
  <c r="AL66" i="5"/>
  <c r="AF36" i="5"/>
  <c r="U36" i="5"/>
  <c r="F122" i="6"/>
  <c r="AL688" i="5"/>
  <c r="F123" i="6"/>
  <c r="AL695" i="5"/>
  <c r="AF688" i="5"/>
  <c r="U688" i="5"/>
  <c r="U695" i="5"/>
  <c r="AF695" i="5"/>
  <c r="C840" i="5"/>
  <c r="P840" i="5"/>
  <c r="N840" i="5"/>
  <c r="R840" i="5"/>
  <c r="O840" i="5"/>
  <c r="Q840" i="5"/>
  <c r="S840" i="5"/>
  <c r="B41" i="6"/>
  <c r="Q41" i="6"/>
  <c r="O41" i="6"/>
  <c r="N41" i="6"/>
  <c r="U421" i="5"/>
  <c r="G421" i="5" s="1"/>
  <c r="C421" i="5" s="1"/>
  <c r="C422" i="5" s="1"/>
  <c r="Q43" i="6"/>
  <c r="N43" i="6"/>
  <c r="B43" i="6"/>
  <c r="AF421" i="5"/>
  <c r="U404" i="5"/>
  <c r="AF404" i="5"/>
  <c r="S186" i="13"/>
  <c r="S174" i="13"/>
  <c r="S128" i="13"/>
  <c r="S117" i="13"/>
  <c r="S84" i="13"/>
  <c r="S62" i="13"/>
  <c r="S185" i="13"/>
  <c r="S173" i="13"/>
  <c r="S127" i="13"/>
  <c r="S116" i="13"/>
  <c r="S83" i="13"/>
  <c r="S61" i="13"/>
  <c r="M32" i="6" l="1"/>
  <c r="N32" i="6"/>
  <c r="U353" i="5"/>
  <c r="U358" i="5"/>
  <c r="U352" i="5"/>
  <c r="U354" i="5"/>
  <c r="U355" i="5"/>
  <c r="U356" i="5"/>
  <c r="U357" i="5"/>
  <c r="U359" i="5"/>
  <c r="AE66" i="5"/>
  <c r="AE350" i="5"/>
  <c r="G350" i="5"/>
  <c r="C350" i="5" s="1"/>
  <c r="C351" i="5" s="1"/>
  <c r="G12" i="5"/>
  <c r="C12" i="5" s="1"/>
  <c r="C13" i="5" s="1"/>
  <c r="P101" i="6"/>
  <c r="R101" i="6"/>
  <c r="N101" i="6"/>
  <c r="B101" i="6"/>
  <c r="B106" i="6"/>
  <c r="N106" i="6"/>
  <c r="B104" i="6"/>
  <c r="N104" i="6"/>
  <c r="M104" i="6"/>
  <c r="AE36" i="5"/>
  <c r="G36" i="5"/>
  <c r="C36" i="5" s="1"/>
  <c r="B123" i="6"/>
  <c r="N123" i="6"/>
  <c r="M123" i="6"/>
  <c r="Q123" i="6"/>
  <c r="M122" i="6"/>
  <c r="N122" i="6"/>
  <c r="B122" i="6"/>
  <c r="AE688" i="5"/>
  <c r="G688" i="5"/>
  <c r="C688" i="5" s="1"/>
  <c r="AE695" i="5"/>
  <c r="G695" i="5"/>
  <c r="C695" i="5" s="1"/>
  <c r="AE421" i="5"/>
  <c r="AE404" i="5"/>
  <c r="G404" i="5"/>
  <c r="C404" i="5" s="1"/>
  <c r="I934" i="8"/>
  <c r="G934" i="8"/>
  <c r="F934" i="8"/>
  <c r="E934" i="8"/>
  <c r="I477" i="8"/>
  <c r="G477" i="8"/>
  <c r="F477" i="8"/>
  <c r="E477" i="8"/>
  <c r="I350" i="8"/>
  <c r="G350" i="8"/>
  <c r="F350" i="8"/>
  <c r="E350" i="8"/>
  <c r="D871" i="5"/>
  <c r="D872" i="5"/>
  <c r="D873" i="5"/>
  <c r="D874" i="5"/>
  <c r="D875" i="5"/>
  <c r="D876" i="5"/>
  <c r="D877" i="5"/>
  <c r="D878" i="5"/>
  <c r="D879" i="5"/>
  <c r="D880" i="5"/>
  <c r="D882" i="5"/>
  <c r="D883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5" i="5"/>
  <c r="D928" i="5"/>
  <c r="D929" i="5"/>
  <c r="D939" i="5"/>
  <c r="D940" i="5"/>
  <c r="D941" i="5"/>
  <c r="D942" i="5"/>
  <c r="D943" i="5"/>
  <c r="C518" i="8"/>
  <c r="I518" i="8"/>
  <c r="G518" i="8"/>
  <c r="F518" i="8"/>
  <c r="E518" i="8"/>
  <c r="I517" i="8"/>
  <c r="P517" i="8"/>
  <c r="G517" i="8"/>
  <c r="F517" i="8"/>
  <c r="G516" i="8"/>
  <c r="F516" i="8"/>
  <c r="E516" i="8"/>
  <c r="I515" i="8"/>
  <c r="G515" i="8"/>
  <c r="F515" i="8"/>
  <c r="C515" i="8"/>
  <c r="I514" i="8"/>
  <c r="G514" i="8"/>
  <c r="F514" i="8"/>
  <c r="E514" i="8"/>
  <c r="C514" i="8"/>
  <c r="I513" i="8"/>
  <c r="G513" i="8"/>
  <c r="F513" i="8"/>
  <c r="E513" i="8"/>
  <c r="C513" i="8"/>
  <c r="F2698" i="8"/>
  <c r="F2489" i="8"/>
  <c r="F939" i="8"/>
  <c r="F826" i="8"/>
  <c r="F482" i="8"/>
  <c r="F2530" i="8"/>
  <c r="F2330" i="8"/>
  <c r="F867" i="8"/>
  <c r="F731" i="8"/>
  <c r="F414" i="8"/>
  <c r="I2698" i="8"/>
  <c r="G2698" i="8"/>
  <c r="E2698" i="8"/>
  <c r="I2530" i="8"/>
  <c r="G2530" i="8"/>
  <c r="I2489" i="8"/>
  <c r="G2489" i="8"/>
  <c r="E2489" i="8"/>
  <c r="I2330" i="8"/>
  <c r="G2330" i="8"/>
  <c r="I939" i="8"/>
  <c r="G939" i="8"/>
  <c r="E939" i="8"/>
  <c r="I867" i="8"/>
  <c r="G867" i="8"/>
  <c r="I826" i="8"/>
  <c r="G826" i="8"/>
  <c r="E826" i="8"/>
  <c r="I731" i="8"/>
  <c r="G731" i="8"/>
  <c r="I482" i="8"/>
  <c r="G482" i="8"/>
  <c r="E482" i="8"/>
  <c r="I414" i="8"/>
  <c r="G414" i="8"/>
  <c r="F355" i="8"/>
  <c r="I355" i="8"/>
  <c r="G355" i="8"/>
  <c r="E355" i="8"/>
  <c r="F287" i="8"/>
  <c r="I287" i="8"/>
  <c r="G287" i="8"/>
  <c r="F2630" i="8"/>
  <c r="F2418" i="8"/>
  <c r="F892" i="8"/>
  <c r="F780" i="8"/>
  <c r="F435" i="8"/>
  <c r="F308" i="8"/>
  <c r="I884" i="8"/>
  <c r="G884" i="8"/>
  <c r="F884" i="8"/>
  <c r="E884" i="8"/>
  <c r="I772" i="8"/>
  <c r="G772" i="8"/>
  <c r="F772" i="8"/>
  <c r="E772" i="8"/>
  <c r="I432" i="8"/>
  <c r="G432" i="8"/>
  <c r="F432" i="8"/>
  <c r="E432" i="8"/>
  <c r="I305" i="8"/>
  <c r="G305" i="8"/>
  <c r="F305" i="8"/>
  <c r="E305" i="8"/>
  <c r="C37" i="5" l="1"/>
  <c r="C45" i="5"/>
  <c r="C49" i="5"/>
  <c r="C48" i="5"/>
  <c r="C46" i="5"/>
  <c r="C47" i="5"/>
  <c r="C40" i="5"/>
  <c r="C42" i="5"/>
  <c r="C38" i="5"/>
  <c r="C39" i="5"/>
  <c r="C43" i="5"/>
  <c r="C44" i="5"/>
  <c r="C41" i="5"/>
  <c r="C689" i="5"/>
  <c r="C691" i="5"/>
  <c r="C690" i="5"/>
  <c r="C692" i="5"/>
  <c r="C693" i="5"/>
  <c r="C694" i="5"/>
  <c r="C696" i="5"/>
  <c r="C698" i="5"/>
  <c r="C697" i="5"/>
  <c r="C699" i="5"/>
  <c r="C700" i="5"/>
  <c r="C701" i="5"/>
  <c r="C405" i="5"/>
  <c r="C407" i="5"/>
  <c r="C406" i="5"/>
  <c r="C410" i="5"/>
  <c r="C408" i="5"/>
  <c r="C411" i="5"/>
  <c r="C409" i="5"/>
  <c r="C517" i="8"/>
  <c r="N513" i="8"/>
  <c r="N515" i="8"/>
  <c r="N517" i="8"/>
  <c r="M514" i="8"/>
  <c r="O515" i="8"/>
  <c r="O517" i="8"/>
  <c r="M518" i="8"/>
  <c r="M513" i="8"/>
  <c r="M515" i="8"/>
  <c r="M517" i="8"/>
  <c r="N514" i="8"/>
  <c r="N518" i="8"/>
  <c r="S2368" i="8"/>
  <c r="G2717" i="8"/>
  <c r="F2717" i="8"/>
  <c r="E2717" i="8"/>
  <c r="G2716" i="8"/>
  <c r="F2716" i="8"/>
  <c r="E2716" i="8"/>
  <c r="G2715" i="8"/>
  <c r="F2715" i="8"/>
  <c r="E2715" i="8"/>
  <c r="I2714" i="8"/>
  <c r="G2714" i="8"/>
  <c r="F2714" i="8"/>
  <c r="E2714" i="8"/>
  <c r="G2677" i="8"/>
  <c r="F2677" i="8"/>
  <c r="E2677" i="8"/>
  <c r="G2676" i="8"/>
  <c r="F2676" i="8"/>
  <c r="E2676" i="8"/>
  <c r="G2675" i="8"/>
  <c r="F2675" i="8"/>
  <c r="E2675" i="8"/>
  <c r="I2674" i="8"/>
  <c r="G2674" i="8"/>
  <c r="F2674" i="8"/>
  <c r="E2674" i="8"/>
  <c r="G2508" i="8"/>
  <c r="F2508" i="8"/>
  <c r="E2508" i="8"/>
  <c r="G2507" i="8"/>
  <c r="F2507" i="8"/>
  <c r="E2507" i="8"/>
  <c r="G2506" i="8"/>
  <c r="F2506" i="8"/>
  <c r="E2506" i="8"/>
  <c r="I2505" i="8"/>
  <c r="G2505" i="8"/>
  <c r="F2505" i="8"/>
  <c r="E2505" i="8"/>
  <c r="G2468" i="8"/>
  <c r="F2468" i="8"/>
  <c r="E2468" i="8"/>
  <c r="G2467" i="8"/>
  <c r="F2467" i="8"/>
  <c r="E2467" i="8"/>
  <c r="G2466" i="8"/>
  <c r="F2466" i="8"/>
  <c r="E2466" i="8"/>
  <c r="I2465" i="8"/>
  <c r="G2465" i="8"/>
  <c r="F2465" i="8"/>
  <c r="E2465" i="8"/>
  <c r="G958" i="8"/>
  <c r="F958" i="8"/>
  <c r="E958" i="8"/>
  <c r="G957" i="8"/>
  <c r="F957" i="8"/>
  <c r="E957" i="8"/>
  <c r="G956" i="8"/>
  <c r="F956" i="8"/>
  <c r="E956" i="8"/>
  <c r="I955" i="8"/>
  <c r="G955" i="8"/>
  <c r="F955" i="8"/>
  <c r="E955" i="8"/>
  <c r="G931" i="8"/>
  <c r="F931" i="8"/>
  <c r="E931" i="8"/>
  <c r="G930" i="8"/>
  <c r="F930" i="8"/>
  <c r="E930" i="8"/>
  <c r="G929" i="8"/>
  <c r="F929" i="8"/>
  <c r="E929" i="8"/>
  <c r="I928" i="8"/>
  <c r="G928" i="8"/>
  <c r="F928" i="8"/>
  <c r="E928" i="8"/>
  <c r="I840" i="8"/>
  <c r="G840" i="8"/>
  <c r="F840" i="8"/>
  <c r="E840" i="8"/>
  <c r="G843" i="8"/>
  <c r="F843" i="8"/>
  <c r="E843" i="8"/>
  <c r="G842" i="8"/>
  <c r="F842" i="8"/>
  <c r="E842" i="8"/>
  <c r="G841" i="8"/>
  <c r="F841" i="8"/>
  <c r="E841" i="8"/>
  <c r="G500" i="8"/>
  <c r="F500" i="8"/>
  <c r="E500" i="8"/>
  <c r="G499" i="8"/>
  <c r="F499" i="8"/>
  <c r="E499" i="8"/>
  <c r="G498" i="8"/>
  <c r="F498" i="8"/>
  <c r="E498" i="8"/>
  <c r="G819" i="8"/>
  <c r="F819" i="8"/>
  <c r="E819" i="8"/>
  <c r="G818" i="8"/>
  <c r="F818" i="8"/>
  <c r="E818" i="8"/>
  <c r="G817" i="8"/>
  <c r="F817" i="8"/>
  <c r="E817" i="8"/>
  <c r="G474" i="8"/>
  <c r="F474" i="8"/>
  <c r="E474" i="8"/>
  <c r="G473" i="8"/>
  <c r="F473" i="8"/>
  <c r="E473" i="8"/>
  <c r="G472" i="8"/>
  <c r="F472" i="8"/>
  <c r="E472" i="8"/>
  <c r="I471" i="8"/>
  <c r="G471" i="8"/>
  <c r="F471" i="8"/>
  <c r="E471" i="8"/>
  <c r="G374" i="8"/>
  <c r="F374" i="8"/>
  <c r="E374" i="8"/>
  <c r="G373" i="8"/>
  <c r="F373" i="8"/>
  <c r="E373" i="8"/>
  <c r="G372" i="8"/>
  <c r="F372" i="8"/>
  <c r="E372" i="8"/>
  <c r="I371" i="8"/>
  <c r="G371" i="8"/>
  <c r="F371" i="8"/>
  <c r="E371" i="8"/>
  <c r="G347" i="8"/>
  <c r="F347" i="8"/>
  <c r="E347" i="8"/>
  <c r="G346" i="8"/>
  <c r="F346" i="8"/>
  <c r="E346" i="8"/>
  <c r="G345" i="8"/>
  <c r="F345" i="8"/>
  <c r="E345" i="8"/>
  <c r="I2717" i="8"/>
  <c r="I2716" i="8"/>
  <c r="I2715" i="8"/>
  <c r="G646" i="1"/>
  <c r="L843" i="8" s="1"/>
  <c r="F646" i="1"/>
  <c r="K2717" i="8" s="1"/>
  <c r="G645" i="1"/>
  <c r="L2716" i="8" s="1"/>
  <c r="F645" i="1"/>
  <c r="K842" i="8" s="1"/>
  <c r="G644" i="1"/>
  <c r="L841" i="8" s="1"/>
  <c r="F644" i="1"/>
  <c r="K2715" i="8" s="1"/>
  <c r="F2664" i="8"/>
  <c r="F2665" i="8"/>
  <c r="F2666" i="8"/>
  <c r="F2706" i="8"/>
  <c r="F2705" i="8"/>
  <c r="F2704" i="8"/>
  <c r="F2497" i="8"/>
  <c r="F2496" i="8"/>
  <c r="F2495" i="8"/>
  <c r="F947" i="8"/>
  <c r="F946" i="8"/>
  <c r="F945" i="8"/>
  <c r="F834" i="8"/>
  <c r="F833" i="8"/>
  <c r="F832" i="8"/>
  <c r="F490" i="8"/>
  <c r="F489" i="8"/>
  <c r="F488" i="8"/>
  <c r="F361" i="8"/>
  <c r="F2457" i="8"/>
  <c r="F2456" i="8"/>
  <c r="F2455" i="8"/>
  <c r="F922" i="8"/>
  <c r="F921" i="8"/>
  <c r="F920" i="8"/>
  <c r="F810" i="8"/>
  <c r="F809" i="8"/>
  <c r="F808" i="8"/>
  <c r="F465" i="8"/>
  <c r="F464" i="8"/>
  <c r="F463" i="8"/>
  <c r="F363" i="8"/>
  <c r="F362" i="8"/>
  <c r="F338" i="8"/>
  <c r="F337" i="8"/>
  <c r="F336" i="8"/>
  <c r="I345" i="8" l="1"/>
  <c r="I346" i="8"/>
  <c r="I347" i="8"/>
  <c r="I372" i="8"/>
  <c r="I373" i="8"/>
  <c r="I374" i="8"/>
  <c r="I472" i="8"/>
  <c r="I473" i="8"/>
  <c r="I474" i="8"/>
  <c r="I817" i="8"/>
  <c r="I818" i="8"/>
  <c r="I819" i="8"/>
  <c r="I498" i="8"/>
  <c r="I499" i="8"/>
  <c r="I500" i="8"/>
  <c r="I841" i="8"/>
  <c r="I842" i="8"/>
  <c r="I843" i="8"/>
  <c r="I929" i="8"/>
  <c r="I930" i="8"/>
  <c r="I931" i="8"/>
  <c r="I956" i="8"/>
  <c r="I957" i="8"/>
  <c r="I958" i="8"/>
  <c r="I2466" i="8"/>
  <c r="I2467" i="8"/>
  <c r="I2468" i="8"/>
  <c r="I2506" i="8"/>
  <c r="I2507" i="8"/>
  <c r="I2508" i="8"/>
  <c r="I2675" i="8"/>
  <c r="I2676" i="8"/>
  <c r="I2677" i="8"/>
  <c r="L345" i="8"/>
  <c r="L347" i="8"/>
  <c r="L372" i="8"/>
  <c r="L374" i="8"/>
  <c r="L472" i="8"/>
  <c r="L474" i="8"/>
  <c r="L818" i="8"/>
  <c r="L498" i="8"/>
  <c r="L500" i="8"/>
  <c r="L842" i="8"/>
  <c r="L929" i="8"/>
  <c r="L931" i="8"/>
  <c r="L956" i="8"/>
  <c r="L958" i="8"/>
  <c r="L2466" i="8"/>
  <c r="L2468" i="8"/>
  <c r="L2506" i="8"/>
  <c r="L2508" i="8"/>
  <c r="L2675" i="8"/>
  <c r="L2677" i="8"/>
  <c r="L2715" i="8"/>
  <c r="L2717" i="8"/>
  <c r="K346" i="8"/>
  <c r="K373" i="8"/>
  <c r="K473" i="8"/>
  <c r="K817" i="8"/>
  <c r="K819" i="8"/>
  <c r="K499" i="8"/>
  <c r="K841" i="8"/>
  <c r="K843" i="8"/>
  <c r="K930" i="8"/>
  <c r="K957" i="8"/>
  <c r="K2467" i="8"/>
  <c r="K2507" i="8"/>
  <c r="K2676" i="8"/>
  <c r="K2716" i="8"/>
  <c r="L346" i="8"/>
  <c r="L373" i="8"/>
  <c r="L473" i="8"/>
  <c r="L817" i="8"/>
  <c r="L819" i="8"/>
  <c r="L499" i="8"/>
  <c r="L930" i="8"/>
  <c r="L957" i="8"/>
  <c r="L2467" i="8"/>
  <c r="L2507" i="8"/>
  <c r="L2676" i="8"/>
  <c r="K345" i="8"/>
  <c r="K347" i="8"/>
  <c r="K372" i="8"/>
  <c r="K374" i="8"/>
  <c r="K472" i="8"/>
  <c r="K474" i="8"/>
  <c r="K818" i="8"/>
  <c r="K498" i="8"/>
  <c r="K500" i="8"/>
  <c r="K929" i="8"/>
  <c r="K931" i="8"/>
  <c r="K956" i="8"/>
  <c r="K958" i="8"/>
  <c r="K2466" i="8"/>
  <c r="K2468" i="8"/>
  <c r="K2506" i="8"/>
  <c r="K2508" i="8"/>
  <c r="K2675" i="8"/>
  <c r="K2677" i="8"/>
  <c r="N516" i="8"/>
  <c r="C516" i="8"/>
  <c r="I2710" i="8"/>
  <c r="G2710" i="8"/>
  <c r="F2710" i="8"/>
  <c r="E2710" i="8"/>
  <c r="I2501" i="8"/>
  <c r="G2501" i="8"/>
  <c r="F2501" i="8"/>
  <c r="E2501" i="8"/>
  <c r="I949" i="8"/>
  <c r="G949" i="8"/>
  <c r="F949" i="8"/>
  <c r="E949" i="8"/>
  <c r="I836" i="8"/>
  <c r="G836" i="8"/>
  <c r="F836" i="8"/>
  <c r="E836" i="8"/>
  <c r="I492" i="8"/>
  <c r="G492" i="8"/>
  <c r="F492" i="8"/>
  <c r="E492" i="8"/>
  <c r="I365" i="8"/>
  <c r="G365" i="8"/>
  <c r="F365" i="8"/>
  <c r="E365" i="8"/>
  <c r="G637" i="1"/>
  <c r="L1794" i="8" s="1"/>
  <c r="P1794" i="8" s="1"/>
  <c r="F637" i="1"/>
  <c r="K1794" i="8" s="1"/>
  <c r="O1794" i="8" s="1"/>
  <c r="G636" i="1"/>
  <c r="F636" i="1"/>
  <c r="L2305" i="8" l="1"/>
  <c r="P2305" i="8" s="1"/>
  <c r="L1852" i="8"/>
  <c r="P1852" i="8" s="1"/>
  <c r="K2305" i="8"/>
  <c r="O2305" i="8" s="1"/>
  <c r="K1852" i="8"/>
  <c r="O1852" i="8" s="1"/>
  <c r="K2112" i="8"/>
  <c r="O2112" i="8" s="1"/>
  <c r="L2112" i="8"/>
  <c r="P2112" i="8" s="1"/>
  <c r="K1652" i="8"/>
  <c r="O1652" i="8" s="1"/>
  <c r="K2064" i="8"/>
  <c r="O2064" i="8" s="1"/>
  <c r="L1652" i="8"/>
  <c r="P1652" i="8" s="1"/>
  <c r="L2064" i="8"/>
  <c r="P2064" i="8" s="1"/>
  <c r="L2268" i="8"/>
  <c r="P2268" i="8" s="1"/>
  <c r="L1680" i="8"/>
  <c r="P1680" i="8" s="1"/>
  <c r="K2268" i="8"/>
  <c r="O2268" i="8" s="1"/>
  <c r="K1680" i="8"/>
  <c r="O1680" i="8" s="1"/>
  <c r="K2501" i="8"/>
  <c r="K1957" i="8"/>
  <c r="O1957" i="8" s="1"/>
  <c r="K1823" i="8"/>
  <c r="O1823" i="8" s="1"/>
  <c r="L2501" i="8"/>
  <c r="L1957" i="8"/>
  <c r="P1957" i="8" s="1"/>
  <c r="L1823" i="8"/>
  <c r="P1823" i="8" s="1"/>
  <c r="K949" i="8"/>
  <c r="K2710" i="8"/>
  <c r="K492" i="8"/>
  <c r="L492" i="8"/>
  <c r="L949" i="8"/>
  <c r="L2710" i="8"/>
  <c r="K365" i="8"/>
  <c r="K836" i="8"/>
  <c r="L365" i="8"/>
  <c r="L836" i="8"/>
  <c r="C929" i="5" l="1"/>
  <c r="H929" i="5"/>
  <c r="F929" i="5"/>
  <c r="E929" i="5"/>
  <c r="N929" i="5" l="1"/>
  <c r="R929" i="5"/>
  <c r="O929" i="5"/>
  <c r="P929" i="5"/>
  <c r="J2363" i="8"/>
  <c r="J2364" i="8"/>
  <c r="J2362" i="8"/>
  <c r="J2563" i="8"/>
  <c r="J2564" i="8"/>
  <c r="J2562" i="8"/>
  <c r="H928" i="5"/>
  <c r="F928" i="5"/>
  <c r="E928" i="5"/>
  <c r="C928" i="5"/>
  <c r="Q925" i="5"/>
  <c r="H925" i="5"/>
  <c r="F925" i="5"/>
  <c r="E925" i="5"/>
  <c r="H875" i="5"/>
  <c r="F875" i="5"/>
  <c r="E875" i="5"/>
  <c r="G536" i="1"/>
  <c r="H959" i="5"/>
  <c r="F959" i="5"/>
  <c r="E959" i="5"/>
  <c r="H958" i="5"/>
  <c r="F958" i="5"/>
  <c r="E958" i="5"/>
  <c r="D958" i="5"/>
  <c r="H960" i="5"/>
  <c r="F960" i="5"/>
  <c r="E960" i="5"/>
  <c r="D960" i="5"/>
  <c r="I2744" i="8"/>
  <c r="G2744" i="8"/>
  <c r="F2744" i="8"/>
  <c r="E2744" i="8"/>
  <c r="C2744" i="8"/>
  <c r="I2743" i="8"/>
  <c r="O2743" i="8"/>
  <c r="G2743" i="8"/>
  <c r="F2743" i="8"/>
  <c r="G2742" i="8"/>
  <c r="F2742" i="8"/>
  <c r="E2742" i="8"/>
  <c r="I2741" i="8"/>
  <c r="N2741" i="8"/>
  <c r="G2741" i="8"/>
  <c r="F2741" i="8"/>
  <c r="E2741" i="8"/>
  <c r="C2741" i="8"/>
  <c r="S2740" i="8"/>
  <c r="T2740" i="8" s="1"/>
  <c r="I2739" i="8"/>
  <c r="G2739" i="8"/>
  <c r="F2739" i="8"/>
  <c r="E2739" i="8"/>
  <c r="C2739" i="8"/>
  <c r="I2738" i="8"/>
  <c r="O2738" i="8"/>
  <c r="G2738" i="8"/>
  <c r="F2738" i="8"/>
  <c r="G2737" i="8"/>
  <c r="F2737" i="8"/>
  <c r="E2737" i="8"/>
  <c r="N2736" i="8"/>
  <c r="I2736" i="8"/>
  <c r="G2736" i="8"/>
  <c r="F2736" i="8"/>
  <c r="E2736" i="8"/>
  <c r="C2736" i="8"/>
  <c r="S2735" i="8"/>
  <c r="T2735" i="8" s="1"/>
  <c r="I2734" i="8"/>
  <c r="N2734" i="8"/>
  <c r="G2734" i="8"/>
  <c r="F2734" i="8"/>
  <c r="E2734" i="8"/>
  <c r="C2734" i="8"/>
  <c r="P2733" i="8"/>
  <c r="N2733" i="8"/>
  <c r="I2733" i="8"/>
  <c r="M2733" i="8" s="1"/>
  <c r="O2733" i="8"/>
  <c r="G2733" i="8"/>
  <c r="F2733" i="8"/>
  <c r="C2733" i="8"/>
  <c r="G2732" i="8"/>
  <c r="F2732" i="8"/>
  <c r="E2732" i="8"/>
  <c r="I2731" i="8"/>
  <c r="C2732" i="8"/>
  <c r="G2731" i="8"/>
  <c r="F2731" i="8"/>
  <c r="E2731" i="8"/>
  <c r="C2731" i="8"/>
  <c r="S2730" i="8"/>
  <c r="T2730" i="8" s="1"/>
  <c r="S2729" i="8"/>
  <c r="T2729" i="8" s="1"/>
  <c r="I2421" i="8"/>
  <c r="G2421" i="8"/>
  <c r="F2421" i="8"/>
  <c r="E2421" i="8"/>
  <c r="I2633" i="8"/>
  <c r="G2633" i="8"/>
  <c r="F2633" i="8"/>
  <c r="E2633" i="8"/>
  <c r="I2615" i="8"/>
  <c r="G2615" i="8"/>
  <c r="F2615" i="8"/>
  <c r="E2615" i="8"/>
  <c r="I2614" i="8"/>
  <c r="G2614" i="8"/>
  <c r="F2614" i="8"/>
  <c r="E2614" i="8"/>
  <c r="I2613" i="8"/>
  <c r="G2613" i="8"/>
  <c r="F2613" i="8"/>
  <c r="E2613" i="8"/>
  <c r="I2626" i="8"/>
  <c r="G2626" i="8"/>
  <c r="F2626" i="8"/>
  <c r="E2626" i="8"/>
  <c r="I2625" i="8"/>
  <c r="G2625" i="8"/>
  <c r="F2625" i="8"/>
  <c r="E2625" i="8"/>
  <c r="I2624" i="8"/>
  <c r="G2624" i="8"/>
  <c r="F2624" i="8"/>
  <c r="E2624" i="8"/>
  <c r="I2623" i="8"/>
  <c r="G2623" i="8"/>
  <c r="F2623" i="8"/>
  <c r="E2623" i="8"/>
  <c r="I2620" i="8"/>
  <c r="G2620" i="8"/>
  <c r="F2620" i="8"/>
  <c r="E2620" i="8"/>
  <c r="H2625" i="8"/>
  <c r="C2625" i="8" s="1"/>
  <c r="H2613" i="8"/>
  <c r="H2615" i="8" s="1"/>
  <c r="C2615" i="8" s="1"/>
  <c r="I2523" i="8"/>
  <c r="I2522" i="8"/>
  <c r="G2522" i="8"/>
  <c r="F2522" i="8"/>
  <c r="E2522" i="8"/>
  <c r="C2522" i="8"/>
  <c r="I2521" i="8"/>
  <c r="P2521" i="8"/>
  <c r="G2521" i="8"/>
  <c r="F2521" i="8"/>
  <c r="G2520" i="8"/>
  <c r="F2520" i="8"/>
  <c r="E2520" i="8"/>
  <c r="I2519" i="8"/>
  <c r="G2519" i="8"/>
  <c r="F2519" i="8"/>
  <c r="E2519" i="8"/>
  <c r="C2519" i="8"/>
  <c r="S2518" i="8"/>
  <c r="T2518" i="8" s="1"/>
  <c r="I2396" i="8"/>
  <c r="G2396" i="8"/>
  <c r="F2396" i="8"/>
  <c r="E2396" i="8"/>
  <c r="I2398" i="8"/>
  <c r="G2398" i="8"/>
  <c r="F2398" i="8"/>
  <c r="E2398" i="8"/>
  <c r="I2397" i="8"/>
  <c r="G2397" i="8"/>
  <c r="F2397" i="8"/>
  <c r="E2397" i="8"/>
  <c r="I2395" i="8"/>
  <c r="G2395" i="8"/>
  <c r="F2395" i="8"/>
  <c r="E2395" i="8"/>
  <c r="I2394" i="8"/>
  <c r="G2394" i="8"/>
  <c r="F2394" i="8"/>
  <c r="E2394" i="8"/>
  <c r="G2393" i="8"/>
  <c r="F2393" i="8"/>
  <c r="E2393" i="8"/>
  <c r="G2392" i="8"/>
  <c r="F2392" i="8"/>
  <c r="E2392" i="8"/>
  <c r="I2391" i="8"/>
  <c r="G2391" i="8"/>
  <c r="F2391" i="8"/>
  <c r="E2391" i="8"/>
  <c r="I2390" i="8"/>
  <c r="G2390" i="8"/>
  <c r="F2390" i="8"/>
  <c r="E2390" i="8"/>
  <c r="S2389" i="8"/>
  <c r="T2389" i="8" s="1"/>
  <c r="S2388" i="8"/>
  <c r="I2386" i="8"/>
  <c r="G2386" i="8"/>
  <c r="F2386" i="8"/>
  <c r="E2386" i="8"/>
  <c r="I2385" i="8"/>
  <c r="G2385" i="8"/>
  <c r="F2385" i="8"/>
  <c r="E2385" i="8"/>
  <c r="I2384" i="8"/>
  <c r="G2384" i="8"/>
  <c r="F2384" i="8"/>
  <c r="E2384" i="8"/>
  <c r="G2523" i="8"/>
  <c r="F2523" i="8"/>
  <c r="E2523" i="8"/>
  <c r="I2517" i="8"/>
  <c r="G2517" i="8"/>
  <c r="F2517" i="8"/>
  <c r="E2517" i="8"/>
  <c r="C2517" i="8"/>
  <c r="I2516" i="8"/>
  <c r="C2516" i="8"/>
  <c r="G2516" i="8"/>
  <c r="F2516" i="8"/>
  <c r="G2515" i="8"/>
  <c r="F2515" i="8"/>
  <c r="E2515" i="8"/>
  <c r="I2514" i="8"/>
  <c r="G2514" i="8"/>
  <c r="F2514" i="8"/>
  <c r="E2514" i="8"/>
  <c r="C2514" i="8"/>
  <c r="S2513" i="8"/>
  <c r="T2513" i="8" s="1"/>
  <c r="S2512" i="8"/>
  <c r="T2512" i="8" s="1"/>
  <c r="C971" i="8"/>
  <c r="P969" i="8"/>
  <c r="I970" i="8"/>
  <c r="G970" i="8"/>
  <c r="F970" i="8"/>
  <c r="C963" i="8"/>
  <c r="I971" i="8"/>
  <c r="G971" i="8"/>
  <c r="F971" i="8"/>
  <c r="E971" i="8"/>
  <c r="I969" i="8"/>
  <c r="G969" i="8"/>
  <c r="F969" i="8"/>
  <c r="I968" i="8"/>
  <c r="G968" i="8"/>
  <c r="F968" i="8"/>
  <c r="E968" i="8"/>
  <c r="C968" i="8"/>
  <c r="N967" i="8"/>
  <c r="G967" i="8"/>
  <c r="F967" i="8"/>
  <c r="E967" i="8"/>
  <c r="C967" i="8"/>
  <c r="I966" i="8"/>
  <c r="G966" i="8"/>
  <c r="F966" i="8"/>
  <c r="E966" i="8"/>
  <c r="C966" i="8"/>
  <c r="N965" i="8"/>
  <c r="I965" i="8"/>
  <c r="M965" i="8" s="1"/>
  <c r="G965" i="8"/>
  <c r="F965" i="8"/>
  <c r="E965" i="8"/>
  <c r="C965" i="8"/>
  <c r="I964" i="8"/>
  <c r="N964" i="8"/>
  <c r="G964" i="8"/>
  <c r="F964" i="8"/>
  <c r="E964" i="8"/>
  <c r="C964" i="8"/>
  <c r="I963" i="8"/>
  <c r="G963" i="8"/>
  <c r="F963" i="8"/>
  <c r="E963" i="8"/>
  <c r="S962" i="8"/>
  <c r="T962" i="8" s="1"/>
  <c r="S961" i="8"/>
  <c r="T961" i="8" s="1"/>
  <c r="I762" i="8"/>
  <c r="G762" i="8"/>
  <c r="F762" i="8"/>
  <c r="E762" i="8"/>
  <c r="I761" i="8"/>
  <c r="G761" i="8"/>
  <c r="F761" i="8"/>
  <c r="E761" i="8"/>
  <c r="I760" i="8"/>
  <c r="G760" i="8"/>
  <c r="F760" i="8"/>
  <c r="E760" i="8"/>
  <c r="I759" i="8"/>
  <c r="G759" i="8"/>
  <c r="F759" i="8"/>
  <c r="E759" i="8"/>
  <c r="C859" i="8"/>
  <c r="C858" i="8"/>
  <c r="G859" i="8"/>
  <c r="F859" i="8"/>
  <c r="E859" i="8"/>
  <c r="I858" i="8"/>
  <c r="G858" i="8"/>
  <c r="F858" i="8"/>
  <c r="E858" i="8"/>
  <c r="I857" i="8"/>
  <c r="G857" i="8"/>
  <c r="F857" i="8"/>
  <c r="E857" i="8"/>
  <c r="C857" i="8"/>
  <c r="S856" i="8"/>
  <c r="T856" i="8" s="1"/>
  <c r="C856" i="8"/>
  <c r="I763" i="8"/>
  <c r="G763" i="8"/>
  <c r="F763" i="8"/>
  <c r="E763" i="8"/>
  <c r="G758" i="8"/>
  <c r="F758" i="8"/>
  <c r="E758" i="8"/>
  <c r="G757" i="8"/>
  <c r="F757" i="8"/>
  <c r="E757" i="8"/>
  <c r="G756" i="8"/>
  <c r="F756" i="8"/>
  <c r="E756" i="8"/>
  <c r="I755" i="8"/>
  <c r="G755" i="8"/>
  <c r="F755" i="8"/>
  <c r="E755" i="8"/>
  <c r="I754" i="8"/>
  <c r="G754" i="8"/>
  <c r="F754" i="8"/>
  <c r="E754" i="8"/>
  <c r="S753" i="8"/>
  <c r="T753" i="8" s="1"/>
  <c r="S752" i="8"/>
  <c r="I751" i="8"/>
  <c r="G751" i="8"/>
  <c r="E751" i="8"/>
  <c r="I750" i="8"/>
  <c r="G750" i="8"/>
  <c r="E750" i="8"/>
  <c r="I749" i="8"/>
  <c r="G749" i="8"/>
  <c r="E749" i="8"/>
  <c r="I748" i="8"/>
  <c r="G748" i="8"/>
  <c r="F748" i="8"/>
  <c r="E748" i="8"/>
  <c r="I747" i="8"/>
  <c r="G747" i="8"/>
  <c r="F747" i="8"/>
  <c r="E747" i="8"/>
  <c r="I746" i="8"/>
  <c r="G746" i="8"/>
  <c r="F746" i="8"/>
  <c r="E746" i="8"/>
  <c r="S745" i="8"/>
  <c r="T745" i="8" s="1"/>
  <c r="S744" i="8"/>
  <c r="I743" i="8"/>
  <c r="G743" i="8"/>
  <c r="F743" i="8"/>
  <c r="E743" i="8"/>
  <c r="I742" i="8"/>
  <c r="G742" i="8"/>
  <c r="F742" i="8"/>
  <c r="E742" i="8"/>
  <c r="S741" i="8"/>
  <c r="T741" i="8" s="1"/>
  <c r="S740" i="8"/>
  <c r="C855" i="8"/>
  <c r="O854" i="8"/>
  <c r="C853" i="8"/>
  <c r="C849" i="8"/>
  <c r="I855" i="8"/>
  <c r="G855" i="8"/>
  <c r="F855" i="8"/>
  <c r="E855" i="8"/>
  <c r="I854" i="8"/>
  <c r="G854" i="8"/>
  <c r="F854" i="8"/>
  <c r="I853" i="8"/>
  <c r="G853" i="8"/>
  <c r="F853" i="8"/>
  <c r="E853" i="8"/>
  <c r="G852" i="8"/>
  <c r="F852" i="8"/>
  <c r="E852" i="8"/>
  <c r="C852" i="8"/>
  <c r="I851" i="8"/>
  <c r="G851" i="8"/>
  <c r="F851" i="8"/>
  <c r="E851" i="8"/>
  <c r="I850" i="8"/>
  <c r="G850" i="8"/>
  <c r="F850" i="8"/>
  <c r="E850" i="8"/>
  <c r="C850" i="8"/>
  <c r="I849" i="8"/>
  <c r="G849" i="8"/>
  <c r="F849" i="8"/>
  <c r="E849" i="8"/>
  <c r="I848" i="8"/>
  <c r="G848" i="8"/>
  <c r="F848" i="8"/>
  <c r="E848" i="8"/>
  <c r="S847" i="8"/>
  <c r="T847" i="8" s="1"/>
  <c r="S846" i="8"/>
  <c r="T846" i="8" s="1"/>
  <c r="I548" i="8"/>
  <c r="G548" i="8"/>
  <c r="F548" i="8"/>
  <c r="E548" i="8"/>
  <c r="C548" i="8"/>
  <c r="I547" i="8"/>
  <c r="O547" i="8"/>
  <c r="G547" i="8"/>
  <c r="F547" i="8"/>
  <c r="G546" i="8"/>
  <c r="F546" i="8"/>
  <c r="E546" i="8"/>
  <c r="C546" i="8"/>
  <c r="N545" i="8"/>
  <c r="I545" i="8"/>
  <c r="M545" i="8" s="1"/>
  <c r="G545" i="8"/>
  <c r="F545" i="8"/>
  <c r="E545" i="8"/>
  <c r="C545" i="8"/>
  <c r="S544" i="8"/>
  <c r="T544" i="8" s="1"/>
  <c r="I543" i="8"/>
  <c r="G543" i="8"/>
  <c r="F543" i="8"/>
  <c r="E543" i="8"/>
  <c r="C543" i="8"/>
  <c r="I542" i="8"/>
  <c r="O542" i="8"/>
  <c r="G542" i="8"/>
  <c r="F542" i="8"/>
  <c r="G541" i="8"/>
  <c r="F541" i="8"/>
  <c r="E541" i="8"/>
  <c r="C541" i="8"/>
  <c r="N540" i="8"/>
  <c r="I540" i="8"/>
  <c r="M540" i="8" s="1"/>
  <c r="G540" i="8"/>
  <c r="F540" i="8"/>
  <c r="E540" i="8"/>
  <c r="C540" i="8"/>
  <c r="S539" i="8"/>
  <c r="T539" i="8" s="1"/>
  <c r="O532" i="8"/>
  <c r="C531" i="8"/>
  <c r="C507" i="8"/>
  <c r="I538" i="8"/>
  <c r="C538" i="8"/>
  <c r="G538" i="8"/>
  <c r="F538" i="8"/>
  <c r="E538" i="8"/>
  <c r="I537" i="8"/>
  <c r="O537" i="8"/>
  <c r="G537" i="8"/>
  <c r="F537" i="8"/>
  <c r="G536" i="8"/>
  <c r="F536" i="8"/>
  <c r="E536" i="8"/>
  <c r="C536" i="8"/>
  <c r="N535" i="8"/>
  <c r="I535" i="8"/>
  <c r="M535" i="8" s="1"/>
  <c r="G535" i="8"/>
  <c r="F535" i="8"/>
  <c r="E535" i="8"/>
  <c r="C535" i="8"/>
  <c r="S534" i="8"/>
  <c r="T534" i="8" s="1"/>
  <c r="I533" i="8"/>
  <c r="N533" i="8"/>
  <c r="G533" i="8"/>
  <c r="F533" i="8"/>
  <c r="E533" i="8"/>
  <c r="C533" i="8"/>
  <c r="I532" i="8"/>
  <c r="G532" i="8"/>
  <c r="F532" i="8"/>
  <c r="G531" i="8"/>
  <c r="F531" i="8"/>
  <c r="E531" i="8"/>
  <c r="N530" i="8"/>
  <c r="I530" i="8"/>
  <c r="M530" i="8" s="1"/>
  <c r="G530" i="8"/>
  <c r="F530" i="8"/>
  <c r="E530" i="8"/>
  <c r="C530" i="8"/>
  <c r="S529" i="8"/>
  <c r="T529" i="8" s="1"/>
  <c r="I528" i="8"/>
  <c r="G528" i="8"/>
  <c r="F528" i="8"/>
  <c r="E528" i="8"/>
  <c r="C528" i="8"/>
  <c r="I527" i="8"/>
  <c r="O527" i="8"/>
  <c r="G527" i="8"/>
  <c r="F527" i="8"/>
  <c r="G526" i="8"/>
  <c r="F526" i="8"/>
  <c r="E526" i="8"/>
  <c r="C526" i="8"/>
  <c r="N525" i="8"/>
  <c r="I525" i="8"/>
  <c r="M525" i="8" s="1"/>
  <c r="G525" i="8"/>
  <c r="F525" i="8"/>
  <c r="E525" i="8"/>
  <c r="C525" i="8"/>
  <c r="S524" i="8"/>
  <c r="T524" i="8" s="1"/>
  <c r="I523" i="8"/>
  <c r="G523" i="8"/>
  <c r="F523" i="8"/>
  <c r="E523" i="8"/>
  <c r="C523" i="8"/>
  <c r="I522" i="8"/>
  <c r="O522" i="8"/>
  <c r="G522" i="8"/>
  <c r="F522" i="8"/>
  <c r="G521" i="8"/>
  <c r="F521" i="8"/>
  <c r="E521" i="8"/>
  <c r="I520" i="8"/>
  <c r="G520" i="8"/>
  <c r="F520" i="8"/>
  <c r="E520" i="8"/>
  <c r="C520" i="8"/>
  <c r="S519" i="8"/>
  <c r="T519" i="8" s="1"/>
  <c r="I512" i="8"/>
  <c r="N512" i="8"/>
  <c r="G512" i="8"/>
  <c r="F512" i="8"/>
  <c r="E512" i="8"/>
  <c r="C512" i="8"/>
  <c r="I511" i="8"/>
  <c r="O511" i="8"/>
  <c r="G511" i="8"/>
  <c r="F511" i="8"/>
  <c r="I510" i="8"/>
  <c r="C510" i="8"/>
  <c r="G510" i="8"/>
  <c r="F510" i="8"/>
  <c r="E510" i="8"/>
  <c r="C509" i="8"/>
  <c r="G509" i="8"/>
  <c r="F509" i="8"/>
  <c r="E509" i="8"/>
  <c r="I508" i="8"/>
  <c r="G508" i="8"/>
  <c r="F508" i="8"/>
  <c r="E508" i="8"/>
  <c r="I507" i="8"/>
  <c r="G507" i="8"/>
  <c r="F507" i="8"/>
  <c r="E507" i="8"/>
  <c r="I506" i="8"/>
  <c r="N506" i="8"/>
  <c r="G506" i="8"/>
  <c r="F506" i="8"/>
  <c r="E506" i="8"/>
  <c r="C506" i="8"/>
  <c r="I505" i="8"/>
  <c r="C505" i="8"/>
  <c r="G505" i="8"/>
  <c r="F505" i="8"/>
  <c r="E505" i="8"/>
  <c r="S504" i="8"/>
  <c r="T504" i="8" s="1"/>
  <c r="S503" i="8"/>
  <c r="T503" i="8" s="1"/>
  <c r="I406" i="8"/>
  <c r="G406" i="8"/>
  <c r="F406" i="8"/>
  <c r="E406" i="8"/>
  <c r="C406" i="8"/>
  <c r="I405" i="8"/>
  <c r="P405" i="8"/>
  <c r="G405" i="8"/>
  <c r="F405" i="8"/>
  <c r="P400" i="8"/>
  <c r="I401" i="8"/>
  <c r="G401" i="8"/>
  <c r="F401" i="8"/>
  <c r="E401" i="8"/>
  <c r="C401" i="8"/>
  <c r="I400" i="8"/>
  <c r="G400" i="8"/>
  <c r="F400" i="8"/>
  <c r="I396" i="8"/>
  <c r="G396" i="8"/>
  <c r="F396" i="8"/>
  <c r="E396" i="8"/>
  <c r="C396" i="8"/>
  <c r="I395" i="8"/>
  <c r="C395" i="8"/>
  <c r="G395" i="8"/>
  <c r="F395" i="8"/>
  <c r="C391" i="8"/>
  <c r="P390" i="8"/>
  <c r="I391" i="8"/>
  <c r="G391" i="8"/>
  <c r="F391" i="8"/>
  <c r="E391" i="8"/>
  <c r="I390" i="8"/>
  <c r="G390" i="8"/>
  <c r="F390" i="8"/>
  <c r="L556" i="8" l="1"/>
  <c r="L979" i="8"/>
  <c r="L867" i="8"/>
  <c r="L414" i="8"/>
  <c r="P2743" i="8"/>
  <c r="C2743" i="8"/>
  <c r="M2743" i="8"/>
  <c r="N2743" i="8"/>
  <c r="C2730" i="8"/>
  <c r="C2738" i="8"/>
  <c r="M2738" i="8"/>
  <c r="C390" i="8"/>
  <c r="N928" i="5"/>
  <c r="R928" i="5"/>
  <c r="O928" i="5"/>
  <c r="P928" i="5"/>
  <c r="O925" i="5"/>
  <c r="S925" i="5"/>
  <c r="R925" i="5"/>
  <c r="P925" i="5"/>
  <c r="C925" i="5"/>
  <c r="N925" i="5"/>
  <c r="N2731" i="8"/>
  <c r="N2738" i="8"/>
  <c r="P2738" i="8"/>
  <c r="O958" i="5"/>
  <c r="N958" i="5"/>
  <c r="R958" i="5"/>
  <c r="P958" i="5"/>
  <c r="C958" i="5"/>
  <c r="M2741" i="8"/>
  <c r="M2736" i="8"/>
  <c r="M2731" i="8"/>
  <c r="M2744" i="8"/>
  <c r="M2734" i="8"/>
  <c r="N2744" i="8"/>
  <c r="N2732" i="8"/>
  <c r="M2739" i="8"/>
  <c r="N2739" i="8"/>
  <c r="C547" i="8"/>
  <c r="C544" i="8" s="1"/>
  <c r="C537" i="8"/>
  <c r="C534" i="8" s="1"/>
  <c r="H2611" i="8"/>
  <c r="C542" i="8"/>
  <c r="C539" i="8" s="1"/>
  <c r="H2612" i="8"/>
  <c r="C405" i="8"/>
  <c r="M849" i="8"/>
  <c r="H2623" i="8"/>
  <c r="C2623" i="8" s="1"/>
  <c r="C2521" i="8"/>
  <c r="H2624" i="8"/>
  <c r="C2613" i="8"/>
  <c r="H2614" i="8"/>
  <c r="M2614" i="8" s="1"/>
  <c r="M2613" i="8"/>
  <c r="M2615" i="8"/>
  <c r="N2613" i="8"/>
  <c r="N2615" i="8"/>
  <c r="M2625" i="8"/>
  <c r="N2625" i="8"/>
  <c r="M2519" i="8"/>
  <c r="M2521" i="8"/>
  <c r="N2519" i="8"/>
  <c r="N2521" i="8"/>
  <c r="O2521" i="8"/>
  <c r="M2522" i="8"/>
  <c r="N2522" i="8"/>
  <c r="C400" i="8"/>
  <c r="M542" i="8"/>
  <c r="P542" i="8"/>
  <c r="O969" i="8"/>
  <c r="O2516" i="8"/>
  <c r="M2516" i="8"/>
  <c r="N2515" i="8"/>
  <c r="C2515" i="8"/>
  <c r="C2513" i="8" s="1"/>
  <c r="N2514" i="8"/>
  <c r="N532" i="8"/>
  <c r="C969" i="8"/>
  <c r="M969" i="8"/>
  <c r="P2516" i="8"/>
  <c r="C854" i="8"/>
  <c r="N969" i="8"/>
  <c r="N2516" i="8"/>
  <c r="M2514" i="8"/>
  <c r="M964" i="8"/>
  <c r="M2517" i="8"/>
  <c r="N2517" i="8"/>
  <c r="O970" i="8"/>
  <c r="C970" i="8"/>
  <c r="P970" i="8"/>
  <c r="M970" i="8"/>
  <c r="N970" i="8"/>
  <c r="M963" i="8"/>
  <c r="N963" i="8"/>
  <c r="M966" i="8"/>
  <c r="M968" i="8"/>
  <c r="N966" i="8"/>
  <c r="N968" i="8"/>
  <c r="M971" i="8"/>
  <c r="N971" i="8"/>
  <c r="N859" i="8"/>
  <c r="N857" i="8"/>
  <c r="M858" i="8"/>
  <c r="M857" i="8"/>
  <c r="N858" i="8"/>
  <c r="C511" i="8"/>
  <c r="M511" i="8"/>
  <c r="C522" i="8"/>
  <c r="M522" i="8"/>
  <c r="C527" i="8"/>
  <c r="C524" i="8" s="1"/>
  <c r="M527" i="8"/>
  <c r="P532" i="8"/>
  <c r="N542" i="8"/>
  <c r="M547" i="8"/>
  <c r="P854" i="8"/>
  <c r="P522" i="8"/>
  <c r="P527" i="8"/>
  <c r="P547" i="8"/>
  <c r="M532" i="8"/>
  <c r="M523" i="8"/>
  <c r="M854" i="8"/>
  <c r="N523" i="8"/>
  <c r="P511" i="8"/>
  <c r="N527" i="8"/>
  <c r="C532" i="8"/>
  <c r="C529" i="8" s="1"/>
  <c r="M537" i="8"/>
  <c r="N547" i="8"/>
  <c r="M855" i="8"/>
  <c r="N855" i="8"/>
  <c r="N849" i="8"/>
  <c r="N537" i="8"/>
  <c r="C848" i="8"/>
  <c r="M528" i="8"/>
  <c r="N528" i="8"/>
  <c r="P537" i="8"/>
  <c r="M850" i="8"/>
  <c r="N848" i="8"/>
  <c r="N850" i="8"/>
  <c r="N852" i="8"/>
  <c r="M853" i="8"/>
  <c r="N854" i="8"/>
  <c r="M848" i="8"/>
  <c r="N853" i="8"/>
  <c r="N546" i="8"/>
  <c r="M506" i="8"/>
  <c r="M512" i="8"/>
  <c r="M548" i="8"/>
  <c r="N548" i="8"/>
  <c r="N541" i="8"/>
  <c r="M543" i="8"/>
  <c r="M533" i="8"/>
  <c r="N543" i="8"/>
  <c r="M505" i="8"/>
  <c r="M507" i="8"/>
  <c r="N507" i="8"/>
  <c r="N509" i="8"/>
  <c r="N520" i="8"/>
  <c r="N531" i="8"/>
  <c r="N536" i="8"/>
  <c r="M520" i="8"/>
  <c r="N505" i="8"/>
  <c r="M510" i="8"/>
  <c r="N511" i="8"/>
  <c r="N522" i="8"/>
  <c r="N526" i="8"/>
  <c r="M538" i="8"/>
  <c r="N510" i="8"/>
  <c r="N538" i="8"/>
  <c r="N405" i="8"/>
  <c r="O405" i="8"/>
  <c r="M406" i="8"/>
  <c r="M405" i="8"/>
  <c r="P395" i="8"/>
  <c r="N406" i="8"/>
  <c r="N400" i="8"/>
  <c r="M400" i="8"/>
  <c r="O400" i="8"/>
  <c r="M401" i="8"/>
  <c r="N401" i="8"/>
  <c r="N395" i="8"/>
  <c r="O395" i="8"/>
  <c r="M396" i="8"/>
  <c r="M395" i="8"/>
  <c r="N396" i="8"/>
  <c r="N390" i="8"/>
  <c r="M390" i="8"/>
  <c r="O390" i="8"/>
  <c r="M391" i="8"/>
  <c r="N391" i="8"/>
  <c r="S402" i="8"/>
  <c r="T402" i="8" s="1"/>
  <c r="C399" i="8"/>
  <c r="G399" i="8"/>
  <c r="F399" i="8"/>
  <c r="E399" i="8"/>
  <c r="N398" i="8"/>
  <c r="I398" i="8"/>
  <c r="M398" i="8" s="1"/>
  <c r="G398" i="8"/>
  <c r="F398" i="8"/>
  <c r="E398" i="8"/>
  <c r="C398" i="8"/>
  <c r="S397" i="8"/>
  <c r="T397" i="8" s="1"/>
  <c r="I386" i="8"/>
  <c r="G386" i="8"/>
  <c r="F386" i="8"/>
  <c r="E386" i="8"/>
  <c r="C386" i="8"/>
  <c r="P385" i="8"/>
  <c r="I385" i="8"/>
  <c r="G385" i="8"/>
  <c r="F385" i="8"/>
  <c r="C385" i="8"/>
  <c r="G394" i="8"/>
  <c r="F394" i="8"/>
  <c r="E394" i="8"/>
  <c r="I393" i="8"/>
  <c r="G393" i="8"/>
  <c r="F393" i="8"/>
  <c r="E393" i="8"/>
  <c r="C393" i="8"/>
  <c r="S392" i="8"/>
  <c r="T392" i="8" s="1"/>
  <c r="G389" i="8"/>
  <c r="F389" i="8"/>
  <c r="E389" i="8"/>
  <c r="C389" i="8"/>
  <c r="S387" i="8"/>
  <c r="T387" i="8" s="1"/>
  <c r="S377" i="8"/>
  <c r="N2623" i="8" l="1"/>
  <c r="N2742" i="8"/>
  <c r="C2742" i="8"/>
  <c r="C2740" i="8" s="1"/>
  <c r="N2737" i="8"/>
  <c r="C2737" i="8"/>
  <c r="C2735" i="8" s="1"/>
  <c r="C962" i="8"/>
  <c r="C397" i="8"/>
  <c r="C2614" i="8"/>
  <c r="N2614" i="8"/>
  <c r="M2623" i="8"/>
  <c r="N2624" i="8"/>
  <c r="M2624" i="8"/>
  <c r="C2624" i="8"/>
  <c r="N2520" i="8"/>
  <c r="C2520" i="8"/>
  <c r="C2518" i="8" s="1"/>
  <c r="C961" i="8"/>
  <c r="N851" i="8"/>
  <c r="M851" i="8"/>
  <c r="C851" i="8"/>
  <c r="C847" i="8" s="1"/>
  <c r="N508" i="8"/>
  <c r="M508" i="8"/>
  <c r="C508" i="8"/>
  <c r="C504" i="8" s="1"/>
  <c r="N521" i="8"/>
  <c r="C521" i="8"/>
  <c r="C519" i="8" s="1"/>
  <c r="N399" i="8"/>
  <c r="N385" i="8"/>
  <c r="O385" i="8"/>
  <c r="M386" i="8"/>
  <c r="M385" i="8"/>
  <c r="N386" i="8"/>
  <c r="N393" i="8"/>
  <c r="M393" i="8"/>
  <c r="N389" i="8"/>
  <c r="C846" i="8" l="1"/>
  <c r="C503" i="8"/>
  <c r="N394" i="8"/>
  <c r="C394" i="8"/>
  <c r="C392" i="8" s="1"/>
  <c r="R26" i="1" l="1"/>
  <c r="S26" i="1" s="1"/>
  <c r="G26" i="1"/>
  <c r="F26" i="1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H679" i="1"/>
  <c r="E679" i="1" s="1"/>
  <c r="F679" i="1"/>
  <c r="G679" i="1"/>
  <c r="H676" i="1"/>
  <c r="E676" i="1" s="1"/>
  <c r="H675" i="1"/>
  <c r="E675" i="1" s="1"/>
  <c r="H674" i="1"/>
  <c r="E674" i="1" s="1"/>
  <c r="G2584" i="8" l="1"/>
  <c r="F2584" i="8"/>
  <c r="G2583" i="8"/>
  <c r="F2583" i="8"/>
  <c r="H677" i="1"/>
  <c r="E677" i="1" s="1"/>
  <c r="H678" i="1"/>
  <c r="E678" i="1" s="1"/>
  <c r="G677" i="1"/>
  <c r="F677" i="1"/>
  <c r="G678" i="1"/>
  <c r="F678" i="1"/>
  <c r="H681" i="1"/>
  <c r="E681" i="1" s="1"/>
  <c r="H680" i="1"/>
  <c r="E680" i="1" s="1"/>
  <c r="H673" i="1"/>
  <c r="E673" i="1" s="1"/>
  <c r="H672" i="1"/>
  <c r="E672" i="1" s="1"/>
  <c r="H671" i="1"/>
  <c r="E671" i="1" s="1"/>
  <c r="H670" i="1"/>
  <c r="E670" i="1" s="1"/>
  <c r="B115" i="11"/>
  <c r="B114" i="11"/>
  <c r="B80" i="11"/>
  <c r="B79" i="11"/>
  <c r="B71" i="11"/>
  <c r="B69" i="11"/>
  <c r="B220" i="23"/>
  <c r="B224" i="23" s="1"/>
  <c r="B219" i="23"/>
  <c r="B217" i="23"/>
  <c r="B215" i="23"/>
  <c r="A213" i="23" s="1"/>
  <c r="B206" i="23"/>
  <c r="B210" i="23" s="1"/>
  <c r="B205" i="23"/>
  <c r="B203" i="23"/>
  <c r="B201" i="23"/>
  <c r="B94" i="23"/>
  <c r="B98" i="23" s="1"/>
  <c r="B93" i="23"/>
  <c r="B91" i="23"/>
  <c r="B89" i="23"/>
  <c r="B66" i="23"/>
  <c r="B68" i="23" s="1"/>
  <c r="B65" i="23"/>
  <c r="B63" i="23"/>
  <c r="B61" i="23"/>
  <c r="A59" i="23" s="1"/>
  <c r="B183" i="11"/>
  <c r="B182" i="11"/>
  <c r="B174" i="11"/>
  <c r="B172" i="11"/>
  <c r="B229" i="14"/>
  <c r="I225" i="14"/>
  <c r="B225" i="14"/>
  <c r="I223" i="14"/>
  <c r="B223" i="14"/>
  <c r="I221" i="14"/>
  <c r="B221" i="14"/>
  <c r="B215" i="14"/>
  <c r="I211" i="14"/>
  <c r="B211" i="14"/>
  <c r="I209" i="14"/>
  <c r="B209" i="14"/>
  <c r="I207" i="14"/>
  <c r="B207" i="14"/>
  <c r="B103" i="14"/>
  <c r="I99" i="14"/>
  <c r="B99" i="14"/>
  <c r="I97" i="14"/>
  <c r="B97" i="14"/>
  <c r="I95" i="14"/>
  <c r="B95" i="14"/>
  <c r="B75" i="14"/>
  <c r="I71" i="14"/>
  <c r="B71" i="14"/>
  <c r="I69" i="14"/>
  <c r="B69" i="14"/>
  <c r="I67" i="14"/>
  <c r="B67" i="14"/>
  <c r="B161" i="11"/>
  <c r="B160" i="11"/>
  <c r="B152" i="11"/>
  <c r="B150" i="11"/>
  <c r="B137" i="11"/>
  <c r="B138" i="11"/>
  <c r="B129" i="11"/>
  <c r="B127" i="11"/>
  <c r="A230" i="10"/>
  <c r="H226" i="10"/>
  <c r="A226" i="10"/>
  <c r="H224" i="10"/>
  <c r="A224" i="10"/>
  <c r="H222" i="10"/>
  <c r="A222" i="10"/>
  <c r="A216" i="10"/>
  <c r="A212" i="10"/>
  <c r="A210" i="10"/>
  <c r="A208" i="10"/>
  <c r="H212" i="10"/>
  <c r="H210" i="10"/>
  <c r="H208" i="10"/>
  <c r="A118" i="10"/>
  <c r="H114" i="10"/>
  <c r="A114" i="10"/>
  <c r="H112" i="10"/>
  <c r="A112" i="10"/>
  <c r="H110" i="10"/>
  <c r="A110" i="10"/>
  <c r="A90" i="10"/>
  <c r="A86" i="10"/>
  <c r="A84" i="10"/>
  <c r="A82" i="10"/>
  <c r="H86" i="10"/>
  <c r="H84" i="10"/>
  <c r="H82" i="10"/>
  <c r="B96" i="23" l="1"/>
  <c r="B212" i="23"/>
  <c r="B226" i="23"/>
  <c r="B222" i="23"/>
  <c r="A199" i="23"/>
  <c r="B208" i="23"/>
  <c r="B100" i="23"/>
  <c r="A87" i="23"/>
  <c r="B70" i="23"/>
  <c r="B72" i="23"/>
  <c r="A66" i="23"/>
  <c r="C379" i="8"/>
  <c r="C380" i="8"/>
  <c r="I380" i="8"/>
  <c r="G380" i="8"/>
  <c r="F380" i="8"/>
  <c r="E380" i="8"/>
  <c r="I379" i="8"/>
  <c r="G379" i="8"/>
  <c r="F379" i="8"/>
  <c r="E379" i="8"/>
  <c r="A94" i="23" l="1"/>
  <c r="A220" i="23"/>
  <c r="A206" i="23"/>
  <c r="M380" i="8"/>
  <c r="N380" i="8"/>
  <c r="M379" i="8"/>
  <c r="N379" i="8"/>
  <c r="G377" i="1"/>
  <c r="G376" i="1"/>
  <c r="G375" i="1"/>
  <c r="G374" i="1"/>
  <c r="G373" i="1"/>
  <c r="G466" i="1"/>
  <c r="F467" i="1"/>
  <c r="G467" i="1"/>
  <c r="H2616" i="8"/>
  <c r="H2609" i="8"/>
  <c r="H2610" i="8" s="1"/>
  <c r="G254" i="1"/>
  <c r="L968" i="8" s="1"/>
  <c r="P968" i="8" s="1"/>
  <c r="F254" i="1"/>
  <c r="K968" i="8" s="1"/>
  <c r="O968" i="8" s="1"/>
  <c r="G253" i="1"/>
  <c r="F253" i="1"/>
  <c r="G384" i="8"/>
  <c r="F384" i="8"/>
  <c r="E384" i="8"/>
  <c r="G73" i="1"/>
  <c r="F73" i="1"/>
  <c r="K2725" i="8" s="1"/>
  <c r="G72" i="1"/>
  <c r="F72" i="1"/>
  <c r="G71" i="1"/>
  <c r="F71" i="1"/>
  <c r="G2725" i="8"/>
  <c r="F2725" i="8"/>
  <c r="E2725" i="8"/>
  <c r="G383" i="8"/>
  <c r="F383" i="8"/>
  <c r="E383" i="8"/>
  <c r="G404" i="8"/>
  <c r="F404" i="8"/>
  <c r="E404" i="8"/>
  <c r="C388" i="8"/>
  <c r="C387" i="8" s="1"/>
  <c r="I382" i="8"/>
  <c r="G382" i="8"/>
  <c r="F382" i="8"/>
  <c r="E382" i="8"/>
  <c r="I381" i="8"/>
  <c r="G381" i="8"/>
  <c r="F381" i="8"/>
  <c r="E381" i="8"/>
  <c r="I403" i="8"/>
  <c r="G403" i="8"/>
  <c r="F403" i="8"/>
  <c r="E403" i="8"/>
  <c r="C403" i="8"/>
  <c r="I388" i="8"/>
  <c r="G388" i="8"/>
  <c r="F388" i="8"/>
  <c r="E388" i="8"/>
  <c r="I2724" i="8"/>
  <c r="G2724" i="8"/>
  <c r="F2724" i="8"/>
  <c r="E2724" i="8"/>
  <c r="I2723" i="8"/>
  <c r="G2723" i="8"/>
  <c r="F2723" i="8"/>
  <c r="E2723" i="8"/>
  <c r="I2722" i="8"/>
  <c r="G2722" i="8"/>
  <c r="F2722" i="8"/>
  <c r="E2722" i="8"/>
  <c r="E2726" i="8"/>
  <c r="F2726" i="8"/>
  <c r="G2726" i="8"/>
  <c r="I2726" i="8"/>
  <c r="I2721" i="8"/>
  <c r="G2721" i="8"/>
  <c r="F2721" i="8"/>
  <c r="E2721" i="8"/>
  <c r="I2720" i="8"/>
  <c r="G2720" i="8"/>
  <c r="F2720" i="8"/>
  <c r="I2719" i="8"/>
  <c r="G2719" i="8"/>
  <c r="F2719" i="8"/>
  <c r="I2718" i="8"/>
  <c r="G2718" i="8"/>
  <c r="F2718" i="8"/>
  <c r="E2718" i="8"/>
  <c r="E2727" i="8"/>
  <c r="F2727" i="8"/>
  <c r="G2727" i="8"/>
  <c r="I2727" i="8"/>
  <c r="E370" i="8"/>
  <c r="K853" i="8" l="1"/>
  <c r="O853" i="8" s="1"/>
  <c r="K510" i="8"/>
  <c r="O510" i="8" s="1"/>
  <c r="L853" i="8"/>
  <c r="P853" i="8" s="1"/>
  <c r="L510" i="8"/>
  <c r="P510" i="8" s="1"/>
  <c r="L2626" i="8"/>
  <c r="L2397" i="8"/>
  <c r="L2386" i="8"/>
  <c r="L2615" i="8"/>
  <c r="P2615" i="8" s="1"/>
  <c r="L762" i="8"/>
  <c r="C2725" i="8"/>
  <c r="L2725" i="8"/>
  <c r="N388" i="8"/>
  <c r="C404" i="8"/>
  <c r="C402" i="8" s="1"/>
  <c r="M388" i="8"/>
  <c r="M403" i="8"/>
  <c r="N403" i="8"/>
  <c r="G530" i="1"/>
  <c r="G271" i="1"/>
  <c r="G270" i="1"/>
  <c r="G269" i="1"/>
  <c r="G2580" i="8"/>
  <c r="F2580" i="8"/>
  <c r="G681" i="1"/>
  <c r="F681" i="1"/>
  <c r="I2580" i="8"/>
  <c r="G670" i="1"/>
  <c r="F670" i="1"/>
  <c r="G2586" i="8"/>
  <c r="F2586" i="8"/>
  <c r="E2586" i="8"/>
  <c r="R18" i="1"/>
  <c r="S18" i="1" s="1"/>
  <c r="G18" i="1"/>
  <c r="F18" i="1"/>
  <c r="G2587" i="8"/>
  <c r="F2587" i="8"/>
  <c r="E2587" i="8"/>
  <c r="G2579" i="8"/>
  <c r="F2579" i="8"/>
  <c r="G2577" i="8"/>
  <c r="F2577" i="8"/>
  <c r="G2576" i="8"/>
  <c r="F2576" i="8"/>
  <c r="G2575" i="8"/>
  <c r="F2575" i="8"/>
  <c r="G2574" i="8"/>
  <c r="F2574" i="8"/>
  <c r="G2573" i="8"/>
  <c r="F2573" i="8"/>
  <c r="F306" i="1" l="1"/>
  <c r="J233" i="5" s="1"/>
  <c r="P233" i="5" s="1"/>
  <c r="F301" i="1"/>
  <c r="L2235" i="8"/>
  <c r="P2235" i="8" s="1"/>
  <c r="L2234" i="8"/>
  <c r="P2234" i="8" s="1"/>
  <c r="L2233" i="8"/>
  <c r="P2233" i="8" s="1"/>
  <c r="L2302" i="8"/>
  <c r="P2302" i="8" s="1"/>
  <c r="L2303" i="8"/>
  <c r="P2303" i="8" s="1"/>
  <c r="L2304" i="8"/>
  <c r="P2304" i="8" s="1"/>
  <c r="L1650" i="8"/>
  <c r="P1650" i="8" s="1"/>
  <c r="L1649" i="8"/>
  <c r="P1649" i="8" s="1"/>
  <c r="L1651" i="8"/>
  <c r="P1651" i="8" s="1"/>
  <c r="L1679" i="8"/>
  <c r="P1679" i="8" s="1"/>
  <c r="L1677" i="8"/>
  <c r="P1677" i="8" s="1"/>
  <c r="L1678" i="8"/>
  <c r="P1678" i="8" s="1"/>
  <c r="F302" i="1"/>
  <c r="P2725" i="8"/>
  <c r="O2725" i="8"/>
  <c r="N2725" i="8"/>
  <c r="L2580" i="8"/>
  <c r="N404" i="8"/>
  <c r="N383" i="8"/>
  <c r="C383" i="8"/>
  <c r="M381" i="8"/>
  <c r="C381" i="8"/>
  <c r="N381" i="8"/>
  <c r="G676" i="1"/>
  <c r="F676" i="1"/>
  <c r="L2584" i="8"/>
  <c r="K2584" i="8"/>
  <c r="G680" i="1"/>
  <c r="L2583" i="8" s="1"/>
  <c r="F680" i="1"/>
  <c r="K2583" i="8" s="1"/>
  <c r="G671" i="1"/>
  <c r="F671" i="1"/>
  <c r="G673" i="1"/>
  <c r="F673" i="1"/>
  <c r="G675" i="1"/>
  <c r="F675" i="1"/>
  <c r="G672" i="1"/>
  <c r="L2573" i="8" s="1"/>
  <c r="F672" i="1"/>
  <c r="G674" i="1"/>
  <c r="F674" i="1"/>
  <c r="J161" i="5" l="1"/>
  <c r="P161" i="5" s="1"/>
  <c r="J209" i="5"/>
  <c r="K2575" i="8"/>
  <c r="I2575" i="8"/>
  <c r="L2575" i="8"/>
  <c r="K2573" i="8"/>
  <c r="I2574" i="8"/>
  <c r="I2573" i="8"/>
  <c r="I2576" i="8"/>
  <c r="I2583" i="8"/>
  <c r="K2574" i="8"/>
  <c r="I2577" i="8"/>
  <c r="I2584" i="8"/>
  <c r="I2579" i="8"/>
  <c r="L2579" i="8"/>
  <c r="K2576" i="8"/>
  <c r="L2576" i="8"/>
  <c r="K2580" i="8"/>
  <c r="L2574" i="8"/>
  <c r="K2577" i="8"/>
  <c r="K2579" i="8"/>
  <c r="L2577" i="8"/>
  <c r="C384" i="8"/>
  <c r="N384" i="8"/>
  <c r="C382" i="8"/>
  <c r="M382" i="8"/>
  <c r="N382" i="8"/>
  <c r="I2595" i="8"/>
  <c r="G2595" i="8"/>
  <c r="F2595" i="8"/>
  <c r="E2595" i="8"/>
  <c r="G2603" i="8"/>
  <c r="F2603" i="8"/>
  <c r="E2603" i="8"/>
  <c r="I2602" i="8"/>
  <c r="G2602" i="8"/>
  <c r="F2602" i="8"/>
  <c r="E2602" i="8"/>
  <c r="G2567" i="8"/>
  <c r="F2567" i="8"/>
  <c r="E2567" i="8"/>
  <c r="G2566" i="8"/>
  <c r="F2566" i="8"/>
  <c r="E2566" i="8"/>
  <c r="G2565" i="8"/>
  <c r="F2565" i="8"/>
  <c r="E2565" i="8"/>
  <c r="B65" i="11"/>
  <c r="B64" i="11"/>
  <c r="B42" i="11"/>
  <c r="B41" i="11"/>
  <c r="N2728" i="8"/>
  <c r="I2728" i="8"/>
  <c r="M2728" i="8" s="1"/>
  <c r="G2728" i="8"/>
  <c r="F2728" i="8"/>
  <c r="E2728" i="8"/>
  <c r="C2728" i="8"/>
  <c r="I2713" i="8"/>
  <c r="G2713" i="8"/>
  <c r="F2713" i="8"/>
  <c r="E2713" i="8"/>
  <c r="I2712" i="8"/>
  <c r="G2712" i="8"/>
  <c r="F2712" i="8"/>
  <c r="E2712" i="8"/>
  <c r="I2711" i="8"/>
  <c r="G2711" i="8"/>
  <c r="F2711" i="8"/>
  <c r="E2711" i="8"/>
  <c r="I2709" i="8"/>
  <c r="G2709" i="8"/>
  <c r="F2709" i="8"/>
  <c r="E2709" i="8"/>
  <c r="I2708" i="8"/>
  <c r="G2708" i="8"/>
  <c r="F2708" i="8"/>
  <c r="E2708" i="8"/>
  <c r="I2707" i="8"/>
  <c r="G2707" i="8"/>
  <c r="F2707" i="8"/>
  <c r="E2707" i="8"/>
  <c r="I2706" i="8"/>
  <c r="G2706" i="8"/>
  <c r="E2706" i="8"/>
  <c r="I2705" i="8"/>
  <c r="G2705" i="8"/>
  <c r="E2705" i="8"/>
  <c r="I2704" i="8"/>
  <c r="G2704" i="8"/>
  <c r="E2704" i="8"/>
  <c r="I2703" i="8"/>
  <c r="G2703" i="8"/>
  <c r="F2703" i="8"/>
  <c r="E2703" i="8"/>
  <c r="I2702" i="8"/>
  <c r="G2702" i="8"/>
  <c r="F2702" i="8"/>
  <c r="E2702" i="8"/>
  <c r="I2701" i="8"/>
  <c r="G2701" i="8"/>
  <c r="F2701" i="8"/>
  <c r="E2701" i="8"/>
  <c r="I2700" i="8"/>
  <c r="G2700" i="8"/>
  <c r="F2700" i="8"/>
  <c r="I2699" i="8"/>
  <c r="G2699" i="8"/>
  <c r="F2699" i="8"/>
  <c r="I2697" i="8"/>
  <c r="G2697" i="8"/>
  <c r="F2697" i="8"/>
  <c r="E2697" i="8"/>
  <c r="I2696" i="8"/>
  <c r="G2696" i="8"/>
  <c r="F2696" i="8"/>
  <c r="E2696" i="8"/>
  <c r="S2695" i="8"/>
  <c r="T2695" i="8" s="1"/>
  <c r="S2694" i="8"/>
  <c r="C2693" i="8"/>
  <c r="C2692" i="8"/>
  <c r="C2691" i="8"/>
  <c r="C2690" i="8"/>
  <c r="C2689" i="8"/>
  <c r="C2688" i="8"/>
  <c r="C2687" i="8"/>
  <c r="C2686" i="8"/>
  <c r="C2685" i="8"/>
  <c r="C2684" i="8"/>
  <c r="C2683" i="8"/>
  <c r="S2682" i="8"/>
  <c r="T2682" i="8" s="1"/>
  <c r="C2682" i="8"/>
  <c r="S2681" i="8"/>
  <c r="T2681" i="8" s="1"/>
  <c r="C2681" i="8"/>
  <c r="I2680" i="8"/>
  <c r="G2680" i="8"/>
  <c r="F2680" i="8"/>
  <c r="E2680" i="8"/>
  <c r="I2679" i="8"/>
  <c r="G2679" i="8"/>
  <c r="F2679" i="8"/>
  <c r="E2679" i="8"/>
  <c r="I2678" i="8"/>
  <c r="G2678" i="8"/>
  <c r="F2678" i="8"/>
  <c r="E2678" i="8"/>
  <c r="I2673" i="8"/>
  <c r="G2673" i="8"/>
  <c r="F2673" i="8"/>
  <c r="E2673" i="8"/>
  <c r="I2672" i="8"/>
  <c r="G2672" i="8"/>
  <c r="F2672" i="8"/>
  <c r="E2672" i="8"/>
  <c r="I2671" i="8"/>
  <c r="G2671" i="8"/>
  <c r="F2671" i="8"/>
  <c r="E2671" i="8"/>
  <c r="I2670" i="8"/>
  <c r="G2670" i="8"/>
  <c r="F2670" i="8"/>
  <c r="E2670" i="8"/>
  <c r="I2669" i="8"/>
  <c r="G2669" i="8"/>
  <c r="F2669" i="8"/>
  <c r="E2669" i="8"/>
  <c r="I2668" i="8"/>
  <c r="G2668" i="8"/>
  <c r="F2668" i="8"/>
  <c r="E2668" i="8"/>
  <c r="I2667" i="8"/>
  <c r="G2667" i="8"/>
  <c r="F2667" i="8"/>
  <c r="E2667" i="8"/>
  <c r="I2666" i="8"/>
  <c r="G2666" i="8"/>
  <c r="E2666" i="8"/>
  <c r="I2665" i="8"/>
  <c r="G2665" i="8"/>
  <c r="E2665" i="8"/>
  <c r="I2664" i="8"/>
  <c r="G2664" i="8"/>
  <c r="E2664" i="8"/>
  <c r="I2663" i="8"/>
  <c r="G2663" i="8"/>
  <c r="F2663" i="8"/>
  <c r="E2663" i="8"/>
  <c r="I2662" i="8"/>
  <c r="G2662" i="8"/>
  <c r="F2662" i="8"/>
  <c r="E2662" i="8"/>
  <c r="I2661" i="8"/>
  <c r="G2661" i="8"/>
  <c r="F2661" i="8"/>
  <c r="E2661" i="8"/>
  <c r="I2660" i="8"/>
  <c r="G2660" i="8"/>
  <c r="F2660" i="8"/>
  <c r="I2659" i="8"/>
  <c r="G2659" i="8"/>
  <c r="F2659" i="8"/>
  <c r="I2658" i="8"/>
  <c r="G2658" i="8"/>
  <c r="F2658" i="8"/>
  <c r="E2658" i="8"/>
  <c r="I2657" i="8"/>
  <c r="G2657" i="8"/>
  <c r="F2657" i="8"/>
  <c r="E2657" i="8"/>
  <c r="I2656" i="8"/>
  <c r="G2656" i="8"/>
  <c r="F2656" i="8"/>
  <c r="E2656" i="8"/>
  <c r="S2655" i="8"/>
  <c r="T2655" i="8" s="1"/>
  <c r="S2654" i="8"/>
  <c r="I2653" i="8"/>
  <c r="G2653" i="8"/>
  <c r="F2653" i="8"/>
  <c r="E2653" i="8"/>
  <c r="I2652" i="8"/>
  <c r="G2652" i="8"/>
  <c r="F2652" i="8"/>
  <c r="E2652" i="8"/>
  <c r="I2651" i="8"/>
  <c r="G2651" i="8"/>
  <c r="F2651" i="8"/>
  <c r="I2650" i="8"/>
  <c r="G2650" i="8"/>
  <c r="F2650" i="8"/>
  <c r="I2649" i="8"/>
  <c r="G2649" i="8"/>
  <c r="F2649" i="8"/>
  <c r="I2648" i="8"/>
  <c r="G2648" i="8"/>
  <c r="F2648" i="8"/>
  <c r="E2648" i="8"/>
  <c r="I2647" i="8"/>
  <c r="G2647" i="8"/>
  <c r="F2647" i="8"/>
  <c r="E2647" i="8"/>
  <c r="I2646" i="8"/>
  <c r="G2646" i="8"/>
  <c r="F2646" i="8"/>
  <c r="E2646" i="8"/>
  <c r="S2645" i="8"/>
  <c r="T2645" i="8" s="1"/>
  <c r="S2644" i="8"/>
  <c r="I2643" i="8"/>
  <c r="G2643" i="8"/>
  <c r="F2643" i="8"/>
  <c r="E2643" i="8"/>
  <c r="I2642" i="8"/>
  <c r="G2642" i="8"/>
  <c r="F2642" i="8"/>
  <c r="E2642" i="8"/>
  <c r="G2641" i="8"/>
  <c r="F2641" i="8"/>
  <c r="E2641" i="8"/>
  <c r="S2640" i="8"/>
  <c r="T2640" i="8" s="1"/>
  <c r="S2639" i="8"/>
  <c r="I2638" i="8"/>
  <c r="G2638" i="8"/>
  <c r="E2638" i="8"/>
  <c r="I2637" i="8"/>
  <c r="G2637" i="8"/>
  <c r="E2637" i="8"/>
  <c r="I2636" i="8"/>
  <c r="G2636" i="8"/>
  <c r="F2636" i="8"/>
  <c r="E2636" i="8"/>
  <c r="I2635" i="8"/>
  <c r="G2635" i="8"/>
  <c r="F2635" i="8"/>
  <c r="E2635" i="8"/>
  <c r="I2634" i="8"/>
  <c r="G2634" i="8"/>
  <c r="F2634" i="8"/>
  <c r="E2634" i="8"/>
  <c r="I2632" i="8"/>
  <c r="G2632" i="8"/>
  <c r="F2632" i="8"/>
  <c r="E2632" i="8"/>
  <c r="I2631" i="8"/>
  <c r="G2631" i="8"/>
  <c r="F2631" i="8"/>
  <c r="E2631" i="8"/>
  <c r="I2630" i="8"/>
  <c r="G2630" i="8"/>
  <c r="E2630" i="8"/>
  <c r="S2629" i="8"/>
  <c r="T2629" i="8" s="1"/>
  <c r="S2628" i="8"/>
  <c r="I2627" i="8"/>
  <c r="G2627" i="8"/>
  <c r="F2627" i="8"/>
  <c r="E2627" i="8"/>
  <c r="G2622" i="8"/>
  <c r="F2622" i="8"/>
  <c r="E2622" i="8"/>
  <c r="G2621" i="8"/>
  <c r="F2621" i="8"/>
  <c r="E2621" i="8"/>
  <c r="I2619" i="8"/>
  <c r="G2619" i="8"/>
  <c r="F2619" i="8"/>
  <c r="E2619" i="8"/>
  <c r="S2618" i="8"/>
  <c r="T2618" i="8" s="1"/>
  <c r="S2617" i="8"/>
  <c r="I2616" i="8"/>
  <c r="G2616" i="8"/>
  <c r="F2616" i="8"/>
  <c r="E2616" i="8"/>
  <c r="N2612" i="8"/>
  <c r="G2612" i="8"/>
  <c r="F2612" i="8"/>
  <c r="E2612" i="8"/>
  <c r="C2612" i="8"/>
  <c r="G2611" i="8"/>
  <c r="F2611" i="8"/>
  <c r="E2611" i="8"/>
  <c r="N2610" i="8"/>
  <c r="G2610" i="8"/>
  <c r="F2610" i="8"/>
  <c r="E2610" i="8"/>
  <c r="C2610" i="8"/>
  <c r="I2609" i="8"/>
  <c r="G2609" i="8"/>
  <c r="F2609" i="8"/>
  <c r="E2609" i="8"/>
  <c r="S2608" i="8"/>
  <c r="T2608" i="8" s="1"/>
  <c r="S2607" i="8"/>
  <c r="I2606" i="8"/>
  <c r="G2606" i="8"/>
  <c r="F2606" i="8"/>
  <c r="E2606" i="8"/>
  <c r="I2605" i="8"/>
  <c r="G2605" i="8"/>
  <c r="F2605" i="8"/>
  <c r="E2605" i="8"/>
  <c r="G2604" i="8"/>
  <c r="F2604" i="8"/>
  <c r="E2604" i="8"/>
  <c r="I2601" i="8"/>
  <c r="G2601" i="8"/>
  <c r="F2601" i="8"/>
  <c r="E2601" i="8"/>
  <c r="S2600" i="8"/>
  <c r="T2600" i="8" s="1"/>
  <c r="S2599" i="8"/>
  <c r="I2598" i="8"/>
  <c r="G2598" i="8"/>
  <c r="F2598" i="8"/>
  <c r="E2598" i="8"/>
  <c r="G2597" i="8"/>
  <c r="F2597" i="8"/>
  <c r="E2597" i="8"/>
  <c r="G2596" i="8"/>
  <c r="F2596" i="8"/>
  <c r="E2596" i="8"/>
  <c r="I2594" i="8"/>
  <c r="G2594" i="8"/>
  <c r="F2594" i="8"/>
  <c r="E2594" i="8"/>
  <c r="S2593" i="8"/>
  <c r="T2593" i="8" s="1"/>
  <c r="S2592" i="8"/>
  <c r="I2591" i="8"/>
  <c r="G2591" i="8"/>
  <c r="F2591" i="8"/>
  <c r="E2591" i="8"/>
  <c r="G2585" i="8"/>
  <c r="F2585" i="8"/>
  <c r="E2585" i="8"/>
  <c r="G2588" i="8"/>
  <c r="F2588" i="8"/>
  <c r="E2588" i="8"/>
  <c r="G2590" i="8"/>
  <c r="F2590" i="8"/>
  <c r="E2590" i="8"/>
  <c r="G2589" i="8"/>
  <c r="F2589" i="8"/>
  <c r="E2589" i="8"/>
  <c r="G2582" i="8"/>
  <c r="F2582" i="8"/>
  <c r="G2581" i="8"/>
  <c r="F2581" i="8"/>
  <c r="G2578" i="8"/>
  <c r="F2578" i="8"/>
  <c r="S2572" i="8"/>
  <c r="T2572" i="8" s="1"/>
  <c r="S2571" i="8"/>
  <c r="I2570" i="8"/>
  <c r="G2570" i="8"/>
  <c r="E2570" i="8"/>
  <c r="I2569" i="8"/>
  <c r="G2569" i="8"/>
  <c r="E2569" i="8"/>
  <c r="I2568" i="8"/>
  <c r="G2568" i="8"/>
  <c r="E2568" i="8"/>
  <c r="G2564" i="8"/>
  <c r="F2564" i="8"/>
  <c r="E2564" i="8"/>
  <c r="G2563" i="8"/>
  <c r="F2563" i="8"/>
  <c r="E2563" i="8"/>
  <c r="G2562" i="8"/>
  <c r="F2562" i="8"/>
  <c r="E2562" i="8"/>
  <c r="S2561" i="8"/>
  <c r="T2561" i="8" s="1"/>
  <c r="S2560" i="8"/>
  <c r="N2559" i="8"/>
  <c r="I2559" i="8"/>
  <c r="M2559" i="8" s="1"/>
  <c r="G2559" i="8"/>
  <c r="F2559" i="8"/>
  <c r="E2559" i="8"/>
  <c r="C2559" i="8"/>
  <c r="N2558" i="8"/>
  <c r="I2558" i="8"/>
  <c r="M2558" i="8" s="1"/>
  <c r="G2558" i="8"/>
  <c r="F2558" i="8"/>
  <c r="E2558" i="8"/>
  <c r="C2558" i="8"/>
  <c r="N2557" i="8"/>
  <c r="G2557" i="8"/>
  <c r="F2557" i="8"/>
  <c r="E2557" i="8"/>
  <c r="C2557" i="8"/>
  <c r="N2556" i="8"/>
  <c r="I2556" i="8"/>
  <c r="M2556" i="8" s="1"/>
  <c r="G2556" i="8"/>
  <c r="F2556" i="8"/>
  <c r="E2556" i="8"/>
  <c r="C2556" i="8"/>
  <c r="S2555" i="8"/>
  <c r="T2555" i="8" s="1"/>
  <c r="C2555" i="8"/>
  <c r="S2554" i="8"/>
  <c r="T2554" i="8" s="1"/>
  <c r="C2554" i="8"/>
  <c r="N2553" i="8"/>
  <c r="I2553" i="8"/>
  <c r="M2553" i="8" s="1"/>
  <c r="G2553" i="8"/>
  <c r="F2553" i="8"/>
  <c r="E2553" i="8"/>
  <c r="C2553" i="8"/>
  <c r="N2552" i="8"/>
  <c r="I2552" i="8"/>
  <c r="M2552" i="8" s="1"/>
  <c r="G2552" i="8"/>
  <c r="F2552" i="8"/>
  <c r="E2552" i="8"/>
  <c r="C2552" i="8"/>
  <c r="N2551" i="8"/>
  <c r="G2551" i="8"/>
  <c r="F2551" i="8"/>
  <c r="E2551" i="8"/>
  <c r="C2551" i="8"/>
  <c r="N2550" i="8"/>
  <c r="I2550" i="8"/>
  <c r="M2550" i="8" s="1"/>
  <c r="G2550" i="8"/>
  <c r="F2550" i="8"/>
  <c r="E2550" i="8"/>
  <c r="C2550" i="8"/>
  <c r="S2549" i="8"/>
  <c r="T2549" i="8" s="1"/>
  <c r="C2549" i="8"/>
  <c r="S2548" i="8"/>
  <c r="T2548" i="8" s="1"/>
  <c r="C2548" i="8"/>
  <c r="I2547" i="8"/>
  <c r="G2547" i="8"/>
  <c r="F2547" i="8"/>
  <c r="E2547" i="8"/>
  <c r="I2546" i="8"/>
  <c r="G2546" i="8"/>
  <c r="F2546" i="8"/>
  <c r="E2546" i="8"/>
  <c r="S2545" i="8"/>
  <c r="T2545" i="8" s="1"/>
  <c r="S2544" i="8"/>
  <c r="N2543" i="8"/>
  <c r="I2543" i="8"/>
  <c r="M2543" i="8" s="1"/>
  <c r="G2543" i="8"/>
  <c r="F2543" i="8"/>
  <c r="E2543" i="8"/>
  <c r="C2543" i="8"/>
  <c r="N2542" i="8"/>
  <c r="I2542" i="8"/>
  <c r="M2542" i="8" s="1"/>
  <c r="G2542" i="8"/>
  <c r="F2542" i="8"/>
  <c r="E2542" i="8"/>
  <c r="C2542" i="8"/>
  <c r="S2541" i="8"/>
  <c r="T2541" i="8" s="1"/>
  <c r="C2541" i="8"/>
  <c r="S2540" i="8"/>
  <c r="T2540" i="8" s="1"/>
  <c r="C2540" i="8"/>
  <c r="I2539" i="8"/>
  <c r="G2539" i="8"/>
  <c r="F2539" i="8"/>
  <c r="E2539" i="8"/>
  <c r="G2538" i="8"/>
  <c r="F2538" i="8"/>
  <c r="E2538" i="8"/>
  <c r="I2537" i="8"/>
  <c r="G2537" i="8"/>
  <c r="F2537" i="8"/>
  <c r="E2537" i="8"/>
  <c r="I2536" i="8"/>
  <c r="G2536" i="8"/>
  <c r="F2536" i="8"/>
  <c r="E2536" i="8"/>
  <c r="S2535" i="8"/>
  <c r="T2535" i="8" s="1"/>
  <c r="S2534" i="8"/>
  <c r="S2533" i="8"/>
  <c r="A2533" i="8"/>
  <c r="I2532" i="8"/>
  <c r="G2532" i="8"/>
  <c r="F2532" i="8"/>
  <c r="E2532" i="8"/>
  <c r="I2531" i="8"/>
  <c r="G2531" i="8"/>
  <c r="F2531" i="8"/>
  <c r="E2531" i="8"/>
  <c r="I2529" i="8"/>
  <c r="G2529" i="8"/>
  <c r="F2529" i="8"/>
  <c r="I2528" i="8"/>
  <c r="G2528" i="8"/>
  <c r="F2528" i="8"/>
  <c r="E2528" i="8"/>
  <c r="I2527" i="8"/>
  <c r="G2527" i="8"/>
  <c r="F2527" i="8"/>
  <c r="E2527" i="8"/>
  <c r="G2526" i="8"/>
  <c r="F2526" i="8"/>
  <c r="E2526" i="8"/>
  <c r="S2525" i="8"/>
  <c r="A2525" i="8"/>
  <c r="B377" i="9"/>
  <c r="I372" i="9"/>
  <c r="I369" i="9"/>
  <c r="H367" i="9"/>
  <c r="I366" i="9"/>
  <c r="B366" i="9"/>
  <c r="B369" i="9" s="1"/>
  <c r="A2333" i="8"/>
  <c r="A2325" i="8"/>
  <c r="B360" i="9"/>
  <c r="H356" i="9"/>
  <c r="I355" i="9"/>
  <c r="H353" i="9"/>
  <c r="I352" i="9"/>
  <c r="H350" i="9"/>
  <c r="I349" i="9"/>
  <c r="B349" i="9"/>
  <c r="S2335" i="8"/>
  <c r="T2335" i="8" s="1"/>
  <c r="S2341" i="8"/>
  <c r="T2341" i="8" s="1"/>
  <c r="C2341" i="8"/>
  <c r="S2345" i="8"/>
  <c r="T2345" i="8" s="1"/>
  <c r="S2349" i="8"/>
  <c r="T2349" i="8" s="1"/>
  <c r="C2349" i="8"/>
  <c r="S2355" i="8"/>
  <c r="T2355" i="8" s="1"/>
  <c r="C2355" i="8"/>
  <c r="S2361" i="8"/>
  <c r="T2361" i="8" s="1"/>
  <c r="C378" i="8" l="1"/>
  <c r="C377" i="8"/>
  <c r="B372" i="9"/>
  <c r="B355" i="9"/>
  <c r="B352" i="9"/>
  <c r="I2367" i="8"/>
  <c r="G2367" i="8"/>
  <c r="E2367" i="8"/>
  <c r="I2366" i="8"/>
  <c r="G2366" i="8"/>
  <c r="E2366" i="8"/>
  <c r="I2365" i="8"/>
  <c r="G2365" i="8"/>
  <c r="E2365" i="8"/>
  <c r="G2364" i="8"/>
  <c r="F2364" i="8"/>
  <c r="E2364" i="8"/>
  <c r="G2363" i="8"/>
  <c r="F2363" i="8"/>
  <c r="E2363" i="8"/>
  <c r="G2362" i="8"/>
  <c r="F2362" i="8"/>
  <c r="E2362" i="8"/>
  <c r="S2360" i="8"/>
  <c r="I2339" i="8"/>
  <c r="G2339" i="8"/>
  <c r="F2339" i="8"/>
  <c r="E2339" i="8"/>
  <c r="G2338" i="8"/>
  <c r="F2338" i="8"/>
  <c r="E2338" i="8"/>
  <c r="I2337" i="8"/>
  <c r="G2337" i="8"/>
  <c r="F2337" i="8"/>
  <c r="E2337" i="8"/>
  <c r="S2334" i="8"/>
  <c r="I2578" i="8"/>
  <c r="I2582" i="8"/>
  <c r="I2581" i="8"/>
  <c r="B16" i="8"/>
  <c r="H2530" i="8" s="1"/>
  <c r="F181" i="13" s="1"/>
  <c r="I860" i="8"/>
  <c r="I825" i="8"/>
  <c r="I827" i="8"/>
  <c r="I828" i="8"/>
  <c r="I829" i="8"/>
  <c r="I830" i="8"/>
  <c r="I831" i="8"/>
  <c r="I832" i="8"/>
  <c r="I833" i="8"/>
  <c r="I834" i="8"/>
  <c r="I835" i="8"/>
  <c r="I837" i="8"/>
  <c r="I838" i="8"/>
  <c r="I839" i="8"/>
  <c r="I844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20" i="8"/>
  <c r="I821" i="8"/>
  <c r="I794" i="8"/>
  <c r="I795" i="8"/>
  <c r="I796" i="8"/>
  <c r="I797" i="8"/>
  <c r="I781" i="8"/>
  <c r="I782" i="8"/>
  <c r="I783" i="8"/>
  <c r="I784" i="8"/>
  <c r="I785" i="8"/>
  <c r="I786" i="8"/>
  <c r="I787" i="8"/>
  <c r="I767" i="8"/>
  <c r="I768" i="8"/>
  <c r="I738" i="8"/>
  <c r="I739" i="8"/>
  <c r="I728" i="8"/>
  <c r="I729" i="8"/>
  <c r="I730" i="8"/>
  <c r="I732" i="8"/>
  <c r="I733" i="8"/>
  <c r="I736" i="8"/>
  <c r="I766" i="8"/>
  <c r="I775" i="8"/>
  <c r="I780" i="8"/>
  <c r="I793" i="8"/>
  <c r="I800" i="8"/>
  <c r="I824" i="8"/>
  <c r="I845" i="8"/>
  <c r="I2526" i="8"/>
  <c r="I727" i="8"/>
  <c r="G211" i="8"/>
  <c r="F211" i="8"/>
  <c r="E211" i="8"/>
  <c r="G654" i="8"/>
  <c r="F654" i="8"/>
  <c r="E654" i="8"/>
  <c r="G565" i="8"/>
  <c r="F565" i="8"/>
  <c r="E565" i="8"/>
  <c r="H2628" i="8" l="1"/>
  <c r="H2633" i="8" s="1"/>
  <c r="C2633" i="8" s="1"/>
  <c r="H2571" i="8"/>
  <c r="H2585" i="8" s="1"/>
  <c r="H2639" i="8"/>
  <c r="H2694" i="8"/>
  <c r="H2654" i="8"/>
  <c r="H2644" i="8"/>
  <c r="H2646" i="8" s="1"/>
  <c r="H2560" i="8"/>
  <c r="H2567" i="8" s="1"/>
  <c r="C2567" i="8" s="1"/>
  <c r="H2599" i="8"/>
  <c r="H2592" i="8"/>
  <c r="H2598" i="8" s="1"/>
  <c r="H2534" i="8"/>
  <c r="D2534" i="8" s="1"/>
  <c r="D2540" i="8" s="1"/>
  <c r="H2528" i="8"/>
  <c r="F186" i="13" s="1"/>
  <c r="H2532" i="8"/>
  <c r="H2527" i="8"/>
  <c r="F185" i="13" s="1"/>
  <c r="H2531" i="8"/>
  <c r="H2526" i="8"/>
  <c r="H2544" i="8"/>
  <c r="H2529" i="8"/>
  <c r="F183" i="13" s="1"/>
  <c r="E2524" i="8"/>
  <c r="G423" i="8"/>
  <c r="F423" i="8"/>
  <c r="E423" i="8"/>
  <c r="G296" i="8"/>
  <c r="F296" i="8"/>
  <c r="E296" i="8"/>
  <c r="H2660" i="8" l="1"/>
  <c r="H2659" i="8"/>
  <c r="H2699" i="8"/>
  <c r="H2698" i="8"/>
  <c r="M2633" i="8"/>
  <c r="N2633" i="8"/>
  <c r="N2530" i="8"/>
  <c r="M2530" i="8"/>
  <c r="C2530" i="8"/>
  <c r="O2530" i="8"/>
  <c r="H2663" i="8"/>
  <c r="H2677" i="8"/>
  <c r="H2676" i="8"/>
  <c r="H2675" i="8"/>
  <c r="H2674" i="8"/>
  <c r="H2717" i="8"/>
  <c r="H2715" i="8"/>
  <c r="H2716" i="8"/>
  <c r="H2714" i="8"/>
  <c r="H2696" i="8"/>
  <c r="H2697" i="8"/>
  <c r="H2710" i="8"/>
  <c r="H2709" i="8"/>
  <c r="H2587" i="8"/>
  <c r="C2587" i="8" s="1"/>
  <c r="H2582" i="8"/>
  <c r="H2578" i="8"/>
  <c r="H2586" i="8"/>
  <c r="H2581" i="8"/>
  <c r="H2579" i="8"/>
  <c r="P2579" i="8" s="1"/>
  <c r="H2583" i="8"/>
  <c r="H2591" i="8"/>
  <c r="H2575" i="8"/>
  <c r="N2575" i="8" s="1"/>
  <c r="H2574" i="8"/>
  <c r="O2574" i="8" s="1"/>
  <c r="H2576" i="8"/>
  <c r="M2576" i="8" s="1"/>
  <c r="H2577" i="8"/>
  <c r="M2577" i="8" s="1"/>
  <c r="H2573" i="8"/>
  <c r="D2544" i="8"/>
  <c r="D2548" i="8" s="1"/>
  <c r="D2554" i="8" s="1"/>
  <c r="D2560" i="8" s="1"/>
  <c r="D2571" i="8" s="1"/>
  <c r="D2592" i="8" s="1"/>
  <c r="D2599" i="8" s="1"/>
  <c r="D2607" i="8" s="1"/>
  <c r="D2617" i="8" s="1"/>
  <c r="H2590" i="8"/>
  <c r="N2590" i="8" s="1"/>
  <c r="H2706" i="8"/>
  <c r="H2705" i="8"/>
  <c r="H2704" i="8"/>
  <c r="H2580" i="8"/>
  <c r="P2580" i="8" s="1"/>
  <c r="H2647" i="8"/>
  <c r="H2589" i="8"/>
  <c r="H2588" i="8"/>
  <c r="H2641" i="8"/>
  <c r="H2642" i="8"/>
  <c r="H2643" i="8"/>
  <c r="C2639" i="8"/>
  <c r="C2640" i="8" s="1"/>
  <c r="T2639" i="8"/>
  <c r="C2598" i="8"/>
  <c r="N2598" i="8"/>
  <c r="M2598" i="8"/>
  <c r="H2566" i="8"/>
  <c r="C2566" i="8" s="1"/>
  <c r="H2569" i="8"/>
  <c r="H2570" i="8"/>
  <c r="H2565" i="8"/>
  <c r="H2596" i="8"/>
  <c r="H2595" i="8"/>
  <c r="H2597" i="8" s="1"/>
  <c r="N2567" i="8"/>
  <c r="H2568" i="8"/>
  <c r="C2592" i="8"/>
  <c r="C2593" i="8" s="1"/>
  <c r="H2594" i="8"/>
  <c r="T2592" i="8"/>
  <c r="H2605" i="8"/>
  <c r="H2601" i="8"/>
  <c r="H2602" i="8" s="1"/>
  <c r="H2604" i="8"/>
  <c r="H2603" i="8"/>
  <c r="N2565" i="8"/>
  <c r="B106" i="11"/>
  <c r="B104" i="11"/>
  <c r="B48" i="11"/>
  <c r="B46" i="11"/>
  <c r="B26" i="11"/>
  <c r="B23" i="11"/>
  <c r="N2511" i="8"/>
  <c r="I2511" i="8"/>
  <c r="M2511" i="8" s="1"/>
  <c r="G2511" i="8"/>
  <c r="F2511" i="8"/>
  <c r="E2511" i="8"/>
  <c r="C2511" i="8"/>
  <c r="I2510" i="8"/>
  <c r="G2510" i="8"/>
  <c r="F2510" i="8"/>
  <c r="E2510" i="8"/>
  <c r="I2509" i="8"/>
  <c r="G2509" i="8"/>
  <c r="F2509" i="8"/>
  <c r="E2509" i="8"/>
  <c r="I2504" i="8"/>
  <c r="G2504" i="8"/>
  <c r="F2504" i="8"/>
  <c r="E2504" i="8"/>
  <c r="I2503" i="8"/>
  <c r="G2503" i="8"/>
  <c r="F2503" i="8"/>
  <c r="E2503" i="8"/>
  <c r="I2502" i="8"/>
  <c r="G2502" i="8"/>
  <c r="F2502" i="8"/>
  <c r="E2502" i="8"/>
  <c r="I2500" i="8"/>
  <c r="G2500" i="8"/>
  <c r="F2500" i="8"/>
  <c r="E2500" i="8"/>
  <c r="I2499" i="8"/>
  <c r="G2499" i="8"/>
  <c r="F2499" i="8"/>
  <c r="E2499" i="8"/>
  <c r="I2498" i="8"/>
  <c r="G2498" i="8"/>
  <c r="F2498" i="8"/>
  <c r="E2498" i="8"/>
  <c r="I2497" i="8"/>
  <c r="G2497" i="8"/>
  <c r="E2497" i="8"/>
  <c r="I2496" i="8"/>
  <c r="G2496" i="8"/>
  <c r="E2496" i="8"/>
  <c r="I2495" i="8"/>
  <c r="G2495" i="8"/>
  <c r="E2495" i="8"/>
  <c r="I2494" i="8"/>
  <c r="G2494" i="8"/>
  <c r="F2494" i="8"/>
  <c r="E2494" i="8"/>
  <c r="I2493" i="8"/>
  <c r="G2493" i="8"/>
  <c r="F2493" i="8"/>
  <c r="E2493" i="8"/>
  <c r="I2492" i="8"/>
  <c r="G2492" i="8"/>
  <c r="F2492" i="8"/>
  <c r="E2492" i="8"/>
  <c r="I2491" i="8"/>
  <c r="G2491" i="8"/>
  <c r="F2491" i="8"/>
  <c r="I2490" i="8"/>
  <c r="G2490" i="8"/>
  <c r="F2490" i="8"/>
  <c r="I2488" i="8"/>
  <c r="G2488" i="8"/>
  <c r="F2488" i="8"/>
  <c r="E2488" i="8"/>
  <c r="I2487" i="8"/>
  <c r="G2487" i="8"/>
  <c r="F2487" i="8"/>
  <c r="E2487" i="8"/>
  <c r="H2727" i="8" l="1"/>
  <c r="N2698" i="8"/>
  <c r="M2698" i="8"/>
  <c r="C2698" i="8"/>
  <c r="C2675" i="8"/>
  <c r="N2675" i="8"/>
  <c r="O2675" i="8"/>
  <c r="P2675" i="8"/>
  <c r="M2675" i="8"/>
  <c r="C2676" i="8"/>
  <c r="P2676" i="8"/>
  <c r="N2676" i="8"/>
  <c r="O2676" i="8"/>
  <c r="M2676" i="8"/>
  <c r="C2677" i="8"/>
  <c r="P2677" i="8"/>
  <c r="M2677" i="8"/>
  <c r="O2677" i="8"/>
  <c r="N2677" i="8"/>
  <c r="M2674" i="8"/>
  <c r="C2674" i="8"/>
  <c r="N2674" i="8"/>
  <c r="N2714" i="8"/>
  <c r="M2714" i="8"/>
  <c r="C2714" i="8"/>
  <c r="P2716" i="8"/>
  <c r="O2716" i="8"/>
  <c r="N2716" i="8"/>
  <c r="M2716" i="8"/>
  <c r="C2716" i="8"/>
  <c r="N2715" i="8"/>
  <c r="M2715" i="8"/>
  <c r="C2715" i="8"/>
  <c r="P2715" i="8"/>
  <c r="O2715" i="8"/>
  <c r="N2717" i="8"/>
  <c r="M2717" i="8"/>
  <c r="C2717" i="8"/>
  <c r="P2717" i="8"/>
  <c r="O2717" i="8"/>
  <c r="C2710" i="8"/>
  <c r="N2710" i="8"/>
  <c r="M2710" i="8"/>
  <c r="P2710" i="8"/>
  <c r="O2710" i="8"/>
  <c r="O2579" i="8"/>
  <c r="N2573" i="8"/>
  <c r="H2584" i="8"/>
  <c r="N2724" i="8"/>
  <c r="M2724" i="8"/>
  <c r="C2724" i="8"/>
  <c r="C2577" i="8"/>
  <c r="O2576" i="8"/>
  <c r="N2574" i="8"/>
  <c r="P2577" i="8"/>
  <c r="C2586" i="8"/>
  <c r="C2580" i="8"/>
  <c r="C2590" i="8"/>
  <c r="O2575" i="8"/>
  <c r="N2577" i="8"/>
  <c r="O2577" i="8"/>
  <c r="N2586" i="8"/>
  <c r="N2587" i="8"/>
  <c r="C2575" i="8"/>
  <c r="O2580" i="8"/>
  <c r="M2575" i="8"/>
  <c r="P2575" i="8"/>
  <c r="M2580" i="8"/>
  <c r="P2576" i="8"/>
  <c r="C2576" i="8"/>
  <c r="M2574" i="8"/>
  <c r="C2579" i="8"/>
  <c r="N2579" i="8"/>
  <c r="N2576" i="8"/>
  <c r="P2574" i="8"/>
  <c r="C2574" i="8"/>
  <c r="M2579" i="8"/>
  <c r="N2580" i="8"/>
  <c r="M2573" i="8"/>
  <c r="P2573" i="8"/>
  <c r="O2573" i="8"/>
  <c r="C2573" i="8"/>
  <c r="C2643" i="8"/>
  <c r="N2643" i="8"/>
  <c r="M2643" i="8"/>
  <c r="N2642" i="8"/>
  <c r="C2642" i="8"/>
  <c r="M2642" i="8"/>
  <c r="N2641" i="8"/>
  <c r="C2641" i="8"/>
  <c r="N2566" i="8"/>
  <c r="C2597" i="8"/>
  <c r="N2597" i="8"/>
  <c r="C2565" i="8"/>
  <c r="C2595" i="8"/>
  <c r="M2595" i="8"/>
  <c r="N2595" i="8"/>
  <c r="N2596" i="8"/>
  <c r="C2596" i="8"/>
  <c r="C2603" i="8"/>
  <c r="N2603" i="8"/>
  <c r="C2594" i="8"/>
  <c r="N2594" i="8"/>
  <c r="M2594" i="8"/>
  <c r="C2602" i="8"/>
  <c r="N2602" i="8"/>
  <c r="M2602" i="8"/>
  <c r="I2449" i="8"/>
  <c r="G2449" i="8"/>
  <c r="F2449" i="8"/>
  <c r="E2449" i="8"/>
  <c r="I2464" i="8"/>
  <c r="G2464" i="8"/>
  <c r="F2464" i="8"/>
  <c r="E2464" i="8"/>
  <c r="I2463" i="8"/>
  <c r="G2463" i="8"/>
  <c r="F2463" i="8"/>
  <c r="E2463" i="8"/>
  <c r="I2470" i="8"/>
  <c r="G2470" i="8"/>
  <c r="F2470" i="8"/>
  <c r="E2470" i="8"/>
  <c r="I2469" i="8"/>
  <c r="G2469" i="8"/>
  <c r="F2469" i="8"/>
  <c r="E2469" i="8"/>
  <c r="E2448" i="8"/>
  <c r="F2448" i="8"/>
  <c r="G2448" i="8"/>
  <c r="I2448" i="8"/>
  <c r="F2450" i="8"/>
  <c r="G2450" i="8"/>
  <c r="I2450" i="8"/>
  <c r="F2451" i="8"/>
  <c r="G2451" i="8"/>
  <c r="I2451" i="8"/>
  <c r="E2452" i="8"/>
  <c r="F2452" i="8"/>
  <c r="G2452" i="8"/>
  <c r="I2452" i="8"/>
  <c r="E2453" i="8"/>
  <c r="F2453" i="8"/>
  <c r="G2453" i="8"/>
  <c r="I2453" i="8"/>
  <c r="E2454" i="8"/>
  <c r="F2454" i="8"/>
  <c r="G2454" i="8"/>
  <c r="I2454" i="8"/>
  <c r="E2455" i="8"/>
  <c r="G2455" i="8"/>
  <c r="I2455" i="8"/>
  <c r="E2456" i="8"/>
  <c r="G2456" i="8"/>
  <c r="I2456" i="8"/>
  <c r="E2457" i="8"/>
  <c r="G2457" i="8"/>
  <c r="I2457" i="8"/>
  <c r="E2458" i="8"/>
  <c r="F2458" i="8"/>
  <c r="G2458" i="8"/>
  <c r="I2458" i="8"/>
  <c r="E2459" i="8"/>
  <c r="F2459" i="8"/>
  <c r="G2459" i="8"/>
  <c r="I2459" i="8"/>
  <c r="E2460" i="8"/>
  <c r="F2460" i="8"/>
  <c r="G2460" i="8"/>
  <c r="I2460" i="8"/>
  <c r="E2461" i="8"/>
  <c r="F2461" i="8"/>
  <c r="G2461" i="8"/>
  <c r="I2461" i="8"/>
  <c r="E2462" i="8"/>
  <c r="F2462" i="8"/>
  <c r="G2462" i="8"/>
  <c r="I2462" i="8"/>
  <c r="E2471" i="8"/>
  <c r="F2471" i="8"/>
  <c r="G2471" i="8"/>
  <c r="I2471" i="8"/>
  <c r="I2447" i="8"/>
  <c r="G2447" i="8"/>
  <c r="F2447" i="8"/>
  <c r="E2447" i="8"/>
  <c r="I2444" i="8"/>
  <c r="G2444" i="8"/>
  <c r="F2444" i="8"/>
  <c r="E2444" i="8"/>
  <c r="I2439" i="8"/>
  <c r="G2439" i="8"/>
  <c r="F2439" i="8"/>
  <c r="E2439" i="8"/>
  <c r="I2438" i="8"/>
  <c r="G2438" i="8"/>
  <c r="F2438" i="8"/>
  <c r="E2438" i="8"/>
  <c r="P2583" i="8" l="1"/>
  <c r="O2583" i="8"/>
  <c r="M2583" i="8"/>
  <c r="C2583" i="8"/>
  <c r="N2583" i="8"/>
  <c r="N2584" i="8"/>
  <c r="M2584" i="8"/>
  <c r="C2584" i="8"/>
  <c r="O2584" i="8"/>
  <c r="P2584" i="8"/>
  <c r="F2440" i="8"/>
  <c r="G2440" i="8"/>
  <c r="I2440" i="8"/>
  <c r="E2441" i="8"/>
  <c r="F2441" i="8"/>
  <c r="G2441" i="8"/>
  <c r="I2441" i="8"/>
  <c r="F2442" i="8"/>
  <c r="G2442" i="8"/>
  <c r="I2442" i="8"/>
  <c r="E2443" i="8"/>
  <c r="F2443" i="8"/>
  <c r="G2443" i="8"/>
  <c r="I2443" i="8"/>
  <c r="I2437" i="8"/>
  <c r="G2437" i="8"/>
  <c r="F2437" i="8"/>
  <c r="E2437" i="8"/>
  <c r="G2434" i="8"/>
  <c r="F2434" i="8"/>
  <c r="E2434" i="8"/>
  <c r="E2429" i="8"/>
  <c r="F2429" i="8"/>
  <c r="G2429" i="8"/>
  <c r="I2429" i="8"/>
  <c r="M2429" i="8" s="1"/>
  <c r="N2429" i="8"/>
  <c r="E2430" i="8"/>
  <c r="F2430" i="8"/>
  <c r="G2430" i="8"/>
  <c r="I2430" i="8"/>
  <c r="M2430" i="8" s="1"/>
  <c r="N2430" i="8"/>
  <c r="E2431" i="8"/>
  <c r="F2431" i="8"/>
  <c r="G2431" i="8"/>
  <c r="I2431" i="8"/>
  <c r="M2431" i="8" s="1"/>
  <c r="N2431" i="8"/>
  <c r="N2428" i="8"/>
  <c r="I2428" i="8"/>
  <c r="M2428" i="8" s="1"/>
  <c r="G2428" i="8"/>
  <c r="F2428" i="8"/>
  <c r="E2428" i="8"/>
  <c r="G368" i="1"/>
  <c r="G246" i="1"/>
  <c r="L2412" i="8" s="1"/>
  <c r="F246" i="1"/>
  <c r="G245" i="1"/>
  <c r="L2407" i="8" s="1"/>
  <c r="F245" i="1"/>
  <c r="E2419" i="8"/>
  <c r="F2419" i="8"/>
  <c r="G2419" i="8"/>
  <c r="I2419" i="8"/>
  <c r="E2420" i="8"/>
  <c r="F2420" i="8"/>
  <c r="G2420" i="8"/>
  <c r="I2420" i="8"/>
  <c r="E2422" i="8"/>
  <c r="F2422" i="8"/>
  <c r="G2422" i="8"/>
  <c r="I2422" i="8"/>
  <c r="E2423" i="8"/>
  <c r="F2423" i="8"/>
  <c r="G2423" i="8"/>
  <c r="I2423" i="8"/>
  <c r="E2424" i="8"/>
  <c r="F2424" i="8"/>
  <c r="G2424" i="8"/>
  <c r="I2424" i="8"/>
  <c r="E2425" i="8"/>
  <c r="G2425" i="8"/>
  <c r="I2425" i="8"/>
  <c r="E2426" i="8"/>
  <c r="G2426" i="8"/>
  <c r="I2426" i="8"/>
  <c r="E2413" i="8"/>
  <c r="F2413" i="8"/>
  <c r="G2413" i="8"/>
  <c r="E2414" i="8"/>
  <c r="F2414" i="8"/>
  <c r="G2414" i="8"/>
  <c r="I2414" i="8"/>
  <c r="E2415" i="8"/>
  <c r="F2415" i="8"/>
  <c r="G2415" i="8"/>
  <c r="I2415" i="8"/>
  <c r="E2402" i="8"/>
  <c r="F2402" i="8"/>
  <c r="G2402" i="8"/>
  <c r="E2403" i="8"/>
  <c r="F2403" i="8"/>
  <c r="G2403" i="8"/>
  <c r="I2403" i="8"/>
  <c r="E2404" i="8"/>
  <c r="F2404" i="8"/>
  <c r="G2404" i="8"/>
  <c r="I2404" i="8"/>
  <c r="E2408" i="8"/>
  <c r="F2408" i="8"/>
  <c r="G2408" i="8"/>
  <c r="E2409" i="8"/>
  <c r="F2409" i="8"/>
  <c r="G2409" i="8"/>
  <c r="I2409" i="8"/>
  <c r="E2381" i="8"/>
  <c r="F2381" i="8"/>
  <c r="G2381" i="8"/>
  <c r="E2382" i="8"/>
  <c r="F2382" i="8"/>
  <c r="G2382" i="8"/>
  <c r="E2383" i="8"/>
  <c r="F2383" i="8"/>
  <c r="G2383" i="8"/>
  <c r="E2387" i="8"/>
  <c r="F2387" i="8"/>
  <c r="G2387" i="8"/>
  <c r="I2387" i="8"/>
  <c r="E2371" i="8"/>
  <c r="F2371" i="8"/>
  <c r="G2371" i="8"/>
  <c r="I2371" i="8"/>
  <c r="E2372" i="8"/>
  <c r="F2372" i="8"/>
  <c r="G2372" i="8"/>
  <c r="I2372" i="8"/>
  <c r="E2373" i="8"/>
  <c r="F2373" i="8"/>
  <c r="G2373" i="8"/>
  <c r="E2374" i="8"/>
  <c r="F2374" i="8"/>
  <c r="G2374" i="8"/>
  <c r="N2374" i="8"/>
  <c r="E2375" i="8"/>
  <c r="F2375" i="8"/>
  <c r="G2375" i="8"/>
  <c r="E2376" i="8"/>
  <c r="F2376" i="8"/>
  <c r="G2376" i="8"/>
  <c r="E2377" i="8"/>
  <c r="F2377" i="8"/>
  <c r="G2377" i="8"/>
  <c r="I2377" i="8"/>
  <c r="E2351" i="8"/>
  <c r="F2351" i="8"/>
  <c r="G2351" i="8"/>
  <c r="N2351" i="8"/>
  <c r="E2352" i="8"/>
  <c r="F2352" i="8"/>
  <c r="G2352" i="8"/>
  <c r="I2352" i="8"/>
  <c r="M2352" i="8" s="1"/>
  <c r="N2352" i="8"/>
  <c r="E2353" i="8"/>
  <c r="F2353" i="8"/>
  <c r="G2353" i="8"/>
  <c r="I2353" i="8"/>
  <c r="M2353" i="8" s="1"/>
  <c r="N2353" i="8"/>
  <c r="E2357" i="8"/>
  <c r="F2357" i="8"/>
  <c r="G2357" i="8"/>
  <c r="N2357" i="8"/>
  <c r="E2358" i="8"/>
  <c r="F2358" i="8"/>
  <c r="G2358" i="8"/>
  <c r="I2358" i="8"/>
  <c r="M2358" i="8" s="1"/>
  <c r="N2358" i="8"/>
  <c r="E2359" i="8"/>
  <c r="F2359" i="8"/>
  <c r="G2359" i="8"/>
  <c r="I2359" i="8"/>
  <c r="M2359" i="8" s="1"/>
  <c r="N2359" i="8"/>
  <c r="E2343" i="8"/>
  <c r="F2343" i="8"/>
  <c r="G2343" i="8"/>
  <c r="I2343" i="8"/>
  <c r="M2343" i="8" s="1"/>
  <c r="N2343" i="8"/>
  <c r="E2347" i="8"/>
  <c r="F2347" i="8"/>
  <c r="G2347" i="8"/>
  <c r="I2347" i="8"/>
  <c r="I2418" i="8"/>
  <c r="G2418" i="8"/>
  <c r="E2418" i="8"/>
  <c r="I2412" i="8"/>
  <c r="G2412" i="8"/>
  <c r="F2412" i="8"/>
  <c r="E2412" i="8"/>
  <c r="I2401" i="8"/>
  <c r="G2401" i="8"/>
  <c r="F2401" i="8"/>
  <c r="E2401" i="8"/>
  <c r="I2407" i="8"/>
  <c r="G2407" i="8"/>
  <c r="F2407" i="8"/>
  <c r="E2407" i="8"/>
  <c r="I2380" i="8"/>
  <c r="G2380" i="8"/>
  <c r="F2380" i="8"/>
  <c r="E2380" i="8"/>
  <c r="I2370" i="8"/>
  <c r="G2370" i="8"/>
  <c r="F2370" i="8"/>
  <c r="E2370" i="8"/>
  <c r="N2350" i="8"/>
  <c r="I2350" i="8"/>
  <c r="M2350" i="8" s="1"/>
  <c r="G2350" i="8"/>
  <c r="F2350" i="8"/>
  <c r="E2350" i="8"/>
  <c r="N2356" i="8"/>
  <c r="I2356" i="8"/>
  <c r="M2356" i="8" s="1"/>
  <c r="G2356" i="8"/>
  <c r="F2356" i="8"/>
  <c r="E2356" i="8"/>
  <c r="N2342" i="8"/>
  <c r="I2342" i="8"/>
  <c r="M2342" i="8" s="1"/>
  <c r="G2342" i="8"/>
  <c r="F2342" i="8"/>
  <c r="E2342" i="8"/>
  <c r="I2346" i="8"/>
  <c r="G2346" i="8"/>
  <c r="F2346" i="8"/>
  <c r="E2346" i="8"/>
  <c r="E2327" i="8"/>
  <c r="F2327" i="8"/>
  <c r="G2327" i="8"/>
  <c r="I2327" i="8"/>
  <c r="E2336" i="8"/>
  <c r="F2336" i="8"/>
  <c r="G2336" i="8"/>
  <c r="I2336" i="8"/>
  <c r="E2328" i="8"/>
  <c r="F2328" i="8"/>
  <c r="G2328" i="8"/>
  <c r="I2328" i="8"/>
  <c r="F2329" i="8"/>
  <c r="G2329" i="8"/>
  <c r="I2329" i="8"/>
  <c r="E2331" i="8"/>
  <c r="F2331" i="8"/>
  <c r="G2331" i="8"/>
  <c r="I2331" i="8"/>
  <c r="E2332" i="8"/>
  <c r="F2332" i="8"/>
  <c r="G2332" i="8"/>
  <c r="I2332" i="8"/>
  <c r="I2326" i="8"/>
  <c r="G2326" i="8"/>
  <c r="F2326" i="8"/>
  <c r="E2326" i="8"/>
  <c r="K2407" i="8" l="1"/>
  <c r="K2412" i="8"/>
  <c r="B105" i="9"/>
  <c r="I100" i="9"/>
  <c r="I97" i="9"/>
  <c r="H95" i="9"/>
  <c r="I94" i="9"/>
  <c r="B94" i="9"/>
  <c r="B100" i="9" s="1"/>
  <c r="L159" i="15"/>
  <c r="K159" i="15"/>
  <c r="L158" i="15"/>
  <c r="K158" i="15"/>
  <c r="L157" i="15"/>
  <c r="K157" i="15"/>
  <c r="L156" i="15"/>
  <c r="K156" i="15"/>
  <c r="L155" i="15"/>
  <c r="K155" i="15"/>
  <c r="L154" i="15"/>
  <c r="K154" i="15"/>
  <c r="L153" i="15"/>
  <c r="K153" i="15"/>
  <c r="L152" i="15"/>
  <c r="K152" i="15"/>
  <c r="L151" i="15"/>
  <c r="K151" i="15"/>
  <c r="L150" i="15"/>
  <c r="K150" i="15"/>
  <c r="S149" i="15"/>
  <c r="R149" i="15"/>
  <c r="S148" i="15"/>
  <c r="R148" i="15"/>
  <c r="C148" i="15"/>
  <c r="C149" i="15" s="1"/>
  <c r="L146" i="15"/>
  <c r="K146" i="15"/>
  <c r="L145" i="15"/>
  <c r="K145" i="15"/>
  <c r="L144" i="15"/>
  <c r="K144" i="15"/>
  <c r="L143" i="15"/>
  <c r="K143" i="15"/>
  <c r="L142" i="15"/>
  <c r="K142" i="15"/>
  <c r="L141" i="15"/>
  <c r="K141" i="15"/>
  <c r="L140" i="15"/>
  <c r="K140" i="15"/>
  <c r="L139" i="15"/>
  <c r="K139" i="15"/>
  <c r="L138" i="15"/>
  <c r="K138" i="15"/>
  <c r="L137" i="15"/>
  <c r="K137" i="15"/>
  <c r="S136" i="15"/>
  <c r="R136" i="15"/>
  <c r="S135" i="15"/>
  <c r="R135" i="15"/>
  <c r="C135" i="15"/>
  <c r="C136" i="15" s="1"/>
  <c r="B71" i="9"/>
  <c r="I66" i="9"/>
  <c r="I63" i="9"/>
  <c r="H61" i="9"/>
  <c r="I60" i="9"/>
  <c r="B60" i="9"/>
  <c r="B66" i="9" s="1"/>
  <c r="I952" i="8"/>
  <c r="G952" i="8"/>
  <c r="F952" i="8"/>
  <c r="E952" i="8"/>
  <c r="I951" i="8"/>
  <c r="G951" i="8"/>
  <c r="F951" i="8"/>
  <c r="E951" i="8"/>
  <c r="I938" i="8"/>
  <c r="I940" i="8"/>
  <c r="I941" i="8"/>
  <c r="I942" i="8"/>
  <c r="I943" i="8"/>
  <c r="I944" i="8"/>
  <c r="I945" i="8"/>
  <c r="I946" i="8"/>
  <c r="I947" i="8"/>
  <c r="I948" i="8"/>
  <c r="I950" i="8"/>
  <c r="I953" i="8"/>
  <c r="I954" i="8"/>
  <c r="I959" i="8"/>
  <c r="I960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32" i="8"/>
  <c r="I933" i="8"/>
  <c r="I906" i="8"/>
  <c r="I907" i="8"/>
  <c r="I908" i="8"/>
  <c r="I909" i="8"/>
  <c r="I893" i="8"/>
  <c r="I894" i="8"/>
  <c r="I895" i="8"/>
  <c r="I896" i="8"/>
  <c r="I897" i="8"/>
  <c r="I898" i="8"/>
  <c r="I899" i="8"/>
  <c r="I879" i="8"/>
  <c r="I880" i="8"/>
  <c r="I874" i="8"/>
  <c r="I875" i="8"/>
  <c r="I864" i="8"/>
  <c r="I865" i="8"/>
  <c r="I866" i="8"/>
  <c r="I868" i="8"/>
  <c r="I869" i="8"/>
  <c r="I863" i="8"/>
  <c r="I872" i="8"/>
  <c r="I878" i="8"/>
  <c r="I887" i="8"/>
  <c r="I892" i="8"/>
  <c r="I905" i="8"/>
  <c r="I912" i="8"/>
  <c r="I937" i="8"/>
  <c r="I972" i="8"/>
  <c r="I549" i="8"/>
  <c r="G549" i="8"/>
  <c r="F549" i="8"/>
  <c r="E549" i="8"/>
  <c r="I502" i="8"/>
  <c r="G502" i="8"/>
  <c r="F502" i="8"/>
  <c r="E502" i="8"/>
  <c r="I497" i="8"/>
  <c r="G497" i="8"/>
  <c r="F497" i="8"/>
  <c r="E497" i="8"/>
  <c r="I496" i="8"/>
  <c r="G496" i="8"/>
  <c r="F496" i="8"/>
  <c r="E496" i="8"/>
  <c r="I495" i="8"/>
  <c r="G495" i="8"/>
  <c r="F495" i="8"/>
  <c r="E495" i="8"/>
  <c r="I494" i="8"/>
  <c r="G494" i="8"/>
  <c r="F494" i="8"/>
  <c r="E494" i="8"/>
  <c r="I493" i="8"/>
  <c r="G493" i="8"/>
  <c r="F493" i="8"/>
  <c r="E493" i="8"/>
  <c r="I491" i="8"/>
  <c r="G491" i="8"/>
  <c r="F491" i="8"/>
  <c r="E491" i="8"/>
  <c r="I490" i="8"/>
  <c r="G490" i="8"/>
  <c r="E490" i="8"/>
  <c r="I489" i="8"/>
  <c r="G489" i="8"/>
  <c r="E489" i="8"/>
  <c r="I488" i="8"/>
  <c r="G488" i="8"/>
  <c r="E488" i="8"/>
  <c r="I487" i="8"/>
  <c r="G487" i="8"/>
  <c r="F487" i="8"/>
  <c r="E487" i="8"/>
  <c r="I486" i="8"/>
  <c r="G486" i="8"/>
  <c r="F486" i="8"/>
  <c r="E486" i="8"/>
  <c r="I485" i="8"/>
  <c r="G485" i="8"/>
  <c r="F485" i="8"/>
  <c r="E485" i="8"/>
  <c r="I484" i="8"/>
  <c r="G484" i="8"/>
  <c r="F484" i="8"/>
  <c r="I483" i="8"/>
  <c r="G483" i="8"/>
  <c r="F483" i="8"/>
  <c r="I481" i="8"/>
  <c r="G481" i="8"/>
  <c r="F481" i="8"/>
  <c r="E481" i="8"/>
  <c r="I480" i="8"/>
  <c r="G480" i="8"/>
  <c r="F480" i="8"/>
  <c r="E480" i="8"/>
  <c r="S479" i="8"/>
  <c r="T479" i="8" s="1"/>
  <c r="S478" i="8"/>
  <c r="I476" i="8"/>
  <c r="G476" i="8"/>
  <c r="F476" i="8"/>
  <c r="E476" i="8"/>
  <c r="I475" i="8"/>
  <c r="G475" i="8"/>
  <c r="F475" i="8"/>
  <c r="E475" i="8"/>
  <c r="I470" i="8"/>
  <c r="G470" i="8"/>
  <c r="F470" i="8"/>
  <c r="E470" i="8"/>
  <c r="I469" i="8"/>
  <c r="G469" i="8"/>
  <c r="F469" i="8"/>
  <c r="E469" i="8"/>
  <c r="I468" i="8"/>
  <c r="G468" i="8"/>
  <c r="F468" i="8"/>
  <c r="E468" i="8"/>
  <c r="I467" i="8"/>
  <c r="G467" i="8"/>
  <c r="F467" i="8"/>
  <c r="E467" i="8"/>
  <c r="I466" i="8"/>
  <c r="G466" i="8"/>
  <c r="F466" i="8"/>
  <c r="E466" i="8"/>
  <c r="I465" i="8"/>
  <c r="G465" i="8"/>
  <c r="E465" i="8"/>
  <c r="I464" i="8"/>
  <c r="G464" i="8"/>
  <c r="E464" i="8"/>
  <c r="I463" i="8"/>
  <c r="G463" i="8"/>
  <c r="E463" i="8"/>
  <c r="I462" i="8"/>
  <c r="G462" i="8"/>
  <c r="F462" i="8"/>
  <c r="E462" i="8"/>
  <c r="I461" i="8"/>
  <c r="G461" i="8"/>
  <c r="F461" i="8"/>
  <c r="E461" i="8"/>
  <c r="I460" i="8"/>
  <c r="G460" i="8"/>
  <c r="F460" i="8"/>
  <c r="E460" i="8"/>
  <c r="I459" i="8"/>
  <c r="G459" i="8"/>
  <c r="F459" i="8"/>
  <c r="I458" i="8"/>
  <c r="G458" i="8"/>
  <c r="F458" i="8"/>
  <c r="I457" i="8"/>
  <c r="G457" i="8"/>
  <c r="F457" i="8"/>
  <c r="E457" i="8"/>
  <c r="I456" i="8"/>
  <c r="G456" i="8"/>
  <c r="F456" i="8"/>
  <c r="E456" i="8"/>
  <c r="I455" i="8"/>
  <c r="G455" i="8"/>
  <c r="F455" i="8"/>
  <c r="E455" i="8"/>
  <c r="S454" i="8"/>
  <c r="T454" i="8" s="1"/>
  <c r="S453" i="8"/>
  <c r="I452" i="8"/>
  <c r="G452" i="8"/>
  <c r="F452" i="8"/>
  <c r="E452" i="8"/>
  <c r="I451" i="8"/>
  <c r="G451" i="8"/>
  <c r="F451" i="8"/>
  <c r="I450" i="8"/>
  <c r="G450" i="8"/>
  <c r="F450" i="8"/>
  <c r="E450" i="8"/>
  <c r="I449" i="8"/>
  <c r="G449" i="8"/>
  <c r="F449" i="8"/>
  <c r="I448" i="8"/>
  <c r="G448" i="8"/>
  <c r="F448" i="8"/>
  <c r="E448" i="8"/>
  <c r="S447" i="8"/>
  <c r="T447" i="8" s="1"/>
  <c r="S446" i="8"/>
  <c r="G445" i="8"/>
  <c r="F445" i="8"/>
  <c r="E445" i="8"/>
  <c r="S444" i="8"/>
  <c r="T444" i="8" s="1"/>
  <c r="S443" i="8"/>
  <c r="I442" i="8"/>
  <c r="G442" i="8"/>
  <c r="E442" i="8"/>
  <c r="I441" i="8"/>
  <c r="G441" i="8"/>
  <c r="E441" i="8"/>
  <c r="I440" i="8"/>
  <c r="G440" i="8"/>
  <c r="F440" i="8"/>
  <c r="E440" i="8"/>
  <c r="I439" i="8"/>
  <c r="G439" i="8"/>
  <c r="F439" i="8"/>
  <c r="E439" i="8"/>
  <c r="I438" i="8"/>
  <c r="G438" i="8"/>
  <c r="F438" i="8"/>
  <c r="E438" i="8"/>
  <c r="I437" i="8"/>
  <c r="G437" i="8"/>
  <c r="F437" i="8"/>
  <c r="E437" i="8"/>
  <c r="I436" i="8"/>
  <c r="G436" i="8"/>
  <c r="F436" i="8"/>
  <c r="E436" i="8"/>
  <c r="I435" i="8"/>
  <c r="G435" i="8"/>
  <c r="E435" i="8"/>
  <c r="S434" i="8"/>
  <c r="T434" i="8" s="1"/>
  <c r="S433" i="8"/>
  <c r="G431" i="8"/>
  <c r="F431" i="8"/>
  <c r="E431" i="8"/>
  <c r="G430" i="8"/>
  <c r="F430" i="8"/>
  <c r="E430" i="8"/>
  <c r="G429" i="8"/>
  <c r="F429" i="8"/>
  <c r="E429" i="8"/>
  <c r="I428" i="8"/>
  <c r="G428" i="8"/>
  <c r="F428" i="8"/>
  <c r="E428" i="8"/>
  <c r="I427" i="8"/>
  <c r="G427" i="8"/>
  <c r="F427" i="8"/>
  <c r="E427" i="8"/>
  <c r="I426" i="8"/>
  <c r="G426" i="8"/>
  <c r="F426" i="8"/>
  <c r="E426" i="8"/>
  <c r="S425" i="8"/>
  <c r="T425" i="8" s="1"/>
  <c r="S424" i="8"/>
  <c r="I422" i="8"/>
  <c r="G422" i="8"/>
  <c r="F422" i="8"/>
  <c r="E422" i="8"/>
  <c r="I421" i="8"/>
  <c r="G421" i="8"/>
  <c r="F421" i="8"/>
  <c r="E421" i="8"/>
  <c r="G420" i="8"/>
  <c r="F420" i="8"/>
  <c r="E420" i="8"/>
  <c r="I419" i="8"/>
  <c r="G419" i="8"/>
  <c r="F419" i="8"/>
  <c r="E419" i="8"/>
  <c r="S418" i="8"/>
  <c r="S417" i="8"/>
  <c r="A417" i="8"/>
  <c r="I416" i="8"/>
  <c r="G416" i="8"/>
  <c r="F416" i="8"/>
  <c r="E416" i="8"/>
  <c r="I415" i="8"/>
  <c r="G415" i="8"/>
  <c r="F415" i="8"/>
  <c r="E415" i="8"/>
  <c r="I413" i="8"/>
  <c r="G413" i="8"/>
  <c r="F413" i="8"/>
  <c r="I412" i="8"/>
  <c r="G412" i="8"/>
  <c r="F412" i="8"/>
  <c r="E412" i="8"/>
  <c r="I411" i="8"/>
  <c r="G411" i="8"/>
  <c r="F411" i="8"/>
  <c r="E411" i="8"/>
  <c r="I410" i="8"/>
  <c r="G410" i="8"/>
  <c r="F410" i="8"/>
  <c r="E410" i="8"/>
  <c r="S409" i="8"/>
  <c r="A409" i="8"/>
  <c r="S408" i="8"/>
  <c r="T408" i="8" s="1"/>
  <c r="I407" i="8"/>
  <c r="I354" i="8"/>
  <c r="I356" i="8"/>
  <c r="I357" i="8"/>
  <c r="I358" i="8"/>
  <c r="I359" i="8"/>
  <c r="I360" i="8"/>
  <c r="I361" i="8"/>
  <c r="I362" i="8"/>
  <c r="I363" i="8"/>
  <c r="I364" i="8"/>
  <c r="I366" i="8"/>
  <c r="I367" i="8"/>
  <c r="I368" i="8"/>
  <c r="I369" i="8"/>
  <c r="I370" i="8"/>
  <c r="I375" i="8"/>
  <c r="I376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8" i="8"/>
  <c r="I349" i="8"/>
  <c r="I322" i="8"/>
  <c r="I323" i="8"/>
  <c r="I324" i="8"/>
  <c r="I325" i="8"/>
  <c r="I309" i="8"/>
  <c r="I310" i="8"/>
  <c r="I311" i="8"/>
  <c r="I312" i="8"/>
  <c r="I313" i="8"/>
  <c r="I314" i="8"/>
  <c r="I315" i="8"/>
  <c r="I300" i="8"/>
  <c r="I301" i="8"/>
  <c r="I294" i="8"/>
  <c r="I295" i="8"/>
  <c r="I284" i="8"/>
  <c r="I285" i="8"/>
  <c r="I286" i="8"/>
  <c r="I288" i="8"/>
  <c r="I289" i="8"/>
  <c r="I283" i="8"/>
  <c r="I292" i="8"/>
  <c r="I299" i="8"/>
  <c r="I308" i="8"/>
  <c r="I321" i="8"/>
  <c r="I328" i="8"/>
  <c r="I353" i="8"/>
  <c r="G368" i="8"/>
  <c r="F368" i="8"/>
  <c r="E368" i="8"/>
  <c r="G367" i="8"/>
  <c r="F367" i="8"/>
  <c r="E367" i="8"/>
  <c r="A290" i="8"/>
  <c r="A282" i="8"/>
  <c r="G407" i="8"/>
  <c r="F407" i="8"/>
  <c r="E407" i="8"/>
  <c r="G376" i="8"/>
  <c r="F376" i="8"/>
  <c r="E376" i="8"/>
  <c r="G375" i="8"/>
  <c r="F375" i="8"/>
  <c r="E375" i="8"/>
  <c r="G370" i="8"/>
  <c r="F370" i="8"/>
  <c r="G369" i="8"/>
  <c r="F369" i="8"/>
  <c r="E369" i="8"/>
  <c r="G366" i="8"/>
  <c r="F366" i="8"/>
  <c r="E366" i="8"/>
  <c r="G364" i="8"/>
  <c r="F364" i="8"/>
  <c r="E364" i="8"/>
  <c r="G363" i="8"/>
  <c r="E363" i="8"/>
  <c r="G362" i="8"/>
  <c r="E362" i="8"/>
  <c r="G361" i="8"/>
  <c r="E361" i="8"/>
  <c r="G360" i="8"/>
  <c r="F360" i="8"/>
  <c r="E360" i="8"/>
  <c r="G359" i="8"/>
  <c r="F359" i="8"/>
  <c r="E359" i="8"/>
  <c r="G358" i="8"/>
  <c r="F358" i="8"/>
  <c r="E358" i="8"/>
  <c r="G357" i="8"/>
  <c r="F357" i="8"/>
  <c r="G356" i="8"/>
  <c r="F356" i="8"/>
  <c r="G354" i="8"/>
  <c r="F354" i="8"/>
  <c r="E354" i="8"/>
  <c r="G353" i="8"/>
  <c r="F353" i="8"/>
  <c r="E353" i="8"/>
  <c r="S352" i="8"/>
  <c r="T352" i="8" s="1"/>
  <c r="S351" i="8"/>
  <c r="G349" i="8"/>
  <c r="F349" i="8"/>
  <c r="E349" i="8"/>
  <c r="G348" i="8"/>
  <c r="F348" i="8"/>
  <c r="E348" i="8"/>
  <c r="G344" i="8"/>
  <c r="F344" i="8"/>
  <c r="E344" i="8"/>
  <c r="G343" i="8"/>
  <c r="F343" i="8"/>
  <c r="E343" i="8"/>
  <c r="G342" i="8"/>
  <c r="F342" i="8"/>
  <c r="E342" i="8"/>
  <c r="G341" i="8"/>
  <c r="F341" i="8"/>
  <c r="E341" i="8"/>
  <c r="G340" i="8"/>
  <c r="F340" i="8"/>
  <c r="E340" i="8"/>
  <c r="G339" i="8"/>
  <c r="F339" i="8"/>
  <c r="E339" i="8"/>
  <c r="G338" i="8"/>
  <c r="E338" i="8"/>
  <c r="G337" i="8"/>
  <c r="E337" i="8"/>
  <c r="G336" i="8"/>
  <c r="E336" i="8"/>
  <c r="G335" i="8"/>
  <c r="F335" i="8"/>
  <c r="E335" i="8"/>
  <c r="G334" i="8"/>
  <c r="F334" i="8"/>
  <c r="E334" i="8"/>
  <c r="G333" i="8"/>
  <c r="F333" i="8"/>
  <c r="E333" i="8"/>
  <c r="G332" i="8"/>
  <c r="F332" i="8"/>
  <c r="G331" i="8"/>
  <c r="F331" i="8"/>
  <c r="G330" i="8"/>
  <c r="F330" i="8"/>
  <c r="E330" i="8"/>
  <c r="G329" i="8"/>
  <c r="F329" i="8"/>
  <c r="E329" i="8"/>
  <c r="G328" i="8"/>
  <c r="F328" i="8"/>
  <c r="E328" i="8"/>
  <c r="S327" i="8"/>
  <c r="T327" i="8" s="1"/>
  <c r="S326" i="8"/>
  <c r="G325" i="8"/>
  <c r="F325" i="8"/>
  <c r="E325" i="8"/>
  <c r="G324" i="8"/>
  <c r="F324" i="8"/>
  <c r="G323" i="8"/>
  <c r="F323" i="8"/>
  <c r="E323" i="8"/>
  <c r="G322" i="8"/>
  <c r="F322" i="8"/>
  <c r="G321" i="8"/>
  <c r="F321" i="8"/>
  <c r="E321" i="8"/>
  <c r="S320" i="8"/>
  <c r="T320" i="8" s="1"/>
  <c r="S319" i="8"/>
  <c r="G318" i="8"/>
  <c r="F318" i="8"/>
  <c r="E318" i="8"/>
  <c r="S317" i="8"/>
  <c r="T317" i="8" s="1"/>
  <c r="S316" i="8"/>
  <c r="G315" i="8"/>
  <c r="E315" i="8"/>
  <c r="G314" i="8"/>
  <c r="E314" i="8"/>
  <c r="G313" i="8"/>
  <c r="F313" i="8"/>
  <c r="E313" i="8"/>
  <c r="G312" i="8"/>
  <c r="F312" i="8"/>
  <c r="E312" i="8"/>
  <c r="G311" i="8"/>
  <c r="F311" i="8"/>
  <c r="E311" i="8"/>
  <c r="G310" i="8"/>
  <c r="F310" i="8"/>
  <c r="E310" i="8"/>
  <c r="G309" i="8"/>
  <c r="F309" i="8"/>
  <c r="E309" i="8"/>
  <c r="G308" i="8"/>
  <c r="E308" i="8"/>
  <c r="S307" i="8"/>
  <c r="T307" i="8" s="1"/>
  <c r="S306" i="8"/>
  <c r="G304" i="8"/>
  <c r="F304" i="8"/>
  <c r="E304" i="8"/>
  <c r="G303" i="8"/>
  <c r="F303" i="8"/>
  <c r="E303" i="8"/>
  <c r="G302" i="8"/>
  <c r="F302" i="8"/>
  <c r="E302" i="8"/>
  <c r="G301" i="8"/>
  <c r="F301" i="8"/>
  <c r="E301" i="8"/>
  <c r="G300" i="8"/>
  <c r="F300" i="8"/>
  <c r="E300" i="8"/>
  <c r="G299" i="8"/>
  <c r="F299" i="8"/>
  <c r="E299" i="8"/>
  <c r="S298" i="8"/>
  <c r="T298" i="8" s="1"/>
  <c r="S297" i="8"/>
  <c r="G295" i="8"/>
  <c r="F295" i="8"/>
  <c r="E295" i="8"/>
  <c r="G294" i="8"/>
  <c r="F294" i="8"/>
  <c r="E294" i="8"/>
  <c r="G293" i="8"/>
  <c r="F293" i="8"/>
  <c r="E293" i="8"/>
  <c r="G292" i="8"/>
  <c r="F292" i="8"/>
  <c r="E292" i="8"/>
  <c r="S291" i="8"/>
  <c r="S290" i="8"/>
  <c r="G289" i="8"/>
  <c r="F289" i="8"/>
  <c r="E289" i="8"/>
  <c r="G288" i="8"/>
  <c r="F288" i="8"/>
  <c r="E288" i="8"/>
  <c r="G286" i="8"/>
  <c r="F286" i="8"/>
  <c r="G285" i="8"/>
  <c r="F285" i="8"/>
  <c r="E285" i="8"/>
  <c r="G284" i="8"/>
  <c r="F284" i="8"/>
  <c r="E284" i="8"/>
  <c r="G283" i="8"/>
  <c r="F283" i="8"/>
  <c r="E283" i="8"/>
  <c r="S282" i="8"/>
  <c r="S281" i="8"/>
  <c r="T281" i="8" s="1"/>
  <c r="B9" i="8"/>
  <c r="H414" i="8" s="1"/>
  <c r="F80" i="13" s="1"/>
  <c r="B8" i="8"/>
  <c r="H287" i="8" l="1"/>
  <c r="F57" i="13" s="1"/>
  <c r="E281" i="8"/>
  <c r="N414" i="8"/>
  <c r="M414" i="8"/>
  <c r="C414" i="8"/>
  <c r="P414" i="8"/>
  <c r="H351" i="8"/>
  <c r="E408" i="8"/>
  <c r="D91" i="9" s="1"/>
  <c r="H478" i="8"/>
  <c r="N157" i="15"/>
  <c r="N140" i="15"/>
  <c r="N144" i="15"/>
  <c r="N146" i="15"/>
  <c r="N150" i="15"/>
  <c r="N152" i="15"/>
  <c r="N154" i="15"/>
  <c r="N156" i="15"/>
  <c r="N145" i="15"/>
  <c r="N151" i="15"/>
  <c r="N153" i="15"/>
  <c r="N137" i="15"/>
  <c r="N138" i="15"/>
  <c r="N139" i="15"/>
  <c r="N155" i="15"/>
  <c r="N158" i="15"/>
  <c r="N159" i="15"/>
  <c r="N142" i="15"/>
  <c r="H412" i="8"/>
  <c r="F84" i="13" s="1"/>
  <c r="H413" i="8"/>
  <c r="F81" i="13" s="1"/>
  <c r="H424" i="8"/>
  <c r="H453" i="8"/>
  <c r="H418" i="8"/>
  <c r="H410" i="8"/>
  <c r="H415" i="8"/>
  <c r="H433" i="8"/>
  <c r="H446" i="8"/>
  <c r="H411" i="8"/>
  <c r="F83" i="13" s="1"/>
  <c r="H416" i="8"/>
  <c r="H443" i="8"/>
  <c r="H549" i="8"/>
  <c r="B97" i="9"/>
  <c r="N141" i="15"/>
  <c r="N143" i="15"/>
  <c r="B63" i="9"/>
  <c r="H316" i="8"/>
  <c r="H318" i="8" s="1"/>
  <c r="H407" i="8"/>
  <c r="N407" i="8" s="1"/>
  <c r="H285" i="8"/>
  <c r="F62" i="13" s="1"/>
  <c r="H291" i="8"/>
  <c r="H296" i="8" s="1"/>
  <c r="H319" i="8"/>
  <c r="H286" i="8"/>
  <c r="H297" i="8"/>
  <c r="H305" i="8" s="1"/>
  <c r="H326" i="8"/>
  <c r="H283" i="8"/>
  <c r="N283" i="8" s="1"/>
  <c r="H289" i="8"/>
  <c r="H306" i="8"/>
  <c r="H284" i="8"/>
  <c r="F61" i="13" s="1"/>
  <c r="H288" i="8"/>
  <c r="M288" i="8" s="1"/>
  <c r="C107" i="10" l="1"/>
  <c r="C79" i="10"/>
  <c r="D57" i="9"/>
  <c r="M287" i="8"/>
  <c r="C287" i="8"/>
  <c r="O287" i="8"/>
  <c r="N287" i="8"/>
  <c r="H482" i="8"/>
  <c r="H483" i="8"/>
  <c r="H355" i="8"/>
  <c r="H356" i="8"/>
  <c r="H498" i="8"/>
  <c r="H500" i="8"/>
  <c r="H499" i="8"/>
  <c r="H474" i="8"/>
  <c r="H473" i="8"/>
  <c r="H472" i="8"/>
  <c r="H374" i="8"/>
  <c r="H373" i="8"/>
  <c r="H372" i="8"/>
  <c r="H347" i="8"/>
  <c r="H346" i="8"/>
  <c r="H345" i="8"/>
  <c r="H328" i="8"/>
  <c r="H350" i="8" s="1"/>
  <c r="H330" i="8"/>
  <c r="H329" i="8"/>
  <c r="H349" i="8" s="1"/>
  <c r="H481" i="8"/>
  <c r="H480" i="8"/>
  <c r="H455" i="8"/>
  <c r="H477" i="8" s="1"/>
  <c r="H456" i="8"/>
  <c r="H476" i="8" s="1"/>
  <c r="H457" i="8"/>
  <c r="H354" i="8"/>
  <c r="H353" i="8"/>
  <c r="H491" i="8"/>
  <c r="H492" i="8"/>
  <c r="H367" i="8"/>
  <c r="M367" i="8" s="1"/>
  <c r="H364" i="8"/>
  <c r="H365" i="8"/>
  <c r="T377" i="8"/>
  <c r="M286" i="8"/>
  <c r="F58" i="13"/>
  <c r="D59" i="23"/>
  <c r="D66" i="23"/>
  <c r="D87" i="23"/>
  <c r="D94" i="23"/>
  <c r="D418" i="8"/>
  <c r="D424" i="8" s="1"/>
  <c r="D433" i="8" s="1"/>
  <c r="D443" i="8" s="1"/>
  <c r="D446" i="8" s="1"/>
  <c r="D453" i="8" s="1"/>
  <c r="D478" i="8" s="1"/>
  <c r="D503" i="8" s="1"/>
  <c r="D549" i="8" s="1"/>
  <c r="H423" i="8"/>
  <c r="H419" i="8"/>
  <c r="H422" i="8"/>
  <c r="C422" i="8" s="1"/>
  <c r="C418" i="8"/>
  <c r="H421" i="8"/>
  <c r="C421" i="8" s="1"/>
  <c r="T418" i="8"/>
  <c r="H420" i="8"/>
  <c r="N420" i="8" s="1"/>
  <c r="N412" i="8"/>
  <c r="M412" i="8"/>
  <c r="C412" i="8"/>
  <c r="H445" i="8"/>
  <c r="T443" i="8"/>
  <c r="C443" i="8"/>
  <c r="C444" i="8" s="1"/>
  <c r="N549" i="8"/>
  <c r="M549" i="8"/>
  <c r="C549" i="8"/>
  <c r="N410" i="8"/>
  <c r="M410" i="8"/>
  <c r="C410" i="8"/>
  <c r="H468" i="8"/>
  <c r="H466" i="8"/>
  <c r="H464" i="8"/>
  <c r="H462" i="8"/>
  <c r="H469" i="8"/>
  <c r="H465" i="8"/>
  <c r="H463" i="8"/>
  <c r="H459" i="8"/>
  <c r="T453" i="8"/>
  <c r="C453" i="8"/>
  <c r="C454" i="8" s="1"/>
  <c r="H458" i="8"/>
  <c r="N416" i="8"/>
  <c r="M416" i="8"/>
  <c r="C416" i="8"/>
  <c r="H429" i="8"/>
  <c r="H430" i="8"/>
  <c r="H426" i="8"/>
  <c r="T424" i="8"/>
  <c r="C424" i="8"/>
  <c r="C425" i="8" s="1"/>
  <c r="H428" i="8"/>
  <c r="H432" i="8" s="1"/>
  <c r="H449" i="8"/>
  <c r="H448" i="8"/>
  <c r="T446" i="8"/>
  <c r="C446" i="8"/>
  <c r="C447" i="8" s="1"/>
  <c r="N415" i="8"/>
  <c r="M415" i="8"/>
  <c r="C415" i="8"/>
  <c r="H441" i="8"/>
  <c r="H439" i="8"/>
  <c r="H435" i="8"/>
  <c r="T433" i="8"/>
  <c r="C433" i="8"/>
  <c r="C434" i="8" s="1"/>
  <c r="H438" i="8"/>
  <c r="H436" i="8"/>
  <c r="H496" i="8"/>
  <c r="H494" i="8"/>
  <c r="H489" i="8"/>
  <c r="H487" i="8"/>
  <c r="H501" i="8" s="1"/>
  <c r="T478" i="8"/>
  <c r="C478" i="8"/>
  <c r="C479" i="8" s="1"/>
  <c r="H493" i="8"/>
  <c r="H490" i="8"/>
  <c r="H488" i="8"/>
  <c r="H484" i="8"/>
  <c r="N411" i="8"/>
  <c r="M411" i="8"/>
  <c r="C411" i="8"/>
  <c r="M289" i="8"/>
  <c r="N413" i="8"/>
  <c r="M413" i="8"/>
  <c r="C413" i="8"/>
  <c r="M407" i="8"/>
  <c r="C284" i="8"/>
  <c r="N284" i="8"/>
  <c r="C288" i="8"/>
  <c r="N288" i="8"/>
  <c r="C289" i="8"/>
  <c r="N289" i="8"/>
  <c r="C286" i="8"/>
  <c r="N286" i="8"/>
  <c r="C285" i="8"/>
  <c r="N285" i="8"/>
  <c r="M285" i="8"/>
  <c r="M283" i="8"/>
  <c r="M284" i="8"/>
  <c r="C318" i="8"/>
  <c r="N318" i="8"/>
  <c r="H369" i="8"/>
  <c r="H362" i="8"/>
  <c r="C351" i="8"/>
  <c r="C352" i="8" s="1"/>
  <c r="H366" i="8"/>
  <c r="H361" i="8"/>
  <c r="H357" i="8"/>
  <c r="H360" i="8"/>
  <c r="T351" i="8"/>
  <c r="H363" i="8"/>
  <c r="H341" i="8"/>
  <c r="H337" i="8"/>
  <c r="H340" i="8"/>
  <c r="H336" i="8"/>
  <c r="H332" i="8"/>
  <c r="H339" i="8"/>
  <c r="H335" i="8"/>
  <c r="H348" i="8" s="1"/>
  <c r="H331" i="8"/>
  <c r="H342" i="8"/>
  <c r="H338" i="8"/>
  <c r="H322" i="8"/>
  <c r="H321" i="8"/>
  <c r="H299" i="8"/>
  <c r="H303" i="8"/>
  <c r="H302" i="8"/>
  <c r="H301" i="8"/>
  <c r="H292" i="8"/>
  <c r="H295" i="8"/>
  <c r="H294" i="8"/>
  <c r="H293" i="8"/>
  <c r="C286" i="15"/>
  <c r="C287" i="15" s="1"/>
  <c r="C288" i="15" s="1"/>
  <c r="C289" i="15" s="1"/>
  <c r="C290" i="15" s="1"/>
  <c r="C239" i="15"/>
  <c r="C240" i="15" s="1"/>
  <c r="C226" i="15"/>
  <c r="C227" i="15" s="1"/>
  <c r="C213" i="15"/>
  <c r="C214" i="15" s="1"/>
  <c r="C200" i="15"/>
  <c r="C201" i="15" s="1"/>
  <c r="C187" i="15"/>
  <c r="C188" i="15" s="1"/>
  <c r="C174" i="15"/>
  <c r="C175" i="15" s="1"/>
  <c r="C161" i="15"/>
  <c r="C162" i="15" s="1"/>
  <c r="C122" i="15"/>
  <c r="C123" i="15" s="1"/>
  <c r="C109" i="15"/>
  <c r="C110" i="15" s="1"/>
  <c r="C96" i="15"/>
  <c r="C97" i="15" s="1"/>
  <c r="C60" i="15"/>
  <c r="C61" i="15" l="1"/>
  <c r="C62" i="15" s="1"/>
  <c r="H376" i="8"/>
  <c r="H502" i="8"/>
  <c r="N501" i="8"/>
  <c r="C501" i="8"/>
  <c r="M501" i="8"/>
  <c r="N477" i="8"/>
  <c r="M477" i="8"/>
  <c r="C477" i="8"/>
  <c r="N350" i="8"/>
  <c r="M350" i="8"/>
  <c r="C350" i="8"/>
  <c r="N482" i="8"/>
  <c r="M482" i="8"/>
  <c r="C482" i="8"/>
  <c r="N355" i="8"/>
  <c r="M355" i="8"/>
  <c r="C355" i="8"/>
  <c r="N432" i="8"/>
  <c r="M432" i="8"/>
  <c r="C432" i="8"/>
  <c r="N305" i="8"/>
  <c r="M305" i="8"/>
  <c r="C305" i="8"/>
  <c r="N371" i="8"/>
  <c r="C371" i="8"/>
  <c r="M371" i="8"/>
  <c r="P473" i="8"/>
  <c r="O473" i="8"/>
  <c r="M473" i="8"/>
  <c r="C473" i="8"/>
  <c r="N473" i="8"/>
  <c r="C373" i="8"/>
  <c r="O373" i="8"/>
  <c r="P373" i="8"/>
  <c r="M373" i="8"/>
  <c r="N373" i="8"/>
  <c r="N472" i="8"/>
  <c r="M472" i="8"/>
  <c r="C472" i="8"/>
  <c r="O472" i="8"/>
  <c r="P472" i="8"/>
  <c r="C372" i="8"/>
  <c r="O372" i="8"/>
  <c r="P372" i="8"/>
  <c r="N372" i="8"/>
  <c r="M372" i="8"/>
  <c r="M471" i="8"/>
  <c r="C471" i="8"/>
  <c r="N471" i="8"/>
  <c r="C374" i="8"/>
  <c r="M374" i="8"/>
  <c r="O374" i="8"/>
  <c r="P374" i="8"/>
  <c r="N374" i="8"/>
  <c r="N474" i="8"/>
  <c r="M474" i="8"/>
  <c r="C474" i="8"/>
  <c r="O474" i="8"/>
  <c r="P474" i="8"/>
  <c r="C345" i="8"/>
  <c r="O345" i="8"/>
  <c r="P345" i="8"/>
  <c r="N345" i="8"/>
  <c r="M345" i="8"/>
  <c r="N347" i="8"/>
  <c r="M347" i="8"/>
  <c r="C347" i="8"/>
  <c r="P347" i="8"/>
  <c r="O347" i="8"/>
  <c r="P346" i="8"/>
  <c r="O346" i="8"/>
  <c r="N346" i="8"/>
  <c r="M346" i="8"/>
  <c r="C346" i="8"/>
  <c r="C492" i="8"/>
  <c r="P492" i="8"/>
  <c r="O492" i="8"/>
  <c r="M492" i="8"/>
  <c r="N492" i="8"/>
  <c r="H368" i="8"/>
  <c r="N368" i="8" s="1"/>
  <c r="N367" i="8"/>
  <c r="C365" i="8"/>
  <c r="P365" i="8"/>
  <c r="N365" i="8"/>
  <c r="O365" i="8"/>
  <c r="M365" i="8"/>
  <c r="N419" i="8"/>
  <c r="N296" i="8"/>
  <c r="C296" i="8"/>
  <c r="M422" i="8"/>
  <c r="N422" i="8"/>
  <c r="C420" i="8"/>
  <c r="N421" i="8"/>
  <c r="M421" i="8"/>
  <c r="C419" i="8"/>
  <c r="M419" i="8"/>
  <c r="N282" i="8"/>
  <c r="F82" i="10" s="1"/>
  <c r="F81" i="10" s="1"/>
  <c r="M282" i="8"/>
  <c r="M409" i="8"/>
  <c r="N409" i="8"/>
  <c r="F110" i="10" s="1"/>
  <c r="F109" i="10" s="1"/>
  <c r="N484" i="8"/>
  <c r="H486" i="8"/>
  <c r="M484" i="8"/>
  <c r="C484" i="8"/>
  <c r="N497" i="8"/>
  <c r="M497" i="8"/>
  <c r="C497" i="8"/>
  <c r="H485" i="8"/>
  <c r="M483" i="8"/>
  <c r="C483" i="8"/>
  <c r="N483" i="8"/>
  <c r="M494" i="8"/>
  <c r="C494" i="8"/>
  <c r="H495" i="8"/>
  <c r="N494" i="8"/>
  <c r="H437" i="8"/>
  <c r="H440" i="8"/>
  <c r="M436" i="8"/>
  <c r="C436" i="8"/>
  <c r="N436" i="8"/>
  <c r="N448" i="8"/>
  <c r="H452" i="8"/>
  <c r="M448" i="8"/>
  <c r="C448" i="8"/>
  <c r="N488" i="8"/>
  <c r="M488" i="8"/>
  <c r="C488" i="8"/>
  <c r="M487" i="8"/>
  <c r="C487" i="8"/>
  <c r="N487" i="8"/>
  <c r="M496" i="8"/>
  <c r="C496" i="8"/>
  <c r="N496" i="8"/>
  <c r="M438" i="8"/>
  <c r="C438" i="8"/>
  <c r="N438" i="8"/>
  <c r="M439" i="8"/>
  <c r="C439" i="8"/>
  <c r="N439" i="8"/>
  <c r="C429" i="8"/>
  <c r="N429" i="8"/>
  <c r="N456" i="8"/>
  <c r="M456" i="8"/>
  <c r="C456" i="8"/>
  <c r="M455" i="8"/>
  <c r="C455" i="8"/>
  <c r="N455" i="8"/>
  <c r="M465" i="8"/>
  <c r="C465" i="8"/>
  <c r="N465" i="8"/>
  <c r="H475" i="8"/>
  <c r="M462" i="8"/>
  <c r="C462" i="8"/>
  <c r="N462" i="8"/>
  <c r="M470" i="8"/>
  <c r="C470" i="8"/>
  <c r="N470" i="8"/>
  <c r="N490" i="8"/>
  <c r="M490" i="8"/>
  <c r="C490" i="8"/>
  <c r="M489" i="8"/>
  <c r="C489" i="8"/>
  <c r="N489" i="8"/>
  <c r="M441" i="8"/>
  <c r="C441" i="8"/>
  <c r="H442" i="8"/>
  <c r="N441" i="8"/>
  <c r="H451" i="8"/>
  <c r="M449" i="8"/>
  <c r="C449" i="8"/>
  <c r="H450" i="8"/>
  <c r="N449" i="8"/>
  <c r="N458" i="8"/>
  <c r="H460" i="8"/>
  <c r="M458" i="8"/>
  <c r="C458" i="8"/>
  <c r="M457" i="8"/>
  <c r="C457" i="8"/>
  <c r="N457" i="8"/>
  <c r="M467" i="8"/>
  <c r="C467" i="8"/>
  <c r="N467" i="8"/>
  <c r="M464" i="8"/>
  <c r="C464" i="8"/>
  <c r="N464" i="8"/>
  <c r="C445" i="8"/>
  <c r="N445" i="8"/>
  <c r="N481" i="8"/>
  <c r="M481" i="8"/>
  <c r="C481" i="8"/>
  <c r="N493" i="8"/>
  <c r="M493" i="8"/>
  <c r="C493" i="8"/>
  <c r="M480" i="8"/>
  <c r="C480" i="8"/>
  <c r="N480" i="8"/>
  <c r="M491" i="8"/>
  <c r="C491" i="8"/>
  <c r="N491" i="8"/>
  <c r="H427" i="8"/>
  <c r="M426" i="8"/>
  <c r="C426" i="8"/>
  <c r="N426" i="8"/>
  <c r="M459" i="8"/>
  <c r="C459" i="8"/>
  <c r="H461" i="8"/>
  <c r="N459" i="8"/>
  <c r="N469" i="8"/>
  <c r="M469" i="8"/>
  <c r="C469" i="8"/>
  <c r="M466" i="8"/>
  <c r="C466" i="8"/>
  <c r="N466" i="8"/>
  <c r="M435" i="8"/>
  <c r="C435" i="8"/>
  <c r="N435" i="8"/>
  <c r="N428" i="8"/>
  <c r="M428" i="8"/>
  <c r="C428" i="8"/>
  <c r="C430" i="8"/>
  <c r="N430" i="8"/>
  <c r="M463" i="8"/>
  <c r="C463" i="8"/>
  <c r="N463" i="8"/>
  <c r="M468" i="8"/>
  <c r="C468" i="8"/>
  <c r="N468" i="8"/>
  <c r="C295" i="8"/>
  <c r="N295" i="8"/>
  <c r="M295" i="8"/>
  <c r="C303" i="8"/>
  <c r="N303" i="8"/>
  <c r="C330" i="8"/>
  <c r="N330" i="8"/>
  <c r="M330" i="8"/>
  <c r="N335" i="8"/>
  <c r="M335" i="8"/>
  <c r="N332" i="8"/>
  <c r="M332" i="8"/>
  <c r="C329" i="8"/>
  <c r="N329" i="8"/>
  <c r="M329" i="8"/>
  <c r="C363" i="8"/>
  <c r="N363" i="8"/>
  <c r="M363" i="8"/>
  <c r="C360" i="8"/>
  <c r="N360" i="8"/>
  <c r="H375" i="8"/>
  <c r="M360" i="8"/>
  <c r="C361" i="8"/>
  <c r="N361" i="8"/>
  <c r="M361" i="8"/>
  <c r="C362" i="8"/>
  <c r="N362" i="8"/>
  <c r="M362" i="8"/>
  <c r="C292" i="8"/>
  <c r="N292" i="8"/>
  <c r="M292" i="8"/>
  <c r="N299" i="8"/>
  <c r="M299" i="8"/>
  <c r="C338" i="8"/>
  <c r="N338" i="8"/>
  <c r="M338" i="8"/>
  <c r="C339" i="8"/>
  <c r="N339" i="8"/>
  <c r="M339" i="8"/>
  <c r="C336" i="8"/>
  <c r="N336" i="8"/>
  <c r="M336" i="8"/>
  <c r="C337" i="8"/>
  <c r="N337" i="8"/>
  <c r="M337" i="8"/>
  <c r="C370" i="8"/>
  <c r="N370" i="8"/>
  <c r="M370" i="8"/>
  <c r="C364" i="8"/>
  <c r="N364" i="8"/>
  <c r="M364" i="8"/>
  <c r="C366" i="8"/>
  <c r="N366" i="8"/>
  <c r="M366" i="8"/>
  <c r="C369" i="8"/>
  <c r="N369" i="8"/>
  <c r="M369" i="8"/>
  <c r="C301" i="8"/>
  <c r="N301" i="8"/>
  <c r="M301" i="8"/>
  <c r="N321" i="8"/>
  <c r="M321" i="8"/>
  <c r="C342" i="8"/>
  <c r="N342" i="8"/>
  <c r="M342" i="8"/>
  <c r="C343" i="8"/>
  <c r="N343" i="8"/>
  <c r="M343" i="8"/>
  <c r="C340" i="8"/>
  <c r="N340" i="8"/>
  <c r="M340" i="8"/>
  <c r="C341" i="8"/>
  <c r="N341" i="8"/>
  <c r="M341" i="8"/>
  <c r="C293" i="8"/>
  <c r="N293" i="8"/>
  <c r="C294" i="8"/>
  <c r="N294" i="8"/>
  <c r="M294" i="8"/>
  <c r="C302" i="8"/>
  <c r="N302" i="8"/>
  <c r="N322" i="8"/>
  <c r="M322" i="8"/>
  <c r="N331" i="8"/>
  <c r="M331" i="8"/>
  <c r="N328" i="8"/>
  <c r="M328" i="8"/>
  <c r="C344" i="8"/>
  <c r="N344" i="8"/>
  <c r="M344" i="8"/>
  <c r="C354" i="8"/>
  <c r="N354" i="8"/>
  <c r="M354" i="8"/>
  <c r="N356" i="8"/>
  <c r="M356" i="8"/>
  <c r="N357" i="8"/>
  <c r="M357" i="8"/>
  <c r="N353" i="8"/>
  <c r="M353" i="8"/>
  <c r="C335" i="8"/>
  <c r="C332" i="8"/>
  <c r="H334" i="8"/>
  <c r="C321" i="8"/>
  <c r="H325" i="8"/>
  <c r="H323" i="8"/>
  <c r="C322" i="8"/>
  <c r="H324" i="8"/>
  <c r="C328" i="8"/>
  <c r="H358" i="8"/>
  <c r="C356" i="8"/>
  <c r="C357" i="8"/>
  <c r="H359" i="8"/>
  <c r="C353" i="8"/>
  <c r="H333" i="8"/>
  <c r="C331" i="8"/>
  <c r="H300" i="8"/>
  <c r="C299" i="8"/>
  <c r="M368" i="8" l="1"/>
  <c r="F106" i="11"/>
  <c r="H106" i="11" s="1"/>
  <c r="I106" i="11" s="1"/>
  <c r="J106" i="11" s="1"/>
  <c r="C409" i="8"/>
  <c r="C408" i="8" s="1"/>
  <c r="F104" i="11"/>
  <c r="H104" i="11" s="1"/>
  <c r="I104" i="11" s="1"/>
  <c r="J104" i="11" s="1"/>
  <c r="C282" i="8"/>
  <c r="C281" i="8" s="1"/>
  <c r="N423" i="8"/>
  <c r="C423" i="8"/>
  <c r="M502" i="8"/>
  <c r="C502" i="8"/>
  <c r="N502" i="8"/>
  <c r="N460" i="8"/>
  <c r="M460" i="8"/>
  <c r="C460" i="8"/>
  <c r="M437" i="8"/>
  <c r="C437" i="8"/>
  <c r="N437" i="8"/>
  <c r="N495" i="8"/>
  <c r="M495" i="8"/>
  <c r="C495" i="8"/>
  <c r="N486" i="8"/>
  <c r="M486" i="8"/>
  <c r="C486" i="8"/>
  <c r="M475" i="8"/>
  <c r="C475" i="8"/>
  <c r="N475" i="8"/>
  <c r="N452" i="8"/>
  <c r="M452" i="8"/>
  <c r="C452" i="8"/>
  <c r="N461" i="8"/>
  <c r="M461" i="8"/>
  <c r="C461" i="8"/>
  <c r="N476" i="8"/>
  <c r="M476" i="8"/>
  <c r="C476" i="8"/>
  <c r="N440" i="8"/>
  <c r="M440" i="8"/>
  <c r="C440" i="8"/>
  <c r="M485" i="8"/>
  <c r="C485" i="8"/>
  <c r="N485" i="8"/>
  <c r="H431" i="8"/>
  <c r="M427" i="8"/>
  <c r="C427" i="8"/>
  <c r="N427" i="8"/>
  <c r="N450" i="8"/>
  <c r="M450" i="8"/>
  <c r="C450" i="8"/>
  <c r="M451" i="8"/>
  <c r="C451" i="8"/>
  <c r="N451" i="8"/>
  <c r="N442" i="8"/>
  <c r="M442" i="8"/>
  <c r="C442" i="8"/>
  <c r="C376" i="8"/>
  <c r="N376" i="8"/>
  <c r="M376" i="8"/>
  <c r="N300" i="8"/>
  <c r="M300" i="8"/>
  <c r="C359" i="8"/>
  <c r="N359" i="8"/>
  <c r="M359" i="8"/>
  <c r="C349" i="8"/>
  <c r="N349" i="8"/>
  <c r="M349" i="8"/>
  <c r="C323" i="8"/>
  <c r="N323" i="8"/>
  <c r="M323" i="8"/>
  <c r="N375" i="8"/>
  <c r="C375" i="8"/>
  <c r="M375" i="8"/>
  <c r="C325" i="8"/>
  <c r="N325" i="8"/>
  <c r="M325" i="8"/>
  <c r="C324" i="8"/>
  <c r="N324" i="8"/>
  <c r="M324" i="8"/>
  <c r="C333" i="8"/>
  <c r="N333" i="8"/>
  <c r="M333" i="8"/>
  <c r="C348" i="8"/>
  <c r="N348" i="8"/>
  <c r="M348" i="8"/>
  <c r="C358" i="8"/>
  <c r="N358" i="8"/>
  <c r="M358" i="8"/>
  <c r="C334" i="8"/>
  <c r="N334" i="8"/>
  <c r="M334" i="8"/>
  <c r="C300" i="8"/>
  <c r="H304" i="8"/>
  <c r="C368" i="8"/>
  <c r="C367" i="8"/>
  <c r="N498" i="8" l="1"/>
  <c r="O498" i="8"/>
  <c r="M498" i="8"/>
  <c r="C498" i="8"/>
  <c r="P498" i="8"/>
  <c r="N500" i="8"/>
  <c r="M500" i="8"/>
  <c r="C500" i="8"/>
  <c r="P500" i="8"/>
  <c r="O500" i="8"/>
  <c r="P499" i="8"/>
  <c r="M499" i="8"/>
  <c r="C499" i="8"/>
  <c r="O499" i="8"/>
  <c r="N499" i="8"/>
  <c r="C431" i="8"/>
  <c r="N431" i="8"/>
  <c r="C304" i="8"/>
  <c r="N304" i="8"/>
  <c r="E67" i="24"/>
  <c r="E53" i="24"/>
  <c r="L103" i="24"/>
  <c r="N417" i="8" l="1"/>
  <c r="G94" i="9" s="1"/>
  <c r="G93" i="9" s="1"/>
  <c r="H248" i="1" l="1"/>
  <c r="H1338" i="8" l="1"/>
  <c r="I1339" i="8"/>
  <c r="H1339" i="8"/>
  <c r="C1339" i="8" s="1"/>
  <c r="G1339" i="8"/>
  <c r="F1339" i="8"/>
  <c r="E1339" i="8"/>
  <c r="I1338" i="8"/>
  <c r="G1338" i="8"/>
  <c r="F1338" i="8"/>
  <c r="E1338" i="8"/>
  <c r="I1337" i="8"/>
  <c r="G1337" i="8"/>
  <c r="F1337" i="8"/>
  <c r="E1337" i="8"/>
  <c r="C291" i="15"/>
  <c r="C292" i="15" s="1"/>
  <c r="C293" i="15" s="1"/>
  <c r="C294" i="15" s="1"/>
  <c r="I790" i="8" l="1"/>
  <c r="I902" i="8"/>
  <c r="I445" i="8"/>
  <c r="M445" i="8" s="1"/>
  <c r="I318" i="8"/>
  <c r="M318" i="8" s="1"/>
  <c r="I2641" i="8"/>
  <c r="M2641" i="8" s="1"/>
  <c r="I2434" i="8"/>
  <c r="C1338" i="8"/>
  <c r="N1338" i="8"/>
  <c r="M1339" i="8"/>
  <c r="M1338" i="8"/>
  <c r="N1339" i="8"/>
  <c r="F1330" i="8" l="1"/>
  <c r="F1329" i="8"/>
  <c r="F1328" i="8"/>
  <c r="F1130" i="8"/>
  <c r="F1129" i="8"/>
  <c r="F1128" i="8"/>
  <c r="F629" i="8"/>
  <c r="F628" i="8"/>
  <c r="F627" i="8"/>
  <c r="S240" i="15" l="1"/>
  <c r="R240" i="15"/>
  <c r="S239" i="15"/>
  <c r="R239" i="15"/>
  <c r="S227" i="15"/>
  <c r="R227" i="15"/>
  <c r="S226" i="15"/>
  <c r="R226" i="15"/>
  <c r="S214" i="15"/>
  <c r="R214" i="15"/>
  <c r="S213" i="15"/>
  <c r="R213" i="15"/>
  <c r="S201" i="15"/>
  <c r="R201" i="15"/>
  <c r="S200" i="15"/>
  <c r="R200" i="15"/>
  <c r="S188" i="15"/>
  <c r="R188" i="15"/>
  <c r="S187" i="15"/>
  <c r="R187" i="15"/>
  <c r="S175" i="15"/>
  <c r="R175" i="15"/>
  <c r="S174" i="15"/>
  <c r="R174" i="15"/>
  <c r="S162" i="15"/>
  <c r="R162" i="15"/>
  <c r="S161" i="15"/>
  <c r="R161" i="15"/>
  <c r="S123" i="15"/>
  <c r="R123" i="15"/>
  <c r="S122" i="15"/>
  <c r="R122" i="15"/>
  <c r="S110" i="15"/>
  <c r="R110" i="15"/>
  <c r="S109" i="15"/>
  <c r="R109" i="15"/>
  <c r="S97" i="15"/>
  <c r="R97" i="15"/>
  <c r="S96" i="15"/>
  <c r="R96" i="15"/>
  <c r="S69" i="15"/>
  <c r="R69" i="15"/>
  <c r="S68" i="15"/>
  <c r="R68" i="15"/>
  <c r="G594" i="1"/>
  <c r="G595" i="1"/>
  <c r="L1787" i="8" s="1"/>
  <c r="P1787" i="8" s="1"/>
  <c r="G596" i="1"/>
  <c r="G597" i="1"/>
  <c r="G598" i="1"/>
  <c r="G593" i="1"/>
  <c r="P1671" i="8" l="1"/>
  <c r="P1401" i="8"/>
  <c r="P1643" i="8"/>
  <c r="P2258" i="8"/>
  <c r="L2080" i="8"/>
  <c r="P2080" i="8" s="1"/>
  <c r="P1949" i="8"/>
  <c r="P1814" i="8"/>
  <c r="P1544" i="8"/>
  <c r="P1423" i="8"/>
  <c r="P2033" i="8"/>
  <c r="P2199" i="8"/>
  <c r="P1925" i="8"/>
  <c r="P1764" i="8"/>
  <c r="P1504" i="8"/>
  <c r="P2198" i="8"/>
  <c r="P2031" i="8"/>
  <c r="P1924" i="8"/>
  <c r="L2079" i="8"/>
  <c r="P2079" i="8" s="1"/>
  <c r="P2257" i="8"/>
  <c r="P1812" i="8"/>
  <c r="L1765" i="8"/>
  <c r="P1765" i="8" s="1"/>
  <c r="P1948" i="8"/>
  <c r="L1505" i="8"/>
  <c r="P1505" i="8" s="1"/>
  <c r="P1422" i="8"/>
  <c r="P1402" i="8"/>
  <c r="P459" i="8"/>
  <c r="P484" i="8"/>
  <c r="P357" i="8"/>
  <c r="P332" i="8"/>
  <c r="P458" i="8"/>
  <c r="P331" i="8"/>
  <c r="P483" i="8"/>
  <c r="P356" i="8"/>
  <c r="G645" i="5"/>
  <c r="G126" i="5"/>
  <c r="P326" i="5" l="1"/>
  <c r="H326" i="5"/>
  <c r="F326" i="5"/>
  <c r="E326" i="5"/>
  <c r="D326" i="5"/>
  <c r="H315" i="5"/>
  <c r="P315" i="5"/>
  <c r="F315" i="5"/>
  <c r="E315" i="5"/>
  <c r="D315" i="5"/>
  <c r="H304" i="5"/>
  <c r="P304" i="5"/>
  <c r="F304" i="5"/>
  <c r="E304" i="5"/>
  <c r="D304" i="5"/>
  <c r="I1282" i="8"/>
  <c r="G1282" i="8"/>
  <c r="F1282" i="8"/>
  <c r="E1282" i="8"/>
  <c r="I1103" i="8"/>
  <c r="G1103" i="8"/>
  <c r="F1103" i="8"/>
  <c r="E1103" i="8"/>
  <c r="I1009" i="8"/>
  <c r="G1009" i="8"/>
  <c r="F1009" i="8"/>
  <c r="E1009" i="8"/>
  <c r="I581" i="8"/>
  <c r="G581" i="8"/>
  <c r="F581" i="8"/>
  <c r="E581" i="8"/>
  <c r="N326" i="5" l="1"/>
  <c r="R326" i="5"/>
  <c r="O326" i="5"/>
  <c r="O315" i="5"/>
  <c r="N315" i="5"/>
  <c r="R315" i="5"/>
  <c r="N304" i="5"/>
  <c r="R304" i="5"/>
  <c r="O304" i="5"/>
  <c r="C855" i="5" l="1"/>
  <c r="C854" i="5"/>
  <c r="C856" i="5"/>
  <c r="C857" i="5"/>
  <c r="C858" i="5"/>
  <c r="C862" i="5"/>
  <c r="H855" i="5"/>
  <c r="F855" i="5"/>
  <c r="E855" i="5"/>
  <c r="D855" i="5"/>
  <c r="G861" i="5"/>
  <c r="H861" i="5"/>
  <c r="F861" i="5"/>
  <c r="E861" i="5"/>
  <c r="D861" i="5"/>
  <c r="C861" i="5" l="1"/>
  <c r="A184" i="10"/>
  <c r="A182" i="10"/>
  <c r="A180" i="10"/>
  <c r="E177" i="5" l="1"/>
  <c r="G87" i="16" l="1"/>
  <c r="G89" i="16"/>
  <c r="G90" i="16"/>
  <c r="G91" i="16"/>
  <c r="G92" i="16"/>
  <c r="G93" i="16"/>
  <c r="G94" i="16"/>
  <c r="G95" i="16"/>
  <c r="G96" i="16"/>
  <c r="C295" i="15"/>
  <c r="C296" i="15" s="1"/>
  <c r="C297" i="15" s="1"/>
  <c r="I1270" i="8"/>
  <c r="G1270" i="8"/>
  <c r="F1270" i="8"/>
  <c r="E1270" i="8"/>
  <c r="I1091" i="8"/>
  <c r="G1091" i="8"/>
  <c r="F1091" i="8"/>
  <c r="E1091" i="8"/>
  <c r="I996" i="8"/>
  <c r="G996" i="8"/>
  <c r="F996" i="8"/>
  <c r="E996" i="8"/>
  <c r="G663" i="8"/>
  <c r="F663" i="8"/>
  <c r="E663" i="8"/>
  <c r="C663" i="8"/>
  <c r="G573" i="8"/>
  <c r="F573" i="8"/>
  <c r="E573" i="8"/>
  <c r="BT359" i="2" l="1"/>
  <c r="BS359" i="2"/>
  <c r="BT189" i="2"/>
  <c r="BS189" i="2"/>
  <c r="BT26" i="2"/>
  <c r="BS26" i="2"/>
  <c r="E615" i="5"/>
  <c r="E606" i="5"/>
  <c r="BS361" i="2" l="1"/>
  <c r="BT361" i="2"/>
  <c r="H384" i="5"/>
  <c r="N384" i="5" s="1"/>
  <c r="R385" i="5"/>
  <c r="P385" i="5"/>
  <c r="O385" i="5"/>
  <c r="N385" i="5"/>
  <c r="F385" i="5"/>
  <c r="E385" i="5"/>
  <c r="D385" i="5"/>
  <c r="R384" i="5"/>
  <c r="P384" i="5"/>
  <c r="O384" i="5"/>
  <c r="F384" i="5"/>
  <c r="E384" i="5"/>
  <c r="D384" i="5"/>
  <c r="AD383" i="5"/>
  <c r="AK383" i="5" s="1"/>
  <c r="AD382" i="5"/>
  <c r="AB382" i="5"/>
  <c r="H371" i="5"/>
  <c r="N371" i="5" s="1"/>
  <c r="R372" i="5"/>
  <c r="P372" i="5"/>
  <c r="O372" i="5"/>
  <c r="N372" i="5"/>
  <c r="F372" i="5"/>
  <c r="E372" i="5"/>
  <c r="D372" i="5"/>
  <c r="R371" i="5"/>
  <c r="P371" i="5"/>
  <c r="O371" i="5"/>
  <c r="F371" i="5"/>
  <c r="E371" i="5"/>
  <c r="D371" i="5"/>
  <c r="AD370" i="5"/>
  <c r="AK370" i="5" s="1"/>
  <c r="AD369" i="5"/>
  <c r="P382" i="5" l="1"/>
  <c r="R382" i="5"/>
  <c r="O382" i="5"/>
  <c r="P369" i="5"/>
  <c r="O369" i="5"/>
  <c r="R369" i="5"/>
  <c r="N369" i="5"/>
  <c r="AB384" i="5"/>
  <c r="AB385" i="5"/>
  <c r="N382" i="5"/>
  <c r="AL382" i="5"/>
  <c r="AI383" i="5"/>
  <c r="AF383" i="5"/>
  <c r="AJ383" i="5"/>
  <c r="AH383" i="5"/>
  <c r="AL383" i="5"/>
  <c r="AE383" i="5"/>
  <c r="AG383" i="5"/>
  <c r="AH370" i="5"/>
  <c r="AL370" i="5"/>
  <c r="AE370" i="5"/>
  <c r="AI370" i="5"/>
  <c r="AF370" i="5"/>
  <c r="AJ370" i="5"/>
  <c r="AG370" i="5"/>
  <c r="EL359" i="2"/>
  <c r="EL189" i="2"/>
  <c r="EL26" i="2"/>
  <c r="EZ359" i="2"/>
  <c r="EZ189" i="2"/>
  <c r="EZ26" i="2"/>
  <c r="ES359" i="2"/>
  <c r="ES189" i="2"/>
  <c r="ES26" i="2"/>
  <c r="EI359" i="2"/>
  <c r="EI189" i="2"/>
  <c r="EI26" i="2"/>
  <c r="ED359" i="2"/>
  <c r="ED189" i="2"/>
  <c r="ED26" i="2"/>
  <c r="ED361" i="2" l="1"/>
  <c r="E83" i="16"/>
  <c r="G83" i="16" s="1"/>
  <c r="EZ361" i="2"/>
  <c r="E78" i="16"/>
  <c r="G78" i="16" s="1"/>
  <c r="ES361" i="2"/>
  <c r="G22" i="15" s="1"/>
  <c r="E76" i="16"/>
  <c r="E77" i="16" s="1"/>
  <c r="G77" i="16" s="1"/>
  <c r="EI361" i="2"/>
  <c r="EL361" i="2"/>
  <c r="T359" i="2"/>
  <c r="T189" i="2"/>
  <c r="T26" i="2"/>
  <c r="E21" i="6"/>
  <c r="D21" i="6"/>
  <c r="E20" i="6"/>
  <c r="D20" i="6"/>
  <c r="AK359" i="2"/>
  <c r="AK189" i="2"/>
  <c r="AK26" i="2"/>
  <c r="AP359" i="2"/>
  <c r="AP189" i="2"/>
  <c r="AP26" i="2"/>
  <c r="BD359" i="2"/>
  <c r="BC359" i="2"/>
  <c r="BD189" i="2"/>
  <c r="BC189" i="2"/>
  <c r="BD26" i="2"/>
  <c r="BC26" i="2"/>
  <c r="N22" i="15" l="1"/>
  <c r="E59" i="16"/>
  <c r="G59" i="16" s="1"/>
  <c r="G76" i="16"/>
  <c r="T361" i="2"/>
  <c r="BC361" i="2"/>
  <c r="AK361" i="2"/>
  <c r="BD361" i="2"/>
  <c r="AP361" i="2"/>
  <c r="V267" i="5" s="1"/>
  <c r="B18" i="11"/>
  <c r="A85" i="24"/>
  <c r="A71" i="24"/>
  <c r="A57" i="24"/>
  <c r="A43" i="24"/>
  <c r="A29" i="24"/>
  <c r="A16" i="24"/>
  <c r="E86" i="24"/>
  <c r="A83" i="24"/>
  <c r="A82" i="24"/>
  <c r="E81" i="24"/>
  <c r="E80" i="24"/>
  <c r="A78" i="24"/>
  <c r="A77" i="24"/>
  <c r="A76" i="24"/>
  <c r="E72" i="24"/>
  <c r="A69" i="24"/>
  <c r="A68" i="24"/>
  <c r="E66" i="24"/>
  <c r="A64" i="24"/>
  <c r="A63" i="24"/>
  <c r="A62" i="24"/>
  <c r="E58" i="24"/>
  <c r="A55" i="24"/>
  <c r="A54" i="24"/>
  <c r="E52" i="24"/>
  <c r="A50" i="24"/>
  <c r="A49" i="24"/>
  <c r="A48" i="24"/>
  <c r="E44" i="24"/>
  <c r="A41" i="24"/>
  <c r="A40" i="24"/>
  <c r="E39" i="24"/>
  <c r="E38" i="24"/>
  <c r="A36" i="24"/>
  <c r="A35" i="24"/>
  <c r="A34" i="24"/>
  <c r="E30" i="24"/>
  <c r="A27" i="24"/>
  <c r="A26" i="24"/>
  <c r="E25" i="24"/>
  <c r="E24" i="24"/>
  <c r="A22" i="24"/>
  <c r="A21" i="24"/>
  <c r="A20" i="24"/>
  <c r="A14" i="24"/>
  <c r="A13" i="24"/>
  <c r="A9" i="24"/>
  <c r="A8" i="24"/>
  <c r="A7" i="24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9" i="25"/>
  <c r="L90" i="24"/>
  <c r="E76" i="24" s="1"/>
  <c r="AF267" i="5" l="1"/>
  <c r="U267" i="5"/>
  <c r="E34" i="24"/>
  <c r="E48" i="24"/>
  <c r="E62" i="24"/>
  <c r="E20" i="24"/>
  <c r="F78" i="24"/>
  <c r="F36" i="24"/>
  <c r="F50" i="24"/>
  <c r="F62" i="24"/>
  <c r="F64" i="24"/>
  <c r="C8" i="25"/>
  <c r="D8" i="25" s="1"/>
  <c r="F22" i="24"/>
  <c r="F77" i="24"/>
  <c r="F63" i="24"/>
  <c r="F48" i="24"/>
  <c r="F76" i="24"/>
  <c r="F35" i="24"/>
  <c r="F49" i="24"/>
  <c r="F34" i="24"/>
  <c r="F21" i="24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Q9" i="25"/>
  <c r="R9" i="25"/>
  <c r="P9" i="25"/>
  <c r="L111" i="24"/>
  <c r="L96" i="24"/>
  <c r="L104" i="24"/>
  <c r="L93" i="24" s="1"/>
  <c r="AE267" i="5" l="1"/>
  <c r="G267" i="5"/>
  <c r="C267" i="5" s="1"/>
  <c r="F20" i="24"/>
  <c r="F23" i="24" s="1"/>
  <c r="F38" i="24"/>
  <c r="F80" i="24"/>
  <c r="F52" i="24"/>
  <c r="F37" i="24"/>
  <c r="F83" i="24"/>
  <c r="F51" i="24"/>
  <c r="F69" i="24"/>
  <c r="F79" i="24"/>
  <c r="F24" i="24"/>
  <c r="F66" i="24"/>
  <c r="F65" i="24"/>
  <c r="F68" i="24"/>
  <c r="R8" i="25"/>
  <c r="F10" i="24" s="1"/>
  <c r="Q8" i="25"/>
  <c r="F9" i="24" s="1"/>
  <c r="F11" i="24" s="1"/>
  <c r="P8" i="25"/>
  <c r="F7" i="24" s="1"/>
  <c r="S40" i="8"/>
  <c r="T40" i="8" s="1"/>
  <c r="F6" i="24" l="1"/>
  <c r="F12" i="24" s="1"/>
  <c r="F13" i="24" s="1"/>
  <c r="C270" i="5"/>
  <c r="C268" i="5"/>
  <c r="C283" i="5"/>
  <c r="C273" i="5"/>
  <c r="C274" i="5"/>
  <c r="C271" i="5"/>
  <c r="C276" i="5"/>
  <c r="C277" i="5"/>
  <c r="C278" i="5"/>
  <c r="C275" i="5"/>
  <c r="C280" i="5"/>
  <c r="C281" i="5"/>
  <c r="C282" i="5"/>
  <c r="C279" i="5"/>
  <c r="C284" i="5"/>
  <c r="C269" i="5"/>
  <c r="F81" i="24"/>
  <c r="F39" i="24"/>
  <c r="F26" i="24"/>
  <c r="F53" i="24"/>
  <c r="F67" i="24"/>
  <c r="F70" i="24" s="1"/>
  <c r="F71" i="24" s="1"/>
  <c r="F82" i="24"/>
  <c r="F25" i="24"/>
  <c r="F55" i="24"/>
  <c r="F54" i="24"/>
  <c r="F27" i="24"/>
  <c r="F41" i="24"/>
  <c r="F40" i="24"/>
  <c r="AA74" i="3"/>
  <c r="AA55" i="3"/>
  <c r="AA31" i="3"/>
  <c r="Y74" i="3"/>
  <c r="Y55" i="3"/>
  <c r="Y31" i="3"/>
  <c r="E666" i="5"/>
  <c r="E176" i="5"/>
  <c r="E175" i="5"/>
  <c r="E174" i="5"/>
  <c r="S210" i="5"/>
  <c r="Q210" i="5"/>
  <c r="O210" i="5"/>
  <c r="N210" i="5"/>
  <c r="F210" i="5"/>
  <c r="E210" i="5"/>
  <c r="D210" i="5"/>
  <c r="S212" i="5"/>
  <c r="Q212" i="5"/>
  <c r="O212" i="5"/>
  <c r="N212" i="5"/>
  <c r="F212" i="5"/>
  <c r="E212" i="5"/>
  <c r="D212" i="5"/>
  <c r="S211" i="5"/>
  <c r="Q211" i="5"/>
  <c r="O211" i="5"/>
  <c r="N211" i="5"/>
  <c r="F211" i="5"/>
  <c r="E211" i="5"/>
  <c r="D211" i="5"/>
  <c r="S209" i="5"/>
  <c r="Q209" i="5"/>
  <c r="O209" i="5"/>
  <c r="N209" i="5"/>
  <c r="F209" i="5"/>
  <c r="E209" i="5"/>
  <c r="D209" i="5"/>
  <c r="R203" i="5"/>
  <c r="P203" i="5"/>
  <c r="O203" i="5"/>
  <c r="F203" i="5"/>
  <c r="E203" i="5"/>
  <c r="R202" i="5"/>
  <c r="P202" i="5"/>
  <c r="O202" i="5"/>
  <c r="F202" i="5"/>
  <c r="E202" i="5"/>
  <c r="D202" i="5"/>
  <c r="R201" i="5"/>
  <c r="P201" i="5"/>
  <c r="O201" i="5"/>
  <c r="F201" i="5"/>
  <c r="E201" i="5"/>
  <c r="D201" i="5"/>
  <c r="R200" i="5"/>
  <c r="P200" i="5"/>
  <c r="O200" i="5"/>
  <c r="F200" i="5"/>
  <c r="E200" i="5"/>
  <c r="D200" i="5"/>
  <c r="S199" i="5"/>
  <c r="Q199" i="5"/>
  <c r="N199" i="5"/>
  <c r="I199" i="5"/>
  <c r="O199" i="5" s="1"/>
  <c r="F199" i="5"/>
  <c r="E199" i="5"/>
  <c r="D199" i="5"/>
  <c r="S198" i="5"/>
  <c r="Q198" i="5"/>
  <c r="N198" i="5"/>
  <c r="I198" i="5"/>
  <c r="O198" i="5" s="1"/>
  <c r="F198" i="5"/>
  <c r="E198" i="5"/>
  <c r="D198" i="5"/>
  <c r="S197" i="5"/>
  <c r="Q197" i="5"/>
  <c r="N197" i="5"/>
  <c r="I197" i="5"/>
  <c r="O197" i="5" s="1"/>
  <c r="F197" i="5"/>
  <c r="E197" i="5"/>
  <c r="D197" i="5"/>
  <c r="AD196" i="5"/>
  <c r="AI196" i="5" s="1"/>
  <c r="AD195" i="5"/>
  <c r="AB195" i="5"/>
  <c r="S175" i="5"/>
  <c r="Q175" i="5"/>
  <c r="O175" i="5"/>
  <c r="N175" i="5"/>
  <c r="F175" i="5"/>
  <c r="D175" i="5"/>
  <c r="S177" i="5"/>
  <c r="Q177" i="5"/>
  <c r="O177" i="5"/>
  <c r="N177" i="5"/>
  <c r="F177" i="5"/>
  <c r="D177" i="5"/>
  <c r="S176" i="5"/>
  <c r="Q176" i="5"/>
  <c r="O176" i="5"/>
  <c r="N176" i="5"/>
  <c r="F176" i="5"/>
  <c r="D176" i="5"/>
  <c r="S174" i="5"/>
  <c r="Q174" i="5"/>
  <c r="O174" i="5"/>
  <c r="N174" i="5"/>
  <c r="F174" i="5"/>
  <c r="D174" i="5"/>
  <c r="S168" i="5"/>
  <c r="Q168" i="5"/>
  <c r="N168" i="5"/>
  <c r="I168" i="5"/>
  <c r="O168" i="5" s="1"/>
  <c r="F168" i="5"/>
  <c r="E168" i="5"/>
  <c r="D168" i="5"/>
  <c r="S167" i="5"/>
  <c r="Q167" i="5"/>
  <c r="N167" i="5"/>
  <c r="I167" i="5"/>
  <c r="O167" i="5" s="1"/>
  <c r="F167" i="5"/>
  <c r="E167" i="5"/>
  <c r="D167" i="5"/>
  <c r="Q166" i="5"/>
  <c r="N166" i="5"/>
  <c r="I166" i="5"/>
  <c r="O166" i="5" s="1"/>
  <c r="F166" i="5"/>
  <c r="E166" i="5"/>
  <c r="D166" i="5"/>
  <c r="AD165" i="5"/>
  <c r="AI165" i="5" s="1"/>
  <c r="AD164" i="5"/>
  <c r="AB164" i="5"/>
  <c r="G129" i="5"/>
  <c r="G5" i="24" l="1"/>
  <c r="O195" i="5"/>
  <c r="O164" i="5"/>
  <c r="F14" i="24"/>
  <c r="F15" i="24" s="1"/>
  <c r="AB281" i="5"/>
  <c r="AB274" i="5"/>
  <c r="AB269" i="5"/>
  <c r="AB283" i="5"/>
  <c r="AB270" i="5"/>
  <c r="AB271" i="5"/>
  <c r="AB273" i="5"/>
  <c r="AB282" i="5"/>
  <c r="AB275" i="5"/>
  <c r="AB247" i="5"/>
  <c r="AB240" i="5"/>
  <c r="AB248" i="5"/>
  <c r="AB246" i="5"/>
  <c r="AB238" i="5"/>
  <c r="AB239" i="5"/>
  <c r="AB233" i="5"/>
  <c r="AB234" i="5"/>
  <c r="AB80" i="5"/>
  <c r="AB69" i="5"/>
  <c r="AB74" i="5"/>
  <c r="AB72" i="5"/>
  <c r="AB70" i="5"/>
  <c r="AB68" i="5"/>
  <c r="AB82" i="5"/>
  <c r="AB81" i="5"/>
  <c r="AB73" i="5"/>
  <c r="AB47" i="5"/>
  <c r="AB40" i="5"/>
  <c r="AB48" i="5"/>
  <c r="AB46" i="5"/>
  <c r="AB38" i="5"/>
  <c r="AB39" i="5"/>
  <c r="F84" i="24"/>
  <c r="F85" i="24" s="1"/>
  <c r="F86" i="24" s="1"/>
  <c r="F87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Y76" i="3"/>
  <c r="F72" i="24"/>
  <c r="F73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AL164" i="5"/>
  <c r="AB166" i="5"/>
  <c r="AB175" i="5"/>
  <c r="AB167" i="5"/>
  <c r="AB176" i="5"/>
  <c r="AB174" i="5"/>
  <c r="AB168" i="5"/>
  <c r="AA76" i="3"/>
  <c r="AB211" i="5"/>
  <c r="AB210" i="5"/>
  <c r="AB209" i="5"/>
  <c r="AB203" i="5"/>
  <c r="AB202" i="5"/>
  <c r="AB201" i="5"/>
  <c r="AB199" i="5"/>
  <c r="AB198" i="5"/>
  <c r="AB197" i="5"/>
  <c r="F28" i="24"/>
  <c r="F29" i="24" s="1"/>
  <c r="F42" i="24"/>
  <c r="F43" i="24" s="1"/>
  <c r="F56" i="24"/>
  <c r="F57" i="24" s="1"/>
  <c r="F58" i="24" s="1"/>
  <c r="AG165" i="5"/>
  <c r="AL195" i="5"/>
  <c r="AG196" i="5"/>
  <c r="AK196" i="5"/>
  <c r="AF196" i="5"/>
  <c r="AJ196" i="5"/>
  <c r="AL165" i="5"/>
  <c r="AK165" i="5"/>
  <c r="AF165" i="5"/>
  <c r="AJ165" i="5"/>
  <c r="AE165" i="5"/>
  <c r="AH196" i="5"/>
  <c r="AL196" i="5"/>
  <c r="N164" i="5"/>
  <c r="AE196" i="5"/>
  <c r="AH165" i="5"/>
  <c r="R667" i="5"/>
  <c r="N667" i="5"/>
  <c r="F667" i="5"/>
  <c r="E667" i="5"/>
  <c r="D667" i="5"/>
  <c r="R674" i="5"/>
  <c r="N674" i="5"/>
  <c r="F674" i="5"/>
  <c r="E674" i="5"/>
  <c r="D674" i="5"/>
  <c r="E71" i="6"/>
  <c r="D71" i="6"/>
  <c r="E70" i="6"/>
  <c r="D70" i="6"/>
  <c r="F675" i="5"/>
  <c r="E675" i="5"/>
  <c r="D675" i="5"/>
  <c r="R673" i="5"/>
  <c r="F673" i="5"/>
  <c r="E673" i="5"/>
  <c r="D673" i="5"/>
  <c r="R672" i="5"/>
  <c r="P672" i="5"/>
  <c r="O672" i="5"/>
  <c r="H672" i="5"/>
  <c r="N672" i="5" s="1"/>
  <c r="F672" i="5"/>
  <c r="E672" i="5"/>
  <c r="D672" i="5"/>
  <c r="R671" i="5"/>
  <c r="P671" i="5"/>
  <c r="O671" i="5"/>
  <c r="H671" i="5"/>
  <c r="N671" i="5" s="1"/>
  <c r="F671" i="5"/>
  <c r="E671" i="5"/>
  <c r="D671" i="5"/>
  <c r="AD670" i="5"/>
  <c r="AL670" i="5" s="1"/>
  <c r="AD669" i="5"/>
  <c r="AB669" i="5"/>
  <c r="F668" i="5"/>
  <c r="E668" i="5"/>
  <c r="D668" i="5"/>
  <c r="R666" i="5"/>
  <c r="N666" i="5"/>
  <c r="F666" i="5"/>
  <c r="D666" i="5"/>
  <c r="R665" i="5"/>
  <c r="P665" i="5"/>
  <c r="O665" i="5"/>
  <c r="H665" i="5"/>
  <c r="N665" i="5" s="1"/>
  <c r="F665" i="5"/>
  <c r="E665" i="5"/>
  <c r="D665" i="5"/>
  <c r="R664" i="5"/>
  <c r="P664" i="5"/>
  <c r="O664" i="5"/>
  <c r="H664" i="5"/>
  <c r="N664" i="5" s="1"/>
  <c r="F664" i="5"/>
  <c r="E664" i="5"/>
  <c r="D664" i="5"/>
  <c r="AD663" i="5"/>
  <c r="AI663" i="5" s="1"/>
  <c r="AD662" i="5"/>
  <c r="AB662" i="5"/>
  <c r="AP74" i="3"/>
  <c r="AO74" i="3"/>
  <c r="AP55" i="3"/>
  <c r="AO55" i="3"/>
  <c r="AP31" i="3"/>
  <c r="AO31" i="3"/>
  <c r="F18" i="11" l="1"/>
  <c r="F16" i="24"/>
  <c r="F17" i="24" s="1"/>
  <c r="AB698" i="5"/>
  <c r="AB701" i="5"/>
  <c r="AB700" i="5"/>
  <c r="AB697" i="5"/>
  <c r="AB699" i="5"/>
  <c r="G20" i="6"/>
  <c r="AB672" i="5"/>
  <c r="AB673" i="5"/>
  <c r="AB671" i="5"/>
  <c r="AB675" i="5"/>
  <c r="AB674" i="5"/>
  <c r="H20" i="6"/>
  <c r="H21" i="6"/>
  <c r="AP76" i="3"/>
  <c r="AO76" i="3"/>
  <c r="F30" i="24"/>
  <c r="F31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F44" i="24"/>
  <c r="F45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F59" i="24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AG663" i="5"/>
  <c r="AF663" i="5"/>
  <c r="AJ670" i="5"/>
  <c r="AJ663" i="5"/>
  <c r="AE670" i="5"/>
  <c r="O667" i="5"/>
  <c r="AK670" i="5"/>
  <c r="AL669" i="5"/>
  <c r="AF670" i="5"/>
  <c r="AK663" i="5"/>
  <c r="AG670" i="5"/>
  <c r="O674" i="5"/>
  <c r="AL662" i="5"/>
  <c r="AI670" i="5"/>
  <c r="O668" i="5"/>
  <c r="N668" i="5"/>
  <c r="N662" i="5" s="1"/>
  <c r="O673" i="5"/>
  <c r="AH663" i="5"/>
  <c r="AL663" i="5"/>
  <c r="AE663" i="5"/>
  <c r="O666" i="5"/>
  <c r="AH670" i="5"/>
  <c r="N673" i="5"/>
  <c r="B18" i="14"/>
  <c r="O371" i="15"/>
  <c r="O372" i="15"/>
  <c r="O373" i="15"/>
  <c r="G36" i="10"/>
  <c r="I1139" i="8"/>
  <c r="G1139" i="8"/>
  <c r="F1139" i="8"/>
  <c r="E1139" i="8"/>
  <c r="I1072" i="8"/>
  <c r="I1073" i="8"/>
  <c r="I1074" i="8"/>
  <c r="I1075" i="8"/>
  <c r="I1076" i="8"/>
  <c r="I1081" i="8"/>
  <c r="I1082" i="8"/>
  <c r="I1086" i="8"/>
  <c r="I1087" i="8"/>
  <c r="I1100" i="8"/>
  <c r="I1101" i="8"/>
  <c r="I1102" i="8"/>
  <c r="I1104" i="8"/>
  <c r="I1105" i="8"/>
  <c r="I1106" i="8"/>
  <c r="I1107" i="8"/>
  <c r="I1114" i="8"/>
  <c r="I1115" i="8"/>
  <c r="I1116" i="8"/>
  <c r="I1117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M1132" i="8" s="1"/>
  <c r="N1132" i="8"/>
  <c r="I1133" i="8"/>
  <c r="I1134" i="8"/>
  <c r="I1135" i="8"/>
  <c r="I1136" i="8"/>
  <c r="I1137" i="8"/>
  <c r="I1138" i="8"/>
  <c r="I1143" i="8"/>
  <c r="M1143" i="8" s="1"/>
  <c r="N1143" i="8"/>
  <c r="I1144" i="8"/>
  <c r="M1144" i="8" s="1"/>
  <c r="N1144" i="8"/>
  <c r="I1145" i="8"/>
  <c r="M1145" i="8" s="1"/>
  <c r="N1145" i="8"/>
  <c r="I1146" i="8"/>
  <c r="M1146" i="8" s="1"/>
  <c r="N1146" i="8"/>
  <c r="I1147" i="8"/>
  <c r="M1147" i="8" s="1"/>
  <c r="N1147" i="8"/>
  <c r="I1148" i="8"/>
  <c r="M1148" i="8" s="1"/>
  <c r="N1148" i="8"/>
  <c r="I1149" i="8"/>
  <c r="M1149" i="8" s="1"/>
  <c r="N1149" i="8"/>
  <c r="I1150" i="8"/>
  <c r="M1150" i="8" s="1"/>
  <c r="N1150" i="8"/>
  <c r="I1151" i="8"/>
  <c r="M1151" i="8" s="1"/>
  <c r="N1151" i="8"/>
  <c r="I1152" i="8"/>
  <c r="M1152" i="8" s="1"/>
  <c r="N1152" i="8"/>
  <c r="I1153" i="8"/>
  <c r="M1153" i="8" s="1"/>
  <c r="N1153" i="8"/>
  <c r="I1154" i="8"/>
  <c r="M1154" i="8" s="1"/>
  <c r="N1154" i="8"/>
  <c r="I1155" i="8"/>
  <c r="M1155" i="8" s="1"/>
  <c r="N1155" i="8"/>
  <c r="I1156" i="8"/>
  <c r="M1156" i="8" s="1"/>
  <c r="N1156" i="8"/>
  <c r="I1157" i="8"/>
  <c r="M1157" i="8" s="1"/>
  <c r="N1157" i="8"/>
  <c r="I1158" i="8"/>
  <c r="M1158" i="8" s="1"/>
  <c r="N1158" i="8"/>
  <c r="I1159" i="8"/>
  <c r="N1142" i="8"/>
  <c r="I1142" i="8"/>
  <c r="M1142" i="8" s="1"/>
  <c r="I1120" i="8"/>
  <c r="I1113" i="8"/>
  <c r="I1110" i="8"/>
  <c r="I1099" i="8"/>
  <c r="I1094" i="8"/>
  <c r="I1085" i="8"/>
  <c r="I1079" i="8"/>
  <c r="I1071" i="8"/>
  <c r="C707" i="5"/>
  <c r="C633" i="5"/>
  <c r="C634" i="5"/>
  <c r="C635" i="5"/>
  <c r="C636" i="5"/>
  <c r="C637" i="5"/>
  <c r="C638" i="5"/>
  <c r="C639" i="5"/>
  <c r="C640" i="5"/>
  <c r="C632" i="5"/>
  <c r="H647" i="5"/>
  <c r="F647" i="5"/>
  <c r="E647" i="5"/>
  <c r="D647" i="5"/>
  <c r="G70" i="6" l="1"/>
  <c r="O662" i="5"/>
  <c r="O675" i="5"/>
  <c r="O669" i="5" s="1"/>
  <c r="R675" i="5"/>
  <c r="R669" i="5" s="1"/>
  <c r="N675" i="5"/>
  <c r="N669" i="5" s="1"/>
  <c r="K71" i="6" l="1"/>
  <c r="H70" i="6"/>
  <c r="G71" i="6"/>
  <c r="H71" i="6"/>
  <c r="F240" i="1" l="1"/>
  <c r="K235" i="1"/>
  <c r="C852" i="5"/>
  <c r="C853" i="5"/>
  <c r="C863" i="5"/>
  <c r="C864" i="5"/>
  <c r="C917" i="5"/>
  <c r="C920" i="5"/>
  <c r="C939" i="5"/>
  <c r="C940" i="5"/>
  <c r="C941" i="5"/>
  <c r="C942" i="5"/>
  <c r="C943" i="5"/>
  <c r="C944" i="5"/>
  <c r="C945" i="5"/>
  <c r="C952" i="5"/>
  <c r="C953" i="5"/>
  <c r="C954" i="5"/>
  <c r="C955" i="5"/>
  <c r="G531" i="1" l="1"/>
  <c r="E583" i="8"/>
  <c r="E582" i="8"/>
  <c r="L1746" i="8" l="1"/>
  <c r="P1746" i="8" s="1"/>
  <c r="L2178" i="8"/>
  <c r="P2178" i="8" s="1"/>
  <c r="L1488" i="8"/>
  <c r="P1488" i="8" s="1"/>
  <c r="L1624" i="8"/>
  <c r="P1624" i="8" s="1"/>
  <c r="L1625" i="8"/>
  <c r="P1625" i="8" s="1"/>
  <c r="L1110" i="8"/>
  <c r="G582" i="8"/>
  <c r="E580" i="8"/>
  <c r="D18" i="11" l="1"/>
  <c r="C5" i="24"/>
  <c r="E8" i="25"/>
  <c r="C32" i="24"/>
  <c r="C18" i="24"/>
  <c r="C60" i="24"/>
  <c r="C46" i="24"/>
  <c r="C74" i="24"/>
  <c r="AB800" i="5" l="1"/>
  <c r="AB794" i="5"/>
  <c r="AB798" i="5" s="1"/>
  <c r="AB789" i="5"/>
  <c r="AA789" i="5"/>
  <c r="Z789" i="5"/>
  <c r="Y789" i="5"/>
  <c r="AB784" i="5"/>
  <c r="AA784" i="5"/>
  <c r="Z784" i="5"/>
  <c r="Y784" i="5"/>
  <c r="AB779" i="5"/>
  <c r="AA779" i="5"/>
  <c r="AA783" i="5" s="1"/>
  <c r="Z779" i="5"/>
  <c r="Y779" i="5"/>
  <c r="AB774" i="5"/>
  <c r="AA774" i="5"/>
  <c r="Z774" i="5"/>
  <c r="Y774" i="5"/>
  <c r="AB769" i="5"/>
  <c r="AA769" i="5"/>
  <c r="Z769" i="5"/>
  <c r="Y769" i="5"/>
  <c r="AB764" i="5"/>
  <c r="AB759" i="5"/>
  <c r="AB754" i="5"/>
  <c r="AB749" i="5"/>
  <c r="AB745" i="5"/>
  <c r="AB741" i="5"/>
  <c r="AA741" i="5"/>
  <c r="Z741" i="5"/>
  <c r="Y741" i="5"/>
  <c r="AB737" i="5"/>
  <c r="AA737" i="5"/>
  <c r="Z737" i="5"/>
  <c r="Y737" i="5"/>
  <c r="AB733" i="5"/>
  <c r="AB729" i="5"/>
  <c r="AB724" i="5"/>
  <c r="AA724" i="5"/>
  <c r="Z724" i="5"/>
  <c r="Y724" i="5"/>
  <c r="X724" i="5"/>
  <c r="W724" i="5"/>
  <c r="V724" i="5"/>
  <c r="AB719" i="5"/>
  <c r="AB714" i="5"/>
  <c r="AA710" i="5"/>
  <c r="Z710" i="5"/>
  <c r="Y710" i="5"/>
  <c r="X710" i="5"/>
  <c r="W710" i="5"/>
  <c r="V710" i="5"/>
  <c r="AA706" i="5"/>
  <c r="Z706" i="5"/>
  <c r="Y706" i="5"/>
  <c r="X706" i="5"/>
  <c r="W706" i="5"/>
  <c r="W709" i="5" s="1"/>
  <c r="V706" i="5"/>
  <c r="AA702" i="5"/>
  <c r="Z702" i="5"/>
  <c r="Y702" i="5"/>
  <c r="X702" i="5"/>
  <c r="W702" i="5"/>
  <c r="V702" i="5"/>
  <c r="AA682" i="5"/>
  <c r="Z682" i="5"/>
  <c r="Y682" i="5"/>
  <c r="X682" i="5"/>
  <c r="W682" i="5"/>
  <c r="V682" i="5"/>
  <c r="AA676" i="5"/>
  <c r="Z676" i="5"/>
  <c r="Z678" i="5" s="1"/>
  <c r="Y676" i="5"/>
  <c r="X676" i="5"/>
  <c r="X679" i="5" s="1"/>
  <c r="W676" i="5"/>
  <c r="V676" i="5"/>
  <c r="AB641" i="5"/>
  <c r="AB630" i="5"/>
  <c r="AB621" i="5"/>
  <c r="AB610" i="5"/>
  <c r="AB601" i="5"/>
  <c r="AA570" i="5"/>
  <c r="Z570" i="5"/>
  <c r="Y570" i="5"/>
  <c r="X570" i="5"/>
  <c r="X579" i="5" s="1"/>
  <c r="W570" i="5"/>
  <c r="V570" i="5"/>
  <c r="AA561" i="5"/>
  <c r="AA569" i="5" s="1"/>
  <c r="Z561" i="5"/>
  <c r="Y561" i="5"/>
  <c r="X561" i="5"/>
  <c r="X564" i="5" s="1"/>
  <c r="W561" i="5"/>
  <c r="V561" i="5"/>
  <c r="AB554" i="5"/>
  <c r="AA554" i="5"/>
  <c r="AA558" i="5" s="1"/>
  <c r="Z554" i="5"/>
  <c r="Y554" i="5"/>
  <c r="AB547" i="5"/>
  <c r="AA547" i="5"/>
  <c r="AA552" i="5" s="1"/>
  <c r="Z547" i="5"/>
  <c r="Y547" i="5"/>
  <c r="AB538" i="5"/>
  <c r="AA538" i="5"/>
  <c r="Z538" i="5"/>
  <c r="Y538" i="5"/>
  <c r="AB529" i="5"/>
  <c r="AA529" i="5"/>
  <c r="Z529" i="5"/>
  <c r="Y529" i="5"/>
  <c r="AB522" i="5"/>
  <c r="AA522" i="5"/>
  <c r="Z522" i="5"/>
  <c r="Y522" i="5"/>
  <c r="AB514" i="5"/>
  <c r="AA514" i="5"/>
  <c r="Z514" i="5"/>
  <c r="Y514" i="5"/>
  <c r="AB507" i="5"/>
  <c r="AA507" i="5"/>
  <c r="Z507" i="5"/>
  <c r="Y507" i="5"/>
  <c r="AB499" i="5"/>
  <c r="AB492" i="5"/>
  <c r="AB483" i="5"/>
  <c r="AA483" i="5"/>
  <c r="Z483" i="5"/>
  <c r="Y483" i="5"/>
  <c r="AB476" i="5"/>
  <c r="AA476" i="5"/>
  <c r="Z476" i="5"/>
  <c r="Z478" i="5" s="1"/>
  <c r="Y476" i="5"/>
  <c r="AB467" i="5"/>
  <c r="AA467" i="5"/>
  <c r="AA469" i="5" s="1"/>
  <c r="Z467" i="5"/>
  <c r="Y467" i="5"/>
  <c r="AB460" i="5"/>
  <c r="AA460" i="5"/>
  <c r="Z460" i="5"/>
  <c r="Z465" i="5" s="1"/>
  <c r="Y460" i="5"/>
  <c r="AB451" i="5"/>
  <c r="AA451" i="5"/>
  <c r="Z451" i="5"/>
  <c r="Z456" i="5" s="1"/>
  <c r="Y451" i="5"/>
  <c r="AB444" i="5"/>
  <c r="AA444" i="5"/>
  <c r="AA450" i="5" s="1"/>
  <c r="Z444" i="5"/>
  <c r="Z447" i="5" s="1"/>
  <c r="Y444" i="5"/>
  <c r="AB436" i="5"/>
  <c r="AA436" i="5"/>
  <c r="Z436" i="5"/>
  <c r="Y436" i="5"/>
  <c r="X436" i="5"/>
  <c r="W436" i="5"/>
  <c r="V436" i="5"/>
  <c r="AB429" i="5"/>
  <c r="AA429" i="5"/>
  <c r="Z429" i="5"/>
  <c r="Y429" i="5"/>
  <c r="X429" i="5"/>
  <c r="W429" i="5"/>
  <c r="V429" i="5"/>
  <c r="AB412" i="5"/>
  <c r="AA412" i="5"/>
  <c r="Z412" i="5"/>
  <c r="Y412" i="5"/>
  <c r="AB395" i="5"/>
  <c r="X395" i="5"/>
  <c r="W395" i="5"/>
  <c r="V395" i="5"/>
  <c r="AB390" i="5"/>
  <c r="AB386" i="5"/>
  <c r="AB378" i="5"/>
  <c r="AB373" i="5"/>
  <c r="AA373" i="5"/>
  <c r="Z373" i="5"/>
  <c r="Y373" i="5"/>
  <c r="AA361" i="5"/>
  <c r="Z361" i="5"/>
  <c r="Z364" i="5" s="1"/>
  <c r="Y361" i="5"/>
  <c r="X361" i="5"/>
  <c r="W361" i="5"/>
  <c r="V361" i="5"/>
  <c r="AB340" i="5"/>
  <c r="AA340" i="5"/>
  <c r="Z340" i="5"/>
  <c r="Y340" i="5"/>
  <c r="AB331" i="5"/>
  <c r="AA331" i="5"/>
  <c r="Z331" i="5"/>
  <c r="Y331" i="5"/>
  <c r="AB321" i="5"/>
  <c r="AA321" i="5"/>
  <c r="Z321" i="5"/>
  <c r="Y321" i="5"/>
  <c r="AB310" i="5"/>
  <c r="AA299" i="5"/>
  <c r="Z299" i="5"/>
  <c r="Y299" i="5"/>
  <c r="AA289" i="5"/>
  <c r="Z289" i="5"/>
  <c r="Y289" i="5"/>
  <c r="X289" i="5"/>
  <c r="W289" i="5"/>
  <c r="V289" i="5"/>
  <c r="AB285" i="5"/>
  <c r="AA285" i="5"/>
  <c r="Z285" i="5"/>
  <c r="Y285" i="5"/>
  <c r="AB223" i="5"/>
  <c r="AB217" i="5"/>
  <c r="AB213" i="5"/>
  <c r="AB178" i="5"/>
  <c r="AB138" i="5"/>
  <c r="AB132" i="5"/>
  <c r="AB127" i="5"/>
  <c r="AB123" i="5"/>
  <c r="AA50" i="5"/>
  <c r="AA56" i="5" s="1"/>
  <c r="Z50" i="5"/>
  <c r="Z54" i="5" s="1"/>
  <c r="Y50" i="5"/>
  <c r="X50" i="5"/>
  <c r="W50" i="5"/>
  <c r="W54" i="5" s="1"/>
  <c r="V50" i="5"/>
  <c r="AA23" i="5"/>
  <c r="Z23" i="5"/>
  <c r="Y23" i="5"/>
  <c r="X23" i="5"/>
  <c r="X26" i="5" s="1"/>
  <c r="W23" i="5"/>
  <c r="V23" i="5"/>
  <c r="AA17" i="5"/>
  <c r="Z17" i="5"/>
  <c r="Y17" i="5"/>
  <c r="X17" i="5"/>
  <c r="W17" i="5"/>
  <c r="V17" i="5"/>
  <c r="Z8" i="5"/>
  <c r="AA8" i="5"/>
  <c r="Y8" i="5"/>
  <c r="X8" i="5"/>
  <c r="W8" i="5"/>
  <c r="V8" i="5"/>
  <c r="W514" i="5"/>
  <c r="V507" i="5"/>
  <c r="Z564" i="5"/>
  <c r="AA743" i="5"/>
  <c r="Z296" i="5" l="1"/>
  <c r="Z295" i="5"/>
  <c r="Z294" i="5"/>
  <c r="AA337" i="5"/>
  <c r="AA336" i="5"/>
  <c r="AA294" i="5"/>
  <c r="AA295" i="5"/>
  <c r="AA296" i="5"/>
  <c r="AA307" i="5"/>
  <c r="AA306" i="5"/>
  <c r="AA305" i="5"/>
  <c r="Y304" i="5"/>
  <c r="Y306" i="5"/>
  <c r="Y305" i="5"/>
  <c r="Y307" i="5"/>
  <c r="Y326" i="5"/>
  <c r="Y328" i="5"/>
  <c r="Y327" i="5"/>
  <c r="Y336" i="5"/>
  <c r="Y337" i="5"/>
  <c r="AA327" i="5"/>
  <c r="AA328" i="5"/>
  <c r="Y296" i="5"/>
  <c r="Y295" i="5"/>
  <c r="Y294" i="5"/>
  <c r="Z307" i="5"/>
  <c r="Z306" i="5"/>
  <c r="Z305" i="5"/>
  <c r="Z328" i="5"/>
  <c r="Z327" i="5"/>
  <c r="Z337" i="5"/>
  <c r="Z336" i="5"/>
  <c r="W295" i="5"/>
  <c r="W294" i="5"/>
  <c r="W296" i="5"/>
  <c r="X295" i="5"/>
  <c r="X294" i="5"/>
  <c r="X296" i="5"/>
  <c r="V295" i="5"/>
  <c r="V294" i="5"/>
  <c r="V296" i="5"/>
  <c r="AB346" i="5"/>
  <c r="AB347" i="5"/>
  <c r="AB317" i="5"/>
  <c r="AB318" i="5"/>
  <c r="AB326" i="5"/>
  <c r="AB327" i="5"/>
  <c r="AB328" i="5"/>
  <c r="AB336" i="5"/>
  <c r="AB337" i="5"/>
  <c r="AB71" i="5"/>
  <c r="AB272" i="5"/>
  <c r="AB161" i="5"/>
  <c r="AB153" i="5"/>
  <c r="AB154" i="5"/>
  <c r="AB155" i="5"/>
  <c r="AB162" i="5"/>
  <c r="AB345" i="5"/>
  <c r="AB14" i="5"/>
  <c r="AB16" i="5"/>
  <c r="AB15" i="5"/>
  <c r="AB316" i="5"/>
  <c r="AB408" i="5"/>
  <c r="AB411" i="5"/>
  <c r="AB406" i="5"/>
  <c r="AB410" i="5"/>
  <c r="AB409" i="5"/>
  <c r="AB407" i="5"/>
  <c r="V410" i="5"/>
  <c r="V409" i="5"/>
  <c r="V407" i="5"/>
  <c r="V408" i="5"/>
  <c r="V411" i="5"/>
  <c r="V406" i="5"/>
  <c r="W410" i="5"/>
  <c r="W407" i="5"/>
  <c r="W408" i="5"/>
  <c r="W411" i="5"/>
  <c r="W406" i="5"/>
  <c r="W409" i="5"/>
  <c r="X408" i="5"/>
  <c r="X411" i="5"/>
  <c r="X406" i="5"/>
  <c r="X410" i="5"/>
  <c r="X409" i="5"/>
  <c r="X407" i="5"/>
  <c r="AB425" i="5"/>
  <c r="AB423" i="5"/>
  <c r="AB428" i="5"/>
  <c r="AB427" i="5"/>
  <c r="AB426" i="5"/>
  <c r="AB424" i="5"/>
  <c r="Y428" i="5"/>
  <c r="Y427" i="5"/>
  <c r="Y426" i="5"/>
  <c r="Y424" i="5"/>
  <c r="Y425" i="5"/>
  <c r="Y423" i="5"/>
  <c r="Z427" i="5"/>
  <c r="Z426" i="5"/>
  <c r="Z424" i="5"/>
  <c r="Z425" i="5"/>
  <c r="Z423" i="5"/>
  <c r="Z428" i="5"/>
  <c r="AA425" i="5"/>
  <c r="AA423" i="5"/>
  <c r="AA427" i="5"/>
  <c r="AA428" i="5"/>
  <c r="AA426" i="5"/>
  <c r="AA424" i="5"/>
  <c r="W708" i="5"/>
  <c r="X431" i="5"/>
  <c r="AB315" i="5"/>
  <c r="Z326" i="5"/>
  <c r="AA326" i="5"/>
  <c r="Z304" i="5"/>
  <c r="AA304" i="5"/>
  <c r="W507" i="5"/>
  <c r="X514" i="5"/>
  <c r="X507" i="5"/>
  <c r="V514" i="5"/>
  <c r="Z369" i="5"/>
  <c r="Z382" i="5"/>
  <c r="AA369" i="5"/>
  <c r="AA382" i="5"/>
  <c r="Y369" i="5"/>
  <c r="Y382" i="5"/>
  <c r="V195" i="5"/>
  <c r="V369" i="5"/>
  <c r="W195" i="5"/>
  <c r="W369" i="5"/>
  <c r="X195" i="5"/>
  <c r="X369" i="5"/>
  <c r="Z509" i="5"/>
  <c r="W57" i="5"/>
  <c r="X164" i="5"/>
  <c r="X662" i="5"/>
  <c r="X669" i="5"/>
  <c r="V662" i="5"/>
  <c r="V669" i="5"/>
  <c r="W662" i="5"/>
  <c r="W669" i="5"/>
  <c r="Z53" i="5"/>
  <c r="Z449" i="5"/>
  <c r="Z550" i="5"/>
  <c r="Z542" i="5"/>
  <c r="AA164" i="5"/>
  <c r="AA195" i="5"/>
  <c r="AA55" i="5"/>
  <c r="Y164" i="5"/>
  <c r="Y195" i="5"/>
  <c r="Z164" i="5"/>
  <c r="Z195" i="5"/>
  <c r="AB200" i="5"/>
  <c r="V164" i="5"/>
  <c r="W164" i="5"/>
  <c r="Z415" i="5"/>
  <c r="AA431" i="5"/>
  <c r="Z420" i="5"/>
  <c r="Y669" i="5"/>
  <c r="Y662" i="5"/>
  <c r="Z669" i="5"/>
  <c r="Z662" i="5"/>
  <c r="AA669" i="5"/>
  <c r="AA662" i="5"/>
  <c r="W53" i="5"/>
  <c r="X27" i="5"/>
  <c r="Z344" i="5"/>
  <c r="W442" i="5"/>
  <c r="X574" i="5"/>
  <c r="W441" i="5"/>
  <c r="X400" i="5"/>
  <c r="W519" i="5"/>
  <c r="W726" i="5"/>
  <c r="Z19" i="5"/>
  <c r="Z526" i="5"/>
  <c r="Z527" i="5"/>
  <c r="Z713" i="5"/>
  <c r="Z712" i="5"/>
  <c r="X712" i="5"/>
  <c r="W19" i="5"/>
  <c r="W516" i="5"/>
  <c r="W567" i="5"/>
  <c r="AA364" i="5"/>
  <c r="AA442" i="5"/>
  <c r="AA527" i="5"/>
  <c r="AA708" i="5"/>
  <c r="Z21" i="5"/>
  <c r="Z434" i="5"/>
  <c r="Z491" i="5"/>
  <c r="Z535" i="5"/>
  <c r="Z744" i="5"/>
  <c r="Z778" i="5"/>
  <c r="X434" i="5"/>
  <c r="Z553" i="5"/>
  <c r="X21" i="5"/>
  <c r="X432" i="5"/>
  <c r="X713" i="5"/>
  <c r="W33" i="5"/>
  <c r="W364" i="5"/>
  <c r="W403" i="5"/>
  <c r="W432" i="5"/>
  <c r="W576" i="5"/>
  <c r="W705" i="5"/>
  <c r="AA417" i="5"/>
  <c r="AA449" i="5"/>
  <c r="AA472" i="5"/>
  <c r="AA470" i="5"/>
  <c r="AA709" i="5"/>
  <c r="Z33" i="5"/>
  <c r="Z339" i="5"/>
  <c r="Z417" i="5"/>
  <c r="Z416" i="5"/>
  <c r="Z454" i="5"/>
  <c r="Z455" i="5"/>
  <c r="Z544" i="5"/>
  <c r="Z545" i="5"/>
  <c r="Z551" i="5"/>
  <c r="Z580" i="5"/>
  <c r="X438" i="5"/>
  <c r="W684" i="5"/>
  <c r="AA27" i="5"/>
  <c r="AA481" i="5"/>
  <c r="Z567" i="5"/>
  <c r="X63" i="5"/>
  <c r="X363" i="5"/>
  <c r="X34" i="5"/>
  <c r="X292" i="5"/>
  <c r="X364" i="5"/>
  <c r="X433" i="5"/>
  <c r="X709" i="5"/>
  <c r="W65" i="5"/>
  <c r="W402" i="5"/>
  <c r="W704" i="5"/>
  <c r="AA338" i="5"/>
  <c r="AA434" i="5"/>
  <c r="AA432" i="5"/>
  <c r="AA513" i="5"/>
  <c r="AA546" i="5"/>
  <c r="AA713" i="5"/>
  <c r="AA726" i="5"/>
  <c r="Z348" i="5"/>
  <c r="Z480" i="5"/>
  <c r="Z709" i="5"/>
  <c r="AA52" i="5"/>
  <c r="AA537" i="5"/>
  <c r="AA559" i="5"/>
  <c r="AA578" i="5"/>
  <c r="AA744" i="5"/>
  <c r="Z65" i="5"/>
  <c r="Z287" i="5"/>
  <c r="Z363" i="5"/>
  <c r="Z448" i="5"/>
  <c r="Z473" i="5"/>
  <c r="Z512" i="5"/>
  <c r="Z556" i="5"/>
  <c r="Z726" i="5"/>
  <c r="Z740" i="5"/>
  <c r="X35" i="5"/>
  <c r="X397" i="5"/>
  <c r="X402" i="5"/>
  <c r="X403" i="5"/>
  <c r="X435" i="5"/>
  <c r="X399" i="5"/>
  <c r="X569" i="5"/>
  <c r="X401" i="5"/>
  <c r="X726" i="5"/>
  <c r="X728" i="5"/>
  <c r="X727" i="5"/>
  <c r="W34" i="5"/>
  <c r="AA418" i="5"/>
  <c r="AA528" i="5"/>
  <c r="Z34" i="5"/>
  <c r="Z435" i="5"/>
  <c r="Z537" i="5"/>
  <c r="Z578" i="5"/>
  <c r="W25" i="5"/>
  <c r="W35" i="5"/>
  <c r="W443" i="5"/>
  <c r="W517" i="5"/>
  <c r="W685" i="5"/>
  <c r="AA333" i="5"/>
  <c r="AA414" i="5"/>
  <c r="AA419" i="5"/>
  <c r="AA478" i="5"/>
  <c r="AA510" i="5"/>
  <c r="AA524" i="5"/>
  <c r="AA543" i="5"/>
  <c r="AA560" i="5"/>
  <c r="AA678" i="5"/>
  <c r="AA727" i="5"/>
  <c r="Z25" i="5"/>
  <c r="Z35" i="5"/>
  <c r="Z57" i="5"/>
  <c r="Z338" i="5"/>
  <c r="Z418" i="5"/>
  <c r="Z431" i="5"/>
  <c r="Z459" i="5"/>
  <c r="Z472" i="5"/>
  <c r="Z479" i="5"/>
  <c r="Z510" i="5"/>
  <c r="Z532" i="5"/>
  <c r="Z546" i="5"/>
  <c r="Z565" i="5"/>
  <c r="Z573" i="5"/>
  <c r="Z679" i="5"/>
  <c r="Z727" i="5"/>
  <c r="Z743" i="5"/>
  <c r="X708" i="5"/>
  <c r="W20" i="5"/>
  <c r="W26" i="5"/>
  <c r="W63" i="5"/>
  <c r="W292" i="5"/>
  <c r="W363" i="5"/>
  <c r="W438" i="5"/>
  <c r="W520" i="5"/>
  <c r="AA65" i="5"/>
  <c r="AA334" i="5"/>
  <c r="AA363" i="5"/>
  <c r="AA415" i="5"/>
  <c r="AA420" i="5"/>
  <c r="AA433" i="5"/>
  <c r="AA446" i="5"/>
  <c r="AA473" i="5"/>
  <c r="AA479" i="5"/>
  <c r="AA511" i="5"/>
  <c r="AA525" i="5"/>
  <c r="AA534" i="5"/>
  <c r="AA556" i="5"/>
  <c r="AA679" i="5"/>
  <c r="AA712" i="5"/>
  <c r="AA728" i="5"/>
  <c r="Z20" i="5"/>
  <c r="Z26" i="5"/>
  <c r="Z63" i="5"/>
  <c r="Z414" i="5"/>
  <c r="Z419" i="5"/>
  <c r="Z432" i="5"/>
  <c r="Z481" i="5"/>
  <c r="Z511" i="5"/>
  <c r="Z525" i="5"/>
  <c r="Z533" i="5"/>
  <c r="Z541" i="5"/>
  <c r="Z568" i="5"/>
  <c r="Z574" i="5"/>
  <c r="Z728" i="5"/>
  <c r="X678" i="5"/>
  <c r="X684" i="5"/>
  <c r="W21" i="5"/>
  <c r="W27" i="5"/>
  <c r="W439" i="5"/>
  <c r="W521" i="5"/>
  <c r="AA339" i="5"/>
  <c r="AA416" i="5"/>
  <c r="AA435" i="5"/>
  <c r="AA447" i="5"/>
  <c r="AA474" i="5"/>
  <c r="AA482" i="5"/>
  <c r="AA526" i="5"/>
  <c r="AA557" i="5"/>
  <c r="Z27" i="5"/>
  <c r="Z433" i="5"/>
  <c r="Z513" i="5"/>
  <c r="Z536" i="5"/>
  <c r="Z569" i="5"/>
  <c r="Z577" i="5"/>
  <c r="Z739" i="5"/>
  <c r="X55" i="5"/>
  <c r="AA343" i="5"/>
  <c r="AA349" i="5"/>
  <c r="AA342" i="5"/>
  <c r="AA348" i="5"/>
  <c r="AA344" i="5"/>
  <c r="AA463" i="5"/>
  <c r="AA466" i="5"/>
  <c r="AA462" i="5"/>
  <c r="AA465" i="5"/>
  <c r="AA464" i="5"/>
  <c r="AA772" i="5"/>
  <c r="AA771" i="5"/>
  <c r="X19" i="5"/>
  <c r="X565" i="5"/>
  <c r="X580" i="5"/>
  <c r="X576" i="5"/>
  <c r="X572" i="5"/>
  <c r="X577" i="5"/>
  <c r="W435" i="5"/>
  <c r="W431" i="5"/>
  <c r="W434" i="5"/>
  <c r="W433" i="5"/>
  <c r="AA292" i="5"/>
  <c r="AA773" i="5"/>
  <c r="X22" i="5"/>
  <c r="X443" i="5"/>
  <c r="X439" i="5"/>
  <c r="X442" i="5"/>
  <c r="AA685" i="5"/>
  <c r="AA684" i="5"/>
  <c r="X33" i="5"/>
  <c r="X52" i="5"/>
  <c r="X56" i="5"/>
  <c r="X65" i="5"/>
  <c r="X20" i="5"/>
  <c r="X25" i="5"/>
  <c r="X53" i="5"/>
  <c r="X57" i="5"/>
  <c r="X440" i="5"/>
  <c r="X573" i="5"/>
  <c r="X578" i="5"/>
  <c r="X705" i="5"/>
  <c r="X704" i="5"/>
  <c r="W401" i="5"/>
  <c r="W397" i="5"/>
  <c r="W400" i="5"/>
  <c r="W399" i="5"/>
  <c r="AA458" i="5"/>
  <c r="AA454" i="5"/>
  <c r="AA457" i="5"/>
  <c r="AA453" i="5"/>
  <c r="AA456" i="5"/>
  <c r="AA455" i="5"/>
  <c r="AA490" i="5"/>
  <c r="AA486" i="5"/>
  <c r="AA489" i="5"/>
  <c r="AA485" i="5"/>
  <c r="AA488" i="5"/>
  <c r="AA487" i="5"/>
  <c r="AA518" i="5"/>
  <c r="AA521" i="5"/>
  <c r="AA517" i="5"/>
  <c r="AA519" i="5"/>
  <c r="AA516" i="5"/>
  <c r="AA740" i="5"/>
  <c r="AA739" i="5"/>
  <c r="Z324" i="5"/>
  <c r="Z489" i="5"/>
  <c r="Z485" i="5"/>
  <c r="Z488" i="5"/>
  <c r="Z487" i="5"/>
  <c r="Z490" i="5"/>
  <c r="Z486" i="5"/>
  <c r="X64" i="5"/>
  <c r="AA35" i="5"/>
  <c r="AA26" i="5"/>
  <c r="AA34" i="5"/>
  <c r="AA25" i="5"/>
  <c r="AA33" i="5"/>
  <c r="AA440" i="5"/>
  <c r="AA443" i="5"/>
  <c r="AA439" i="5"/>
  <c r="AA441" i="5"/>
  <c r="AA438" i="5"/>
  <c r="X54" i="5"/>
  <c r="X441" i="5"/>
  <c r="X567" i="5"/>
  <c r="X563" i="5"/>
  <c r="X568" i="5"/>
  <c r="X685" i="5"/>
  <c r="W728" i="5"/>
  <c r="W727" i="5"/>
  <c r="AA21" i="5"/>
  <c r="AA20" i="5"/>
  <c r="AA22" i="5"/>
  <c r="AA19" i="5"/>
  <c r="AA459" i="5"/>
  <c r="AA491" i="5"/>
  <c r="AA520" i="5"/>
  <c r="Z302" i="5"/>
  <c r="Z521" i="5"/>
  <c r="Z517" i="5"/>
  <c r="Z518" i="5"/>
  <c r="Z516" i="5"/>
  <c r="Z520" i="5"/>
  <c r="Z519" i="5"/>
  <c r="W22" i="5"/>
  <c r="W55" i="5"/>
  <c r="W64" i="5"/>
  <c r="W569" i="5"/>
  <c r="W565" i="5"/>
  <c r="W568" i="5"/>
  <c r="W564" i="5"/>
  <c r="W578" i="5"/>
  <c r="W574" i="5"/>
  <c r="W577" i="5"/>
  <c r="W573" i="5"/>
  <c r="W579" i="5"/>
  <c r="W679" i="5"/>
  <c r="W678" i="5"/>
  <c r="AA324" i="5"/>
  <c r="AA376" i="5"/>
  <c r="AA375" i="5"/>
  <c r="AA536" i="5"/>
  <c r="AA532" i="5"/>
  <c r="AA535" i="5"/>
  <c r="AA531" i="5"/>
  <c r="AA545" i="5"/>
  <c r="AA541" i="5"/>
  <c r="AA544" i="5"/>
  <c r="AA540" i="5"/>
  <c r="AA550" i="5"/>
  <c r="AA553" i="5"/>
  <c r="AA549" i="5"/>
  <c r="AA568" i="5"/>
  <c r="AA564" i="5"/>
  <c r="AA567" i="5"/>
  <c r="AA563" i="5"/>
  <c r="AA577" i="5"/>
  <c r="AA573" i="5"/>
  <c r="AA580" i="5"/>
  <c r="AA576" i="5"/>
  <c r="AA572" i="5"/>
  <c r="AA579" i="5"/>
  <c r="AA792" i="5"/>
  <c r="AA791" i="5"/>
  <c r="Z443" i="5"/>
  <c r="Z439" i="5"/>
  <c r="Z440" i="5"/>
  <c r="Z438" i="5"/>
  <c r="Z442" i="5"/>
  <c r="Z441" i="5"/>
  <c r="W52" i="5"/>
  <c r="W56" i="5"/>
  <c r="W563" i="5"/>
  <c r="W572" i="5"/>
  <c r="W580" i="5"/>
  <c r="W713" i="5"/>
  <c r="W712" i="5"/>
  <c r="AA63" i="5"/>
  <c r="AA54" i="5"/>
  <c r="AA57" i="5"/>
  <c r="AA53" i="5"/>
  <c r="AA64" i="5"/>
  <c r="AA288" i="5"/>
  <c r="AA287" i="5"/>
  <c r="AA302" i="5"/>
  <c r="AA533" i="5"/>
  <c r="AA542" i="5"/>
  <c r="AA551" i="5"/>
  <c r="AA565" i="5"/>
  <c r="AA574" i="5"/>
  <c r="AA705" i="5"/>
  <c r="AA704" i="5"/>
  <c r="AA782" i="5"/>
  <c r="AA781" i="5"/>
  <c r="AA793" i="5"/>
  <c r="Z466" i="5"/>
  <c r="Z462" i="5"/>
  <c r="Z464" i="5"/>
  <c r="Z463" i="5"/>
  <c r="Z705" i="5"/>
  <c r="Z704" i="5"/>
  <c r="W440" i="5"/>
  <c r="W518" i="5"/>
  <c r="AA335" i="5"/>
  <c r="AA448" i="5"/>
  <c r="AA471" i="5"/>
  <c r="AA475" i="5"/>
  <c r="AA480" i="5"/>
  <c r="AA512" i="5"/>
  <c r="AA777" i="5"/>
  <c r="AA776" i="5"/>
  <c r="AA787" i="5"/>
  <c r="AA786" i="5"/>
  <c r="Z292" i="5"/>
  <c r="Z375" i="5"/>
  <c r="Z475" i="5"/>
  <c r="Z471" i="5"/>
  <c r="Z470" i="5"/>
  <c r="Z474" i="5"/>
  <c r="Z469" i="5"/>
  <c r="Z787" i="5"/>
  <c r="Z786" i="5"/>
  <c r="AA509" i="5"/>
  <c r="AA778" i="5"/>
  <c r="AA788" i="5"/>
  <c r="Z335" i="5"/>
  <c r="Z334" i="5"/>
  <c r="Z333" i="5"/>
  <c r="Z376" i="5"/>
  <c r="Z558" i="5"/>
  <c r="Z557" i="5"/>
  <c r="Z560" i="5"/>
  <c r="Z559" i="5"/>
  <c r="Z777" i="5"/>
  <c r="Z776" i="5"/>
  <c r="Z788" i="5"/>
  <c r="Z22" i="5"/>
  <c r="Z55" i="5"/>
  <c r="Z64" i="5"/>
  <c r="Z349" i="5"/>
  <c r="Z342" i="5"/>
  <c r="Z450" i="5"/>
  <c r="Z528" i="5"/>
  <c r="Z685" i="5"/>
  <c r="Z772" i="5"/>
  <c r="Z771" i="5"/>
  <c r="Z782" i="5"/>
  <c r="Z781" i="5"/>
  <c r="Z792" i="5"/>
  <c r="Z791" i="5"/>
  <c r="Z52" i="5"/>
  <c r="Z56" i="5"/>
  <c r="Z288" i="5"/>
  <c r="Z343" i="5"/>
  <c r="Z446" i="5"/>
  <c r="Z457" i="5"/>
  <c r="Z453" i="5"/>
  <c r="Z458" i="5"/>
  <c r="Z482" i="5"/>
  <c r="Z524" i="5"/>
  <c r="Z684" i="5"/>
  <c r="Z708" i="5"/>
  <c r="Z773" i="5"/>
  <c r="Z783" i="5"/>
  <c r="Z793" i="5"/>
  <c r="Z534" i="5"/>
  <c r="Z543" i="5"/>
  <c r="Z552" i="5"/>
  <c r="Z579" i="5"/>
  <c r="Z531" i="5"/>
  <c r="Z540" i="5"/>
  <c r="Z549" i="5"/>
  <c r="Z563" i="5"/>
  <c r="Z572" i="5"/>
  <c r="Z576" i="5"/>
  <c r="Y238" i="5" l="1"/>
  <c r="Y240" i="5"/>
  <c r="Y239" i="5"/>
  <c r="W282" i="5"/>
  <c r="W275" i="5"/>
  <c r="W273" i="5"/>
  <c r="W271" i="5"/>
  <c r="W281" i="5"/>
  <c r="W274" i="5"/>
  <c r="W269" i="5"/>
  <c r="W283" i="5"/>
  <c r="W270" i="5"/>
  <c r="Z283" i="5"/>
  <c r="Z270" i="5"/>
  <c r="Z282" i="5"/>
  <c r="Z275" i="5"/>
  <c r="Z273" i="5"/>
  <c r="Z271" i="5"/>
  <c r="Z281" i="5"/>
  <c r="Z274" i="5"/>
  <c r="Z269" i="5"/>
  <c r="W239" i="5"/>
  <c r="W240" i="5"/>
  <c r="W238" i="5"/>
  <c r="Z238" i="5"/>
  <c r="Z239" i="5"/>
  <c r="Z240" i="5"/>
  <c r="AA282" i="5"/>
  <c r="AA275" i="5"/>
  <c r="AA273" i="5"/>
  <c r="AA271" i="5"/>
  <c r="AA281" i="5"/>
  <c r="AA274" i="5"/>
  <c r="AA269" i="5"/>
  <c r="AA283" i="5"/>
  <c r="AA270" i="5"/>
  <c r="X240" i="5"/>
  <c r="X239" i="5"/>
  <c r="X238" i="5"/>
  <c r="X281" i="5"/>
  <c r="X274" i="5"/>
  <c r="X269" i="5"/>
  <c r="X283" i="5"/>
  <c r="X270" i="5"/>
  <c r="X282" i="5"/>
  <c r="X275" i="5"/>
  <c r="X271" i="5"/>
  <c r="X273" i="5"/>
  <c r="V283" i="5"/>
  <c r="V270" i="5"/>
  <c r="V282" i="5"/>
  <c r="V275" i="5"/>
  <c r="V273" i="5"/>
  <c r="V271" i="5"/>
  <c r="V281" i="5"/>
  <c r="V269" i="5"/>
  <c r="V274" i="5"/>
  <c r="V238" i="5"/>
  <c r="V239" i="5"/>
  <c r="V240" i="5"/>
  <c r="Y274" i="5"/>
  <c r="Y269" i="5"/>
  <c r="Y283" i="5"/>
  <c r="Y270" i="5"/>
  <c r="Y282" i="5"/>
  <c r="Y275" i="5"/>
  <c r="Y273" i="5"/>
  <c r="Y271" i="5"/>
  <c r="Y281" i="5"/>
  <c r="AA239" i="5"/>
  <c r="AA240" i="5"/>
  <c r="AA238" i="5"/>
  <c r="AA233" i="5"/>
  <c r="AA234" i="5"/>
  <c r="X233" i="5"/>
  <c r="X234" i="5"/>
  <c r="V234" i="5"/>
  <c r="V233" i="5"/>
  <c r="Y234" i="5"/>
  <c r="Y233" i="5"/>
  <c r="W233" i="5"/>
  <c r="W234" i="5"/>
  <c r="Z234" i="5"/>
  <c r="Z233" i="5"/>
  <c r="W210" i="5"/>
  <c r="W81" i="5"/>
  <c r="W73" i="5"/>
  <c r="W68" i="5"/>
  <c r="W80" i="5"/>
  <c r="W69" i="5"/>
  <c r="W74" i="5"/>
  <c r="W72" i="5"/>
  <c r="W70" i="5"/>
  <c r="W82" i="5"/>
  <c r="AA81" i="5"/>
  <c r="AA73" i="5"/>
  <c r="AA68" i="5"/>
  <c r="AA80" i="5"/>
  <c r="AA69" i="5"/>
  <c r="AA74" i="5"/>
  <c r="AA72" i="5"/>
  <c r="AA70" i="5"/>
  <c r="AA82" i="5"/>
  <c r="AH195" i="5"/>
  <c r="X80" i="5"/>
  <c r="X69" i="5"/>
  <c r="X74" i="5"/>
  <c r="X72" i="5"/>
  <c r="X70" i="5"/>
  <c r="X68" i="5"/>
  <c r="X82" i="5"/>
  <c r="X81" i="5"/>
  <c r="X73" i="5"/>
  <c r="F21" i="6"/>
  <c r="B21" i="6" s="1"/>
  <c r="V82" i="5"/>
  <c r="V81" i="5"/>
  <c r="V73" i="5"/>
  <c r="V68" i="5"/>
  <c r="V80" i="5"/>
  <c r="V69" i="5"/>
  <c r="V74" i="5"/>
  <c r="V72" i="5"/>
  <c r="V70" i="5"/>
  <c r="Z82" i="5"/>
  <c r="Z81" i="5"/>
  <c r="Z73" i="5"/>
  <c r="Z68" i="5"/>
  <c r="Z80" i="5"/>
  <c r="Z69" i="5"/>
  <c r="Z74" i="5"/>
  <c r="Z72" i="5"/>
  <c r="Z70" i="5"/>
  <c r="Y74" i="5"/>
  <c r="Y72" i="5"/>
  <c r="Y70" i="5"/>
  <c r="Y82" i="5"/>
  <c r="Y81" i="5"/>
  <c r="Y73" i="5"/>
  <c r="Y68" i="5"/>
  <c r="Y80" i="5"/>
  <c r="Y69" i="5"/>
  <c r="W39" i="5"/>
  <c r="W38" i="5"/>
  <c r="W40" i="5"/>
  <c r="X40" i="5"/>
  <c r="X38" i="5"/>
  <c r="X39" i="5"/>
  <c r="AA39" i="5"/>
  <c r="AA38" i="5"/>
  <c r="AA40" i="5"/>
  <c r="Y40" i="5"/>
  <c r="Y38" i="5"/>
  <c r="Y39" i="5"/>
  <c r="V38" i="5"/>
  <c r="V39" i="5"/>
  <c r="V40" i="5"/>
  <c r="Z38" i="5"/>
  <c r="Z39" i="5"/>
  <c r="Z40" i="5"/>
  <c r="X698" i="5"/>
  <c r="X701" i="5"/>
  <c r="X700" i="5"/>
  <c r="X697" i="5"/>
  <c r="X699" i="5"/>
  <c r="AA694" i="5"/>
  <c r="AA690" i="5"/>
  <c r="AA693" i="5"/>
  <c r="AA692" i="5"/>
  <c r="AA691" i="5"/>
  <c r="Y692" i="5"/>
  <c r="Y691" i="5"/>
  <c r="Y694" i="5"/>
  <c r="Y690" i="5"/>
  <c r="Y693" i="5"/>
  <c r="W694" i="5"/>
  <c r="W690" i="5"/>
  <c r="W693" i="5"/>
  <c r="W692" i="5"/>
  <c r="W691" i="5"/>
  <c r="X693" i="5"/>
  <c r="X690" i="5"/>
  <c r="X692" i="5"/>
  <c r="X691" i="5"/>
  <c r="X694" i="5"/>
  <c r="AA699" i="5"/>
  <c r="AA698" i="5"/>
  <c r="AA701" i="5"/>
  <c r="AA700" i="5"/>
  <c r="AA697" i="5"/>
  <c r="Y701" i="5"/>
  <c r="Y700" i="5"/>
  <c r="Y697" i="5"/>
  <c r="Y699" i="5"/>
  <c r="Y698" i="5"/>
  <c r="V700" i="5"/>
  <c r="V697" i="5"/>
  <c r="V699" i="5"/>
  <c r="V698" i="5"/>
  <c r="V701" i="5"/>
  <c r="Z700" i="5"/>
  <c r="Z697" i="5"/>
  <c r="Z699" i="5"/>
  <c r="Z698" i="5"/>
  <c r="Z701" i="5"/>
  <c r="W699" i="5"/>
  <c r="W698" i="5"/>
  <c r="W701" i="5"/>
  <c r="W700" i="5"/>
  <c r="W697" i="5"/>
  <c r="Z691" i="5"/>
  <c r="Z694" i="5"/>
  <c r="Z693" i="5"/>
  <c r="Z690" i="5"/>
  <c r="Z692" i="5"/>
  <c r="V691" i="5"/>
  <c r="V694" i="5"/>
  <c r="V693" i="5"/>
  <c r="V690" i="5"/>
  <c r="V692" i="5"/>
  <c r="X513" i="5"/>
  <c r="X510" i="5"/>
  <c r="X511" i="5"/>
  <c r="W509" i="5"/>
  <c r="W513" i="5"/>
  <c r="W510" i="5"/>
  <c r="W512" i="5"/>
  <c r="W511" i="5"/>
  <c r="X519" i="5"/>
  <c r="X518" i="5"/>
  <c r="X520" i="5"/>
  <c r="X517" i="5"/>
  <c r="X521" i="5"/>
  <c r="X516" i="5"/>
  <c r="X509" i="5"/>
  <c r="X512" i="5"/>
  <c r="AK382" i="5"/>
  <c r="AA384" i="5"/>
  <c r="AA385" i="5"/>
  <c r="AI382" i="5"/>
  <c r="Y385" i="5"/>
  <c r="Y384" i="5"/>
  <c r="AJ382" i="5"/>
  <c r="Z384" i="5"/>
  <c r="Z385" i="5"/>
  <c r="W201" i="5"/>
  <c r="W197" i="5"/>
  <c r="AG195" i="5"/>
  <c r="W203" i="5"/>
  <c r="W211" i="5"/>
  <c r="W209" i="5"/>
  <c r="W202" i="5"/>
  <c r="W198" i="5"/>
  <c r="W199" i="5"/>
  <c r="V198" i="5"/>
  <c r="X201" i="5"/>
  <c r="X202" i="5"/>
  <c r="AH369" i="5"/>
  <c r="X371" i="5"/>
  <c r="X372" i="5"/>
  <c r="V372" i="5"/>
  <c r="V371" i="5"/>
  <c r="AK369" i="5"/>
  <c r="AA371" i="5"/>
  <c r="AA372" i="5"/>
  <c r="AJ369" i="5"/>
  <c r="Z372" i="5"/>
  <c r="Z371" i="5"/>
  <c r="AG369" i="5"/>
  <c r="W372" i="5"/>
  <c r="W371" i="5"/>
  <c r="V203" i="5"/>
  <c r="X203" i="5"/>
  <c r="AI369" i="5"/>
  <c r="Y372" i="5"/>
  <c r="Y371" i="5"/>
  <c r="AF195" i="5"/>
  <c r="V201" i="5"/>
  <c r="V211" i="5"/>
  <c r="X209" i="5"/>
  <c r="X210" i="5"/>
  <c r="X197" i="5"/>
  <c r="V197" i="5"/>
  <c r="V202" i="5"/>
  <c r="V209" i="5"/>
  <c r="X211" i="5"/>
  <c r="X198" i="5"/>
  <c r="V210" i="5"/>
  <c r="V199" i="5"/>
  <c r="X199" i="5"/>
  <c r="AF369" i="5"/>
  <c r="V166" i="5"/>
  <c r="V167" i="5"/>
  <c r="V168" i="5"/>
  <c r="F20" i="6"/>
  <c r="V671" i="5"/>
  <c r="V672" i="5"/>
  <c r="V673" i="5"/>
  <c r="V674" i="5"/>
  <c r="V675" i="5"/>
  <c r="AH164" i="5"/>
  <c r="X166" i="5"/>
  <c r="X167" i="5"/>
  <c r="X168" i="5"/>
  <c r="AG164" i="5"/>
  <c r="W166" i="5"/>
  <c r="W167" i="5"/>
  <c r="W168" i="5"/>
  <c r="W671" i="5"/>
  <c r="W672" i="5"/>
  <c r="W673" i="5"/>
  <c r="W674" i="5"/>
  <c r="W675" i="5"/>
  <c r="X671" i="5"/>
  <c r="X672" i="5"/>
  <c r="X673" i="5"/>
  <c r="X674" i="5"/>
  <c r="X675" i="5"/>
  <c r="Z671" i="5"/>
  <c r="Z675" i="5"/>
  <c r="Z674" i="5"/>
  <c r="Z672" i="5"/>
  <c r="Z673" i="5"/>
  <c r="AJ164" i="5"/>
  <c r="Z168" i="5"/>
  <c r="Z166" i="5"/>
  <c r="Z167" i="5"/>
  <c r="AA672" i="5"/>
  <c r="AA673" i="5"/>
  <c r="AA671" i="5"/>
  <c r="AA675" i="5"/>
  <c r="AA674" i="5"/>
  <c r="Y674" i="5"/>
  <c r="Y673" i="5"/>
  <c r="Y672" i="5"/>
  <c r="Y671" i="5"/>
  <c r="Y675" i="5"/>
  <c r="AA166" i="5"/>
  <c r="AA168" i="5"/>
  <c r="AA167" i="5"/>
  <c r="AI164" i="5"/>
  <c r="Y168" i="5"/>
  <c r="Y167" i="5"/>
  <c r="Y166" i="5"/>
  <c r="AA664" i="5"/>
  <c r="AA668" i="5"/>
  <c r="AA667" i="5"/>
  <c r="AA666" i="5"/>
  <c r="AA665" i="5"/>
  <c r="Y666" i="5"/>
  <c r="Y665" i="5"/>
  <c r="Y664" i="5"/>
  <c r="Y668" i="5"/>
  <c r="Y667" i="5"/>
  <c r="AJ195" i="5"/>
  <c r="Z211" i="5"/>
  <c r="Z210" i="5"/>
  <c r="Z209" i="5"/>
  <c r="Z203" i="5"/>
  <c r="Z202" i="5"/>
  <c r="Z201" i="5"/>
  <c r="Z199" i="5"/>
  <c r="Z198" i="5"/>
  <c r="Z197" i="5"/>
  <c r="AA209" i="5"/>
  <c r="AA199" i="5"/>
  <c r="AA211" i="5"/>
  <c r="AA203" i="5"/>
  <c r="AA198" i="5"/>
  <c r="AA202" i="5"/>
  <c r="AA197" i="5"/>
  <c r="AA210" i="5"/>
  <c r="AA201" i="5"/>
  <c r="Z667" i="5"/>
  <c r="Z665" i="5"/>
  <c r="Z666" i="5"/>
  <c r="Z664" i="5"/>
  <c r="Z668" i="5"/>
  <c r="Y211" i="5"/>
  <c r="Y210" i="5"/>
  <c r="Y209" i="5"/>
  <c r="Y203" i="5"/>
  <c r="Y202" i="5"/>
  <c r="Y201" i="5"/>
  <c r="Y199" i="5"/>
  <c r="Y198" i="5"/>
  <c r="Y197" i="5"/>
  <c r="V664" i="5"/>
  <c r="V666" i="5"/>
  <c r="V668" i="5"/>
  <c r="V665" i="5"/>
  <c r="V667" i="5"/>
  <c r="AF662" i="5"/>
  <c r="F70" i="6"/>
  <c r="AG669" i="5"/>
  <c r="AH669" i="5"/>
  <c r="W664" i="5"/>
  <c r="W666" i="5"/>
  <c r="W668" i="5"/>
  <c r="W665" i="5"/>
  <c r="W667" i="5"/>
  <c r="AG662" i="5"/>
  <c r="X665" i="5"/>
  <c r="X667" i="5"/>
  <c r="X668" i="5"/>
  <c r="X664" i="5"/>
  <c r="X666" i="5"/>
  <c r="AH662" i="5"/>
  <c r="AF669" i="5"/>
  <c r="F71" i="6"/>
  <c r="AK195" i="5"/>
  <c r="AK164" i="5"/>
  <c r="AI195" i="5"/>
  <c r="U195" i="5"/>
  <c r="AF164" i="5"/>
  <c r="U164" i="5"/>
  <c r="AJ662" i="5"/>
  <c r="AJ669" i="5"/>
  <c r="AK662" i="5"/>
  <c r="AK669" i="5"/>
  <c r="U662" i="5"/>
  <c r="AI662" i="5"/>
  <c r="AI669" i="5"/>
  <c r="U669" i="5"/>
  <c r="C36" i="8"/>
  <c r="C37" i="8"/>
  <c r="C54" i="8"/>
  <c r="C64" i="8"/>
  <c r="C67" i="8"/>
  <c r="C68" i="8"/>
  <c r="C69" i="8"/>
  <c r="C70" i="8"/>
  <c r="C71" i="8"/>
  <c r="C72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4" i="8"/>
  <c r="C115" i="8"/>
  <c r="C117" i="8"/>
  <c r="C118" i="8"/>
  <c r="C119" i="8"/>
  <c r="C120" i="8"/>
  <c r="C121" i="8"/>
  <c r="C122" i="8"/>
  <c r="C124" i="8"/>
  <c r="C125" i="8"/>
  <c r="C126" i="8"/>
  <c r="C127" i="8"/>
  <c r="C129" i="8"/>
  <c r="C130" i="8"/>
  <c r="C131" i="8"/>
  <c r="C132" i="8"/>
  <c r="C133" i="8"/>
  <c r="C134" i="8"/>
  <c r="C135" i="8"/>
  <c r="C137" i="8"/>
  <c r="C147" i="8"/>
  <c r="C148" i="8"/>
  <c r="C150" i="8"/>
  <c r="C151" i="8"/>
  <c r="C152" i="8"/>
  <c r="C153" i="8"/>
  <c r="C154" i="8"/>
  <c r="C155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7" i="8"/>
  <c r="C198" i="8"/>
  <c r="C200" i="8"/>
  <c r="C201" i="8"/>
  <c r="C202" i="8"/>
  <c r="C203" i="8"/>
  <c r="C204" i="8"/>
  <c r="C205" i="8"/>
  <c r="C207" i="8"/>
  <c r="C208" i="8"/>
  <c r="C209" i="8"/>
  <c r="C210" i="8"/>
  <c r="C213" i="8"/>
  <c r="C214" i="8"/>
  <c r="C215" i="8"/>
  <c r="C216" i="8"/>
  <c r="C217" i="8"/>
  <c r="C218" i="8"/>
  <c r="C219" i="8"/>
  <c r="C221" i="8"/>
  <c r="C231" i="8"/>
  <c r="C232" i="8"/>
  <c r="C234" i="8"/>
  <c r="C235" i="8"/>
  <c r="C236" i="8"/>
  <c r="C237" i="8"/>
  <c r="C238" i="8"/>
  <c r="C239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567" i="8"/>
  <c r="C576" i="8"/>
  <c r="C587" i="8"/>
  <c r="C590" i="8"/>
  <c r="C597" i="8"/>
  <c r="C619" i="8"/>
  <c r="C640" i="8"/>
  <c r="C641" i="8"/>
  <c r="C643" i="8"/>
  <c r="C644" i="8"/>
  <c r="C645" i="8"/>
  <c r="C646" i="8"/>
  <c r="C647" i="8"/>
  <c r="C648" i="8"/>
  <c r="C650" i="8"/>
  <c r="C651" i="8"/>
  <c r="C652" i="8"/>
  <c r="C653" i="8"/>
  <c r="C656" i="8"/>
  <c r="C657" i="8"/>
  <c r="C658" i="8"/>
  <c r="C659" i="8"/>
  <c r="C660" i="8"/>
  <c r="C661" i="8"/>
  <c r="C662" i="8"/>
  <c r="C665" i="8"/>
  <c r="C675" i="8"/>
  <c r="C676" i="8"/>
  <c r="C678" i="8"/>
  <c r="C679" i="8"/>
  <c r="C680" i="8"/>
  <c r="C681" i="8"/>
  <c r="C682" i="8"/>
  <c r="C683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989" i="8"/>
  <c r="C998" i="8"/>
  <c r="C1004" i="8"/>
  <c r="C1015" i="8"/>
  <c r="C1018" i="8"/>
  <c r="C1025" i="8"/>
  <c r="C1039" i="8"/>
  <c r="C1048" i="8"/>
  <c r="C1084" i="8"/>
  <c r="C1093" i="8"/>
  <c r="C1098" i="8"/>
  <c r="C1109" i="8"/>
  <c r="C1112" i="8"/>
  <c r="C1119" i="8"/>
  <c r="C1132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63" i="8"/>
  <c r="C1272" i="8"/>
  <c r="C1277" i="8"/>
  <c r="C1279" i="8"/>
  <c r="C1280" i="8"/>
  <c r="C1284" i="8"/>
  <c r="C1285" i="8"/>
  <c r="C1286" i="8"/>
  <c r="C1287" i="8"/>
  <c r="C1288" i="8"/>
  <c r="C1289" i="8"/>
  <c r="C1291" i="8"/>
  <c r="C1298" i="8"/>
  <c r="C1320" i="8"/>
  <c r="C1322" i="8"/>
  <c r="C1324" i="8"/>
  <c r="C1326" i="8"/>
  <c r="C1328" i="8"/>
  <c r="C1329" i="8"/>
  <c r="C1330" i="8"/>
  <c r="C1343" i="8"/>
  <c r="C2340" i="8"/>
  <c r="C2342" i="8"/>
  <c r="C2343" i="8"/>
  <c r="C2354" i="8"/>
  <c r="C2356" i="8"/>
  <c r="C2357" i="8"/>
  <c r="C2358" i="8"/>
  <c r="C2359" i="8"/>
  <c r="C2348" i="8"/>
  <c r="C2350" i="8"/>
  <c r="C2351" i="8"/>
  <c r="C2352" i="8"/>
  <c r="C2353" i="8"/>
  <c r="C2374" i="8"/>
  <c r="C2400" i="8"/>
  <c r="C2427" i="8"/>
  <c r="C2428" i="8"/>
  <c r="C2429" i="8"/>
  <c r="C2430" i="8"/>
  <c r="C2431" i="8"/>
  <c r="C2472" i="8"/>
  <c r="C2473" i="8" s="1"/>
  <c r="C2474" i="8"/>
  <c r="C2475" i="8"/>
  <c r="C2476" i="8"/>
  <c r="C2477" i="8"/>
  <c r="C2478" i="8"/>
  <c r="C2479" i="8"/>
  <c r="C2480" i="8"/>
  <c r="C2481" i="8"/>
  <c r="C2482" i="8"/>
  <c r="C2483" i="8"/>
  <c r="C2484" i="8"/>
  <c r="C2745" i="8"/>
  <c r="C2729" i="8" s="1"/>
  <c r="H10" i="9"/>
  <c r="H27" i="9"/>
  <c r="H44" i="9"/>
  <c r="H78" i="9"/>
  <c r="H112" i="9"/>
  <c r="H129" i="9"/>
  <c r="H146" i="9"/>
  <c r="H214" i="9"/>
  <c r="H197" i="9"/>
  <c r="H180" i="9"/>
  <c r="H163" i="9"/>
  <c r="B93" i="6"/>
  <c r="B94" i="6"/>
  <c r="B91" i="6"/>
  <c r="U238" i="5" l="1"/>
  <c r="U239" i="5"/>
  <c r="U240" i="5"/>
  <c r="U274" i="5"/>
  <c r="U269" i="5"/>
  <c r="U283" i="5"/>
  <c r="U270" i="5"/>
  <c r="U282" i="5"/>
  <c r="U275" i="5"/>
  <c r="U273" i="5"/>
  <c r="U271" i="5"/>
  <c r="U281" i="5"/>
  <c r="U234" i="5"/>
  <c r="U233" i="5"/>
  <c r="N21" i="6"/>
  <c r="U198" i="5"/>
  <c r="U74" i="5"/>
  <c r="U72" i="5"/>
  <c r="U70" i="5"/>
  <c r="U82" i="5"/>
  <c r="U81" i="5"/>
  <c r="U73" i="5"/>
  <c r="U68" i="5"/>
  <c r="U80" i="5"/>
  <c r="U69" i="5"/>
  <c r="U40" i="5"/>
  <c r="U38" i="5"/>
  <c r="U39" i="5"/>
  <c r="U664" i="5"/>
  <c r="U692" i="5"/>
  <c r="U691" i="5"/>
  <c r="U694" i="5"/>
  <c r="U690" i="5"/>
  <c r="U693" i="5"/>
  <c r="U701" i="5"/>
  <c r="U700" i="5"/>
  <c r="U697" i="5"/>
  <c r="U699" i="5"/>
  <c r="U698" i="5"/>
  <c r="B20" i="6"/>
  <c r="N20" i="6"/>
  <c r="M20" i="6"/>
  <c r="U673" i="5"/>
  <c r="U671" i="5"/>
  <c r="U674" i="5"/>
  <c r="U672" i="5"/>
  <c r="U675" i="5"/>
  <c r="U168" i="5"/>
  <c r="U166" i="5"/>
  <c r="U167" i="5"/>
  <c r="U210" i="5"/>
  <c r="U201" i="5"/>
  <c r="U199" i="5"/>
  <c r="U203" i="5"/>
  <c r="U211" i="5"/>
  <c r="U202" i="5"/>
  <c r="U197" i="5"/>
  <c r="U209" i="5"/>
  <c r="U667" i="5"/>
  <c r="U668" i="5"/>
  <c r="U665" i="5"/>
  <c r="U666" i="5"/>
  <c r="B71" i="6"/>
  <c r="Q71" i="6"/>
  <c r="M71" i="6"/>
  <c r="N71" i="6"/>
  <c r="B70" i="6"/>
  <c r="M70" i="6"/>
  <c r="N70" i="6"/>
  <c r="AE195" i="5"/>
  <c r="G195" i="5"/>
  <c r="C195" i="5" s="1"/>
  <c r="C196" i="5" s="1"/>
  <c r="AE164" i="5"/>
  <c r="G164" i="5"/>
  <c r="C164" i="5" s="1"/>
  <c r="AE669" i="5"/>
  <c r="G669" i="5"/>
  <c r="C669" i="5" s="1"/>
  <c r="C670" i="5" s="1"/>
  <c r="AE662" i="5"/>
  <c r="G662" i="5"/>
  <c r="C662" i="5" s="1"/>
  <c r="C663" i="5" s="1"/>
  <c r="B171" i="11"/>
  <c r="B173" i="11"/>
  <c r="B175" i="11"/>
  <c r="B176" i="11"/>
  <c r="B177" i="11"/>
  <c r="B178" i="11"/>
  <c r="B179" i="11"/>
  <c r="B180" i="11"/>
  <c r="B181" i="11"/>
  <c r="B191" i="11"/>
  <c r="B170" i="11"/>
  <c r="B68" i="11"/>
  <c r="B70" i="11"/>
  <c r="B72" i="11"/>
  <c r="B73" i="11"/>
  <c r="B74" i="11"/>
  <c r="B75" i="11"/>
  <c r="B76" i="11"/>
  <c r="B77" i="11"/>
  <c r="B78" i="11"/>
  <c r="B88" i="11"/>
  <c r="B67" i="11"/>
  <c r="A20" i="23"/>
  <c r="A9" i="23"/>
  <c r="B30" i="23"/>
  <c r="B28" i="23"/>
  <c r="B26" i="23"/>
  <c r="B24" i="23"/>
  <c r="B22" i="23"/>
  <c r="B19" i="23"/>
  <c r="B17" i="23"/>
  <c r="B15" i="23"/>
  <c r="B13" i="23"/>
  <c r="B11" i="23"/>
  <c r="I33" i="8"/>
  <c r="I34" i="8"/>
  <c r="I35" i="8"/>
  <c r="I36" i="8"/>
  <c r="M36" i="8" s="1"/>
  <c r="N36" i="8"/>
  <c r="I37" i="8"/>
  <c r="M37" i="8" s="1"/>
  <c r="N37" i="8"/>
  <c r="I43" i="8"/>
  <c r="I44" i="8"/>
  <c r="I48" i="8"/>
  <c r="I49" i="8"/>
  <c r="I56" i="8"/>
  <c r="I57" i="8"/>
  <c r="I58" i="8"/>
  <c r="I59" i="8"/>
  <c r="I60" i="8"/>
  <c r="I61" i="8"/>
  <c r="I62" i="8"/>
  <c r="I69" i="8"/>
  <c r="M69" i="8" s="1"/>
  <c r="N69" i="8"/>
  <c r="I70" i="8"/>
  <c r="M70" i="8" s="1"/>
  <c r="N70" i="8"/>
  <c r="I71" i="8"/>
  <c r="M71" i="8" s="1"/>
  <c r="N71" i="8"/>
  <c r="I72" i="8"/>
  <c r="M72" i="8" s="1"/>
  <c r="N72" i="8"/>
  <c r="I76" i="8"/>
  <c r="M76" i="8" s="1"/>
  <c r="N76" i="8"/>
  <c r="I77" i="8"/>
  <c r="M77" i="8" s="1"/>
  <c r="N77" i="8"/>
  <c r="I78" i="8"/>
  <c r="M78" i="8" s="1"/>
  <c r="N78" i="8"/>
  <c r="I79" i="8"/>
  <c r="M79" i="8" s="1"/>
  <c r="N79" i="8"/>
  <c r="I80" i="8"/>
  <c r="M80" i="8" s="1"/>
  <c r="N80" i="8"/>
  <c r="I81" i="8"/>
  <c r="M81" i="8" s="1"/>
  <c r="N81" i="8"/>
  <c r="I82" i="8"/>
  <c r="M82" i="8" s="1"/>
  <c r="N82" i="8"/>
  <c r="I83" i="8"/>
  <c r="M83" i="8" s="1"/>
  <c r="N83" i="8"/>
  <c r="I84" i="8"/>
  <c r="M84" i="8" s="1"/>
  <c r="N84" i="8"/>
  <c r="I85" i="8"/>
  <c r="M85" i="8" s="1"/>
  <c r="N85" i="8"/>
  <c r="I86" i="8"/>
  <c r="M86" i="8" s="1"/>
  <c r="N86" i="8"/>
  <c r="I87" i="8"/>
  <c r="M87" i="8" s="1"/>
  <c r="N87" i="8"/>
  <c r="I88" i="8"/>
  <c r="M88" i="8" s="1"/>
  <c r="N88" i="8"/>
  <c r="I89" i="8"/>
  <c r="M89" i="8" s="1"/>
  <c r="N89" i="8"/>
  <c r="I90" i="8"/>
  <c r="M90" i="8" s="1"/>
  <c r="N90" i="8"/>
  <c r="I91" i="8"/>
  <c r="M91" i="8" s="1"/>
  <c r="N91" i="8"/>
  <c r="I92" i="8"/>
  <c r="M92" i="8" s="1"/>
  <c r="N92" i="8"/>
  <c r="I93" i="8"/>
  <c r="M93" i="8" s="1"/>
  <c r="N93" i="8"/>
  <c r="I97" i="8"/>
  <c r="M97" i="8" s="1"/>
  <c r="N97" i="8"/>
  <c r="I98" i="8"/>
  <c r="M98" i="8" s="1"/>
  <c r="N98" i="8"/>
  <c r="I99" i="8"/>
  <c r="M99" i="8" s="1"/>
  <c r="N99" i="8"/>
  <c r="I100" i="8"/>
  <c r="M100" i="8" s="1"/>
  <c r="N100" i="8"/>
  <c r="I101" i="8"/>
  <c r="M101" i="8" s="1"/>
  <c r="N101" i="8"/>
  <c r="I102" i="8"/>
  <c r="M102" i="8" s="1"/>
  <c r="N102" i="8"/>
  <c r="I103" i="8"/>
  <c r="M103" i="8" s="1"/>
  <c r="N103" i="8"/>
  <c r="I104" i="8"/>
  <c r="M104" i="8" s="1"/>
  <c r="N104" i="8"/>
  <c r="I105" i="8"/>
  <c r="M105" i="8" s="1"/>
  <c r="N105" i="8"/>
  <c r="I106" i="8"/>
  <c r="M106" i="8" s="1"/>
  <c r="N106" i="8"/>
  <c r="I107" i="8"/>
  <c r="M107" i="8" s="1"/>
  <c r="N107" i="8"/>
  <c r="I108" i="8"/>
  <c r="M108" i="8" s="1"/>
  <c r="N108" i="8"/>
  <c r="I109" i="8"/>
  <c r="M109" i="8" s="1"/>
  <c r="N109" i="8"/>
  <c r="I110" i="8"/>
  <c r="M110" i="8" s="1"/>
  <c r="N110" i="8"/>
  <c r="I111" i="8"/>
  <c r="M111" i="8" s="1"/>
  <c r="N111" i="8"/>
  <c r="I112" i="8"/>
  <c r="M112" i="8" s="1"/>
  <c r="N112" i="8"/>
  <c r="N96" i="8"/>
  <c r="I96" i="8"/>
  <c r="M96" i="8" s="1"/>
  <c r="N75" i="8"/>
  <c r="I75" i="8"/>
  <c r="M75" i="8" s="1"/>
  <c r="N68" i="8"/>
  <c r="I68" i="8"/>
  <c r="M68" i="8" s="1"/>
  <c r="I65" i="8"/>
  <c r="I55" i="8"/>
  <c r="I47" i="8"/>
  <c r="I41" i="8"/>
  <c r="I32" i="8"/>
  <c r="B332" i="23"/>
  <c r="B334" i="23" s="1"/>
  <c r="A332" i="23" s="1"/>
  <c r="B331" i="23"/>
  <c r="B329" i="23"/>
  <c r="B327" i="23"/>
  <c r="A325" i="23" s="1"/>
  <c r="B192" i="23"/>
  <c r="B194" i="23" s="1"/>
  <c r="A192" i="23" s="1"/>
  <c r="B191" i="23"/>
  <c r="B189" i="23"/>
  <c r="B187" i="23"/>
  <c r="A185" i="23" s="1"/>
  <c r="B178" i="23"/>
  <c r="B184" i="23" s="1"/>
  <c r="B177" i="23"/>
  <c r="B175" i="23"/>
  <c r="B173" i="23"/>
  <c r="A171" i="23" s="1"/>
  <c r="B164" i="23"/>
  <c r="B170" i="23" s="1"/>
  <c r="B163" i="23"/>
  <c r="B161" i="23"/>
  <c r="B159" i="23"/>
  <c r="A157" i="23" s="1"/>
  <c r="B150" i="23"/>
  <c r="B152" i="23" s="1"/>
  <c r="A150" i="23" s="1"/>
  <c r="B149" i="23"/>
  <c r="B147" i="23"/>
  <c r="B145" i="23"/>
  <c r="A143" i="23" s="1"/>
  <c r="B136" i="23"/>
  <c r="B138" i="23" s="1"/>
  <c r="A136" i="23" s="1"/>
  <c r="B135" i="23"/>
  <c r="B133" i="23"/>
  <c r="B131" i="23"/>
  <c r="A129" i="23" s="1"/>
  <c r="B122" i="23"/>
  <c r="B126" i="23" s="1"/>
  <c r="B121" i="23"/>
  <c r="B119" i="23"/>
  <c r="B117" i="23"/>
  <c r="A115" i="23" s="1"/>
  <c r="B108" i="23"/>
  <c r="B114" i="23" s="1"/>
  <c r="B107" i="23"/>
  <c r="B105" i="23"/>
  <c r="B103" i="23"/>
  <c r="A101" i="23" s="1"/>
  <c r="B80" i="23"/>
  <c r="B84" i="23" s="1"/>
  <c r="B79" i="23"/>
  <c r="B77" i="23"/>
  <c r="B75" i="23"/>
  <c r="A73" i="23" s="1"/>
  <c r="B38" i="23"/>
  <c r="B44" i="23" s="1"/>
  <c r="B52" i="23"/>
  <c r="B54" i="23" s="1"/>
  <c r="A52" i="23" s="1"/>
  <c r="B51" i="23"/>
  <c r="B49" i="23"/>
  <c r="B47" i="23"/>
  <c r="A45" i="23" s="1"/>
  <c r="E30" i="8"/>
  <c r="B37" i="23"/>
  <c r="B35" i="23"/>
  <c r="B33" i="23"/>
  <c r="A31" i="23" s="1"/>
  <c r="I4" i="23"/>
  <c r="I3" i="23"/>
  <c r="I2" i="23"/>
  <c r="I1" i="23"/>
  <c r="E3" i="23"/>
  <c r="C168" i="5" l="1"/>
  <c r="C172" i="5"/>
  <c r="C169" i="5"/>
  <c r="C173" i="5"/>
  <c r="C175" i="5"/>
  <c r="C170" i="5"/>
  <c r="C174" i="5"/>
  <c r="C171" i="5"/>
  <c r="D31" i="23"/>
  <c r="D6" i="9"/>
  <c r="C37" i="10"/>
  <c r="C672" i="5"/>
  <c r="C671" i="5"/>
  <c r="C674" i="5"/>
  <c r="C675" i="5"/>
  <c r="C673" i="5"/>
  <c r="B40" i="23"/>
  <c r="A38" i="23" s="1"/>
  <c r="B82" i="23"/>
  <c r="A80" i="23" s="1"/>
  <c r="C165" i="5"/>
  <c r="C167" i="5"/>
  <c r="C176" i="5"/>
  <c r="C177" i="5"/>
  <c r="C166" i="5"/>
  <c r="B112" i="23"/>
  <c r="D38" i="23"/>
  <c r="B128" i="23"/>
  <c r="B180" i="23"/>
  <c r="A178" i="23" s="1"/>
  <c r="B182" i="23"/>
  <c r="B86" i="23"/>
  <c r="B124" i="23"/>
  <c r="A122" i="23" s="1"/>
  <c r="B168" i="23"/>
  <c r="B338" i="23"/>
  <c r="B156" i="23"/>
  <c r="B336" i="23"/>
  <c r="B58" i="23"/>
  <c r="B110" i="23"/>
  <c r="A108" i="23" s="1"/>
  <c r="B142" i="23"/>
  <c r="B154" i="23"/>
  <c r="B166" i="23"/>
  <c r="A164" i="23" s="1"/>
  <c r="B198" i="23"/>
  <c r="B140" i="23"/>
  <c r="B196" i="23"/>
  <c r="B42" i="23"/>
  <c r="B56" i="23"/>
  <c r="S39" i="8"/>
  <c r="S45" i="8"/>
  <c r="S46" i="8"/>
  <c r="T46" i="8" s="1"/>
  <c r="S53" i="8"/>
  <c r="S54" i="8"/>
  <c r="T54" i="8" s="1"/>
  <c r="S63" i="8"/>
  <c r="S64" i="8"/>
  <c r="T64" i="8" s="1"/>
  <c r="S66" i="8"/>
  <c r="S67" i="8"/>
  <c r="T67" i="8" s="1"/>
  <c r="S73" i="8"/>
  <c r="S74" i="8"/>
  <c r="T74" i="8" s="1"/>
  <c r="S94" i="8"/>
  <c r="T94" i="8" s="1"/>
  <c r="S95" i="8"/>
  <c r="T95" i="8" s="1"/>
  <c r="S114" i="8"/>
  <c r="T114" i="8" s="1"/>
  <c r="S115" i="8"/>
  <c r="S122" i="8"/>
  <c r="S123" i="8"/>
  <c r="S128" i="8"/>
  <c r="S129" i="8"/>
  <c r="T129" i="8" s="1"/>
  <c r="S136" i="8"/>
  <c r="S137" i="8"/>
  <c r="T137" i="8" s="1"/>
  <c r="S146" i="8"/>
  <c r="S147" i="8"/>
  <c r="T147" i="8" s="1"/>
  <c r="S149" i="8"/>
  <c r="S150" i="8"/>
  <c r="T150" i="8" s="1"/>
  <c r="S156" i="8"/>
  <c r="S157" i="8"/>
  <c r="T157" i="8" s="1"/>
  <c r="S177" i="8"/>
  <c r="T177" i="8" s="1"/>
  <c r="S178" i="8"/>
  <c r="T178" i="8" s="1"/>
  <c r="S197" i="8"/>
  <c r="T197" i="8" s="1"/>
  <c r="S198" i="8"/>
  <c r="S205" i="8"/>
  <c r="S206" i="8"/>
  <c r="S212" i="8"/>
  <c r="S213" i="8"/>
  <c r="T213" i="8" s="1"/>
  <c r="S220" i="8"/>
  <c r="S221" i="8"/>
  <c r="T221" i="8" s="1"/>
  <c r="S230" i="8"/>
  <c r="S231" i="8"/>
  <c r="T231" i="8" s="1"/>
  <c r="S233" i="8"/>
  <c r="S234" i="8"/>
  <c r="T234" i="8" s="1"/>
  <c r="S240" i="8"/>
  <c r="S241" i="8"/>
  <c r="T241" i="8" s="1"/>
  <c r="S261" i="8"/>
  <c r="T261" i="8" s="1"/>
  <c r="S262" i="8"/>
  <c r="T262" i="8" s="1"/>
  <c r="S550" i="8"/>
  <c r="T550" i="8" s="1"/>
  <c r="S551" i="8"/>
  <c r="S559" i="8"/>
  <c r="S560" i="8"/>
  <c r="S566" i="8"/>
  <c r="S567" i="8"/>
  <c r="T567" i="8" s="1"/>
  <c r="S575" i="8"/>
  <c r="S576" i="8"/>
  <c r="T576" i="8" s="1"/>
  <c r="S586" i="8"/>
  <c r="S587" i="8"/>
  <c r="T587" i="8" s="1"/>
  <c r="S589" i="8"/>
  <c r="S590" i="8"/>
  <c r="T590" i="8" s="1"/>
  <c r="S596" i="8"/>
  <c r="S597" i="8"/>
  <c r="T597" i="8" s="1"/>
  <c r="S618" i="8"/>
  <c r="S619" i="8"/>
  <c r="T619" i="8" s="1"/>
  <c r="S640" i="8"/>
  <c r="T640" i="8" s="1"/>
  <c r="S641" i="8"/>
  <c r="S648" i="8"/>
  <c r="S649" i="8"/>
  <c r="S655" i="8"/>
  <c r="S656" i="8"/>
  <c r="T656" i="8" s="1"/>
  <c r="S664" i="8"/>
  <c r="S665" i="8"/>
  <c r="T665" i="8" s="1"/>
  <c r="S674" i="8"/>
  <c r="S675" i="8"/>
  <c r="T675" i="8" s="1"/>
  <c r="S677" i="8"/>
  <c r="S678" i="8"/>
  <c r="T678" i="8" s="1"/>
  <c r="S684" i="8"/>
  <c r="S685" i="8"/>
  <c r="T685" i="8" s="1"/>
  <c r="S705" i="8"/>
  <c r="T705" i="8" s="1"/>
  <c r="S706" i="8"/>
  <c r="T706" i="8" s="1"/>
  <c r="S725" i="8"/>
  <c r="T725" i="8" s="1"/>
  <c r="S726" i="8"/>
  <c r="S734" i="8"/>
  <c r="S735" i="8"/>
  <c r="S764" i="8"/>
  <c r="S765" i="8"/>
  <c r="T765" i="8" s="1"/>
  <c r="S773" i="8"/>
  <c r="S774" i="8"/>
  <c r="T774" i="8" s="1"/>
  <c r="S778" i="8"/>
  <c r="S779" i="8"/>
  <c r="T779" i="8" s="1"/>
  <c r="S788" i="8"/>
  <c r="S789" i="8"/>
  <c r="T789" i="8" s="1"/>
  <c r="S791" i="8"/>
  <c r="S792" i="8"/>
  <c r="T792" i="8" s="1"/>
  <c r="S798" i="8"/>
  <c r="S799" i="8"/>
  <c r="T799" i="8" s="1"/>
  <c r="S822" i="8"/>
  <c r="S823" i="8"/>
  <c r="T823" i="8" s="1"/>
  <c r="S861" i="8"/>
  <c r="T861" i="8" s="1"/>
  <c r="S862" i="8"/>
  <c r="S870" i="8"/>
  <c r="S871" i="8"/>
  <c r="S876" i="8"/>
  <c r="S877" i="8"/>
  <c r="T877" i="8" s="1"/>
  <c r="S885" i="8"/>
  <c r="S886" i="8"/>
  <c r="T886" i="8" s="1"/>
  <c r="S890" i="8"/>
  <c r="S891" i="8"/>
  <c r="T891" i="8" s="1"/>
  <c r="S900" i="8"/>
  <c r="S901" i="8"/>
  <c r="T901" i="8" s="1"/>
  <c r="S903" i="8"/>
  <c r="S904" i="8"/>
  <c r="T904" i="8" s="1"/>
  <c r="S910" i="8"/>
  <c r="S911" i="8"/>
  <c r="T911" i="8" s="1"/>
  <c r="S935" i="8"/>
  <c r="S936" i="8"/>
  <c r="T936" i="8" s="1"/>
  <c r="S973" i="8"/>
  <c r="T973" i="8" s="1"/>
  <c r="S974" i="8"/>
  <c r="S982" i="8"/>
  <c r="S983" i="8"/>
  <c r="S988" i="8"/>
  <c r="S989" i="8"/>
  <c r="T989" i="8" s="1"/>
  <c r="S997" i="8"/>
  <c r="S998" i="8"/>
  <c r="T998" i="8" s="1"/>
  <c r="S1003" i="8"/>
  <c r="S1004" i="8"/>
  <c r="T1004" i="8" s="1"/>
  <c r="S1014" i="8"/>
  <c r="S1015" i="8"/>
  <c r="T1015" i="8" s="1"/>
  <c r="S1017" i="8"/>
  <c r="S1018" i="8"/>
  <c r="T1018" i="8" s="1"/>
  <c r="S1024" i="8"/>
  <c r="S1025" i="8"/>
  <c r="T1025" i="8" s="1"/>
  <c r="S1047" i="8"/>
  <c r="S1048" i="8"/>
  <c r="T1048" i="8" s="1"/>
  <c r="S1069" i="8"/>
  <c r="T1069" i="8" s="1"/>
  <c r="S1070" i="8"/>
  <c r="S1077" i="8"/>
  <c r="S1078" i="8"/>
  <c r="S1083" i="8"/>
  <c r="S1084" i="8"/>
  <c r="T1084" i="8" s="1"/>
  <c r="S1092" i="8"/>
  <c r="S1093" i="8"/>
  <c r="T1093" i="8" s="1"/>
  <c r="S1097" i="8"/>
  <c r="S1098" i="8"/>
  <c r="T1098" i="8" s="1"/>
  <c r="S1108" i="8"/>
  <c r="S1109" i="8"/>
  <c r="T1109" i="8" s="1"/>
  <c r="S1111" i="8"/>
  <c r="S1112" i="8"/>
  <c r="T1112" i="8" s="1"/>
  <c r="S1118" i="8"/>
  <c r="S1119" i="8"/>
  <c r="T1119" i="8" s="1"/>
  <c r="S1140" i="8"/>
  <c r="T1140" i="8" s="1"/>
  <c r="S1141" i="8"/>
  <c r="T1141" i="8" s="1"/>
  <c r="S1160" i="8"/>
  <c r="T1160" i="8" s="1"/>
  <c r="S1161" i="8"/>
  <c r="S1168" i="8"/>
  <c r="S1169" i="8"/>
  <c r="T1169" i="8" s="1"/>
  <c r="S1174" i="8"/>
  <c r="T1174" i="8" s="1"/>
  <c r="S1175" i="8"/>
  <c r="T1175" i="8" s="1"/>
  <c r="S1182" i="8"/>
  <c r="T1182" i="8" s="1"/>
  <c r="S1183" i="8"/>
  <c r="T1183" i="8" s="1"/>
  <c r="S1187" i="8"/>
  <c r="T1187" i="8" s="1"/>
  <c r="S1188" i="8"/>
  <c r="T1188" i="8" s="1"/>
  <c r="S1197" i="8"/>
  <c r="T1197" i="8" s="1"/>
  <c r="S1198" i="8"/>
  <c r="T1198" i="8" s="1"/>
  <c r="S1200" i="8"/>
  <c r="T1200" i="8" s="1"/>
  <c r="S1201" i="8"/>
  <c r="T1201" i="8" s="1"/>
  <c r="S1207" i="8"/>
  <c r="T1207" i="8" s="1"/>
  <c r="S1208" i="8"/>
  <c r="T1208" i="8" s="1"/>
  <c r="S1228" i="8"/>
  <c r="T1228" i="8" s="1"/>
  <c r="S1229" i="8"/>
  <c r="T1229" i="8" s="1"/>
  <c r="S1248" i="8"/>
  <c r="T1248" i="8" s="1"/>
  <c r="S1249" i="8"/>
  <c r="S1256" i="8"/>
  <c r="S1257" i="8"/>
  <c r="S1262" i="8"/>
  <c r="S1263" i="8"/>
  <c r="T1263" i="8" s="1"/>
  <c r="S1271" i="8"/>
  <c r="S1272" i="8"/>
  <c r="T1272" i="8" s="1"/>
  <c r="S1276" i="8"/>
  <c r="S1277" i="8"/>
  <c r="T1277" i="8" s="1"/>
  <c r="S1287" i="8"/>
  <c r="T1287" i="8" s="1"/>
  <c r="S1288" i="8"/>
  <c r="T1288" i="8" s="1"/>
  <c r="S1290" i="8"/>
  <c r="S1291" i="8"/>
  <c r="T1291" i="8" s="1"/>
  <c r="S1297" i="8"/>
  <c r="S1298" i="8"/>
  <c r="T1298" i="8" s="1"/>
  <c r="S1319" i="8"/>
  <c r="S1320" i="8"/>
  <c r="T1320" i="8" s="1"/>
  <c r="S2325" i="8"/>
  <c r="S2333" i="8"/>
  <c r="S2344" i="8"/>
  <c r="S2340" i="8"/>
  <c r="T2340" i="8" s="1"/>
  <c r="S2354" i="8"/>
  <c r="T2354" i="8" s="1"/>
  <c r="S2348" i="8"/>
  <c r="T2348" i="8" s="1"/>
  <c r="S2369" i="8"/>
  <c r="T2369" i="8" s="1"/>
  <c r="S2378" i="8"/>
  <c r="S2379" i="8"/>
  <c r="T2379" i="8" s="1"/>
  <c r="S2405" i="8"/>
  <c r="S2406" i="8"/>
  <c r="T2406" i="8" s="1"/>
  <c r="S2399" i="8"/>
  <c r="S2400" i="8"/>
  <c r="T2400" i="8" s="1"/>
  <c r="S2410" i="8"/>
  <c r="S2411" i="8"/>
  <c r="T2411" i="8" s="1"/>
  <c r="S2416" i="8"/>
  <c r="S2417" i="8"/>
  <c r="T2417" i="8" s="1"/>
  <c r="S2427" i="8"/>
  <c r="T2427" i="8" s="1"/>
  <c r="S2432" i="8"/>
  <c r="S2433" i="8"/>
  <c r="T2433" i="8" s="1"/>
  <c r="S2435" i="8"/>
  <c r="S2436" i="8"/>
  <c r="T2436" i="8" s="1"/>
  <c r="S2445" i="8"/>
  <c r="S2446" i="8"/>
  <c r="T2446" i="8" s="1"/>
  <c r="S2472" i="8"/>
  <c r="T2472" i="8" s="1"/>
  <c r="S2473" i="8"/>
  <c r="T2473" i="8" s="1"/>
  <c r="S2485" i="8"/>
  <c r="S2486" i="8"/>
  <c r="T2486" i="8" s="1"/>
  <c r="S2745" i="8"/>
  <c r="T2745" i="8" s="1"/>
  <c r="S25" i="8"/>
  <c r="S1943" i="8" s="1"/>
  <c r="T1943" i="8" s="1"/>
  <c r="AD17" i="5"/>
  <c r="AD18" i="5"/>
  <c r="AD23" i="5"/>
  <c r="AD24" i="5"/>
  <c r="AD50" i="5"/>
  <c r="AD51" i="5"/>
  <c r="AD84" i="5"/>
  <c r="AD85" i="5"/>
  <c r="AD88" i="5"/>
  <c r="AD89" i="5"/>
  <c r="AD94" i="5"/>
  <c r="AD95" i="5"/>
  <c r="AD107" i="5"/>
  <c r="AD108" i="5"/>
  <c r="AD123" i="5"/>
  <c r="AD124" i="5"/>
  <c r="AD127" i="5"/>
  <c r="AD128" i="5"/>
  <c r="AD132" i="5"/>
  <c r="AD133" i="5"/>
  <c r="AD138" i="5"/>
  <c r="AD139" i="5"/>
  <c r="AD178" i="5"/>
  <c r="AD179" i="5"/>
  <c r="AD213" i="5"/>
  <c r="AD214" i="5"/>
  <c r="AD217" i="5"/>
  <c r="AD218" i="5"/>
  <c r="AD223" i="5"/>
  <c r="AD224" i="5"/>
  <c r="AD285" i="5"/>
  <c r="AD286" i="5"/>
  <c r="AD289" i="5"/>
  <c r="AD290" i="5"/>
  <c r="AD299" i="5"/>
  <c r="AD300" i="5"/>
  <c r="AD310" i="5"/>
  <c r="AD311" i="5"/>
  <c r="AD321" i="5"/>
  <c r="AD322" i="5"/>
  <c r="AD331" i="5"/>
  <c r="AD332" i="5"/>
  <c r="AD340" i="5"/>
  <c r="AD341" i="5"/>
  <c r="AD360" i="5"/>
  <c r="AD361" i="5"/>
  <c r="AD362" i="5"/>
  <c r="AD365" i="5"/>
  <c r="AD366" i="5"/>
  <c r="AD373" i="5"/>
  <c r="AD374" i="5"/>
  <c r="AD377" i="5"/>
  <c r="AD378" i="5"/>
  <c r="AD379" i="5"/>
  <c r="AD386" i="5"/>
  <c r="AD387" i="5"/>
  <c r="AD390" i="5"/>
  <c r="AD391" i="5"/>
  <c r="AD394" i="5"/>
  <c r="AD395" i="5"/>
  <c r="AD396" i="5"/>
  <c r="AD412" i="5"/>
  <c r="AD413" i="5"/>
  <c r="AD429" i="5"/>
  <c r="AD430" i="5"/>
  <c r="AD436" i="5"/>
  <c r="AD437" i="5"/>
  <c r="AD444" i="5"/>
  <c r="AD445" i="5"/>
  <c r="AD451" i="5"/>
  <c r="AD452" i="5"/>
  <c r="AD460" i="5"/>
  <c r="AD461" i="5"/>
  <c r="AD467" i="5"/>
  <c r="AD468" i="5"/>
  <c r="AD476" i="5"/>
  <c r="AD477" i="5"/>
  <c r="AD483" i="5"/>
  <c r="AD484" i="5"/>
  <c r="AD492" i="5"/>
  <c r="AD493" i="5"/>
  <c r="AD499" i="5"/>
  <c r="AD500" i="5"/>
  <c r="AD507" i="5"/>
  <c r="AD508" i="5"/>
  <c r="AD514" i="5"/>
  <c r="AD515" i="5"/>
  <c r="AD522" i="5"/>
  <c r="AD523" i="5"/>
  <c r="AD529" i="5"/>
  <c r="AD530" i="5"/>
  <c r="AD538" i="5"/>
  <c r="AD539" i="5"/>
  <c r="AD547" i="5"/>
  <c r="AD548" i="5"/>
  <c r="AD554" i="5"/>
  <c r="AD555" i="5"/>
  <c r="AD561" i="5"/>
  <c r="AD562" i="5"/>
  <c r="AD570" i="5"/>
  <c r="AD571" i="5"/>
  <c r="AD581" i="5"/>
  <c r="AD582" i="5"/>
  <c r="AD590" i="5"/>
  <c r="AD591" i="5"/>
  <c r="AD601" i="5"/>
  <c r="AD602" i="5"/>
  <c r="AD610" i="5"/>
  <c r="AD611" i="5"/>
  <c r="AD621" i="5"/>
  <c r="AD622" i="5"/>
  <c r="AD630" i="5"/>
  <c r="AD631" i="5"/>
  <c r="AD641" i="5"/>
  <c r="AD642" i="5"/>
  <c r="AD650" i="5"/>
  <c r="AD651" i="5"/>
  <c r="AD656" i="5"/>
  <c r="AD657" i="5"/>
  <c r="AD676" i="5"/>
  <c r="AD677" i="5"/>
  <c r="AD682" i="5"/>
  <c r="AD683" i="5"/>
  <c r="AD702" i="5"/>
  <c r="AD703" i="5"/>
  <c r="AD706" i="5"/>
  <c r="AD707" i="5"/>
  <c r="AD710" i="5"/>
  <c r="AD711" i="5"/>
  <c r="AD714" i="5"/>
  <c r="AD715" i="5"/>
  <c r="AD719" i="5"/>
  <c r="AD720" i="5"/>
  <c r="AD724" i="5"/>
  <c r="AD725" i="5"/>
  <c r="AD729" i="5"/>
  <c r="AD730" i="5"/>
  <c r="AD733" i="5"/>
  <c r="AD734" i="5"/>
  <c r="AD737" i="5"/>
  <c r="AD738" i="5"/>
  <c r="AD741" i="5"/>
  <c r="AD742" i="5"/>
  <c r="AD745" i="5"/>
  <c r="AD746" i="5"/>
  <c r="AD749" i="5"/>
  <c r="AD750" i="5"/>
  <c r="AD754" i="5"/>
  <c r="AD755" i="5"/>
  <c r="AD759" i="5"/>
  <c r="AD760" i="5"/>
  <c r="AD764" i="5"/>
  <c r="AD765" i="5"/>
  <c r="AD769" i="5"/>
  <c r="AD770" i="5"/>
  <c r="AD774" i="5"/>
  <c r="AD775" i="5"/>
  <c r="AD779" i="5"/>
  <c r="AD780" i="5"/>
  <c r="AD784" i="5"/>
  <c r="AD785" i="5"/>
  <c r="AD789" i="5"/>
  <c r="AD790" i="5"/>
  <c r="AD794" i="5"/>
  <c r="AD795" i="5"/>
  <c r="AD800" i="5"/>
  <c r="AD801" i="5"/>
  <c r="AD805" i="5"/>
  <c r="AD806" i="5"/>
  <c r="AD865" i="5"/>
  <c r="AD869" i="5"/>
  <c r="AD956" i="5"/>
  <c r="AD3" i="5"/>
  <c r="AD798" i="5" s="1"/>
  <c r="H29" i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AL798" i="5" l="1"/>
  <c r="AD936" i="5"/>
  <c r="AH936" i="5" s="1"/>
  <c r="AD938" i="5"/>
  <c r="AD932" i="5"/>
  <c r="AH932" i="5" s="1"/>
  <c r="AD934" i="5"/>
  <c r="AD937" i="5"/>
  <c r="AD935" i="5"/>
  <c r="AD933" i="5"/>
  <c r="S2225" i="8"/>
  <c r="T2225" i="8" s="1"/>
  <c r="S2314" i="8"/>
  <c r="T2314" i="8" s="1"/>
  <c r="S2310" i="8"/>
  <c r="T2310" i="8" s="1"/>
  <c r="S2306" i="8"/>
  <c r="T2306" i="8" s="1"/>
  <c r="S2301" i="8"/>
  <c r="T2301" i="8" s="1"/>
  <c r="S2296" i="8"/>
  <c r="T2296" i="8" s="1"/>
  <c r="S2291" i="8"/>
  <c r="T2291" i="8" s="1"/>
  <c r="S2321" i="8"/>
  <c r="T2321" i="8" s="1"/>
  <c r="S2319" i="8"/>
  <c r="T2319" i="8" s="1"/>
  <c r="S2317" i="8"/>
  <c r="T2317" i="8" s="1"/>
  <c r="S2313" i="8"/>
  <c r="T2313" i="8" s="1"/>
  <c r="S2309" i="8"/>
  <c r="T2309" i="8" s="1"/>
  <c r="S2305" i="8"/>
  <c r="T2305" i="8" s="1"/>
  <c r="S2302" i="8"/>
  <c r="T2302" i="8" s="1"/>
  <c r="S2300" i="8"/>
  <c r="T2300" i="8" s="1"/>
  <c r="S2295" i="8"/>
  <c r="T2295" i="8" s="1"/>
  <c r="S2293" i="8"/>
  <c r="T2293" i="8" s="1"/>
  <c r="S2290" i="8"/>
  <c r="T2290" i="8" s="1"/>
  <c r="S2316" i="8"/>
  <c r="T2316" i="8" s="1"/>
  <c r="S2312" i="8"/>
  <c r="T2312" i="8" s="1"/>
  <c r="S2308" i="8"/>
  <c r="T2308" i="8" s="1"/>
  <c r="S2303" i="8"/>
  <c r="T2303" i="8" s="1"/>
  <c r="S2299" i="8"/>
  <c r="T2299" i="8" s="1"/>
  <c r="S2298" i="8"/>
  <c r="T2298" i="8" s="1"/>
  <c r="S2289" i="8"/>
  <c r="T2289" i="8" s="1"/>
  <c r="S2288" i="8"/>
  <c r="T2288" i="8" s="1"/>
  <c r="S2287" i="8"/>
  <c r="T2287" i="8" s="1"/>
  <c r="S2286" i="8"/>
  <c r="T2286" i="8" s="1"/>
  <c r="S2320" i="8"/>
  <c r="T2320" i="8" s="1"/>
  <c r="S2318" i="8"/>
  <c r="T2318" i="8" s="1"/>
  <c r="S2315" i="8"/>
  <c r="T2315" i="8" s="1"/>
  <c r="S2311" i="8"/>
  <c r="T2311" i="8" s="1"/>
  <c r="S2307" i="8"/>
  <c r="T2307" i="8" s="1"/>
  <c r="S2304" i="8"/>
  <c r="T2304" i="8" s="1"/>
  <c r="S2297" i="8"/>
  <c r="T2297" i="8" s="1"/>
  <c r="S2294" i="8"/>
  <c r="T2294" i="8" s="1"/>
  <c r="S2292" i="8"/>
  <c r="T2292" i="8" s="1"/>
  <c r="S2242" i="8"/>
  <c r="T2242" i="8" s="1"/>
  <c r="S2240" i="8"/>
  <c r="T2240" i="8" s="1"/>
  <c r="S2236" i="8"/>
  <c r="T2236" i="8" s="1"/>
  <c r="S2228" i="8"/>
  <c r="T2228" i="8" s="1"/>
  <c r="S2226" i="8"/>
  <c r="T2226" i="8" s="1"/>
  <c r="S2221" i="8"/>
  <c r="T2221" i="8" s="1"/>
  <c r="S2237" i="8"/>
  <c r="T2237" i="8" s="1"/>
  <c r="S2222" i="8"/>
  <c r="T2222" i="8" s="1"/>
  <c r="S2218" i="8"/>
  <c r="T2218" i="8" s="1"/>
  <c r="S2245" i="8"/>
  <c r="T2245" i="8" s="1"/>
  <c r="S2244" i="8"/>
  <c r="T2244" i="8" s="1"/>
  <c r="S2239" i="8"/>
  <c r="T2239" i="8" s="1"/>
  <c r="S2235" i="8"/>
  <c r="T2235" i="8" s="1"/>
  <c r="S2234" i="8"/>
  <c r="T2234" i="8" s="1"/>
  <c r="S2233" i="8"/>
  <c r="T2233" i="8" s="1"/>
  <c r="S2232" i="8"/>
  <c r="T2232" i="8" s="1"/>
  <c r="S2224" i="8"/>
  <c r="T2224" i="8" s="1"/>
  <c r="S2220" i="8"/>
  <c r="T2220" i="8" s="1"/>
  <c r="S2243" i="8"/>
  <c r="T2243" i="8" s="1"/>
  <c r="S2241" i="8"/>
  <c r="T2241" i="8" s="1"/>
  <c r="S2238" i="8"/>
  <c r="T2238" i="8" s="1"/>
  <c r="S2231" i="8"/>
  <c r="T2231" i="8" s="1"/>
  <c r="S2230" i="8"/>
  <c r="T2230" i="8" s="1"/>
  <c r="S2227" i="8"/>
  <c r="T2227" i="8" s="1"/>
  <c r="S2223" i="8"/>
  <c r="T2223" i="8" s="1"/>
  <c r="S2219" i="8"/>
  <c r="T2219" i="8" s="1"/>
  <c r="S2229" i="8"/>
  <c r="T2229" i="8" s="1"/>
  <c r="S2164" i="8"/>
  <c r="T2164" i="8" s="1"/>
  <c r="S2162" i="8"/>
  <c r="T2162" i="8" s="1"/>
  <c r="S2160" i="8"/>
  <c r="T2160" i="8" s="1"/>
  <c r="S2158" i="8"/>
  <c r="T2158" i="8" s="1"/>
  <c r="S2156" i="8"/>
  <c r="T2156" i="8" s="1"/>
  <c r="S2163" i="8"/>
  <c r="T2163" i="8" s="1"/>
  <c r="S2159" i="8"/>
  <c r="T2159" i="8" s="1"/>
  <c r="S2161" i="8"/>
  <c r="T2161" i="8" s="1"/>
  <c r="S2157" i="8"/>
  <c r="T2157" i="8" s="1"/>
  <c r="S2101" i="8"/>
  <c r="T2101" i="8" s="1"/>
  <c r="S2107" i="8"/>
  <c r="T2107" i="8" s="1"/>
  <c r="S2083" i="8"/>
  <c r="T2083" i="8" s="1"/>
  <c r="S2099" i="8"/>
  <c r="T2099" i="8" s="1"/>
  <c r="S2183" i="8"/>
  <c r="T2183" i="8" s="1"/>
  <c r="S2078" i="8"/>
  <c r="T2078" i="8" s="1"/>
  <c r="S2077" i="8"/>
  <c r="T2077" i="8" s="1"/>
  <c r="S1923" i="8"/>
  <c r="T1923" i="8" s="1"/>
  <c r="S1953" i="8"/>
  <c r="T1953" i="8" s="1"/>
  <c r="S1833" i="8"/>
  <c r="T1833" i="8" s="1"/>
  <c r="S1862" i="8"/>
  <c r="T1862" i="8" s="1"/>
  <c r="S1856" i="8"/>
  <c r="T1856" i="8" s="1"/>
  <c r="S1852" i="8"/>
  <c r="T1852" i="8" s="1"/>
  <c r="S1850" i="8"/>
  <c r="T1850" i="8" s="1"/>
  <c r="S1845" i="8"/>
  <c r="T1845" i="8" s="1"/>
  <c r="S1842" i="8"/>
  <c r="T1842" i="8" s="1"/>
  <c r="S1840" i="8"/>
  <c r="T1840" i="8" s="1"/>
  <c r="S1837" i="8"/>
  <c r="T1837" i="8" s="1"/>
  <c r="S1861" i="8"/>
  <c r="T1861" i="8" s="1"/>
  <c r="S1859" i="8"/>
  <c r="T1859" i="8" s="1"/>
  <c r="S1855" i="8"/>
  <c r="T1855" i="8" s="1"/>
  <c r="S1851" i="8"/>
  <c r="T1851" i="8" s="1"/>
  <c r="S1844" i="8"/>
  <c r="T1844" i="8" s="1"/>
  <c r="S1839" i="8"/>
  <c r="T1839" i="8" s="1"/>
  <c r="S1853" i="8"/>
  <c r="T1853" i="8" s="1"/>
  <c r="S1849" i="8"/>
  <c r="T1849" i="8" s="1"/>
  <c r="S1836" i="8"/>
  <c r="T1836" i="8" s="1"/>
  <c r="S1858" i="8"/>
  <c r="T1858" i="8" s="1"/>
  <c r="S1854" i="8"/>
  <c r="T1854" i="8" s="1"/>
  <c r="S1848" i="8"/>
  <c r="T1848" i="8" s="1"/>
  <c r="S1847" i="8"/>
  <c r="T1847" i="8" s="1"/>
  <c r="S1843" i="8"/>
  <c r="T1843" i="8" s="1"/>
  <c r="S1841" i="8"/>
  <c r="T1841" i="8" s="1"/>
  <c r="S1838" i="8"/>
  <c r="T1838" i="8" s="1"/>
  <c r="S1860" i="8"/>
  <c r="T1860" i="8" s="1"/>
  <c r="S1857" i="8"/>
  <c r="T1857" i="8" s="1"/>
  <c r="S1846" i="8"/>
  <c r="T1846" i="8" s="1"/>
  <c r="S1835" i="8"/>
  <c r="T1835" i="8" s="1"/>
  <c r="S1763" i="8"/>
  <c r="T1763" i="8" s="1"/>
  <c r="S1785" i="8"/>
  <c r="T1785" i="8" s="1"/>
  <c r="S1799" i="8"/>
  <c r="T1799" i="8" s="1"/>
  <c r="S1794" i="8"/>
  <c r="T1794" i="8" s="1"/>
  <c r="S1791" i="8"/>
  <c r="T1791" i="8" s="1"/>
  <c r="S1788" i="8"/>
  <c r="T1788" i="8" s="1"/>
  <c r="S1784" i="8"/>
  <c r="T1784" i="8" s="1"/>
  <c r="S1789" i="8"/>
  <c r="T1789" i="8" s="1"/>
  <c r="S1802" i="8"/>
  <c r="T1802" i="8" s="1"/>
  <c r="S1801" i="8"/>
  <c r="T1801" i="8" s="1"/>
  <c r="S1798" i="8"/>
  <c r="T1798" i="8" s="1"/>
  <c r="S1796" i="8"/>
  <c r="T1796" i="8" s="1"/>
  <c r="S1790" i="8"/>
  <c r="T1790" i="8" s="1"/>
  <c r="S1787" i="8"/>
  <c r="T1787" i="8" s="1"/>
  <c r="S1797" i="8"/>
  <c r="T1797" i="8" s="1"/>
  <c r="S1792" i="8"/>
  <c r="T1792" i="8" s="1"/>
  <c r="S1782" i="8"/>
  <c r="T1782" i="8" s="1"/>
  <c r="S1800" i="8"/>
  <c r="T1800" i="8" s="1"/>
  <c r="S1793" i="8"/>
  <c r="T1793" i="8" s="1"/>
  <c r="S1786" i="8"/>
  <c r="T1786" i="8" s="1"/>
  <c r="S1783" i="8"/>
  <c r="T1783" i="8" s="1"/>
  <c r="S1795" i="8"/>
  <c r="T1795" i="8" s="1"/>
  <c r="S1739" i="8"/>
  <c r="T1739" i="8" s="1"/>
  <c r="S1737" i="8"/>
  <c r="T1737" i="8" s="1"/>
  <c r="S1743" i="8"/>
  <c r="T1743" i="8" s="1"/>
  <c r="S1741" i="8"/>
  <c r="T1741" i="8" s="1"/>
  <c r="S1736" i="8"/>
  <c r="T1736" i="8" s="1"/>
  <c r="S1742" i="8"/>
  <c r="T1742" i="8" s="1"/>
  <c r="S1740" i="8"/>
  <c r="T1740" i="8" s="1"/>
  <c r="S1738" i="8"/>
  <c r="T1738" i="8" s="1"/>
  <c r="S1735" i="8"/>
  <c r="T1735" i="8" s="1"/>
  <c r="S1500" i="8"/>
  <c r="T1500" i="8" s="1"/>
  <c r="S1523" i="8"/>
  <c r="T1523" i="8" s="1"/>
  <c r="S1029" i="8"/>
  <c r="S1502" i="8"/>
  <c r="T1502" i="8" s="1"/>
  <c r="AD284" i="5"/>
  <c r="AD274" i="5"/>
  <c r="AD272" i="5"/>
  <c r="AL272" i="5" s="1"/>
  <c r="AD269" i="5"/>
  <c r="AD283" i="5"/>
  <c r="AD270" i="5"/>
  <c r="AD282" i="5"/>
  <c r="AD275" i="5"/>
  <c r="AD273" i="5"/>
  <c r="AD271" i="5"/>
  <c r="AD266" i="5"/>
  <c r="AD281" i="5"/>
  <c r="AD264" i="5"/>
  <c r="AD253" i="5"/>
  <c r="AD247" i="5"/>
  <c r="AD258" i="5"/>
  <c r="AD256" i="5"/>
  <c r="AD254" i="5"/>
  <c r="AD249" i="5"/>
  <c r="AD265" i="5"/>
  <c r="AD248" i="5"/>
  <c r="AD257" i="5"/>
  <c r="AD246" i="5"/>
  <c r="AD238" i="5"/>
  <c r="AD240" i="5"/>
  <c r="AD252" i="5"/>
  <c r="AD239" i="5"/>
  <c r="AD235" i="5"/>
  <c r="AD234" i="5"/>
  <c r="AD233" i="5"/>
  <c r="AD163" i="5"/>
  <c r="AD154" i="5"/>
  <c r="AL154" i="5" s="1"/>
  <c r="AD155" i="5"/>
  <c r="AL155" i="5" s="1"/>
  <c r="AD162" i="5"/>
  <c r="AL162" i="5" s="1"/>
  <c r="AD161" i="5"/>
  <c r="AL161" i="5" s="1"/>
  <c r="AD153" i="5"/>
  <c r="AL153" i="5" s="1"/>
  <c r="AD847" i="5"/>
  <c r="AG847" i="5" s="1"/>
  <c r="AD924" i="5"/>
  <c r="S2178" i="8"/>
  <c r="T2178" i="8" s="1"/>
  <c r="S2125" i="8"/>
  <c r="T2125" i="8" s="1"/>
  <c r="S2146" i="8"/>
  <c r="T2146" i="8" s="1"/>
  <c r="AD345" i="5"/>
  <c r="AL345" i="5" s="1"/>
  <c r="AD359" i="5"/>
  <c r="AD357" i="5"/>
  <c r="AL357" i="5" s="1"/>
  <c r="AD355" i="5"/>
  <c r="AL355" i="5" s="1"/>
  <c r="AD352" i="5"/>
  <c r="AD353" i="5"/>
  <c r="AD358" i="5"/>
  <c r="AD356" i="5"/>
  <c r="AL356" i="5" s="1"/>
  <c r="AD354" i="5"/>
  <c r="AD347" i="5"/>
  <c r="AL347" i="5" s="1"/>
  <c r="AD346" i="5"/>
  <c r="AL346" i="5" s="1"/>
  <c r="AD83" i="5"/>
  <c r="AD74" i="5"/>
  <c r="AD72" i="5"/>
  <c r="AD70" i="5"/>
  <c r="AD82" i="5"/>
  <c r="AD81" i="5"/>
  <c r="AD73" i="5"/>
  <c r="AD71" i="5"/>
  <c r="AL71" i="5" s="1"/>
  <c r="AD68" i="5"/>
  <c r="AD80" i="5"/>
  <c r="AD69" i="5"/>
  <c r="AD49" i="5"/>
  <c r="AD48" i="5"/>
  <c r="AD46" i="5"/>
  <c r="AD38" i="5"/>
  <c r="AD47" i="5"/>
  <c r="AD39" i="5"/>
  <c r="AD40" i="5"/>
  <c r="S2029" i="8"/>
  <c r="T2029" i="8" s="1"/>
  <c r="S2069" i="8"/>
  <c r="T2069" i="8" s="1"/>
  <c r="S2066" i="8"/>
  <c r="T2066" i="8" s="1"/>
  <c r="S2059" i="8"/>
  <c r="T2059" i="8" s="1"/>
  <c r="S2057" i="8"/>
  <c r="T2057" i="8" s="1"/>
  <c r="S2054" i="8"/>
  <c r="T2054" i="8" s="1"/>
  <c r="S2052" i="8"/>
  <c r="T2052" i="8" s="1"/>
  <c r="S2050" i="8"/>
  <c r="T2050" i="8" s="1"/>
  <c r="S2071" i="8"/>
  <c r="T2071" i="8" s="1"/>
  <c r="S2065" i="8"/>
  <c r="T2065" i="8" s="1"/>
  <c r="S2058" i="8"/>
  <c r="T2058" i="8" s="1"/>
  <c r="S2053" i="8"/>
  <c r="T2053" i="8" s="1"/>
  <c r="S2070" i="8"/>
  <c r="T2070" i="8" s="1"/>
  <c r="S2068" i="8"/>
  <c r="T2068" i="8" s="1"/>
  <c r="S2064" i="8"/>
  <c r="T2064" i="8" s="1"/>
  <c r="S2056" i="8"/>
  <c r="T2056" i="8" s="1"/>
  <c r="S2055" i="8"/>
  <c r="T2055" i="8" s="1"/>
  <c r="S2067" i="8"/>
  <c r="T2067" i="8" s="1"/>
  <c r="S2063" i="8"/>
  <c r="T2063" i="8" s="1"/>
  <c r="S2062" i="8"/>
  <c r="T2062" i="8" s="1"/>
  <c r="S2061" i="8"/>
  <c r="T2061" i="8" s="1"/>
  <c r="S2060" i="8"/>
  <c r="T2060" i="8" s="1"/>
  <c r="S2051" i="8"/>
  <c r="T2051" i="8" s="1"/>
  <c r="S2103" i="8"/>
  <c r="T2103" i="8" s="1"/>
  <c r="S2106" i="8"/>
  <c r="T2106" i="8" s="1"/>
  <c r="S2109" i="8"/>
  <c r="T2109" i="8" s="1"/>
  <c r="S2113" i="8"/>
  <c r="T2113" i="8" s="1"/>
  <c r="S2117" i="8"/>
  <c r="T2117" i="8" s="1"/>
  <c r="S2100" i="8"/>
  <c r="T2100" i="8" s="1"/>
  <c r="S2108" i="8"/>
  <c r="T2108" i="8" s="1"/>
  <c r="S2114" i="8"/>
  <c r="T2114" i="8" s="1"/>
  <c r="S2118" i="8"/>
  <c r="T2118" i="8" s="1"/>
  <c r="S2102" i="8"/>
  <c r="T2102" i="8" s="1"/>
  <c r="S2104" i="8"/>
  <c r="T2104" i="8" s="1"/>
  <c r="S2111" i="8"/>
  <c r="T2111" i="8" s="1"/>
  <c r="S2115" i="8"/>
  <c r="T2115" i="8" s="1"/>
  <c r="S2119" i="8"/>
  <c r="T2119" i="8" s="1"/>
  <c r="S2105" i="8"/>
  <c r="T2105" i="8" s="1"/>
  <c r="S2110" i="8"/>
  <c r="T2110" i="8" s="1"/>
  <c r="S2112" i="8"/>
  <c r="T2112" i="8" s="1"/>
  <c r="S2116" i="8"/>
  <c r="T2116" i="8" s="1"/>
  <c r="S2120" i="8"/>
  <c r="T2120" i="8" s="1"/>
  <c r="S1819" i="8"/>
  <c r="T1819" i="8" s="1"/>
  <c r="S1813" i="8"/>
  <c r="T1813" i="8" s="1"/>
  <c r="S1816" i="8"/>
  <c r="T1816" i="8" s="1"/>
  <c r="S1808" i="8"/>
  <c r="T1808" i="8" s="1"/>
  <c r="S1810" i="8"/>
  <c r="T1810" i="8" s="1"/>
  <c r="S1676" i="8"/>
  <c r="T1676" i="8" s="1"/>
  <c r="S1746" i="8"/>
  <c r="T1746" i="8" s="1"/>
  <c r="S1673" i="8"/>
  <c r="T1673" i="8" s="1"/>
  <c r="S1670" i="8"/>
  <c r="T1670" i="8" s="1"/>
  <c r="S1659" i="8"/>
  <c r="T1659" i="8" s="1"/>
  <c r="S1667" i="8"/>
  <c r="T1667" i="8" s="1"/>
  <c r="S1645" i="8"/>
  <c r="T1645" i="8" s="1"/>
  <c r="S1648" i="8"/>
  <c r="T1648" i="8" s="1"/>
  <c r="S1638" i="8"/>
  <c r="T1638" i="8" s="1"/>
  <c r="S1642" i="8"/>
  <c r="T1642" i="8" s="1"/>
  <c r="S1624" i="8"/>
  <c r="T1624" i="8" s="1"/>
  <c r="AD16" i="5"/>
  <c r="AL16" i="5" s="1"/>
  <c r="AD15" i="5"/>
  <c r="AL15" i="5" s="1"/>
  <c r="AD14" i="5"/>
  <c r="AL14" i="5" s="1"/>
  <c r="S1687" i="8"/>
  <c r="T1687" i="8" s="1"/>
  <c r="S1682" i="8"/>
  <c r="T1682" i="8" s="1"/>
  <c r="S1675" i="8"/>
  <c r="T1675" i="8" s="1"/>
  <c r="S1674" i="8"/>
  <c r="T1674" i="8" s="1"/>
  <c r="S1669" i="8"/>
  <c r="T1669" i="8" s="1"/>
  <c r="S1665" i="8"/>
  <c r="T1665" i="8" s="1"/>
  <c r="S1664" i="8"/>
  <c r="T1664" i="8" s="1"/>
  <c r="S1660" i="8"/>
  <c r="T1660" i="8" s="1"/>
  <c r="S1657" i="8"/>
  <c r="T1657" i="8" s="1"/>
  <c r="S1690" i="8"/>
  <c r="T1690" i="8" s="1"/>
  <c r="S1686" i="8"/>
  <c r="T1686" i="8" s="1"/>
  <c r="S1685" i="8"/>
  <c r="T1685" i="8" s="1"/>
  <c r="S1681" i="8"/>
  <c r="T1681" i="8" s="1"/>
  <c r="S1689" i="8"/>
  <c r="T1689" i="8" s="1"/>
  <c r="S1684" i="8"/>
  <c r="T1684" i="8" s="1"/>
  <c r="S1680" i="8"/>
  <c r="T1680" i="8" s="1"/>
  <c r="S1678" i="8"/>
  <c r="T1678" i="8" s="1"/>
  <c r="S1672" i="8"/>
  <c r="T1672" i="8" s="1"/>
  <c r="S1668" i="8"/>
  <c r="T1668" i="8" s="1"/>
  <c r="S1658" i="8"/>
  <c r="T1658" i="8" s="1"/>
  <c r="S1651" i="8"/>
  <c r="T1651" i="8" s="1"/>
  <c r="S1621" i="8"/>
  <c r="T1621" i="8" s="1"/>
  <c r="S1688" i="8"/>
  <c r="T1688" i="8" s="1"/>
  <c r="S1683" i="8"/>
  <c r="T1683" i="8" s="1"/>
  <c r="S1679" i="8"/>
  <c r="T1679" i="8" s="1"/>
  <c r="S1653" i="8"/>
  <c r="T1653" i="8" s="1"/>
  <c r="S1650" i="8"/>
  <c r="T1650" i="8" s="1"/>
  <c r="S1641" i="8"/>
  <c r="T1641" i="8" s="1"/>
  <c r="S1640" i="8"/>
  <c r="T1640" i="8" s="1"/>
  <c r="S1630" i="8"/>
  <c r="T1630" i="8" s="1"/>
  <c r="S1677" i="8"/>
  <c r="T1677" i="8" s="1"/>
  <c r="S1654" i="8"/>
  <c r="T1654" i="8" s="1"/>
  <c r="S1652" i="8"/>
  <c r="T1652" i="8" s="1"/>
  <c r="S1639" i="8"/>
  <c r="T1639" i="8" s="1"/>
  <c r="S1637" i="8"/>
  <c r="T1637" i="8" s="1"/>
  <c r="S1635" i="8"/>
  <c r="T1635" i="8" s="1"/>
  <c r="S1629" i="8"/>
  <c r="T1629" i="8" s="1"/>
  <c r="S1619" i="8"/>
  <c r="T1619" i="8" s="1"/>
  <c r="S1617" i="8"/>
  <c r="T1617" i="8" s="1"/>
  <c r="S1615" i="8"/>
  <c r="T1615" i="8" s="1"/>
  <c r="S1613" i="8"/>
  <c r="T1613" i="8" s="1"/>
  <c r="S1609" i="8"/>
  <c r="T1609" i="8" s="1"/>
  <c r="S1605" i="8"/>
  <c r="T1605" i="8" s="1"/>
  <c r="S1603" i="8"/>
  <c r="T1603" i="8" s="1"/>
  <c r="S1671" i="8"/>
  <c r="T1671" i="8" s="1"/>
  <c r="S1655" i="8"/>
  <c r="T1655" i="8" s="1"/>
  <c r="S1649" i="8"/>
  <c r="T1649" i="8" s="1"/>
  <c r="S1647" i="8"/>
  <c r="T1647" i="8" s="1"/>
  <c r="S1646" i="8"/>
  <c r="T1646" i="8" s="1"/>
  <c r="S1636" i="8"/>
  <c r="T1636" i="8" s="1"/>
  <c r="S1628" i="8"/>
  <c r="T1628" i="8" s="1"/>
  <c r="S1625" i="8"/>
  <c r="T1625" i="8" s="1"/>
  <c r="S1643" i="8"/>
  <c r="T1643" i="8" s="1"/>
  <c r="S1631" i="8"/>
  <c r="T1631" i="8" s="1"/>
  <c r="S1614" i="8"/>
  <c r="T1614" i="8" s="1"/>
  <c r="S1594" i="8"/>
  <c r="T1594" i="8" s="1"/>
  <c r="S1593" i="8"/>
  <c r="T1593" i="8" s="1"/>
  <c r="S1589" i="8"/>
  <c r="T1589" i="8" s="1"/>
  <c r="S1587" i="8"/>
  <c r="T1587" i="8" s="1"/>
  <c r="S1583" i="8"/>
  <c r="T1583" i="8" s="1"/>
  <c r="S1616" i="8"/>
  <c r="T1616" i="8" s="1"/>
  <c r="S1666" i="8"/>
  <c r="T1666" i="8" s="1"/>
  <c r="S1644" i="8"/>
  <c r="T1644" i="8" s="1"/>
  <c r="S1632" i="8"/>
  <c r="T1632" i="8" s="1"/>
  <c r="S1620" i="8"/>
  <c r="T1620" i="8" s="1"/>
  <c r="S1610" i="8"/>
  <c r="T1610" i="8" s="1"/>
  <c r="S1586" i="8"/>
  <c r="T1586" i="8" s="1"/>
  <c r="S1596" i="8"/>
  <c r="T1596" i="8" s="1"/>
  <c r="S1595" i="8"/>
  <c r="T1595" i="8" s="1"/>
  <c r="S1584" i="8"/>
  <c r="T1584" i="8" s="1"/>
  <c r="S1582" i="8"/>
  <c r="T1582" i="8" s="1"/>
  <c r="S1661" i="8"/>
  <c r="T1661" i="8" s="1"/>
  <c r="S1656" i="8"/>
  <c r="T1656" i="8" s="1"/>
  <c r="S1618" i="8"/>
  <c r="T1618" i="8" s="1"/>
  <c r="S1604" i="8"/>
  <c r="T1604" i="8" s="1"/>
  <c r="S1602" i="8"/>
  <c r="T1602" i="8" s="1"/>
  <c r="S1601" i="8"/>
  <c r="T1601" i="8" s="1"/>
  <c r="S1590" i="8"/>
  <c r="T1590" i="8" s="1"/>
  <c r="S1588" i="8"/>
  <c r="T1588" i="8" s="1"/>
  <c r="S1585" i="8"/>
  <c r="T1585" i="8" s="1"/>
  <c r="S1608" i="8"/>
  <c r="T1608" i="8" s="1"/>
  <c r="S1600" i="8"/>
  <c r="T1600" i="8" s="1"/>
  <c r="S1599" i="8"/>
  <c r="T1599" i="8" s="1"/>
  <c r="AD701" i="5"/>
  <c r="AD692" i="5"/>
  <c r="AD700" i="5"/>
  <c r="AD697" i="5"/>
  <c r="AD691" i="5"/>
  <c r="AD699" i="5"/>
  <c r="AD694" i="5"/>
  <c r="AD698" i="5"/>
  <c r="AD693" i="5"/>
  <c r="AD690" i="5"/>
  <c r="AD846" i="5"/>
  <c r="AG846" i="5" s="1"/>
  <c r="AD840" i="5"/>
  <c r="AD294" i="5"/>
  <c r="AD842" i="5"/>
  <c r="AD316" i="5"/>
  <c r="AL316" i="5" s="1"/>
  <c r="AD305" i="5"/>
  <c r="AD337" i="5"/>
  <c r="AL337" i="5" s="1"/>
  <c r="AD336" i="5"/>
  <c r="AL336" i="5" s="1"/>
  <c r="AD328" i="5"/>
  <c r="AL328" i="5" s="1"/>
  <c r="AD327" i="5"/>
  <c r="AL327" i="5" s="1"/>
  <c r="AD318" i="5"/>
  <c r="AL318" i="5" s="1"/>
  <c r="AD317" i="5"/>
  <c r="AL317" i="5" s="1"/>
  <c r="AD307" i="5"/>
  <c r="AD306" i="5"/>
  <c r="AD839" i="5"/>
  <c r="AL839" i="5" s="1"/>
  <c r="AD296" i="5"/>
  <c r="AD295" i="5"/>
  <c r="AD926" i="5"/>
  <c r="AI926" i="5" s="1"/>
  <c r="AD927" i="5"/>
  <c r="AD930" i="5"/>
  <c r="AH930" i="5" s="1"/>
  <c r="AD931" i="5"/>
  <c r="S1759" i="8"/>
  <c r="T1759" i="8" s="1"/>
  <c r="S1918" i="8"/>
  <c r="T1918" i="8" s="1"/>
  <c r="S1919" i="8"/>
  <c r="T1919" i="8" s="1"/>
  <c r="S2216" i="8"/>
  <c r="T2216" i="8" s="1"/>
  <c r="S1758" i="8"/>
  <c r="T1758" i="8" s="1"/>
  <c r="S2283" i="8"/>
  <c r="T2283" i="8" s="1"/>
  <c r="S2192" i="8"/>
  <c r="T2192" i="8" s="1"/>
  <c r="S2191" i="8"/>
  <c r="T2191" i="8" s="1"/>
  <c r="S2268" i="8"/>
  <c r="T2268" i="8" s="1"/>
  <c r="S2281" i="8"/>
  <c r="T2281" i="8" s="1"/>
  <c r="S2273" i="8"/>
  <c r="T2273" i="8" s="1"/>
  <c r="S2276" i="8"/>
  <c r="T2276" i="8" s="1"/>
  <c r="S2275" i="8"/>
  <c r="T2275" i="8" s="1"/>
  <c r="S2274" i="8"/>
  <c r="T2274" i="8" s="1"/>
  <c r="S2259" i="8"/>
  <c r="T2259" i="8" s="1"/>
  <c r="S2264" i="8"/>
  <c r="T2264" i="8" s="1"/>
  <c r="S2255" i="8"/>
  <c r="T2255" i="8" s="1"/>
  <c r="S2256" i="8"/>
  <c r="T2256" i="8" s="1"/>
  <c r="S2179" i="8"/>
  <c r="T2179" i="8" s="1"/>
  <c r="S2249" i="8"/>
  <c r="T2249" i="8" s="1"/>
  <c r="AD845" i="5"/>
  <c r="AD844" i="5"/>
  <c r="S1987" i="8"/>
  <c r="T1987" i="8" s="1"/>
  <c r="S2262" i="8"/>
  <c r="T2262" i="8" s="1"/>
  <c r="S2252" i="8"/>
  <c r="T2252" i="8" s="1"/>
  <c r="S2194" i="8"/>
  <c r="T2194" i="8" s="1"/>
  <c r="S2251" i="8"/>
  <c r="T2251" i="8" s="1"/>
  <c r="S2250" i="8"/>
  <c r="T2250" i="8" s="1"/>
  <c r="S2196" i="8"/>
  <c r="T2196" i="8" s="1"/>
  <c r="S2202" i="8"/>
  <c r="T2202" i="8" s="1"/>
  <c r="S1944" i="8"/>
  <c r="T1944" i="8" s="1"/>
  <c r="S1945" i="8"/>
  <c r="T1945" i="8" s="1"/>
  <c r="S1806" i="8"/>
  <c r="T1806" i="8" s="1"/>
  <c r="S1807" i="8"/>
  <c r="T1807" i="8" s="1"/>
  <c r="S1571" i="8"/>
  <c r="T1571" i="8" s="1"/>
  <c r="S1569" i="8"/>
  <c r="T1569" i="8" s="1"/>
  <c r="S1565" i="8"/>
  <c r="T1565" i="8" s="1"/>
  <c r="S1562" i="8"/>
  <c r="T1562" i="8" s="1"/>
  <c r="S1577" i="8"/>
  <c r="T1577" i="8" s="1"/>
  <c r="S1574" i="8"/>
  <c r="T1574" i="8" s="1"/>
  <c r="S1570" i="8"/>
  <c r="T1570" i="8" s="1"/>
  <c r="S1561" i="8"/>
  <c r="T1561" i="8" s="1"/>
  <c r="S1572" i="8"/>
  <c r="T1572" i="8" s="1"/>
  <c r="S1566" i="8"/>
  <c r="T1566" i="8" s="1"/>
  <c r="S1575" i="8"/>
  <c r="T1575" i="8" s="1"/>
  <c r="S1573" i="8"/>
  <c r="T1573" i="8" s="1"/>
  <c r="S1567" i="8"/>
  <c r="T1567" i="8" s="1"/>
  <c r="S1564" i="8"/>
  <c r="T1564" i="8" s="1"/>
  <c r="S1563" i="8"/>
  <c r="T1563" i="8" s="1"/>
  <c r="S1560" i="8"/>
  <c r="T1560" i="8" s="1"/>
  <c r="S1578" i="8"/>
  <c r="T1578" i="8" s="1"/>
  <c r="S1576" i="8"/>
  <c r="T1576" i="8" s="1"/>
  <c r="S1568" i="8"/>
  <c r="T1568" i="8" s="1"/>
  <c r="S1546" i="8"/>
  <c r="T1546" i="8" s="1"/>
  <c r="S1542" i="8"/>
  <c r="T1542" i="8" s="1"/>
  <c r="S1543" i="8"/>
  <c r="T1543" i="8" s="1"/>
  <c r="S1558" i="8"/>
  <c r="T1558" i="8" s="1"/>
  <c r="S1536" i="8"/>
  <c r="T1536" i="8" s="1"/>
  <c r="S1534" i="8"/>
  <c r="T1534" i="8" s="1"/>
  <c r="S1527" i="8"/>
  <c r="T1527" i="8" s="1"/>
  <c r="S1525" i="8"/>
  <c r="T1525" i="8" s="1"/>
  <c r="S1520" i="8"/>
  <c r="T1520" i="8" s="1"/>
  <c r="S1535" i="8"/>
  <c r="T1535" i="8" s="1"/>
  <c r="S1530" i="8"/>
  <c r="T1530" i="8" s="1"/>
  <c r="S1538" i="8"/>
  <c r="T1538" i="8" s="1"/>
  <c r="S1533" i="8"/>
  <c r="T1533" i="8" s="1"/>
  <c r="S1524" i="8"/>
  <c r="T1524" i="8" s="1"/>
  <c r="S1521" i="8"/>
  <c r="T1521" i="8" s="1"/>
  <c r="S1537" i="8"/>
  <c r="T1537" i="8" s="1"/>
  <c r="S1532" i="8"/>
  <c r="T1532" i="8" s="1"/>
  <c r="S1526" i="8"/>
  <c r="T1526" i="8" s="1"/>
  <c r="S1522" i="8"/>
  <c r="T1522" i="8" s="1"/>
  <c r="S1531" i="8"/>
  <c r="T1531" i="8" s="1"/>
  <c r="S1529" i="8"/>
  <c r="T1529" i="8" s="1"/>
  <c r="S1528" i="8"/>
  <c r="T1528" i="8" s="1"/>
  <c r="S2032" i="8"/>
  <c r="T2032" i="8" s="1"/>
  <c r="S2035" i="8"/>
  <c r="T2035" i="8" s="1"/>
  <c r="S2015" i="8"/>
  <c r="T2015" i="8" s="1"/>
  <c r="S1871" i="8"/>
  <c r="T1871" i="8" s="1"/>
  <c r="S1869" i="8"/>
  <c r="T1869" i="8" s="1"/>
  <c r="S1870" i="8"/>
  <c r="T1870" i="8" s="1"/>
  <c r="S1698" i="8"/>
  <c r="T1698" i="8" s="1"/>
  <c r="S1696" i="8"/>
  <c r="T1696" i="8" s="1"/>
  <c r="S1697" i="8"/>
  <c r="T1697" i="8" s="1"/>
  <c r="S1449" i="8"/>
  <c r="T1449" i="8" s="1"/>
  <c r="S1450" i="8"/>
  <c r="T1450" i="8" s="1"/>
  <c r="S1448" i="8"/>
  <c r="T1448" i="8" s="1"/>
  <c r="S1488" i="8"/>
  <c r="T1488" i="8" s="1"/>
  <c r="S1351" i="8"/>
  <c r="T1351" i="8" s="1"/>
  <c r="S1349" i="8"/>
  <c r="T1349" i="8" s="1"/>
  <c r="S1350" i="8"/>
  <c r="T1350" i="8" s="1"/>
  <c r="S1823" i="8"/>
  <c r="T1823" i="8" s="1"/>
  <c r="S1957" i="8"/>
  <c r="T1957" i="8" s="1"/>
  <c r="S556" i="8"/>
  <c r="S979" i="8"/>
  <c r="S1060" i="8"/>
  <c r="S1001" i="8"/>
  <c r="T1001" i="8" s="1"/>
  <c r="S631" i="8"/>
  <c r="S2126" i="8"/>
  <c r="T2126" i="8" s="1"/>
  <c r="S2212" i="8"/>
  <c r="T2212" i="8" s="1"/>
  <c r="S1974" i="8"/>
  <c r="T1974" i="8" s="1"/>
  <c r="S1975" i="8"/>
  <c r="T1975" i="8" s="1"/>
  <c r="S1973" i="8"/>
  <c r="T1973" i="8" s="1"/>
  <c r="S1972" i="8"/>
  <c r="T1972" i="8" s="1"/>
  <c r="S2279" i="8"/>
  <c r="T2279" i="8" s="1"/>
  <c r="S2272" i="8"/>
  <c r="T2272" i="8" s="1"/>
  <c r="S2270" i="8"/>
  <c r="T2270" i="8" s="1"/>
  <c r="S2267" i="8"/>
  <c r="T2267" i="8" s="1"/>
  <c r="S2266" i="8"/>
  <c r="T2266" i="8" s="1"/>
  <c r="S2265" i="8"/>
  <c r="T2265" i="8" s="1"/>
  <c r="S2263" i="8"/>
  <c r="T2263" i="8" s="1"/>
  <c r="S2260" i="8"/>
  <c r="T2260" i="8" s="1"/>
  <c r="S2257" i="8"/>
  <c r="T2257" i="8" s="1"/>
  <c r="S2253" i="8"/>
  <c r="T2253" i="8" s="1"/>
  <c r="S2210" i="8"/>
  <c r="T2210" i="8" s="1"/>
  <c r="S2208" i="8"/>
  <c r="T2208" i="8" s="1"/>
  <c r="S2203" i="8"/>
  <c r="T2203" i="8" s="1"/>
  <c r="S2200" i="8"/>
  <c r="T2200" i="8" s="1"/>
  <c r="S2322" i="8"/>
  <c r="T2322" i="8" s="1"/>
  <c r="S2282" i="8"/>
  <c r="T2282" i="8" s="1"/>
  <c r="S2278" i="8"/>
  <c r="T2278" i="8" s="1"/>
  <c r="S2213" i="8"/>
  <c r="T2213" i="8" s="1"/>
  <c r="S2206" i="8"/>
  <c r="T2206" i="8" s="1"/>
  <c r="S2271" i="8"/>
  <c r="T2271" i="8" s="1"/>
  <c r="S2269" i="8"/>
  <c r="T2269" i="8" s="1"/>
  <c r="S2261" i="8"/>
  <c r="T2261" i="8" s="1"/>
  <c r="S2258" i="8"/>
  <c r="T2258" i="8" s="1"/>
  <c r="S2254" i="8"/>
  <c r="T2254" i="8" s="1"/>
  <c r="S2215" i="8"/>
  <c r="T2215" i="8" s="1"/>
  <c r="S2211" i="8"/>
  <c r="T2211" i="8" s="1"/>
  <c r="S2201" i="8"/>
  <c r="T2201" i="8" s="1"/>
  <c r="S2198" i="8"/>
  <c r="T2198" i="8" s="1"/>
  <c r="S2195" i="8"/>
  <c r="T2195" i="8" s="1"/>
  <c r="S2187" i="8"/>
  <c r="T2187" i="8" s="1"/>
  <c r="S2185" i="8"/>
  <c r="T2185" i="8" s="1"/>
  <c r="S2182" i="8"/>
  <c r="T2182" i="8" s="1"/>
  <c r="S2174" i="8"/>
  <c r="T2174" i="8" s="1"/>
  <c r="S2172" i="8"/>
  <c r="T2172" i="8" s="1"/>
  <c r="S2170" i="8"/>
  <c r="T2170" i="8" s="1"/>
  <c r="S2168" i="8"/>
  <c r="T2168" i="8" s="1"/>
  <c r="S2166" i="8"/>
  <c r="T2166" i="8" s="1"/>
  <c r="S2151" i="8"/>
  <c r="T2151" i="8" s="1"/>
  <c r="S2147" i="8"/>
  <c r="T2147" i="8" s="1"/>
  <c r="S2144" i="8"/>
  <c r="T2144" i="8" s="1"/>
  <c r="S2142" i="8"/>
  <c r="T2142" i="8" s="1"/>
  <c r="S2140" i="8"/>
  <c r="T2140" i="8" s="1"/>
  <c r="S2136" i="8"/>
  <c r="T2136" i="8" s="1"/>
  <c r="S2134" i="8"/>
  <c r="T2134" i="8" s="1"/>
  <c r="S2284" i="8"/>
  <c r="T2284" i="8" s="1"/>
  <c r="S2277" i="8"/>
  <c r="T2277" i="8" s="1"/>
  <c r="S2209" i="8"/>
  <c r="T2209" i="8" s="1"/>
  <c r="S2207" i="8"/>
  <c r="T2207" i="8" s="1"/>
  <c r="S2205" i="8"/>
  <c r="T2205" i="8" s="1"/>
  <c r="S2204" i="8"/>
  <c r="T2204" i="8" s="1"/>
  <c r="S2197" i="8"/>
  <c r="T2197" i="8" s="1"/>
  <c r="S2193" i="8"/>
  <c r="T2193" i="8" s="1"/>
  <c r="S2186" i="8"/>
  <c r="T2186" i="8" s="1"/>
  <c r="S2184" i="8"/>
  <c r="T2184" i="8" s="1"/>
  <c r="S2177" i="8"/>
  <c r="T2177" i="8" s="1"/>
  <c r="S2173" i="8"/>
  <c r="T2173" i="8" s="1"/>
  <c r="S2171" i="8"/>
  <c r="T2171" i="8" s="1"/>
  <c r="S2169" i="8"/>
  <c r="T2169" i="8" s="1"/>
  <c r="S2167" i="8"/>
  <c r="T2167" i="8" s="1"/>
  <c r="S2152" i="8"/>
  <c r="T2152" i="8" s="1"/>
  <c r="S2150" i="8"/>
  <c r="T2150" i="8" s="1"/>
  <c r="S2145" i="8"/>
  <c r="T2145" i="8" s="1"/>
  <c r="S2143" i="8"/>
  <c r="T2143" i="8" s="1"/>
  <c r="S2141" i="8"/>
  <c r="T2141" i="8" s="1"/>
  <c r="S2137" i="8"/>
  <c r="T2137" i="8" s="1"/>
  <c r="S2280" i="8"/>
  <c r="T2280" i="8" s="1"/>
  <c r="S2214" i="8"/>
  <c r="T2214" i="8" s="1"/>
  <c r="S2199" i="8"/>
  <c r="T2199" i="8" s="1"/>
  <c r="S2131" i="8"/>
  <c r="T2131" i="8" s="1"/>
  <c r="S2130" i="8"/>
  <c r="T2130" i="8" s="1"/>
  <c r="S2128" i="8"/>
  <c r="T2128" i="8" s="1"/>
  <c r="S2124" i="8"/>
  <c r="T2124" i="8" s="1"/>
  <c r="S2135" i="8"/>
  <c r="T2135" i="8" s="1"/>
  <c r="S2129" i="8"/>
  <c r="T2129" i="8" s="1"/>
  <c r="S2127" i="8"/>
  <c r="T2127" i="8" s="1"/>
  <c r="S2094" i="8"/>
  <c r="T2094" i="8" s="1"/>
  <c r="S2091" i="8"/>
  <c r="T2091" i="8" s="1"/>
  <c r="S2089" i="8"/>
  <c r="T2089" i="8" s="1"/>
  <c r="S2087" i="8"/>
  <c r="T2087" i="8" s="1"/>
  <c r="S2086" i="8"/>
  <c r="T2086" i="8" s="1"/>
  <c r="S2085" i="8"/>
  <c r="T2085" i="8" s="1"/>
  <c r="S2084" i="8"/>
  <c r="T2084" i="8" s="1"/>
  <c r="S2081" i="8"/>
  <c r="T2081" i="8" s="1"/>
  <c r="S2079" i="8"/>
  <c r="T2079" i="8" s="1"/>
  <c r="S2075" i="8"/>
  <c r="T2075" i="8" s="1"/>
  <c r="S2044" i="8"/>
  <c r="T2044" i="8" s="1"/>
  <c r="S2042" i="8"/>
  <c r="T2042" i="8" s="1"/>
  <c r="S2037" i="8"/>
  <c r="T2037" i="8" s="1"/>
  <c r="S2034" i="8"/>
  <c r="T2034" i="8" s="1"/>
  <c r="S2031" i="8"/>
  <c r="T2031" i="8" s="1"/>
  <c r="S2121" i="8"/>
  <c r="T2121" i="8" s="1"/>
  <c r="S2096" i="8"/>
  <c r="T2096" i="8" s="1"/>
  <c r="S2093" i="8"/>
  <c r="T2093" i="8" s="1"/>
  <c r="S2046" i="8"/>
  <c r="T2046" i="8" s="1"/>
  <c r="S2040" i="8"/>
  <c r="T2040" i="8" s="1"/>
  <c r="S2090" i="8"/>
  <c r="T2090" i="8" s="1"/>
  <c r="S2088" i="8"/>
  <c r="T2088" i="8" s="1"/>
  <c r="S2082" i="8"/>
  <c r="T2082" i="8" s="1"/>
  <c r="S2080" i="8"/>
  <c r="T2080" i="8" s="1"/>
  <c r="S2076" i="8"/>
  <c r="T2076" i="8" s="1"/>
  <c r="S2048" i="8"/>
  <c r="T2048" i="8" s="1"/>
  <c r="S2043" i="8"/>
  <c r="T2043" i="8" s="1"/>
  <c r="S2039" i="8"/>
  <c r="T2039" i="8" s="1"/>
  <c r="S2036" i="8"/>
  <c r="T2036" i="8" s="1"/>
  <c r="S2033" i="8"/>
  <c r="T2033" i="8" s="1"/>
  <c r="S2047" i="8"/>
  <c r="T2047" i="8" s="1"/>
  <c r="S2028" i="8"/>
  <c r="T2028" i="8" s="1"/>
  <c r="S2023" i="8"/>
  <c r="T2023" i="8" s="1"/>
  <c r="S2021" i="8"/>
  <c r="T2021" i="8" s="1"/>
  <c r="S2019" i="8"/>
  <c r="T2019" i="8" s="1"/>
  <c r="S2012" i="8"/>
  <c r="T2012" i="8" s="1"/>
  <c r="S2010" i="8"/>
  <c r="T2010" i="8" s="1"/>
  <c r="S2045" i="8"/>
  <c r="T2045" i="8" s="1"/>
  <c r="S2038" i="8"/>
  <c r="T2038" i="8" s="1"/>
  <c r="S2097" i="8"/>
  <c r="T2097" i="8" s="1"/>
  <c r="S2030" i="8"/>
  <c r="T2030" i="8" s="1"/>
  <c r="S2027" i="8"/>
  <c r="T2027" i="8" s="1"/>
  <c r="S2022" i="8"/>
  <c r="T2022" i="8" s="1"/>
  <c r="S2020" i="8"/>
  <c r="T2020" i="8" s="1"/>
  <c r="S2016" i="8"/>
  <c r="T2016" i="8" s="1"/>
  <c r="S2011" i="8"/>
  <c r="T2011" i="8" s="1"/>
  <c r="S2009" i="8"/>
  <c r="T2009" i="8" s="1"/>
  <c r="S2007" i="8"/>
  <c r="T2007" i="8" s="1"/>
  <c r="S2005" i="8"/>
  <c r="T2005" i="8" s="1"/>
  <c r="S2001" i="8"/>
  <c r="T2001" i="8" s="1"/>
  <c r="S1999" i="8"/>
  <c r="T1999" i="8" s="1"/>
  <c r="S1995" i="8"/>
  <c r="T1995" i="8" s="1"/>
  <c r="S1993" i="8"/>
  <c r="T1993" i="8" s="1"/>
  <c r="S2095" i="8"/>
  <c r="T2095" i="8" s="1"/>
  <c r="S2092" i="8"/>
  <c r="T2092" i="8" s="1"/>
  <c r="S2041" i="8"/>
  <c r="T2041" i="8" s="1"/>
  <c r="S2000" i="8"/>
  <c r="T2000" i="8" s="1"/>
  <c r="S1994" i="8"/>
  <c r="T1994" i="8" s="1"/>
  <c r="S1992" i="8"/>
  <c r="T1992" i="8" s="1"/>
  <c r="S1990" i="8"/>
  <c r="T1990" i="8" s="1"/>
  <c r="S1985" i="8"/>
  <c r="T1985" i="8" s="1"/>
  <c r="S1983" i="8"/>
  <c r="T1983" i="8" s="1"/>
  <c r="S2004" i="8"/>
  <c r="T2004" i="8" s="1"/>
  <c r="S1996" i="8"/>
  <c r="T1996" i="8" s="1"/>
  <c r="S1979" i="8"/>
  <c r="T1979" i="8" s="1"/>
  <c r="S1977" i="8"/>
  <c r="T1977" i="8" s="1"/>
  <c r="S1971" i="8"/>
  <c r="T1971" i="8" s="1"/>
  <c r="S2006" i="8"/>
  <c r="T2006" i="8" s="1"/>
  <c r="S1991" i="8"/>
  <c r="T1991" i="8" s="1"/>
  <c r="S1986" i="8"/>
  <c r="T1986" i="8" s="1"/>
  <c r="S1984" i="8"/>
  <c r="T1984" i="8" s="1"/>
  <c r="S2008" i="8"/>
  <c r="T2008" i="8" s="1"/>
  <c r="S1980" i="8"/>
  <c r="T1980" i="8" s="1"/>
  <c r="S1978" i="8"/>
  <c r="T1978" i="8" s="1"/>
  <c r="S1976" i="8"/>
  <c r="T1976" i="8" s="1"/>
  <c r="S1960" i="8"/>
  <c r="T1960" i="8" s="1"/>
  <c r="S1958" i="8"/>
  <c r="T1958" i="8" s="1"/>
  <c r="S1951" i="8"/>
  <c r="T1951" i="8" s="1"/>
  <c r="S1949" i="8"/>
  <c r="T1949" i="8" s="1"/>
  <c r="S1947" i="8"/>
  <c r="T1947" i="8" s="1"/>
  <c r="S1940" i="8"/>
  <c r="T1940" i="8" s="1"/>
  <c r="S1935" i="8"/>
  <c r="T1935" i="8" s="1"/>
  <c r="S1933" i="8"/>
  <c r="T1933" i="8" s="1"/>
  <c r="S1930" i="8"/>
  <c r="T1930" i="8" s="1"/>
  <c r="S1927" i="8"/>
  <c r="T1927" i="8" s="1"/>
  <c r="S1925" i="8"/>
  <c r="T1925" i="8" s="1"/>
  <c r="S1968" i="8"/>
  <c r="T1968" i="8" s="1"/>
  <c r="S1967" i="8"/>
  <c r="T1967" i="8" s="1"/>
  <c r="S1965" i="8"/>
  <c r="T1965" i="8" s="1"/>
  <c r="S1962" i="8"/>
  <c r="T1962" i="8" s="1"/>
  <c r="S1939" i="8"/>
  <c r="T1939" i="8" s="1"/>
  <c r="S1937" i="8"/>
  <c r="T1937" i="8" s="1"/>
  <c r="S1932" i="8"/>
  <c r="T1932" i="8" s="1"/>
  <c r="S1929" i="8"/>
  <c r="T1929" i="8" s="1"/>
  <c r="S1964" i="8"/>
  <c r="T1964" i="8" s="1"/>
  <c r="S1961" i="8"/>
  <c r="T1961" i="8" s="1"/>
  <c r="S1959" i="8"/>
  <c r="T1959" i="8" s="1"/>
  <c r="S1956" i="8"/>
  <c r="T1956" i="8" s="1"/>
  <c r="S1955" i="8"/>
  <c r="T1955" i="8" s="1"/>
  <c r="S1954" i="8"/>
  <c r="T1954" i="8" s="1"/>
  <c r="S1952" i="8"/>
  <c r="T1952" i="8" s="1"/>
  <c r="S1950" i="8"/>
  <c r="T1950" i="8" s="1"/>
  <c r="S1948" i="8"/>
  <c r="T1948" i="8" s="1"/>
  <c r="S1946" i="8"/>
  <c r="T1946" i="8" s="1"/>
  <c r="S1936" i="8"/>
  <c r="T1936" i="8" s="1"/>
  <c r="S1934" i="8"/>
  <c r="T1934" i="8" s="1"/>
  <c r="S1928" i="8"/>
  <c r="T1928" i="8" s="1"/>
  <c r="S1926" i="8"/>
  <c r="T1926" i="8" s="1"/>
  <c r="S1924" i="8"/>
  <c r="T1924" i="8" s="1"/>
  <c r="S1966" i="8"/>
  <c r="T1966" i="8" s="1"/>
  <c r="S1938" i="8"/>
  <c r="T1938" i="8" s="1"/>
  <c r="S1902" i="8"/>
  <c r="T1902" i="8" s="1"/>
  <c r="S1900" i="8"/>
  <c r="T1900" i="8" s="1"/>
  <c r="S1897" i="8"/>
  <c r="T1897" i="8" s="1"/>
  <c r="S1893" i="8"/>
  <c r="T1893" i="8" s="1"/>
  <c r="S1889" i="8"/>
  <c r="T1889" i="8" s="1"/>
  <c r="S1887" i="8"/>
  <c r="T1887" i="8" s="1"/>
  <c r="S1885" i="8"/>
  <c r="T1885" i="8" s="1"/>
  <c r="S1883" i="8"/>
  <c r="T1883" i="8" s="1"/>
  <c r="S1879" i="8"/>
  <c r="T1879" i="8" s="1"/>
  <c r="S1921" i="8"/>
  <c r="T1921" i="8" s="1"/>
  <c r="S1915" i="8"/>
  <c r="T1915" i="8" s="1"/>
  <c r="S1913" i="8"/>
  <c r="T1913" i="8" s="1"/>
  <c r="S1911" i="8"/>
  <c r="T1911" i="8" s="1"/>
  <c r="S1905" i="8"/>
  <c r="T1905" i="8" s="1"/>
  <c r="S1963" i="8"/>
  <c r="T1963" i="8" s="1"/>
  <c r="S1931" i="8"/>
  <c r="T1931" i="8" s="1"/>
  <c r="S1904" i="8"/>
  <c r="T1904" i="8" s="1"/>
  <c r="S1901" i="8"/>
  <c r="T1901" i="8" s="1"/>
  <c r="S1899" i="8"/>
  <c r="T1899" i="8" s="1"/>
  <c r="S1894" i="8"/>
  <c r="T1894" i="8" s="1"/>
  <c r="S1892" i="8"/>
  <c r="T1892" i="8" s="1"/>
  <c r="S1888" i="8"/>
  <c r="T1888" i="8" s="1"/>
  <c r="S1886" i="8"/>
  <c r="T1886" i="8" s="1"/>
  <c r="S1884" i="8"/>
  <c r="T1884" i="8" s="1"/>
  <c r="S1880" i="8"/>
  <c r="T1880" i="8" s="1"/>
  <c r="S1922" i="8"/>
  <c r="T1922" i="8" s="1"/>
  <c r="S1920" i="8"/>
  <c r="T1920" i="8" s="1"/>
  <c r="S1914" i="8"/>
  <c r="T1914" i="8" s="1"/>
  <c r="S1912" i="8"/>
  <c r="T1912" i="8" s="1"/>
  <c r="S1908" i="8"/>
  <c r="T1908" i="8" s="1"/>
  <c r="S1903" i="8"/>
  <c r="T1903" i="8" s="1"/>
  <c r="S1898" i="8"/>
  <c r="T1898" i="8" s="1"/>
  <c r="S1877" i="8"/>
  <c r="T1877" i="8" s="1"/>
  <c r="S1878" i="8"/>
  <c r="T1878" i="8" s="1"/>
  <c r="S1874" i="8"/>
  <c r="T1874" i="8" s="1"/>
  <c r="S1872" i="8"/>
  <c r="T1872" i="8" s="1"/>
  <c r="S1867" i="8"/>
  <c r="T1867" i="8" s="1"/>
  <c r="S1873" i="8"/>
  <c r="T1873" i="8" s="1"/>
  <c r="S1868" i="8"/>
  <c r="T1868" i="8" s="1"/>
  <c r="S1866" i="8"/>
  <c r="T1866" i="8" s="1"/>
  <c r="S1826" i="8"/>
  <c r="T1826" i="8" s="1"/>
  <c r="S1824" i="8"/>
  <c r="T1824" i="8" s="1"/>
  <c r="S1817" i="8"/>
  <c r="T1817" i="8" s="1"/>
  <c r="S1814" i="8"/>
  <c r="T1814" i="8" s="1"/>
  <c r="S1811" i="8"/>
  <c r="T1811" i="8" s="1"/>
  <c r="S1780" i="8"/>
  <c r="T1780" i="8" s="1"/>
  <c r="S1775" i="8"/>
  <c r="T1775" i="8" s="1"/>
  <c r="S1773" i="8"/>
  <c r="T1773" i="8" s="1"/>
  <c r="S1770" i="8"/>
  <c r="T1770" i="8" s="1"/>
  <c r="S1767" i="8"/>
  <c r="T1767" i="8" s="1"/>
  <c r="S1765" i="8"/>
  <c r="T1765" i="8" s="1"/>
  <c r="S1863" i="8"/>
  <c r="T1863" i="8" s="1"/>
  <c r="S1832" i="8"/>
  <c r="T1832" i="8" s="1"/>
  <c r="S1830" i="8"/>
  <c r="T1830" i="8" s="1"/>
  <c r="S1828" i="8"/>
  <c r="T1828" i="8" s="1"/>
  <c r="S1779" i="8"/>
  <c r="T1779" i="8" s="1"/>
  <c r="S1777" i="8"/>
  <c r="T1777" i="8" s="1"/>
  <c r="S1772" i="8"/>
  <c r="T1772" i="8" s="1"/>
  <c r="S1769" i="8"/>
  <c r="T1769" i="8" s="1"/>
  <c r="S1829" i="8"/>
  <c r="T1829" i="8" s="1"/>
  <c r="S1827" i="8"/>
  <c r="T1827" i="8" s="1"/>
  <c r="S1825" i="8"/>
  <c r="T1825" i="8" s="1"/>
  <c r="S1822" i="8"/>
  <c r="T1822" i="8" s="1"/>
  <c r="S1821" i="8"/>
  <c r="T1821" i="8" s="1"/>
  <c r="S1820" i="8"/>
  <c r="T1820" i="8" s="1"/>
  <c r="S1818" i="8"/>
  <c r="T1818" i="8" s="1"/>
  <c r="S1815" i="8"/>
  <c r="T1815" i="8" s="1"/>
  <c r="S1812" i="8"/>
  <c r="T1812" i="8" s="1"/>
  <c r="S1809" i="8"/>
  <c r="T1809" i="8" s="1"/>
  <c r="S1776" i="8"/>
  <c r="T1776" i="8" s="1"/>
  <c r="S1774" i="8"/>
  <c r="T1774" i="8" s="1"/>
  <c r="S1768" i="8"/>
  <c r="T1768" i="8" s="1"/>
  <c r="S1766" i="8"/>
  <c r="T1766" i="8" s="1"/>
  <c r="S1764" i="8"/>
  <c r="T1764" i="8" s="1"/>
  <c r="S1831" i="8"/>
  <c r="T1831" i="8" s="1"/>
  <c r="S1778" i="8"/>
  <c r="T1778" i="8" s="1"/>
  <c r="S1762" i="8"/>
  <c r="T1762" i="8" s="1"/>
  <c r="S1760" i="8"/>
  <c r="T1760" i="8" s="1"/>
  <c r="S1753" i="8"/>
  <c r="T1753" i="8" s="1"/>
  <c r="S1751" i="8"/>
  <c r="T1751" i="8" s="1"/>
  <c r="S1747" i="8"/>
  <c r="T1747" i="8" s="1"/>
  <c r="S1731" i="8"/>
  <c r="T1731" i="8" s="1"/>
  <c r="S1726" i="8"/>
  <c r="T1726" i="8" s="1"/>
  <c r="S1730" i="8"/>
  <c r="T1730" i="8" s="1"/>
  <c r="S1728" i="8"/>
  <c r="T1728" i="8" s="1"/>
  <c r="S1725" i="8"/>
  <c r="T1725" i="8" s="1"/>
  <c r="S1720" i="8"/>
  <c r="T1720" i="8" s="1"/>
  <c r="S1716" i="8"/>
  <c r="T1716" i="8" s="1"/>
  <c r="S1714" i="8"/>
  <c r="T1714" i="8" s="1"/>
  <c r="S1712" i="8"/>
  <c r="T1712" i="8" s="1"/>
  <c r="S1710" i="8"/>
  <c r="T1710" i="8" s="1"/>
  <c r="S1706" i="8"/>
  <c r="T1706" i="8" s="1"/>
  <c r="S1704" i="8"/>
  <c r="T1704" i="8" s="1"/>
  <c r="S1771" i="8"/>
  <c r="T1771" i="8" s="1"/>
  <c r="S1761" i="8"/>
  <c r="T1761" i="8" s="1"/>
  <c r="S1754" i="8"/>
  <c r="T1754" i="8" s="1"/>
  <c r="S1752" i="8"/>
  <c r="T1752" i="8" s="1"/>
  <c r="S1750" i="8"/>
  <c r="T1750" i="8" s="1"/>
  <c r="S1733" i="8"/>
  <c r="T1733" i="8" s="1"/>
  <c r="S1732" i="8"/>
  <c r="T1732" i="8" s="1"/>
  <c r="S1729" i="8"/>
  <c r="T1729" i="8" s="1"/>
  <c r="S1727" i="8"/>
  <c r="T1727" i="8" s="1"/>
  <c r="S1721" i="8"/>
  <c r="T1721" i="8" s="1"/>
  <c r="S1719" i="8"/>
  <c r="T1719" i="8" s="1"/>
  <c r="S1715" i="8"/>
  <c r="T1715" i="8" s="1"/>
  <c r="S1713" i="8"/>
  <c r="T1713" i="8" s="1"/>
  <c r="S1711" i="8"/>
  <c r="T1711" i="8" s="1"/>
  <c r="S1707" i="8"/>
  <c r="T1707" i="8" s="1"/>
  <c r="S1705" i="8"/>
  <c r="T1705" i="8" s="1"/>
  <c r="S1699" i="8"/>
  <c r="T1699" i="8" s="1"/>
  <c r="S1694" i="8"/>
  <c r="T1694" i="8" s="1"/>
  <c r="S1695" i="8"/>
  <c r="T1695" i="8" s="1"/>
  <c r="S1693" i="8"/>
  <c r="T1693" i="8" s="1"/>
  <c r="S1701" i="8"/>
  <c r="T1701" i="8" s="1"/>
  <c r="S1700" i="8"/>
  <c r="T1700" i="8" s="1"/>
  <c r="S1552" i="8"/>
  <c r="T1552" i="8" s="1"/>
  <c r="S1550" i="8"/>
  <c r="T1550" i="8" s="1"/>
  <c r="S1545" i="8"/>
  <c r="T1545" i="8" s="1"/>
  <c r="S1544" i="8"/>
  <c r="T1544" i="8" s="1"/>
  <c r="S1518" i="8"/>
  <c r="T1518" i="8" s="1"/>
  <c r="S1514" i="8"/>
  <c r="T1514" i="8" s="1"/>
  <c r="S1512" i="8"/>
  <c r="T1512" i="8" s="1"/>
  <c r="S1510" i="8"/>
  <c r="T1510" i="8" s="1"/>
  <c r="S1507" i="8"/>
  <c r="T1507" i="8" s="1"/>
  <c r="S1505" i="8"/>
  <c r="T1505" i="8" s="1"/>
  <c r="S1579" i="8"/>
  <c r="T1579" i="8" s="1"/>
  <c r="S1557" i="8"/>
  <c r="T1557" i="8" s="1"/>
  <c r="S1555" i="8"/>
  <c r="T1555" i="8" s="1"/>
  <c r="S1517" i="8"/>
  <c r="T1517" i="8" s="1"/>
  <c r="S1509" i="8"/>
  <c r="T1509" i="8" s="1"/>
  <c r="S1553" i="8"/>
  <c r="T1553" i="8" s="1"/>
  <c r="S1551" i="8"/>
  <c r="T1551" i="8" s="1"/>
  <c r="S1549" i="8"/>
  <c r="T1549" i="8" s="1"/>
  <c r="S1548" i="8"/>
  <c r="T1548" i="8" s="1"/>
  <c r="S1547" i="8"/>
  <c r="T1547" i="8" s="1"/>
  <c r="S1515" i="8"/>
  <c r="T1515" i="8" s="1"/>
  <c r="S1513" i="8"/>
  <c r="T1513" i="8" s="1"/>
  <c r="S1508" i="8"/>
  <c r="T1508" i="8" s="1"/>
  <c r="S1506" i="8"/>
  <c r="T1506" i="8" s="1"/>
  <c r="S1504" i="8"/>
  <c r="T1504" i="8" s="1"/>
  <c r="S1556" i="8"/>
  <c r="T1556" i="8" s="1"/>
  <c r="S1516" i="8"/>
  <c r="T1516" i="8" s="1"/>
  <c r="S1503" i="8"/>
  <c r="T1503" i="8" s="1"/>
  <c r="S1499" i="8"/>
  <c r="T1499" i="8" s="1"/>
  <c r="S1494" i="8"/>
  <c r="T1494" i="8" s="1"/>
  <c r="S1492" i="8"/>
  <c r="T1492" i="8" s="1"/>
  <c r="S1487" i="8"/>
  <c r="T1487" i="8" s="1"/>
  <c r="S1481" i="8"/>
  <c r="T1481" i="8" s="1"/>
  <c r="S1479" i="8"/>
  <c r="T1479" i="8" s="1"/>
  <c r="S1476" i="8"/>
  <c r="T1476" i="8" s="1"/>
  <c r="S1472" i="8"/>
  <c r="T1472" i="8" s="1"/>
  <c r="S1468" i="8"/>
  <c r="T1468" i="8" s="1"/>
  <c r="S1466" i="8"/>
  <c r="T1466" i="8" s="1"/>
  <c r="S1464" i="8"/>
  <c r="T1464" i="8" s="1"/>
  <c r="S1462" i="8"/>
  <c r="T1462" i="8" s="1"/>
  <c r="S1484" i="8"/>
  <c r="T1484" i="8" s="1"/>
  <c r="S1554" i="8"/>
  <c r="T1554" i="8" s="1"/>
  <c r="S1511" i="8"/>
  <c r="T1511" i="8" s="1"/>
  <c r="S1501" i="8"/>
  <c r="T1501" i="8" s="1"/>
  <c r="S1495" i="8"/>
  <c r="T1495" i="8" s="1"/>
  <c r="S1493" i="8"/>
  <c r="T1493" i="8" s="1"/>
  <c r="S1491" i="8"/>
  <c r="T1491" i="8" s="1"/>
  <c r="S1483" i="8"/>
  <c r="T1483" i="8" s="1"/>
  <c r="S1480" i="8"/>
  <c r="T1480" i="8" s="1"/>
  <c r="S1478" i="8"/>
  <c r="T1478" i="8" s="1"/>
  <c r="S1473" i="8"/>
  <c r="T1473" i="8" s="1"/>
  <c r="S1471" i="8"/>
  <c r="T1471" i="8" s="1"/>
  <c r="S1482" i="8"/>
  <c r="T1482" i="8" s="1"/>
  <c r="S1477" i="8"/>
  <c r="T1477" i="8" s="1"/>
  <c r="S1467" i="8"/>
  <c r="T1467" i="8" s="1"/>
  <c r="S1465" i="8"/>
  <c r="T1465" i="8" s="1"/>
  <c r="S1463" i="8"/>
  <c r="T1463" i="8" s="1"/>
  <c r="S1457" i="8"/>
  <c r="T1457" i="8" s="1"/>
  <c r="S1456" i="8"/>
  <c r="T1456" i="8" s="1"/>
  <c r="S1452" i="8"/>
  <c r="T1452" i="8" s="1"/>
  <c r="S1447" i="8"/>
  <c r="T1447" i="8" s="1"/>
  <c r="S1445" i="8"/>
  <c r="T1445" i="8" s="1"/>
  <c r="S1453" i="8"/>
  <c r="T1453" i="8" s="1"/>
  <c r="S1451" i="8"/>
  <c r="T1451" i="8" s="1"/>
  <c r="S1446" i="8"/>
  <c r="T1446" i="8" s="1"/>
  <c r="S1459" i="8"/>
  <c r="T1459" i="8" s="1"/>
  <c r="S1458" i="8"/>
  <c r="T1458" i="8" s="1"/>
  <c r="S1441" i="8"/>
  <c r="T1441" i="8" s="1"/>
  <c r="S1439" i="8"/>
  <c r="T1439" i="8" s="1"/>
  <c r="S1434" i="8"/>
  <c r="T1434" i="8" s="1"/>
  <c r="S1428" i="8"/>
  <c r="T1428" i="8" s="1"/>
  <c r="S1425" i="8"/>
  <c r="T1425" i="8" s="1"/>
  <c r="S1422" i="8"/>
  <c r="T1422" i="8" s="1"/>
  <c r="S1416" i="8"/>
  <c r="T1416" i="8" s="1"/>
  <c r="S1414" i="8"/>
  <c r="T1414" i="8" s="1"/>
  <c r="S1409" i="8"/>
  <c r="T1409" i="8" s="1"/>
  <c r="S1442" i="8"/>
  <c r="T1442" i="8" s="1"/>
  <c r="S1438" i="8"/>
  <c r="T1438" i="8" s="1"/>
  <c r="S1436" i="8"/>
  <c r="T1436" i="8" s="1"/>
  <c r="S1433" i="8"/>
  <c r="T1433" i="8" s="1"/>
  <c r="S1431" i="8"/>
  <c r="T1431" i="8" s="1"/>
  <c r="S1429" i="8"/>
  <c r="T1429" i="8" s="1"/>
  <c r="S1424" i="8"/>
  <c r="T1424" i="8" s="1"/>
  <c r="S1421" i="8"/>
  <c r="T1421" i="8" s="1"/>
  <c r="S1413" i="8"/>
  <c r="T1413" i="8" s="1"/>
  <c r="S1411" i="8"/>
  <c r="T1411" i="8" s="1"/>
  <c r="S1403" i="8"/>
  <c r="T1403" i="8" s="1"/>
  <c r="S1401" i="8"/>
  <c r="T1401" i="8" s="1"/>
  <c r="S1399" i="8"/>
  <c r="T1399" i="8" s="1"/>
  <c r="S1395" i="8"/>
  <c r="T1395" i="8" s="1"/>
  <c r="S1393" i="8"/>
  <c r="T1393" i="8" s="1"/>
  <c r="S1391" i="8"/>
  <c r="T1391" i="8" s="1"/>
  <c r="S1440" i="8"/>
  <c r="T1440" i="8" s="1"/>
  <c r="S1435" i="8"/>
  <c r="T1435" i="8" s="1"/>
  <c r="S1426" i="8"/>
  <c r="T1426" i="8" s="1"/>
  <c r="S1420" i="8"/>
  <c r="T1420" i="8" s="1"/>
  <c r="S1415" i="8"/>
  <c r="T1415" i="8" s="1"/>
  <c r="S1408" i="8"/>
  <c r="T1408" i="8" s="1"/>
  <c r="S1407" i="8"/>
  <c r="T1407" i="8" s="1"/>
  <c r="S1406" i="8"/>
  <c r="T1406" i="8" s="1"/>
  <c r="S1405" i="8"/>
  <c r="T1405" i="8" s="1"/>
  <c r="S1427" i="8"/>
  <c r="T1427" i="8" s="1"/>
  <c r="S1417" i="8"/>
  <c r="T1417" i="8" s="1"/>
  <c r="S1392" i="8"/>
  <c r="T1392" i="8" s="1"/>
  <c r="S1383" i="8"/>
  <c r="T1383" i="8" s="1"/>
  <c r="S1378" i="8"/>
  <c r="T1378" i="8" s="1"/>
  <c r="S1432" i="8"/>
  <c r="T1432" i="8" s="1"/>
  <c r="S1412" i="8"/>
  <c r="T1412" i="8" s="1"/>
  <c r="S1404" i="8"/>
  <c r="T1404" i="8" s="1"/>
  <c r="S1394" i="8"/>
  <c r="T1394" i="8" s="1"/>
  <c r="S1382" i="8"/>
  <c r="T1382" i="8" s="1"/>
  <c r="S1380" i="8"/>
  <c r="T1380" i="8" s="1"/>
  <c r="S1377" i="8"/>
  <c r="T1377" i="8" s="1"/>
  <c r="S1430" i="8"/>
  <c r="T1430" i="8" s="1"/>
  <c r="S1410" i="8"/>
  <c r="T1410" i="8" s="1"/>
  <c r="S1402" i="8"/>
  <c r="T1402" i="8" s="1"/>
  <c r="S1388" i="8"/>
  <c r="T1388" i="8" s="1"/>
  <c r="S1385" i="8"/>
  <c r="T1385" i="8" s="1"/>
  <c r="S1437" i="8"/>
  <c r="T1437" i="8" s="1"/>
  <c r="S1423" i="8"/>
  <c r="T1423" i="8" s="1"/>
  <c r="S1400" i="8"/>
  <c r="T1400" i="8" s="1"/>
  <c r="S1398" i="8"/>
  <c r="T1398" i="8" s="1"/>
  <c r="S1384" i="8"/>
  <c r="T1384" i="8" s="1"/>
  <c r="S1381" i="8"/>
  <c r="T1381" i="8" s="1"/>
  <c r="S1379" i="8"/>
  <c r="T1379" i="8" s="1"/>
  <c r="S1374" i="8"/>
  <c r="T1374" i="8" s="1"/>
  <c r="S1372" i="8"/>
  <c r="T1372" i="8" s="1"/>
  <c r="S1368" i="8"/>
  <c r="T1368" i="8" s="1"/>
  <c r="S1366" i="8"/>
  <c r="T1366" i="8" s="1"/>
  <c r="S1364" i="8"/>
  <c r="T1364" i="8" s="1"/>
  <c r="S1360" i="8"/>
  <c r="T1360" i="8" s="1"/>
  <c r="S1358" i="8"/>
  <c r="T1358" i="8" s="1"/>
  <c r="S1354" i="8"/>
  <c r="T1354" i="8" s="1"/>
  <c r="S1369" i="8"/>
  <c r="T1369" i="8" s="1"/>
  <c r="S1363" i="8"/>
  <c r="T1363" i="8" s="1"/>
  <c r="S1348" i="8"/>
  <c r="T1348" i="8" s="1"/>
  <c r="S1346" i="8"/>
  <c r="T1346" i="8" s="1"/>
  <c r="S1365" i="8"/>
  <c r="T1365" i="8" s="1"/>
  <c r="S1353" i="8"/>
  <c r="T1353" i="8" s="1"/>
  <c r="S1367" i="8"/>
  <c r="T1367" i="8" s="1"/>
  <c r="S1357" i="8"/>
  <c r="T1357" i="8" s="1"/>
  <c r="S1352" i="8"/>
  <c r="T1352" i="8" s="1"/>
  <c r="S1347" i="8"/>
  <c r="T1347" i="8" s="1"/>
  <c r="S1373" i="8"/>
  <c r="T1373" i="8" s="1"/>
  <c r="S1359" i="8"/>
  <c r="T1359" i="8" s="1"/>
  <c r="AD411" i="5"/>
  <c r="AD406" i="5"/>
  <c r="AD408" i="5"/>
  <c r="AD410" i="5"/>
  <c r="AD409" i="5"/>
  <c r="AD407" i="5"/>
  <c r="AD881" i="5"/>
  <c r="AH881" i="5" s="1"/>
  <c r="AD428" i="5"/>
  <c r="AD427" i="5"/>
  <c r="AD426" i="5"/>
  <c r="AD424" i="5"/>
  <c r="AD423" i="5"/>
  <c r="AD425" i="5"/>
  <c r="S934" i="8"/>
  <c r="S501" i="8"/>
  <c r="T501" i="8" s="1"/>
  <c r="S350" i="8"/>
  <c r="T350" i="8" s="1"/>
  <c r="S477" i="8"/>
  <c r="T477" i="8" s="1"/>
  <c r="S517" i="8"/>
  <c r="T517" i="8" s="1"/>
  <c r="S518" i="8"/>
  <c r="T518" i="8" s="1"/>
  <c r="S516" i="8"/>
  <c r="T516" i="8" s="1"/>
  <c r="S514" i="8"/>
  <c r="T514" i="8" s="1"/>
  <c r="S515" i="8"/>
  <c r="T515" i="8" s="1"/>
  <c r="S513" i="8"/>
  <c r="T513" i="8" s="1"/>
  <c r="S2530" i="8"/>
  <c r="T2530" i="8" s="1"/>
  <c r="S2698" i="8"/>
  <c r="T2698" i="8" s="1"/>
  <c r="S2330" i="8"/>
  <c r="S2489" i="8"/>
  <c r="S867" i="8"/>
  <c r="S939" i="8"/>
  <c r="S731" i="8"/>
  <c r="S826" i="8"/>
  <c r="S414" i="8"/>
  <c r="T414" i="8" s="1"/>
  <c r="S482" i="8"/>
  <c r="T482" i="8" s="1"/>
  <c r="S287" i="8"/>
  <c r="T287" i="8" s="1"/>
  <c r="S355" i="8"/>
  <c r="T355" i="8" s="1"/>
  <c r="S772" i="8"/>
  <c r="S884" i="8"/>
  <c r="S305" i="8"/>
  <c r="T305" i="8" s="1"/>
  <c r="S432" i="8"/>
  <c r="T432" i="8" s="1"/>
  <c r="S2717" i="8"/>
  <c r="T2717" i="8" s="1"/>
  <c r="S2715" i="8"/>
  <c r="T2715" i="8" s="1"/>
  <c r="S2716" i="8"/>
  <c r="T2716" i="8" s="1"/>
  <c r="S2714" i="8"/>
  <c r="T2714" i="8" s="1"/>
  <c r="S2677" i="8"/>
  <c r="T2677" i="8" s="1"/>
  <c r="S2675" i="8"/>
  <c r="T2675" i="8" s="1"/>
  <c r="S2676" i="8"/>
  <c r="T2676" i="8" s="1"/>
  <c r="S2674" i="8"/>
  <c r="T2674" i="8" s="1"/>
  <c r="S2508" i="8"/>
  <c r="S2506" i="8"/>
  <c r="S2507" i="8"/>
  <c r="S2505" i="8"/>
  <c r="S2468" i="8"/>
  <c r="S2466" i="8"/>
  <c r="S2467" i="8"/>
  <c r="S2465" i="8"/>
  <c r="S958" i="8"/>
  <c r="S956" i="8"/>
  <c r="S957" i="8"/>
  <c r="S955" i="8"/>
  <c r="S840" i="8"/>
  <c r="S931" i="8"/>
  <c r="S929" i="8"/>
  <c r="S930" i="8"/>
  <c r="S928" i="8"/>
  <c r="S843" i="8"/>
  <c r="S841" i="8"/>
  <c r="S842" i="8"/>
  <c r="S500" i="8"/>
  <c r="T500" i="8" s="1"/>
  <c r="S498" i="8"/>
  <c r="T498" i="8" s="1"/>
  <c r="S499" i="8"/>
  <c r="T499" i="8" s="1"/>
  <c r="S819" i="8"/>
  <c r="S817" i="8"/>
  <c r="S818" i="8"/>
  <c r="S473" i="8"/>
  <c r="T473" i="8" s="1"/>
  <c r="S471" i="8"/>
  <c r="T471" i="8" s="1"/>
  <c r="S474" i="8"/>
  <c r="T474" i="8" s="1"/>
  <c r="S472" i="8"/>
  <c r="T472" i="8" s="1"/>
  <c r="S374" i="8"/>
  <c r="T374" i="8" s="1"/>
  <c r="S372" i="8"/>
  <c r="T372" i="8" s="1"/>
  <c r="S373" i="8"/>
  <c r="T373" i="8" s="1"/>
  <c r="S371" i="8"/>
  <c r="T371" i="8" s="1"/>
  <c r="S345" i="8"/>
  <c r="T345" i="8" s="1"/>
  <c r="S346" i="8"/>
  <c r="T346" i="8" s="1"/>
  <c r="S347" i="8"/>
  <c r="T347" i="8" s="1"/>
  <c r="S2501" i="8"/>
  <c r="S2710" i="8"/>
  <c r="T2710" i="8" s="1"/>
  <c r="S836" i="8"/>
  <c r="S949" i="8"/>
  <c r="S365" i="8"/>
  <c r="T365" i="8" s="1"/>
  <c r="S492" i="8"/>
  <c r="T492" i="8" s="1"/>
  <c r="AD928" i="5"/>
  <c r="AH928" i="5" s="1"/>
  <c r="AD929" i="5"/>
  <c r="AD875" i="5"/>
  <c r="AH875" i="5" s="1"/>
  <c r="AD925" i="5"/>
  <c r="AD959" i="5"/>
  <c r="AD958" i="5"/>
  <c r="AD960" i="5"/>
  <c r="S2741" i="8"/>
  <c r="T2741" i="8" s="1"/>
  <c r="S2744" i="8"/>
  <c r="T2744" i="8" s="1"/>
  <c r="S2742" i="8"/>
  <c r="T2742" i="8" s="1"/>
  <c r="S2743" i="8"/>
  <c r="T2743" i="8" s="1"/>
  <c r="S2736" i="8"/>
  <c r="T2736" i="8" s="1"/>
  <c r="S2731" i="8"/>
  <c r="T2731" i="8" s="1"/>
  <c r="S2739" i="8"/>
  <c r="T2739" i="8" s="1"/>
  <c r="S2734" i="8"/>
  <c r="T2734" i="8" s="1"/>
  <c r="S2737" i="8"/>
  <c r="T2737" i="8" s="1"/>
  <c r="S2732" i="8"/>
  <c r="T2732" i="8" s="1"/>
  <c r="S2738" i="8"/>
  <c r="T2738" i="8" s="1"/>
  <c r="S2733" i="8"/>
  <c r="T2733" i="8" s="1"/>
  <c r="S2633" i="8"/>
  <c r="T2633" i="8" s="1"/>
  <c r="S2421" i="8"/>
  <c r="S2615" i="8"/>
  <c r="T2615" i="8" s="1"/>
  <c r="S2613" i="8"/>
  <c r="T2613" i="8" s="1"/>
  <c r="S2614" i="8"/>
  <c r="T2614" i="8" s="1"/>
  <c r="S2620" i="8"/>
  <c r="S2626" i="8"/>
  <c r="S2624" i="8"/>
  <c r="T2624" i="8" s="1"/>
  <c r="S2625" i="8"/>
  <c r="T2625" i="8" s="1"/>
  <c r="S2623" i="8"/>
  <c r="T2623" i="8" s="1"/>
  <c r="S2396" i="8"/>
  <c r="S2522" i="8"/>
  <c r="T2522" i="8" s="1"/>
  <c r="S2520" i="8"/>
  <c r="T2520" i="8" s="1"/>
  <c r="S2521" i="8"/>
  <c r="T2521" i="8" s="1"/>
  <c r="S2519" i="8"/>
  <c r="T2519" i="8" s="1"/>
  <c r="S2398" i="8"/>
  <c r="S2395" i="8"/>
  <c r="S2393" i="8"/>
  <c r="S2391" i="8"/>
  <c r="S2397" i="8"/>
  <c r="S2394" i="8"/>
  <c r="S2392" i="8"/>
  <c r="S2390" i="8"/>
  <c r="S2385" i="8"/>
  <c r="S2386" i="8"/>
  <c r="S2384" i="8"/>
  <c r="S2523" i="8"/>
  <c r="S970" i="8"/>
  <c r="T970" i="8" s="1"/>
  <c r="S2516" i="8"/>
  <c r="T2516" i="8" s="1"/>
  <c r="S2514" i="8"/>
  <c r="T2514" i="8" s="1"/>
  <c r="S2517" i="8"/>
  <c r="T2517" i="8" s="1"/>
  <c r="S2515" i="8"/>
  <c r="T2515" i="8" s="1"/>
  <c r="S762" i="8"/>
  <c r="S967" i="8"/>
  <c r="T967" i="8" s="1"/>
  <c r="S965" i="8"/>
  <c r="T965" i="8" s="1"/>
  <c r="S971" i="8"/>
  <c r="T971" i="8" s="1"/>
  <c r="S964" i="8"/>
  <c r="T964" i="8" s="1"/>
  <c r="S968" i="8"/>
  <c r="T968" i="8" s="1"/>
  <c r="S966" i="8"/>
  <c r="T966" i="8" s="1"/>
  <c r="S969" i="8"/>
  <c r="T969" i="8" s="1"/>
  <c r="S963" i="8"/>
  <c r="T963" i="8" s="1"/>
  <c r="S859" i="8"/>
  <c r="T859" i="8" s="1"/>
  <c r="S761" i="8"/>
  <c r="S759" i="8"/>
  <c r="S760" i="8"/>
  <c r="S857" i="8"/>
  <c r="T857" i="8" s="1"/>
  <c r="S858" i="8"/>
  <c r="T858" i="8" s="1"/>
  <c r="S763" i="8"/>
  <c r="S757" i="8"/>
  <c r="S755" i="8"/>
  <c r="S756" i="8"/>
  <c r="S758" i="8"/>
  <c r="S754" i="8"/>
  <c r="S751" i="8"/>
  <c r="S749" i="8"/>
  <c r="S747" i="8"/>
  <c r="S748" i="8"/>
  <c r="S750" i="8"/>
  <c r="S746" i="8"/>
  <c r="S743" i="8"/>
  <c r="S742" i="8"/>
  <c r="S855" i="8"/>
  <c r="T855" i="8" s="1"/>
  <c r="S850" i="8"/>
  <c r="T850" i="8" s="1"/>
  <c r="S853" i="8"/>
  <c r="T853" i="8" s="1"/>
  <c r="S851" i="8"/>
  <c r="T851" i="8" s="1"/>
  <c r="S849" i="8"/>
  <c r="T849" i="8" s="1"/>
  <c r="S854" i="8"/>
  <c r="T854" i="8" s="1"/>
  <c r="S852" i="8"/>
  <c r="T852" i="8" s="1"/>
  <c r="S848" i="8"/>
  <c r="T848" i="8" s="1"/>
  <c r="S546" i="8"/>
  <c r="T546" i="8" s="1"/>
  <c r="S548" i="8"/>
  <c r="T548" i="8" s="1"/>
  <c r="S545" i="8"/>
  <c r="T545" i="8" s="1"/>
  <c r="S547" i="8"/>
  <c r="T547" i="8" s="1"/>
  <c r="S542" i="8"/>
  <c r="T542" i="8" s="1"/>
  <c r="S543" i="8"/>
  <c r="T543" i="8" s="1"/>
  <c r="S540" i="8"/>
  <c r="T540" i="8" s="1"/>
  <c r="S541" i="8"/>
  <c r="T541" i="8" s="1"/>
  <c r="S525" i="8"/>
  <c r="T525" i="8" s="1"/>
  <c r="S523" i="8"/>
  <c r="T523" i="8" s="1"/>
  <c r="S512" i="8"/>
  <c r="T512" i="8" s="1"/>
  <c r="S537" i="8"/>
  <c r="T537" i="8" s="1"/>
  <c r="S532" i="8"/>
  <c r="T532" i="8" s="1"/>
  <c r="S531" i="8"/>
  <c r="T531" i="8" s="1"/>
  <c r="S507" i="8"/>
  <c r="T507" i="8" s="1"/>
  <c r="S538" i="8"/>
  <c r="T538" i="8" s="1"/>
  <c r="S535" i="8"/>
  <c r="T535" i="8" s="1"/>
  <c r="S533" i="8"/>
  <c r="T533" i="8" s="1"/>
  <c r="S530" i="8"/>
  <c r="T530" i="8" s="1"/>
  <c r="S528" i="8"/>
  <c r="T528" i="8" s="1"/>
  <c r="S521" i="8"/>
  <c r="T521" i="8" s="1"/>
  <c r="S510" i="8"/>
  <c r="T510" i="8" s="1"/>
  <c r="S508" i="8"/>
  <c r="T508" i="8" s="1"/>
  <c r="S506" i="8"/>
  <c r="T506" i="8" s="1"/>
  <c r="S527" i="8"/>
  <c r="T527" i="8" s="1"/>
  <c r="S505" i="8"/>
  <c r="T505" i="8" s="1"/>
  <c r="S526" i="8"/>
  <c r="T526" i="8" s="1"/>
  <c r="S522" i="8"/>
  <c r="T522" i="8" s="1"/>
  <c r="S511" i="8"/>
  <c r="T511" i="8" s="1"/>
  <c r="S536" i="8"/>
  <c r="T536" i="8" s="1"/>
  <c r="S520" i="8"/>
  <c r="T520" i="8" s="1"/>
  <c r="S509" i="8"/>
  <c r="T509" i="8" s="1"/>
  <c r="S406" i="8"/>
  <c r="T406" i="8" s="1"/>
  <c r="S405" i="8"/>
  <c r="T405" i="8" s="1"/>
  <c r="S400" i="8"/>
  <c r="T400" i="8" s="1"/>
  <c r="S401" i="8"/>
  <c r="T401" i="8" s="1"/>
  <c r="S396" i="8"/>
  <c r="T396" i="8" s="1"/>
  <c r="S395" i="8"/>
  <c r="T395" i="8" s="1"/>
  <c r="S391" i="8"/>
  <c r="T391" i="8" s="1"/>
  <c r="S390" i="8"/>
  <c r="T390" i="8" s="1"/>
  <c r="S399" i="8"/>
  <c r="T399" i="8" s="1"/>
  <c r="S398" i="8"/>
  <c r="T398" i="8" s="1"/>
  <c r="S385" i="8"/>
  <c r="T385" i="8" s="1"/>
  <c r="S386" i="8"/>
  <c r="T386" i="8" s="1"/>
  <c r="S394" i="8"/>
  <c r="T394" i="8" s="1"/>
  <c r="S393" i="8"/>
  <c r="T393" i="8" s="1"/>
  <c r="S378" i="8"/>
  <c r="T378" i="8" s="1"/>
  <c r="S389" i="8"/>
  <c r="T389" i="8" s="1"/>
  <c r="S2584" i="8"/>
  <c r="T2584" i="8" s="1"/>
  <c r="S2583" i="8"/>
  <c r="T2583" i="8" s="1"/>
  <c r="S380" i="8"/>
  <c r="T380" i="8" s="1"/>
  <c r="S379" i="8"/>
  <c r="T379" i="8" s="1"/>
  <c r="S384" i="8"/>
  <c r="T384" i="8" s="1"/>
  <c r="S2725" i="8"/>
  <c r="T2725" i="8" s="1"/>
  <c r="S404" i="8"/>
  <c r="T404" i="8" s="1"/>
  <c r="S383" i="8"/>
  <c r="T383" i="8" s="1"/>
  <c r="S381" i="8"/>
  <c r="T381" i="8" s="1"/>
  <c r="S382" i="8"/>
  <c r="T382" i="8" s="1"/>
  <c r="S388" i="8"/>
  <c r="T388" i="8" s="1"/>
  <c r="S403" i="8"/>
  <c r="T403" i="8" s="1"/>
  <c r="S2724" i="8"/>
  <c r="T2724" i="8" s="1"/>
  <c r="S2726" i="8"/>
  <c r="S2722" i="8"/>
  <c r="S2723" i="8"/>
  <c r="S2721" i="8"/>
  <c r="S2720" i="8"/>
  <c r="S2719" i="8"/>
  <c r="S2718" i="8"/>
  <c r="S2727" i="8"/>
  <c r="S2580" i="8"/>
  <c r="T2580" i="8" s="1"/>
  <c r="S2587" i="8"/>
  <c r="T2587" i="8" s="1"/>
  <c r="S2586" i="8"/>
  <c r="T2586" i="8" s="1"/>
  <c r="S2579" i="8"/>
  <c r="T2579" i="8" s="1"/>
  <c r="S2576" i="8"/>
  <c r="T2576" i="8" s="1"/>
  <c r="S2577" i="8"/>
  <c r="T2577" i="8" s="1"/>
  <c r="S2575" i="8"/>
  <c r="T2575" i="8" s="1"/>
  <c r="S2595" i="8"/>
  <c r="T2595" i="8" s="1"/>
  <c r="S2573" i="8"/>
  <c r="T2573" i="8" s="1"/>
  <c r="S2574" i="8"/>
  <c r="T2574" i="8" s="1"/>
  <c r="S2602" i="8"/>
  <c r="T2602" i="8" s="1"/>
  <c r="S2603" i="8"/>
  <c r="T2603" i="8" s="1"/>
  <c r="S2567" i="8"/>
  <c r="T2567" i="8" s="1"/>
  <c r="S2566" i="8"/>
  <c r="T2566" i="8" s="1"/>
  <c r="S2565" i="8"/>
  <c r="T2565" i="8" s="1"/>
  <c r="S2712" i="8"/>
  <c r="S2709" i="8"/>
  <c r="S2707" i="8"/>
  <c r="S2705" i="8"/>
  <c r="S2703" i="8"/>
  <c r="S2701" i="8"/>
  <c r="S2699" i="8"/>
  <c r="S2696" i="8"/>
  <c r="S2692" i="8"/>
  <c r="T2692" i="8" s="1"/>
  <c r="S2688" i="8"/>
  <c r="T2688" i="8" s="1"/>
  <c r="S2684" i="8"/>
  <c r="T2684" i="8" s="1"/>
  <c r="S2680" i="8"/>
  <c r="S2678" i="8"/>
  <c r="S2672" i="8"/>
  <c r="S2670" i="8"/>
  <c r="S2668" i="8"/>
  <c r="S2666" i="8"/>
  <c r="S2664" i="8"/>
  <c r="S2728" i="8"/>
  <c r="T2728" i="8" s="1"/>
  <c r="S2693" i="8"/>
  <c r="T2693" i="8" s="1"/>
  <c r="S2689" i="8"/>
  <c r="T2689" i="8" s="1"/>
  <c r="S2685" i="8"/>
  <c r="T2685" i="8" s="1"/>
  <c r="S2713" i="8"/>
  <c r="S2711" i="8"/>
  <c r="S2708" i="8"/>
  <c r="S2706" i="8"/>
  <c r="S2704" i="8"/>
  <c r="S2702" i="8"/>
  <c r="S2700" i="8"/>
  <c r="S2697" i="8"/>
  <c r="S2690" i="8"/>
  <c r="T2690" i="8" s="1"/>
  <c r="S2686" i="8"/>
  <c r="T2686" i="8" s="1"/>
  <c r="S2679" i="8"/>
  <c r="S2673" i="8"/>
  <c r="S2671" i="8"/>
  <c r="S2669" i="8"/>
  <c r="S2667" i="8"/>
  <c r="S2652" i="8"/>
  <c r="S2650" i="8"/>
  <c r="S2648" i="8"/>
  <c r="S2646" i="8"/>
  <c r="S2691" i="8"/>
  <c r="T2691" i="8" s="1"/>
  <c r="S2683" i="8"/>
  <c r="T2683" i="8" s="1"/>
  <c r="S2665" i="8"/>
  <c r="S2662" i="8"/>
  <c r="S2660" i="8"/>
  <c r="S2658" i="8"/>
  <c r="S2656" i="8"/>
  <c r="S2643" i="8"/>
  <c r="T2643" i="8" s="1"/>
  <c r="S2638" i="8"/>
  <c r="S2636" i="8"/>
  <c r="S2634" i="8"/>
  <c r="S2631" i="8"/>
  <c r="S2653" i="8"/>
  <c r="S2651" i="8"/>
  <c r="S2649" i="8"/>
  <c r="S2647" i="8"/>
  <c r="S2642" i="8"/>
  <c r="T2642" i="8" s="1"/>
  <c r="S2687" i="8"/>
  <c r="T2687" i="8" s="1"/>
  <c r="S2663" i="8"/>
  <c r="S2661" i="8"/>
  <c r="S2659" i="8"/>
  <c r="S2657" i="8"/>
  <c r="S2641" i="8"/>
  <c r="T2641" i="8" s="1"/>
  <c r="S2637" i="8"/>
  <c r="S2632" i="8"/>
  <c r="S2622" i="8"/>
  <c r="S2619" i="8"/>
  <c r="S2611" i="8"/>
  <c r="S2606" i="8"/>
  <c r="S2604" i="8"/>
  <c r="S2597" i="8"/>
  <c r="T2597" i="8" s="1"/>
  <c r="S2585" i="8"/>
  <c r="S2590" i="8"/>
  <c r="T2590" i="8" s="1"/>
  <c r="S2570" i="8"/>
  <c r="S2568" i="8"/>
  <c r="S2558" i="8"/>
  <c r="T2558" i="8" s="1"/>
  <c r="S2630" i="8"/>
  <c r="S2616" i="8"/>
  <c r="S2596" i="8"/>
  <c r="T2596" i="8" s="1"/>
  <c r="S2589" i="8"/>
  <c r="S2581" i="8"/>
  <c r="S2557" i="8"/>
  <c r="T2557" i="8" s="1"/>
  <c r="S2635" i="8"/>
  <c r="S2627" i="8"/>
  <c r="S2621" i="8"/>
  <c r="S2610" i="8"/>
  <c r="T2610" i="8" s="1"/>
  <c r="S2605" i="8"/>
  <c r="S2601" i="8"/>
  <c r="S2591" i="8"/>
  <c r="S2588" i="8"/>
  <c r="S2569" i="8"/>
  <c r="S2556" i="8"/>
  <c r="T2556" i="8" s="1"/>
  <c r="S2552" i="8"/>
  <c r="T2552" i="8" s="1"/>
  <c r="S2612" i="8"/>
  <c r="T2612" i="8" s="1"/>
  <c r="S2609" i="8"/>
  <c r="S2598" i="8"/>
  <c r="T2598" i="8" s="1"/>
  <c r="S2594" i="8"/>
  <c r="T2594" i="8" s="1"/>
  <c r="S2582" i="8"/>
  <c r="S2578" i="8"/>
  <c r="S2559" i="8"/>
  <c r="T2559" i="8" s="1"/>
  <c r="S2551" i="8"/>
  <c r="T2551" i="8" s="1"/>
  <c r="S2538" i="8"/>
  <c r="S2536" i="8"/>
  <c r="S2546" i="8"/>
  <c r="S2532" i="8"/>
  <c r="S2529" i="8"/>
  <c r="S2527" i="8"/>
  <c r="S2553" i="8"/>
  <c r="T2553" i="8" s="1"/>
  <c r="S2550" i="8"/>
  <c r="T2550" i="8" s="1"/>
  <c r="S2543" i="8"/>
  <c r="T2543" i="8" s="1"/>
  <c r="S2539" i="8"/>
  <c r="S2537" i="8"/>
  <c r="S2547" i="8"/>
  <c r="S2542" i="8"/>
  <c r="T2542" i="8" s="1"/>
  <c r="S2531" i="8"/>
  <c r="S2528" i="8"/>
  <c r="S2526" i="8"/>
  <c r="S2367" i="8"/>
  <c r="S2366" i="8"/>
  <c r="S2362" i="8"/>
  <c r="S2363" i="8"/>
  <c r="S2365" i="8"/>
  <c r="S2364" i="8"/>
  <c r="S2339" i="8"/>
  <c r="S211" i="8"/>
  <c r="S2338" i="8"/>
  <c r="S2337" i="8"/>
  <c r="S565" i="8"/>
  <c r="S654" i="8"/>
  <c r="S296" i="8"/>
  <c r="T296" i="8" s="1"/>
  <c r="S423" i="8"/>
  <c r="T423" i="8" s="1"/>
  <c r="S2449" i="8"/>
  <c r="S2504" i="8"/>
  <c r="S2500" i="8"/>
  <c r="S2496" i="8"/>
  <c r="S2492" i="8"/>
  <c r="S2488" i="8"/>
  <c r="S2497" i="8"/>
  <c r="S2511" i="8"/>
  <c r="T2511" i="8" s="1"/>
  <c r="S2503" i="8"/>
  <c r="S2499" i="8"/>
  <c r="S2495" i="8"/>
  <c r="S2491" i="8"/>
  <c r="S2487" i="8"/>
  <c r="S2510" i="8"/>
  <c r="S2502" i="8"/>
  <c r="S2498" i="8"/>
  <c r="S2494" i="8"/>
  <c r="S2490" i="8"/>
  <c r="S2509" i="8"/>
  <c r="S2493" i="8"/>
  <c r="S2470" i="8"/>
  <c r="S2464" i="8"/>
  <c r="S2463" i="8"/>
  <c r="S2444" i="8"/>
  <c r="S2469" i="8"/>
  <c r="S2453" i="8"/>
  <c r="S2452" i="8"/>
  <c r="S2329" i="8"/>
  <c r="S2439" i="8"/>
  <c r="S2438" i="8"/>
  <c r="S2440" i="8"/>
  <c r="S2437" i="8"/>
  <c r="S2442" i="8"/>
  <c r="S2441" i="8"/>
  <c r="S2426" i="8"/>
  <c r="S2425" i="8"/>
  <c r="S2420" i="8"/>
  <c r="S2412" i="8"/>
  <c r="S2414" i="8"/>
  <c r="S2401" i="8"/>
  <c r="S2407" i="8"/>
  <c r="S2387" i="8"/>
  <c r="S2380" i="8"/>
  <c r="S2342" i="8"/>
  <c r="T2342" i="8" s="1"/>
  <c r="S2343" i="8"/>
  <c r="T2343" i="8" s="1"/>
  <c r="S2347" i="8"/>
  <c r="S2326" i="8"/>
  <c r="S2332" i="8"/>
  <c r="S952" i="8"/>
  <c r="S951" i="8"/>
  <c r="S502" i="8"/>
  <c r="T502" i="8" s="1"/>
  <c r="S496" i="8"/>
  <c r="T496" i="8" s="1"/>
  <c r="S494" i="8"/>
  <c r="T494" i="8" s="1"/>
  <c r="S491" i="8"/>
  <c r="T491" i="8" s="1"/>
  <c r="S489" i="8"/>
  <c r="T489" i="8" s="1"/>
  <c r="S487" i="8"/>
  <c r="T487" i="8" s="1"/>
  <c r="S485" i="8"/>
  <c r="T485" i="8" s="1"/>
  <c r="S483" i="8"/>
  <c r="T483" i="8" s="1"/>
  <c r="S480" i="8"/>
  <c r="T480" i="8" s="1"/>
  <c r="S475" i="8"/>
  <c r="T475" i="8" s="1"/>
  <c r="S470" i="8"/>
  <c r="T470" i="8" s="1"/>
  <c r="S468" i="8"/>
  <c r="T468" i="8" s="1"/>
  <c r="S466" i="8"/>
  <c r="T466" i="8" s="1"/>
  <c r="S464" i="8"/>
  <c r="T464" i="8" s="1"/>
  <c r="S462" i="8"/>
  <c r="T462" i="8" s="1"/>
  <c r="S460" i="8"/>
  <c r="T460" i="8" s="1"/>
  <c r="S549" i="8"/>
  <c r="T549" i="8" s="1"/>
  <c r="S497" i="8"/>
  <c r="T497" i="8" s="1"/>
  <c r="S495" i="8"/>
  <c r="T495" i="8" s="1"/>
  <c r="S493" i="8"/>
  <c r="T493" i="8" s="1"/>
  <c r="S490" i="8"/>
  <c r="T490" i="8" s="1"/>
  <c r="S488" i="8"/>
  <c r="T488" i="8" s="1"/>
  <c r="S486" i="8"/>
  <c r="T486" i="8" s="1"/>
  <c r="S484" i="8"/>
  <c r="T484" i="8" s="1"/>
  <c r="S481" i="8"/>
  <c r="T481" i="8" s="1"/>
  <c r="S476" i="8"/>
  <c r="T476" i="8" s="1"/>
  <c r="S469" i="8"/>
  <c r="T469" i="8" s="1"/>
  <c r="S467" i="8"/>
  <c r="T467" i="8" s="1"/>
  <c r="S465" i="8"/>
  <c r="T465" i="8" s="1"/>
  <c r="S463" i="8"/>
  <c r="T463" i="8" s="1"/>
  <c r="S461" i="8"/>
  <c r="T461" i="8" s="1"/>
  <c r="S459" i="8"/>
  <c r="T459" i="8" s="1"/>
  <c r="S457" i="8"/>
  <c r="T457" i="8" s="1"/>
  <c r="S455" i="8"/>
  <c r="T455" i="8" s="1"/>
  <c r="S451" i="8"/>
  <c r="T451" i="8" s="1"/>
  <c r="S449" i="8"/>
  <c r="T449" i="8" s="1"/>
  <c r="S445" i="8"/>
  <c r="T445" i="8" s="1"/>
  <c r="S441" i="8"/>
  <c r="T441" i="8" s="1"/>
  <c r="S439" i="8"/>
  <c r="T439" i="8" s="1"/>
  <c r="S437" i="8"/>
  <c r="T437" i="8" s="1"/>
  <c r="S435" i="8"/>
  <c r="T435" i="8" s="1"/>
  <c r="S430" i="8"/>
  <c r="T430" i="8" s="1"/>
  <c r="S458" i="8"/>
  <c r="T458" i="8" s="1"/>
  <c r="S456" i="8"/>
  <c r="T456" i="8" s="1"/>
  <c r="S452" i="8"/>
  <c r="T452" i="8" s="1"/>
  <c r="S450" i="8"/>
  <c r="T450" i="8" s="1"/>
  <c r="S448" i="8"/>
  <c r="T448" i="8" s="1"/>
  <c r="S442" i="8"/>
  <c r="T442" i="8" s="1"/>
  <c r="S440" i="8"/>
  <c r="T440" i="8" s="1"/>
  <c r="S438" i="8"/>
  <c r="T438" i="8" s="1"/>
  <c r="S436" i="8"/>
  <c r="T436" i="8" s="1"/>
  <c r="S431" i="8"/>
  <c r="T431" i="8" s="1"/>
  <c r="S429" i="8"/>
  <c r="T429" i="8" s="1"/>
  <c r="S427" i="8"/>
  <c r="T427" i="8" s="1"/>
  <c r="S428" i="8"/>
  <c r="T428" i="8" s="1"/>
  <c r="S426" i="8"/>
  <c r="T426" i="8" s="1"/>
  <c r="S421" i="8"/>
  <c r="T421" i="8" s="1"/>
  <c r="S419" i="8"/>
  <c r="T419" i="8" s="1"/>
  <c r="S415" i="8"/>
  <c r="T415" i="8" s="1"/>
  <c r="S412" i="8"/>
  <c r="T412" i="8" s="1"/>
  <c r="S410" i="8"/>
  <c r="T410" i="8" s="1"/>
  <c r="S422" i="8"/>
  <c r="T422" i="8" s="1"/>
  <c r="S420" i="8"/>
  <c r="T420" i="8" s="1"/>
  <c r="S416" i="8"/>
  <c r="T416" i="8" s="1"/>
  <c r="S413" i="8"/>
  <c r="T413" i="8" s="1"/>
  <c r="S411" i="8"/>
  <c r="T411" i="8" s="1"/>
  <c r="S367" i="8"/>
  <c r="T367" i="8" s="1"/>
  <c r="S368" i="8"/>
  <c r="T368" i="8" s="1"/>
  <c r="S348" i="8"/>
  <c r="T348" i="8" s="1"/>
  <c r="S343" i="8"/>
  <c r="T343" i="8" s="1"/>
  <c r="S341" i="8"/>
  <c r="T341" i="8" s="1"/>
  <c r="S339" i="8"/>
  <c r="T339" i="8" s="1"/>
  <c r="S337" i="8"/>
  <c r="T337" i="8" s="1"/>
  <c r="S335" i="8"/>
  <c r="T335" i="8" s="1"/>
  <c r="S333" i="8"/>
  <c r="T333" i="8" s="1"/>
  <c r="S331" i="8"/>
  <c r="T331" i="8" s="1"/>
  <c r="S329" i="8"/>
  <c r="T329" i="8" s="1"/>
  <c r="S325" i="8"/>
  <c r="T325" i="8" s="1"/>
  <c r="S323" i="8"/>
  <c r="T323" i="8" s="1"/>
  <c r="S321" i="8"/>
  <c r="T321" i="8" s="1"/>
  <c r="S315" i="8"/>
  <c r="S311" i="8"/>
  <c r="S304" i="8"/>
  <c r="T304" i="8" s="1"/>
  <c r="S302" i="8"/>
  <c r="T302" i="8" s="1"/>
  <c r="S300" i="8"/>
  <c r="T300" i="8" s="1"/>
  <c r="S295" i="8"/>
  <c r="T295" i="8" s="1"/>
  <c r="S293" i="8"/>
  <c r="T293" i="8" s="1"/>
  <c r="S289" i="8"/>
  <c r="T289" i="8" s="1"/>
  <c r="S286" i="8"/>
  <c r="T286" i="8" s="1"/>
  <c r="S284" i="8"/>
  <c r="T284" i="8" s="1"/>
  <c r="S361" i="8"/>
  <c r="T361" i="8" s="1"/>
  <c r="S357" i="8"/>
  <c r="T357" i="8" s="1"/>
  <c r="S407" i="8"/>
  <c r="S376" i="8"/>
  <c r="T376" i="8" s="1"/>
  <c r="S369" i="8"/>
  <c r="T369" i="8" s="1"/>
  <c r="S364" i="8"/>
  <c r="T364" i="8" s="1"/>
  <c r="S362" i="8"/>
  <c r="T362" i="8" s="1"/>
  <c r="S360" i="8"/>
  <c r="T360" i="8" s="1"/>
  <c r="S358" i="8"/>
  <c r="T358" i="8" s="1"/>
  <c r="S356" i="8"/>
  <c r="T356" i="8" s="1"/>
  <c r="S353" i="8"/>
  <c r="T353" i="8" s="1"/>
  <c r="S312" i="8"/>
  <c r="S308" i="8"/>
  <c r="S349" i="8"/>
  <c r="T349" i="8" s="1"/>
  <c r="S344" i="8"/>
  <c r="T344" i="8" s="1"/>
  <c r="S342" i="8"/>
  <c r="T342" i="8" s="1"/>
  <c r="S340" i="8"/>
  <c r="T340" i="8" s="1"/>
  <c r="S338" i="8"/>
  <c r="T338" i="8" s="1"/>
  <c r="S336" i="8"/>
  <c r="T336" i="8" s="1"/>
  <c r="S334" i="8"/>
  <c r="T334" i="8" s="1"/>
  <c r="S332" i="8"/>
  <c r="T332" i="8" s="1"/>
  <c r="S330" i="8"/>
  <c r="T330" i="8" s="1"/>
  <c r="S328" i="8"/>
  <c r="T328" i="8" s="1"/>
  <c r="S324" i="8"/>
  <c r="T324" i="8" s="1"/>
  <c r="S322" i="8"/>
  <c r="T322" i="8" s="1"/>
  <c r="S318" i="8"/>
  <c r="T318" i="8" s="1"/>
  <c r="S313" i="8"/>
  <c r="S309" i="8"/>
  <c r="S303" i="8"/>
  <c r="T303" i="8" s="1"/>
  <c r="S301" i="8"/>
  <c r="T301" i="8" s="1"/>
  <c r="S299" i="8"/>
  <c r="T299" i="8" s="1"/>
  <c r="S294" i="8"/>
  <c r="T294" i="8" s="1"/>
  <c r="S292" i="8"/>
  <c r="T292" i="8" s="1"/>
  <c r="S288" i="8"/>
  <c r="T288" i="8" s="1"/>
  <c r="S285" i="8"/>
  <c r="T285" i="8" s="1"/>
  <c r="S283" i="8"/>
  <c r="S375" i="8"/>
  <c r="T375" i="8" s="1"/>
  <c r="S370" i="8"/>
  <c r="T370" i="8" s="1"/>
  <c r="S366" i="8"/>
  <c r="T366" i="8" s="1"/>
  <c r="S359" i="8"/>
  <c r="T359" i="8" s="1"/>
  <c r="S354" i="8"/>
  <c r="T354" i="8" s="1"/>
  <c r="S314" i="8"/>
  <c r="S363" i="8"/>
  <c r="T363" i="8" s="1"/>
  <c r="S310" i="8"/>
  <c r="S1338" i="8"/>
  <c r="T1338" i="8" s="1"/>
  <c r="S1339" i="8"/>
  <c r="T1339" i="8" s="1"/>
  <c r="S1337" i="8"/>
  <c r="S1282" i="8"/>
  <c r="AD326" i="5"/>
  <c r="AI326" i="5" s="1"/>
  <c r="AD304" i="5"/>
  <c r="AI304" i="5" s="1"/>
  <c r="AD315" i="5"/>
  <c r="S1009" i="8"/>
  <c r="S1103" i="8"/>
  <c r="S1270" i="8"/>
  <c r="S581" i="8"/>
  <c r="AD861" i="5"/>
  <c r="AL861" i="5" s="1"/>
  <c r="AD855" i="5"/>
  <c r="S996" i="8"/>
  <c r="S1091" i="8"/>
  <c r="S573" i="8"/>
  <c r="S663" i="8"/>
  <c r="T663" i="8" s="1"/>
  <c r="AD385" i="5"/>
  <c r="AD384" i="5"/>
  <c r="AD372" i="5"/>
  <c r="AK372" i="5" s="1"/>
  <c r="AD371" i="5"/>
  <c r="AK371" i="5" s="1"/>
  <c r="AD212" i="5"/>
  <c r="AD175" i="5"/>
  <c r="AD209" i="5"/>
  <c r="AD211" i="5"/>
  <c r="AD202" i="5"/>
  <c r="AD200" i="5"/>
  <c r="AD198" i="5"/>
  <c r="AD203" i="5"/>
  <c r="AD197" i="5"/>
  <c r="AD210" i="5"/>
  <c r="AD199" i="5"/>
  <c r="AD201" i="5"/>
  <c r="AD174" i="5"/>
  <c r="AD168" i="5"/>
  <c r="AD166" i="5"/>
  <c r="AD177" i="5"/>
  <c r="AD167" i="5"/>
  <c r="AD176" i="5"/>
  <c r="AD674" i="5"/>
  <c r="AD667" i="5"/>
  <c r="AD675" i="5"/>
  <c r="AD672" i="5"/>
  <c r="AD666" i="5"/>
  <c r="AD664" i="5"/>
  <c r="AD673" i="5"/>
  <c r="AD671" i="5"/>
  <c r="AD665" i="5"/>
  <c r="AD668" i="5"/>
  <c r="S2434" i="8"/>
  <c r="S1139" i="8"/>
  <c r="AD647" i="5"/>
  <c r="S32" i="8"/>
  <c r="AK801" i="5"/>
  <c r="AH801" i="5"/>
  <c r="AG801" i="5"/>
  <c r="AJ801" i="5"/>
  <c r="AK770" i="5"/>
  <c r="AJ770" i="5"/>
  <c r="AH770" i="5"/>
  <c r="AG770" i="5"/>
  <c r="AK742" i="5"/>
  <c r="AJ742" i="5"/>
  <c r="AH742" i="5"/>
  <c r="AG742" i="5"/>
  <c r="AK715" i="5"/>
  <c r="AJ715" i="5"/>
  <c r="AG715" i="5"/>
  <c r="AH715" i="5"/>
  <c r="AK642" i="5"/>
  <c r="AJ642" i="5"/>
  <c r="AG642" i="5"/>
  <c r="AH642" i="5"/>
  <c r="AK602" i="5"/>
  <c r="AJ602" i="5"/>
  <c r="AG602" i="5"/>
  <c r="AH602" i="5"/>
  <c r="AK548" i="5"/>
  <c r="AJ548" i="5"/>
  <c r="AG548" i="5"/>
  <c r="AH548" i="5"/>
  <c r="AK484" i="5"/>
  <c r="AJ484" i="5"/>
  <c r="AH484" i="5"/>
  <c r="AG484" i="5"/>
  <c r="AK452" i="5"/>
  <c r="AJ452" i="5"/>
  <c r="AH452" i="5"/>
  <c r="AG452" i="5"/>
  <c r="AK394" i="5"/>
  <c r="AJ394" i="5"/>
  <c r="AG394" i="5"/>
  <c r="AH394" i="5"/>
  <c r="AK340" i="5"/>
  <c r="AJ340" i="5"/>
  <c r="AH50" i="5"/>
  <c r="AK50" i="5"/>
  <c r="AG50" i="5"/>
  <c r="AJ50" i="5"/>
  <c r="AK869" i="5"/>
  <c r="AJ869" i="5"/>
  <c r="AH869" i="5"/>
  <c r="AG869" i="5"/>
  <c r="AK806" i="5"/>
  <c r="AJ806" i="5"/>
  <c r="AH806" i="5"/>
  <c r="AG806" i="5"/>
  <c r="AK795" i="5"/>
  <c r="AJ795" i="5"/>
  <c r="AH795" i="5"/>
  <c r="AG795" i="5"/>
  <c r="AK785" i="5"/>
  <c r="AJ785" i="5"/>
  <c r="AG785" i="5"/>
  <c r="AH785" i="5"/>
  <c r="AK775" i="5"/>
  <c r="AJ775" i="5"/>
  <c r="AG775" i="5"/>
  <c r="AH775" i="5"/>
  <c r="AK765" i="5"/>
  <c r="AJ765" i="5"/>
  <c r="AG765" i="5"/>
  <c r="AH765" i="5"/>
  <c r="AK755" i="5"/>
  <c r="AJ755" i="5"/>
  <c r="AG755" i="5"/>
  <c r="AH755" i="5"/>
  <c r="AK746" i="5"/>
  <c r="AJ746" i="5"/>
  <c r="AH746" i="5"/>
  <c r="AG746" i="5"/>
  <c r="AK738" i="5"/>
  <c r="AJ738" i="5"/>
  <c r="AH738" i="5"/>
  <c r="AG738" i="5"/>
  <c r="AK730" i="5"/>
  <c r="AJ730" i="5"/>
  <c r="AH730" i="5"/>
  <c r="AG730" i="5"/>
  <c r="AK720" i="5"/>
  <c r="AJ720" i="5"/>
  <c r="AG720" i="5"/>
  <c r="AH720" i="5"/>
  <c r="AK711" i="5"/>
  <c r="AJ711" i="5"/>
  <c r="AG711" i="5"/>
  <c r="AH711" i="5"/>
  <c r="AK703" i="5"/>
  <c r="AJ703" i="5"/>
  <c r="AG703" i="5"/>
  <c r="AH703" i="5"/>
  <c r="AK677" i="5"/>
  <c r="AJ677" i="5"/>
  <c r="AG677" i="5"/>
  <c r="AH677" i="5"/>
  <c r="AK651" i="5"/>
  <c r="AJ651" i="5"/>
  <c r="AG651" i="5"/>
  <c r="AH651" i="5"/>
  <c r="AK631" i="5"/>
  <c r="AJ631" i="5"/>
  <c r="AG631" i="5"/>
  <c r="AH631" i="5"/>
  <c r="AK611" i="5"/>
  <c r="AJ611" i="5"/>
  <c r="AG611" i="5"/>
  <c r="AH611" i="5"/>
  <c r="AK591" i="5"/>
  <c r="AJ591" i="5"/>
  <c r="AG591" i="5"/>
  <c r="AH591" i="5"/>
  <c r="AK571" i="5"/>
  <c r="AJ571" i="5"/>
  <c r="AG571" i="5"/>
  <c r="AH571" i="5"/>
  <c r="AK555" i="5"/>
  <c r="AJ555" i="5"/>
  <c r="AG555" i="5"/>
  <c r="AH555" i="5"/>
  <c r="AK539" i="5"/>
  <c r="AJ539" i="5"/>
  <c r="AG539" i="5"/>
  <c r="AH539" i="5"/>
  <c r="AK523" i="5"/>
  <c r="AJ523" i="5"/>
  <c r="AG523" i="5"/>
  <c r="AH523" i="5"/>
  <c r="AK508" i="5"/>
  <c r="AJ508" i="5"/>
  <c r="AG508" i="5"/>
  <c r="AH508" i="5"/>
  <c r="AK493" i="5"/>
  <c r="AJ493" i="5"/>
  <c r="AH493" i="5"/>
  <c r="AG493" i="5"/>
  <c r="AK477" i="5"/>
  <c r="AJ477" i="5"/>
  <c r="AH477" i="5"/>
  <c r="AG477" i="5"/>
  <c r="AK461" i="5"/>
  <c r="AJ461" i="5"/>
  <c r="AH461" i="5"/>
  <c r="AG461" i="5"/>
  <c r="AK445" i="5"/>
  <c r="AJ445" i="5"/>
  <c r="AH445" i="5"/>
  <c r="AG445" i="5"/>
  <c r="AK430" i="5"/>
  <c r="AJ430" i="5"/>
  <c r="AG430" i="5"/>
  <c r="AH430" i="5"/>
  <c r="AK396" i="5"/>
  <c r="AJ396" i="5"/>
  <c r="AH396" i="5"/>
  <c r="AG396" i="5"/>
  <c r="AK366" i="5"/>
  <c r="AJ366" i="5"/>
  <c r="AH366" i="5"/>
  <c r="AG366" i="5"/>
  <c r="AK360" i="5"/>
  <c r="AJ360" i="5"/>
  <c r="AH360" i="5"/>
  <c r="AG360" i="5"/>
  <c r="AJ331" i="5"/>
  <c r="AK331" i="5"/>
  <c r="AH289" i="5"/>
  <c r="AG289" i="5"/>
  <c r="AK289" i="5"/>
  <c r="AJ289" i="5"/>
  <c r="AJ23" i="5"/>
  <c r="AG23" i="5"/>
  <c r="AK23" i="5"/>
  <c r="AH23" i="5"/>
  <c r="AK780" i="5"/>
  <c r="AJ780" i="5"/>
  <c r="AG780" i="5"/>
  <c r="AH780" i="5"/>
  <c r="AK750" i="5"/>
  <c r="AJ750" i="5"/>
  <c r="AH750" i="5"/>
  <c r="AG750" i="5"/>
  <c r="AK725" i="5"/>
  <c r="AJ725" i="5"/>
  <c r="AG725" i="5"/>
  <c r="AH725" i="5"/>
  <c r="AK683" i="5"/>
  <c r="AJ683" i="5"/>
  <c r="AG683" i="5"/>
  <c r="AH683" i="5"/>
  <c r="AK622" i="5"/>
  <c r="AJ622" i="5"/>
  <c r="AG622" i="5"/>
  <c r="AH622" i="5"/>
  <c r="AK562" i="5"/>
  <c r="AJ562" i="5"/>
  <c r="AG562" i="5"/>
  <c r="AH562" i="5"/>
  <c r="AK515" i="5"/>
  <c r="AG515" i="5"/>
  <c r="AH515" i="5"/>
  <c r="AJ515" i="5"/>
  <c r="AK468" i="5"/>
  <c r="AJ468" i="5"/>
  <c r="AH468" i="5"/>
  <c r="AG468" i="5"/>
  <c r="AJ413" i="5"/>
  <c r="AH413" i="5"/>
  <c r="AK413" i="5"/>
  <c r="AG413" i="5"/>
  <c r="AK374" i="5"/>
  <c r="AJ374" i="5"/>
  <c r="AG374" i="5"/>
  <c r="AH374" i="5"/>
  <c r="AK362" i="5"/>
  <c r="AJ362" i="5"/>
  <c r="AH362" i="5"/>
  <c r="AG362" i="5"/>
  <c r="AJ299" i="5"/>
  <c r="AK299" i="5"/>
  <c r="AK805" i="5"/>
  <c r="AJ805" i="5"/>
  <c r="AG805" i="5"/>
  <c r="AH805" i="5"/>
  <c r="AJ784" i="5"/>
  <c r="AK784" i="5"/>
  <c r="AJ774" i="5"/>
  <c r="AK774" i="5"/>
  <c r="AK737" i="5"/>
  <c r="AJ737" i="5"/>
  <c r="AG710" i="5"/>
  <c r="AH710" i="5"/>
  <c r="AJ710" i="5"/>
  <c r="AK710" i="5"/>
  <c r="AJ702" i="5"/>
  <c r="AH702" i="5"/>
  <c r="AG702" i="5"/>
  <c r="AK702" i="5"/>
  <c r="AK676" i="5"/>
  <c r="AH676" i="5"/>
  <c r="AJ676" i="5"/>
  <c r="AG676" i="5"/>
  <c r="AJ570" i="5"/>
  <c r="AH570" i="5"/>
  <c r="AG570" i="5"/>
  <c r="AK570" i="5"/>
  <c r="AK554" i="5"/>
  <c r="AJ554" i="5"/>
  <c r="AJ538" i="5"/>
  <c r="AK538" i="5"/>
  <c r="AK522" i="5"/>
  <c r="AJ522" i="5"/>
  <c r="AG507" i="5"/>
  <c r="AK507" i="5"/>
  <c r="AH507" i="5"/>
  <c r="AJ507" i="5"/>
  <c r="AK476" i="5"/>
  <c r="AJ476" i="5"/>
  <c r="AK460" i="5"/>
  <c r="AJ460" i="5"/>
  <c r="AK444" i="5"/>
  <c r="AJ444" i="5"/>
  <c r="AJ429" i="5"/>
  <c r="AK429" i="5"/>
  <c r="AH429" i="5"/>
  <c r="AG429" i="5"/>
  <c r="AH395" i="5"/>
  <c r="AG395" i="5"/>
  <c r="AK387" i="5"/>
  <c r="AJ387" i="5"/>
  <c r="AH387" i="5"/>
  <c r="AG387" i="5"/>
  <c r="AK341" i="5"/>
  <c r="AJ341" i="5"/>
  <c r="AG341" i="5"/>
  <c r="AH341" i="5"/>
  <c r="AK322" i="5"/>
  <c r="AJ322" i="5"/>
  <c r="AH322" i="5"/>
  <c r="AG322" i="5"/>
  <c r="AK300" i="5"/>
  <c r="AJ300" i="5"/>
  <c r="AG300" i="5"/>
  <c r="AH300" i="5"/>
  <c r="AK286" i="5"/>
  <c r="AJ286" i="5"/>
  <c r="AH286" i="5"/>
  <c r="AG286" i="5"/>
  <c r="AK224" i="5"/>
  <c r="AJ224" i="5"/>
  <c r="AH224" i="5"/>
  <c r="AG224" i="5"/>
  <c r="AK214" i="5"/>
  <c r="AJ214" i="5"/>
  <c r="AH214" i="5"/>
  <c r="AG214" i="5"/>
  <c r="AK139" i="5"/>
  <c r="AJ139" i="5"/>
  <c r="AH139" i="5"/>
  <c r="AG139" i="5"/>
  <c r="AK128" i="5"/>
  <c r="AJ128" i="5"/>
  <c r="AH128" i="5"/>
  <c r="AG128" i="5"/>
  <c r="AK108" i="5"/>
  <c r="AJ108" i="5"/>
  <c r="AH108" i="5"/>
  <c r="AG108" i="5"/>
  <c r="AK89" i="5"/>
  <c r="AJ89" i="5"/>
  <c r="AH89" i="5"/>
  <c r="AG89" i="5"/>
  <c r="AK51" i="5"/>
  <c r="AJ51" i="5"/>
  <c r="AG51" i="5"/>
  <c r="AH51" i="5"/>
  <c r="AK18" i="5"/>
  <c r="AJ18" i="5"/>
  <c r="AH18" i="5"/>
  <c r="AG18" i="5"/>
  <c r="AK790" i="5"/>
  <c r="AJ790" i="5"/>
  <c r="AH790" i="5"/>
  <c r="AG790" i="5"/>
  <c r="AK760" i="5"/>
  <c r="AJ760" i="5"/>
  <c r="AG760" i="5"/>
  <c r="AH760" i="5"/>
  <c r="AK734" i="5"/>
  <c r="AJ734" i="5"/>
  <c r="AH734" i="5"/>
  <c r="AG734" i="5"/>
  <c r="AK707" i="5"/>
  <c r="AJ707" i="5"/>
  <c r="AG707" i="5"/>
  <c r="AH707" i="5"/>
  <c r="AK657" i="5"/>
  <c r="AJ657" i="5"/>
  <c r="AG657" i="5"/>
  <c r="AH657" i="5"/>
  <c r="AK582" i="5"/>
  <c r="AJ582" i="5"/>
  <c r="AG582" i="5"/>
  <c r="AH582" i="5"/>
  <c r="AK530" i="5"/>
  <c r="AJ530" i="5"/>
  <c r="AH530" i="5"/>
  <c r="AG530" i="5"/>
  <c r="AK500" i="5"/>
  <c r="AJ500" i="5"/>
  <c r="AG500" i="5"/>
  <c r="AH500" i="5"/>
  <c r="AJ437" i="5"/>
  <c r="AK437" i="5"/>
  <c r="AH437" i="5"/>
  <c r="AG437" i="5"/>
  <c r="AK321" i="5"/>
  <c r="AJ321" i="5"/>
  <c r="AK285" i="5"/>
  <c r="AJ285" i="5"/>
  <c r="AJ17" i="5"/>
  <c r="AG17" i="5"/>
  <c r="AH17" i="5"/>
  <c r="AK17" i="5"/>
  <c r="AK956" i="5"/>
  <c r="AJ956" i="5"/>
  <c r="AH956" i="5"/>
  <c r="AG956" i="5"/>
  <c r="AK865" i="5"/>
  <c r="AJ865" i="5"/>
  <c r="AH865" i="5"/>
  <c r="AG865" i="5"/>
  <c r="AJ789" i="5"/>
  <c r="AK789" i="5"/>
  <c r="AK779" i="5"/>
  <c r="AJ779" i="5"/>
  <c r="AJ769" i="5"/>
  <c r="AK769" i="5"/>
  <c r="AK741" i="5"/>
  <c r="AJ741" i="5"/>
  <c r="AG724" i="5"/>
  <c r="AK724" i="5"/>
  <c r="AJ724" i="5"/>
  <c r="AH724" i="5"/>
  <c r="AK706" i="5"/>
  <c r="AH706" i="5"/>
  <c r="AJ706" i="5"/>
  <c r="AG706" i="5"/>
  <c r="AH682" i="5"/>
  <c r="AK682" i="5"/>
  <c r="AG682" i="5"/>
  <c r="AJ682" i="5"/>
  <c r="AG561" i="5"/>
  <c r="AJ561" i="5"/>
  <c r="AH561" i="5"/>
  <c r="AK561" i="5"/>
  <c r="AK547" i="5"/>
  <c r="AJ547" i="5"/>
  <c r="AJ529" i="5"/>
  <c r="AK529" i="5"/>
  <c r="AG514" i="5"/>
  <c r="AH514" i="5"/>
  <c r="AK514" i="5"/>
  <c r="AJ514" i="5"/>
  <c r="AK483" i="5"/>
  <c r="AJ483" i="5"/>
  <c r="AK467" i="5"/>
  <c r="AJ467" i="5"/>
  <c r="AJ451" i="5"/>
  <c r="AK451" i="5"/>
  <c r="AK436" i="5"/>
  <c r="AJ436" i="5"/>
  <c r="AG436" i="5"/>
  <c r="AH436" i="5"/>
  <c r="AK412" i="5"/>
  <c r="AJ412" i="5"/>
  <c r="AK391" i="5"/>
  <c r="AJ391" i="5"/>
  <c r="AH391" i="5"/>
  <c r="AG391" i="5"/>
  <c r="AK379" i="5"/>
  <c r="AJ379" i="5"/>
  <c r="AH379" i="5"/>
  <c r="AG379" i="5"/>
  <c r="AK373" i="5"/>
  <c r="AJ373" i="5"/>
  <c r="AJ361" i="5"/>
  <c r="AH361" i="5"/>
  <c r="AK361" i="5"/>
  <c r="AG361" i="5"/>
  <c r="AK332" i="5"/>
  <c r="AJ332" i="5"/>
  <c r="AH332" i="5"/>
  <c r="AG332" i="5"/>
  <c r="AJ311" i="5"/>
  <c r="AH311" i="5"/>
  <c r="AK311" i="5"/>
  <c r="AG311" i="5"/>
  <c r="AK290" i="5"/>
  <c r="AJ290" i="5"/>
  <c r="AH290" i="5"/>
  <c r="AG290" i="5"/>
  <c r="AK218" i="5"/>
  <c r="AJ218" i="5"/>
  <c r="AH218" i="5"/>
  <c r="AG218" i="5"/>
  <c r="AK179" i="5"/>
  <c r="AJ179" i="5"/>
  <c r="AH179" i="5"/>
  <c r="AG179" i="5"/>
  <c r="AK133" i="5"/>
  <c r="AJ133" i="5"/>
  <c r="AH133" i="5"/>
  <c r="AG133" i="5"/>
  <c r="AK124" i="5"/>
  <c r="AJ124" i="5"/>
  <c r="AH124" i="5"/>
  <c r="AG124" i="5"/>
  <c r="AK95" i="5"/>
  <c r="AJ95" i="5"/>
  <c r="AH95" i="5"/>
  <c r="AG95" i="5"/>
  <c r="AK85" i="5"/>
  <c r="AJ85" i="5"/>
  <c r="AH85" i="5"/>
  <c r="AG85" i="5"/>
  <c r="AK24" i="5"/>
  <c r="AJ24" i="5"/>
  <c r="AH24" i="5"/>
  <c r="AG24" i="5"/>
  <c r="AD20" i="5"/>
  <c r="AD955" i="5"/>
  <c r="AD951" i="5"/>
  <c r="AE951" i="5" s="1"/>
  <c r="AD957" i="5"/>
  <c r="AD943" i="5"/>
  <c r="AD919" i="5"/>
  <c r="AF919" i="5" s="1"/>
  <c r="AE956" i="5"/>
  <c r="AI956" i="5"/>
  <c r="AF956" i="5"/>
  <c r="AD950" i="5"/>
  <c r="AD942" i="5"/>
  <c r="AD915" i="5"/>
  <c r="AI801" i="5"/>
  <c r="AL801" i="5"/>
  <c r="AF801" i="5"/>
  <c r="AE801" i="5"/>
  <c r="AF790" i="5"/>
  <c r="AI790" i="5"/>
  <c r="AL790" i="5"/>
  <c r="AE790" i="5"/>
  <c r="AF780" i="5"/>
  <c r="AI780" i="5"/>
  <c r="AL780" i="5"/>
  <c r="AE780" i="5"/>
  <c r="AF770" i="5"/>
  <c r="AI770" i="5"/>
  <c r="AL770" i="5"/>
  <c r="AE770" i="5"/>
  <c r="AF760" i="5"/>
  <c r="AI760" i="5"/>
  <c r="AL760" i="5"/>
  <c r="AE760" i="5"/>
  <c r="AF750" i="5"/>
  <c r="AI750" i="5"/>
  <c r="AL750" i="5"/>
  <c r="AE750" i="5"/>
  <c r="AF742" i="5"/>
  <c r="AI742" i="5"/>
  <c r="AL742" i="5"/>
  <c r="AE742" i="5"/>
  <c r="AF734" i="5"/>
  <c r="AI734" i="5"/>
  <c r="AL734" i="5"/>
  <c r="AE734" i="5"/>
  <c r="AF725" i="5"/>
  <c r="AI725" i="5"/>
  <c r="AL725" i="5"/>
  <c r="AE725" i="5"/>
  <c r="AF715" i="5"/>
  <c r="AI715" i="5"/>
  <c r="AL715" i="5"/>
  <c r="AE715" i="5"/>
  <c r="AF707" i="5"/>
  <c r="AI707" i="5"/>
  <c r="AL707" i="5"/>
  <c r="AE707" i="5"/>
  <c r="AF683" i="5"/>
  <c r="AI683" i="5"/>
  <c r="AL683" i="5"/>
  <c r="AE683" i="5"/>
  <c r="AF657" i="5"/>
  <c r="AI657" i="5"/>
  <c r="AL657" i="5"/>
  <c r="AE657" i="5"/>
  <c r="AI642" i="5"/>
  <c r="AL642" i="5"/>
  <c r="AE642" i="5"/>
  <c r="AF642" i="5"/>
  <c r="AF622" i="5"/>
  <c r="AI622" i="5"/>
  <c r="AL622" i="5"/>
  <c r="AE622" i="5"/>
  <c r="AF602" i="5"/>
  <c r="AI602" i="5"/>
  <c r="AL602" i="5"/>
  <c r="AE602" i="5"/>
  <c r="AF582" i="5"/>
  <c r="AI582" i="5"/>
  <c r="AL582" i="5"/>
  <c r="AE582" i="5"/>
  <c r="AF562" i="5"/>
  <c r="AI562" i="5"/>
  <c r="AL562" i="5"/>
  <c r="AE562" i="5"/>
  <c r="AF548" i="5"/>
  <c r="AI548" i="5"/>
  <c r="AL548" i="5"/>
  <c r="AE548" i="5"/>
  <c r="AF530" i="5"/>
  <c r="AI530" i="5"/>
  <c r="AL530" i="5"/>
  <c r="AE530" i="5"/>
  <c r="AL515" i="5"/>
  <c r="AE515" i="5"/>
  <c r="AF515" i="5"/>
  <c r="AI515" i="5"/>
  <c r="AI500" i="5"/>
  <c r="AL500" i="5"/>
  <c r="AE500" i="5"/>
  <c r="AF500" i="5"/>
  <c r="AI484" i="5"/>
  <c r="AL484" i="5"/>
  <c r="AE484" i="5"/>
  <c r="AF484" i="5"/>
  <c r="AI468" i="5"/>
  <c r="AL468" i="5"/>
  <c r="AE468" i="5"/>
  <c r="AF468" i="5"/>
  <c r="AI452" i="5"/>
  <c r="AL452" i="5"/>
  <c r="AE452" i="5"/>
  <c r="AF452" i="5"/>
  <c r="AI437" i="5"/>
  <c r="AL437" i="5"/>
  <c r="AE437" i="5"/>
  <c r="AF437" i="5"/>
  <c r="AI413" i="5"/>
  <c r="AL413" i="5"/>
  <c r="AE413" i="5"/>
  <c r="AF413" i="5"/>
  <c r="AI394" i="5"/>
  <c r="AL394" i="5"/>
  <c r="AE394" i="5"/>
  <c r="AF394" i="5"/>
  <c r="AI374" i="5"/>
  <c r="AL374" i="5"/>
  <c r="AE374" i="5"/>
  <c r="AF374" i="5"/>
  <c r="AI362" i="5"/>
  <c r="AL362" i="5"/>
  <c r="AE362" i="5"/>
  <c r="AF362" i="5"/>
  <c r="AD947" i="5"/>
  <c r="AD939" i="5"/>
  <c r="AD911" i="5"/>
  <c r="AL865" i="5"/>
  <c r="AE865" i="5"/>
  <c r="AI865" i="5"/>
  <c r="AI391" i="5"/>
  <c r="AL391" i="5"/>
  <c r="AE391" i="5"/>
  <c r="AF391" i="5"/>
  <c r="AI379" i="5"/>
  <c r="AL379" i="5"/>
  <c r="AE379" i="5"/>
  <c r="AF379" i="5"/>
  <c r="AE332" i="5"/>
  <c r="AF332" i="5"/>
  <c r="AI332" i="5"/>
  <c r="AL332" i="5"/>
  <c r="AL311" i="5"/>
  <c r="AE311" i="5"/>
  <c r="AF311" i="5"/>
  <c r="AI311" i="5"/>
  <c r="AL290" i="5"/>
  <c r="AE290" i="5"/>
  <c r="AF290" i="5"/>
  <c r="AI290" i="5"/>
  <c r="AL218" i="5"/>
  <c r="AE218" i="5"/>
  <c r="AF218" i="5"/>
  <c r="AI218" i="5"/>
  <c r="AF179" i="5"/>
  <c r="AI179" i="5"/>
  <c r="AE179" i="5"/>
  <c r="AL179" i="5"/>
  <c r="AF133" i="5"/>
  <c r="AI133" i="5"/>
  <c r="AE133" i="5"/>
  <c r="AL133" i="5"/>
  <c r="AE124" i="5"/>
  <c r="AF124" i="5"/>
  <c r="AI124" i="5"/>
  <c r="AL124" i="5"/>
  <c r="AE95" i="5"/>
  <c r="AF95" i="5"/>
  <c r="AI95" i="5"/>
  <c r="AL95" i="5"/>
  <c r="AE85" i="5"/>
  <c r="AF85" i="5"/>
  <c r="AI85" i="5"/>
  <c r="AL85" i="5"/>
  <c r="AE24" i="5"/>
  <c r="AF24" i="5"/>
  <c r="AI24" i="5"/>
  <c r="AL24" i="5"/>
  <c r="AD954" i="5"/>
  <c r="AD946" i="5"/>
  <c r="AD923" i="5"/>
  <c r="AI869" i="5"/>
  <c r="AE869" i="5"/>
  <c r="AF869" i="5"/>
  <c r="AL806" i="5"/>
  <c r="AE806" i="5"/>
  <c r="AI806" i="5"/>
  <c r="AF795" i="5"/>
  <c r="AI795" i="5"/>
  <c r="AL795" i="5"/>
  <c r="AE795" i="5"/>
  <c r="AF785" i="5"/>
  <c r="AI785" i="5"/>
  <c r="AL785" i="5"/>
  <c r="AE785" i="5"/>
  <c r="AF775" i="5"/>
  <c r="AI775" i="5"/>
  <c r="AL775" i="5"/>
  <c r="AE775" i="5"/>
  <c r="AF765" i="5"/>
  <c r="AI765" i="5"/>
  <c r="AL765" i="5"/>
  <c r="AE765" i="5"/>
  <c r="AF755" i="5"/>
  <c r="AI755" i="5"/>
  <c r="AL755" i="5"/>
  <c r="AE755" i="5"/>
  <c r="AF746" i="5"/>
  <c r="AI746" i="5"/>
  <c r="AL746" i="5"/>
  <c r="AE746" i="5"/>
  <c r="AF738" i="5"/>
  <c r="AI738" i="5"/>
  <c r="AL738" i="5"/>
  <c r="AE738" i="5"/>
  <c r="AF730" i="5"/>
  <c r="AI730" i="5"/>
  <c r="AL730" i="5"/>
  <c r="AE730" i="5"/>
  <c r="AF720" i="5"/>
  <c r="AI720" i="5"/>
  <c r="AL720" i="5"/>
  <c r="AE720" i="5"/>
  <c r="AF711" i="5"/>
  <c r="AI711" i="5"/>
  <c r="AL711" i="5"/>
  <c r="AE711" i="5"/>
  <c r="AF703" i="5"/>
  <c r="AI703" i="5"/>
  <c r="AL703" i="5"/>
  <c r="AE703" i="5"/>
  <c r="AF677" i="5"/>
  <c r="AI677" i="5"/>
  <c r="AL677" i="5"/>
  <c r="AE677" i="5"/>
  <c r="AF651" i="5"/>
  <c r="AI651" i="5"/>
  <c r="AL651" i="5"/>
  <c r="AE651" i="5"/>
  <c r="AI631" i="5"/>
  <c r="AL631" i="5"/>
  <c r="AE631" i="5"/>
  <c r="AF631" i="5"/>
  <c r="AF611" i="5"/>
  <c r="AI611" i="5"/>
  <c r="AL611" i="5"/>
  <c r="AE611" i="5"/>
  <c r="AF591" i="5"/>
  <c r="AI591" i="5"/>
  <c r="AL591" i="5"/>
  <c r="AE591" i="5"/>
  <c r="AF571" i="5"/>
  <c r="AI571" i="5"/>
  <c r="AL571" i="5"/>
  <c r="AE571" i="5"/>
  <c r="AF555" i="5"/>
  <c r="AI555" i="5"/>
  <c r="AL555" i="5"/>
  <c r="AE555" i="5"/>
  <c r="AF539" i="5"/>
  <c r="AI539" i="5"/>
  <c r="AL539" i="5"/>
  <c r="AE539" i="5"/>
  <c r="AF523" i="5"/>
  <c r="AI523" i="5"/>
  <c r="AL523" i="5"/>
  <c r="AE523" i="5"/>
  <c r="AI508" i="5"/>
  <c r="AL508" i="5"/>
  <c r="AE508" i="5"/>
  <c r="AF508" i="5"/>
  <c r="AI493" i="5"/>
  <c r="AL493" i="5"/>
  <c r="AE493" i="5"/>
  <c r="AF493" i="5"/>
  <c r="AI477" i="5"/>
  <c r="AL477" i="5"/>
  <c r="AE477" i="5"/>
  <c r="AF477" i="5"/>
  <c r="AI461" i="5"/>
  <c r="AL461" i="5"/>
  <c r="AE461" i="5"/>
  <c r="AF461" i="5"/>
  <c r="AI445" i="5"/>
  <c r="AL445" i="5"/>
  <c r="AE445" i="5"/>
  <c r="AF445" i="5"/>
  <c r="AI430" i="5"/>
  <c r="AL430" i="5"/>
  <c r="AE430" i="5"/>
  <c r="AF430" i="5"/>
  <c r="AI396" i="5"/>
  <c r="AL396" i="5"/>
  <c r="AE396" i="5"/>
  <c r="AF396" i="5"/>
  <c r="AI366" i="5"/>
  <c r="AL366" i="5"/>
  <c r="AE366" i="5"/>
  <c r="AF366" i="5"/>
  <c r="AI360" i="5"/>
  <c r="AL360" i="5"/>
  <c r="AE360" i="5"/>
  <c r="AF360" i="5"/>
  <c r="AL805" i="5"/>
  <c r="AE805" i="5"/>
  <c r="AF805" i="5"/>
  <c r="AI805" i="5"/>
  <c r="AI387" i="5"/>
  <c r="AL387" i="5"/>
  <c r="AE387" i="5"/>
  <c r="AF387" i="5"/>
  <c r="AE341" i="5"/>
  <c r="AF341" i="5"/>
  <c r="AI341" i="5"/>
  <c r="AL341" i="5"/>
  <c r="AE322" i="5"/>
  <c r="AF322" i="5"/>
  <c r="AI322" i="5"/>
  <c r="AL322" i="5"/>
  <c r="AL300" i="5"/>
  <c r="AE300" i="5"/>
  <c r="AF300" i="5"/>
  <c r="AI300" i="5"/>
  <c r="AL286" i="5"/>
  <c r="AE286" i="5"/>
  <c r="AF286" i="5"/>
  <c r="AI286" i="5"/>
  <c r="AL224" i="5"/>
  <c r="AE224" i="5"/>
  <c r="AF224" i="5"/>
  <c r="AI224" i="5"/>
  <c r="AL214" i="5"/>
  <c r="AE214" i="5"/>
  <c r="AF214" i="5"/>
  <c r="AI214" i="5"/>
  <c r="AF139" i="5"/>
  <c r="AI139" i="5"/>
  <c r="AE139" i="5"/>
  <c r="AL139" i="5"/>
  <c r="AE128" i="5"/>
  <c r="AF128" i="5"/>
  <c r="AI128" i="5"/>
  <c r="AL128" i="5"/>
  <c r="AE108" i="5"/>
  <c r="AF108" i="5"/>
  <c r="AI108" i="5"/>
  <c r="AL108" i="5"/>
  <c r="AE89" i="5"/>
  <c r="AF89" i="5"/>
  <c r="AI89" i="5"/>
  <c r="AL89" i="5"/>
  <c r="AE51" i="5"/>
  <c r="AF51" i="5"/>
  <c r="AI51" i="5"/>
  <c r="AL51" i="5"/>
  <c r="AE18" i="5"/>
  <c r="AF18" i="5"/>
  <c r="AI18" i="5"/>
  <c r="AL18" i="5"/>
  <c r="S33" i="8"/>
  <c r="S37" i="8"/>
  <c r="T37" i="8" s="1"/>
  <c r="S42" i="8"/>
  <c r="S50" i="8"/>
  <c r="S58" i="8"/>
  <c r="S62" i="8"/>
  <c r="S70" i="8"/>
  <c r="T70" i="8" s="1"/>
  <c r="S78" i="8"/>
  <c r="T78" i="8" s="1"/>
  <c r="S82" i="8"/>
  <c r="T82" i="8" s="1"/>
  <c r="S86" i="8"/>
  <c r="T86" i="8" s="1"/>
  <c r="S90" i="8"/>
  <c r="T90" i="8" s="1"/>
  <c r="S98" i="8"/>
  <c r="T98" i="8" s="1"/>
  <c r="S102" i="8"/>
  <c r="T102" i="8" s="1"/>
  <c r="S106" i="8"/>
  <c r="T106" i="8" s="1"/>
  <c r="S110" i="8"/>
  <c r="T110" i="8" s="1"/>
  <c r="S118" i="8"/>
  <c r="T118" i="8" s="1"/>
  <c r="S126" i="8"/>
  <c r="T126" i="8" s="1"/>
  <c r="S130" i="8"/>
  <c r="T130" i="8" s="1"/>
  <c r="S134" i="8"/>
  <c r="T134" i="8" s="1"/>
  <c r="S138" i="8"/>
  <c r="S142" i="8"/>
  <c r="S154" i="8"/>
  <c r="T154" i="8" s="1"/>
  <c r="S158" i="8"/>
  <c r="T158" i="8" s="1"/>
  <c r="S162" i="8"/>
  <c r="T162" i="8" s="1"/>
  <c r="S166" i="8"/>
  <c r="T166" i="8" s="1"/>
  <c r="S170" i="8"/>
  <c r="T170" i="8" s="1"/>
  <c r="S174" i="8"/>
  <c r="T174" i="8" s="1"/>
  <c r="S182" i="8"/>
  <c r="T182" i="8" s="1"/>
  <c r="S186" i="8"/>
  <c r="T186" i="8" s="1"/>
  <c r="S190" i="8"/>
  <c r="T190" i="8" s="1"/>
  <c r="S194" i="8"/>
  <c r="T194" i="8" s="1"/>
  <c r="S202" i="8"/>
  <c r="T202" i="8" s="1"/>
  <c r="S210" i="8"/>
  <c r="T210" i="8" s="1"/>
  <c r="S215" i="8"/>
  <c r="T215" i="8" s="1"/>
  <c r="S219" i="8"/>
  <c r="T219" i="8" s="1"/>
  <c r="S223" i="8"/>
  <c r="S227" i="8"/>
  <c r="S235" i="8"/>
  <c r="T235" i="8" s="1"/>
  <c r="S239" i="8"/>
  <c r="T239" i="8" s="1"/>
  <c r="S243" i="8"/>
  <c r="T243" i="8" s="1"/>
  <c r="S247" i="8"/>
  <c r="T247" i="8" s="1"/>
  <c r="S251" i="8"/>
  <c r="T251" i="8" s="1"/>
  <c r="S255" i="8"/>
  <c r="T255" i="8" s="1"/>
  <c r="S259" i="8"/>
  <c r="T259" i="8" s="1"/>
  <c r="S263" i="8"/>
  <c r="T263" i="8" s="1"/>
  <c r="S267" i="8"/>
  <c r="T267" i="8" s="1"/>
  <c r="S271" i="8"/>
  <c r="T271" i="8" s="1"/>
  <c r="S275" i="8"/>
  <c r="T275" i="8" s="1"/>
  <c r="S279" i="8"/>
  <c r="T279" i="8" s="1"/>
  <c r="S552" i="8"/>
  <c r="S557" i="8"/>
  <c r="S561" i="8"/>
  <c r="S570" i="8"/>
  <c r="S579" i="8"/>
  <c r="S584" i="8"/>
  <c r="S588" i="8"/>
  <c r="S592" i="8"/>
  <c r="S600" i="8"/>
  <c r="S604" i="8"/>
  <c r="S608" i="8"/>
  <c r="S612" i="8"/>
  <c r="S616" i="8"/>
  <c r="S620" i="8"/>
  <c r="S624" i="8"/>
  <c r="S628" i="8"/>
  <c r="S633" i="8"/>
  <c r="S644" i="8"/>
  <c r="T644" i="8" s="1"/>
  <c r="S652" i="8"/>
  <c r="T652" i="8" s="1"/>
  <c r="S657" i="8"/>
  <c r="T657" i="8" s="1"/>
  <c r="S661" i="8"/>
  <c r="T661" i="8" s="1"/>
  <c r="S666" i="8"/>
  <c r="S670" i="8"/>
  <c r="S682" i="8"/>
  <c r="T682" i="8" s="1"/>
  <c r="S686" i="8"/>
  <c r="T686" i="8" s="1"/>
  <c r="S690" i="8"/>
  <c r="T690" i="8" s="1"/>
  <c r="S34" i="8"/>
  <c r="S43" i="8"/>
  <c r="S47" i="8"/>
  <c r="S51" i="8"/>
  <c r="S55" i="8"/>
  <c r="S59" i="8"/>
  <c r="S71" i="8"/>
  <c r="T71" i="8" s="1"/>
  <c r="S75" i="8"/>
  <c r="T75" i="8" s="1"/>
  <c r="S79" i="8"/>
  <c r="T79" i="8" s="1"/>
  <c r="S83" i="8"/>
  <c r="T83" i="8" s="1"/>
  <c r="S87" i="8"/>
  <c r="T87" i="8" s="1"/>
  <c r="S91" i="8"/>
  <c r="T91" i="8" s="1"/>
  <c r="S99" i="8"/>
  <c r="T99" i="8" s="1"/>
  <c r="S103" i="8"/>
  <c r="T103" i="8" s="1"/>
  <c r="S107" i="8"/>
  <c r="T107" i="8" s="1"/>
  <c r="S111" i="8"/>
  <c r="T111" i="8" s="1"/>
  <c r="S119" i="8"/>
  <c r="T119" i="8" s="1"/>
  <c r="S127" i="8"/>
  <c r="T127" i="8" s="1"/>
  <c r="S131" i="8"/>
  <c r="T131" i="8" s="1"/>
  <c r="S135" i="8"/>
  <c r="T135" i="8" s="1"/>
  <c r="S139" i="8"/>
  <c r="S143" i="8"/>
  <c r="S151" i="8"/>
  <c r="T151" i="8" s="1"/>
  <c r="S155" i="8"/>
  <c r="T155" i="8" s="1"/>
  <c r="S159" i="8"/>
  <c r="T159" i="8" s="1"/>
  <c r="S163" i="8"/>
  <c r="T163" i="8" s="1"/>
  <c r="S167" i="8"/>
  <c r="T167" i="8" s="1"/>
  <c r="S171" i="8"/>
  <c r="T171" i="8" s="1"/>
  <c r="S175" i="8"/>
  <c r="T175" i="8" s="1"/>
  <c r="S179" i="8"/>
  <c r="T179" i="8" s="1"/>
  <c r="S183" i="8"/>
  <c r="T183" i="8" s="1"/>
  <c r="S187" i="8"/>
  <c r="T187" i="8" s="1"/>
  <c r="S191" i="8"/>
  <c r="T191" i="8" s="1"/>
  <c r="S195" i="8"/>
  <c r="T195" i="8" s="1"/>
  <c r="S199" i="8"/>
  <c r="S203" i="8"/>
  <c r="T203" i="8" s="1"/>
  <c r="S207" i="8"/>
  <c r="T207" i="8" s="1"/>
  <c r="S216" i="8"/>
  <c r="T216" i="8" s="1"/>
  <c r="S224" i="8"/>
  <c r="S228" i="8"/>
  <c r="S232" i="8"/>
  <c r="T232" i="8" s="1"/>
  <c r="S236" i="8"/>
  <c r="T236" i="8" s="1"/>
  <c r="S244" i="8"/>
  <c r="T244" i="8" s="1"/>
  <c r="S248" i="8"/>
  <c r="T248" i="8" s="1"/>
  <c r="S252" i="8"/>
  <c r="T252" i="8" s="1"/>
  <c r="S256" i="8"/>
  <c r="T256" i="8" s="1"/>
  <c r="S260" i="8"/>
  <c r="T260" i="8" s="1"/>
  <c r="S264" i="8"/>
  <c r="T264" i="8" s="1"/>
  <c r="S268" i="8"/>
  <c r="T268" i="8" s="1"/>
  <c r="S272" i="8"/>
  <c r="T272" i="8" s="1"/>
  <c r="S276" i="8"/>
  <c r="T276" i="8" s="1"/>
  <c r="S280" i="8"/>
  <c r="S553" i="8"/>
  <c r="S558" i="8"/>
  <c r="S562" i="8"/>
  <c r="S571" i="8"/>
  <c r="S580" i="8"/>
  <c r="S585" i="8"/>
  <c r="S593" i="8"/>
  <c r="S601" i="8"/>
  <c r="S605" i="8"/>
  <c r="S609" i="8"/>
  <c r="S613" i="8"/>
  <c r="S617" i="8"/>
  <c r="S621" i="8"/>
  <c r="S625" i="8"/>
  <c r="S629" i="8"/>
  <c r="S634" i="8"/>
  <c r="S637" i="8"/>
  <c r="S645" i="8"/>
  <c r="T645" i="8" s="1"/>
  <c r="S653" i="8"/>
  <c r="T653" i="8" s="1"/>
  <c r="S658" i="8"/>
  <c r="T658" i="8" s="1"/>
  <c r="S662" i="8"/>
  <c r="T662" i="8" s="1"/>
  <c r="S667" i="8"/>
  <c r="S671" i="8"/>
  <c r="S679" i="8"/>
  <c r="T679" i="8" s="1"/>
  <c r="S683" i="8"/>
  <c r="T683" i="8" s="1"/>
  <c r="S687" i="8"/>
  <c r="T687" i="8" s="1"/>
  <c r="S691" i="8"/>
  <c r="T691" i="8" s="1"/>
  <c r="S695" i="8"/>
  <c r="T695" i="8" s="1"/>
  <c r="S699" i="8"/>
  <c r="T699" i="8" s="1"/>
  <c r="S703" i="8"/>
  <c r="T703" i="8" s="1"/>
  <c r="S707" i="8"/>
  <c r="T707" i="8" s="1"/>
  <c r="S711" i="8"/>
  <c r="T711" i="8" s="1"/>
  <c r="S715" i="8"/>
  <c r="T715" i="8" s="1"/>
  <c r="S35" i="8"/>
  <c r="S44" i="8"/>
  <c r="S48" i="8"/>
  <c r="S52" i="8"/>
  <c r="S56" i="8"/>
  <c r="S60" i="8"/>
  <c r="S68" i="8"/>
  <c r="T68" i="8" s="1"/>
  <c r="S72" i="8"/>
  <c r="T72" i="8" s="1"/>
  <c r="S76" i="8"/>
  <c r="T76" i="8" s="1"/>
  <c r="S80" i="8"/>
  <c r="T80" i="8" s="1"/>
  <c r="S84" i="8"/>
  <c r="T84" i="8" s="1"/>
  <c r="S88" i="8"/>
  <c r="T88" i="8" s="1"/>
  <c r="S92" i="8"/>
  <c r="T92" i="8" s="1"/>
  <c r="S96" i="8"/>
  <c r="T96" i="8" s="1"/>
  <c r="S100" i="8"/>
  <c r="T100" i="8" s="1"/>
  <c r="S104" i="8"/>
  <c r="T104" i="8" s="1"/>
  <c r="S108" i="8"/>
  <c r="T108" i="8" s="1"/>
  <c r="S112" i="8"/>
  <c r="T112" i="8" s="1"/>
  <c r="S116" i="8"/>
  <c r="S120" i="8"/>
  <c r="T120" i="8" s="1"/>
  <c r="S124" i="8"/>
  <c r="T124" i="8" s="1"/>
  <c r="S132" i="8"/>
  <c r="T132" i="8" s="1"/>
  <c r="S140" i="8"/>
  <c r="S144" i="8"/>
  <c r="S148" i="8"/>
  <c r="T148" i="8" s="1"/>
  <c r="S152" i="8"/>
  <c r="T152" i="8" s="1"/>
  <c r="S160" i="8"/>
  <c r="T160" i="8" s="1"/>
  <c r="S164" i="8"/>
  <c r="T164" i="8" s="1"/>
  <c r="S168" i="8"/>
  <c r="T168" i="8" s="1"/>
  <c r="S172" i="8"/>
  <c r="T172" i="8" s="1"/>
  <c r="S176" i="8"/>
  <c r="T176" i="8" s="1"/>
  <c r="S180" i="8"/>
  <c r="T180" i="8" s="1"/>
  <c r="S184" i="8"/>
  <c r="T184" i="8" s="1"/>
  <c r="S188" i="8"/>
  <c r="T188" i="8" s="1"/>
  <c r="S192" i="8"/>
  <c r="T192" i="8" s="1"/>
  <c r="S196" i="8"/>
  <c r="S200" i="8"/>
  <c r="T200" i="8" s="1"/>
  <c r="S204" i="8"/>
  <c r="T204" i="8" s="1"/>
  <c r="S208" i="8"/>
  <c r="T208" i="8" s="1"/>
  <c r="S217" i="8"/>
  <c r="T217" i="8" s="1"/>
  <c r="S225" i="8"/>
  <c r="S229" i="8"/>
  <c r="S237" i="8"/>
  <c r="T237" i="8" s="1"/>
  <c r="S245" i="8"/>
  <c r="T245" i="8" s="1"/>
  <c r="S249" i="8"/>
  <c r="T249" i="8" s="1"/>
  <c r="S253" i="8"/>
  <c r="T253" i="8" s="1"/>
  <c r="S257" i="8"/>
  <c r="T257" i="8" s="1"/>
  <c r="S265" i="8"/>
  <c r="T265" i="8" s="1"/>
  <c r="S269" i="8"/>
  <c r="T269" i="8" s="1"/>
  <c r="S273" i="8"/>
  <c r="T273" i="8" s="1"/>
  <c r="S277" i="8"/>
  <c r="T277" i="8" s="1"/>
  <c r="S554" i="8"/>
  <c r="S563" i="8"/>
  <c r="S568" i="8"/>
  <c r="S572" i="8"/>
  <c r="S577" i="8"/>
  <c r="S582" i="8"/>
  <c r="S594" i="8"/>
  <c r="S598" i="8"/>
  <c r="S602" i="8"/>
  <c r="S606" i="8"/>
  <c r="S610" i="8"/>
  <c r="S614" i="8"/>
  <c r="S622" i="8"/>
  <c r="S626" i="8"/>
  <c r="S630" i="8"/>
  <c r="S635" i="8"/>
  <c r="S638" i="8"/>
  <c r="S642" i="8"/>
  <c r="S646" i="8"/>
  <c r="T646" i="8" s="1"/>
  <c r="S650" i="8"/>
  <c r="T650" i="8" s="1"/>
  <c r="S659" i="8"/>
  <c r="T659" i="8" s="1"/>
  <c r="S668" i="8"/>
  <c r="S672" i="8"/>
  <c r="S676" i="8"/>
  <c r="T676" i="8" s="1"/>
  <c r="S680" i="8"/>
  <c r="T680" i="8" s="1"/>
  <c r="S688" i="8"/>
  <c r="T688" i="8" s="1"/>
  <c r="S692" i="8"/>
  <c r="T692" i="8" s="1"/>
  <c r="S36" i="8"/>
  <c r="T36" i="8" s="1"/>
  <c r="S69" i="8"/>
  <c r="T69" i="8" s="1"/>
  <c r="S81" i="8"/>
  <c r="T81" i="8" s="1"/>
  <c r="S105" i="8"/>
  <c r="T105" i="8" s="1"/>
  <c r="S133" i="8"/>
  <c r="T133" i="8" s="1"/>
  <c r="S145" i="8"/>
  <c r="S161" i="8"/>
  <c r="T161" i="8" s="1"/>
  <c r="S189" i="8"/>
  <c r="T189" i="8" s="1"/>
  <c r="S201" i="8"/>
  <c r="T201" i="8" s="1"/>
  <c r="S238" i="8"/>
  <c r="T238" i="8" s="1"/>
  <c r="S246" i="8"/>
  <c r="T246" i="8" s="1"/>
  <c r="S274" i="8"/>
  <c r="T274" i="8" s="1"/>
  <c r="S555" i="8"/>
  <c r="S591" i="8"/>
  <c r="S599" i="8"/>
  <c r="S615" i="8"/>
  <c r="S627" i="8"/>
  <c r="S669" i="8"/>
  <c r="S696" i="8"/>
  <c r="T696" i="8" s="1"/>
  <c r="S701" i="8"/>
  <c r="T701" i="8" s="1"/>
  <c r="S712" i="8"/>
  <c r="T712" i="8" s="1"/>
  <c r="S717" i="8"/>
  <c r="T717" i="8" s="1"/>
  <c r="S721" i="8"/>
  <c r="T721" i="8" s="1"/>
  <c r="S729" i="8"/>
  <c r="S738" i="8"/>
  <c r="S766" i="8"/>
  <c r="S770" i="8"/>
  <c r="S775" i="8"/>
  <c r="S783" i="8"/>
  <c r="S787" i="8"/>
  <c r="S795" i="8"/>
  <c r="S803" i="8"/>
  <c r="S807" i="8"/>
  <c r="S811" i="8"/>
  <c r="S815" i="8"/>
  <c r="S827" i="8"/>
  <c r="S831" i="8"/>
  <c r="S835" i="8"/>
  <c r="S865" i="8"/>
  <c r="S874" i="8"/>
  <c r="S878" i="8"/>
  <c r="S882" i="8"/>
  <c r="S887" i="8"/>
  <c r="S895" i="8"/>
  <c r="S899" i="8"/>
  <c r="S907" i="8"/>
  <c r="S915" i="8"/>
  <c r="S919" i="8"/>
  <c r="S923" i="8"/>
  <c r="S927" i="8"/>
  <c r="S940" i="8"/>
  <c r="S944" i="8"/>
  <c r="S57" i="8"/>
  <c r="S65" i="8"/>
  <c r="S85" i="8"/>
  <c r="T85" i="8" s="1"/>
  <c r="S109" i="8"/>
  <c r="T109" i="8" s="1"/>
  <c r="S117" i="8"/>
  <c r="T117" i="8" s="1"/>
  <c r="S125" i="8"/>
  <c r="T125" i="8" s="1"/>
  <c r="S153" i="8"/>
  <c r="T153" i="8" s="1"/>
  <c r="S165" i="8"/>
  <c r="T165" i="8" s="1"/>
  <c r="S193" i="8"/>
  <c r="T193" i="8" s="1"/>
  <c r="S250" i="8"/>
  <c r="T250" i="8" s="1"/>
  <c r="S278" i="8"/>
  <c r="T278" i="8" s="1"/>
  <c r="S595" i="8"/>
  <c r="S603" i="8"/>
  <c r="S632" i="8"/>
  <c r="S660" i="8"/>
  <c r="T660" i="8" s="1"/>
  <c r="S673" i="8"/>
  <c r="S689" i="8"/>
  <c r="T689" i="8" s="1"/>
  <c r="S697" i="8"/>
  <c r="T697" i="8" s="1"/>
  <c r="S702" i="8"/>
  <c r="T702" i="8" s="1"/>
  <c r="S708" i="8"/>
  <c r="T708" i="8" s="1"/>
  <c r="S713" i="8"/>
  <c r="T713" i="8" s="1"/>
  <c r="S718" i="8"/>
  <c r="T718" i="8" s="1"/>
  <c r="S722" i="8"/>
  <c r="T722" i="8" s="1"/>
  <c r="S730" i="8"/>
  <c r="S739" i="8"/>
  <c r="S767" i="8"/>
  <c r="S771" i="8"/>
  <c r="S776" i="8"/>
  <c r="S780" i="8"/>
  <c r="S784" i="8"/>
  <c r="S796" i="8"/>
  <c r="S800" i="8"/>
  <c r="S804" i="8"/>
  <c r="S808" i="8"/>
  <c r="S812" i="8"/>
  <c r="S816" i="8"/>
  <c r="S828" i="8"/>
  <c r="S832" i="8"/>
  <c r="S837" i="8"/>
  <c r="S844" i="8"/>
  <c r="S866" i="8"/>
  <c r="S875" i="8"/>
  <c r="S879" i="8"/>
  <c r="S883" i="8"/>
  <c r="S888" i="8"/>
  <c r="S892" i="8"/>
  <c r="S896" i="8"/>
  <c r="S908" i="8"/>
  <c r="S912" i="8"/>
  <c r="S916" i="8"/>
  <c r="S920" i="8"/>
  <c r="S924" i="8"/>
  <c r="S941" i="8"/>
  <c r="S945" i="8"/>
  <c r="S950" i="8"/>
  <c r="S959" i="8"/>
  <c r="S978" i="8"/>
  <c r="S987" i="8"/>
  <c r="S991" i="8"/>
  <c r="S995" i="8"/>
  <c r="S1000" i="8"/>
  <c r="S1005" i="8"/>
  <c r="S1010" i="8"/>
  <c r="S1022" i="8"/>
  <c r="S1026" i="8"/>
  <c r="S1031" i="8"/>
  <c r="S1035" i="8"/>
  <c r="S1039" i="8"/>
  <c r="T1039" i="8" s="1"/>
  <c r="S1043" i="8"/>
  <c r="S49" i="8"/>
  <c r="S61" i="8"/>
  <c r="S89" i="8"/>
  <c r="T89" i="8" s="1"/>
  <c r="S97" i="8"/>
  <c r="T97" i="8" s="1"/>
  <c r="S113" i="8"/>
  <c r="S121" i="8"/>
  <c r="T121" i="8" s="1"/>
  <c r="S169" i="8"/>
  <c r="T169" i="8" s="1"/>
  <c r="S181" i="8"/>
  <c r="T181" i="8" s="1"/>
  <c r="S214" i="8"/>
  <c r="T214" i="8" s="1"/>
  <c r="S222" i="8"/>
  <c r="S254" i="8"/>
  <c r="T254" i="8" s="1"/>
  <c r="S266" i="8"/>
  <c r="T266" i="8" s="1"/>
  <c r="S569" i="8"/>
  <c r="S578" i="8"/>
  <c r="S607" i="8"/>
  <c r="S636" i="8"/>
  <c r="S643" i="8"/>
  <c r="T643" i="8" s="1"/>
  <c r="S651" i="8"/>
  <c r="T651" i="8" s="1"/>
  <c r="S681" i="8"/>
  <c r="T681" i="8" s="1"/>
  <c r="S693" i="8"/>
  <c r="T693" i="8" s="1"/>
  <c r="S698" i="8"/>
  <c r="T698" i="8" s="1"/>
  <c r="S704" i="8"/>
  <c r="T704" i="8" s="1"/>
  <c r="S709" i="8"/>
  <c r="T709" i="8" s="1"/>
  <c r="S714" i="8"/>
  <c r="T714" i="8" s="1"/>
  <c r="S719" i="8"/>
  <c r="T719" i="8" s="1"/>
  <c r="S723" i="8"/>
  <c r="T723" i="8" s="1"/>
  <c r="S727" i="8"/>
  <c r="S732" i="8"/>
  <c r="S736" i="8"/>
  <c r="S768" i="8"/>
  <c r="S777" i="8"/>
  <c r="S781" i="8"/>
  <c r="S785" i="8"/>
  <c r="S793" i="8"/>
  <c r="S797" i="8"/>
  <c r="S801" i="8"/>
  <c r="S805" i="8"/>
  <c r="S809" i="8"/>
  <c r="S813" i="8"/>
  <c r="S820" i="8"/>
  <c r="S824" i="8"/>
  <c r="S829" i="8"/>
  <c r="S833" i="8"/>
  <c r="S838" i="8"/>
  <c r="S845" i="8"/>
  <c r="S863" i="8"/>
  <c r="S868" i="8"/>
  <c r="S872" i="8"/>
  <c r="S880" i="8"/>
  <c r="S889" i="8"/>
  <c r="S893" i="8"/>
  <c r="S897" i="8"/>
  <c r="S905" i="8"/>
  <c r="S909" i="8"/>
  <c r="S913" i="8"/>
  <c r="S917" i="8"/>
  <c r="S921" i="8"/>
  <c r="S925" i="8"/>
  <c r="S932" i="8"/>
  <c r="S937" i="8"/>
  <c r="S942" i="8"/>
  <c r="S946" i="8"/>
  <c r="S953" i="8"/>
  <c r="S960" i="8"/>
  <c r="S975" i="8"/>
  <c r="S980" i="8"/>
  <c r="S984" i="8"/>
  <c r="S992" i="8"/>
  <c r="S1002" i="8"/>
  <c r="S1006" i="8"/>
  <c r="S1011" i="8"/>
  <c r="S1019" i="8"/>
  <c r="S1023" i="8"/>
  <c r="S1027" i="8"/>
  <c r="S1032" i="8"/>
  <c r="S1036" i="8"/>
  <c r="S1040" i="8"/>
  <c r="S1044" i="8"/>
  <c r="S1052" i="8"/>
  <c r="S1056" i="8"/>
  <c r="S1061" i="8"/>
  <c r="S1065" i="8"/>
  <c r="S1068" i="8"/>
  <c r="S1072" i="8"/>
  <c r="S1076" i="8"/>
  <c r="S185" i="8"/>
  <c r="T185" i="8" s="1"/>
  <c r="S218" i="8"/>
  <c r="T218" i="8" s="1"/>
  <c r="S611" i="8"/>
  <c r="S639" i="8"/>
  <c r="S694" i="8"/>
  <c r="T694" i="8" s="1"/>
  <c r="S710" i="8"/>
  <c r="T710" i="8" s="1"/>
  <c r="S802" i="8"/>
  <c r="S821" i="8"/>
  <c r="S830" i="8"/>
  <c r="S914" i="8"/>
  <c r="S933" i="8"/>
  <c r="S943" i="8"/>
  <c r="S976" i="8"/>
  <c r="S1013" i="8"/>
  <c r="S1033" i="8"/>
  <c r="S1041" i="8"/>
  <c r="S1051" i="8"/>
  <c r="S1057" i="8"/>
  <c r="S1063" i="8"/>
  <c r="S1067" i="8"/>
  <c r="S1073" i="8"/>
  <c r="S1082" i="8"/>
  <c r="S1086" i="8"/>
  <c r="S1090" i="8"/>
  <c r="S1095" i="8"/>
  <c r="S1099" i="8"/>
  <c r="S1104" i="8"/>
  <c r="S1116" i="8"/>
  <c r="S1120" i="8"/>
  <c r="S1124" i="8"/>
  <c r="S1128" i="8"/>
  <c r="S1132" i="8"/>
  <c r="T1132" i="8" s="1"/>
  <c r="S1136" i="8"/>
  <c r="S1145" i="8"/>
  <c r="T1145" i="8" s="1"/>
  <c r="S1149" i="8"/>
  <c r="T1149" i="8" s="1"/>
  <c r="S1153" i="8"/>
  <c r="T1153" i="8" s="1"/>
  <c r="S1157" i="8"/>
  <c r="T1157" i="8" s="1"/>
  <c r="S1165" i="8"/>
  <c r="T1165" i="8" s="1"/>
  <c r="S1173" i="8"/>
  <c r="T1173" i="8" s="1"/>
  <c r="S1177" i="8"/>
  <c r="T1177" i="8" s="1"/>
  <c r="S1181" i="8"/>
  <c r="T1181" i="8" s="1"/>
  <c r="S1185" i="8"/>
  <c r="T1185" i="8" s="1"/>
  <c r="S1189" i="8"/>
  <c r="T1189" i="8" s="1"/>
  <c r="S1193" i="8"/>
  <c r="T1193" i="8" s="1"/>
  <c r="S1205" i="8"/>
  <c r="T1205" i="8" s="1"/>
  <c r="S1209" i="8"/>
  <c r="T1209" i="8" s="1"/>
  <c r="S1213" i="8"/>
  <c r="T1213" i="8" s="1"/>
  <c r="S1217" i="8"/>
  <c r="T1217" i="8" s="1"/>
  <c r="S1221" i="8"/>
  <c r="T1221" i="8" s="1"/>
  <c r="S1225" i="8"/>
  <c r="T1225" i="8" s="1"/>
  <c r="S1233" i="8"/>
  <c r="T1233" i="8" s="1"/>
  <c r="S1237" i="8"/>
  <c r="T1237" i="8" s="1"/>
  <c r="S1241" i="8"/>
  <c r="T1241" i="8" s="1"/>
  <c r="S1245" i="8"/>
  <c r="T1245" i="8" s="1"/>
  <c r="S1253" i="8"/>
  <c r="S1261" i="8"/>
  <c r="S1265" i="8"/>
  <c r="S1269" i="8"/>
  <c r="S1274" i="8"/>
  <c r="S1278" i="8"/>
  <c r="S1283" i="8"/>
  <c r="S1295" i="8"/>
  <c r="S1299" i="8"/>
  <c r="S1303" i="8"/>
  <c r="S1307" i="8"/>
  <c r="S1311" i="8"/>
  <c r="S1315" i="8"/>
  <c r="S1323" i="8"/>
  <c r="S1327" i="8"/>
  <c r="S1331" i="8"/>
  <c r="S1335" i="8"/>
  <c r="S1342" i="8"/>
  <c r="S2327" i="8"/>
  <c r="S2331" i="8"/>
  <c r="S2357" i="8"/>
  <c r="T2357" i="8" s="1"/>
  <c r="S2350" i="8"/>
  <c r="T2350" i="8" s="1"/>
  <c r="S2372" i="8"/>
  <c r="S2376" i="8"/>
  <c r="S2404" i="8"/>
  <c r="S2413" i="8"/>
  <c r="S77" i="8"/>
  <c r="T77" i="8" s="1"/>
  <c r="S101" i="8"/>
  <c r="T101" i="8" s="1"/>
  <c r="S173" i="8"/>
  <c r="T173" i="8" s="1"/>
  <c r="S209" i="8"/>
  <c r="T209" i="8" s="1"/>
  <c r="S583" i="8"/>
  <c r="S700" i="8"/>
  <c r="T700" i="8" s="1"/>
  <c r="S716" i="8"/>
  <c r="T716" i="8" s="1"/>
  <c r="S769" i="8"/>
  <c r="S794" i="8"/>
  <c r="S806" i="8"/>
  <c r="S834" i="8"/>
  <c r="S881" i="8"/>
  <c r="S906" i="8"/>
  <c r="S918" i="8"/>
  <c r="S947" i="8"/>
  <c r="S972" i="8"/>
  <c r="S977" i="8"/>
  <c r="S985" i="8"/>
  <c r="S990" i="8"/>
  <c r="S1007" i="8"/>
  <c r="S1034" i="8"/>
  <c r="S1042" i="8"/>
  <c r="S1053" i="8"/>
  <c r="S1058" i="8"/>
  <c r="S1064" i="8"/>
  <c r="S1074" i="8"/>
  <c r="S1079" i="8"/>
  <c r="S1087" i="8"/>
  <c r="S1096" i="8"/>
  <c r="S1100" i="8"/>
  <c r="S1105" i="8"/>
  <c r="S1113" i="8"/>
  <c r="S1117" i="8"/>
  <c r="S1121" i="8"/>
  <c r="S1125" i="8"/>
  <c r="S1129" i="8"/>
  <c r="S1133" i="8"/>
  <c r="S1137" i="8"/>
  <c r="S1142" i="8"/>
  <c r="T1142" i="8" s="1"/>
  <c r="S1146" i="8"/>
  <c r="T1146" i="8" s="1"/>
  <c r="S1150" i="8"/>
  <c r="T1150" i="8" s="1"/>
  <c r="S1154" i="8"/>
  <c r="T1154" i="8" s="1"/>
  <c r="S1158" i="8"/>
  <c r="T1158" i="8" s="1"/>
  <c r="S1162" i="8"/>
  <c r="T1162" i="8" s="1"/>
  <c r="S1166" i="8"/>
  <c r="T1166" i="8" s="1"/>
  <c r="S1170" i="8"/>
  <c r="T1170" i="8" s="1"/>
  <c r="S1178" i="8"/>
  <c r="T1178" i="8" s="1"/>
  <c r="S1186" i="8"/>
  <c r="T1186" i="8" s="1"/>
  <c r="S1190" i="8"/>
  <c r="T1190" i="8" s="1"/>
  <c r="S1194" i="8"/>
  <c r="T1194" i="8" s="1"/>
  <c r="S1202" i="8"/>
  <c r="T1202" i="8" s="1"/>
  <c r="S1206" i="8"/>
  <c r="T1206" i="8" s="1"/>
  <c r="S1210" i="8"/>
  <c r="T1210" i="8" s="1"/>
  <c r="S1214" i="8"/>
  <c r="T1214" i="8" s="1"/>
  <c r="S1218" i="8"/>
  <c r="T1218" i="8" s="1"/>
  <c r="S1222" i="8"/>
  <c r="T1222" i="8" s="1"/>
  <c r="S1226" i="8"/>
  <c r="T1226" i="8" s="1"/>
  <c r="S1230" i="8"/>
  <c r="T1230" i="8" s="1"/>
  <c r="S1234" i="8"/>
  <c r="T1234" i="8" s="1"/>
  <c r="S1238" i="8"/>
  <c r="T1238" i="8" s="1"/>
  <c r="S1242" i="8"/>
  <c r="T1242" i="8" s="1"/>
  <c r="S1246" i="8"/>
  <c r="T1246" i="8" s="1"/>
  <c r="S1250" i="8"/>
  <c r="S1254" i="8"/>
  <c r="S1258" i="8"/>
  <c r="S1266" i="8"/>
  <c r="S1275" i="8"/>
  <c r="S1279" i="8"/>
  <c r="T1279" i="8" s="1"/>
  <c r="S1284" i="8"/>
  <c r="T1284" i="8" s="1"/>
  <c r="S1292" i="8"/>
  <c r="S1296" i="8"/>
  <c r="S1300" i="8"/>
  <c r="S1304" i="8"/>
  <c r="S1308" i="8"/>
  <c r="S1312" i="8"/>
  <c r="S1316" i="8"/>
  <c r="S1324" i="8"/>
  <c r="T1324" i="8" s="1"/>
  <c r="S1328" i="8"/>
  <c r="T1328" i="8" s="1"/>
  <c r="S1332" i="8"/>
  <c r="S1336" i="8"/>
  <c r="S1343" i="8"/>
  <c r="T1343" i="8" s="1"/>
  <c r="S2336" i="8"/>
  <c r="S2358" i="8"/>
  <c r="T2358" i="8" s="1"/>
  <c r="S2351" i="8"/>
  <c r="T2351" i="8" s="1"/>
  <c r="S2373" i="8"/>
  <c r="S2377" i="8"/>
  <c r="S2381" i="8"/>
  <c r="S2408" i="8"/>
  <c r="S41" i="8"/>
  <c r="S93" i="8"/>
  <c r="T93" i="8" s="1"/>
  <c r="S141" i="8"/>
  <c r="S242" i="8"/>
  <c r="T242" i="8" s="1"/>
  <c r="S270" i="8"/>
  <c r="T270" i="8" s="1"/>
  <c r="S574" i="8"/>
  <c r="S720" i="8"/>
  <c r="T720" i="8" s="1"/>
  <c r="S728" i="8"/>
  <c r="S737" i="8"/>
  <c r="S782" i="8"/>
  <c r="S790" i="8"/>
  <c r="S810" i="8"/>
  <c r="S839" i="8"/>
  <c r="S864" i="8"/>
  <c r="S873" i="8"/>
  <c r="S894" i="8"/>
  <c r="S902" i="8"/>
  <c r="S922" i="8"/>
  <c r="S948" i="8"/>
  <c r="S981" i="8"/>
  <c r="S986" i="8"/>
  <c r="S993" i="8"/>
  <c r="S999" i="8"/>
  <c r="S1008" i="8"/>
  <c r="S2484" i="8"/>
  <c r="T2484" i="8" s="1"/>
  <c r="S2480" i="8"/>
  <c r="T2480" i="8" s="1"/>
  <c r="S2476" i="8"/>
  <c r="T2476" i="8" s="1"/>
  <c r="S2460" i="8"/>
  <c r="S2456" i="8"/>
  <c r="S2447" i="8"/>
  <c r="S2443" i="8"/>
  <c r="S2430" i="8"/>
  <c r="T2430" i="8" s="1"/>
  <c r="S2423" i="8"/>
  <c r="S2419" i="8"/>
  <c r="S2415" i="8"/>
  <c r="S2371" i="8"/>
  <c r="S2353" i="8"/>
  <c r="T2353" i="8" s="1"/>
  <c r="S2356" i="8"/>
  <c r="T2356" i="8" s="1"/>
  <c r="S2346" i="8"/>
  <c r="S1341" i="8"/>
  <c r="S1330" i="8"/>
  <c r="T1330" i="8" s="1"/>
  <c r="S1322" i="8"/>
  <c r="T1322" i="8" s="1"/>
  <c r="S1318" i="8"/>
  <c r="S1310" i="8"/>
  <c r="S1302" i="8"/>
  <c r="S1294" i="8"/>
  <c r="S1289" i="8"/>
  <c r="T1289" i="8" s="1"/>
  <c r="S1285" i="8"/>
  <c r="T1285" i="8" s="1"/>
  <c r="S1268" i="8"/>
  <c r="S1243" i="8"/>
  <c r="T1243" i="8" s="1"/>
  <c r="S1235" i="8"/>
  <c r="T1235" i="8" s="1"/>
  <c r="S1220" i="8"/>
  <c r="T1220" i="8" s="1"/>
  <c r="S1212" i="8"/>
  <c r="T1212" i="8" s="1"/>
  <c r="S1204" i="8"/>
  <c r="T1204" i="8" s="1"/>
  <c r="S1199" i="8"/>
  <c r="T1199" i="8" s="1"/>
  <c r="S1195" i="8"/>
  <c r="T1195" i="8" s="1"/>
  <c r="S1180" i="8"/>
  <c r="T1180" i="8" s="1"/>
  <c r="S1155" i="8"/>
  <c r="T1155" i="8" s="1"/>
  <c r="S1147" i="8"/>
  <c r="T1147" i="8" s="1"/>
  <c r="S1131" i="8"/>
  <c r="S1123" i="8"/>
  <c r="S1115" i="8"/>
  <c r="S1110" i="8"/>
  <c r="S1106" i="8"/>
  <c r="S1089" i="8"/>
  <c r="S1059" i="8"/>
  <c r="S1049" i="8"/>
  <c r="S1045" i="8"/>
  <c r="S1028" i="8"/>
  <c r="S1020" i="8"/>
  <c r="S786" i="8"/>
  <c r="S724" i="8"/>
  <c r="S2483" i="8"/>
  <c r="T2483" i="8" s="1"/>
  <c r="S2479" i="8"/>
  <c r="T2479" i="8" s="1"/>
  <c r="S2475" i="8"/>
  <c r="T2475" i="8" s="1"/>
  <c r="S2471" i="8"/>
  <c r="S2459" i="8"/>
  <c r="S2455" i="8"/>
  <c r="S2451" i="8"/>
  <c r="S2429" i="8"/>
  <c r="T2429" i="8" s="1"/>
  <c r="S2422" i="8"/>
  <c r="S2418" i="8"/>
  <c r="S2403" i="8"/>
  <c r="S2383" i="8"/>
  <c r="S2370" i="8"/>
  <c r="S2352" i="8"/>
  <c r="T2352" i="8" s="1"/>
  <c r="S1340" i="8"/>
  <c r="S1329" i="8"/>
  <c r="T1329" i="8" s="1"/>
  <c r="S1321" i="8"/>
  <c r="S1317" i="8"/>
  <c r="S1309" i="8"/>
  <c r="S1301" i="8"/>
  <c r="S1293" i="8"/>
  <c r="S1281" i="8"/>
  <c r="S1273" i="8"/>
  <c r="S1267" i="8"/>
  <c r="S1260" i="8"/>
  <c r="S1255" i="8"/>
  <c r="S1240" i="8"/>
  <c r="T1240" i="8" s="1"/>
  <c r="S1232" i="8"/>
  <c r="T1232" i="8" s="1"/>
  <c r="S1227" i="8"/>
  <c r="T1227" i="8" s="1"/>
  <c r="S1219" i="8"/>
  <c r="T1219" i="8" s="1"/>
  <c r="S1211" i="8"/>
  <c r="T1211" i="8" s="1"/>
  <c r="S1203" i="8"/>
  <c r="T1203" i="8" s="1"/>
  <c r="S1192" i="8"/>
  <c r="T1192" i="8" s="1"/>
  <c r="S1184" i="8"/>
  <c r="T1184" i="8" s="1"/>
  <c r="S1179" i="8"/>
  <c r="T1179" i="8" s="1"/>
  <c r="S1172" i="8"/>
  <c r="T1172" i="8" s="1"/>
  <c r="S1167" i="8"/>
  <c r="T1167" i="8" s="1"/>
  <c r="S1152" i="8"/>
  <c r="T1152" i="8" s="1"/>
  <c r="S1144" i="8"/>
  <c r="T1144" i="8" s="1"/>
  <c r="S1138" i="8"/>
  <c r="S1130" i="8"/>
  <c r="S1122" i="8"/>
  <c r="S1114" i="8"/>
  <c r="S1102" i="8"/>
  <c r="S1094" i="8"/>
  <c r="S1088" i="8"/>
  <c r="S1081" i="8"/>
  <c r="S1075" i="8"/>
  <c r="S1066" i="8"/>
  <c r="S1055" i="8"/>
  <c r="S1038" i="8"/>
  <c r="S898" i="8"/>
  <c r="S860" i="8"/>
  <c r="S814" i="8"/>
  <c r="S733" i="8"/>
  <c r="S226" i="8"/>
  <c r="S2482" i="8"/>
  <c r="T2482" i="8" s="1"/>
  <c r="S2478" i="8"/>
  <c r="T2478" i="8" s="1"/>
  <c r="S2474" i="8"/>
  <c r="T2474" i="8" s="1"/>
  <c r="S2462" i="8"/>
  <c r="S2458" i="8"/>
  <c r="S2454" i="8"/>
  <c r="S2450" i="8"/>
  <c r="S2428" i="8"/>
  <c r="T2428" i="8" s="1"/>
  <c r="S2424" i="8"/>
  <c r="S2402" i="8"/>
  <c r="S2382" i="8"/>
  <c r="S2375" i="8"/>
  <c r="S2328" i="8"/>
  <c r="S1334" i="8"/>
  <c r="S1326" i="8"/>
  <c r="T1326" i="8" s="1"/>
  <c r="S1314" i="8"/>
  <c r="S1306" i="8"/>
  <c r="S1280" i="8"/>
  <c r="T1280" i="8" s="1"/>
  <c r="S1264" i="8"/>
  <c r="S1259" i="8"/>
  <c r="S1252" i="8"/>
  <c r="S1247" i="8"/>
  <c r="T1247" i="8" s="1"/>
  <c r="S1239" i="8"/>
  <c r="T1239" i="8" s="1"/>
  <c r="S1231" i="8"/>
  <c r="T1231" i="8" s="1"/>
  <c r="S1224" i="8"/>
  <c r="T1224" i="8" s="1"/>
  <c r="S1216" i="8"/>
  <c r="T1216" i="8" s="1"/>
  <c r="S1191" i="8"/>
  <c r="T1191" i="8" s="1"/>
  <c r="S1176" i="8"/>
  <c r="T1176" i="8" s="1"/>
  <c r="S1171" i="8"/>
  <c r="T1171" i="8" s="1"/>
  <c r="S1164" i="8"/>
  <c r="T1164" i="8" s="1"/>
  <c r="S1159" i="8"/>
  <c r="S1151" i="8"/>
  <c r="T1151" i="8" s="1"/>
  <c r="S1143" i="8"/>
  <c r="T1143" i="8" s="1"/>
  <c r="S1135" i="8"/>
  <c r="S1127" i="8"/>
  <c r="S1101" i="8"/>
  <c r="S1085" i="8"/>
  <c r="S1080" i="8"/>
  <c r="S1071" i="8"/>
  <c r="S1054" i="8"/>
  <c r="S1037" i="8"/>
  <c r="S1012" i="8"/>
  <c r="S954" i="8"/>
  <c r="S926" i="8"/>
  <c r="S869" i="8"/>
  <c r="S825" i="8"/>
  <c r="S623" i="8"/>
  <c r="S258" i="8"/>
  <c r="T258" i="8" s="1"/>
  <c r="S2481" i="8"/>
  <c r="T2481" i="8" s="1"/>
  <c r="S2477" i="8"/>
  <c r="T2477" i="8" s="1"/>
  <c r="S2461" i="8"/>
  <c r="S2457" i="8"/>
  <c r="S2448" i="8"/>
  <c r="S2431" i="8"/>
  <c r="T2431" i="8" s="1"/>
  <c r="S2409" i="8"/>
  <c r="S2374" i="8"/>
  <c r="T2374" i="8" s="1"/>
  <c r="S2359" i="8"/>
  <c r="T2359" i="8" s="1"/>
  <c r="S1333" i="8"/>
  <c r="S1325" i="8"/>
  <c r="S1313" i="8"/>
  <c r="S1305" i="8"/>
  <c r="S1286" i="8"/>
  <c r="T1286" i="8" s="1"/>
  <c r="S1251" i="8"/>
  <c r="S1244" i="8"/>
  <c r="T1244" i="8" s="1"/>
  <c r="S1236" i="8"/>
  <c r="T1236" i="8" s="1"/>
  <c r="S1223" i="8"/>
  <c r="T1223" i="8" s="1"/>
  <c r="S1215" i="8"/>
  <c r="T1215" i="8" s="1"/>
  <c r="S1196" i="8"/>
  <c r="T1196" i="8" s="1"/>
  <c r="S1163" i="8"/>
  <c r="T1163" i="8" s="1"/>
  <c r="S1156" i="8"/>
  <c r="T1156" i="8" s="1"/>
  <c r="S1148" i="8"/>
  <c r="T1148" i="8" s="1"/>
  <c r="S1134" i="8"/>
  <c r="S1126" i="8"/>
  <c r="S1107" i="8"/>
  <c r="S1062" i="8"/>
  <c r="S1050" i="8"/>
  <c r="S1046" i="8"/>
  <c r="S1030" i="8"/>
  <c r="S1021" i="8"/>
  <c r="S1016" i="8"/>
  <c r="S994" i="8"/>
  <c r="S938" i="8"/>
  <c r="S647" i="8"/>
  <c r="T647" i="8" s="1"/>
  <c r="S564" i="8"/>
  <c r="AD920" i="5"/>
  <c r="AD916" i="5"/>
  <c r="AD912" i="5"/>
  <c r="AD908" i="5"/>
  <c r="AD904" i="5"/>
  <c r="AD900" i="5"/>
  <c r="AD896" i="5"/>
  <c r="AD892" i="5"/>
  <c r="AD888" i="5"/>
  <c r="AD884" i="5"/>
  <c r="AD879" i="5"/>
  <c r="AD874" i="5"/>
  <c r="AD870" i="5"/>
  <c r="AD868" i="5"/>
  <c r="AD864" i="5"/>
  <c r="AD859" i="5"/>
  <c r="AD854" i="5"/>
  <c r="AD850" i="5"/>
  <c r="AD841" i="5"/>
  <c r="AD835" i="5"/>
  <c r="AD831" i="5"/>
  <c r="AD824" i="5"/>
  <c r="AD816" i="5"/>
  <c r="AD808" i="5"/>
  <c r="AD776" i="5"/>
  <c r="AD771" i="5"/>
  <c r="AD767" i="5"/>
  <c r="AD751" i="5"/>
  <c r="AD735" i="5"/>
  <c r="AD716" i="5"/>
  <c r="AD686" i="5"/>
  <c r="AD681" i="5"/>
  <c r="AD661" i="5"/>
  <c r="AD632" i="5"/>
  <c r="AD626" i="5"/>
  <c r="AD616" i="5"/>
  <c r="AD607" i="5"/>
  <c r="AD598" i="5"/>
  <c r="AD540" i="5"/>
  <c r="AD535" i="5"/>
  <c r="AD527" i="5"/>
  <c r="AD520" i="5"/>
  <c r="AD511" i="5"/>
  <c r="AD506" i="5"/>
  <c r="AD495" i="5"/>
  <c r="AD491" i="5"/>
  <c r="AD415" i="5"/>
  <c r="AD403" i="5"/>
  <c r="AD324" i="5"/>
  <c r="AD136" i="5"/>
  <c r="AD86" i="5"/>
  <c r="AD907" i="5"/>
  <c r="AD903" i="5"/>
  <c r="AD899" i="5"/>
  <c r="AD895" i="5"/>
  <c r="AD891" i="5"/>
  <c r="AD887" i="5"/>
  <c r="AD883" i="5"/>
  <c r="AD878" i="5"/>
  <c r="AD873" i="5"/>
  <c r="AD867" i="5"/>
  <c r="AD863" i="5"/>
  <c r="AD858" i="5"/>
  <c r="AD853" i="5"/>
  <c r="AD849" i="5"/>
  <c r="AD838" i="5"/>
  <c r="AD834" i="5"/>
  <c r="AD829" i="5"/>
  <c r="AD821" i="5"/>
  <c r="AD813" i="5"/>
  <c r="AD792" i="5"/>
  <c r="AD788" i="5"/>
  <c r="AD783" i="5"/>
  <c r="AD739" i="5"/>
  <c r="AD721" i="5"/>
  <c r="AD704" i="5"/>
  <c r="AD685" i="5"/>
  <c r="AD679" i="5"/>
  <c r="AD612" i="5"/>
  <c r="AD606" i="5"/>
  <c r="AD596" i="5"/>
  <c r="AD587" i="5"/>
  <c r="AD578" i="5"/>
  <c r="AD531" i="5"/>
  <c r="AD526" i="5"/>
  <c r="AD516" i="5"/>
  <c r="AD510" i="5"/>
  <c r="AD504" i="5"/>
  <c r="AD494" i="5"/>
  <c r="AD490" i="5"/>
  <c r="AD480" i="5"/>
  <c r="AD475" i="5"/>
  <c r="AD414" i="5"/>
  <c r="AD402" i="5"/>
  <c r="AD335" i="5"/>
  <c r="AD140" i="5"/>
  <c r="AD90" i="5"/>
  <c r="AD22" i="5"/>
  <c r="AD26" i="5"/>
  <c r="AD35" i="5"/>
  <c r="AD53" i="5"/>
  <c r="AD57" i="5"/>
  <c r="AD92" i="5"/>
  <c r="AD96" i="5"/>
  <c r="AD105" i="5"/>
  <c r="AD109" i="5"/>
  <c r="AD113" i="5"/>
  <c r="AD122" i="5"/>
  <c r="AD126" i="5"/>
  <c r="AD130" i="5"/>
  <c r="AD134" i="5"/>
  <c r="AD142" i="5"/>
  <c r="AD182" i="5"/>
  <c r="AD186" i="5"/>
  <c r="AD221" i="5"/>
  <c r="AD225" i="5"/>
  <c r="AD287" i="5"/>
  <c r="AD291" i="5"/>
  <c r="AD298" i="5"/>
  <c r="AD302" i="5"/>
  <c r="AD314" i="5"/>
  <c r="AD329" i="5"/>
  <c r="AD333" i="5"/>
  <c r="AD339" i="5"/>
  <c r="AD343" i="5"/>
  <c r="AD364" i="5"/>
  <c r="AD368" i="5"/>
  <c r="AD376" i="5"/>
  <c r="AD380" i="5"/>
  <c r="AD388" i="5"/>
  <c r="AD19" i="5"/>
  <c r="AD27" i="5"/>
  <c r="AD54" i="5"/>
  <c r="AD63" i="5"/>
  <c r="AD93" i="5"/>
  <c r="AD97" i="5"/>
  <c r="AD106" i="5"/>
  <c r="AD110" i="5"/>
  <c r="AD114" i="5"/>
  <c r="AD131" i="5"/>
  <c r="AD135" i="5"/>
  <c r="AD148" i="5"/>
  <c r="AD183" i="5"/>
  <c r="AD192" i="5"/>
  <c r="AD222" i="5"/>
  <c r="AD226" i="5"/>
  <c r="AD288" i="5"/>
  <c r="AD292" i="5"/>
  <c r="AD303" i="5"/>
  <c r="AD319" i="5"/>
  <c r="AD323" i="5"/>
  <c r="AD330" i="5"/>
  <c r="AD334" i="5"/>
  <c r="AD344" i="5"/>
  <c r="AD381" i="5"/>
  <c r="AD389" i="5"/>
  <c r="AD393" i="5"/>
  <c r="AD397" i="5"/>
  <c r="AD401" i="5"/>
  <c r="AD417" i="5"/>
  <c r="AD433" i="5"/>
  <c r="AD441" i="5"/>
  <c r="AD449" i="5"/>
  <c r="AD453" i="5"/>
  <c r="AD457" i="5"/>
  <c r="AD465" i="5"/>
  <c r="AD469" i="5"/>
  <c r="AD473" i="5"/>
  <c r="AD481" i="5"/>
  <c r="AD485" i="5"/>
  <c r="AD489" i="5"/>
  <c r="AD497" i="5"/>
  <c r="AD501" i="5"/>
  <c r="AD505" i="5"/>
  <c r="AD509" i="5"/>
  <c r="AD513" i="5"/>
  <c r="AD517" i="5"/>
  <c r="AD521" i="5"/>
  <c r="AD525" i="5"/>
  <c r="AD533" i="5"/>
  <c r="AD537" i="5"/>
  <c r="AD541" i="5"/>
  <c r="AD545" i="5"/>
  <c r="AD549" i="5"/>
  <c r="AD553" i="5"/>
  <c r="AD557" i="5"/>
  <c r="AD565" i="5"/>
  <c r="AD569" i="5"/>
  <c r="AD573" i="5"/>
  <c r="AD577" i="5"/>
  <c r="AD585" i="5"/>
  <c r="AD589" i="5"/>
  <c r="AD593" i="5"/>
  <c r="AD597" i="5"/>
  <c r="AD605" i="5"/>
  <c r="AD609" i="5"/>
  <c r="AD613" i="5"/>
  <c r="AD617" i="5"/>
  <c r="AD625" i="5"/>
  <c r="AD629" i="5"/>
  <c r="AD633" i="5"/>
  <c r="AD637" i="5"/>
  <c r="AD645" i="5"/>
  <c r="AD654" i="5"/>
  <c r="AD658" i="5"/>
  <c r="AD680" i="5"/>
  <c r="AD684" i="5"/>
  <c r="AD718" i="5"/>
  <c r="AD722" i="5"/>
  <c r="AD726" i="5"/>
  <c r="AD758" i="5"/>
  <c r="AD11" i="5"/>
  <c r="AD21" i="5"/>
  <c r="AD33" i="5"/>
  <c r="AD52" i="5"/>
  <c r="AD65" i="5"/>
  <c r="AD87" i="5"/>
  <c r="AD91" i="5"/>
  <c r="AD104" i="5"/>
  <c r="AD112" i="5"/>
  <c r="AD129" i="5"/>
  <c r="AD137" i="5"/>
  <c r="AD141" i="5"/>
  <c r="AD185" i="5"/>
  <c r="AD320" i="5"/>
  <c r="AD325" i="5"/>
  <c r="AD338" i="5"/>
  <c r="AD348" i="5"/>
  <c r="AD367" i="5"/>
  <c r="AD399" i="5"/>
  <c r="AD416" i="5"/>
  <c r="AD434" i="5"/>
  <c r="AD438" i="5"/>
  <c r="AD443" i="5"/>
  <c r="AD447" i="5"/>
  <c r="AD458" i="5"/>
  <c r="AD462" i="5"/>
  <c r="AD472" i="5"/>
  <c r="AD482" i="5"/>
  <c r="AD487" i="5"/>
  <c r="AD496" i="5"/>
  <c r="AD502" i="5"/>
  <c r="AD512" i="5"/>
  <c r="AD518" i="5"/>
  <c r="AD528" i="5"/>
  <c r="AD532" i="5"/>
  <c r="AD543" i="5"/>
  <c r="AD559" i="5"/>
  <c r="AD563" i="5"/>
  <c r="AD568" i="5"/>
  <c r="AD574" i="5"/>
  <c r="AD579" i="5"/>
  <c r="AD583" i="5"/>
  <c r="AD588" i="5"/>
  <c r="AD594" i="5"/>
  <c r="AD599" i="5"/>
  <c r="AD603" i="5"/>
  <c r="AD608" i="5"/>
  <c r="AD614" i="5"/>
  <c r="AD619" i="5"/>
  <c r="AD623" i="5"/>
  <c r="AD628" i="5"/>
  <c r="AD634" i="5"/>
  <c r="AD639" i="5"/>
  <c r="AD643" i="5"/>
  <c r="AD649" i="5"/>
  <c r="AD653" i="5"/>
  <c r="AD659" i="5"/>
  <c r="AD687" i="5"/>
  <c r="AD705" i="5"/>
  <c r="AD709" i="5"/>
  <c r="AD713" i="5"/>
  <c r="AD717" i="5"/>
  <c r="AD723" i="5"/>
  <c r="AD728" i="5"/>
  <c r="AD732" i="5"/>
  <c r="AD736" i="5"/>
  <c r="AD740" i="5"/>
  <c r="AD744" i="5"/>
  <c r="AD748" i="5"/>
  <c r="AD752" i="5"/>
  <c r="AD756" i="5"/>
  <c r="AD761" i="5"/>
  <c r="AD773" i="5"/>
  <c r="AD777" i="5"/>
  <c r="AD781" i="5"/>
  <c r="AD793" i="5"/>
  <c r="AD797" i="5"/>
  <c r="AD802" i="5"/>
  <c r="AD810" i="5"/>
  <c r="AD814" i="5"/>
  <c r="AD818" i="5"/>
  <c r="AD822" i="5"/>
  <c r="AD826" i="5"/>
  <c r="AD830" i="5"/>
  <c r="AD34" i="5"/>
  <c r="AD55" i="5"/>
  <c r="AD120" i="5"/>
  <c r="AD125" i="5"/>
  <c r="AD149" i="5"/>
  <c r="AD180" i="5"/>
  <c r="AD193" i="5"/>
  <c r="AD215" i="5"/>
  <c r="AD219" i="5"/>
  <c r="AD227" i="5"/>
  <c r="AD293" i="5"/>
  <c r="AD301" i="5"/>
  <c r="AD349" i="5"/>
  <c r="AD363" i="5"/>
  <c r="AD400" i="5"/>
  <c r="AD418" i="5"/>
  <c r="AD435" i="5"/>
  <c r="AD439" i="5"/>
  <c r="AD448" i="5"/>
  <c r="AD454" i="5"/>
  <c r="AD459" i="5"/>
  <c r="AD463" i="5"/>
  <c r="AD474" i="5"/>
  <c r="AD478" i="5"/>
  <c r="AD488" i="5"/>
  <c r="AD498" i="5"/>
  <c r="AD503" i="5"/>
  <c r="AD519" i="5"/>
  <c r="AD524" i="5"/>
  <c r="AD534" i="5"/>
  <c r="AD544" i="5"/>
  <c r="AD550" i="5"/>
  <c r="AD560" i="5"/>
  <c r="AD564" i="5"/>
  <c r="AD575" i="5"/>
  <c r="AD580" i="5"/>
  <c r="AD584" i="5"/>
  <c r="AD595" i="5"/>
  <c r="AD600" i="5"/>
  <c r="AD604" i="5"/>
  <c r="AD615" i="5"/>
  <c r="AD620" i="5"/>
  <c r="AD624" i="5"/>
  <c r="AD635" i="5"/>
  <c r="AD640" i="5"/>
  <c r="AD644" i="5"/>
  <c r="AD655" i="5"/>
  <c r="AD660" i="5"/>
  <c r="AD678" i="5"/>
  <c r="AD753" i="5"/>
  <c r="AD757" i="5"/>
  <c r="AD762" i="5"/>
  <c r="AD766" i="5"/>
  <c r="AD778" i="5"/>
  <c r="AD782" i="5"/>
  <c r="AD786" i="5"/>
  <c r="AD799" i="5"/>
  <c r="AD803" i="5"/>
  <c r="AD807" i="5"/>
  <c r="AD811" i="5"/>
  <c r="AD815" i="5"/>
  <c r="AD819" i="5"/>
  <c r="AD823" i="5"/>
  <c r="AD827" i="5"/>
  <c r="AD56" i="5"/>
  <c r="AD121" i="5"/>
  <c r="AD150" i="5"/>
  <c r="AD181" i="5"/>
  <c r="AD194" i="5"/>
  <c r="AD216" i="5"/>
  <c r="AD220" i="5"/>
  <c r="AD297" i="5"/>
  <c r="AD308" i="5"/>
  <c r="AD312" i="5"/>
  <c r="AD953" i="5"/>
  <c r="AD945" i="5"/>
  <c r="AD941" i="5"/>
  <c r="AD922" i="5"/>
  <c r="AD918" i="5"/>
  <c r="AD914" i="5"/>
  <c r="AD910" i="5"/>
  <c r="AD906" i="5"/>
  <c r="AD902" i="5"/>
  <c r="AD898" i="5"/>
  <c r="AD894" i="5"/>
  <c r="AD890" i="5"/>
  <c r="AD886" i="5"/>
  <c r="AD882" i="5"/>
  <c r="AD877" i="5"/>
  <c r="AD872" i="5"/>
  <c r="AD866" i="5"/>
  <c r="AD862" i="5"/>
  <c r="AD857" i="5"/>
  <c r="AD852" i="5"/>
  <c r="AD848" i="5"/>
  <c r="AD837" i="5"/>
  <c r="AD833" i="5"/>
  <c r="AD828" i="5"/>
  <c r="AD820" i="5"/>
  <c r="AD812" i="5"/>
  <c r="AD796" i="5"/>
  <c r="AD791" i="5"/>
  <c r="AD787" i="5"/>
  <c r="AD743" i="5"/>
  <c r="AD727" i="5"/>
  <c r="AD708" i="5"/>
  <c r="AD648" i="5"/>
  <c r="AD638" i="5"/>
  <c r="AD592" i="5"/>
  <c r="AD586" i="5"/>
  <c r="AD576" i="5"/>
  <c r="AD567" i="5"/>
  <c r="AD558" i="5"/>
  <c r="AD552" i="5"/>
  <c r="AD546" i="5"/>
  <c r="AD486" i="5"/>
  <c r="AD479" i="5"/>
  <c r="AD471" i="5"/>
  <c r="AD466" i="5"/>
  <c r="AD456" i="5"/>
  <c r="AD450" i="5"/>
  <c r="AD442" i="5"/>
  <c r="AD432" i="5"/>
  <c r="AD420" i="5"/>
  <c r="AD398" i="5"/>
  <c r="AD392" i="5"/>
  <c r="AD375" i="5"/>
  <c r="AD342" i="5"/>
  <c r="AD309" i="5"/>
  <c r="AD184" i="5"/>
  <c r="AD98" i="5"/>
  <c r="AD25" i="5"/>
  <c r="AD949" i="5"/>
  <c r="AD10" i="5"/>
  <c r="AD952" i="5"/>
  <c r="AD948" i="5"/>
  <c r="AD944" i="5"/>
  <c r="AD940" i="5"/>
  <c r="AD921" i="5"/>
  <c r="AD917" i="5"/>
  <c r="AD913" i="5"/>
  <c r="AD909" i="5"/>
  <c r="AD905" i="5"/>
  <c r="AD901" i="5"/>
  <c r="AD897" i="5"/>
  <c r="AD893" i="5"/>
  <c r="AD889" i="5"/>
  <c r="AD885" i="5"/>
  <c r="AD880" i="5"/>
  <c r="AD876" i="5"/>
  <c r="AD871" i="5"/>
  <c r="AD860" i="5"/>
  <c r="AD856" i="5"/>
  <c r="AD851" i="5"/>
  <c r="AD843" i="5"/>
  <c r="AD836" i="5"/>
  <c r="AD832" i="5"/>
  <c r="AD825" i="5"/>
  <c r="AD817" i="5"/>
  <c r="AD809" i="5"/>
  <c r="AD804" i="5"/>
  <c r="AD772" i="5"/>
  <c r="AD768" i="5"/>
  <c r="AD763" i="5"/>
  <c r="AD747" i="5"/>
  <c r="AD731" i="5"/>
  <c r="AD712" i="5"/>
  <c r="AD652" i="5"/>
  <c r="AD646" i="5"/>
  <c r="AD636" i="5"/>
  <c r="AD627" i="5"/>
  <c r="AD618" i="5"/>
  <c r="AD572" i="5"/>
  <c r="AD566" i="5"/>
  <c r="AD556" i="5"/>
  <c r="AD551" i="5"/>
  <c r="AD542" i="5"/>
  <c r="AD536" i="5"/>
  <c r="AD470" i="5"/>
  <c r="AD464" i="5"/>
  <c r="AD455" i="5"/>
  <c r="AD446" i="5"/>
  <c r="AD440" i="5"/>
  <c r="AD431" i="5"/>
  <c r="AD419" i="5"/>
  <c r="AD313" i="5"/>
  <c r="AD111" i="5"/>
  <c r="AD64" i="5"/>
  <c r="AE936" i="5" l="1"/>
  <c r="AJ936" i="5"/>
  <c r="AG936" i="5"/>
  <c r="AI936" i="5"/>
  <c r="AK936" i="5"/>
  <c r="AF936" i="5"/>
  <c r="AH938" i="5"/>
  <c r="AK938" i="5"/>
  <c r="AG938" i="5"/>
  <c r="AJ938" i="5"/>
  <c r="AF938" i="5"/>
  <c r="AI938" i="5"/>
  <c r="AE938" i="5"/>
  <c r="AE932" i="5"/>
  <c r="AJ932" i="5"/>
  <c r="AG932" i="5"/>
  <c r="AI932" i="5"/>
  <c r="AK932" i="5"/>
  <c r="AF932" i="5"/>
  <c r="AH934" i="5"/>
  <c r="AK934" i="5"/>
  <c r="AG934" i="5"/>
  <c r="AJ934" i="5"/>
  <c r="AF934" i="5"/>
  <c r="AI934" i="5"/>
  <c r="AE934" i="5"/>
  <c r="AH933" i="5"/>
  <c r="AK933" i="5"/>
  <c r="AG933" i="5"/>
  <c r="AJ933" i="5"/>
  <c r="AF933" i="5"/>
  <c r="AI933" i="5"/>
  <c r="AE933" i="5"/>
  <c r="AH935" i="5"/>
  <c r="AK935" i="5"/>
  <c r="AG935" i="5"/>
  <c r="AI935" i="5"/>
  <c r="AJ935" i="5"/>
  <c r="AF935" i="5"/>
  <c r="AE935" i="5"/>
  <c r="AH937" i="5"/>
  <c r="AK937" i="5"/>
  <c r="AG937" i="5"/>
  <c r="AE937" i="5"/>
  <c r="AJ937" i="5"/>
  <c r="AF937" i="5"/>
  <c r="AI937" i="5"/>
  <c r="AL239" i="5"/>
  <c r="AF239" i="5"/>
  <c r="AK239" i="5"/>
  <c r="AJ239" i="5"/>
  <c r="AI239" i="5"/>
  <c r="AH239" i="5"/>
  <c r="AG239" i="5"/>
  <c r="AE239" i="5"/>
  <c r="AJ246" i="5"/>
  <c r="AF246" i="5"/>
  <c r="AK246" i="5"/>
  <c r="AE246" i="5"/>
  <c r="AI246" i="5"/>
  <c r="AH246" i="5"/>
  <c r="AG246" i="5"/>
  <c r="AL246" i="5"/>
  <c r="AL281" i="5"/>
  <c r="AI281" i="5"/>
  <c r="AK281" i="5"/>
  <c r="AF281" i="5"/>
  <c r="AH281" i="5"/>
  <c r="AG281" i="5"/>
  <c r="AJ281" i="5"/>
  <c r="AE281" i="5"/>
  <c r="AL275" i="5"/>
  <c r="AF275" i="5"/>
  <c r="AK275" i="5"/>
  <c r="AJ275" i="5"/>
  <c r="AH275" i="5"/>
  <c r="AG275" i="5"/>
  <c r="AI275" i="5"/>
  <c r="AE275" i="5"/>
  <c r="AL269" i="5"/>
  <c r="AI269" i="5"/>
  <c r="AK269" i="5"/>
  <c r="AH269" i="5"/>
  <c r="AG269" i="5"/>
  <c r="AJ269" i="5"/>
  <c r="AF269" i="5"/>
  <c r="AE269" i="5"/>
  <c r="AI249" i="5"/>
  <c r="AE249" i="5"/>
  <c r="AL249" i="5"/>
  <c r="AH249" i="5"/>
  <c r="AG249" i="5"/>
  <c r="AF249" i="5"/>
  <c r="AK249" i="5"/>
  <c r="AJ249" i="5"/>
  <c r="AH247" i="5"/>
  <c r="AK247" i="5"/>
  <c r="AG247" i="5"/>
  <c r="AE247" i="5"/>
  <c r="AJ247" i="5"/>
  <c r="AF247" i="5"/>
  <c r="AI247" i="5"/>
  <c r="AL247" i="5"/>
  <c r="AL282" i="5"/>
  <c r="AG282" i="5"/>
  <c r="AJ282" i="5"/>
  <c r="AH282" i="5"/>
  <c r="AI282" i="5"/>
  <c r="AK282" i="5"/>
  <c r="AF282" i="5"/>
  <c r="AE282" i="5"/>
  <c r="AL240" i="5"/>
  <c r="AI240" i="5"/>
  <c r="AF240" i="5"/>
  <c r="AJ240" i="5"/>
  <c r="AG240" i="5"/>
  <c r="AH240" i="5"/>
  <c r="AK240" i="5"/>
  <c r="AE240" i="5"/>
  <c r="AL271" i="5"/>
  <c r="AH271" i="5"/>
  <c r="AK271" i="5"/>
  <c r="AJ271" i="5"/>
  <c r="AG271" i="5"/>
  <c r="AI271" i="5"/>
  <c r="AF271" i="5"/>
  <c r="AE271" i="5"/>
  <c r="AL270" i="5"/>
  <c r="AK270" i="5"/>
  <c r="AF270" i="5"/>
  <c r="AJ270" i="5"/>
  <c r="AH270" i="5"/>
  <c r="AG270" i="5"/>
  <c r="AI270" i="5"/>
  <c r="AE270" i="5"/>
  <c r="AL274" i="5"/>
  <c r="AJ274" i="5"/>
  <c r="AF274" i="5"/>
  <c r="AH274" i="5"/>
  <c r="AG274" i="5"/>
  <c r="AI274" i="5"/>
  <c r="AK274" i="5"/>
  <c r="AE274" i="5"/>
  <c r="AL238" i="5"/>
  <c r="AF238" i="5"/>
  <c r="AK238" i="5"/>
  <c r="AJ238" i="5"/>
  <c r="AH238" i="5"/>
  <c r="AG238" i="5"/>
  <c r="AI238" i="5"/>
  <c r="AE238" i="5"/>
  <c r="AJ248" i="5"/>
  <c r="AF248" i="5"/>
  <c r="AI248" i="5"/>
  <c r="AE248" i="5"/>
  <c r="AK248" i="5"/>
  <c r="AH248" i="5"/>
  <c r="AG248" i="5"/>
  <c r="AL248" i="5"/>
  <c r="AL273" i="5"/>
  <c r="AI273" i="5"/>
  <c r="AH273" i="5"/>
  <c r="AK273" i="5"/>
  <c r="AF273" i="5"/>
  <c r="AG273" i="5"/>
  <c r="AJ273" i="5"/>
  <c r="AE273" i="5"/>
  <c r="AL283" i="5"/>
  <c r="AJ283" i="5"/>
  <c r="AI283" i="5"/>
  <c r="AH283" i="5"/>
  <c r="AG283" i="5"/>
  <c r="AK283" i="5"/>
  <c r="AF283" i="5"/>
  <c r="AE283" i="5"/>
  <c r="AL284" i="5"/>
  <c r="AH284" i="5"/>
  <c r="AK284" i="5"/>
  <c r="AG284" i="5"/>
  <c r="AJ284" i="5"/>
  <c r="AF284" i="5"/>
  <c r="AI284" i="5"/>
  <c r="AE284" i="5"/>
  <c r="AL233" i="5"/>
  <c r="AI233" i="5"/>
  <c r="AG233" i="5"/>
  <c r="AH233" i="5"/>
  <c r="AF233" i="5"/>
  <c r="AJ233" i="5"/>
  <c r="AK233" i="5"/>
  <c r="AE233" i="5"/>
  <c r="AL234" i="5"/>
  <c r="AF234" i="5"/>
  <c r="AI234" i="5"/>
  <c r="AK234" i="5"/>
  <c r="AJ234" i="5"/>
  <c r="AG234" i="5"/>
  <c r="AH234" i="5"/>
  <c r="AE234" i="5"/>
  <c r="AL235" i="5"/>
  <c r="AH235" i="5"/>
  <c r="AK235" i="5"/>
  <c r="AG235" i="5"/>
  <c r="AJ235" i="5"/>
  <c r="AF235" i="5"/>
  <c r="AI235" i="5"/>
  <c r="AE235" i="5"/>
  <c r="AL163" i="5"/>
  <c r="AH163" i="5"/>
  <c r="AK163" i="5"/>
  <c r="AG163" i="5"/>
  <c r="AJ163" i="5"/>
  <c r="AF163" i="5"/>
  <c r="AI163" i="5"/>
  <c r="AE163" i="5"/>
  <c r="AE847" i="5"/>
  <c r="AI847" i="5"/>
  <c r="AH847" i="5"/>
  <c r="AK847" i="5"/>
  <c r="AJ847" i="5"/>
  <c r="AL847" i="5"/>
  <c r="AH924" i="5"/>
  <c r="AK924" i="5"/>
  <c r="AG924" i="5"/>
  <c r="AJ924" i="5"/>
  <c r="AF924" i="5"/>
  <c r="AI924" i="5"/>
  <c r="AE924" i="5"/>
  <c r="AI358" i="5"/>
  <c r="AL358" i="5"/>
  <c r="AK358" i="5"/>
  <c r="AJ358" i="5"/>
  <c r="AI353" i="5"/>
  <c r="AK353" i="5"/>
  <c r="AL353" i="5"/>
  <c r="AJ353" i="5"/>
  <c r="AL359" i="5"/>
  <c r="AI359" i="5"/>
  <c r="AK359" i="5"/>
  <c r="AJ359" i="5"/>
  <c r="AL354" i="5"/>
  <c r="AI354" i="5"/>
  <c r="AJ354" i="5"/>
  <c r="AK354" i="5"/>
  <c r="AK352" i="5"/>
  <c r="AL352" i="5"/>
  <c r="AJ352" i="5"/>
  <c r="AI352" i="5"/>
  <c r="AL70" i="5"/>
  <c r="AF70" i="5"/>
  <c r="AJ70" i="5"/>
  <c r="AI70" i="5"/>
  <c r="AH70" i="5"/>
  <c r="AG70" i="5"/>
  <c r="AK70" i="5"/>
  <c r="AE70" i="5"/>
  <c r="AL69" i="5"/>
  <c r="AF69" i="5"/>
  <c r="AJ69" i="5"/>
  <c r="AH69" i="5"/>
  <c r="AG69" i="5"/>
  <c r="AI69" i="5"/>
  <c r="AK69" i="5"/>
  <c r="AE69" i="5"/>
  <c r="AL73" i="5"/>
  <c r="AF73" i="5"/>
  <c r="AH73" i="5"/>
  <c r="AK73" i="5"/>
  <c r="AG73" i="5"/>
  <c r="AJ73" i="5"/>
  <c r="AI73" i="5"/>
  <c r="AE73" i="5"/>
  <c r="AL72" i="5"/>
  <c r="AH72" i="5"/>
  <c r="AI72" i="5"/>
  <c r="AK72" i="5"/>
  <c r="AG72" i="5"/>
  <c r="AJ72" i="5"/>
  <c r="AF72" i="5"/>
  <c r="AE72" i="5"/>
  <c r="AL80" i="5"/>
  <c r="AI80" i="5"/>
  <c r="AK80" i="5"/>
  <c r="AF80" i="5"/>
  <c r="AJ80" i="5"/>
  <c r="AH80" i="5"/>
  <c r="AG80" i="5"/>
  <c r="AE80" i="5"/>
  <c r="AL81" i="5"/>
  <c r="AK81" i="5"/>
  <c r="AF81" i="5"/>
  <c r="AJ81" i="5"/>
  <c r="AH81" i="5"/>
  <c r="AG81" i="5"/>
  <c r="AI81" i="5"/>
  <c r="AE81" i="5"/>
  <c r="AL74" i="5"/>
  <c r="AI74" i="5"/>
  <c r="AK74" i="5"/>
  <c r="AH74" i="5"/>
  <c r="AG74" i="5"/>
  <c r="AJ74" i="5"/>
  <c r="AF74" i="5"/>
  <c r="AE74" i="5"/>
  <c r="AL68" i="5"/>
  <c r="AG68" i="5"/>
  <c r="AJ68" i="5"/>
  <c r="AF68" i="5"/>
  <c r="AI68" i="5"/>
  <c r="AH68" i="5"/>
  <c r="AK68" i="5"/>
  <c r="AE68" i="5"/>
  <c r="AL82" i="5"/>
  <c r="AJ82" i="5"/>
  <c r="AH82" i="5"/>
  <c r="AI82" i="5"/>
  <c r="AG82" i="5"/>
  <c r="AK82" i="5"/>
  <c r="AF82" i="5"/>
  <c r="AE82" i="5"/>
  <c r="AL83" i="5"/>
  <c r="AH83" i="5"/>
  <c r="AK83" i="5"/>
  <c r="AG83" i="5"/>
  <c r="AJ83" i="5"/>
  <c r="AF83" i="5"/>
  <c r="AI83" i="5"/>
  <c r="AE83" i="5"/>
  <c r="AL38" i="5"/>
  <c r="AK38" i="5"/>
  <c r="AF38" i="5"/>
  <c r="AI38" i="5"/>
  <c r="AG38" i="5"/>
  <c r="AJ38" i="5"/>
  <c r="AH38" i="5"/>
  <c r="AE38" i="5"/>
  <c r="AL40" i="5"/>
  <c r="AF40" i="5"/>
  <c r="AI40" i="5"/>
  <c r="AH40" i="5"/>
  <c r="AK40" i="5"/>
  <c r="AJ40" i="5"/>
  <c r="AG40" i="5"/>
  <c r="AE40" i="5"/>
  <c r="AI46" i="5"/>
  <c r="AE46" i="5"/>
  <c r="AH46" i="5"/>
  <c r="AJ46" i="5"/>
  <c r="AF46" i="5"/>
  <c r="AK46" i="5"/>
  <c r="AG46" i="5"/>
  <c r="AL46" i="5"/>
  <c r="AL39" i="5"/>
  <c r="AF39" i="5"/>
  <c r="AJ39" i="5"/>
  <c r="AG39" i="5"/>
  <c r="AI39" i="5"/>
  <c r="AH39" i="5"/>
  <c r="AK39" i="5"/>
  <c r="AE39" i="5"/>
  <c r="AI48" i="5"/>
  <c r="AE48" i="5"/>
  <c r="AJ48" i="5"/>
  <c r="AF48" i="5"/>
  <c r="AH48" i="5"/>
  <c r="AK48" i="5"/>
  <c r="AG48" i="5"/>
  <c r="AL48" i="5"/>
  <c r="AK47" i="5"/>
  <c r="AG47" i="5"/>
  <c r="AJ47" i="5"/>
  <c r="AF47" i="5"/>
  <c r="AH47" i="5"/>
  <c r="AI47" i="5"/>
  <c r="AE47" i="5"/>
  <c r="AL47" i="5"/>
  <c r="AL49" i="5"/>
  <c r="AH49" i="5"/>
  <c r="AK49" i="5"/>
  <c r="AG49" i="5"/>
  <c r="AJ49" i="5"/>
  <c r="AF49" i="5"/>
  <c r="AI49" i="5"/>
  <c r="AE49" i="5"/>
  <c r="T1591" i="8"/>
  <c r="T1581" i="8"/>
  <c r="AL698" i="5"/>
  <c r="AG698" i="5"/>
  <c r="AJ698" i="5"/>
  <c r="AK698" i="5"/>
  <c r="AI698" i="5"/>
  <c r="AF698" i="5"/>
  <c r="AH698" i="5"/>
  <c r="AE698" i="5"/>
  <c r="AL697" i="5"/>
  <c r="AK697" i="5"/>
  <c r="AJ697" i="5"/>
  <c r="AF697" i="5"/>
  <c r="AH697" i="5"/>
  <c r="AI697" i="5"/>
  <c r="AG697" i="5"/>
  <c r="AE697" i="5"/>
  <c r="AJ694" i="5"/>
  <c r="AF694" i="5"/>
  <c r="AH694" i="5"/>
  <c r="AK694" i="5"/>
  <c r="AG694" i="5"/>
  <c r="AI694" i="5"/>
  <c r="AE694" i="5"/>
  <c r="AL700" i="5"/>
  <c r="AJ700" i="5"/>
  <c r="AH700" i="5"/>
  <c r="AK700" i="5"/>
  <c r="AF700" i="5"/>
  <c r="AI700" i="5"/>
  <c r="AG700" i="5"/>
  <c r="AE700" i="5"/>
  <c r="AI690" i="5"/>
  <c r="AF690" i="5"/>
  <c r="AK690" i="5"/>
  <c r="AJ690" i="5"/>
  <c r="AH690" i="5"/>
  <c r="AG690" i="5"/>
  <c r="AE690" i="5"/>
  <c r="AL699" i="5"/>
  <c r="AG699" i="5"/>
  <c r="AI699" i="5"/>
  <c r="AJ699" i="5"/>
  <c r="AK699" i="5"/>
  <c r="AH699" i="5"/>
  <c r="AF699" i="5"/>
  <c r="AE699" i="5"/>
  <c r="AF692" i="5"/>
  <c r="AK692" i="5"/>
  <c r="AI692" i="5"/>
  <c r="AG692" i="5"/>
  <c r="AJ692" i="5"/>
  <c r="AH692" i="5"/>
  <c r="AE692" i="5"/>
  <c r="AI693" i="5"/>
  <c r="AF693" i="5"/>
  <c r="AJ693" i="5"/>
  <c r="AH693" i="5"/>
  <c r="AG693" i="5"/>
  <c r="AK693" i="5"/>
  <c r="AE693" i="5"/>
  <c r="AF691" i="5"/>
  <c r="AH691" i="5"/>
  <c r="AJ691" i="5"/>
  <c r="AI691" i="5"/>
  <c r="AK691" i="5"/>
  <c r="AG691" i="5"/>
  <c r="AE691" i="5"/>
  <c r="AL701" i="5"/>
  <c r="AI701" i="5"/>
  <c r="AH701" i="5"/>
  <c r="AJ701" i="5"/>
  <c r="AG701" i="5"/>
  <c r="AF701" i="5"/>
  <c r="AK701" i="5"/>
  <c r="AE701" i="5"/>
  <c r="AE846" i="5"/>
  <c r="AK846" i="5"/>
  <c r="AI846" i="5"/>
  <c r="AH846" i="5"/>
  <c r="AJ846" i="5"/>
  <c r="AL846" i="5"/>
  <c r="AL840" i="5"/>
  <c r="AH840" i="5"/>
  <c r="AK840" i="5"/>
  <c r="AG840" i="5"/>
  <c r="AJ840" i="5"/>
  <c r="AI840" i="5"/>
  <c r="AE840" i="5"/>
  <c r="AL842" i="5"/>
  <c r="AH842" i="5"/>
  <c r="AK842" i="5"/>
  <c r="AG842" i="5"/>
  <c r="AE842" i="5"/>
  <c r="AJ842" i="5"/>
  <c r="AI842" i="5"/>
  <c r="AI839" i="5"/>
  <c r="AJ839" i="5"/>
  <c r="AK839" i="5"/>
  <c r="AG839" i="5"/>
  <c r="AH839" i="5"/>
  <c r="AE839" i="5"/>
  <c r="AE926" i="5"/>
  <c r="AG926" i="5"/>
  <c r="AF926" i="5"/>
  <c r="AK926" i="5"/>
  <c r="AJ926" i="5"/>
  <c r="AH926" i="5"/>
  <c r="AH927" i="5"/>
  <c r="AK927" i="5"/>
  <c r="AG927" i="5"/>
  <c r="AE927" i="5"/>
  <c r="AJ927" i="5"/>
  <c r="AF927" i="5"/>
  <c r="AI927" i="5"/>
  <c r="AJ930" i="5"/>
  <c r="AG930" i="5"/>
  <c r="AE930" i="5"/>
  <c r="AK930" i="5"/>
  <c r="AI930" i="5"/>
  <c r="AF930" i="5"/>
  <c r="AH931" i="5"/>
  <c r="AK931" i="5"/>
  <c r="AG931" i="5"/>
  <c r="AJ931" i="5"/>
  <c r="AF931" i="5"/>
  <c r="AI931" i="5"/>
  <c r="AE931" i="5"/>
  <c r="AL844" i="5"/>
  <c r="AH844" i="5"/>
  <c r="AK844" i="5"/>
  <c r="AG844" i="5"/>
  <c r="AE844" i="5"/>
  <c r="AJ844" i="5"/>
  <c r="AI844" i="5"/>
  <c r="AL845" i="5"/>
  <c r="AH845" i="5"/>
  <c r="AK845" i="5"/>
  <c r="AG845" i="5"/>
  <c r="AE845" i="5"/>
  <c r="AJ845" i="5"/>
  <c r="AI845" i="5"/>
  <c r="T2123" i="8"/>
  <c r="T2132" i="8"/>
  <c r="T1970" i="8"/>
  <c r="T1981" i="8"/>
  <c r="T1875" i="8"/>
  <c r="T1865" i="8"/>
  <c r="T1692" i="8"/>
  <c r="T1702" i="8"/>
  <c r="T1454" i="8"/>
  <c r="T1444" i="8"/>
  <c r="T1355" i="8"/>
  <c r="T1345" i="8"/>
  <c r="AF408" i="5"/>
  <c r="AG408" i="5"/>
  <c r="AH408" i="5"/>
  <c r="AL408" i="5"/>
  <c r="AG881" i="5"/>
  <c r="AH407" i="5"/>
  <c r="AF407" i="5"/>
  <c r="AL407" i="5"/>
  <c r="AG407" i="5"/>
  <c r="AH409" i="5"/>
  <c r="AF409" i="5"/>
  <c r="AG409" i="5"/>
  <c r="AL409" i="5"/>
  <c r="AF406" i="5"/>
  <c r="AL406" i="5"/>
  <c r="AG406" i="5"/>
  <c r="AH406" i="5"/>
  <c r="AH410" i="5"/>
  <c r="AF410" i="5"/>
  <c r="AL410" i="5"/>
  <c r="AG410" i="5"/>
  <c r="AF411" i="5"/>
  <c r="AH411" i="5"/>
  <c r="AG411" i="5"/>
  <c r="AL411" i="5"/>
  <c r="AE881" i="5"/>
  <c r="AK881" i="5"/>
  <c r="AI881" i="5"/>
  <c r="AJ881" i="5"/>
  <c r="AF881" i="5"/>
  <c r="AI425" i="5"/>
  <c r="AK425" i="5"/>
  <c r="AJ425" i="5"/>
  <c r="AL425" i="5"/>
  <c r="AK426" i="5"/>
  <c r="AI426" i="5"/>
  <c r="AL426" i="5"/>
  <c r="AJ426" i="5"/>
  <c r="AI423" i="5"/>
  <c r="AK423" i="5"/>
  <c r="AJ423" i="5"/>
  <c r="AL423" i="5"/>
  <c r="AI427" i="5"/>
  <c r="AL427" i="5"/>
  <c r="AJ427" i="5"/>
  <c r="AK427" i="5"/>
  <c r="AK428" i="5"/>
  <c r="AI428" i="5"/>
  <c r="AL428" i="5"/>
  <c r="AJ428" i="5"/>
  <c r="AK424" i="5"/>
  <c r="AI424" i="5"/>
  <c r="AL424" i="5"/>
  <c r="AJ424" i="5"/>
  <c r="AE928" i="5"/>
  <c r="AJ928" i="5"/>
  <c r="AG928" i="5"/>
  <c r="AI928" i="5"/>
  <c r="AK928" i="5"/>
  <c r="AF928" i="5"/>
  <c r="AH929" i="5"/>
  <c r="AK929" i="5"/>
  <c r="AG929" i="5"/>
  <c r="AJ929" i="5"/>
  <c r="AF929" i="5"/>
  <c r="AI929" i="5"/>
  <c r="AE929" i="5"/>
  <c r="AI875" i="5"/>
  <c r="AG875" i="5"/>
  <c r="AK875" i="5"/>
  <c r="AF875" i="5"/>
  <c r="AE875" i="5"/>
  <c r="AJ875" i="5"/>
  <c r="AH925" i="5"/>
  <c r="AI925" i="5"/>
  <c r="AK925" i="5"/>
  <c r="AG925" i="5"/>
  <c r="AE925" i="5"/>
  <c r="AJ925" i="5"/>
  <c r="AF925" i="5"/>
  <c r="AH958" i="5"/>
  <c r="AE958" i="5"/>
  <c r="AK958" i="5"/>
  <c r="AG958" i="5"/>
  <c r="AI958" i="5"/>
  <c r="AJ958" i="5"/>
  <c r="AF958" i="5"/>
  <c r="AH959" i="5"/>
  <c r="AK959" i="5"/>
  <c r="AG959" i="5"/>
  <c r="AE959" i="5"/>
  <c r="AJ959" i="5"/>
  <c r="AF959" i="5"/>
  <c r="AI959" i="5"/>
  <c r="AH960" i="5"/>
  <c r="AI960" i="5"/>
  <c r="AK960" i="5"/>
  <c r="AG960" i="5"/>
  <c r="AE960" i="5"/>
  <c r="AJ960" i="5"/>
  <c r="AF960" i="5"/>
  <c r="T409" i="8"/>
  <c r="T417" i="8"/>
  <c r="AK326" i="5"/>
  <c r="AJ326" i="5"/>
  <c r="AL326" i="5"/>
  <c r="AK304" i="5"/>
  <c r="AJ304" i="5"/>
  <c r="AL315" i="5"/>
  <c r="AI861" i="5"/>
  <c r="AG861" i="5"/>
  <c r="AK861" i="5"/>
  <c r="AJ861" i="5"/>
  <c r="AH861" i="5"/>
  <c r="AE861" i="5"/>
  <c r="AL855" i="5"/>
  <c r="AH855" i="5"/>
  <c r="AK855" i="5"/>
  <c r="AG855" i="5"/>
  <c r="AI855" i="5"/>
  <c r="AE855" i="5"/>
  <c r="AJ855" i="5"/>
  <c r="AL384" i="5"/>
  <c r="AK384" i="5"/>
  <c r="AL385" i="5"/>
  <c r="AK385" i="5"/>
  <c r="AL201" i="5"/>
  <c r="AH201" i="5"/>
  <c r="AL203" i="5"/>
  <c r="AH203" i="5"/>
  <c r="AL211" i="5"/>
  <c r="AH211" i="5"/>
  <c r="AL199" i="5"/>
  <c r="AH199" i="5"/>
  <c r="AL198" i="5"/>
  <c r="AH198" i="5"/>
  <c r="AL209" i="5"/>
  <c r="AH209" i="5"/>
  <c r="AH674" i="5"/>
  <c r="AL210" i="5"/>
  <c r="AH210" i="5"/>
  <c r="AL200" i="5"/>
  <c r="AL175" i="5"/>
  <c r="AK175" i="5"/>
  <c r="AH175" i="5"/>
  <c r="AL197" i="5"/>
  <c r="AH197" i="5"/>
  <c r="AL202" i="5"/>
  <c r="AH202" i="5"/>
  <c r="AL212" i="5"/>
  <c r="AH212" i="5"/>
  <c r="AJ212" i="5"/>
  <c r="AF212" i="5"/>
  <c r="AK212" i="5"/>
  <c r="AG212" i="5"/>
  <c r="AE212" i="5"/>
  <c r="AI212" i="5"/>
  <c r="AJ177" i="5"/>
  <c r="AF177" i="5"/>
  <c r="AI177" i="5"/>
  <c r="AE177" i="5"/>
  <c r="AL177" i="5"/>
  <c r="AH177" i="5"/>
  <c r="AK177" i="5"/>
  <c r="AG177" i="5"/>
  <c r="AL166" i="5"/>
  <c r="AK166" i="5"/>
  <c r="AH166" i="5"/>
  <c r="AL176" i="5"/>
  <c r="AH176" i="5"/>
  <c r="AK176" i="5"/>
  <c r="AL168" i="5"/>
  <c r="AH168" i="5"/>
  <c r="AK168" i="5"/>
  <c r="AL167" i="5"/>
  <c r="AH167" i="5"/>
  <c r="AK167" i="5"/>
  <c r="AL174" i="5"/>
  <c r="AH174" i="5"/>
  <c r="AK174" i="5"/>
  <c r="AH667" i="5"/>
  <c r="AH668" i="5"/>
  <c r="AH664" i="5"/>
  <c r="AH665" i="5"/>
  <c r="AH666" i="5"/>
  <c r="AH671" i="5"/>
  <c r="AH672" i="5"/>
  <c r="AH673" i="5"/>
  <c r="AH675" i="5"/>
  <c r="AI919" i="5"/>
  <c r="AI951" i="5"/>
  <c r="AE919" i="5"/>
  <c r="AF951" i="5"/>
  <c r="AE955" i="5"/>
  <c r="AJ556" i="5"/>
  <c r="AK556" i="5"/>
  <c r="AG580" i="5"/>
  <c r="AK580" i="5"/>
  <c r="AJ580" i="5"/>
  <c r="AH580" i="5"/>
  <c r="AJ550" i="5"/>
  <c r="AK550" i="5"/>
  <c r="AG519" i="5"/>
  <c r="AH519" i="5"/>
  <c r="AK519" i="5"/>
  <c r="AJ519" i="5"/>
  <c r="AJ713" i="5"/>
  <c r="AG713" i="5"/>
  <c r="AH713" i="5"/>
  <c r="AK713" i="5"/>
  <c r="AJ348" i="5"/>
  <c r="AK348" i="5"/>
  <c r="AJ553" i="5"/>
  <c r="AK553" i="5"/>
  <c r="AJ517" i="5"/>
  <c r="AH517" i="5"/>
  <c r="AK517" i="5"/>
  <c r="AG517" i="5"/>
  <c r="AJ481" i="5"/>
  <c r="AK481" i="5"/>
  <c r="AG54" i="5"/>
  <c r="AJ54" i="5"/>
  <c r="AH54" i="5"/>
  <c r="AK54" i="5"/>
  <c r="AG53" i="5"/>
  <c r="AJ53" i="5"/>
  <c r="AH53" i="5"/>
  <c r="AK53" i="5"/>
  <c r="AH402" i="5"/>
  <c r="AG402" i="5"/>
  <c r="AK490" i="5"/>
  <c r="AJ490" i="5"/>
  <c r="AH679" i="5"/>
  <c r="AK679" i="5"/>
  <c r="AJ679" i="5"/>
  <c r="AG679" i="5"/>
  <c r="AK863" i="5"/>
  <c r="AJ863" i="5"/>
  <c r="AH863" i="5"/>
  <c r="AG863" i="5"/>
  <c r="AG520" i="5"/>
  <c r="AH520" i="5"/>
  <c r="AJ520" i="5"/>
  <c r="AK520" i="5"/>
  <c r="AJ772" i="5"/>
  <c r="AK772" i="5"/>
  <c r="AK889" i="5"/>
  <c r="AJ889" i="5"/>
  <c r="AH889" i="5"/>
  <c r="AG889" i="5"/>
  <c r="AK952" i="5"/>
  <c r="AJ952" i="5"/>
  <c r="AH952" i="5"/>
  <c r="AG952" i="5"/>
  <c r="AJ432" i="5"/>
  <c r="AG432" i="5"/>
  <c r="AH432" i="5"/>
  <c r="AK432" i="5"/>
  <c r="AG576" i="5"/>
  <c r="AK576" i="5"/>
  <c r="AJ576" i="5"/>
  <c r="AH576" i="5"/>
  <c r="AK848" i="5"/>
  <c r="AJ848" i="5"/>
  <c r="AH848" i="5"/>
  <c r="AG848" i="5"/>
  <c r="AK894" i="5"/>
  <c r="AJ894" i="5"/>
  <c r="AG894" i="5"/>
  <c r="AH894" i="5"/>
  <c r="AK910" i="5"/>
  <c r="AJ910" i="5"/>
  <c r="AG910" i="5"/>
  <c r="AH910" i="5"/>
  <c r="AK150" i="5"/>
  <c r="AJ150" i="5"/>
  <c r="AH150" i="5"/>
  <c r="AG150" i="5"/>
  <c r="AK807" i="5"/>
  <c r="AJ807" i="5"/>
  <c r="AH807" i="5"/>
  <c r="AG807" i="5"/>
  <c r="AJ474" i="5"/>
  <c r="AK474" i="5"/>
  <c r="AH400" i="5"/>
  <c r="AG400" i="5"/>
  <c r="AJ447" i="5"/>
  <c r="AK447" i="5"/>
  <c r="AK65" i="5"/>
  <c r="AJ65" i="5"/>
  <c r="AH65" i="5"/>
  <c r="AG65" i="5"/>
  <c r="AK549" i="5"/>
  <c r="AJ549" i="5"/>
  <c r="AJ533" i="5"/>
  <c r="AK533" i="5"/>
  <c r="AK376" i="5"/>
  <c r="AJ376" i="5"/>
  <c r="AK339" i="5"/>
  <c r="AJ339" i="5"/>
  <c r="AJ302" i="5"/>
  <c r="AK302" i="5"/>
  <c r="AJ35" i="5"/>
  <c r="AG35" i="5"/>
  <c r="AK35" i="5"/>
  <c r="AH35" i="5"/>
  <c r="AK414" i="5"/>
  <c r="AJ414" i="5"/>
  <c r="AK526" i="5"/>
  <c r="AJ526" i="5"/>
  <c r="AH685" i="5"/>
  <c r="AJ685" i="5"/>
  <c r="AK685" i="5"/>
  <c r="AG685" i="5"/>
  <c r="AK783" i="5"/>
  <c r="AJ783" i="5"/>
  <c r="AK821" i="5"/>
  <c r="AJ821" i="5"/>
  <c r="AG821" i="5"/>
  <c r="AH821" i="5"/>
  <c r="AK849" i="5"/>
  <c r="AJ849" i="5"/>
  <c r="AH849" i="5"/>
  <c r="AG849" i="5"/>
  <c r="AK867" i="5"/>
  <c r="AJ867" i="5"/>
  <c r="AH867" i="5"/>
  <c r="AG867" i="5"/>
  <c r="AK887" i="5"/>
  <c r="AJ887" i="5"/>
  <c r="AH887" i="5"/>
  <c r="AG887" i="5"/>
  <c r="AK903" i="5"/>
  <c r="AJ903" i="5"/>
  <c r="AH903" i="5"/>
  <c r="AG903" i="5"/>
  <c r="AK324" i="5"/>
  <c r="AJ324" i="5"/>
  <c r="AJ527" i="5"/>
  <c r="AK527" i="5"/>
  <c r="AK776" i="5"/>
  <c r="AJ776" i="5"/>
  <c r="AK831" i="5"/>
  <c r="AJ831" i="5"/>
  <c r="AH831" i="5"/>
  <c r="AG831" i="5"/>
  <c r="AK854" i="5"/>
  <c r="AJ854" i="5"/>
  <c r="AH854" i="5"/>
  <c r="AG854" i="5"/>
  <c r="AK884" i="5"/>
  <c r="AJ884" i="5"/>
  <c r="AH884" i="5"/>
  <c r="AG884" i="5"/>
  <c r="AK900" i="5"/>
  <c r="AJ900" i="5"/>
  <c r="AH900" i="5"/>
  <c r="AG900" i="5"/>
  <c r="AK916" i="5"/>
  <c r="AJ916" i="5"/>
  <c r="AH916" i="5"/>
  <c r="AG916" i="5"/>
  <c r="AK946" i="5"/>
  <c r="AJ946" i="5"/>
  <c r="AH946" i="5"/>
  <c r="AG946" i="5"/>
  <c r="AF943" i="5"/>
  <c r="AK943" i="5"/>
  <c r="AJ943" i="5"/>
  <c r="AH943" i="5"/>
  <c r="AG943" i="5"/>
  <c r="AH20" i="5"/>
  <c r="AJ20" i="5"/>
  <c r="AK20" i="5"/>
  <c r="AG20" i="5"/>
  <c r="AK843" i="5"/>
  <c r="AJ843" i="5"/>
  <c r="AH843" i="5"/>
  <c r="AG843" i="5"/>
  <c r="AK901" i="5"/>
  <c r="AJ901" i="5"/>
  <c r="AH901" i="5"/>
  <c r="AG901" i="5"/>
  <c r="AK948" i="5"/>
  <c r="AJ948" i="5"/>
  <c r="AH948" i="5"/>
  <c r="AG948" i="5"/>
  <c r="AJ420" i="5"/>
  <c r="AK420" i="5"/>
  <c r="AJ486" i="5"/>
  <c r="AK486" i="5"/>
  <c r="AK812" i="5"/>
  <c r="AJ812" i="5"/>
  <c r="AH812" i="5"/>
  <c r="AG812" i="5"/>
  <c r="AK837" i="5"/>
  <c r="AJ837" i="5"/>
  <c r="AH837" i="5"/>
  <c r="AG837" i="5"/>
  <c r="AK906" i="5"/>
  <c r="AJ906" i="5"/>
  <c r="AG906" i="5"/>
  <c r="AH906" i="5"/>
  <c r="AK827" i="5"/>
  <c r="AJ827" i="5"/>
  <c r="AH827" i="5"/>
  <c r="AG827" i="5"/>
  <c r="AK811" i="5"/>
  <c r="AJ811" i="5"/>
  <c r="AH811" i="5"/>
  <c r="AG811" i="5"/>
  <c r="AJ478" i="5"/>
  <c r="AK478" i="5"/>
  <c r="AK34" i="5"/>
  <c r="AH34" i="5"/>
  <c r="AG34" i="5"/>
  <c r="AJ34" i="5"/>
  <c r="AK773" i="5"/>
  <c r="AJ773" i="5"/>
  <c r="AH579" i="5"/>
  <c r="AK579" i="5"/>
  <c r="AJ579" i="5"/>
  <c r="AG579" i="5"/>
  <c r="AK21" i="5"/>
  <c r="AH21" i="5"/>
  <c r="AG21" i="5"/>
  <c r="AJ21" i="5"/>
  <c r="AJ537" i="5"/>
  <c r="AK537" i="5"/>
  <c r="AK457" i="5"/>
  <c r="AJ457" i="5"/>
  <c r="AG433" i="5"/>
  <c r="AK433" i="5"/>
  <c r="AJ433" i="5"/>
  <c r="AH433" i="5"/>
  <c r="AJ343" i="5"/>
  <c r="AK343" i="5"/>
  <c r="AK838" i="5"/>
  <c r="AJ838" i="5"/>
  <c r="AH838" i="5"/>
  <c r="AG838" i="5"/>
  <c r="AK899" i="5"/>
  <c r="AJ899" i="5"/>
  <c r="AH899" i="5"/>
  <c r="AG899" i="5"/>
  <c r="AK851" i="5"/>
  <c r="AJ851" i="5"/>
  <c r="AH851" i="5"/>
  <c r="AG851" i="5"/>
  <c r="AK871" i="5"/>
  <c r="AJ871" i="5"/>
  <c r="AH871" i="5"/>
  <c r="AG871" i="5"/>
  <c r="AK921" i="5"/>
  <c r="AJ921" i="5"/>
  <c r="AH921" i="5"/>
  <c r="AG921" i="5"/>
  <c r="AK375" i="5"/>
  <c r="AJ375" i="5"/>
  <c r="AK546" i="5"/>
  <c r="AJ546" i="5"/>
  <c r="AK787" i="5"/>
  <c r="AJ787" i="5"/>
  <c r="AK866" i="5"/>
  <c r="AJ866" i="5"/>
  <c r="AH866" i="5"/>
  <c r="AG866" i="5"/>
  <c r="AK877" i="5"/>
  <c r="AJ877" i="5"/>
  <c r="AG877" i="5"/>
  <c r="AH877" i="5"/>
  <c r="AK823" i="5"/>
  <c r="AJ823" i="5"/>
  <c r="AH823" i="5"/>
  <c r="AG823" i="5"/>
  <c r="AK544" i="5"/>
  <c r="AJ544" i="5"/>
  <c r="AK448" i="5"/>
  <c r="AJ448" i="5"/>
  <c r="AK814" i="5"/>
  <c r="AJ814" i="5"/>
  <c r="AH814" i="5"/>
  <c r="AG814" i="5"/>
  <c r="AG709" i="5"/>
  <c r="AK709" i="5"/>
  <c r="AH709" i="5"/>
  <c r="AJ709" i="5"/>
  <c r="AK482" i="5"/>
  <c r="AJ482" i="5"/>
  <c r="AK416" i="5"/>
  <c r="AJ416" i="5"/>
  <c r="AK569" i="5"/>
  <c r="AG569" i="5"/>
  <c r="AJ569" i="5"/>
  <c r="AH569" i="5"/>
  <c r="AK453" i="5"/>
  <c r="AJ453" i="5"/>
  <c r="AJ417" i="5"/>
  <c r="AK417" i="5"/>
  <c r="AH292" i="5"/>
  <c r="AG292" i="5"/>
  <c r="AJ292" i="5"/>
  <c r="AK292" i="5"/>
  <c r="AH27" i="5"/>
  <c r="AJ27" i="5"/>
  <c r="AG27" i="5"/>
  <c r="AK27" i="5"/>
  <c r="AJ419" i="5"/>
  <c r="AK419" i="5"/>
  <c r="AJ455" i="5"/>
  <c r="AK455" i="5"/>
  <c r="AJ542" i="5"/>
  <c r="AK542" i="5"/>
  <c r="AH572" i="5"/>
  <c r="AG572" i="5"/>
  <c r="AK572" i="5"/>
  <c r="AJ572" i="5"/>
  <c r="AL747" i="5"/>
  <c r="AK832" i="5"/>
  <c r="AJ832" i="5"/>
  <c r="AH832" i="5"/>
  <c r="AG832" i="5"/>
  <c r="AK856" i="5"/>
  <c r="AJ856" i="5"/>
  <c r="AH856" i="5"/>
  <c r="AG856" i="5"/>
  <c r="AK876" i="5"/>
  <c r="AJ876" i="5"/>
  <c r="AH876" i="5"/>
  <c r="AG876" i="5"/>
  <c r="AK893" i="5"/>
  <c r="AJ893" i="5"/>
  <c r="AH893" i="5"/>
  <c r="AG893" i="5"/>
  <c r="AK909" i="5"/>
  <c r="AJ909" i="5"/>
  <c r="AH909" i="5"/>
  <c r="AG909" i="5"/>
  <c r="AK940" i="5"/>
  <c r="AJ940" i="5"/>
  <c r="AH940" i="5"/>
  <c r="AG940" i="5"/>
  <c r="AG442" i="5"/>
  <c r="AJ442" i="5"/>
  <c r="AK442" i="5"/>
  <c r="AH442" i="5"/>
  <c r="AK471" i="5"/>
  <c r="AJ471" i="5"/>
  <c r="AK552" i="5"/>
  <c r="AJ552" i="5"/>
  <c r="AG708" i="5"/>
  <c r="AJ708" i="5"/>
  <c r="AH708" i="5"/>
  <c r="AK708" i="5"/>
  <c r="AK791" i="5"/>
  <c r="AJ791" i="5"/>
  <c r="AK828" i="5"/>
  <c r="AJ828" i="5"/>
  <c r="AH828" i="5"/>
  <c r="AG828" i="5"/>
  <c r="AK852" i="5"/>
  <c r="AJ852" i="5"/>
  <c r="AG852" i="5"/>
  <c r="AH852" i="5"/>
  <c r="AK882" i="5"/>
  <c r="AJ882" i="5"/>
  <c r="AH882" i="5"/>
  <c r="AG882" i="5"/>
  <c r="AK898" i="5"/>
  <c r="AJ898" i="5"/>
  <c r="AH898" i="5"/>
  <c r="AG898" i="5"/>
  <c r="AK914" i="5"/>
  <c r="AJ914" i="5"/>
  <c r="AH914" i="5"/>
  <c r="AG914" i="5"/>
  <c r="AK945" i="5"/>
  <c r="AJ945" i="5"/>
  <c r="AH945" i="5"/>
  <c r="AG945" i="5"/>
  <c r="AK819" i="5"/>
  <c r="AJ819" i="5"/>
  <c r="AH819" i="5"/>
  <c r="AG819" i="5"/>
  <c r="AJ778" i="5"/>
  <c r="AK778" i="5"/>
  <c r="AJ564" i="5"/>
  <c r="AH564" i="5"/>
  <c r="AG564" i="5"/>
  <c r="AK564" i="5"/>
  <c r="AK534" i="5"/>
  <c r="AJ534" i="5"/>
  <c r="AJ463" i="5"/>
  <c r="AK463" i="5"/>
  <c r="AH439" i="5"/>
  <c r="AJ439" i="5"/>
  <c r="AG439" i="5"/>
  <c r="AK439" i="5"/>
  <c r="AH363" i="5"/>
  <c r="AK363" i="5"/>
  <c r="AJ363" i="5"/>
  <c r="AG363" i="5"/>
  <c r="AK826" i="5"/>
  <c r="AJ826" i="5"/>
  <c r="AH826" i="5"/>
  <c r="AG826" i="5"/>
  <c r="AK810" i="5"/>
  <c r="AJ810" i="5"/>
  <c r="AH810" i="5"/>
  <c r="AG810" i="5"/>
  <c r="AK781" i="5"/>
  <c r="AJ781" i="5"/>
  <c r="AK740" i="5"/>
  <c r="AJ740" i="5"/>
  <c r="AK705" i="5"/>
  <c r="AJ705" i="5"/>
  <c r="AH705" i="5"/>
  <c r="AG705" i="5"/>
  <c r="AK568" i="5"/>
  <c r="AJ568" i="5"/>
  <c r="AH568" i="5"/>
  <c r="AG568" i="5"/>
  <c r="AK532" i="5"/>
  <c r="AJ532" i="5"/>
  <c r="AJ472" i="5"/>
  <c r="AK472" i="5"/>
  <c r="AH443" i="5"/>
  <c r="AJ443" i="5"/>
  <c r="AG443" i="5"/>
  <c r="AK443" i="5"/>
  <c r="AG399" i="5"/>
  <c r="AH399" i="5"/>
  <c r="AK52" i="5"/>
  <c r="AJ52" i="5"/>
  <c r="AG52" i="5"/>
  <c r="AH52" i="5"/>
  <c r="AJ684" i="5"/>
  <c r="AG684" i="5"/>
  <c r="AH684" i="5"/>
  <c r="AK684" i="5"/>
  <c r="AK565" i="5"/>
  <c r="AG565" i="5"/>
  <c r="AH565" i="5"/>
  <c r="AJ565" i="5"/>
  <c r="AJ545" i="5"/>
  <c r="AK545" i="5"/>
  <c r="AK525" i="5"/>
  <c r="AJ525" i="5"/>
  <c r="AJ509" i="5"/>
  <c r="AH509" i="5"/>
  <c r="AK509" i="5"/>
  <c r="AG509" i="5"/>
  <c r="AJ489" i="5"/>
  <c r="AK489" i="5"/>
  <c r="AK469" i="5"/>
  <c r="AJ469" i="5"/>
  <c r="AJ449" i="5"/>
  <c r="AK449" i="5"/>
  <c r="AH401" i="5"/>
  <c r="AG401" i="5"/>
  <c r="AJ288" i="5"/>
  <c r="AK288" i="5"/>
  <c r="AJ19" i="5"/>
  <c r="AH19" i="5"/>
  <c r="AK19" i="5"/>
  <c r="AG19" i="5"/>
  <c r="AK333" i="5"/>
  <c r="AJ333" i="5"/>
  <c r="AK298" i="5"/>
  <c r="AJ298" i="5"/>
  <c r="AH298" i="5"/>
  <c r="AG298" i="5"/>
  <c r="AH26" i="5"/>
  <c r="AJ26" i="5"/>
  <c r="AG26" i="5"/>
  <c r="AK26" i="5"/>
  <c r="AK475" i="5"/>
  <c r="AJ475" i="5"/>
  <c r="AJ531" i="5"/>
  <c r="AK531" i="5"/>
  <c r="AH704" i="5"/>
  <c r="AG704" i="5"/>
  <c r="AJ704" i="5"/>
  <c r="AK704" i="5"/>
  <c r="AK788" i="5"/>
  <c r="AJ788" i="5"/>
  <c r="AK829" i="5"/>
  <c r="AJ829" i="5"/>
  <c r="AG829" i="5"/>
  <c r="AH829" i="5"/>
  <c r="AK853" i="5"/>
  <c r="AJ853" i="5"/>
  <c r="AH853" i="5"/>
  <c r="AG853" i="5"/>
  <c r="AK873" i="5"/>
  <c r="AJ873" i="5"/>
  <c r="AH873" i="5"/>
  <c r="AG873" i="5"/>
  <c r="AK891" i="5"/>
  <c r="AJ891" i="5"/>
  <c r="AH891" i="5"/>
  <c r="AG891" i="5"/>
  <c r="AK907" i="5"/>
  <c r="AJ907" i="5"/>
  <c r="AH907" i="5"/>
  <c r="AG907" i="5"/>
  <c r="AH403" i="5"/>
  <c r="AG403" i="5"/>
  <c r="AK535" i="5"/>
  <c r="AJ535" i="5"/>
  <c r="AK808" i="5"/>
  <c r="AJ808" i="5"/>
  <c r="AH808" i="5"/>
  <c r="AG808" i="5"/>
  <c r="AK835" i="5"/>
  <c r="AJ835" i="5"/>
  <c r="AH835" i="5"/>
  <c r="AG835" i="5"/>
  <c r="AK859" i="5"/>
  <c r="AJ859" i="5"/>
  <c r="AH859" i="5"/>
  <c r="AG859" i="5"/>
  <c r="AK870" i="5"/>
  <c r="AJ870" i="5"/>
  <c r="AH870" i="5"/>
  <c r="AG870" i="5"/>
  <c r="AK888" i="5"/>
  <c r="AJ888" i="5"/>
  <c r="AH888" i="5"/>
  <c r="AG888" i="5"/>
  <c r="AK904" i="5"/>
  <c r="AJ904" i="5"/>
  <c r="AH904" i="5"/>
  <c r="AG904" i="5"/>
  <c r="AK920" i="5"/>
  <c r="AJ920" i="5"/>
  <c r="AH920" i="5"/>
  <c r="AG920" i="5"/>
  <c r="AK954" i="5"/>
  <c r="AJ954" i="5"/>
  <c r="AH954" i="5"/>
  <c r="AG954" i="5"/>
  <c r="AK911" i="5"/>
  <c r="AJ911" i="5"/>
  <c r="AH911" i="5"/>
  <c r="AG911" i="5"/>
  <c r="AK915" i="5"/>
  <c r="AJ915" i="5"/>
  <c r="AH915" i="5"/>
  <c r="AG915" i="5"/>
  <c r="AK957" i="5"/>
  <c r="AJ957" i="5"/>
  <c r="AG957" i="5"/>
  <c r="AH957" i="5"/>
  <c r="AH440" i="5"/>
  <c r="AG440" i="5"/>
  <c r="AK440" i="5"/>
  <c r="AJ440" i="5"/>
  <c r="AK470" i="5"/>
  <c r="AJ470" i="5"/>
  <c r="AG712" i="5"/>
  <c r="AH712" i="5"/>
  <c r="AK712" i="5"/>
  <c r="AJ712" i="5"/>
  <c r="AK817" i="5"/>
  <c r="AH817" i="5"/>
  <c r="AG817" i="5"/>
  <c r="AJ817" i="5"/>
  <c r="AK885" i="5"/>
  <c r="AJ885" i="5"/>
  <c r="AH885" i="5"/>
  <c r="AG885" i="5"/>
  <c r="AK917" i="5"/>
  <c r="AJ917" i="5"/>
  <c r="AH917" i="5"/>
  <c r="AG917" i="5"/>
  <c r="AH25" i="5"/>
  <c r="AK25" i="5"/>
  <c r="AJ25" i="5"/>
  <c r="AG25" i="5"/>
  <c r="AK342" i="5"/>
  <c r="AJ342" i="5"/>
  <c r="AJ456" i="5"/>
  <c r="AK456" i="5"/>
  <c r="AK567" i="5"/>
  <c r="AG567" i="5"/>
  <c r="AH567" i="5"/>
  <c r="AJ567" i="5"/>
  <c r="AK743" i="5"/>
  <c r="AJ743" i="5"/>
  <c r="AK862" i="5"/>
  <c r="AJ862" i="5"/>
  <c r="AH862" i="5"/>
  <c r="AG862" i="5"/>
  <c r="AK872" i="5"/>
  <c r="AJ872" i="5"/>
  <c r="AG872" i="5"/>
  <c r="AH872" i="5"/>
  <c r="AK890" i="5"/>
  <c r="AJ890" i="5"/>
  <c r="AG890" i="5"/>
  <c r="AH890" i="5"/>
  <c r="AK922" i="5"/>
  <c r="AJ922" i="5"/>
  <c r="AG922" i="5"/>
  <c r="AH922" i="5"/>
  <c r="AJ786" i="5"/>
  <c r="AK786" i="5"/>
  <c r="AK454" i="5"/>
  <c r="AJ454" i="5"/>
  <c r="AJ418" i="5"/>
  <c r="AK418" i="5"/>
  <c r="AK818" i="5"/>
  <c r="AJ818" i="5"/>
  <c r="AH818" i="5"/>
  <c r="AG818" i="5"/>
  <c r="AL748" i="5"/>
  <c r="AK559" i="5"/>
  <c r="AJ559" i="5"/>
  <c r="AJ518" i="5"/>
  <c r="AK518" i="5"/>
  <c r="AG518" i="5"/>
  <c r="AH518" i="5"/>
  <c r="AK487" i="5"/>
  <c r="AJ487" i="5"/>
  <c r="AJ458" i="5"/>
  <c r="AK458" i="5"/>
  <c r="AG434" i="5"/>
  <c r="AK434" i="5"/>
  <c r="AH434" i="5"/>
  <c r="AJ434" i="5"/>
  <c r="AH573" i="5"/>
  <c r="AK573" i="5"/>
  <c r="AG573" i="5"/>
  <c r="AJ573" i="5"/>
  <c r="AK334" i="5"/>
  <c r="AJ334" i="5"/>
  <c r="AJ287" i="5"/>
  <c r="AK287" i="5"/>
  <c r="AJ516" i="5"/>
  <c r="AG516" i="5"/>
  <c r="AH516" i="5"/>
  <c r="AK516" i="5"/>
  <c r="AK739" i="5"/>
  <c r="AJ739" i="5"/>
  <c r="AK813" i="5"/>
  <c r="AJ813" i="5"/>
  <c r="AG813" i="5"/>
  <c r="AH813" i="5"/>
  <c r="AK883" i="5"/>
  <c r="AJ883" i="5"/>
  <c r="AH883" i="5"/>
  <c r="AG883" i="5"/>
  <c r="AJ491" i="5"/>
  <c r="AK491" i="5"/>
  <c r="AJ446" i="5"/>
  <c r="AK446" i="5"/>
  <c r="AK536" i="5"/>
  <c r="AJ536" i="5"/>
  <c r="AK825" i="5"/>
  <c r="AJ825" i="5"/>
  <c r="AH825" i="5"/>
  <c r="AG825" i="5"/>
  <c r="AK905" i="5"/>
  <c r="AJ905" i="5"/>
  <c r="AH905" i="5"/>
  <c r="AG905" i="5"/>
  <c r="AK466" i="5"/>
  <c r="AJ466" i="5"/>
  <c r="AK820" i="5"/>
  <c r="AJ820" i="5"/>
  <c r="AH820" i="5"/>
  <c r="AG820" i="5"/>
  <c r="AK941" i="5"/>
  <c r="AJ941" i="5"/>
  <c r="AG941" i="5"/>
  <c r="AH941" i="5"/>
  <c r="AK782" i="5"/>
  <c r="AJ782" i="5"/>
  <c r="AK830" i="5"/>
  <c r="AJ830" i="5"/>
  <c r="AH830" i="5"/>
  <c r="AG830" i="5"/>
  <c r="AK793" i="5"/>
  <c r="AJ793" i="5"/>
  <c r="AK744" i="5"/>
  <c r="AJ744" i="5"/>
  <c r="AG728" i="5"/>
  <c r="AK728" i="5"/>
  <c r="AH728" i="5"/>
  <c r="AJ728" i="5"/>
  <c r="AH574" i="5"/>
  <c r="AG574" i="5"/>
  <c r="AK574" i="5"/>
  <c r="AJ574" i="5"/>
  <c r="AJ543" i="5"/>
  <c r="AK543" i="5"/>
  <c r="AG512" i="5"/>
  <c r="AK512" i="5"/>
  <c r="AJ512" i="5"/>
  <c r="AH512" i="5"/>
  <c r="AK338" i="5"/>
  <c r="AJ338" i="5"/>
  <c r="AK513" i="5"/>
  <c r="AG513" i="5"/>
  <c r="AH513" i="5"/>
  <c r="AJ513" i="5"/>
  <c r="AJ473" i="5"/>
  <c r="AK473" i="5"/>
  <c r="AJ64" i="5"/>
  <c r="AH64" i="5"/>
  <c r="AK64" i="5"/>
  <c r="AG64" i="5"/>
  <c r="AH431" i="5"/>
  <c r="AK431" i="5"/>
  <c r="AJ431" i="5"/>
  <c r="AG431" i="5"/>
  <c r="AK464" i="5"/>
  <c r="AJ464" i="5"/>
  <c r="AK551" i="5"/>
  <c r="AJ551" i="5"/>
  <c r="AK809" i="5"/>
  <c r="AJ809" i="5"/>
  <c r="AH809" i="5"/>
  <c r="AG809" i="5"/>
  <c r="AK836" i="5"/>
  <c r="AJ836" i="5"/>
  <c r="AH836" i="5"/>
  <c r="AG836" i="5"/>
  <c r="AK860" i="5"/>
  <c r="AJ860" i="5"/>
  <c r="AH860" i="5"/>
  <c r="AG860" i="5"/>
  <c r="AJ880" i="5"/>
  <c r="AK880" i="5"/>
  <c r="AH880" i="5"/>
  <c r="AG880" i="5"/>
  <c r="AJ897" i="5"/>
  <c r="AK897" i="5"/>
  <c r="AH897" i="5"/>
  <c r="AG897" i="5"/>
  <c r="AK913" i="5"/>
  <c r="AJ913" i="5"/>
  <c r="AH913" i="5"/>
  <c r="AG913" i="5"/>
  <c r="AK944" i="5"/>
  <c r="AJ944" i="5"/>
  <c r="AH944" i="5"/>
  <c r="AG944" i="5"/>
  <c r="AK949" i="5"/>
  <c r="AJ949" i="5"/>
  <c r="AH949" i="5"/>
  <c r="AG949" i="5"/>
  <c r="AK450" i="5"/>
  <c r="AJ450" i="5"/>
  <c r="AK479" i="5"/>
  <c r="AJ479" i="5"/>
  <c r="AK558" i="5"/>
  <c r="AJ558" i="5"/>
  <c r="AG727" i="5"/>
  <c r="AK727" i="5"/>
  <c r="AJ727" i="5"/>
  <c r="AH727" i="5"/>
  <c r="AK833" i="5"/>
  <c r="AJ833" i="5"/>
  <c r="AG833" i="5"/>
  <c r="AH833" i="5"/>
  <c r="AK857" i="5"/>
  <c r="AJ857" i="5"/>
  <c r="AG857" i="5"/>
  <c r="AH857" i="5"/>
  <c r="AK886" i="5"/>
  <c r="AJ886" i="5"/>
  <c r="AH886" i="5"/>
  <c r="AG886" i="5"/>
  <c r="AK902" i="5"/>
  <c r="AJ902" i="5"/>
  <c r="AH902" i="5"/>
  <c r="AG902" i="5"/>
  <c r="AK918" i="5"/>
  <c r="AJ918" i="5"/>
  <c r="AH918" i="5"/>
  <c r="AG918" i="5"/>
  <c r="AK953" i="5"/>
  <c r="AJ953" i="5"/>
  <c r="AG953" i="5"/>
  <c r="AH953" i="5"/>
  <c r="AK194" i="5"/>
  <c r="AJ194" i="5"/>
  <c r="AH194" i="5"/>
  <c r="AG194" i="5"/>
  <c r="AK56" i="5"/>
  <c r="AJ56" i="5"/>
  <c r="AG56" i="5"/>
  <c r="AH56" i="5"/>
  <c r="AK815" i="5"/>
  <c r="AJ815" i="5"/>
  <c r="AH815" i="5"/>
  <c r="AG815" i="5"/>
  <c r="AJ678" i="5"/>
  <c r="AK678" i="5"/>
  <c r="AG678" i="5"/>
  <c r="AH678" i="5"/>
  <c r="AJ560" i="5"/>
  <c r="AK560" i="5"/>
  <c r="AK524" i="5"/>
  <c r="AJ524" i="5"/>
  <c r="AJ488" i="5"/>
  <c r="AK488" i="5"/>
  <c r="AK459" i="5"/>
  <c r="AJ459" i="5"/>
  <c r="AH435" i="5"/>
  <c r="AJ435" i="5"/>
  <c r="AG435" i="5"/>
  <c r="AK435" i="5"/>
  <c r="AJ349" i="5"/>
  <c r="AK349" i="5"/>
  <c r="AK55" i="5"/>
  <c r="AJ55" i="5"/>
  <c r="AG55" i="5"/>
  <c r="AH55" i="5"/>
  <c r="AK822" i="5"/>
  <c r="AJ822" i="5"/>
  <c r="AH822" i="5"/>
  <c r="AG822" i="5"/>
  <c r="AJ777" i="5"/>
  <c r="AK777" i="5"/>
  <c r="AG563" i="5"/>
  <c r="AJ563" i="5"/>
  <c r="AK563" i="5"/>
  <c r="AH563" i="5"/>
  <c r="AK528" i="5"/>
  <c r="AJ528" i="5"/>
  <c r="AK462" i="5"/>
  <c r="AJ462" i="5"/>
  <c r="AH438" i="5"/>
  <c r="AK438" i="5"/>
  <c r="AG438" i="5"/>
  <c r="AJ438" i="5"/>
  <c r="AK33" i="5"/>
  <c r="AJ33" i="5"/>
  <c r="AH33" i="5"/>
  <c r="AG33" i="5"/>
  <c r="AJ726" i="5"/>
  <c r="AG726" i="5"/>
  <c r="AH726" i="5"/>
  <c r="AK726" i="5"/>
  <c r="AK577" i="5"/>
  <c r="AH577" i="5"/>
  <c r="AG577" i="5"/>
  <c r="AJ577" i="5"/>
  <c r="AK557" i="5"/>
  <c r="AJ557" i="5"/>
  <c r="AJ541" i="5"/>
  <c r="AK541" i="5"/>
  <c r="AK521" i="5"/>
  <c r="AG521" i="5"/>
  <c r="AJ521" i="5"/>
  <c r="AH521" i="5"/>
  <c r="AK485" i="5"/>
  <c r="AJ485" i="5"/>
  <c r="AJ465" i="5"/>
  <c r="AK465" i="5"/>
  <c r="AG441" i="5"/>
  <c r="AH441" i="5"/>
  <c r="AJ441" i="5"/>
  <c r="AK441" i="5"/>
  <c r="AG397" i="5"/>
  <c r="AH397" i="5"/>
  <c r="AJ344" i="5"/>
  <c r="AK344" i="5"/>
  <c r="AJ63" i="5"/>
  <c r="AH63" i="5"/>
  <c r="AG63" i="5"/>
  <c r="AK63" i="5"/>
  <c r="AJ364" i="5"/>
  <c r="AG364" i="5"/>
  <c r="AK364" i="5"/>
  <c r="AH364" i="5"/>
  <c r="AG57" i="5"/>
  <c r="AH57" i="5"/>
  <c r="AK57" i="5"/>
  <c r="AJ57" i="5"/>
  <c r="AG22" i="5"/>
  <c r="AJ22" i="5"/>
  <c r="AH22" i="5"/>
  <c r="AK22" i="5"/>
  <c r="AK335" i="5"/>
  <c r="AJ335" i="5"/>
  <c r="AJ480" i="5"/>
  <c r="AK480" i="5"/>
  <c r="AG510" i="5"/>
  <c r="AK510" i="5"/>
  <c r="AJ510" i="5"/>
  <c r="AH510" i="5"/>
  <c r="AG578" i="5"/>
  <c r="AK578" i="5"/>
  <c r="AH578" i="5"/>
  <c r="AJ578" i="5"/>
  <c r="AK792" i="5"/>
  <c r="AJ792" i="5"/>
  <c r="AK834" i="5"/>
  <c r="AJ834" i="5"/>
  <c r="AH834" i="5"/>
  <c r="AG834" i="5"/>
  <c r="AK858" i="5"/>
  <c r="AJ858" i="5"/>
  <c r="AH858" i="5"/>
  <c r="AG858" i="5"/>
  <c r="AK878" i="5"/>
  <c r="AJ878" i="5"/>
  <c r="AH878" i="5"/>
  <c r="AG878" i="5"/>
  <c r="AK895" i="5"/>
  <c r="AH895" i="5"/>
  <c r="AG895" i="5"/>
  <c r="AJ895" i="5"/>
  <c r="AJ415" i="5"/>
  <c r="AK415" i="5"/>
  <c r="AK511" i="5"/>
  <c r="AG511" i="5"/>
  <c r="AJ511" i="5"/>
  <c r="AH511" i="5"/>
  <c r="AK540" i="5"/>
  <c r="AJ540" i="5"/>
  <c r="AK816" i="5"/>
  <c r="AJ816" i="5"/>
  <c r="AH816" i="5"/>
  <c r="AG816" i="5"/>
  <c r="AK841" i="5"/>
  <c r="AJ841" i="5"/>
  <c r="AH841" i="5"/>
  <c r="AG841" i="5"/>
  <c r="AK864" i="5"/>
  <c r="AJ864" i="5"/>
  <c r="AH864" i="5"/>
  <c r="AG864" i="5"/>
  <c r="AK874" i="5"/>
  <c r="AJ874" i="5"/>
  <c r="AH874" i="5"/>
  <c r="AG874" i="5"/>
  <c r="AK892" i="5"/>
  <c r="AJ892" i="5"/>
  <c r="AH892" i="5"/>
  <c r="AG892" i="5"/>
  <c r="AK908" i="5"/>
  <c r="AJ908" i="5"/>
  <c r="AH908" i="5"/>
  <c r="AG908" i="5"/>
  <c r="AK939" i="5"/>
  <c r="AJ939" i="5"/>
  <c r="AH939" i="5"/>
  <c r="AG939" i="5"/>
  <c r="AK942" i="5"/>
  <c r="AJ942" i="5"/>
  <c r="AH942" i="5"/>
  <c r="AG942" i="5"/>
  <c r="AK951" i="5"/>
  <c r="AJ951" i="5"/>
  <c r="AH951" i="5"/>
  <c r="AG951" i="5"/>
  <c r="AJ771" i="5"/>
  <c r="AK771" i="5"/>
  <c r="AK824" i="5"/>
  <c r="AJ824" i="5"/>
  <c r="AH824" i="5"/>
  <c r="AG824" i="5"/>
  <c r="AK850" i="5"/>
  <c r="AJ850" i="5"/>
  <c r="AH850" i="5"/>
  <c r="AG850" i="5"/>
  <c r="AK868" i="5"/>
  <c r="AJ868" i="5"/>
  <c r="AH868" i="5"/>
  <c r="AG868" i="5"/>
  <c r="AK879" i="5"/>
  <c r="AJ879" i="5"/>
  <c r="AH879" i="5"/>
  <c r="AG879" i="5"/>
  <c r="AK896" i="5"/>
  <c r="AJ896" i="5"/>
  <c r="AH896" i="5"/>
  <c r="AG896" i="5"/>
  <c r="AK912" i="5"/>
  <c r="AJ912" i="5"/>
  <c r="AH912" i="5"/>
  <c r="AG912" i="5"/>
  <c r="AK923" i="5"/>
  <c r="AJ923" i="5"/>
  <c r="AH923" i="5"/>
  <c r="AG923" i="5"/>
  <c r="AK947" i="5"/>
  <c r="AJ947" i="5"/>
  <c r="AH947" i="5"/>
  <c r="AG947" i="5"/>
  <c r="AK950" i="5"/>
  <c r="AJ950" i="5"/>
  <c r="AH950" i="5"/>
  <c r="AG950" i="5"/>
  <c r="AK919" i="5"/>
  <c r="AJ919" i="5"/>
  <c r="AH919" i="5"/>
  <c r="AG919" i="5"/>
  <c r="AI955" i="5"/>
  <c r="AK955" i="5"/>
  <c r="AJ955" i="5"/>
  <c r="AH955" i="5"/>
  <c r="AG955" i="5"/>
  <c r="AF955" i="5"/>
  <c r="AE943" i="5"/>
  <c r="AE957" i="5"/>
  <c r="AI957" i="5"/>
  <c r="AF957" i="5"/>
  <c r="AI943" i="5"/>
  <c r="T1168" i="8"/>
  <c r="T1161" i="8"/>
  <c r="AL832" i="5"/>
  <c r="AE832" i="5"/>
  <c r="AI832" i="5"/>
  <c r="AE876" i="5"/>
  <c r="AF876" i="5"/>
  <c r="AI876" i="5"/>
  <c r="AE909" i="5"/>
  <c r="AI909" i="5"/>
  <c r="AF909" i="5"/>
  <c r="AL852" i="5"/>
  <c r="AE852" i="5"/>
  <c r="AI852" i="5"/>
  <c r="AE898" i="5"/>
  <c r="AF898" i="5"/>
  <c r="AI898" i="5"/>
  <c r="AI914" i="5"/>
  <c r="AE914" i="5"/>
  <c r="AF914" i="5"/>
  <c r="AL810" i="5"/>
  <c r="AE810" i="5"/>
  <c r="AI810" i="5"/>
  <c r="AE873" i="5"/>
  <c r="AF873" i="5"/>
  <c r="AI873" i="5"/>
  <c r="AE907" i="5"/>
  <c r="AF907" i="5"/>
  <c r="AI907" i="5"/>
  <c r="AL835" i="5"/>
  <c r="AE835" i="5"/>
  <c r="AI835" i="5"/>
  <c r="AE904" i="5"/>
  <c r="AF904" i="5"/>
  <c r="AI904" i="5"/>
  <c r="AE954" i="5"/>
  <c r="AF954" i="5"/>
  <c r="AI954" i="5"/>
  <c r="AI911" i="5"/>
  <c r="AE911" i="5"/>
  <c r="AF911" i="5"/>
  <c r="AE950" i="5"/>
  <c r="AI950" i="5"/>
  <c r="AF950" i="5"/>
  <c r="AL809" i="5"/>
  <c r="AE809" i="5"/>
  <c r="AI809" i="5"/>
  <c r="AL836" i="5"/>
  <c r="AE836" i="5"/>
  <c r="AI836" i="5"/>
  <c r="AL860" i="5"/>
  <c r="AI860" i="5"/>
  <c r="AE860" i="5"/>
  <c r="AE880" i="5"/>
  <c r="AI880" i="5"/>
  <c r="AF880" i="5"/>
  <c r="AE897" i="5"/>
  <c r="AI897" i="5"/>
  <c r="AF897" i="5"/>
  <c r="AE913" i="5"/>
  <c r="AF913" i="5"/>
  <c r="AI913" i="5"/>
  <c r="AE944" i="5"/>
  <c r="AF944" i="5"/>
  <c r="AI944" i="5"/>
  <c r="AI949" i="5"/>
  <c r="AE949" i="5"/>
  <c r="AF949" i="5"/>
  <c r="AL833" i="5"/>
  <c r="AE833" i="5"/>
  <c r="AI833" i="5"/>
  <c r="AL857" i="5"/>
  <c r="AI857" i="5"/>
  <c r="AE857" i="5"/>
  <c r="AE886" i="5"/>
  <c r="AF886" i="5"/>
  <c r="AI886" i="5"/>
  <c r="AI902" i="5"/>
  <c r="AE902" i="5"/>
  <c r="AF902" i="5"/>
  <c r="AE918" i="5"/>
  <c r="AI918" i="5"/>
  <c r="AF918" i="5"/>
  <c r="AE953" i="5"/>
  <c r="AI953" i="5"/>
  <c r="AF953" i="5"/>
  <c r="AL194" i="5"/>
  <c r="AE194" i="5"/>
  <c r="AF194" i="5"/>
  <c r="AI194" i="5"/>
  <c r="AL815" i="5"/>
  <c r="AE815" i="5"/>
  <c r="AI815" i="5"/>
  <c r="AL822" i="5"/>
  <c r="AE822" i="5"/>
  <c r="AI822" i="5"/>
  <c r="AL834" i="5"/>
  <c r="AI834" i="5"/>
  <c r="AE834" i="5"/>
  <c r="AL858" i="5"/>
  <c r="AE858" i="5"/>
  <c r="AI858" i="5"/>
  <c r="AI878" i="5"/>
  <c r="AE878" i="5"/>
  <c r="AF878" i="5"/>
  <c r="AE895" i="5"/>
  <c r="AF895" i="5"/>
  <c r="AI895" i="5"/>
  <c r="AL816" i="5"/>
  <c r="AE816" i="5"/>
  <c r="AI816" i="5"/>
  <c r="AL841" i="5"/>
  <c r="AE841" i="5"/>
  <c r="AI841" i="5"/>
  <c r="AL864" i="5"/>
  <c r="AI864" i="5"/>
  <c r="AE864" i="5"/>
  <c r="AI874" i="5"/>
  <c r="AE874" i="5"/>
  <c r="AF874" i="5"/>
  <c r="AE892" i="5"/>
  <c r="AF892" i="5"/>
  <c r="AI892" i="5"/>
  <c r="AI908" i="5"/>
  <c r="AE908" i="5"/>
  <c r="AF908" i="5"/>
  <c r="AE939" i="5"/>
  <c r="AI939" i="5"/>
  <c r="AF939" i="5"/>
  <c r="AL856" i="5"/>
  <c r="AE856" i="5"/>
  <c r="AI856" i="5"/>
  <c r="AI893" i="5"/>
  <c r="AE893" i="5"/>
  <c r="AF893" i="5"/>
  <c r="AE945" i="5"/>
  <c r="AI945" i="5"/>
  <c r="AF945" i="5"/>
  <c r="AL819" i="5"/>
  <c r="AE819" i="5"/>
  <c r="AI819" i="5"/>
  <c r="AL826" i="5"/>
  <c r="AE826" i="5"/>
  <c r="AI826" i="5"/>
  <c r="AL298" i="5"/>
  <c r="AE298" i="5"/>
  <c r="AF298" i="5"/>
  <c r="AI298" i="5"/>
  <c r="AL829" i="5"/>
  <c r="AE829" i="5"/>
  <c r="AI829" i="5"/>
  <c r="AL859" i="5"/>
  <c r="AE859" i="5"/>
  <c r="AI859" i="5"/>
  <c r="AE870" i="5"/>
  <c r="AF870" i="5"/>
  <c r="AI870" i="5"/>
  <c r="AI920" i="5"/>
  <c r="AE920" i="5"/>
  <c r="AF920" i="5"/>
  <c r="AL817" i="5"/>
  <c r="AE817" i="5"/>
  <c r="AI817" i="5"/>
  <c r="AL843" i="5"/>
  <c r="AI843" i="5"/>
  <c r="AE843" i="5"/>
  <c r="AE885" i="5"/>
  <c r="AI885" i="5"/>
  <c r="AF885" i="5"/>
  <c r="AE901" i="5"/>
  <c r="AF901" i="5"/>
  <c r="AI901" i="5"/>
  <c r="AI917" i="5"/>
  <c r="AE917" i="5"/>
  <c r="AF917" i="5"/>
  <c r="AE948" i="5"/>
  <c r="AI948" i="5"/>
  <c r="AF948" i="5"/>
  <c r="AL812" i="5"/>
  <c r="AE812" i="5"/>
  <c r="AI812" i="5"/>
  <c r="AL837" i="5"/>
  <c r="AI837" i="5"/>
  <c r="AE837" i="5"/>
  <c r="AL862" i="5"/>
  <c r="AE862" i="5"/>
  <c r="AI862" i="5"/>
  <c r="AE872" i="5"/>
  <c r="AI872" i="5"/>
  <c r="AF872" i="5"/>
  <c r="AI890" i="5"/>
  <c r="AE890" i="5"/>
  <c r="AF890" i="5"/>
  <c r="AE906" i="5"/>
  <c r="AI906" i="5"/>
  <c r="AF906" i="5"/>
  <c r="AE922" i="5"/>
  <c r="AF922" i="5"/>
  <c r="AI922" i="5"/>
  <c r="AL827" i="5"/>
  <c r="AE827" i="5"/>
  <c r="AI827" i="5"/>
  <c r="AL811" i="5"/>
  <c r="AE811" i="5"/>
  <c r="AI811" i="5"/>
  <c r="AL818" i="5"/>
  <c r="AE818" i="5"/>
  <c r="AI818" i="5"/>
  <c r="AL813" i="5"/>
  <c r="AE813" i="5"/>
  <c r="AI813" i="5"/>
  <c r="AL838" i="5"/>
  <c r="AE838" i="5"/>
  <c r="AI838" i="5"/>
  <c r="AL863" i="5"/>
  <c r="AE863" i="5"/>
  <c r="AI863" i="5"/>
  <c r="AE883" i="5"/>
  <c r="AF883" i="5"/>
  <c r="AI883" i="5"/>
  <c r="AI899" i="5"/>
  <c r="AE899" i="5"/>
  <c r="AF899" i="5"/>
  <c r="AL824" i="5"/>
  <c r="AI824" i="5"/>
  <c r="AE824" i="5"/>
  <c r="AL850" i="5"/>
  <c r="AI850" i="5"/>
  <c r="AE850" i="5"/>
  <c r="AL868" i="5"/>
  <c r="AE868" i="5"/>
  <c r="AI868" i="5"/>
  <c r="AE879" i="5"/>
  <c r="AF879" i="5"/>
  <c r="AI879" i="5"/>
  <c r="AI896" i="5"/>
  <c r="AE896" i="5"/>
  <c r="AF896" i="5"/>
  <c r="AE912" i="5"/>
  <c r="AI912" i="5"/>
  <c r="AF912" i="5"/>
  <c r="AI923" i="5"/>
  <c r="AE923" i="5"/>
  <c r="AF923" i="5"/>
  <c r="AE947" i="5"/>
  <c r="AF947" i="5"/>
  <c r="AI947" i="5"/>
  <c r="AE915" i="5"/>
  <c r="AI915" i="5"/>
  <c r="AF915" i="5"/>
  <c r="AE940" i="5"/>
  <c r="AF940" i="5"/>
  <c r="AI940" i="5"/>
  <c r="AL828" i="5"/>
  <c r="AE828" i="5"/>
  <c r="AI828" i="5"/>
  <c r="AI882" i="5"/>
  <c r="AE882" i="5"/>
  <c r="AF882" i="5"/>
  <c r="AL853" i="5"/>
  <c r="AI853" i="5"/>
  <c r="AE853" i="5"/>
  <c r="AE891" i="5"/>
  <c r="AI891" i="5"/>
  <c r="AF891" i="5"/>
  <c r="AL808" i="5"/>
  <c r="AE808" i="5"/>
  <c r="AI808" i="5"/>
  <c r="AE888" i="5"/>
  <c r="AI888" i="5"/>
  <c r="AF888" i="5"/>
  <c r="AL825" i="5"/>
  <c r="AE825" i="5"/>
  <c r="AI825" i="5"/>
  <c r="AL851" i="5"/>
  <c r="AE851" i="5"/>
  <c r="AI851" i="5"/>
  <c r="AI871" i="5"/>
  <c r="AE871" i="5"/>
  <c r="AF871" i="5"/>
  <c r="AE889" i="5"/>
  <c r="AF889" i="5"/>
  <c r="AI889" i="5"/>
  <c r="AI905" i="5"/>
  <c r="AE905" i="5"/>
  <c r="AF905" i="5"/>
  <c r="AE921" i="5"/>
  <c r="AI921" i="5"/>
  <c r="AF921" i="5"/>
  <c r="AI952" i="5"/>
  <c r="AE952" i="5"/>
  <c r="AF952" i="5"/>
  <c r="AL820" i="5"/>
  <c r="AE820" i="5"/>
  <c r="AI820" i="5"/>
  <c r="AL848" i="5"/>
  <c r="AE848" i="5"/>
  <c r="AI848" i="5"/>
  <c r="AL866" i="5"/>
  <c r="AE866" i="5"/>
  <c r="AI866" i="5"/>
  <c r="AE877" i="5"/>
  <c r="AI877" i="5"/>
  <c r="AF877" i="5"/>
  <c r="AE894" i="5"/>
  <c r="AI894" i="5"/>
  <c r="AF894" i="5"/>
  <c r="AE910" i="5"/>
  <c r="AF910" i="5"/>
  <c r="AI910" i="5"/>
  <c r="AI941" i="5"/>
  <c r="AE941" i="5"/>
  <c r="AF941" i="5"/>
  <c r="AF150" i="5"/>
  <c r="AI150" i="5"/>
  <c r="AE150" i="5"/>
  <c r="AL150" i="5"/>
  <c r="AL823" i="5"/>
  <c r="AE823" i="5"/>
  <c r="AI823" i="5"/>
  <c r="AL807" i="5"/>
  <c r="AE807" i="5"/>
  <c r="AI807" i="5"/>
  <c r="AL830" i="5"/>
  <c r="AE830" i="5"/>
  <c r="AI830" i="5"/>
  <c r="AL814" i="5"/>
  <c r="AE814" i="5"/>
  <c r="AI814" i="5"/>
  <c r="AL821" i="5"/>
  <c r="AE821" i="5"/>
  <c r="AI821" i="5"/>
  <c r="AL849" i="5"/>
  <c r="AE849" i="5"/>
  <c r="AI849" i="5"/>
  <c r="AL867" i="5"/>
  <c r="AI867" i="5"/>
  <c r="AE867" i="5"/>
  <c r="AI887" i="5"/>
  <c r="AE887" i="5"/>
  <c r="AF887" i="5"/>
  <c r="AE903" i="5"/>
  <c r="AI903" i="5"/>
  <c r="AF903" i="5"/>
  <c r="AL831" i="5"/>
  <c r="AI831" i="5"/>
  <c r="AE831" i="5"/>
  <c r="AL854" i="5"/>
  <c r="AE854" i="5"/>
  <c r="AI854" i="5"/>
  <c r="AI884" i="5"/>
  <c r="AE884" i="5"/>
  <c r="AF884" i="5"/>
  <c r="AE900" i="5"/>
  <c r="AI900" i="5"/>
  <c r="AF900" i="5"/>
  <c r="AE916" i="5"/>
  <c r="AF916" i="5"/>
  <c r="AI916" i="5"/>
  <c r="AI946" i="5"/>
  <c r="AE946" i="5"/>
  <c r="AF946" i="5"/>
  <c r="AE942" i="5"/>
  <c r="AI942" i="5"/>
  <c r="AF942" i="5"/>
  <c r="J12" i="7"/>
  <c r="J30" i="7"/>
  <c r="E93" i="23" l="1"/>
  <c r="E89" i="23"/>
  <c r="D89" i="23"/>
  <c r="D93" i="23"/>
  <c r="E96" i="23"/>
  <c r="E100" i="23"/>
  <c r="D96" i="23"/>
  <c r="D100" i="23"/>
  <c r="E191" i="23"/>
  <c r="D191" i="23"/>
  <c r="D187" i="23"/>
  <c r="E187" i="23"/>
  <c r="D194" i="23"/>
  <c r="E194" i="23"/>
  <c r="E198" i="23"/>
  <c r="D198" i="23"/>
  <c r="G377" i="5"/>
  <c r="F377" i="5"/>
  <c r="E377" i="5"/>
  <c r="F381" i="5"/>
  <c r="D377" i="5"/>
  <c r="R376" i="5"/>
  <c r="P376" i="5"/>
  <c r="O376" i="5"/>
  <c r="N376" i="5"/>
  <c r="F376" i="5"/>
  <c r="E376" i="5"/>
  <c r="D376" i="5"/>
  <c r="AA377" i="5" l="1"/>
  <c r="AK377" i="5" s="1"/>
  <c r="Z377" i="5"/>
  <c r="AJ377" i="5" s="1"/>
  <c r="J63" i="22"/>
  <c r="J64" i="22"/>
  <c r="J65" i="22"/>
  <c r="J66" i="22"/>
  <c r="J67" i="22"/>
  <c r="J68" i="22"/>
  <c r="J69" i="22"/>
  <c r="J61" i="22"/>
  <c r="D77" i="22"/>
  <c r="H72" i="22"/>
  <c r="G71" i="22"/>
  <c r="F71" i="22"/>
  <c r="H32" i="22"/>
  <c r="J48" i="22" l="1"/>
  <c r="J62" i="22"/>
  <c r="J57" i="22"/>
  <c r="J53" i="22"/>
  <c r="J49" i="22"/>
  <c r="J59" i="22"/>
  <c r="J51" i="22"/>
  <c r="J58" i="22"/>
  <c r="J54" i="22"/>
  <c r="J50" i="22"/>
  <c r="J60" i="22"/>
  <c r="J56" i="22"/>
  <c r="J52" i="22"/>
  <c r="J47" i="22"/>
  <c r="H15" i="22"/>
  <c r="H17" i="22"/>
  <c r="H19" i="22"/>
  <c r="H21" i="22"/>
  <c r="H23" i="22"/>
  <c r="H25" i="22"/>
  <c r="H27" i="22"/>
  <c r="H29" i="22"/>
  <c r="H31" i="22"/>
  <c r="H16" i="22"/>
  <c r="H18" i="22"/>
  <c r="H20" i="22"/>
  <c r="H22" i="22"/>
  <c r="H24" i="22"/>
  <c r="H26" i="22"/>
  <c r="H28" i="22"/>
  <c r="H30" i="22"/>
  <c r="D76" i="22"/>
  <c r="B327" i="14"/>
  <c r="I323" i="14"/>
  <c r="B323" i="14"/>
  <c r="I321" i="14"/>
  <c r="B321" i="14"/>
  <c r="I319" i="14"/>
  <c r="B319" i="14"/>
  <c r="B168" i="11"/>
  <c r="B146" i="11"/>
  <c r="B123" i="11"/>
  <c r="B61" i="11"/>
  <c r="B38" i="11"/>
  <c r="A338" i="10"/>
  <c r="A336" i="10"/>
  <c r="A334" i="10"/>
  <c r="A342" i="10"/>
  <c r="H338" i="10"/>
  <c r="H336" i="10"/>
  <c r="H334" i="10"/>
  <c r="E1248" i="8"/>
  <c r="L297" i="15"/>
  <c r="K297" i="15"/>
  <c r="L296" i="15"/>
  <c r="K296" i="15"/>
  <c r="L295" i="15"/>
  <c r="K295" i="15"/>
  <c r="L294" i="15"/>
  <c r="K294" i="15"/>
  <c r="L293" i="15"/>
  <c r="K293" i="15"/>
  <c r="L292" i="15"/>
  <c r="K292" i="15"/>
  <c r="L291" i="15"/>
  <c r="K291" i="15"/>
  <c r="L290" i="15"/>
  <c r="K290" i="15"/>
  <c r="L289" i="15"/>
  <c r="K289" i="15"/>
  <c r="L288" i="15"/>
  <c r="K288" i="15"/>
  <c r="B224" i="9"/>
  <c r="I219" i="9"/>
  <c r="I216" i="9"/>
  <c r="I213" i="9"/>
  <c r="B213" i="9"/>
  <c r="I1265" i="8"/>
  <c r="I1266" i="8"/>
  <c r="I1279" i="8"/>
  <c r="M1279" i="8" s="1"/>
  <c r="N1279" i="8"/>
  <c r="I1280" i="8"/>
  <c r="M1280" i="8" s="1"/>
  <c r="N1280" i="8"/>
  <c r="I1281" i="8"/>
  <c r="I1283" i="8"/>
  <c r="I1284" i="8"/>
  <c r="M1284" i="8" s="1"/>
  <c r="N1284" i="8"/>
  <c r="I1285" i="8"/>
  <c r="M1285" i="8" s="1"/>
  <c r="N1285" i="8"/>
  <c r="I1286" i="8"/>
  <c r="M1286" i="8" s="1"/>
  <c r="N1286" i="8"/>
  <c r="I1293" i="8"/>
  <c r="I1294" i="8"/>
  <c r="I1295" i="8"/>
  <c r="I1296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22" i="8"/>
  <c r="M1322" i="8" s="1"/>
  <c r="N1322" i="8"/>
  <c r="I1323" i="8"/>
  <c r="I1324" i="8"/>
  <c r="M1324" i="8" s="1"/>
  <c r="N1324" i="8"/>
  <c r="I1325" i="8"/>
  <c r="I1326" i="8"/>
  <c r="M1326" i="8" s="1"/>
  <c r="N1326" i="8"/>
  <c r="I1327" i="8"/>
  <c r="I1328" i="8"/>
  <c r="M1328" i="8" s="1"/>
  <c r="N1328" i="8"/>
  <c r="I1329" i="8"/>
  <c r="M1329" i="8" s="1"/>
  <c r="N1329" i="8"/>
  <c r="I1330" i="8"/>
  <c r="M1330" i="8" s="1"/>
  <c r="N1330" i="8"/>
  <c r="I1331" i="8"/>
  <c r="I1332" i="8"/>
  <c r="I1333" i="8"/>
  <c r="I1334" i="8"/>
  <c r="I1335" i="8"/>
  <c r="I1336" i="8"/>
  <c r="I1340" i="8"/>
  <c r="I1341" i="8"/>
  <c r="I1342" i="8"/>
  <c r="I1321" i="8"/>
  <c r="I1299" i="8"/>
  <c r="I1292" i="8"/>
  <c r="N1289" i="8"/>
  <c r="I1289" i="8"/>
  <c r="M1289" i="8" s="1"/>
  <c r="I1278" i="8"/>
  <c r="I1273" i="8"/>
  <c r="I1264" i="8"/>
  <c r="I1260" i="8"/>
  <c r="I1261" i="8"/>
  <c r="I1258" i="8"/>
  <c r="I1251" i="8"/>
  <c r="I1252" i="8"/>
  <c r="I1253" i="8"/>
  <c r="I1254" i="8"/>
  <c r="I1255" i="8"/>
  <c r="I1250" i="8"/>
  <c r="F1334" i="8"/>
  <c r="F1333" i="8"/>
  <c r="G1334" i="8"/>
  <c r="E1334" i="8"/>
  <c r="G1333" i="8"/>
  <c r="E1333" i="8"/>
  <c r="C1323" i="8"/>
  <c r="C1321" i="8"/>
  <c r="H1319" i="8"/>
  <c r="H1327" i="8" s="1"/>
  <c r="G1318" i="8"/>
  <c r="F1318" i="8"/>
  <c r="E1318" i="8"/>
  <c r="H1297" i="8"/>
  <c r="H1290" i="8"/>
  <c r="C1290" i="8" s="1"/>
  <c r="H1276" i="8"/>
  <c r="H1271" i="8"/>
  <c r="C1271" i="8" s="1"/>
  <c r="H1262" i="8"/>
  <c r="H1257" i="8"/>
  <c r="C1257" i="8" s="1"/>
  <c r="H1255" i="8"/>
  <c r="C1255" i="8" s="1"/>
  <c r="H1254" i="8"/>
  <c r="C1254" i="8" s="1"/>
  <c r="H1253" i="8"/>
  <c r="C1253" i="8" s="1"/>
  <c r="H1250" i="8"/>
  <c r="C1250" i="8" s="1"/>
  <c r="F1254" i="8"/>
  <c r="A1249" i="8"/>
  <c r="G1343" i="8"/>
  <c r="F1343" i="8"/>
  <c r="E1343" i="8"/>
  <c r="G1342" i="8"/>
  <c r="F1342" i="8"/>
  <c r="E1342" i="8"/>
  <c r="G1341" i="8"/>
  <c r="F1341" i="8"/>
  <c r="E1341" i="8"/>
  <c r="G1340" i="8"/>
  <c r="F1340" i="8"/>
  <c r="E1340" i="8"/>
  <c r="G1336" i="8"/>
  <c r="F1336" i="8"/>
  <c r="E1336" i="8"/>
  <c r="G1335" i="8"/>
  <c r="F1335" i="8"/>
  <c r="E1335" i="8"/>
  <c r="G1332" i="8"/>
  <c r="F1332" i="8"/>
  <c r="E1332" i="8"/>
  <c r="G1331" i="8"/>
  <c r="F1331" i="8"/>
  <c r="E1331" i="8"/>
  <c r="G1330" i="8"/>
  <c r="G1329" i="8"/>
  <c r="G1328" i="8"/>
  <c r="G1327" i="8"/>
  <c r="F1327" i="8"/>
  <c r="E1327" i="8"/>
  <c r="G1326" i="8"/>
  <c r="F1326" i="8"/>
  <c r="E1326" i="8"/>
  <c r="G1325" i="8"/>
  <c r="F1325" i="8"/>
  <c r="E1325" i="8"/>
  <c r="G1324" i="8"/>
  <c r="F1324" i="8"/>
  <c r="E1324" i="8"/>
  <c r="G1323" i="8"/>
  <c r="F1323" i="8"/>
  <c r="E1323" i="8"/>
  <c r="G1322" i="8"/>
  <c r="F1322" i="8"/>
  <c r="E1322" i="8"/>
  <c r="G1321" i="8"/>
  <c r="F1321" i="8"/>
  <c r="E1321" i="8"/>
  <c r="G1317" i="8"/>
  <c r="F1317" i="8"/>
  <c r="E1317" i="8"/>
  <c r="G1316" i="8"/>
  <c r="F1316" i="8"/>
  <c r="E1316" i="8"/>
  <c r="G1315" i="8"/>
  <c r="F1315" i="8"/>
  <c r="E1315" i="8"/>
  <c r="G1314" i="8"/>
  <c r="F1314" i="8"/>
  <c r="E1314" i="8"/>
  <c r="G1313" i="8"/>
  <c r="F1313" i="8"/>
  <c r="E1313" i="8"/>
  <c r="G1312" i="8"/>
  <c r="F1312" i="8"/>
  <c r="E1312" i="8"/>
  <c r="G1311" i="8"/>
  <c r="F1311" i="8"/>
  <c r="E1311" i="8"/>
  <c r="G1310" i="8"/>
  <c r="F1310" i="8"/>
  <c r="E1310" i="8"/>
  <c r="G1309" i="8"/>
  <c r="F1309" i="8"/>
  <c r="E1309" i="8"/>
  <c r="G1308" i="8"/>
  <c r="F1308" i="8"/>
  <c r="E1308" i="8"/>
  <c r="G1307" i="8"/>
  <c r="F1307" i="8"/>
  <c r="E1307" i="8"/>
  <c r="G1306" i="8"/>
  <c r="F1306" i="8"/>
  <c r="E1306" i="8"/>
  <c r="G1305" i="8"/>
  <c r="F1305" i="8"/>
  <c r="E1305" i="8"/>
  <c r="G1304" i="8"/>
  <c r="F1304" i="8"/>
  <c r="E1304" i="8"/>
  <c r="G1303" i="8"/>
  <c r="F1303" i="8"/>
  <c r="E1303" i="8"/>
  <c r="G1302" i="8"/>
  <c r="F1302" i="8"/>
  <c r="E1302" i="8"/>
  <c r="G1301" i="8"/>
  <c r="F1301" i="8"/>
  <c r="E1301" i="8"/>
  <c r="G1300" i="8"/>
  <c r="F1300" i="8"/>
  <c r="E1300" i="8"/>
  <c r="G1299" i="8"/>
  <c r="F1299" i="8"/>
  <c r="E1299" i="8"/>
  <c r="G1296" i="8"/>
  <c r="F1296" i="8"/>
  <c r="E1296" i="8"/>
  <c r="G1295" i="8"/>
  <c r="F1295" i="8"/>
  <c r="E1295" i="8"/>
  <c r="G1294" i="8"/>
  <c r="F1294" i="8"/>
  <c r="E1294" i="8"/>
  <c r="G1293" i="8"/>
  <c r="F1293" i="8"/>
  <c r="E1293" i="8"/>
  <c r="G1292" i="8"/>
  <c r="F1292" i="8"/>
  <c r="E1292" i="8"/>
  <c r="G1289" i="8"/>
  <c r="F1289" i="8"/>
  <c r="E1289" i="8"/>
  <c r="G1286" i="8"/>
  <c r="F1286" i="8"/>
  <c r="E1286" i="8"/>
  <c r="G1285" i="8"/>
  <c r="F1285" i="8"/>
  <c r="E1285" i="8"/>
  <c r="G1284" i="8"/>
  <c r="F1284" i="8"/>
  <c r="E1284" i="8"/>
  <c r="G1283" i="8"/>
  <c r="F1283" i="8"/>
  <c r="E1283" i="8"/>
  <c r="G1281" i="8"/>
  <c r="F1281" i="8"/>
  <c r="E1281" i="8"/>
  <c r="G1280" i="8"/>
  <c r="F1280" i="8"/>
  <c r="E1280" i="8"/>
  <c r="G1279" i="8"/>
  <c r="F1279" i="8"/>
  <c r="E1279" i="8"/>
  <c r="G1278" i="8"/>
  <c r="F1278" i="8"/>
  <c r="E1278" i="8"/>
  <c r="G1275" i="8"/>
  <c r="F1275" i="8"/>
  <c r="E1275" i="8"/>
  <c r="G1274" i="8"/>
  <c r="F1274" i="8"/>
  <c r="E1274" i="8"/>
  <c r="G1273" i="8"/>
  <c r="F1273" i="8"/>
  <c r="E1273" i="8"/>
  <c r="G1269" i="8"/>
  <c r="F1269" i="8"/>
  <c r="E1269" i="8"/>
  <c r="G1268" i="8"/>
  <c r="F1268" i="8"/>
  <c r="E1268" i="8"/>
  <c r="G1267" i="8"/>
  <c r="F1267" i="8"/>
  <c r="E1267" i="8"/>
  <c r="G1266" i="8"/>
  <c r="F1266" i="8"/>
  <c r="E1266" i="8"/>
  <c r="G1265" i="8"/>
  <c r="F1265" i="8"/>
  <c r="E1265" i="8"/>
  <c r="G1264" i="8"/>
  <c r="F1264" i="8"/>
  <c r="E1264" i="8"/>
  <c r="G1261" i="8"/>
  <c r="F1261" i="8"/>
  <c r="E1261" i="8"/>
  <c r="G1260" i="8"/>
  <c r="F1260" i="8"/>
  <c r="E1260" i="8"/>
  <c r="G1259" i="8"/>
  <c r="F1259" i="8"/>
  <c r="E1259" i="8"/>
  <c r="G1258" i="8"/>
  <c r="F1258" i="8"/>
  <c r="E1258" i="8"/>
  <c r="G1255" i="8"/>
  <c r="F1255" i="8"/>
  <c r="E1255" i="8"/>
  <c r="G1254" i="8"/>
  <c r="E1254" i="8"/>
  <c r="G1253" i="8"/>
  <c r="F1253" i="8"/>
  <c r="E1253" i="8"/>
  <c r="G1252" i="8"/>
  <c r="F1252" i="8"/>
  <c r="E1252" i="8"/>
  <c r="G1251" i="8"/>
  <c r="F1251" i="8"/>
  <c r="E1251" i="8"/>
  <c r="G1250" i="8"/>
  <c r="F1250" i="8"/>
  <c r="E1250" i="8"/>
  <c r="D210" i="9" l="1"/>
  <c r="C331" i="10"/>
  <c r="F264" i="10"/>
  <c r="F263" i="10" s="1"/>
  <c r="C303" i="10"/>
  <c r="D259" i="23"/>
  <c r="D329" i="9"/>
  <c r="D363" i="9"/>
  <c r="D268" i="23"/>
  <c r="E257" i="23"/>
  <c r="E261" i="23"/>
  <c r="C317" i="10"/>
  <c r="E259" i="23"/>
  <c r="C233" i="10"/>
  <c r="D261" i="9"/>
  <c r="C219" i="10"/>
  <c r="E266" i="23"/>
  <c r="C247" i="10"/>
  <c r="D255" i="23"/>
  <c r="C261" i="10"/>
  <c r="D244" i="9"/>
  <c r="C275" i="10"/>
  <c r="G264" i="9"/>
  <c r="G263" i="9" s="1"/>
  <c r="E268" i="23"/>
  <c r="D257" i="23"/>
  <c r="D264" i="23"/>
  <c r="D266" i="23"/>
  <c r="D278" i="9"/>
  <c r="D227" i="9"/>
  <c r="C289" i="10"/>
  <c r="F118" i="11"/>
  <c r="H118" i="11" s="1"/>
  <c r="I118" i="11" s="1"/>
  <c r="J118" i="11" s="1"/>
  <c r="D312" i="9"/>
  <c r="D262" i="23"/>
  <c r="D261" i="23"/>
  <c r="D295" i="9"/>
  <c r="E264" i="23"/>
  <c r="D311" i="23"/>
  <c r="D241" i="23"/>
  <c r="D290" i="23"/>
  <c r="D297" i="23"/>
  <c r="D227" i="23"/>
  <c r="D304" i="23"/>
  <c r="D283" i="23"/>
  <c r="D248" i="23"/>
  <c r="D276" i="23"/>
  <c r="D269" i="23"/>
  <c r="D234" i="23"/>
  <c r="D318" i="23"/>
  <c r="E245" i="23"/>
  <c r="D245" i="23"/>
  <c r="D289" i="23"/>
  <c r="E310" i="23"/>
  <c r="D306" i="23"/>
  <c r="E240" i="23"/>
  <c r="E273" i="23"/>
  <c r="E275" i="23"/>
  <c r="D315" i="23"/>
  <c r="E233" i="23"/>
  <c r="E231" i="23"/>
  <c r="E278" i="23"/>
  <c r="E324" i="23"/>
  <c r="D322" i="23"/>
  <c r="D254" i="23"/>
  <c r="D294" i="23"/>
  <c r="D292" i="23"/>
  <c r="D301" i="23"/>
  <c r="E247" i="23"/>
  <c r="D247" i="23"/>
  <c r="D285" i="23"/>
  <c r="D310" i="23"/>
  <c r="E308" i="23"/>
  <c r="D236" i="23"/>
  <c r="D273" i="23"/>
  <c r="D271" i="23"/>
  <c r="E317" i="23"/>
  <c r="D233" i="23"/>
  <c r="D231" i="23"/>
  <c r="D282" i="23"/>
  <c r="D324" i="23"/>
  <c r="E320" i="23"/>
  <c r="E254" i="23"/>
  <c r="D296" i="23"/>
  <c r="E296" i="23"/>
  <c r="E301" i="23"/>
  <c r="D243" i="23"/>
  <c r="E287" i="23"/>
  <c r="E289" i="23"/>
  <c r="D308" i="23"/>
  <c r="D240" i="23"/>
  <c r="E238" i="23"/>
  <c r="E271" i="23"/>
  <c r="D313" i="23"/>
  <c r="D317" i="23"/>
  <c r="D229" i="23"/>
  <c r="D278" i="23"/>
  <c r="D280" i="23"/>
  <c r="D320" i="23"/>
  <c r="D250" i="23"/>
  <c r="E252" i="23"/>
  <c r="E292" i="23"/>
  <c r="E303" i="23"/>
  <c r="D303" i="23"/>
  <c r="E243" i="23"/>
  <c r="E285" i="23"/>
  <c r="D287" i="23"/>
  <c r="E306" i="23"/>
  <c r="E236" i="23"/>
  <c r="D238" i="23"/>
  <c r="D275" i="23"/>
  <c r="E315" i="23"/>
  <c r="E313" i="23"/>
  <c r="E229" i="23"/>
  <c r="E282" i="23"/>
  <c r="E280" i="23"/>
  <c r="E322" i="23"/>
  <c r="E250" i="23"/>
  <c r="D252" i="23"/>
  <c r="E294" i="23"/>
  <c r="E299" i="23"/>
  <c r="D299" i="23"/>
  <c r="F121" i="11"/>
  <c r="H121" i="11" s="1"/>
  <c r="I121" i="11" s="1"/>
  <c r="J121" i="11" s="1"/>
  <c r="F320" i="10"/>
  <c r="F319" i="10" s="1"/>
  <c r="F306" i="10"/>
  <c r="F305" i="10" s="1"/>
  <c r="G332" i="9"/>
  <c r="G331" i="9" s="1"/>
  <c r="F122" i="11"/>
  <c r="H122" i="11" s="1"/>
  <c r="I122" i="11" s="1"/>
  <c r="J122" i="11" s="1"/>
  <c r="G315" i="9"/>
  <c r="G314" i="9" s="1"/>
  <c r="F236" i="10"/>
  <c r="F235" i="10" s="1"/>
  <c r="F117" i="11"/>
  <c r="H117" i="11" s="1"/>
  <c r="I117" i="11" s="1"/>
  <c r="J117" i="11" s="1"/>
  <c r="G298" i="9"/>
  <c r="G297" i="9" s="1"/>
  <c r="F119" i="11"/>
  <c r="H119" i="11" s="1"/>
  <c r="I119" i="11" s="1"/>
  <c r="J119" i="11" s="1"/>
  <c r="F292" i="10"/>
  <c r="F291" i="10" s="1"/>
  <c r="F116" i="11"/>
  <c r="H116" i="11" s="1"/>
  <c r="I116" i="11" s="1"/>
  <c r="J116" i="11" s="1"/>
  <c r="G247" i="9"/>
  <c r="G246" i="9" s="1"/>
  <c r="G230" i="9"/>
  <c r="G229" i="9" s="1"/>
  <c r="F278" i="10"/>
  <c r="F277" i="10" s="1"/>
  <c r="F120" i="11"/>
  <c r="H120" i="11" s="1"/>
  <c r="I120" i="11" s="1"/>
  <c r="J120" i="11" s="1"/>
  <c r="F250" i="10"/>
  <c r="F249" i="10" s="1"/>
  <c r="G281" i="9"/>
  <c r="G280" i="9" s="1"/>
  <c r="D220" i="23"/>
  <c r="D213" i="23"/>
  <c r="H1264" i="8"/>
  <c r="H1267" i="8"/>
  <c r="N1267" i="8" s="1"/>
  <c r="H1266" i="8"/>
  <c r="C1297" i="8"/>
  <c r="H1300" i="8"/>
  <c r="B219" i="9"/>
  <c r="C1276" i="8"/>
  <c r="H1282" i="8"/>
  <c r="C1262" i="8"/>
  <c r="H1270" i="8"/>
  <c r="C1319" i="8"/>
  <c r="C1327" i="8"/>
  <c r="T1335" i="8"/>
  <c r="C1335" i="8"/>
  <c r="N1253" i="8"/>
  <c r="T1253" i="8"/>
  <c r="T1262" i="8"/>
  <c r="H1313" i="8"/>
  <c r="N1313" i="8" s="1"/>
  <c r="T1297" i="8"/>
  <c r="H1332" i="8"/>
  <c r="N1332" i="8" s="1"/>
  <c r="T1319" i="8"/>
  <c r="M1254" i="8"/>
  <c r="T1254" i="8"/>
  <c r="H1274" i="8"/>
  <c r="N1274" i="8" s="1"/>
  <c r="T1271" i="8"/>
  <c r="M1321" i="8"/>
  <c r="T1321" i="8"/>
  <c r="D325" i="23"/>
  <c r="D332" i="23"/>
  <c r="N1255" i="8"/>
  <c r="T1255" i="8"/>
  <c r="H1281" i="8"/>
  <c r="T1276" i="8"/>
  <c r="H1325" i="8"/>
  <c r="N1325" i="8" s="1"/>
  <c r="T1323" i="8"/>
  <c r="H1252" i="8"/>
  <c r="T1250" i="8"/>
  <c r="H1261" i="8"/>
  <c r="N1261" i="8" s="1"/>
  <c r="T1257" i="8"/>
  <c r="H1293" i="8"/>
  <c r="H1294" i="8" s="1"/>
  <c r="T1290" i="8"/>
  <c r="D1257" i="8"/>
  <c r="D1262" i="8" s="1"/>
  <c r="D1271" i="8" s="1"/>
  <c r="D1276" i="8" s="1"/>
  <c r="D1287" i="8" s="1"/>
  <c r="D1290" i="8" s="1"/>
  <c r="D1297" i="8" s="1"/>
  <c r="D1319" i="8" s="1"/>
  <c r="D1343" i="8" s="1"/>
  <c r="N288" i="15"/>
  <c r="N289" i="15"/>
  <c r="N290" i="15"/>
  <c r="N291" i="15"/>
  <c r="N292" i="15"/>
  <c r="N293" i="15"/>
  <c r="N294" i="15"/>
  <c r="N295" i="15"/>
  <c r="N296" i="15"/>
  <c r="N297" i="15"/>
  <c r="H1251" i="8"/>
  <c r="C1251" i="8" s="1"/>
  <c r="H1258" i="8"/>
  <c r="H1292" i="8"/>
  <c r="H1314" i="8"/>
  <c r="N1323" i="8"/>
  <c r="N1335" i="8"/>
  <c r="M1250" i="8"/>
  <c r="M1255" i="8"/>
  <c r="N1254" i="8"/>
  <c r="M1253" i="8"/>
  <c r="H1310" i="8"/>
  <c r="H1342" i="8"/>
  <c r="C1342" i="8" s="1"/>
  <c r="N1321" i="8"/>
  <c r="N1250" i="8"/>
  <c r="M1335" i="8"/>
  <c r="M1323" i="8"/>
  <c r="B216" i="9"/>
  <c r="H1268" i="8"/>
  <c r="H1302" i="8"/>
  <c r="H1331" i="8"/>
  <c r="H1333" i="8"/>
  <c r="C1333" i="8" s="1"/>
  <c r="C1340" i="8"/>
  <c r="H1336" i="8"/>
  <c r="H1273" i="8"/>
  <c r="C1273" i="8" s="1"/>
  <c r="H1275" i="8"/>
  <c r="H1259" i="8"/>
  <c r="C1259" i="8" s="1"/>
  <c r="H1278" i="8"/>
  <c r="H1299" i="8"/>
  <c r="H1303" i="8"/>
  <c r="H1260" i="8"/>
  <c r="H1312" i="8"/>
  <c r="H1301" i="8"/>
  <c r="C1301" i="8" s="1"/>
  <c r="C1309" i="8"/>
  <c r="N24" i="20"/>
  <c r="N25" i="20" s="1"/>
  <c r="N26" i="20" s="1"/>
  <c r="F24" i="20" s="1"/>
  <c r="H24" i="20" s="1"/>
  <c r="H26" i="20"/>
  <c r="H22" i="20"/>
  <c r="H23" i="20"/>
  <c r="H21" i="20"/>
  <c r="H14" i="20"/>
  <c r="H13" i="20"/>
  <c r="R74" i="1"/>
  <c r="S74" i="1" s="1"/>
  <c r="F19" i="20" s="1"/>
  <c r="E262" i="23" l="1"/>
  <c r="G262" i="23" s="1"/>
  <c r="E255" i="23"/>
  <c r="E227" i="23"/>
  <c r="G227" i="23" s="1"/>
  <c r="G232" i="23" s="1"/>
  <c r="E241" i="23"/>
  <c r="G241" i="23" s="1"/>
  <c r="G242" i="23" s="1"/>
  <c r="E283" i="23"/>
  <c r="G283" i="23" s="1"/>
  <c r="G285" i="23" s="1"/>
  <c r="E297" i="23"/>
  <c r="G297" i="23" s="1"/>
  <c r="G300" i="23" s="1"/>
  <c r="E269" i="23"/>
  <c r="G269" i="23" s="1"/>
  <c r="G271" i="23" s="1"/>
  <c r="E304" i="23"/>
  <c r="G304" i="23" s="1"/>
  <c r="E290" i="23"/>
  <c r="E318" i="23"/>
  <c r="E311" i="23"/>
  <c r="G311" i="23" s="1"/>
  <c r="E248" i="23"/>
  <c r="E276" i="23"/>
  <c r="E234" i="23"/>
  <c r="T1337" i="8"/>
  <c r="N1337" i="8"/>
  <c r="M1337" i="8"/>
  <c r="C1337" i="8"/>
  <c r="C1282" i="8"/>
  <c r="M1282" i="8"/>
  <c r="N1282" i="8"/>
  <c r="T1282" i="8"/>
  <c r="T1270" i="8"/>
  <c r="N1270" i="8"/>
  <c r="M1270" i="8"/>
  <c r="C1270" i="8"/>
  <c r="M1332" i="8"/>
  <c r="M1313" i="8"/>
  <c r="M1261" i="8"/>
  <c r="M1325" i="8"/>
  <c r="T1294" i="8"/>
  <c r="C1294" i="8"/>
  <c r="T1315" i="8"/>
  <c r="C1315" i="8"/>
  <c r="T1302" i="8"/>
  <c r="C1302" i="8"/>
  <c r="T1310" i="8"/>
  <c r="C1310" i="8"/>
  <c r="T1274" i="8"/>
  <c r="C1274" i="8"/>
  <c r="T1332" i="8"/>
  <c r="C1332" i="8"/>
  <c r="T1267" i="8"/>
  <c r="C1267" i="8"/>
  <c r="T1292" i="8"/>
  <c r="C1292" i="8"/>
  <c r="T1312" i="8"/>
  <c r="C1312" i="8"/>
  <c r="T1260" i="8"/>
  <c r="C1260" i="8"/>
  <c r="T1303" i="8"/>
  <c r="C1303" i="8"/>
  <c r="T1336" i="8"/>
  <c r="C1336" i="8"/>
  <c r="T1331" i="8"/>
  <c r="C1331" i="8"/>
  <c r="T1258" i="8"/>
  <c r="C1258" i="8"/>
  <c r="T1293" i="8"/>
  <c r="C1293" i="8"/>
  <c r="M1252" i="8"/>
  <c r="C1252" i="8"/>
  <c r="C1249" i="8" s="1"/>
  <c r="T1281" i="8"/>
  <c r="C1281" i="8"/>
  <c r="T1308" i="8"/>
  <c r="C1308" i="8"/>
  <c r="T1299" i="8"/>
  <c r="C1299" i="8"/>
  <c r="T1275" i="8"/>
  <c r="C1275" i="8"/>
  <c r="T1300" i="8"/>
  <c r="C1300" i="8"/>
  <c r="T1311" i="8"/>
  <c r="C1311" i="8"/>
  <c r="T1278" i="8"/>
  <c r="C1278" i="8"/>
  <c r="T1306" i="8"/>
  <c r="C1306" i="8"/>
  <c r="T1268" i="8"/>
  <c r="C1268" i="8"/>
  <c r="M1281" i="8"/>
  <c r="T1264" i="8"/>
  <c r="C1264" i="8"/>
  <c r="T1314" i="8"/>
  <c r="C1314" i="8"/>
  <c r="T1261" i="8"/>
  <c r="C1261" i="8"/>
  <c r="T1325" i="8"/>
  <c r="C1325" i="8"/>
  <c r="T1266" i="8"/>
  <c r="C1266" i="8"/>
  <c r="T1307" i="8"/>
  <c r="C1307" i="8"/>
  <c r="T1313" i="8"/>
  <c r="C1313" i="8"/>
  <c r="N1293" i="8"/>
  <c r="M1251" i="8"/>
  <c r="T1251" i="8"/>
  <c r="M1327" i="8"/>
  <c r="T1327" i="8"/>
  <c r="M1342" i="8"/>
  <c r="T1342" i="8"/>
  <c r="N1281" i="8"/>
  <c r="M1293" i="8"/>
  <c r="M1309" i="8"/>
  <c r="T1309" i="8"/>
  <c r="M1340" i="8"/>
  <c r="T1340" i="8"/>
  <c r="M1301" i="8"/>
  <c r="T1301" i="8"/>
  <c r="T1259" i="8"/>
  <c r="N1273" i="8"/>
  <c r="T1273" i="8"/>
  <c r="M1333" i="8"/>
  <c r="T1333" i="8"/>
  <c r="N1252" i="8"/>
  <c r="T1252" i="8"/>
  <c r="N1310" i="8"/>
  <c r="M1310" i="8"/>
  <c r="M1314" i="8"/>
  <c r="N1314" i="8"/>
  <c r="N1258" i="8"/>
  <c r="M1258" i="8"/>
  <c r="H1295" i="8"/>
  <c r="M1294" i="8"/>
  <c r="N1294" i="8"/>
  <c r="N1251" i="8"/>
  <c r="N1309" i="8"/>
  <c r="M1312" i="8"/>
  <c r="N1312" i="8"/>
  <c r="H1317" i="8"/>
  <c r="M1300" i="8"/>
  <c r="N1300" i="8"/>
  <c r="M1260" i="8"/>
  <c r="N1260" i="8"/>
  <c r="N1311" i="8"/>
  <c r="M1311" i="8"/>
  <c r="H1305" i="8"/>
  <c r="N1303" i="8"/>
  <c r="M1303" i="8"/>
  <c r="H1283" i="8"/>
  <c r="M1278" i="8"/>
  <c r="N1278" i="8"/>
  <c r="H1316" i="8"/>
  <c r="N1306" i="8"/>
  <c r="M1306" i="8"/>
  <c r="N1336" i="8"/>
  <c r="M1336" i="8"/>
  <c r="N1340" i="8"/>
  <c r="N1331" i="8"/>
  <c r="N1268" i="8"/>
  <c r="N1301" i="8"/>
  <c r="N1308" i="8"/>
  <c r="M1308" i="8"/>
  <c r="N1266" i="8"/>
  <c r="M1315" i="8"/>
  <c r="N1315" i="8"/>
  <c r="N1307" i="8"/>
  <c r="M1307" i="8"/>
  <c r="H1318" i="8"/>
  <c r="N1299" i="8"/>
  <c r="N1259" i="8"/>
  <c r="N1275" i="8"/>
  <c r="H1341" i="8"/>
  <c r="N1327" i="8"/>
  <c r="H1334" i="8"/>
  <c r="N1333" i="8"/>
  <c r="H1304" i="8"/>
  <c r="N1302" i="8"/>
  <c r="M1302" i="8"/>
  <c r="M1266" i="8"/>
  <c r="M1299" i="8"/>
  <c r="M1331" i="8"/>
  <c r="N1342" i="8"/>
  <c r="H1265" i="8"/>
  <c r="N1264" i="8"/>
  <c r="M1264" i="8"/>
  <c r="M1273" i="8"/>
  <c r="H1296" i="8"/>
  <c r="M1292" i="8"/>
  <c r="N1292" i="8"/>
  <c r="F186" i="11" l="1"/>
  <c r="H186" i="11" s="1"/>
  <c r="I186" i="11" s="1"/>
  <c r="J186" i="11" s="1"/>
  <c r="G255" i="23"/>
  <c r="F83" i="11"/>
  <c r="H83" i="11" s="1"/>
  <c r="I83" i="11" s="1"/>
  <c r="J83" i="11" s="1"/>
  <c r="G266" i="23"/>
  <c r="G268" i="23"/>
  <c r="G264" i="23"/>
  <c r="G267" i="23"/>
  <c r="G263" i="23"/>
  <c r="G265" i="23"/>
  <c r="G233" i="23"/>
  <c r="G229" i="23"/>
  <c r="G231" i="23"/>
  <c r="G228" i="23"/>
  <c r="G230" i="23"/>
  <c r="G244" i="23"/>
  <c r="G246" i="23"/>
  <c r="G243" i="23"/>
  <c r="G247" i="23"/>
  <c r="G245" i="23"/>
  <c r="G270" i="23"/>
  <c r="G289" i="23"/>
  <c r="G286" i="23"/>
  <c r="G284" i="23"/>
  <c r="G287" i="23"/>
  <c r="G288" i="23"/>
  <c r="F189" i="11"/>
  <c r="H189" i="11" s="1"/>
  <c r="I189" i="11" s="1"/>
  <c r="J189" i="11" s="1"/>
  <c r="G273" i="23"/>
  <c r="G302" i="23"/>
  <c r="G298" i="23"/>
  <c r="G301" i="23"/>
  <c r="G275" i="23"/>
  <c r="G274" i="23"/>
  <c r="G299" i="23"/>
  <c r="G272" i="23"/>
  <c r="G303" i="23"/>
  <c r="G315" i="23"/>
  <c r="G316" i="23"/>
  <c r="G313" i="23"/>
  <c r="G317" i="23"/>
  <c r="G312" i="23"/>
  <c r="G314" i="23"/>
  <c r="G290" i="23"/>
  <c r="F188" i="11"/>
  <c r="H188" i="11" s="1"/>
  <c r="I188" i="11" s="1"/>
  <c r="J188" i="11" s="1"/>
  <c r="G310" i="23"/>
  <c r="G309" i="23"/>
  <c r="G307" i="23"/>
  <c r="G305" i="23"/>
  <c r="G308" i="23"/>
  <c r="G306" i="23"/>
  <c r="G248" i="23"/>
  <c r="F185" i="11"/>
  <c r="H185" i="11" s="1"/>
  <c r="I185" i="11" s="1"/>
  <c r="J185" i="11" s="1"/>
  <c r="G276" i="23"/>
  <c r="F187" i="11"/>
  <c r="H187" i="11" s="1"/>
  <c r="I187" i="11" s="1"/>
  <c r="J187" i="11" s="1"/>
  <c r="F184" i="11"/>
  <c r="H184" i="11" s="1"/>
  <c r="I184" i="11" s="1"/>
  <c r="J184" i="11" s="1"/>
  <c r="G234" i="23"/>
  <c r="G318" i="23"/>
  <c r="F190" i="11"/>
  <c r="H190" i="11" s="1"/>
  <c r="I190" i="11" s="1"/>
  <c r="J190" i="11" s="1"/>
  <c r="T1249" i="8"/>
  <c r="D338" i="23" s="1"/>
  <c r="M1249" i="8"/>
  <c r="F123" i="11" s="1"/>
  <c r="H123" i="11" s="1"/>
  <c r="I123" i="11" s="1"/>
  <c r="J123" i="11" s="1"/>
  <c r="T1341" i="8"/>
  <c r="C1341" i="8"/>
  <c r="T1265" i="8"/>
  <c r="C1265" i="8"/>
  <c r="T1317" i="8"/>
  <c r="C1317" i="8"/>
  <c r="N1249" i="8"/>
  <c r="F334" i="10" s="1"/>
  <c r="T1304" i="8"/>
  <c r="C1304" i="8"/>
  <c r="T1318" i="8"/>
  <c r="C1318" i="8"/>
  <c r="T1316" i="8"/>
  <c r="C1316" i="8"/>
  <c r="T1295" i="8"/>
  <c r="C1295" i="8"/>
  <c r="T1334" i="8"/>
  <c r="C1334" i="8"/>
  <c r="T1305" i="8"/>
  <c r="C1305" i="8"/>
  <c r="T1296" i="8"/>
  <c r="C1296" i="8"/>
  <c r="T1283" i="8"/>
  <c r="C1283" i="8"/>
  <c r="N1318" i="8"/>
  <c r="M1318" i="8"/>
  <c r="N1296" i="8"/>
  <c r="M1296" i="8"/>
  <c r="M1341" i="8"/>
  <c r="N1341" i="8"/>
  <c r="N1316" i="8"/>
  <c r="M1316" i="8"/>
  <c r="H1269" i="8"/>
  <c r="N1265" i="8"/>
  <c r="M1265" i="8"/>
  <c r="M1304" i="8"/>
  <c r="N1304" i="8"/>
  <c r="M1334" i="8"/>
  <c r="N1334" i="8"/>
  <c r="N1283" i="8"/>
  <c r="M1283" i="8"/>
  <c r="N1305" i="8"/>
  <c r="M1305" i="8"/>
  <c r="N1317" i="8"/>
  <c r="M1317" i="8"/>
  <c r="M1295" i="8"/>
  <c r="N1295" i="8"/>
  <c r="G259" i="23" l="1"/>
  <c r="G258" i="23"/>
  <c r="G261" i="23"/>
  <c r="G257" i="23"/>
  <c r="G260" i="23"/>
  <c r="G256" i="23"/>
  <c r="G238" i="23"/>
  <c r="G240" i="23"/>
  <c r="G237" i="23"/>
  <c r="G235" i="23"/>
  <c r="G239" i="23"/>
  <c r="G236" i="23"/>
  <c r="G252" i="23"/>
  <c r="G254" i="23"/>
  <c r="G250" i="23"/>
  <c r="G251" i="23"/>
  <c r="G253" i="23"/>
  <c r="G249" i="23"/>
  <c r="G291" i="23"/>
  <c r="G293" i="23"/>
  <c r="G296" i="23"/>
  <c r="G295" i="23"/>
  <c r="G294" i="23"/>
  <c r="G292" i="23"/>
  <c r="G322" i="23"/>
  <c r="G319" i="23"/>
  <c r="G323" i="23"/>
  <c r="G324" i="23"/>
  <c r="G320" i="23"/>
  <c r="G321" i="23"/>
  <c r="G282" i="23"/>
  <c r="G280" i="23"/>
  <c r="G281" i="23"/>
  <c r="G279" i="23"/>
  <c r="G277" i="23"/>
  <c r="G278" i="23"/>
  <c r="E334" i="23"/>
  <c r="E338" i="23"/>
  <c r="D334" i="23"/>
  <c r="F333" i="10"/>
  <c r="T1269" i="8"/>
  <c r="T1256" i="8" s="1"/>
  <c r="D327" i="23" s="1"/>
  <c r="C1269" i="8"/>
  <c r="C1256" i="8" s="1"/>
  <c r="C1248" i="8" s="1"/>
  <c r="N1269" i="8"/>
  <c r="N1256" i="8" s="1"/>
  <c r="G213" i="9" s="1"/>
  <c r="G212" i="9" s="1"/>
  <c r="E327" i="23" l="1"/>
  <c r="E331" i="23"/>
  <c r="D331" i="23"/>
  <c r="V189" i="2" l="1"/>
  <c r="W378" i="5" s="1"/>
  <c r="W380" i="5" l="1"/>
  <c r="AG380" i="5" s="1"/>
  <c r="W381" i="5"/>
  <c r="AG381" i="5" s="1"/>
  <c r="AG378" i="5"/>
  <c r="C3" i="4" l="1"/>
  <c r="C2" i="3"/>
  <c r="C3" i="2"/>
  <c r="B17" i="8"/>
  <c r="B18" i="8"/>
  <c r="B19" i="8"/>
  <c r="B20" i="8"/>
  <c r="B21" i="8"/>
  <c r="B15" i="8"/>
  <c r="B11" i="8"/>
  <c r="H867" i="8" s="1"/>
  <c r="F124" i="13" s="1"/>
  <c r="B13" i="8"/>
  <c r="B14" i="8"/>
  <c r="B10" i="8"/>
  <c r="H731" i="8" s="1"/>
  <c r="F112" i="13" s="1"/>
  <c r="B4" i="8"/>
  <c r="B5" i="8"/>
  <c r="B7" i="8"/>
  <c r="G18" i="12"/>
  <c r="D18" i="12"/>
  <c r="A18" i="12"/>
  <c r="N54" i="17"/>
  <c r="L54" i="17"/>
  <c r="E54" i="17"/>
  <c r="N53" i="17"/>
  <c r="L53" i="17"/>
  <c r="H53" i="17"/>
  <c r="F53" i="17"/>
  <c r="E53" i="17"/>
  <c r="N52" i="17"/>
  <c r="L52" i="17"/>
  <c r="H52" i="17"/>
  <c r="F52" i="17"/>
  <c r="E52" i="17"/>
  <c r="N51" i="17"/>
  <c r="L51" i="17"/>
  <c r="H51" i="17"/>
  <c r="F51" i="17"/>
  <c r="E51" i="17"/>
  <c r="N50" i="17"/>
  <c r="L50" i="17"/>
  <c r="H50" i="17"/>
  <c r="F50" i="17"/>
  <c r="C49" i="17"/>
  <c r="L49" i="17" s="1"/>
  <c r="F31" i="17"/>
  <c r="G12" i="17"/>
  <c r="F94" i="13" l="1"/>
  <c r="F88" i="13"/>
  <c r="F92" i="13"/>
  <c r="F95" i="13"/>
  <c r="F139" i="13"/>
  <c r="F131" i="13"/>
  <c r="F137" i="13"/>
  <c r="F140" i="13"/>
  <c r="T979" i="8"/>
  <c r="N979" i="8"/>
  <c r="M979" i="8"/>
  <c r="C979" i="8"/>
  <c r="P979" i="8"/>
  <c r="H618" i="8"/>
  <c r="H2330" i="8"/>
  <c r="F169" i="13" s="1"/>
  <c r="H2388" i="8"/>
  <c r="H2378" i="8"/>
  <c r="H1003" i="8"/>
  <c r="H1006" i="8" s="1"/>
  <c r="H1047" i="8"/>
  <c r="H935" i="8"/>
  <c r="H955" i="8" s="1"/>
  <c r="H752" i="8"/>
  <c r="H760" i="8" s="1"/>
  <c r="H2368" i="8"/>
  <c r="E2324" i="8"/>
  <c r="H2432" i="8"/>
  <c r="H2434" i="8" s="1"/>
  <c r="H2410" i="8"/>
  <c r="H2523" i="8"/>
  <c r="H740" i="8"/>
  <c r="H744" i="8"/>
  <c r="H2344" i="8"/>
  <c r="D2628" i="8"/>
  <c r="D2639" i="8" s="1"/>
  <c r="D2644" i="8" s="1"/>
  <c r="D2654" i="8" s="1"/>
  <c r="D2681" i="8" s="1"/>
  <c r="D2694" i="8" s="1"/>
  <c r="D2729" i="8" s="1"/>
  <c r="H2485" i="8"/>
  <c r="H2445" i="8"/>
  <c r="H2416" i="8"/>
  <c r="H2421" i="8" s="1"/>
  <c r="H2399" i="8"/>
  <c r="H2405" i="8"/>
  <c r="H2435" i="8"/>
  <c r="H2437" i="8" s="1"/>
  <c r="H2360" i="8"/>
  <c r="H2334" i="8"/>
  <c r="H2329" i="8"/>
  <c r="F171" i="13" s="1"/>
  <c r="H2331" i="8"/>
  <c r="H2327" i="8"/>
  <c r="F173" i="13" s="1"/>
  <c r="H2328" i="8"/>
  <c r="F174" i="13" s="1"/>
  <c r="H2326" i="8"/>
  <c r="H2332" i="8"/>
  <c r="H860" i="8"/>
  <c r="H778" i="8"/>
  <c r="H773" i="8"/>
  <c r="H732" i="8"/>
  <c r="H727" i="8"/>
  <c r="H822" i="8"/>
  <c r="H788" i="8"/>
  <c r="H764" i="8"/>
  <c r="H730" i="8"/>
  <c r="F113" i="13" s="1"/>
  <c r="H791" i="8"/>
  <c r="H733" i="8"/>
  <c r="H735" i="8"/>
  <c r="H729" i="8"/>
  <c r="F117" i="13" s="1"/>
  <c r="H798" i="8"/>
  <c r="H728" i="8"/>
  <c r="F116" i="13" s="1"/>
  <c r="H890" i="8"/>
  <c r="H868" i="8"/>
  <c r="H866" i="8"/>
  <c r="F125" i="13" s="1"/>
  <c r="H910" i="8"/>
  <c r="H885" i="8"/>
  <c r="H865" i="8"/>
  <c r="F128" i="13" s="1"/>
  <c r="H863" i="8"/>
  <c r="H903" i="8"/>
  <c r="H876" i="8"/>
  <c r="H864" i="8"/>
  <c r="F127" i="13" s="1"/>
  <c r="H972" i="8"/>
  <c r="H900" i="8"/>
  <c r="H871" i="8"/>
  <c r="H869" i="8"/>
  <c r="H1159" i="8"/>
  <c r="T1159" i="8" s="1"/>
  <c r="H1078" i="8"/>
  <c r="H1111" i="8"/>
  <c r="H1083" i="8"/>
  <c r="H1080" i="8"/>
  <c r="H1074" i="8"/>
  <c r="H1108" i="8"/>
  <c r="H1079" i="8"/>
  <c r="H1073" i="8"/>
  <c r="H1097" i="8"/>
  <c r="H1082" i="8"/>
  <c r="H1076" i="8"/>
  <c r="H1072" i="8"/>
  <c r="H1071" i="8"/>
  <c r="H1118" i="8"/>
  <c r="H1121" i="8" s="1"/>
  <c r="H1092" i="8"/>
  <c r="H1081" i="8"/>
  <c r="H1075" i="8"/>
  <c r="N49" i="17"/>
  <c r="B207" i="9"/>
  <c r="B196" i="9"/>
  <c r="B190" i="9"/>
  <c r="B179" i="9"/>
  <c r="B173" i="9"/>
  <c r="B162" i="9"/>
  <c r="B156" i="9"/>
  <c r="B145" i="9"/>
  <c r="B139" i="9"/>
  <c r="B128" i="9"/>
  <c r="B122" i="9"/>
  <c r="B111" i="9"/>
  <c r="B88" i="9"/>
  <c r="B77" i="9"/>
  <c r="B54" i="9"/>
  <c r="B43" i="9"/>
  <c r="B37" i="9"/>
  <c r="B26" i="9"/>
  <c r="B20" i="9"/>
  <c r="B9" i="9"/>
  <c r="E1160" i="8"/>
  <c r="E1069" i="8"/>
  <c r="E861" i="8"/>
  <c r="E725" i="8"/>
  <c r="E640" i="8"/>
  <c r="E197" i="8"/>
  <c r="E114" i="8"/>
  <c r="D59" i="15"/>
  <c r="D7" i="15"/>
  <c r="L250" i="15"/>
  <c r="K250" i="15"/>
  <c r="L249" i="15"/>
  <c r="K249" i="15"/>
  <c r="L248" i="15"/>
  <c r="K248" i="15"/>
  <c r="L247" i="15"/>
  <c r="K247" i="15"/>
  <c r="L246" i="15"/>
  <c r="K246" i="15"/>
  <c r="L245" i="15"/>
  <c r="K245" i="15"/>
  <c r="L244" i="15"/>
  <c r="K244" i="15"/>
  <c r="L243" i="15"/>
  <c r="K243" i="15"/>
  <c r="L242" i="15"/>
  <c r="K242" i="15"/>
  <c r="L241" i="15"/>
  <c r="K241" i="15"/>
  <c r="L237" i="15"/>
  <c r="K237" i="15"/>
  <c r="L236" i="15"/>
  <c r="K236" i="15"/>
  <c r="L235" i="15"/>
  <c r="K235" i="15"/>
  <c r="L234" i="15"/>
  <c r="K234" i="15"/>
  <c r="L233" i="15"/>
  <c r="K233" i="15"/>
  <c r="L232" i="15"/>
  <c r="K232" i="15"/>
  <c r="L231" i="15"/>
  <c r="K231" i="15"/>
  <c r="L230" i="15"/>
  <c r="K230" i="15"/>
  <c r="L229" i="15"/>
  <c r="K229" i="15"/>
  <c r="L228" i="15"/>
  <c r="K228" i="15"/>
  <c r="L224" i="15"/>
  <c r="K224" i="15"/>
  <c r="L223" i="15"/>
  <c r="K223" i="15"/>
  <c r="L222" i="15"/>
  <c r="K222" i="15"/>
  <c r="L221" i="15"/>
  <c r="K221" i="15"/>
  <c r="L220" i="15"/>
  <c r="K220" i="15"/>
  <c r="L219" i="15"/>
  <c r="K219" i="15"/>
  <c r="L218" i="15"/>
  <c r="K218" i="15"/>
  <c r="L217" i="15"/>
  <c r="K217" i="15"/>
  <c r="L216" i="15"/>
  <c r="K216" i="15"/>
  <c r="L215" i="15"/>
  <c r="K215" i="15"/>
  <c r="L211" i="15"/>
  <c r="K211" i="15"/>
  <c r="L210" i="15"/>
  <c r="K210" i="15"/>
  <c r="L209" i="15"/>
  <c r="K209" i="15"/>
  <c r="L208" i="15"/>
  <c r="K208" i="15"/>
  <c r="L207" i="15"/>
  <c r="K207" i="15"/>
  <c r="L206" i="15"/>
  <c r="K206" i="15"/>
  <c r="L205" i="15"/>
  <c r="K205" i="15"/>
  <c r="L204" i="15"/>
  <c r="K204" i="15"/>
  <c r="L203" i="15"/>
  <c r="K203" i="15"/>
  <c r="L202" i="15"/>
  <c r="K202" i="15"/>
  <c r="L198" i="15"/>
  <c r="K198" i="15"/>
  <c r="L197" i="15"/>
  <c r="K197" i="15"/>
  <c r="L196" i="15"/>
  <c r="K196" i="15"/>
  <c r="L195" i="15"/>
  <c r="K195" i="15"/>
  <c r="L194" i="15"/>
  <c r="K194" i="15"/>
  <c r="L193" i="15"/>
  <c r="K193" i="15"/>
  <c r="L192" i="15"/>
  <c r="K192" i="15"/>
  <c r="L191" i="15"/>
  <c r="K191" i="15"/>
  <c r="L190" i="15"/>
  <c r="K190" i="15"/>
  <c r="L189" i="15"/>
  <c r="K189" i="15"/>
  <c r="L185" i="15"/>
  <c r="K185" i="15"/>
  <c r="L184" i="15"/>
  <c r="K184" i="15"/>
  <c r="L183" i="15"/>
  <c r="K183" i="15"/>
  <c r="L182" i="15"/>
  <c r="K182" i="15"/>
  <c r="L181" i="15"/>
  <c r="K181" i="15"/>
  <c r="L180" i="15"/>
  <c r="K180" i="15"/>
  <c r="L179" i="15"/>
  <c r="K179" i="15"/>
  <c r="L178" i="15"/>
  <c r="K178" i="15"/>
  <c r="L177" i="15"/>
  <c r="K177" i="15"/>
  <c r="L176" i="15"/>
  <c r="K176" i="15"/>
  <c r="L172" i="15"/>
  <c r="K172" i="15"/>
  <c r="L171" i="15"/>
  <c r="K171" i="15"/>
  <c r="L170" i="15"/>
  <c r="K170" i="15"/>
  <c r="L169" i="15"/>
  <c r="K169" i="15"/>
  <c r="L168" i="15"/>
  <c r="K168" i="15"/>
  <c r="L167" i="15"/>
  <c r="K167" i="15"/>
  <c r="L166" i="15"/>
  <c r="K166" i="15"/>
  <c r="L165" i="15"/>
  <c r="K165" i="15"/>
  <c r="L164" i="15"/>
  <c r="K164" i="15"/>
  <c r="L163" i="15"/>
  <c r="K163" i="15"/>
  <c r="L133" i="15"/>
  <c r="K133" i="15"/>
  <c r="L132" i="15"/>
  <c r="K132" i="15"/>
  <c r="L131" i="15"/>
  <c r="K131" i="15"/>
  <c r="L130" i="15"/>
  <c r="K130" i="15"/>
  <c r="L129" i="15"/>
  <c r="K129" i="15"/>
  <c r="L128" i="15"/>
  <c r="K128" i="15"/>
  <c r="L127" i="15"/>
  <c r="K127" i="15"/>
  <c r="L126" i="15"/>
  <c r="K126" i="15"/>
  <c r="L125" i="15"/>
  <c r="K125" i="15"/>
  <c r="L124" i="15"/>
  <c r="K124" i="15"/>
  <c r="L120" i="15"/>
  <c r="K120" i="15"/>
  <c r="L119" i="15"/>
  <c r="K119" i="15"/>
  <c r="L118" i="15"/>
  <c r="K118" i="15"/>
  <c r="L117" i="15"/>
  <c r="K117" i="15"/>
  <c r="L116" i="15"/>
  <c r="K116" i="15"/>
  <c r="L115" i="15"/>
  <c r="K115" i="15"/>
  <c r="L114" i="15"/>
  <c r="K114" i="15"/>
  <c r="L113" i="15"/>
  <c r="K113" i="15"/>
  <c r="L112" i="15"/>
  <c r="K112" i="15"/>
  <c r="L111" i="15"/>
  <c r="K111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62" i="15"/>
  <c r="L62" i="15"/>
  <c r="K64" i="15"/>
  <c r="L64" i="15"/>
  <c r="K65" i="15"/>
  <c r="L65" i="15"/>
  <c r="K66" i="15"/>
  <c r="L66" i="15"/>
  <c r="K67" i="15"/>
  <c r="L67" i="15"/>
  <c r="K70" i="15"/>
  <c r="L70" i="15"/>
  <c r="K71" i="15"/>
  <c r="L71" i="15"/>
  <c r="K72" i="15"/>
  <c r="L72" i="15"/>
  <c r="K73" i="15"/>
  <c r="L73" i="15"/>
  <c r="K74" i="15"/>
  <c r="L74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L93" i="15"/>
  <c r="K94" i="15"/>
  <c r="L94" i="15"/>
  <c r="H1050" i="8" l="1"/>
  <c r="H1049" i="8"/>
  <c r="H630" i="8"/>
  <c r="H621" i="8"/>
  <c r="H620" i="8"/>
  <c r="H1059" i="8"/>
  <c r="H1005" i="8"/>
  <c r="H1008" i="8"/>
  <c r="C135" i="10"/>
  <c r="D125" i="9"/>
  <c r="D23" i="9"/>
  <c r="C51" i="10"/>
  <c r="D142" i="9"/>
  <c r="C149" i="10"/>
  <c r="D346" i="9"/>
  <c r="C205" i="10"/>
  <c r="C65" i="10"/>
  <c r="D40" i="9"/>
  <c r="C177" i="10"/>
  <c r="D176" i="9"/>
  <c r="D108" i="9"/>
  <c r="C121" i="10"/>
  <c r="C191" i="10"/>
  <c r="D193" i="9"/>
  <c r="H1051" i="8"/>
  <c r="H636" i="8"/>
  <c r="H622" i="8"/>
  <c r="C618" i="8"/>
  <c r="T618" i="8"/>
  <c r="T556" i="8"/>
  <c r="N556" i="8"/>
  <c r="M556" i="8"/>
  <c r="C556" i="8"/>
  <c r="P556" i="8"/>
  <c r="H1065" i="8"/>
  <c r="H958" i="8"/>
  <c r="H1009" i="8"/>
  <c r="C1009" i="8" s="1"/>
  <c r="N2330" i="8"/>
  <c r="H1012" i="8"/>
  <c r="T2330" i="8"/>
  <c r="M2330" i="8"/>
  <c r="C2330" i="8"/>
  <c r="C1047" i="8"/>
  <c r="T1047" i="8"/>
  <c r="O2330" i="8"/>
  <c r="H749" i="8"/>
  <c r="H751" i="8"/>
  <c r="H750" i="8"/>
  <c r="C740" i="8"/>
  <c r="C741" i="8" s="1"/>
  <c r="H742" i="8"/>
  <c r="H743" i="8" s="1"/>
  <c r="H2450" i="8"/>
  <c r="H2451" i="8"/>
  <c r="H759" i="8"/>
  <c r="H762" i="8" s="1"/>
  <c r="C762" i="8" s="1"/>
  <c r="H756" i="8"/>
  <c r="N756" i="8" s="1"/>
  <c r="H758" i="8"/>
  <c r="T758" i="8" s="1"/>
  <c r="C752" i="8"/>
  <c r="C753" i="8" s="1"/>
  <c r="H2490" i="8"/>
  <c r="H2489" i="8"/>
  <c r="H957" i="8"/>
  <c r="H940" i="8"/>
  <c r="H939" i="8"/>
  <c r="H948" i="8"/>
  <c r="H754" i="8"/>
  <c r="H755" i="8" s="1"/>
  <c r="H938" i="8"/>
  <c r="H949" i="8"/>
  <c r="N949" i="8" s="1"/>
  <c r="H956" i="8"/>
  <c r="H840" i="8"/>
  <c r="H826" i="8"/>
  <c r="H827" i="8"/>
  <c r="H937" i="8"/>
  <c r="T867" i="8"/>
  <c r="N867" i="8"/>
  <c r="O867" i="8"/>
  <c r="M867" i="8"/>
  <c r="C867" i="8"/>
  <c r="P867" i="8"/>
  <c r="T752" i="8"/>
  <c r="H761" i="8"/>
  <c r="H757" i="8"/>
  <c r="N757" i="8" s="1"/>
  <c r="T731" i="8"/>
  <c r="N731" i="8"/>
  <c r="M731" i="8"/>
  <c r="C731" i="8"/>
  <c r="O731" i="8"/>
  <c r="C2368" i="8"/>
  <c r="T2368" i="8"/>
  <c r="H2487" i="8"/>
  <c r="H2508" i="8"/>
  <c r="H2507" i="8"/>
  <c r="H2506" i="8"/>
  <c r="H2505" i="8"/>
  <c r="H2449" i="8"/>
  <c r="H2468" i="8"/>
  <c r="H2467" i="8"/>
  <c r="H2466" i="8"/>
  <c r="H2465" i="8"/>
  <c r="H931" i="8"/>
  <c r="H930" i="8"/>
  <c r="H929" i="8"/>
  <c r="H928" i="8"/>
  <c r="H819" i="8"/>
  <c r="H818" i="8"/>
  <c r="H817" i="8"/>
  <c r="H816" i="8"/>
  <c r="H841" i="8"/>
  <c r="H842" i="8"/>
  <c r="H843" i="8"/>
  <c r="H800" i="8"/>
  <c r="H802" i="8"/>
  <c r="H801" i="8"/>
  <c r="H825" i="8"/>
  <c r="H824" i="8"/>
  <c r="H912" i="8"/>
  <c r="H934" i="8" s="1"/>
  <c r="H914" i="8"/>
  <c r="H913" i="8"/>
  <c r="H933" i="8" s="1"/>
  <c r="H2500" i="8"/>
  <c r="H2501" i="8"/>
  <c r="H835" i="8"/>
  <c r="H836" i="8"/>
  <c r="T2432" i="8"/>
  <c r="C2432" i="8"/>
  <c r="C2433" i="8" s="1"/>
  <c r="N2523" i="8"/>
  <c r="C2523" i="8"/>
  <c r="M2523" i="8"/>
  <c r="T2523" i="8"/>
  <c r="H2396" i="8"/>
  <c r="N2434" i="8"/>
  <c r="M2434" i="8"/>
  <c r="C2434" i="8"/>
  <c r="T2434" i="8"/>
  <c r="H2398" i="8"/>
  <c r="H2393" i="8"/>
  <c r="H2394" i="8"/>
  <c r="H2390" i="8"/>
  <c r="H2391" i="8" s="1"/>
  <c r="H2392" i="8" s="1"/>
  <c r="T2388" i="8"/>
  <c r="C2388" i="8"/>
  <c r="C2389" i="8" s="1"/>
  <c r="H2383" i="8"/>
  <c r="H2384" i="8"/>
  <c r="T2384" i="8" s="1"/>
  <c r="T740" i="8"/>
  <c r="T744" i="8"/>
  <c r="C744" i="8"/>
  <c r="C745" i="8" s="1"/>
  <c r="D199" i="23"/>
  <c r="D206" i="23"/>
  <c r="H2387" i="8"/>
  <c r="H2380" i="8"/>
  <c r="H2381" i="8" s="1"/>
  <c r="H2382" i="8"/>
  <c r="C2378" i="8"/>
  <c r="C2379" i="8" s="1"/>
  <c r="T2378" i="8"/>
  <c r="H2336" i="8"/>
  <c r="M2336" i="8" s="1"/>
  <c r="D2334" i="8"/>
  <c r="T2528" i="8"/>
  <c r="N2528" i="8"/>
  <c r="M2528" i="8"/>
  <c r="C2528" i="8"/>
  <c r="M2527" i="8"/>
  <c r="C2527" i="8"/>
  <c r="T2527" i="8"/>
  <c r="N2527" i="8"/>
  <c r="H2622" i="8"/>
  <c r="H2619" i="8"/>
  <c r="H2620" i="8" s="1"/>
  <c r="T2617" i="8"/>
  <c r="H2627" i="8"/>
  <c r="H2621" i="8"/>
  <c r="H2626" i="8" s="1"/>
  <c r="C2617" i="8"/>
  <c r="C2618" i="8" s="1"/>
  <c r="H2606" i="8"/>
  <c r="C2599" i="8"/>
  <c r="C2600" i="8" s="1"/>
  <c r="T2599" i="8"/>
  <c r="T2531" i="8"/>
  <c r="N2531" i="8"/>
  <c r="M2531" i="8"/>
  <c r="C2531" i="8"/>
  <c r="T2529" i="8"/>
  <c r="N2529" i="8"/>
  <c r="M2529" i="8"/>
  <c r="C2529" i="8"/>
  <c r="C2571" i="8"/>
  <c r="C2572" i="8" s="1"/>
  <c r="T2571" i="8"/>
  <c r="H2672" i="8"/>
  <c r="H2670" i="8"/>
  <c r="H2666" i="8"/>
  <c r="H2671" i="8"/>
  <c r="H2665" i="8"/>
  <c r="C2654" i="8"/>
  <c r="C2655" i="8" s="1"/>
  <c r="H2664" i="8"/>
  <c r="H2658" i="8"/>
  <c r="H2656" i="8"/>
  <c r="T2654" i="8"/>
  <c r="H2657" i="8"/>
  <c r="C2544" i="8"/>
  <c r="C2545" i="8" s="1"/>
  <c r="H2546" i="8"/>
  <c r="T2544" i="8"/>
  <c r="T2532" i="8"/>
  <c r="N2532" i="8"/>
  <c r="M2532" i="8"/>
  <c r="C2532" i="8"/>
  <c r="C2607" i="8"/>
  <c r="C2608" i="8" s="1"/>
  <c r="T2607" i="8"/>
  <c r="T2644" i="8"/>
  <c r="H2649" i="8"/>
  <c r="C2644" i="8"/>
  <c r="C2645" i="8" s="1"/>
  <c r="T2526" i="8"/>
  <c r="N2526" i="8"/>
  <c r="M2526" i="8"/>
  <c r="C2526" i="8"/>
  <c r="H2538" i="8"/>
  <c r="H2536" i="8"/>
  <c r="T2534" i="8"/>
  <c r="H2539" i="8"/>
  <c r="H2537" i="8"/>
  <c r="C2534" i="8"/>
  <c r="C2535" i="8" s="1"/>
  <c r="H2634" i="8"/>
  <c r="H2637" i="8"/>
  <c r="C2628" i="8"/>
  <c r="C2629" i="8" s="1"/>
  <c r="H2630" i="8"/>
  <c r="T2628" i="8"/>
  <c r="H2631" i="8"/>
  <c r="H2563" i="8"/>
  <c r="C2560" i="8"/>
  <c r="C2561" i="8" s="1"/>
  <c r="H2564" i="8"/>
  <c r="H2562" i="8"/>
  <c r="T2560" i="8"/>
  <c r="H2712" i="8"/>
  <c r="H2707" i="8"/>
  <c r="H2703" i="8"/>
  <c r="T2694" i="8"/>
  <c r="H2711" i="8"/>
  <c r="H2700" i="8"/>
  <c r="C2694" i="8"/>
  <c r="C2695" i="8" s="1"/>
  <c r="H2503" i="8"/>
  <c r="H2502" i="8"/>
  <c r="H2496" i="8"/>
  <c r="H2495" i="8"/>
  <c r="H2491" i="8"/>
  <c r="H2498" i="8"/>
  <c r="H2494" i="8"/>
  <c r="H2509" i="8" s="1"/>
  <c r="H2497" i="8"/>
  <c r="H2488" i="8"/>
  <c r="H2367" i="8"/>
  <c r="H2362" i="8" s="1"/>
  <c r="H2365" i="8"/>
  <c r="C2360" i="8"/>
  <c r="C2361" i="8" s="1"/>
  <c r="T2360" i="8"/>
  <c r="H2366" i="8"/>
  <c r="H2415" i="8"/>
  <c r="H2412" i="8"/>
  <c r="H2414" i="8"/>
  <c r="H2413" i="8"/>
  <c r="C2410" i="8"/>
  <c r="C2411" i="8" s="1"/>
  <c r="T2410" i="8"/>
  <c r="H2438" i="8"/>
  <c r="H2440" i="8"/>
  <c r="C2435" i="8"/>
  <c r="C2436" i="8" s="1"/>
  <c r="T2435" i="8"/>
  <c r="H2422" i="8"/>
  <c r="H2419" i="8"/>
  <c r="H2418" i="8"/>
  <c r="H2425" i="8"/>
  <c r="C2416" i="8"/>
  <c r="C2417" i="8" s="1"/>
  <c r="T2416" i="8"/>
  <c r="H2407" i="8"/>
  <c r="H2408" i="8"/>
  <c r="H2409" i="8"/>
  <c r="C2405" i="8"/>
  <c r="C2406" i="8" s="1"/>
  <c r="T2405" i="8"/>
  <c r="H2460" i="8"/>
  <c r="H2463" i="8"/>
  <c r="H2455" i="8"/>
  <c r="H2447" i="8"/>
  <c r="H2457" i="8"/>
  <c r="H2456" i="8"/>
  <c r="H2448" i="8"/>
  <c r="H2462" i="8"/>
  <c r="H2458" i="8"/>
  <c r="H2454" i="8"/>
  <c r="H2461" i="8"/>
  <c r="C2445" i="8"/>
  <c r="C2446" i="8" s="1"/>
  <c r="T2445" i="8"/>
  <c r="H2377" i="8"/>
  <c r="H2373" i="8"/>
  <c r="H2375" i="8"/>
  <c r="H2376" i="8"/>
  <c r="H2372" i="8"/>
  <c r="H2371" i="8"/>
  <c r="H2370" i="8"/>
  <c r="H2404" i="8"/>
  <c r="H2401" i="8"/>
  <c r="H2403" i="8"/>
  <c r="H2402" i="8"/>
  <c r="C2399" i="8"/>
  <c r="T2399" i="8"/>
  <c r="C2485" i="8"/>
  <c r="C2486" i="8" s="1"/>
  <c r="T2485" i="8"/>
  <c r="T2334" i="8"/>
  <c r="C2334" i="8"/>
  <c r="C2335" i="8" s="1"/>
  <c r="H2346" i="8"/>
  <c r="C2344" i="8"/>
  <c r="C2345" i="8" s="1"/>
  <c r="T2344" i="8"/>
  <c r="H2338" i="8"/>
  <c r="H2337" i="8"/>
  <c r="H2339" i="8"/>
  <c r="N2328" i="8"/>
  <c r="M2328" i="8"/>
  <c r="C2328" i="8"/>
  <c r="T2328" i="8"/>
  <c r="N2327" i="8"/>
  <c r="M2327" i="8"/>
  <c r="C2327" i="8"/>
  <c r="T2327" i="8"/>
  <c r="N2332" i="8"/>
  <c r="M2332" i="8"/>
  <c r="C2332" i="8"/>
  <c r="T2332" i="8"/>
  <c r="N2331" i="8"/>
  <c r="M2331" i="8"/>
  <c r="C2331" i="8"/>
  <c r="T2331" i="8"/>
  <c r="N2326" i="8"/>
  <c r="M2326" i="8"/>
  <c r="C2326" i="8"/>
  <c r="T2326" i="8"/>
  <c r="N2329" i="8"/>
  <c r="M2329" i="8"/>
  <c r="C2329" i="8"/>
  <c r="T2329" i="8"/>
  <c r="H737" i="8"/>
  <c r="H736" i="8"/>
  <c r="H739" i="8"/>
  <c r="H738" i="8"/>
  <c r="C735" i="8"/>
  <c r="T735" i="8"/>
  <c r="H766" i="8"/>
  <c r="H770" i="8"/>
  <c r="H768" i="8"/>
  <c r="H772" i="8" s="1"/>
  <c r="H769" i="8"/>
  <c r="C764" i="8"/>
  <c r="C765" i="8" s="1"/>
  <c r="T764" i="8"/>
  <c r="M732" i="8"/>
  <c r="N732" i="8"/>
  <c r="C732" i="8"/>
  <c r="T732" i="8"/>
  <c r="M728" i="8"/>
  <c r="N728" i="8"/>
  <c r="C728" i="8"/>
  <c r="T728" i="8"/>
  <c r="M733" i="8"/>
  <c r="N733" i="8"/>
  <c r="C733" i="8"/>
  <c r="T733" i="8"/>
  <c r="H790" i="8"/>
  <c r="C788" i="8"/>
  <c r="C789" i="8" s="1"/>
  <c r="T788" i="8"/>
  <c r="H777" i="8"/>
  <c r="H775" i="8"/>
  <c r="H776" i="8"/>
  <c r="C773" i="8"/>
  <c r="C774" i="8" s="1"/>
  <c r="T773" i="8"/>
  <c r="H814" i="8"/>
  <c r="H810" i="8"/>
  <c r="H812" i="8"/>
  <c r="H808" i="8"/>
  <c r="H811" i="8"/>
  <c r="H803" i="8"/>
  <c r="H809" i="8"/>
  <c r="H804" i="8"/>
  <c r="H807" i="8"/>
  <c r="H813" i="8"/>
  <c r="C798" i="8"/>
  <c r="C799" i="8" s="1"/>
  <c r="T798" i="8"/>
  <c r="H794" i="8"/>
  <c r="H793" i="8"/>
  <c r="C791" i="8"/>
  <c r="C792" i="8" s="1"/>
  <c r="T791" i="8"/>
  <c r="H834" i="8"/>
  <c r="H837" i="8"/>
  <c r="H832" i="8"/>
  <c r="H833" i="8"/>
  <c r="H838" i="8"/>
  <c r="H828" i="8"/>
  <c r="H831" i="8"/>
  <c r="C822" i="8"/>
  <c r="C823" i="8" s="1"/>
  <c r="T822" i="8"/>
  <c r="H783" i="8"/>
  <c r="H786" i="8"/>
  <c r="H781" i="8"/>
  <c r="H780" i="8"/>
  <c r="C778" i="8"/>
  <c r="C779" i="8" s="1"/>
  <c r="T778" i="8"/>
  <c r="N729" i="8"/>
  <c r="M729" i="8"/>
  <c r="C729" i="8"/>
  <c r="T729" i="8"/>
  <c r="N730" i="8"/>
  <c r="M730" i="8"/>
  <c r="C730" i="8"/>
  <c r="T730" i="8"/>
  <c r="N727" i="8"/>
  <c r="M727" i="8"/>
  <c r="C727" i="8"/>
  <c r="T727" i="8"/>
  <c r="N860" i="8"/>
  <c r="M860" i="8"/>
  <c r="C860" i="8"/>
  <c r="T860" i="8"/>
  <c r="H953" i="8"/>
  <c r="H952" i="8"/>
  <c r="H951" i="8"/>
  <c r="N866" i="8"/>
  <c r="M866" i="8"/>
  <c r="C866" i="8"/>
  <c r="T866" i="8"/>
  <c r="N869" i="8"/>
  <c r="M869" i="8"/>
  <c r="C869" i="8"/>
  <c r="T869" i="8"/>
  <c r="H873" i="8"/>
  <c r="M864" i="8"/>
  <c r="N864" i="8"/>
  <c r="C864" i="8"/>
  <c r="T864" i="8"/>
  <c r="N865" i="8"/>
  <c r="H874" i="8"/>
  <c r="M865" i="8"/>
  <c r="C865" i="8"/>
  <c r="T865" i="8"/>
  <c r="M868" i="8"/>
  <c r="N868" i="8"/>
  <c r="C868" i="8"/>
  <c r="T868" i="8"/>
  <c r="N972" i="8"/>
  <c r="M972" i="8"/>
  <c r="C972" i="8"/>
  <c r="T972" i="8"/>
  <c r="H872" i="8"/>
  <c r="C871" i="8"/>
  <c r="T871" i="8"/>
  <c r="H880" i="8"/>
  <c r="H884" i="8" s="1"/>
  <c r="H878" i="8"/>
  <c r="H882" i="8"/>
  <c r="H881" i="8"/>
  <c r="C876" i="8"/>
  <c r="C877" i="8" s="1"/>
  <c r="T876" i="8"/>
  <c r="H889" i="8"/>
  <c r="H888" i="8"/>
  <c r="H887" i="8"/>
  <c r="C885" i="8"/>
  <c r="C886" i="8" s="1"/>
  <c r="T885" i="8"/>
  <c r="H892" i="8"/>
  <c r="H895" i="8"/>
  <c r="H898" i="8"/>
  <c r="H893" i="8"/>
  <c r="C890" i="8"/>
  <c r="C891" i="8" s="1"/>
  <c r="T890" i="8"/>
  <c r="H875" i="8"/>
  <c r="N863" i="8"/>
  <c r="M863" i="8"/>
  <c r="C863" i="8"/>
  <c r="T863" i="8"/>
  <c r="H902" i="8"/>
  <c r="C900" i="8"/>
  <c r="C901" i="8" s="1"/>
  <c r="T900" i="8"/>
  <c r="H906" i="8"/>
  <c r="H905" i="8"/>
  <c r="C903" i="8"/>
  <c r="C904" i="8" s="1"/>
  <c r="T903" i="8"/>
  <c r="H926" i="8"/>
  <c r="H922" i="8"/>
  <c r="H925" i="8"/>
  <c r="H921" i="8"/>
  <c r="H924" i="8"/>
  <c r="H920" i="8"/>
  <c r="H916" i="8"/>
  <c r="H923" i="8"/>
  <c r="H919" i="8"/>
  <c r="H915" i="8"/>
  <c r="C910" i="8"/>
  <c r="C911" i="8" s="1"/>
  <c r="T910" i="8"/>
  <c r="H950" i="8"/>
  <c r="H945" i="8"/>
  <c r="H941" i="8"/>
  <c r="H944" i="8"/>
  <c r="H959" i="8" s="1"/>
  <c r="H947" i="8"/>
  <c r="H946" i="8"/>
  <c r="C935" i="8"/>
  <c r="C936" i="8" s="1"/>
  <c r="T935" i="8"/>
  <c r="T407" i="8"/>
  <c r="C407" i="8"/>
  <c r="T297" i="8"/>
  <c r="C297" i="8"/>
  <c r="C298" i="8" s="1"/>
  <c r="H314" i="8"/>
  <c r="H311" i="8"/>
  <c r="H312" i="8"/>
  <c r="H308" i="8"/>
  <c r="T306" i="8"/>
  <c r="C306" i="8"/>
  <c r="C307" i="8" s="1"/>
  <c r="H309" i="8"/>
  <c r="T291" i="8"/>
  <c r="C291" i="8"/>
  <c r="D291" i="8"/>
  <c r="D297" i="8" s="1"/>
  <c r="D306" i="8" s="1"/>
  <c r="D316" i="8" s="1"/>
  <c r="D319" i="8" s="1"/>
  <c r="D326" i="8" s="1"/>
  <c r="D351" i="8" s="1"/>
  <c r="T316" i="8"/>
  <c r="C316" i="8"/>
  <c r="C317" i="8" s="1"/>
  <c r="T319" i="8"/>
  <c r="C319" i="8"/>
  <c r="C320" i="8" s="1"/>
  <c r="T283" i="8"/>
  <c r="T282" i="8" s="1"/>
  <c r="C283" i="8"/>
  <c r="T326" i="8"/>
  <c r="C326" i="8"/>
  <c r="C327" i="8" s="1"/>
  <c r="H1091" i="8"/>
  <c r="H1085" i="8"/>
  <c r="H1088" i="8"/>
  <c r="H1087" i="8"/>
  <c r="B168" i="9"/>
  <c r="B32" i="9"/>
  <c r="B134" i="9"/>
  <c r="B15" i="9"/>
  <c r="B49" i="9"/>
  <c r="B117" i="9"/>
  <c r="B151" i="9"/>
  <c r="B185" i="9"/>
  <c r="B202" i="9"/>
  <c r="B83" i="9"/>
  <c r="H1103" i="8"/>
  <c r="C1103" i="8" s="1"/>
  <c r="H1106" i="8"/>
  <c r="C1159" i="8"/>
  <c r="M1159" i="8"/>
  <c r="N1159" i="8"/>
  <c r="C1078" i="8"/>
  <c r="T1078" i="8"/>
  <c r="M1075" i="8"/>
  <c r="N1075" i="8"/>
  <c r="C1075" i="8"/>
  <c r="T1075" i="8"/>
  <c r="M1071" i="8"/>
  <c r="N1071" i="8"/>
  <c r="C1071" i="8"/>
  <c r="T1071" i="8"/>
  <c r="H1100" i="8"/>
  <c r="H1104" i="8"/>
  <c r="H1099" i="8"/>
  <c r="H1102" i="8"/>
  <c r="C1097" i="8"/>
  <c r="T1097" i="8"/>
  <c r="N1074" i="8"/>
  <c r="M1074" i="8"/>
  <c r="C1074" i="8"/>
  <c r="T1074" i="8"/>
  <c r="N1081" i="8"/>
  <c r="M1081" i="8"/>
  <c r="C1081" i="8"/>
  <c r="T1081" i="8"/>
  <c r="N1072" i="8"/>
  <c r="M1072" i="8"/>
  <c r="C1072" i="8"/>
  <c r="T1072" i="8"/>
  <c r="N1073" i="8"/>
  <c r="M1073" i="8"/>
  <c r="C1073" i="8"/>
  <c r="T1073" i="8"/>
  <c r="N1080" i="8"/>
  <c r="C1080" i="8"/>
  <c r="T1080" i="8"/>
  <c r="H1094" i="8"/>
  <c r="H1096" i="8"/>
  <c r="H1095" i="8"/>
  <c r="C1092" i="8"/>
  <c r="T1092" i="8"/>
  <c r="N1076" i="8"/>
  <c r="M1076" i="8"/>
  <c r="C1076" i="8"/>
  <c r="T1076" i="8"/>
  <c r="N1079" i="8"/>
  <c r="M1079" i="8"/>
  <c r="C1079" i="8"/>
  <c r="T1079" i="8"/>
  <c r="N1083" i="8"/>
  <c r="H1089" i="8"/>
  <c r="C1083" i="8"/>
  <c r="T1083" i="8"/>
  <c r="H1131" i="8"/>
  <c r="H1127" i="8"/>
  <c r="H1123" i="8"/>
  <c r="H1135" i="8"/>
  <c r="H1130" i="8"/>
  <c r="H1122" i="8"/>
  <c r="H1134" i="8"/>
  <c r="H1129" i="8"/>
  <c r="H1133" i="8"/>
  <c r="H1128" i="8"/>
  <c r="H1124" i="8"/>
  <c r="H1120" i="8"/>
  <c r="C1118" i="8"/>
  <c r="T1118" i="8"/>
  <c r="M1082" i="8"/>
  <c r="N1082" i="8"/>
  <c r="C1082" i="8"/>
  <c r="T1082" i="8"/>
  <c r="H1110" i="8"/>
  <c r="C1108" i="8"/>
  <c r="T1108" i="8"/>
  <c r="H1113" i="8"/>
  <c r="H1114" i="8"/>
  <c r="C1111" i="8"/>
  <c r="T1111" i="8"/>
  <c r="B12" i="9"/>
  <c r="D45" i="23"/>
  <c r="D52" i="23"/>
  <c r="D143" i="23"/>
  <c r="D150" i="23"/>
  <c r="D80" i="23"/>
  <c r="D73" i="23"/>
  <c r="D171" i="23"/>
  <c r="D178" i="23"/>
  <c r="D122" i="23"/>
  <c r="D115" i="23"/>
  <c r="D185" i="23"/>
  <c r="D192" i="23"/>
  <c r="D129" i="23"/>
  <c r="D136" i="23"/>
  <c r="N112" i="15"/>
  <c r="N114" i="15"/>
  <c r="N116" i="15"/>
  <c r="N118" i="15"/>
  <c r="N120" i="15"/>
  <c r="N124" i="15"/>
  <c r="N126" i="15"/>
  <c r="N127" i="15"/>
  <c r="N128" i="15"/>
  <c r="N130" i="15"/>
  <c r="N131" i="15"/>
  <c r="N132" i="15"/>
  <c r="N164" i="15"/>
  <c r="N165" i="15"/>
  <c r="N166" i="15"/>
  <c r="N168" i="15"/>
  <c r="N170" i="15"/>
  <c r="N172" i="15"/>
  <c r="N176" i="15"/>
  <c r="N178" i="15"/>
  <c r="N180" i="15"/>
  <c r="N182" i="15"/>
  <c r="N184" i="15"/>
  <c r="N190" i="15"/>
  <c r="N192" i="15"/>
  <c r="N194" i="15"/>
  <c r="N196" i="15"/>
  <c r="N198" i="15"/>
  <c r="N202" i="15"/>
  <c r="N204" i="15"/>
  <c r="N205" i="15"/>
  <c r="N206" i="15"/>
  <c r="N208" i="15"/>
  <c r="N209" i="15"/>
  <c r="N210" i="15"/>
  <c r="N216" i="15"/>
  <c r="N218" i="15"/>
  <c r="N220" i="15"/>
  <c r="N222" i="15"/>
  <c r="N224" i="15"/>
  <c r="N228" i="15"/>
  <c r="N230" i="15"/>
  <c r="N232" i="15"/>
  <c r="N234" i="15"/>
  <c r="N236" i="15"/>
  <c r="N242" i="15"/>
  <c r="N244" i="15"/>
  <c r="N246" i="15"/>
  <c r="N248" i="15"/>
  <c r="N250" i="15"/>
  <c r="N169" i="15"/>
  <c r="N177" i="15"/>
  <c r="N181" i="15"/>
  <c r="N185" i="15"/>
  <c r="N189" i="15"/>
  <c r="N193" i="15"/>
  <c r="N197" i="15"/>
  <c r="N217" i="15"/>
  <c r="N221" i="15"/>
  <c r="N229" i="15"/>
  <c r="N233" i="15"/>
  <c r="N237" i="15"/>
  <c r="N241" i="15"/>
  <c r="N245" i="15"/>
  <c r="N249" i="15"/>
  <c r="N111" i="15"/>
  <c r="N115" i="15"/>
  <c r="N119" i="15"/>
  <c r="B46" i="9"/>
  <c r="B80" i="9"/>
  <c r="B114" i="9"/>
  <c r="B131" i="9"/>
  <c r="B148" i="9"/>
  <c r="B165" i="9"/>
  <c r="B182" i="9"/>
  <c r="B199" i="9"/>
  <c r="B29" i="9"/>
  <c r="N117" i="15"/>
  <c r="N125" i="15"/>
  <c r="N133" i="15"/>
  <c r="N167" i="15"/>
  <c r="N183" i="15"/>
  <c r="N191" i="15"/>
  <c r="N207" i="15"/>
  <c r="N215" i="15"/>
  <c r="N223" i="15"/>
  <c r="N231" i="15"/>
  <c r="N247" i="15"/>
  <c r="N113" i="15"/>
  <c r="N129" i="15"/>
  <c r="N163" i="15"/>
  <c r="N171" i="15"/>
  <c r="N179" i="15"/>
  <c r="N195" i="15"/>
  <c r="N203" i="15"/>
  <c r="N211" i="15"/>
  <c r="N219" i="15"/>
  <c r="N235" i="15"/>
  <c r="N243" i="15"/>
  <c r="N107" i="15"/>
  <c r="N106" i="15"/>
  <c r="N105" i="15"/>
  <c r="N104" i="15"/>
  <c r="N103" i="15"/>
  <c r="N102" i="15"/>
  <c r="N101" i="15"/>
  <c r="V86" i="15"/>
  <c r="V87" i="15"/>
  <c r="V88" i="15"/>
  <c r="V85" i="15"/>
  <c r="S86" i="15"/>
  <c r="S87" i="15"/>
  <c r="S88" i="15"/>
  <c r="S85" i="15"/>
  <c r="N84" i="15"/>
  <c r="V80" i="15"/>
  <c r="S80" i="15"/>
  <c r="N82" i="15"/>
  <c r="N83" i="15"/>
  <c r="N79" i="15"/>
  <c r="N80" i="15"/>
  <c r="N81" i="15"/>
  <c r="D35" i="11" l="1"/>
  <c r="D141" i="11"/>
  <c r="D325" i="15"/>
  <c r="D58" i="11"/>
  <c r="D118" i="11"/>
  <c r="D83" i="11"/>
  <c r="D211" i="13"/>
  <c r="D260" i="14" s="1"/>
  <c r="D186" i="11"/>
  <c r="D164" i="11"/>
  <c r="D167" i="11"/>
  <c r="D163" i="11"/>
  <c r="D223" i="13"/>
  <c r="D274" i="14" s="1"/>
  <c r="D190" i="11"/>
  <c r="D189" i="11"/>
  <c r="D187" i="13"/>
  <c r="D232" i="14" s="1"/>
  <c r="D235" i="13"/>
  <c r="D288" i="14" s="1"/>
  <c r="D187" i="11"/>
  <c r="D188" i="11"/>
  <c r="D199" i="13"/>
  <c r="D246" i="14" s="1"/>
  <c r="D165" i="11"/>
  <c r="D184" i="11"/>
  <c r="D185" i="11"/>
  <c r="D162" i="11"/>
  <c r="D166" i="11"/>
  <c r="D247" i="13"/>
  <c r="D302" i="14" s="1"/>
  <c r="D39" i="11"/>
  <c r="D84" i="11"/>
  <c r="D339" i="15"/>
  <c r="D34" i="11"/>
  <c r="D33" i="11"/>
  <c r="D117" i="11"/>
  <c r="D143" i="11"/>
  <c r="D63" i="11"/>
  <c r="D121" i="11"/>
  <c r="D87" i="11"/>
  <c r="D311" i="15"/>
  <c r="D36" i="11"/>
  <c r="D140" i="11"/>
  <c r="D56" i="11"/>
  <c r="D139" i="11"/>
  <c r="D145" i="11"/>
  <c r="D144" i="11"/>
  <c r="D85" i="11"/>
  <c r="D81" i="11"/>
  <c r="D355" i="15"/>
  <c r="D116" i="11"/>
  <c r="D142" i="11"/>
  <c r="D119" i="11"/>
  <c r="D57" i="11"/>
  <c r="D40" i="11"/>
  <c r="D122" i="11"/>
  <c r="D82" i="11"/>
  <c r="D86" i="11"/>
  <c r="D120" i="11"/>
  <c r="D60" i="11"/>
  <c r="D37" i="11"/>
  <c r="D298" i="15"/>
  <c r="D59" i="11"/>
  <c r="D62" i="11"/>
  <c r="M1009" i="8"/>
  <c r="C631" i="8"/>
  <c r="N631" i="8"/>
  <c r="M631" i="8"/>
  <c r="T631" i="8"/>
  <c r="C1060" i="8"/>
  <c r="M1060" i="8"/>
  <c r="N1060" i="8"/>
  <c r="T1060" i="8"/>
  <c r="T1009" i="8"/>
  <c r="N1009" i="8"/>
  <c r="N742" i="8"/>
  <c r="T756" i="8"/>
  <c r="M762" i="8"/>
  <c r="N762" i="8"/>
  <c r="H746" i="8"/>
  <c r="N746" i="8" s="1"/>
  <c r="H748" i="8"/>
  <c r="C748" i="8" s="1"/>
  <c r="H747" i="8"/>
  <c r="C756" i="8"/>
  <c r="H960" i="8"/>
  <c r="C960" i="8" s="1"/>
  <c r="H845" i="8"/>
  <c r="P762" i="8"/>
  <c r="T762" i="8"/>
  <c r="H2510" i="8"/>
  <c r="T934" i="8"/>
  <c r="N934" i="8"/>
  <c r="M934" i="8"/>
  <c r="C934" i="8"/>
  <c r="C758" i="8"/>
  <c r="C754" i="8"/>
  <c r="N758" i="8"/>
  <c r="T949" i="8"/>
  <c r="M754" i="8"/>
  <c r="T757" i="8"/>
  <c r="M949" i="8"/>
  <c r="O949" i="8"/>
  <c r="T2489" i="8"/>
  <c r="N2489" i="8"/>
  <c r="M2489" i="8"/>
  <c r="C2489" i="8"/>
  <c r="N754" i="8"/>
  <c r="T939" i="8"/>
  <c r="N939" i="8"/>
  <c r="M939" i="8"/>
  <c r="C939" i="8"/>
  <c r="T754" i="8"/>
  <c r="C757" i="8"/>
  <c r="P949" i="8"/>
  <c r="C949" i="8"/>
  <c r="T826" i="8"/>
  <c r="N826" i="8"/>
  <c r="M826" i="8"/>
  <c r="C826" i="8"/>
  <c r="T884" i="8"/>
  <c r="N884" i="8"/>
  <c r="M884" i="8"/>
  <c r="C884" i="8"/>
  <c r="T772" i="8"/>
  <c r="N772" i="8"/>
  <c r="M772" i="8"/>
  <c r="C772" i="8"/>
  <c r="C2369" i="8"/>
  <c r="C2506" i="8"/>
  <c r="N2506" i="8"/>
  <c r="O2506" i="8"/>
  <c r="P2506" i="8"/>
  <c r="M2506" i="8"/>
  <c r="T2506" i="8"/>
  <c r="P2507" i="8"/>
  <c r="M2507" i="8"/>
  <c r="N2507" i="8"/>
  <c r="O2507" i="8"/>
  <c r="C2507" i="8"/>
  <c r="T2507" i="8"/>
  <c r="C2508" i="8"/>
  <c r="P2508" i="8"/>
  <c r="M2508" i="8"/>
  <c r="O2508" i="8"/>
  <c r="N2508" i="8"/>
  <c r="T2508" i="8"/>
  <c r="C2505" i="8"/>
  <c r="M2505" i="8"/>
  <c r="N2505" i="8"/>
  <c r="T2505" i="8"/>
  <c r="C928" i="8"/>
  <c r="N928" i="8"/>
  <c r="M928" i="8"/>
  <c r="T928" i="8"/>
  <c r="T955" i="8"/>
  <c r="N955" i="8"/>
  <c r="M955" i="8"/>
  <c r="C955" i="8"/>
  <c r="C929" i="8"/>
  <c r="O929" i="8"/>
  <c r="N929" i="8"/>
  <c r="P929" i="8"/>
  <c r="M929" i="8"/>
  <c r="T929" i="8"/>
  <c r="P957" i="8"/>
  <c r="O957" i="8"/>
  <c r="T957" i="8"/>
  <c r="N957" i="8"/>
  <c r="M957" i="8"/>
  <c r="C957" i="8"/>
  <c r="P930" i="8"/>
  <c r="C930" i="8"/>
  <c r="M930" i="8"/>
  <c r="N930" i="8"/>
  <c r="O930" i="8"/>
  <c r="T930" i="8"/>
  <c r="T956" i="8"/>
  <c r="N956" i="8"/>
  <c r="M956" i="8"/>
  <c r="C956" i="8"/>
  <c r="P956" i="8"/>
  <c r="O956" i="8"/>
  <c r="C931" i="8"/>
  <c r="P931" i="8"/>
  <c r="M931" i="8"/>
  <c r="O931" i="8"/>
  <c r="N931" i="8"/>
  <c r="T931" i="8"/>
  <c r="T958" i="8"/>
  <c r="N958" i="8"/>
  <c r="M958" i="8"/>
  <c r="C958" i="8"/>
  <c r="P958" i="8"/>
  <c r="O958" i="8"/>
  <c r="C817" i="8"/>
  <c r="O817" i="8"/>
  <c r="N817" i="8"/>
  <c r="P817" i="8"/>
  <c r="M817" i="8"/>
  <c r="T817" i="8"/>
  <c r="C818" i="8"/>
  <c r="N818" i="8"/>
  <c r="O818" i="8"/>
  <c r="P818" i="8"/>
  <c r="M818" i="8"/>
  <c r="T818" i="8"/>
  <c r="C819" i="8"/>
  <c r="O819" i="8"/>
  <c r="P819" i="8"/>
  <c r="M819" i="8"/>
  <c r="N819" i="8"/>
  <c r="T819" i="8"/>
  <c r="C2501" i="8"/>
  <c r="P2501" i="8"/>
  <c r="N2501" i="8"/>
  <c r="M2501" i="8"/>
  <c r="O2501" i="8"/>
  <c r="T2501" i="8"/>
  <c r="C836" i="8"/>
  <c r="O836" i="8"/>
  <c r="M836" i="8"/>
  <c r="N836" i="8"/>
  <c r="P836" i="8"/>
  <c r="T836" i="8"/>
  <c r="D138" i="11"/>
  <c r="D160" i="11"/>
  <c r="D137" i="11"/>
  <c r="D150" i="11"/>
  <c r="D52" i="13"/>
  <c r="D64" i="14" s="1"/>
  <c r="D174" i="11"/>
  <c r="D42" i="11"/>
  <c r="D182" i="11"/>
  <c r="D163" i="13"/>
  <c r="D204" i="14" s="1"/>
  <c r="D172" i="11"/>
  <c r="D69" i="11"/>
  <c r="D74" i="13"/>
  <c r="D92" i="14" s="1"/>
  <c r="D183" i="11"/>
  <c r="D79" i="11"/>
  <c r="D129" i="11"/>
  <c r="D152" i="11"/>
  <c r="D115" i="11"/>
  <c r="D80" i="11"/>
  <c r="D114" i="11"/>
  <c r="D71" i="11"/>
  <c r="D127" i="11"/>
  <c r="D175" i="13"/>
  <c r="D218" i="14" s="1"/>
  <c r="D161" i="11"/>
  <c r="C2626" i="8"/>
  <c r="M2626" i="8"/>
  <c r="P2626" i="8"/>
  <c r="N2626" i="8"/>
  <c r="T2626" i="8"/>
  <c r="C2620" i="8"/>
  <c r="N2620" i="8"/>
  <c r="M2620" i="8"/>
  <c r="T2620" i="8"/>
  <c r="T2421" i="8"/>
  <c r="N2421" i="8"/>
  <c r="M2421" i="8"/>
  <c r="C2421" i="8"/>
  <c r="D2340" i="8"/>
  <c r="D2344" i="8" s="1"/>
  <c r="D2348" i="8" s="1"/>
  <c r="D2354" i="8" s="1"/>
  <c r="D2360" i="8" s="1"/>
  <c r="D2368" i="8" s="1"/>
  <c r="C2384" i="8"/>
  <c r="N2384" i="8"/>
  <c r="N2336" i="8"/>
  <c r="H2395" i="8"/>
  <c r="T2394" i="8"/>
  <c r="N2394" i="8"/>
  <c r="H2397" i="8"/>
  <c r="M2394" i="8"/>
  <c r="C2394" i="8"/>
  <c r="H2386" i="8"/>
  <c r="H2385" i="8"/>
  <c r="T2390" i="8"/>
  <c r="N2390" i="8"/>
  <c r="M2390" i="8"/>
  <c r="C2390" i="8"/>
  <c r="T2393" i="8"/>
  <c r="N2393" i="8"/>
  <c r="C2393" i="8"/>
  <c r="M2384" i="8"/>
  <c r="T2383" i="8"/>
  <c r="N2383" i="8"/>
  <c r="C2383" i="8"/>
  <c r="T2392" i="8"/>
  <c r="N2392" i="8"/>
  <c r="C2392" i="8"/>
  <c r="T2398" i="8"/>
  <c r="N2398" i="8"/>
  <c r="M2398" i="8"/>
  <c r="C2398" i="8"/>
  <c r="T755" i="8"/>
  <c r="N755" i="8"/>
  <c r="H763" i="8"/>
  <c r="M755" i="8"/>
  <c r="C755" i="8"/>
  <c r="T742" i="8"/>
  <c r="T2336" i="8"/>
  <c r="C742" i="8"/>
  <c r="M742" i="8"/>
  <c r="M750" i="8"/>
  <c r="T750" i="8"/>
  <c r="N750" i="8"/>
  <c r="C750" i="8"/>
  <c r="T749" i="8"/>
  <c r="N749" i="8"/>
  <c r="M749" i="8"/>
  <c r="C749" i="8"/>
  <c r="T743" i="8"/>
  <c r="N743" i="8"/>
  <c r="M743" i="8"/>
  <c r="C743" i="8"/>
  <c r="D377" i="8"/>
  <c r="D407" i="8" s="1"/>
  <c r="C2336" i="8"/>
  <c r="T2525" i="8"/>
  <c r="T2325" i="8"/>
  <c r="D68" i="23"/>
  <c r="E68" i="23"/>
  <c r="D72" i="23"/>
  <c r="E72" i="23"/>
  <c r="D64" i="11"/>
  <c r="D134" i="15"/>
  <c r="D46" i="11"/>
  <c r="D41" i="11"/>
  <c r="D147" i="15"/>
  <c r="D48" i="11"/>
  <c r="D104" i="11"/>
  <c r="D106" i="11"/>
  <c r="D65" i="11"/>
  <c r="D26" i="11"/>
  <c r="D23" i="11"/>
  <c r="N2382" i="8"/>
  <c r="C2382" i="8"/>
  <c r="T2382" i="8"/>
  <c r="N2381" i="8"/>
  <c r="C2381" i="8"/>
  <c r="T2381" i="8"/>
  <c r="N2380" i="8"/>
  <c r="M2380" i="8"/>
  <c r="C2380" i="8"/>
  <c r="T2380" i="8"/>
  <c r="N2387" i="8"/>
  <c r="M2387" i="8"/>
  <c r="C2387" i="8"/>
  <c r="T2387" i="8"/>
  <c r="H2726" i="8"/>
  <c r="C2726" i="8" s="1"/>
  <c r="M2525" i="8"/>
  <c r="N2525" i="8"/>
  <c r="F222" i="10" s="1"/>
  <c r="F221" i="10" s="1"/>
  <c r="T2700" i="8"/>
  <c r="N2700" i="8"/>
  <c r="H2702" i="8"/>
  <c r="M2700" i="8"/>
  <c r="C2700" i="8"/>
  <c r="P2700" i="8"/>
  <c r="T2713" i="8"/>
  <c r="N2713" i="8"/>
  <c r="M2713" i="8"/>
  <c r="C2713" i="8"/>
  <c r="M2703" i="8"/>
  <c r="C2703" i="8"/>
  <c r="T2703" i="8"/>
  <c r="N2703" i="8"/>
  <c r="M2712" i="8"/>
  <c r="C2712" i="8"/>
  <c r="T2712" i="8"/>
  <c r="N2712" i="8"/>
  <c r="T2569" i="8"/>
  <c r="N2569" i="8"/>
  <c r="M2569" i="8"/>
  <c r="C2569" i="8"/>
  <c r="M2570" i="8"/>
  <c r="C2570" i="8"/>
  <c r="T2570" i="8"/>
  <c r="N2570" i="8"/>
  <c r="T2537" i="8"/>
  <c r="N2537" i="8"/>
  <c r="M2537" i="8"/>
  <c r="C2537" i="8"/>
  <c r="C2538" i="8"/>
  <c r="T2538" i="8"/>
  <c r="N2538" i="8"/>
  <c r="H2648" i="8"/>
  <c r="T2647" i="8"/>
  <c r="N2647" i="8"/>
  <c r="H2653" i="8"/>
  <c r="M2647" i="8"/>
  <c r="C2647" i="8"/>
  <c r="C2611" i="8"/>
  <c r="T2611" i="8"/>
  <c r="N2611" i="8"/>
  <c r="T2546" i="8"/>
  <c r="N2546" i="8"/>
  <c r="M2546" i="8"/>
  <c r="C2546" i="8"/>
  <c r="H2547" i="8"/>
  <c r="H2678" i="8"/>
  <c r="T2663" i="8"/>
  <c r="N2663" i="8"/>
  <c r="M2663" i="8"/>
  <c r="C2663" i="8"/>
  <c r="T2660" i="8"/>
  <c r="N2660" i="8"/>
  <c r="H2662" i="8"/>
  <c r="M2660" i="8"/>
  <c r="C2660" i="8"/>
  <c r="P2660" i="8"/>
  <c r="T2665" i="8"/>
  <c r="M2665" i="8"/>
  <c r="C2665" i="8"/>
  <c r="N2665" i="8"/>
  <c r="M2666" i="8"/>
  <c r="C2666" i="8"/>
  <c r="N2666" i="8"/>
  <c r="T2666" i="8"/>
  <c r="T2578" i="8"/>
  <c r="N2578" i="8"/>
  <c r="M2578" i="8"/>
  <c r="C2578" i="8"/>
  <c r="T2591" i="8"/>
  <c r="N2591" i="8"/>
  <c r="M2591" i="8"/>
  <c r="C2591" i="8"/>
  <c r="C2604" i="8"/>
  <c r="T2604" i="8"/>
  <c r="N2604" i="8"/>
  <c r="T2627" i="8"/>
  <c r="N2627" i="8"/>
  <c r="M2627" i="8"/>
  <c r="C2627" i="8"/>
  <c r="T2704" i="8"/>
  <c r="N2704" i="8"/>
  <c r="M2704" i="8"/>
  <c r="C2704" i="8"/>
  <c r="M2705" i="8"/>
  <c r="C2705" i="8"/>
  <c r="T2705" i="8"/>
  <c r="N2705" i="8"/>
  <c r="H2636" i="8"/>
  <c r="M2631" i="8"/>
  <c r="T2631" i="8"/>
  <c r="H2632" i="8"/>
  <c r="N2631" i="8"/>
  <c r="C2631" i="8"/>
  <c r="H2638" i="8"/>
  <c r="T2637" i="8"/>
  <c r="N2637" i="8"/>
  <c r="M2637" i="8"/>
  <c r="C2637" i="8"/>
  <c r="T2539" i="8"/>
  <c r="N2539" i="8"/>
  <c r="M2539" i="8"/>
  <c r="C2539" i="8"/>
  <c r="H2650" i="8"/>
  <c r="T2649" i="8"/>
  <c r="N2649" i="8"/>
  <c r="H2651" i="8"/>
  <c r="M2649" i="8"/>
  <c r="C2649" i="8"/>
  <c r="T2609" i="8"/>
  <c r="N2609" i="8"/>
  <c r="M2609" i="8"/>
  <c r="C2609" i="8"/>
  <c r="N2664" i="8"/>
  <c r="T2664" i="8"/>
  <c r="M2664" i="8"/>
  <c r="C2664" i="8"/>
  <c r="M2669" i="8"/>
  <c r="C2669" i="8"/>
  <c r="T2669" i="8"/>
  <c r="N2669" i="8"/>
  <c r="M2670" i="8"/>
  <c r="C2670" i="8"/>
  <c r="N2670" i="8"/>
  <c r="T2670" i="8"/>
  <c r="T2582" i="8"/>
  <c r="N2582" i="8"/>
  <c r="M2582" i="8"/>
  <c r="C2582" i="8"/>
  <c r="T2581" i="8"/>
  <c r="N2581" i="8"/>
  <c r="M2581" i="8"/>
  <c r="C2581" i="8"/>
  <c r="T2601" i="8"/>
  <c r="N2601" i="8"/>
  <c r="M2601" i="8"/>
  <c r="C2601" i="8"/>
  <c r="M2606" i="8"/>
  <c r="C2606" i="8"/>
  <c r="T2606" i="8"/>
  <c r="N2606" i="8"/>
  <c r="T2706" i="8"/>
  <c r="N2706" i="8"/>
  <c r="M2706" i="8"/>
  <c r="C2706" i="8"/>
  <c r="M2696" i="8"/>
  <c r="C2696" i="8"/>
  <c r="T2696" i="8"/>
  <c r="N2696" i="8"/>
  <c r="M2707" i="8"/>
  <c r="C2707" i="8"/>
  <c r="H2708" i="8"/>
  <c r="T2707" i="8"/>
  <c r="N2707" i="8"/>
  <c r="T2562" i="8"/>
  <c r="N2562" i="8"/>
  <c r="M2562" i="8"/>
  <c r="C2562" i="8"/>
  <c r="M2563" i="8"/>
  <c r="C2563" i="8"/>
  <c r="T2563" i="8"/>
  <c r="N2563" i="8"/>
  <c r="M2634" i="8"/>
  <c r="C2634" i="8"/>
  <c r="N2634" i="8"/>
  <c r="T2634" i="8"/>
  <c r="H2679" i="8"/>
  <c r="T2657" i="8"/>
  <c r="N2657" i="8"/>
  <c r="M2657" i="8"/>
  <c r="C2657" i="8"/>
  <c r="H2680" i="8"/>
  <c r="T2656" i="8"/>
  <c r="N2656" i="8"/>
  <c r="M2656" i="8"/>
  <c r="C2656" i="8"/>
  <c r="N2667" i="8"/>
  <c r="M2667" i="8"/>
  <c r="C2667" i="8"/>
  <c r="T2667" i="8"/>
  <c r="M2671" i="8"/>
  <c r="C2671" i="8"/>
  <c r="N2671" i="8"/>
  <c r="T2671" i="8"/>
  <c r="M2672" i="8"/>
  <c r="C2672" i="8"/>
  <c r="T2672" i="8"/>
  <c r="N2672" i="8"/>
  <c r="T2589" i="8"/>
  <c r="N2589" i="8"/>
  <c r="C2589" i="8"/>
  <c r="T2605" i="8"/>
  <c r="N2605" i="8"/>
  <c r="M2605" i="8"/>
  <c r="C2605" i="8"/>
  <c r="M2619" i="8"/>
  <c r="C2619" i="8"/>
  <c r="T2619" i="8"/>
  <c r="N2619" i="8"/>
  <c r="T2697" i="8"/>
  <c r="N2697" i="8"/>
  <c r="M2697" i="8"/>
  <c r="C2697" i="8"/>
  <c r="T2711" i="8"/>
  <c r="N2711" i="8"/>
  <c r="M2711" i="8"/>
  <c r="C2711" i="8"/>
  <c r="H2701" i="8"/>
  <c r="M2699" i="8"/>
  <c r="C2699" i="8"/>
  <c r="P2699" i="8"/>
  <c r="T2699" i="8"/>
  <c r="N2699" i="8"/>
  <c r="M2709" i="8"/>
  <c r="C2709" i="8"/>
  <c r="N2709" i="8"/>
  <c r="T2709" i="8"/>
  <c r="T2564" i="8"/>
  <c r="N2564" i="8"/>
  <c r="M2564" i="8"/>
  <c r="C2564" i="8"/>
  <c r="M2568" i="8"/>
  <c r="C2568" i="8"/>
  <c r="T2568" i="8"/>
  <c r="N2568" i="8"/>
  <c r="H2635" i="8"/>
  <c r="T2630" i="8"/>
  <c r="N2630" i="8"/>
  <c r="M2630" i="8"/>
  <c r="C2630" i="8"/>
  <c r="M2536" i="8"/>
  <c r="C2536" i="8"/>
  <c r="T2536" i="8"/>
  <c r="N2536" i="8"/>
  <c r="H2652" i="8"/>
  <c r="M2646" i="8"/>
  <c r="C2646" i="8"/>
  <c r="T2646" i="8"/>
  <c r="N2646" i="8"/>
  <c r="T2616" i="8"/>
  <c r="N2616" i="8"/>
  <c r="M2616" i="8"/>
  <c r="C2616" i="8"/>
  <c r="P2659" i="8"/>
  <c r="T2659" i="8"/>
  <c r="N2659" i="8"/>
  <c r="H2661" i="8"/>
  <c r="M2659" i="8"/>
  <c r="C2659" i="8"/>
  <c r="T2658" i="8"/>
  <c r="N2658" i="8"/>
  <c r="M2658" i="8"/>
  <c r="C2658" i="8"/>
  <c r="T2673" i="8"/>
  <c r="N2673" i="8"/>
  <c r="M2673" i="8"/>
  <c r="C2673" i="8"/>
  <c r="T2588" i="8"/>
  <c r="N2588" i="8"/>
  <c r="C2588" i="8"/>
  <c r="C2585" i="8"/>
  <c r="T2585" i="8"/>
  <c r="N2585" i="8"/>
  <c r="T2621" i="8"/>
  <c r="N2621" i="8"/>
  <c r="C2621" i="8"/>
  <c r="C2622" i="8"/>
  <c r="T2622" i="8"/>
  <c r="N2622" i="8"/>
  <c r="C2502" i="8"/>
  <c r="N2502" i="8"/>
  <c r="M2502" i="8"/>
  <c r="T2502" i="8"/>
  <c r="C2509" i="8"/>
  <c r="N2509" i="8"/>
  <c r="M2509" i="8"/>
  <c r="T2509" i="8"/>
  <c r="C2503" i="8"/>
  <c r="N2503" i="8"/>
  <c r="M2503" i="8"/>
  <c r="T2503" i="8"/>
  <c r="C2504" i="8"/>
  <c r="N2504" i="8"/>
  <c r="M2504" i="8"/>
  <c r="T2504" i="8"/>
  <c r="H2492" i="8"/>
  <c r="C2490" i="8"/>
  <c r="N2490" i="8"/>
  <c r="P2490" i="8"/>
  <c r="M2490" i="8"/>
  <c r="T2490" i="8"/>
  <c r="C2495" i="8"/>
  <c r="N2495" i="8"/>
  <c r="M2495" i="8"/>
  <c r="T2495" i="8"/>
  <c r="C2494" i="8"/>
  <c r="N2494" i="8"/>
  <c r="M2494" i="8"/>
  <c r="T2494" i="8"/>
  <c r="C2487" i="8"/>
  <c r="N2487" i="8"/>
  <c r="M2487" i="8"/>
  <c r="T2487" i="8"/>
  <c r="C2488" i="8"/>
  <c r="N2488" i="8"/>
  <c r="M2488" i="8"/>
  <c r="T2488" i="8"/>
  <c r="H2499" i="8"/>
  <c r="C2498" i="8"/>
  <c r="N2498" i="8"/>
  <c r="M2498" i="8"/>
  <c r="T2498" i="8"/>
  <c r="C2496" i="8"/>
  <c r="N2496" i="8"/>
  <c r="M2496" i="8"/>
  <c r="T2496" i="8"/>
  <c r="C2497" i="8"/>
  <c r="N2497" i="8"/>
  <c r="M2497" i="8"/>
  <c r="T2497" i="8"/>
  <c r="H2493" i="8"/>
  <c r="C2491" i="8"/>
  <c r="N2491" i="8"/>
  <c r="M2491" i="8"/>
  <c r="P2491" i="8"/>
  <c r="T2491" i="8"/>
  <c r="C2500" i="8"/>
  <c r="N2500" i="8"/>
  <c r="M2500" i="8"/>
  <c r="T2500" i="8"/>
  <c r="C2362" i="8"/>
  <c r="M2362" i="8"/>
  <c r="N2362" i="8"/>
  <c r="T2362" i="8"/>
  <c r="N2402" i="8"/>
  <c r="C2402" i="8"/>
  <c r="T2402" i="8"/>
  <c r="N2372" i="8"/>
  <c r="M2372" i="8"/>
  <c r="C2372" i="8"/>
  <c r="T2372" i="8"/>
  <c r="N2377" i="8"/>
  <c r="M2377" i="8"/>
  <c r="C2377" i="8"/>
  <c r="T2377" i="8"/>
  <c r="H2452" i="8"/>
  <c r="N2450" i="8"/>
  <c r="M2450" i="8"/>
  <c r="P2450" i="8"/>
  <c r="C2450" i="8"/>
  <c r="T2450" i="8"/>
  <c r="H2470" i="8"/>
  <c r="N2448" i="8"/>
  <c r="M2448" i="8"/>
  <c r="C2448" i="8"/>
  <c r="T2448" i="8"/>
  <c r="H2471" i="8"/>
  <c r="N2447" i="8"/>
  <c r="M2447" i="8"/>
  <c r="C2447" i="8"/>
  <c r="T2447" i="8"/>
  <c r="N2460" i="8"/>
  <c r="M2460" i="8"/>
  <c r="C2460" i="8"/>
  <c r="T2460" i="8"/>
  <c r="N2409" i="8"/>
  <c r="M2409" i="8"/>
  <c r="C2409" i="8"/>
  <c r="T2409" i="8"/>
  <c r="N2422" i="8"/>
  <c r="M2422" i="8"/>
  <c r="C2422" i="8"/>
  <c r="T2422" i="8"/>
  <c r="H2443" i="8"/>
  <c r="N2437" i="8"/>
  <c r="M2437" i="8"/>
  <c r="C2437" i="8"/>
  <c r="T2437" i="8"/>
  <c r="N2413" i="8"/>
  <c r="C2413" i="8"/>
  <c r="T2413" i="8"/>
  <c r="H2363" i="8"/>
  <c r="N2403" i="8"/>
  <c r="M2403" i="8"/>
  <c r="C2403" i="8"/>
  <c r="T2403" i="8"/>
  <c r="N2376" i="8"/>
  <c r="C2376" i="8"/>
  <c r="T2376" i="8"/>
  <c r="H2469" i="8"/>
  <c r="N2454" i="8"/>
  <c r="M2454" i="8"/>
  <c r="C2454" i="8"/>
  <c r="T2454" i="8"/>
  <c r="N2456" i="8"/>
  <c r="M2456" i="8"/>
  <c r="C2456" i="8"/>
  <c r="T2456" i="8"/>
  <c r="H2453" i="8"/>
  <c r="N2451" i="8"/>
  <c r="P2451" i="8"/>
  <c r="M2451" i="8"/>
  <c r="C2451" i="8"/>
  <c r="T2451" i="8"/>
  <c r="N2464" i="8"/>
  <c r="C2464" i="8"/>
  <c r="M2464" i="8"/>
  <c r="T2464" i="8"/>
  <c r="N2408" i="8"/>
  <c r="C2408" i="8"/>
  <c r="T2408" i="8"/>
  <c r="H2426" i="8"/>
  <c r="N2425" i="8"/>
  <c r="M2425" i="8"/>
  <c r="C2425" i="8"/>
  <c r="T2425" i="8"/>
  <c r="H2439" i="8"/>
  <c r="H2444" i="8"/>
  <c r="N2438" i="8"/>
  <c r="C2438" i="8"/>
  <c r="M2438" i="8"/>
  <c r="T2438" i="8"/>
  <c r="N2414" i="8"/>
  <c r="M2414" i="8"/>
  <c r="C2414" i="8"/>
  <c r="T2414" i="8"/>
  <c r="H2364" i="8"/>
  <c r="N2401" i="8"/>
  <c r="M2401" i="8"/>
  <c r="C2401" i="8"/>
  <c r="T2401" i="8"/>
  <c r="N2370" i="8"/>
  <c r="M2370" i="8"/>
  <c r="C2370" i="8"/>
  <c r="T2370" i="8"/>
  <c r="N2375" i="8"/>
  <c r="C2375" i="8"/>
  <c r="T2375" i="8"/>
  <c r="H2459" i="8"/>
  <c r="N2458" i="8"/>
  <c r="M2458" i="8"/>
  <c r="C2458" i="8"/>
  <c r="T2458" i="8"/>
  <c r="N2449" i="8"/>
  <c r="C2449" i="8"/>
  <c r="M2449" i="8"/>
  <c r="T2449" i="8"/>
  <c r="N2455" i="8"/>
  <c r="M2455" i="8"/>
  <c r="C2455" i="8"/>
  <c r="T2455" i="8"/>
  <c r="N2407" i="8"/>
  <c r="M2407" i="8"/>
  <c r="O2407" i="8"/>
  <c r="P2407" i="8"/>
  <c r="C2407" i="8"/>
  <c r="T2407" i="8"/>
  <c r="H2423" i="8"/>
  <c r="N2418" i="8"/>
  <c r="M2418" i="8"/>
  <c r="C2418" i="8"/>
  <c r="T2418" i="8"/>
  <c r="N2412" i="8"/>
  <c r="O2412" i="8"/>
  <c r="P2412" i="8"/>
  <c r="M2412" i="8"/>
  <c r="C2412" i="8"/>
  <c r="T2412" i="8"/>
  <c r="C2365" i="8"/>
  <c r="N2365" i="8"/>
  <c r="M2365" i="8"/>
  <c r="T2365" i="8"/>
  <c r="N2325" i="8"/>
  <c r="F208" i="10" s="1"/>
  <c r="F207" i="10" s="1"/>
  <c r="N2404" i="8"/>
  <c r="M2404" i="8"/>
  <c r="C2404" i="8"/>
  <c r="T2404" i="8"/>
  <c r="N2371" i="8"/>
  <c r="M2371" i="8"/>
  <c r="C2371" i="8"/>
  <c r="T2371" i="8"/>
  <c r="N2373" i="8"/>
  <c r="C2373" i="8"/>
  <c r="T2373" i="8"/>
  <c r="N2461" i="8"/>
  <c r="M2461" i="8"/>
  <c r="C2461" i="8"/>
  <c r="T2461" i="8"/>
  <c r="N2462" i="8"/>
  <c r="M2462" i="8"/>
  <c r="C2462" i="8"/>
  <c r="T2462" i="8"/>
  <c r="N2457" i="8"/>
  <c r="M2457" i="8"/>
  <c r="C2457" i="8"/>
  <c r="T2457" i="8"/>
  <c r="N2463" i="8"/>
  <c r="C2463" i="8"/>
  <c r="M2463" i="8"/>
  <c r="T2463" i="8"/>
  <c r="H2420" i="8"/>
  <c r="H2424" i="8"/>
  <c r="N2419" i="8"/>
  <c r="M2419" i="8"/>
  <c r="C2419" i="8"/>
  <c r="T2419" i="8"/>
  <c r="H2442" i="8"/>
  <c r="H2441" i="8"/>
  <c r="N2440" i="8"/>
  <c r="M2440" i="8"/>
  <c r="C2440" i="8"/>
  <c r="T2440" i="8"/>
  <c r="N2415" i="8"/>
  <c r="M2415" i="8"/>
  <c r="C2415" i="8"/>
  <c r="T2415" i="8"/>
  <c r="N2366" i="8"/>
  <c r="C2366" i="8"/>
  <c r="M2366" i="8"/>
  <c r="T2366" i="8"/>
  <c r="M2367" i="8"/>
  <c r="C2367" i="8"/>
  <c r="N2367" i="8"/>
  <c r="T2367" i="8"/>
  <c r="M2325" i="8"/>
  <c r="C2339" i="8"/>
  <c r="N2339" i="8"/>
  <c r="M2339" i="8"/>
  <c r="T2339" i="8"/>
  <c r="C2337" i="8"/>
  <c r="N2337" i="8"/>
  <c r="M2337" i="8"/>
  <c r="T2337" i="8"/>
  <c r="H2347" i="8"/>
  <c r="N2346" i="8"/>
  <c r="M2346" i="8"/>
  <c r="C2346" i="8"/>
  <c r="T2346" i="8"/>
  <c r="N2338" i="8"/>
  <c r="C2338" i="8"/>
  <c r="T2338" i="8"/>
  <c r="M862" i="8"/>
  <c r="C862" i="8" s="1"/>
  <c r="C861" i="8" s="1"/>
  <c r="T726" i="8"/>
  <c r="D138" i="23" s="1"/>
  <c r="M726" i="8"/>
  <c r="C726" i="8" s="1"/>
  <c r="C725" i="8" s="1"/>
  <c r="N786" i="8"/>
  <c r="H787" i="8"/>
  <c r="M786" i="8"/>
  <c r="C786" i="8"/>
  <c r="T786" i="8"/>
  <c r="H844" i="8"/>
  <c r="N831" i="8"/>
  <c r="M831" i="8"/>
  <c r="C831" i="8"/>
  <c r="T831" i="8"/>
  <c r="M833" i="8"/>
  <c r="N833" i="8"/>
  <c r="C833" i="8"/>
  <c r="T833" i="8"/>
  <c r="M832" i="8"/>
  <c r="N832" i="8"/>
  <c r="C832" i="8"/>
  <c r="T832" i="8"/>
  <c r="M839" i="8"/>
  <c r="N839" i="8"/>
  <c r="C839" i="8"/>
  <c r="T839" i="8"/>
  <c r="H796" i="8"/>
  <c r="M794" i="8"/>
  <c r="N794" i="8"/>
  <c r="H795" i="8"/>
  <c r="C794" i="8"/>
  <c r="T794" i="8"/>
  <c r="H821" i="8"/>
  <c r="N800" i="8"/>
  <c r="M800" i="8"/>
  <c r="C800" i="8"/>
  <c r="T800" i="8"/>
  <c r="N802" i="8"/>
  <c r="M802" i="8"/>
  <c r="C802" i="8"/>
  <c r="T802" i="8"/>
  <c r="M808" i="8"/>
  <c r="N808" i="8"/>
  <c r="C808" i="8"/>
  <c r="T808" i="8"/>
  <c r="N810" i="8"/>
  <c r="M810" i="8"/>
  <c r="C810" i="8"/>
  <c r="T810" i="8"/>
  <c r="N776" i="8"/>
  <c r="C776" i="8"/>
  <c r="T776" i="8"/>
  <c r="N770" i="8"/>
  <c r="C770" i="8"/>
  <c r="T770" i="8"/>
  <c r="N738" i="8"/>
  <c r="M738" i="8"/>
  <c r="C738" i="8"/>
  <c r="T738" i="8"/>
  <c r="N783" i="8"/>
  <c r="M783" i="8"/>
  <c r="C783" i="8"/>
  <c r="T783" i="8"/>
  <c r="M825" i="8"/>
  <c r="N825" i="8"/>
  <c r="C825" i="8"/>
  <c r="T825" i="8"/>
  <c r="M837" i="8"/>
  <c r="N837" i="8"/>
  <c r="C837" i="8"/>
  <c r="T837" i="8"/>
  <c r="H820" i="8"/>
  <c r="N807" i="8"/>
  <c r="M807" i="8"/>
  <c r="C807" i="8"/>
  <c r="T807" i="8"/>
  <c r="N809" i="8"/>
  <c r="M809" i="8"/>
  <c r="C809" i="8"/>
  <c r="T809" i="8"/>
  <c r="M812" i="8"/>
  <c r="N812" i="8"/>
  <c r="C812" i="8"/>
  <c r="T812" i="8"/>
  <c r="N814" i="8"/>
  <c r="M814" i="8"/>
  <c r="C814" i="8"/>
  <c r="T814" i="8"/>
  <c r="N775" i="8"/>
  <c r="M775" i="8"/>
  <c r="C775" i="8"/>
  <c r="T775" i="8"/>
  <c r="M790" i="8"/>
  <c r="N790" i="8"/>
  <c r="C790" i="8"/>
  <c r="T790" i="8"/>
  <c r="H767" i="8"/>
  <c r="N766" i="8"/>
  <c r="M766" i="8"/>
  <c r="C766" i="8"/>
  <c r="T766" i="8"/>
  <c r="M739" i="8"/>
  <c r="N739" i="8"/>
  <c r="C739" i="8"/>
  <c r="T739" i="8"/>
  <c r="H784" i="8"/>
  <c r="N780" i="8"/>
  <c r="M780" i="8"/>
  <c r="C780" i="8"/>
  <c r="T780" i="8"/>
  <c r="N828" i="8"/>
  <c r="H830" i="8"/>
  <c r="P828" i="8"/>
  <c r="M828" i="8"/>
  <c r="C828" i="8"/>
  <c r="T828" i="8"/>
  <c r="N835" i="8"/>
  <c r="M835" i="8"/>
  <c r="C835" i="8"/>
  <c r="T835" i="8"/>
  <c r="N824" i="8"/>
  <c r="M824" i="8"/>
  <c r="C824" i="8"/>
  <c r="T824" i="8"/>
  <c r="N815" i="8"/>
  <c r="M815" i="8"/>
  <c r="C815" i="8"/>
  <c r="T815" i="8"/>
  <c r="H805" i="8"/>
  <c r="N803" i="8"/>
  <c r="P803" i="8"/>
  <c r="M803" i="8"/>
  <c r="C803" i="8"/>
  <c r="T803" i="8"/>
  <c r="M816" i="8"/>
  <c r="N816" i="8"/>
  <c r="C816" i="8"/>
  <c r="T816" i="8"/>
  <c r="N777" i="8"/>
  <c r="C777" i="8"/>
  <c r="T777" i="8"/>
  <c r="N769" i="8"/>
  <c r="C769" i="8"/>
  <c r="T769" i="8"/>
  <c r="M736" i="8"/>
  <c r="N736" i="8"/>
  <c r="C736" i="8"/>
  <c r="T736" i="8"/>
  <c r="N862" i="8"/>
  <c r="N726" i="8"/>
  <c r="H785" i="8"/>
  <c r="N781" i="8"/>
  <c r="H782" i="8"/>
  <c r="M781" i="8"/>
  <c r="C781" i="8"/>
  <c r="T781" i="8"/>
  <c r="N838" i="8"/>
  <c r="M838" i="8"/>
  <c r="C838" i="8"/>
  <c r="T838" i="8"/>
  <c r="H829" i="8"/>
  <c r="N827" i="8"/>
  <c r="P827" i="8"/>
  <c r="M827" i="8"/>
  <c r="C827" i="8"/>
  <c r="T827" i="8"/>
  <c r="M834" i="8"/>
  <c r="N834" i="8"/>
  <c r="C834" i="8"/>
  <c r="T834" i="8"/>
  <c r="H797" i="8"/>
  <c r="N793" i="8"/>
  <c r="M793" i="8"/>
  <c r="C793" i="8"/>
  <c r="T793" i="8"/>
  <c r="N813" i="8"/>
  <c r="M813" i="8"/>
  <c r="C813" i="8"/>
  <c r="T813" i="8"/>
  <c r="H806" i="8"/>
  <c r="M804" i="8"/>
  <c r="N804" i="8"/>
  <c r="P804" i="8"/>
  <c r="C804" i="8"/>
  <c r="T804" i="8"/>
  <c r="N811" i="8"/>
  <c r="M811" i="8"/>
  <c r="C811" i="8"/>
  <c r="T811" i="8"/>
  <c r="N801" i="8"/>
  <c r="M801" i="8"/>
  <c r="C801" i="8"/>
  <c r="T801" i="8"/>
  <c r="N768" i="8"/>
  <c r="M768" i="8"/>
  <c r="C768" i="8"/>
  <c r="T768" i="8"/>
  <c r="N737" i="8"/>
  <c r="C737" i="8"/>
  <c r="T737" i="8"/>
  <c r="N959" i="8"/>
  <c r="M959" i="8"/>
  <c r="C959" i="8"/>
  <c r="T959" i="8"/>
  <c r="T862" i="8"/>
  <c r="D156" i="23" s="1"/>
  <c r="N953" i="8"/>
  <c r="M953" i="8"/>
  <c r="C953" i="8"/>
  <c r="T953" i="8"/>
  <c r="N954" i="8"/>
  <c r="M954" i="8"/>
  <c r="C954" i="8"/>
  <c r="T954" i="8"/>
  <c r="M947" i="8"/>
  <c r="N947" i="8"/>
  <c r="C947" i="8"/>
  <c r="T947" i="8"/>
  <c r="N941" i="8"/>
  <c r="M941" i="8"/>
  <c r="H943" i="8"/>
  <c r="P941" i="8"/>
  <c r="C941" i="8"/>
  <c r="T941" i="8"/>
  <c r="N927" i="8"/>
  <c r="M927" i="8"/>
  <c r="C927" i="8"/>
  <c r="T927" i="8"/>
  <c r="M924" i="8"/>
  <c r="N924" i="8"/>
  <c r="C924" i="8"/>
  <c r="T924" i="8"/>
  <c r="M925" i="8"/>
  <c r="N925" i="8"/>
  <c r="C925" i="8"/>
  <c r="T925" i="8"/>
  <c r="N893" i="8"/>
  <c r="H894" i="8"/>
  <c r="H897" i="8"/>
  <c r="M893" i="8"/>
  <c r="C893" i="8"/>
  <c r="T893" i="8"/>
  <c r="N889" i="8"/>
  <c r="C889" i="8"/>
  <c r="T889" i="8"/>
  <c r="N882" i="8"/>
  <c r="C882" i="8"/>
  <c r="T882" i="8"/>
  <c r="N937" i="8"/>
  <c r="M937" i="8"/>
  <c r="C937" i="8"/>
  <c r="T937" i="8"/>
  <c r="P940" i="8"/>
  <c r="N940" i="8"/>
  <c r="H942" i="8"/>
  <c r="M940" i="8"/>
  <c r="C940" i="8"/>
  <c r="T940" i="8"/>
  <c r="M945" i="8"/>
  <c r="N945" i="8"/>
  <c r="C945" i="8"/>
  <c r="T945" i="8"/>
  <c r="P915" i="8"/>
  <c r="H917" i="8"/>
  <c r="N915" i="8"/>
  <c r="M915" i="8"/>
  <c r="C915" i="8"/>
  <c r="T915" i="8"/>
  <c r="N912" i="8"/>
  <c r="M912" i="8"/>
  <c r="C912" i="8"/>
  <c r="T912" i="8"/>
  <c r="N914" i="8"/>
  <c r="M914" i="8"/>
  <c r="C914" i="8"/>
  <c r="T914" i="8"/>
  <c r="M875" i="8"/>
  <c r="N875" i="8"/>
  <c r="C875" i="8"/>
  <c r="T875" i="8"/>
  <c r="H899" i="8"/>
  <c r="N898" i="8"/>
  <c r="M898" i="8"/>
  <c r="C898" i="8"/>
  <c r="T898" i="8"/>
  <c r="H879" i="8"/>
  <c r="N878" i="8"/>
  <c r="M878" i="8"/>
  <c r="C878" i="8"/>
  <c r="T878" i="8"/>
  <c r="M872" i="8"/>
  <c r="N872" i="8"/>
  <c r="C872" i="8"/>
  <c r="T872" i="8"/>
  <c r="N946" i="8"/>
  <c r="M946" i="8"/>
  <c r="C946" i="8"/>
  <c r="T946" i="8"/>
  <c r="N944" i="8"/>
  <c r="M944" i="8"/>
  <c r="C944" i="8"/>
  <c r="T944" i="8"/>
  <c r="M950" i="8"/>
  <c r="N950" i="8"/>
  <c r="C950" i="8"/>
  <c r="T950" i="8"/>
  <c r="H932" i="8"/>
  <c r="N919" i="8"/>
  <c r="M919" i="8"/>
  <c r="C919" i="8"/>
  <c r="T919" i="8"/>
  <c r="H918" i="8"/>
  <c r="M916" i="8"/>
  <c r="N916" i="8"/>
  <c r="P916" i="8"/>
  <c r="C916" i="8"/>
  <c r="T916" i="8"/>
  <c r="M913" i="8"/>
  <c r="N913" i="8"/>
  <c r="C913" i="8"/>
  <c r="T913" i="8"/>
  <c r="N922" i="8"/>
  <c r="M922" i="8"/>
  <c r="C922" i="8"/>
  <c r="T922" i="8"/>
  <c r="N905" i="8"/>
  <c r="M905" i="8"/>
  <c r="H909" i="8"/>
  <c r="C905" i="8"/>
  <c r="T905" i="8"/>
  <c r="N902" i="8"/>
  <c r="M902" i="8"/>
  <c r="C902" i="8"/>
  <c r="T902" i="8"/>
  <c r="N895" i="8"/>
  <c r="M895" i="8"/>
  <c r="C895" i="8"/>
  <c r="T895" i="8"/>
  <c r="N887" i="8"/>
  <c r="M887" i="8"/>
  <c r="C887" i="8"/>
  <c r="T887" i="8"/>
  <c r="N880" i="8"/>
  <c r="M880" i="8"/>
  <c r="C880" i="8"/>
  <c r="T880" i="8"/>
  <c r="N874" i="8"/>
  <c r="M874" i="8"/>
  <c r="C874" i="8"/>
  <c r="T874" i="8"/>
  <c r="M938" i="8"/>
  <c r="N938" i="8"/>
  <c r="C938" i="8"/>
  <c r="T938" i="8"/>
  <c r="N948" i="8"/>
  <c r="M948" i="8"/>
  <c r="C948" i="8"/>
  <c r="T948" i="8"/>
  <c r="N923" i="8"/>
  <c r="M923" i="8"/>
  <c r="C923" i="8"/>
  <c r="T923" i="8"/>
  <c r="M920" i="8"/>
  <c r="N920" i="8"/>
  <c r="C920" i="8"/>
  <c r="T920" i="8"/>
  <c r="M921" i="8"/>
  <c r="N921" i="8"/>
  <c r="C921" i="8"/>
  <c r="T921" i="8"/>
  <c r="N926" i="8"/>
  <c r="M926" i="8"/>
  <c r="C926" i="8"/>
  <c r="T926" i="8"/>
  <c r="H908" i="8"/>
  <c r="H907" i="8"/>
  <c r="M906" i="8"/>
  <c r="N906" i="8"/>
  <c r="C906" i="8"/>
  <c r="T906" i="8"/>
  <c r="N892" i="8"/>
  <c r="H896" i="8"/>
  <c r="M892" i="8"/>
  <c r="C892" i="8"/>
  <c r="T892" i="8"/>
  <c r="N888" i="8"/>
  <c r="C888" i="8"/>
  <c r="T888" i="8"/>
  <c r="N881" i="8"/>
  <c r="C881" i="8"/>
  <c r="T881" i="8"/>
  <c r="N873" i="8"/>
  <c r="C873" i="8"/>
  <c r="T873" i="8"/>
  <c r="N308" i="8"/>
  <c r="M308" i="8"/>
  <c r="N309" i="8"/>
  <c r="M309" i="8"/>
  <c r="N312" i="8"/>
  <c r="M312" i="8"/>
  <c r="N311" i="8"/>
  <c r="M311" i="8"/>
  <c r="N314" i="8"/>
  <c r="M314" i="8"/>
  <c r="T311" i="8"/>
  <c r="C311" i="8"/>
  <c r="T308" i="8"/>
  <c r="C308" i="8"/>
  <c r="C314" i="8"/>
  <c r="H315" i="8"/>
  <c r="T314" i="8"/>
  <c r="H310" i="8"/>
  <c r="T309" i="8"/>
  <c r="H313" i="8"/>
  <c r="C309" i="8"/>
  <c r="T312" i="8"/>
  <c r="C312" i="8"/>
  <c r="N1103" i="8"/>
  <c r="M1103" i="8"/>
  <c r="T1103" i="8"/>
  <c r="T1091" i="8"/>
  <c r="N1091" i="8"/>
  <c r="M1091" i="8"/>
  <c r="C1091" i="8"/>
  <c r="C1070" i="8"/>
  <c r="D285" i="15"/>
  <c r="N1114" i="8"/>
  <c r="H1116" i="8"/>
  <c r="H1115" i="8"/>
  <c r="M1114" i="8"/>
  <c r="C1114" i="8"/>
  <c r="T1114" i="8"/>
  <c r="M1110" i="8"/>
  <c r="N1110" i="8"/>
  <c r="P1110" i="8"/>
  <c r="C1110" i="8"/>
  <c r="T1110" i="8"/>
  <c r="N1133" i="8"/>
  <c r="M1133" i="8"/>
  <c r="C1133" i="8"/>
  <c r="T1133" i="8"/>
  <c r="N1122" i="8"/>
  <c r="M1122" i="8"/>
  <c r="C1122" i="8"/>
  <c r="T1122" i="8"/>
  <c r="M1127" i="8"/>
  <c r="N1127" i="8"/>
  <c r="H1137" i="8"/>
  <c r="C1127" i="8"/>
  <c r="T1127" i="8"/>
  <c r="N1095" i="8"/>
  <c r="C1095" i="8"/>
  <c r="T1095" i="8"/>
  <c r="M1102" i="8"/>
  <c r="N1102" i="8"/>
  <c r="C1102" i="8"/>
  <c r="T1102" i="8"/>
  <c r="T1070" i="8"/>
  <c r="M1070" i="8"/>
  <c r="H1117" i="8"/>
  <c r="N1113" i="8"/>
  <c r="M1113" i="8"/>
  <c r="C1113" i="8"/>
  <c r="T1113" i="8"/>
  <c r="H1139" i="8"/>
  <c r="M1120" i="8"/>
  <c r="N1120" i="8"/>
  <c r="C1120" i="8"/>
  <c r="T1120" i="8"/>
  <c r="N1121" i="8"/>
  <c r="H1138" i="8"/>
  <c r="M1121" i="8"/>
  <c r="C1121" i="8"/>
  <c r="T1121" i="8"/>
  <c r="N1130" i="8"/>
  <c r="M1130" i="8"/>
  <c r="C1130" i="8"/>
  <c r="T1130" i="8"/>
  <c r="M1131" i="8"/>
  <c r="N1131" i="8"/>
  <c r="C1131" i="8"/>
  <c r="T1131" i="8"/>
  <c r="N1088" i="8"/>
  <c r="C1088" i="8"/>
  <c r="T1088" i="8"/>
  <c r="M1087" i="8"/>
  <c r="N1087" i="8"/>
  <c r="C1087" i="8"/>
  <c r="T1087" i="8"/>
  <c r="N1096" i="8"/>
  <c r="C1096" i="8"/>
  <c r="T1096" i="8"/>
  <c r="N1099" i="8"/>
  <c r="M1099" i="8"/>
  <c r="C1099" i="8"/>
  <c r="T1099" i="8"/>
  <c r="N1124" i="8"/>
  <c r="H1126" i="8"/>
  <c r="M1124" i="8"/>
  <c r="C1124" i="8"/>
  <c r="T1124" i="8"/>
  <c r="N1129" i="8"/>
  <c r="M1129" i="8"/>
  <c r="C1129" i="8"/>
  <c r="T1129" i="8"/>
  <c r="N1135" i="8"/>
  <c r="M1135" i="8"/>
  <c r="C1135" i="8"/>
  <c r="T1135" i="8"/>
  <c r="N1136" i="8"/>
  <c r="M1136" i="8"/>
  <c r="C1136" i="8"/>
  <c r="T1136" i="8"/>
  <c r="H1086" i="8"/>
  <c r="N1085" i="8"/>
  <c r="M1085" i="8"/>
  <c r="C1085" i="8"/>
  <c r="T1085" i="8"/>
  <c r="N1094" i="8"/>
  <c r="M1094" i="8"/>
  <c r="C1094" i="8"/>
  <c r="T1094" i="8"/>
  <c r="N1104" i="8"/>
  <c r="M1104" i="8"/>
  <c r="C1104" i="8"/>
  <c r="T1104" i="8"/>
  <c r="N1070" i="8"/>
  <c r="N1128" i="8"/>
  <c r="M1128" i="8"/>
  <c r="C1128" i="8"/>
  <c r="T1128" i="8"/>
  <c r="N1134" i="8"/>
  <c r="M1134" i="8"/>
  <c r="C1134" i="8"/>
  <c r="T1134" i="8"/>
  <c r="N1123" i="8"/>
  <c r="H1125" i="8"/>
  <c r="M1123" i="8"/>
  <c r="C1123" i="8"/>
  <c r="T1123" i="8"/>
  <c r="N1089" i="8"/>
  <c r="C1089" i="8"/>
  <c r="T1089" i="8"/>
  <c r="H1107" i="8"/>
  <c r="N1106" i="8"/>
  <c r="M1106" i="8"/>
  <c r="C1106" i="8"/>
  <c r="T1106" i="8"/>
  <c r="H1105" i="8"/>
  <c r="N1100" i="8"/>
  <c r="H1101" i="8"/>
  <c r="M1100" i="8"/>
  <c r="C1100" i="8"/>
  <c r="T1100" i="8"/>
  <c r="D146" i="11"/>
  <c r="D123" i="11"/>
  <c r="D88" i="11"/>
  <c r="D38" i="11"/>
  <c r="D191" i="11"/>
  <c r="D61" i="11"/>
  <c r="D168" i="11"/>
  <c r="D260" i="13"/>
  <c r="D316" i="14" s="1"/>
  <c r="N94" i="15"/>
  <c r="N100" i="15"/>
  <c r="N99" i="15"/>
  <c r="N98" i="15"/>
  <c r="N62" i="15"/>
  <c r="N65" i="15"/>
  <c r="N66" i="15"/>
  <c r="N67" i="15"/>
  <c r="N70" i="15"/>
  <c r="N71" i="15"/>
  <c r="N72" i="15"/>
  <c r="N73" i="15"/>
  <c r="N74" i="15"/>
  <c r="N76" i="15"/>
  <c r="N77" i="15"/>
  <c r="N78" i="15"/>
  <c r="N64" i="15"/>
  <c r="M748" i="8" l="1"/>
  <c r="T746" i="8"/>
  <c r="N748" i="8"/>
  <c r="T748" i="8"/>
  <c r="C746" i="8"/>
  <c r="M746" i="8"/>
  <c r="E152" i="23"/>
  <c r="D2378" i="8"/>
  <c r="D2388" i="8" s="1"/>
  <c r="D2399" i="8" s="1"/>
  <c r="D2405" i="8" s="1"/>
  <c r="D2410" i="8" s="1"/>
  <c r="D2416" i="8" s="1"/>
  <c r="D2427" i="8" s="1"/>
  <c r="D2432" i="8" s="1"/>
  <c r="D2435" i="8" s="1"/>
  <c r="D2445" i="8" s="1"/>
  <c r="D2472" i="8" s="1"/>
  <c r="D2485" i="8" s="1"/>
  <c r="D2512" i="8" s="1"/>
  <c r="D2523" i="8" s="1"/>
  <c r="T2465" i="8"/>
  <c r="N2465" i="8"/>
  <c r="M2465" i="8"/>
  <c r="C2465" i="8"/>
  <c r="P2467" i="8"/>
  <c r="O2467" i="8"/>
  <c r="T2467" i="8"/>
  <c r="N2467" i="8"/>
  <c r="M2467" i="8"/>
  <c r="C2467" i="8"/>
  <c r="T2466" i="8"/>
  <c r="N2466" i="8"/>
  <c r="M2466" i="8"/>
  <c r="C2466" i="8"/>
  <c r="P2466" i="8"/>
  <c r="O2466" i="8"/>
  <c r="T2468" i="8"/>
  <c r="N2468" i="8"/>
  <c r="M2468" i="8"/>
  <c r="C2468" i="8"/>
  <c r="P2468" i="8"/>
  <c r="O2468" i="8"/>
  <c r="T840" i="8"/>
  <c r="N840" i="8"/>
  <c r="M840" i="8"/>
  <c r="C840" i="8"/>
  <c r="T2396" i="8"/>
  <c r="N2396" i="8"/>
  <c r="M2396" i="8"/>
  <c r="C2396" i="8"/>
  <c r="T2391" i="8"/>
  <c r="N2391" i="8"/>
  <c r="M2391" i="8"/>
  <c r="C2391" i="8"/>
  <c r="P2397" i="8"/>
  <c r="T2397" i="8"/>
  <c r="N2397" i="8"/>
  <c r="M2397" i="8"/>
  <c r="C2397" i="8"/>
  <c r="T2395" i="8"/>
  <c r="N2395" i="8"/>
  <c r="M2395" i="8"/>
  <c r="C2395" i="8"/>
  <c r="T2386" i="8"/>
  <c r="N2386" i="8"/>
  <c r="M2386" i="8"/>
  <c r="C2386" i="8"/>
  <c r="P2386" i="8"/>
  <c r="M2385" i="8"/>
  <c r="C2385" i="8"/>
  <c r="T2385" i="8"/>
  <c r="N2385" i="8"/>
  <c r="T760" i="8"/>
  <c r="N760" i="8"/>
  <c r="M760" i="8"/>
  <c r="C760" i="8"/>
  <c r="T759" i="8"/>
  <c r="N759" i="8"/>
  <c r="M759" i="8"/>
  <c r="C759" i="8"/>
  <c r="T761" i="8"/>
  <c r="N761" i="8"/>
  <c r="M761" i="8"/>
  <c r="C761" i="8"/>
  <c r="T763" i="8"/>
  <c r="N763" i="8"/>
  <c r="M763" i="8"/>
  <c r="C763" i="8"/>
  <c r="T747" i="8"/>
  <c r="N747" i="8"/>
  <c r="M747" i="8"/>
  <c r="C747" i="8"/>
  <c r="D208" i="23"/>
  <c r="E212" i="23"/>
  <c r="E208" i="23"/>
  <c r="D212" i="23"/>
  <c r="C2325" i="8"/>
  <c r="C2324" i="8" s="1"/>
  <c r="F114" i="11"/>
  <c r="H114" i="11" s="1"/>
  <c r="I114" i="11" s="1"/>
  <c r="J114" i="11" s="1"/>
  <c r="C2525" i="8"/>
  <c r="C2524" i="8" s="1"/>
  <c r="C2512" i="8" s="1"/>
  <c r="F115" i="11"/>
  <c r="H115" i="11" s="1"/>
  <c r="I115" i="11" s="1"/>
  <c r="J115" i="11" s="1"/>
  <c r="E222" i="23"/>
  <c r="E226" i="23"/>
  <c r="D226" i="23"/>
  <c r="D222" i="23"/>
  <c r="N2726" i="8"/>
  <c r="M2726" i="8"/>
  <c r="T2726" i="8"/>
  <c r="T2722" i="8"/>
  <c r="N2722" i="8"/>
  <c r="M2722" i="8"/>
  <c r="C2722" i="8"/>
  <c r="T2723" i="8"/>
  <c r="N2723" i="8"/>
  <c r="M2723" i="8"/>
  <c r="C2723" i="8"/>
  <c r="C2727" i="8"/>
  <c r="T2727" i="8"/>
  <c r="N2727" i="8"/>
  <c r="M2727" i="8"/>
  <c r="T2718" i="8"/>
  <c r="N2718" i="8"/>
  <c r="M2718" i="8"/>
  <c r="C2718" i="8"/>
  <c r="T2719" i="8"/>
  <c r="N2719" i="8"/>
  <c r="M2719" i="8"/>
  <c r="C2719" i="8"/>
  <c r="D142" i="23"/>
  <c r="E142" i="23"/>
  <c r="M2701" i="8"/>
  <c r="C2701" i="8"/>
  <c r="N2701" i="8"/>
  <c r="T2701" i="8"/>
  <c r="M2680" i="8"/>
  <c r="C2680" i="8"/>
  <c r="T2680" i="8"/>
  <c r="N2680" i="8"/>
  <c r="M2678" i="8"/>
  <c r="C2678" i="8"/>
  <c r="N2678" i="8"/>
  <c r="T2678" i="8"/>
  <c r="T2702" i="8"/>
  <c r="N2702" i="8"/>
  <c r="M2702" i="8"/>
  <c r="C2702" i="8"/>
  <c r="T2661" i="8"/>
  <c r="N2661" i="8"/>
  <c r="M2661" i="8"/>
  <c r="C2661" i="8"/>
  <c r="M2668" i="8"/>
  <c r="C2668" i="8"/>
  <c r="T2668" i="8"/>
  <c r="N2668" i="8"/>
  <c r="T2708" i="8"/>
  <c r="N2708" i="8"/>
  <c r="M2708" i="8"/>
  <c r="C2708" i="8"/>
  <c r="T2651" i="8"/>
  <c r="N2651" i="8"/>
  <c r="M2651" i="8"/>
  <c r="C2651" i="8"/>
  <c r="M2650" i="8"/>
  <c r="C2650" i="8"/>
  <c r="T2650" i="8"/>
  <c r="N2650" i="8"/>
  <c r="T2638" i="8"/>
  <c r="N2638" i="8"/>
  <c r="M2638" i="8"/>
  <c r="C2638" i="8"/>
  <c r="N2632" i="8"/>
  <c r="T2632" i="8"/>
  <c r="M2632" i="8"/>
  <c r="C2632" i="8"/>
  <c r="T2653" i="8"/>
  <c r="N2653" i="8"/>
  <c r="M2653" i="8"/>
  <c r="C2653" i="8"/>
  <c r="M2648" i="8"/>
  <c r="C2648" i="8"/>
  <c r="T2648" i="8"/>
  <c r="N2648" i="8"/>
  <c r="M2652" i="8"/>
  <c r="C2652" i="8"/>
  <c r="T2652" i="8"/>
  <c r="N2652" i="8"/>
  <c r="T2636" i="8"/>
  <c r="N2636" i="8"/>
  <c r="M2636" i="8"/>
  <c r="C2636" i="8"/>
  <c r="T2547" i="8"/>
  <c r="N2547" i="8"/>
  <c r="M2547" i="8"/>
  <c r="C2547" i="8"/>
  <c r="T2635" i="8"/>
  <c r="N2635" i="8"/>
  <c r="M2635" i="8"/>
  <c r="C2635" i="8"/>
  <c r="T2679" i="8"/>
  <c r="N2679" i="8"/>
  <c r="M2679" i="8"/>
  <c r="C2679" i="8"/>
  <c r="T2662" i="8"/>
  <c r="N2662" i="8"/>
  <c r="M2662" i="8"/>
  <c r="C2662" i="8"/>
  <c r="C2510" i="8"/>
  <c r="N2510" i="8"/>
  <c r="M2510" i="8"/>
  <c r="T2510" i="8"/>
  <c r="C2499" i="8"/>
  <c r="N2499" i="8"/>
  <c r="M2499" i="8"/>
  <c r="T2499" i="8"/>
  <c r="C2493" i="8"/>
  <c r="N2493" i="8"/>
  <c r="M2493" i="8"/>
  <c r="T2493" i="8"/>
  <c r="C2492" i="8"/>
  <c r="N2492" i="8"/>
  <c r="M2492" i="8"/>
  <c r="T2492" i="8"/>
  <c r="N2424" i="8"/>
  <c r="M2424" i="8"/>
  <c r="C2424" i="8"/>
  <c r="T2424" i="8"/>
  <c r="N2459" i="8"/>
  <c r="M2459" i="8"/>
  <c r="C2459" i="8"/>
  <c r="T2459" i="8"/>
  <c r="M2364" i="8"/>
  <c r="N2364" i="8"/>
  <c r="C2364" i="8"/>
  <c r="T2364" i="8"/>
  <c r="N2439" i="8"/>
  <c r="C2439" i="8"/>
  <c r="M2439" i="8"/>
  <c r="T2439" i="8"/>
  <c r="N2469" i="8"/>
  <c r="C2469" i="8"/>
  <c r="M2469" i="8"/>
  <c r="T2469" i="8"/>
  <c r="N2471" i="8"/>
  <c r="M2471" i="8"/>
  <c r="C2471" i="8"/>
  <c r="T2471" i="8"/>
  <c r="N2420" i="8"/>
  <c r="M2420" i="8"/>
  <c r="C2420" i="8"/>
  <c r="T2420" i="8"/>
  <c r="C2363" i="8"/>
  <c r="M2363" i="8"/>
  <c r="N2363" i="8"/>
  <c r="T2363" i="8"/>
  <c r="N2441" i="8"/>
  <c r="M2441" i="8"/>
  <c r="C2441" i="8"/>
  <c r="T2441" i="8"/>
  <c r="N2452" i="8"/>
  <c r="M2452" i="8"/>
  <c r="C2452" i="8"/>
  <c r="T2452" i="8"/>
  <c r="N2442" i="8"/>
  <c r="M2442" i="8"/>
  <c r="C2442" i="8"/>
  <c r="T2442" i="8"/>
  <c r="N2423" i="8"/>
  <c r="M2423" i="8"/>
  <c r="C2423" i="8"/>
  <c r="T2423" i="8"/>
  <c r="N2444" i="8"/>
  <c r="C2444" i="8"/>
  <c r="M2444" i="8"/>
  <c r="T2444" i="8"/>
  <c r="N2426" i="8"/>
  <c r="M2426" i="8"/>
  <c r="C2426" i="8"/>
  <c r="T2426" i="8"/>
  <c r="N2453" i="8"/>
  <c r="M2453" i="8"/>
  <c r="C2453" i="8"/>
  <c r="T2453" i="8"/>
  <c r="N2443" i="8"/>
  <c r="M2443" i="8"/>
  <c r="C2443" i="8"/>
  <c r="T2443" i="8"/>
  <c r="N2470" i="8"/>
  <c r="C2470" i="8"/>
  <c r="M2470" i="8"/>
  <c r="T2470" i="8"/>
  <c r="E138" i="23"/>
  <c r="N2347" i="8"/>
  <c r="M2347" i="8"/>
  <c r="C2347" i="8"/>
  <c r="T2347" i="8"/>
  <c r="N797" i="8"/>
  <c r="M797" i="8"/>
  <c r="C797" i="8"/>
  <c r="T797" i="8"/>
  <c r="H771" i="8"/>
  <c r="N767" i="8"/>
  <c r="M767" i="8"/>
  <c r="C767" i="8"/>
  <c r="T767" i="8"/>
  <c r="N795" i="8"/>
  <c r="M795" i="8"/>
  <c r="C795" i="8"/>
  <c r="T795" i="8"/>
  <c r="M829" i="8"/>
  <c r="N829" i="8"/>
  <c r="C829" i="8"/>
  <c r="T829" i="8"/>
  <c r="N820" i="8"/>
  <c r="M820" i="8"/>
  <c r="C820" i="8"/>
  <c r="T820" i="8"/>
  <c r="N821" i="8"/>
  <c r="M821" i="8"/>
  <c r="C821" i="8"/>
  <c r="T821" i="8"/>
  <c r="N796" i="8"/>
  <c r="M796" i="8"/>
  <c r="C796" i="8"/>
  <c r="T796" i="8"/>
  <c r="N805" i="8"/>
  <c r="M805" i="8"/>
  <c r="C805" i="8"/>
  <c r="T805" i="8"/>
  <c r="M844" i="8"/>
  <c r="N844" i="8"/>
  <c r="C844" i="8"/>
  <c r="T844" i="8"/>
  <c r="N787" i="8"/>
  <c r="M787" i="8"/>
  <c r="C787" i="8"/>
  <c r="T787" i="8"/>
  <c r="N806" i="8"/>
  <c r="M806" i="8"/>
  <c r="C806" i="8"/>
  <c r="T806" i="8"/>
  <c r="N782" i="8"/>
  <c r="M782" i="8"/>
  <c r="C782" i="8"/>
  <c r="T782" i="8"/>
  <c r="N785" i="8"/>
  <c r="M785" i="8"/>
  <c r="C785" i="8"/>
  <c r="T785" i="8"/>
  <c r="N845" i="8"/>
  <c r="M845" i="8"/>
  <c r="C845" i="8"/>
  <c r="T845" i="8"/>
  <c r="N830" i="8"/>
  <c r="M830" i="8"/>
  <c r="C830" i="8"/>
  <c r="T830" i="8"/>
  <c r="M784" i="8"/>
  <c r="N784" i="8"/>
  <c r="C784" i="8"/>
  <c r="T784" i="8"/>
  <c r="E156" i="23"/>
  <c r="D152" i="23"/>
  <c r="N960" i="8"/>
  <c r="M960" i="8"/>
  <c r="T960" i="8"/>
  <c r="N907" i="8"/>
  <c r="M907" i="8"/>
  <c r="C907" i="8"/>
  <c r="T907" i="8"/>
  <c r="N932" i="8"/>
  <c r="M932" i="8"/>
  <c r="C932" i="8"/>
  <c r="T932" i="8"/>
  <c r="H883" i="8"/>
  <c r="N879" i="8"/>
  <c r="M879" i="8"/>
  <c r="C879" i="8"/>
  <c r="T879" i="8"/>
  <c r="T952" i="8"/>
  <c r="N952" i="8"/>
  <c r="M952" i="8"/>
  <c r="C952" i="8"/>
  <c r="M897" i="8"/>
  <c r="N897" i="8"/>
  <c r="C897" i="8"/>
  <c r="T897" i="8"/>
  <c r="M896" i="8"/>
  <c r="N896" i="8"/>
  <c r="C896" i="8"/>
  <c r="T896" i="8"/>
  <c r="N909" i="8"/>
  <c r="M909" i="8"/>
  <c r="C909" i="8"/>
  <c r="T909" i="8"/>
  <c r="T951" i="8"/>
  <c r="N951" i="8"/>
  <c r="M951" i="8"/>
  <c r="C951" i="8"/>
  <c r="N894" i="8"/>
  <c r="M894" i="8"/>
  <c r="C894" i="8"/>
  <c r="T894" i="8"/>
  <c r="N908" i="8"/>
  <c r="M908" i="8"/>
  <c r="C908" i="8"/>
  <c r="T908" i="8"/>
  <c r="N918" i="8"/>
  <c r="M918" i="8"/>
  <c r="C918" i="8"/>
  <c r="T918" i="8"/>
  <c r="N899" i="8"/>
  <c r="M899" i="8"/>
  <c r="C899" i="8"/>
  <c r="T899" i="8"/>
  <c r="M917" i="8"/>
  <c r="N917" i="8"/>
  <c r="C917" i="8"/>
  <c r="T917" i="8"/>
  <c r="M942" i="8"/>
  <c r="N942" i="8"/>
  <c r="C942" i="8"/>
  <c r="T942" i="8"/>
  <c r="N933" i="8"/>
  <c r="M933" i="8"/>
  <c r="C933" i="8"/>
  <c r="T933" i="8"/>
  <c r="M943" i="8"/>
  <c r="N943" i="8"/>
  <c r="C943" i="8"/>
  <c r="T943" i="8"/>
  <c r="N310" i="8"/>
  <c r="M310" i="8"/>
  <c r="N313" i="8"/>
  <c r="M313" i="8"/>
  <c r="N315" i="8"/>
  <c r="M315" i="8"/>
  <c r="T313" i="8"/>
  <c r="C313" i="8"/>
  <c r="T315" i="8"/>
  <c r="C315" i="8"/>
  <c r="C310" i="8"/>
  <c r="T310" i="8"/>
  <c r="N1101" i="8"/>
  <c r="M1101" i="8"/>
  <c r="C1101" i="8"/>
  <c r="T1101" i="8"/>
  <c r="N1105" i="8"/>
  <c r="M1105" i="8"/>
  <c r="C1105" i="8"/>
  <c r="T1105" i="8"/>
  <c r="N1125" i="8"/>
  <c r="M1125" i="8"/>
  <c r="C1125" i="8"/>
  <c r="T1125" i="8"/>
  <c r="N1138" i="8"/>
  <c r="M1138" i="8"/>
  <c r="C1138" i="8"/>
  <c r="T1138" i="8"/>
  <c r="T1139" i="8"/>
  <c r="N1139" i="8"/>
  <c r="C1139" i="8"/>
  <c r="M1139" i="8"/>
  <c r="N1115" i="8"/>
  <c r="M1115" i="8"/>
  <c r="C1115" i="8"/>
  <c r="T1115" i="8"/>
  <c r="M1107" i="8"/>
  <c r="N1107" i="8"/>
  <c r="C1107" i="8"/>
  <c r="T1107" i="8"/>
  <c r="E180" i="23"/>
  <c r="D180" i="23"/>
  <c r="D184" i="23"/>
  <c r="E184" i="23"/>
  <c r="N1137" i="8"/>
  <c r="M1137" i="8"/>
  <c r="C1137" i="8"/>
  <c r="T1137" i="8"/>
  <c r="N1116" i="8"/>
  <c r="M1116" i="8"/>
  <c r="C1116" i="8"/>
  <c r="T1116" i="8"/>
  <c r="H1090" i="8"/>
  <c r="N1086" i="8"/>
  <c r="M1086" i="8"/>
  <c r="C1086" i="8"/>
  <c r="T1086" i="8"/>
  <c r="N1126" i="8"/>
  <c r="M1126" i="8"/>
  <c r="C1126" i="8"/>
  <c r="T1126" i="8"/>
  <c r="M1117" i="8"/>
  <c r="N1117" i="8"/>
  <c r="C1117" i="8"/>
  <c r="T1117" i="8"/>
  <c r="B145" i="14"/>
  <c r="I141" i="14"/>
  <c r="B141" i="14"/>
  <c r="I139" i="14"/>
  <c r="B139" i="14"/>
  <c r="I137" i="14"/>
  <c r="B137" i="14"/>
  <c r="B159" i="14"/>
  <c r="I155" i="14"/>
  <c r="B155" i="14"/>
  <c r="I153" i="14"/>
  <c r="B153" i="14"/>
  <c r="I151" i="14"/>
  <c r="B151" i="14"/>
  <c r="B173" i="14"/>
  <c r="I169" i="14"/>
  <c r="B169" i="14"/>
  <c r="I167" i="14"/>
  <c r="B167" i="14"/>
  <c r="I165" i="14"/>
  <c r="B165" i="14"/>
  <c r="B201" i="14"/>
  <c r="B187" i="14"/>
  <c r="B131" i="14"/>
  <c r="I127" i="14"/>
  <c r="B127" i="14"/>
  <c r="I125" i="14"/>
  <c r="B125" i="14"/>
  <c r="I123" i="14"/>
  <c r="B123" i="14"/>
  <c r="B47" i="14"/>
  <c r="I43" i="14"/>
  <c r="B43" i="14"/>
  <c r="I41" i="14"/>
  <c r="B41" i="14"/>
  <c r="I39" i="14"/>
  <c r="B39" i="14"/>
  <c r="B61" i="14"/>
  <c r="I57" i="14"/>
  <c r="B57" i="14"/>
  <c r="I55" i="14"/>
  <c r="B55" i="14"/>
  <c r="I53" i="14"/>
  <c r="B53" i="14"/>
  <c r="B89" i="14"/>
  <c r="I85" i="14"/>
  <c r="B85" i="14"/>
  <c r="I83" i="14"/>
  <c r="B83" i="14"/>
  <c r="I81" i="14"/>
  <c r="B81" i="14"/>
  <c r="B117" i="14"/>
  <c r="B149" i="11"/>
  <c r="B151" i="11"/>
  <c r="B153" i="11"/>
  <c r="B154" i="11"/>
  <c r="B155" i="11"/>
  <c r="B156" i="11"/>
  <c r="B157" i="11"/>
  <c r="B158" i="11"/>
  <c r="B159" i="11"/>
  <c r="B148" i="11"/>
  <c r="B99" i="11"/>
  <c r="B98" i="11"/>
  <c r="I197" i="14"/>
  <c r="I195" i="14"/>
  <c r="I193" i="14"/>
  <c r="I183" i="14"/>
  <c r="I181" i="14"/>
  <c r="I179" i="14"/>
  <c r="I113" i="14"/>
  <c r="I111" i="14"/>
  <c r="I109" i="14"/>
  <c r="I28" i="14"/>
  <c r="I26" i="14"/>
  <c r="I24" i="14"/>
  <c r="I14" i="14"/>
  <c r="I12" i="14"/>
  <c r="I10" i="14"/>
  <c r="B197" i="14"/>
  <c r="B195" i="14"/>
  <c r="B193" i="14"/>
  <c r="B183" i="14"/>
  <c r="B181" i="14"/>
  <c r="B179" i="14"/>
  <c r="B113" i="14"/>
  <c r="B111" i="14"/>
  <c r="B109" i="14"/>
  <c r="B28" i="14"/>
  <c r="B26" i="14"/>
  <c r="B24" i="14"/>
  <c r="B14" i="14"/>
  <c r="B12" i="14"/>
  <c r="B10" i="14"/>
  <c r="P842" i="8" l="1"/>
  <c r="O842" i="8"/>
  <c r="T842" i="8"/>
  <c r="N842" i="8"/>
  <c r="M842" i="8"/>
  <c r="C842" i="8"/>
  <c r="T841" i="8"/>
  <c r="N841" i="8"/>
  <c r="M841" i="8"/>
  <c r="C841" i="8"/>
  <c r="P841" i="8"/>
  <c r="O841" i="8"/>
  <c r="T843" i="8"/>
  <c r="N843" i="8"/>
  <c r="M843" i="8"/>
  <c r="C843" i="8"/>
  <c r="P843" i="8"/>
  <c r="O843" i="8"/>
  <c r="N2333" i="8"/>
  <c r="T751" i="8"/>
  <c r="N751" i="8"/>
  <c r="M751" i="8"/>
  <c r="C751" i="8"/>
  <c r="T2333" i="8"/>
  <c r="E205" i="23" s="1"/>
  <c r="T2721" i="8"/>
  <c r="N2721" i="8"/>
  <c r="M2721" i="8"/>
  <c r="C2721" i="8"/>
  <c r="M2720" i="8"/>
  <c r="C2720" i="8"/>
  <c r="T2720" i="8"/>
  <c r="N2720" i="8"/>
  <c r="N771" i="8"/>
  <c r="C771" i="8"/>
  <c r="T771" i="8"/>
  <c r="N290" i="8"/>
  <c r="G60" i="9" s="1"/>
  <c r="G59" i="9" s="1"/>
  <c r="N883" i="8"/>
  <c r="N870" i="8" s="1"/>
  <c r="C883" i="8"/>
  <c r="T883" i="8"/>
  <c r="T870" i="8" s="1"/>
  <c r="T290" i="8"/>
  <c r="N1090" i="8"/>
  <c r="N1077" i="8" s="1"/>
  <c r="C1090" i="8"/>
  <c r="C1077" i="8" s="1"/>
  <c r="C1069" i="8" s="1"/>
  <c r="T1090" i="8"/>
  <c r="T1077" i="8" s="1"/>
  <c r="D22" i="13"/>
  <c r="D21" i="14" s="1"/>
  <c r="D9" i="13"/>
  <c r="D7" i="14" s="1"/>
  <c r="J16" i="13"/>
  <c r="L16" i="13"/>
  <c r="J21" i="13"/>
  <c r="L21" i="13"/>
  <c r="Y293" i="13"/>
  <c r="Y292" i="13"/>
  <c r="Y290" i="13"/>
  <c r="N2533" i="8" l="1"/>
  <c r="N734" i="8"/>
  <c r="T734" i="8"/>
  <c r="D135" i="23" s="1"/>
  <c r="E201" i="23"/>
  <c r="D205" i="23"/>
  <c r="D201" i="23"/>
  <c r="T2533" i="8"/>
  <c r="D215" i="23" s="1"/>
  <c r="D61" i="23"/>
  <c r="E65" i="23"/>
  <c r="E61" i="23"/>
  <c r="D65" i="23"/>
  <c r="D145" i="23"/>
  <c r="D149" i="23"/>
  <c r="E149" i="23"/>
  <c r="E145" i="23"/>
  <c r="D177" i="23"/>
  <c r="E177" i="23"/>
  <c r="E173" i="23"/>
  <c r="D173" i="23"/>
  <c r="AD325" i="13"/>
  <c r="AE325" i="13" s="1"/>
  <c r="AD324" i="13"/>
  <c r="AE324" i="13" s="1"/>
  <c r="AD318" i="13"/>
  <c r="AD317" i="13"/>
  <c r="Y327" i="13"/>
  <c r="Z327" i="13" s="1"/>
  <c r="Y325" i="13"/>
  <c r="Z325" i="13" s="1"/>
  <c r="Y324" i="13"/>
  <c r="Z324" i="13" s="1"/>
  <c r="Y320" i="13"/>
  <c r="Y318" i="13"/>
  <c r="Z318" i="13" s="1"/>
  <c r="Y317" i="13"/>
  <c r="Z317" i="13" s="1"/>
  <c r="Y314" i="13"/>
  <c r="Z314" i="13" s="1"/>
  <c r="Y311" i="13"/>
  <c r="Z311" i="13" s="1"/>
  <c r="G212" i="13" s="1"/>
  <c r="J212" i="13" s="1"/>
  <c r="Y326" i="13"/>
  <c r="Z326" i="13" s="1"/>
  <c r="Y319" i="13"/>
  <c r="Z319" i="13" s="1"/>
  <c r="Y305" i="13"/>
  <c r="Z305" i="13" s="1"/>
  <c r="Y291" i="13"/>
  <c r="Z291" i="13" s="1"/>
  <c r="Y299" i="13"/>
  <c r="Z299" i="13" s="1"/>
  <c r="Z339" i="13"/>
  <c r="Z338" i="13"/>
  <c r="Z337" i="13"/>
  <c r="Z336" i="13"/>
  <c r="AE335" i="13"/>
  <c r="Z335" i="13"/>
  <c r="AE334" i="13"/>
  <c r="Z334" i="13"/>
  <c r="AE333" i="13"/>
  <c r="Z333" i="13"/>
  <c r="AE332" i="13"/>
  <c r="Z332" i="13"/>
  <c r="AE326" i="13"/>
  <c r="AE319" i="13"/>
  <c r="AE314" i="13"/>
  <c r="AE311" i="13"/>
  <c r="I212" i="13" s="1"/>
  <c r="L212" i="13" s="1"/>
  <c r="AD304" i="13"/>
  <c r="AE304" i="13" s="1"/>
  <c r="AE299" i="13"/>
  <c r="Y298" i="13"/>
  <c r="Z298" i="13" s="1"/>
  <c r="AD297" i="13"/>
  <c r="AE297" i="13" s="1"/>
  <c r="Y297" i="13"/>
  <c r="Z297" i="13" s="1"/>
  <c r="Y307" i="13"/>
  <c r="Z307" i="13" s="1"/>
  <c r="AD292" i="13"/>
  <c r="AD306" i="13" s="1"/>
  <c r="AE306" i="13" s="1"/>
  <c r="Z292" i="13"/>
  <c r="AD291" i="13"/>
  <c r="AD305" i="13" s="1"/>
  <c r="AE305" i="13" s="1"/>
  <c r="AE290" i="13"/>
  <c r="Z290" i="13"/>
  <c r="Z286" i="13"/>
  <c r="AE285" i="13"/>
  <c r="Z285" i="13"/>
  <c r="AD298" i="13"/>
  <c r="AE298" i="13" s="1"/>
  <c r="Z284" i="13"/>
  <c r="Y300" i="13"/>
  <c r="AE283" i="13"/>
  <c r="Z283" i="13"/>
  <c r="AE282" i="13"/>
  <c r="Z282" i="13"/>
  <c r="G248" i="13" l="1"/>
  <c r="J248" i="13" s="1"/>
  <c r="G236" i="13"/>
  <c r="J236" i="13" s="1"/>
  <c r="G188" i="13"/>
  <c r="J188" i="13" s="1"/>
  <c r="G200" i="13"/>
  <c r="J200" i="13" s="1"/>
  <c r="G224" i="13"/>
  <c r="J224" i="13" s="1"/>
  <c r="G53" i="13"/>
  <c r="J53" i="13" s="1"/>
  <c r="G75" i="13"/>
  <c r="J75" i="13" s="1"/>
  <c r="G164" i="13"/>
  <c r="J164" i="13" s="1"/>
  <c r="G176" i="13"/>
  <c r="J176" i="13" s="1"/>
  <c r="AE292" i="13"/>
  <c r="I248" i="13"/>
  <c r="L248" i="13" s="1"/>
  <c r="I236" i="13"/>
  <c r="L236" i="13" s="1"/>
  <c r="I188" i="13"/>
  <c r="L188" i="13" s="1"/>
  <c r="I200" i="13"/>
  <c r="L200" i="13" s="1"/>
  <c r="I224" i="13"/>
  <c r="L224" i="13" s="1"/>
  <c r="I75" i="13"/>
  <c r="L75" i="13" s="1"/>
  <c r="I164" i="13"/>
  <c r="L164" i="13" s="1"/>
  <c r="I176" i="13"/>
  <c r="L176" i="13" s="1"/>
  <c r="I53" i="13"/>
  <c r="L53" i="13" s="1"/>
  <c r="E135" i="23"/>
  <c r="D131" i="23"/>
  <c r="E131" i="23"/>
  <c r="E219" i="23"/>
  <c r="E215" i="23"/>
  <c r="D219" i="23"/>
  <c r="AE301" i="13"/>
  <c r="I222" i="13" s="1"/>
  <c r="L222" i="13" s="1"/>
  <c r="AE340" i="13"/>
  <c r="I155" i="13" s="1"/>
  <c r="L155" i="13" s="1"/>
  <c r="I17" i="13"/>
  <c r="I261" i="13"/>
  <c r="L261" i="13" s="1"/>
  <c r="I153" i="13"/>
  <c r="L153" i="13" s="1"/>
  <c r="I142" i="13"/>
  <c r="L142" i="13" s="1"/>
  <c r="I130" i="13"/>
  <c r="L130" i="13" s="1"/>
  <c r="I119" i="13"/>
  <c r="L119" i="13" s="1"/>
  <c r="I108" i="13"/>
  <c r="L108" i="13" s="1"/>
  <c r="I97" i="13"/>
  <c r="L97" i="13" s="1"/>
  <c r="I86" i="13"/>
  <c r="L86" i="13" s="1"/>
  <c r="I64" i="13"/>
  <c r="L64" i="13" s="1"/>
  <c r="I42" i="13"/>
  <c r="L42" i="13" s="1"/>
  <c r="I31" i="13"/>
  <c r="L31" i="13" s="1"/>
  <c r="I131" i="13"/>
  <c r="L131" i="13" s="1"/>
  <c r="I120" i="13"/>
  <c r="L120" i="13" s="1"/>
  <c r="I110" i="13"/>
  <c r="L110" i="13" s="1"/>
  <c r="AE308" i="13"/>
  <c r="Z340" i="13"/>
  <c r="Z287" i="13"/>
  <c r="G221" i="13" s="1"/>
  <c r="J221" i="13" s="1"/>
  <c r="AE291" i="13"/>
  <c r="AE294" i="13" s="1"/>
  <c r="G261" i="13"/>
  <c r="J261" i="13" s="1"/>
  <c r="G153" i="13"/>
  <c r="J153" i="13" s="1"/>
  <c r="G142" i="13"/>
  <c r="J142" i="13" s="1"/>
  <c r="G130" i="13"/>
  <c r="J130" i="13" s="1"/>
  <c r="G119" i="13"/>
  <c r="J119" i="13" s="1"/>
  <c r="G108" i="13"/>
  <c r="J108" i="13" s="1"/>
  <c r="G97" i="13"/>
  <c r="J97" i="13" s="1"/>
  <c r="G86" i="13"/>
  <c r="J86" i="13" s="1"/>
  <c r="G64" i="13"/>
  <c r="J64" i="13" s="1"/>
  <c r="G42" i="13"/>
  <c r="J42" i="13" s="1"/>
  <c r="G31" i="13"/>
  <c r="J31" i="13" s="1"/>
  <c r="AE328" i="13"/>
  <c r="Z328" i="13"/>
  <c r="Z300" i="13"/>
  <c r="Z301" i="13" s="1"/>
  <c r="G222" i="13" s="1"/>
  <c r="J222" i="13" s="1"/>
  <c r="Y306" i="13"/>
  <c r="Z306" i="13" s="1"/>
  <c r="Z293" i="13"/>
  <c r="Z294" i="13" s="1"/>
  <c r="AE284" i="13"/>
  <c r="AE287" i="13" s="1"/>
  <c r="I221" i="13" s="1"/>
  <c r="L221" i="13" s="1"/>
  <c r="Y304" i="13"/>
  <c r="Z304" i="13" s="1"/>
  <c r="AE317" i="13"/>
  <c r="AE318" i="13"/>
  <c r="Z320" i="13"/>
  <c r="Z321" i="13" s="1"/>
  <c r="I143" i="13" l="1"/>
  <c r="L143" i="13" s="1"/>
  <c r="I33" i="13"/>
  <c r="L33" i="13" s="1"/>
  <c r="I43" i="13"/>
  <c r="L43" i="13" s="1"/>
  <c r="I65" i="13"/>
  <c r="L65" i="13" s="1"/>
  <c r="I67" i="13"/>
  <c r="L67" i="13" s="1"/>
  <c r="I28" i="13"/>
  <c r="L28" i="13" s="1"/>
  <c r="I98" i="13"/>
  <c r="L98" i="13" s="1"/>
  <c r="I154" i="13"/>
  <c r="L154" i="13" s="1"/>
  <c r="I40" i="13"/>
  <c r="L40" i="13" s="1"/>
  <c r="I100" i="13"/>
  <c r="L100" i="13" s="1"/>
  <c r="I264" i="13"/>
  <c r="L264" i="13" s="1"/>
  <c r="I95" i="13"/>
  <c r="L95" i="13" s="1"/>
  <c r="I109" i="13"/>
  <c r="L109" i="13" s="1"/>
  <c r="I144" i="13"/>
  <c r="L144" i="13" s="1"/>
  <c r="I128" i="13"/>
  <c r="L128" i="13" s="1"/>
  <c r="I44" i="13"/>
  <c r="L44" i="13" s="1"/>
  <c r="I99" i="13"/>
  <c r="L99" i="13" s="1"/>
  <c r="I140" i="13"/>
  <c r="L140" i="13" s="1"/>
  <c r="I73" i="13"/>
  <c r="L73" i="13" s="1"/>
  <c r="I220" i="13"/>
  <c r="L220" i="13" s="1"/>
  <c r="I219" i="13"/>
  <c r="L219" i="13" s="1"/>
  <c r="G218" i="13"/>
  <c r="J218" i="13" s="1"/>
  <c r="G217" i="13"/>
  <c r="J217" i="13" s="1"/>
  <c r="G216" i="13"/>
  <c r="J216" i="13" s="1"/>
  <c r="I217" i="13"/>
  <c r="L217" i="13" s="1"/>
  <c r="I216" i="13"/>
  <c r="L216" i="13" s="1"/>
  <c r="I218" i="13"/>
  <c r="L218" i="13" s="1"/>
  <c r="I132" i="13"/>
  <c r="L132" i="13" s="1"/>
  <c r="I214" i="13"/>
  <c r="L214" i="13" s="1"/>
  <c r="I215" i="13"/>
  <c r="L215" i="13" s="1"/>
  <c r="I213" i="13"/>
  <c r="L213" i="13" s="1"/>
  <c r="G213" i="13"/>
  <c r="J213" i="13" s="1"/>
  <c r="G214" i="13"/>
  <c r="J214" i="13" s="1"/>
  <c r="G215" i="13"/>
  <c r="J215" i="13" s="1"/>
  <c r="I32" i="13"/>
  <c r="L32" i="13" s="1"/>
  <c r="I87" i="13"/>
  <c r="L87" i="13" s="1"/>
  <c r="I88" i="13"/>
  <c r="L88" i="13" s="1"/>
  <c r="I122" i="13"/>
  <c r="L122" i="13" s="1"/>
  <c r="I262" i="13"/>
  <c r="L262" i="13" s="1"/>
  <c r="I263" i="13"/>
  <c r="L263" i="13" s="1"/>
  <c r="I145" i="13"/>
  <c r="L145" i="13" s="1"/>
  <c r="I121" i="13"/>
  <c r="L121" i="13" s="1"/>
  <c r="G255" i="13"/>
  <c r="J255" i="13" s="1"/>
  <c r="G254" i="13"/>
  <c r="J254" i="13" s="1"/>
  <c r="G252" i="13"/>
  <c r="J252" i="13" s="1"/>
  <c r="G253" i="13"/>
  <c r="J253" i="13" s="1"/>
  <c r="G241" i="13"/>
  <c r="J241" i="13" s="1"/>
  <c r="G193" i="13"/>
  <c r="J193" i="13" s="1"/>
  <c r="G205" i="13"/>
  <c r="J205" i="13" s="1"/>
  <c r="G229" i="13"/>
  <c r="J229" i="13" s="1"/>
  <c r="G240" i="13"/>
  <c r="J240" i="13" s="1"/>
  <c r="G192" i="13"/>
  <c r="J192" i="13" s="1"/>
  <c r="G204" i="13"/>
  <c r="J204" i="13" s="1"/>
  <c r="G228" i="13"/>
  <c r="J228" i="13" s="1"/>
  <c r="G242" i="13"/>
  <c r="J242" i="13" s="1"/>
  <c r="G194" i="13"/>
  <c r="J194" i="13" s="1"/>
  <c r="G206" i="13"/>
  <c r="J206" i="13" s="1"/>
  <c r="G230" i="13"/>
  <c r="J230" i="13" s="1"/>
  <c r="G25" i="13"/>
  <c r="J25" i="13" s="1"/>
  <c r="G182" i="13"/>
  <c r="J182" i="13" s="1"/>
  <c r="G169" i="13"/>
  <c r="J169" i="13" s="1"/>
  <c r="G79" i="13"/>
  <c r="J79" i="13" s="1"/>
  <c r="G183" i="13"/>
  <c r="J183" i="13" s="1"/>
  <c r="G181" i="13"/>
  <c r="J181" i="13" s="1"/>
  <c r="G168" i="13"/>
  <c r="J168" i="13" s="1"/>
  <c r="G59" i="13"/>
  <c r="J59" i="13" s="1"/>
  <c r="G171" i="13"/>
  <c r="J171" i="13" s="1"/>
  <c r="G180" i="13"/>
  <c r="J180" i="13" s="1"/>
  <c r="G81" i="13"/>
  <c r="J81" i="13" s="1"/>
  <c r="G58" i="13"/>
  <c r="J58" i="13" s="1"/>
  <c r="G170" i="13"/>
  <c r="J170" i="13" s="1"/>
  <c r="G80" i="13"/>
  <c r="J80" i="13" s="1"/>
  <c r="G57" i="13"/>
  <c r="J57" i="13" s="1"/>
  <c r="G19" i="13"/>
  <c r="G258" i="13"/>
  <c r="J258" i="13" s="1"/>
  <c r="G245" i="13"/>
  <c r="J245" i="13" s="1"/>
  <c r="G197" i="13"/>
  <c r="J197" i="13" s="1"/>
  <c r="G209" i="13"/>
  <c r="J209" i="13" s="1"/>
  <c r="G233" i="13"/>
  <c r="J233" i="13" s="1"/>
  <c r="G83" i="13"/>
  <c r="J83" i="13" s="1"/>
  <c r="G173" i="13"/>
  <c r="J173" i="13" s="1"/>
  <c r="G185" i="13"/>
  <c r="J185" i="13" s="1"/>
  <c r="G61" i="13"/>
  <c r="J61" i="13" s="1"/>
  <c r="I34" i="13"/>
  <c r="L34" i="13" s="1"/>
  <c r="I45" i="13"/>
  <c r="L45" i="13" s="1"/>
  <c r="I89" i="13"/>
  <c r="L89" i="13" s="1"/>
  <c r="I66" i="13"/>
  <c r="L66" i="13" s="1"/>
  <c r="I111" i="13"/>
  <c r="L111" i="13" s="1"/>
  <c r="I133" i="13"/>
  <c r="L133" i="13" s="1"/>
  <c r="I156" i="13"/>
  <c r="L156" i="13" s="1"/>
  <c r="G20" i="13"/>
  <c r="G259" i="13"/>
  <c r="J259" i="13" s="1"/>
  <c r="G246" i="13"/>
  <c r="J246" i="13" s="1"/>
  <c r="G198" i="13"/>
  <c r="J198" i="13" s="1"/>
  <c r="G210" i="13"/>
  <c r="J210" i="13" s="1"/>
  <c r="G234" i="13"/>
  <c r="J234" i="13" s="1"/>
  <c r="G174" i="13"/>
  <c r="J174" i="13" s="1"/>
  <c r="G186" i="13"/>
  <c r="J186" i="13" s="1"/>
  <c r="G62" i="13"/>
  <c r="J62" i="13" s="1"/>
  <c r="G84" i="13"/>
  <c r="J84" i="13" s="1"/>
  <c r="G250" i="13"/>
  <c r="J250" i="13" s="1"/>
  <c r="G249" i="13"/>
  <c r="J249" i="13" s="1"/>
  <c r="G251" i="13"/>
  <c r="J251" i="13" s="1"/>
  <c r="G237" i="13"/>
  <c r="J237" i="13" s="1"/>
  <c r="G189" i="13"/>
  <c r="J189" i="13" s="1"/>
  <c r="G201" i="13"/>
  <c r="J201" i="13" s="1"/>
  <c r="G225" i="13"/>
  <c r="J225" i="13" s="1"/>
  <c r="G239" i="13"/>
  <c r="J239" i="13" s="1"/>
  <c r="G191" i="13"/>
  <c r="J191" i="13" s="1"/>
  <c r="G203" i="13"/>
  <c r="J203" i="13" s="1"/>
  <c r="G227" i="13"/>
  <c r="J227" i="13" s="1"/>
  <c r="G238" i="13"/>
  <c r="J238" i="13" s="1"/>
  <c r="G190" i="13"/>
  <c r="J190" i="13" s="1"/>
  <c r="G202" i="13"/>
  <c r="J202" i="13" s="1"/>
  <c r="G226" i="13"/>
  <c r="J226" i="13" s="1"/>
  <c r="G178" i="13"/>
  <c r="J178" i="13" s="1"/>
  <c r="G165" i="13"/>
  <c r="J165" i="13" s="1"/>
  <c r="G56" i="13"/>
  <c r="J56" i="13" s="1"/>
  <c r="G177" i="13"/>
  <c r="J177" i="13" s="1"/>
  <c r="G78" i="13"/>
  <c r="J78" i="13" s="1"/>
  <c r="G55" i="13"/>
  <c r="J55" i="13" s="1"/>
  <c r="G167" i="13"/>
  <c r="J167" i="13" s="1"/>
  <c r="G77" i="13"/>
  <c r="J77" i="13" s="1"/>
  <c r="G54" i="13"/>
  <c r="J54" i="13" s="1"/>
  <c r="G179" i="13"/>
  <c r="J179" i="13" s="1"/>
  <c r="G166" i="13"/>
  <c r="J166" i="13" s="1"/>
  <c r="G76" i="13"/>
  <c r="J76" i="13" s="1"/>
  <c r="I251" i="13"/>
  <c r="L251" i="13" s="1"/>
  <c r="I250" i="13"/>
  <c r="L250" i="13" s="1"/>
  <c r="I249" i="13"/>
  <c r="L249" i="13" s="1"/>
  <c r="I238" i="13"/>
  <c r="L238" i="13" s="1"/>
  <c r="I203" i="13"/>
  <c r="L203" i="13" s="1"/>
  <c r="I201" i="13"/>
  <c r="L201" i="13" s="1"/>
  <c r="I190" i="13"/>
  <c r="L190" i="13" s="1"/>
  <c r="I191" i="13"/>
  <c r="L191" i="13" s="1"/>
  <c r="I189" i="13"/>
  <c r="L189" i="13" s="1"/>
  <c r="I226" i="13"/>
  <c r="L226" i="13" s="1"/>
  <c r="I225" i="13"/>
  <c r="L225" i="13" s="1"/>
  <c r="I239" i="13"/>
  <c r="L239" i="13" s="1"/>
  <c r="I237" i="13"/>
  <c r="L237" i="13" s="1"/>
  <c r="I202" i="13"/>
  <c r="L202" i="13" s="1"/>
  <c r="I227" i="13"/>
  <c r="L227" i="13" s="1"/>
  <c r="I178" i="13"/>
  <c r="L178" i="13" s="1"/>
  <c r="I167" i="13"/>
  <c r="L167" i="13" s="1"/>
  <c r="I165" i="13"/>
  <c r="L165" i="13" s="1"/>
  <c r="I77" i="13"/>
  <c r="L77" i="13" s="1"/>
  <c r="I56" i="13"/>
  <c r="L56" i="13" s="1"/>
  <c r="I54" i="13"/>
  <c r="L54" i="13" s="1"/>
  <c r="I179" i="13"/>
  <c r="L179" i="13" s="1"/>
  <c r="I177" i="13"/>
  <c r="L177" i="13" s="1"/>
  <c r="I166" i="13"/>
  <c r="L166" i="13" s="1"/>
  <c r="I78" i="13"/>
  <c r="L78" i="13" s="1"/>
  <c r="I76" i="13"/>
  <c r="L76" i="13" s="1"/>
  <c r="I55" i="13"/>
  <c r="L55" i="13" s="1"/>
  <c r="I162" i="13"/>
  <c r="L162" i="13" s="1"/>
  <c r="I259" i="13"/>
  <c r="L259" i="13" s="1"/>
  <c r="I246" i="13"/>
  <c r="L246" i="13" s="1"/>
  <c r="I198" i="13"/>
  <c r="L198" i="13" s="1"/>
  <c r="I234" i="13"/>
  <c r="L234" i="13" s="1"/>
  <c r="I210" i="13"/>
  <c r="L210" i="13" s="1"/>
  <c r="I186" i="13"/>
  <c r="L186" i="13" s="1"/>
  <c r="I62" i="13"/>
  <c r="L62" i="13" s="1"/>
  <c r="I174" i="13"/>
  <c r="L174" i="13" s="1"/>
  <c r="I84" i="13"/>
  <c r="L84" i="13" s="1"/>
  <c r="I137" i="13"/>
  <c r="L137" i="13" s="1"/>
  <c r="I257" i="13"/>
  <c r="L257" i="13" s="1"/>
  <c r="I256" i="13"/>
  <c r="L256" i="13" s="1"/>
  <c r="I195" i="13"/>
  <c r="L195" i="13" s="1"/>
  <c r="I231" i="13"/>
  <c r="L231" i="13" s="1"/>
  <c r="I243" i="13"/>
  <c r="L243" i="13" s="1"/>
  <c r="I196" i="13"/>
  <c r="L196" i="13" s="1"/>
  <c r="I207" i="13"/>
  <c r="L207" i="13" s="1"/>
  <c r="I232" i="13"/>
  <c r="L232" i="13" s="1"/>
  <c r="I244" i="13"/>
  <c r="L244" i="13" s="1"/>
  <c r="I208" i="13"/>
  <c r="L208" i="13" s="1"/>
  <c r="I172" i="13"/>
  <c r="L172" i="13" s="1"/>
  <c r="I82" i="13"/>
  <c r="L82" i="13" s="1"/>
  <c r="I184" i="13"/>
  <c r="L184" i="13" s="1"/>
  <c r="I60" i="13"/>
  <c r="L60" i="13" s="1"/>
  <c r="I268" i="13"/>
  <c r="L268" i="13" s="1"/>
  <c r="I258" i="13"/>
  <c r="L258" i="13" s="1"/>
  <c r="I197" i="13"/>
  <c r="L197" i="13" s="1"/>
  <c r="I233" i="13"/>
  <c r="L233" i="13" s="1"/>
  <c r="I245" i="13"/>
  <c r="L245" i="13" s="1"/>
  <c r="I209" i="13"/>
  <c r="L209" i="13" s="1"/>
  <c r="I185" i="13"/>
  <c r="L185" i="13" s="1"/>
  <c r="I173" i="13"/>
  <c r="L173" i="13" s="1"/>
  <c r="I83" i="13"/>
  <c r="L83" i="13" s="1"/>
  <c r="I61" i="13"/>
  <c r="L61" i="13" s="1"/>
  <c r="I20" i="13"/>
  <c r="I255" i="13"/>
  <c r="L255" i="13" s="1"/>
  <c r="I252" i="13"/>
  <c r="L252" i="13" s="1"/>
  <c r="I253" i="13"/>
  <c r="L253" i="13" s="1"/>
  <c r="I254" i="13"/>
  <c r="L254" i="13" s="1"/>
  <c r="I240" i="13"/>
  <c r="L240" i="13" s="1"/>
  <c r="I204" i="13"/>
  <c r="L204" i="13" s="1"/>
  <c r="I241" i="13"/>
  <c r="L241" i="13" s="1"/>
  <c r="I194" i="13"/>
  <c r="L194" i="13" s="1"/>
  <c r="I192" i="13"/>
  <c r="L192" i="13" s="1"/>
  <c r="I205" i="13"/>
  <c r="L205" i="13" s="1"/>
  <c r="I230" i="13"/>
  <c r="L230" i="13" s="1"/>
  <c r="I228" i="13"/>
  <c r="L228" i="13" s="1"/>
  <c r="I206" i="13"/>
  <c r="L206" i="13" s="1"/>
  <c r="I229" i="13"/>
  <c r="L229" i="13" s="1"/>
  <c r="I242" i="13"/>
  <c r="L242" i="13" s="1"/>
  <c r="I193" i="13"/>
  <c r="L193" i="13" s="1"/>
  <c r="I25" i="13"/>
  <c r="L25" i="13" s="1"/>
  <c r="I181" i="13"/>
  <c r="L181" i="13" s="1"/>
  <c r="I58" i="13"/>
  <c r="L58" i="13" s="1"/>
  <c r="I183" i="13"/>
  <c r="L183" i="13" s="1"/>
  <c r="I182" i="13"/>
  <c r="L182" i="13" s="1"/>
  <c r="I180" i="13"/>
  <c r="L180" i="13" s="1"/>
  <c r="I170" i="13"/>
  <c r="L170" i="13" s="1"/>
  <c r="I168" i="13"/>
  <c r="L168" i="13" s="1"/>
  <c r="I81" i="13"/>
  <c r="L81" i="13" s="1"/>
  <c r="I79" i="13"/>
  <c r="L79" i="13" s="1"/>
  <c r="I59" i="13"/>
  <c r="L59" i="13" s="1"/>
  <c r="I57" i="13"/>
  <c r="L57" i="13" s="1"/>
  <c r="I171" i="13"/>
  <c r="L171" i="13" s="1"/>
  <c r="I169" i="13"/>
  <c r="L169" i="13" s="1"/>
  <c r="I80" i="13"/>
  <c r="L80" i="13" s="1"/>
  <c r="I271" i="13"/>
  <c r="L271" i="13" s="1"/>
  <c r="I106" i="13"/>
  <c r="L106" i="13" s="1"/>
  <c r="I151" i="13"/>
  <c r="L151" i="13" s="1"/>
  <c r="I18" i="13"/>
  <c r="L18" i="13" s="1"/>
  <c r="I51" i="13"/>
  <c r="L51" i="13" s="1"/>
  <c r="I117" i="13"/>
  <c r="L117" i="13" s="1"/>
  <c r="I267" i="13"/>
  <c r="L267" i="13" s="1"/>
  <c r="I265" i="13"/>
  <c r="L265" i="13" s="1"/>
  <c r="I159" i="13"/>
  <c r="L159" i="13" s="1"/>
  <c r="I157" i="13"/>
  <c r="L157" i="13" s="1"/>
  <c r="I148" i="13"/>
  <c r="L148" i="13" s="1"/>
  <c r="I146" i="13"/>
  <c r="L146" i="13" s="1"/>
  <c r="I136" i="13"/>
  <c r="L136" i="13" s="1"/>
  <c r="I134" i="13"/>
  <c r="L134" i="13" s="1"/>
  <c r="I125" i="13"/>
  <c r="L125" i="13" s="1"/>
  <c r="I123" i="13"/>
  <c r="L123" i="13" s="1"/>
  <c r="I114" i="13"/>
  <c r="L114" i="13" s="1"/>
  <c r="I112" i="13"/>
  <c r="L112" i="13" s="1"/>
  <c r="I266" i="13"/>
  <c r="L266" i="13" s="1"/>
  <c r="I158" i="13"/>
  <c r="L158" i="13" s="1"/>
  <c r="I147" i="13"/>
  <c r="L147" i="13" s="1"/>
  <c r="I135" i="13"/>
  <c r="L135" i="13" s="1"/>
  <c r="I124" i="13"/>
  <c r="L124" i="13" s="1"/>
  <c r="I113" i="13"/>
  <c r="L113" i="13" s="1"/>
  <c r="I103" i="13"/>
  <c r="L103" i="13" s="1"/>
  <c r="I101" i="13"/>
  <c r="L101" i="13" s="1"/>
  <c r="I92" i="13"/>
  <c r="L92" i="13" s="1"/>
  <c r="I90" i="13"/>
  <c r="L90" i="13" s="1"/>
  <c r="I70" i="13"/>
  <c r="L70" i="13" s="1"/>
  <c r="I68" i="13"/>
  <c r="L68" i="13" s="1"/>
  <c r="I48" i="13"/>
  <c r="L48" i="13" s="1"/>
  <c r="I46" i="13"/>
  <c r="L46" i="13" s="1"/>
  <c r="I102" i="13"/>
  <c r="L102" i="13" s="1"/>
  <c r="I91" i="13"/>
  <c r="L91" i="13" s="1"/>
  <c r="I69" i="13"/>
  <c r="L69" i="13" s="1"/>
  <c r="I47" i="13"/>
  <c r="L47" i="13" s="1"/>
  <c r="I36" i="13"/>
  <c r="L36" i="13" s="1"/>
  <c r="I24" i="13"/>
  <c r="I27" i="13"/>
  <c r="I13" i="13"/>
  <c r="L13" i="13" s="1"/>
  <c r="I15" i="13"/>
  <c r="L15" i="13" s="1"/>
  <c r="I14" i="13"/>
  <c r="L14" i="13" s="1"/>
  <c r="I37" i="13"/>
  <c r="L37" i="13" s="1"/>
  <c r="I26" i="13"/>
  <c r="I35" i="13"/>
  <c r="L35" i="13" s="1"/>
  <c r="G266" i="13"/>
  <c r="J266" i="13" s="1"/>
  <c r="G158" i="13"/>
  <c r="J158" i="13" s="1"/>
  <c r="G147" i="13"/>
  <c r="J147" i="13" s="1"/>
  <c r="G135" i="13"/>
  <c r="J135" i="13" s="1"/>
  <c r="G124" i="13"/>
  <c r="J124" i="13" s="1"/>
  <c r="G113" i="13"/>
  <c r="J113" i="13" s="1"/>
  <c r="G267" i="13"/>
  <c r="J267" i="13" s="1"/>
  <c r="G265" i="13"/>
  <c r="J265" i="13" s="1"/>
  <c r="G159" i="13"/>
  <c r="J159" i="13" s="1"/>
  <c r="G157" i="13"/>
  <c r="J157" i="13" s="1"/>
  <c r="G148" i="13"/>
  <c r="J148" i="13" s="1"/>
  <c r="G146" i="13"/>
  <c r="J146" i="13" s="1"/>
  <c r="G136" i="13"/>
  <c r="J136" i="13" s="1"/>
  <c r="G134" i="13"/>
  <c r="J134" i="13" s="1"/>
  <c r="G125" i="13"/>
  <c r="J125" i="13" s="1"/>
  <c r="G123" i="13"/>
  <c r="J123" i="13" s="1"/>
  <c r="G114" i="13"/>
  <c r="J114" i="13" s="1"/>
  <c r="G112" i="13"/>
  <c r="J112" i="13" s="1"/>
  <c r="G102" i="13"/>
  <c r="J102" i="13" s="1"/>
  <c r="G91" i="13"/>
  <c r="J91" i="13" s="1"/>
  <c r="G69" i="13"/>
  <c r="J69" i="13" s="1"/>
  <c r="G47" i="13"/>
  <c r="J47" i="13" s="1"/>
  <c r="G103" i="13"/>
  <c r="J103" i="13" s="1"/>
  <c r="G101" i="13"/>
  <c r="J101" i="13" s="1"/>
  <c r="G92" i="13"/>
  <c r="J92" i="13" s="1"/>
  <c r="G90" i="13"/>
  <c r="J90" i="13" s="1"/>
  <c r="G70" i="13"/>
  <c r="J70" i="13" s="1"/>
  <c r="G68" i="13"/>
  <c r="J68" i="13" s="1"/>
  <c r="G48" i="13"/>
  <c r="J48" i="13" s="1"/>
  <c r="G46" i="13"/>
  <c r="J46" i="13" s="1"/>
  <c r="G37" i="13"/>
  <c r="J37" i="13" s="1"/>
  <c r="G26" i="13"/>
  <c r="G14" i="13"/>
  <c r="J14" i="13" s="1"/>
  <c r="G27" i="13"/>
  <c r="G35" i="13"/>
  <c r="J35" i="13" s="1"/>
  <c r="G36" i="13"/>
  <c r="J36" i="13" s="1"/>
  <c r="G24" i="13"/>
  <c r="G13" i="13"/>
  <c r="J13" i="13" s="1"/>
  <c r="G15" i="13"/>
  <c r="J15" i="13" s="1"/>
  <c r="I270" i="13"/>
  <c r="L270" i="13" s="1"/>
  <c r="I161" i="13"/>
  <c r="L161" i="13" s="1"/>
  <c r="I150" i="13"/>
  <c r="L150" i="13" s="1"/>
  <c r="I139" i="13"/>
  <c r="L139" i="13" s="1"/>
  <c r="I127" i="13"/>
  <c r="L127" i="13" s="1"/>
  <c r="I116" i="13"/>
  <c r="L116" i="13" s="1"/>
  <c r="I105" i="13"/>
  <c r="L105" i="13" s="1"/>
  <c r="I94" i="13"/>
  <c r="L94" i="13" s="1"/>
  <c r="I72" i="13"/>
  <c r="L72" i="13" s="1"/>
  <c r="I50" i="13"/>
  <c r="L50" i="13" s="1"/>
  <c r="I11" i="13"/>
  <c r="I12" i="13"/>
  <c r="L12" i="13" s="1"/>
  <c r="I23" i="13"/>
  <c r="L23" i="13" s="1"/>
  <c r="I10" i="13"/>
  <c r="I39" i="13"/>
  <c r="L39" i="13" s="1"/>
  <c r="G270" i="13"/>
  <c r="J270" i="13" s="1"/>
  <c r="G161" i="13"/>
  <c r="J161" i="13" s="1"/>
  <c r="G150" i="13"/>
  <c r="J150" i="13" s="1"/>
  <c r="G139" i="13"/>
  <c r="J139" i="13" s="1"/>
  <c r="G127" i="13"/>
  <c r="J127" i="13" s="1"/>
  <c r="G116" i="13"/>
  <c r="J116" i="13" s="1"/>
  <c r="G105" i="13"/>
  <c r="J105" i="13" s="1"/>
  <c r="G94" i="13"/>
  <c r="J94" i="13" s="1"/>
  <c r="G72" i="13"/>
  <c r="J72" i="13" s="1"/>
  <c r="G50" i="13"/>
  <c r="J50" i="13" s="1"/>
  <c r="G39" i="13"/>
  <c r="J39" i="13" s="1"/>
  <c r="G12" i="13"/>
  <c r="J12" i="13" s="1"/>
  <c r="G10" i="13"/>
  <c r="G23" i="13"/>
  <c r="J23" i="13" s="1"/>
  <c r="G11" i="13"/>
  <c r="G271" i="13"/>
  <c r="J271" i="13" s="1"/>
  <c r="G162" i="13"/>
  <c r="J162" i="13" s="1"/>
  <c r="G151" i="13"/>
  <c r="J151" i="13" s="1"/>
  <c r="G140" i="13"/>
  <c r="J140" i="13" s="1"/>
  <c r="G128" i="13"/>
  <c r="J128" i="13" s="1"/>
  <c r="G117" i="13"/>
  <c r="J117" i="13" s="1"/>
  <c r="G106" i="13"/>
  <c r="J106" i="13" s="1"/>
  <c r="G95" i="13"/>
  <c r="J95" i="13" s="1"/>
  <c r="G73" i="13"/>
  <c r="J73" i="13" s="1"/>
  <c r="G51" i="13"/>
  <c r="J51" i="13" s="1"/>
  <c r="G28" i="13"/>
  <c r="J28" i="13" s="1"/>
  <c r="G18" i="13"/>
  <c r="J18" i="13" s="1"/>
  <c r="G40" i="13"/>
  <c r="J40" i="13" s="1"/>
  <c r="G17" i="13"/>
  <c r="G264" i="13"/>
  <c r="J264" i="13" s="1"/>
  <c r="G262" i="13"/>
  <c r="J262" i="13" s="1"/>
  <c r="G156" i="13"/>
  <c r="J156" i="13" s="1"/>
  <c r="G154" i="13"/>
  <c r="J154" i="13" s="1"/>
  <c r="G145" i="13"/>
  <c r="J145" i="13" s="1"/>
  <c r="G143" i="13"/>
  <c r="J143" i="13" s="1"/>
  <c r="G133" i="13"/>
  <c r="J133" i="13" s="1"/>
  <c r="G131" i="13"/>
  <c r="J131" i="13" s="1"/>
  <c r="G122" i="13"/>
  <c r="J122" i="13" s="1"/>
  <c r="G120" i="13"/>
  <c r="J120" i="13" s="1"/>
  <c r="G263" i="13"/>
  <c r="J263" i="13" s="1"/>
  <c r="G155" i="13"/>
  <c r="J155" i="13" s="1"/>
  <c r="G144" i="13"/>
  <c r="J144" i="13" s="1"/>
  <c r="G132" i="13"/>
  <c r="J132" i="13" s="1"/>
  <c r="G121" i="13"/>
  <c r="J121" i="13" s="1"/>
  <c r="G111" i="13"/>
  <c r="J111" i="13" s="1"/>
  <c r="G109" i="13"/>
  <c r="J109" i="13" s="1"/>
  <c r="G100" i="13"/>
  <c r="J100" i="13" s="1"/>
  <c r="G98" i="13"/>
  <c r="J98" i="13" s="1"/>
  <c r="G89" i="13"/>
  <c r="J89" i="13" s="1"/>
  <c r="G87" i="13"/>
  <c r="J87" i="13" s="1"/>
  <c r="G67" i="13"/>
  <c r="J67" i="13" s="1"/>
  <c r="G65" i="13"/>
  <c r="J65" i="13" s="1"/>
  <c r="G110" i="13"/>
  <c r="J110" i="13" s="1"/>
  <c r="G99" i="13"/>
  <c r="J99" i="13" s="1"/>
  <c r="G88" i="13"/>
  <c r="J88" i="13" s="1"/>
  <c r="G66" i="13"/>
  <c r="J66" i="13" s="1"/>
  <c r="G44" i="13"/>
  <c r="J44" i="13" s="1"/>
  <c r="G45" i="13"/>
  <c r="J45" i="13" s="1"/>
  <c r="G34" i="13"/>
  <c r="J34" i="13" s="1"/>
  <c r="G43" i="13"/>
  <c r="J43" i="13" s="1"/>
  <c r="G33" i="13"/>
  <c r="J33" i="13" s="1"/>
  <c r="G32" i="13"/>
  <c r="J32" i="13" s="1"/>
  <c r="I269" i="13"/>
  <c r="L269" i="13" s="1"/>
  <c r="I160" i="13"/>
  <c r="L160" i="13" s="1"/>
  <c r="I149" i="13"/>
  <c r="L149" i="13" s="1"/>
  <c r="I138" i="13"/>
  <c r="L138" i="13" s="1"/>
  <c r="I126" i="13"/>
  <c r="L126" i="13" s="1"/>
  <c r="I115" i="13"/>
  <c r="L115" i="13" s="1"/>
  <c r="I104" i="13"/>
  <c r="L104" i="13" s="1"/>
  <c r="I93" i="13"/>
  <c r="L93" i="13" s="1"/>
  <c r="I71" i="13"/>
  <c r="L71" i="13" s="1"/>
  <c r="I49" i="13"/>
  <c r="L49" i="13" s="1"/>
  <c r="I38" i="13"/>
  <c r="L38" i="13" s="1"/>
  <c r="Z308" i="13"/>
  <c r="AE321" i="13"/>
  <c r="G220" i="13" l="1"/>
  <c r="J220" i="13" s="1"/>
  <c r="G219" i="13"/>
  <c r="J219" i="13" s="1"/>
  <c r="L211" i="13"/>
  <c r="G267" i="14" s="1"/>
  <c r="G266" i="14" s="1"/>
  <c r="G137" i="13"/>
  <c r="J137" i="13" s="1"/>
  <c r="G257" i="13"/>
  <c r="J257" i="13" s="1"/>
  <c r="G256" i="13"/>
  <c r="J256" i="13" s="1"/>
  <c r="G244" i="13"/>
  <c r="J244" i="13" s="1"/>
  <c r="G196" i="13"/>
  <c r="J196" i="13" s="1"/>
  <c r="G208" i="13"/>
  <c r="J208" i="13" s="1"/>
  <c r="G232" i="13"/>
  <c r="J232" i="13" s="1"/>
  <c r="G243" i="13"/>
  <c r="J243" i="13" s="1"/>
  <c r="J235" i="13" s="1"/>
  <c r="G291" i="14" s="1"/>
  <c r="G290" i="14" s="1"/>
  <c r="G195" i="13"/>
  <c r="J195" i="13" s="1"/>
  <c r="G207" i="13"/>
  <c r="J207" i="13" s="1"/>
  <c r="G231" i="13"/>
  <c r="J231" i="13" s="1"/>
  <c r="G60" i="13"/>
  <c r="J60" i="13" s="1"/>
  <c r="J52" i="13" s="1"/>
  <c r="G67" i="14" s="1"/>
  <c r="G66" i="14" s="1"/>
  <c r="G82" i="13"/>
  <c r="J82" i="13" s="1"/>
  <c r="J74" i="13" s="1"/>
  <c r="G95" i="14" s="1"/>
  <c r="G94" i="14" s="1"/>
  <c r="G172" i="13"/>
  <c r="J172" i="13" s="1"/>
  <c r="J163" i="13" s="1"/>
  <c r="G207" i="14" s="1"/>
  <c r="G206" i="14" s="1"/>
  <c r="G184" i="13"/>
  <c r="J184" i="13" s="1"/>
  <c r="J175" i="13" s="1"/>
  <c r="G221" i="14" s="1"/>
  <c r="G220" i="14" s="1"/>
  <c r="G268" i="13"/>
  <c r="J268" i="13" s="1"/>
  <c r="L247" i="13"/>
  <c r="G309" i="14" s="1"/>
  <c r="G308" i="14" s="1"/>
  <c r="L163" i="13"/>
  <c r="G211" i="14" s="1"/>
  <c r="G210" i="14" s="1"/>
  <c r="L223" i="13"/>
  <c r="G281" i="14" s="1"/>
  <c r="G280" i="14" s="1"/>
  <c r="L52" i="13"/>
  <c r="G71" i="14" s="1"/>
  <c r="G70" i="14" s="1"/>
  <c r="I19" i="13"/>
  <c r="L74" i="13"/>
  <c r="G99" i="14" s="1"/>
  <c r="G98" i="14" s="1"/>
  <c r="L175" i="13"/>
  <c r="G225" i="14" s="1"/>
  <c r="G224" i="14" s="1"/>
  <c r="L199" i="13"/>
  <c r="G253" i="14" s="1"/>
  <c r="G252" i="14" s="1"/>
  <c r="L187" i="13"/>
  <c r="G239" i="14" s="1"/>
  <c r="G238" i="14" s="1"/>
  <c r="L235" i="13"/>
  <c r="G295" i="14" s="1"/>
  <c r="G294" i="14" s="1"/>
  <c r="L30" i="13"/>
  <c r="G43" i="14" s="1"/>
  <c r="G42" i="14" s="1"/>
  <c r="L63" i="13"/>
  <c r="G85" i="14" s="1"/>
  <c r="G84" i="14" s="1"/>
  <c r="L107" i="13"/>
  <c r="G141" i="14" s="1"/>
  <c r="G140" i="14" s="1"/>
  <c r="L152" i="13"/>
  <c r="G197" i="14" s="1"/>
  <c r="G196" i="14" s="1"/>
  <c r="L96" i="13"/>
  <c r="G127" i="14" s="1"/>
  <c r="G126" i="14" s="1"/>
  <c r="L41" i="13"/>
  <c r="G57" i="14" s="1"/>
  <c r="G56" i="14" s="1"/>
  <c r="L85" i="13"/>
  <c r="G113" i="14" s="1"/>
  <c r="G112" i="14" s="1"/>
  <c r="L118" i="13"/>
  <c r="G155" i="14" s="1"/>
  <c r="G154" i="14" s="1"/>
  <c r="L141" i="13"/>
  <c r="G183" i="14" s="1"/>
  <c r="G182" i="14" s="1"/>
  <c r="L260" i="13"/>
  <c r="G323" i="14" s="1"/>
  <c r="G322" i="14" s="1"/>
  <c r="L129" i="13"/>
  <c r="G169" i="14" s="1"/>
  <c r="G168" i="14" s="1"/>
  <c r="G269" i="13"/>
  <c r="J269" i="13" s="1"/>
  <c r="G160" i="13"/>
  <c r="J160" i="13" s="1"/>
  <c r="G149" i="13"/>
  <c r="J149" i="13" s="1"/>
  <c r="G138" i="13"/>
  <c r="J138" i="13" s="1"/>
  <c r="G126" i="13"/>
  <c r="J126" i="13" s="1"/>
  <c r="G115" i="13"/>
  <c r="J115" i="13" s="1"/>
  <c r="G104" i="13"/>
  <c r="J104" i="13" s="1"/>
  <c r="G93" i="13"/>
  <c r="J93" i="13" s="1"/>
  <c r="G71" i="13"/>
  <c r="J71" i="13" s="1"/>
  <c r="G49" i="13"/>
  <c r="J49" i="13" s="1"/>
  <c r="G38" i="13"/>
  <c r="J38" i="13" s="1"/>
  <c r="A29" i="10"/>
  <c r="A27" i="10"/>
  <c r="A15" i="10"/>
  <c r="A13" i="10"/>
  <c r="H29" i="10"/>
  <c r="H27" i="10"/>
  <c r="H25" i="10"/>
  <c r="C22" i="10"/>
  <c r="C8" i="10"/>
  <c r="H15" i="10"/>
  <c r="H13" i="10"/>
  <c r="H11" i="10"/>
  <c r="D99" i="11"/>
  <c r="D98" i="11"/>
  <c r="D96" i="11"/>
  <c r="D95" i="11"/>
  <c r="D93" i="11"/>
  <c r="D92" i="11"/>
  <c r="J187" i="13" l="1"/>
  <c r="G235" i="14" s="1"/>
  <c r="G234" i="14" s="1"/>
  <c r="J223" i="13"/>
  <c r="G277" i="14" s="1"/>
  <c r="G276" i="14" s="1"/>
  <c r="J199" i="13"/>
  <c r="G249" i="14" s="1"/>
  <c r="G248" i="14" s="1"/>
  <c r="J211" i="13"/>
  <c r="G263" i="14" s="1"/>
  <c r="G262" i="14" s="1"/>
  <c r="J247" i="13"/>
  <c r="G305" i="14" s="1"/>
  <c r="G304" i="14" s="1"/>
  <c r="J63" i="13"/>
  <c r="G81" i="14" s="1"/>
  <c r="G80" i="14" s="1"/>
  <c r="J260" i="13"/>
  <c r="J85" i="13"/>
  <c r="G109" i="14" s="1"/>
  <c r="G108" i="14" s="1"/>
  <c r="J129" i="13"/>
  <c r="G165" i="14" s="1"/>
  <c r="G164" i="14" s="1"/>
  <c r="J118" i="13"/>
  <c r="G151" i="14" s="1"/>
  <c r="G150" i="14" s="1"/>
  <c r="J30" i="13"/>
  <c r="G39" i="14" s="1"/>
  <c r="G38" i="14" s="1"/>
  <c r="J96" i="13"/>
  <c r="G123" i="14" s="1"/>
  <c r="G122" i="14" s="1"/>
  <c r="J141" i="13"/>
  <c r="G179" i="14" s="1"/>
  <c r="G178" i="14" s="1"/>
  <c r="J41" i="13"/>
  <c r="G53" i="14" s="1"/>
  <c r="G52" i="14" s="1"/>
  <c r="J107" i="13"/>
  <c r="G137" i="14" s="1"/>
  <c r="G136" i="14" s="1"/>
  <c r="J152" i="13"/>
  <c r="G193" i="14" s="1"/>
  <c r="G192" i="14" s="1"/>
  <c r="B103" i="11"/>
  <c r="F103" i="11" s="1"/>
  <c r="B105" i="11"/>
  <c r="F105" i="11" s="1"/>
  <c r="B107" i="11"/>
  <c r="B108" i="11"/>
  <c r="F108" i="11" s="1"/>
  <c r="B109" i="11"/>
  <c r="F109" i="11" s="1"/>
  <c r="B110" i="11"/>
  <c r="F110" i="11" s="1"/>
  <c r="H110" i="11" s="1"/>
  <c r="B111" i="11"/>
  <c r="B112" i="11"/>
  <c r="F112" i="11" s="1"/>
  <c r="B113" i="11"/>
  <c r="F113" i="11" s="1"/>
  <c r="B102" i="11"/>
  <c r="B136" i="11"/>
  <c r="B135" i="11"/>
  <c r="B134" i="11"/>
  <c r="B133" i="11"/>
  <c r="B132" i="11"/>
  <c r="B131" i="11"/>
  <c r="B130" i="11"/>
  <c r="B128" i="11"/>
  <c r="B126" i="11"/>
  <c r="B125" i="11"/>
  <c r="B22" i="11"/>
  <c r="F22" i="11" s="1"/>
  <c r="B24" i="11"/>
  <c r="B25" i="11"/>
  <c r="B27" i="11"/>
  <c r="F27" i="11" s="1"/>
  <c r="B28" i="11"/>
  <c r="B29" i="11"/>
  <c r="B30" i="11"/>
  <c r="B31" i="11"/>
  <c r="B32" i="11"/>
  <c r="F32" i="11" s="1"/>
  <c r="B21" i="11"/>
  <c r="B45" i="11"/>
  <c r="B47" i="11"/>
  <c r="B49" i="11"/>
  <c r="B50" i="11"/>
  <c r="B51" i="11"/>
  <c r="B52" i="11"/>
  <c r="B53" i="11"/>
  <c r="B54" i="11"/>
  <c r="B55" i="11"/>
  <c r="B44" i="11"/>
  <c r="E973" i="8"/>
  <c r="E550" i="8"/>
  <c r="H44" i="10"/>
  <c r="H42" i="10"/>
  <c r="H40" i="10"/>
  <c r="H58" i="10"/>
  <c r="F58" i="10" s="1"/>
  <c r="H56" i="10"/>
  <c r="F56" i="10" s="1"/>
  <c r="H54" i="10"/>
  <c r="F54" i="10" s="1"/>
  <c r="H72" i="10"/>
  <c r="F72" i="10" s="1"/>
  <c r="H70" i="10"/>
  <c r="F70" i="10" s="1"/>
  <c r="H68" i="10"/>
  <c r="F68" i="10" s="1"/>
  <c r="H100" i="10"/>
  <c r="H98" i="10"/>
  <c r="H96" i="10"/>
  <c r="H128" i="10"/>
  <c r="F128" i="10" s="1"/>
  <c r="H126" i="10"/>
  <c r="F126" i="10" s="1"/>
  <c r="H124" i="10"/>
  <c r="F124" i="10" s="1"/>
  <c r="H142" i="10"/>
  <c r="H140" i="10"/>
  <c r="H138" i="10"/>
  <c r="F138" i="10" s="1"/>
  <c r="H156" i="10"/>
  <c r="H154" i="10"/>
  <c r="H152" i="10"/>
  <c r="F152" i="10" s="1"/>
  <c r="H198" i="10"/>
  <c r="H196" i="10"/>
  <c r="H194" i="10"/>
  <c r="F194" i="10" s="1"/>
  <c r="H184" i="10"/>
  <c r="H182" i="10"/>
  <c r="H180" i="10"/>
  <c r="F180" i="10" s="1"/>
  <c r="H170" i="10"/>
  <c r="H168" i="10"/>
  <c r="H166" i="10"/>
  <c r="I202" i="9"/>
  <c r="G202" i="9" s="1"/>
  <c r="I199" i="9"/>
  <c r="G199" i="9" s="1"/>
  <c r="I196" i="9"/>
  <c r="G196" i="9" s="1"/>
  <c r="G195" i="9" s="1"/>
  <c r="I185" i="9"/>
  <c r="I182" i="9"/>
  <c r="I179" i="9"/>
  <c r="G179" i="9" s="1"/>
  <c r="G178" i="9" s="1"/>
  <c r="I151" i="9"/>
  <c r="I148" i="9"/>
  <c r="I145" i="9"/>
  <c r="G145" i="9" s="1"/>
  <c r="G144" i="9" s="1"/>
  <c r="I134" i="9"/>
  <c r="I131" i="9"/>
  <c r="I128" i="9"/>
  <c r="G128" i="9" s="1"/>
  <c r="G127" i="9" s="1"/>
  <c r="I117" i="9"/>
  <c r="G117" i="9" s="1"/>
  <c r="I114" i="9"/>
  <c r="G114" i="9" s="1"/>
  <c r="I111" i="9"/>
  <c r="G111" i="9" s="1"/>
  <c r="G110" i="9" s="1"/>
  <c r="I83" i="9"/>
  <c r="I80" i="9"/>
  <c r="I77" i="9"/>
  <c r="I49" i="9"/>
  <c r="G49" i="9" s="1"/>
  <c r="I46" i="9"/>
  <c r="G46" i="9" s="1"/>
  <c r="I43" i="9"/>
  <c r="G43" i="9" s="1"/>
  <c r="G42" i="9" s="1"/>
  <c r="I32" i="9"/>
  <c r="G32" i="9" s="1"/>
  <c r="I29" i="9"/>
  <c r="G29" i="9" s="1"/>
  <c r="I26" i="9"/>
  <c r="G26" i="9" s="1"/>
  <c r="G25" i="9" s="1"/>
  <c r="I15" i="9"/>
  <c r="I12" i="9"/>
  <c r="I9" i="9"/>
  <c r="I162" i="9"/>
  <c r="I168" i="9"/>
  <c r="I165" i="9"/>
  <c r="G539" i="1"/>
  <c r="I1006" i="8"/>
  <c r="I1007" i="8"/>
  <c r="I1008" i="8"/>
  <c r="I1010" i="8"/>
  <c r="I1011" i="8"/>
  <c r="I1012" i="8"/>
  <c r="I1013" i="8"/>
  <c r="I1020" i="8"/>
  <c r="I1021" i="8"/>
  <c r="I1022" i="8"/>
  <c r="I1023" i="8"/>
  <c r="I1027" i="8"/>
  <c r="I1028" i="8"/>
  <c r="I1030" i="8"/>
  <c r="I1031" i="8"/>
  <c r="I1032" i="8"/>
  <c r="I1033" i="8"/>
  <c r="I1034" i="8"/>
  <c r="I1035" i="8"/>
  <c r="I1036" i="8"/>
  <c r="I1037" i="8"/>
  <c r="I1038" i="8"/>
  <c r="I1039" i="8"/>
  <c r="M1039" i="8" s="1"/>
  <c r="N1039" i="8"/>
  <c r="I1040" i="8"/>
  <c r="I1041" i="8"/>
  <c r="I1042" i="8"/>
  <c r="I1043" i="8"/>
  <c r="I1044" i="8"/>
  <c r="I1045" i="8"/>
  <c r="I1046" i="8"/>
  <c r="I1050" i="8"/>
  <c r="I1051" i="8"/>
  <c r="I1052" i="8"/>
  <c r="I1053" i="8"/>
  <c r="I1054" i="8"/>
  <c r="I1055" i="8"/>
  <c r="I1056" i="8"/>
  <c r="I1057" i="8"/>
  <c r="I1058" i="8"/>
  <c r="I1059" i="8"/>
  <c r="I1061" i="8"/>
  <c r="I1062" i="8"/>
  <c r="I1063" i="8"/>
  <c r="I1064" i="8"/>
  <c r="I1065" i="8"/>
  <c r="I1066" i="8"/>
  <c r="I1067" i="8"/>
  <c r="I1049" i="8"/>
  <c r="I1026" i="8"/>
  <c r="I1019" i="8"/>
  <c r="I1016" i="8"/>
  <c r="I1005" i="8"/>
  <c r="I999" i="8"/>
  <c r="I991" i="8"/>
  <c r="I992" i="8"/>
  <c r="I990" i="8"/>
  <c r="I986" i="8"/>
  <c r="I987" i="8"/>
  <c r="I984" i="8"/>
  <c r="I976" i="8"/>
  <c r="I977" i="8"/>
  <c r="I978" i="8"/>
  <c r="L978" i="8"/>
  <c r="I980" i="8"/>
  <c r="I981" i="8"/>
  <c r="I975" i="8"/>
  <c r="I621" i="8"/>
  <c r="I622" i="8"/>
  <c r="I623" i="8"/>
  <c r="I624" i="8"/>
  <c r="I625" i="8"/>
  <c r="I626" i="8"/>
  <c r="I627" i="8"/>
  <c r="I628" i="8"/>
  <c r="I629" i="8"/>
  <c r="I630" i="8"/>
  <c r="I632" i="8"/>
  <c r="I633" i="8"/>
  <c r="I634" i="8"/>
  <c r="I635" i="8"/>
  <c r="I636" i="8"/>
  <c r="I637" i="8"/>
  <c r="I638" i="8"/>
  <c r="I620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592" i="8"/>
  <c r="I593" i="8"/>
  <c r="I594" i="8"/>
  <c r="I595" i="8"/>
  <c r="I598" i="8"/>
  <c r="I591" i="8"/>
  <c r="I588" i="8"/>
  <c r="I578" i="8"/>
  <c r="I579" i="8"/>
  <c r="I580" i="8"/>
  <c r="I582" i="8"/>
  <c r="I583" i="8"/>
  <c r="I584" i="8"/>
  <c r="I585" i="8"/>
  <c r="I577" i="8"/>
  <c r="I569" i="8"/>
  <c r="I570" i="8"/>
  <c r="I568" i="8"/>
  <c r="I563" i="8"/>
  <c r="I564" i="8"/>
  <c r="I561" i="8"/>
  <c r="I553" i="8"/>
  <c r="I554" i="8"/>
  <c r="I555" i="8"/>
  <c r="I557" i="8"/>
  <c r="I558" i="8"/>
  <c r="I552" i="8"/>
  <c r="H1064" i="8"/>
  <c r="H1062" i="8"/>
  <c r="H1061" i="8"/>
  <c r="H1057" i="8"/>
  <c r="H1058" i="8"/>
  <c r="H1056" i="8"/>
  <c r="H1055" i="8"/>
  <c r="H1052" i="8"/>
  <c r="C1052" i="8" s="1"/>
  <c r="C1051" i="8"/>
  <c r="H1068" i="8"/>
  <c r="M1068" i="8" s="1"/>
  <c r="H1024" i="8"/>
  <c r="H1017" i="8"/>
  <c r="C1017" i="8" s="1"/>
  <c r="H1014" i="8"/>
  <c r="C1014" i="8" s="1"/>
  <c r="C1003" i="8"/>
  <c r="H997" i="8"/>
  <c r="H988" i="8"/>
  <c r="H983" i="8"/>
  <c r="C983" i="8" s="1"/>
  <c r="H981" i="8"/>
  <c r="H980" i="8"/>
  <c r="H978" i="8"/>
  <c r="H977" i="8"/>
  <c r="H976" i="8"/>
  <c r="H975" i="8"/>
  <c r="F1063" i="8"/>
  <c r="F1062" i="8"/>
  <c r="G1063" i="8"/>
  <c r="E1063" i="8"/>
  <c r="G1062" i="8"/>
  <c r="E1062" i="8"/>
  <c r="G1045" i="8"/>
  <c r="F1045" i="8"/>
  <c r="E1045" i="8"/>
  <c r="F1044" i="8"/>
  <c r="F975" i="8"/>
  <c r="C635" i="8"/>
  <c r="H633" i="8"/>
  <c r="H632" i="8"/>
  <c r="H628" i="8"/>
  <c r="H629" i="8"/>
  <c r="H627" i="8"/>
  <c r="H626" i="8"/>
  <c r="H623" i="8"/>
  <c r="C622" i="8"/>
  <c r="F617" i="8"/>
  <c r="G616" i="8"/>
  <c r="F616" i="8"/>
  <c r="E616" i="8"/>
  <c r="F634" i="8"/>
  <c r="F633" i="8"/>
  <c r="G634" i="8"/>
  <c r="E634" i="8"/>
  <c r="G633" i="8"/>
  <c r="E633" i="8"/>
  <c r="F558" i="8"/>
  <c r="F557" i="8"/>
  <c r="F555" i="8"/>
  <c r="H724" i="8"/>
  <c r="H684" i="8"/>
  <c r="H677" i="8"/>
  <c r="H674" i="8"/>
  <c r="H664" i="8"/>
  <c r="C664" i="8" s="1"/>
  <c r="H655" i="8"/>
  <c r="H649" i="8"/>
  <c r="H654" i="8" s="1"/>
  <c r="H642" i="8"/>
  <c r="H1027" i="8" l="1"/>
  <c r="H1026" i="8"/>
  <c r="H1029" i="8"/>
  <c r="H1028" i="8"/>
  <c r="C997" i="8"/>
  <c r="H1000" i="8"/>
  <c r="N1000" i="8" s="1"/>
  <c r="H1034" i="8"/>
  <c r="H1044" i="8" s="1"/>
  <c r="C93" i="10"/>
  <c r="D74" i="9"/>
  <c r="C163" i="10"/>
  <c r="D159" i="9"/>
  <c r="G319" i="14"/>
  <c r="G318" i="14" s="1"/>
  <c r="H1042" i="8"/>
  <c r="L2529" i="8"/>
  <c r="P2529" i="8" s="1"/>
  <c r="L1451" i="8"/>
  <c r="P1451" i="8" s="1"/>
  <c r="C654" i="8"/>
  <c r="T654" i="8"/>
  <c r="L1253" i="8"/>
  <c r="P1253" i="8" s="1"/>
  <c r="L2329" i="8"/>
  <c r="P2329" i="8" s="1"/>
  <c r="H992" i="8"/>
  <c r="H990" i="8"/>
  <c r="C990" i="8" s="1"/>
  <c r="H994" i="8"/>
  <c r="N994" i="8" s="1"/>
  <c r="H993" i="8"/>
  <c r="C993" i="8" s="1"/>
  <c r="C1024" i="8"/>
  <c r="H29" i="9"/>
  <c r="H114" i="9"/>
  <c r="H199" i="9"/>
  <c r="H46" i="9"/>
  <c r="C988" i="8"/>
  <c r="H996" i="8"/>
  <c r="F179" i="10"/>
  <c r="F123" i="10"/>
  <c r="F71" i="10"/>
  <c r="F137" i="10"/>
  <c r="F125" i="10"/>
  <c r="F53" i="10"/>
  <c r="F151" i="10"/>
  <c r="F127" i="10"/>
  <c r="F67" i="10"/>
  <c r="F55" i="10"/>
  <c r="F59" i="10" s="1"/>
  <c r="F193" i="10"/>
  <c r="F69" i="10"/>
  <c r="F57" i="10"/>
  <c r="T978" i="8"/>
  <c r="C978" i="8"/>
  <c r="T649" i="8"/>
  <c r="C649" i="8"/>
  <c r="T677" i="8"/>
  <c r="C677" i="8"/>
  <c r="T642" i="8"/>
  <c r="T641" i="8" s="1"/>
  <c r="D128" i="23" s="1"/>
  <c r="C642" i="8"/>
  <c r="T674" i="8"/>
  <c r="C674" i="8"/>
  <c r="T655" i="8"/>
  <c r="C655" i="8"/>
  <c r="T684" i="8"/>
  <c r="C684" i="8"/>
  <c r="T975" i="8"/>
  <c r="C975" i="8"/>
  <c r="T980" i="8"/>
  <c r="C980" i="8"/>
  <c r="T724" i="8"/>
  <c r="C724" i="8"/>
  <c r="T976" i="8"/>
  <c r="C976" i="8"/>
  <c r="T981" i="8"/>
  <c r="C981" i="8"/>
  <c r="T1068" i="8"/>
  <c r="C1068" i="8"/>
  <c r="T977" i="8"/>
  <c r="C977" i="8"/>
  <c r="T621" i="8"/>
  <c r="C621" i="8"/>
  <c r="T627" i="8"/>
  <c r="C627" i="8"/>
  <c r="T632" i="8"/>
  <c r="C632" i="8"/>
  <c r="C1058" i="8"/>
  <c r="T1058" i="8"/>
  <c r="T1062" i="8"/>
  <c r="C1062" i="8"/>
  <c r="C629" i="8"/>
  <c r="T629" i="8"/>
  <c r="T633" i="8"/>
  <c r="C633" i="8"/>
  <c r="C1057" i="8"/>
  <c r="T1057" i="8"/>
  <c r="T1064" i="8"/>
  <c r="C1064" i="8"/>
  <c r="T620" i="8"/>
  <c r="C620" i="8"/>
  <c r="T626" i="8"/>
  <c r="C626" i="8"/>
  <c r="T630" i="8"/>
  <c r="C630" i="8"/>
  <c r="T636" i="8"/>
  <c r="C636" i="8"/>
  <c r="T1050" i="8"/>
  <c r="C1050" i="8"/>
  <c r="T1056" i="8"/>
  <c r="C1056" i="8"/>
  <c r="T1061" i="8"/>
  <c r="C1061" i="8"/>
  <c r="T623" i="8"/>
  <c r="C623" i="8"/>
  <c r="C628" i="8"/>
  <c r="T628" i="8"/>
  <c r="T1049" i="8"/>
  <c r="C1049" i="8"/>
  <c r="T1055" i="8"/>
  <c r="C1055" i="8"/>
  <c r="T1059" i="8"/>
  <c r="C1059" i="8"/>
  <c r="T1065" i="8"/>
  <c r="C1065" i="8"/>
  <c r="T997" i="8"/>
  <c r="H1030" i="8"/>
  <c r="C1030" i="8" s="1"/>
  <c r="T1024" i="8"/>
  <c r="H1053" i="8"/>
  <c r="N1053" i="8" s="1"/>
  <c r="T1051" i="8"/>
  <c r="H672" i="8"/>
  <c r="C672" i="8" s="1"/>
  <c r="T664" i="8"/>
  <c r="H624" i="8"/>
  <c r="M624" i="8" s="1"/>
  <c r="T622" i="8"/>
  <c r="C1012" i="8"/>
  <c r="T1003" i="8"/>
  <c r="H1054" i="8"/>
  <c r="M1054" i="8" s="1"/>
  <c r="T1052" i="8"/>
  <c r="N635" i="8"/>
  <c r="T635" i="8"/>
  <c r="D101" i="23"/>
  <c r="D108" i="23"/>
  <c r="H987" i="8"/>
  <c r="M987" i="8" s="1"/>
  <c r="T983" i="8"/>
  <c r="H1016" i="8"/>
  <c r="N1016" i="8" s="1"/>
  <c r="T1014" i="8"/>
  <c r="T988" i="8"/>
  <c r="H1019" i="8"/>
  <c r="C1019" i="8" s="1"/>
  <c r="T1017" i="8"/>
  <c r="D157" i="23"/>
  <c r="D164" i="23"/>
  <c r="H638" i="8"/>
  <c r="M632" i="8"/>
  <c r="H666" i="8"/>
  <c r="H667" i="8"/>
  <c r="C667" i="8" s="1"/>
  <c r="H670" i="8"/>
  <c r="I110" i="11"/>
  <c r="J110" i="11" s="1"/>
  <c r="H109" i="11"/>
  <c r="I109" i="11" s="1"/>
  <c r="J109" i="11" s="1"/>
  <c r="H112" i="11"/>
  <c r="I112" i="11" s="1"/>
  <c r="J112" i="11" s="1"/>
  <c r="H108" i="11"/>
  <c r="I108" i="11" s="1"/>
  <c r="J108" i="11" s="1"/>
  <c r="H1010" i="8"/>
  <c r="C1010" i="8" s="1"/>
  <c r="H1020" i="8"/>
  <c r="C1020" i="8" s="1"/>
  <c r="H999" i="8"/>
  <c r="C999" i="8" s="1"/>
  <c r="H1038" i="8"/>
  <c r="C1038" i="8" s="1"/>
  <c r="H1002" i="8"/>
  <c r="C1002" i="8" s="1"/>
  <c r="H1041" i="8"/>
  <c r="C1041" i="8" s="1"/>
  <c r="C1006" i="8"/>
  <c r="C1008" i="8"/>
  <c r="M1050" i="8"/>
  <c r="N629" i="8"/>
  <c r="M629" i="8"/>
  <c r="M633" i="8"/>
  <c r="N633" i="8"/>
  <c r="H634" i="8"/>
  <c r="M1064" i="8"/>
  <c r="N1064" i="8"/>
  <c r="M977" i="8"/>
  <c r="N977" i="8"/>
  <c r="H986" i="8"/>
  <c r="H984" i="8"/>
  <c r="H1040" i="8"/>
  <c r="H1035" i="8"/>
  <c r="H1031" i="8"/>
  <c r="H1036" i="8"/>
  <c r="M1051" i="8"/>
  <c r="N1051" i="8"/>
  <c r="M1055" i="8"/>
  <c r="H1066" i="8"/>
  <c r="N1055" i="8"/>
  <c r="M1059" i="8"/>
  <c r="N1059" i="8"/>
  <c r="N620" i="8"/>
  <c r="M620" i="8"/>
  <c r="M635" i="8"/>
  <c r="M626" i="8"/>
  <c r="N626" i="8"/>
  <c r="H637" i="8"/>
  <c r="M630" i="8"/>
  <c r="N630" i="8"/>
  <c r="H669" i="8"/>
  <c r="M622" i="8"/>
  <c r="N622" i="8"/>
  <c r="H985" i="8"/>
  <c r="H1037" i="8"/>
  <c r="M975" i="8"/>
  <c r="N975" i="8"/>
  <c r="M980" i="8"/>
  <c r="N980" i="8"/>
  <c r="N1049" i="8"/>
  <c r="M1049" i="8"/>
  <c r="N1058" i="8"/>
  <c r="M1058" i="8"/>
  <c r="M1062" i="8"/>
  <c r="N1062" i="8"/>
  <c r="H1063" i="8"/>
  <c r="H1067" i="8"/>
  <c r="N621" i="8"/>
  <c r="H625" i="8"/>
  <c r="M628" i="8"/>
  <c r="N628" i="8"/>
  <c r="N978" i="8"/>
  <c r="P978" i="8"/>
  <c r="M1052" i="8"/>
  <c r="N1052" i="8"/>
  <c r="M1056" i="8"/>
  <c r="N1056" i="8"/>
  <c r="M1061" i="8"/>
  <c r="N1061" i="8"/>
  <c r="M1065" i="8"/>
  <c r="N1065" i="8"/>
  <c r="N636" i="8"/>
  <c r="M621" i="8"/>
  <c r="M978" i="8"/>
  <c r="M636" i="8"/>
  <c r="M623" i="8"/>
  <c r="N623" i="8"/>
  <c r="M627" i="8"/>
  <c r="N627" i="8"/>
  <c r="N632" i="8"/>
  <c r="M976" i="8"/>
  <c r="N976" i="8"/>
  <c r="M981" i="8"/>
  <c r="N981" i="8"/>
  <c r="N1050" i="8"/>
  <c r="M1057" i="8"/>
  <c r="N1057" i="8"/>
  <c r="H555" i="8"/>
  <c r="H554" i="8"/>
  <c r="H553" i="8"/>
  <c r="H639" i="8"/>
  <c r="M639" i="8" s="1"/>
  <c r="H596" i="8"/>
  <c r="H589" i="8"/>
  <c r="H586" i="8"/>
  <c r="C586" i="8" s="1"/>
  <c r="H575" i="8"/>
  <c r="H566" i="8"/>
  <c r="H560" i="8"/>
  <c r="H552" i="8"/>
  <c r="H280" i="8"/>
  <c r="H240" i="8"/>
  <c r="H233" i="8"/>
  <c r="H230" i="8"/>
  <c r="H220" i="8"/>
  <c r="C220" i="8" s="1"/>
  <c r="H212" i="8"/>
  <c r="H206" i="8"/>
  <c r="H211" i="8" s="1"/>
  <c r="H199" i="8"/>
  <c r="H196" i="8"/>
  <c r="H156" i="8"/>
  <c r="H149" i="8"/>
  <c r="H146" i="8"/>
  <c r="H136" i="8"/>
  <c r="C136" i="8" s="1"/>
  <c r="H128" i="8"/>
  <c r="H123" i="8"/>
  <c r="H116" i="8"/>
  <c r="H113" i="8"/>
  <c r="H73" i="8"/>
  <c r="H66" i="8"/>
  <c r="H63" i="8"/>
  <c r="C63" i="8" s="1"/>
  <c r="H53" i="8"/>
  <c r="H45" i="8"/>
  <c r="C45" i="8" s="1"/>
  <c r="C46" i="8" s="1"/>
  <c r="H39" i="8"/>
  <c r="C39" i="8" s="1"/>
  <c r="C40" i="8" s="1"/>
  <c r="H32" i="8"/>
  <c r="C32" i="8" s="1"/>
  <c r="F8" i="1"/>
  <c r="K406" i="5" s="1"/>
  <c r="Q406" i="5" s="1"/>
  <c r="G8" i="1"/>
  <c r="M406" i="5" s="1"/>
  <c r="S406" i="5" s="1"/>
  <c r="F9" i="1"/>
  <c r="K407" i="5" s="1"/>
  <c r="Q407" i="5" s="1"/>
  <c r="G9" i="1"/>
  <c r="M407" i="5" s="1"/>
  <c r="S407" i="5" s="1"/>
  <c r="F10" i="1"/>
  <c r="K1599" i="8" s="1"/>
  <c r="O1599" i="8" s="1"/>
  <c r="G10" i="1"/>
  <c r="L1599" i="8" s="1"/>
  <c r="P1599" i="8" s="1"/>
  <c r="F11" i="1"/>
  <c r="K1600" i="8" s="1"/>
  <c r="O1600" i="8" s="1"/>
  <c r="G11" i="1"/>
  <c r="L1600" i="8" s="1"/>
  <c r="P1600" i="8" s="1"/>
  <c r="F12" i="1"/>
  <c r="K2401" i="8" s="1"/>
  <c r="O2401" i="8" s="1"/>
  <c r="G12" i="1"/>
  <c r="L2401" i="8" s="1"/>
  <c r="P2401" i="8" s="1"/>
  <c r="F13" i="1"/>
  <c r="G13" i="1"/>
  <c r="F14" i="1"/>
  <c r="G14" i="1"/>
  <c r="F16" i="1"/>
  <c r="K1610" i="8" s="1"/>
  <c r="O1610" i="8" s="1"/>
  <c r="G16" i="1"/>
  <c r="L1610" i="8" s="1"/>
  <c r="P1610" i="8" s="1"/>
  <c r="F17" i="1"/>
  <c r="G17" i="1"/>
  <c r="F19" i="1"/>
  <c r="G19" i="1"/>
  <c r="F20" i="1"/>
  <c r="K1603" i="8" s="1"/>
  <c r="O1603" i="8" s="1"/>
  <c r="G20" i="1"/>
  <c r="L1603" i="8" s="1"/>
  <c r="P1603" i="8" s="1"/>
  <c r="F21" i="1"/>
  <c r="G21" i="1"/>
  <c r="F22" i="1"/>
  <c r="G22" i="1"/>
  <c r="F23" i="1"/>
  <c r="G23" i="1"/>
  <c r="F24" i="1"/>
  <c r="K1001" i="8" s="1"/>
  <c r="O1001" i="8" s="1"/>
  <c r="G24" i="1"/>
  <c r="L1001" i="8" s="1"/>
  <c r="P1001" i="8" s="1"/>
  <c r="F25" i="1"/>
  <c r="G25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K71" i="5" s="1"/>
  <c r="Q71" i="5" s="1"/>
  <c r="G38" i="1"/>
  <c r="M71" i="5" s="1"/>
  <c r="S71" i="5" s="1"/>
  <c r="F39" i="1"/>
  <c r="G39" i="1"/>
  <c r="F40" i="1"/>
  <c r="G40" i="1"/>
  <c r="F41" i="1"/>
  <c r="K73" i="5" s="1"/>
  <c r="Q73" i="5" s="1"/>
  <c r="G41" i="1"/>
  <c r="M73" i="5" s="1"/>
  <c r="S73" i="5" s="1"/>
  <c r="F42" i="1"/>
  <c r="G42" i="1"/>
  <c r="F43" i="1"/>
  <c r="K74" i="5" s="1"/>
  <c r="Q74" i="5" s="1"/>
  <c r="G43" i="1"/>
  <c r="M74" i="5" s="1"/>
  <c r="S74" i="5" s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5" i="1"/>
  <c r="G65" i="1"/>
  <c r="F66" i="1"/>
  <c r="G66" i="1"/>
  <c r="F67" i="1"/>
  <c r="G67" i="1"/>
  <c r="F68" i="1"/>
  <c r="G68" i="1"/>
  <c r="F69" i="1"/>
  <c r="G69" i="1"/>
  <c r="F70" i="1"/>
  <c r="G70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K1595" i="8" s="1"/>
  <c r="O1595" i="8" s="1"/>
  <c r="G81" i="1"/>
  <c r="L1595" i="8" s="1"/>
  <c r="P1595" i="8" s="1"/>
  <c r="F82" i="1"/>
  <c r="K1596" i="8" s="1"/>
  <c r="O1596" i="8" s="1"/>
  <c r="G82" i="1"/>
  <c r="L1596" i="8" s="1"/>
  <c r="P1596" i="8" s="1"/>
  <c r="F83" i="1"/>
  <c r="K847" i="5" s="1"/>
  <c r="G83" i="1"/>
  <c r="M847" i="5" s="1"/>
  <c r="F84" i="1"/>
  <c r="K1601" i="8" s="1"/>
  <c r="O1601" i="8" s="1"/>
  <c r="G84" i="1"/>
  <c r="L1601" i="8" s="1"/>
  <c r="P1601" i="8" s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K964" i="8" s="1"/>
  <c r="O964" i="8" s="1"/>
  <c r="G118" i="1"/>
  <c r="L964" i="8" s="1"/>
  <c r="P964" i="8" s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K881" i="5" s="1"/>
  <c r="G132" i="1"/>
  <c r="M881" i="5" s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L2192" i="8" s="1"/>
  <c r="P2192" i="8" s="1"/>
  <c r="F141" i="1"/>
  <c r="G141" i="1"/>
  <c r="F142" i="1"/>
  <c r="K2191" i="8" s="1"/>
  <c r="O2191" i="8" s="1"/>
  <c r="G142" i="1"/>
  <c r="L2191" i="8" s="1"/>
  <c r="P2191" i="8" s="1"/>
  <c r="F143" i="1"/>
  <c r="G143" i="1"/>
  <c r="F144" i="1"/>
  <c r="G144" i="1"/>
  <c r="F145" i="1"/>
  <c r="G145" i="1"/>
  <c r="F146" i="1"/>
  <c r="G146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K514" i="8" s="1"/>
  <c r="O514" i="8" s="1"/>
  <c r="G167" i="1"/>
  <c r="L514" i="8" s="1"/>
  <c r="P514" i="8" s="1"/>
  <c r="F168" i="1"/>
  <c r="G168" i="1"/>
  <c r="F169" i="1"/>
  <c r="G169" i="1"/>
  <c r="F170" i="1"/>
  <c r="G170" i="1"/>
  <c r="F171" i="1"/>
  <c r="G171" i="1"/>
  <c r="G172" i="1"/>
  <c r="G173" i="1"/>
  <c r="G174" i="1"/>
  <c r="G175" i="1"/>
  <c r="F176" i="1"/>
  <c r="G176" i="1"/>
  <c r="G177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G194" i="1"/>
  <c r="G195" i="1"/>
  <c r="L1629" i="8" s="1"/>
  <c r="P1629" i="8" s="1"/>
  <c r="F196" i="1"/>
  <c r="G196" i="1"/>
  <c r="L1630" i="8" s="1"/>
  <c r="P1630" i="8" s="1"/>
  <c r="G197" i="1"/>
  <c r="L1631" i="8" s="1"/>
  <c r="P1631" i="8" s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K798" i="5" s="1"/>
  <c r="Q798" i="5" s="1"/>
  <c r="G217" i="1"/>
  <c r="M798" i="5" s="1"/>
  <c r="S798" i="5" s="1"/>
  <c r="F219" i="1"/>
  <c r="G219" i="1"/>
  <c r="F220" i="1"/>
  <c r="G220" i="1"/>
  <c r="F221" i="1"/>
  <c r="G221" i="1"/>
  <c r="F222" i="1"/>
  <c r="G222" i="1"/>
  <c r="F231" i="1"/>
  <c r="K857" i="8" s="1"/>
  <c r="O857" i="8" s="1"/>
  <c r="G231" i="1"/>
  <c r="L857" i="8" s="1"/>
  <c r="P857" i="8" s="1"/>
  <c r="F232" i="1"/>
  <c r="G232" i="1"/>
  <c r="F233" i="1"/>
  <c r="G233" i="1"/>
  <c r="F234" i="1"/>
  <c r="G234" i="1"/>
  <c r="G235" i="1"/>
  <c r="F236" i="1"/>
  <c r="G236" i="1"/>
  <c r="F237" i="1"/>
  <c r="G237" i="1"/>
  <c r="G238" i="1"/>
  <c r="G239" i="1"/>
  <c r="G240" i="1"/>
  <c r="F241" i="1"/>
  <c r="G241" i="1"/>
  <c r="F242" i="1"/>
  <c r="G242" i="1"/>
  <c r="F243" i="1"/>
  <c r="K2609" i="8" s="1"/>
  <c r="O2609" i="8" s="1"/>
  <c r="G243" i="1"/>
  <c r="L2609" i="8" s="1"/>
  <c r="P2609" i="8" s="1"/>
  <c r="F244" i="1"/>
  <c r="G244" i="1"/>
  <c r="F249" i="1"/>
  <c r="G249" i="1"/>
  <c r="F250" i="1"/>
  <c r="G250" i="1"/>
  <c r="F251" i="1"/>
  <c r="G251" i="1"/>
  <c r="F252" i="1"/>
  <c r="G252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G261" i="1"/>
  <c r="G262" i="1"/>
  <c r="F263" i="1"/>
  <c r="G263" i="1"/>
  <c r="F264" i="1"/>
  <c r="G264" i="1"/>
  <c r="F265" i="1"/>
  <c r="G265" i="1"/>
  <c r="F266" i="1"/>
  <c r="G266" i="1"/>
  <c r="F267" i="1"/>
  <c r="G267" i="1"/>
  <c r="G272" i="1"/>
  <c r="G273" i="1"/>
  <c r="F274" i="1"/>
  <c r="G274" i="1"/>
  <c r="F275" i="1"/>
  <c r="G275" i="1"/>
  <c r="F276" i="1"/>
  <c r="G276" i="1"/>
  <c r="F277" i="1"/>
  <c r="G277" i="1"/>
  <c r="F278" i="1"/>
  <c r="K2542" i="8" s="1"/>
  <c r="O2542" i="8" s="1"/>
  <c r="G278" i="1"/>
  <c r="L2542" i="8" s="1"/>
  <c r="P2542" i="8" s="1"/>
  <c r="F279" i="1"/>
  <c r="G279" i="1"/>
  <c r="F280" i="1"/>
  <c r="G280" i="1"/>
  <c r="F281" i="1"/>
  <c r="G281" i="1"/>
  <c r="F282" i="1"/>
  <c r="J155" i="5" s="1"/>
  <c r="P155" i="5" s="1"/>
  <c r="G282" i="1"/>
  <c r="L155" i="5" s="1"/>
  <c r="R155" i="5" s="1"/>
  <c r="F283" i="1"/>
  <c r="G283" i="1"/>
  <c r="F284" i="1"/>
  <c r="J154" i="5" s="1"/>
  <c r="P154" i="5" s="1"/>
  <c r="G284" i="1"/>
  <c r="L154" i="5" s="1"/>
  <c r="R154" i="5" s="1"/>
  <c r="F285" i="1"/>
  <c r="K647" i="5" s="1"/>
  <c r="G285" i="1"/>
  <c r="M647" i="5" s="1"/>
  <c r="F291" i="1"/>
  <c r="G291" i="1"/>
  <c r="F292" i="1"/>
  <c r="G292" i="1"/>
  <c r="F293" i="1"/>
  <c r="G293" i="1"/>
  <c r="G294" i="1"/>
  <c r="G295" i="1"/>
  <c r="G296" i="1"/>
  <c r="F298" i="1"/>
  <c r="G298" i="1"/>
  <c r="F299" i="1"/>
  <c r="G299" i="1"/>
  <c r="G300" i="1"/>
  <c r="G303" i="1"/>
  <c r="G304" i="1"/>
  <c r="G305" i="1"/>
  <c r="L749" i="8" s="1"/>
  <c r="P749" i="8" s="1"/>
  <c r="G307" i="1"/>
  <c r="G308" i="1"/>
  <c r="G309" i="1"/>
  <c r="G310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G322" i="1"/>
  <c r="F323" i="1"/>
  <c r="G323" i="1"/>
  <c r="F324" i="1"/>
  <c r="G324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G336" i="1"/>
  <c r="M358" i="5" s="1"/>
  <c r="S358" i="5" s="1"/>
  <c r="G337" i="1"/>
  <c r="G338" i="1"/>
  <c r="M359" i="5" s="1"/>
  <c r="S359" i="5" s="1"/>
  <c r="G339" i="1"/>
  <c r="G340" i="1"/>
  <c r="G341" i="1"/>
  <c r="G342" i="1"/>
  <c r="G343" i="1"/>
  <c r="G344" i="1"/>
  <c r="M376" i="5" s="1"/>
  <c r="S376" i="5" s="1"/>
  <c r="G345" i="1"/>
  <c r="G346" i="1"/>
  <c r="G352" i="1"/>
  <c r="G355" i="1"/>
  <c r="M411" i="5" s="1"/>
  <c r="S411" i="5" s="1"/>
  <c r="G356" i="1"/>
  <c r="L1605" i="8" s="1"/>
  <c r="P1605" i="8" s="1"/>
  <c r="G357" i="1"/>
  <c r="G358" i="1"/>
  <c r="L2146" i="8" s="1"/>
  <c r="P2146" i="8" s="1"/>
  <c r="G359" i="1"/>
  <c r="G360" i="1"/>
  <c r="G361" i="1"/>
  <c r="G362" i="1"/>
  <c r="G363" i="1"/>
  <c r="G364" i="1"/>
  <c r="L2398" i="8" s="1"/>
  <c r="P2398" i="8" s="1"/>
  <c r="G365" i="1"/>
  <c r="G366" i="1"/>
  <c r="L2598" i="8" s="1"/>
  <c r="P2598" i="8" s="1"/>
  <c r="G367" i="1"/>
  <c r="G369" i="1"/>
  <c r="G370" i="1"/>
  <c r="G371" i="1"/>
  <c r="G372" i="1"/>
  <c r="F378" i="1"/>
  <c r="G378" i="1"/>
  <c r="F379" i="1"/>
  <c r="G379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G423" i="1"/>
  <c r="G424" i="1"/>
  <c r="G425" i="1"/>
  <c r="G426" i="1"/>
  <c r="G427" i="1"/>
  <c r="G428" i="1"/>
  <c r="L518" i="8" s="1"/>
  <c r="P518" i="8" s="1"/>
  <c r="G429" i="1"/>
  <c r="G430" i="1"/>
  <c r="G431" i="1"/>
  <c r="F432" i="1"/>
  <c r="G432" i="1"/>
  <c r="G436" i="1"/>
  <c r="M855" i="5" s="1"/>
  <c r="G437" i="1"/>
  <c r="G438" i="1"/>
  <c r="F439" i="1"/>
  <c r="G439" i="1"/>
  <c r="F440" i="1"/>
  <c r="G440" i="1"/>
  <c r="F441" i="1"/>
  <c r="G441" i="1"/>
  <c r="F442" i="1"/>
  <c r="G442" i="1"/>
  <c r="F443" i="1"/>
  <c r="G443" i="1"/>
  <c r="G447" i="1"/>
  <c r="M861" i="5" s="1"/>
  <c r="G448" i="1"/>
  <c r="G449" i="1"/>
  <c r="F450" i="1"/>
  <c r="G450" i="1"/>
  <c r="F451" i="1"/>
  <c r="G451" i="1"/>
  <c r="G452" i="1"/>
  <c r="G453" i="1"/>
  <c r="G454" i="1"/>
  <c r="G455" i="1"/>
  <c r="G456" i="1"/>
  <c r="G457" i="1"/>
  <c r="G458" i="1"/>
  <c r="F459" i="1"/>
  <c r="G459" i="1"/>
  <c r="F460" i="1"/>
  <c r="G460" i="1"/>
  <c r="F461" i="1"/>
  <c r="G461" i="1"/>
  <c r="G462" i="1"/>
  <c r="G463" i="1"/>
  <c r="G464" i="1"/>
  <c r="G465" i="1"/>
  <c r="F468" i="1"/>
  <c r="G468" i="1"/>
  <c r="G469" i="1"/>
  <c r="G470" i="1"/>
  <c r="F471" i="1"/>
  <c r="G471" i="1"/>
  <c r="F472" i="1"/>
  <c r="G472" i="1"/>
  <c r="F473" i="1"/>
  <c r="G473" i="1"/>
  <c r="G474" i="1"/>
  <c r="G475" i="1"/>
  <c r="G476" i="1"/>
  <c r="F477" i="1"/>
  <c r="G477" i="1"/>
  <c r="F478" i="1"/>
  <c r="G478" i="1"/>
  <c r="F479" i="1"/>
  <c r="G479" i="1"/>
  <c r="F480" i="1"/>
  <c r="G480" i="1"/>
  <c r="G496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G508" i="1"/>
  <c r="F509" i="1"/>
  <c r="K732" i="8" s="1"/>
  <c r="O732" i="8" s="1"/>
  <c r="G509" i="1"/>
  <c r="L732" i="8" s="1"/>
  <c r="P732" i="8" s="1"/>
  <c r="F510" i="1"/>
  <c r="G510" i="1"/>
  <c r="F511" i="1"/>
  <c r="G511" i="1"/>
  <c r="F512" i="1"/>
  <c r="G512" i="1"/>
  <c r="F513" i="1"/>
  <c r="K1589" i="8" s="1"/>
  <c r="O1589" i="8" s="1"/>
  <c r="G513" i="1"/>
  <c r="L1589" i="8" s="1"/>
  <c r="P1589" i="8" s="1"/>
  <c r="F514" i="1"/>
  <c r="G514" i="1"/>
  <c r="F515" i="1"/>
  <c r="G515" i="1"/>
  <c r="F516" i="1"/>
  <c r="G516" i="1"/>
  <c r="F517" i="1"/>
  <c r="G517" i="1"/>
  <c r="F518" i="1"/>
  <c r="G518" i="1"/>
  <c r="G529" i="1"/>
  <c r="L2015" i="8" s="1"/>
  <c r="P2015" i="8" s="1"/>
  <c r="G533" i="1"/>
  <c r="G534" i="1"/>
  <c r="G535" i="1"/>
  <c r="G537" i="1"/>
  <c r="G538" i="1"/>
  <c r="G540" i="1"/>
  <c r="G541" i="1"/>
  <c r="G542" i="1"/>
  <c r="F543" i="1"/>
  <c r="G543" i="1"/>
  <c r="F544" i="1"/>
  <c r="G544" i="1"/>
  <c r="F545" i="1"/>
  <c r="K736" i="8" s="1"/>
  <c r="O736" i="8" s="1"/>
  <c r="G545" i="1"/>
  <c r="L736" i="8" s="1"/>
  <c r="P736" i="8" s="1"/>
  <c r="F546" i="1"/>
  <c r="K1593" i="8" s="1"/>
  <c r="O1593" i="8" s="1"/>
  <c r="G546" i="1"/>
  <c r="L1593" i="8" s="1"/>
  <c r="P1593" i="8" s="1"/>
  <c r="F547" i="1"/>
  <c r="K844" i="5" s="1"/>
  <c r="G547" i="1"/>
  <c r="M844" i="5" s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K37" i="8" s="1"/>
  <c r="O37" i="8" s="1"/>
  <c r="G561" i="1"/>
  <c r="L37" i="8" s="1"/>
  <c r="P37" i="8" s="1"/>
  <c r="F562" i="1"/>
  <c r="G562" i="1"/>
  <c r="F563" i="1"/>
  <c r="G563" i="1"/>
  <c r="F564" i="1"/>
  <c r="K1590" i="8" s="1"/>
  <c r="O1590" i="8" s="1"/>
  <c r="G564" i="1"/>
  <c r="L1590" i="8" s="1"/>
  <c r="P1590" i="8" s="1"/>
  <c r="F565" i="1"/>
  <c r="G565" i="1"/>
  <c r="F566" i="1"/>
  <c r="G566" i="1"/>
  <c r="G567" i="1"/>
  <c r="G568" i="1"/>
  <c r="F571" i="1"/>
  <c r="K2523" i="8" s="1"/>
  <c r="O2523" i="8" s="1"/>
  <c r="G571" i="1"/>
  <c r="L2523" i="8" s="1"/>
  <c r="P2523" i="8" s="1"/>
  <c r="G572" i="1"/>
  <c r="L1372" i="8" s="1"/>
  <c r="P1372" i="8" s="1"/>
  <c r="G573" i="1"/>
  <c r="G574" i="1"/>
  <c r="G575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L1145" i="8"/>
  <c r="P1145" i="8" s="1"/>
  <c r="L1144" i="8"/>
  <c r="P1144" i="8" s="1"/>
  <c r="L1124" i="8"/>
  <c r="P1124" i="8" s="1"/>
  <c r="L1302" i="8"/>
  <c r="P1302" i="8" s="1"/>
  <c r="L1123" i="8"/>
  <c r="P1123" i="8" s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8" i="1"/>
  <c r="K2239" i="8" s="1"/>
  <c r="O2239" i="8" s="1"/>
  <c r="G638" i="1"/>
  <c r="L2239" i="8" s="1"/>
  <c r="P2239" i="8" s="1"/>
  <c r="F639" i="1"/>
  <c r="G639" i="1"/>
  <c r="F640" i="1"/>
  <c r="G640" i="1"/>
  <c r="F641" i="1"/>
  <c r="G641" i="1"/>
  <c r="F643" i="1"/>
  <c r="G643" i="1"/>
  <c r="F647" i="1"/>
  <c r="K2316" i="8" s="1"/>
  <c r="O2316" i="8" s="1"/>
  <c r="G647" i="1"/>
  <c r="L2316" i="8" s="1"/>
  <c r="P2316" i="8" s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248" i="1"/>
  <c r="G248" i="1"/>
  <c r="F665" i="1"/>
  <c r="G665" i="1"/>
  <c r="F666" i="1"/>
  <c r="G666" i="1"/>
  <c r="F667" i="1"/>
  <c r="G667" i="1"/>
  <c r="F668" i="1"/>
  <c r="G668" i="1"/>
  <c r="G682" i="1"/>
  <c r="G683" i="1"/>
  <c r="G684" i="1"/>
  <c r="G685" i="1"/>
  <c r="G686" i="1"/>
  <c r="G687" i="1"/>
  <c r="G688" i="1"/>
  <c r="G689" i="1"/>
  <c r="G7" i="1"/>
  <c r="K2192" i="8" l="1"/>
  <c r="O2192" i="8" s="1"/>
  <c r="L2317" i="8"/>
  <c r="P2317" i="8" s="1"/>
  <c r="L1799" i="8"/>
  <c r="P1799" i="8" s="1"/>
  <c r="L1859" i="8"/>
  <c r="P1859" i="8" s="1"/>
  <c r="L2243" i="8"/>
  <c r="P2243" i="8" s="1"/>
  <c r="L2320" i="8"/>
  <c r="P2320" i="8" s="1"/>
  <c r="L1861" i="8"/>
  <c r="P1861" i="8" s="1"/>
  <c r="L1801" i="8"/>
  <c r="P1801" i="8" s="1"/>
  <c r="L2164" i="8"/>
  <c r="P2164" i="8" s="1"/>
  <c r="L1743" i="8"/>
  <c r="P1743" i="8" s="1"/>
  <c r="L2319" i="8"/>
  <c r="P2319" i="8" s="1"/>
  <c r="L2241" i="8"/>
  <c r="P2241" i="8" s="1"/>
  <c r="L1800" i="8"/>
  <c r="P1800" i="8" s="1"/>
  <c r="L2163" i="8"/>
  <c r="P2163" i="8" s="1"/>
  <c r="L1742" i="8"/>
  <c r="P1742" i="8" s="1"/>
  <c r="L1849" i="8"/>
  <c r="P1849" i="8" s="1"/>
  <c r="L1850" i="8"/>
  <c r="P1850" i="8" s="1"/>
  <c r="L1851" i="8"/>
  <c r="P1851" i="8" s="1"/>
  <c r="L1568" i="8"/>
  <c r="P1568" i="8" s="1"/>
  <c r="L1569" i="8"/>
  <c r="P1569" i="8" s="1"/>
  <c r="L1570" i="8"/>
  <c r="P1570" i="8" s="1"/>
  <c r="L2276" i="8"/>
  <c r="P2276" i="8" s="1"/>
  <c r="L2313" i="8"/>
  <c r="P2313" i="8" s="1"/>
  <c r="L2314" i="8"/>
  <c r="P2314" i="8" s="1"/>
  <c r="L2238" i="8"/>
  <c r="P2238" i="8" s="1"/>
  <c r="L1857" i="8"/>
  <c r="P1857" i="8" s="1"/>
  <c r="L1797" i="8"/>
  <c r="P1797" i="8" s="1"/>
  <c r="L2306" i="8"/>
  <c r="P2306" i="8" s="1"/>
  <c r="L1853" i="8"/>
  <c r="P1853" i="8" s="1"/>
  <c r="L2237" i="8"/>
  <c r="P2237" i="8" s="1"/>
  <c r="L2311" i="8"/>
  <c r="P2311" i="8" s="1"/>
  <c r="L1796" i="8"/>
  <c r="P1796" i="8" s="1"/>
  <c r="L2307" i="8"/>
  <c r="P2307" i="8" s="1"/>
  <c r="L1854" i="8"/>
  <c r="P1854" i="8" s="1"/>
  <c r="M937" i="5"/>
  <c r="S937" i="5" s="1"/>
  <c r="L2296" i="8"/>
  <c r="P2296" i="8" s="1"/>
  <c r="L2230" i="8"/>
  <c r="P2230" i="8" s="1"/>
  <c r="L1844" i="8"/>
  <c r="P1844" i="8" s="1"/>
  <c r="L1789" i="8"/>
  <c r="P1789" i="8" s="1"/>
  <c r="L2216" i="8"/>
  <c r="P2216" i="8" s="1"/>
  <c r="L2245" i="8"/>
  <c r="P2245" i="8" s="1"/>
  <c r="L1618" i="8"/>
  <c r="P1618" i="8" s="1"/>
  <c r="L2161" i="8"/>
  <c r="P2161" i="8" s="1"/>
  <c r="L1740" i="8"/>
  <c r="P1740" i="8" s="1"/>
  <c r="L1617" i="8"/>
  <c r="P1617" i="8" s="1"/>
  <c r="L2160" i="8"/>
  <c r="P2160" i="8" s="1"/>
  <c r="L1739" i="8"/>
  <c r="P1739" i="8" s="1"/>
  <c r="L2157" i="8"/>
  <c r="P2157" i="8" s="1"/>
  <c r="L1736" i="8"/>
  <c r="P1736" i="8" s="1"/>
  <c r="L2223" i="8"/>
  <c r="P2223" i="8" s="1"/>
  <c r="L2218" i="8"/>
  <c r="P2218" i="8" s="1"/>
  <c r="L1782" i="8"/>
  <c r="P1782" i="8" s="1"/>
  <c r="M933" i="5"/>
  <c r="S933" i="5" s="1"/>
  <c r="L2287" i="8"/>
  <c r="P2287" i="8" s="1"/>
  <c r="L2224" i="8"/>
  <c r="P2224" i="8" s="1"/>
  <c r="L2099" i="8"/>
  <c r="P2099" i="8" s="1"/>
  <c r="L2222" i="8"/>
  <c r="P2222" i="8" s="1"/>
  <c r="L2290" i="8"/>
  <c r="P2290" i="8" s="1"/>
  <c r="L1783" i="8"/>
  <c r="P1783" i="8" s="1"/>
  <c r="L1836" i="8"/>
  <c r="P1836" i="8" s="1"/>
  <c r="L1500" i="8"/>
  <c r="P1500" i="8" s="1"/>
  <c r="L2221" i="8"/>
  <c r="P2221" i="8" s="1"/>
  <c r="L2289" i="8"/>
  <c r="P2289" i="8" s="1"/>
  <c r="L2078" i="8"/>
  <c r="P2078" i="8" s="1"/>
  <c r="L2292" i="8"/>
  <c r="P2292" i="8" s="1"/>
  <c r="L1840" i="8"/>
  <c r="P1840" i="8" s="1"/>
  <c r="L1837" i="8"/>
  <c r="P1837" i="8" s="1"/>
  <c r="L2156" i="8"/>
  <c r="P2156" i="8" s="1"/>
  <c r="L1735" i="8"/>
  <c r="P1735" i="8" s="1"/>
  <c r="L2159" i="8"/>
  <c r="P2159" i="8" s="1"/>
  <c r="L1738" i="8"/>
  <c r="P1738" i="8" s="1"/>
  <c r="L2309" i="8"/>
  <c r="P2309" i="8" s="1"/>
  <c r="L1856" i="8"/>
  <c r="P1856" i="8" s="1"/>
  <c r="L2275" i="8"/>
  <c r="P2275" i="8" s="1"/>
  <c r="L2312" i="8"/>
  <c r="P2312" i="8" s="1"/>
  <c r="L2273" i="8"/>
  <c r="P2273" i="8" s="1"/>
  <c r="L2310" i="8"/>
  <c r="P2310" i="8" s="1"/>
  <c r="L2236" i="8"/>
  <c r="P2236" i="8" s="1"/>
  <c r="L2107" i="8"/>
  <c r="P2107" i="8" s="1"/>
  <c r="L2299" i="8"/>
  <c r="P2299" i="8" s="1"/>
  <c r="L2231" i="8"/>
  <c r="P2231" i="8" s="1"/>
  <c r="L2300" i="8"/>
  <c r="P2300" i="8" s="1"/>
  <c r="L2083" i="8"/>
  <c r="P2083" i="8" s="1"/>
  <c r="L2301" i="8"/>
  <c r="P2301" i="8" s="1"/>
  <c r="L1953" i="8"/>
  <c r="P1953" i="8" s="1"/>
  <c r="L1847" i="8"/>
  <c r="P1847" i="8" s="1"/>
  <c r="L1848" i="8"/>
  <c r="P1848" i="8" s="1"/>
  <c r="L2229" i="8"/>
  <c r="P2229" i="8" s="1"/>
  <c r="L1788" i="8"/>
  <c r="P1788" i="8" s="1"/>
  <c r="L2298" i="8"/>
  <c r="P2298" i="8" s="1"/>
  <c r="L1846" i="8"/>
  <c r="P1846" i="8" s="1"/>
  <c r="L2242" i="8"/>
  <c r="P2242" i="8" s="1"/>
  <c r="L2318" i="8"/>
  <c r="P2318" i="8" s="1"/>
  <c r="L1860" i="8"/>
  <c r="P1860" i="8" s="1"/>
  <c r="L2244" i="8"/>
  <c r="P2244" i="8" s="1"/>
  <c r="L2321" i="8"/>
  <c r="P2321" i="8" s="1"/>
  <c r="L1862" i="8"/>
  <c r="P1862" i="8" s="1"/>
  <c r="L1833" i="8"/>
  <c r="P1833" i="8" s="1"/>
  <c r="L1802" i="8"/>
  <c r="P1802" i="8" s="1"/>
  <c r="L1619" i="8"/>
  <c r="P1619" i="8" s="1"/>
  <c r="L2162" i="8"/>
  <c r="P2162" i="8" s="1"/>
  <c r="L1741" i="8"/>
  <c r="P1741" i="8" s="1"/>
  <c r="L162" i="5"/>
  <c r="R162" i="5" s="1"/>
  <c r="L694" i="5"/>
  <c r="R694" i="5" s="1"/>
  <c r="R688" i="5" s="1"/>
  <c r="K122" i="6" s="1"/>
  <c r="Q122" i="6" s="1"/>
  <c r="L681" i="5"/>
  <c r="L668" i="5"/>
  <c r="R668" i="5" s="1"/>
  <c r="R662" i="5" s="1"/>
  <c r="K70" i="6" s="1"/>
  <c r="Q70" i="6" s="1"/>
  <c r="L655" i="5"/>
  <c r="L234" i="5"/>
  <c r="R234" i="5" s="1"/>
  <c r="L2308" i="8"/>
  <c r="P2308" i="8" s="1"/>
  <c r="L1855" i="8"/>
  <c r="P1855" i="8" s="1"/>
  <c r="L1653" i="8"/>
  <c r="P1653" i="8" s="1"/>
  <c r="L1795" i="8"/>
  <c r="P1795" i="8" s="1"/>
  <c r="L2232" i="8"/>
  <c r="P2232" i="8" s="1"/>
  <c r="L1790" i="8"/>
  <c r="P1790" i="8" s="1"/>
  <c r="M936" i="5"/>
  <c r="S936" i="5" s="1"/>
  <c r="L2297" i="8"/>
  <c r="P2297" i="8" s="1"/>
  <c r="L1845" i="8"/>
  <c r="P1845" i="8" s="1"/>
  <c r="L2315" i="8"/>
  <c r="P2315" i="8" s="1"/>
  <c r="L2240" i="8"/>
  <c r="P2240" i="8" s="1"/>
  <c r="L1858" i="8"/>
  <c r="P1858" i="8" s="1"/>
  <c r="L1798" i="8"/>
  <c r="P1798" i="8" s="1"/>
  <c r="L1792" i="8"/>
  <c r="P1792" i="8" s="1"/>
  <c r="L1793" i="8"/>
  <c r="P1793" i="8" s="1"/>
  <c r="L1791" i="8"/>
  <c r="P1791" i="8" s="1"/>
  <c r="L1530" i="8"/>
  <c r="P1530" i="8" s="1"/>
  <c r="L1529" i="8"/>
  <c r="P1529" i="8" s="1"/>
  <c r="L1531" i="8"/>
  <c r="P1531" i="8" s="1"/>
  <c r="L2158" i="8"/>
  <c r="P2158" i="8" s="1"/>
  <c r="L1737" i="8"/>
  <c r="P1737" i="8" s="1"/>
  <c r="L2226" i="8"/>
  <c r="P2226" i="8" s="1"/>
  <c r="L1785" i="8"/>
  <c r="P1785" i="8" s="1"/>
  <c r="L1763" i="8"/>
  <c r="P1763" i="8" s="1"/>
  <c r="L1923" i="8"/>
  <c r="P1923" i="8" s="1"/>
  <c r="L1029" i="8"/>
  <c r="L1523" i="8"/>
  <c r="P1523" i="8" s="1"/>
  <c r="L1943" i="8"/>
  <c r="P1943" i="8" s="1"/>
  <c r="L2219" i="8"/>
  <c r="P2219" i="8" s="1"/>
  <c r="L2286" i="8"/>
  <c r="P2286" i="8" s="1"/>
  <c r="L1838" i="8"/>
  <c r="P1838" i="8" s="1"/>
  <c r="L1835" i="8"/>
  <c r="P1835" i="8" s="1"/>
  <c r="M932" i="5"/>
  <c r="S932" i="5" s="1"/>
  <c r="L2077" i="8"/>
  <c r="P2077" i="8" s="1"/>
  <c r="L2291" i="8"/>
  <c r="P2291" i="8" s="1"/>
  <c r="L2288" i="8"/>
  <c r="P2288" i="8" s="1"/>
  <c r="L2220" i="8"/>
  <c r="P2220" i="8" s="1"/>
  <c r="L2101" i="8"/>
  <c r="P2101" i="8" s="1"/>
  <c r="L1839" i="8"/>
  <c r="P1839" i="8" s="1"/>
  <c r="L1628" i="8"/>
  <c r="P1628" i="8" s="1"/>
  <c r="L2183" i="8"/>
  <c r="P2183" i="8" s="1"/>
  <c r="K2308" i="8"/>
  <c r="O2308" i="8" s="1"/>
  <c r="K1855" i="8"/>
  <c r="O1855" i="8" s="1"/>
  <c r="K1653" i="8"/>
  <c r="O1653" i="8" s="1"/>
  <c r="K1795" i="8"/>
  <c r="O1795" i="8" s="1"/>
  <c r="K2232" i="8"/>
  <c r="O2232" i="8" s="1"/>
  <c r="K1790" i="8"/>
  <c r="O1790" i="8" s="1"/>
  <c r="K936" i="5"/>
  <c r="Q936" i="5" s="1"/>
  <c r="K2297" i="8"/>
  <c r="O2297" i="8" s="1"/>
  <c r="K1845" i="8"/>
  <c r="O1845" i="8" s="1"/>
  <c r="J153" i="5"/>
  <c r="P153" i="5" s="1"/>
  <c r="K2240" i="8"/>
  <c r="O2240" i="8" s="1"/>
  <c r="K2315" i="8"/>
  <c r="O2315" i="8" s="1"/>
  <c r="K1798" i="8"/>
  <c r="O1798" i="8" s="1"/>
  <c r="K1858" i="8"/>
  <c r="O1858" i="8" s="1"/>
  <c r="K2158" i="8"/>
  <c r="O2158" i="8" s="1"/>
  <c r="K1737" i="8"/>
  <c r="O1737" i="8" s="1"/>
  <c r="K2226" i="8"/>
  <c r="O2226" i="8" s="1"/>
  <c r="K1923" i="8"/>
  <c r="O1923" i="8" s="1"/>
  <c r="K1523" i="8"/>
  <c r="O1523" i="8" s="1"/>
  <c r="K1029" i="8"/>
  <c r="O1029" i="8" s="1"/>
  <c r="K1785" i="8"/>
  <c r="O1785" i="8" s="1"/>
  <c r="K1763" i="8"/>
  <c r="O1763" i="8" s="1"/>
  <c r="K1943" i="8"/>
  <c r="O1943" i="8" s="1"/>
  <c r="K2219" i="8"/>
  <c r="O2219" i="8" s="1"/>
  <c r="K2286" i="8"/>
  <c r="O2286" i="8" s="1"/>
  <c r="K1838" i="8"/>
  <c r="O1838" i="8" s="1"/>
  <c r="K1835" i="8"/>
  <c r="O1835" i="8" s="1"/>
  <c r="K932" i="5"/>
  <c r="Q932" i="5" s="1"/>
  <c r="K2291" i="8"/>
  <c r="O2291" i="8" s="1"/>
  <c r="K2220" i="8"/>
  <c r="O2220" i="8" s="1"/>
  <c r="K2077" i="8"/>
  <c r="O2077" i="8" s="1"/>
  <c r="K2288" i="8"/>
  <c r="O2288" i="8" s="1"/>
  <c r="K2101" i="8"/>
  <c r="O2101" i="8" s="1"/>
  <c r="K1839" i="8"/>
  <c r="O1839" i="8" s="1"/>
  <c r="K1628" i="8"/>
  <c r="O1628" i="8" s="1"/>
  <c r="K2183" i="8"/>
  <c r="O2183" i="8" s="1"/>
  <c r="K2238" i="8"/>
  <c r="O2238" i="8" s="1"/>
  <c r="K2314" i="8"/>
  <c r="O2314" i="8" s="1"/>
  <c r="K1797" i="8"/>
  <c r="O1797" i="8" s="1"/>
  <c r="K1857" i="8"/>
  <c r="O1857" i="8" s="1"/>
  <c r="K2306" i="8"/>
  <c r="O2306" i="8" s="1"/>
  <c r="K1853" i="8"/>
  <c r="O1853" i="8" s="1"/>
  <c r="K2237" i="8"/>
  <c r="O2237" i="8" s="1"/>
  <c r="K2311" i="8"/>
  <c r="O2311" i="8" s="1"/>
  <c r="K1796" i="8"/>
  <c r="O1796" i="8" s="1"/>
  <c r="K2307" i="8"/>
  <c r="O2307" i="8" s="1"/>
  <c r="K1854" i="8"/>
  <c r="O1854" i="8" s="1"/>
  <c r="K937" i="5"/>
  <c r="Q937" i="5" s="1"/>
  <c r="K2296" i="8"/>
  <c r="O2296" i="8" s="1"/>
  <c r="K2230" i="8"/>
  <c r="O2230" i="8" s="1"/>
  <c r="K1844" i="8"/>
  <c r="O1844" i="8" s="1"/>
  <c r="K1789" i="8"/>
  <c r="O1789" i="8" s="1"/>
  <c r="K1617" i="8"/>
  <c r="O1617" i="8" s="1"/>
  <c r="K2160" i="8"/>
  <c r="O2160" i="8" s="1"/>
  <c r="K1739" i="8"/>
  <c r="O1739" i="8" s="1"/>
  <c r="K2157" i="8"/>
  <c r="O2157" i="8" s="1"/>
  <c r="K1736" i="8"/>
  <c r="O1736" i="8" s="1"/>
  <c r="K2218" i="8"/>
  <c r="O2218" i="8" s="1"/>
  <c r="K2223" i="8"/>
  <c r="O2223" i="8" s="1"/>
  <c r="K1782" i="8"/>
  <c r="O1782" i="8" s="1"/>
  <c r="K933" i="5"/>
  <c r="Q933" i="5" s="1"/>
  <c r="K2099" i="8"/>
  <c r="O2099" i="8" s="1"/>
  <c r="K2290" i="8"/>
  <c r="O2290" i="8" s="1"/>
  <c r="K2222" i="8"/>
  <c r="O2222" i="8" s="1"/>
  <c r="K2287" i="8"/>
  <c r="O2287" i="8" s="1"/>
  <c r="K2224" i="8"/>
  <c r="O2224" i="8" s="1"/>
  <c r="K1500" i="8"/>
  <c r="O1500" i="8" s="1"/>
  <c r="K1783" i="8"/>
  <c r="O1783" i="8" s="1"/>
  <c r="K1836" i="8"/>
  <c r="O1836" i="8" s="1"/>
  <c r="K2292" i="8"/>
  <c r="O2292" i="8" s="1"/>
  <c r="K2221" i="8"/>
  <c r="O2221" i="8" s="1"/>
  <c r="K2289" i="8"/>
  <c r="O2289" i="8" s="1"/>
  <c r="K2078" i="8"/>
  <c r="O2078" i="8" s="1"/>
  <c r="K1840" i="8"/>
  <c r="O1840" i="8" s="1"/>
  <c r="K1837" i="8"/>
  <c r="O1837" i="8" s="1"/>
  <c r="K2156" i="8"/>
  <c r="O2156" i="8" s="1"/>
  <c r="K1735" i="8"/>
  <c r="O1735" i="8" s="1"/>
  <c r="K2276" i="8"/>
  <c r="O2276" i="8" s="1"/>
  <c r="K2313" i="8"/>
  <c r="O2313" i="8" s="1"/>
  <c r="K2317" i="8"/>
  <c r="O2317" i="8" s="1"/>
  <c r="K1859" i="8"/>
  <c r="O1859" i="8" s="1"/>
  <c r="K1799" i="8"/>
  <c r="O1799" i="8" s="1"/>
  <c r="K2159" i="8"/>
  <c r="O2159" i="8" s="1"/>
  <c r="K1738" i="8"/>
  <c r="O1738" i="8" s="1"/>
  <c r="K2309" i="8"/>
  <c r="O2309" i="8" s="1"/>
  <c r="K1856" i="8"/>
  <c r="O1856" i="8" s="1"/>
  <c r="K2275" i="8"/>
  <c r="O2275" i="8" s="1"/>
  <c r="K2312" i="8"/>
  <c r="O2312" i="8" s="1"/>
  <c r="K2273" i="8"/>
  <c r="O2273" i="8" s="1"/>
  <c r="K2236" i="8"/>
  <c r="O2236" i="8" s="1"/>
  <c r="K2310" i="8"/>
  <c r="O2310" i="8" s="1"/>
  <c r="K2231" i="8"/>
  <c r="O2231" i="8" s="1"/>
  <c r="K2107" i="8"/>
  <c r="O2107" i="8" s="1"/>
  <c r="K2083" i="8"/>
  <c r="O2083" i="8" s="1"/>
  <c r="K2301" i="8"/>
  <c r="O2301" i="8" s="1"/>
  <c r="K2300" i="8"/>
  <c r="O2300" i="8" s="1"/>
  <c r="K2299" i="8"/>
  <c r="O2299" i="8" s="1"/>
  <c r="K1848" i="8"/>
  <c r="O1848" i="8" s="1"/>
  <c r="K1953" i="8"/>
  <c r="O1953" i="8" s="1"/>
  <c r="K1847" i="8"/>
  <c r="O1847" i="8" s="1"/>
  <c r="K2229" i="8"/>
  <c r="O2229" i="8" s="1"/>
  <c r="K1788" i="8"/>
  <c r="O1788" i="8" s="1"/>
  <c r="K2298" i="8"/>
  <c r="O2298" i="8" s="1"/>
  <c r="K1846" i="8"/>
  <c r="O1846" i="8" s="1"/>
  <c r="C1029" i="8"/>
  <c r="P1029" i="8"/>
  <c r="N1029" i="8"/>
  <c r="M1029" i="8"/>
  <c r="T1029" i="8"/>
  <c r="M153" i="5"/>
  <c r="S153" i="5" s="1"/>
  <c r="S151" i="5" s="1"/>
  <c r="L18" i="6" s="1"/>
  <c r="L153" i="5"/>
  <c r="R153" i="5" s="1"/>
  <c r="L1620" i="8"/>
  <c r="P1620" i="8" s="1"/>
  <c r="L346" i="5"/>
  <c r="R346" i="5" s="1"/>
  <c r="L356" i="5"/>
  <c r="R356" i="5" s="1"/>
  <c r="L1616" i="8"/>
  <c r="P1616" i="8" s="1"/>
  <c r="M345" i="5"/>
  <c r="S345" i="5" s="1"/>
  <c r="M355" i="5"/>
  <c r="S355" i="5" s="1"/>
  <c r="L46" i="5"/>
  <c r="R46" i="5" s="1"/>
  <c r="L80" i="5"/>
  <c r="R80" i="5" s="1"/>
  <c r="L747" i="8"/>
  <c r="P747" i="8" s="1"/>
  <c r="L39" i="5"/>
  <c r="R39" i="5" s="1"/>
  <c r="L69" i="5"/>
  <c r="R69" i="5" s="1"/>
  <c r="L748" i="8"/>
  <c r="P748" i="8" s="1"/>
  <c r="L40" i="5"/>
  <c r="R40" i="5" s="1"/>
  <c r="L70" i="5"/>
  <c r="R70" i="5" s="1"/>
  <c r="L1614" i="8"/>
  <c r="P1614" i="8" s="1"/>
  <c r="M353" i="5"/>
  <c r="S353" i="5" s="1"/>
  <c r="L1613" i="8"/>
  <c r="P1613" i="8" s="1"/>
  <c r="M352" i="5"/>
  <c r="S352" i="5" s="1"/>
  <c r="L48" i="5"/>
  <c r="R48" i="5" s="1"/>
  <c r="L82" i="5"/>
  <c r="R82" i="5" s="1"/>
  <c r="L47" i="5"/>
  <c r="R47" i="5" s="1"/>
  <c r="L81" i="5"/>
  <c r="R81" i="5" s="1"/>
  <c r="L1621" i="8"/>
  <c r="P1621" i="8" s="1"/>
  <c r="L347" i="5"/>
  <c r="R347" i="5" s="1"/>
  <c r="L357" i="5"/>
  <c r="R357" i="5" s="1"/>
  <c r="M38" i="5"/>
  <c r="S38" i="5" s="1"/>
  <c r="S36" i="5" s="1"/>
  <c r="L104" i="6" s="1"/>
  <c r="R104" i="6" s="1"/>
  <c r="L68" i="5"/>
  <c r="R68" i="5" s="1"/>
  <c r="L38" i="5"/>
  <c r="R38" i="5" s="1"/>
  <c r="L1615" i="8"/>
  <c r="P1615" i="8" s="1"/>
  <c r="M354" i="5"/>
  <c r="S354" i="5" s="1"/>
  <c r="H599" i="8"/>
  <c r="H598" i="8"/>
  <c r="H580" i="8"/>
  <c r="H578" i="8"/>
  <c r="H605" i="8"/>
  <c r="H615" i="8" s="1"/>
  <c r="H600" i="8"/>
  <c r="K1615" i="8"/>
  <c r="O1615" i="8" s="1"/>
  <c r="K354" i="5"/>
  <c r="Q354" i="5" s="1"/>
  <c r="K1614" i="8"/>
  <c r="O1614" i="8" s="1"/>
  <c r="K353" i="5"/>
  <c r="Q353" i="5" s="1"/>
  <c r="K1613" i="8"/>
  <c r="O1613" i="8" s="1"/>
  <c r="K352" i="5"/>
  <c r="Q352" i="5" s="1"/>
  <c r="K1616" i="8"/>
  <c r="O1616" i="8" s="1"/>
  <c r="K345" i="5"/>
  <c r="Q345" i="5" s="1"/>
  <c r="K355" i="5"/>
  <c r="Q355" i="5" s="1"/>
  <c r="J38" i="5"/>
  <c r="P38" i="5" s="1"/>
  <c r="J68" i="5"/>
  <c r="P68" i="5" s="1"/>
  <c r="M200" i="5"/>
  <c r="S200" i="5" s="1"/>
  <c r="M72" i="5"/>
  <c r="S72" i="5" s="1"/>
  <c r="S66" i="5" s="1"/>
  <c r="L106" i="6" s="1"/>
  <c r="R106" i="6" s="1"/>
  <c r="K747" i="8"/>
  <c r="O747" i="8" s="1"/>
  <c r="J69" i="5"/>
  <c r="P69" i="5" s="1"/>
  <c r="J39" i="5"/>
  <c r="P39" i="5" s="1"/>
  <c r="K748" i="8"/>
  <c r="O748" i="8" s="1"/>
  <c r="J70" i="5"/>
  <c r="P70" i="5" s="1"/>
  <c r="J40" i="5"/>
  <c r="P40" i="5" s="1"/>
  <c r="K200" i="5"/>
  <c r="Q200" i="5" s="1"/>
  <c r="K72" i="5"/>
  <c r="Q72" i="5" s="1"/>
  <c r="K1683" i="8"/>
  <c r="O1683" i="8" s="1"/>
  <c r="K2114" i="8"/>
  <c r="O2114" i="8" s="1"/>
  <c r="K2066" i="8"/>
  <c r="O2066" i="8" s="1"/>
  <c r="K2116" i="8"/>
  <c r="O2116" i="8" s="1"/>
  <c r="K2118" i="8"/>
  <c r="O2118" i="8" s="1"/>
  <c r="K2068" i="8"/>
  <c r="O2068" i="8" s="1"/>
  <c r="K1681" i="8"/>
  <c r="O1681" i="8" s="1"/>
  <c r="K2060" i="8"/>
  <c r="O2060" i="8" s="1"/>
  <c r="K2057" i="8"/>
  <c r="O2057" i="8" s="1"/>
  <c r="K1645" i="8"/>
  <c r="O1645" i="8" s="1"/>
  <c r="K2105" i="8"/>
  <c r="O2105" i="8" s="1"/>
  <c r="K2058" i="8"/>
  <c r="O2058" i="8" s="1"/>
  <c r="K1816" i="8"/>
  <c r="O1816" i="8" s="1"/>
  <c r="K1673" i="8"/>
  <c r="O1673" i="8" s="1"/>
  <c r="L2069" i="8"/>
  <c r="P2069" i="8" s="1"/>
  <c r="L1659" i="8"/>
  <c r="P1659" i="8" s="1"/>
  <c r="K2067" i="8"/>
  <c r="O2067" i="8" s="1"/>
  <c r="K2117" i="8"/>
  <c r="O2117" i="8" s="1"/>
  <c r="L2109" i="8"/>
  <c r="P2109" i="8" s="1"/>
  <c r="L2111" i="8"/>
  <c r="P2111" i="8" s="1"/>
  <c r="L2110" i="8"/>
  <c r="P2110" i="8" s="1"/>
  <c r="K1640" i="8"/>
  <c r="O1640" i="8" s="1"/>
  <c r="K2054" i="8"/>
  <c r="O2054" i="8" s="1"/>
  <c r="K2249" i="8"/>
  <c r="O2249" i="8" s="1"/>
  <c r="K2052" i="8"/>
  <c r="O2052" i="8" s="1"/>
  <c r="K2050" i="8"/>
  <c r="O2050" i="8" s="1"/>
  <c r="K1638" i="8"/>
  <c r="O1638" i="8" s="1"/>
  <c r="K1665" i="8"/>
  <c r="O1665" i="8" s="1"/>
  <c r="K2029" i="8"/>
  <c r="O2029" i="8" s="1"/>
  <c r="K2053" i="8"/>
  <c r="O2053" i="8" s="1"/>
  <c r="K2051" i="8"/>
  <c r="O2051" i="8" s="1"/>
  <c r="K2100" i="8"/>
  <c r="O2100" i="8" s="1"/>
  <c r="K1810" i="8"/>
  <c r="O1810" i="8" s="1"/>
  <c r="K1667" i="8"/>
  <c r="O1667" i="8" s="1"/>
  <c r="L1684" i="8"/>
  <c r="P1684" i="8" s="1"/>
  <c r="L2115" i="8"/>
  <c r="P2115" i="8" s="1"/>
  <c r="L2065" i="8"/>
  <c r="P2065" i="8" s="1"/>
  <c r="L1682" i="8"/>
  <c r="P1682" i="8" s="1"/>
  <c r="L2113" i="8"/>
  <c r="P2113" i="8" s="1"/>
  <c r="L1675" i="8"/>
  <c r="P1675" i="8" s="1"/>
  <c r="L2059" i="8"/>
  <c r="P2059" i="8" s="1"/>
  <c r="L2108" i="8"/>
  <c r="P2108" i="8" s="1"/>
  <c r="L1676" i="8"/>
  <c r="P1676" i="8" s="1"/>
  <c r="L1819" i="8"/>
  <c r="P1819" i="8" s="1"/>
  <c r="L1648" i="8"/>
  <c r="P1648" i="8" s="1"/>
  <c r="L1674" i="8"/>
  <c r="P1674" i="8" s="1"/>
  <c r="L2106" i="8"/>
  <c r="P2106" i="8" s="1"/>
  <c r="L2119" i="8"/>
  <c r="P2119" i="8" s="1"/>
  <c r="L2102" i="8"/>
  <c r="P2102" i="8" s="1"/>
  <c r="L1808" i="8"/>
  <c r="P1808" i="8" s="1"/>
  <c r="K2065" i="8"/>
  <c r="O2065" i="8" s="1"/>
  <c r="K1682" i="8"/>
  <c r="O1682" i="8" s="1"/>
  <c r="K2113" i="8"/>
  <c r="O2113" i="8" s="1"/>
  <c r="K1675" i="8"/>
  <c r="O1675" i="8" s="1"/>
  <c r="K2108" i="8"/>
  <c r="O2108" i="8" s="1"/>
  <c r="K2059" i="8"/>
  <c r="O2059" i="8" s="1"/>
  <c r="K1819" i="8"/>
  <c r="O1819" i="8" s="1"/>
  <c r="K1648" i="8"/>
  <c r="O1648" i="8" s="1"/>
  <c r="K1674" i="8"/>
  <c r="O1674" i="8" s="1"/>
  <c r="K2106" i="8"/>
  <c r="O2106" i="8" s="1"/>
  <c r="L1661" i="8"/>
  <c r="P1661" i="8" s="1"/>
  <c r="L2071" i="8"/>
  <c r="P2071" i="8" s="1"/>
  <c r="K2102" i="8"/>
  <c r="O2102" i="8" s="1"/>
  <c r="K1808" i="8"/>
  <c r="O1808" i="8" s="1"/>
  <c r="K1684" i="8"/>
  <c r="O1684" i="8" s="1"/>
  <c r="K2115" i="8"/>
  <c r="O2115" i="8" s="1"/>
  <c r="L1683" i="8"/>
  <c r="P1683" i="8" s="1"/>
  <c r="L2114" i="8"/>
  <c r="P2114" i="8" s="1"/>
  <c r="L2066" i="8"/>
  <c r="P2066" i="8" s="1"/>
  <c r="L2116" i="8"/>
  <c r="P2116" i="8" s="1"/>
  <c r="L2068" i="8"/>
  <c r="P2068" i="8" s="1"/>
  <c r="L2118" i="8"/>
  <c r="P2118" i="8" s="1"/>
  <c r="L1681" i="8"/>
  <c r="P1681" i="8" s="1"/>
  <c r="L2060" i="8"/>
  <c r="P2060" i="8" s="1"/>
  <c r="L2057" i="8"/>
  <c r="P2057" i="8" s="1"/>
  <c r="L1645" i="8"/>
  <c r="P1645" i="8" s="1"/>
  <c r="L2058" i="8"/>
  <c r="P2058" i="8" s="1"/>
  <c r="L2105" i="8"/>
  <c r="P2105" i="8" s="1"/>
  <c r="L1816" i="8"/>
  <c r="P1816" i="8" s="1"/>
  <c r="L1673" i="8"/>
  <c r="P1673" i="8" s="1"/>
  <c r="L2070" i="8"/>
  <c r="P2070" i="8" s="1"/>
  <c r="L2120" i="8"/>
  <c r="P2120" i="8" s="1"/>
  <c r="L2067" i="8"/>
  <c r="P2067" i="8" s="1"/>
  <c r="L2117" i="8"/>
  <c r="P2117" i="8" s="1"/>
  <c r="L2063" i="8"/>
  <c r="P2063" i="8" s="1"/>
  <c r="L2062" i="8"/>
  <c r="P2062" i="8" s="1"/>
  <c r="L2061" i="8"/>
  <c r="P2061" i="8" s="1"/>
  <c r="L1640" i="8"/>
  <c r="P1640" i="8" s="1"/>
  <c r="L2054" i="8"/>
  <c r="P2054" i="8" s="1"/>
  <c r="L2249" i="8"/>
  <c r="P2249" i="8" s="1"/>
  <c r="L2052" i="8"/>
  <c r="P2052" i="8" s="1"/>
  <c r="L2050" i="8"/>
  <c r="P2050" i="8" s="1"/>
  <c r="L1638" i="8"/>
  <c r="P1638" i="8" s="1"/>
  <c r="L1665" i="8"/>
  <c r="P1665" i="8" s="1"/>
  <c r="L2053" i="8"/>
  <c r="P2053" i="8" s="1"/>
  <c r="L2051" i="8"/>
  <c r="P2051" i="8" s="1"/>
  <c r="L2100" i="8"/>
  <c r="P2100" i="8" s="1"/>
  <c r="L2029" i="8"/>
  <c r="P2029" i="8" s="1"/>
  <c r="L1810" i="8"/>
  <c r="P1810" i="8" s="1"/>
  <c r="L1667" i="8"/>
  <c r="P1667" i="8" s="1"/>
  <c r="K1125" i="8"/>
  <c r="O1125" i="8" s="1"/>
  <c r="K1644" i="8"/>
  <c r="O1644" i="8" s="1"/>
  <c r="K2259" i="8"/>
  <c r="O2259" i="8" s="1"/>
  <c r="K1672" i="8"/>
  <c r="O1672" i="8" s="1"/>
  <c r="K1646" i="8"/>
  <c r="O1646" i="8" s="1"/>
  <c r="L2274" i="8"/>
  <c r="P2274" i="8" s="1"/>
  <c r="L1654" i="8"/>
  <c r="P1654" i="8" s="1"/>
  <c r="L1125" i="8"/>
  <c r="P1125" i="8" s="1"/>
  <c r="L1644" i="8"/>
  <c r="P1644" i="8" s="1"/>
  <c r="L2259" i="8"/>
  <c r="P2259" i="8" s="1"/>
  <c r="L1672" i="8"/>
  <c r="P1672" i="8" s="1"/>
  <c r="L1646" i="8"/>
  <c r="P1646" i="8" s="1"/>
  <c r="L1094" i="8"/>
  <c r="P1094" i="8" s="1"/>
  <c r="L1608" i="8"/>
  <c r="P1608" i="8" s="1"/>
  <c r="L2281" i="8"/>
  <c r="P2281" i="8" s="1"/>
  <c r="L1688" i="8"/>
  <c r="P1688" i="8" s="1"/>
  <c r="L1658" i="8"/>
  <c r="P1658" i="8" s="1"/>
  <c r="L14" i="5"/>
  <c r="R14" i="5" s="1"/>
  <c r="M699" i="5"/>
  <c r="S699" i="5" s="1"/>
  <c r="M692" i="5"/>
  <c r="S692" i="5" s="1"/>
  <c r="M698" i="5"/>
  <c r="S698" i="5" s="1"/>
  <c r="M691" i="5"/>
  <c r="S691" i="5" s="1"/>
  <c r="L1637" i="8"/>
  <c r="P1637" i="8" s="1"/>
  <c r="L1635" i="8"/>
  <c r="P1635" i="8" s="1"/>
  <c r="L1664" i="8"/>
  <c r="P1664" i="8" s="1"/>
  <c r="L1636" i="8"/>
  <c r="P1636" i="8" s="1"/>
  <c r="L1666" i="8"/>
  <c r="P1666" i="8" s="1"/>
  <c r="L1639" i="8"/>
  <c r="P1639" i="8" s="1"/>
  <c r="L2255" i="8"/>
  <c r="P2255" i="8" s="1"/>
  <c r="L1668" i="8"/>
  <c r="P1668" i="8" s="1"/>
  <c r="L1602" i="8"/>
  <c r="P1602" i="8" s="1"/>
  <c r="L1609" i="8"/>
  <c r="P1609" i="8" s="1"/>
  <c r="K1637" i="8"/>
  <c r="O1637" i="8" s="1"/>
  <c r="K1635" i="8"/>
  <c r="O1635" i="8" s="1"/>
  <c r="K1666" i="8"/>
  <c r="O1666" i="8" s="1"/>
  <c r="K1639" i="8"/>
  <c r="O1639" i="8" s="1"/>
  <c r="K1664" i="8"/>
  <c r="O1664" i="8" s="1"/>
  <c r="K1636" i="8"/>
  <c r="O1636" i="8" s="1"/>
  <c r="K2255" i="8"/>
  <c r="O2255" i="8" s="1"/>
  <c r="K1668" i="8"/>
  <c r="O1668" i="8" s="1"/>
  <c r="K1609" i="8"/>
  <c r="O1609" i="8" s="1"/>
  <c r="K1602" i="8"/>
  <c r="O1602" i="8" s="1"/>
  <c r="L1587" i="8"/>
  <c r="P1587" i="8" s="1"/>
  <c r="L1584" i="8"/>
  <c r="P1584" i="8" s="1"/>
  <c r="L750" i="8"/>
  <c r="P750" i="8" s="1"/>
  <c r="L16" i="5"/>
  <c r="R16" i="5" s="1"/>
  <c r="M701" i="5"/>
  <c r="S701" i="5" s="1"/>
  <c r="S694" i="5"/>
  <c r="K691" i="5"/>
  <c r="Q691" i="5" s="1"/>
  <c r="K698" i="5"/>
  <c r="Q698" i="5" s="1"/>
  <c r="L1655" i="8"/>
  <c r="P1655" i="8" s="1"/>
  <c r="L1685" i="8"/>
  <c r="P1685" i="8" s="1"/>
  <c r="M927" i="5"/>
  <c r="S927" i="5" s="1"/>
  <c r="L1687" i="8"/>
  <c r="P1687" i="8" s="1"/>
  <c r="L1657" i="8"/>
  <c r="P1657" i="8" s="1"/>
  <c r="L2264" i="8"/>
  <c r="P2264" i="8" s="1"/>
  <c r="L1647" i="8"/>
  <c r="P1647" i="8" s="1"/>
  <c r="L1699" i="8"/>
  <c r="P1699" i="8" s="1"/>
  <c r="L1588" i="8"/>
  <c r="P1588" i="8" s="1"/>
  <c r="L2283" i="8"/>
  <c r="P2283" i="8" s="1"/>
  <c r="L1689" i="8"/>
  <c r="P1689" i="8" s="1"/>
  <c r="L1660" i="8"/>
  <c r="P1660" i="8" s="1"/>
  <c r="L1632" i="8"/>
  <c r="P1632" i="8" s="1"/>
  <c r="L1686" i="8"/>
  <c r="P1686" i="8" s="1"/>
  <c r="L1656" i="8"/>
  <c r="P1656" i="8" s="1"/>
  <c r="M690" i="5"/>
  <c r="S690" i="5" s="1"/>
  <c r="M697" i="5"/>
  <c r="S697" i="5" s="1"/>
  <c r="M845" i="5"/>
  <c r="L1594" i="8"/>
  <c r="P1594" i="8" s="1"/>
  <c r="K2274" i="8"/>
  <c r="O2274" i="8" s="1"/>
  <c r="K1654" i="8"/>
  <c r="O1654" i="8" s="1"/>
  <c r="L15" i="5"/>
  <c r="R15" i="5" s="1"/>
  <c r="M693" i="5"/>
  <c r="S693" i="5" s="1"/>
  <c r="M700" i="5"/>
  <c r="S700" i="5" s="1"/>
  <c r="K1685" i="8"/>
  <c r="O1685" i="8" s="1"/>
  <c r="K1655" i="8"/>
  <c r="O1655" i="8" s="1"/>
  <c r="K927" i="5"/>
  <c r="Q927" i="5" s="1"/>
  <c r="K1687" i="8"/>
  <c r="O1687" i="8" s="1"/>
  <c r="K1657" i="8"/>
  <c r="O1657" i="8" s="1"/>
  <c r="K2264" i="8"/>
  <c r="O2264" i="8" s="1"/>
  <c r="K1647" i="8"/>
  <c r="O1647" i="8" s="1"/>
  <c r="L2424" i="8"/>
  <c r="P2424" i="8" s="1"/>
  <c r="L1586" i="8"/>
  <c r="P1586" i="8" s="1"/>
  <c r="L1583" i="8"/>
  <c r="P1583" i="8" s="1"/>
  <c r="K1656" i="8"/>
  <c r="O1656" i="8" s="1"/>
  <c r="K1686" i="8"/>
  <c r="O1686" i="8" s="1"/>
  <c r="K697" i="5"/>
  <c r="Q697" i="5" s="1"/>
  <c r="K690" i="5"/>
  <c r="Q690" i="5" s="1"/>
  <c r="K845" i="5"/>
  <c r="K1594" i="8"/>
  <c r="O1594" i="8" s="1"/>
  <c r="L306" i="5"/>
  <c r="R306" i="5" s="1"/>
  <c r="L295" i="5"/>
  <c r="R295" i="5" s="1"/>
  <c r="L327" i="5"/>
  <c r="R327" i="5" s="1"/>
  <c r="L336" i="5"/>
  <c r="R336" i="5" s="1"/>
  <c r="L317" i="5"/>
  <c r="R317" i="5" s="1"/>
  <c r="M305" i="5"/>
  <c r="S305" i="5" s="1"/>
  <c r="M316" i="5"/>
  <c r="S316" i="5" s="1"/>
  <c r="M294" i="5"/>
  <c r="S294" i="5" s="1"/>
  <c r="K294" i="5"/>
  <c r="Q294" i="5" s="1"/>
  <c r="K305" i="5"/>
  <c r="Q305" i="5" s="1"/>
  <c r="K316" i="5"/>
  <c r="Q316" i="5" s="1"/>
  <c r="L318" i="5"/>
  <c r="R318" i="5" s="1"/>
  <c r="L307" i="5"/>
  <c r="R307" i="5" s="1"/>
  <c r="L296" i="5"/>
  <c r="R296" i="5" s="1"/>
  <c r="L328" i="5"/>
  <c r="R328" i="5" s="1"/>
  <c r="L337" i="5"/>
  <c r="R337" i="5" s="1"/>
  <c r="H613" i="8"/>
  <c r="L2387" i="8"/>
  <c r="P2387" i="8" s="1"/>
  <c r="L516" i="8"/>
  <c r="P516" i="8" s="1"/>
  <c r="K516" i="8"/>
  <c r="O516" i="8" s="1"/>
  <c r="L1120" i="8"/>
  <c r="P1120" i="8" s="1"/>
  <c r="L1758" i="8"/>
  <c r="P1758" i="8" s="1"/>
  <c r="L1918" i="8"/>
  <c r="P1918" i="8" s="1"/>
  <c r="L1919" i="8"/>
  <c r="P1919" i="8" s="1"/>
  <c r="L1759" i="8"/>
  <c r="P1759" i="8" s="1"/>
  <c r="K1120" i="8"/>
  <c r="O1120" i="8" s="1"/>
  <c r="K1918" i="8"/>
  <c r="O1918" i="8" s="1"/>
  <c r="K1758" i="8"/>
  <c r="O1758" i="8" s="1"/>
  <c r="K1919" i="8"/>
  <c r="O1919" i="8" s="1"/>
  <c r="K1759" i="8"/>
  <c r="O1759" i="8" s="1"/>
  <c r="M929" i="5"/>
  <c r="S929" i="5" s="1"/>
  <c r="M930" i="5"/>
  <c r="S930" i="5" s="1"/>
  <c r="L2434" i="8"/>
  <c r="P2434" i="8" s="1"/>
  <c r="L2179" i="8"/>
  <c r="P2179" i="8" s="1"/>
  <c r="K929" i="5"/>
  <c r="Q929" i="5" s="1"/>
  <c r="K1576" i="8"/>
  <c r="O1576" i="8" s="1"/>
  <c r="K1571" i="8"/>
  <c r="O1571" i="8" s="1"/>
  <c r="K2202" i="8"/>
  <c r="O2202" i="8" s="1"/>
  <c r="K1528" i="8"/>
  <c r="O1528" i="8" s="1"/>
  <c r="K1526" i="8"/>
  <c r="O1526" i="8" s="1"/>
  <c r="K1574" i="8"/>
  <c r="O1574" i="8" s="1"/>
  <c r="K1532" i="8"/>
  <c r="O1532" i="8" s="1"/>
  <c r="K2262" i="8"/>
  <c r="O2262" i="8" s="1"/>
  <c r="K1546" i="8"/>
  <c r="O1546" i="8" s="1"/>
  <c r="K1567" i="8"/>
  <c r="O1567" i="8" s="1"/>
  <c r="K1566" i="8"/>
  <c r="O1566" i="8" s="1"/>
  <c r="L1351" i="8"/>
  <c r="P1351" i="8" s="1"/>
  <c r="L1871" i="8"/>
  <c r="P1871" i="8" s="1"/>
  <c r="L1698" i="8"/>
  <c r="P1698" i="8" s="1"/>
  <c r="L1450" i="8"/>
  <c r="P1450" i="8" s="1"/>
  <c r="L1538" i="8"/>
  <c r="P1538" i="8" s="1"/>
  <c r="L1558" i="8"/>
  <c r="P1558" i="8" s="1"/>
  <c r="K2250" i="8"/>
  <c r="O2250" i="8" s="1"/>
  <c r="K2194" i="8"/>
  <c r="O2194" i="8" s="1"/>
  <c r="K1944" i="8"/>
  <c r="O1944" i="8" s="1"/>
  <c r="K1806" i="8"/>
  <c r="O1806" i="8" s="1"/>
  <c r="K2252" i="8"/>
  <c r="O2252" i="8" s="1"/>
  <c r="K1561" i="8"/>
  <c r="O1561" i="8" s="1"/>
  <c r="K1987" i="8"/>
  <c r="O1987" i="8" s="1"/>
  <c r="K1533" i="8"/>
  <c r="O1533" i="8" s="1"/>
  <c r="K1572" i="8"/>
  <c r="O1572" i="8" s="1"/>
  <c r="K1527" i="8"/>
  <c r="O1527" i="8" s="1"/>
  <c r="K2035" i="8"/>
  <c r="O2035" i="8" s="1"/>
  <c r="K1565" i="8"/>
  <c r="O1565" i="8" s="1"/>
  <c r="L1573" i="8"/>
  <c r="P1573" i="8" s="1"/>
  <c r="L1534" i="8"/>
  <c r="P1534" i="8" s="1"/>
  <c r="L1576" i="8"/>
  <c r="P1576" i="8" s="1"/>
  <c r="L1571" i="8"/>
  <c r="P1571" i="8" s="1"/>
  <c r="L2202" i="8"/>
  <c r="P2202" i="8" s="1"/>
  <c r="L1528" i="8"/>
  <c r="P1528" i="8" s="1"/>
  <c r="L1526" i="8"/>
  <c r="P1526" i="8" s="1"/>
  <c r="L1564" i="8"/>
  <c r="P1564" i="8" s="1"/>
  <c r="L1578" i="8"/>
  <c r="P1578" i="8" s="1"/>
  <c r="L1537" i="8"/>
  <c r="P1537" i="8" s="1"/>
  <c r="L746" i="8"/>
  <c r="P746" i="8" s="1"/>
  <c r="L1575" i="8"/>
  <c r="P1575" i="8" s="1"/>
  <c r="L1535" i="8"/>
  <c r="P1535" i="8" s="1"/>
  <c r="L1522" i="8"/>
  <c r="P1522" i="8" s="1"/>
  <c r="L1542" i="8"/>
  <c r="P1542" i="8" s="1"/>
  <c r="L1543" i="8"/>
  <c r="P1543" i="8" s="1"/>
  <c r="L1520" i="8"/>
  <c r="P1520" i="8" s="1"/>
  <c r="L2196" i="8"/>
  <c r="P2196" i="8" s="1"/>
  <c r="L2251" i="8"/>
  <c r="P2251" i="8" s="1"/>
  <c r="L1807" i="8"/>
  <c r="P1807" i="8" s="1"/>
  <c r="L1521" i="8"/>
  <c r="P1521" i="8" s="1"/>
  <c r="L1945" i="8"/>
  <c r="P1945" i="8" s="1"/>
  <c r="L1560" i="8"/>
  <c r="P1560" i="8" s="1"/>
  <c r="K1534" i="8"/>
  <c r="O1534" i="8" s="1"/>
  <c r="L1350" i="8"/>
  <c r="P1350" i="8" s="1"/>
  <c r="L1870" i="8"/>
  <c r="P1870" i="8" s="1"/>
  <c r="L1697" i="8"/>
  <c r="P1697" i="8" s="1"/>
  <c r="L1449" i="8"/>
  <c r="P1449" i="8" s="1"/>
  <c r="L2212" i="8"/>
  <c r="P2212" i="8" s="1"/>
  <c r="L1536" i="8"/>
  <c r="P1536" i="8" s="1"/>
  <c r="K746" i="8"/>
  <c r="O746" i="8" s="1"/>
  <c r="K1575" i="8"/>
  <c r="O1575" i="8" s="1"/>
  <c r="K1535" i="8"/>
  <c r="O1535" i="8" s="1"/>
  <c r="K1522" i="8"/>
  <c r="O1522" i="8" s="1"/>
  <c r="K1542" i="8"/>
  <c r="O1542" i="8" s="1"/>
  <c r="K1543" i="8"/>
  <c r="O1543" i="8" s="1"/>
  <c r="K1520" i="8"/>
  <c r="O1520" i="8" s="1"/>
  <c r="K2251" i="8"/>
  <c r="O2251" i="8" s="1"/>
  <c r="K2196" i="8"/>
  <c r="O2196" i="8" s="1"/>
  <c r="K1945" i="8"/>
  <c r="O1945" i="8" s="1"/>
  <c r="K1560" i="8"/>
  <c r="O1560" i="8" s="1"/>
  <c r="K1807" i="8"/>
  <c r="O1807" i="8" s="1"/>
  <c r="K1521" i="8"/>
  <c r="O1521" i="8" s="1"/>
  <c r="K1573" i="8"/>
  <c r="O1573" i="8" s="1"/>
  <c r="K1564" i="8"/>
  <c r="O1564" i="8" s="1"/>
  <c r="L1574" i="8"/>
  <c r="P1574" i="8" s="1"/>
  <c r="L1533" i="8"/>
  <c r="P1533" i="8" s="1"/>
  <c r="L1532" i="8"/>
  <c r="P1532" i="8" s="1"/>
  <c r="L1572" i="8"/>
  <c r="P1572" i="8" s="1"/>
  <c r="L2262" i="8"/>
  <c r="P2262" i="8" s="1"/>
  <c r="L1567" i="8"/>
  <c r="P1567" i="8" s="1"/>
  <c r="L1566" i="8"/>
  <c r="P1566" i="8" s="1"/>
  <c r="L1546" i="8"/>
  <c r="P1546" i="8" s="1"/>
  <c r="L1527" i="8"/>
  <c r="P1527" i="8" s="1"/>
  <c r="L2035" i="8"/>
  <c r="P2035" i="8" s="1"/>
  <c r="L1565" i="8"/>
  <c r="P1565" i="8" s="1"/>
  <c r="L1577" i="8"/>
  <c r="P1577" i="8" s="1"/>
  <c r="L2250" i="8"/>
  <c r="P2250" i="8" s="1"/>
  <c r="L2194" i="8"/>
  <c r="P2194" i="8" s="1"/>
  <c r="L1944" i="8"/>
  <c r="P1944" i="8" s="1"/>
  <c r="L1806" i="8"/>
  <c r="P1806" i="8" s="1"/>
  <c r="L2252" i="8"/>
  <c r="P2252" i="8" s="1"/>
  <c r="L1561" i="8"/>
  <c r="P1561" i="8" s="1"/>
  <c r="L1987" i="8"/>
  <c r="P1987" i="8" s="1"/>
  <c r="L515" i="8"/>
  <c r="P515" i="8" s="1"/>
  <c r="L1060" i="8"/>
  <c r="P1060" i="8" s="1"/>
  <c r="L631" i="8"/>
  <c r="P631" i="8" s="1"/>
  <c r="L507" i="8"/>
  <c r="P507" i="8" s="1"/>
  <c r="K1060" i="8"/>
  <c r="O1060" i="8" s="1"/>
  <c r="K631" i="8"/>
  <c r="O631" i="8" s="1"/>
  <c r="K507" i="8"/>
  <c r="O507" i="8" s="1"/>
  <c r="H584" i="8"/>
  <c r="H577" i="8"/>
  <c r="H582" i="8"/>
  <c r="C582" i="8" s="1"/>
  <c r="K369" i="8"/>
  <c r="K2277" i="8"/>
  <c r="O2277" i="8" s="1"/>
  <c r="K2209" i="8"/>
  <c r="O2209" i="8" s="1"/>
  <c r="K2092" i="8"/>
  <c r="O2092" i="8" s="1"/>
  <c r="K2043" i="8"/>
  <c r="O2043" i="8" s="1"/>
  <c r="K1962" i="8"/>
  <c r="O1962" i="8" s="1"/>
  <c r="K1935" i="8"/>
  <c r="O1935" i="8" s="1"/>
  <c r="K1828" i="8"/>
  <c r="O1828" i="8" s="1"/>
  <c r="K1775" i="8"/>
  <c r="O1775" i="8" s="1"/>
  <c r="K1434" i="8"/>
  <c r="O1434" i="8" s="1"/>
  <c r="K1514" i="8"/>
  <c r="O1514" i="8" s="1"/>
  <c r="K1412" i="8"/>
  <c r="O1412" i="8" s="1"/>
  <c r="K2203" i="8"/>
  <c r="O2203" i="8" s="1"/>
  <c r="K2037" i="8"/>
  <c r="O2037" i="8" s="1"/>
  <c r="K1928" i="8"/>
  <c r="O1928" i="8" s="1"/>
  <c r="K2201" i="8"/>
  <c r="O2201" i="8" s="1"/>
  <c r="K2036" i="8"/>
  <c r="O2036" i="8" s="1"/>
  <c r="K1766" i="8"/>
  <c r="O1766" i="8" s="1"/>
  <c r="K1927" i="8"/>
  <c r="O1927" i="8" s="1"/>
  <c r="K1506" i="8"/>
  <c r="O1506" i="8" s="1"/>
  <c r="L1999" i="8"/>
  <c r="P1999" i="8" s="1"/>
  <c r="L2150" i="8"/>
  <c r="P2150" i="8" s="1"/>
  <c r="L1719" i="8"/>
  <c r="P1719" i="8" s="1"/>
  <c r="L1892" i="8"/>
  <c r="P1892" i="8" s="1"/>
  <c r="L1471" i="8"/>
  <c r="P1471" i="8" s="1"/>
  <c r="L1254" i="8"/>
  <c r="P1254" i="8" s="1"/>
  <c r="L2130" i="8"/>
  <c r="P2130" i="8" s="1"/>
  <c r="L1979" i="8"/>
  <c r="P1979" i="8" s="1"/>
  <c r="L1700" i="8"/>
  <c r="P1700" i="8" s="1"/>
  <c r="L1873" i="8"/>
  <c r="P1873" i="8" s="1"/>
  <c r="L1353" i="8"/>
  <c r="P1353" i="8" s="1"/>
  <c r="L1452" i="8"/>
  <c r="P1452" i="8" s="1"/>
  <c r="L2127" i="8"/>
  <c r="P2127" i="8" s="1"/>
  <c r="L1976" i="8"/>
  <c r="P1976" i="8" s="1"/>
  <c r="L1867" i="8"/>
  <c r="P1867" i="8" s="1"/>
  <c r="L1694" i="8"/>
  <c r="P1694" i="8" s="1"/>
  <c r="L1347" i="8"/>
  <c r="P1347" i="8" s="1"/>
  <c r="L1446" i="8"/>
  <c r="P1446" i="8" s="1"/>
  <c r="L2011" i="8"/>
  <c r="P2011" i="8" s="1"/>
  <c r="L2173" i="8"/>
  <c r="P2173" i="8" s="1"/>
  <c r="L1904" i="8"/>
  <c r="P1904" i="8" s="1"/>
  <c r="L1732" i="8"/>
  <c r="P1732" i="8" s="1"/>
  <c r="L1483" i="8"/>
  <c r="P1483" i="8" s="1"/>
  <c r="L1384" i="8"/>
  <c r="P1384" i="8" s="1"/>
  <c r="L2087" i="8"/>
  <c r="P2087" i="8" s="1"/>
  <c r="L2086" i="8"/>
  <c r="P2086" i="8" s="1"/>
  <c r="L2085" i="8"/>
  <c r="P2085" i="8" s="1"/>
  <c r="L2267" i="8"/>
  <c r="P2267" i="8" s="1"/>
  <c r="L2266" i="8"/>
  <c r="P2266" i="8" s="1"/>
  <c r="L2265" i="8"/>
  <c r="P2265" i="8" s="1"/>
  <c r="L1771" i="8"/>
  <c r="P1771" i="8" s="1"/>
  <c r="L1822" i="8"/>
  <c r="P1822" i="8" s="1"/>
  <c r="L1821" i="8"/>
  <c r="P1821" i="8" s="1"/>
  <c r="L1820" i="8"/>
  <c r="P1820" i="8" s="1"/>
  <c r="L1770" i="8"/>
  <c r="P1770" i="8" s="1"/>
  <c r="L1549" i="8"/>
  <c r="P1549" i="8" s="1"/>
  <c r="L1548" i="8"/>
  <c r="P1548" i="8" s="1"/>
  <c r="L1547" i="8"/>
  <c r="P1547" i="8" s="1"/>
  <c r="L1769" i="8"/>
  <c r="P1769" i="8" s="1"/>
  <c r="L1956" i="8"/>
  <c r="P1956" i="8" s="1"/>
  <c r="L1955" i="8"/>
  <c r="P1955" i="8" s="1"/>
  <c r="L1954" i="8"/>
  <c r="P1954" i="8" s="1"/>
  <c r="L1511" i="8"/>
  <c r="P1511" i="8" s="1"/>
  <c r="L1406" i="8"/>
  <c r="P1406" i="8" s="1"/>
  <c r="L1510" i="8"/>
  <c r="P1510" i="8" s="1"/>
  <c r="L1509" i="8"/>
  <c r="P1509" i="8" s="1"/>
  <c r="L1429" i="8"/>
  <c r="P1429" i="8" s="1"/>
  <c r="L1428" i="8"/>
  <c r="P1428" i="8" s="1"/>
  <c r="L1427" i="8"/>
  <c r="P1427" i="8" s="1"/>
  <c r="L1408" i="8"/>
  <c r="P1408" i="8" s="1"/>
  <c r="L1407" i="8"/>
  <c r="P1407" i="8" s="1"/>
  <c r="L2022" i="8"/>
  <c r="P2022" i="8" s="1"/>
  <c r="L2186" i="8"/>
  <c r="P2186" i="8" s="1"/>
  <c r="L1914" i="8"/>
  <c r="P1914" i="8" s="1"/>
  <c r="L1753" i="8"/>
  <c r="P1753" i="8" s="1"/>
  <c r="L1494" i="8"/>
  <c r="P1494" i="8" s="1"/>
  <c r="L1394" i="8"/>
  <c r="P1394" i="8" s="1"/>
  <c r="K2168" i="8"/>
  <c r="O2168" i="8" s="1"/>
  <c r="K2006" i="8"/>
  <c r="O2006" i="8" s="1"/>
  <c r="K1727" i="8"/>
  <c r="O1727" i="8" s="1"/>
  <c r="K1899" i="8"/>
  <c r="O1899" i="8" s="1"/>
  <c r="K1379" i="8"/>
  <c r="O1379" i="8" s="1"/>
  <c r="K1478" i="8"/>
  <c r="O1478" i="8" s="1"/>
  <c r="K2197" i="8"/>
  <c r="O2197" i="8" s="1"/>
  <c r="K2030" i="8"/>
  <c r="O2030" i="8" s="1"/>
  <c r="K1922" i="8"/>
  <c r="O1922" i="8" s="1"/>
  <c r="K1762" i="8"/>
  <c r="O1762" i="8" s="1"/>
  <c r="K1400" i="8"/>
  <c r="O1400" i="8" s="1"/>
  <c r="K1503" i="8"/>
  <c r="O1503" i="8" s="1"/>
  <c r="K2193" i="8"/>
  <c r="O2193" i="8" s="1"/>
  <c r="K2027" i="8"/>
  <c r="O2027" i="8" s="1"/>
  <c r="K1920" i="8"/>
  <c r="O1920" i="8" s="1"/>
  <c r="K2195" i="8"/>
  <c r="O2195" i="8" s="1"/>
  <c r="K2028" i="8"/>
  <c r="O2028" i="8" s="1"/>
  <c r="K1760" i="8"/>
  <c r="O1760" i="8" s="1"/>
  <c r="K1921" i="8"/>
  <c r="O1921" i="8" s="1"/>
  <c r="K1499" i="8"/>
  <c r="O1499" i="8" s="1"/>
  <c r="K2253" i="8"/>
  <c r="O2253" i="8" s="1"/>
  <c r="K2075" i="8"/>
  <c r="O2075" i="8" s="1"/>
  <c r="K1946" i="8"/>
  <c r="O1946" i="8" s="1"/>
  <c r="K1761" i="8"/>
  <c r="O1761" i="8" s="1"/>
  <c r="K1809" i="8"/>
  <c r="O1809" i="8" s="1"/>
  <c r="K1501" i="8"/>
  <c r="O1501" i="8" s="1"/>
  <c r="K1399" i="8"/>
  <c r="O1399" i="8" s="1"/>
  <c r="K1420" i="8"/>
  <c r="O1420" i="8" s="1"/>
  <c r="K2182" i="8"/>
  <c r="O2182" i="8" s="1"/>
  <c r="K2019" i="8"/>
  <c r="O2019" i="8" s="1"/>
  <c r="K1911" i="8"/>
  <c r="O1911" i="8" s="1"/>
  <c r="K1750" i="8"/>
  <c r="O1750" i="8" s="1"/>
  <c r="K1491" i="8"/>
  <c r="O1491" i="8" s="1"/>
  <c r="K1391" i="8"/>
  <c r="O1391" i="8" s="1"/>
  <c r="K2142" i="8"/>
  <c r="O2142" i="8" s="1"/>
  <c r="K1992" i="8"/>
  <c r="O1992" i="8" s="1"/>
  <c r="K1712" i="8"/>
  <c r="O1712" i="8" s="1"/>
  <c r="K1885" i="8"/>
  <c r="O1885" i="8" s="1"/>
  <c r="K1464" i="8"/>
  <c r="O1464" i="8" s="1"/>
  <c r="K1365" i="8"/>
  <c r="O1365" i="8" s="1"/>
  <c r="K2137" i="8"/>
  <c r="O2137" i="8" s="1"/>
  <c r="K1986" i="8"/>
  <c r="O1986" i="8" s="1"/>
  <c r="K1880" i="8"/>
  <c r="O1880" i="8" s="1"/>
  <c r="K1707" i="8"/>
  <c r="O1707" i="8" s="1"/>
  <c r="K1459" i="8"/>
  <c r="O1459" i="8" s="1"/>
  <c r="K1360" i="8"/>
  <c r="O1360" i="8" s="1"/>
  <c r="K2135" i="8"/>
  <c r="O2135" i="8" s="1"/>
  <c r="K1984" i="8"/>
  <c r="O1984" i="8" s="1"/>
  <c r="K1878" i="8"/>
  <c r="O1878" i="8" s="1"/>
  <c r="K1705" i="8"/>
  <c r="O1705" i="8" s="1"/>
  <c r="K1457" i="8"/>
  <c r="O1457" i="8" s="1"/>
  <c r="K1358" i="8"/>
  <c r="O1358" i="8" s="1"/>
  <c r="K426" i="5"/>
  <c r="Q426" i="5" s="1"/>
  <c r="K409" i="5"/>
  <c r="Q409" i="5" s="1"/>
  <c r="K2144" i="8"/>
  <c r="O2144" i="8" s="1"/>
  <c r="K1994" i="8"/>
  <c r="O1994" i="8" s="1"/>
  <c r="K1887" i="8"/>
  <c r="O1887" i="8" s="1"/>
  <c r="K1714" i="8"/>
  <c r="O1714" i="8" s="1"/>
  <c r="K1466" i="8"/>
  <c r="O1466" i="8" s="1"/>
  <c r="K1367" i="8"/>
  <c r="O1367" i="8" s="1"/>
  <c r="K2145" i="8"/>
  <c r="O2145" i="8" s="1"/>
  <c r="K1995" i="8"/>
  <c r="O1995" i="8" s="1"/>
  <c r="K1888" i="8"/>
  <c r="O1888" i="8" s="1"/>
  <c r="K1715" i="8"/>
  <c r="O1715" i="8" s="1"/>
  <c r="K1467" i="8"/>
  <c r="O1467" i="8" s="1"/>
  <c r="K1368" i="8"/>
  <c r="O1368" i="8" s="1"/>
  <c r="K423" i="5"/>
  <c r="Q423" i="5" s="1"/>
  <c r="K2140" i="8"/>
  <c r="O2140" i="8" s="1"/>
  <c r="K1990" i="8"/>
  <c r="O1990" i="8" s="1"/>
  <c r="K1883" i="8"/>
  <c r="O1883" i="8" s="1"/>
  <c r="K1710" i="8"/>
  <c r="O1710" i="8" s="1"/>
  <c r="K1462" i="8"/>
  <c r="O1462" i="8" s="1"/>
  <c r="K1363" i="8"/>
  <c r="O1363" i="8" s="1"/>
  <c r="L2007" i="8"/>
  <c r="P2007" i="8" s="1"/>
  <c r="L2169" i="8"/>
  <c r="P2169" i="8" s="1"/>
  <c r="L1900" i="8"/>
  <c r="P1900" i="8" s="1"/>
  <c r="L1728" i="8"/>
  <c r="P1728" i="8" s="1"/>
  <c r="L1479" i="8"/>
  <c r="P1479" i="8" s="1"/>
  <c r="L1380" i="8"/>
  <c r="P1380" i="8" s="1"/>
  <c r="L2091" i="8"/>
  <c r="P2091" i="8" s="1"/>
  <c r="L2272" i="8"/>
  <c r="P2272" i="8" s="1"/>
  <c r="L1827" i="8"/>
  <c r="P1827" i="8" s="1"/>
  <c r="L1553" i="8"/>
  <c r="P1553" i="8" s="1"/>
  <c r="L1961" i="8"/>
  <c r="P1961" i="8" s="1"/>
  <c r="L1433" i="8"/>
  <c r="P1433" i="8" s="1"/>
  <c r="L370" i="8"/>
  <c r="P370" i="8" s="1"/>
  <c r="L2094" i="8"/>
  <c r="P2094" i="8" s="1"/>
  <c r="L2278" i="8"/>
  <c r="P2278" i="8" s="1"/>
  <c r="L2210" i="8"/>
  <c r="P2210" i="8" s="1"/>
  <c r="L2093" i="8"/>
  <c r="P2093" i="8" s="1"/>
  <c r="L2279" i="8"/>
  <c r="P2279" i="8" s="1"/>
  <c r="L2044" i="8"/>
  <c r="P2044" i="8" s="1"/>
  <c r="L1963" i="8"/>
  <c r="P1963" i="8" s="1"/>
  <c r="L1776" i="8"/>
  <c r="P1776" i="8" s="1"/>
  <c r="L1829" i="8"/>
  <c r="P1829" i="8" s="1"/>
  <c r="L1964" i="8"/>
  <c r="P1964" i="8" s="1"/>
  <c r="L1936" i="8"/>
  <c r="P1936" i="8" s="1"/>
  <c r="L1554" i="8"/>
  <c r="P1554" i="8" s="1"/>
  <c r="L1515" i="8"/>
  <c r="P1515" i="8" s="1"/>
  <c r="L1435" i="8"/>
  <c r="P1435" i="8" s="1"/>
  <c r="L1413" i="8"/>
  <c r="P1413" i="8" s="1"/>
  <c r="L1438" i="8"/>
  <c r="P1438" i="8" s="1"/>
  <c r="L2208" i="8"/>
  <c r="P2208" i="8" s="1"/>
  <c r="L2042" i="8"/>
  <c r="P2042" i="8" s="1"/>
  <c r="L1934" i="8"/>
  <c r="P1934" i="8" s="1"/>
  <c r="L2207" i="8"/>
  <c r="P2207" i="8" s="1"/>
  <c r="L2041" i="8"/>
  <c r="P2041" i="8" s="1"/>
  <c r="L1932" i="8"/>
  <c r="P1932" i="8" s="1"/>
  <c r="L2089" i="8"/>
  <c r="P2089" i="8" s="1"/>
  <c r="L2270" i="8"/>
  <c r="P2270" i="8" s="1"/>
  <c r="L1774" i="8"/>
  <c r="P1774" i="8" s="1"/>
  <c r="L1825" i="8"/>
  <c r="P1825" i="8" s="1"/>
  <c r="L1551" i="8"/>
  <c r="P1551" i="8" s="1"/>
  <c r="L1959" i="8"/>
  <c r="P1959" i="8" s="1"/>
  <c r="L1513" i="8"/>
  <c r="P1513" i="8" s="1"/>
  <c r="L1431" i="8"/>
  <c r="P1431" i="8" s="1"/>
  <c r="L1411" i="8"/>
  <c r="P1411" i="8" s="1"/>
  <c r="L2084" i="8"/>
  <c r="P2084" i="8" s="1"/>
  <c r="L2263" i="8"/>
  <c r="P2263" i="8" s="1"/>
  <c r="L1818" i="8"/>
  <c r="P1818" i="8" s="1"/>
  <c r="L1952" i="8"/>
  <c r="P1952" i="8" s="1"/>
  <c r="L1768" i="8"/>
  <c r="P1768" i="8" s="1"/>
  <c r="L1405" i="8"/>
  <c r="P1405" i="8" s="1"/>
  <c r="L1426" i="8"/>
  <c r="P1426" i="8" s="1"/>
  <c r="L1508" i="8"/>
  <c r="P1508" i="8" s="1"/>
  <c r="L1403" i="8"/>
  <c r="P1403" i="8" s="1"/>
  <c r="L830" i="8"/>
  <c r="P830" i="8" s="1"/>
  <c r="L2261" i="8"/>
  <c r="P2261" i="8" s="1"/>
  <c r="L2082" i="8"/>
  <c r="P2082" i="8" s="1"/>
  <c r="L1951" i="8"/>
  <c r="P1951" i="8" s="1"/>
  <c r="L1817" i="8"/>
  <c r="P1817" i="8" s="1"/>
  <c r="L1545" i="8"/>
  <c r="P1545" i="8" s="1"/>
  <c r="L1425" i="8"/>
  <c r="P1425" i="8" s="1"/>
  <c r="L733" i="8"/>
  <c r="P733" i="8" s="1"/>
  <c r="L2131" i="8"/>
  <c r="P2131" i="8" s="1"/>
  <c r="L1980" i="8"/>
  <c r="P1980" i="8" s="1"/>
  <c r="L1701" i="8"/>
  <c r="P1701" i="8" s="1"/>
  <c r="L1874" i="8"/>
  <c r="P1874" i="8" s="1"/>
  <c r="L1453" i="8"/>
  <c r="P1453" i="8" s="1"/>
  <c r="L1354" i="8"/>
  <c r="P1354" i="8" s="1"/>
  <c r="L2134" i="8"/>
  <c r="P2134" i="8" s="1"/>
  <c r="L1983" i="8"/>
  <c r="P1983" i="8" s="1"/>
  <c r="L1877" i="8"/>
  <c r="P1877" i="8" s="1"/>
  <c r="L1704" i="8"/>
  <c r="P1704" i="8" s="1"/>
  <c r="L1456" i="8"/>
  <c r="P1456" i="8" s="1"/>
  <c r="L1357" i="8"/>
  <c r="P1357" i="8" s="1"/>
  <c r="L1352" i="8"/>
  <c r="P1352" i="8" s="1"/>
  <c r="L2016" i="8"/>
  <c r="P2016" i="8" s="1"/>
  <c r="L2177" i="8"/>
  <c r="P2177" i="8" s="1"/>
  <c r="L1908" i="8"/>
  <c r="P1908" i="8" s="1"/>
  <c r="L1747" i="8"/>
  <c r="P1747" i="8" s="1"/>
  <c r="L1487" i="8"/>
  <c r="P1487" i="8" s="1"/>
  <c r="L1388" i="8"/>
  <c r="P1388" i="8" s="1"/>
  <c r="K1254" i="8"/>
  <c r="O1254" i="8" s="1"/>
  <c r="K2130" i="8"/>
  <c r="O2130" i="8" s="1"/>
  <c r="K1979" i="8"/>
  <c r="O1979" i="8" s="1"/>
  <c r="K1700" i="8"/>
  <c r="O1700" i="8" s="1"/>
  <c r="K1873" i="8"/>
  <c r="O1873" i="8" s="1"/>
  <c r="K1452" i="8"/>
  <c r="O1452" i="8" s="1"/>
  <c r="K1353" i="8"/>
  <c r="O1353" i="8" s="1"/>
  <c r="L2213" i="8"/>
  <c r="P2213" i="8" s="1"/>
  <c r="L2282" i="8"/>
  <c r="P2282" i="8" s="1"/>
  <c r="L2046" i="8"/>
  <c r="P2046" i="8" s="1"/>
  <c r="L2096" i="8"/>
  <c r="P2096" i="8" s="1"/>
  <c r="L1966" i="8"/>
  <c r="P1966" i="8" s="1"/>
  <c r="L1938" i="8"/>
  <c r="P1938" i="8" s="1"/>
  <c r="L1516" i="8"/>
  <c r="P1516" i="8" s="1"/>
  <c r="L1778" i="8"/>
  <c r="P1778" i="8" s="1"/>
  <c r="L1831" i="8"/>
  <c r="P1831" i="8" s="1"/>
  <c r="L1556" i="8"/>
  <c r="P1556" i="8" s="1"/>
  <c r="L1440" i="8"/>
  <c r="P1440" i="8" s="1"/>
  <c r="L1415" i="8"/>
  <c r="P1415" i="8" s="1"/>
  <c r="M428" i="5"/>
  <c r="S428" i="5" s="1"/>
  <c r="L2147" i="8"/>
  <c r="P2147" i="8" s="1"/>
  <c r="L1996" i="8"/>
  <c r="P1996" i="8" s="1"/>
  <c r="L1716" i="8"/>
  <c r="P1716" i="8" s="1"/>
  <c r="L1889" i="8"/>
  <c r="P1889" i="8" s="1"/>
  <c r="L1468" i="8"/>
  <c r="P1468" i="8" s="1"/>
  <c r="L1369" i="8"/>
  <c r="P1369" i="8" s="1"/>
  <c r="L2009" i="8"/>
  <c r="P2009" i="8" s="1"/>
  <c r="L2171" i="8"/>
  <c r="P2171" i="8" s="1"/>
  <c r="L1902" i="8"/>
  <c r="P1902" i="8" s="1"/>
  <c r="L1730" i="8"/>
  <c r="P1730" i="8" s="1"/>
  <c r="L1481" i="8"/>
  <c r="P1481" i="8" s="1"/>
  <c r="L1382" i="8"/>
  <c r="P1382" i="8" s="1"/>
  <c r="L2185" i="8"/>
  <c r="P2185" i="8" s="1"/>
  <c r="L2021" i="8"/>
  <c r="P2021" i="8" s="1"/>
  <c r="L1913" i="8"/>
  <c r="P1913" i="8" s="1"/>
  <c r="L1752" i="8"/>
  <c r="P1752" i="8" s="1"/>
  <c r="L1493" i="8"/>
  <c r="P1493" i="8" s="1"/>
  <c r="L1393" i="8"/>
  <c r="P1393" i="8" s="1"/>
  <c r="L2170" i="8"/>
  <c r="P2170" i="8" s="1"/>
  <c r="L2008" i="8"/>
  <c r="P2008" i="8" s="1"/>
  <c r="L1729" i="8"/>
  <c r="P1729" i="8" s="1"/>
  <c r="L1901" i="8"/>
  <c r="P1901" i="8" s="1"/>
  <c r="L1480" i="8"/>
  <c r="P1480" i="8" s="1"/>
  <c r="L1381" i="8"/>
  <c r="P1381" i="8" s="1"/>
  <c r="L2005" i="8"/>
  <c r="P2005" i="8" s="1"/>
  <c r="L2167" i="8"/>
  <c r="P2167" i="8" s="1"/>
  <c r="L1898" i="8"/>
  <c r="P1898" i="8" s="1"/>
  <c r="L1726" i="8"/>
  <c r="P1726" i="8" s="1"/>
  <c r="L1477" i="8"/>
  <c r="P1477" i="8" s="1"/>
  <c r="L1378" i="8"/>
  <c r="P1378" i="8" s="1"/>
  <c r="L1398" i="8"/>
  <c r="P1398" i="8" s="1"/>
  <c r="L825" i="8"/>
  <c r="P825" i="8" s="1"/>
  <c r="L2254" i="8"/>
  <c r="P2254" i="8" s="1"/>
  <c r="L2076" i="8"/>
  <c r="P2076" i="8" s="1"/>
  <c r="L1947" i="8"/>
  <c r="P1947" i="8" s="1"/>
  <c r="L1811" i="8"/>
  <c r="P1811" i="8" s="1"/>
  <c r="L1421" i="8"/>
  <c r="P1421" i="8" s="1"/>
  <c r="L2166" i="8"/>
  <c r="P2166" i="8" s="1"/>
  <c r="L2004" i="8"/>
  <c r="P2004" i="8" s="1"/>
  <c r="L1725" i="8"/>
  <c r="P1725" i="8" s="1"/>
  <c r="L1897" i="8"/>
  <c r="P1897" i="8" s="1"/>
  <c r="L1476" i="8"/>
  <c r="P1476" i="8" s="1"/>
  <c r="L1377" i="8"/>
  <c r="P1377" i="8" s="1"/>
  <c r="M425" i="5"/>
  <c r="S425" i="5" s="1"/>
  <c r="M408" i="5"/>
  <c r="S408" i="5" s="1"/>
  <c r="L2136" i="8"/>
  <c r="P2136" i="8" s="1"/>
  <c r="L1985" i="8"/>
  <c r="P1985" i="8" s="1"/>
  <c r="L1879" i="8"/>
  <c r="P1879" i="8" s="1"/>
  <c r="L1706" i="8"/>
  <c r="P1706" i="8" s="1"/>
  <c r="L1458" i="8"/>
  <c r="P1458" i="8" s="1"/>
  <c r="L1359" i="8"/>
  <c r="P1359" i="8" s="1"/>
  <c r="L1993" i="8"/>
  <c r="P1993" i="8" s="1"/>
  <c r="L2151" i="8"/>
  <c r="P2151" i="8" s="1"/>
  <c r="L2000" i="8"/>
  <c r="P2000" i="8" s="1"/>
  <c r="L2143" i="8"/>
  <c r="P2143" i="8" s="1"/>
  <c r="L1720" i="8"/>
  <c r="P1720" i="8" s="1"/>
  <c r="L1893" i="8"/>
  <c r="P1893" i="8" s="1"/>
  <c r="L1713" i="8"/>
  <c r="P1713" i="8" s="1"/>
  <c r="L1886" i="8"/>
  <c r="P1886" i="8" s="1"/>
  <c r="L1472" i="8"/>
  <c r="P1472" i="8" s="1"/>
  <c r="L1465" i="8"/>
  <c r="P1465" i="8" s="1"/>
  <c r="L1366" i="8"/>
  <c r="P1366" i="8" s="1"/>
  <c r="L1373" i="8"/>
  <c r="P1373" i="8" s="1"/>
  <c r="L2001" i="8"/>
  <c r="P2001" i="8" s="1"/>
  <c r="L2152" i="8"/>
  <c r="P2152" i="8" s="1"/>
  <c r="L1721" i="8"/>
  <c r="P1721" i="8" s="1"/>
  <c r="L1894" i="8"/>
  <c r="P1894" i="8" s="1"/>
  <c r="L1374" i="8"/>
  <c r="P1374" i="8" s="1"/>
  <c r="L1473" i="8"/>
  <c r="P1473" i="8" s="1"/>
  <c r="M424" i="5"/>
  <c r="S424" i="5" s="1"/>
  <c r="L1991" i="8"/>
  <c r="P1991" i="8" s="1"/>
  <c r="L2141" i="8"/>
  <c r="P2141" i="8" s="1"/>
  <c r="L1884" i="8"/>
  <c r="P1884" i="8" s="1"/>
  <c r="L1711" i="8"/>
  <c r="P1711" i="8" s="1"/>
  <c r="L1463" i="8"/>
  <c r="P1463" i="8" s="1"/>
  <c r="L1364" i="8"/>
  <c r="P1364" i="8" s="1"/>
  <c r="K2271" i="8"/>
  <c r="O2271" i="8" s="1"/>
  <c r="K2090" i="8"/>
  <c r="O2090" i="8" s="1"/>
  <c r="K1826" i="8"/>
  <c r="O1826" i="8" s="1"/>
  <c r="K1552" i="8"/>
  <c r="O1552" i="8" s="1"/>
  <c r="K1960" i="8"/>
  <c r="O1960" i="8" s="1"/>
  <c r="K1432" i="8"/>
  <c r="O1432" i="8" s="1"/>
  <c r="K812" i="8"/>
  <c r="O812" i="8" s="1"/>
  <c r="K1773" i="8"/>
  <c r="O1773" i="8" s="1"/>
  <c r="K1933" i="8"/>
  <c r="O1933" i="8" s="1"/>
  <c r="K1512" i="8"/>
  <c r="O1512" i="8" s="1"/>
  <c r="K1410" i="8"/>
  <c r="O1410" i="8" s="1"/>
  <c r="K2200" i="8"/>
  <c r="O2200" i="8" s="1"/>
  <c r="K2034" i="8"/>
  <c r="O2034" i="8" s="1"/>
  <c r="K1926" i="8"/>
  <c r="O1926" i="8" s="1"/>
  <c r="K370" i="8"/>
  <c r="K2279" i="8"/>
  <c r="O2279" i="8" s="1"/>
  <c r="K2044" i="8"/>
  <c r="O2044" i="8" s="1"/>
  <c r="K2094" i="8"/>
  <c r="O2094" i="8" s="1"/>
  <c r="K2278" i="8"/>
  <c r="O2278" i="8" s="1"/>
  <c r="K2210" i="8"/>
  <c r="O2210" i="8" s="1"/>
  <c r="K2093" i="8"/>
  <c r="O2093" i="8" s="1"/>
  <c r="K1964" i="8"/>
  <c r="O1964" i="8" s="1"/>
  <c r="K1963" i="8"/>
  <c r="O1963" i="8" s="1"/>
  <c r="K1554" i="8"/>
  <c r="O1554" i="8" s="1"/>
  <c r="K1776" i="8"/>
  <c r="O1776" i="8" s="1"/>
  <c r="K1829" i="8"/>
  <c r="O1829" i="8" s="1"/>
  <c r="K1936" i="8"/>
  <c r="O1936" i="8" s="1"/>
  <c r="K1515" i="8"/>
  <c r="O1515" i="8" s="1"/>
  <c r="K1435" i="8"/>
  <c r="O1435" i="8" s="1"/>
  <c r="K1413" i="8"/>
  <c r="O1413" i="8" s="1"/>
  <c r="K1438" i="8"/>
  <c r="O1438" i="8" s="1"/>
  <c r="K2042" i="8"/>
  <c r="O2042" i="8" s="1"/>
  <c r="K2208" i="8"/>
  <c r="O2208" i="8" s="1"/>
  <c r="K1934" i="8"/>
  <c r="O1934" i="8" s="1"/>
  <c r="K2270" i="8"/>
  <c r="O2270" i="8" s="1"/>
  <c r="K2089" i="8"/>
  <c r="O2089" i="8" s="1"/>
  <c r="K1959" i="8"/>
  <c r="O1959" i="8" s="1"/>
  <c r="K1774" i="8"/>
  <c r="O1774" i="8" s="1"/>
  <c r="K1825" i="8"/>
  <c r="O1825" i="8" s="1"/>
  <c r="K1551" i="8"/>
  <c r="O1551" i="8" s="1"/>
  <c r="K1513" i="8"/>
  <c r="O1513" i="8" s="1"/>
  <c r="K1431" i="8"/>
  <c r="O1431" i="8" s="1"/>
  <c r="K1411" i="8"/>
  <c r="O1411" i="8" s="1"/>
  <c r="K2263" i="8"/>
  <c r="O2263" i="8" s="1"/>
  <c r="K2084" i="8"/>
  <c r="O2084" i="8" s="1"/>
  <c r="K1952" i="8"/>
  <c r="O1952" i="8" s="1"/>
  <c r="K1768" i="8"/>
  <c r="O1768" i="8" s="1"/>
  <c r="K1818" i="8"/>
  <c r="O1818" i="8" s="1"/>
  <c r="K1508" i="8"/>
  <c r="O1508" i="8" s="1"/>
  <c r="K1405" i="8"/>
  <c r="O1405" i="8" s="1"/>
  <c r="K1426" i="8"/>
  <c r="O1426" i="8" s="1"/>
  <c r="K733" i="8"/>
  <c r="O733" i="8" s="1"/>
  <c r="K2131" i="8"/>
  <c r="O2131" i="8" s="1"/>
  <c r="K1980" i="8"/>
  <c r="O1980" i="8" s="1"/>
  <c r="K1874" i="8"/>
  <c r="O1874" i="8" s="1"/>
  <c r="K1701" i="8"/>
  <c r="O1701" i="8" s="1"/>
  <c r="K1354" i="8"/>
  <c r="O1354" i="8" s="1"/>
  <c r="K1453" i="8"/>
  <c r="O1453" i="8" s="1"/>
  <c r="K1983" i="8"/>
  <c r="O1983" i="8" s="1"/>
  <c r="K2134" i="8"/>
  <c r="O2134" i="8" s="1"/>
  <c r="K1877" i="8"/>
  <c r="O1877" i="8" s="1"/>
  <c r="K1704" i="8"/>
  <c r="O1704" i="8" s="1"/>
  <c r="K1456" i="8"/>
  <c r="O1456" i="8" s="1"/>
  <c r="K1357" i="8"/>
  <c r="O1357" i="8" s="1"/>
  <c r="L2128" i="8"/>
  <c r="P2128" i="8" s="1"/>
  <c r="L1977" i="8"/>
  <c r="P1977" i="8" s="1"/>
  <c r="L1868" i="8"/>
  <c r="P1868" i="8" s="1"/>
  <c r="L1695" i="8"/>
  <c r="P1695" i="8" s="1"/>
  <c r="L1447" i="8"/>
  <c r="P1447" i="8" s="1"/>
  <c r="L1348" i="8"/>
  <c r="P1348" i="8" s="1"/>
  <c r="L2215" i="8"/>
  <c r="P2215" i="8" s="1"/>
  <c r="L2048" i="8"/>
  <c r="P2048" i="8" s="1"/>
  <c r="L1940" i="8"/>
  <c r="P1940" i="8" s="1"/>
  <c r="L1780" i="8"/>
  <c r="P1780" i="8" s="1"/>
  <c r="L1518" i="8"/>
  <c r="P1518" i="8" s="1"/>
  <c r="L1417" i="8"/>
  <c r="P1417" i="8" s="1"/>
  <c r="L2172" i="8"/>
  <c r="P2172" i="8" s="1"/>
  <c r="L2010" i="8"/>
  <c r="P2010" i="8" s="1"/>
  <c r="L1731" i="8"/>
  <c r="P1731" i="8" s="1"/>
  <c r="L1903" i="8"/>
  <c r="P1903" i="8" s="1"/>
  <c r="L1482" i="8"/>
  <c r="P1482" i="8" s="1"/>
  <c r="L1383" i="8"/>
  <c r="P1383" i="8" s="1"/>
  <c r="K2185" i="8"/>
  <c r="O2185" i="8" s="1"/>
  <c r="O2021" i="8"/>
  <c r="O1913" i="8"/>
  <c r="O1752" i="8"/>
  <c r="O1493" i="8"/>
  <c r="O1393" i="8"/>
  <c r="K2170" i="8"/>
  <c r="O2170" i="8" s="1"/>
  <c r="K2008" i="8"/>
  <c r="O2008" i="8" s="1"/>
  <c r="K1729" i="8"/>
  <c r="O1729" i="8" s="1"/>
  <c r="K1901" i="8"/>
  <c r="O1901" i="8" s="1"/>
  <c r="K1381" i="8"/>
  <c r="O1381" i="8" s="1"/>
  <c r="K1480" i="8"/>
  <c r="O1480" i="8" s="1"/>
  <c r="K2167" i="8"/>
  <c r="O2167" i="8" s="1"/>
  <c r="K2005" i="8"/>
  <c r="O2005" i="8" s="1"/>
  <c r="K1898" i="8"/>
  <c r="O1898" i="8" s="1"/>
  <c r="K1726" i="8"/>
  <c r="O1726" i="8" s="1"/>
  <c r="K1477" i="8"/>
  <c r="O1477" i="8" s="1"/>
  <c r="K1378" i="8"/>
  <c r="O1378" i="8" s="1"/>
  <c r="K1398" i="8"/>
  <c r="O1398" i="8" s="1"/>
  <c r="K825" i="8"/>
  <c r="O825" i="8" s="1"/>
  <c r="K2254" i="8"/>
  <c r="O2254" i="8" s="1"/>
  <c r="K2076" i="8"/>
  <c r="O2076" i="8" s="1"/>
  <c r="K1811" i="8"/>
  <c r="O1811" i="8" s="1"/>
  <c r="K1947" i="8"/>
  <c r="O1947" i="8" s="1"/>
  <c r="K1421" i="8"/>
  <c r="O1421" i="8" s="1"/>
  <c r="K2166" i="8"/>
  <c r="O2166" i="8" s="1"/>
  <c r="K2004" i="8"/>
  <c r="O2004" i="8" s="1"/>
  <c r="K1725" i="8"/>
  <c r="O1725" i="8" s="1"/>
  <c r="K1897" i="8"/>
  <c r="O1897" i="8" s="1"/>
  <c r="K1377" i="8"/>
  <c r="O1377" i="8" s="1"/>
  <c r="K1476" i="8"/>
  <c r="O1476" i="8" s="1"/>
  <c r="K425" i="5"/>
  <c r="Q425" i="5" s="1"/>
  <c r="K408" i="5"/>
  <c r="Q408" i="5" s="1"/>
  <c r="K1985" i="8"/>
  <c r="O1985" i="8" s="1"/>
  <c r="K2136" i="8"/>
  <c r="O2136" i="8" s="1"/>
  <c r="K1879" i="8"/>
  <c r="O1879" i="8" s="1"/>
  <c r="K1706" i="8"/>
  <c r="O1706" i="8" s="1"/>
  <c r="K1458" i="8"/>
  <c r="O1458" i="8" s="1"/>
  <c r="K1359" i="8"/>
  <c r="O1359" i="8" s="1"/>
  <c r="K2143" i="8"/>
  <c r="O2143" i="8" s="1"/>
  <c r="K1993" i="8"/>
  <c r="O1993" i="8" s="1"/>
  <c r="K2151" i="8"/>
  <c r="O2151" i="8" s="1"/>
  <c r="K2000" i="8"/>
  <c r="O2000" i="8" s="1"/>
  <c r="K1720" i="8"/>
  <c r="O1720" i="8" s="1"/>
  <c r="K1893" i="8"/>
  <c r="O1893" i="8" s="1"/>
  <c r="K1713" i="8"/>
  <c r="O1713" i="8" s="1"/>
  <c r="K1886" i="8"/>
  <c r="O1886" i="8" s="1"/>
  <c r="K1373" i="8"/>
  <c r="O1373" i="8" s="1"/>
  <c r="K1472" i="8"/>
  <c r="O1472" i="8" s="1"/>
  <c r="K1465" i="8"/>
  <c r="O1465" i="8" s="1"/>
  <c r="K1366" i="8"/>
  <c r="O1366" i="8" s="1"/>
  <c r="K2152" i="8"/>
  <c r="O2152" i="8" s="1"/>
  <c r="K2001" i="8"/>
  <c r="O2001" i="8" s="1"/>
  <c r="K1894" i="8"/>
  <c r="O1894" i="8" s="1"/>
  <c r="K1721" i="8"/>
  <c r="O1721" i="8" s="1"/>
  <c r="K1473" i="8"/>
  <c r="O1473" i="8" s="1"/>
  <c r="K1374" i="8"/>
  <c r="O1374" i="8" s="1"/>
  <c r="K424" i="5"/>
  <c r="Q424" i="5" s="1"/>
  <c r="K2141" i="8"/>
  <c r="O2141" i="8" s="1"/>
  <c r="K1991" i="8"/>
  <c r="O1991" i="8" s="1"/>
  <c r="K1711" i="8"/>
  <c r="O1711" i="8" s="1"/>
  <c r="K1884" i="8"/>
  <c r="O1884" i="8" s="1"/>
  <c r="K1364" i="8"/>
  <c r="O1364" i="8" s="1"/>
  <c r="K1463" i="8"/>
  <c r="O1463" i="8" s="1"/>
  <c r="K2211" i="8"/>
  <c r="O2211" i="8" s="1"/>
  <c r="K2280" i="8"/>
  <c r="O2280" i="8" s="1"/>
  <c r="K2045" i="8"/>
  <c r="O2045" i="8" s="1"/>
  <c r="K2095" i="8"/>
  <c r="O2095" i="8" s="1"/>
  <c r="K1965" i="8"/>
  <c r="O1965" i="8" s="1"/>
  <c r="K1937" i="8"/>
  <c r="O1937" i="8" s="1"/>
  <c r="K1777" i="8"/>
  <c r="O1777" i="8" s="1"/>
  <c r="K1830" i="8"/>
  <c r="O1830" i="8" s="1"/>
  <c r="K1555" i="8"/>
  <c r="O1555" i="8" s="1"/>
  <c r="K1439" i="8"/>
  <c r="O1439" i="8" s="1"/>
  <c r="K1414" i="8"/>
  <c r="O1414" i="8" s="1"/>
  <c r="K2269" i="8"/>
  <c r="O2269" i="8" s="1"/>
  <c r="K2088" i="8"/>
  <c r="O2088" i="8" s="1"/>
  <c r="K1824" i="8"/>
  <c r="O1824" i="8" s="1"/>
  <c r="K1550" i="8"/>
  <c r="O1550" i="8" s="1"/>
  <c r="K1958" i="8"/>
  <c r="O1958" i="8" s="1"/>
  <c r="K1772" i="8"/>
  <c r="O1772" i="8" s="1"/>
  <c r="K1430" i="8"/>
  <c r="O1430" i="8" s="1"/>
  <c r="K1409" i="8"/>
  <c r="O1409" i="8" s="1"/>
  <c r="K2260" i="8"/>
  <c r="O2260" i="8" s="1"/>
  <c r="K2081" i="8"/>
  <c r="O2081" i="8" s="1"/>
  <c r="K1950" i="8"/>
  <c r="O1950" i="8" s="1"/>
  <c r="K1815" i="8"/>
  <c r="O1815" i="8" s="1"/>
  <c r="K1767" i="8"/>
  <c r="O1767" i="8" s="1"/>
  <c r="K1404" i="8"/>
  <c r="O1404" i="8" s="1"/>
  <c r="K1507" i="8"/>
  <c r="O1507" i="8" s="1"/>
  <c r="K1424" i="8"/>
  <c r="O1424" i="8" s="1"/>
  <c r="K2169" i="8"/>
  <c r="O2169" i="8" s="1"/>
  <c r="K2007" i="8"/>
  <c r="O2007" i="8" s="1"/>
  <c r="K1900" i="8"/>
  <c r="O1900" i="8" s="1"/>
  <c r="K1728" i="8"/>
  <c r="O1728" i="8" s="1"/>
  <c r="K1479" i="8"/>
  <c r="O1479" i="8" s="1"/>
  <c r="K1380" i="8"/>
  <c r="O1380" i="8" s="1"/>
  <c r="K2272" i="8"/>
  <c r="O2272" i="8" s="1"/>
  <c r="K2091" i="8"/>
  <c r="O2091" i="8" s="1"/>
  <c r="K1961" i="8"/>
  <c r="O1961" i="8" s="1"/>
  <c r="K1827" i="8"/>
  <c r="O1827" i="8" s="1"/>
  <c r="K1553" i="8"/>
  <c r="O1553" i="8" s="1"/>
  <c r="K1433" i="8"/>
  <c r="O1433" i="8" s="1"/>
  <c r="K2207" i="8"/>
  <c r="O2207" i="8" s="1"/>
  <c r="K2041" i="8"/>
  <c r="O2041" i="8" s="1"/>
  <c r="K1932" i="8"/>
  <c r="O1932" i="8" s="1"/>
  <c r="K1403" i="8"/>
  <c r="O1403" i="8" s="1"/>
  <c r="K830" i="8"/>
  <c r="O830" i="8" s="1"/>
  <c r="K2261" i="8"/>
  <c r="O2261" i="8" s="1"/>
  <c r="K2082" i="8"/>
  <c r="O2082" i="8" s="1"/>
  <c r="K1817" i="8"/>
  <c r="O1817" i="8" s="1"/>
  <c r="K1545" i="8"/>
  <c r="O1545" i="8" s="1"/>
  <c r="K1951" i="8"/>
  <c r="O1951" i="8" s="1"/>
  <c r="K1425" i="8"/>
  <c r="O1425" i="8" s="1"/>
  <c r="L2271" i="8"/>
  <c r="P2271" i="8" s="1"/>
  <c r="L2090" i="8"/>
  <c r="P2090" i="8" s="1"/>
  <c r="L1960" i="8"/>
  <c r="P1960" i="8" s="1"/>
  <c r="L1826" i="8"/>
  <c r="P1826" i="8" s="1"/>
  <c r="L1552" i="8"/>
  <c r="P1552" i="8" s="1"/>
  <c r="L1432" i="8"/>
  <c r="P1432" i="8" s="1"/>
  <c r="L369" i="8"/>
  <c r="P369" i="8" s="1"/>
  <c r="L2277" i="8"/>
  <c r="P2277" i="8" s="1"/>
  <c r="L2209" i="8"/>
  <c r="P2209" i="8" s="1"/>
  <c r="L2092" i="8"/>
  <c r="P2092" i="8" s="1"/>
  <c r="L2043" i="8"/>
  <c r="P2043" i="8" s="1"/>
  <c r="L1962" i="8"/>
  <c r="P1962" i="8" s="1"/>
  <c r="L1935" i="8"/>
  <c r="P1935" i="8" s="1"/>
  <c r="L1828" i="8"/>
  <c r="P1828" i="8" s="1"/>
  <c r="L1775" i="8"/>
  <c r="P1775" i="8" s="1"/>
  <c r="L1514" i="8"/>
  <c r="P1514" i="8" s="1"/>
  <c r="L1412" i="8"/>
  <c r="P1412" i="8" s="1"/>
  <c r="L1434" i="8"/>
  <c r="P1434" i="8" s="1"/>
  <c r="L2280" i="8"/>
  <c r="P2280" i="8" s="1"/>
  <c r="L2045" i="8"/>
  <c r="P2045" i="8" s="1"/>
  <c r="L2095" i="8"/>
  <c r="P2095" i="8" s="1"/>
  <c r="L2211" i="8"/>
  <c r="P2211" i="8" s="1"/>
  <c r="L1965" i="8"/>
  <c r="P1965" i="8" s="1"/>
  <c r="L1777" i="8"/>
  <c r="P1777" i="8" s="1"/>
  <c r="L1830" i="8"/>
  <c r="P1830" i="8" s="1"/>
  <c r="L1555" i="8"/>
  <c r="P1555" i="8" s="1"/>
  <c r="L1937" i="8"/>
  <c r="P1937" i="8" s="1"/>
  <c r="L1414" i="8"/>
  <c r="P1414" i="8" s="1"/>
  <c r="L1439" i="8"/>
  <c r="P1439" i="8" s="1"/>
  <c r="L812" i="8"/>
  <c r="P812" i="8" s="1"/>
  <c r="L1933" i="8"/>
  <c r="P1933" i="8" s="1"/>
  <c r="L1773" i="8"/>
  <c r="P1773" i="8" s="1"/>
  <c r="L1410" i="8"/>
  <c r="P1410" i="8" s="1"/>
  <c r="L1512" i="8"/>
  <c r="P1512" i="8" s="1"/>
  <c r="L2269" i="8"/>
  <c r="P2269" i="8" s="1"/>
  <c r="L2088" i="8"/>
  <c r="P2088" i="8" s="1"/>
  <c r="L1958" i="8"/>
  <c r="P1958" i="8" s="1"/>
  <c r="L1772" i="8"/>
  <c r="P1772" i="8" s="1"/>
  <c r="L1824" i="8"/>
  <c r="P1824" i="8" s="1"/>
  <c r="L1550" i="8"/>
  <c r="P1550" i="8" s="1"/>
  <c r="L1430" i="8"/>
  <c r="P1430" i="8" s="1"/>
  <c r="L1409" i="8"/>
  <c r="P1409" i="8" s="1"/>
  <c r="L2203" i="8"/>
  <c r="P2203" i="8" s="1"/>
  <c r="L2037" i="8"/>
  <c r="P2037" i="8" s="1"/>
  <c r="L1928" i="8"/>
  <c r="P1928" i="8" s="1"/>
  <c r="L2200" i="8"/>
  <c r="P2200" i="8" s="1"/>
  <c r="L2034" i="8"/>
  <c r="P2034" i="8" s="1"/>
  <c r="L1926" i="8"/>
  <c r="P1926" i="8" s="1"/>
  <c r="L2036" i="8"/>
  <c r="P2036" i="8" s="1"/>
  <c r="L2201" i="8"/>
  <c r="P2201" i="8" s="1"/>
  <c r="L1927" i="8"/>
  <c r="P1927" i="8" s="1"/>
  <c r="L1766" i="8"/>
  <c r="P1766" i="8" s="1"/>
  <c r="L1506" i="8"/>
  <c r="P1506" i="8" s="1"/>
  <c r="L2081" i="8"/>
  <c r="P2081" i="8" s="1"/>
  <c r="L2260" i="8"/>
  <c r="P2260" i="8" s="1"/>
  <c r="L1815" i="8"/>
  <c r="P1815" i="8" s="1"/>
  <c r="L1767" i="8"/>
  <c r="P1767" i="8" s="1"/>
  <c r="L1950" i="8"/>
  <c r="P1950" i="8" s="1"/>
  <c r="L1507" i="8"/>
  <c r="P1507" i="8" s="1"/>
  <c r="L1424" i="8"/>
  <c r="P1424" i="8" s="1"/>
  <c r="L1404" i="8"/>
  <c r="P1404" i="8" s="1"/>
  <c r="L1074" i="8"/>
  <c r="P1074" i="8" s="1"/>
  <c r="L2129" i="8"/>
  <c r="P2129" i="8" s="1"/>
  <c r="L1978" i="8"/>
  <c r="P1978" i="8" s="1"/>
  <c r="L1872" i="8"/>
  <c r="P1872" i="8" s="1"/>
  <c r="L2727" i="8"/>
  <c r="P2727" i="8" s="1"/>
  <c r="L2097" i="8"/>
  <c r="P2097" i="8" s="1"/>
  <c r="L2187" i="8"/>
  <c r="P2187" i="8" s="1"/>
  <c r="L2214" i="8"/>
  <c r="P2214" i="8" s="1"/>
  <c r="L2023" i="8"/>
  <c r="P2023" i="8" s="1"/>
  <c r="L2284" i="8"/>
  <c r="P2284" i="8" s="1"/>
  <c r="L2047" i="8"/>
  <c r="P2047" i="8" s="1"/>
  <c r="L1967" i="8"/>
  <c r="P1967" i="8" s="1"/>
  <c r="L1779" i="8"/>
  <c r="P1779" i="8" s="1"/>
  <c r="L1832" i="8"/>
  <c r="P1832" i="8" s="1"/>
  <c r="L1557" i="8"/>
  <c r="P1557" i="8" s="1"/>
  <c r="L1939" i="8"/>
  <c r="P1939" i="8" s="1"/>
  <c r="L1915" i="8"/>
  <c r="P1915" i="8" s="1"/>
  <c r="L1754" i="8"/>
  <c r="P1754" i="8" s="1"/>
  <c r="L1416" i="8"/>
  <c r="P1416" i="8" s="1"/>
  <c r="L1495" i="8"/>
  <c r="P1495" i="8" s="1"/>
  <c r="L1441" i="8"/>
  <c r="P1441" i="8" s="1"/>
  <c r="L1395" i="8"/>
  <c r="P1395" i="8" s="1"/>
  <c r="L1517" i="8"/>
  <c r="P1517" i="8" s="1"/>
  <c r="L2174" i="8"/>
  <c r="P2174" i="8" s="1"/>
  <c r="L2012" i="8"/>
  <c r="P2012" i="8" s="1"/>
  <c r="L1733" i="8"/>
  <c r="P1733" i="8" s="1"/>
  <c r="L1905" i="8"/>
  <c r="P1905" i="8" s="1"/>
  <c r="L1484" i="8"/>
  <c r="P1484" i="8" s="1"/>
  <c r="L1385" i="8"/>
  <c r="P1385" i="8" s="1"/>
  <c r="L2204" i="8"/>
  <c r="P2204" i="8" s="1"/>
  <c r="L2039" i="8"/>
  <c r="P2039" i="8" s="1"/>
  <c r="L2038" i="8"/>
  <c r="P2038" i="8" s="1"/>
  <c r="L2206" i="8"/>
  <c r="P2206" i="8" s="1"/>
  <c r="L2205" i="8"/>
  <c r="P2205" i="8" s="1"/>
  <c r="L2040" i="8"/>
  <c r="P2040" i="8" s="1"/>
  <c r="L1931" i="8"/>
  <c r="P1931" i="8" s="1"/>
  <c r="L1930" i="8"/>
  <c r="P1930" i="8" s="1"/>
  <c r="L1929" i="8"/>
  <c r="P1929" i="8" s="1"/>
  <c r="L2020" i="8"/>
  <c r="P2020" i="8" s="1"/>
  <c r="L2184" i="8"/>
  <c r="P2184" i="8" s="1"/>
  <c r="L1912" i="8"/>
  <c r="P1912" i="8" s="1"/>
  <c r="L1751" i="8"/>
  <c r="P1751" i="8" s="1"/>
  <c r="L1492" i="8"/>
  <c r="P1492" i="8" s="1"/>
  <c r="L1392" i="8"/>
  <c r="P1392" i="8" s="1"/>
  <c r="L2168" i="8"/>
  <c r="P2168" i="8" s="1"/>
  <c r="L2006" i="8"/>
  <c r="P2006" i="8" s="1"/>
  <c r="L1727" i="8"/>
  <c r="P1727" i="8" s="1"/>
  <c r="L1899" i="8"/>
  <c r="P1899" i="8" s="1"/>
  <c r="L1478" i="8"/>
  <c r="P1478" i="8" s="1"/>
  <c r="L1379" i="8"/>
  <c r="P1379" i="8" s="1"/>
  <c r="L2030" i="8"/>
  <c r="P2030" i="8" s="1"/>
  <c r="L2197" i="8"/>
  <c r="P2197" i="8" s="1"/>
  <c r="L1922" i="8"/>
  <c r="P1922" i="8" s="1"/>
  <c r="L1762" i="8"/>
  <c r="P1762" i="8" s="1"/>
  <c r="L1503" i="8"/>
  <c r="P1503" i="8" s="1"/>
  <c r="L1400" i="8"/>
  <c r="P1400" i="8" s="1"/>
  <c r="L2027" i="8"/>
  <c r="P2027" i="8" s="1"/>
  <c r="L2193" i="8"/>
  <c r="P2193" i="8" s="1"/>
  <c r="L1920" i="8"/>
  <c r="P1920" i="8" s="1"/>
  <c r="L2195" i="8"/>
  <c r="P2195" i="8" s="1"/>
  <c r="L2028" i="8"/>
  <c r="P2028" i="8" s="1"/>
  <c r="L1760" i="8"/>
  <c r="P1760" i="8" s="1"/>
  <c r="L1921" i="8"/>
  <c r="P1921" i="8" s="1"/>
  <c r="L1499" i="8"/>
  <c r="P1499" i="8" s="1"/>
  <c r="L2075" i="8"/>
  <c r="P2075" i="8" s="1"/>
  <c r="L2253" i="8"/>
  <c r="P2253" i="8" s="1"/>
  <c r="L1809" i="8"/>
  <c r="P1809" i="8" s="1"/>
  <c r="L1946" i="8"/>
  <c r="P1946" i="8" s="1"/>
  <c r="L1761" i="8"/>
  <c r="P1761" i="8" s="1"/>
  <c r="L1399" i="8"/>
  <c r="P1399" i="8" s="1"/>
  <c r="L1420" i="8"/>
  <c r="P1420" i="8" s="1"/>
  <c r="L1501" i="8"/>
  <c r="P1501" i="8" s="1"/>
  <c r="L2182" i="8"/>
  <c r="P2182" i="8" s="1"/>
  <c r="L2019" i="8"/>
  <c r="P2019" i="8" s="1"/>
  <c r="L1911" i="8"/>
  <c r="P1911" i="8" s="1"/>
  <c r="L1750" i="8"/>
  <c r="P1750" i="8" s="1"/>
  <c r="L1491" i="8"/>
  <c r="P1491" i="8" s="1"/>
  <c r="L1391" i="8"/>
  <c r="P1391" i="8" s="1"/>
  <c r="L2142" i="8"/>
  <c r="P2142" i="8" s="1"/>
  <c r="L1992" i="8"/>
  <c r="P1992" i="8" s="1"/>
  <c r="L1885" i="8"/>
  <c r="P1885" i="8" s="1"/>
  <c r="L1712" i="8"/>
  <c r="P1712" i="8" s="1"/>
  <c r="L1464" i="8"/>
  <c r="P1464" i="8" s="1"/>
  <c r="L1365" i="8"/>
  <c r="P1365" i="8" s="1"/>
  <c r="L2137" i="8"/>
  <c r="P2137" i="8" s="1"/>
  <c r="L1986" i="8"/>
  <c r="P1986" i="8" s="1"/>
  <c r="L1880" i="8"/>
  <c r="P1880" i="8" s="1"/>
  <c r="L1707" i="8"/>
  <c r="P1707" i="8" s="1"/>
  <c r="L1459" i="8"/>
  <c r="P1459" i="8" s="1"/>
  <c r="L1360" i="8"/>
  <c r="P1360" i="8" s="1"/>
  <c r="L2135" i="8"/>
  <c r="P2135" i="8" s="1"/>
  <c r="L1984" i="8"/>
  <c r="P1984" i="8" s="1"/>
  <c r="L1878" i="8"/>
  <c r="P1878" i="8" s="1"/>
  <c r="L1705" i="8"/>
  <c r="P1705" i="8" s="1"/>
  <c r="L1457" i="8"/>
  <c r="P1457" i="8" s="1"/>
  <c r="L1358" i="8"/>
  <c r="P1358" i="8" s="1"/>
  <c r="M426" i="5"/>
  <c r="S426" i="5" s="1"/>
  <c r="M409" i="5"/>
  <c r="S409" i="5" s="1"/>
  <c r="L2144" i="8"/>
  <c r="P2144" i="8" s="1"/>
  <c r="L1994" i="8"/>
  <c r="P1994" i="8" s="1"/>
  <c r="L1887" i="8"/>
  <c r="P1887" i="8" s="1"/>
  <c r="L1714" i="8"/>
  <c r="P1714" i="8" s="1"/>
  <c r="L1466" i="8"/>
  <c r="P1466" i="8" s="1"/>
  <c r="L1367" i="8"/>
  <c r="P1367" i="8" s="1"/>
  <c r="L1995" i="8"/>
  <c r="P1995" i="8" s="1"/>
  <c r="L2145" i="8"/>
  <c r="P2145" i="8" s="1"/>
  <c r="L1715" i="8"/>
  <c r="P1715" i="8" s="1"/>
  <c r="L1888" i="8"/>
  <c r="P1888" i="8" s="1"/>
  <c r="L1467" i="8"/>
  <c r="P1467" i="8" s="1"/>
  <c r="L1368" i="8"/>
  <c r="P1368" i="8" s="1"/>
  <c r="M423" i="5"/>
  <c r="S423" i="5" s="1"/>
  <c r="L2140" i="8"/>
  <c r="P2140" i="8" s="1"/>
  <c r="L1990" i="8"/>
  <c r="P1990" i="8" s="1"/>
  <c r="L1883" i="8"/>
  <c r="P1883" i="8" s="1"/>
  <c r="L1710" i="8"/>
  <c r="P1710" i="8" s="1"/>
  <c r="L1363" i="8"/>
  <c r="P1363" i="8" s="1"/>
  <c r="L1462" i="8"/>
  <c r="P1462" i="8" s="1"/>
  <c r="E128" i="23"/>
  <c r="L2714" i="8"/>
  <c r="P2714" i="8" s="1"/>
  <c r="L2674" i="8"/>
  <c r="P2674" i="8" s="1"/>
  <c r="L2505" i="8"/>
  <c r="P2505" i="8" s="1"/>
  <c r="L2465" i="8"/>
  <c r="P2465" i="8" s="1"/>
  <c r="L955" i="8"/>
  <c r="P955" i="8" s="1"/>
  <c r="L928" i="8"/>
  <c r="P928" i="8" s="1"/>
  <c r="L471" i="8"/>
  <c r="P471" i="8" s="1"/>
  <c r="L371" i="8"/>
  <c r="P371" i="8" s="1"/>
  <c r="L840" i="8"/>
  <c r="P840" i="8" s="1"/>
  <c r="L287" i="8"/>
  <c r="P287" i="8" s="1"/>
  <c r="L731" i="8"/>
  <c r="P731" i="8" s="1"/>
  <c r="L2606" i="8"/>
  <c r="P2606" i="8" s="1"/>
  <c r="L884" i="8"/>
  <c r="P884" i="8" s="1"/>
  <c r="L772" i="8"/>
  <c r="P772" i="8" s="1"/>
  <c r="L939" i="8"/>
  <c r="P939" i="8" s="1"/>
  <c r="L826" i="8"/>
  <c r="P826" i="8" s="1"/>
  <c r="L482" i="8"/>
  <c r="P482" i="8" s="1"/>
  <c r="L355" i="8"/>
  <c r="P355" i="8" s="1"/>
  <c r="L771" i="8"/>
  <c r="P771" i="8" s="1"/>
  <c r="M427" i="5"/>
  <c r="S427" i="5" s="1"/>
  <c r="K840" i="8"/>
  <c r="O840" i="8" s="1"/>
  <c r="K2714" i="8"/>
  <c r="O2714" i="8" s="1"/>
  <c r="K2674" i="8"/>
  <c r="O2674" i="8" s="1"/>
  <c r="K2505" i="8"/>
  <c r="O2505" i="8" s="1"/>
  <c r="K2465" i="8"/>
  <c r="O2465" i="8" s="1"/>
  <c r="K955" i="8"/>
  <c r="O955" i="8" s="1"/>
  <c r="K928" i="8"/>
  <c r="O928" i="8" s="1"/>
  <c r="K471" i="8"/>
  <c r="O471" i="8" s="1"/>
  <c r="K371" i="8"/>
  <c r="O371" i="8" s="1"/>
  <c r="L432" i="8"/>
  <c r="P432" i="8" s="1"/>
  <c r="L305" i="8"/>
  <c r="P305" i="8" s="1"/>
  <c r="K939" i="8"/>
  <c r="O939" i="8" s="1"/>
  <c r="K826" i="8"/>
  <c r="O826" i="8" s="1"/>
  <c r="K482" i="8"/>
  <c r="O482" i="8" s="1"/>
  <c r="K355" i="8"/>
  <c r="O355" i="8" s="1"/>
  <c r="K771" i="8"/>
  <c r="O771" i="8" s="1"/>
  <c r="K427" i="5"/>
  <c r="Q427" i="5" s="1"/>
  <c r="L2530" i="8"/>
  <c r="P2530" i="8" s="1"/>
  <c r="L2330" i="8"/>
  <c r="P2330" i="8" s="1"/>
  <c r="L2726" i="8"/>
  <c r="P2726" i="8" s="1"/>
  <c r="L501" i="8"/>
  <c r="P501" i="8" s="1"/>
  <c r="L2698" i="8"/>
  <c r="P2698" i="8" s="1"/>
  <c r="L2489" i="8"/>
  <c r="P2489" i="8" s="1"/>
  <c r="M875" i="5"/>
  <c r="L513" i="8"/>
  <c r="P513" i="8" s="1"/>
  <c r="L934" i="8"/>
  <c r="P934" i="8" s="1"/>
  <c r="L350" i="8"/>
  <c r="P350" i="8" s="1"/>
  <c r="L477" i="8"/>
  <c r="P477" i="8" s="1"/>
  <c r="K2698" i="8"/>
  <c r="O2698" i="8" s="1"/>
  <c r="K2489" i="8"/>
  <c r="O2489" i="8" s="1"/>
  <c r="K875" i="5"/>
  <c r="K513" i="8"/>
  <c r="O513" i="8" s="1"/>
  <c r="M960" i="5"/>
  <c r="L2627" i="8"/>
  <c r="P2627" i="8" s="1"/>
  <c r="L763" i="8"/>
  <c r="P763" i="8" s="1"/>
  <c r="L2546" i="8"/>
  <c r="P2546" i="8" s="1"/>
  <c r="L742" i="8"/>
  <c r="P742" i="8" s="1"/>
  <c r="L2619" i="8"/>
  <c r="P2619" i="8" s="1"/>
  <c r="L754" i="8"/>
  <c r="P754" i="8" s="1"/>
  <c r="L2390" i="8"/>
  <c r="P2390" i="8" s="1"/>
  <c r="L858" i="8"/>
  <c r="P858" i="8" s="1"/>
  <c r="L851" i="8"/>
  <c r="P851" i="8" s="1"/>
  <c r="L508" i="8"/>
  <c r="P508" i="8" s="1"/>
  <c r="L966" i="8"/>
  <c r="P966" i="8" s="1"/>
  <c r="L2731" i="8"/>
  <c r="P2731" i="8" s="1"/>
  <c r="L2519" i="8"/>
  <c r="P2519" i="8" s="1"/>
  <c r="L398" i="8"/>
  <c r="P398" i="8" s="1"/>
  <c r="L2614" i="8"/>
  <c r="P2614" i="8" s="1"/>
  <c r="L2624" i="8"/>
  <c r="P2624" i="8" s="1"/>
  <c r="L2395" i="8"/>
  <c r="P2395" i="8" s="1"/>
  <c r="L2385" i="8"/>
  <c r="P2385" i="8" s="1"/>
  <c r="L760" i="8"/>
  <c r="P760" i="8" s="1"/>
  <c r="L761" i="8"/>
  <c r="P761" i="8" s="1"/>
  <c r="L2396" i="8"/>
  <c r="P2396" i="8" s="1"/>
  <c r="L2625" i="8"/>
  <c r="P2625" i="8" s="1"/>
  <c r="M958" i="5"/>
  <c r="S958" i="5" s="1"/>
  <c r="L848" i="8"/>
  <c r="P848" i="8" s="1"/>
  <c r="L963" i="8"/>
  <c r="P963" i="8" s="1"/>
  <c r="L505" i="8"/>
  <c r="P505" i="8" s="1"/>
  <c r="L2587" i="8"/>
  <c r="P2587" i="8" s="1"/>
  <c r="L758" i="8"/>
  <c r="P758" i="8" s="1"/>
  <c r="L859" i="8"/>
  <c r="P859" i="8" s="1"/>
  <c r="K2546" i="8"/>
  <c r="O2546" i="8" s="1"/>
  <c r="K742" i="8"/>
  <c r="O742" i="8" s="1"/>
  <c r="K2619" i="8"/>
  <c r="O2619" i="8" s="1"/>
  <c r="K2390" i="8"/>
  <c r="O2390" i="8" s="1"/>
  <c r="K754" i="8"/>
  <c r="O754" i="8" s="1"/>
  <c r="L759" i="8"/>
  <c r="P759" i="8" s="1"/>
  <c r="L2613" i="8"/>
  <c r="P2613" i="8" s="1"/>
  <c r="L2623" i="8"/>
  <c r="P2623" i="8" s="1"/>
  <c r="L2394" i="8"/>
  <c r="P2394" i="8" s="1"/>
  <c r="L2384" i="8"/>
  <c r="P2384" i="8" s="1"/>
  <c r="L2514" i="8"/>
  <c r="P2514" i="8" s="1"/>
  <c r="L530" i="8"/>
  <c r="P530" i="8" s="1"/>
  <c r="L525" i="8"/>
  <c r="P525" i="8" s="1"/>
  <c r="K760" i="8"/>
  <c r="O760" i="8" s="1"/>
  <c r="K2614" i="8"/>
  <c r="O2614" i="8" s="1"/>
  <c r="K2624" i="8"/>
  <c r="O2624" i="8" s="1"/>
  <c r="K2395" i="8"/>
  <c r="O2395" i="8" s="1"/>
  <c r="K2385" i="8"/>
  <c r="O2385" i="8" s="1"/>
  <c r="K2396" i="8"/>
  <c r="O2396" i="8" s="1"/>
  <c r="K761" i="8"/>
  <c r="O761" i="8" s="1"/>
  <c r="K2625" i="8"/>
  <c r="O2625" i="8" s="1"/>
  <c r="K963" i="8"/>
  <c r="O963" i="8" s="1"/>
  <c r="K848" i="8"/>
  <c r="O848" i="8" s="1"/>
  <c r="K505" i="8"/>
  <c r="O505" i="8" s="1"/>
  <c r="K2587" i="8"/>
  <c r="O2587" i="8" s="1"/>
  <c r="K859" i="8"/>
  <c r="O859" i="8" s="1"/>
  <c r="K758" i="8"/>
  <c r="O758" i="8" s="1"/>
  <c r="L783" i="8"/>
  <c r="P783" i="8" s="1"/>
  <c r="L2633" i="8"/>
  <c r="P2633" i="8" s="1"/>
  <c r="L2421" i="8"/>
  <c r="P2421" i="8" s="1"/>
  <c r="L2595" i="8"/>
  <c r="P2595" i="8" s="1"/>
  <c r="L2620" i="8"/>
  <c r="P2620" i="8" s="1"/>
  <c r="L2391" i="8"/>
  <c r="P2391" i="8" s="1"/>
  <c r="L755" i="8"/>
  <c r="P755" i="8" s="1"/>
  <c r="L965" i="8"/>
  <c r="P965" i="8" s="1"/>
  <c r="L850" i="8"/>
  <c r="P850" i="8" s="1"/>
  <c r="L2741" i="8"/>
  <c r="P2741" i="8" s="1"/>
  <c r="L520" i="8"/>
  <c r="P520" i="8" s="1"/>
  <c r="L545" i="8"/>
  <c r="P545" i="8" s="1"/>
  <c r="L2736" i="8"/>
  <c r="P2736" i="8" s="1"/>
  <c r="L540" i="8"/>
  <c r="P540" i="8" s="1"/>
  <c r="L535" i="8"/>
  <c r="P535" i="8" s="1"/>
  <c r="L393" i="8"/>
  <c r="P393" i="8" s="1"/>
  <c r="L506" i="8"/>
  <c r="P506" i="8" s="1"/>
  <c r="L849" i="8"/>
  <c r="P849" i="8" s="1"/>
  <c r="L2737" i="8"/>
  <c r="P2737" i="8" s="1"/>
  <c r="L2742" i="8"/>
  <c r="P2742" i="8" s="1"/>
  <c r="L526" i="8"/>
  <c r="P526" i="8" s="1"/>
  <c r="L2520" i="8"/>
  <c r="P2520" i="8" s="1"/>
  <c r="L546" i="8"/>
  <c r="P546" i="8" s="1"/>
  <c r="L541" i="8"/>
  <c r="P541" i="8" s="1"/>
  <c r="L536" i="8"/>
  <c r="P536" i="8" s="1"/>
  <c r="L531" i="8"/>
  <c r="P531" i="8" s="1"/>
  <c r="L521" i="8"/>
  <c r="P521" i="8" s="1"/>
  <c r="L2732" i="8"/>
  <c r="P2732" i="8" s="1"/>
  <c r="L2515" i="8"/>
  <c r="P2515" i="8" s="1"/>
  <c r="L389" i="8"/>
  <c r="P389" i="8" s="1"/>
  <c r="L394" i="8"/>
  <c r="P394" i="8" s="1"/>
  <c r="L399" i="8"/>
  <c r="P399" i="8" s="1"/>
  <c r="L384" i="8"/>
  <c r="P384" i="8" s="1"/>
  <c r="L967" i="8"/>
  <c r="P967" i="8" s="1"/>
  <c r="L852" i="8"/>
  <c r="P852" i="8" s="1"/>
  <c r="L509" i="8"/>
  <c r="P509" i="8" s="1"/>
  <c r="L2612" i="8"/>
  <c r="P2612" i="8" s="1"/>
  <c r="L2393" i="8"/>
  <c r="P2393" i="8" s="1"/>
  <c r="L757" i="8"/>
  <c r="P757" i="8" s="1"/>
  <c r="L756" i="8"/>
  <c r="P756" i="8" s="1"/>
  <c r="L2392" i="8"/>
  <c r="P2392" i="8" s="1"/>
  <c r="K783" i="8"/>
  <c r="O783" i="8" s="1"/>
  <c r="K2633" i="8"/>
  <c r="O2633" i="8" s="1"/>
  <c r="K2421" i="8"/>
  <c r="O2421" i="8" s="1"/>
  <c r="K2595" i="8"/>
  <c r="O2595" i="8" s="1"/>
  <c r="K2620" i="8"/>
  <c r="O2620" i="8" s="1"/>
  <c r="K2391" i="8"/>
  <c r="O2391" i="8" s="1"/>
  <c r="K755" i="8"/>
  <c r="O755" i="8" s="1"/>
  <c r="K965" i="8"/>
  <c r="O965" i="8" s="1"/>
  <c r="K850" i="8"/>
  <c r="O850" i="8" s="1"/>
  <c r="K849" i="8"/>
  <c r="O849" i="8" s="1"/>
  <c r="K506" i="8"/>
  <c r="O506" i="8" s="1"/>
  <c r="K2732" i="8"/>
  <c r="O2732" i="8" s="1"/>
  <c r="K2520" i="8"/>
  <c r="O2520" i="8" s="1"/>
  <c r="K2515" i="8"/>
  <c r="O2515" i="8" s="1"/>
  <c r="K2737" i="8"/>
  <c r="O2737" i="8" s="1"/>
  <c r="K2742" i="8"/>
  <c r="O2742" i="8" s="1"/>
  <c r="K526" i="8"/>
  <c r="O526" i="8" s="1"/>
  <c r="K546" i="8"/>
  <c r="O546" i="8" s="1"/>
  <c r="K531" i="8"/>
  <c r="O531" i="8" s="1"/>
  <c r="K521" i="8"/>
  <c r="O521" i="8" s="1"/>
  <c r="K541" i="8"/>
  <c r="O541" i="8" s="1"/>
  <c r="K536" i="8"/>
  <c r="O536" i="8" s="1"/>
  <c r="K399" i="8"/>
  <c r="O399" i="8" s="1"/>
  <c r="K389" i="8"/>
  <c r="O389" i="8" s="1"/>
  <c r="K394" i="8"/>
  <c r="O394" i="8" s="1"/>
  <c r="K384" i="8"/>
  <c r="O384" i="8" s="1"/>
  <c r="K967" i="8"/>
  <c r="O967" i="8" s="1"/>
  <c r="K509" i="8"/>
  <c r="O509" i="8" s="1"/>
  <c r="K852" i="8"/>
  <c r="O852" i="8" s="1"/>
  <c r="K2612" i="8"/>
  <c r="O2612" i="8" s="1"/>
  <c r="K2393" i="8"/>
  <c r="O2393" i="8" s="1"/>
  <c r="K757" i="8"/>
  <c r="O757" i="8" s="1"/>
  <c r="K2392" i="8"/>
  <c r="O2392" i="8" s="1"/>
  <c r="K756" i="8"/>
  <c r="O756" i="8" s="1"/>
  <c r="K2586" i="8"/>
  <c r="O2586" i="8" s="1"/>
  <c r="L2586" i="8"/>
  <c r="P2586" i="8" s="1"/>
  <c r="L379" i="8"/>
  <c r="P379" i="8" s="1"/>
  <c r="K379" i="8"/>
  <c r="O379" i="8" s="1"/>
  <c r="L380" i="8"/>
  <c r="P380" i="8" s="1"/>
  <c r="K380" i="8"/>
  <c r="O380" i="8" s="1"/>
  <c r="K2585" i="8"/>
  <c r="O2585" i="8" s="1"/>
  <c r="L2610" i="8"/>
  <c r="P2610" i="8" s="1"/>
  <c r="K2610" i="8"/>
  <c r="O2610" i="8" s="1"/>
  <c r="L382" i="8"/>
  <c r="P382" i="8" s="1"/>
  <c r="L381" i="8"/>
  <c r="P381" i="8" s="1"/>
  <c r="L2724" i="8"/>
  <c r="P2724" i="8" s="1"/>
  <c r="K381" i="8"/>
  <c r="O381" i="8" s="1"/>
  <c r="L403" i="8"/>
  <c r="P403" i="8" s="1"/>
  <c r="L2723" i="8"/>
  <c r="P2723" i="8" s="1"/>
  <c r="L388" i="8"/>
  <c r="P388" i="8" s="1"/>
  <c r="L2722" i="8"/>
  <c r="P2722" i="8" s="1"/>
  <c r="L404" i="8"/>
  <c r="P404" i="8" s="1"/>
  <c r="L383" i="8"/>
  <c r="P383" i="8" s="1"/>
  <c r="K404" i="8"/>
  <c r="O404" i="8" s="1"/>
  <c r="K383" i="8"/>
  <c r="O383" i="8" s="1"/>
  <c r="L2585" i="8"/>
  <c r="P2585" i="8" s="1"/>
  <c r="L2589" i="8"/>
  <c r="P2589" i="8" s="1"/>
  <c r="L790" i="8"/>
  <c r="P790" i="8" s="1"/>
  <c r="L2641" i="8"/>
  <c r="P2641" i="8" s="1"/>
  <c r="K2589" i="8"/>
  <c r="O2589" i="8" s="1"/>
  <c r="K2709" i="8"/>
  <c r="O2709" i="8" s="1"/>
  <c r="K835" i="8"/>
  <c r="O835" i="8" s="1"/>
  <c r="K811" i="8"/>
  <c r="O811" i="8" s="1"/>
  <c r="K2500" i="8"/>
  <c r="O2500" i="8" s="1"/>
  <c r="K2702" i="8"/>
  <c r="O2702" i="8" s="1"/>
  <c r="K806" i="8"/>
  <c r="O806" i="8" s="1"/>
  <c r="K829" i="8"/>
  <c r="O829" i="8" s="1"/>
  <c r="K2493" i="8"/>
  <c r="O2493" i="8" s="1"/>
  <c r="L2370" i="8"/>
  <c r="P2370" i="8" s="1"/>
  <c r="L2578" i="8"/>
  <c r="P2578" i="8" s="1"/>
  <c r="L2701" i="8"/>
  <c r="P2701" i="8" s="1"/>
  <c r="L805" i="8"/>
  <c r="P805" i="8" s="1"/>
  <c r="L2492" i="8"/>
  <c r="P2492" i="8" s="1"/>
  <c r="K2371" i="8"/>
  <c r="O2371" i="8" s="1"/>
  <c r="K2581" i="8"/>
  <c r="O2581" i="8" s="1"/>
  <c r="K2370" i="8"/>
  <c r="O2370" i="8" s="1"/>
  <c r="K2578" i="8"/>
  <c r="O2578" i="8" s="1"/>
  <c r="L2372" i="8"/>
  <c r="P2372" i="8" s="1"/>
  <c r="L2582" i="8"/>
  <c r="P2582" i="8" s="1"/>
  <c r="L2668" i="8"/>
  <c r="P2668" i="8" s="1"/>
  <c r="L2459" i="8"/>
  <c r="P2459" i="8" s="1"/>
  <c r="L2707" i="8"/>
  <c r="P2707" i="8" s="1"/>
  <c r="L2498" i="8"/>
  <c r="P2498" i="8" s="1"/>
  <c r="L814" i="8"/>
  <c r="P814" i="8" s="1"/>
  <c r="L838" i="8"/>
  <c r="P838" i="8" s="1"/>
  <c r="L816" i="8"/>
  <c r="P816" i="8" s="1"/>
  <c r="L2670" i="8"/>
  <c r="P2670" i="8" s="1"/>
  <c r="L2461" i="8"/>
  <c r="P2461" i="8" s="1"/>
  <c r="L2709" i="8"/>
  <c r="P2709" i="8" s="1"/>
  <c r="L835" i="8"/>
  <c r="P835" i="8" s="1"/>
  <c r="L811" i="8"/>
  <c r="P811" i="8" s="1"/>
  <c r="L2500" i="8"/>
  <c r="P2500" i="8" s="1"/>
  <c r="L2663" i="8"/>
  <c r="P2663" i="8" s="1"/>
  <c r="L2454" i="8"/>
  <c r="P2454" i="8" s="1"/>
  <c r="L2661" i="8"/>
  <c r="P2661" i="8" s="1"/>
  <c r="L2452" i="8"/>
  <c r="P2452" i="8" s="1"/>
  <c r="L1304" i="8"/>
  <c r="P1304" i="8" s="1"/>
  <c r="L2662" i="8"/>
  <c r="P2662" i="8" s="1"/>
  <c r="L2453" i="8"/>
  <c r="P2453" i="8" s="1"/>
  <c r="L2702" i="8"/>
  <c r="P2702" i="8" s="1"/>
  <c r="L806" i="8"/>
  <c r="P806" i="8" s="1"/>
  <c r="L829" i="8"/>
  <c r="P829" i="8" s="1"/>
  <c r="L2493" i="8"/>
  <c r="P2493" i="8" s="1"/>
  <c r="L35" i="8"/>
  <c r="L730" i="8"/>
  <c r="P730" i="8" s="1"/>
  <c r="K2331" i="8"/>
  <c r="O2331" i="8" s="1"/>
  <c r="K2531" i="8"/>
  <c r="O2531" i="8" s="1"/>
  <c r="L2652" i="8"/>
  <c r="P2652" i="8" s="1"/>
  <c r="L821" i="8"/>
  <c r="P821" i="8" s="1"/>
  <c r="L797" i="8"/>
  <c r="P797" i="8" s="1"/>
  <c r="L845" i="8"/>
  <c r="P845" i="8" s="1"/>
  <c r="L2510" i="8"/>
  <c r="P2510" i="8" s="1"/>
  <c r="L2443" i="8"/>
  <c r="P2443" i="8" s="1"/>
  <c r="L844" i="8"/>
  <c r="P844" i="8" s="1"/>
  <c r="L820" i="8"/>
  <c r="P820" i="8" s="1"/>
  <c r="L2509" i="8"/>
  <c r="P2509" i="8" s="1"/>
  <c r="L2591" i="8"/>
  <c r="P2591" i="8" s="1"/>
  <c r="L2616" i="8"/>
  <c r="P2616" i="8" s="1"/>
  <c r="L2635" i="8"/>
  <c r="P2635" i="8" s="1"/>
  <c r="L784" i="8"/>
  <c r="P784" i="8" s="1"/>
  <c r="L2431" i="8"/>
  <c r="P2431" i="8" s="1"/>
  <c r="L2568" i="8"/>
  <c r="P2568" i="8" s="1"/>
  <c r="L2365" i="8"/>
  <c r="P2365" i="8" s="1"/>
  <c r="L2563" i="8"/>
  <c r="P2563" i="8" s="1"/>
  <c r="L2363" i="8"/>
  <c r="P2363" i="8" s="1"/>
  <c r="L2564" i="8"/>
  <c r="P2564" i="8" s="1"/>
  <c r="L2364" i="8"/>
  <c r="P2364" i="8" s="1"/>
  <c r="L2380" i="8"/>
  <c r="P2380" i="8" s="1"/>
  <c r="L2594" i="8"/>
  <c r="P2594" i="8" s="1"/>
  <c r="L2650" i="8"/>
  <c r="P2650" i="8" s="1"/>
  <c r="L795" i="8"/>
  <c r="P795" i="8" s="1"/>
  <c r="L2441" i="8"/>
  <c r="P2441" i="8" s="1"/>
  <c r="L2422" i="8"/>
  <c r="P2422" i="8" s="1"/>
  <c r="L2634" i="8"/>
  <c r="P2634" i="8" s="1"/>
  <c r="L2631" i="8"/>
  <c r="P2631" i="8" s="1"/>
  <c r="L781" i="8"/>
  <c r="P781" i="8" s="1"/>
  <c r="L2696" i="8"/>
  <c r="P2696" i="8" s="1"/>
  <c r="L800" i="8"/>
  <c r="P800" i="8" s="1"/>
  <c r="L2487" i="8"/>
  <c r="P2487" i="8" s="1"/>
  <c r="L2630" i="8"/>
  <c r="P2630" i="8" s="1"/>
  <c r="L780" i="8"/>
  <c r="P780" i="8" s="1"/>
  <c r="L2605" i="8"/>
  <c r="P2605" i="8" s="1"/>
  <c r="L768" i="8"/>
  <c r="P768" i="8" s="1"/>
  <c r="L2539" i="8"/>
  <c r="P2539" i="8" s="1"/>
  <c r="L2339" i="8"/>
  <c r="P2339" i="8" s="1"/>
  <c r="L738" i="8"/>
  <c r="P738" i="8" s="1"/>
  <c r="L2557" i="8"/>
  <c r="P2557" i="8" s="1"/>
  <c r="L2551" i="8"/>
  <c r="P2551" i="8" s="1"/>
  <c r="L2603" i="8"/>
  <c r="P2603" i="8" s="1"/>
  <c r="L769" i="8"/>
  <c r="P769" i="8" s="1"/>
  <c r="L2588" i="8"/>
  <c r="P2588" i="8" s="1"/>
  <c r="L776" i="8"/>
  <c r="P776" i="8" s="1"/>
  <c r="L2597" i="8"/>
  <c r="P2597" i="8" s="1"/>
  <c r="L777" i="8"/>
  <c r="P777" i="8" s="1"/>
  <c r="L2414" i="8"/>
  <c r="P2414" i="8" s="1"/>
  <c r="L2622" i="8"/>
  <c r="P2622" i="8" s="1"/>
  <c r="L2602" i="8"/>
  <c r="P2602" i="8" s="1"/>
  <c r="L767" i="8"/>
  <c r="P767" i="8" s="1"/>
  <c r="K2668" i="8"/>
  <c r="O2668" i="8" s="1"/>
  <c r="K2459" i="8"/>
  <c r="O2459" i="8" s="1"/>
  <c r="K2707" i="8"/>
  <c r="O2707" i="8" s="1"/>
  <c r="K2498" i="8"/>
  <c r="O2498" i="8" s="1"/>
  <c r="K816" i="8"/>
  <c r="O816" i="8" s="1"/>
  <c r="K2661" i="8"/>
  <c r="O2661" i="8" s="1"/>
  <c r="K2452" i="8"/>
  <c r="O2452" i="8" s="1"/>
  <c r="L887" i="8"/>
  <c r="P887" i="8" s="1"/>
  <c r="L775" i="8"/>
  <c r="P775" i="8" s="1"/>
  <c r="L2527" i="8"/>
  <c r="P2527" i="8" s="1"/>
  <c r="L728" i="8"/>
  <c r="P728" i="8" s="1"/>
  <c r="L2653" i="8"/>
  <c r="P2653" i="8" s="1"/>
  <c r="L2444" i="8"/>
  <c r="P2444" i="8" s="1"/>
  <c r="L2636" i="8"/>
  <c r="P2636" i="8" s="1"/>
  <c r="L785" i="8"/>
  <c r="P785" i="8" s="1"/>
  <c r="L2430" i="8"/>
  <c r="P2430" i="8" s="1"/>
  <c r="L2569" i="8"/>
  <c r="P2569" i="8" s="1"/>
  <c r="L2553" i="8"/>
  <c r="P2553" i="8" s="1"/>
  <c r="L2559" i="8"/>
  <c r="P2559" i="8" s="1"/>
  <c r="L2366" i="8"/>
  <c r="P2366" i="8" s="1"/>
  <c r="L2558" i="8"/>
  <c r="P2558" i="8" s="1"/>
  <c r="L2552" i="8"/>
  <c r="P2552" i="8" s="1"/>
  <c r="K2563" i="8"/>
  <c r="O2563" i="8" s="1"/>
  <c r="K2363" i="8"/>
  <c r="O2363" i="8" s="1"/>
  <c r="K2564" i="8"/>
  <c r="O2564" i="8" s="1"/>
  <c r="K2364" i="8"/>
  <c r="O2364" i="8" s="1"/>
  <c r="K2380" i="8"/>
  <c r="O2380" i="8" s="1"/>
  <c r="K2594" i="8"/>
  <c r="O2594" i="8" s="1"/>
  <c r="O2650" i="8"/>
  <c r="O795" i="8"/>
  <c r="K2441" i="8"/>
  <c r="O2441" i="8" s="1"/>
  <c r="K2422" i="8"/>
  <c r="O2422" i="8" s="1"/>
  <c r="K2634" i="8"/>
  <c r="O2634" i="8" s="1"/>
  <c r="K2631" i="8"/>
  <c r="O2631" i="8" s="1"/>
  <c r="K781" i="8"/>
  <c r="O781" i="8" s="1"/>
  <c r="K2696" i="8"/>
  <c r="O2696" i="8" s="1"/>
  <c r="K800" i="8"/>
  <c r="O800" i="8" s="1"/>
  <c r="K2487" i="8"/>
  <c r="O2487" i="8" s="1"/>
  <c r="K2630" i="8"/>
  <c r="O2630" i="8" s="1"/>
  <c r="K780" i="8"/>
  <c r="O780" i="8" s="1"/>
  <c r="K2605" i="8"/>
  <c r="O2605" i="8" s="1"/>
  <c r="K768" i="8"/>
  <c r="O768" i="8" s="1"/>
  <c r="K2539" i="8"/>
  <c r="O2539" i="8" s="1"/>
  <c r="K738" i="8"/>
  <c r="O738" i="8" s="1"/>
  <c r="K2339" i="8"/>
  <c r="O2339" i="8" s="1"/>
  <c r="K2557" i="8"/>
  <c r="O2557" i="8" s="1"/>
  <c r="K2551" i="8"/>
  <c r="O2551" i="8" s="1"/>
  <c r="K2603" i="8"/>
  <c r="O2603" i="8" s="1"/>
  <c r="K769" i="8"/>
  <c r="O769" i="8" s="1"/>
  <c r="K2588" i="8"/>
  <c r="O2588" i="8" s="1"/>
  <c r="K776" i="8"/>
  <c r="O776" i="8" s="1"/>
  <c r="K2597" i="8"/>
  <c r="O2597" i="8" s="1"/>
  <c r="K777" i="8"/>
  <c r="O777" i="8" s="1"/>
  <c r="K2414" i="8"/>
  <c r="O2414" i="8" s="1"/>
  <c r="K2622" i="8"/>
  <c r="O2622" i="8" s="1"/>
  <c r="K2602" i="8"/>
  <c r="O2602" i="8" s="1"/>
  <c r="K767" i="8"/>
  <c r="O767" i="8" s="1"/>
  <c r="K2372" i="8"/>
  <c r="O2372" i="8" s="1"/>
  <c r="K2582" i="8"/>
  <c r="O2582" i="8" s="1"/>
  <c r="L2708" i="8"/>
  <c r="P2708" i="8" s="1"/>
  <c r="L2499" i="8"/>
  <c r="P2499" i="8" s="1"/>
  <c r="L2672" i="8"/>
  <c r="P2672" i="8" s="1"/>
  <c r="L2712" i="8"/>
  <c r="P2712" i="8" s="1"/>
  <c r="L2503" i="8"/>
  <c r="P2503" i="8" s="1"/>
  <c r="L2463" i="8"/>
  <c r="P2463" i="8" s="1"/>
  <c r="L2642" i="8"/>
  <c r="P2642" i="8" s="1"/>
  <c r="L2669" i="8"/>
  <c r="P2669" i="8" s="1"/>
  <c r="L2460" i="8"/>
  <c r="P2460" i="8" s="1"/>
  <c r="L2703" i="8"/>
  <c r="P2703" i="8" s="1"/>
  <c r="L831" i="8"/>
  <c r="P831" i="8" s="1"/>
  <c r="L807" i="8"/>
  <c r="P807" i="8" s="1"/>
  <c r="L2494" i="8"/>
  <c r="P2494" i="8" s="1"/>
  <c r="L2643" i="8"/>
  <c r="P2643" i="8" s="1"/>
  <c r="L860" i="8"/>
  <c r="P860" i="8" s="1"/>
  <c r="L2332" i="8"/>
  <c r="P2332" i="8" s="1"/>
  <c r="L2532" i="8"/>
  <c r="P2532" i="8" s="1"/>
  <c r="L2336" i="8"/>
  <c r="P2336" i="8" s="1"/>
  <c r="L2536" i="8"/>
  <c r="P2536" i="8" s="1"/>
  <c r="L2680" i="8"/>
  <c r="P2680" i="8" s="1"/>
  <c r="L2471" i="8"/>
  <c r="P2471" i="8" s="1"/>
  <c r="L2638" i="8"/>
  <c r="P2638" i="8" s="1"/>
  <c r="L787" i="8"/>
  <c r="P787" i="8" s="1"/>
  <c r="L2429" i="8"/>
  <c r="P2429" i="8" s="1"/>
  <c r="L2426" i="8"/>
  <c r="P2426" i="8" s="1"/>
  <c r="L2562" i="8"/>
  <c r="P2562" i="8" s="1"/>
  <c r="L2362" i="8"/>
  <c r="P2362" i="8" s="1"/>
  <c r="L2666" i="8"/>
  <c r="P2666" i="8" s="1"/>
  <c r="L2664" i="8"/>
  <c r="P2664" i="8" s="1"/>
  <c r="L2665" i="8"/>
  <c r="P2665" i="8" s="1"/>
  <c r="L2456" i="8"/>
  <c r="P2456" i="8" s="1"/>
  <c r="L2455" i="8"/>
  <c r="P2455" i="8" s="1"/>
  <c r="L2457" i="8"/>
  <c r="P2457" i="8" s="1"/>
  <c r="L2649" i="8"/>
  <c r="P2649" i="8" s="1"/>
  <c r="L794" i="8"/>
  <c r="P794" i="8" s="1"/>
  <c r="L2440" i="8"/>
  <c r="P2440" i="8" s="1"/>
  <c r="L2632" i="8"/>
  <c r="P2632" i="8" s="1"/>
  <c r="L782" i="8"/>
  <c r="P782" i="8" s="1"/>
  <c r="L2420" i="8"/>
  <c r="P2420" i="8" s="1"/>
  <c r="L2648" i="8"/>
  <c r="P2648" i="8" s="1"/>
  <c r="L2439" i="8"/>
  <c r="P2439" i="8" s="1"/>
  <c r="L2658" i="8"/>
  <c r="P2658" i="8" s="1"/>
  <c r="L802" i="8"/>
  <c r="P802" i="8" s="1"/>
  <c r="L2449" i="8"/>
  <c r="P2449" i="8" s="1"/>
  <c r="L2656" i="8"/>
  <c r="P2656" i="8" s="1"/>
  <c r="L2447" i="8"/>
  <c r="P2447" i="8" s="1"/>
  <c r="L1299" i="8"/>
  <c r="P1299" i="8" s="1"/>
  <c r="L2657" i="8"/>
  <c r="P2657" i="8" s="1"/>
  <c r="L2448" i="8"/>
  <c r="P2448" i="8" s="1"/>
  <c r="L2697" i="8"/>
  <c r="P2697" i="8" s="1"/>
  <c r="L824" i="8"/>
  <c r="P824" i="8" s="1"/>
  <c r="L801" i="8"/>
  <c r="P801" i="8" s="1"/>
  <c r="L2488" i="8"/>
  <c r="P2488" i="8" s="1"/>
  <c r="L2646" i="8"/>
  <c r="P2646" i="8" s="1"/>
  <c r="L793" i="8"/>
  <c r="P793" i="8" s="1"/>
  <c r="L2437" i="8"/>
  <c r="P2437" i="8" s="1"/>
  <c r="L2537" i="8"/>
  <c r="P2537" i="8" s="1"/>
  <c r="L2337" i="8"/>
  <c r="P2337" i="8" s="1"/>
  <c r="L739" i="8"/>
  <c r="P739" i="8" s="1"/>
  <c r="L2538" i="8"/>
  <c r="P2538" i="8" s="1"/>
  <c r="L2338" i="8"/>
  <c r="P2338" i="8" s="1"/>
  <c r="L737" i="8"/>
  <c r="P737" i="8" s="1"/>
  <c r="L2376" i="8"/>
  <c r="P2376" i="8" s="1"/>
  <c r="M203" i="5"/>
  <c r="S203" i="5" s="1"/>
  <c r="L2567" i="8"/>
  <c r="P2567" i="8" s="1"/>
  <c r="M202" i="5"/>
  <c r="S202" i="5" s="1"/>
  <c r="L2566" i="8"/>
  <c r="P2566" i="8" s="1"/>
  <c r="M201" i="5"/>
  <c r="S201" i="5" s="1"/>
  <c r="L2565" i="8"/>
  <c r="P2565" i="8" s="1"/>
  <c r="L2590" i="8"/>
  <c r="P2590" i="8" s="1"/>
  <c r="L2621" i="8"/>
  <c r="P2621" i="8" s="1"/>
  <c r="L2611" i="8"/>
  <c r="P2611" i="8" s="1"/>
  <c r="L2596" i="8"/>
  <c r="P2596" i="8" s="1"/>
  <c r="L2604" i="8"/>
  <c r="P2604" i="8" s="1"/>
  <c r="L565" i="8"/>
  <c r="L770" i="8"/>
  <c r="P770" i="8" s="1"/>
  <c r="L296" i="8"/>
  <c r="P296" i="8" s="1"/>
  <c r="L423" i="8"/>
  <c r="P423" i="8" s="1"/>
  <c r="L2601" i="8"/>
  <c r="P2601" i="8" s="1"/>
  <c r="L766" i="8"/>
  <c r="P766" i="8" s="1"/>
  <c r="L2556" i="8"/>
  <c r="P2556" i="8" s="1"/>
  <c r="L2550" i="8"/>
  <c r="P2550" i="8" s="1"/>
  <c r="K814" i="8"/>
  <c r="O814" i="8" s="1"/>
  <c r="K838" i="8"/>
  <c r="O838" i="8" s="1"/>
  <c r="K2670" i="8"/>
  <c r="O2670" i="8" s="1"/>
  <c r="K2461" i="8"/>
  <c r="O2461" i="8" s="1"/>
  <c r="K2663" i="8"/>
  <c r="O2663" i="8" s="1"/>
  <c r="K2454" i="8"/>
  <c r="O2454" i="8" s="1"/>
  <c r="K1304" i="8"/>
  <c r="O1304" i="8" s="1"/>
  <c r="K2662" i="8"/>
  <c r="O2662" i="8" s="1"/>
  <c r="K2453" i="8"/>
  <c r="O2453" i="8" s="1"/>
  <c r="L2371" i="8"/>
  <c r="P2371" i="8" s="1"/>
  <c r="L2581" i="8"/>
  <c r="P2581" i="8" s="1"/>
  <c r="L2667" i="8"/>
  <c r="P2667" i="8" s="1"/>
  <c r="L2458" i="8"/>
  <c r="P2458" i="8" s="1"/>
  <c r="L2713" i="8"/>
  <c r="P2713" i="8" s="1"/>
  <c r="L2673" i="8"/>
  <c r="P2673" i="8" s="1"/>
  <c r="L815" i="8"/>
  <c r="P815" i="8" s="1"/>
  <c r="L839" i="8"/>
  <c r="P839" i="8" s="1"/>
  <c r="L2504" i="8"/>
  <c r="P2504" i="8" s="1"/>
  <c r="L2464" i="8"/>
  <c r="P2464" i="8" s="1"/>
  <c r="L2671" i="8"/>
  <c r="P2671" i="8" s="1"/>
  <c r="L2462" i="8"/>
  <c r="P2462" i="8" s="1"/>
  <c r="L2711" i="8"/>
  <c r="P2711" i="8" s="1"/>
  <c r="L837" i="8"/>
  <c r="P837" i="8" s="1"/>
  <c r="L813" i="8"/>
  <c r="P813" i="8" s="1"/>
  <c r="L2502" i="8"/>
  <c r="P2502" i="8" s="1"/>
  <c r="K2708" i="8"/>
  <c r="O2708" i="8" s="1"/>
  <c r="K2499" i="8"/>
  <c r="O2499" i="8" s="1"/>
  <c r="K2667" i="8"/>
  <c r="O2667" i="8" s="1"/>
  <c r="K2458" i="8"/>
  <c r="O2458" i="8" s="1"/>
  <c r="K2712" i="8"/>
  <c r="O2712" i="8" s="1"/>
  <c r="K2672" i="8"/>
  <c r="O2672" i="8" s="1"/>
  <c r="K2503" i="8"/>
  <c r="O2503" i="8" s="1"/>
  <c r="K2463" i="8"/>
  <c r="O2463" i="8" s="1"/>
  <c r="K2713" i="8"/>
  <c r="O2713" i="8" s="1"/>
  <c r="K2673" i="8"/>
  <c r="O2673" i="8" s="1"/>
  <c r="K815" i="8"/>
  <c r="O815" i="8" s="1"/>
  <c r="K839" i="8"/>
  <c r="O839" i="8" s="1"/>
  <c r="K2504" i="8"/>
  <c r="O2504" i="8" s="1"/>
  <c r="K2464" i="8"/>
  <c r="O2464" i="8" s="1"/>
  <c r="K2671" i="8"/>
  <c r="O2671" i="8" s="1"/>
  <c r="K2462" i="8"/>
  <c r="O2462" i="8" s="1"/>
  <c r="K2669" i="8"/>
  <c r="O2669" i="8" s="1"/>
  <c r="K2460" i="8"/>
  <c r="O2460" i="8" s="1"/>
  <c r="K2711" i="8"/>
  <c r="O2711" i="8" s="1"/>
  <c r="K813" i="8"/>
  <c r="O813" i="8" s="1"/>
  <c r="K837" i="8"/>
  <c r="O837" i="8" s="1"/>
  <c r="K2502" i="8"/>
  <c r="O2502" i="8" s="1"/>
  <c r="K2703" i="8"/>
  <c r="O2703" i="8" s="1"/>
  <c r="K831" i="8"/>
  <c r="O831" i="8" s="1"/>
  <c r="K807" i="8"/>
  <c r="O807" i="8" s="1"/>
  <c r="K2494" i="8"/>
  <c r="O2494" i="8" s="1"/>
  <c r="K2701" i="8"/>
  <c r="O2701" i="8" s="1"/>
  <c r="K805" i="8"/>
  <c r="O805" i="8" s="1"/>
  <c r="K2492" i="8"/>
  <c r="O2492" i="8" s="1"/>
  <c r="K2643" i="8"/>
  <c r="O2643" i="8" s="1"/>
  <c r="K860" i="8"/>
  <c r="O860" i="8" s="1"/>
  <c r="K2332" i="8"/>
  <c r="O2332" i="8" s="1"/>
  <c r="K2532" i="8"/>
  <c r="O2532" i="8" s="1"/>
  <c r="K2336" i="8"/>
  <c r="O2336" i="8" s="1"/>
  <c r="K2536" i="8"/>
  <c r="O2536" i="8" s="1"/>
  <c r="L2331" i="8"/>
  <c r="P2331" i="8" s="1"/>
  <c r="L2531" i="8"/>
  <c r="P2531" i="8" s="1"/>
  <c r="L2528" i="8"/>
  <c r="P2528" i="8" s="1"/>
  <c r="L729" i="8"/>
  <c r="P729" i="8" s="1"/>
  <c r="L2728" i="8"/>
  <c r="P2728" i="8" s="1"/>
  <c r="L2679" i="8"/>
  <c r="P2679" i="8" s="1"/>
  <c r="L2511" i="8"/>
  <c r="P2511" i="8" s="1"/>
  <c r="L2470" i="8"/>
  <c r="P2470" i="8" s="1"/>
  <c r="L2678" i="8"/>
  <c r="P2678" i="8" s="1"/>
  <c r="L2469" i="8"/>
  <c r="P2469" i="8" s="1"/>
  <c r="L2637" i="8"/>
  <c r="P2637" i="8" s="1"/>
  <c r="L786" i="8"/>
  <c r="P786" i="8" s="1"/>
  <c r="L2428" i="8"/>
  <c r="P2428" i="8" s="1"/>
  <c r="F198" i="10" s="1"/>
  <c r="F197" i="10" s="1"/>
  <c r="L2425" i="8"/>
  <c r="P2425" i="8" s="1"/>
  <c r="K2562" i="8"/>
  <c r="O2562" i="8" s="1"/>
  <c r="K2362" i="8"/>
  <c r="O2362" i="8" s="1"/>
  <c r="L2706" i="8"/>
  <c r="P2706" i="8" s="1"/>
  <c r="L2704" i="8"/>
  <c r="P2704" i="8" s="1"/>
  <c r="L2705" i="8"/>
  <c r="P2705" i="8" s="1"/>
  <c r="L832" i="8"/>
  <c r="P832" i="8" s="1"/>
  <c r="L808" i="8"/>
  <c r="P808" i="8" s="1"/>
  <c r="L834" i="8"/>
  <c r="P834" i="8" s="1"/>
  <c r="L810" i="8"/>
  <c r="P810" i="8" s="1"/>
  <c r="L833" i="8"/>
  <c r="P833" i="8" s="1"/>
  <c r="L809" i="8"/>
  <c r="P809" i="8" s="1"/>
  <c r="L2497" i="8"/>
  <c r="P2497" i="8" s="1"/>
  <c r="L2495" i="8"/>
  <c r="P2495" i="8" s="1"/>
  <c r="L2496" i="8"/>
  <c r="P2496" i="8" s="1"/>
  <c r="L2647" i="8"/>
  <c r="P2647" i="8" s="1"/>
  <c r="L2438" i="8"/>
  <c r="P2438" i="8" s="1"/>
  <c r="L2651" i="8"/>
  <c r="P2651" i="8" s="1"/>
  <c r="L796" i="8"/>
  <c r="P796" i="8" s="1"/>
  <c r="L2442" i="8"/>
  <c r="P2442" i="8" s="1"/>
  <c r="K2632" i="8"/>
  <c r="O2632" i="8" s="1"/>
  <c r="K782" i="8"/>
  <c r="O782" i="8" s="1"/>
  <c r="K2420" i="8"/>
  <c r="O2420" i="8" s="1"/>
  <c r="K2648" i="8"/>
  <c r="O2648" i="8" s="1"/>
  <c r="K2439" i="8"/>
  <c r="O2439" i="8" s="1"/>
  <c r="K2658" i="8"/>
  <c r="O2658" i="8" s="1"/>
  <c r="K802" i="8"/>
  <c r="O802" i="8" s="1"/>
  <c r="K2449" i="8"/>
  <c r="O2449" i="8" s="1"/>
  <c r="K2656" i="8"/>
  <c r="O2656" i="8" s="1"/>
  <c r="K2447" i="8"/>
  <c r="O2447" i="8" s="1"/>
  <c r="K1299" i="8"/>
  <c r="O1299" i="8" s="1"/>
  <c r="K2657" i="8"/>
  <c r="O2657" i="8" s="1"/>
  <c r="K2448" i="8"/>
  <c r="O2448" i="8" s="1"/>
  <c r="K2697" i="8"/>
  <c r="O2697" i="8" s="1"/>
  <c r="K801" i="8"/>
  <c r="O801" i="8" s="1"/>
  <c r="K824" i="8"/>
  <c r="O824" i="8" s="1"/>
  <c r="K2488" i="8"/>
  <c r="O2488" i="8" s="1"/>
  <c r="K2646" i="8"/>
  <c r="O2646" i="8" s="1"/>
  <c r="K793" i="8"/>
  <c r="O793" i="8" s="1"/>
  <c r="K2437" i="8"/>
  <c r="O2437" i="8" s="1"/>
  <c r="K2537" i="8"/>
  <c r="O2537" i="8" s="1"/>
  <c r="K739" i="8"/>
  <c r="O739" i="8" s="1"/>
  <c r="K2337" i="8"/>
  <c r="O2337" i="8" s="1"/>
  <c r="K2538" i="8"/>
  <c r="O2538" i="8" s="1"/>
  <c r="K2338" i="8"/>
  <c r="O2338" i="8" s="1"/>
  <c r="K737" i="8"/>
  <c r="O737" i="8" s="1"/>
  <c r="K2376" i="8"/>
  <c r="O2376" i="8" s="1"/>
  <c r="K203" i="5"/>
  <c r="Q203" i="5" s="1"/>
  <c r="K2567" i="8"/>
  <c r="O2567" i="8" s="1"/>
  <c r="K202" i="5"/>
  <c r="Q202" i="5" s="1"/>
  <c r="K2566" i="8"/>
  <c r="O2566" i="8" s="1"/>
  <c r="K201" i="5"/>
  <c r="Q201" i="5" s="1"/>
  <c r="K2565" i="8"/>
  <c r="O2565" i="8" s="1"/>
  <c r="K2621" i="8"/>
  <c r="O2621" i="8" s="1"/>
  <c r="K2590" i="8"/>
  <c r="O2590" i="8" s="1"/>
  <c r="K2604" i="8"/>
  <c r="O2604" i="8" s="1"/>
  <c r="K2611" i="8"/>
  <c r="O2611" i="8" s="1"/>
  <c r="K2596" i="8"/>
  <c r="O2596" i="8" s="1"/>
  <c r="K770" i="8"/>
  <c r="O770" i="8" s="1"/>
  <c r="K565" i="8"/>
  <c r="K423" i="8"/>
  <c r="O423" i="8" s="1"/>
  <c r="K296" i="8"/>
  <c r="O296" i="8" s="1"/>
  <c r="K2601" i="8"/>
  <c r="O2601" i="8" s="1"/>
  <c r="K766" i="8"/>
  <c r="O766" i="8" s="1"/>
  <c r="C211" i="8"/>
  <c r="T211" i="8"/>
  <c r="C560" i="8"/>
  <c r="H565" i="8"/>
  <c r="N1054" i="8"/>
  <c r="N624" i="8"/>
  <c r="M1053" i="8"/>
  <c r="K1333" i="8"/>
  <c r="O1333" i="8" s="1"/>
  <c r="K494" i="8"/>
  <c r="O494" i="8" s="1"/>
  <c r="K951" i="8"/>
  <c r="O951" i="8" s="1"/>
  <c r="K367" i="8"/>
  <c r="O367" i="8" s="1"/>
  <c r="K1132" i="8"/>
  <c r="O1132" i="8" s="1"/>
  <c r="K924" i="8"/>
  <c r="O924" i="8" s="1"/>
  <c r="K467" i="8"/>
  <c r="O467" i="8" s="1"/>
  <c r="K340" i="8"/>
  <c r="O340" i="8" s="1"/>
  <c r="K1152" i="8"/>
  <c r="O1152" i="8" s="1"/>
  <c r="K948" i="8"/>
  <c r="O948" i="8" s="1"/>
  <c r="K491" i="8"/>
  <c r="O491" i="8" s="1"/>
  <c r="K923" i="8"/>
  <c r="O923" i="8" s="1"/>
  <c r="K466" i="8"/>
  <c r="O466" i="8" s="1"/>
  <c r="K364" i="8"/>
  <c r="O364" i="8" s="1"/>
  <c r="K339" i="8"/>
  <c r="O339" i="8" s="1"/>
  <c r="L1102" i="8"/>
  <c r="P1102" i="8" s="1"/>
  <c r="L2423" i="8"/>
  <c r="P2423" i="8" s="1"/>
  <c r="L438" i="8"/>
  <c r="P438" i="8" s="1"/>
  <c r="L895" i="8"/>
  <c r="P895" i="8" s="1"/>
  <c r="L311" i="8"/>
  <c r="P311" i="8" s="1"/>
  <c r="L1334" i="8"/>
  <c r="P1334" i="8" s="1"/>
  <c r="L952" i="8"/>
  <c r="P952" i="8" s="1"/>
  <c r="L495" i="8"/>
  <c r="P495" i="8" s="1"/>
  <c r="L368" i="8"/>
  <c r="P368" i="8" s="1"/>
  <c r="L927" i="8"/>
  <c r="P927" i="8" s="1"/>
  <c r="L954" i="8"/>
  <c r="P954" i="8" s="1"/>
  <c r="L497" i="8"/>
  <c r="P497" i="8" s="1"/>
  <c r="L470" i="8"/>
  <c r="P470" i="8" s="1"/>
  <c r="L343" i="8"/>
  <c r="P343" i="8" s="1"/>
  <c r="L1339" i="8"/>
  <c r="P1339" i="8" s="1"/>
  <c r="L1153" i="8"/>
  <c r="P1153" i="8" s="1"/>
  <c r="L950" i="8"/>
  <c r="P950" i="8" s="1"/>
  <c r="L925" i="8"/>
  <c r="P925" i="8" s="1"/>
  <c r="L493" i="8"/>
  <c r="P493" i="8" s="1"/>
  <c r="L468" i="8"/>
  <c r="P468" i="8" s="1"/>
  <c r="L366" i="8"/>
  <c r="P366" i="8" s="1"/>
  <c r="L341" i="8"/>
  <c r="P341" i="8" s="1"/>
  <c r="L1148" i="8"/>
  <c r="P1148" i="8" s="1"/>
  <c r="L919" i="8"/>
  <c r="P919" i="8" s="1"/>
  <c r="L487" i="8"/>
  <c r="P487" i="8" s="1"/>
  <c r="L944" i="8"/>
  <c r="P944" i="8" s="1"/>
  <c r="L462" i="8"/>
  <c r="P462" i="8" s="1"/>
  <c r="L360" i="8"/>
  <c r="P360" i="8" s="1"/>
  <c r="L335" i="8"/>
  <c r="P335" i="8" s="1"/>
  <c r="L1126" i="8"/>
  <c r="P1126" i="8" s="1"/>
  <c r="L460" i="8"/>
  <c r="P460" i="8" s="1"/>
  <c r="L333" i="8"/>
  <c r="P333" i="8" s="1"/>
  <c r="L1147" i="8"/>
  <c r="P1147" i="8" s="1"/>
  <c r="L461" i="8"/>
  <c r="P461" i="8" s="1"/>
  <c r="L918" i="8"/>
  <c r="P918" i="8" s="1"/>
  <c r="L943" i="8"/>
  <c r="P943" i="8" s="1"/>
  <c r="L486" i="8"/>
  <c r="P486" i="8" s="1"/>
  <c r="L359" i="8"/>
  <c r="P359" i="8" s="1"/>
  <c r="L334" i="8"/>
  <c r="P334" i="8" s="1"/>
  <c r="L1159" i="8"/>
  <c r="P1159" i="8" s="1"/>
  <c r="L549" i="8"/>
  <c r="P549" i="8" s="1"/>
  <c r="L972" i="8"/>
  <c r="P972" i="8" s="1"/>
  <c r="L407" i="8"/>
  <c r="P407" i="8" s="1"/>
  <c r="L869" i="8"/>
  <c r="P869" i="8" s="1"/>
  <c r="L416" i="8"/>
  <c r="P416" i="8" s="1"/>
  <c r="L289" i="8"/>
  <c r="P289" i="8" s="1"/>
  <c r="L866" i="8"/>
  <c r="P866" i="8" s="1"/>
  <c r="L286" i="8"/>
  <c r="P286" i="8" s="1"/>
  <c r="L445" i="8"/>
  <c r="P445" i="8" s="1"/>
  <c r="L902" i="8"/>
  <c r="P902" i="8" s="1"/>
  <c r="L318" i="8"/>
  <c r="P318" i="8" s="1"/>
  <c r="K868" i="8"/>
  <c r="O868" i="8" s="1"/>
  <c r="K415" i="8"/>
  <c r="O415" i="8" s="1"/>
  <c r="K288" i="8"/>
  <c r="O288" i="8" s="1"/>
  <c r="L1107" i="8"/>
  <c r="P1107" i="8" s="1"/>
  <c r="L442" i="8"/>
  <c r="P442" i="8" s="1"/>
  <c r="L899" i="8"/>
  <c r="P899" i="8" s="1"/>
  <c r="L315" i="8"/>
  <c r="P315" i="8" s="1"/>
  <c r="M384" i="5"/>
  <c r="S384" i="5" s="1"/>
  <c r="L2346" i="8"/>
  <c r="P2346" i="8" s="1"/>
  <c r="L1114" i="8"/>
  <c r="P1114" i="8" s="1"/>
  <c r="L906" i="8"/>
  <c r="P906" i="8" s="1"/>
  <c r="L449" i="8"/>
  <c r="P449" i="8" s="1"/>
  <c r="L322" i="8"/>
  <c r="P322" i="8" s="1"/>
  <c r="L1101" i="8"/>
  <c r="P1101" i="8" s="1"/>
  <c r="L894" i="8"/>
  <c r="P894" i="8" s="1"/>
  <c r="L310" i="8"/>
  <c r="P310" i="8" s="1"/>
  <c r="L437" i="8"/>
  <c r="P437" i="8" s="1"/>
  <c r="L1122" i="8"/>
  <c r="P1122" i="8" s="1"/>
  <c r="L457" i="8"/>
  <c r="P457" i="8" s="1"/>
  <c r="L914" i="8"/>
  <c r="P914" i="8" s="1"/>
  <c r="L330" i="8"/>
  <c r="P330" i="8" s="1"/>
  <c r="L1142" i="8"/>
  <c r="P1142" i="8" s="1"/>
  <c r="L937" i="8"/>
  <c r="P937" i="8" s="1"/>
  <c r="L480" i="8"/>
  <c r="P480" i="8" s="1"/>
  <c r="L912" i="8"/>
  <c r="P912" i="8" s="1"/>
  <c r="L353" i="8"/>
  <c r="P353" i="8" s="1"/>
  <c r="L1113" i="8"/>
  <c r="P1113" i="8" s="1"/>
  <c r="L448" i="8"/>
  <c r="P448" i="8" s="1"/>
  <c r="L905" i="8"/>
  <c r="P905" i="8" s="1"/>
  <c r="L321" i="8"/>
  <c r="P321" i="8" s="1"/>
  <c r="L1082" i="8"/>
  <c r="P1082" i="8" s="1"/>
  <c r="L875" i="8"/>
  <c r="P875" i="8" s="1"/>
  <c r="L295" i="8"/>
  <c r="P295" i="8" s="1"/>
  <c r="L422" i="8"/>
  <c r="P422" i="8" s="1"/>
  <c r="L1080" i="8"/>
  <c r="P1080" i="8" s="1"/>
  <c r="L873" i="8"/>
  <c r="P873" i="8" s="1"/>
  <c r="L420" i="8"/>
  <c r="P420" i="8" s="1"/>
  <c r="L293" i="8"/>
  <c r="P293" i="8" s="1"/>
  <c r="L2374" i="8"/>
  <c r="P2374" i="8" s="1"/>
  <c r="L2413" i="8"/>
  <c r="P2413" i="8" s="1"/>
  <c r="L1089" i="8"/>
  <c r="P1089" i="8" s="1"/>
  <c r="L2402" i="8"/>
  <c r="P2402" i="8" s="1"/>
  <c r="L2382" i="8"/>
  <c r="P2382" i="8" s="1"/>
  <c r="L2408" i="8"/>
  <c r="P2408" i="8" s="1"/>
  <c r="L430" i="8"/>
  <c r="P430" i="8" s="1"/>
  <c r="L882" i="8"/>
  <c r="P882" i="8" s="1"/>
  <c r="L303" i="8"/>
  <c r="P303" i="8" s="1"/>
  <c r="L883" i="8"/>
  <c r="P883" i="8" s="1"/>
  <c r="L431" i="8"/>
  <c r="P431" i="8" s="1"/>
  <c r="L304" i="8"/>
  <c r="P304" i="8" s="1"/>
  <c r="L1085" i="8"/>
  <c r="P1085" i="8" s="1"/>
  <c r="L878" i="8"/>
  <c r="P878" i="8" s="1"/>
  <c r="L426" i="8"/>
  <c r="P426" i="8" s="1"/>
  <c r="L299" i="8"/>
  <c r="P299" i="8" s="1"/>
  <c r="K926" i="8"/>
  <c r="O926" i="8" s="1"/>
  <c r="K496" i="8"/>
  <c r="O496" i="8" s="1"/>
  <c r="K953" i="8"/>
  <c r="O953" i="8" s="1"/>
  <c r="O369" i="8"/>
  <c r="K342" i="8"/>
  <c r="O342" i="8" s="1"/>
  <c r="K469" i="8"/>
  <c r="O469" i="8" s="1"/>
  <c r="K1102" i="8"/>
  <c r="O1102" i="8" s="1"/>
  <c r="K895" i="8"/>
  <c r="O895" i="8" s="1"/>
  <c r="K438" i="8"/>
  <c r="O438" i="8" s="1"/>
  <c r="K311" i="8"/>
  <c r="O311" i="8" s="1"/>
  <c r="K1334" i="8"/>
  <c r="O1334" i="8" s="1"/>
  <c r="K952" i="8"/>
  <c r="O952" i="8" s="1"/>
  <c r="K495" i="8"/>
  <c r="O495" i="8" s="1"/>
  <c r="K368" i="8"/>
  <c r="O368" i="8" s="1"/>
  <c r="K1339" i="8"/>
  <c r="O1339" i="8" s="1"/>
  <c r="K954" i="8"/>
  <c r="O954" i="8" s="1"/>
  <c r="K927" i="8"/>
  <c r="O927" i="8" s="1"/>
  <c r="K497" i="8"/>
  <c r="O497" i="8" s="1"/>
  <c r="K470" i="8"/>
  <c r="O470" i="8" s="1"/>
  <c r="K343" i="8"/>
  <c r="O343" i="8" s="1"/>
  <c r="O370" i="8"/>
  <c r="K1153" i="8"/>
  <c r="O1153" i="8" s="1"/>
  <c r="K925" i="8"/>
  <c r="O925" i="8" s="1"/>
  <c r="K950" i="8"/>
  <c r="O950" i="8" s="1"/>
  <c r="K493" i="8"/>
  <c r="O493" i="8" s="1"/>
  <c r="K468" i="8"/>
  <c r="O468" i="8" s="1"/>
  <c r="K366" i="8"/>
  <c r="O366" i="8" s="1"/>
  <c r="K341" i="8"/>
  <c r="O341" i="8" s="1"/>
  <c r="K1148" i="8"/>
  <c r="O1148" i="8" s="1"/>
  <c r="K944" i="8"/>
  <c r="O944" i="8" s="1"/>
  <c r="K487" i="8"/>
  <c r="O487" i="8" s="1"/>
  <c r="K919" i="8"/>
  <c r="O919" i="8" s="1"/>
  <c r="K462" i="8"/>
  <c r="O462" i="8" s="1"/>
  <c r="K360" i="8"/>
  <c r="O360" i="8" s="1"/>
  <c r="K335" i="8"/>
  <c r="O335" i="8" s="1"/>
  <c r="K1126" i="8"/>
  <c r="O1126" i="8" s="1"/>
  <c r="K460" i="8"/>
  <c r="O460" i="8" s="1"/>
  <c r="K333" i="8"/>
  <c r="O333" i="8" s="1"/>
  <c r="K1147" i="8"/>
  <c r="O1147" i="8" s="1"/>
  <c r="K918" i="8"/>
  <c r="O918" i="8" s="1"/>
  <c r="K943" i="8"/>
  <c r="O943" i="8" s="1"/>
  <c r="K486" i="8"/>
  <c r="O486" i="8" s="1"/>
  <c r="K359" i="8"/>
  <c r="O359" i="8" s="1"/>
  <c r="K334" i="8"/>
  <c r="O334" i="8" s="1"/>
  <c r="K461" i="8"/>
  <c r="O461" i="8" s="1"/>
  <c r="K1159" i="8"/>
  <c r="O1159" i="8" s="1"/>
  <c r="K972" i="8"/>
  <c r="O972" i="8" s="1"/>
  <c r="K549" i="8"/>
  <c r="O549" i="8" s="1"/>
  <c r="K407" i="8"/>
  <c r="O407" i="8" s="1"/>
  <c r="K869" i="8"/>
  <c r="O869" i="8" s="1"/>
  <c r="K289" i="8"/>
  <c r="O289" i="8" s="1"/>
  <c r="K416" i="8"/>
  <c r="O416" i="8" s="1"/>
  <c r="L1073" i="8"/>
  <c r="P1073" i="8" s="1"/>
  <c r="L2328" i="8"/>
  <c r="P2328" i="8" s="1"/>
  <c r="L865" i="8"/>
  <c r="P865" i="8" s="1"/>
  <c r="L285" i="8"/>
  <c r="P285" i="8" s="1"/>
  <c r="L412" i="8"/>
  <c r="P412" i="8" s="1"/>
  <c r="L1106" i="8"/>
  <c r="P1106" i="8" s="1"/>
  <c r="L898" i="8"/>
  <c r="P898" i="8" s="1"/>
  <c r="L314" i="8"/>
  <c r="P314" i="8" s="1"/>
  <c r="L441" i="8"/>
  <c r="P441" i="8" s="1"/>
  <c r="K384" i="5"/>
  <c r="Q384" i="5" s="1"/>
  <c r="K2346" i="8"/>
  <c r="O2346" i="8" s="1"/>
  <c r="L945" i="8"/>
  <c r="P945" i="8" s="1"/>
  <c r="L489" i="8"/>
  <c r="P489" i="8" s="1"/>
  <c r="L465" i="8"/>
  <c r="P465" i="8" s="1"/>
  <c r="L463" i="8"/>
  <c r="P463" i="8" s="1"/>
  <c r="L922" i="8"/>
  <c r="P922" i="8" s="1"/>
  <c r="L947" i="8"/>
  <c r="P947" i="8" s="1"/>
  <c r="L921" i="8"/>
  <c r="P921" i="8" s="1"/>
  <c r="L490" i="8"/>
  <c r="P490" i="8" s="1"/>
  <c r="L488" i="8"/>
  <c r="P488" i="8" s="1"/>
  <c r="L464" i="8"/>
  <c r="P464" i="8" s="1"/>
  <c r="L946" i="8"/>
  <c r="P946" i="8" s="1"/>
  <c r="L920" i="8"/>
  <c r="P920" i="8" s="1"/>
  <c r="L361" i="8"/>
  <c r="P361" i="8" s="1"/>
  <c r="L337" i="8"/>
  <c r="P337" i="8" s="1"/>
  <c r="L336" i="8"/>
  <c r="P336" i="8" s="1"/>
  <c r="L363" i="8"/>
  <c r="P363" i="8" s="1"/>
  <c r="L362" i="8"/>
  <c r="P362" i="8" s="1"/>
  <c r="L338" i="8"/>
  <c r="P338" i="8" s="1"/>
  <c r="L1116" i="8"/>
  <c r="P1116" i="8" s="1"/>
  <c r="L908" i="8"/>
  <c r="P908" i="8" s="1"/>
  <c r="L451" i="8"/>
  <c r="P451" i="8" s="1"/>
  <c r="L324" i="8"/>
  <c r="P324" i="8" s="1"/>
  <c r="K1101" i="8"/>
  <c r="O1101" i="8" s="1"/>
  <c r="K894" i="8"/>
  <c r="O894" i="8" s="1"/>
  <c r="K437" i="8"/>
  <c r="O437" i="8" s="1"/>
  <c r="K310" i="8"/>
  <c r="O310" i="8" s="1"/>
  <c r="K1122" i="8"/>
  <c r="O1122" i="8" s="1"/>
  <c r="K914" i="8"/>
  <c r="O914" i="8" s="1"/>
  <c r="K457" i="8"/>
  <c r="O457" i="8" s="1"/>
  <c r="K330" i="8"/>
  <c r="O330" i="8" s="1"/>
  <c r="K1142" i="8"/>
  <c r="O1142" i="8" s="1"/>
  <c r="K937" i="8"/>
  <c r="O937" i="8" s="1"/>
  <c r="K912" i="8"/>
  <c r="O912" i="8" s="1"/>
  <c r="K353" i="8"/>
  <c r="O353" i="8" s="1"/>
  <c r="K480" i="8"/>
  <c r="O480" i="8" s="1"/>
  <c r="K1113" i="8"/>
  <c r="O1113" i="8" s="1"/>
  <c r="K905" i="8"/>
  <c r="O905" i="8" s="1"/>
  <c r="K448" i="8"/>
  <c r="O448" i="8" s="1"/>
  <c r="K321" i="8"/>
  <c r="O321" i="8" s="1"/>
  <c r="K1082" i="8"/>
  <c r="O1082" i="8" s="1"/>
  <c r="K875" i="8"/>
  <c r="O875" i="8" s="1"/>
  <c r="K422" i="8"/>
  <c r="O422" i="8" s="1"/>
  <c r="K295" i="8"/>
  <c r="O295" i="8" s="1"/>
  <c r="K1080" i="8"/>
  <c r="O1080" i="8" s="1"/>
  <c r="K873" i="8"/>
  <c r="O873" i="8" s="1"/>
  <c r="K293" i="8"/>
  <c r="O293" i="8" s="1"/>
  <c r="K420" i="8"/>
  <c r="O420" i="8" s="1"/>
  <c r="K2413" i="8"/>
  <c r="O2413" i="8" s="1"/>
  <c r="K2374" i="8"/>
  <c r="O2374" i="8" s="1"/>
  <c r="K1089" i="8"/>
  <c r="O1089" i="8" s="1"/>
  <c r="K2402" i="8"/>
  <c r="O2402" i="8" s="1"/>
  <c r="K2382" i="8"/>
  <c r="O2382" i="8" s="1"/>
  <c r="K2408" i="8"/>
  <c r="O2408" i="8" s="1"/>
  <c r="K882" i="8"/>
  <c r="O882" i="8" s="1"/>
  <c r="K430" i="8"/>
  <c r="O430" i="8" s="1"/>
  <c r="K303" i="8"/>
  <c r="O303" i="8" s="1"/>
  <c r="K883" i="8"/>
  <c r="O883" i="8" s="1"/>
  <c r="K431" i="8"/>
  <c r="O431" i="8" s="1"/>
  <c r="K304" i="8"/>
  <c r="O304" i="8" s="1"/>
  <c r="K1085" i="8"/>
  <c r="O1085" i="8" s="1"/>
  <c r="K878" i="8"/>
  <c r="O878" i="8" s="1"/>
  <c r="K426" i="8"/>
  <c r="O426" i="8" s="1"/>
  <c r="K299" i="8"/>
  <c r="O299" i="8" s="1"/>
  <c r="K1146" i="8"/>
  <c r="O1146" i="8" s="1"/>
  <c r="K917" i="8"/>
  <c r="O917" i="8" s="1"/>
  <c r="K942" i="8"/>
  <c r="O942" i="8" s="1"/>
  <c r="K485" i="8"/>
  <c r="O485" i="8" s="1"/>
  <c r="K358" i="8"/>
  <c r="O358" i="8" s="1"/>
  <c r="L1333" i="8"/>
  <c r="P1333" i="8" s="1"/>
  <c r="L494" i="8"/>
  <c r="P494" i="8" s="1"/>
  <c r="L951" i="8"/>
  <c r="P951" i="8" s="1"/>
  <c r="L367" i="8"/>
  <c r="P367" i="8" s="1"/>
  <c r="L496" i="8"/>
  <c r="P496" i="8" s="1"/>
  <c r="L469" i="8"/>
  <c r="P469" i="8" s="1"/>
  <c r="L926" i="8"/>
  <c r="P926" i="8" s="1"/>
  <c r="L953" i="8"/>
  <c r="P953" i="8" s="1"/>
  <c r="L342" i="8"/>
  <c r="P342" i="8" s="1"/>
  <c r="L344" i="8"/>
  <c r="P344" i="8" s="1"/>
  <c r="L1132" i="8"/>
  <c r="P1132" i="8" s="1"/>
  <c r="L467" i="8"/>
  <c r="P467" i="8" s="1"/>
  <c r="L924" i="8"/>
  <c r="P924" i="8" s="1"/>
  <c r="L340" i="8"/>
  <c r="P340" i="8" s="1"/>
  <c r="L1152" i="8"/>
  <c r="P1152" i="8" s="1"/>
  <c r="L923" i="8"/>
  <c r="P923" i="8" s="1"/>
  <c r="L491" i="8"/>
  <c r="P491" i="8" s="1"/>
  <c r="L948" i="8"/>
  <c r="P948" i="8" s="1"/>
  <c r="L466" i="8"/>
  <c r="P466" i="8" s="1"/>
  <c r="L364" i="8"/>
  <c r="P364" i="8" s="1"/>
  <c r="L339" i="8"/>
  <c r="P339" i="8" s="1"/>
  <c r="L1146" i="8"/>
  <c r="P1146" i="8" s="1"/>
  <c r="L485" i="8"/>
  <c r="P485" i="8" s="1"/>
  <c r="L917" i="8"/>
  <c r="P917" i="8" s="1"/>
  <c r="L942" i="8"/>
  <c r="P942" i="8" s="1"/>
  <c r="L358" i="8"/>
  <c r="P358" i="8" s="1"/>
  <c r="L872" i="8"/>
  <c r="P872" i="8" s="1"/>
  <c r="L292" i="8"/>
  <c r="P292" i="8" s="1"/>
  <c r="L419" i="8"/>
  <c r="P419" i="8" s="1"/>
  <c r="L502" i="8"/>
  <c r="P502" i="8" s="1"/>
  <c r="L476" i="8"/>
  <c r="P476" i="8" s="1"/>
  <c r="L452" i="8"/>
  <c r="P452" i="8" s="1"/>
  <c r="L933" i="8"/>
  <c r="P933" i="8" s="1"/>
  <c r="L909" i="8"/>
  <c r="P909" i="8" s="1"/>
  <c r="L960" i="8"/>
  <c r="P960" i="8" s="1"/>
  <c r="L376" i="8"/>
  <c r="P376" i="8" s="1"/>
  <c r="L349" i="8"/>
  <c r="P349" i="8" s="1"/>
  <c r="L325" i="8"/>
  <c r="P325" i="8" s="1"/>
  <c r="L1157" i="8"/>
  <c r="P1157" i="8" s="1"/>
  <c r="L959" i="8"/>
  <c r="P959" i="8" s="1"/>
  <c r="L932" i="8"/>
  <c r="P932" i="8" s="1"/>
  <c r="L475" i="8"/>
  <c r="P475" i="8" s="1"/>
  <c r="L348" i="8"/>
  <c r="P348" i="8" s="1"/>
  <c r="L375" i="8"/>
  <c r="P375" i="8" s="1"/>
  <c r="L2415" i="8"/>
  <c r="P2415" i="8" s="1"/>
  <c r="L2404" i="8"/>
  <c r="P2404" i="8" s="1"/>
  <c r="L2409" i="8"/>
  <c r="P2409" i="8" s="1"/>
  <c r="L2377" i="8"/>
  <c r="P2377" i="8" s="1"/>
  <c r="L1104" i="8"/>
  <c r="P1104" i="8" s="1"/>
  <c r="L896" i="8"/>
  <c r="P896" i="8" s="1"/>
  <c r="L439" i="8"/>
  <c r="P439" i="8" s="1"/>
  <c r="L312" i="8"/>
  <c r="P312" i="8" s="1"/>
  <c r="M371" i="5"/>
  <c r="S371" i="5" s="1"/>
  <c r="L2342" i="8"/>
  <c r="P2342" i="8" s="1"/>
  <c r="L1115" i="8"/>
  <c r="P1115" i="8" s="1"/>
  <c r="L450" i="8"/>
  <c r="P450" i="8" s="1"/>
  <c r="L907" i="8"/>
  <c r="P907" i="8" s="1"/>
  <c r="L323" i="8"/>
  <c r="P323" i="8" s="1"/>
  <c r="L1100" i="8"/>
  <c r="P1100" i="8" s="1"/>
  <c r="L436" i="8"/>
  <c r="P436" i="8" s="1"/>
  <c r="L893" i="8"/>
  <c r="P893" i="8" s="1"/>
  <c r="L309" i="8"/>
  <c r="P309" i="8" s="1"/>
  <c r="L1121" i="8"/>
  <c r="P1121" i="8" s="1"/>
  <c r="L455" i="8"/>
  <c r="P455" i="8" s="1"/>
  <c r="L328" i="8"/>
  <c r="P328" i="8" s="1"/>
  <c r="L1143" i="8"/>
  <c r="P1143" i="8" s="1"/>
  <c r="L938" i="8"/>
  <c r="P938" i="8" s="1"/>
  <c r="L913" i="8"/>
  <c r="P913" i="8" s="1"/>
  <c r="L481" i="8"/>
  <c r="P481" i="8" s="1"/>
  <c r="L456" i="8"/>
  <c r="P456" i="8" s="1"/>
  <c r="L329" i="8"/>
  <c r="P329" i="8" s="1"/>
  <c r="L354" i="8"/>
  <c r="P354" i="8" s="1"/>
  <c r="L1099" i="8"/>
  <c r="P1099" i="8" s="1"/>
  <c r="L2418" i="8"/>
  <c r="P2418" i="8" s="1"/>
  <c r="L2419" i="8"/>
  <c r="P2419" i="8" s="1"/>
  <c r="L892" i="8"/>
  <c r="P892" i="8" s="1"/>
  <c r="L435" i="8"/>
  <c r="P435" i="8" s="1"/>
  <c r="L308" i="8"/>
  <c r="P308" i="8" s="1"/>
  <c r="L1087" i="8"/>
  <c r="P1087" i="8" s="1"/>
  <c r="L2403" i="8"/>
  <c r="P2403" i="8" s="1"/>
  <c r="L428" i="8"/>
  <c r="P428" i="8" s="1"/>
  <c r="L880" i="8"/>
  <c r="P880" i="8" s="1"/>
  <c r="L301" i="8"/>
  <c r="P301" i="8" s="1"/>
  <c r="L1081" i="8"/>
  <c r="P1081" i="8" s="1"/>
  <c r="L874" i="8"/>
  <c r="P874" i="8" s="1"/>
  <c r="L294" i="8"/>
  <c r="P294" i="8" s="1"/>
  <c r="L421" i="8"/>
  <c r="P421" i="8" s="1"/>
  <c r="L2351" i="8"/>
  <c r="P2351" i="8" s="1"/>
  <c r="L2357" i="8"/>
  <c r="P2357" i="8" s="1"/>
  <c r="L1088" i="8"/>
  <c r="P1088" i="8" s="1"/>
  <c r="L2373" i="8"/>
  <c r="P2373" i="8" s="1"/>
  <c r="L881" i="8"/>
  <c r="P881" i="8" s="1"/>
  <c r="L302" i="8"/>
  <c r="P302" i="8" s="1"/>
  <c r="L429" i="8"/>
  <c r="P429" i="8" s="1"/>
  <c r="L2381" i="8"/>
  <c r="P2381" i="8" s="1"/>
  <c r="L1095" i="8"/>
  <c r="P1095" i="8" s="1"/>
  <c r="L2375" i="8"/>
  <c r="P2375" i="8" s="1"/>
  <c r="L888" i="8"/>
  <c r="P888" i="8" s="1"/>
  <c r="L2383" i="8"/>
  <c r="P2383" i="8" s="1"/>
  <c r="L1096" i="8"/>
  <c r="P1096" i="8" s="1"/>
  <c r="L889" i="8"/>
  <c r="P889" i="8" s="1"/>
  <c r="L1086" i="8"/>
  <c r="P1086" i="8" s="1"/>
  <c r="L879" i="8"/>
  <c r="P879" i="8" s="1"/>
  <c r="L427" i="8"/>
  <c r="P427" i="8" s="1"/>
  <c r="L300" i="8"/>
  <c r="P300" i="8" s="1"/>
  <c r="L2350" i="8"/>
  <c r="P2350" i="8" s="1"/>
  <c r="L2356" i="8"/>
  <c r="P2356" i="8" s="1"/>
  <c r="K344" i="8"/>
  <c r="O344" i="8" s="1"/>
  <c r="K872" i="8"/>
  <c r="O872" i="8" s="1"/>
  <c r="K419" i="8"/>
  <c r="O419" i="8" s="1"/>
  <c r="K292" i="8"/>
  <c r="O292" i="8" s="1"/>
  <c r="L555" i="8"/>
  <c r="P555" i="8" s="1"/>
  <c r="L413" i="8"/>
  <c r="P413" i="8" s="1"/>
  <c r="L868" i="8"/>
  <c r="P868" i="8" s="1"/>
  <c r="L415" i="8"/>
  <c r="P415" i="8" s="1"/>
  <c r="L288" i="8"/>
  <c r="P288" i="8" s="1"/>
  <c r="L1072" i="8"/>
  <c r="P1072" i="8" s="1"/>
  <c r="L2327" i="8"/>
  <c r="P2327" i="8" s="1"/>
  <c r="L864" i="8"/>
  <c r="P864" i="8" s="1"/>
  <c r="L411" i="8"/>
  <c r="P411" i="8" s="1"/>
  <c r="L284" i="8"/>
  <c r="P284" i="8" s="1"/>
  <c r="L1105" i="8"/>
  <c r="P1105" i="8" s="1"/>
  <c r="L440" i="8"/>
  <c r="P440" i="8" s="1"/>
  <c r="L897" i="8"/>
  <c r="P897" i="8" s="1"/>
  <c r="L313" i="8"/>
  <c r="P313" i="8" s="1"/>
  <c r="L2359" i="8"/>
  <c r="P2359" i="8" s="1"/>
  <c r="L2353" i="8"/>
  <c r="P2353" i="8" s="1"/>
  <c r="L2352" i="8"/>
  <c r="P2352" i="8" s="1"/>
  <c r="L2358" i="8"/>
  <c r="P2358" i="8" s="1"/>
  <c r="K371" i="5"/>
  <c r="Q371" i="5" s="1"/>
  <c r="K2342" i="8"/>
  <c r="O2342" i="8" s="1"/>
  <c r="K1115" i="8"/>
  <c r="O1115" i="8" s="1"/>
  <c r="O907" i="8"/>
  <c r="K323" i="8"/>
  <c r="O323" i="8" s="1"/>
  <c r="K450" i="8"/>
  <c r="O450" i="8" s="1"/>
  <c r="K1100" i="8"/>
  <c r="O1100" i="8" s="1"/>
  <c r="K893" i="8"/>
  <c r="O893" i="8" s="1"/>
  <c r="K309" i="8"/>
  <c r="O309" i="8" s="1"/>
  <c r="K436" i="8"/>
  <c r="O436" i="8" s="1"/>
  <c r="K1121" i="8"/>
  <c r="O1121" i="8" s="1"/>
  <c r="K455" i="8"/>
  <c r="O455" i="8" s="1"/>
  <c r="K328" i="8"/>
  <c r="O328" i="8" s="1"/>
  <c r="K1143" i="8"/>
  <c r="O1143" i="8" s="1"/>
  <c r="K938" i="8"/>
  <c r="O938" i="8" s="1"/>
  <c r="K913" i="8"/>
  <c r="O913" i="8" s="1"/>
  <c r="K481" i="8"/>
  <c r="O481" i="8" s="1"/>
  <c r="K456" i="8"/>
  <c r="O456" i="8" s="1"/>
  <c r="K354" i="8"/>
  <c r="O354" i="8" s="1"/>
  <c r="K329" i="8"/>
  <c r="O329" i="8" s="1"/>
  <c r="K1099" i="8"/>
  <c r="O1099" i="8" s="1"/>
  <c r="K2418" i="8"/>
  <c r="O2418" i="8" s="1"/>
  <c r="K2419" i="8"/>
  <c r="O2419" i="8" s="1"/>
  <c r="K892" i="8"/>
  <c r="O892" i="8" s="1"/>
  <c r="K435" i="8"/>
  <c r="O435" i="8" s="1"/>
  <c r="K308" i="8"/>
  <c r="O308" i="8" s="1"/>
  <c r="K2403" i="8"/>
  <c r="O2403" i="8" s="1"/>
  <c r="K880" i="8"/>
  <c r="O880" i="8" s="1"/>
  <c r="K301" i="8"/>
  <c r="O301" i="8" s="1"/>
  <c r="K428" i="8"/>
  <c r="O428" i="8" s="1"/>
  <c r="K1081" i="8"/>
  <c r="O1081" i="8" s="1"/>
  <c r="K874" i="8"/>
  <c r="O874" i="8" s="1"/>
  <c r="K421" i="8"/>
  <c r="O421" i="8" s="1"/>
  <c r="K294" i="8"/>
  <c r="O294" i="8" s="1"/>
  <c r="K2351" i="8"/>
  <c r="O2351" i="8" s="1"/>
  <c r="K2357" i="8"/>
  <c r="O2357" i="8" s="1"/>
  <c r="K1088" i="8"/>
  <c r="O1088" i="8" s="1"/>
  <c r="K2373" i="8"/>
  <c r="O2373" i="8" s="1"/>
  <c r="K881" i="8"/>
  <c r="O881" i="8" s="1"/>
  <c r="K302" i="8"/>
  <c r="O302" i="8" s="1"/>
  <c r="K429" i="8"/>
  <c r="O429" i="8" s="1"/>
  <c r="K2381" i="8"/>
  <c r="O2381" i="8" s="1"/>
  <c r="K1095" i="8"/>
  <c r="O1095" i="8" s="1"/>
  <c r="K2375" i="8"/>
  <c r="O2375" i="8" s="1"/>
  <c r="K888" i="8"/>
  <c r="O888" i="8" s="1"/>
  <c r="K2383" i="8"/>
  <c r="O2383" i="8" s="1"/>
  <c r="K1096" i="8"/>
  <c r="O1096" i="8" s="1"/>
  <c r="K889" i="8"/>
  <c r="O889" i="8" s="1"/>
  <c r="K1086" i="8"/>
  <c r="O1086" i="8" s="1"/>
  <c r="K879" i="8"/>
  <c r="O879" i="8" s="1"/>
  <c r="K427" i="8"/>
  <c r="O427" i="8" s="1"/>
  <c r="K300" i="8"/>
  <c r="O300" i="8" s="1"/>
  <c r="K1087" i="8"/>
  <c r="O1087" i="8" s="1"/>
  <c r="H571" i="8"/>
  <c r="H570" i="8"/>
  <c r="H568" i="8"/>
  <c r="L1091" i="8"/>
  <c r="P1091" i="8" s="1"/>
  <c r="L996" i="8"/>
  <c r="L1270" i="8"/>
  <c r="P1270" i="8" s="1"/>
  <c r="L1090" i="8"/>
  <c r="P1090" i="8" s="1"/>
  <c r="L573" i="8"/>
  <c r="M304" i="5"/>
  <c r="S304" i="5" s="1"/>
  <c r="M326" i="5"/>
  <c r="S326" i="5" s="1"/>
  <c r="L1103" i="8"/>
  <c r="P1103" i="8" s="1"/>
  <c r="M315" i="5"/>
  <c r="S315" i="5" s="1"/>
  <c r="L1009" i="8"/>
  <c r="P1009" i="8" s="1"/>
  <c r="L581" i="8"/>
  <c r="L1282" i="8"/>
  <c r="P1282" i="8" s="1"/>
  <c r="K1090" i="8"/>
  <c r="O1090" i="8" s="1"/>
  <c r="K573" i="8"/>
  <c r="K315" i="5"/>
  <c r="Q315" i="5" s="1"/>
  <c r="K1009" i="8"/>
  <c r="O1009" i="8" s="1"/>
  <c r="K326" i="5"/>
  <c r="Q326" i="5" s="1"/>
  <c r="K1103" i="8"/>
  <c r="O1103" i="8" s="1"/>
  <c r="K581" i="8"/>
  <c r="K304" i="5"/>
  <c r="Q304" i="5" s="1"/>
  <c r="K1282" i="8"/>
  <c r="O1282" i="8" s="1"/>
  <c r="N987" i="8"/>
  <c r="C575" i="8"/>
  <c r="H581" i="8"/>
  <c r="C566" i="8"/>
  <c r="H574" i="8"/>
  <c r="C992" i="8"/>
  <c r="K1135" i="8"/>
  <c r="O1135" i="8" s="1"/>
  <c r="K1155" i="8"/>
  <c r="O1155" i="8" s="1"/>
  <c r="K1136" i="8"/>
  <c r="O1136" i="8" s="1"/>
  <c r="K1156" i="8"/>
  <c r="O1156" i="8" s="1"/>
  <c r="K1034" i="8"/>
  <c r="O1034" i="8" s="1"/>
  <c r="K1127" i="8"/>
  <c r="O1127" i="8" s="1"/>
  <c r="L1255" i="8"/>
  <c r="P1255" i="8" s="1"/>
  <c r="L1076" i="8"/>
  <c r="P1076" i="8" s="1"/>
  <c r="L41" i="8"/>
  <c r="L1079" i="8"/>
  <c r="P1079" i="8" s="1"/>
  <c r="K36" i="8"/>
  <c r="O36" i="8" s="1"/>
  <c r="K1075" i="8"/>
  <c r="O1075" i="8" s="1"/>
  <c r="L1117" i="8"/>
  <c r="P1117" i="8" s="1"/>
  <c r="L1138" i="8"/>
  <c r="P1138" i="8" s="1"/>
  <c r="L1158" i="8"/>
  <c r="P1158" i="8" s="1"/>
  <c r="L211" i="5"/>
  <c r="R211" i="5" s="1"/>
  <c r="L176" i="5"/>
  <c r="R176" i="5" s="1"/>
  <c r="S668" i="5"/>
  <c r="M675" i="5"/>
  <c r="S675" i="5" s="1"/>
  <c r="L175" i="5"/>
  <c r="R175" i="5" s="1"/>
  <c r="L210" i="5"/>
  <c r="R210" i="5" s="1"/>
  <c r="M667" i="5"/>
  <c r="S667" i="5" s="1"/>
  <c r="M674" i="5"/>
  <c r="S674" i="5" s="1"/>
  <c r="J167" i="5"/>
  <c r="P167" i="5" s="1"/>
  <c r="J26" i="5"/>
  <c r="J198" i="5"/>
  <c r="P198" i="5" s="1"/>
  <c r="J25" i="5"/>
  <c r="J197" i="5"/>
  <c r="P197" i="5" s="1"/>
  <c r="J166" i="5"/>
  <c r="P166" i="5" s="1"/>
  <c r="J27" i="5"/>
  <c r="J199" i="5"/>
  <c r="P199" i="5" s="1"/>
  <c r="J168" i="5"/>
  <c r="P168" i="5" s="1"/>
  <c r="L1149" i="8"/>
  <c r="P1149" i="8" s="1"/>
  <c r="L1150" i="8"/>
  <c r="P1150" i="8" s="1"/>
  <c r="L1151" i="8"/>
  <c r="P1151" i="8" s="1"/>
  <c r="K672" i="5"/>
  <c r="Q672" i="5" s="1"/>
  <c r="K665" i="5"/>
  <c r="Q665" i="5" s="1"/>
  <c r="K671" i="5"/>
  <c r="Q671" i="5" s="1"/>
  <c r="K664" i="5"/>
  <c r="Q664" i="5" s="1"/>
  <c r="K1134" i="8"/>
  <c r="O1134" i="8" s="1"/>
  <c r="K1154" i="8"/>
  <c r="O1154" i="8" s="1"/>
  <c r="K1040" i="8"/>
  <c r="O1040" i="8" s="1"/>
  <c r="K1133" i="8"/>
  <c r="O1133" i="8" s="1"/>
  <c r="K1038" i="8"/>
  <c r="O1038" i="8" s="1"/>
  <c r="K1131" i="8"/>
  <c r="O1131" i="8" s="1"/>
  <c r="L1134" i="8"/>
  <c r="P1134" i="8" s="1"/>
  <c r="L1154" i="8"/>
  <c r="P1154" i="8" s="1"/>
  <c r="L1135" i="8"/>
  <c r="P1135" i="8" s="1"/>
  <c r="L1155" i="8"/>
  <c r="P1155" i="8" s="1"/>
  <c r="L1136" i="8"/>
  <c r="P1136" i="8" s="1"/>
  <c r="L1156" i="8"/>
  <c r="P1156" i="8" s="1"/>
  <c r="L1040" i="8"/>
  <c r="P1040" i="8" s="1"/>
  <c r="L1133" i="8"/>
  <c r="P1133" i="8" s="1"/>
  <c r="L1038" i="8"/>
  <c r="P1038" i="8" s="1"/>
  <c r="L1131" i="8"/>
  <c r="P1131" i="8" s="1"/>
  <c r="L1034" i="8"/>
  <c r="P1034" i="8" s="1"/>
  <c r="L1127" i="8"/>
  <c r="P1127" i="8" s="1"/>
  <c r="K1255" i="8"/>
  <c r="O1255" i="8" s="1"/>
  <c r="K1076" i="8"/>
  <c r="O1076" i="8" s="1"/>
  <c r="K41" i="8"/>
  <c r="K1079" i="8"/>
  <c r="O1079" i="8" s="1"/>
  <c r="L36" i="8"/>
  <c r="P36" i="8" s="1"/>
  <c r="L1075" i="8"/>
  <c r="P1075" i="8" s="1"/>
  <c r="L1318" i="8"/>
  <c r="P1318" i="8" s="1"/>
  <c r="L1139" i="8"/>
  <c r="P1139" i="8" s="1"/>
  <c r="L1044" i="8"/>
  <c r="P1044" i="8" s="1"/>
  <c r="L1137" i="8"/>
  <c r="P1137" i="8" s="1"/>
  <c r="L209" i="5"/>
  <c r="R209" i="5" s="1"/>
  <c r="L174" i="5"/>
  <c r="R174" i="5" s="1"/>
  <c r="M673" i="5"/>
  <c r="S673" i="5" s="1"/>
  <c r="M666" i="5"/>
  <c r="S666" i="5" s="1"/>
  <c r="L198" i="5"/>
  <c r="R198" i="5" s="1"/>
  <c r="L167" i="5"/>
  <c r="R167" i="5" s="1"/>
  <c r="L197" i="5"/>
  <c r="R197" i="5" s="1"/>
  <c r="L166" i="5"/>
  <c r="R166" i="5" s="1"/>
  <c r="M166" i="5"/>
  <c r="S166" i="5" s="1"/>
  <c r="S164" i="5" s="1"/>
  <c r="L168" i="5"/>
  <c r="R168" i="5" s="1"/>
  <c r="L199" i="5"/>
  <c r="R199" i="5" s="1"/>
  <c r="L1128" i="8"/>
  <c r="P1128" i="8" s="1"/>
  <c r="L1130" i="8"/>
  <c r="P1130" i="8" s="1"/>
  <c r="L1129" i="8"/>
  <c r="P1129" i="8" s="1"/>
  <c r="M672" i="5"/>
  <c r="S672" i="5" s="1"/>
  <c r="M665" i="5"/>
  <c r="S665" i="5" s="1"/>
  <c r="M671" i="5"/>
  <c r="S671" i="5" s="1"/>
  <c r="M664" i="5"/>
  <c r="S664" i="5" s="1"/>
  <c r="M1010" i="8"/>
  <c r="E124" i="23"/>
  <c r="M1016" i="8"/>
  <c r="M1019" i="8"/>
  <c r="F66" i="10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F52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F122" i="10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N1019" i="8"/>
  <c r="F73" i="10"/>
  <c r="F129" i="10"/>
  <c r="T974" i="8"/>
  <c r="E166" i="23" s="1"/>
  <c r="D124" i="23"/>
  <c r="M1030" i="8"/>
  <c r="N1012" i="8"/>
  <c r="K561" i="8"/>
  <c r="T53" i="8"/>
  <c r="C53" i="8"/>
  <c r="T113" i="8"/>
  <c r="C113" i="8"/>
  <c r="T196" i="8"/>
  <c r="C196" i="8"/>
  <c r="T280" i="8"/>
  <c r="C280" i="8"/>
  <c r="T639" i="8"/>
  <c r="C639" i="8"/>
  <c r="C974" i="8"/>
  <c r="T116" i="8"/>
  <c r="T115" i="8" s="1"/>
  <c r="E54" i="23" s="1"/>
  <c r="C116" i="8"/>
  <c r="T146" i="8"/>
  <c r="C146" i="8"/>
  <c r="T199" i="8"/>
  <c r="T198" i="8" s="1"/>
  <c r="E82" i="23" s="1"/>
  <c r="C199" i="8"/>
  <c r="T230" i="8"/>
  <c r="C230" i="8"/>
  <c r="T552" i="8"/>
  <c r="C552" i="8"/>
  <c r="T553" i="8"/>
  <c r="C553" i="8"/>
  <c r="T66" i="8"/>
  <c r="C66" i="8"/>
  <c r="T123" i="8"/>
  <c r="C123" i="8"/>
  <c r="T149" i="8"/>
  <c r="C149" i="8"/>
  <c r="T206" i="8"/>
  <c r="C206" i="8"/>
  <c r="T233" i="8"/>
  <c r="C233" i="8"/>
  <c r="T589" i="8"/>
  <c r="C589" i="8"/>
  <c r="T554" i="8"/>
  <c r="C554" i="8"/>
  <c r="L561" i="8"/>
  <c r="T73" i="8"/>
  <c r="C73" i="8"/>
  <c r="T128" i="8"/>
  <c r="C128" i="8"/>
  <c r="T156" i="8"/>
  <c r="C156" i="8"/>
  <c r="T212" i="8"/>
  <c r="C212" i="8"/>
  <c r="T240" i="8"/>
  <c r="C240" i="8"/>
  <c r="T596" i="8"/>
  <c r="C596" i="8"/>
  <c r="T555" i="8"/>
  <c r="C555" i="8"/>
  <c r="T1027" i="8"/>
  <c r="C1027" i="8"/>
  <c r="T634" i="8"/>
  <c r="C634" i="8"/>
  <c r="T1067" i="8"/>
  <c r="C1067" i="8"/>
  <c r="M1012" i="8"/>
  <c r="T1066" i="8"/>
  <c r="C1066" i="8"/>
  <c r="T1043" i="8"/>
  <c r="C1043" i="8"/>
  <c r="T1042" i="8"/>
  <c r="C1042" i="8"/>
  <c r="T1040" i="8"/>
  <c r="C1040" i="8"/>
  <c r="T986" i="8"/>
  <c r="C986" i="8"/>
  <c r="T1016" i="8"/>
  <c r="C1016" i="8"/>
  <c r="T1036" i="8"/>
  <c r="C1036" i="8"/>
  <c r="T1035" i="8"/>
  <c r="C1035" i="8"/>
  <c r="T984" i="8"/>
  <c r="C984" i="8"/>
  <c r="T670" i="8"/>
  <c r="C670" i="8"/>
  <c r="T638" i="8"/>
  <c r="C638" i="8"/>
  <c r="T1005" i="8"/>
  <c r="C1005" i="8"/>
  <c r="T1063" i="8"/>
  <c r="C1063" i="8"/>
  <c r="T985" i="8"/>
  <c r="C985" i="8"/>
  <c r="T637" i="8"/>
  <c r="C637" i="8"/>
  <c r="T1034" i="8"/>
  <c r="C1034" i="8"/>
  <c r="T1026" i="8"/>
  <c r="C1026" i="8"/>
  <c r="T1044" i="8"/>
  <c r="C1044" i="8"/>
  <c r="N638" i="8"/>
  <c r="T666" i="8"/>
  <c r="C666" i="8"/>
  <c r="T1054" i="8"/>
  <c r="C1054" i="8"/>
  <c r="T624" i="8"/>
  <c r="C624" i="8"/>
  <c r="T1053" i="8"/>
  <c r="C1053" i="8"/>
  <c r="T1000" i="8"/>
  <c r="C1000" i="8"/>
  <c r="T625" i="8"/>
  <c r="C625" i="8"/>
  <c r="N1030" i="8"/>
  <c r="T1037" i="8"/>
  <c r="C1037" i="8"/>
  <c r="T669" i="8"/>
  <c r="C669" i="8"/>
  <c r="T1028" i="8"/>
  <c r="C1028" i="8"/>
  <c r="T1031" i="8"/>
  <c r="C1031" i="8"/>
  <c r="M638" i="8"/>
  <c r="T994" i="8"/>
  <c r="C994" i="8"/>
  <c r="T987" i="8"/>
  <c r="C987" i="8"/>
  <c r="K89" i="8"/>
  <c r="O89" i="8" s="1"/>
  <c r="K108" i="8"/>
  <c r="O108" i="8" s="1"/>
  <c r="K91" i="8"/>
  <c r="O91" i="8" s="1"/>
  <c r="K110" i="8"/>
  <c r="O110" i="8" s="1"/>
  <c r="K1311" i="8"/>
  <c r="O1311" i="8" s="1"/>
  <c r="K87" i="8"/>
  <c r="O87" i="8" s="1"/>
  <c r="K86" i="8"/>
  <c r="O86" i="8" s="1"/>
  <c r="K106" i="8"/>
  <c r="O106" i="8" s="1"/>
  <c r="L1281" i="8"/>
  <c r="P1281" i="8" s="1"/>
  <c r="L58" i="8"/>
  <c r="L90" i="8"/>
  <c r="P90" i="8" s="1"/>
  <c r="L109" i="8"/>
  <c r="P109" i="8" s="1"/>
  <c r="K1281" i="8"/>
  <c r="O1281" i="8" s="1"/>
  <c r="K58" i="8"/>
  <c r="K88" i="8"/>
  <c r="O88" i="8" s="1"/>
  <c r="K107" i="8"/>
  <c r="O107" i="8" s="1"/>
  <c r="K1326" i="8"/>
  <c r="O1326" i="8" s="1"/>
  <c r="K81" i="8"/>
  <c r="O81" i="8" s="1"/>
  <c r="K101" i="8"/>
  <c r="O101" i="8" s="1"/>
  <c r="K90" i="8"/>
  <c r="O90" i="8" s="1"/>
  <c r="K109" i="8"/>
  <c r="O109" i="8" s="1"/>
  <c r="K82" i="8"/>
  <c r="O82" i="8" s="1"/>
  <c r="K102" i="8"/>
  <c r="O102" i="8" s="1"/>
  <c r="L89" i="8"/>
  <c r="P89" i="8" s="1"/>
  <c r="L108" i="8"/>
  <c r="P108" i="8" s="1"/>
  <c r="L91" i="8"/>
  <c r="P91" i="8" s="1"/>
  <c r="L110" i="8"/>
  <c r="P110" i="8" s="1"/>
  <c r="L1311" i="8"/>
  <c r="P1311" i="8" s="1"/>
  <c r="L87" i="8"/>
  <c r="P87" i="8" s="1"/>
  <c r="L86" i="8"/>
  <c r="P86" i="8" s="1"/>
  <c r="L106" i="8"/>
  <c r="P106" i="8" s="1"/>
  <c r="L100" i="8"/>
  <c r="P100" i="8" s="1"/>
  <c r="L80" i="8"/>
  <c r="P80" i="8" s="1"/>
  <c r="K100" i="8"/>
  <c r="O100" i="8" s="1"/>
  <c r="K80" i="8"/>
  <c r="O80" i="8" s="1"/>
  <c r="K1294" i="8"/>
  <c r="O1294" i="8" s="1"/>
  <c r="K70" i="8"/>
  <c r="O70" i="8" s="1"/>
  <c r="K1279" i="8"/>
  <c r="O1279" i="8" s="1"/>
  <c r="K56" i="8"/>
  <c r="K76" i="8"/>
  <c r="O76" i="8" s="1"/>
  <c r="K97" i="8"/>
  <c r="O97" i="8" s="1"/>
  <c r="K1278" i="8"/>
  <c r="O1278" i="8" s="1"/>
  <c r="K55" i="8"/>
  <c r="K1266" i="8"/>
  <c r="O1266" i="8" s="1"/>
  <c r="K49" i="8"/>
  <c r="K1260" i="8"/>
  <c r="O1260" i="8" s="1"/>
  <c r="K43" i="8"/>
  <c r="K1267" i="8"/>
  <c r="O1267" i="8" s="1"/>
  <c r="K50" i="8"/>
  <c r="K569" i="8"/>
  <c r="K48" i="8"/>
  <c r="H563" i="8"/>
  <c r="M563" i="8" s="1"/>
  <c r="T560" i="8"/>
  <c r="M1008" i="8"/>
  <c r="T1008" i="8"/>
  <c r="N999" i="8"/>
  <c r="T999" i="8"/>
  <c r="H668" i="8"/>
  <c r="T667" i="8"/>
  <c r="L88" i="8"/>
  <c r="P88" i="8" s="1"/>
  <c r="L107" i="8"/>
  <c r="P107" i="8" s="1"/>
  <c r="L102" i="8"/>
  <c r="P102" i="8" s="1"/>
  <c r="L82" i="8"/>
  <c r="P82" i="8" s="1"/>
  <c r="L1326" i="8"/>
  <c r="P1326" i="8" s="1"/>
  <c r="L81" i="8"/>
  <c r="P81" i="8" s="1"/>
  <c r="L101" i="8"/>
  <c r="P101" i="8" s="1"/>
  <c r="L1324" i="8"/>
  <c r="P1324" i="8" s="1"/>
  <c r="L79" i="8"/>
  <c r="P79" i="8" s="1"/>
  <c r="L99" i="8"/>
  <c r="P99" i="8" s="1"/>
  <c r="L1252" i="8"/>
  <c r="P1252" i="8" s="1"/>
  <c r="L34" i="8"/>
  <c r="L1251" i="8"/>
  <c r="P1251" i="8" s="1"/>
  <c r="L33" i="8"/>
  <c r="L72" i="8"/>
  <c r="P72" i="8" s="1"/>
  <c r="L93" i="8"/>
  <c r="P93" i="8" s="1"/>
  <c r="L112" i="8"/>
  <c r="P112" i="8" s="1"/>
  <c r="L1283" i="8"/>
  <c r="P1283" i="8" s="1"/>
  <c r="L59" i="8"/>
  <c r="L1286" i="8"/>
  <c r="P1286" i="8" s="1"/>
  <c r="L62" i="8"/>
  <c r="L83" i="8"/>
  <c r="P83" i="8" s="1"/>
  <c r="L85" i="8"/>
  <c r="P85" i="8" s="1"/>
  <c r="L104" i="8"/>
  <c r="P104" i="8" s="1"/>
  <c r="L84" i="8"/>
  <c r="P84" i="8" s="1"/>
  <c r="L103" i="8"/>
  <c r="P103" i="8" s="1"/>
  <c r="L105" i="8"/>
  <c r="P105" i="8" s="1"/>
  <c r="L1295" i="8"/>
  <c r="P1295" i="8" s="1"/>
  <c r="L71" i="8"/>
  <c r="P71" i="8" s="1"/>
  <c r="L1293" i="8"/>
  <c r="P1293" i="8" s="1"/>
  <c r="L69" i="8"/>
  <c r="P69" i="8" s="1"/>
  <c r="L1280" i="8"/>
  <c r="P1280" i="8" s="1"/>
  <c r="L57" i="8"/>
  <c r="L1301" i="8"/>
  <c r="P1301" i="8" s="1"/>
  <c r="L77" i="8"/>
  <c r="P77" i="8" s="1"/>
  <c r="L1322" i="8"/>
  <c r="P1322" i="8" s="1"/>
  <c r="L96" i="8"/>
  <c r="P96" i="8" s="1"/>
  <c r="L75" i="8"/>
  <c r="P75" i="8" s="1"/>
  <c r="L1292" i="8"/>
  <c r="P1292" i="8" s="1"/>
  <c r="L68" i="8"/>
  <c r="P68" i="8" s="1"/>
  <c r="L1261" i="8"/>
  <c r="P1261" i="8" s="1"/>
  <c r="L44" i="8"/>
  <c r="L1259" i="8"/>
  <c r="P1259" i="8" s="1"/>
  <c r="L42" i="8"/>
  <c r="L1268" i="8"/>
  <c r="P1268" i="8" s="1"/>
  <c r="L51" i="8"/>
  <c r="L1269" i="8"/>
  <c r="P1269" i="8" s="1"/>
  <c r="L52" i="8"/>
  <c r="L568" i="8"/>
  <c r="L47" i="8"/>
  <c r="H572" i="8"/>
  <c r="N572" i="8" s="1"/>
  <c r="T566" i="8"/>
  <c r="H1011" i="8"/>
  <c r="C1011" i="8" s="1"/>
  <c r="T1006" i="8"/>
  <c r="N1041" i="8"/>
  <c r="T1041" i="8"/>
  <c r="N1020" i="8"/>
  <c r="T1020" i="8"/>
  <c r="N1010" i="8"/>
  <c r="T1010" i="8"/>
  <c r="H1013" i="8"/>
  <c r="C1013" i="8" s="1"/>
  <c r="T1012" i="8"/>
  <c r="H673" i="8"/>
  <c r="T672" i="8"/>
  <c r="H1032" i="8"/>
  <c r="C1032" i="8" s="1"/>
  <c r="T1030" i="8"/>
  <c r="K1280" i="8"/>
  <c r="O1280" i="8" s="1"/>
  <c r="K57" i="8"/>
  <c r="K1301" i="8"/>
  <c r="O1301" i="8" s="1"/>
  <c r="K77" i="8"/>
  <c r="O77" i="8" s="1"/>
  <c r="K1322" i="8"/>
  <c r="O1322" i="8" s="1"/>
  <c r="K96" i="8"/>
  <c r="O96" i="8" s="1"/>
  <c r="K75" i="8"/>
  <c r="O75" i="8" s="1"/>
  <c r="K1292" i="8"/>
  <c r="O1292" i="8" s="1"/>
  <c r="K68" i="8"/>
  <c r="O68" i="8" s="1"/>
  <c r="K1261" i="8"/>
  <c r="O1261" i="8" s="1"/>
  <c r="K44" i="8"/>
  <c r="K1259" i="8"/>
  <c r="O1259" i="8" s="1"/>
  <c r="K42" i="8"/>
  <c r="K1268" i="8"/>
  <c r="O1268" i="8" s="1"/>
  <c r="K51" i="8"/>
  <c r="K1269" i="8"/>
  <c r="O1269" i="8" s="1"/>
  <c r="K52" i="8"/>
  <c r="K568" i="8"/>
  <c r="K47" i="8"/>
  <c r="H142" i="8"/>
  <c r="T136" i="8"/>
  <c r="H226" i="8"/>
  <c r="T220" i="8"/>
  <c r="T575" i="8"/>
  <c r="M1020" i="8"/>
  <c r="N993" i="8"/>
  <c r="T993" i="8"/>
  <c r="N1002" i="8"/>
  <c r="T1002" i="8"/>
  <c r="H991" i="8"/>
  <c r="N991" i="8" s="1"/>
  <c r="T990" i="8"/>
  <c r="H1023" i="8"/>
  <c r="C1023" i="8" s="1"/>
  <c r="T1019" i="8"/>
  <c r="L78" i="8"/>
  <c r="P78" i="8" s="1"/>
  <c r="L98" i="8"/>
  <c r="P98" i="8" s="1"/>
  <c r="L1289" i="8"/>
  <c r="P1289" i="8" s="1"/>
  <c r="L65" i="8"/>
  <c r="L92" i="8"/>
  <c r="P92" i="8" s="1"/>
  <c r="L111" i="8"/>
  <c r="P111" i="8" s="1"/>
  <c r="L1284" i="8"/>
  <c r="P1284" i="8" s="1"/>
  <c r="L60" i="8"/>
  <c r="L1285" i="8"/>
  <c r="P1285" i="8" s="1"/>
  <c r="L61" i="8"/>
  <c r="L1294" i="8"/>
  <c r="P1294" i="8" s="1"/>
  <c r="L70" i="8"/>
  <c r="P70" i="8" s="1"/>
  <c r="L1279" i="8"/>
  <c r="P1279" i="8" s="1"/>
  <c r="L56" i="8"/>
  <c r="L97" i="8"/>
  <c r="P97" i="8" s="1"/>
  <c r="L76" i="8"/>
  <c r="P76" i="8" s="1"/>
  <c r="L1278" i="8"/>
  <c r="P1278" i="8" s="1"/>
  <c r="L55" i="8"/>
  <c r="L1266" i="8"/>
  <c r="P1266" i="8" s="1"/>
  <c r="L49" i="8"/>
  <c r="L1260" i="8"/>
  <c r="P1260" i="8" s="1"/>
  <c r="L43" i="8"/>
  <c r="L1267" i="8"/>
  <c r="P1267" i="8" s="1"/>
  <c r="L50" i="8"/>
  <c r="L569" i="8"/>
  <c r="L48" i="8"/>
  <c r="H588" i="8"/>
  <c r="T586" i="8"/>
  <c r="N992" i="8"/>
  <c r="T992" i="8"/>
  <c r="N1038" i="8"/>
  <c r="T1038" i="8"/>
  <c r="N32" i="8"/>
  <c r="M32" i="8"/>
  <c r="H35" i="8"/>
  <c r="C35" i="8" s="1"/>
  <c r="T32" i="8"/>
  <c r="H65" i="8"/>
  <c r="C65" i="8" s="1"/>
  <c r="T63" i="8"/>
  <c r="H43" i="8"/>
  <c r="C43" i="8" s="1"/>
  <c r="T39" i="8"/>
  <c r="H51" i="8"/>
  <c r="C51" i="8" s="1"/>
  <c r="T45" i="8"/>
  <c r="K1331" i="8"/>
  <c r="O1331" i="8" s="1"/>
  <c r="K1310" i="8"/>
  <c r="O1310" i="8" s="1"/>
  <c r="K1312" i="8"/>
  <c r="O1312" i="8" s="1"/>
  <c r="K1332" i="8"/>
  <c r="O1332" i="8" s="1"/>
  <c r="K1306" i="8"/>
  <c r="O1306" i="8" s="1"/>
  <c r="K1327" i="8"/>
  <c r="O1327" i="8" s="1"/>
  <c r="K1305" i="8"/>
  <c r="O1305" i="8" s="1"/>
  <c r="K1325" i="8"/>
  <c r="O1325" i="8" s="1"/>
  <c r="K984" i="8"/>
  <c r="O984" i="8" s="1"/>
  <c r="K1258" i="8"/>
  <c r="O1258" i="8" s="1"/>
  <c r="K1300" i="8"/>
  <c r="O1300" i="8" s="1"/>
  <c r="K1321" i="8"/>
  <c r="O1321" i="8" s="1"/>
  <c r="K1000" i="8"/>
  <c r="O1000" i="8" s="1"/>
  <c r="K1274" i="8"/>
  <c r="O1274" i="8" s="1"/>
  <c r="K1002" i="8"/>
  <c r="O1002" i="8" s="1"/>
  <c r="K1275" i="8"/>
  <c r="O1275" i="8" s="1"/>
  <c r="K991" i="8"/>
  <c r="K1265" i="8"/>
  <c r="O1265" i="8" s="1"/>
  <c r="K990" i="8"/>
  <c r="O990" i="8" s="1"/>
  <c r="K1264" i="8"/>
  <c r="O1264" i="8" s="1"/>
  <c r="K1313" i="8"/>
  <c r="O1313" i="8" s="1"/>
  <c r="K1335" i="8"/>
  <c r="O1335" i="8" s="1"/>
  <c r="K1314" i="8"/>
  <c r="O1314" i="8" s="1"/>
  <c r="K1336" i="8"/>
  <c r="O1336" i="8" s="1"/>
  <c r="K1315" i="8"/>
  <c r="O1315" i="8" s="1"/>
  <c r="K1340" i="8"/>
  <c r="O1340" i="8" s="1"/>
  <c r="L1313" i="8"/>
  <c r="P1313" i="8" s="1"/>
  <c r="L1335" i="8"/>
  <c r="P1335" i="8" s="1"/>
  <c r="L1336" i="8"/>
  <c r="P1336" i="8" s="1"/>
  <c r="L1314" i="8"/>
  <c r="P1314" i="8" s="1"/>
  <c r="L1315" i="8"/>
  <c r="P1315" i="8" s="1"/>
  <c r="L1340" i="8"/>
  <c r="P1340" i="8" s="1"/>
  <c r="L1310" i="8"/>
  <c r="P1310" i="8" s="1"/>
  <c r="L1331" i="8"/>
  <c r="P1331" i="8" s="1"/>
  <c r="L1332" i="8"/>
  <c r="P1332" i="8" s="1"/>
  <c r="L1312" i="8"/>
  <c r="P1312" i="8" s="1"/>
  <c r="L1306" i="8"/>
  <c r="P1306" i="8" s="1"/>
  <c r="L1327" i="8"/>
  <c r="P1327" i="8" s="1"/>
  <c r="L1305" i="8"/>
  <c r="P1305" i="8" s="1"/>
  <c r="L1325" i="8"/>
  <c r="P1325" i="8" s="1"/>
  <c r="L1303" i="8"/>
  <c r="P1303" i="8" s="1"/>
  <c r="L1323" i="8"/>
  <c r="P1323" i="8" s="1"/>
  <c r="L999" i="8"/>
  <c r="P999" i="8" s="1"/>
  <c r="L1273" i="8"/>
  <c r="P1273" i="8" s="1"/>
  <c r="L984" i="8"/>
  <c r="P984" i="8" s="1"/>
  <c r="L1258" i="8"/>
  <c r="P1258" i="8" s="1"/>
  <c r="L1296" i="8"/>
  <c r="P1296" i="8" s="1"/>
  <c r="L1317" i="8"/>
  <c r="P1317" i="8" s="1"/>
  <c r="L1342" i="8"/>
  <c r="P1342" i="8" s="1"/>
  <c r="L1316" i="8"/>
  <c r="P1316" i="8" s="1"/>
  <c r="L1341" i="8"/>
  <c r="P1341" i="8" s="1"/>
  <c r="L1307" i="8"/>
  <c r="P1307" i="8" s="1"/>
  <c r="L1308" i="8"/>
  <c r="P1308" i="8" s="1"/>
  <c r="L1309" i="8"/>
  <c r="P1309" i="8" s="1"/>
  <c r="L1328" i="8"/>
  <c r="P1328" i="8" s="1"/>
  <c r="L1329" i="8"/>
  <c r="P1329" i="8" s="1"/>
  <c r="L1330" i="8"/>
  <c r="P1330" i="8" s="1"/>
  <c r="L1300" i="8"/>
  <c r="P1300" i="8" s="1"/>
  <c r="L1321" i="8"/>
  <c r="P1321" i="8" s="1"/>
  <c r="L1000" i="8"/>
  <c r="P1000" i="8" s="1"/>
  <c r="L1274" i="8"/>
  <c r="P1274" i="8" s="1"/>
  <c r="L1002" i="8"/>
  <c r="P1002" i="8" s="1"/>
  <c r="L1275" i="8"/>
  <c r="P1275" i="8" s="1"/>
  <c r="L991" i="8"/>
  <c r="L1265" i="8"/>
  <c r="P1265" i="8" s="1"/>
  <c r="L990" i="8"/>
  <c r="P990" i="8" s="1"/>
  <c r="L1264" i="8"/>
  <c r="P1264" i="8" s="1"/>
  <c r="H1021" i="8"/>
  <c r="C1021" i="8" s="1"/>
  <c r="N1008" i="8"/>
  <c r="M990" i="8"/>
  <c r="H671" i="8"/>
  <c r="H1022" i="8"/>
  <c r="H58" i="8"/>
  <c r="C58" i="8" s="1"/>
  <c r="H59" i="8"/>
  <c r="C59" i="8" s="1"/>
  <c r="M992" i="8"/>
  <c r="M1041" i="8"/>
  <c r="N1006" i="8"/>
  <c r="M1038" i="8"/>
  <c r="M1006" i="8"/>
  <c r="N990" i="8"/>
  <c r="M999" i="8"/>
  <c r="H561" i="8"/>
  <c r="H562" i="8"/>
  <c r="C562" i="8" s="1"/>
  <c r="N974" i="8"/>
  <c r="H1007" i="8"/>
  <c r="C1007" i="8" s="1"/>
  <c r="H564" i="8"/>
  <c r="C564" i="8" s="1"/>
  <c r="M974" i="8"/>
  <c r="F111" i="11" s="1"/>
  <c r="K605" i="8"/>
  <c r="K626" i="8"/>
  <c r="O626" i="8" s="1"/>
  <c r="K1055" i="8"/>
  <c r="O1055" i="8" s="1"/>
  <c r="K1054" i="8"/>
  <c r="O1054" i="8" s="1"/>
  <c r="K625" i="8"/>
  <c r="O625" i="8" s="1"/>
  <c r="K557" i="8"/>
  <c r="K980" i="8"/>
  <c r="O980" i="8" s="1"/>
  <c r="K620" i="8"/>
  <c r="O620" i="8" s="1"/>
  <c r="K1049" i="8"/>
  <c r="O1049" i="8" s="1"/>
  <c r="K1019" i="8"/>
  <c r="O1019" i="8" s="1"/>
  <c r="K591" i="8"/>
  <c r="K987" i="8"/>
  <c r="O987" i="8" s="1"/>
  <c r="K564" i="8"/>
  <c r="K562" i="8"/>
  <c r="K985" i="8"/>
  <c r="O985" i="8" s="1"/>
  <c r="K572" i="8"/>
  <c r="K994" i="8"/>
  <c r="O994" i="8" s="1"/>
  <c r="K995" i="8"/>
  <c r="L1062" i="8"/>
  <c r="P1062" i="8" s="1"/>
  <c r="L633" i="8"/>
  <c r="P633" i="8" s="1"/>
  <c r="L1064" i="8"/>
  <c r="P1064" i="8" s="1"/>
  <c r="L635" i="8"/>
  <c r="P635" i="8" s="1"/>
  <c r="L1041" i="8"/>
  <c r="P1041" i="8" s="1"/>
  <c r="L612" i="8"/>
  <c r="L1043" i="8"/>
  <c r="P1043" i="8" s="1"/>
  <c r="L614" i="8"/>
  <c r="L1039" i="8"/>
  <c r="P1039" i="8" s="1"/>
  <c r="L610" i="8"/>
  <c r="L1059" i="8"/>
  <c r="P1059" i="8" s="1"/>
  <c r="L630" i="8"/>
  <c r="P630" i="8" s="1"/>
  <c r="L609" i="8"/>
  <c r="L1032" i="8"/>
  <c r="L603" i="8"/>
  <c r="L1053" i="8"/>
  <c r="P1053" i="8" s="1"/>
  <c r="L624" i="8"/>
  <c r="P624" i="8" s="1"/>
  <c r="P1030" i="8"/>
  <c r="P1051" i="8"/>
  <c r="P622" i="8"/>
  <c r="L558" i="8"/>
  <c r="L981" i="8"/>
  <c r="P981" i="8" s="1"/>
  <c r="L588" i="8"/>
  <c r="L1016" i="8"/>
  <c r="P1016" i="8" s="1"/>
  <c r="L1046" i="8"/>
  <c r="L617" i="8"/>
  <c r="L615" i="8"/>
  <c r="L1066" i="8"/>
  <c r="P1066" i="8" s="1"/>
  <c r="L637" i="8"/>
  <c r="P637" i="8" s="1"/>
  <c r="L583" i="8"/>
  <c r="L1011" i="8"/>
  <c r="L1012" i="8"/>
  <c r="P1012" i="8" s="1"/>
  <c r="L584" i="8"/>
  <c r="L1036" i="8"/>
  <c r="P1036" i="8" s="1"/>
  <c r="L1035" i="8"/>
  <c r="P1035" i="8" s="1"/>
  <c r="L1037" i="8"/>
  <c r="P1037" i="8" s="1"/>
  <c r="L1021" i="8"/>
  <c r="L1006" i="8"/>
  <c r="P1006" i="8" s="1"/>
  <c r="L578" i="8"/>
  <c r="L1027" i="8"/>
  <c r="P1027" i="8" s="1"/>
  <c r="L599" i="8"/>
  <c r="L1050" i="8"/>
  <c r="P1050" i="8" s="1"/>
  <c r="L621" i="8"/>
  <c r="P621" i="8" s="1"/>
  <c r="L1005" i="8"/>
  <c r="P1005" i="8" s="1"/>
  <c r="L577" i="8"/>
  <c r="L992" i="8"/>
  <c r="P992" i="8" s="1"/>
  <c r="L570" i="8"/>
  <c r="L563" i="8"/>
  <c r="L986" i="8"/>
  <c r="P986" i="8" s="1"/>
  <c r="L571" i="8"/>
  <c r="L993" i="8"/>
  <c r="P993" i="8" s="1"/>
  <c r="K1008" i="8"/>
  <c r="O1008" i="8" s="1"/>
  <c r="K580" i="8"/>
  <c r="K1063" i="8"/>
  <c r="O1063" i="8" s="1"/>
  <c r="K634" i="8"/>
  <c r="O634" i="8" s="1"/>
  <c r="K1042" i="8"/>
  <c r="O1042" i="8" s="1"/>
  <c r="K613" i="8"/>
  <c r="K1065" i="8"/>
  <c r="O1065" i="8" s="1"/>
  <c r="K636" i="8"/>
  <c r="O636" i="8" s="1"/>
  <c r="K1061" i="8"/>
  <c r="O1061" i="8" s="1"/>
  <c r="K632" i="8"/>
  <c r="O632" i="8" s="1"/>
  <c r="K611" i="8"/>
  <c r="K1033" i="8"/>
  <c r="K604" i="8"/>
  <c r="K1007" i="8"/>
  <c r="K579" i="8"/>
  <c r="K1028" i="8"/>
  <c r="O1028" i="8" s="1"/>
  <c r="K600" i="8"/>
  <c r="K598" i="8"/>
  <c r="K1026" i="8"/>
  <c r="O1026" i="8" s="1"/>
  <c r="K1062" i="8"/>
  <c r="O1062" i="8" s="1"/>
  <c r="K633" i="8"/>
  <c r="O633" i="8" s="1"/>
  <c r="K1041" i="8"/>
  <c r="O1041" i="8" s="1"/>
  <c r="K612" i="8"/>
  <c r="K635" i="8"/>
  <c r="O635" i="8" s="1"/>
  <c r="K1064" i="8"/>
  <c r="O1064" i="8" s="1"/>
  <c r="K1043" i="8"/>
  <c r="O1043" i="8" s="1"/>
  <c r="K614" i="8"/>
  <c r="K1039" i="8"/>
  <c r="O1039" i="8" s="1"/>
  <c r="K610" i="8"/>
  <c r="K609" i="8"/>
  <c r="K630" i="8"/>
  <c r="O630" i="8" s="1"/>
  <c r="K1059" i="8"/>
  <c r="O1059" i="8" s="1"/>
  <c r="K603" i="8"/>
  <c r="K1032" i="8"/>
  <c r="K1053" i="8"/>
  <c r="O1053" i="8" s="1"/>
  <c r="K624" i="8"/>
  <c r="O624" i="8" s="1"/>
  <c r="K558" i="8"/>
  <c r="K981" i="8"/>
  <c r="O981" i="8" s="1"/>
  <c r="K1006" i="8"/>
  <c r="O1006" i="8" s="1"/>
  <c r="K578" i="8"/>
  <c r="K1027" i="8"/>
  <c r="O1027" i="8" s="1"/>
  <c r="K599" i="8"/>
  <c r="K1050" i="8"/>
  <c r="O1050" i="8" s="1"/>
  <c r="K621" i="8"/>
  <c r="O621" i="8" s="1"/>
  <c r="K577" i="8"/>
  <c r="K1005" i="8"/>
  <c r="O1005" i="8" s="1"/>
  <c r="K570" i="8"/>
  <c r="K992" i="8"/>
  <c r="O992" i="8" s="1"/>
  <c r="K563" i="8"/>
  <c r="K986" i="8"/>
  <c r="O986" i="8" s="1"/>
  <c r="K571" i="8"/>
  <c r="K993" i="8"/>
  <c r="O993" i="8" s="1"/>
  <c r="L1008" i="8"/>
  <c r="P1008" i="8" s="1"/>
  <c r="L580" i="8"/>
  <c r="L1063" i="8"/>
  <c r="P1063" i="8" s="1"/>
  <c r="L634" i="8"/>
  <c r="P634" i="8" s="1"/>
  <c r="L1042" i="8"/>
  <c r="P1042" i="8" s="1"/>
  <c r="L613" i="8"/>
  <c r="L636" i="8"/>
  <c r="P636" i="8" s="1"/>
  <c r="L1065" i="8"/>
  <c r="P1065" i="8" s="1"/>
  <c r="L611" i="8"/>
  <c r="L632" i="8"/>
  <c r="P632" i="8" s="1"/>
  <c r="L1061" i="8"/>
  <c r="P1061" i="8" s="1"/>
  <c r="L1055" i="8"/>
  <c r="P1055" i="8" s="1"/>
  <c r="L626" i="8"/>
  <c r="P626" i="8" s="1"/>
  <c r="L605" i="8"/>
  <c r="L1033" i="8"/>
  <c r="L604" i="8"/>
  <c r="L1054" i="8"/>
  <c r="P1054" i="8" s="1"/>
  <c r="L625" i="8"/>
  <c r="P625" i="8" s="1"/>
  <c r="P1031" i="8"/>
  <c r="P623" i="8"/>
  <c r="P1052" i="8"/>
  <c r="L980" i="8"/>
  <c r="P980" i="8" s="1"/>
  <c r="L557" i="8"/>
  <c r="L554" i="8"/>
  <c r="P554" i="8" s="1"/>
  <c r="L977" i="8"/>
  <c r="P977" i="8" s="1"/>
  <c r="L553" i="8"/>
  <c r="P553" i="8" s="1"/>
  <c r="L976" i="8"/>
  <c r="P976" i="8" s="1"/>
  <c r="L1067" i="8"/>
  <c r="P1067" i="8" s="1"/>
  <c r="L1023" i="8"/>
  <c r="L638" i="8"/>
  <c r="P638" i="8" s="1"/>
  <c r="L595" i="8"/>
  <c r="L616" i="8"/>
  <c r="L1045" i="8"/>
  <c r="L1010" i="8"/>
  <c r="P1010" i="8" s="1"/>
  <c r="L582" i="8"/>
  <c r="L1013" i="8"/>
  <c r="L585" i="8"/>
  <c r="L607" i="8"/>
  <c r="L1058" i="8"/>
  <c r="P1058" i="8" s="1"/>
  <c r="L629" i="8"/>
  <c r="P629" i="8" s="1"/>
  <c r="L606" i="8"/>
  <c r="L1057" i="8"/>
  <c r="P1057" i="8" s="1"/>
  <c r="L628" i="8"/>
  <c r="P628" i="8" s="1"/>
  <c r="L608" i="8"/>
  <c r="L627" i="8"/>
  <c r="P627" i="8" s="1"/>
  <c r="L1056" i="8"/>
  <c r="P1056" i="8" s="1"/>
  <c r="L1022" i="8"/>
  <c r="L1020" i="8"/>
  <c r="P1020" i="8" s="1"/>
  <c r="L1007" i="8"/>
  <c r="L579" i="8"/>
  <c r="L1028" i="8"/>
  <c r="P1028" i="8" s="1"/>
  <c r="L600" i="8"/>
  <c r="L1026" i="8"/>
  <c r="P1026" i="8" s="1"/>
  <c r="L598" i="8"/>
  <c r="L1049" i="8"/>
  <c r="P1049" i="8" s="1"/>
  <c r="L620" i="8"/>
  <c r="P620" i="8" s="1"/>
  <c r="L591" i="8"/>
  <c r="L1019" i="8"/>
  <c r="P1019" i="8" s="1"/>
  <c r="L564" i="8"/>
  <c r="L987" i="8"/>
  <c r="P987" i="8" s="1"/>
  <c r="L562" i="8"/>
  <c r="L985" i="8"/>
  <c r="P985" i="8" s="1"/>
  <c r="L572" i="8"/>
  <c r="L994" i="8"/>
  <c r="P994" i="8" s="1"/>
  <c r="L574" i="8"/>
  <c r="L995" i="8"/>
  <c r="M553" i="8"/>
  <c r="N553" i="8"/>
  <c r="N625" i="8"/>
  <c r="M625" i="8"/>
  <c r="H49" i="8"/>
  <c r="C49" i="8" s="1"/>
  <c r="H592" i="8"/>
  <c r="H591" i="8"/>
  <c r="N554" i="8"/>
  <c r="M554" i="8"/>
  <c r="N1005" i="8"/>
  <c r="M1005" i="8"/>
  <c r="M1037" i="8"/>
  <c r="N1037" i="8"/>
  <c r="M1028" i="8"/>
  <c r="N1028" i="8"/>
  <c r="N1031" i="8"/>
  <c r="H1033" i="8"/>
  <c r="M1031" i="8"/>
  <c r="N984" i="8"/>
  <c r="M984" i="8"/>
  <c r="N1063" i="8"/>
  <c r="M1063" i="8"/>
  <c r="M1026" i="8"/>
  <c r="H1046" i="8"/>
  <c r="N1026" i="8"/>
  <c r="M1044" i="8"/>
  <c r="N1044" i="8"/>
  <c r="H611" i="8"/>
  <c r="H607" i="8"/>
  <c r="H609" i="8"/>
  <c r="H608" i="8"/>
  <c r="H602" i="8"/>
  <c r="H606" i="8"/>
  <c r="H601" i="8"/>
  <c r="H612" i="8"/>
  <c r="M555" i="8"/>
  <c r="N555" i="8"/>
  <c r="H61" i="8"/>
  <c r="C61" i="8" s="1"/>
  <c r="M1067" i="8"/>
  <c r="N1067" i="8"/>
  <c r="M1027" i="8"/>
  <c r="N1027" i="8"/>
  <c r="H1045" i="8"/>
  <c r="N637" i="8"/>
  <c r="M637" i="8"/>
  <c r="N1066" i="8"/>
  <c r="M1066" i="8"/>
  <c r="N1043" i="8"/>
  <c r="M1043" i="8"/>
  <c r="M1036" i="8"/>
  <c r="N1036" i="8"/>
  <c r="N1035" i="8"/>
  <c r="M1035" i="8"/>
  <c r="M986" i="8"/>
  <c r="N986" i="8"/>
  <c r="N552" i="8"/>
  <c r="H557" i="8"/>
  <c r="M552" i="8"/>
  <c r="H558" i="8"/>
  <c r="H144" i="8"/>
  <c r="C144" i="8" s="1"/>
  <c r="H138" i="8"/>
  <c r="H141" i="8"/>
  <c r="H139" i="8"/>
  <c r="H228" i="8"/>
  <c r="C228" i="8" s="1"/>
  <c r="H225" i="8"/>
  <c r="H223" i="8"/>
  <c r="H222" i="8"/>
  <c r="H583" i="8"/>
  <c r="N985" i="8"/>
  <c r="M1034" i="8"/>
  <c r="N1034" i="8"/>
  <c r="M1042" i="8"/>
  <c r="N1042" i="8"/>
  <c r="M1040" i="8"/>
  <c r="N1040" i="8"/>
  <c r="M634" i="8"/>
  <c r="N634" i="8"/>
  <c r="H55" i="8"/>
  <c r="C55" i="8" s="1"/>
  <c r="H33" i="8"/>
  <c r="C33" i="8" s="1"/>
  <c r="H41" i="8"/>
  <c r="C41" i="8" s="1"/>
  <c r="H50" i="8"/>
  <c r="C50" i="8" s="1"/>
  <c r="H56" i="8"/>
  <c r="C56" i="8" s="1"/>
  <c r="H44" i="8"/>
  <c r="C44" i="8" s="1"/>
  <c r="H34" i="8"/>
  <c r="C34" i="8" s="1"/>
  <c r="H42" i="8"/>
  <c r="C42" i="8" s="1"/>
  <c r="H47" i="8"/>
  <c r="C47" i="8" s="1"/>
  <c r="M291" i="5"/>
  <c r="M292" i="5"/>
  <c r="M293" i="5"/>
  <c r="M297" i="5"/>
  <c r="M298" i="5"/>
  <c r="M301" i="5"/>
  <c r="M302" i="5"/>
  <c r="M303" i="5"/>
  <c r="M308" i="5"/>
  <c r="M309" i="5"/>
  <c r="M312" i="5"/>
  <c r="M313" i="5"/>
  <c r="M314" i="5"/>
  <c r="M319" i="5"/>
  <c r="M320" i="5"/>
  <c r="M323" i="5"/>
  <c r="M324" i="5"/>
  <c r="M325" i="5"/>
  <c r="M329" i="5"/>
  <c r="M330" i="5"/>
  <c r="K363" i="5"/>
  <c r="K112" i="5"/>
  <c r="K113" i="5"/>
  <c r="K114" i="5"/>
  <c r="D16" i="11"/>
  <c r="D15" i="11"/>
  <c r="D13" i="11"/>
  <c r="D12" i="11"/>
  <c r="D10" i="11"/>
  <c r="D9" i="11"/>
  <c r="H103" i="11"/>
  <c r="I103" i="11" s="1"/>
  <c r="J103" i="11" s="1"/>
  <c r="H105" i="11"/>
  <c r="I105" i="11" s="1"/>
  <c r="J105" i="11" s="1"/>
  <c r="H113" i="11"/>
  <c r="I113" i="11" s="1"/>
  <c r="J113" i="11" s="1"/>
  <c r="H27" i="11"/>
  <c r="I27" i="11" s="1"/>
  <c r="J27" i="11" s="1"/>
  <c r="H32" i="11"/>
  <c r="I32" i="11" s="1"/>
  <c r="J32" i="11" s="1"/>
  <c r="H22" i="11"/>
  <c r="S350" i="5" l="1"/>
  <c r="L32" i="6" s="1"/>
  <c r="R32" i="6" s="1"/>
  <c r="R350" i="5"/>
  <c r="K32" i="6" s="1"/>
  <c r="Q32" i="6" s="1"/>
  <c r="Q695" i="5"/>
  <c r="J123" i="6" s="1"/>
  <c r="P123" i="6" s="1"/>
  <c r="Q688" i="5"/>
  <c r="J122" i="6" s="1"/>
  <c r="P122" i="6" s="1"/>
  <c r="S688" i="5"/>
  <c r="L122" i="6" s="1"/>
  <c r="R122" i="6" s="1"/>
  <c r="R12" i="5"/>
  <c r="K101" i="6" s="1"/>
  <c r="Q101" i="6" s="1"/>
  <c r="S695" i="5"/>
  <c r="L123" i="6" s="1"/>
  <c r="R123" i="6" s="1"/>
  <c r="S404" i="5"/>
  <c r="L41" i="6" s="1"/>
  <c r="R41" i="6" s="1"/>
  <c r="P572" i="8"/>
  <c r="S421" i="5"/>
  <c r="L43" i="6" s="1"/>
  <c r="R43" i="6" s="1"/>
  <c r="O572" i="8"/>
  <c r="S195" i="5"/>
  <c r="M561" i="8"/>
  <c r="E86" i="23"/>
  <c r="D58" i="23"/>
  <c r="M1007" i="8"/>
  <c r="N563" i="8"/>
  <c r="E58" i="23"/>
  <c r="D86" i="23"/>
  <c r="D54" i="23"/>
  <c r="D82" i="23"/>
  <c r="F60" i="10"/>
  <c r="F61" i="10" s="1"/>
  <c r="C581" i="8"/>
  <c r="P581" i="8"/>
  <c r="M581" i="8"/>
  <c r="O581" i="8"/>
  <c r="N581" i="8"/>
  <c r="T581" i="8"/>
  <c r="D170" i="23"/>
  <c r="P1021" i="8"/>
  <c r="E170" i="23"/>
  <c r="D166" i="23"/>
  <c r="P991" i="8"/>
  <c r="T996" i="8"/>
  <c r="N996" i="8"/>
  <c r="M996" i="8"/>
  <c r="C996" i="8"/>
  <c r="P996" i="8"/>
  <c r="L20" i="6"/>
  <c r="R20" i="6" s="1"/>
  <c r="P1013" i="8"/>
  <c r="O563" i="8"/>
  <c r="P1032" i="8"/>
  <c r="O1032" i="8"/>
  <c r="P563" i="8"/>
  <c r="P1011" i="8"/>
  <c r="N1011" i="8"/>
  <c r="O561" i="8"/>
  <c r="H995" i="8"/>
  <c r="N995" i="8" s="1"/>
  <c r="M991" i="8"/>
  <c r="O991" i="8"/>
  <c r="N562" i="8"/>
  <c r="O1021" i="8"/>
  <c r="P1077" i="8"/>
  <c r="G185" i="9" s="1"/>
  <c r="S662" i="5"/>
  <c r="S669" i="5"/>
  <c r="G121" i="10"/>
  <c r="G51" i="10"/>
  <c r="G65" i="10"/>
  <c r="F74" i="10"/>
  <c r="F130" i="10"/>
  <c r="P561" i="8"/>
  <c r="N561" i="8"/>
  <c r="M564" i="8"/>
  <c r="P564" i="8"/>
  <c r="P1023" i="8"/>
  <c r="N582" i="8"/>
  <c r="P582" i="8"/>
  <c r="T612" i="8"/>
  <c r="C612" i="8"/>
  <c r="T598" i="8"/>
  <c r="C598" i="8"/>
  <c r="T1033" i="8"/>
  <c r="C1033" i="8"/>
  <c r="T588" i="8"/>
  <c r="C588" i="8"/>
  <c r="T580" i="8"/>
  <c r="C580" i="8"/>
  <c r="T222" i="8"/>
  <c r="C222" i="8"/>
  <c r="T139" i="8"/>
  <c r="C139" i="8"/>
  <c r="T558" i="8"/>
  <c r="C558" i="8"/>
  <c r="T1045" i="8"/>
  <c r="C1045" i="8"/>
  <c r="T601" i="8"/>
  <c r="C601" i="8"/>
  <c r="T613" i="8"/>
  <c r="C613" i="8"/>
  <c r="T600" i="8"/>
  <c r="C600" i="8"/>
  <c r="T607" i="8"/>
  <c r="C607" i="8"/>
  <c r="M588" i="8"/>
  <c r="T591" i="8"/>
  <c r="C591" i="8"/>
  <c r="P588" i="8"/>
  <c r="T671" i="8"/>
  <c r="C671" i="8"/>
  <c r="T142" i="8"/>
  <c r="C142" i="8"/>
  <c r="T608" i="8"/>
  <c r="C608" i="8"/>
  <c r="T1022" i="8"/>
  <c r="C1022" i="8"/>
  <c r="T673" i="8"/>
  <c r="C673" i="8"/>
  <c r="T577" i="8"/>
  <c r="C577" i="8"/>
  <c r="T223" i="8"/>
  <c r="C223" i="8"/>
  <c r="T141" i="8"/>
  <c r="C141" i="8"/>
  <c r="T606" i="8"/>
  <c r="C606" i="8"/>
  <c r="T599" i="8"/>
  <c r="C599" i="8"/>
  <c r="T605" i="8"/>
  <c r="C605" i="8"/>
  <c r="T611" i="8"/>
  <c r="C611" i="8"/>
  <c r="N588" i="8"/>
  <c r="T570" i="8"/>
  <c r="C570" i="8"/>
  <c r="T592" i="8"/>
  <c r="C592" i="8"/>
  <c r="P1022" i="8"/>
  <c r="M1022" i="8"/>
  <c r="T991" i="8"/>
  <c r="C991" i="8"/>
  <c r="T563" i="8"/>
  <c r="C563" i="8"/>
  <c r="T568" i="8"/>
  <c r="C568" i="8"/>
  <c r="T584" i="8"/>
  <c r="C584" i="8"/>
  <c r="T614" i="8"/>
  <c r="C614" i="8"/>
  <c r="T572" i="8"/>
  <c r="C572" i="8"/>
  <c r="T668" i="8"/>
  <c r="C668" i="8"/>
  <c r="C31" i="8"/>
  <c r="T578" i="8"/>
  <c r="C578" i="8"/>
  <c r="T225" i="8"/>
  <c r="C225" i="8"/>
  <c r="T138" i="8"/>
  <c r="C138" i="8"/>
  <c r="T557" i="8"/>
  <c r="C557" i="8"/>
  <c r="T571" i="8"/>
  <c r="C571" i="8"/>
  <c r="T602" i="8"/>
  <c r="C602" i="8"/>
  <c r="T609" i="8"/>
  <c r="C609" i="8"/>
  <c r="T610" i="8"/>
  <c r="C610" i="8"/>
  <c r="T1046" i="8"/>
  <c r="C1046" i="8"/>
  <c r="N1022" i="8"/>
  <c r="T561" i="8"/>
  <c r="C561" i="8"/>
  <c r="T226" i="8"/>
  <c r="C226" i="8"/>
  <c r="N1007" i="8"/>
  <c r="T1007" i="8"/>
  <c r="M582" i="8"/>
  <c r="T582" i="8"/>
  <c r="T1032" i="8"/>
  <c r="M1032" i="8"/>
  <c r="N1032" i="8"/>
  <c r="T1013" i="8"/>
  <c r="N1013" i="8"/>
  <c r="M1013" i="8"/>
  <c r="M1011" i="8"/>
  <c r="T1011" i="8"/>
  <c r="N564" i="8"/>
  <c r="T564" i="8"/>
  <c r="T562" i="8"/>
  <c r="N1021" i="8"/>
  <c r="T1021" i="8"/>
  <c r="H229" i="8"/>
  <c r="T228" i="8"/>
  <c r="H145" i="8"/>
  <c r="T144" i="8"/>
  <c r="T1023" i="8"/>
  <c r="M1023" i="8"/>
  <c r="N1023" i="8"/>
  <c r="T55" i="8"/>
  <c r="M55" i="8"/>
  <c r="N55" i="8"/>
  <c r="O55" i="8"/>
  <c r="P55" i="8"/>
  <c r="T42" i="8"/>
  <c r="O42" i="8"/>
  <c r="P42" i="8"/>
  <c r="N42" i="8"/>
  <c r="T50" i="8"/>
  <c r="N50" i="8"/>
  <c r="P50" i="8"/>
  <c r="O50" i="8"/>
  <c r="T59" i="8"/>
  <c r="N59" i="8"/>
  <c r="M59" i="8"/>
  <c r="P59" i="8"/>
  <c r="T34" i="8"/>
  <c r="P34" i="8"/>
  <c r="N34" i="8"/>
  <c r="M34" i="8"/>
  <c r="T41" i="8"/>
  <c r="M41" i="8"/>
  <c r="N41" i="8"/>
  <c r="P41" i="8"/>
  <c r="O41" i="8"/>
  <c r="T49" i="8"/>
  <c r="O49" i="8"/>
  <c r="P49" i="8"/>
  <c r="N49" i="8"/>
  <c r="M49" i="8"/>
  <c r="T58" i="8"/>
  <c r="O58" i="8"/>
  <c r="N58" i="8"/>
  <c r="M58" i="8"/>
  <c r="P58" i="8"/>
  <c r="T51" i="8"/>
  <c r="O51" i="8"/>
  <c r="N51" i="8"/>
  <c r="P51" i="8"/>
  <c r="T65" i="8"/>
  <c r="N65" i="8"/>
  <c r="M65" i="8"/>
  <c r="P65" i="8"/>
  <c r="T44" i="8"/>
  <c r="O44" i="8"/>
  <c r="N44" i="8"/>
  <c r="M44" i="8"/>
  <c r="P44" i="8"/>
  <c r="T33" i="8"/>
  <c r="N33" i="8"/>
  <c r="M33" i="8"/>
  <c r="P33" i="8"/>
  <c r="N61" i="8"/>
  <c r="P61" i="8"/>
  <c r="M61" i="8"/>
  <c r="N47" i="8"/>
  <c r="O47" i="8"/>
  <c r="P47" i="8"/>
  <c r="M47" i="8"/>
  <c r="T56" i="8"/>
  <c r="O56" i="8"/>
  <c r="P56" i="8"/>
  <c r="N56" i="8"/>
  <c r="M56" i="8"/>
  <c r="T43" i="8"/>
  <c r="N43" i="8"/>
  <c r="P43" i="8"/>
  <c r="O43" i="8"/>
  <c r="M43" i="8"/>
  <c r="T35" i="8"/>
  <c r="N35" i="8"/>
  <c r="P35" i="8"/>
  <c r="M35" i="8"/>
  <c r="H62" i="8"/>
  <c r="C62" i="8" s="1"/>
  <c r="T61" i="8"/>
  <c r="H48" i="8"/>
  <c r="C48" i="8" s="1"/>
  <c r="T47" i="8"/>
  <c r="O1007" i="8"/>
  <c r="M1021" i="8"/>
  <c r="F166" i="10"/>
  <c r="H111" i="11"/>
  <c r="I111" i="11" s="1"/>
  <c r="J111" i="11" s="1"/>
  <c r="P1007" i="8"/>
  <c r="P562" i="8"/>
  <c r="O564" i="8"/>
  <c r="O562" i="8"/>
  <c r="M599" i="8"/>
  <c r="N599" i="8"/>
  <c r="O599" i="8"/>
  <c r="H616" i="8"/>
  <c r="P599" i="8"/>
  <c r="P570" i="8"/>
  <c r="N570" i="8"/>
  <c r="M570" i="8"/>
  <c r="O570" i="8"/>
  <c r="M580" i="8"/>
  <c r="O580" i="8"/>
  <c r="N580" i="8"/>
  <c r="P580" i="8"/>
  <c r="H140" i="8"/>
  <c r="H143" i="8"/>
  <c r="M558" i="8"/>
  <c r="O558" i="8"/>
  <c r="N558" i="8"/>
  <c r="P558" i="8"/>
  <c r="O571" i="8"/>
  <c r="N571" i="8"/>
  <c r="P571" i="8"/>
  <c r="P602" i="8"/>
  <c r="N602" i="8"/>
  <c r="M602" i="8"/>
  <c r="H604" i="8"/>
  <c r="O609" i="8"/>
  <c r="M609" i="8"/>
  <c r="P609" i="8"/>
  <c r="N609" i="8"/>
  <c r="P610" i="8"/>
  <c r="N610" i="8"/>
  <c r="M610" i="8"/>
  <c r="O610" i="8"/>
  <c r="M591" i="8"/>
  <c r="O591" i="8"/>
  <c r="H595" i="8"/>
  <c r="P591" i="8"/>
  <c r="N591" i="8"/>
  <c r="N568" i="8"/>
  <c r="P568" i="8"/>
  <c r="O568" i="8"/>
  <c r="M568" i="8"/>
  <c r="H569" i="8"/>
  <c r="H573" i="8" s="1"/>
  <c r="T573" i="8" s="1"/>
  <c r="P584" i="8"/>
  <c r="N584" i="8"/>
  <c r="M584" i="8"/>
  <c r="H585" i="8"/>
  <c r="P557" i="8"/>
  <c r="N557" i="8"/>
  <c r="M557" i="8"/>
  <c r="O557" i="8"/>
  <c r="O605" i="8"/>
  <c r="M605" i="8"/>
  <c r="P605" i="8"/>
  <c r="N605" i="8"/>
  <c r="P577" i="8"/>
  <c r="N577" i="8"/>
  <c r="M577" i="8"/>
  <c r="O577" i="8"/>
  <c r="H224" i="8"/>
  <c r="H227" i="8"/>
  <c r="N612" i="8"/>
  <c r="P612" i="8"/>
  <c r="O612" i="8"/>
  <c r="M612" i="8"/>
  <c r="N608" i="8"/>
  <c r="P608" i="8"/>
  <c r="M608" i="8"/>
  <c r="P614" i="8"/>
  <c r="N614" i="8"/>
  <c r="M614" i="8"/>
  <c r="O614" i="8"/>
  <c r="N598" i="8"/>
  <c r="P598" i="8"/>
  <c r="O598" i="8"/>
  <c r="H617" i="8"/>
  <c r="M598" i="8"/>
  <c r="M1046" i="8"/>
  <c r="N1046" i="8"/>
  <c r="P1046" i="8"/>
  <c r="P592" i="8"/>
  <c r="N592" i="8"/>
  <c r="H593" i="8"/>
  <c r="M592" i="8"/>
  <c r="H594" i="8"/>
  <c r="P606" i="8"/>
  <c r="N606" i="8"/>
  <c r="M606" i="8"/>
  <c r="M611" i="8"/>
  <c r="O611" i="8"/>
  <c r="N611" i="8"/>
  <c r="P611" i="8"/>
  <c r="H57" i="8"/>
  <c r="C57" i="8" s="1"/>
  <c r="H60" i="8"/>
  <c r="C60" i="8" s="1"/>
  <c r="O578" i="8"/>
  <c r="M578" i="8"/>
  <c r="P578" i="8"/>
  <c r="N578" i="8"/>
  <c r="H579" i="8"/>
  <c r="P1045" i="8"/>
  <c r="M1045" i="8"/>
  <c r="N1045" i="8"/>
  <c r="M601" i="8"/>
  <c r="H603" i="8"/>
  <c r="P601" i="8"/>
  <c r="N601" i="8"/>
  <c r="O613" i="8"/>
  <c r="M613" i="8"/>
  <c r="P613" i="8"/>
  <c r="N613" i="8"/>
  <c r="N600" i="8"/>
  <c r="O600" i="8"/>
  <c r="P600" i="8"/>
  <c r="M600" i="8"/>
  <c r="M607" i="8"/>
  <c r="N607" i="8"/>
  <c r="P607" i="8"/>
  <c r="P1033" i="8"/>
  <c r="M1033" i="8"/>
  <c r="N1033" i="8"/>
  <c r="O1033" i="8"/>
  <c r="I22" i="11"/>
  <c r="J22" i="11" s="1"/>
  <c r="T551" i="8" l="1"/>
  <c r="D114" i="23" s="1"/>
  <c r="L21" i="6"/>
  <c r="R21" i="6" s="1"/>
  <c r="C565" i="8"/>
  <c r="T565" i="8"/>
  <c r="N565" i="8"/>
  <c r="P565" i="8"/>
  <c r="O565" i="8"/>
  <c r="C995" i="8"/>
  <c r="C982" i="8" s="1"/>
  <c r="C973" i="8" s="1"/>
  <c r="T995" i="8"/>
  <c r="T982" i="8" s="1"/>
  <c r="D159" i="23" s="1"/>
  <c r="P995" i="8"/>
  <c r="O995" i="8"/>
  <c r="O573" i="8"/>
  <c r="P573" i="8"/>
  <c r="N573" i="8"/>
  <c r="C573" i="8"/>
  <c r="L71" i="6"/>
  <c r="R71" i="6" s="1"/>
  <c r="L70" i="6"/>
  <c r="R70" i="6" s="1"/>
  <c r="F165" i="10"/>
  <c r="F131" i="10"/>
  <c r="F62" i="10"/>
  <c r="F75" i="10"/>
  <c r="T648" i="8"/>
  <c r="D117" i="23" s="1"/>
  <c r="T31" i="8"/>
  <c r="D44" i="23" s="1"/>
  <c r="T579" i="8"/>
  <c r="C579" i="8"/>
  <c r="T617" i="8"/>
  <c r="C617" i="8"/>
  <c r="T224" i="8"/>
  <c r="C224" i="8"/>
  <c r="T604" i="8"/>
  <c r="C604" i="8"/>
  <c r="T593" i="8"/>
  <c r="C593" i="8"/>
  <c r="T595" i="8"/>
  <c r="C595" i="8"/>
  <c r="T140" i="8"/>
  <c r="C140" i="8"/>
  <c r="T145" i="8"/>
  <c r="C145" i="8"/>
  <c r="T583" i="8"/>
  <c r="C583" i="8"/>
  <c r="T615" i="8"/>
  <c r="C615" i="8"/>
  <c r="T585" i="8"/>
  <c r="C585" i="8"/>
  <c r="T569" i="8"/>
  <c r="C569" i="8"/>
  <c r="T616" i="8"/>
  <c r="C616" i="8"/>
  <c r="T229" i="8"/>
  <c r="C229" i="8"/>
  <c r="T603" i="8"/>
  <c r="C603" i="8"/>
  <c r="T594" i="8"/>
  <c r="C594" i="8"/>
  <c r="T227" i="8"/>
  <c r="C227" i="8"/>
  <c r="T143" i="8"/>
  <c r="C143" i="8"/>
  <c r="C551" i="8"/>
  <c r="N31" i="8"/>
  <c r="F40" i="10" s="1"/>
  <c r="M31" i="8"/>
  <c r="F102" i="11" s="1"/>
  <c r="M48" i="8"/>
  <c r="N48" i="8"/>
  <c r="P48" i="8"/>
  <c r="O48" i="8"/>
  <c r="T60" i="8"/>
  <c r="P60" i="8"/>
  <c r="N60" i="8"/>
  <c r="M60" i="8"/>
  <c r="T57" i="8"/>
  <c r="N57" i="8"/>
  <c r="P57" i="8"/>
  <c r="M57" i="8"/>
  <c r="O57" i="8"/>
  <c r="T62" i="8"/>
  <c r="N62" i="8"/>
  <c r="P62" i="8"/>
  <c r="M62" i="8"/>
  <c r="H52" i="8"/>
  <c r="C52" i="8" s="1"/>
  <c r="C38" i="8" s="1"/>
  <c r="C30" i="8" s="1"/>
  <c r="T48" i="8"/>
  <c r="N551" i="8"/>
  <c r="N982" i="8"/>
  <c r="G162" i="9" s="1"/>
  <c r="G161" i="9" s="1"/>
  <c r="M551" i="8"/>
  <c r="F107" i="11" s="1"/>
  <c r="M593" i="8"/>
  <c r="O593" i="8"/>
  <c r="N593" i="8"/>
  <c r="P593" i="8"/>
  <c r="M617" i="8"/>
  <c r="P617" i="8"/>
  <c r="N617" i="8"/>
  <c r="O569" i="8"/>
  <c r="M569" i="8"/>
  <c r="P569" i="8"/>
  <c r="N569" i="8"/>
  <c r="P579" i="8"/>
  <c r="N579" i="8"/>
  <c r="M579" i="8"/>
  <c r="O579" i="8"/>
  <c r="M603" i="8"/>
  <c r="O603" i="8"/>
  <c r="N603" i="8"/>
  <c r="P603" i="8"/>
  <c r="N604" i="8"/>
  <c r="P604" i="8"/>
  <c r="M604" i="8"/>
  <c r="O604" i="8"/>
  <c r="N616" i="8"/>
  <c r="P616" i="8"/>
  <c r="M616" i="8"/>
  <c r="M583" i="8"/>
  <c r="P583" i="8"/>
  <c r="N583" i="8"/>
  <c r="M615" i="8"/>
  <c r="N615" i="8"/>
  <c r="P615" i="8"/>
  <c r="M585" i="8"/>
  <c r="N585" i="8"/>
  <c r="P585" i="8"/>
  <c r="M595" i="8"/>
  <c r="P595" i="8"/>
  <c r="N595" i="8"/>
  <c r="N594" i="8"/>
  <c r="P594" i="8"/>
  <c r="M594" i="8"/>
  <c r="O19" i="5"/>
  <c r="R19" i="5"/>
  <c r="O20" i="5"/>
  <c r="P20" i="5"/>
  <c r="R20" i="5"/>
  <c r="O21" i="5"/>
  <c r="Q21" i="5"/>
  <c r="S21" i="5"/>
  <c r="O22" i="5"/>
  <c r="Q22" i="5"/>
  <c r="S22" i="5"/>
  <c r="Q25" i="5"/>
  <c r="S25" i="5"/>
  <c r="Q26" i="5"/>
  <c r="S26" i="5"/>
  <c r="Q27" i="5"/>
  <c r="S27" i="5"/>
  <c r="O33" i="5"/>
  <c r="Q33" i="5"/>
  <c r="S33" i="5"/>
  <c r="O34" i="5"/>
  <c r="Q34" i="5"/>
  <c r="S34" i="5"/>
  <c r="O35" i="5"/>
  <c r="Q35" i="5"/>
  <c r="S35" i="5"/>
  <c r="Q52" i="5"/>
  <c r="S52" i="5"/>
  <c r="Q53" i="5"/>
  <c r="S53" i="5"/>
  <c r="Q54" i="5"/>
  <c r="S54" i="5"/>
  <c r="O55" i="5"/>
  <c r="P55" i="5"/>
  <c r="R55" i="5"/>
  <c r="O56" i="5"/>
  <c r="P56" i="5"/>
  <c r="R56" i="5"/>
  <c r="O57" i="5"/>
  <c r="P57" i="5"/>
  <c r="R57" i="5"/>
  <c r="O63" i="5"/>
  <c r="Q63" i="5"/>
  <c r="S63" i="5"/>
  <c r="O64" i="5"/>
  <c r="Q64" i="5"/>
  <c r="S64" i="5"/>
  <c r="O65" i="5"/>
  <c r="Q65" i="5"/>
  <c r="S65" i="5"/>
  <c r="R90" i="5"/>
  <c r="P91" i="5"/>
  <c r="R91" i="5"/>
  <c r="O92" i="5"/>
  <c r="Q92" i="5"/>
  <c r="S92" i="5"/>
  <c r="O93" i="5"/>
  <c r="Q93" i="5"/>
  <c r="S93" i="5"/>
  <c r="Q96" i="5"/>
  <c r="S96" i="5"/>
  <c r="Q97" i="5"/>
  <c r="S97" i="5"/>
  <c r="Q98" i="5"/>
  <c r="S98" i="5"/>
  <c r="O104" i="5"/>
  <c r="Q104" i="5"/>
  <c r="S104" i="5"/>
  <c r="O105" i="5"/>
  <c r="Q105" i="5"/>
  <c r="S105" i="5"/>
  <c r="O106" i="5"/>
  <c r="Q106" i="5"/>
  <c r="S106" i="5"/>
  <c r="Q109" i="5"/>
  <c r="S109" i="5"/>
  <c r="Q110" i="5"/>
  <c r="S110" i="5"/>
  <c r="Q111" i="5"/>
  <c r="S111" i="5"/>
  <c r="O112" i="5"/>
  <c r="P112" i="5"/>
  <c r="Q112" i="5"/>
  <c r="R112" i="5"/>
  <c r="O113" i="5"/>
  <c r="P113" i="5"/>
  <c r="Q113" i="5"/>
  <c r="R113" i="5"/>
  <c r="O114" i="5"/>
  <c r="P114" i="5"/>
  <c r="Q114" i="5"/>
  <c r="R114" i="5"/>
  <c r="O120" i="5"/>
  <c r="Q120" i="5"/>
  <c r="S120" i="5"/>
  <c r="O121" i="5"/>
  <c r="Q121" i="5"/>
  <c r="S121" i="5"/>
  <c r="O122" i="5"/>
  <c r="Q122" i="5"/>
  <c r="S122" i="5"/>
  <c r="O125" i="5"/>
  <c r="Q125" i="5"/>
  <c r="S125" i="5"/>
  <c r="O126" i="5"/>
  <c r="Q126" i="5"/>
  <c r="S126" i="5"/>
  <c r="O129" i="5"/>
  <c r="Q129" i="5"/>
  <c r="S129" i="5"/>
  <c r="O130" i="5"/>
  <c r="Q130" i="5"/>
  <c r="S130" i="5"/>
  <c r="O131" i="5"/>
  <c r="Q131" i="5"/>
  <c r="S131" i="5"/>
  <c r="O134" i="5"/>
  <c r="R134" i="5"/>
  <c r="O135" i="5"/>
  <c r="P135" i="5"/>
  <c r="R135" i="5"/>
  <c r="O136" i="5"/>
  <c r="Q136" i="5"/>
  <c r="S136" i="5"/>
  <c r="O137" i="5"/>
  <c r="Q137" i="5"/>
  <c r="S137" i="5"/>
  <c r="Q140" i="5"/>
  <c r="Q141" i="5"/>
  <c r="S141" i="5"/>
  <c r="Q142" i="5"/>
  <c r="S142" i="5"/>
  <c r="O148" i="5"/>
  <c r="Q148" i="5"/>
  <c r="S148" i="5"/>
  <c r="O149" i="5"/>
  <c r="Q149" i="5"/>
  <c r="S149" i="5"/>
  <c r="O150" i="5"/>
  <c r="Q150" i="5"/>
  <c r="S150" i="5"/>
  <c r="Q180" i="5"/>
  <c r="S180" i="5"/>
  <c r="Q181" i="5"/>
  <c r="S181" i="5"/>
  <c r="Q182" i="5"/>
  <c r="S182" i="5"/>
  <c r="R183" i="5"/>
  <c r="O192" i="5"/>
  <c r="Q192" i="5"/>
  <c r="S192" i="5"/>
  <c r="O193" i="5"/>
  <c r="Q193" i="5"/>
  <c r="S193" i="5"/>
  <c r="O194" i="5"/>
  <c r="Q194" i="5"/>
  <c r="S194" i="5"/>
  <c r="O215" i="5"/>
  <c r="Q215" i="5"/>
  <c r="S215" i="5"/>
  <c r="O216" i="5"/>
  <c r="Q216" i="5"/>
  <c r="S216" i="5"/>
  <c r="O219" i="5"/>
  <c r="R219" i="5"/>
  <c r="O220" i="5"/>
  <c r="P220" i="5"/>
  <c r="R220" i="5"/>
  <c r="O221" i="5"/>
  <c r="Q221" i="5"/>
  <c r="S221" i="5"/>
  <c r="O222" i="5"/>
  <c r="Q222" i="5"/>
  <c r="S222" i="5"/>
  <c r="Q225" i="5"/>
  <c r="Q226" i="5"/>
  <c r="S226" i="5"/>
  <c r="Q227" i="5"/>
  <c r="S227" i="5"/>
  <c r="O287" i="5"/>
  <c r="Q287" i="5"/>
  <c r="S287" i="5"/>
  <c r="O288" i="5"/>
  <c r="Q288" i="5"/>
  <c r="S288" i="5"/>
  <c r="O292" i="5"/>
  <c r="P292" i="5"/>
  <c r="R292" i="5"/>
  <c r="S292" i="5"/>
  <c r="O302" i="5"/>
  <c r="P302" i="5"/>
  <c r="R302" i="5"/>
  <c r="S302" i="5"/>
  <c r="O313" i="5"/>
  <c r="P313" i="5"/>
  <c r="R313" i="5"/>
  <c r="S313" i="5"/>
  <c r="O324" i="5"/>
  <c r="P324" i="5"/>
  <c r="R324" i="5"/>
  <c r="S324" i="5"/>
  <c r="O333" i="5"/>
  <c r="P333" i="5"/>
  <c r="R333" i="5"/>
  <c r="O334" i="5"/>
  <c r="P334" i="5"/>
  <c r="R334" i="5"/>
  <c r="O335" i="5"/>
  <c r="P335" i="5"/>
  <c r="R335" i="5"/>
  <c r="O338" i="5"/>
  <c r="P338" i="5"/>
  <c r="R338" i="5"/>
  <c r="O339" i="5"/>
  <c r="P339" i="5"/>
  <c r="R339" i="5"/>
  <c r="O342" i="5"/>
  <c r="P342" i="5"/>
  <c r="R342" i="5"/>
  <c r="O343" i="5"/>
  <c r="P343" i="5"/>
  <c r="R343" i="5"/>
  <c r="O344" i="5"/>
  <c r="P344" i="5"/>
  <c r="R344" i="5"/>
  <c r="O348" i="5"/>
  <c r="P348" i="5"/>
  <c r="R348" i="5"/>
  <c r="O349" i="5"/>
  <c r="P349" i="5"/>
  <c r="R349" i="5"/>
  <c r="O363" i="5"/>
  <c r="P363" i="5"/>
  <c r="Q363" i="5"/>
  <c r="R363" i="5"/>
  <c r="O364" i="5"/>
  <c r="P364" i="5"/>
  <c r="R364" i="5"/>
  <c r="O367" i="5"/>
  <c r="P367" i="5"/>
  <c r="R367" i="5"/>
  <c r="O368" i="5"/>
  <c r="P368" i="5"/>
  <c r="R368" i="5"/>
  <c r="O375" i="5"/>
  <c r="P375" i="5"/>
  <c r="R375" i="5"/>
  <c r="O377" i="5"/>
  <c r="P377" i="5"/>
  <c r="R377" i="5"/>
  <c r="O380" i="5"/>
  <c r="P380" i="5"/>
  <c r="R380" i="5"/>
  <c r="O381" i="5"/>
  <c r="P381" i="5"/>
  <c r="R381" i="5"/>
  <c r="O388" i="5"/>
  <c r="P388" i="5"/>
  <c r="R388" i="5"/>
  <c r="O389" i="5"/>
  <c r="P389" i="5"/>
  <c r="R389" i="5"/>
  <c r="O392" i="5"/>
  <c r="P392" i="5"/>
  <c r="R392" i="5"/>
  <c r="O393" i="5"/>
  <c r="P393" i="5"/>
  <c r="R393" i="5"/>
  <c r="O397" i="5"/>
  <c r="P397" i="5"/>
  <c r="R397" i="5"/>
  <c r="O399" i="5"/>
  <c r="P399" i="5"/>
  <c r="R399" i="5"/>
  <c r="O400" i="5"/>
  <c r="P400" i="5"/>
  <c r="R400" i="5"/>
  <c r="O401" i="5"/>
  <c r="P401" i="5"/>
  <c r="R401" i="5"/>
  <c r="O402" i="5"/>
  <c r="P402" i="5"/>
  <c r="R402" i="5"/>
  <c r="O403" i="5"/>
  <c r="P403" i="5"/>
  <c r="R403" i="5"/>
  <c r="O414" i="5"/>
  <c r="P414" i="5"/>
  <c r="R414" i="5"/>
  <c r="O415" i="5"/>
  <c r="P415" i="5"/>
  <c r="R415" i="5"/>
  <c r="O416" i="5"/>
  <c r="P416" i="5"/>
  <c r="R416" i="5"/>
  <c r="O417" i="5"/>
  <c r="P417" i="5"/>
  <c r="R417" i="5"/>
  <c r="O418" i="5"/>
  <c r="P418" i="5"/>
  <c r="R418" i="5"/>
  <c r="O419" i="5"/>
  <c r="P419" i="5"/>
  <c r="R419" i="5"/>
  <c r="O420" i="5"/>
  <c r="P420" i="5"/>
  <c r="R420" i="5"/>
  <c r="O431" i="5"/>
  <c r="P431" i="5"/>
  <c r="R431" i="5"/>
  <c r="O432" i="5"/>
  <c r="P432" i="5"/>
  <c r="R432" i="5"/>
  <c r="O433" i="5"/>
  <c r="P433" i="5"/>
  <c r="R433" i="5"/>
  <c r="O434" i="5"/>
  <c r="P434" i="5"/>
  <c r="R434" i="5"/>
  <c r="O435" i="5"/>
  <c r="P435" i="5"/>
  <c r="R435" i="5"/>
  <c r="O438" i="5"/>
  <c r="P438" i="5"/>
  <c r="R438" i="5"/>
  <c r="O439" i="5"/>
  <c r="P439" i="5"/>
  <c r="R439" i="5"/>
  <c r="O440" i="5"/>
  <c r="P440" i="5"/>
  <c r="R440" i="5"/>
  <c r="O441" i="5"/>
  <c r="P441" i="5"/>
  <c r="R441" i="5"/>
  <c r="O442" i="5"/>
  <c r="P442" i="5"/>
  <c r="R442" i="5"/>
  <c r="O443" i="5"/>
  <c r="P443" i="5"/>
  <c r="R443" i="5"/>
  <c r="O446" i="5"/>
  <c r="P446" i="5"/>
  <c r="R446" i="5"/>
  <c r="O447" i="5"/>
  <c r="P447" i="5"/>
  <c r="R447" i="5"/>
  <c r="O448" i="5"/>
  <c r="P448" i="5"/>
  <c r="R448" i="5"/>
  <c r="O449" i="5"/>
  <c r="P449" i="5"/>
  <c r="R449" i="5"/>
  <c r="O450" i="5"/>
  <c r="P450" i="5"/>
  <c r="R450" i="5"/>
  <c r="O453" i="5"/>
  <c r="P453" i="5"/>
  <c r="R453" i="5"/>
  <c r="O454" i="5"/>
  <c r="P454" i="5"/>
  <c r="R454" i="5"/>
  <c r="O455" i="5"/>
  <c r="P455" i="5"/>
  <c r="R455" i="5"/>
  <c r="O456" i="5"/>
  <c r="P456" i="5"/>
  <c r="R456" i="5"/>
  <c r="O457" i="5"/>
  <c r="P457" i="5"/>
  <c r="R457" i="5"/>
  <c r="O458" i="5"/>
  <c r="P458" i="5"/>
  <c r="R458" i="5"/>
  <c r="O459" i="5"/>
  <c r="P459" i="5"/>
  <c r="R459" i="5"/>
  <c r="O462" i="5"/>
  <c r="P462" i="5"/>
  <c r="R462" i="5"/>
  <c r="O463" i="5"/>
  <c r="P463" i="5"/>
  <c r="R463" i="5"/>
  <c r="O464" i="5"/>
  <c r="P464" i="5"/>
  <c r="R464" i="5"/>
  <c r="O465" i="5"/>
  <c r="P465" i="5"/>
  <c r="R465" i="5"/>
  <c r="O466" i="5"/>
  <c r="P466" i="5"/>
  <c r="R466" i="5"/>
  <c r="O469" i="5"/>
  <c r="P469" i="5"/>
  <c r="R469" i="5"/>
  <c r="O470" i="5"/>
  <c r="P470" i="5"/>
  <c r="R470" i="5"/>
  <c r="O471" i="5"/>
  <c r="P471" i="5"/>
  <c r="R471" i="5"/>
  <c r="O472" i="5"/>
  <c r="P472" i="5"/>
  <c r="R472" i="5"/>
  <c r="O473" i="5"/>
  <c r="P473" i="5"/>
  <c r="R473" i="5"/>
  <c r="O474" i="5"/>
  <c r="P474" i="5"/>
  <c r="R474" i="5"/>
  <c r="O475" i="5"/>
  <c r="P475" i="5"/>
  <c r="R475" i="5"/>
  <c r="O478" i="5"/>
  <c r="P478" i="5"/>
  <c r="R478" i="5"/>
  <c r="O479" i="5"/>
  <c r="P479" i="5"/>
  <c r="R479" i="5"/>
  <c r="O480" i="5"/>
  <c r="P480" i="5"/>
  <c r="R480" i="5"/>
  <c r="O481" i="5"/>
  <c r="P481" i="5"/>
  <c r="R481" i="5"/>
  <c r="O482" i="5"/>
  <c r="P482" i="5"/>
  <c r="R482" i="5"/>
  <c r="O485" i="5"/>
  <c r="P485" i="5"/>
  <c r="R485" i="5"/>
  <c r="O486" i="5"/>
  <c r="P486" i="5"/>
  <c r="R486" i="5"/>
  <c r="O487" i="5"/>
  <c r="P487" i="5"/>
  <c r="R487" i="5"/>
  <c r="O488" i="5"/>
  <c r="P488" i="5"/>
  <c r="R488" i="5"/>
  <c r="O489" i="5"/>
  <c r="P489" i="5"/>
  <c r="R489" i="5"/>
  <c r="O490" i="5"/>
  <c r="P490" i="5"/>
  <c r="R490" i="5"/>
  <c r="O491" i="5"/>
  <c r="P491" i="5"/>
  <c r="R491" i="5"/>
  <c r="O494" i="5"/>
  <c r="P494" i="5"/>
  <c r="R494" i="5"/>
  <c r="O495" i="5"/>
  <c r="P495" i="5"/>
  <c r="R495" i="5"/>
  <c r="O496" i="5"/>
  <c r="P496" i="5"/>
  <c r="R496" i="5"/>
  <c r="O497" i="5"/>
  <c r="P497" i="5"/>
  <c r="R497" i="5"/>
  <c r="O498" i="5"/>
  <c r="P498" i="5"/>
  <c r="R498" i="5"/>
  <c r="O501" i="5"/>
  <c r="P501" i="5"/>
  <c r="R501" i="5"/>
  <c r="O502" i="5"/>
  <c r="P502" i="5"/>
  <c r="R502" i="5"/>
  <c r="O503" i="5"/>
  <c r="P503" i="5"/>
  <c r="R503" i="5"/>
  <c r="O504" i="5"/>
  <c r="P504" i="5"/>
  <c r="R504" i="5"/>
  <c r="O505" i="5"/>
  <c r="P505" i="5"/>
  <c r="R505" i="5"/>
  <c r="O506" i="5"/>
  <c r="P506" i="5"/>
  <c r="R506" i="5"/>
  <c r="O509" i="5"/>
  <c r="P509" i="5"/>
  <c r="R509" i="5"/>
  <c r="O510" i="5"/>
  <c r="P510" i="5"/>
  <c r="R510" i="5"/>
  <c r="O511" i="5"/>
  <c r="P511" i="5"/>
  <c r="R511" i="5"/>
  <c r="O512" i="5"/>
  <c r="P512" i="5"/>
  <c r="R512" i="5"/>
  <c r="O513" i="5"/>
  <c r="P513" i="5"/>
  <c r="R513" i="5"/>
  <c r="O516" i="5"/>
  <c r="P516" i="5"/>
  <c r="R516" i="5"/>
  <c r="O517" i="5"/>
  <c r="P517" i="5"/>
  <c r="R517" i="5"/>
  <c r="O518" i="5"/>
  <c r="P518" i="5"/>
  <c r="R518" i="5"/>
  <c r="O519" i="5"/>
  <c r="P519" i="5"/>
  <c r="R519" i="5"/>
  <c r="O520" i="5"/>
  <c r="P520" i="5"/>
  <c r="R520" i="5"/>
  <c r="O521" i="5"/>
  <c r="P521" i="5"/>
  <c r="R521" i="5"/>
  <c r="O524" i="5"/>
  <c r="P524" i="5"/>
  <c r="R524" i="5"/>
  <c r="O525" i="5"/>
  <c r="P525" i="5"/>
  <c r="R525" i="5"/>
  <c r="O526" i="5"/>
  <c r="P526" i="5"/>
  <c r="R526" i="5"/>
  <c r="O527" i="5"/>
  <c r="P527" i="5"/>
  <c r="R527" i="5"/>
  <c r="O528" i="5"/>
  <c r="P528" i="5"/>
  <c r="R528" i="5"/>
  <c r="O531" i="5"/>
  <c r="P531" i="5"/>
  <c r="R531" i="5"/>
  <c r="O532" i="5"/>
  <c r="P532" i="5"/>
  <c r="R532" i="5"/>
  <c r="O533" i="5"/>
  <c r="P533" i="5"/>
  <c r="R533" i="5"/>
  <c r="O534" i="5"/>
  <c r="P534" i="5"/>
  <c r="R534" i="5"/>
  <c r="O535" i="5"/>
  <c r="P535" i="5"/>
  <c r="R535" i="5"/>
  <c r="O536" i="5"/>
  <c r="P536" i="5"/>
  <c r="R536" i="5"/>
  <c r="O537" i="5"/>
  <c r="P537" i="5"/>
  <c r="R537" i="5"/>
  <c r="O540" i="5"/>
  <c r="P540" i="5"/>
  <c r="R540" i="5"/>
  <c r="O541" i="5"/>
  <c r="P541" i="5"/>
  <c r="R541" i="5"/>
  <c r="O542" i="5"/>
  <c r="P542" i="5"/>
  <c r="R542" i="5"/>
  <c r="O543" i="5"/>
  <c r="P543" i="5"/>
  <c r="R543" i="5"/>
  <c r="O544" i="5"/>
  <c r="P544" i="5"/>
  <c r="R544" i="5"/>
  <c r="O545" i="5"/>
  <c r="P545" i="5"/>
  <c r="R545" i="5"/>
  <c r="O546" i="5"/>
  <c r="P546" i="5"/>
  <c r="R546" i="5"/>
  <c r="O549" i="5"/>
  <c r="P549" i="5"/>
  <c r="R549" i="5"/>
  <c r="O550" i="5"/>
  <c r="P550" i="5"/>
  <c r="R550" i="5"/>
  <c r="O551" i="5"/>
  <c r="P551" i="5"/>
  <c r="R551" i="5"/>
  <c r="O552" i="5"/>
  <c r="P552" i="5"/>
  <c r="R552" i="5"/>
  <c r="O553" i="5"/>
  <c r="P553" i="5"/>
  <c r="R553" i="5"/>
  <c r="O556" i="5"/>
  <c r="P556" i="5"/>
  <c r="R556" i="5"/>
  <c r="O557" i="5"/>
  <c r="P557" i="5"/>
  <c r="R557" i="5"/>
  <c r="O558" i="5"/>
  <c r="P558" i="5"/>
  <c r="R558" i="5"/>
  <c r="O559" i="5"/>
  <c r="P559" i="5"/>
  <c r="R559" i="5"/>
  <c r="O560" i="5"/>
  <c r="P560" i="5"/>
  <c r="R560" i="5"/>
  <c r="O563" i="5"/>
  <c r="P563" i="5"/>
  <c r="R563" i="5"/>
  <c r="O564" i="5"/>
  <c r="P564" i="5"/>
  <c r="R564" i="5"/>
  <c r="O565" i="5"/>
  <c r="P565" i="5"/>
  <c r="R565" i="5"/>
  <c r="O567" i="5"/>
  <c r="P567" i="5"/>
  <c r="R567" i="5"/>
  <c r="O568" i="5"/>
  <c r="P568" i="5"/>
  <c r="R568" i="5"/>
  <c r="O569" i="5"/>
  <c r="P569" i="5"/>
  <c r="R569" i="5"/>
  <c r="O572" i="5"/>
  <c r="P572" i="5"/>
  <c r="R572" i="5"/>
  <c r="O573" i="5"/>
  <c r="P573" i="5"/>
  <c r="R573" i="5"/>
  <c r="O574" i="5"/>
  <c r="P574" i="5"/>
  <c r="R574" i="5"/>
  <c r="O576" i="5"/>
  <c r="P576" i="5"/>
  <c r="R576" i="5"/>
  <c r="O577" i="5"/>
  <c r="P577" i="5"/>
  <c r="R577" i="5"/>
  <c r="O578" i="5"/>
  <c r="P578" i="5"/>
  <c r="R578" i="5"/>
  <c r="O579" i="5"/>
  <c r="P579" i="5"/>
  <c r="R579" i="5"/>
  <c r="O580" i="5"/>
  <c r="P580" i="5"/>
  <c r="R580" i="5"/>
  <c r="O583" i="5"/>
  <c r="P583" i="5"/>
  <c r="R583" i="5"/>
  <c r="O584" i="5"/>
  <c r="P584" i="5"/>
  <c r="R584" i="5"/>
  <c r="O585" i="5"/>
  <c r="P585" i="5"/>
  <c r="R585" i="5"/>
  <c r="O587" i="5"/>
  <c r="P587" i="5"/>
  <c r="R587" i="5"/>
  <c r="O588" i="5"/>
  <c r="P588" i="5"/>
  <c r="R588" i="5"/>
  <c r="O589" i="5"/>
  <c r="P589" i="5"/>
  <c r="R589" i="5"/>
  <c r="O592" i="5"/>
  <c r="P592" i="5"/>
  <c r="R592" i="5"/>
  <c r="O593" i="5"/>
  <c r="P593" i="5"/>
  <c r="R593" i="5"/>
  <c r="O594" i="5"/>
  <c r="P594" i="5"/>
  <c r="R594" i="5"/>
  <c r="O596" i="5"/>
  <c r="P596" i="5"/>
  <c r="R596" i="5"/>
  <c r="O597" i="5"/>
  <c r="P597" i="5"/>
  <c r="R597" i="5"/>
  <c r="O598" i="5"/>
  <c r="P598" i="5"/>
  <c r="R598" i="5"/>
  <c r="O599" i="5"/>
  <c r="P599" i="5"/>
  <c r="R599" i="5"/>
  <c r="O600" i="5"/>
  <c r="P600" i="5"/>
  <c r="R600" i="5"/>
  <c r="O603" i="5"/>
  <c r="P603" i="5"/>
  <c r="R603" i="5"/>
  <c r="O604" i="5"/>
  <c r="P604" i="5"/>
  <c r="R604" i="5"/>
  <c r="O605" i="5"/>
  <c r="P605" i="5"/>
  <c r="R605" i="5"/>
  <c r="O607" i="5"/>
  <c r="P607" i="5"/>
  <c r="R607" i="5"/>
  <c r="O608" i="5"/>
  <c r="P608" i="5"/>
  <c r="R608" i="5"/>
  <c r="O609" i="5"/>
  <c r="P609" i="5"/>
  <c r="R609" i="5"/>
  <c r="O612" i="5"/>
  <c r="P612" i="5"/>
  <c r="R612" i="5"/>
  <c r="O613" i="5"/>
  <c r="P613" i="5"/>
  <c r="R613" i="5"/>
  <c r="O614" i="5"/>
  <c r="P614" i="5"/>
  <c r="R614" i="5"/>
  <c r="O616" i="5"/>
  <c r="P616" i="5"/>
  <c r="R616" i="5"/>
  <c r="O617" i="5"/>
  <c r="P617" i="5"/>
  <c r="R617" i="5"/>
  <c r="O618" i="5"/>
  <c r="P618" i="5"/>
  <c r="R618" i="5"/>
  <c r="O619" i="5"/>
  <c r="P619" i="5"/>
  <c r="R619" i="5"/>
  <c r="O620" i="5"/>
  <c r="P620" i="5"/>
  <c r="R620" i="5"/>
  <c r="O623" i="5"/>
  <c r="P623" i="5"/>
  <c r="R623" i="5"/>
  <c r="O624" i="5"/>
  <c r="P624" i="5"/>
  <c r="R624" i="5"/>
  <c r="O625" i="5"/>
  <c r="P625" i="5"/>
  <c r="R625" i="5"/>
  <c r="O626" i="5"/>
  <c r="P626" i="5"/>
  <c r="R626" i="5"/>
  <c r="O627" i="5"/>
  <c r="P627" i="5"/>
  <c r="R627" i="5"/>
  <c r="O628" i="5"/>
  <c r="P628" i="5"/>
  <c r="R628" i="5"/>
  <c r="O629" i="5"/>
  <c r="P629" i="5"/>
  <c r="R629" i="5"/>
  <c r="O632" i="5"/>
  <c r="P632" i="5"/>
  <c r="R632" i="5"/>
  <c r="O633" i="5"/>
  <c r="P633" i="5"/>
  <c r="R633" i="5"/>
  <c r="O634" i="5"/>
  <c r="P634" i="5"/>
  <c r="R634" i="5"/>
  <c r="O635" i="5"/>
  <c r="P635" i="5"/>
  <c r="R635" i="5"/>
  <c r="O636" i="5"/>
  <c r="P636" i="5"/>
  <c r="R636" i="5"/>
  <c r="O637" i="5"/>
  <c r="P637" i="5"/>
  <c r="R637" i="5"/>
  <c r="O638" i="5"/>
  <c r="P638" i="5"/>
  <c r="R638" i="5"/>
  <c r="O639" i="5"/>
  <c r="P639" i="5"/>
  <c r="R639" i="5"/>
  <c r="O640" i="5"/>
  <c r="P640" i="5"/>
  <c r="R640" i="5"/>
  <c r="O652" i="5"/>
  <c r="P652" i="5"/>
  <c r="R652" i="5"/>
  <c r="O653" i="5"/>
  <c r="P653" i="5"/>
  <c r="R653" i="5"/>
  <c r="O658" i="5"/>
  <c r="P658" i="5"/>
  <c r="R658" i="5"/>
  <c r="O659" i="5"/>
  <c r="P659" i="5"/>
  <c r="R659" i="5"/>
  <c r="O678" i="5"/>
  <c r="P678" i="5"/>
  <c r="R678" i="5"/>
  <c r="O679" i="5"/>
  <c r="P679" i="5"/>
  <c r="R679" i="5"/>
  <c r="O684" i="5"/>
  <c r="P684" i="5"/>
  <c r="R684" i="5"/>
  <c r="O685" i="5"/>
  <c r="P685" i="5"/>
  <c r="R685" i="5"/>
  <c r="O704" i="5"/>
  <c r="P704" i="5"/>
  <c r="R704" i="5"/>
  <c r="O705" i="5"/>
  <c r="P705" i="5"/>
  <c r="R705" i="5"/>
  <c r="O708" i="5"/>
  <c r="P708" i="5"/>
  <c r="R708" i="5"/>
  <c r="O709" i="5"/>
  <c r="P709" i="5"/>
  <c r="R709" i="5"/>
  <c r="O712" i="5"/>
  <c r="P712" i="5"/>
  <c r="R712" i="5"/>
  <c r="O713" i="5"/>
  <c r="P713" i="5"/>
  <c r="R713" i="5"/>
  <c r="O716" i="5"/>
  <c r="P716" i="5"/>
  <c r="R716" i="5"/>
  <c r="O717" i="5"/>
  <c r="P717" i="5"/>
  <c r="R717" i="5"/>
  <c r="O718" i="5"/>
  <c r="P718" i="5"/>
  <c r="R718" i="5"/>
  <c r="O721" i="5"/>
  <c r="P721" i="5"/>
  <c r="R721" i="5"/>
  <c r="O722" i="5"/>
  <c r="P722" i="5"/>
  <c r="R722" i="5"/>
  <c r="O723" i="5"/>
  <c r="P723" i="5"/>
  <c r="R723" i="5"/>
  <c r="O726" i="5"/>
  <c r="P726" i="5"/>
  <c r="R726" i="5"/>
  <c r="O727" i="5"/>
  <c r="P727" i="5"/>
  <c r="R727" i="5"/>
  <c r="O728" i="5"/>
  <c r="P728" i="5"/>
  <c r="R728" i="5"/>
  <c r="O731" i="5"/>
  <c r="P731" i="5"/>
  <c r="R731" i="5"/>
  <c r="O732" i="5"/>
  <c r="P732" i="5"/>
  <c r="R732" i="5"/>
  <c r="O735" i="5"/>
  <c r="P735" i="5"/>
  <c r="R735" i="5"/>
  <c r="O736" i="5"/>
  <c r="P736" i="5"/>
  <c r="R736" i="5"/>
  <c r="O739" i="5"/>
  <c r="P739" i="5"/>
  <c r="R739" i="5"/>
  <c r="O740" i="5"/>
  <c r="P740" i="5"/>
  <c r="R740" i="5"/>
  <c r="O743" i="5"/>
  <c r="P743" i="5"/>
  <c r="R743" i="5"/>
  <c r="O744" i="5"/>
  <c r="P744" i="5"/>
  <c r="R744" i="5"/>
  <c r="O747" i="5"/>
  <c r="P747" i="5"/>
  <c r="R747" i="5"/>
  <c r="O748" i="5"/>
  <c r="P748" i="5"/>
  <c r="R748" i="5"/>
  <c r="O751" i="5"/>
  <c r="P751" i="5"/>
  <c r="R751" i="5"/>
  <c r="O752" i="5"/>
  <c r="P752" i="5"/>
  <c r="R752" i="5"/>
  <c r="O753" i="5"/>
  <c r="P753" i="5"/>
  <c r="R753" i="5"/>
  <c r="O756" i="5"/>
  <c r="P756" i="5"/>
  <c r="R756" i="5"/>
  <c r="O757" i="5"/>
  <c r="P757" i="5"/>
  <c r="R757" i="5"/>
  <c r="O758" i="5"/>
  <c r="P758" i="5"/>
  <c r="R758" i="5"/>
  <c r="O761" i="5"/>
  <c r="P761" i="5"/>
  <c r="R761" i="5"/>
  <c r="O762" i="5"/>
  <c r="P762" i="5"/>
  <c r="R762" i="5"/>
  <c r="O763" i="5"/>
  <c r="P763" i="5"/>
  <c r="R763" i="5"/>
  <c r="O766" i="5"/>
  <c r="P766" i="5"/>
  <c r="R766" i="5"/>
  <c r="O767" i="5"/>
  <c r="P767" i="5"/>
  <c r="R767" i="5"/>
  <c r="O768" i="5"/>
  <c r="P768" i="5"/>
  <c r="R768" i="5"/>
  <c r="O771" i="5"/>
  <c r="P771" i="5"/>
  <c r="R771" i="5"/>
  <c r="O772" i="5"/>
  <c r="P772" i="5"/>
  <c r="R772" i="5"/>
  <c r="O773" i="5"/>
  <c r="P773" i="5"/>
  <c r="R773" i="5"/>
  <c r="O776" i="5"/>
  <c r="P776" i="5"/>
  <c r="R776" i="5"/>
  <c r="O777" i="5"/>
  <c r="P777" i="5"/>
  <c r="R777" i="5"/>
  <c r="O778" i="5"/>
  <c r="P778" i="5"/>
  <c r="R778" i="5"/>
  <c r="O781" i="5"/>
  <c r="P781" i="5"/>
  <c r="R781" i="5"/>
  <c r="O782" i="5"/>
  <c r="P782" i="5"/>
  <c r="R782" i="5"/>
  <c r="O783" i="5"/>
  <c r="P783" i="5"/>
  <c r="R783" i="5"/>
  <c r="O786" i="5"/>
  <c r="P786" i="5"/>
  <c r="R786" i="5"/>
  <c r="O787" i="5"/>
  <c r="P787" i="5"/>
  <c r="R787" i="5"/>
  <c r="O788" i="5"/>
  <c r="P788" i="5"/>
  <c r="R788" i="5"/>
  <c r="O791" i="5"/>
  <c r="P791" i="5"/>
  <c r="R791" i="5"/>
  <c r="O792" i="5"/>
  <c r="P792" i="5"/>
  <c r="R792" i="5"/>
  <c r="O793" i="5"/>
  <c r="P793" i="5"/>
  <c r="R793" i="5"/>
  <c r="O796" i="5"/>
  <c r="P796" i="5"/>
  <c r="R796" i="5"/>
  <c r="O797" i="5"/>
  <c r="P797" i="5"/>
  <c r="R797" i="5"/>
  <c r="O799" i="5"/>
  <c r="P799" i="5"/>
  <c r="R799" i="5"/>
  <c r="O802" i="5"/>
  <c r="P802" i="5"/>
  <c r="R802" i="5"/>
  <c r="O803" i="5"/>
  <c r="P803" i="5"/>
  <c r="R803" i="5"/>
  <c r="O804" i="5"/>
  <c r="P804" i="5"/>
  <c r="R804" i="5"/>
  <c r="O852" i="5"/>
  <c r="P852" i="5"/>
  <c r="R852" i="5"/>
  <c r="O853" i="5"/>
  <c r="P853" i="5"/>
  <c r="R853" i="5"/>
  <c r="O854" i="5"/>
  <c r="P854" i="5"/>
  <c r="R854" i="5"/>
  <c r="O856" i="5"/>
  <c r="P856" i="5"/>
  <c r="R856" i="5"/>
  <c r="O857" i="5"/>
  <c r="P857" i="5"/>
  <c r="R857" i="5"/>
  <c r="O858" i="5"/>
  <c r="P858" i="5"/>
  <c r="R858" i="5"/>
  <c r="O862" i="5"/>
  <c r="P862" i="5"/>
  <c r="R862" i="5"/>
  <c r="O863" i="5"/>
  <c r="P863" i="5"/>
  <c r="R863" i="5"/>
  <c r="O864" i="5"/>
  <c r="P864" i="5"/>
  <c r="R864" i="5"/>
  <c r="O917" i="5"/>
  <c r="P917" i="5"/>
  <c r="R917" i="5"/>
  <c r="O920" i="5"/>
  <c r="P920" i="5"/>
  <c r="R920" i="5"/>
  <c r="O939" i="5"/>
  <c r="P939" i="5"/>
  <c r="R939" i="5"/>
  <c r="O940" i="5"/>
  <c r="P940" i="5"/>
  <c r="R940" i="5"/>
  <c r="O941" i="5"/>
  <c r="P941" i="5"/>
  <c r="R941" i="5"/>
  <c r="O942" i="5"/>
  <c r="P942" i="5"/>
  <c r="R942" i="5"/>
  <c r="O943" i="5"/>
  <c r="P943" i="5"/>
  <c r="R943" i="5"/>
  <c r="O944" i="5"/>
  <c r="P944" i="5"/>
  <c r="R944" i="5"/>
  <c r="O945" i="5"/>
  <c r="P945" i="5"/>
  <c r="R945" i="5"/>
  <c r="O952" i="5"/>
  <c r="P952" i="5"/>
  <c r="R952" i="5"/>
  <c r="O953" i="5"/>
  <c r="P953" i="5"/>
  <c r="R953" i="5"/>
  <c r="O954" i="5"/>
  <c r="P954" i="5"/>
  <c r="R954" i="5"/>
  <c r="O955" i="5"/>
  <c r="P955" i="5"/>
  <c r="R955" i="5"/>
  <c r="L288" i="5"/>
  <c r="R288" i="5" s="1"/>
  <c r="L287" i="5"/>
  <c r="R287" i="5" s="1"/>
  <c r="L227" i="5"/>
  <c r="R227" i="5" s="1"/>
  <c r="L226" i="5"/>
  <c r="R226" i="5" s="1"/>
  <c r="L225" i="5"/>
  <c r="R225" i="5" s="1"/>
  <c r="L222" i="5"/>
  <c r="R222" i="5" s="1"/>
  <c r="L221" i="5"/>
  <c r="R221" i="5" s="1"/>
  <c r="L216" i="5"/>
  <c r="R216" i="5" s="1"/>
  <c r="L215" i="5"/>
  <c r="R215" i="5" s="1"/>
  <c r="L193" i="5"/>
  <c r="R193" i="5" s="1"/>
  <c r="L192" i="5"/>
  <c r="R192" i="5" s="1"/>
  <c r="R186" i="5"/>
  <c r="R185" i="5"/>
  <c r="R184" i="5"/>
  <c r="L182" i="5"/>
  <c r="R182" i="5" s="1"/>
  <c r="L181" i="5"/>
  <c r="R181" i="5" s="1"/>
  <c r="L180" i="5"/>
  <c r="R180" i="5" s="1"/>
  <c r="L149" i="5"/>
  <c r="R149" i="5" s="1"/>
  <c r="L148" i="5"/>
  <c r="R148" i="5" s="1"/>
  <c r="L142" i="5"/>
  <c r="R142" i="5" s="1"/>
  <c r="L141" i="5"/>
  <c r="R141" i="5" s="1"/>
  <c r="L140" i="5"/>
  <c r="R140" i="5" s="1"/>
  <c r="L137" i="5"/>
  <c r="R137" i="5" s="1"/>
  <c r="L136" i="5"/>
  <c r="R136" i="5" s="1"/>
  <c r="L131" i="5"/>
  <c r="R131" i="5" s="1"/>
  <c r="L130" i="5"/>
  <c r="R130" i="5" s="1"/>
  <c r="L129" i="5"/>
  <c r="R129" i="5" s="1"/>
  <c r="L126" i="5"/>
  <c r="R126" i="5" s="1"/>
  <c r="L125" i="5"/>
  <c r="R125" i="5" s="1"/>
  <c r="L121" i="5"/>
  <c r="R121" i="5" s="1"/>
  <c r="L120" i="5"/>
  <c r="R120" i="5" s="1"/>
  <c r="L111" i="5"/>
  <c r="R111" i="5" s="1"/>
  <c r="L110" i="5"/>
  <c r="R110" i="5" s="1"/>
  <c r="L109" i="5"/>
  <c r="R109" i="5" s="1"/>
  <c r="L105" i="5"/>
  <c r="R105" i="5" s="1"/>
  <c r="L104" i="5"/>
  <c r="R104" i="5" s="1"/>
  <c r="L98" i="5"/>
  <c r="R98" i="5" s="1"/>
  <c r="L97" i="5"/>
  <c r="R97" i="5" s="1"/>
  <c r="L96" i="5"/>
  <c r="R96" i="5" s="1"/>
  <c r="L93" i="5"/>
  <c r="R93" i="5" s="1"/>
  <c r="L92" i="5"/>
  <c r="R92" i="5" s="1"/>
  <c r="L87" i="5"/>
  <c r="L86" i="5"/>
  <c r="L64" i="5"/>
  <c r="R64" i="5" s="1"/>
  <c r="L63" i="5"/>
  <c r="R63" i="5" s="1"/>
  <c r="L54" i="5"/>
  <c r="R54" i="5" s="1"/>
  <c r="L53" i="5"/>
  <c r="R53" i="5" s="1"/>
  <c r="L52" i="5"/>
  <c r="R52" i="5" s="1"/>
  <c r="L34" i="5"/>
  <c r="R34" i="5" s="1"/>
  <c r="L33" i="5"/>
  <c r="R33" i="5" s="1"/>
  <c r="L27" i="5"/>
  <c r="R27" i="5" s="1"/>
  <c r="L26" i="5"/>
  <c r="R26" i="5" s="1"/>
  <c r="L25" i="5"/>
  <c r="R25" i="5" s="1"/>
  <c r="L22" i="5"/>
  <c r="R22" i="5" s="1"/>
  <c r="L21" i="5"/>
  <c r="R21" i="5" s="1"/>
  <c r="L11" i="5"/>
  <c r="L10" i="5"/>
  <c r="K955" i="5"/>
  <c r="Q955" i="5" s="1"/>
  <c r="K954" i="5"/>
  <c r="Q954" i="5" s="1"/>
  <c r="K942" i="5"/>
  <c r="Q942" i="5" s="1"/>
  <c r="K941" i="5"/>
  <c r="Q941" i="5" s="1"/>
  <c r="K940" i="5"/>
  <c r="Q940" i="5" s="1"/>
  <c r="K939" i="5"/>
  <c r="Q939" i="5" s="1"/>
  <c r="K923" i="5"/>
  <c r="K922" i="5"/>
  <c r="K921" i="5"/>
  <c r="K920" i="5"/>
  <c r="Q920" i="5" s="1"/>
  <c r="K919" i="5"/>
  <c r="K918" i="5"/>
  <c r="K917" i="5"/>
  <c r="Q917" i="5" s="1"/>
  <c r="K916" i="5"/>
  <c r="K915" i="5"/>
  <c r="K914" i="5"/>
  <c r="K913" i="5"/>
  <c r="K912" i="5"/>
  <c r="K911" i="5"/>
  <c r="K910" i="5"/>
  <c r="K909" i="5"/>
  <c r="K908" i="5"/>
  <c r="K906" i="5"/>
  <c r="K905" i="5"/>
  <c r="K904" i="5"/>
  <c r="K903" i="5"/>
  <c r="K902" i="5"/>
  <c r="K901" i="5"/>
  <c r="K900" i="5"/>
  <c r="K899" i="5"/>
  <c r="K895" i="5"/>
  <c r="K894" i="5"/>
  <c r="K893" i="5"/>
  <c r="K892" i="5"/>
  <c r="K891" i="5"/>
  <c r="K890" i="5"/>
  <c r="K887" i="5"/>
  <c r="K880" i="5"/>
  <c r="K879" i="5"/>
  <c r="K878" i="5"/>
  <c r="K877" i="5"/>
  <c r="K876" i="5"/>
  <c r="K874" i="5"/>
  <c r="K873" i="5"/>
  <c r="K872" i="5"/>
  <c r="K871" i="5"/>
  <c r="K870" i="5"/>
  <c r="K868" i="5"/>
  <c r="K863" i="5"/>
  <c r="Q863" i="5" s="1"/>
  <c r="K858" i="5"/>
  <c r="Q858" i="5" s="1"/>
  <c r="K857" i="5"/>
  <c r="Q857" i="5" s="1"/>
  <c r="K854" i="5"/>
  <c r="Q854" i="5" s="1"/>
  <c r="K853" i="5"/>
  <c r="Q853" i="5" s="1"/>
  <c r="K852" i="5"/>
  <c r="Q852" i="5" s="1"/>
  <c r="K851" i="5"/>
  <c r="K843" i="5"/>
  <c r="K829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4" i="5"/>
  <c r="Q804" i="5" s="1"/>
  <c r="K803" i="5"/>
  <c r="Q803" i="5" s="1"/>
  <c r="K799" i="5"/>
  <c r="Q799" i="5" s="1"/>
  <c r="K797" i="5"/>
  <c r="Q797" i="5" s="1"/>
  <c r="K793" i="5"/>
  <c r="Q793" i="5" s="1"/>
  <c r="K792" i="5"/>
  <c r="Q792" i="5" s="1"/>
  <c r="K788" i="5"/>
  <c r="Q788" i="5" s="1"/>
  <c r="K787" i="5"/>
  <c r="Q787" i="5" s="1"/>
  <c r="K783" i="5"/>
  <c r="Q783" i="5" s="1"/>
  <c r="K782" i="5"/>
  <c r="Q782" i="5" s="1"/>
  <c r="K778" i="5"/>
  <c r="Q778" i="5" s="1"/>
  <c r="K777" i="5"/>
  <c r="Q777" i="5" s="1"/>
  <c r="K773" i="5"/>
  <c r="Q773" i="5" s="1"/>
  <c r="K772" i="5"/>
  <c r="Q772" i="5" s="1"/>
  <c r="K768" i="5"/>
  <c r="Q768" i="5" s="1"/>
  <c r="K767" i="5"/>
  <c r="Q767" i="5" s="1"/>
  <c r="K763" i="5"/>
  <c r="Q763" i="5" s="1"/>
  <c r="K762" i="5"/>
  <c r="Q762" i="5" s="1"/>
  <c r="K758" i="5"/>
  <c r="Q758" i="5" s="1"/>
  <c r="K757" i="5"/>
  <c r="Q757" i="5" s="1"/>
  <c r="K753" i="5"/>
  <c r="Q753" i="5" s="1"/>
  <c r="K752" i="5"/>
  <c r="Q752" i="5" s="1"/>
  <c r="K748" i="5"/>
  <c r="Q748" i="5" s="1"/>
  <c r="K744" i="5"/>
  <c r="Q744" i="5" s="1"/>
  <c r="K743" i="5"/>
  <c r="Q743" i="5" s="1"/>
  <c r="K740" i="5"/>
  <c r="Q740" i="5" s="1"/>
  <c r="K739" i="5"/>
  <c r="Q739" i="5" s="1"/>
  <c r="K736" i="5"/>
  <c r="Q736" i="5" s="1"/>
  <c r="K735" i="5"/>
  <c r="Q735" i="5" s="1"/>
  <c r="K732" i="5"/>
  <c r="Q732" i="5" s="1"/>
  <c r="K731" i="5"/>
  <c r="Q731" i="5" s="1"/>
  <c r="K728" i="5"/>
  <c r="Q728" i="5" s="1"/>
  <c r="K726" i="5"/>
  <c r="Q726" i="5" s="1"/>
  <c r="K723" i="5"/>
  <c r="Q723" i="5" s="1"/>
  <c r="K721" i="5"/>
  <c r="Q721" i="5" s="1"/>
  <c r="K718" i="5"/>
  <c r="Q718" i="5" s="1"/>
  <c r="K716" i="5"/>
  <c r="Q716" i="5" s="1"/>
  <c r="K712" i="5"/>
  <c r="Q712" i="5" s="1"/>
  <c r="K708" i="5"/>
  <c r="Q708" i="5" s="1"/>
  <c r="K704" i="5"/>
  <c r="Q704" i="5" s="1"/>
  <c r="K685" i="5"/>
  <c r="Q685" i="5" s="1"/>
  <c r="K684" i="5"/>
  <c r="Q684" i="5" s="1"/>
  <c r="K679" i="5"/>
  <c r="Q679" i="5" s="1"/>
  <c r="K678" i="5"/>
  <c r="Q678" i="5" s="1"/>
  <c r="K659" i="5"/>
  <c r="Q659" i="5" s="1"/>
  <c r="K658" i="5"/>
  <c r="Q658" i="5" s="1"/>
  <c r="K653" i="5"/>
  <c r="Q653" i="5" s="1"/>
  <c r="K652" i="5"/>
  <c r="Q652" i="5" s="1"/>
  <c r="K648" i="5"/>
  <c r="K646" i="5"/>
  <c r="K645" i="5"/>
  <c r="K644" i="5"/>
  <c r="K643" i="5"/>
  <c r="K640" i="5"/>
  <c r="Q640" i="5" s="1"/>
  <c r="K638" i="5"/>
  <c r="Q638" i="5" s="1"/>
  <c r="K637" i="5"/>
  <c r="Q637" i="5" s="1"/>
  <c r="K635" i="5"/>
  <c r="Q635" i="5" s="1"/>
  <c r="K634" i="5"/>
  <c r="Q634" i="5" s="1"/>
  <c r="K633" i="5"/>
  <c r="Q633" i="5" s="1"/>
  <c r="K632" i="5"/>
  <c r="Q632" i="5" s="1"/>
  <c r="K628" i="5"/>
  <c r="Q628" i="5" s="1"/>
  <c r="K627" i="5"/>
  <c r="Q627" i="5" s="1"/>
  <c r="K626" i="5"/>
  <c r="Q626" i="5" s="1"/>
  <c r="K625" i="5"/>
  <c r="Q625" i="5" s="1"/>
  <c r="K624" i="5"/>
  <c r="Q624" i="5" s="1"/>
  <c r="K623" i="5"/>
  <c r="Q623" i="5" s="1"/>
  <c r="K620" i="5"/>
  <c r="Q620" i="5" s="1"/>
  <c r="K618" i="5"/>
  <c r="Q618" i="5" s="1"/>
  <c r="K617" i="5"/>
  <c r="Q617" i="5" s="1"/>
  <c r="K615" i="5"/>
  <c r="K614" i="5"/>
  <c r="Q614" i="5" s="1"/>
  <c r="K613" i="5"/>
  <c r="Q613" i="5" s="1"/>
  <c r="K612" i="5"/>
  <c r="Q612" i="5" s="1"/>
  <c r="K608" i="5"/>
  <c r="Q608" i="5" s="1"/>
  <c r="K607" i="5"/>
  <c r="Q607" i="5" s="1"/>
  <c r="K606" i="5"/>
  <c r="K605" i="5"/>
  <c r="Q605" i="5" s="1"/>
  <c r="K604" i="5"/>
  <c r="Q604" i="5" s="1"/>
  <c r="K603" i="5"/>
  <c r="Q603" i="5" s="1"/>
  <c r="K600" i="5"/>
  <c r="Q600" i="5" s="1"/>
  <c r="K598" i="5"/>
  <c r="Q598" i="5" s="1"/>
  <c r="K597" i="5"/>
  <c r="Q597" i="5" s="1"/>
  <c r="K595" i="5"/>
  <c r="K594" i="5"/>
  <c r="Q594" i="5" s="1"/>
  <c r="K593" i="5"/>
  <c r="Q593" i="5" s="1"/>
  <c r="K592" i="5"/>
  <c r="Q592" i="5" s="1"/>
  <c r="K588" i="5"/>
  <c r="Q588" i="5" s="1"/>
  <c r="K587" i="5"/>
  <c r="Q587" i="5" s="1"/>
  <c r="K586" i="5"/>
  <c r="K585" i="5"/>
  <c r="Q585" i="5" s="1"/>
  <c r="K584" i="5"/>
  <c r="Q584" i="5" s="1"/>
  <c r="K583" i="5"/>
  <c r="Q583" i="5" s="1"/>
  <c r="K580" i="5"/>
  <c r="Q580" i="5" s="1"/>
  <c r="K578" i="5"/>
  <c r="Q578" i="5" s="1"/>
  <c r="K577" i="5"/>
  <c r="Q577" i="5" s="1"/>
  <c r="K575" i="5"/>
  <c r="K574" i="5"/>
  <c r="Q574" i="5" s="1"/>
  <c r="K573" i="5"/>
  <c r="Q573" i="5" s="1"/>
  <c r="K572" i="5"/>
  <c r="Q572" i="5" s="1"/>
  <c r="K568" i="5"/>
  <c r="Q568" i="5" s="1"/>
  <c r="K567" i="5"/>
  <c r="Q567" i="5" s="1"/>
  <c r="K566" i="5"/>
  <c r="K565" i="5"/>
  <c r="Q565" i="5" s="1"/>
  <c r="K564" i="5"/>
  <c r="Q564" i="5" s="1"/>
  <c r="K563" i="5"/>
  <c r="Q563" i="5" s="1"/>
  <c r="K559" i="5"/>
  <c r="Q559" i="5" s="1"/>
  <c r="K558" i="5"/>
  <c r="Q558" i="5" s="1"/>
  <c r="K557" i="5"/>
  <c r="Q557" i="5" s="1"/>
  <c r="K556" i="5"/>
  <c r="Q556" i="5" s="1"/>
  <c r="K552" i="5"/>
  <c r="Q552" i="5" s="1"/>
  <c r="K551" i="5"/>
  <c r="Q551" i="5" s="1"/>
  <c r="K550" i="5"/>
  <c r="Q550" i="5" s="1"/>
  <c r="K549" i="5"/>
  <c r="Q549" i="5" s="1"/>
  <c r="K545" i="5"/>
  <c r="Q545" i="5" s="1"/>
  <c r="K544" i="5"/>
  <c r="Q544" i="5" s="1"/>
  <c r="K543" i="5"/>
  <c r="Q543" i="5" s="1"/>
  <c r="K542" i="5"/>
  <c r="Q542" i="5" s="1"/>
  <c r="K541" i="5"/>
  <c r="Q541" i="5" s="1"/>
  <c r="K540" i="5"/>
  <c r="Q540" i="5" s="1"/>
  <c r="K536" i="5"/>
  <c r="Q536" i="5" s="1"/>
  <c r="K535" i="5"/>
  <c r="Q535" i="5" s="1"/>
  <c r="K534" i="5"/>
  <c r="Q534" i="5" s="1"/>
  <c r="K533" i="5"/>
  <c r="Q533" i="5" s="1"/>
  <c r="K532" i="5"/>
  <c r="Q532" i="5" s="1"/>
  <c r="K531" i="5"/>
  <c r="Q531" i="5" s="1"/>
  <c r="K527" i="5"/>
  <c r="Q527" i="5" s="1"/>
  <c r="K526" i="5"/>
  <c r="Q526" i="5" s="1"/>
  <c r="K525" i="5"/>
  <c r="Q525" i="5" s="1"/>
  <c r="K524" i="5"/>
  <c r="Q524" i="5" s="1"/>
  <c r="K520" i="5"/>
  <c r="Q520" i="5" s="1"/>
  <c r="K519" i="5"/>
  <c r="Q519" i="5" s="1"/>
  <c r="K518" i="5"/>
  <c r="Q518" i="5" s="1"/>
  <c r="K517" i="5"/>
  <c r="Q517" i="5" s="1"/>
  <c r="K516" i="5"/>
  <c r="Q516" i="5" s="1"/>
  <c r="K512" i="5"/>
  <c r="Q512" i="5" s="1"/>
  <c r="K511" i="5"/>
  <c r="Q511" i="5" s="1"/>
  <c r="K510" i="5"/>
  <c r="Q510" i="5" s="1"/>
  <c r="K509" i="5"/>
  <c r="Q509" i="5" s="1"/>
  <c r="K505" i="5"/>
  <c r="Q505" i="5" s="1"/>
  <c r="K504" i="5"/>
  <c r="Q504" i="5" s="1"/>
  <c r="K503" i="5"/>
  <c r="Q503" i="5" s="1"/>
  <c r="K502" i="5"/>
  <c r="Q502" i="5" s="1"/>
  <c r="K501" i="5"/>
  <c r="Q501" i="5" s="1"/>
  <c r="K497" i="5"/>
  <c r="Q497" i="5" s="1"/>
  <c r="K496" i="5"/>
  <c r="Q496" i="5" s="1"/>
  <c r="K495" i="5"/>
  <c r="Q495" i="5" s="1"/>
  <c r="K494" i="5"/>
  <c r="Q494" i="5" s="1"/>
  <c r="K490" i="5"/>
  <c r="Q490" i="5" s="1"/>
  <c r="K489" i="5"/>
  <c r="Q489" i="5" s="1"/>
  <c r="K488" i="5"/>
  <c r="Q488" i="5" s="1"/>
  <c r="K487" i="5"/>
  <c r="Q487" i="5" s="1"/>
  <c r="K486" i="5"/>
  <c r="Q486" i="5" s="1"/>
  <c r="K485" i="5"/>
  <c r="Q485" i="5" s="1"/>
  <c r="K481" i="5"/>
  <c r="Q481" i="5" s="1"/>
  <c r="K480" i="5"/>
  <c r="Q480" i="5" s="1"/>
  <c r="K479" i="5"/>
  <c r="Q479" i="5" s="1"/>
  <c r="K478" i="5"/>
  <c r="Q478" i="5" s="1"/>
  <c r="K474" i="5"/>
  <c r="Q474" i="5" s="1"/>
  <c r="K473" i="5"/>
  <c r="Q473" i="5" s="1"/>
  <c r="K472" i="5"/>
  <c r="Q472" i="5" s="1"/>
  <c r="K471" i="5"/>
  <c r="Q471" i="5" s="1"/>
  <c r="K470" i="5"/>
  <c r="Q470" i="5" s="1"/>
  <c r="K469" i="5"/>
  <c r="Q469" i="5" s="1"/>
  <c r="K465" i="5"/>
  <c r="Q465" i="5" s="1"/>
  <c r="K464" i="5"/>
  <c r="Q464" i="5" s="1"/>
  <c r="K463" i="5"/>
  <c r="Q463" i="5" s="1"/>
  <c r="K462" i="5"/>
  <c r="Q462" i="5" s="1"/>
  <c r="K458" i="5"/>
  <c r="Q458" i="5" s="1"/>
  <c r="K457" i="5"/>
  <c r="Q457" i="5" s="1"/>
  <c r="K456" i="5"/>
  <c r="Q456" i="5" s="1"/>
  <c r="K455" i="5"/>
  <c r="Q455" i="5" s="1"/>
  <c r="K454" i="5"/>
  <c r="Q454" i="5" s="1"/>
  <c r="K453" i="5"/>
  <c r="Q453" i="5" s="1"/>
  <c r="K449" i="5"/>
  <c r="Q449" i="5" s="1"/>
  <c r="K448" i="5"/>
  <c r="Q448" i="5" s="1"/>
  <c r="K447" i="5"/>
  <c r="Q447" i="5" s="1"/>
  <c r="K446" i="5"/>
  <c r="Q446" i="5" s="1"/>
  <c r="K442" i="5"/>
  <c r="Q442" i="5" s="1"/>
  <c r="K441" i="5"/>
  <c r="Q441" i="5" s="1"/>
  <c r="K440" i="5"/>
  <c r="Q440" i="5" s="1"/>
  <c r="K439" i="5"/>
  <c r="Q439" i="5" s="1"/>
  <c r="K438" i="5"/>
  <c r="Q438" i="5" s="1"/>
  <c r="K434" i="5"/>
  <c r="Q434" i="5" s="1"/>
  <c r="K433" i="5"/>
  <c r="Q433" i="5" s="1"/>
  <c r="K432" i="5"/>
  <c r="Q432" i="5" s="1"/>
  <c r="K431" i="5"/>
  <c r="Q431" i="5" s="1"/>
  <c r="K419" i="5"/>
  <c r="Q419" i="5" s="1"/>
  <c r="K418" i="5"/>
  <c r="Q418" i="5" s="1"/>
  <c r="K417" i="5"/>
  <c r="Q417" i="5" s="1"/>
  <c r="K416" i="5"/>
  <c r="Q416" i="5" s="1"/>
  <c r="K415" i="5"/>
  <c r="Q415" i="5" s="1"/>
  <c r="K414" i="5"/>
  <c r="Q414" i="5" s="1"/>
  <c r="K402" i="5"/>
  <c r="Q402" i="5" s="1"/>
  <c r="K401" i="5"/>
  <c r="Q401" i="5" s="1"/>
  <c r="K400" i="5"/>
  <c r="Q400" i="5" s="1"/>
  <c r="K399" i="5"/>
  <c r="Q399" i="5" s="1"/>
  <c r="K398" i="5"/>
  <c r="K397" i="5"/>
  <c r="Q397" i="5" s="1"/>
  <c r="K392" i="5"/>
  <c r="Q392" i="5" s="1"/>
  <c r="K388" i="5"/>
  <c r="Q388" i="5" s="1"/>
  <c r="K380" i="5"/>
  <c r="Q380" i="5" s="1"/>
  <c r="K375" i="5"/>
  <c r="Q375" i="5" s="1"/>
  <c r="K367" i="5"/>
  <c r="Q367" i="5" s="1"/>
  <c r="K344" i="5"/>
  <c r="Q344" i="5" s="1"/>
  <c r="K343" i="5"/>
  <c r="Q343" i="5" s="1"/>
  <c r="K342" i="5"/>
  <c r="Q342" i="5" s="1"/>
  <c r="K335" i="5"/>
  <c r="Q335" i="5" s="1"/>
  <c r="K334" i="5"/>
  <c r="Q334" i="5" s="1"/>
  <c r="K333" i="5"/>
  <c r="Q333" i="5" s="1"/>
  <c r="K325" i="5"/>
  <c r="K324" i="5"/>
  <c r="Q324" i="5" s="1"/>
  <c r="K323" i="5"/>
  <c r="K314" i="5"/>
  <c r="K313" i="5"/>
  <c r="Q313" i="5" s="1"/>
  <c r="K312" i="5"/>
  <c r="K303" i="5"/>
  <c r="K302" i="5"/>
  <c r="Q302" i="5" s="1"/>
  <c r="K301" i="5"/>
  <c r="K293" i="5"/>
  <c r="K292" i="5"/>
  <c r="Q292" i="5" s="1"/>
  <c r="K291" i="5"/>
  <c r="K220" i="5"/>
  <c r="Q220" i="5" s="1"/>
  <c r="K186" i="5"/>
  <c r="Q186" i="5" s="1"/>
  <c r="K185" i="5"/>
  <c r="Q185" i="5" s="1"/>
  <c r="K184" i="5"/>
  <c r="Q184" i="5" s="1"/>
  <c r="K183" i="5"/>
  <c r="Q183" i="5" s="1"/>
  <c r="K135" i="5"/>
  <c r="Q135" i="5" s="1"/>
  <c r="K91" i="5"/>
  <c r="Q91" i="5" s="1"/>
  <c r="K57" i="5"/>
  <c r="Q57" i="5" s="1"/>
  <c r="K56" i="5"/>
  <c r="Q56" i="5" s="1"/>
  <c r="K55" i="5"/>
  <c r="Q55" i="5" s="1"/>
  <c r="K20" i="5"/>
  <c r="Q20" i="5" s="1"/>
  <c r="R123" i="5" l="1"/>
  <c r="C118" i="11"/>
  <c r="E118" i="11" s="1"/>
  <c r="C121" i="11"/>
  <c r="E121" i="11" s="1"/>
  <c r="C122" i="11"/>
  <c r="E122" i="11" s="1"/>
  <c r="C120" i="11"/>
  <c r="E120" i="11" s="1"/>
  <c r="C117" i="11"/>
  <c r="E117" i="11" s="1"/>
  <c r="C116" i="11"/>
  <c r="E116" i="11" s="1"/>
  <c r="C119" i="11"/>
  <c r="E119" i="11" s="1"/>
  <c r="E114" i="23"/>
  <c r="D110" i="23"/>
  <c r="E110" i="23"/>
  <c r="C114" i="11"/>
  <c r="E114" i="11" s="1"/>
  <c r="C115" i="11"/>
  <c r="E115" i="11" s="1"/>
  <c r="C104" i="11"/>
  <c r="E104" i="11" s="1"/>
  <c r="C106" i="11"/>
  <c r="E106" i="11" s="1"/>
  <c r="P745" i="5"/>
  <c r="P737" i="5"/>
  <c r="I77" i="6" s="1"/>
  <c r="P729" i="5"/>
  <c r="E40" i="23"/>
  <c r="E159" i="23"/>
  <c r="E163" i="23"/>
  <c r="D163" i="23"/>
  <c r="E121" i="23"/>
  <c r="D121" i="23"/>
  <c r="H102" i="11"/>
  <c r="I102" i="11" s="1"/>
  <c r="J102" i="11" s="1"/>
  <c r="C107" i="11"/>
  <c r="E107" i="11" s="1"/>
  <c r="C111" i="11"/>
  <c r="E111" i="11" s="1"/>
  <c r="C102" i="11"/>
  <c r="E102" i="11" s="1"/>
  <c r="C105" i="11"/>
  <c r="E105" i="11" s="1"/>
  <c r="C123" i="11"/>
  <c r="E123" i="11" s="1"/>
  <c r="C108" i="11"/>
  <c r="E108" i="11" s="1"/>
  <c r="C112" i="11"/>
  <c r="E112" i="11" s="1"/>
  <c r="C103" i="11"/>
  <c r="E103" i="11" s="1"/>
  <c r="C109" i="11"/>
  <c r="E109" i="11" s="1"/>
  <c r="C113" i="11"/>
  <c r="E113" i="11" s="1"/>
  <c r="C110" i="11"/>
  <c r="E110" i="11" s="1"/>
  <c r="F132" i="10"/>
  <c r="F39" i="10"/>
  <c r="F76" i="10"/>
  <c r="E117" i="23"/>
  <c r="F126" i="11"/>
  <c r="H126" i="11" s="1"/>
  <c r="I126" i="11" s="1"/>
  <c r="J126" i="11" s="1"/>
  <c r="F63" i="10"/>
  <c r="D40" i="23"/>
  <c r="E44" i="23"/>
  <c r="T122" i="8"/>
  <c r="D51" i="23" s="1"/>
  <c r="T205" i="8"/>
  <c r="T574" i="8"/>
  <c r="T559" i="8" s="1"/>
  <c r="E103" i="23" s="1"/>
  <c r="C574" i="8"/>
  <c r="C559" i="8" s="1"/>
  <c r="C550" i="8" s="1"/>
  <c r="O754" i="5"/>
  <c r="P724" i="5"/>
  <c r="R706" i="5"/>
  <c r="R554" i="5"/>
  <c r="R522" i="5"/>
  <c r="O706" i="5"/>
  <c r="F101" i="11"/>
  <c r="T52" i="8"/>
  <c r="T38" i="8" s="1"/>
  <c r="N52" i="8"/>
  <c r="N38" i="8" s="1"/>
  <c r="G9" i="9" s="1"/>
  <c r="G8" i="9" s="1"/>
  <c r="P52" i="8"/>
  <c r="P38" i="8" s="1"/>
  <c r="G15" i="9" s="1"/>
  <c r="O52" i="8"/>
  <c r="P378" i="5"/>
  <c r="P764" i="5"/>
  <c r="O749" i="5"/>
  <c r="R365" i="5"/>
  <c r="S285" i="5"/>
  <c r="Q127" i="5"/>
  <c r="Q733" i="5"/>
  <c r="Q741" i="5"/>
  <c r="F96" i="10"/>
  <c r="R127" i="5"/>
  <c r="R213" i="5"/>
  <c r="O710" i="5"/>
  <c r="P483" i="5"/>
  <c r="P451" i="5"/>
  <c r="R737" i="5"/>
  <c r="R710" i="5"/>
  <c r="R702" i="5"/>
  <c r="O373" i="5"/>
  <c r="P365" i="5"/>
  <c r="Q285" i="5"/>
  <c r="O759" i="5"/>
  <c r="O745" i="5"/>
  <c r="O737" i="5"/>
  <c r="O729" i="5"/>
  <c r="R724" i="5"/>
  <c r="R719" i="5"/>
  <c r="P710" i="5"/>
  <c r="P702" i="5"/>
  <c r="R476" i="5"/>
  <c r="R444" i="5"/>
  <c r="O390" i="5"/>
  <c r="R386" i="5"/>
  <c r="O378" i="5"/>
  <c r="R373" i="5"/>
  <c r="O361" i="5"/>
  <c r="H114" i="6" s="1"/>
  <c r="O285" i="5"/>
  <c r="O17" i="5"/>
  <c r="H102" i="6" s="1"/>
  <c r="R499" i="5"/>
  <c r="P492" i="5"/>
  <c r="R467" i="5"/>
  <c r="P460" i="5"/>
  <c r="P386" i="5"/>
  <c r="P373" i="5"/>
  <c r="H107" i="11"/>
  <c r="P574" i="8"/>
  <c r="N574" i="8"/>
  <c r="N559" i="8" s="1"/>
  <c r="G77" i="9" s="1"/>
  <c r="Q729" i="5"/>
  <c r="Q737" i="5"/>
  <c r="R88" i="5"/>
  <c r="R17" i="5"/>
  <c r="K102" i="6" s="1"/>
  <c r="O724" i="5"/>
  <c r="O630" i="5"/>
  <c r="P538" i="5"/>
  <c r="O507" i="5"/>
  <c r="P499" i="5"/>
  <c r="R492" i="5"/>
  <c r="R483" i="5"/>
  <c r="P476" i="5"/>
  <c r="P467" i="5"/>
  <c r="R460" i="5"/>
  <c r="R451" i="5"/>
  <c r="P444" i="5"/>
  <c r="O436" i="5"/>
  <c r="R390" i="5"/>
  <c r="O340" i="5"/>
  <c r="O217" i="5"/>
  <c r="O769" i="5"/>
  <c r="R800" i="5"/>
  <c r="R729" i="5"/>
  <c r="O429" i="5"/>
  <c r="O800" i="5"/>
  <c r="P800" i="5"/>
  <c r="O794" i="5"/>
  <c r="P794" i="5"/>
  <c r="O789" i="5"/>
  <c r="P789" i="5"/>
  <c r="O784" i="5"/>
  <c r="P784" i="5"/>
  <c r="O779" i="5"/>
  <c r="P779" i="5"/>
  <c r="O774" i="5"/>
  <c r="P774" i="5"/>
  <c r="P769" i="5"/>
  <c r="O764" i="5"/>
  <c r="R759" i="5"/>
  <c r="O741" i="5"/>
  <c r="P741" i="5"/>
  <c r="O733" i="5"/>
  <c r="P733" i="5"/>
  <c r="R714" i="5"/>
  <c r="P706" i="5"/>
  <c r="O702" i="5"/>
  <c r="R621" i="5"/>
  <c r="P547" i="5"/>
  <c r="O499" i="5"/>
  <c r="O476" i="5"/>
  <c r="O467" i="5"/>
  <c r="O444" i="5"/>
  <c r="R436" i="5"/>
  <c r="P429" i="5"/>
  <c r="P412" i="5"/>
  <c r="O365" i="5"/>
  <c r="R361" i="5"/>
  <c r="K114" i="6" s="1"/>
  <c r="R331" i="5"/>
  <c r="R217" i="5"/>
  <c r="Q213" i="5"/>
  <c r="S123" i="5"/>
  <c r="O123" i="5"/>
  <c r="R794" i="5"/>
  <c r="R789" i="5"/>
  <c r="R784" i="5"/>
  <c r="R779" i="5"/>
  <c r="R774" i="5"/>
  <c r="P759" i="5"/>
  <c r="P754" i="5"/>
  <c r="P749" i="5"/>
  <c r="R745" i="5"/>
  <c r="R741" i="5"/>
  <c r="R733" i="5"/>
  <c r="P719" i="5"/>
  <c r="P714" i="5"/>
  <c r="P529" i="5"/>
  <c r="O412" i="5"/>
  <c r="P361" i="5"/>
  <c r="I114" i="6" s="1"/>
  <c r="S213" i="5"/>
  <c r="O213" i="5"/>
  <c r="R132" i="5"/>
  <c r="Q123" i="5"/>
  <c r="O547" i="5"/>
  <c r="P514" i="5"/>
  <c r="R764" i="5"/>
  <c r="O719" i="5"/>
  <c r="R630" i="5"/>
  <c r="R769" i="5"/>
  <c r="R749" i="5"/>
  <c r="O714" i="5"/>
  <c r="O621" i="5"/>
  <c r="O529" i="5"/>
  <c r="R754" i="5"/>
  <c r="O538" i="5"/>
  <c r="R507" i="5"/>
  <c r="P630" i="5"/>
  <c r="P621" i="5"/>
  <c r="P554" i="5"/>
  <c r="R547" i="5"/>
  <c r="R538" i="5"/>
  <c r="R529" i="5"/>
  <c r="P522" i="5"/>
  <c r="O514" i="5"/>
  <c r="O492" i="5"/>
  <c r="O483" i="5"/>
  <c r="O460" i="5"/>
  <c r="O451" i="5"/>
  <c r="P436" i="5"/>
  <c r="R429" i="5"/>
  <c r="P390" i="5"/>
  <c r="O386" i="5"/>
  <c r="R378" i="5"/>
  <c r="R340" i="5"/>
  <c r="R285" i="5"/>
  <c r="Q223" i="5"/>
  <c r="S23" i="5"/>
  <c r="L103" i="6" s="1"/>
  <c r="O554" i="5"/>
  <c r="O522" i="5"/>
  <c r="R514" i="5"/>
  <c r="P507" i="5"/>
  <c r="R412" i="5"/>
  <c r="O331" i="5"/>
  <c r="O132" i="5"/>
  <c r="S127" i="5"/>
  <c r="O127" i="5"/>
  <c r="S94" i="5"/>
  <c r="D107" i="23" l="1"/>
  <c r="I79" i="6"/>
  <c r="I75" i="6"/>
  <c r="H101" i="11"/>
  <c r="H15" i="6"/>
  <c r="J25" i="6"/>
  <c r="K31" i="6"/>
  <c r="H37" i="6"/>
  <c r="K44" i="6"/>
  <c r="H47" i="6"/>
  <c r="H51" i="6"/>
  <c r="H55" i="6"/>
  <c r="K57" i="6"/>
  <c r="K59" i="6"/>
  <c r="I65" i="6"/>
  <c r="K54" i="6"/>
  <c r="K81" i="6"/>
  <c r="H65" i="6"/>
  <c r="K80" i="6"/>
  <c r="K66" i="6"/>
  <c r="K83" i="6"/>
  <c r="H59" i="6"/>
  <c r="J14" i="6"/>
  <c r="H22" i="6"/>
  <c r="I57" i="6"/>
  <c r="I73" i="6"/>
  <c r="K78" i="6"/>
  <c r="I80" i="6"/>
  <c r="I82" i="6"/>
  <c r="K86" i="6"/>
  <c r="K88" i="6"/>
  <c r="H14" i="6"/>
  <c r="J22" i="6"/>
  <c r="K30" i="6"/>
  <c r="I42" i="6"/>
  <c r="K45" i="6"/>
  <c r="H49" i="6"/>
  <c r="H53" i="6"/>
  <c r="K65" i="6"/>
  <c r="I76" i="6"/>
  <c r="I78" i="6"/>
  <c r="K82" i="6"/>
  <c r="I84" i="6"/>
  <c r="H85" i="6"/>
  <c r="H86" i="6"/>
  <c r="H87" i="6"/>
  <c r="H88" i="6"/>
  <c r="H89" i="6"/>
  <c r="H90" i="6"/>
  <c r="K75" i="6"/>
  <c r="H84" i="6"/>
  <c r="H31" i="6"/>
  <c r="K38" i="6"/>
  <c r="I46" i="6"/>
  <c r="K48" i="6"/>
  <c r="I50" i="6"/>
  <c r="K52" i="6"/>
  <c r="H54" i="6"/>
  <c r="H66" i="6"/>
  <c r="K108" i="6"/>
  <c r="K11" i="6"/>
  <c r="J75" i="6"/>
  <c r="I36" i="6"/>
  <c r="I48" i="6"/>
  <c r="I52" i="6"/>
  <c r="H35" i="6"/>
  <c r="H38" i="6"/>
  <c r="K50" i="6"/>
  <c r="K74" i="6"/>
  <c r="H77" i="6"/>
  <c r="H82" i="6"/>
  <c r="I115" i="6"/>
  <c r="I34" i="6"/>
  <c r="K77" i="6"/>
  <c r="I51" i="6"/>
  <c r="K22" i="6"/>
  <c r="J76" i="6"/>
  <c r="J16" i="6"/>
  <c r="K115" i="6"/>
  <c r="K34" i="6"/>
  <c r="I83" i="6"/>
  <c r="K60" i="6"/>
  <c r="I74" i="6"/>
  <c r="L109" i="6"/>
  <c r="L12" i="6"/>
  <c r="H16" i="6"/>
  <c r="I54" i="6"/>
  <c r="H56" i="6"/>
  <c r="K14" i="6"/>
  <c r="L16" i="6"/>
  <c r="H30" i="6"/>
  <c r="K42" i="6"/>
  <c r="K55" i="6"/>
  <c r="H60" i="6"/>
  <c r="J24" i="6"/>
  <c r="K26" i="6"/>
  <c r="K35" i="6"/>
  <c r="I38" i="6"/>
  <c r="I45" i="6"/>
  <c r="H48" i="6"/>
  <c r="H52" i="6"/>
  <c r="I56" i="6"/>
  <c r="K58" i="6"/>
  <c r="I60" i="6"/>
  <c r="I66" i="6"/>
  <c r="H58" i="6"/>
  <c r="H57" i="6"/>
  <c r="H72" i="6"/>
  <c r="K84" i="6"/>
  <c r="H73" i="6"/>
  <c r="I55" i="6"/>
  <c r="K15" i="6"/>
  <c r="L22" i="6"/>
  <c r="H42" i="6"/>
  <c r="I72" i="6"/>
  <c r="K76" i="6"/>
  <c r="K79" i="6"/>
  <c r="I81" i="6"/>
  <c r="K85" i="6"/>
  <c r="K87" i="6"/>
  <c r="K89" i="6"/>
  <c r="L14" i="6"/>
  <c r="K23" i="6"/>
  <c r="H115" i="6"/>
  <c r="H34" i="6"/>
  <c r="I44" i="6"/>
  <c r="H46" i="6"/>
  <c r="H50" i="6"/>
  <c r="I59" i="6"/>
  <c r="K72" i="6"/>
  <c r="H76" i="6"/>
  <c r="H78" i="6"/>
  <c r="H83" i="6"/>
  <c r="I85" i="6"/>
  <c r="I86" i="6"/>
  <c r="I87" i="6"/>
  <c r="I88" i="6"/>
  <c r="I89" i="6"/>
  <c r="I90" i="6"/>
  <c r="H44" i="6"/>
  <c r="K90" i="6"/>
  <c r="H23" i="6"/>
  <c r="H45" i="6"/>
  <c r="K47" i="6"/>
  <c r="I49" i="6"/>
  <c r="K51" i="6"/>
  <c r="I53" i="6"/>
  <c r="I58" i="6"/>
  <c r="H74" i="6"/>
  <c r="J77" i="6"/>
  <c r="I37" i="6"/>
  <c r="K49" i="6"/>
  <c r="K53" i="6"/>
  <c r="H26" i="6"/>
  <c r="K36" i="6"/>
  <c r="K37" i="6"/>
  <c r="K46" i="6"/>
  <c r="K73" i="6"/>
  <c r="H75" i="6"/>
  <c r="H79" i="6"/>
  <c r="J26" i="6"/>
  <c r="H36" i="6"/>
  <c r="I47" i="6"/>
  <c r="K16" i="6"/>
  <c r="J78" i="6"/>
  <c r="L26" i="6"/>
  <c r="H80" i="6"/>
  <c r="I35" i="6"/>
  <c r="K56" i="6"/>
  <c r="H81" i="6"/>
  <c r="F95" i="10"/>
  <c r="F64" i="10"/>
  <c r="F128" i="11"/>
  <c r="H128" i="11" s="1"/>
  <c r="I128" i="11" s="1"/>
  <c r="J128" i="11" s="1"/>
  <c r="F77" i="10"/>
  <c r="F131" i="11"/>
  <c r="H131" i="11" s="1"/>
  <c r="I131" i="11" s="1"/>
  <c r="J131" i="11" s="1"/>
  <c r="F133" i="10"/>
  <c r="D103" i="23"/>
  <c r="E107" i="23"/>
  <c r="E51" i="23"/>
  <c r="D47" i="23"/>
  <c r="E47" i="23"/>
  <c r="E79" i="23"/>
  <c r="E75" i="23"/>
  <c r="D75" i="23"/>
  <c r="D79" i="23"/>
  <c r="E33" i="23"/>
  <c r="E37" i="23"/>
  <c r="D37" i="23"/>
  <c r="D33" i="23"/>
  <c r="I107" i="11"/>
  <c r="F134" i="10" l="1"/>
  <c r="F78" i="10"/>
  <c r="I101" i="11"/>
  <c r="J101" i="11" s="1"/>
  <c r="J107" i="11"/>
  <c r="I574" i="8"/>
  <c r="M574" i="8" s="1"/>
  <c r="H841" i="5"/>
  <c r="F841" i="5"/>
  <c r="E841" i="5"/>
  <c r="D841" i="5"/>
  <c r="H768" i="5"/>
  <c r="N768" i="5" s="1"/>
  <c r="H783" i="5"/>
  <c r="N783" i="5" s="1"/>
  <c r="H788" i="5"/>
  <c r="N788" i="5" s="1"/>
  <c r="H871" i="5"/>
  <c r="M871" i="5"/>
  <c r="H872" i="5"/>
  <c r="M872" i="5"/>
  <c r="H873" i="5"/>
  <c r="M873" i="5"/>
  <c r="H874" i="5"/>
  <c r="M874" i="5"/>
  <c r="H876" i="5"/>
  <c r="M876" i="5"/>
  <c r="H877" i="5"/>
  <c r="M877" i="5"/>
  <c r="H878" i="5"/>
  <c r="M878" i="5"/>
  <c r="H879" i="5"/>
  <c r="M879" i="5"/>
  <c r="H880" i="5"/>
  <c r="M880" i="5"/>
  <c r="H882" i="5"/>
  <c r="M882" i="5"/>
  <c r="H883" i="5"/>
  <c r="M883" i="5"/>
  <c r="H884" i="5"/>
  <c r="M884" i="5"/>
  <c r="H885" i="5"/>
  <c r="M885" i="5"/>
  <c r="H886" i="5"/>
  <c r="M886" i="5"/>
  <c r="H887" i="5"/>
  <c r="M887" i="5"/>
  <c r="H888" i="5"/>
  <c r="M888" i="5"/>
  <c r="H889" i="5"/>
  <c r="M889" i="5"/>
  <c r="H890" i="5"/>
  <c r="M890" i="5"/>
  <c r="H891" i="5"/>
  <c r="M891" i="5"/>
  <c r="H892" i="5"/>
  <c r="M892" i="5"/>
  <c r="H893" i="5"/>
  <c r="M893" i="5"/>
  <c r="H894" i="5"/>
  <c r="M894" i="5"/>
  <c r="H895" i="5"/>
  <c r="M895" i="5"/>
  <c r="H896" i="5"/>
  <c r="M896" i="5"/>
  <c r="H897" i="5"/>
  <c r="M897" i="5"/>
  <c r="H898" i="5"/>
  <c r="M898" i="5"/>
  <c r="H899" i="5"/>
  <c r="M899" i="5"/>
  <c r="H900" i="5"/>
  <c r="M900" i="5"/>
  <c r="H901" i="5"/>
  <c r="M901" i="5"/>
  <c r="H902" i="5"/>
  <c r="M902" i="5"/>
  <c r="H903" i="5"/>
  <c r="M903" i="5"/>
  <c r="H904" i="5"/>
  <c r="M904" i="5"/>
  <c r="H905" i="5"/>
  <c r="M905" i="5"/>
  <c r="H906" i="5"/>
  <c r="M906" i="5"/>
  <c r="H907" i="5"/>
  <c r="M907" i="5"/>
  <c r="M908" i="5"/>
  <c r="M909" i="5"/>
  <c r="M910" i="5"/>
  <c r="M911" i="5"/>
  <c r="M912" i="5"/>
  <c r="M913" i="5"/>
  <c r="M914" i="5"/>
  <c r="M915" i="5"/>
  <c r="M916" i="5"/>
  <c r="H917" i="5"/>
  <c r="N917" i="5" s="1"/>
  <c r="M917" i="5"/>
  <c r="S917" i="5" s="1"/>
  <c r="H918" i="5"/>
  <c r="M918" i="5"/>
  <c r="H919" i="5"/>
  <c r="M919" i="5"/>
  <c r="H920" i="5"/>
  <c r="N920" i="5" s="1"/>
  <c r="M920" i="5"/>
  <c r="S920" i="5" s="1"/>
  <c r="H921" i="5"/>
  <c r="M921" i="5"/>
  <c r="H922" i="5"/>
  <c r="M922" i="5"/>
  <c r="H923" i="5"/>
  <c r="M923" i="5"/>
  <c r="H939" i="5"/>
  <c r="N939" i="5" s="1"/>
  <c r="M939" i="5"/>
  <c r="S939" i="5" s="1"/>
  <c r="H940" i="5"/>
  <c r="N940" i="5" s="1"/>
  <c r="M940" i="5"/>
  <c r="S940" i="5" s="1"/>
  <c r="H941" i="5"/>
  <c r="N941" i="5" s="1"/>
  <c r="M941" i="5"/>
  <c r="S941" i="5" s="1"/>
  <c r="H942" i="5"/>
  <c r="N942" i="5" s="1"/>
  <c r="M942" i="5"/>
  <c r="S942" i="5" s="1"/>
  <c r="H943" i="5"/>
  <c r="N943" i="5" s="1"/>
  <c r="H944" i="5"/>
  <c r="N944" i="5" s="1"/>
  <c r="H945" i="5"/>
  <c r="N945" i="5" s="1"/>
  <c r="M945" i="5"/>
  <c r="S945" i="5" s="1"/>
  <c r="H946" i="5"/>
  <c r="M946" i="5"/>
  <c r="H947" i="5"/>
  <c r="M947" i="5"/>
  <c r="H948" i="5"/>
  <c r="M948" i="5"/>
  <c r="H949" i="5"/>
  <c r="M949" i="5"/>
  <c r="H950" i="5"/>
  <c r="M950" i="5"/>
  <c r="H951" i="5"/>
  <c r="M951" i="5"/>
  <c r="H952" i="5"/>
  <c r="N952" i="5" s="1"/>
  <c r="M952" i="5"/>
  <c r="S952" i="5" s="1"/>
  <c r="H953" i="5"/>
  <c r="N953" i="5" s="1"/>
  <c r="M953" i="5"/>
  <c r="S953" i="5" s="1"/>
  <c r="H954" i="5"/>
  <c r="N954" i="5" s="1"/>
  <c r="M954" i="5"/>
  <c r="S954" i="5" s="1"/>
  <c r="H955" i="5"/>
  <c r="N955" i="5" s="1"/>
  <c r="M955" i="5"/>
  <c r="S955" i="5" s="1"/>
  <c r="H867" i="5"/>
  <c r="M867" i="5"/>
  <c r="H868" i="5"/>
  <c r="M868" i="5"/>
  <c r="H808" i="5"/>
  <c r="M808" i="5"/>
  <c r="H809" i="5"/>
  <c r="M809" i="5"/>
  <c r="H810" i="5"/>
  <c r="M810" i="5"/>
  <c r="H811" i="5"/>
  <c r="M811" i="5"/>
  <c r="M812" i="5"/>
  <c r="H813" i="5"/>
  <c r="M813" i="5"/>
  <c r="H814" i="5"/>
  <c r="M814" i="5"/>
  <c r="H815" i="5"/>
  <c r="M815" i="5"/>
  <c r="H816" i="5"/>
  <c r="M816" i="5"/>
  <c r="H817" i="5"/>
  <c r="M817" i="5"/>
  <c r="H818" i="5"/>
  <c r="M818" i="5"/>
  <c r="H819" i="5"/>
  <c r="M819" i="5"/>
  <c r="H820" i="5"/>
  <c r="M820" i="5"/>
  <c r="H821" i="5"/>
  <c r="M821" i="5"/>
  <c r="H822" i="5"/>
  <c r="M822" i="5"/>
  <c r="H823" i="5"/>
  <c r="M823" i="5"/>
  <c r="H824" i="5"/>
  <c r="M824" i="5"/>
  <c r="H825" i="5"/>
  <c r="M825" i="5"/>
  <c r="H826" i="5"/>
  <c r="M826" i="5"/>
  <c r="H827" i="5"/>
  <c r="M827" i="5"/>
  <c r="H828" i="5"/>
  <c r="M828" i="5"/>
  <c r="H829" i="5"/>
  <c r="M829" i="5"/>
  <c r="H830" i="5"/>
  <c r="M830" i="5"/>
  <c r="H831" i="5"/>
  <c r="M831" i="5"/>
  <c r="H832" i="5"/>
  <c r="H833" i="5"/>
  <c r="H834" i="5"/>
  <c r="H835" i="5"/>
  <c r="H836" i="5"/>
  <c r="H837" i="5"/>
  <c r="H838" i="5"/>
  <c r="H843" i="5"/>
  <c r="M843" i="5"/>
  <c r="H848" i="5"/>
  <c r="H849" i="5"/>
  <c r="H850" i="5"/>
  <c r="H851" i="5"/>
  <c r="M851" i="5"/>
  <c r="H852" i="5"/>
  <c r="N852" i="5" s="1"/>
  <c r="M852" i="5"/>
  <c r="S852" i="5" s="1"/>
  <c r="H853" i="5"/>
  <c r="N853" i="5" s="1"/>
  <c r="M853" i="5"/>
  <c r="S853" i="5" s="1"/>
  <c r="H854" i="5"/>
  <c r="N854" i="5" s="1"/>
  <c r="M854" i="5"/>
  <c r="S854" i="5" s="1"/>
  <c r="H856" i="5"/>
  <c r="N856" i="5" s="1"/>
  <c r="M856" i="5"/>
  <c r="S856" i="5" s="1"/>
  <c r="H857" i="5"/>
  <c r="N857" i="5" s="1"/>
  <c r="M857" i="5"/>
  <c r="S857" i="5" s="1"/>
  <c r="H858" i="5"/>
  <c r="N858" i="5" s="1"/>
  <c r="M858" i="5"/>
  <c r="S858" i="5" s="1"/>
  <c r="H859" i="5"/>
  <c r="H860" i="5"/>
  <c r="H862" i="5"/>
  <c r="N862" i="5" s="1"/>
  <c r="M862" i="5"/>
  <c r="S862" i="5" s="1"/>
  <c r="H863" i="5"/>
  <c r="N863" i="5" s="1"/>
  <c r="M863" i="5"/>
  <c r="S863" i="5" s="1"/>
  <c r="H864" i="5"/>
  <c r="N864" i="5" s="1"/>
  <c r="M864" i="5"/>
  <c r="S864" i="5" s="1"/>
  <c r="M803" i="5"/>
  <c r="S803" i="5" s="1"/>
  <c r="M804" i="5"/>
  <c r="S804" i="5" s="1"/>
  <c r="H797" i="5"/>
  <c r="N797" i="5" s="1"/>
  <c r="M797" i="5"/>
  <c r="S797" i="5" s="1"/>
  <c r="M799" i="5"/>
  <c r="S799" i="5" s="1"/>
  <c r="H792" i="5"/>
  <c r="N792" i="5" s="1"/>
  <c r="M792" i="5"/>
  <c r="S792" i="5" s="1"/>
  <c r="H793" i="5"/>
  <c r="N793" i="5" s="1"/>
  <c r="M793" i="5"/>
  <c r="S793" i="5" s="1"/>
  <c r="H787" i="5"/>
  <c r="N787" i="5" s="1"/>
  <c r="M787" i="5"/>
  <c r="S787" i="5" s="1"/>
  <c r="M788" i="5"/>
  <c r="S788" i="5" s="1"/>
  <c r="H782" i="5"/>
  <c r="N782" i="5" s="1"/>
  <c r="M782" i="5"/>
  <c r="S782" i="5" s="1"/>
  <c r="M783" i="5"/>
  <c r="S783" i="5" s="1"/>
  <c r="H777" i="5"/>
  <c r="N777" i="5" s="1"/>
  <c r="M777" i="5"/>
  <c r="S777" i="5" s="1"/>
  <c r="H778" i="5"/>
  <c r="N778" i="5" s="1"/>
  <c r="M778" i="5"/>
  <c r="S778" i="5" s="1"/>
  <c r="H772" i="5"/>
  <c r="N772" i="5" s="1"/>
  <c r="M772" i="5"/>
  <c r="S772" i="5" s="1"/>
  <c r="H773" i="5"/>
  <c r="N773" i="5" s="1"/>
  <c r="M773" i="5"/>
  <c r="S773" i="5" s="1"/>
  <c r="H767" i="5"/>
  <c r="N767" i="5" s="1"/>
  <c r="M767" i="5"/>
  <c r="S767" i="5" s="1"/>
  <c r="M768" i="5"/>
  <c r="S768" i="5" s="1"/>
  <c r="H762" i="5"/>
  <c r="N762" i="5" s="1"/>
  <c r="M762" i="5"/>
  <c r="S762" i="5" s="1"/>
  <c r="H763" i="5"/>
  <c r="N763" i="5" s="1"/>
  <c r="M763" i="5"/>
  <c r="S763" i="5" s="1"/>
  <c r="H757" i="5"/>
  <c r="N757" i="5" s="1"/>
  <c r="M757" i="5"/>
  <c r="S757" i="5" s="1"/>
  <c r="M758" i="5"/>
  <c r="S758" i="5" s="1"/>
  <c r="H752" i="5"/>
  <c r="N752" i="5" s="1"/>
  <c r="M752" i="5"/>
  <c r="S752" i="5" s="1"/>
  <c r="M753" i="5"/>
  <c r="S753" i="5" s="1"/>
  <c r="H748" i="5"/>
  <c r="N748" i="5" s="1"/>
  <c r="M748" i="5"/>
  <c r="S748" i="5" s="1"/>
  <c r="M744" i="5"/>
  <c r="S744" i="5" s="1"/>
  <c r="M740" i="5"/>
  <c r="S740" i="5" s="1"/>
  <c r="M736" i="5"/>
  <c r="S736" i="5" s="1"/>
  <c r="M732" i="5"/>
  <c r="S732" i="5" s="1"/>
  <c r="H727" i="5"/>
  <c r="N727" i="5" s="1"/>
  <c r="M727" i="5"/>
  <c r="S727" i="5" s="1"/>
  <c r="M728" i="5"/>
  <c r="S728" i="5" s="1"/>
  <c r="H722" i="5"/>
  <c r="N722" i="5" s="1"/>
  <c r="M722" i="5"/>
  <c r="S722" i="5" s="1"/>
  <c r="M723" i="5"/>
  <c r="S723" i="5" s="1"/>
  <c r="H717" i="5"/>
  <c r="N717" i="5" s="1"/>
  <c r="M717" i="5"/>
  <c r="S717" i="5" s="1"/>
  <c r="M718" i="5"/>
  <c r="S718" i="5" s="1"/>
  <c r="H713" i="5"/>
  <c r="N713" i="5" s="1"/>
  <c r="M713" i="5"/>
  <c r="S713" i="5" s="1"/>
  <c r="H709" i="5"/>
  <c r="N709" i="5" s="1"/>
  <c r="M709" i="5"/>
  <c r="S709" i="5" s="1"/>
  <c r="H705" i="5"/>
  <c r="N705" i="5" s="1"/>
  <c r="M705" i="5"/>
  <c r="S705" i="5" s="1"/>
  <c r="H685" i="5"/>
  <c r="N685" i="5" s="1"/>
  <c r="M685" i="5"/>
  <c r="S685" i="5" s="1"/>
  <c r="M686" i="5"/>
  <c r="M687" i="5"/>
  <c r="H679" i="5"/>
  <c r="N679" i="5" s="1"/>
  <c r="M679" i="5"/>
  <c r="S679" i="5" s="1"/>
  <c r="M680" i="5"/>
  <c r="H659" i="5"/>
  <c r="N659" i="5" s="1"/>
  <c r="M659" i="5"/>
  <c r="S659" i="5" s="1"/>
  <c r="M660" i="5"/>
  <c r="M661" i="5"/>
  <c r="H653" i="5"/>
  <c r="N653" i="5" s="1"/>
  <c r="M653" i="5"/>
  <c r="S653" i="5" s="1"/>
  <c r="M654" i="5"/>
  <c r="H644" i="5"/>
  <c r="M644" i="5"/>
  <c r="H645" i="5"/>
  <c r="M645" i="5"/>
  <c r="H646" i="5"/>
  <c r="M646" i="5"/>
  <c r="H648" i="5"/>
  <c r="M648" i="5"/>
  <c r="M649" i="5"/>
  <c r="H633" i="5"/>
  <c r="N633" i="5" s="1"/>
  <c r="M633" i="5"/>
  <c r="S633" i="5" s="1"/>
  <c r="H634" i="5"/>
  <c r="N634" i="5" s="1"/>
  <c r="M634" i="5"/>
  <c r="S634" i="5" s="1"/>
  <c r="H635" i="5"/>
  <c r="N635" i="5" s="1"/>
  <c r="M635" i="5"/>
  <c r="S635" i="5" s="1"/>
  <c r="H636" i="5"/>
  <c r="N636" i="5" s="1"/>
  <c r="M636" i="5"/>
  <c r="S636" i="5" s="1"/>
  <c r="H637" i="5"/>
  <c r="N637" i="5" s="1"/>
  <c r="M637" i="5"/>
  <c r="S637" i="5" s="1"/>
  <c r="H638" i="5"/>
  <c r="N638" i="5" s="1"/>
  <c r="M638" i="5"/>
  <c r="S638" i="5" s="1"/>
  <c r="N639" i="5"/>
  <c r="M639" i="5"/>
  <c r="S639" i="5" s="1"/>
  <c r="M640" i="5"/>
  <c r="S640" i="5" s="1"/>
  <c r="N640" i="5"/>
  <c r="H624" i="5"/>
  <c r="N624" i="5" s="1"/>
  <c r="H625" i="5"/>
  <c r="N625" i="5" s="1"/>
  <c r="H626" i="5"/>
  <c r="N626" i="5" s="1"/>
  <c r="H627" i="5"/>
  <c r="N627" i="5" s="1"/>
  <c r="H628" i="5"/>
  <c r="N628" i="5" s="1"/>
  <c r="N629" i="5"/>
  <c r="M624" i="5"/>
  <c r="S624" i="5" s="1"/>
  <c r="M625" i="5"/>
  <c r="S625" i="5" s="1"/>
  <c r="M626" i="5"/>
  <c r="S626" i="5" s="1"/>
  <c r="M627" i="5"/>
  <c r="S627" i="5" s="1"/>
  <c r="M628" i="5"/>
  <c r="S628" i="5" s="1"/>
  <c r="M629" i="5"/>
  <c r="S629" i="5" s="1"/>
  <c r="H613" i="5"/>
  <c r="N613" i="5" s="1"/>
  <c r="M613" i="5"/>
  <c r="S613" i="5" s="1"/>
  <c r="H614" i="5"/>
  <c r="N614" i="5" s="1"/>
  <c r="M614" i="5"/>
  <c r="S614" i="5" s="1"/>
  <c r="H615" i="5"/>
  <c r="M615" i="5"/>
  <c r="H616" i="5"/>
  <c r="N616" i="5" s="1"/>
  <c r="M616" i="5"/>
  <c r="S616" i="5" s="1"/>
  <c r="H617" i="5"/>
  <c r="N617" i="5" s="1"/>
  <c r="M617" i="5"/>
  <c r="S617" i="5" s="1"/>
  <c r="H618" i="5"/>
  <c r="N618" i="5" s="1"/>
  <c r="M618" i="5"/>
  <c r="S618" i="5" s="1"/>
  <c r="M619" i="5"/>
  <c r="S619" i="5" s="1"/>
  <c r="N619" i="5"/>
  <c r="M620" i="5"/>
  <c r="S620" i="5" s="1"/>
  <c r="N620" i="5"/>
  <c r="H604" i="5"/>
  <c r="N604" i="5" s="1"/>
  <c r="M604" i="5"/>
  <c r="S604" i="5" s="1"/>
  <c r="H605" i="5"/>
  <c r="N605" i="5" s="1"/>
  <c r="M605" i="5"/>
  <c r="S605" i="5" s="1"/>
  <c r="H606" i="5"/>
  <c r="M606" i="5"/>
  <c r="H607" i="5"/>
  <c r="N607" i="5" s="1"/>
  <c r="M607" i="5"/>
  <c r="S607" i="5" s="1"/>
  <c r="H608" i="5"/>
  <c r="N608" i="5" s="1"/>
  <c r="M608" i="5"/>
  <c r="S608" i="5" s="1"/>
  <c r="N609" i="5"/>
  <c r="M609" i="5"/>
  <c r="S609" i="5" s="1"/>
  <c r="H593" i="5"/>
  <c r="N593" i="5" s="1"/>
  <c r="M593" i="5"/>
  <c r="S593" i="5" s="1"/>
  <c r="H594" i="5"/>
  <c r="N594" i="5" s="1"/>
  <c r="M594" i="5"/>
  <c r="S594" i="5" s="1"/>
  <c r="H595" i="5"/>
  <c r="M595" i="5"/>
  <c r="H596" i="5"/>
  <c r="N596" i="5" s="1"/>
  <c r="M596" i="5"/>
  <c r="S596" i="5" s="1"/>
  <c r="H597" i="5"/>
  <c r="N597" i="5" s="1"/>
  <c r="M597" i="5"/>
  <c r="S597" i="5" s="1"/>
  <c r="H598" i="5"/>
  <c r="N598" i="5" s="1"/>
  <c r="M598" i="5"/>
  <c r="S598" i="5" s="1"/>
  <c r="N599" i="5"/>
  <c r="M599" i="5"/>
  <c r="S599" i="5" s="1"/>
  <c r="M600" i="5"/>
  <c r="S600" i="5" s="1"/>
  <c r="N600" i="5"/>
  <c r="H584" i="5"/>
  <c r="N584" i="5" s="1"/>
  <c r="M584" i="5"/>
  <c r="S584" i="5" s="1"/>
  <c r="H585" i="5"/>
  <c r="N585" i="5" s="1"/>
  <c r="M585" i="5"/>
  <c r="S585" i="5" s="1"/>
  <c r="H586" i="5"/>
  <c r="M586" i="5"/>
  <c r="H587" i="5"/>
  <c r="N587" i="5" s="1"/>
  <c r="M587" i="5"/>
  <c r="S587" i="5" s="1"/>
  <c r="H588" i="5"/>
  <c r="N588" i="5" s="1"/>
  <c r="M588" i="5"/>
  <c r="S588" i="5" s="1"/>
  <c r="N589" i="5"/>
  <c r="M589" i="5"/>
  <c r="S589" i="5" s="1"/>
  <c r="H573" i="5"/>
  <c r="N573" i="5" s="1"/>
  <c r="M573" i="5"/>
  <c r="S573" i="5" s="1"/>
  <c r="H574" i="5"/>
  <c r="N574" i="5" s="1"/>
  <c r="M574" i="5"/>
  <c r="S574" i="5" s="1"/>
  <c r="H575" i="5"/>
  <c r="M575" i="5"/>
  <c r="H576" i="5"/>
  <c r="N576" i="5" s="1"/>
  <c r="M576" i="5"/>
  <c r="S576" i="5" s="1"/>
  <c r="H577" i="5"/>
  <c r="N577" i="5" s="1"/>
  <c r="M577" i="5"/>
  <c r="S577" i="5" s="1"/>
  <c r="H578" i="5"/>
  <c r="N578" i="5" s="1"/>
  <c r="M578" i="5"/>
  <c r="S578" i="5" s="1"/>
  <c r="M579" i="5"/>
  <c r="S579" i="5" s="1"/>
  <c r="N579" i="5"/>
  <c r="N580" i="5"/>
  <c r="M580" i="5"/>
  <c r="S580" i="5" s="1"/>
  <c r="H564" i="5"/>
  <c r="N564" i="5" s="1"/>
  <c r="M564" i="5"/>
  <c r="S564" i="5" s="1"/>
  <c r="H565" i="5"/>
  <c r="N565" i="5" s="1"/>
  <c r="M565" i="5"/>
  <c r="S565" i="5" s="1"/>
  <c r="H566" i="5"/>
  <c r="M566" i="5"/>
  <c r="H567" i="5"/>
  <c r="N567" i="5" s="1"/>
  <c r="M567" i="5"/>
  <c r="S567" i="5" s="1"/>
  <c r="H568" i="5"/>
  <c r="N568" i="5" s="1"/>
  <c r="M568" i="5"/>
  <c r="S568" i="5" s="1"/>
  <c r="N569" i="5"/>
  <c r="M569" i="5"/>
  <c r="S569" i="5" s="1"/>
  <c r="M557" i="5"/>
  <c r="S557" i="5" s="1"/>
  <c r="M558" i="5"/>
  <c r="S558" i="5" s="1"/>
  <c r="M559" i="5"/>
  <c r="S559" i="5" s="1"/>
  <c r="H560" i="5"/>
  <c r="N560" i="5" s="1"/>
  <c r="M560" i="5"/>
  <c r="S560" i="5" s="1"/>
  <c r="M550" i="5"/>
  <c r="S550" i="5" s="1"/>
  <c r="M551" i="5"/>
  <c r="S551" i="5" s="1"/>
  <c r="M552" i="5"/>
  <c r="S552" i="5" s="1"/>
  <c r="N553" i="5"/>
  <c r="M553" i="5"/>
  <c r="S553" i="5" s="1"/>
  <c r="H541" i="5"/>
  <c r="N541" i="5" s="1"/>
  <c r="M541" i="5"/>
  <c r="S541" i="5" s="1"/>
  <c r="M542" i="5"/>
  <c r="S542" i="5" s="1"/>
  <c r="M543" i="5"/>
  <c r="S543" i="5" s="1"/>
  <c r="M544" i="5"/>
  <c r="S544" i="5" s="1"/>
  <c r="M545" i="5"/>
  <c r="S545" i="5" s="1"/>
  <c r="N546" i="5"/>
  <c r="M546" i="5"/>
  <c r="S546" i="5" s="1"/>
  <c r="H532" i="5"/>
  <c r="N532" i="5" s="1"/>
  <c r="M532" i="5"/>
  <c r="S532" i="5" s="1"/>
  <c r="M533" i="5"/>
  <c r="S533" i="5" s="1"/>
  <c r="M534" i="5"/>
  <c r="S534" i="5" s="1"/>
  <c r="M535" i="5"/>
  <c r="S535" i="5" s="1"/>
  <c r="M536" i="5"/>
  <c r="S536" i="5" s="1"/>
  <c r="M537" i="5"/>
  <c r="S537" i="5" s="1"/>
  <c r="N537" i="5"/>
  <c r="H525" i="5"/>
  <c r="N525" i="5" s="1"/>
  <c r="M525" i="5"/>
  <c r="S525" i="5" s="1"/>
  <c r="M526" i="5"/>
  <c r="S526" i="5" s="1"/>
  <c r="M527" i="5"/>
  <c r="S527" i="5" s="1"/>
  <c r="N528" i="5"/>
  <c r="M528" i="5"/>
  <c r="S528" i="5" s="1"/>
  <c r="H517" i="5"/>
  <c r="N517" i="5" s="1"/>
  <c r="M517" i="5"/>
  <c r="S517" i="5" s="1"/>
  <c r="M518" i="5"/>
  <c r="S518" i="5" s="1"/>
  <c r="M519" i="5"/>
  <c r="S519" i="5" s="1"/>
  <c r="M520" i="5"/>
  <c r="S520" i="5" s="1"/>
  <c r="N521" i="5"/>
  <c r="M521" i="5"/>
  <c r="S521" i="5" s="1"/>
  <c r="H510" i="5"/>
  <c r="N510" i="5" s="1"/>
  <c r="M510" i="5"/>
  <c r="S510" i="5" s="1"/>
  <c r="M511" i="5"/>
  <c r="S511" i="5" s="1"/>
  <c r="M512" i="5"/>
  <c r="S512" i="5" s="1"/>
  <c r="N513" i="5"/>
  <c r="M513" i="5"/>
  <c r="S513" i="5" s="1"/>
  <c r="H502" i="5"/>
  <c r="N502" i="5" s="1"/>
  <c r="M502" i="5"/>
  <c r="S502" i="5" s="1"/>
  <c r="M503" i="5"/>
  <c r="S503" i="5" s="1"/>
  <c r="M504" i="5"/>
  <c r="S504" i="5" s="1"/>
  <c r="M505" i="5"/>
  <c r="S505" i="5" s="1"/>
  <c r="N506" i="5"/>
  <c r="M506" i="5"/>
  <c r="S506" i="5" s="1"/>
  <c r="H495" i="5"/>
  <c r="N495" i="5" s="1"/>
  <c r="M495" i="5"/>
  <c r="S495" i="5" s="1"/>
  <c r="M496" i="5"/>
  <c r="S496" i="5" s="1"/>
  <c r="M497" i="5"/>
  <c r="S497" i="5" s="1"/>
  <c r="N498" i="5"/>
  <c r="M498" i="5"/>
  <c r="S498" i="5" s="1"/>
  <c r="H486" i="5"/>
  <c r="N486" i="5" s="1"/>
  <c r="M486" i="5"/>
  <c r="S486" i="5" s="1"/>
  <c r="M487" i="5"/>
  <c r="S487" i="5" s="1"/>
  <c r="M488" i="5"/>
  <c r="S488" i="5" s="1"/>
  <c r="M489" i="5"/>
  <c r="S489" i="5" s="1"/>
  <c r="M490" i="5"/>
  <c r="S490" i="5" s="1"/>
  <c r="M491" i="5"/>
  <c r="S491" i="5" s="1"/>
  <c r="N491" i="5"/>
  <c r="H479" i="5"/>
  <c r="N479" i="5" s="1"/>
  <c r="M479" i="5"/>
  <c r="S479" i="5" s="1"/>
  <c r="M480" i="5"/>
  <c r="S480" i="5" s="1"/>
  <c r="M481" i="5"/>
  <c r="S481" i="5" s="1"/>
  <c r="M482" i="5"/>
  <c r="S482" i="5" s="1"/>
  <c r="N482" i="5"/>
  <c r="H470" i="5"/>
  <c r="N470" i="5" s="1"/>
  <c r="M470" i="5"/>
  <c r="S470" i="5" s="1"/>
  <c r="M471" i="5"/>
  <c r="S471" i="5" s="1"/>
  <c r="M472" i="5"/>
  <c r="S472" i="5" s="1"/>
  <c r="M473" i="5"/>
  <c r="S473" i="5" s="1"/>
  <c r="M474" i="5"/>
  <c r="S474" i="5" s="1"/>
  <c r="N475" i="5"/>
  <c r="M475" i="5"/>
  <c r="S475" i="5" s="1"/>
  <c r="H463" i="5"/>
  <c r="N463" i="5" s="1"/>
  <c r="M463" i="5"/>
  <c r="S463" i="5" s="1"/>
  <c r="M464" i="5"/>
  <c r="S464" i="5" s="1"/>
  <c r="M465" i="5"/>
  <c r="S465" i="5" s="1"/>
  <c r="M466" i="5"/>
  <c r="S466" i="5" s="1"/>
  <c r="N466" i="5"/>
  <c r="H454" i="5"/>
  <c r="N454" i="5" s="1"/>
  <c r="M454" i="5"/>
  <c r="S454" i="5" s="1"/>
  <c r="M455" i="5"/>
  <c r="S455" i="5" s="1"/>
  <c r="M456" i="5"/>
  <c r="S456" i="5" s="1"/>
  <c r="M457" i="5"/>
  <c r="S457" i="5" s="1"/>
  <c r="M458" i="5"/>
  <c r="S458" i="5" s="1"/>
  <c r="M459" i="5"/>
  <c r="S459" i="5" s="1"/>
  <c r="N459" i="5"/>
  <c r="H447" i="5"/>
  <c r="N447" i="5" s="1"/>
  <c r="M447" i="5"/>
  <c r="S447" i="5" s="1"/>
  <c r="M448" i="5"/>
  <c r="S448" i="5" s="1"/>
  <c r="M449" i="5"/>
  <c r="S449" i="5" s="1"/>
  <c r="N450" i="5"/>
  <c r="M450" i="5"/>
  <c r="S450" i="5" s="1"/>
  <c r="H439" i="5"/>
  <c r="N439" i="5" s="1"/>
  <c r="M439" i="5"/>
  <c r="S439" i="5" s="1"/>
  <c r="M440" i="5"/>
  <c r="S440" i="5" s="1"/>
  <c r="M441" i="5"/>
  <c r="S441" i="5" s="1"/>
  <c r="M442" i="5"/>
  <c r="S442" i="5" s="1"/>
  <c r="N443" i="5"/>
  <c r="M443" i="5"/>
  <c r="S443" i="5" s="1"/>
  <c r="H432" i="5"/>
  <c r="N432" i="5" s="1"/>
  <c r="M432" i="5"/>
  <c r="S432" i="5" s="1"/>
  <c r="M433" i="5"/>
  <c r="S433" i="5" s="1"/>
  <c r="M434" i="5"/>
  <c r="S434" i="5" s="1"/>
  <c r="N435" i="5"/>
  <c r="M435" i="5"/>
  <c r="S435" i="5" s="1"/>
  <c r="H415" i="5"/>
  <c r="N415" i="5" s="1"/>
  <c r="M415" i="5"/>
  <c r="S415" i="5" s="1"/>
  <c r="H416" i="5"/>
  <c r="N416" i="5" s="1"/>
  <c r="M416" i="5"/>
  <c r="S416" i="5" s="1"/>
  <c r="M417" i="5"/>
  <c r="S417" i="5" s="1"/>
  <c r="M418" i="5"/>
  <c r="S418" i="5" s="1"/>
  <c r="M419" i="5"/>
  <c r="S419" i="5" s="1"/>
  <c r="N420" i="5"/>
  <c r="M420" i="5"/>
  <c r="S420" i="5" s="1"/>
  <c r="H398" i="5"/>
  <c r="M398" i="5"/>
  <c r="H399" i="5"/>
  <c r="N399" i="5" s="1"/>
  <c r="M399" i="5"/>
  <c r="S399" i="5" s="1"/>
  <c r="M400" i="5"/>
  <c r="S400" i="5" s="1"/>
  <c r="M401" i="5"/>
  <c r="S401" i="5" s="1"/>
  <c r="M402" i="5"/>
  <c r="S402" i="5" s="1"/>
  <c r="N403" i="5"/>
  <c r="M403" i="5"/>
  <c r="S403" i="5" s="1"/>
  <c r="N393" i="5"/>
  <c r="M393" i="5"/>
  <c r="S393" i="5" s="1"/>
  <c r="N389" i="5"/>
  <c r="N381" i="5"/>
  <c r="N377" i="5"/>
  <c r="S377" i="5"/>
  <c r="N368" i="5"/>
  <c r="N364" i="5"/>
  <c r="H343" i="5"/>
  <c r="N343" i="5" s="1"/>
  <c r="M343" i="5"/>
  <c r="S343" i="5" s="1"/>
  <c r="H344" i="5"/>
  <c r="N344" i="5" s="1"/>
  <c r="M344" i="5"/>
  <c r="S344" i="5" s="1"/>
  <c r="M348" i="5"/>
  <c r="S348" i="5" s="1"/>
  <c r="N348" i="5"/>
  <c r="N349" i="5"/>
  <c r="M349" i="5"/>
  <c r="S349" i="5" s="1"/>
  <c r="H334" i="5"/>
  <c r="N334" i="5" s="1"/>
  <c r="M334" i="5"/>
  <c r="S334" i="5" s="1"/>
  <c r="H335" i="5"/>
  <c r="N335" i="5" s="1"/>
  <c r="M335" i="5"/>
  <c r="S335" i="5" s="1"/>
  <c r="N338" i="5"/>
  <c r="M338" i="5"/>
  <c r="S338" i="5" s="1"/>
  <c r="M339" i="5"/>
  <c r="S339" i="5" s="1"/>
  <c r="N339" i="5"/>
  <c r="H324" i="5"/>
  <c r="N324" i="5" s="1"/>
  <c r="H325" i="5"/>
  <c r="H329" i="5"/>
  <c r="H330" i="5"/>
  <c r="H313" i="5"/>
  <c r="N313" i="5" s="1"/>
  <c r="H314" i="5"/>
  <c r="H302" i="5"/>
  <c r="N302" i="5" s="1"/>
  <c r="H303" i="5"/>
  <c r="H292" i="5"/>
  <c r="N292" i="5" s="1"/>
  <c r="H293" i="5"/>
  <c r="N288" i="5"/>
  <c r="N226" i="5"/>
  <c r="I226" i="5"/>
  <c r="O226" i="5" s="1"/>
  <c r="J226" i="5"/>
  <c r="P226" i="5" s="1"/>
  <c r="I227" i="5"/>
  <c r="O227" i="5" s="1"/>
  <c r="J227" i="5"/>
  <c r="P227" i="5" s="1"/>
  <c r="N227" i="5"/>
  <c r="H220" i="5"/>
  <c r="N220" i="5" s="1"/>
  <c r="M220" i="5"/>
  <c r="S220" i="5" s="1"/>
  <c r="N221" i="5"/>
  <c r="N222" i="5"/>
  <c r="N216" i="5"/>
  <c r="N181" i="5"/>
  <c r="I181" i="5"/>
  <c r="O181" i="5" s="1"/>
  <c r="J181" i="5"/>
  <c r="P181" i="5" s="1"/>
  <c r="N182" i="5"/>
  <c r="I182" i="5"/>
  <c r="O182" i="5" s="1"/>
  <c r="J182" i="5"/>
  <c r="P182" i="5" s="1"/>
  <c r="O183" i="5"/>
  <c r="P183" i="5"/>
  <c r="M183" i="5"/>
  <c r="S183" i="5" s="1"/>
  <c r="O184" i="5"/>
  <c r="P184" i="5"/>
  <c r="M184" i="5"/>
  <c r="S184" i="5" s="1"/>
  <c r="O185" i="5"/>
  <c r="P185" i="5"/>
  <c r="M185" i="5"/>
  <c r="S185" i="5" s="1"/>
  <c r="O186" i="5"/>
  <c r="P186" i="5"/>
  <c r="M186" i="5"/>
  <c r="S186" i="5" s="1"/>
  <c r="N192" i="5"/>
  <c r="N193" i="5"/>
  <c r="N194" i="5"/>
  <c r="I141" i="5"/>
  <c r="O141" i="5" s="1"/>
  <c r="J141" i="5"/>
  <c r="P141" i="5" s="1"/>
  <c r="N141" i="5"/>
  <c r="N142" i="5"/>
  <c r="I142" i="5"/>
  <c r="O142" i="5" s="1"/>
  <c r="J142" i="5"/>
  <c r="P142" i="5" s="1"/>
  <c r="N148" i="5"/>
  <c r="N149" i="5"/>
  <c r="N150" i="5"/>
  <c r="H135" i="5"/>
  <c r="N135" i="5" s="1"/>
  <c r="M135" i="5"/>
  <c r="S135" i="5" s="1"/>
  <c r="N136" i="5"/>
  <c r="N137" i="5"/>
  <c r="N130" i="5"/>
  <c r="N131" i="5"/>
  <c r="N126" i="5"/>
  <c r="N110" i="5"/>
  <c r="I110" i="5"/>
  <c r="O110" i="5" s="1"/>
  <c r="J110" i="5"/>
  <c r="P110" i="5" s="1"/>
  <c r="N111" i="5"/>
  <c r="I111" i="5"/>
  <c r="O111" i="5" s="1"/>
  <c r="J111" i="5"/>
  <c r="P111" i="5" s="1"/>
  <c r="M112" i="5"/>
  <c r="S112" i="5" s="1"/>
  <c r="M113" i="5"/>
  <c r="S113" i="5" s="1"/>
  <c r="M114" i="5"/>
  <c r="S114" i="5" s="1"/>
  <c r="N120" i="5"/>
  <c r="N121" i="5"/>
  <c r="N122" i="5"/>
  <c r="N97" i="5"/>
  <c r="I97" i="5"/>
  <c r="O97" i="5" s="1"/>
  <c r="J97" i="5"/>
  <c r="P97" i="5" s="1"/>
  <c r="N98" i="5"/>
  <c r="I98" i="5"/>
  <c r="O98" i="5" s="1"/>
  <c r="J98" i="5"/>
  <c r="P98" i="5" s="1"/>
  <c r="N104" i="5"/>
  <c r="N105" i="5"/>
  <c r="N106" i="5"/>
  <c r="H91" i="5"/>
  <c r="N91" i="5" s="1"/>
  <c r="O91" i="5"/>
  <c r="M91" i="5"/>
  <c r="S91" i="5" s="1"/>
  <c r="N92" i="5"/>
  <c r="N93" i="5"/>
  <c r="N53" i="5"/>
  <c r="I53" i="5"/>
  <c r="O53" i="5" s="1"/>
  <c r="J53" i="5"/>
  <c r="P53" i="5" s="1"/>
  <c r="N54" i="5"/>
  <c r="I54" i="5"/>
  <c r="O54" i="5" s="1"/>
  <c r="J54" i="5"/>
  <c r="P54" i="5" s="1"/>
  <c r="M55" i="5"/>
  <c r="S55" i="5" s="1"/>
  <c r="M56" i="5"/>
  <c r="S56" i="5" s="1"/>
  <c r="M57" i="5"/>
  <c r="S57" i="5" s="1"/>
  <c r="N63" i="5"/>
  <c r="N64" i="5"/>
  <c r="N65" i="5"/>
  <c r="N26" i="5"/>
  <c r="I26" i="5"/>
  <c r="O26" i="5" s="1"/>
  <c r="P26" i="5"/>
  <c r="N27" i="5"/>
  <c r="I27" i="5"/>
  <c r="O27" i="5" s="1"/>
  <c r="P27" i="5"/>
  <c r="N33" i="5"/>
  <c r="N34" i="5"/>
  <c r="N35" i="5"/>
  <c r="H20" i="5"/>
  <c r="N20" i="5" s="1"/>
  <c r="M20" i="5"/>
  <c r="S20" i="5" s="1"/>
  <c r="N21" i="5"/>
  <c r="N22" i="5"/>
  <c r="M957" i="5"/>
  <c r="H957" i="5"/>
  <c r="M870" i="5"/>
  <c r="H870" i="5"/>
  <c r="M866" i="5"/>
  <c r="H866" i="5"/>
  <c r="M807" i="5"/>
  <c r="H807" i="5"/>
  <c r="M802" i="5"/>
  <c r="S802" i="5" s="1"/>
  <c r="H802" i="5"/>
  <c r="N802" i="5" s="1"/>
  <c r="M796" i="5"/>
  <c r="S796" i="5" s="1"/>
  <c r="H796" i="5"/>
  <c r="N796" i="5" s="1"/>
  <c r="M791" i="5"/>
  <c r="S791" i="5" s="1"/>
  <c r="H791" i="5"/>
  <c r="N791" i="5" s="1"/>
  <c r="M786" i="5"/>
  <c r="S786" i="5" s="1"/>
  <c r="H786" i="5"/>
  <c r="N786" i="5" s="1"/>
  <c r="M781" i="5"/>
  <c r="S781" i="5" s="1"/>
  <c r="H781" i="5"/>
  <c r="N781" i="5" s="1"/>
  <c r="M776" i="5"/>
  <c r="S776" i="5" s="1"/>
  <c r="H776" i="5"/>
  <c r="N776" i="5" s="1"/>
  <c r="M771" i="5"/>
  <c r="S771" i="5" s="1"/>
  <c r="H771" i="5"/>
  <c r="N771" i="5" s="1"/>
  <c r="M766" i="5"/>
  <c r="S766" i="5" s="1"/>
  <c r="H766" i="5"/>
  <c r="N766" i="5" s="1"/>
  <c r="M761" i="5"/>
  <c r="S761" i="5" s="1"/>
  <c r="H761" i="5"/>
  <c r="N761" i="5" s="1"/>
  <c r="M756" i="5"/>
  <c r="S756" i="5" s="1"/>
  <c r="H756" i="5"/>
  <c r="N756" i="5" s="1"/>
  <c r="M751" i="5"/>
  <c r="S751" i="5" s="1"/>
  <c r="H751" i="5"/>
  <c r="N751" i="5" s="1"/>
  <c r="M747" i="5"/>
  <c r="S747" i="5" s="1"/>
  <c r="H747" i="5"/>
  <c r="N747" i="5" s="1"/>
  <c r="M743" i="5"/>
  <c r="S743" i="5" s="1"/>
  <c r="H743" i="5"/>
  <c r="N743" i="5" s="1"/>
  <c r="M739" i="5"/>
  <c r="S739" i="5" s="1"/>
  <c r="H739" i="5"/>
  <c r="N739" i="5" s="1"/>
  <c r="M735" i="5"/>
  <c r="S735" i="5" s="1"/>
  <c r="H735" i="5"/>
  <c r="N735" i="5" s="1"/>
  <c r="M731" i="5"/>
  <c r="S731" i="5" s="1"/>
  <c r="H731" i="5"/>
  <c r="N731" i="5" s="1"/>
  <c r="M726" i="5"/>
  <c r="S726" i="5" s="1"/>
  <c r="H726" i="5"/>
  <c r="N726" i="5" s="1"/>
  <c r="M721" i="5"/>
  <c r="S721" i="5" s="1"/>
  <c r="H721" i="5"/>
  <c r="N721" i="5" s="1"/>
  <c r="M716" i="5"/>
  <c r="S716" i="5" s="1"/>
  <c r="H716" i="5"/>
  <c r="N716" i="5" s="1"/>
  <c r="M712" i="5"/>
  <c r="S712" i="5" s="1"/>
  <c r="H712" i="5"/>
  <c r="N712" i="5" s="1"/>
  <c r="M708" i="5"/>
  <c r="S708" i="5" s="1"/>
  <c r="H708" i="5"/>
  <c r="N708" i="5" s="1"/>
  <c r="M704" i="5"/>
  <c r="S704" i="5" s="1"/>
  <c r="H704" i="5"/>
  <c r="N704" i="5" s="1"/>
  <c r="M684" i="5"/>
  <c r="S684" i="5" s="1"/>
  <c r="H684" i="5"/>
  <c r="N684" i="5" s="1"/>
  <c r="M678" i="5"/>
  <c r="S678" i="5" s="1"/>
  <c r="H678" i="5"/>
  <c r="N678" i="5" s="1"/>
  <c r="M658" i="5"/>
  <c r="S658" i="5" s="1"/>
  <c r="H658" i="5"/>
  <c r="N658" i="5" s="1"/>
  <c r="M652" i="5"/>
  <c r="S652" i="5" s="1"/>
  <c r="H652" i="5"/>
  <c r="N652" i="5" s="1"/>
  <c r="M643" i="5"/>
  <c r="M632" i="5"/>
  <c r="S632" i="5" s="1"/>
  <c r="M623" i="5"/>
  <c r="S623" i="5" s="1"/>
  <c r="M612" i="5"/>
  <c r="S612" i="5" s="1"/>
  <c r="M603" i="5"/>
  <c r="S603" i="5" s="1"/>
  <c r="M592" i="5"/>
  <c r="S592" i="5" s="1"/>
  <c r="M583" i="5"/>
  <c r="S583" i="5" s="1"/>
  <c r="M572" i="5"/>
  <c r="S572" i="5" s="1"/>
  <c r="M563" i="5"/>
  <c r="S563" i="5" s="1"/>
  <c r="M556" i="5"/>
  <c r="S556" i="5" s="1"/>
  <c r="H556" i="5"/>
  <c r="N556" i="5" s="1"/>
  <c r="M549" i="5"/>
  <c r="S549" i="5" s="1"/>
  <c r="H549" i="5"/>
  <c r="N549" i="5" s="1"/>
  <c r="M540" i="5"/>
  <c r="S540" i="5" s="1"/>
  <c r="H540" i="5"/>
  <c r="N540" i="5" s="1"/>
  <c r="M531" i="5"/>
  <c r="S531" i="5" s="1"/>
  <c r="H531" i="5"/>
  <c r="N531" i="5" s="1"/>
  <c r="M524" i="5"/>
  <c r="S524" i="5" s="1"/>
  <c r="H524" i="5"/>
  <c r="N524" i="5" s="1"/>
  <c r="M516" i="5"/>
  <c r="S516" i="5" s="1"/>
  <c r="H516" i="5"/>
  <c r="N516" i="5" s="1"/>
  <c r="M509" i="5"/>
  <c r="S509" i="5" s="1"/>
  <c r="H509" i="5"/>
  <c r="N509" i="5" s="1"/>
  <c r="M501" i="5"/>
  <c r="S501" i="5" s="1"/>
  <c r="H501" i="5"/>
  <c r="N501" i="5" s="1"/>
  <c r="M494" i="5"/>
  <c r="S494" i="5" s="1"/>
  <c r="H494" i="5"/>
  <c r="N494" i="5" s="1"/>
  <c r="M485" i="5"/>
  <c r="S485" i="5" s="1"/>
  <c r="H485" i="5"/>
  <c r="N485" i="5" s="1"/>
  <c r="M478" i="5"/>
  <c r="S478" i="5" s="1"/>
  <c r="H478" i="5"/>
  <c r="N478" i="5" s="1"/>
  <c r="M469" i="5"/>
  <c r="S469" i="5" s="1"/>
  <c r="H469" i="5"/>
  <c r="N469" i="5" s="1"/>
  <c r="M462" i="5"/>
  <c r="S462" i="5" s="1"/>
  <c r="H462" i="5"/>
  <c r="N462" i="5" s="1"/>
  <c r="M453" i="5"/>
  <c r="S453" i="5" s="1"/>
  <c r="H453" i="5"/>
  <c r="N453" i="5" s="1"/>
  <c r="M446" i="5"/>
  <c r="S446" i="5" s="1"/>
  <c r="H446" i="5"/>
  <c r="N446" i="5" s="1"/>
  <c r="M438" i="5"/>
  <c r="S438" i="5" s="1"/>
  <c r="H438" i="5"/>
  <c r="N438" i="5" s="1"/>
  <c r="M431" i="5"/>
  <c r="S431" i="5" s="1"/>
  <c r="H431" i="5"/>
  <c r="N431" i="5" s="1"/>
  <c r="M414" i="5"/>
  <c r="S414" i="5" s="1"/>
  <c r="H414" i="5"/>
  <c r="N414" i="5" s="1"/>
  <c r="M397" i="5"/>
  <c r="S397" i="5" s="1"/>
  <c r="H397" i="5"/>
  <c r="N397" i="5" s="1"/>
  <c r="M392" i="5"/>
  <c r="S392" i="5" s="1"/>
  <c r="H392" i="5"/>
  <c r="N392" i="5" s="1"/>
  <c r="M388" i="5"/>
  <c r="S388" i="5" s="1"/>
  <c r="H388" i="5"/>
  <c r="N388" i="5" s="1"/>
  <c r="M380" i="5"/>
  <c r="S380" i="5" s="1"/>
  <c r="H380" i="5"/>
  <c r="N380" i="5" s="1"/>
  <c r="M375" i="5"/>
  <c r="S375" i="5" s="1"/>
  <c r="H375" i="5"/>
  <c r="N375" i="5" s="1"/>
  <c r="M367" i="5"/>
  <c r="S367" i="5" s="1"/>
  <c r="H367" i="5"/>
  <c r="N367" i="5" s="1"/>
  <c r="M363" i="5"/>
  <c r="S363" i="5" s="1"/>
  <c r="H363" i="5"/>
  <c r="N363" i="5" s="1"/>
  <c r="M342" i="5"/>
  <c r="S342" i="5" s="1"/>
  <c r="H342" i="5"/>
  <c r="N342" i="5" s="1"/>
  <c r="M333" i="5"/>
  <c r="S333" i="5" s="1"/>
  <c r="H333" i="5"/>
  <c r="N333" i="5" s="1"/>
  <c r="H323" i="5"/>
  <c r="H312" i="5"/>
  <c r="H301" i="5"/>
  <c r="H291" i="5"/>
  <c r="N287" i="5"/>
  <c r="M225" i="5"/>
  <c r="S225" i="5" s="1"/>
  <c r="S223" i="5" s="1"/>
  <c r="J225" i="5"/>
  <c r="P225" i="5" s="1"/>
  <c r="I225" i="5"/>
  <c r="O225" i="5" s="1"/>
  <c r="N225" i="5"/>
  <c r="M219" i="5"/>
  <c r="S219" i="5" s="1"/>
  <c r="H219" i="5"/>
  <c r="N219" i="5" s="1"/>
  <c r="N215" i="5"/>
  <c r="J180" i="5"/>
  <c r="P180" i="5" s="1"/>
  <c r="I180" i="5"/>
  <c r="O180" i="5" s="1"/>
  <c r="N180" i="5"/>
  <c r="M140" i="5"/>
  <c r="S140" i="5" s="1"/>
  <c r="S138" i="5" s="1"/>
  <c r="J140" i="5"/>
  <c r="P140" i="5" s="1"/>
  <c r="I140" i="5"/>
  <c r="O140" i="5" s="1"/>
  <c r="N140" i="5"/>
  <c r="M134" i="5"/>
  <c r="S134" i="5" s="1"/>
  <c r="H134" i="5"/>
  <c r="N134" i="5" s="1"/>
  <c r="N129" i="5"/>
  <c r="N125" i="5"/>
  <c r="J109" i="5"/>
  <c r="P109" i="5" s="1"/>
  <c r="I109" i="5"/>
  <c r="O109" i="5" s="1"/>
  <c r="N109" i="5"/>
  <c r="J96" i="5"/>
  <c r="P96" i="5" s="1"/>
  <c r="I96" i="5"/>
  <c r="O96" i="5" s="1"/>
  <c r="N96" i="5"/>
  <c r="M90" i="5"/>
  <c r="S90" i="5" s="1"/>
  <c r="O90" i="5"/>
  <c r="H90" i="5"/>
  <c r="N90" i="5" s="1"/>
  <c r="J52" i="5"/>
  <c r="P52" i="5" s="1"/>
  <c r="I52" i="5"/>
  <c r="O52" i="5" s="1"/>
  <c r="N52" i="5"/>
  <c r="P25" i="5"/>
  <c r="I25" i="5"/>
  <c r="O25" i="5" s="1"/>
  <c r="N25" i="5"/>
  <c r="M19" i="5"/>
  <c r="S19" i="5" s="1"/>
  <c r="H19" i="5"/>
  <c r="N19" i="5" s="1"/>
  <c r="AL123" i="5"/>
  <c r="AL127" i="5"/>
  <c r="AL321" i="5"/>
  <c r="AL331" i="5"/>
  <c r="AL395" i="5"/>
  <c r="AL460" i="5"/>
  <c r="AL476" i="5"/>
  <c r="AL492" i="5"/>
  <c r="AL522" i="5"/>
  <c r="AL554" i="5"/>
  <c r="AL630" i="5"/>
  <c r="AL714" i="5"/>
  <c r="AL719" i="5"/>
  <c r="AL724" i="5"/>
  <c r="AL733" i="5"/>
  <c r="AL745" i="5"/>
  <c r="AL749" i="5"/>
  <c r="AL759" i="5"/>
  <c r="AL764" i="5"/>
  <c r="AL769" i="5"/>
  <c r="AL779" i="5"/>
  <c r="AL784" i="5"/>
  <c r="AL789" i="5"/>
  <c r="AL800" i="5"/>
  <c r="AI789" i="5"/>
  <c r="AI741" i="5"/>
  <c r="AI737" i="5"/>
  <c r="AF706" i="5"/>
  <c r="AI682" i="5"/>
  <c r="AF682" i="5"/>
  <c r="AI676" i="5"/>
  <c r="AF676" i="5"/>
  <c r="AF570" i="5"/>
  <c r="AI554" i="5"/>
  <c r="AI538" i="5"/>
  <c r="AI529" i="5"/>
  <c r="AI522" i="5"/>
  <c r="AF514" i="5"/>
  <c r="AI507" i="5"/>
  <c r="AF507" i="5"/>
  <c r="AI483" i="5"/>
  <c r="AI451" i="5"/>
  <c r="AI436" i="5"/>
  <c r="AF436" i="5"/>
  <c r="AF429" i="5"/>
  <c r="AI412" i="5"/>
  <c r="AI373" i="5"/>
  <c r="AF361" i="5"/>
  <c r="AI331" i="5"/>
  <c r="AI321" i="5"/>
  <c r="AF289" i="5"/>
  <c r="AI285" i="5"/>
  <c r="AI50" i="5"/>
  <c r="AF23" i="5"/>
  <c r="AI17" i="5"/>
  <c r="AB369" i="5"/>
  <c r="F952" i="5"/>
  <c r="E952" i="5"/>
  <c r="D952" i="5"/>
  <c r="F951" i="5"/>
  <c r="E951" i="5"/>
  <c r="D951" i="5"/>
  <c r="F950" i="5"/>
  <c r="E950" i="5"/>
  <c r="D950" i="5"/>
  <c r="F949" i="5"/>
  <c r="E949" i="5"/>
  <c r="D949" i="5"/>
  <c r="F944" i="5"/>
  <c r="E944" i="5"/>
  <c r="D944" i="5"/>
  <c r="F942" i="5"/>
  <c r="E942" i="5"/>
  <c r="F941" i="5"/>
  <c r="E941" i="5"/>
  <c r="F920" i="5"/>
  <c r="E920" i="5"/>
  <c r="F919" i="5"/>
  <c r="E919" i="5"/>
  <c r="F886" i="5"/>
  <c r="E886" i="5"/>
  <c r="H74" i="3"/>
  <c r="H55" i="3"/>
  <c r="H31" i="3"/>
  <c r="F74" i="3"/>
  <c r="F55" i="3"/>
  <c r="F31" i="3"/>
  <c r="H803" i="5" l="1"/>
  <c r="N803" i="5" s="1"/>
  <c r="O88" i="5"/>
  <c r="H108" i="6" s="1"/>
  <c r="I384" i="8"/>
  <c r="M384" i="8" s="1"/>
  <c r="O138" i="5"/>
  <c r="I2610" i="8"/>
  <c r="M2610" i="8" s="1"/>
  <c r="I1080" i="8"/>
  <c r="M1080" i="8" s="1"/>
  <c r="I2538" i="8"/>
  <c r="M2538" i="8" s="1"/>
  <c r="I2338" i="8"/>
  <c r="M2338" i="8" s="1"/>
  <c r="I737" i="8"/>
  <c r="M737" i="8" s="1"/>
  <c r="I420" i="8"/>
  <c r="M420" i="8" s="1"/>
  <c r="I873" i="8"/>
  <c r="M873" i="8" s="1"/>
  <c r="I293" i="8"/>
  <c r="M293" i="8" s="1"/>
  <c r="I2557" i="8"/>
  <c r="M2557" i="8" s="1"/>
  <c r="I2551" i="8"/>
  <c r="M2551" i="8" s="1"/>
  <c r="I2381" i="8"/>
  <c r="M2381" i="8" s="1"/>
  <c r="I2357" i="8"/>
  <c r="M2357" i="8" s="1"/>
  <c r="I2351" i="8"/>
  <c r="M2351" i="8" s="1"/>
  <c r="AB371" i="5"/>
  <c r="AB372" i="5"/>
  <c r="AL369" i="5"/>
  <c r="U369" i="5"/>
  <c r="N386" i="5"/>
  <c r="N373" i="5"/>
  <c r="N789" i="5"/>
  <c r="G88" i="6" s="1"/>
  <c r="S706" i="5"/>
  <c r="L17" i="6"/>
  <c r="L24" i="6"/>
  <c r="S373" i="5"/>
  <c r="S719" i="5"/>
  <c r="N706" i="5"/>
  <c r="N759" i="5"/>
  <c r="N769" i="5"/>
  <c r="N779" i="5"/>
  <c r="N23" i="5"/>
  <c r="G103" i="6" s="1"/>
  <c r="N127" i="5"/>
  <c r="S217" i="5"/>
  <c r="S514" i="5"/>
  <c r="O50" i="5"/>
  <c r="H105" i="6" s="1"/>
  <c r="N123" i="5"/>
  <c r="N340" i="5"/>
  <c r="N702" i="5"/>
  <c r="N710" i="5"/>
  <c r="S444" i="5"/>
  <c r="S729" i="5"/>
  <c r="S737" i="5"/>
  <c r="S745" i="5"/>
  <c r="I42" i="8"/>
  <c r="M42" i="8" s="1"/>
  <c r="I1259" i="8"/>
  <c r="M1259" i="8" s="1"/>
  <c r="I985" i="8"/>
  <c r="M985" i="8" s="1"/>
  <c r="I562" i="8"/>
  <c r="M562" i="8" s="1"/>
  <c r="Y34" i="5"/>
  <c r="AI34" i="5" s="1"/>
  <c r="AI23" i="5"/>
  <c r="Y475" i="5"/>
  <c r="AI475" i="5" s="1"/>
  <c r="AI467" i="5"/>
  <c r="Y781" i="5"/>
  <c r="AI781" i="5" s="1"/>
  <c r="AI779" i="5"/>
  <c r="AB550" i="5"/>
  <c r="AL550" i="5" s="1"/>
  <c r="AL547" i="5"/>
  <c r="AB486" i="5"/>
  <c r="AL486" i="5" s="1"/>
  <c r="AL483" i="5"/>
  <c r="AB420" i="5"/>
  <c r="AL420" i="5" s="1"/>
  <c r="AL412" i="5"/>
  <c r="AB149" i="5"/>
  <c r="AL149" i="5" s="1"/>
  <c r="AL138" i="5"/>
  <c r="V56" i="5"/>
  <c r="AF56" i="5" s="1"/>
  <c r="AF50" i="5"/>
  <c r="Y449" i="5"/>
  <c r="AI449" i="5" s="1"/>
  <c r="AI444" i="5"/>
  <c r="Y479" i="5"/>
  <c r="AI479" i="5" s="1"/>
  <c r="AI476" i="5"/>
  <c r="AB619" i="5"/>
  <c r="AL619" i="5" s="1"/>
  <c r="AL610" i="5"/>
  <c r="AB512" i="5"/>
  <c r="AL512" i="5" s="1"/>
  <c r="AL507" i="5"/>
  <c r="AB450" i="5"/>
  <c r="AL450" i="5" s="1"/>
  <c r="AL444" i="5"/>
  <c r="AB376" i="5"/>
  <c r="AL376" i="5" s="1"/>
  <c r="AL373" i="5"/>
  <c r="AB135" i="5"/>
  <c r="AL135" i="5" s="1"/>
  <c r="AL132" i="5"/>
  <c r="Y363" i="5"/>
  <c r="AI363" i="5" s="1"/>
  <c r="AI361" i="5"/>
  <c r="V567" i="5"/>
  <c r="AF567" i="5" s="1"/>
  <c r="AF561" i="5"/>
  <c r="V713" i="5"/>
  <c r="AF713" i="5" s="1"/>
  <c r="AF710" i="5"/>
  <c r="AB731" i="5"/>
  <c r="AL731" i="5" s="1"/>
  <c r="AL729" i="5"/>
  <c r="AB623" i="5"/>
  <c r="AL623" i="5" s="1"/>
  <c r="AL621" i="5"/>
  <c r="AB516" i="5"/>
  <c r="AL516" i="5" s="1"/>
  <c r="AL514" i="5"/>
  <c r="AB457" i="5"/>
  <c r="AL457" i="5" s="1"/>
  <c r="AL451" i="5"/>
  <c r="AB381" i="5"/>
  <c r="AL381" i="5" s="1"/>
  <c r="AL378" i="5"/>
  <c r="AB225" i="5"/>
  <c r="AL225" i="5" s="1"/>
  <c r="AL223" i="5"/>
  <c r="V22" i="5"/>
  <c r="AF22" i="5" s="1"/>
  <c r="AF17" i="5"/>
  <c r="Y292" i="5"/>
  <c r="AI292" i="5" s="1"/>
  <c r="AI289" i="5"/>
  <c r="Y564" i="5"/>
  <c r="AI564" i="5" s="1"/>
  <c r="AI561" i="5"/>
  <c r="Y705" i="5"/>
  <c r="AI705" i="5" s="1"/>
  <c r="AI702" i="5"/>
  <c r="Y713" i="5"/>
  <c r="AI713" i="5" s="1"/>
  <c r="AI710" i="5"/>
  <c r="Y786" i="5"/>
  <c r="AI786" i="5" s="1"/>
  <c r="AI784" i="5"/>
  <c r="AB743" i="5"/>
  <c r="AL743" i="5" s="1"/>
  <c r="AL741" i="5"/>
  <c r="AB541" i="5"/>
  <c r="AL541" i="5" s="1"/>
  <c r="AL538" i="5"/>
  <c r="AB313" i="5"/>
  <c r="AL313" i="5" s="1"/>
  <c r="AL310" i="5"/>
  <c r="AB219" i="5"/>
  <c r="AL219" i="5" s="1"/>
  <c r="AL217" i="5"/>
  <c r="AI299" i="5"/>
  <c r="AI340" i="5"/>
  <c r="AI429" i="5"/>
  <c r="AI514" i="5"/>
  <c r="AI547" i="5"/>
  <c r="F74" i="6"/>
  <c r="AF724" i="5"/>
  <c r="Y773" i="5"/>
  <c r="AI773" i="5" s="1"/>
  <c r="AI769" i="5"/>
  <c r="AB796" i="5"/>
  <c r="AL796" i="5" s="1"/>
  <c r="AL794" i="5"/>
  <c r="AB776" i="5"/>
  <c r="AL776" i="5" s="1"/>
  <c r="AL774" i="5"/>
  <c r="AB756" i="5"/>
  <c r="AL756" i="5" s="1"/>
  <c r="AL754" i="5"/>
  <c r="AB740" i="5"/>
  <c r="AL740" i="5" s="1"/>
  <c r="AL737" i="5"/>
  <c r="AL641" i="5"/>
  <c r="AB605" i="5"/>
  <c r="AL605" i="5" s="1"/>
  <c r="AL601" i="5"/>
  <c r="AB532" i="5"/>
  <c r="AL532" i="5" s="1"/>
  <c r="AL529" i="5"/>
  <c r="AB503" i="5"/>
  <c r="AL503" i="5" s="1"/>
  <c r="AL499" i="5"/>
  <c r="AB469" i="5"/>
  <c r="AL469" i="5" s="1"/>
  <c r="AL467" i="5"/>
  <c r="AB443" i="5"/>
  <c r="AL443" i="5" s="1"/>
  <c r="AL436" i="5"/>
  <c r="AB393" i="5"/>
  <c r="AL393" i="5" s="1"/>
  <c r="AL390" i="5"/>
  <c r="AB349" i="5"/>
  <c r="AL349" i="5" s="1"/>
  <c r="AL340" i="5"/>
  <c r="AB288" i="5"/>
  <c r="AL288" i="5" s="1"/>
  <c r="AL285" i="5"/>
  <c r="AB216" i="5"/>
  <c r="AL216" i="5" s="1"/>
  <c r="AL213" i="5"/>
  <c r="O223" i="5"/>
  <c r="V705" i="5"/>
  <c r="AF705" i="5" s="1"/>
  <c r="AF702" i="5"/>
  <c r="F40" i="6"/>
  <c r="AF395" i="5"/>
  <c r="Y463" i="5"/>
  <c r="AI463" i="5" s="1"/>
  <c r="AI460" i="5"/>
  <c r="Y576" i="5"/>
  <c r="AI576" i="5" s="1"/>
  <c r="AI570" i="5"/>
  <c r="Y709" i="5"/>
  <c r="AI709" i="5" s="1"/>
  <c r="AI706" i="5"/>
  <c r="AI724" i="5"/>
  <c r="Y776" i="5"/>
  <c r="AI776" i="5" s="1"/>
  <c r="AI774" i="5"/>
  <c r="AB431" i="5"/>
  <c r="AL431" i="5" s="1"/>
  <c r="AL429" i="5"/>
  <c r="AB389" i="5"/>
  <c r="AL389" i="5" s="1"/>
  <c r="AL386" i="5"/>
  <c r="AB183" i="5"/>
  <c r="AL183" i="5" s="1"/>
  <c r="AL178" i="5"/>
  <c r="O94" i="5"/>
  <c r="S476" i="5"/>
  <c r="S630" i="5"/>
  <c r="S764" i="5"/>
  <c r="Y376" i="5"/>
  <c r="AI376" i="5" s="1"/>
  <c r="H76" i="3"/>
  <c r="F76" i="3"/>
  <c r="S17" i="5"/>
  <c r="L102" i="6" s="1"/>
  <c r="S331" i="5"/>
  <c r="O23" i="5"/>
  <c r="H103" i="6" s="1"/>
  <c r="S390" i="5"/>
  <c r="S88" i="5"/>
  <c r="S132" i="5"/>
  <c r="S436" i="5"/>
  <c r="S451" i="5"/>
  <c r="S467" i="5"/>
  <c r="S483" i="5"/>
  <c r="S499" i="5"/>
  <c r="S529" i="5"/>
  <c r="S547" i="5"/>
  <c r="S621" i="5"/>
  <c r="S714" i="5"/>
  <c r="S724" i="5"/>
  <c r="S733" i="5"/>
  <c r="S759" i="5"/>
  <c r="O107" i="5"/>
  <c r="N764" i="5"/>
  <c r="N784" i="5"/>
  <c r="S460" i="5"/>
  <c r="S492" i="5"/>
  <c r="S522" i="5"/>
  <c r="S538" i="5"/>
  <c r="S554" i="5"/>
  <c r="S702" i="5"/>
  <c r="S710" i="5"/>
  <c r="S754" i="5"/>
  <c r="S340" i="5"/>
  <c r="S412" i="5"/>
  <c r="S507" i="5"/>
  <c r="S774" i="5"/>
  <c r="S779" i="5"/>
  <c r="S50" i="5"/>
  <c r="L105" i="6" s="1"/>
  <c r="S107" i="5"/>
  <c r="S749" i="5"/>
  <c r="S784" i="5"/>
  <c r="S789" i="5"/>
  <c r="S794" i="5"/>
  <c r="N774" i="5"/>
  <c r="O178" i="5"/>
  <c r="S429" i="5"/>
  <c r="S741" i="5"/>
  <c r="S769" i="5"/>
  <c r="S800" i="5"/>
  <c r="N378" i="5"/>
  <c r="N365" i="5"/>
  <c r="N390" i="5"/>
  <c r="N213" i="5"/>
  <c r="N17" i="5"/>
  <c r="G102" i="6" s="1"/>
  <c r="N361" i="5"/>
  <c r="S178" i="5"/>
  <c r="V521" i="5"/>
  <c r="AF521" i="5" s="1"/>
  <c r="F55" i="6"/>
  <c r="AB473" i="5"/>
  <c r="AL473" i="5" s="1"/>
  <c r="Y339" i="5"/>
  <c r="AI339" i="5" s="1"/>
  <c r="Y540" i="5"/>
  <c r="AI540" i="5" s="1"/>
  <c r="V440" i="5"/>
  <c r="AF440" i="5" s="1"/>
  <c r="F45" i="6"/>
  <c r="V510" i="5"/>
  <c r="AF510" i="5" s="1"/>
  <c r="F54" i="6"/>
  <c r="Y525" i="5"/>
  <c r="AI525" i="5" s="1"/>
  <c r="Y556" i="5"/>
  <c r="AI556" i="5" s="1"/>
  <c r="AB215" i="5"/>
  <c r="AL215" i="5" s="1"/>
  <c r="V433" i="5"/>
  <c r="AF433" i="5" s="1"/>
  <c r="F44" i="6"/>
  <c r="AB446" i="5"/>
  <c r="AL446" i="5" s="1"/>
  <c r="Y324" i="5"/>
  <c r="AI324" i="5" s="1"/>
  <c r="Y415" i="5"/>
  <c r="AI415" i="5" s="1"/>
  <c r="Y441" i="5"/>
  <c r="AI441" i="5" s="1"/>
  <c r="Y510" i="5"/>
  <c r="AI510" i="5" s="1"/>
  <c r="Y531" i="5"/>
  <c r="AI531" i="5" s="1"/>
  <c r="AB417" i="5"/>
  <c r="AL417" i="5" s="1"/>
  <c r="AB534" i="5"/>
  <c r="AL534" i="5" s="1"/>
  <c r="N88" i="5"/>
  <c r="N94" i="5"/>
  <c r="N217" i="5"/>
  <c r="N223" i="5"/>
  <c r="N285" i="5"/>
  <c r="N331" i="5"/>
  <c r="N745" i="5"/>
  <c r="N132" i="5"/>
  <c r="N138" i="5"/>
  <c r="Y726" i="5"/>
  <c r="AI726" i="5" s="1"/>
  <c r="Y727" i="5"/>
  <c r="AI727" i="5" s="1"/>
  <c r="Y287" i="5"/>
  <c r="AI287" i="5" s="1"/>
  <c r="Y288" i="5"/>
  <c r="AI288" i="5" s="1"/>
  <c r="Y438" i="5"/>
  <c r="AI438" i="5" s="1"/>
  <c r="AB506" i="5"/>
  <c r="AL506" i="5" s="1"/>
  <c r="Y546" i="5"/>
  <c r="AI546" i="5" s="1"/>
  <c r="AB603" i="5"/>
  <c r="AL603" i="5" s="1"/>
  <c r="AB148" i="5"/>
  <c r="AL148" i="5" s="1"/>
  <c r="Y333" i="5"/>
  <c r="AI333" i="5" s="1"/>
  <c r="Y440" i="5"/>
  <c r="AI440" i="5" s="1"/>
  <c r="AB348" i="5"/>
  <c r="AL348" i="5" s="1"/>
  <c r="Y788" i="5"/>
  <c r="AI788" i="5" s="1"/>
  <c r="V704" i="5"/>
  <c r="AF704" i="5" s="1"/>
  <c r="AB763" i="5"/>
  <c r="AL763" i="5" s="1"/>
  <c r="AB761" i="5"/>
  <c r="AL761" i="5" s="1"/>
  <c r="AB762" i="5"/>
  <c r="AL762" i="5" s="1"/>
  <c r="AB511" i="5"/>
  <c r="AL511" i="5" s="1"/>
  <c r="AB509" i="5"/>
  <c r="AL509" i="5" s="1"/>
  <c r="AB513" i="5"/>
  <c r="AL513" i="5" s="1"/>
  <c r="AB510" i="5"/>
  <c r="AL510" i="5" s="1"/>
  <c r="AB804" i="5"/>
  <c r="AL804" i="5" s="1"/>
  <c r="AB802" i="5"/>
  <c r="AL802" i="5" s="1"/>
  <c r="AB614" i="5"/>
  <c r="AL614" i="5" s="1"/>
  <c r="AB617" i="5"/>
  <c r="AL617" i="5" s="1"/>
  <c r="AB618" i="5"/>
  <c r="AL618" i="5" s="1"/>
  <c r="AB480" i="5"/>
  <c r="AL480" i="5" s="1"/>
  <c r="AB482" i="5"/>
  <c r="AL482" i="5" s="1"/>
  <c r="AB478" i="5"/>
  <c r="AL478" i="5" s="1"/>
  <c r="AB479" i="5"/>
  <c r="AL479" i="5" s="1"/>
  <c r="AB403" i="5"/>
  <c r="AL403" i="5" s="1"/>
  <c r="AB397" i="5"/>
  <c r="AL397" i="5" s="1"/>
  <c r="AB402" i="5"/>
  <c r="AL402" i="5" s="1"/>
  <c r="AB399" i="5"/>
  <c r="AL399" i="5" s="1"/>
  <c r="AB400" i="5"/>
  <c r="AL400" i="5" s="1"/>
  <c r="AB377" i="5"/>
  <c r="AL377" i="5" s="1"/>
  <c r="AB375" i="5"/>
  <c r="AL375" i="5" s="1"/>
  <c r="AB136" i="5"/>
  <c r="AL136" i="5" s="1"/>
  <c r="AB134" i="5"/>
  <c r="AL134" i="5" s="1"/>
  <c r="AB803" i="5"/>
  <c r="AL803" i="5" s="1"/>
  <c r="AB744" i="5"/>
  <c r="AL744" i="5" s="1"/>
  <c r="V728" i="5"/>
  <c r="AF728" i="5" s="1"/>
  <c r="V726" i="5"/>
  <c r="AF726" i="5" s="1"/>
  <c r="V727" i="5"/>
  <c r="AF727" i="5" s="1"/>
  <c r="AB481" i="5"/>
  <c r="AL481" i="5" s="1"/>
  <c r="AB783" i="5"/>
  <c r="AL783" i="5" s="1"/>
  <c r="AB781" i="5"/>
  <c r="AL781" i="5" s="1"/>
  <c r="AB782" i="5"/>
  <c r="AL782" i="5" s="1"/>
  <c r="AB726" i="5"/>
  <c r="AL726" i="5" s="1"/>
  <c r="AB727" i="5"/>
  <c r="AL727" i="5" s="1"/>
  <c r="AB728" i="5"/>
  <c r="AL728" i="5" s="1"/>
  <c r="AB542" i="5"/>
  <c r="AL542" i="5" s="1"/>
  <c r="AB543" i="5"/>
  <c r="AL543" i="5" s="1"/>
  <c r="AB544" i="5"/>
  <c r="AL544" i="5" s="1"/>
  <c r="AB540" i="5"/>
  <c r="AL540" i="5" s="1"/>
  <c r="AB545" i="5"/>
  <c r="AL545" i="5" s="1"/>
  <c r="AB448" i="5"/>
  <c r="AL448" i="5" s="1"/>
  <c r="AB447" i="5"/>
  <c r="AL447" i="5" s="1"/>
  <c r="AB449" i="5"/>
  <c r="AL449" i="5" s="1"/>
  <c r="AB221" i="5"/>
  <c r="AL221" i="5" s="1"/>
  <c r="AB220" i="5"/>
  <c r="AL220" i="5" s="1"/>
  <c r="AB222" i="5"/>
  <c r="AL222" i="5" s="1"/>
  <c r="AB401" i="5"/>
  <c r="AL401" i="5" s="1"/>
  <c r="Y27" i="5"/>
  <c r="AI27" i="5" s="1"/>
  <c r="AB343" i="5"/>
  <c r="AL343" i="5" s="1"/>
  <c r="Y417" i="5"/>
  <c r="AI417" i="5" s="1"/>
  <c r="AB442" i="5"/>
  <c r="AL442" i="5" s="1"/>
  <c r="V439" i="5"/>
  <c r="AF439" i="5" s="1"/>
  <c r="Y446" i="5"/>
  <c r="AI446" i="5" s="1"/>
  <c r="Y472" i="5"/>
  <c r="AI472" i="5" s="1"/>
  <c r="AB504" i="5"/>
  <c r="AL504" i="5" s="1"/>
  <c r="Y512" i="5"/>
  <c r="AI512" i="5" s="1"/>
  <c r="Y524" i="5"/>
  <c r="AI524" i="5" s="1"/>
  <c r="Y533" i="5"/>
  <c r="AI533" i="5" s="1"/>
  <c r="Y787" i="5"/>
  <c r="AI787" i="5" s="1"/>
  <c r="AB777" i="5"/>
  <c r="AL777" i="5" s="1"/>
  <c r="AB739" i="5"/>
  <c r="AL739" i="5" s="1"/>
  <c r="Y420" i="5"/>
  <c r="AI420" i="5" s="1"/>
  <c r="AB287" i="5"/>
  <c r="AL287" i="5" s="1"/>
  <c r="AB441" i="5"/>
  <c r="AL441" i="5" s="1"/>
  <c r="AB470" i="5"/>
  <c r="AL470" i="5" s="1"/>
  <c r="AB502" i="5"/>
  <c r="AL502" i="5" s="1"/>
  <c r="AB536" i="5"/>
  <c r="AL536" i="5" s="1"/>
  <c r="AB531" i="5"/>
  <c r="AL531" i="5" s="1"/>
  <c r="AB799" i="5"/>
  <c r="AL799" i="5" s="1"/>
  <c r="Y777" i="5"/>
  <c r="AI777" i="5" s="1"/>
  <c r="Y33" i="5"/>
  <c r="AI33" i="5" s="1"/>
  <c r="Y535" i="5"/>
  <c r="AI535" i="5" s="1"/>
  <c r="AB797" i="5"/>
  <c r="AL797" i="5" s="1"/>
  <c r="AB758" i="5"/>
  <c r="AL758" i="5" s="1"/>
  <c r="Y704" i="5"/>
  <c r="AI704" i="5" s="1"/>
  <c r="Y466" i="5"/>
  <c r="AI466" i="5" s="1"/>
  <c r="Y54" i="5"/>
  <c r="AI54" i="5" s="1"/>
  <c r="Y65" i="5"/>
  <c r="AI65" i="5" s="1"/>
  <c r="Y63" i="5"/>
  <c r="AI63" i="5" s="1"/>
  <c r="Y64" i="5"/>
  <c r="AI64" i="5" s="1"/>
  <c r="Y348" i="5"/>
  <c r="AI348" i="5" s="1"/>
  <c r="Y349" i="5"/>
  <c r="AI349" i="5" s="1"/>
  <c r="Y342" i="5"/>
  <c r="AI342" i="5" s="1"/>
  <c r="Y344" i="5"/>
  <c r="AI344" i="5" s="1"/>
  <c r="Y343" i="5"/>
  <c r="AI343" i="5" s="1"/>
  <c r="Y435" i="5"/>
  <c r="AI435" i="5" s="1"/>
  <c r="Y432" i="5"/>
  <c r="AI432" i="5" s="1"/>
  <c r="Y434" i="5"/>
  <c r="AI434" i="5" s="1"/>
  <c r="Y431" i="5"/>
  <c r="AI431" i="5" s="1"/>
  <c r="Y486" i="5"/>
  <c r="AI486" i="5" s="1"/>
  <c r="Y490" i="5"/>
  <c r="AI490" i="5" s="1"/>
  <c r="Y485" i="5"/>
  <c r="AI485" i="5" s="1"/>
  <c r="Y487" i="5"/>
  <c r="AI487" i="5" s="1"/>
  <c r="Y489" i="5"/>
  <c r="AI489" i="5" s="1"/>
  <c r="Y491" i="5"/>
  <c r="AI491" i="5" s="1"/>
  <c r="Y488" i="5"/>
  <c r="AI488" i="5" s="1"/>
  <c r="Y551" i="5"/>
  <c r="AI551" i="5" s="1"/>
  <c r="Y550" i="5"/>
  <c r="AI550" i="5" s="1"/>
  <c r="Y553" i="5"/>
  <c r="AI553" i="5" s="1"/>
  <c r="Y549" i="5"/>
  <c r="AI549" i="5" s="1"/>
  <c r="Y552" i="5"/>
  <c r="AI552" i="5" s="1"/>
  <c r="V685" i="5"/>
  <c r="AF685" i="5" s="1"/>
  <c r="V684" i="5"/>
  <c r="AF684" i="5" s="1"/>
  <c r="AB772" i="5"/>
  <c r="AL772" i="5" s="1"/>
  <c r="AB771" i="5"/>
  <c r="AL771" i="5" s="1"/>
  <c r="AB773" i="5"/>
  <c r="AL773" i="5" s="1"/>
  <c r="AB735" i="5"/>
  <c r="AL735" i="5" s="1"/>
  <c r="AB736" i="5"/>
  <c r="AL736" i="5" s="1"/>
  <c r="AB634" i="5"/>
  <c r="AL634" i="5" s="1"/>
  <c r="AB638" i="5"/>
  <c r="AL638" i="5" s="1"/>
  <c r="AB633" i="5"/>
  <c r="AL633" i="5" s="1"/>
  <c r="AB637" i="5"/>
  <c r="AL637" i="5" s="1"/>
  <c r="AB632" i="5"/>
  <c r="AL632" i="5" s="1"/>
  <c r="AB640" i="5"/>
  <c r="AL640" i="5" s="1"/>
  <c r="AB635" i="5"/>
  <c r="AL635" i="5" s="1"/>
  <c r="AB639" i="5"/>
  <c r="AL639" i="5" s="1"/>
  <c r="AB636" i="5"/>
  <c r="AL636" i="5" s="1"/>
  <c r="AB526" i="5"/>
  <c r="AL526" i="5" s="1"/>
  <c r="AB524" i="5"/>
  <c r="AL524" i="5" s="1"/>
  <c r="AB527" i="5"/>
  <c r="AL527" i="5" s="1"/>
  <c r="AB528" i="5"/>
  <c r="AL528" i="5" s="1"/>
  <c r="AB525" i="5"/>
  <c r="AL525" i="5" s="1"/>
  <c r="AB496" i="5"/>
  <c r="AL496" i="5" s="1"/>
  <c r="AB495" i="5"/>
  <c r="AL495" i="5" s="1"/>
  <c r="AB497" i="5"/>
  <c r="AL497" i="5" s="1"/>
  <c r="AB494" i="5"/>
  <c r="AL494" i="5" s="1"/>
  <c r="AB498" i="5"/>
  <c r="AL498" i="5" s="1"/>
  <c r="AB464" i="5"/>
  <c r="AL464" i="5" s="1"/>
  <c r="AB466" i="5"/>
  <c r="AL466" i="5" s="1"/>
  <c r="AB463" i="5"/>
  <c r="AL463" i="5" s="1"/>
  <c r="AB465" i="5"/>
  <c r="AL465" i="5" s="1"/>
  <c r="AB462" i="5"/>
  <c r="AL462" i="5" s="1"/>
  <c r="AB433" i="5"/>
  <c r="AL433" i="5" s="1"/>
  <c r="AB435" i="5"/>
  <c r="AL435" i="5" s="1"/>
  <c r="AB432" i="5"/>
  <c r="AL432" i="5" s="1"/>
  <c r="AB434" i="5"/>
  <c r="AL434" i="5" s="1"/>
  <c r="AB339" i="5"/>
  <c r="AL339" i="5" s="1"/>
  <c r="AB335" i="5"/>
  <c r="AL335" i="5" s="1"/>
  <c r="AB338" i="5"/>
  <c r="AL338" i="5" s="1"/>
  <c r="AB333" i="5"/>
  <c r="AL333" i="5" s="1"/>
  <c r="AB334" i="5"/>
  <c r="AL334" i="5" s="1"/>
  <c r="AB192" i="5"/>
  <c r="AL192" i="5" s="1"/>
  <c r="AB181" i="5"/>
  <c r="AL181" i="5" s="1"/>
  <c r="AB184" i="5"/>
  <c r="AL184" i="5" s="1"/>
  <c r="AB182" i="5"/>
  <c r="AL182" i="5" s="1"/>
  <c r="AB193" i="5"/>
  <c r="AL193" i="5" s="1"/>
  <c r="AB180" i="5"/>
  <c r="AL180" i="5" s="1"/>
  <c r="AB185" i="5"/>
  <c r="AL185" i="5" s="1"/>
  <c r="AB125" i="5"/>
  <c r="AL125" i="5" s="1"/>
  <c r="AB126" i="5"/>
  <c r="AL126" i="5" s="1"/>
  <c r="AB186" i="5"/>
  <c r="AL186" i="5" s="1"/>
  <c r="Y22" i="5"/>
  <c r="AI22" i="5" s="1"/>
  <c r="Y21" i="5"/>
  <c r="AI21" i="5" s="1"/>
  <c r="Y302" i="5"/>
  <c r="AI302" i="5" s="1"/>
  <c r="Y377" i="5"/>
  <c r="AI377" i="5" s="1"/>
  <c r="Y375" i="5"/>
  <c r="AI375" i="5" s="1"/>
  <c r="Y459" i="5"/>
  <c r="AI459" i="5" s="1"/>
  <c r="Y454" i="5"/>
  <c r="AI454" i="5" s="1"/>
  <c r="Y458" i="5"/>
  <c r="AI458" i="5" s="1"/>
  <c r="Y456" i="5"/>
  <c r="AI456" i="5" s="1"/>
  <c r="Y453" i="5"/>
  <c r="AI453" i="5" s="1"/>
  <c r="Y455" i="5"/>
  <c r="AI455" i="5" s="1"/>
  <c r="Y457" i="5"/>
  <c r="AI457" i="5" s="1"/>
  <c r="Y517" i="5"/>
  <c r="AI517" i="5" s="1"/>
  <c r="Y521" i="5"/>
  <c r="AI521" i="5" s="1"/>
  <c r="Y519" i="5"/>
  <c r="AI519" i="5" s="1"/>
  <c r="Y518" i="5"/>
  <c r="AI518" i="5" s="1"/>
  <c r="Y516" i="5"/>
  <c r="AI516" i="5" s="1"/>
  <c r="Y520" i="5"/>
  <c r="AI520" i="5" s="1"/>
  <c r="V574" i="5"/>
  <c r="AF574" i="5" s="1"/>
  <c r="V578" i="5"/>
  <c r="AF578" i="5" s="1"/>
  <c r="V572" i="5"/>
  <c r="AF572" i="5" s="1"/>
  <c r="V579" i="5"/>
  <c r="AF579" i="5" s="1"/>
  <c r="V573" i="5"/>
  <c r="AF573" i="5" s="1"/>
  <c r="V580" i="5"/>
  <c r="AF580" i="5" s="1"/>
  <c r="V576" i="5"/>
  <c r="AF576" i="5" s="1"/>
  <c r="V577" i="5"/>
  <c r="AF577" i="5" s="1"/>
  <c r="V709" i="5"/>
  <c r="AF709" i="5" s="1"/>
  <c r="V708" i="5"/>
  <c r="AF708" i="5" s="1"/>
  <c r="AB792" i="5"/>
  <c r="AL792" i="5" s="1"/>
  <c r="AB791" i="5"/>
  <c r="AL791" i="5" s="1"/>
  <c r="AB793" i="5"/>
  <c r="AL793" i="5" s="1"/>
  <c r="AB752" i="5"/>
  <c r="AL752" i="5" s="1"/>
  <c r="AB751" i="5"/>
  <c r="AL751" i="5" s="1"/>
  <c r="AB753" i="5"/>
  <c r="AL753" i="5" s="1"/>
  <c r="AB718" i="5"/>
  <c r="AL718" i="5" s="1"/>
  <c r="AB717" i="5"/>
  <c r="AL717" i="5" s="1"/>
  <c r="AB716" i="5"/>
  <c r="AL716" i="5" s="1"/>
  <c r="AB559" i="5"/>
  <c r="AL559" i="5" s="1"/>
  <c r="AB558" i="5"/>
  <c r="AL558" i="5" s="1"/>
  <c r="AB556" i="5"/>
  <c r="AL556" i="5" s="1"/>
  <c r="AB557" i="5"/>
  <c r="AL557" i="5" s="1"/>
  <c r="AB560" i="5"/>
  <c r="AL560" i="5" s="1"/>
  <c r="Y743" i="5"/>
  <c r="AI743" i="5" s="1"/>
  <c r="Y744" i="5"/>
  <c r="AI744" i="5" s="1"/>
  <c r="AB388" i="5"/>
  <c r="AL388" i="5" s="1"/>
  <c r="Y433" i="5"/>
  <c r="AI433" i="5" s="1"/>
  <c r="V25" i="5"/>
  <c r="AF25" i="5" s="1"/>
  <c r="V33" i="5"/>
  <c r="AF33" i="5" s="1"/>
  <c r="V34" i="5"/>
  <c r="AF34" i="5" s="1"/>
  <c r="V397" i="5"/>
  <c r="AF397" i="5" s="1"/>
  <c r="V403" i="5"/>
  <c r="AF403" i="5" s="1"/>
  <c r="Y558" i="5"/>
  <c r="AI558" i="5" s="1"/>
  <c r="Y557" i="5"/>
  <c r="AI557" i="5" s="1"/>
  <c r="V27" i="5"/>
  <c r="AF27" i="5" s="1"/>
  <c r="AB788" i="5"/>
  <c r="AL788" i="5" s="1"/>
  <c r="AB787" i="5"/>
  <c r="AL787" i="5" s="1"/>
  <c r="AB768" i="5"/>
  <c r="AL768" i="5" s="1"/>
  <c r="AB767" i="5"/>
  <c r="AL767" i="5" s="1"/>
  <c r="AB626" i="5"/>
  <c r="AL626" i="5" s="1"/>
  <c r="AB625" i="5"/>
  <c r="AL625" i="5" s="1"/>
  <c r="AB629" i="5"/>
  <c r="AL629" i="5" s="1"/>
  <c r="AB552" i="5"/>
  <c r="AL552" i="5" s="1"/>
  <c r="AB551" i="5"/>
  <c r="AL551" i="5" s="1"/>
  <c r="AB518" i="5"/>
  <c r="AL518" i="5" s="1"/>
  <c r="AB487" i="5"/>
  <c r="AL487" i="5" s="1"/>
  <c r="AB491" i="5"/>
  <c r="AL491" i="5" s="1"/>
  <c r="AB459" i="5"/>
  <c r="AL459" i="5" s="1"/>
  <c r="AB455" i="5"/>
  <c r="AL455" i="5" s="1"/>
  <c r="AB141" i="5"/>
  <c r="AL141" i="5" s="1"/>
  <c r="AB227" i="5"/>
  <c r="AL227" i="5" s="1"/>
  <c r="AB380" i="5"/>
  <c r="AL380" i="5" s="1"/>
  <c r="AB419" i="5"/>
  <c r="AL419" i="5" s="1"/>
  <c r="AB414" i="5"/>
  <c r="AL414" i="5" s="1"/>
  <c r="AB453" i="5"/>
  <c r="AL453" i="5" s="1"/>
  <c r="Y464" i="5"/>
  <c r="AI464" i="5" s="1"/>
  <c r="Y482" i="5"/>
  <c r="AI482" i="5" s="1"/>
  <c r="Y480" i="5"/>
  <c r="AI480" i="5" s="1"/>
  <c r="AB489" i="5"/>
  <c r="AL489" i="5" s="1"/>
  <c r="V512" i="5"/>
  <c r="AF512" i="5" s="1"/>
  <c r="AB521" i="5"/>
  <c r="AL521" i="5" s="1"/>
  <c r="AB519" i="5"/>
  <c r="AL519" i="5" s="1"/>
  <c r="V518" i="5"/>
  <c r="AF518" i="5" s="1"/>
  <c r="Y527" i="5"/>
  <c r="AI527" i="5" s="1"/>
  <c r="Y544" i="5"/>
  <c r="AI544" i="5" s="1"/>
  <c r="Y542" i="5"/>
  <c r="AI542" i="5" s="1"/>
  <c r="AB549" i="5"/>
  <c r="AL549" i="5" s="1"/>
  <c r="AB766" i="5"/>
  <c r="AL766" i="5" s="1"/>
  <c r="AB732" i="5"/>
  <c r="AL732" i="5" s="1"/>
  <c r="Y708" i="5"/>
  <c r="AI708" i="5" s="1"/>
  <c r="Y712" i="5"/>
  <c r="AI712" i="5" s="1"/>
  <c r="AB628" i="5"/>
  <c r="AL628" i="5" s="1"/>
  <c r="Y565" i="5"/>
  <c r="AI565" i="5" s="1"/>
  <c r="V363" i="5"/>
  <c r="AF363" i="5" s="1"/>
  <c r="V364" i="5"/>
  <c r="AF364" i="5" s="1"/>
  <c r="V443" i="5"/>
  <c r="AF443" i="5" s="1"/>
  <c r="V438" i="5"/>
  <c r="AF438" i="5" s="1"/>
  <c r="V509" i="5"/>
  <c r="AF509" i="5" s="1"/>
  <c r="V513" i="5"/>
  <c r="AF513" i="5" s="1"/>
  <c r="Y579" i="5"/>
  <c r="AI579" i="5" s="1"/>
  <c r="Y577" i="5"/>
  <c r="AI577" i="5" s="1"/>
  <c r="Y573" i="5"/>
  <c r="AI573" i="5" s="1"/>
  <c r="Y578" i="5"/>
  <c r="AI578" i="5" s="1"/>
  <c r="Y580" i="5"/>
  <c r="AI580" i="5" s="1"/>
  <c r="Y684" i="5"/>
  <c r="AI684" i="5" s="1"/>
  <c r="Y414" i="5"/>
  <c r="AI414" i="5" s="1"/>
  <c r="Y416" i="5"/>
  <c r="AI416" i="5" s="1"/>
  <c r="Y418" i="5"/>
  <c r="AI418" i="5" s="1"/>
  <c r="Y470" i="5"/>
  <c r="AI470" i="5" s="1"/>
  <c r="Y474" i="5"/>
  <c r="AI474" i="5" s="1"/>
  <c r="Y532" i="5"/>
  <c r="AI532" i="5" s="1"/>
  <c r="Y536" i="5"/>
  <c r="AI536" i="5" s="1"/>
  <c r="V563" i="5"/>
  <c r="AF563" i="5" s="1"/>
  <c r="V565" i="5"/>
  <c r="AF565" i="5" s="1"/>
  <c r="V568" i="5"/>
  <c r="AF568" i="5" s="1"/>
  <c r="V564" i="5"/>
  <c r="AF564" i="5" s="1"/>
  <c r="V569" i="5"/>
  <c r="AF569" i="5" s="1"/>
  <c r="V678" i="5"/>
  <c r="AF678" i="5" s="1"/>
  <c r="Y740" i="5"/>
  <c r="AI740" i="5" s="1"/>
  <c r="Y739" i="5"/>
  <c r="AI739" i="5" s="1"/>
  <c r="Y771" i="5"/>
  <c r="AI771" i="5" s="1"/>
  <c r="Y783" i="5"/>
  <c r="AI783" i="5" s="1"/>
  <c r="Y782" i="5"/>
  <c r="AI782" i="5" s="1"/>
  <c r="Y791" i="5"/>
  <c r="AI791" i="5" s="1"/>
  <c r="AB140" i="5"/>
  <c r="AL140" i="5" s="1"/>
  <c r="Y335" i="5"/>
  <c r="AI335" i="5" s="1"/>
  <c r="AB342" i="5"/>
  <c r="AL342" i="5" s="1"/>
  <c r="AB392" i="5"/>
  <c r="AL392" i="5" s="1"/>
  <c r="Y419" i="5"/>
  <c r="AI419" i="5" s="1"/>
  <c r="AB416" i="5"/>
  <c r="AL416" i="5" s="1"/>
  <c r="Y442" i="5"/>
  <c r="AI442" i="5" s="1"/>
  <c r="V441" i="5"/>
  <c r="AF441" i="5" s="1"/>
  <c r="AB439" i="5"/>
  <c r="AL439" i="5" s="1"/>
  <c r="AB458" i="5"/>
  <c r="AL458" i="5" s="1"/>
  <c r="AB456" i="5"/>
  <c r="AL456" i="5" s="1"/>
  <c r="Y462" i="5"/>
  <c r="AI462" i="5" s="1"/>
  <c r="Y473" i="5"/>
  <c r="AI473" i="5" s="1"/>
  <c r="Y471" i="5"/>
  <c r="AI471" i="5" s="1"/>
  <c r="Y478" i="5"/>
  <c r="AI478" i="5" s="1"/>
  <c r="AB485" i="5"/>
  <c r="AL485" i="5" s="1"/>
  <c r="AB505" i="5"/>
  <c r="AL505" i="5" s="1"/>
  <c r="Y513" i="5"/>
  <c r="AI513" i="5" s="1"/>
  <c r="Y511" i="5"/>
  <c r="AI511" i="5" s="1"/>
  <c r="AB517" i="5"/>
  <c r="AL517" i="5" s="1"/>
  <c r="Y534" i="5"/>
  <c r="AI534" i="5" s="1"/>
  <c r="Y560" i="5"/>
  <c r="AI560" i="5" s="1"/>
  <c r="Y793" i="5"/>
  <c r="AI793" i="5" s="1"/>
  <c r="Y772" i="5"/>
  <c r="AI772" i="5" s="1"/>
  <c r="AB757" i="5"/>
  <c r="AL757" i="5" s="1"/>
  <c r="Y728" i="5"/>
  <c r="AI728" i="5" s="1"/>
  <c r="Y685" i="5"/>
  <c r="AI685" i="5" s="1"/>
  <c r="V679" i="5"/>
  <c r="AF679" i="5" s="1"/>
  <c r="AB627" i="5"/>
  <c r="AL627" i="5" s="1"/>
  <c r="Y574" i="5"/>
  <c r="AI574" i="5" s="1"/>
  <c r="Y569" i="5"/>
  <c r="AI569" i="5" s="1"/>
  <c r="Y364" i="5"/>
  <c r="AI364" i="5" s="1"/>
  <c r="Y35" i="5"/>
  <c r="AI35" i="5" s="1"/>
  <c r="V19" i="5"/>
  <c r="AF19" i="5" s="1"/>
  <c r="V21" i="5"/>
  <c r="AF21" i="5" s="1"/>
  <c r="V53" i="5"/>
  <c r="AF53" i="5" s="1"/>
  <c r="V64" i="5"/>
  <c r="AF64" i="5" s="1"/>
  <c r="V63" i="5"/>
  <c r="AF63" i="5" s="1"/>
  <c r="V65" i="5"/>
  <c r="AF65" i="5" s="1"/>
  <c r="V52" i="5"/>
  <c r="AF52" i="5" s="1"/>
  <c r="V435" i="5"/>
  <c r="AF435" i="5" s="1"/>
  <c r="V431" i="5"/>
  <c r="AF431" i="5" s="1"/>
  <c r="Y450" i="5"/>
  <c r="AI450" i="5" s="1"/>
  <c r="Y447" i="5"/>
  <c r="AI447" i="5" s="1"/>
  <c r="V516" i="5"/>
  <c r="AF516" i="5" s="1"/>
  <c r="V520" i="5"/>
  <c r="AF520" i="5" s="1"/>
  <c r="Y541" i="5"/>
  <c r="AI541" i="5" s="1"/>
  <c r="Y545" i="5"/>
  <c r="AI545" i="5" s="1"/>
  <c r="Y563" i="5"/>
  <c r="AI563" i="5" s="1"/>
  <c r="Y567" i="5"/>
  <c r="AI567" i="5" s="1"/>
  <c r="Y568" i="5"/>
  <c r="AI568" i="5" s="1"/>
  <c r="Y679" i="5"/>
  <c r="AI679" i="5" s="1"/>
  <c r="Y678" i="5"/>
  <c r="AI678" i="5" s="1"/>
  <c r="AB723" i="5"/>
  <c r="AL723" i="5" s="1"/>
  <c r="AB722" i="5"/>
  <c r="AL722" i="5" s="1"/>
  <c r="AB604" i="5"/>
  <c r="AL604" i="5" s="1"/>
  <c r="AB608" i="5"/>
  <c r="AL608" i="5" s="1"/>
  <c r="AB609" i="5"/>
  <c r="AL609" i="5" s="1"/>
  <c r="AB607" i="5"/>
  <c r="AL607" i="5" s="1"/>
  <c r="AB533" i="5"/>
  <c r="AL533" i="5" s="1"/>
  <c r="AB537" i="5"/>
  <c r="AL537" i="5" s="1"/>
  <c r="AB471" i="5"/>
  <c r="AL471" i="5" s="1"/>
  <c r="AB475" i="5"/>
  <c r="AL475" i="5" s="1"/>
  <c r="AB130" i="5"/>
  <c r="AL130" i="5" s="1"/>
  <c r="AB129" i="5"/>
  <c r="AL129" i="5" s="1"/>
  <c r="AB142" i="5"/>
  <c r="AL142" i="5" s="1"/>
  <c r="AB226" i="5"/>
  <c r="AL226" i="5" s="1"/>
  <c r="AB324" i="5"/>
  <c r="AL324" i="5" s="1"/>
  <c r="Y334" i="5"/>
  <c r="AI334" i="5" s="1"/>
  <c r="AB344" i="5"/>
  <c r="AL344" i="5" s="1"/>
  <c r="AB418" i="5"/>
  <c r="AL418" i="5" s="1"/>
  <c r="AB415" i="5"/>
  <c r="AL415" i="5" s="1"/>
  <c r="V434" i="5"/>
  <c r="AF434" i="5" s="1"/>
  <c r="V432" i="5"/>
  <c r="AF432" i="5" s="1"/>
  <c r="AB438" i="5"/>
  <c r="AL438" i="5" s="1"/>
  <c r="V442" i="5"/>
  <c r="AF442" i="5" s="1"/>
  <c r="AB440" i="5"/>
  <c r="AL440" i="5" s="1"/>
  <c r="Y439" i="5"/>
  <c r="AI439" i="5" s="1"/>
  <c r="Y448" i="5"/>
  <c r="AI448" i="5" s="1"/>
  <c r="AB454" i="5"/>
  <c r="AL454" i="5" s="1"/>
  <c r="Y465" i="5"/>
  <c r="AI465" i="5" s="1"/>
  <c r="AB474" i="5"/>
  <c r="AL474" i="5" s="1"/>
  <c r="AB472" i="5"/>
  <c r="AL472" i="5" s="1"/>
  <c r="Y469" i="5"/>
  <c r="AI469" i="5" s="1"/>
  <c r="Y481" i="5"/>
  <c r="AI481" i="5" s="1"/>
  <c r="AB490" i="5"/>
  <c r="AL490" i="5" s="1"/>
  <c r="AB488" i="5"/>
  <c r="AL488" i="5" s="1"/>
  <c r="AB501" i="5"/>
  <c r="AL501" i="5" s="1"/>
  <c r="V511" i="5"/>
  <c r="AF511" i="5" s="1"/>
  <c r="Y509" i="5"/>
  <c r="AI509" i="5" s="1"/>
  <c r="AB520" i="5"/>
  <c r="AL520" i="5" s="1"/>
  <c r="V519" i="5"/>
  <c r="AF519" i="5" s="1"/>
  <c r="V517" i="5"/>
  <c r="AF517" i="5" s="1"/>
  <c r="Y528" i="5"/>
  <c r="AI528" i="5" s="1"/>
  <c r="Y526" i="5"/>
  <c r="AI526" i="5" s="1"/>
  <c r="Y537" i="5"/>
  <c r="AI537" i="5" s="1"/>
  <c r="AB535" i="5"/>
  <c r="AL535" i="5" s="1"/>
  <c r="Y543" i="5"/>
  <c r="AI543" i="5" s="1"/>
  <c r="AB553" i="5"/>
  <c r="AL553" i="5" s="1"/>
  <c r="Y559" i="5"/>
  <c r="AI559" i="5" s="1"/>
  <c r="Y792" i="5"/>
  <c r="AI792" i="5" s="1"/>
  <c r="AB786" i="5"/>
  <c r="AL786" i="5" s="1"/>
  <c r="AB778" i="5"/>
  <c r="AL778" i="5" s="1"/>
  <c r="AB721" i="5"/>
  <c r="AL721" i="5" s="1"/>
  <c r="AB624" i="5"/>
  <c r="AL624" i="5" s="1"/>
  <c r="Y572" i="5"/>
  <c r="AI572" i="5" s="1"/>
  <c r="Y443" i="5"/>
  <c r="AI443" i="5" s="1"/>
  <c r="Y338" i="5"/>
  <c r="AI338" i="5" s="1"/>
  <c r="AB131" i="5"/>
  <c r="AL131" i="5" s="1"/>
  <c r="V35" i="5"/>
  <c r="AF35" i="5" s="1"/>
  <c r="AB612" i="5"/>
  <c r="AL612" i="5" s="1"/>
  <c r="AB616" i="5"/>
  <c r="AL616" i="5" s="1"/>
  <c r="AB620" i="5"/>
  <c r="AL620" i="5" s="1"/>
  <c r="AB546" i="5"/>
  <c r="AL546" i="5" s="1"/>
  <c r="Y778" i="5"/>
  <c r="AI778" i="5" s="1"/>
  <c r="V712" i="5"/>
  <c r="AF712" i="5" s="1"/>
  <c r="AB613" i="5"/>
  <c r="AL613" i="5" s="1"/>
  <c r="AB137" i="5"/>
  <c r="AL137" i="5" s="1"/>
  <c r="V292" i="5"/>
  <c r="AF292" i="5" s="1"/>
  <c r="V402" i="5"/>
  <c r="AF402" i="5" s="1"/>
  <c r="V20" i="5"/>
  <c r="AF20" i="5" s="1"/>
  <c r="V26" i="5"/>
  <c r="AF26" i="5" s="1"/>
  <c r="V55" i="5"/>
  <c r="AF55" i="5" s="1"/>
  <c r="V399" i="5"/>
  <c r="AF399" i="5" s="1"/>
  <c r="V54" i="5"/>
  <c r="AF54" i="5" s="1"/>
  <c r="V400" i="5"/>
  <c r="AF400" i="5" s="1"/>
  <c r="V57" i="5"/>
  <c r="AF57" i="5" s="1"/>
  <c r="V401" i="5"/>
  <c r="AF401" i="5" s="1"/>
  <c r="Y52" i="5"/>
  <c r="AI52" i="5" s="1"/>
  <c r="Y56" i="5"/>
  <c r="AI56" i="5" s="1"/>
  <c r="Y53" i="5"/>
  <c r="AI53" i="5" s="1"/>
  <c r="Y55" i="5"/>
  <c r="AI55" i="5" s="1"/>
  <c r="Y19" i="5"/>
  <c r="AI19" i="5" s="1"/>
  <c r="Y25" i="5"/>
  <c r="AI25" i="5" s="1"/>
  <c r="Y57" i="5"/>
  <c r="AI57" i="5" s="1"/>
  <c r="Y20" i="5"/>
  <c r="AI20" i="5" s="1"/>
  <c r="Y26" i="5"/>
  <c r="AI26" i="5" s="1"/>
  <c r="K359" i="2"/>
  <c r="K189" i="2"/>
  <c r="K26" i="2"/>
  <c r="I359" i="2"/>
  <c r="I189" i="2"/>
  <c r="I26" i="2"/>
  <c r="G686" i="5"/>
  <c r="G680" i="5"/>
  <c r="G660" i="5"/>
  <c r="K361" i="2" l="1"/>
  <c r="I361" i="2"/>
  <c r="G815" i="5" s="1"/>
  <c r="C815" i="5" s="1"/>
  <c r="H11" i="6"/>
  <c r="H17" i="6"/>
  <c r="G37" i="6"/>
  <c r="G36" i="6"/>
  <c r="U372" i="5"/>
  <c r="U371" i="5"/>
  <c r="AE369" i="5"/>
  <c r="C369" i="5"/>
  <c r="AL372" i="5"/>
  <c r="AL371" i="5"/>
  <c r="G15" i="6"/>
  <c r="G26" i="6"/>
  <c r="G24" i="6"/>
  <c r="G109" i="6"/>
  <c r="G12" i="6"/>
  <c r="L19" i="6"/>
  <c r="L25" i="6"/>
  <c r="G38" i="6"/>
  <c r="G35" i="6"/>
  <c r="L84" i="6"/>
  <c r="L44" i="6"/>
  <c r="R44" i="6" s="1"/>
  <c r="G85" i="6"/>
  <c r="L89" i="6"/>
  <c r="L87" i="6"/>
  <c r="L110" i="6"/>
  <c r="L13" i="6"/>
  <c r="L85" i="6"/>
  <c r="L42" i="6"/>
  <c r="L81" i="6"/>
  <c r="L58" i="6"/>
  <c r="L52" i="6"/>
  <c r="G87" i="6"/>
  <c r="H110" i="6"/>
  <c r="H13" i="6"/>
  <c r="L76" i="6"/>
  <c r="L72" i="6"/>
  <c r="L59" i="6"/>
  <c r="L53" i="6"/>
  <c r="L49" i="6"/>
  <c r="L45" i="6"/>
  <c r="R45" i="6" s="1"/>
  <c r="L108" i="6"/>
  <c r="L11" i="6"/>
  <c r="L38" i="6"/>
  <c r="L30" i="6"/>
  <c r="L83" i="6"/>
  <c r="L50" i="6"/>
  <c r="H24" i="6"/>
  <c r="L79" i="6"/>
  <c r="L75" i="6"/>
  <c r="G31" i="6"/>
  <c r="L55" i="6"/>
  <c r="R55" i="6" s="1"/>
  <c r="G16" i="6"/>
  <c r="G86" i="6"/>
  <c r="G82" i="6"/>
  <c r="L73" i="6"/>
  <c r="G17" i="6"/>
  <c r="G79" i="6"/>
  <c r="G30" i="6"/>
  <c r="G23" i="6"/>
  <c r="G108" i="6"/>
  <c r="G11" i="6"/>
  <c r="H25" i="6"/>
  <c r="G114" i="6"/>
  <c r="G22" i="6"/>
  <c r="G115" i="6"/>
  <c r="G34" i="6"/>
  <c r="L90" i="6"/>
  <c r="L78" i="6"/>
  <c r="H19" i="6"/>
  <c r="L88" i="6"/>
  <c r="L80" i="6"/>
  <c r="L86" i="6"/>
  <c r="L54" i="6"/>
  <c r="R54" i="6" s="1"/>
  <c r="L31" i="6"/>
  <c r="L60" i="6"/>
  <c r="L56" i="6"/>
  <c r="L48" i="6"/>
  <c r="G83" i="6"/>
  <c r="L82" i="6"/>
  <c r="L74" i="6"/>
  <c r="R74" i="6" s="1"/>
  <c r="L65" i="6"/>
  <c r="L57" i="6"/>
  <c r="L51" i="6"/>
  <c r="L47" i="6"/>
  <c r="L15" i="6"/>
  <c r="L66" i="6"/>
  <c r="H109" i="6"/>
  <c r="H12" i="6"/>
  <c r="L77" i="6"/>
  <c r="L46" i="6"/>
  <c r="G14" i="6"/>
  <c r="L23" i="6"/>
  <c r="G84" i="6"/>
  <c r="L36" i="6"/>
  <c r="B54" i="6"/>
  <c r="N54" i="6"/>
  <c r="Q54" i="6"/>
  <c r="O54" i="6"/>
  <c r="B45" i="6"/>
  <c r="Q45" i="6"/>
  <c r="N45" i="6"/>
  <c r="O45" i="6"/>
  <c r="B44" i="6"/>
  <c r="N44" i="6"/>
  <c r="Q44" i="6"/>
  <c r="O44" i="6"/>
  <c r="B74" i="6"/>
  <c r="N74" i="6"/>
  <c r="Q74" i="6"/>
  <c r="O74" i="6"/>
  <c r="B55" i="6"/>
  <c r="Q55" i="6"/>
  <c r="N55" i="6"/>
  <c r="O55" i="6"/>
  <c r="AL675" i="5"/>
  <c r="AL672" i="5"/>
  <c r="AL673" i="5"/>
  <c r="AL671" i="5"/>
  <c r="S615" i="5"/>
  <c r="S610" i="5" s="1"/>
  <c r="S586" i="5"/>
  <c r="S581" i="5" s="1"/>
  <c r="AA686" i="5"/>
  <c r="AK686" i="5" s="1"/>
  <c r="X686" i="5"/>
  <c r="AH686" i="5" s="1"/>
  <c r="W686" i="5"/>
  <c r="AG686" i="5" s="1"/>
  <c r="Z686" i="5"/>
  <c r="AJ686" i="5" s="1"/>
  <c r="S654" i="5"/>
  <c r="S660" i="5"/>
  <c r="X575" i="5"/>
  <c r="AH575" i="5" s="1"/>
  <c r="AA575" i="5"/>
  <c r="AK575" i="5" s="1"/>
  <c r="W575" i="5"/>
  <c r="AG575" i="5" s="1"/>
  <c r="Z575" i="5"/>
  <c r="AJ575" i="5" s="1"/>
  <c r="Z680" i="5"/>
  <c r="AJ680" i="5" s="1"/>
  <c r="AA680" i="5"/>
  <c r="AK680" i="5" s="1"/>
  <c r="X680" i="5"/>
  <c r="AH680" i="5" s="1"/>
  <c r="W680" i="5"/>
  <c r="AG680" i="5" s="1"/>
  <c r="C40" i="6"/>
  <c r="C41" i="6" s="1"/>
  <c r="B40" i="6"/>
  <c r="O606" i="5"/>
  <c r="O601" i="5" s="1"/>
  <c r="P606" i="5"/>
  <c r="P601" i="5" s="1"/>
  <c r="R606" i="5"/>
  <c r="R601" i="5" s="1"/>
  <c r="Q606" i="5"/>
  <c r="O680" i="5"/>
  <c r="R680" i="5"/>
  <c r="O660" i="5"/>
  <c r="R660" i="5"/>
  <c r="S606" i="5"/>
  <c r="S601" i="5" s="1"/>
  <c r="R595" i="5"/>
  <c r="R590" i="5" s="1"/>
  <c r="O595" i="5"/>
  <c r="O590" i="5" s="1"/>
  <c r="P595" i="5"/>
  <c r="P590" i="5" s="1"/>
  <c r="Q595" i="5"/>
  <c r="R575" i="5"/>
  <c r="R570" i="5" s="1"/>
  <c r="K117" i="6" s="1"/>
  <c r="O575" i="5"/>
  <c r="O570" i="5" s="1"/>
  <c r="H117" i="6" s="1"/>
  <c r="P575" i="5"/>
  <c r="P570" i="5" s="1"/>
  <c r="I117" i="6" s="1"/>
  <c r="Q575" i="5"/>
  <c r="R615" i="5"/>
  <c r="R610" i="5" s="1"/>
  <c r="O615" i="5"/>
  <c r="O610" i="5" s="1"/>
  <c r="P615" i="5"/>
  <c r="P610" i="5" s="1"/>
  <c r="Q615" i="5"/>
  <c r="O686" i="5"/>
  <c r="R686" i="5"/>
  <c r="O586" i="5"/>
  <c r="O581" i="5" s="1"/>
  <c r="P586" i="5"/>
  <c r="P581" i="5" s="1"/>
  <c r="R586" i="5"/>
  <c r="R581" i="5" s="1"/>
  <c r="Q586" i="5"/>
  <c r="O654" i="5"/>
  <c r="R654" i="5"/>
  <c r="S575" i="5"/>
  <c r="S570" i="5" s="1"/>
  <c r="L117" i="6" s="1"/>
  <c r="S686" i="5"/>
  <c r="S595" i="5"/>
  <c r="S590" i="5" s="1"/>
  <c r="S680" i="5"/>
  <c r="N615" i="5"/>
  <c r="N586" i="5"/>
  <c r="G655" i="5"/>
  <c r="N654" i="5"/>
  <c r="V686" i="5"/>
  <c r="AF686" i="5" s="1"/>
  <c r="N575" i="5"/>
  <c r="Y575" i="5"/>
  <c r="AI575" i="5" s="1"/>
  <c r="G687" i="5"/>
  <c r="N686" i="5"/>
  <c r="N595" i="5"/>
  <c r="G661" i="5"/>
  <c r="N660" i="5"/>
  <c r="N606" i="5"/>
  <c r="AB606" i="5"/>
  <c r="AL606" i="5" s="1"/>
  <c r="G681" i="5"/>
  <c r="N680" i="5"/>
  <c r="Y680" i="5"/>
  <c r="AI680" i="5" s="1"/>
  <c r="V680" i="5"/>
  <c r="AF680" i="5" s="1"/>
  <c r="AB615" i="5"/>
  <c r="AL615" i="5" s="1"/>
  <c r="Y686" i="5"/>
  <c r="AI686" i="5" s="1"/>
  <c r="V575" i="5"/>
  <c r="AF575" i="5" s="1"/>
  <c r="G398" i="5"/>
  <c r="G330" i="5"/>
  <c r="G325" i="5"/>
  <c r="G323" i="5"/>
  <c r="G320" i="5"/>
  <c r="G314" i="5"/>
  <c r="G309" i="5"/>
  <c r="G303" i="5"/>
  <c r="G298" i="5"/>
  <c r="G293" i="5"/>
  <c r="E112" i="5"/>
  <c r="E113" i="5"/>
  <c r="E114" i="5"/>
  <c r="F114" i="5"/>
  <c r="D114" i="5"/>
  <c r="F113" i="5"/>
  <c r="D113" i="5"/>
  <c r="E55" i="5"/>
  <c r="F57" i="5"/>
  <c r="E57" i="5"/>
  <c r="D57" i="5"/>
  <c r="F56" i="5"/>
  <c r="E56" i="5"/>
  <c r="D56" i="5"/>
  <c r="F55" i="5"/>
  <c r="D55" i="5"/>
  <c r="G817" i="5" l="1"/>
  <c r="P817" i="5" s="1"/>
  <c r="F24" i="11"/>
  <c r="H24" i="11" s="1"/>
  <c r="I24" i="11" s="1"/>
  <c r="J24" i="11" s="1"/>
  <c r="C370" i="5"/>
  <c r="C371" i="5"/>
  <c r="C372" i="5"/>
  <c r="R815" i="5"/>
  <c r="P815" i="5"/>
  <c r="Q815" i="5"/>
  <c r="S815" i="5"/>
  <c r="N815" i="5"/>
  <c r="O815" i="5"/>
  <c r="L119" i="6"/>
  <c r="L62" i="6"/>
  <c r="I118" i="6"/>
  <c r="I61" i="6"/>
  <c r="K64" i="6"/>
  <c r="I119" i="6"/>
  <c r="I62" i="6"/>
  <c r="K119" i="6"/>
  <c r="K62" i="6"/>
  <c r="I63" i="6"/>
  <c r="K118" i="6"/>
  <c r="K61" i="6"/>
  <c r="H118" i="6"/>
  <c r="H61" i="6"/>
  <c r="H64" i="6"/>
  <c r="H119" i="6"/>
  <c r="H62" i="6"/>
  <c r="L63" i="6"/>
  <c r="K63" i="6"/>
  <c r="H63" i="6"/>
  <c r="I64" i="6"/>
  <c r="L118" i="6"/>
  <c r="L61" i="6"/>
  <c r="L64" i="6"/>
  <c r="AA301" i="5"/>
  <c r="AK301" i="5" s="1"/>
  <c r="Z301" i="5"/>
  <c r="AJ301" i="5" s="1"/>
  <c r="AA330" i="5"/>
  <c r="AK330" i="5" s="1"/>
  <c r="Z330" i="5"/>
  <c r="AJ330" i="5" s="1"/>
  <c r="W291" i="5"/>
  <c r="AG291" i="5" s="1"/>
  <c r="X291" i="5"/>
  <c r="AH291" i="5" s="1"/>
  <c r="AA291" i="5"/>
  <c r="AK291" i="5" s="1"/>
  <c r="Z291" i="5"/>
  <c r="AJ291" i="5" s="1"/>
  <c r="AA303" i="5"/>
  <c r="AK303" i="5" s="1"/>
  <c r="Z303" i="5"/>
  <c r="AJ303" i="5" s="1"/>
  <c r="X398" i="5"/>
  <c r="AH398" i="5" s="1"/>
  <c r="W398" i="5"/>
  <c r="AG398" i="5" s="1"/>
  <c r="W293" i="5"/>
  <c r="AG293" i="5" s="1"/>
  <c r="X293" i="5"/>
  <c r="AH293" i="5" s="1"/>
  <c r="AA293" i="5"/>
  <c r="AK293" i="5" s="1"/>
  <c r="Z293" i="5"/>
  <c r="AJ293" i="5" s="1"/>
  <c r="Z309" i="5"/>
  <c r="AJ309" i="5" s="1"/>
  <c r="AA309" i="5"/>
  <c r="AK309" i="5" s="1"/>
  <c r="G329" i="5"/>
  <c r="R329" i="5" s="1"/>
  <c r="Z323" i="5"/>
  <c r="AJ323" i="5" s="1"/>
  <c r="AA323" i="5"/>
  <c r="AK323" i="5" s="1"/>
  <c r="X566" i="5"/>
  <c r="AH566" i="5" s="1"/>
  <c r="W566" i="5"/>
  <c r="AG566" i="5" s="1"/>
  <c r="AA566" i="5"/>
  <c r="AK566" i="5" s="1"/>
  <c r="Z566" i="5"/>
  <c r="AJ566" i="5" s="1"/>
  <c r="W681" i="5"/>
  <c r="AG681" i="5" s="1"/>
  <c r="AA681" i="5"/>
  <c r="AK681" i="5" s="1"/>
  <c r="Z681" i="5"/>
  <c r="AJ681" i="5" s="1"/>
  <c r="X681" i="5"/>
  <c r="AH681" i="5" s="1"/>
  <c r="X687" i="5"/>
  <c r="AH687" i="5" s="1"/>
  <c r="Z687" i="5"/>
  <c r="AJ687" i="5" s="1"/>
  <c r="W687" i="5"/>
  <c r="AG687" i="5" s="1"/>
  <c r="AA687" i="5"/>
  <c r="AK687" i="5" s="1"/>
  <c r="G319" i="5"/>
  <c r="Z325" i="5"/>
  <c r="AJ325" i="5" s="1"/>
  <c r="AA325" i="5"/>
  <c r="AK325" i="5" s="1"/>
  <c r="G76" i="9"/>
  <c r="Q86" i="5"/>
  <c r="S86" i="5"/>
  <c r="O86" i="5"/>
  <c r="R86" i="5"/>
  <c r="O291" i="5"/>
  <c r="P291" i="5"/>
  <c r="R291" i="5"/>
  <c r="S291" i="5"/>
  <c r="Q291" i="5"/>
  <c r="O303" i="5"/>
  <c r="P303" i="5"/>
  <c r="R303" i="5"/>
  <c r="S303" i="5"/>
  <c r="Q303" i="5"/>
  <c r="O566" i="5"/>
  <c r="O561" i="5" s="1"/>
  <c r="H116" i="6" s="1"/>
  <c r="P566" i="5"/>
  <c r="P561" i="5" s="1"/>
  <c r="I116" i="6" s="1"/>
  <c r="R566" i="5"/>
  <c r="R561" i="5" s="1"/>
  <c r="K116" i="6" s="1"/>
  <c r="Q566" i="5"/>
  <c r="S566" i="5"/>
  <c r="S561" i="5" s="1"/>
  <c r="L116" i="6" s="1"/>
  <c r="O293" i="5"/>
  <c r="P293" i="5"/>
  <c r="R293" i="5"/>
  <c r="S293" i="5"/>
  <c r="Q293" i="5"/>
  <c r="O298" i="5"/>
  <c r="P298" i="5"/>
  <c r="R298" i="5"/>
  <c r="S298" i="5"/>
  <c r="O309" i="5"/>
  <c r="P309" i="5"/>
  <c r="R309" i="5"/>
  <c r="S309" i="5"/>
  <c r="O320" i="5"/>
  <c r="P320" i="5"/>
  <c r="R320" i="5"/>
  <c r="S320" i="5"/>
  <c r="O330" i="5"/>
  <c r="P330" i="5"/>
  <c r="R330" i="5"/>
  <c r="S330" i="5"/>
  <c r="R681" i="5"/>
  <c r="R676" i="5" s="1"/>
  <c r="K120" i="6" s="1"/>
  <c r="O681" i="5"/>
  <c r="O676" i="5" s="1"/>
  <c r="H120" i="6" s="1"/>
  <c r="S681" i="5"/>
  <c r="S676" i="5" s="1"/>
  <c r="L120" i="6" s="1"/>
  <c r="R661" i="5"/>
  <c r="R656" i="5" s="1"/>
  <c r="O661" i="5"/>
  <c r="O656" i="5" s="1"/>
  <c r="S661" i="5"/>
  <c r="S656" i="5" s="1"/>
  <c r="O325" i="5"/>
  <c r="P325" i="5"/>
  <c r="R325" i="5"/>
  <c r="S325" i="5"/>
  <c r="Q325" i="5"/>
  <c r="G297" i="5"/>
  <c r="O301" i="5"/>
  <c r="P301" i="5"/>
  <c r="R301" i="5"/>
  <c r="S301" i="5"/>
  <c r="Q301" i="5"/>
  <c r="O312" i="5"/>
  <c r="P312" i="5"/>
  <c r="R312" i="5"/>
  <c r="S312" i="5"/>
  <c r="Q312" i="5"/>
  <c r="O323" i="5"/>
  <c r="P323" i="5"/>
  <c r="R323" i="5"/>
  <c r="S323" i="5"/>
  <c r="Q323" i="5"/>
  <c r="P398" i="5"/>
  <c r="P395" i="5" s="1"/>
  <c r="R398" i="5"/>
  <c r="R395" i="5" s="1"/>
  <c r="O398" i="5"/>
  <c r="O395" i="5" s="1"/>
  <c r="Q398" i="5"/>
  <c r="S398" i="5"/>
  <c r="S395" i="5" s="1"/>
  <c r="R687" i="5"/>
  <c r="R682" i="5" s="1"/>
  <c r="K121" i="6" s="1"/>
  <c r="O687" i="5"/>
  <c r="O682" i="5" s="1"/>
  <c r="H121" i="6" s="1"/>
  <c r="S687" i="5"/>
  <c r="S682" i="5" s="1"/>
  <c r="L121" i="6" s="1"/>
  <c r="O314" i="5"/>
  <c r="P314" i="5"/>
  <c r="R314" i="5"/>
  <c r="S314" i="5"/>
  <c r="Q314" i="5"/>
  <c r="R655" i="5"/>
  <c r="R650" i="5" s="1"/>
  <c r="O655" i="5"/>
  <c r="O650" i="5" s="1"/>
  <c r="S655" i="5"/>
  <c r="S650" i="5" s="1"/>
  <c r="N293" i="5"/>
  <c r="V293" i="5"/>
  <c r="AF293" i="5" s="1"/>
  <c r="Y293" i="5"/>
  <c r="AI293" i="5" s="1"/>
  <c r="N681" i="5"/>
  <c r="N676" i="5" s="1"/>
  <c r="G120" i="6" s="1"/>
  <c r="V681" i="5"/>
  <c r="AF681" i="5" s="1"/>
  <c r="Y681" i="5"/>
  <c r="AI681" i="5" s="1"/>
  <c r="N661" i="5"/>
  <c r="N656" i="5" s="1"/>
  <c r="N687" i="5"/>
  <c r="N682" i="5" s="1"/>
  <c r="G121" i="6" s="1"/>
  <c r="Y687" i="5"/>
  <c r="AI687" i="5" s="1"/>
  <c r="V687" i="5"/>
  <c r="AF687" i="5" s="1"/>
  <c r="N298" i="5"/>
  <c r="N309" i="5"/>
  <c r="Y309" i="5"/>
  <c r="AI309" i="5" s="1"/>
  <c r="N320" i="5"/>
  <c r="AB320" i="5"/>
  <c r="AL320" i="5" s="1"/>
  <c r="N330" i="5"/>
  <c r="AB330" i="5"/>
  <c r="AL330" i="5" s="1"/>
  <c r="Y330" i="5"/>
  <c r="AI330" i="5" s="1"/>
  <c r="N655" i="5"/>
  <c r="N650" i="5" s="1"/>
  <c r="G308" i="5"/>
  <c r="N301" i="5"/>
  <c r="Y301" i="5"/>
  <c r="AI301" i="5" s="1"/>
  <c r="AB312" i="5"/>
  <c r="AL312" i="5" s="1"/>
  <c r="N312" i="5"/>
  <c r="AB323" i="5"/>
  <c r="AL323" i="5" s="1"/>
  <c r="N323" i="5"/>
  <c r="Y323" i="5"/>
  <c r="AI323" i="5" s="1"/>
  <c r="N398" i="5"/>
  <c r="AB398" i="5"/>
  <c r="AL398" i="5" s="1"/>
  <c r="V398" i="5"/>
  <c r="AF398" i="5" s="1"/>
  <c r="N86" i="5"/>
  <c r="Y291" i="5"/>
  <c r="AI291" i="5" s="1"/>
  <c r="N291" i="5"/>
  <c r="V291" i="5"/>
  <c r="AF291" i="5" s="1"/>
  <c r="N303" i="5"/>
  <c r="Y303" i="5"/>
  <c r="AI303" i="5" s="1"/>
  <c r="N314" i="5"/>
  <c r="AB314" i="5"/>
  <c r="AL314" i="5" s="1"/>
  <c r="N325" i="5"/>
  <c r="Y325" i="5"/>
  <c r="AI325" i="5" s="1"/>
  <c r="AB325" i="5"/>
  <c r="AL325" i="5" s="1"/>
  <c r="N566" i="5"/>
  <c r="V566" i="5"/>
  <c r="AF566" i="5" s="1"/>
  <c r="Y566" i="5"/>
  <c r="AI566" i="5" s="1"/>
  <c r="E20" i="5"/>
  <c r="Z297" i="5" l="1"/>
  <c r="W297" i="5"/>
  <c r="AG297" i="5" s="1"/>
  <c r="X297" i="5"/>
  <c r="AH297" i="5" s="1"/>
  <c r="V297" i="5"/>
  <c r="AF297" i="5" s="1"/>
  <c r="AA297" i="5"/>
  <c r="Y297" i="5"/>
  <c r="P319" i="5"/>
  <c r="AB319" i="5"/>
  <c r="AL319" i="5" s="1"/>
  <c r="Q817" i="5"/>
  <c r="N817" i="5"/>
  <c r="S817" i="5"/>
  <c r="C817" i="5"/>
  <c r="O817" i="5"/>
  <c r="R817" i="5"/>
  <c r="N329" i="5"/>
  <c r="N321" i="5" s="1"/>
  <c r="P329" i="5"/>
  <c r="S319" i="5"/>
  <c r="S310" i="5" s="1"/>
  <c r="O319" i="5"/>
  <c r="O310" i="5" s="1"/>
  <c r="O329" i="5"/>
  <c r="O321" i="5" s="1"/>
  <c r="AB329" i="5"/>
  <c r="AL329" i="5" s="1"/>
  <c r="S329" i="5"/>
  <c r="S321" i="5" s="1"/>
  <c r="R319" i="5"/>
  <c r="R310" i="5" s="1"/>
  <c r="Y329" i="5"/>
  <c r="AI329" i="5" s="1"/>
  <c r="N319" i="5"/>
  <c r="N310" i="5" s="1"/>
  <c r="L68" i="6"/>
  <c r="K68" i="6"/>
  <c r="L40" i="6"/>
  <c r="R40" i="6" s="1"/>
  <c r="H40" i="6"/>
  <c r="N40" i="6" s="1"/>
  <c r="I40" i="6"/>
  <c r="O40" i="6" s="1"/>
  <c r="H69" i="6"/>
  <c r="G68" i="6"/>
  <c r="G69" i="6"/>
  <c r="H68" i="6"/>
  <c r="K40" i="6"/>
  <c r="Q40" i="6" s="1"/>
  <c r="L69" i="6"/>
  <c r="K69" i="6"/>
  <c r="Z10" i="5"/>
  <c r="AJ10" i="5" s="1"/>
  <c r="W10" i="5"/>
  <c r="AG10" i="5" s="1"/>
  <c r="X10" i="5"/>
  <c r="AH10" i="5" s="1"/>
  <c r="AA10" i="5"/>
  <c r="AK10" i="5" s="1"/>
  <c r="N297" i="5"/>
  <c r="N289" i="5" s="1"/>
  <c r="G111" i="6" s="1"/>
  <c r="AK297" i="5"/>
  <c r="AJ297" i="5"/>
  <c r="Z329" i="5"/>
  <c r="AJ329" i="5" s="1"/>
  <c r="AA329" i="5"/>
  <c r="AK329" i="5" s="1"/>
  <c r="AA308" i="5"/>
  <c r="AK308" i="5" s="1"/>
  <c r="Z308" i="5"/>
  <c r="AJ308" i="5" s="1"/>
  <c r="AI297" i="5"/>
  <c r="R321" i="5"/>
  <c r="S10" i="5"/>
  <c r="O10" i="5"/>
  <c r="N10" i="5"/>
  <c r="Q10" i="5"/>
  <c r="R10" i="5"/>
  <c r="S87" i="5"/>
  <c r="S84" i="5" s="1"/>
  <c r="O87" i="5"/>
  <c r="O84" i="5" s="1"/>
  <c r="Q87" i="5"/>
  <c r="Q84" i="5" s="1"/>
  <c r="R87" i="5"/>
  <c r="R84" i="5" s="1"/>
  <c r="O308" i="5"/>
  <c r="O299" i="5" s="1"/>
  <c r="P308" i="5"/>
  <c r="R308" i="5"/>
  <c r="R299" i="5" s="1"/>
  <c r="S308" i="5"/>
  <c r="S299" i="5" s="1"/>
  <c r="O297" i="5"/>
  <c r="O289" i="5" s="1"/>
  <c r="P297" i="5"/>
  <c r="R297" i="5"/>
  <c r="R289" i="5" s="1"/>
  <c r="K111" i="6" s="1"/>
  <c r="S297" i="5"/>
  <c r="S289" i="5" s="1"/>
  <c r="L111" i="6" s="1"/>
  <c r="G11" i="5"/>
  <c r="V10" i="5"/>
  <c r="AF10" i="5" s="1"/>
  <c r="Y10" i="5"/>
  <c r="AI10" i="5" s="1"/>
  <c r="N87" i="5"/>
  <c r="N84" i="5" s="1"/>
  <c r="N308" i="5"/>
  <c r="N299" i="5" s="1"/>
  <c r="Y308" i="5"/>
  <c r="AI308" i="5" s="1"/>
  <c r="C624" i="5"/>
  <c r="C625" i="5"/>
  <c r="C626" i="5"/>
  <c r="C627" i="5"/>
  <c r="C628" i="5"/>
  <c r="C629" i="5"/>
  <c r="C623" i="5"/>
  <c r="D620" i="5"/>
  <c r="E620" i="5"/>
  <c r="F620" i="5"/>
  <c r="C558" i="5"/>
  <c r="C559" i="5"/>
  <c r="C552" i="5"/>
  <c r="C542" i="5"/>
  <c r="C519" i="5"/>
  <c r="C487" i="5"/>
  <c r="C489" i="5"/>
  <c r="C480" i="5"/>
  <c r="C334" i="5"/>
  <c r="C335" i="5"/>
  <c r="C339" i="5"/>
  <c r="C333" i="5"/>
  <c r="C288" i="5"/>
  <c r="C287" i="5"/>
  <c r="C220" i="5"/>
  <c r="C221" i="5"/>
  <c r="C222" i="5"/>
  <c r="C219" i="5"/>
  <c r="D640" i="5"/>
  <c r="E640" i="5"/>
  <c r="F640" i="5"/>
  <c r="G107" i="6" l="1"/>
  <c r="G10" i="6"/>
  <c r="G29" i="6"/>
  <c r="G112" i="6"/>
  <c r="G27" i="6"/>
  <c r="G28" i="6"/>
  <c r="H111" i="6"/>
  <c r="H29" i="6"/>
  <c r="L112" i="6"/>
  <c r="L27" i="6"/>
  <c r="K107" i="6"/>
  <c r="K10" i="6"/>
  <c r="H107" i="6"/>
  <c r="H10" i="6"/>
  <c r="K29" i="6"/>
  <c r="H28" i="6"/>
  <c r="K28" i="6"/>
  <c r="K112" i="6"/>
  <c r="K27" i="6"/>
  <c r="H112" i="6"/>
  <c r="H27" i="6"/>
  <c r="J107" i="6"/>
  <c r="J10" i="6"/>
  <c r="L107" i="6"/>
  <c r="L10" i="6"/>
  <c r="L28" i="6"/>
  <c r="L29" i="6"/>
  <c r="Z11" i="5"/>
  <c r="AJ11" i="5" s="1"/>
  <c r="W11" i="5"/>
  <c r="AG11" i="5" s="1"/>
  <c r="AA11" i="5"/>
  <c r="AK11" i="5" s="1"/>
  <c r="X11" i="5"/>
  <c r="AH11" i="5" s="1"/>
  <c r="O11" i="5"/>
  <c r="O8" i="5" s="1"/>
  <c r="Q11" i="5"/>
  <c r="Q8" i="5" s="1"/>
  <c r="S11" i="5"/>
  <c r="S8" i="5" s="1"/>
  <c r="R11" i="5"/>
  <c r="R8" i="5" s="1"/>
  <c r="N11" i="5"/>
  <c r="N8" i="5" s="1"/>
  <c r="Y11" i="5"/>
  <c r="AI11" i="5" s="1"/>
  <c r="V11" i="5"/>
  <c r="AF11" i="5" s="1"/>
  <c r="G1247" i="8"/>
  <c r="F1247" i="8"/>
  <c r="E1247" i="8"/>
  <c r="G1246" i="8"/>
  <c r="F1246" i="8"/>
  <c r="E1246" i="8"/>
  <c r="G1245" i="8"/>
  <c r="F1245" i="8"/>
  <c r="E1245" i="8"/>
  <c r="G1244" i="8"/>
  <c r="F1244" i="8"/>
  <c r="E1244" i="8"/>
  <c r="G1243" i="8"/>
  <c r="F1243" i="8"/>
  <c r="E1243" i="8"/>
  <c r="G1242" i="8"/>
  <c r="F1242" i="8"/>
  <c r="E1242" i="8"/>
  <c r="G1241" i="8"/>
  <c r="F1241" i="8"/>
  <c r="E1241" i="8"/>
  <c r="G1240" i="8"/>
  <c r="F1240" i="8"/>
  <c r="E1240" i="8"/>
  <c r="G1239" i="8"/>
  <c r="F1239" i="8"/>
  <c r="E1239" i="8"/>
  <c r="G1238" i="8"/>
  <c r="F1238" i="8"/>
  <c r="E1238" i="8"/>
  <c r="G1237" i="8"/>
  <c r="F1237" i="8"/>
  <c r="E1237" i="8"/>
  <c r="G1236" i="8"/>
  <c r="F1236" i="8"/>
  <c r="E1236" i="8"/>
  <c r="G1235" i="8"/>
  <c r="F1235" i="8"/>
  <c r="E1235" i="8"/>
  <c r="G1234" i="8"/>
  <c r="F1234" i="8"/>
  <c r="E1234" i="8"/>
  <c r="G1233" i="8"/>
  <c r="F1233" i="8"/>
  <c r="E1233" i="8"/>
  <c r="G1232" i="8"/>
  <c r="F1232" i="8"/>
  <c r="E1232" i="8"/>
  <c r="G1231" i="8"/>
  <c r="F1231" i="8"/>
  <c r="E1231" i="8"/>
  <c r="G1230" i="8"/>
  <c r="F1230" i="8"/>
  <c r="E1230" i="8"/>
  <c r="G1227" i="8"/>
  <c r="F1227" i="8"/>
  <c r="E1227" i="8"/>
  <c r="G1226" i="8"/>
  <c r="F1226" i="8"/>
  <c r="E1226" i="8"/>
  <c r="G1225" i="8"/>
  <c r="F1225" i="8"/>
  <c r="E1225" i="8"/>
  <c r="G1224" i="8"/>
  <c r="F1224" i="8"/>
  <c r="E1224" i="8"/>
  <c r="G1223" i="8"/>
  <c r="F1223" i="8"/>
  <c r="E1223" i="8"/>
  <c r="G1222" i="8"/>
  <c r="F1222" i="8"/>
  <c r="E1222" i="8"/>
  <c r="G1221" i="8"/>
  <c r="F1221" i="8"/>
  <c r="E1221" i="8"/>
  <c r="G1220" i="8"/>
  <c r="F1220" i="8"/>
  <c r="E1220" i="8"/>
  <c r="G1219" i="8"/>
  <c r="F1219" i="8"/>
  <c r="E1219" i="8"/>
  <c r="G1218" i="8"/>
  <c r="F1218" i="8"/>
  <c r="E1218" i="8"/>
  <c r="G1217" i="8"/>
  <c r="F1217" i="8"/>
  <c r="E1217" i="8"/>
  <c r="G1216" i="8"/>
  <c r="F1216" i="8"/>
  <c r="E1216" i="8"/>
  <c r="G1215" i="8"/>
  <c r="F1215" i="8"/>
  <c r="E1215" i="8"/>
  <c r="G1214" i="8"/>
  <c r="F1214" i="8"/>
  <c r="E1214" i="8"/>
  <c r="G1213" i="8"/>
  <c r="F1213" i="8"/>
  <c r="E1213" i="8"/>
  <c r="G1212" i="8"/>
  <c r="F1212" i="8"/>
  <c r="E1212" i="8"/>
  <c r="G1211" i="8"/>
  <c r="F1211" i="8"/>
  <c r="E1211" i="8"/>
  <c r="G1210" i="8"/>
  <c r="F1210" i="8"/>
  <c r="E1210" i="8"/>
  <c r="G1209" i="8"/>
  <c r="F1209" i="8"/>
  <c r="E1209" i="8"/>
  <c r="G1206" i="8"/>
  <c r="F1206" i="8"/>
  <c r="E1206" i="8"/>
  <c r="G1205" i="8"/>
  <c r="F1205" i="8"/>
  <c r="E1205" i="8"/>
  <c r="G1204" i="8"/>
  <c r="F1204" i="8"/>
  <c r="E1204" i="8"/>
  <c r="G1203" i="8"/>
  <c r="F1203" i="8"/>
  <c r="E1203" i="8"/>
  <c r="G1202" i="8"/>
  <c r="F1202" i="8"/>
  <c r="E1202" i="8"/>
  <c r="G1199" i="8"/>
  <c r="F1199" i="8"/>
  <c r="E1199" i="8"/>
  <c r="G1196" i="8"/>
  <c r="E1196" i="8"/>
  <c r="G1195" i="8"/>
  <c r="E1195" i="8"/>
  <c r="G1194" i="8"/>
  <c r="F1194" i="8"/>
  <c r="E1194" i="8"/>
  <c r="G1193" i="8"/>
  <c r="F1193" i="8"/>
  <c r="E1193" i="8"/>
  <c r="G1192" i="8"/>
  <c r="F1192" i="8"/>
  <c r="E1192" i="8"/>
  <c r="G1191" i="8"/>
  <c r="F1191" i="8"/>
  <c r="E1191" i="8"/>
  <c r="G1190" i="8"/>
  <c r="F1190" i="8"/>
  <c r="E1190" i="8"/>
  <c r="G1189" i="8"/>
  <c r="F1189" i="8"/>
  <c r="E1189" i="8"/>
  <c r="G1186" i="8"/>
  <c r="F1186" i="8"/>
  <c r="E1186" i="8"/>
  <c r="G1185" i="8"/>
  <c r="F1185" i="8"/>
  <c r="E1185" i="8"/>
  <c r="G1184" i="8"/>
  <c r="F1184" i="8"/>
  <c r="E1184" i="8"/>
  <c r="G1181" i="8"/>
  <c r="F1181" i="8"/>
  <c r="E1181" i="8"/>
  <c r="G1180" i="8"/>
  <c r="F1180" i="8"/>
  <c r="E1180" i="8"/>
  <c r="G1179" i="8"/>
  <c r="F1179" i="8"/>
  <c r="E1179" i="8"/>
  <c r="G1178" i="8"/>
  <c r="F1178" i="8"/>
  <c r="E1178" i="8"/>
  <c r="G1177" i="8"/>
  <c r="F1177" i="8"/>
  <c r="E1177" i="8"/>
  <c r="G1176" i="8"/>
  <c r="F1176" i="8"/>
  <c r="E1176" i="8"/>
  <c r="G1173" i="8"/>
  <c r="F1173" i="8"/>
  <c r="E1173" i="8"/>
  <c r="G1172" i="8"/>
  <c r="F1172" i="8"/>
  <c r="E1172" i="8"/>
  <c r="G1171" i="8"/>
  <c r="F1171" i="8"/>
  <c r="E1171" i="8"/>
  <c r="G1170" i="8"/>
  <c r="F1170" i="8"/>
  <c r="E1170" i="8"/>
  <c r="D1169" i="8"/>
  <c r="D1174" i="8" s="1"/>
  <c r="D1182" i="8" s="1"/>
  <c r="D1187" i="8" s="1"/>
  <c r="D1197" i="8" s="1"/>
  <c r="D1200" i="8" s="1"/>
  <c r="D1207" i="8" s="1"/>
  <c r="D1228" i="8" s="1"/>
  <c r="D1247" i="8" s="1"/>
  <c r="G1167" i="8"/>
  <c r="F1167" i="8"/>
  <c r="E1167" i="8"/>
  <c r="G1166" i="8"/>
  <c r="F1166" i="8"/>
  <c r="E1166" i="8"/>
  <c r="G1165" i="8"/>
  <c r="F1165" i="8"/>
  <c r="E1165" i="8"/>
  <c r="G1164" i="8"/>
  <c r="F1164" i="8"/>
  <c r="E1164" i="8"/>
  <c r="G1163" i="8"/>
  <c r="F1163" i="8"/>
  <c r="E1163" i="8"/>
  <c r="G1162" i="8"/>
  <c r="F1162" i="8"/>
  <c r="E1162" i="8"/>
  <c r="G1159" i="8"/>
  <c r="F1159" i="8"/>
  <c r="E1159" i="8"/>
  <c r="G1158" i="8"/>
  <c r="F1158" i="8"/>
  <c r="E1158" i="8"/>
  <c r="G1157" i="8"/>
  <c r="F1157" i="8"/>
  <c r="E1157" i="8"/>
  <c r="G1156" i="8"/>
  <c r="F1156" i="8"/>
  <c r="E1156" i="8"/>
  <c r="G1155" i="8"/>
  <c r="F1155" i="8"/>
  <c r="E1155" i="8"/>
  <c r="G1154" i="8"/>
  <c r="F1154" i="8"/>
  <c r="E1154" i="8"/>
  <c r="G1153" i="8"/>
  <c r="F1153" i="8"/>
  <c r="E1153" i="8"/>
  <c r="G1152" i="8"/>
  <c r="F1152" i="8"/>
  <c r="E1152" i="8"/>
  <c r="G1151" i="8"/>
  <c r="F1151" i="8"/>
  <c r="E1151" i="8"/>
  <c r="G1150" i="8"/>
  <c r="F1150" i="8"/>
  <c r="E1150" i="8"/>
  <c r="G1149" i="8"/>
  <c r="F1149" i="8"/>
  <c r="E1149" i="8"/>
  <c r="G1148" i="8"/>
  <c r="F1148" i="8"/>
  <c r="E1148" i="8"/>
  <c r="G1147" i="8"/>
  <c r="F1147" i="8"/>
  <c r="E1147" i="8"/>
  <c r="G1146" i="8"/>
  <c r="F1146" i="8"/>
  <c r="E1146" i="8"/>
  <c r="G1145" i="8"/>
  <c r="F1145" i="8"/>
  <c r="E1145" i="8"/>
  <c r="G1144" i="8"/>
  <c r="F1144" i="8"/>
  <c r="E1144" i="8"/>
  <c r="G1143" i="8"/>
  <c r="F1143" i="8"/>
  <c r="E1143" i="8"/>
  <c r="G1142" i="8"/>
  <c r="F1142" i="8"/>
  <c r="E1142" i="8"/>
  <c r="G1138" i="8"/>
  <c r="F1138" i="8"/>
  <c r="E1138" i="8"/>
  <c r="G1137" i="8"/>
  <c r="F1137" i="8"/>
  <c r="E1137" i="8"/>
  <c r="G1136" i="8"/>
  <c r="F1136" i="8"/>
  <c r="E1136" i="8"/>
  <c r="G1135" i="8"/>
  <c r="F1135" i="8"/>
  <c r="E1135" i="8"/>
  <c r="G1134" i="8"/>
  <c r="F1134" i="8"/>
  <c r="E1134" i="8"/>
  <c r="G1133" i="8"/>
  <c r="F1133" i="8"/>
  <c r="E1133" i="8"/>
  <c r="G1132" i="8"/>
  <c r="F1132" i="8"/>
  <c r="E1132" i="8"/>
  <c r="G1131" i="8"/>
  <c r="F1131" i="8"/>
  <c r="E1131" i="8"/>
  <c r="G1130" i="8"/>
  <c r="G1129" i="8"/>
  <c r="G1128" i="8"/>
  <c r="G1127" i="8"/>
  <c r="F1127" i="8"/>
  <c r="E1127" i="8"/>
  <c r="G1126" i="8"/>
  <c r="F1126" i="8"/>
  <c r="E1126" i="8"/>
  <c r="G1125" i="8"/>
  <c r="F1125" i="8"/>
  <c r="E1125" i="8"/>
  <c r="G1124" i="8"/>
  <c r="F1124" i="8"/>
  <c r="E1124" i="8"/>
  <c r="G1123" i="8"/>
  <c r="F1123" i="8"/>
  <c r="E1123" i="8"/>
  <c r="G1122" i="8"/>
  <c r="F1122" i="8"/>
  <c r="E1122" i="8"/>
  <c r="G1121" i="8"/>
  <c r="F1121" i="8"/>
  <c r="E1121" i="8"/>
  <c r="G1120" i="8"/>
  <c r="F1120" i="8"/>
  <c r="E1120" i="8"/>
  <c r="G1117" i="8"/>
  <c r="F1117" i="8"/>
  <c r="E1117" i="8"/>
  <c r="G1116" i="8"/>
  <c r="F1116" i="8"/>
  <c r="E1116" i="8"/>
  <c r="G1115" i="8"/>
  <c r="F1115" i="8"/>
  <c r="E1115" i="8"/>
  <c r="G1114" i="8"/>
  <c r="F1114" i="8"/>
  <c r="E1114" i="8"/>
  <c r="G1113" i="8"/>
  <c r="F1113" i="8"/>
  <c r="E1113" i="8"/>
  <c r="G1110" i="8"/>
  <c r="F1110" i="8"/>
  <c r="E1110" i="8"/>
  <c r="G1107" i="8"/>
  <c r="E1107" i="8"/>
  <c r="G1106" i="8"/>
  <c r="E1106" i="8"/>
  <c r="G1105" i="8"/>
  <c r="F1105" i="8"/>
  <c r="E1105" i="8"/>
  <c r="G1104" i="8"/>
  <c r="F1104" i="8"/>
  <c r="E1104" i="8"/>
  <c r="G1102" i="8"/>
  <c r="F1102" i="8"/>
  <c r="E1102" i="8"/>
  <c r="G1101" i="8"/>
  <c r="F1101" i="8"/>
  <c r="E1101" i="8"/>
  <c r="G1100" i="8"/>
  <c r="F1100" i="8"/>
  <c r="E1100" i="8"/>
  <c r="G1099" i="8"/>
  <c r="F1099" i="8"/>
  <c r="E1099" i="8"/>
  <c r="G1096" i="8"/>
  <c r="F1096" i="8"/>
  <c r="E1096" i="8"/>
  <c r="G1095" i="8"/>
  <c r="F1095" i="8"/>
  <c r="E1095" i="8"/>
  <c r="G1094" i="8"/>
  <c r="F1094" i="8"/>
  <c r="E1094" i="8"/>
  <c r="G1090" i="8"/>
  <c r="F1090" i="8"/>
  <c r="E1090" i="8"/>
  <c r="G1089" i="8"/>
  <c r="F1089" i="8"/>
  <c r="E1089" i="8"/>
  <c r="G1088" i="8"/>
  <c r="F1088" i="8"/>
  <c r="E1088" i="8"/>
  <c r="G1087" i="8"/>
  <c r="F1087" i="8"/>
  <c r="E1087" i="8"/>
  <c r="G1086" i="8"/>
  <c r="F1086" i="8"/>
  <c r="E1086" i="8"/>
  <c r="G1085" i="8"/>
  <c r="F1085" i="8"/>
  <c r="E1085" i="8"/>
  <c r="G1082" i="8"/>
  <c r="F1082" i="8"/>
  <c r="E1082" i="8"/>
  <c r="G1081" i="8"/>
  <c r="F1081" i="8"/>
  <c r="E1081" i="8"/>
  <c r="G1080" i="8"/>
  <c r="F1080" i="8"/>
  <c r="E1080" i="8"/>
  <c r="G1079" i="8"/>
  <c r="F1079" i="8"/>
  <c r="E1079" i="8"/>
  <c r="D1078" i="8"/>
  <c r="D1083" i="8" s="1"/>
  <c r="D1092" i="8" s="1"/>
  <c r="D1097" i="8" s="1"/>
  <c r="D1108" i="8" s="1"/>
  <c r="D1111" i="8" s="1"/>
  <c r="D1118" i="8" s="1"/>
  <c r="D1140" i="8" s="1"/>
  <c r="D1159" i="8" s="1"/>
  <c r="G1076" i="8"/>
  <c r="F1076" i="8"/>
  <c r="E1076" i="8"/>
  <c r="G1075" i="8"/>
  <c r="F1075" i="8"/>
  <c r="E1075" i="8"/>
  <c r="G1074" i="8"/>
  <c r="F1074" i="8"/>
  <c r="E1074" i="8"/>
  <c r="G1073" i="8"/>
  <c r="F1073" i="8"/>
  <c r="E1073" i="8"/>
  <c r="G1072" i="8"/>
  <c r="F1072" i="8"/>
  <c r="E1072" i="8"/>
  <c r="G1071" i="8"/>
  <c r="F1071" i="8"/>
  <c r="E1071" i="8"/>
  <c r="G1068" i="8"/>
  <c r="F1068" i="8"/>
  <c r="E1068" i="8"/>
  <c r="G1067" i="8"/>
  <c r="F1067" i="8"/>
  <c r="E1067" i="8"/>
  <c r="G1066" i="8"/>
  <c r="F1066" i="8"/>
  <c r="E1066" i="8"/>
  <c r="G1065" i="8"/>
  <c r="E1065" i="8"/>
  <c r="G1064" i="8"/>
  <c r="F1064" i="8"/>
  <c r="E1064" i="8"/>
  <c r="G1061" i="8"/>
  <c r="F1061" i="8"/>
  <c r="E1061" i="8"/>
  <c r="G1059" i="8"/>
  <c r="F1059" i="8"/>
  <c r="E1059" i="8"/>
  <c r="G1058" i="8"/>
  <c r="E1058" i="8"/>
  <c r="G1057" i="8"/>
  <c r="E1057" i="8"/>
  <c r="G1056" i="8"/>
  <c r="E1056" i="8"/>
  <c r="G1055" i="8"/>
  <c r="F1055" i="8"/>
  <c r="E1055" i="8"/>
  <c r="G1054" i="8"/>
  <c r="F1054" i="8"/>
  <c r="E1054" i="8"/>
  <c r="G1053" i="8"/>
  <c r="F1053" i="8"/>
  <c r="E1053" i="8"/>
  <c r="G1052" i="8"/>
  <c r="F1052" i="8"/>
  <c r="G1051" i="8"/>
  <c r="F1051" i="8"/>
  <c r="G1050" i="8"/>
  <c r="F1050" i="8"/>
  <c r="E1050" i="8"/>
  <c r="G1049" i="8"/>
  <c r="F1049" i="8"/>
  <c r="E1049" i="8"/>
  <c r="G1046" i="8"/>
  <c r="F1046" i="8"/>
  <c r="E1046" i="8"/>
  <c r="G1044" i="8"/>
  <c r="E1044" i="8"/>
  <c r="G1043" i="8"/>
  <c r="F1043" i="8"/>
  <c r="E1043" i="8"/>
  <c r="G1042" i="8"/>
  <c r="E1042" i="8"/>
  <c r="G1041" i="8"/>
  <c r="F1041" i="8"/>
  <c r="E1041" i="8"/>
  <c r="G1040" i="8"/>
  <c r="F1040" i="8"/>
  <c r="E1040" i="8"/>
  <c r="G1039" i="8"/>
  <c r="F1039" i="8"/>
  <c r="E1039" i="8"/>
  <c r="G1038" i="8"/>
  <c r="F1038" i="8"/>
  <c r="E1038" i="8"/>
  <c r="G1037" i="8"/>
  <c r="G1036" i="8"/>
  <c r="G1035" i="8"/>
  <c r="G1034" i="8"/>
  <c r="F1034" i="8"/>
  <c r="E1034" i="8"/>
  <c r="G1033" i="8"/>
  <c r="F1033" i="8"/>
  <c r="E1033" i="8"/>
  <c r="G1032" i="8"/>
  <c r="F1032" i="8"/>
  <c r="E1032" i="8"/>
  <c r="G1031" i="8"/>
  <c r="F1031" i="8"/>
  <c r="G1030" i="8"/>
  <c r="F1030" i="8"/>
  <c r="G1028" i="8"/>
  <c r="F1028" i="8"/>
  <c r="E1028" i="8"/>
  <c r="G1027" i="8"/>
  <c r="F1027" i="8"/>
  <c r="E1027" i="8"/>
  <c r="G1026" i="8"/>
  <c r="F1026" i="8"/>
  <c r="E1026" i="8"/>
  <c r="G1023" i="8"/>
  <c r="F1023" i="8"/>
  <c r="E1023" i="8"/>
  <c r="G1022" i="8"/>
  <c r="F1022" i="8"/>
  <c r="G1021" i="8"/>
  <c r="F1021" i="8"/>
  <c r="G1020" i="8"/>
  <c r="F1020" i="8"/>
  <c r="G1019" i="8"/>
  <c r="F1019" i="8"/>
  <c r="E1019" i="8"/>
  <c r="G1016" i="8"/>
  <c r="F1016" i="8"/>
  <c r="E1016" i="8"/>
  <c r="G1013" i="8"/>
  <c r="E1013" i="8"/>
  <c r="G1012" i="8"/>
  <c r="E1012" i="8"/>
  <c r="G1011" i="8"/>
  <c r="F1011" i="8"/>
  <c r="E1011" i="8"/>
  <c r="G1010" i="8"/>
  <c r="F1010" i="8"/>
  <c r="E1010" i="8"/>
  <c r="G1008" i="8"/>
  <c r="F1008" i="8"/>
  <c r="E1008" i="8"/>
  <c r="G1007" i="8"/>
  <c r="F1007" i="8"/>
  <c r="E1007" i="8"/>
  <c r="G1006" i="8"/>
  <c r="F1006" i="8"/>
  <c r="E1006" i="8"/>
  <c r="G1005" i="8"/>
  <c r="F1005" i="8"/>
  <c r="E1005" i="8"/>
  <c r="G1002" i="8"/>
  <c r="F1002" i="8"/>
  <c r="E1002" i="8"/>
  <c r="G1000" i="8"/>
  <c r="F1000" i="8"/>
  <c r="E1000" i="8"/>
  <c r="G999" i="8"/>
  <c r="F999" i="8"/>
  <c r="E999" i="8"/>
  <c r="G995" i="8"/>
  <c r="F995" i="8"/>
  <c r="E995" i="8"/>
  <c r="G994" i="8"/>
  <c r="F994" i="8"/>
  <c r="E994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7" i="8"/>
  <c r="F987" i="8"/>
  <c r="E987" i="8"/>
  <c r="G986" i="8"/>
  <c r="F986" i="8"/>
  <c r="E986" i="8"/>
  <c r="G985" i="8"/>
  <c r="F985" i="8"/>
  <c r="E985" i="8"/>
  <c r="G984" i="8"/>
  <c r="F984" i="8"/>
  <c r="E984" i="8"/>
  <c r="D983" i="8"/>
  <c r="D988" i="8" s="1"/>
  <c r="D997" i="8" s="1"/>
  <c r="D1003" i="8" s="1"/>
  <c r="D1014" i="8" s="1"/>
  <c r="D1017" i="8" s="1"/>
  <c r="D1024" i="8" s="1"/>
  <c r="D1047" i="8" s="1"/>
  <c r="D1068" i="8" s="1"/>
  <c r="G981" i="8"/>
  <c r="F981" i="8"/>
  <c r="E981" i="8"/>
  <c r="G980" i="8"/>
  <c r="F980" i="8"/>
  <c r="E980" i="8"/>
  <c r="G978" i="8"/>
  <c r="F978" i="8"/>
  <c r="E978" i="8"/>
  <c r="G977" i="8"/>
  <c r="F977" i="8"/>
  <c r="E977" i="8"/>
  <c r="G976" i="8"/>
  <c r="F976" i="8"/>
  <c r="E976" i="8"/>
  <c r="G975" i="8"/>
  <c r="E975" i="8"/>
  <c r="G972" i="8"/>
  <c r="F972" i="8"/>
  <c r="E972" i="8"/>
  <c r="G960" i="8"/>
  <c r="F960" i="8"/>
  <c r="E960" i="8"/>
  <c r="G959" i="8"/>
  <c r="F959" i="8"/>
  <c r="E959" i="8"/>
  <c r="G954" i="8"/>
  <c r="F954" i="8"/>
  <c r="E954" i="8"/>
  <c r="G953" i="8"/>
  <c r="F953" i="8"/>
  <c r="E953" i="8"/>
  <c r="G950" i="8"/>
  <c r="F950" i="8"/>
  <c r="E950" i="8"/>
  <c r="G948" i="8"/>
  <c r="F948" i="8"/>
  <c r="E948" i="8"/>
  <c r="G947" i="8"/>
  <c r="E947" i="8"/>
  <c r="G946" i="8"/>
  <c r="E946" i="8"/>
  <c r="G945" i="8"/>
  <c r="E945" i="8"/>
  <c r="G944" i="8"/>
  <c r="F944" i="8"/>
  <c r="E944" i="8"/>
  <c r="G943" i="8"/>
  <c r="F943" i="8"/>
  <c r="E943" i="8"/>
  <c r="G942" i="8"/>
  <c r="F942" i="8"/>
  <c r="E942" i="8"/>
  <c r="G941" i="8"/>
  <c r="F941" i="8"/>
  <c r="G940" i="8"/>
  <c r="F940" i="8"/>
  <c r="G938" i="8"/>
  <c r="F938" i="8"/>
  <c r="E938" i="8"/>
  <c r="G937" i="8"/>
  <c r="F937" i="8"/>
  <c r="E937" i="8"/>
  <c r="G933" i="8"/>
  <c r="F933" i="8"/>
  <c r="E933" i="8"/>
  <c r="G932" i="8"/>
  <c r="F932" i="8"/>
  <c r="E932" i="8"/>
  <c r="G927" i="8"/>
  <c r="F927" i="8"/>
  <c r="E927" i="8"/>
  <c r="G926" i="8"/>
  <c r="F926" i="8"/>
  <c r="E926" i="8"/>
  <c r="G925" i="8"/>
  <c r="F925" i="8"/>
  <c r="E925" i="8"/>
  <c r="G924" i="8"/>
  <c r="F924" i="8"/>
  <c r="E924" i="8"/>
  <c r="G923" i="8"/>
  <c r="F923" i="8"/>
  <c r="E923" i="8"/>
  <c r="G922" i="8"/>
  <c r="E922" i="8"/>
  <c r="G921" i="8"/>
  <c r="E921" i="8"/>
  <c r="G920" i="8"/>
  <c r="E920" i="8"/>
  <c r="G919" i="8"/>
  <c r="F919" i="8"/>
  <c r="E919" i="8"/>
  <c r="G918" i="8"/>
  <c r="F918" i="8"/>
  <c r="E918" i="8"/>
  <c r="G917" i="8"/>
  <c r="F917" i="8"/>
  <c r="E917" i="8"/>
  <c r="G916" i="8"/>
  <c r="F916" i="8"/>
  <c r="G915" i="8"/>
  <c r="F915" i="8"/>
  <c r="G914" i="8"/>
  <c r="F914" i="8"/>
  <c r="E914" i="8"/>
  <c r="G913" i="8"/>
  <c r="F913" i="8"/>
  <c r="E913" i="8"/>
  <c r="G912" i="8"/>
  <c r="F912" i="8"/>
  <c r="E912" i="8"/>
  <c r="G909" i="8"/>
  <c r="F909" i="8"/>
  <c r="E909" i="8"/>
  <c r="G908" i="8"/>
  <c r="F908" i="8"/>
  <c r="G907" i="8"/>
  <c r="F907" i="8"/>
  <c r="G906" i="8"/>
  <c r="F906" i="8"/>
  <c r="G905" i="8"/>
  <c r="F905" i="8"/>
  <c r="E905" i="8"/>
  <c r="G902" i="8"/>
  <c r="F902" i="8"/>
  <c r="E902" i="8"/>
  <c r="G899" i="8"/>
  <c r="E899" i="8"/>
  <c r="G898" i="8"/>
  <c r="E898" i="8"/>
  <c r="G897" i="8"/>
  <c r="F897" i="8"/>
  <c r="E897" i="8"/>
  <c r="G896" i="8"/>
  <c r="F896" i="8"/>
  <c r="E896" i="8"/>
  <c r="G895" i="8"/>
  <c r="F895" i="8"/>
  <c r="E895" i="8"/>
  <c r="G894" i="8"/>
  <c r="F894" i="8"/>
  <c r="E894" i="8"/>
  <c r="G893" i="8"/>
  <c r="F893" i="8"/>
  <c r="E893" i="8"/>
  <c r="G892" i="8"/>
  <c r="E892" i="8"/>
  <c r="G889" i="8"/>
  <c r="F889" i="8"/>
  <c r="E889" i="8"/>
  <c r="G888" i="8"/>
  <c r="F888" i="8"/>
  <c r="E888" i="8"/>
  <c r="G887" i="8"/>
  <c r="F887" i="8"/>
  <c r="E887" i="8"/>
  <c r="G883" i="8"/>
  <c r="F883" i="8"/>
  <c r="E883" i="8"/>
  <c r="G882" i="8"/>
  <c r="F882" i="8"/>
  <c r="E882" i="8"/>
  <c r="G881" i="8"/>
  <c r="F881" i="8"/>
  <c r="E881" i="8"/>
  <c r="G880" i="8"/>
  <c r="F880" i="8"/>
  <c r="E880" i="8"/>
  <c r="G879" i="8"/>
  <c r="F879" i="8"/>
  <c r="E879" i="8"/>
  <c r="G878" i="8"/>
  <c r="F878" i="8"/>
  <c r="E878" i="8"/>
  <c r="G875" i="8"/>
  <c r="F875" i="8"/>
  <c r="E875" i="8"/>
  <c r="G874" i="8"/>
  <c r="F874" i="8"/>
  <c r="E874" i="8"/>
  <c r="G873" i="8"/>
  <c r="F873" i="8"/>
  <c r="E873" i="8"/>
  <c r="G872" i="8"/>
  <c r="F872" i="8"/>
  <c r="E872" i="8"/>
  <c r="D871" i="8"/>
  <c r="D876" i="8" s="1"/>
  <c r="D885" i="8" s="1"/>
  <c r="D890" i="8" s="1"/>
  <c r="D900" i="8" s="1"/>
  <c r="D903" i="8" s="1"/>
  <c r="D910" i="8" s="1"/>
  <c r="D935" i="8" s="1"/>
  <c r="D961" i="8" s="1"/>
  <c r="D972" i="8" s="1"/>
  <c r="G869" i="8"/>
  <c r="F869" i="8"/>
  <c r="E869" i="8"/>
  <c r="G868" i="8"/>
  <c r="F868" i="8"/>
  <c r="E868" i="8"/>
  <c r="G866" i="8"/>
  <c r="F866" i="8"/>
  <c r="G865" i="8"/>
  <c r="F865" i="8"/>
  <c r="E865" i="8"/>
  <c r="G864" i="8"/>
  <c r="F864" i="8"/>
  <c r="E864" i="8"/>
  <c r="G863" i="8"/>
  <c r="F863" i="8"/>
  <c r="E863" i="8"/>
  <c r="F790" i="8"/>
  <c r="G777" i="8"/>
  <c r="F777" i="8"/>
  <c r="E777" i="8"/>
  <c r="G776" i="8"/>
  <c r="F776" i="8"/>
  <c r="E776" i="8"/>
  <c r="G775" i="8"/>
  <c r="F775" i="8"/>
  <c r="E775" i="8"/>
  <c r="F733" i="8"/>
  <c r="G100" i="6" l="1"/>
  <c r="L100" i="6"/>
  <c r="H100" i="6"/>
  <c r="K100" i="6"/>
  <c r="J100" i="6"/>
  <c r="D95" i="15"/>
  <c r="D30" i="13"/>
  <c r="D36" i="14" s="1"/>
  <c r="D125" i="11"/>
  <c r="D44" i="11"/>
  <c r="D148" i="11"/>
  <c r="D21" i="11"/>
  <c r="D67" i="11"/>
  <c r="D170" i="11"/>
  <c r="D102" i="11"/>
  <c r="D160" i="15"/>
  <c r="D85" i="13"/>
  <c r="D106" i="14" s="1"/>
  <c r="D175" i="11"/>
  <c r="D107" i="11"/>
  <c r="D130" i="11"/>
  <c r="D153" i="11"/>
  <c r="D212" i="15"/>
  <c r="D129" i="13"/>
  <c r="D162" i="14" s="1"/>
  <c r="D157" i="11"/>
  <c r="D179" i="11"/>
  <c r="D111" i="11"/>
  <c r="D134" i="11"/>
  <c r="D173" i="15"/>
  <c r="D96" i="13"/>
  <c r="D120" i="14" s="1"/>
  <c r="D154" i="11"/>
  <c r="D108" i="11"/>
  <c r="D27" i="11"/>
  <c r="D73" i="11"/>
  <c r="D131" i="11"/>
  <c r="D176" i="11"/>
  <c r="D50" i="11"/>
  <c r="D225" i="15"/>
  <c r="D141" i="13"/>
  <c r="D176" i="14" s="1"/>
  <c r="D77" i="11"/>
  <c r="D54" i="11"/>
  <c r="D31" i="11"/>
  <c r="D158" i="11"/>
  <c r="D112" i="11"/>
  <c r="D180" i="11"/>
  <c r="D135" i="11"/>
  <c r="D108" i="15"/>
  <c r="D41" i="13"/>
  <c r="D50" i="14" s="1"/>
  <c r="D171" i="11"/>
  <c r="D126" i="11"/>
  <c r="D68" i="11"/>
  <c r="D45" i="11"/>
  <c r="D149" i="11"/>
  <c r="D103" i="11"/>
  <c r="D22" i="11"/>
  <c r="D186" i="15"/>
  <c r="D107" i="13"/>
  <c r="D134" i="14" s="1"/>
  <c r="D177" i="11"/>
  <c r="D132" i="11"/>
  <c r="D155" i="11"/>
  <c r="D109" i="11"/>
  <c r="D74" i="11"/>
  <c r="D51" i="11"/>
  <c r="D28" i="11"/>
  <c r="D238" i="15"/>
  <c r="D152" i="13"/>
  <c r="D190" i="14" s="1"/>
  <c r="D181" i="11"/>
  <c r="D136" i="11"/>
  <c r="D32" i="11"/>
  <c r="D55" i="11"/>
  <c r="D159" i="11"/>
  <c r="D113" i="11"/>
  <c r="D78" i="11"/>
  <c r="D121" i="15"/>
  <c r="D63" i="13"/>
  <c r="D78" i="14" s="1"/>
  <c r="D70" i="11"/>
  <c r="D47" i="11"/>
  <c r="D24" i="11"/>
  <c r="D173" i="11"/>
  <c r="D128" i="11"/>
  <c r="D105" i="11"/>
  <c r="D151" i="11"/>
  <c r="D199" i="15"/>
  <c r="D118" i="13"/>
  <c r="D148" i="14" s="1"/>
  <c r="D178" i="11"/>
  <c r="D133" i="11"/>
  <c r="D75" i="11"/>
  <c r="D52" i="11"/>
  <c r="D110" i="11"/>
  <c r="D29" i="11"/>
  <c r="D156" i="11"/>
  <c r="D49" i="11"/>
  <c r="D72" i="11"/>
  <c r="D25" i="11"/>
  <c r="D53" i="11"/>
  <c r="D76" i="11"/>
  <c r="D30" i="11"/>
  <c r="G860" i="8"/>
  <c r="F860" i="8"/>
  <c r="E860" i="8"/>
  <c r="G845" i="8"/>
  <c r="F845" i="8"/>
  <c r="E845" i="8"/>
  <c r="G844" i="8"/>
  <c r="F844" i="8"/>
  <c r="E844" i="8"/>
  <c r="G839" i="8"/>
  <c r="F839" i="8"/>
  <c r="E839" i="8"/>
  <c r="G838" i="8"/>
  <c r="F838" i="8"/>
  <c r="E838" i="8"/>
  <c r="G837" i="8"/>
  <c r="F837" i="8"/>
  <c r="E837" i="8"/>
  <c r="G835" i="8"/>
  <c r="F835" i="8"/>
  <c r="E835" i="8"/>
  <c r="G834" i="8"/>
  <c r="E834" i="8"/>
  <c r="G833" i="8"/>
  <c r="E833" i="8"/>
  <c r="G832" i="8"/>
  <c r="E832" i="8"/>
  <c r="G831" i="8"/>
  <c r="F831" i="8"/>
  <c r="E831" i="8"/>
  <c r="G830" i="8"/>
  <c r="F830" i="8"/>
  <c r="E830" i="8"/>
  <c r="G829" i="8"/>
  <c r="F829" i="8"/>
  <c r="E829" i="8"/>
  <c r="G828" i="8"/>
  <c r="F828" i="8"/>
  <c r="G827" i="8"/>
  <c r="F827" i="8"/>
  <c r="G825" i="8"/>
  <c r="F825" i="8"/>
  <c r="E825" i="8"/>
  <c r="G824" i="8"/>
  <c r="F824" i="8"/>
  <c r="E824" i="8"/>
  <c r="G821" i="8"/>
  <c r="F821" i="8"/>
  <c r="E821" i="8"/>
  <c r="G820" i="8"/>
  <c r="F820" i="8"/>
  <c r="E820" i="8"/>
  <c r="G816" i="8"/>
  <c r="F816" i="8"/>
  <c r="E816" i="8"/>
  <c r="G815" i="8"/>
  <c r="F815" i="8"/>
  <c r="E815" i="8"/>
  <c r="G814" i="8"/>
  <c r="F814" i="8"/>
  <c r="E814" i="8"/>
  <c r="G813" i="8"/>
  <c r="F813" i="8"/>
  <c r="E813" i="8"/>
  <c r="G812" i="8"/>
  <c r="F812" i="8"/>
  <c r="E812" i="8"/>
  <c r="G811" i="8"/>
  <c r="F811" i="8"/>
  <c r="E811" i="8"/>
  <c r="G810" i="8"/>
  <c r="E810" i="8"/>
  <c r="G809" i="8"/>
  <c r="E809" i="8"/>
  <c r="G808" i="8"/>
  <c r="E808" i="8"/>
  <c r="G807" i="8"/>
  <c r="F807" i="8"/>
  <c r="E807" i="8"/>
  <c r="G806" i="8"/>
  <c r="F806" i="8"/>
  <c r="E806" i="8"/>
  <c r="G805" i="8"/>
  <c r="F805" i="8"/>
  <c r="E805" i="8"/>
  <c r="G804" i="8"/>
  <c r="F804" i="8"/>
  <c r="G803" i="8"/>
  <c r="F803" i="8"/>
  <c r="G802" i="8"/>
  <c r="F802" i="8"/>
  <c r="E802" i="8"/>
  <c r="G801" i="8"/>
  <c r="F801" i="8"/>
  <c r="E801" i="8"/>
  <c r="G800" i="8"/>
  <c r="F800" i="8"/>
  <c r="E800" i="8"/>
  <c r="G797" i="8"/>
  <c r="F797" i="8"/>
  <c r="E797" i="8"/>
  <c r="G796" i="8"/>
  <c r="F796" i="8"/>
  <c r="G795" i="8"/>
  <c r="F795" i="8"/>
  <c r="G794" i="8"/>
  <c r="F794" i="8"/>
  <c r="G793" i="8"/>
  <c r="F793" i="8"/>
  <c r="E793" i="8"/>
  <c r="G790" i="8"/>
  <c r="E790" i="8"/>
  <c r="G787" i="8"/>
  <c r="E787" i="8"/>
  <c r="G786" i="8"/>
  <c r="E786" i="8"/>
  <c r="G785" i="8"/>
  <c r="F785" i="8"/>
  <c r="E785" i="8"/>
  <c r="G784" i="8"/>
  <c r="F784" i="8"/>
  <c r="E784" i="8"/>
  <c r="G783" i="8"/>
  <c r="F783" i="8"/>
  <c r="E783" i="8"/>
  <c r="G782" i="8"/>
  <c r="F782" i="8"/>
  <c r="E782" i="8"/>
  <c r="G781" i="8"/>
  <c r="F781" i="8"/>
  <c r="E781" i="8"/>
  <c r="G780" i="8"/>
  <c r="E780" i="8"/>
  <c r="G771" i="8"/>
  <c r="F771" i="8"/>
  <c r="E771" i="8"/>
  <c r="G770" i="8"/>
  <c r="F770" i="8"/>
  <c r="E770" i="8"/>
  <c r="G769" i="8"/>
  <c r="F769" i="8"/>
  <c r="E769" i="8"/>
  <c r="G768" i="8"/>
  <c r="F768" i="8"/>
  <c r="E768" i="8"/>
  <c r="G767" i="8"/>
  <c r="F767" i="8"/>
  <c r="E767" i="8"/>
  <c r="G766" i="8"/>
  <c r="F766" i="8"/>
  <c r="E766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D735" i="8"/>
  <c r="G733" i="8"/>
  <c r="E733" i="8"/>
  <c r="G732" i="8"/>
  <c r="F732" i="8"/>
  <c r="E732" i="8"/>
  <c r="G730" i="8"/>
  <c r="F730" i="8"/>
  <c r="G729" i="8"/>
  <c r="F729" i="8"/>
  <c r="E729" i="8"/>
  <c r="G728" i="8"/>
  <c r="F728" i="8"/>
  <c r="E728" i="8"/>
  <c r="G727" i="8"/>
  <c r="F727" i="8"/>
  <c r="E727" i="8"/>
  <c r="D39" i="8"/>
  <c r="D45" i="8" s="1"/>
  <c r="D53" i="8" s="1"/>
  <c r="D63" i="8" s="1"/>
  <c r="D66" i="8" s="1"/>
  <c r="D73" i="8" s="1"/>
  <c r="D94" i="8" s="1"/>
  <c r="D113" i="8" s="1"/>
  <c r="D123" i="8"/>
  <c r="D128" i="8" s="1"/>
  <c r="D136" i="8" s="1"/>
  <c r="D146" i="8" s="1"/>
  <c r="D149" i="8" s="1"/>
  <c r="D156" i="8" s="1"/>
  <c r="D177" i="8" s="1"/>
  <c r="D196" i="8" s="1"/>
  <c r="D206" i="8"/>
  <c r="D212" i="8" s="1"/>
  <c r="D220" i="8" s="1"/>
  <c r="D230" i="8" s="1"/>
  <c r="D233" i="8" s="1"/>
  <c r="D240" i="8" s="1"/>
  <c r="D261" i="8" s="1"/>
  <c r="D280" i="8" s="1"/>
  <c r="D560" i="8"/>
  <c r="D566" i="8" s="1"/>
  <c r="D575" i="8" s="1"/>
  <c r="D586" i="8" s="1"/>
  <c r="D589" i="8" s="1"/>
  <c r="D596" i="8" s="1"/>
  <c r="D618" i="8" s="1"/>
  <c r="D639" i="8" s="1"/>
  <c r="D649" i="8"/>
  <c r="D655" i="8" s="1"/>
  <c r="D664" i="8" s="1"/>
  <c r="D674" i="8" s="1"/>
  <c r="D677" i="8" s="1"/>
  <c r="D684" i="8" s="1"/>
  <c r="D705" i="8" s="1"/>
  <c r="D724" i="8" s="1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6" i="8"/>
  <c r="F676" i="8"/>
  <c r="E676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657" i="8"/>
  <c r="F657" i="8"/>
  <c r="E657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642" i="8"/>
  <c r="F642" i="8"/>
  <c r="E642" i="8"/>
  <c r="G639" i="8"/>
  <c r="F639" i="8"/>
  <c r="E639" i="8"/>
  <c r="G638" i="8"/>
  <c r="F638" i="8"/>
  <c r="E638" i="8"/>
  <c r="G637" i="8"/>
  <c r="F637" i="8"/>
  <c r="E637" i="8"/>
  <c r="G636" i="8"/>
  <c r="E636" i="8"/>
  <c r="G635" i="8"/>
  <c r="F635" i="8"/>
  <c r="E635" i="8"/>
  <c r="G632" i="8"/>
  <c r="F632" i="8"/>
  <c r="E632" i="8"/>
  <c r="G630" i="8"/>
  <c r="F630" i="8"/>
  <c r="E630" i="8"/>
  <c r="G629" i="8"/>
  <c r="G628" i="8"/>
  <c r="G627" i="8"/>
  <c r="G626" i="8"/>
  <c r="F626" i="8"/>
  <c r="E626" i="8"/>
  <c r="G625" i="8"/>
  <c r="F625" i="8"/>
  <c r="E625" i="8"/>
  <c r="G624" i="8"/>
  <c r="F624" i="8"/>
  <c r="E624" i="8"/>
  <c r="G623" i="8"/>
  <c r="F623" i="8"/>
  <c r="G622" i="8"/>
  <c r="F622" i="8"/>
  <c r="G621" i="8"/>
  <c r="F621" i="8"/>
  <c r="E621" i="8"/>
  <c r="G620" i="8"/>
  <c r="F620" i="8"/>
  <c r="E620" i="8"/>
  <c r="G617" i="8"/>
  <c r="E617" i="8"/>
  <c r="G615" i="8"/>
  <c r="F615" i="8"/>
  <c r="E615" i="8"/>
  <c r="G614" i="8"/>
  <c r="F614" i="8"/>
  <c r="E614" i="8"/>
  <c r="G613" i="8"/>
  <c r="E613" i="8"/>
  <c r="G612" i="8"/>
  <c r="F612" i="8"/>
  <c r="E612" i="8"/>
  <c r="G611" i="8"/>
  <c r="F611" i="8"/>
  <c r="E611" i="8"/>
  <c r="G610" i="8"/>
  <c r="F610" i="8"/>
  <c r="E610" i="8"/>
  <c r="G609" i="8"/>
  <c r="F609" i="8"/>
  <c r="E609" i="8"/>
  <c r="G608" i="8"/>
  <c r="G607" i="8"/>
  <c r="G606" i="8"/>
  <c r="G605" i="8"/>
  <c r="F605" i="8"/>
  <c r="E605" i="8"/>
  <c r="G604" i="8"/>
  <c r="F604" i="8"/>
  <c r="E604" i="8"/>
  <c r="G603" i="8"/>
  <c r="F603" i="8"/>
  <c r="E603" i="8"/>
  <c r="G602" i="8"/>
  <c r="F602" i="8"/>
  <c r="G601" i="8"/>
  <c r="F601" i="8"/>
  <c r="G600" i="8"/>
  <c r="F600" i="8"/>
  <c r="E600" i="8"/>
  <c r="G599" i="8"/>
  <c r="F599" i="8"/>
  <c r="E599" i="8"/>
  <c r="G598" i="8"/>
  <c r="F598" i="8"/>
  <c r="E598" i="8"/>
  <c r="G595" i="8"/>
  <c r="F595" i="8"/>
  <c r="E595" i="8"/>
  <c r="G594" i="8"/>
  <c r="F594" i="8"/>
  <c r="G593" i="8"/>
  <c r="F593" i="8"/>
  <c r="G592" i="8"/>
  <c r="F592" i="8"/>
  <c r="G591" i="8"/>
  <c r="F591" i="8"/>
  <c r="E591" i="8"/>
  <c r="G588" i="8"/>
  <c r="F588" i="8"/>
  <c r="E588" i="8"/>
  <c r="G585" i="8"/>
  <c r="E585" i="8"/>
  <c r="G584" i="8"/>
  <c r="E584" i="8"/>
  <c r="G583" i="8"/>
  <c r="F583" i="8"/>
  <c r="F582" i="8"/>
  <c r="G580" i="8"/>
  <c r="F580" i="8"/>
  <c r="G579" i="8"/>
  <c r="F579" i="8"/>
  <c r="E579" i="8"/>
  <c r="G578" i="8"/>
  <c r="F578" i="8"/>
  <c r="E578" i="8"/>
  <c r="G577" i="8"/>
  <c r="F577" i="8"/>
  <c r="E577" i="8"/>
  <c r="G574" i="8"/>
  <c r="F574" i="8"/>
  <c r="E574" i="8"/>
  <c r="G572" i="8"/>
  <c r="F572" i="8"/>
  <c r="E572" i="8"/>
  <c r="G571" i="8"/>
  <c r="F571" i="8"/>
  <c r="E571" i="8"/>
  <c r="G570" i="8"/>
  <c r="F570" i="8"/>
  <c r="E570" i="8"/>
  <c r="G569" i="8"/>
  <c r="F569" i="8"/>
  <c r="E569" i="8"/>
  <c r="G568" i="8"/>
  <c r="F568" i="8"/>
  <c r="E568" i="8"/>
  <c r="G564" i="8"/>
  <c r="F564" i="8"/>
  <c r="E564" i="8"/>
  <c r="G563" i="8"/>
  <c r="F563" i="8"/>
  <c r="E563" i="8"/>
  <c r="G562" i="8"/>
  <c r="F562" i="8"/>
  <c r="E562" i="8"/>
  <c r="G561" i="8"/>
  <c r="F561" i="8"/>
  <c r="E561" i="8"/>
  <c r="G558" i="8"/>
  <c r="E558" i="8"/>
  <c r="G557" i="8"/>
  <c r="E557" i="8"/>
  <c r="G555" i="8"/>
  <c r="E555" i="8"/>
  <c r="G554" i="8"/>
  <c r="F554" i="8"/>
  <c r="E554" i="8"/>
  <c r="G553" i="8"/>
  <c r="F553" i="8"/>
  <c r="E553" i="8"/>
  <c r="G552" i="8"/>
  <c r="F552" i="8"/>
  <c r="E552" i="8"/>
  <c r="G280" i="8"/>
  <c r="F280" i="8"/>
  <c r="E280" i="8"/>
  <c r="G279" i="8"/>
  <c r="F279" i="8"/>
  <c r="E279" i="8"/>
  <c r="G278" i="8"/>
  <c r="F278" i="8"/>
  <c r="E278" i="8"/>
  <c r="G277" i="8"/>
  <c r="F277" i="8"/>
  <c r="E277" i="8"/>
  <c r="G276" i="8"/>
  <c r="F276" i="8"/>
  <c r="E276" i="8"/>
  <c r="G275" i="8"/>
  <c r="F275" i="8"/>
  <c r="E275" i="8"/>
  <c r="G274" i="8"/>
  <c r="F274" i="8"/>
  <c r="E274" i="8"/>
  <c r="G273" i="8"/>
  <c r="F273" i="8"/>
  <c r="E273" i="8"/>
  <c r="G272" i="8"/>
  <c r="F272" i="8"/>
  <c r="E272" i="8"/>
  <c r="G271" i="8"/>
  <c r="F271" i="8"/>
  <c r="E271" i="8"/>
  <c r="G270" i="8"/>
  <c r="F270" i="8"/>
  <c r="E270" i="8"/>
  <c r="G269" i="8"/>
  <c r="F269" i="8"/>
  <c r="E269" i="8"/>
  <c r="G268" i="8"/>
  <c r="F268" i="8"/>
  <c r="E268" i="8"/>
  <c r="G267" i="8"/>
  <c r="F267" i="8"/>
  <c r="E267" i="8"/>
  <c r="G266" i="8"/>
  <c r="F266" i="8"/>
  <c r="E266" i="8"/>
  <c r="G265" i="8"/>
  <c r="F265" i="8"/>
  <c r="E265" i="8"/>
  <c r="G264" i="8"/>
  <c r="F264" i="8"/>
  <c r="E264" i="8"/>
  <c r="G263" i="8"/>
  <c r="F263" i="8"/>
  <c r="E263" i="8"/>
  <c r="G260" i="8"/>
  <c r="F260" i="8"/>
  <c r="E260" i="8"/>
  <c r="G259" i="8"/>
  <c r="F259" i="8"/>
  <c r="E259" i="8"/>
  <c r="G258" i="8"/>
  <c r="F258" i="8"/>
  <c r="E258" i="8"/>
  <c r="G257" i="8"/>
  <c r="F257" i="8"/>
  <c r="E257" i="8"/>
  <c r="G256" i="8"/>
  <c r="F256" i="8"/>
  <c r="E256" i="8"/>
  <c r="G255" i="8"/>
  <c r="F255" i="8"/>
  <c r="E255" i="8"/>
  <c r="G254" i="8"/>
  <c r="F254" i="8"/>
  <c r="E254" i="8"/>
  <c r="G253" i="8"/>
  <c r="F253" i="8"/>
  <c r="E253" i="8"/>
  <c r="G252" i="8"/>
  <c r="F252" i="8"/>
  <c r="E252" i="8"/>
  <c r="G251" i="8"/>
  <c r="F251" i="8"/>
  <c r="E251" i="8"/>
  <c r="G250" i="8"/>
  <c r="F250" i="8"/>
  <c r="E250" i="8"/>
  <c r="G249" i="8"/>
  <c r="F249" i="8"/>
  <c r="E249" i="8"/>
  <c r="G248" i="8"/>
  <c r="F248" i="8"/>
  <c r="E248" i="8"/>
  <c r="G247" i="8"/>
  <c r="F247" i="8"/>
  <c r="E247" i="8"/>
  <c r="G246" i="8"/>
  <c r="F246" i="8"/>
  <c r="E246" i="8"/>
  <c r="G245" i="8"/>
  <c r="F245" i="8"/>
  <c r="E245" i="8"/>
  <c r="G244" i="8"/>
  <c r="F244" i="8"/>
  <c r="E244" i="8"/>
  <c r="G243" i="8"/>
  <c r="F243" i="8"/>
  <c r="E243" i="8"/>
  <c r="G242" i="8"/>
  <c r="F242" i="8"/>
  <c r="E242" i="8"/>
  <c r="G239" i="8"/>
  <c r="F239" i="8"/>
  <c r="E239" i="8"/>
  <c r="G238" i="8"/>
  <c r="F238" i="8"/>
  <c r="E238" i="8"/>
  <c r="G237" i="8"/>
  <c r="F237" i="8"/>
  <c r="E237" i="8"/>
  <c r="G236" i="8"/>
  <c r="F236" i="8"/>
  <c r="E236" i="8"/>
  <c r="G235" i="8"/>
  <c r="F235" i="8"/>
  <c r="E235" i="8"/>
  <c r="G232" i="8"/>
  <c r="F232" i="8"/>
  <c r="E232" i="8"/>
  <c r="G229" i="8"/>
  <c r="F229" i="8"/>
  <c r="E229" i="8"/>
  <c r="G228" i="8"/>
  <c r="F228" i="8"/>
  <c r="E228" i="8"/>
  <c r="G227" i="8"/>
  <c r="F227" i="8"/>
  <c r="E227" i="8"/>
  <c r="G226" i="8"/>
  <c r="F226" i="8"/>
  <c r="E226" i="8"/>
  <c r="G225" i="8"/>
  <c r="F225" i="8"/>
  <c r="E225" i="8"/>
  <c r="G224" i="8"/>
  <c r="F224" i="8"/>
  <c r="E224" i="8"/>
  <c r="G223" i="8"/>
  <c r="F223" i="8"/>
  <c r="E223" i="8"/>
  <c r="G222" i="8"/>
  <c r="F222" i="8"/>
  <c r="E222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4" i="8"/>
  <c r="F204" i="8"/>
  <c r="E204" i="8"/>
  <c r="G203" i="8"/>
  <c r="F203" i="8"/>
  <c r="E203" i="8"/>
  <c r="G202" i="8"/>
  <c r="F202" i="8"/>
  <c r="E202" i="8"/>
  <c r="G201" i="8"/>
  <c r="F201" i="8"/>
  <c r="E201" i="8"/>
  <c r="G200" i="8"/>
  <c r="F200" i="8"/>
  <c r="E200" i="8"/>
  <c r="G199" i="8"/>
  <c r="F199" i="8"/>
  <c r="E199" i="8"/>
  <c r="G196" i="8"/>
  <c r="F196" i="8"/>
  <c r="E196" i="8"/>
  <c r="G195" i="8"/>
  <c r="F195" i="8"/>
  <c r="E195" i="8"/>
  <c r="G194" i="8"/>
  <c r="F194" i="8"/>
  <c r="E194" i="8"/>
  <c r="G193" i="8"/>
  <c r="F193" i="8"/>
  <c r="E193" i="8"/>
  <c r="G192" i="8"/>
  <c r="F192" i="8"/>
  <c r="E192" i="8"/>
  <c r="G191" i="8"/>
  <c r="F191" i="8"/>
  <c r="E191" i="8"/>
  <c r="G190" i="8"/>
  <c r="F190" i="8"/>
  <c r="E190" i="8"/>
  <c r="G189" i="8"/>
  <c r="F189" i="8"/>
  <c r="E189" i="8"/>
  <c r="G188" i="8"/>
  <c r="F188" i="8"/>
  <c r="E188" i="8"/>
  <c r="G187" i="8"/>
  <c r="F187" i="8"/>
  <c r="E187" i="8"/>
  <c r="G186" i="8"/>
  <c r="F186" i="8"/>
  <c r="E186" i="8"/>
  <c r="G185" i="8"/>
  <c r="F185" i="8"/>
  <c r="E185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48" i="8"/>
  <c r="F148" i="8"/>
  <c r="E148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1" i="8"/>
  <c r="F121" i="8"/>
  <c r="E121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G116" i="8"/>
  <c r="F116" i="8"/>
  <c r="E116" i="8"/>
  <c r="E97" i="8"/>
  <c r="F97" i="8"/>
  <c r="G97" i="8"/>
  <c r="E98" i="8"/>
  <c r="F98" i="8"/>
  <c r="G98" i="8"/>
  <c r="E99" i="8"/>
  <c r="F99" i="8"/>
  <c r="G99" i="8"/>
  <c r="E100" i="8"/>
  <c r="F100" i="8"/>
  <c r="G100" i="8"/>
  <c r="E101" i="8"/>
  <c r="F101" i="8"/>
  <c r="G101" i="8"/>
  <c r="E102" i="8"/>
  <c r="F102" i="8"/>
  <c r="G102" i="8"/>
  <c r="E103" i="8"/>
  <c r="F103" i="8"/>
  <c r="G103" i="8"/>
  <c r="E104" i="8"/>
  <c r="F104" i="8"/>
  <c r="G104" i="8"/>
  <c r="E105" i="8"/>
  <c r="F105" i="8"/>
  <c r="G105" i="8"/>
  <c r="E106" i="8"/>
  <c r="F106" i="8"/>
  <c r="G106" i="8"/>
  <c r="E107" i="8"/>
  <c r="F107" i="8"/>
  <c r="G107" i="8"/>
  <c r="E108" i="8"/>
  <c r="F108" i="8"/>
  <c r="G108" i="8"/>
  <c r="E109" i="8"/>
  <c r="F109" i="8"/>
  <c r="G109" i="8"/>
  <c r="E110" i="8"/>
  <c r="F110" i="8"/>
  <c r="G110" i="8"/>
  <c r="E111" i="8"/>
  <c r="F111" i="8"/>
  <c r="G111" i="8"/>
  <c r="E112" i="8"/>
  <c r="F112" i="8"/>
  <c r="G112" i="8"/>
  <c r="E76" i="8"/>
  <c r="F76" i="8"/>
  <c r="G76" i="8"/>
  <c r="E77" i="8"/>
  <c r="F77" i="8"/>
  <c r="G77" i="8"/>
  <c r="E78" i="8"/>
  <c r="F78" i="8"/>
  <c r="G78" i="8"/>
  <c r="E79" i="8"/>
  <c r="F79" i="8"/>
  <c r="G79" i="8"/>
  <c r="E80" i="8"/>
  <c r="F80" i="8"/>
  <c r="G80" i="8"/>
  <c r="E81" i="8"/>
  <c r="F81" i="8"/>
  <c r="G81" i="8"/>
  <c r="E82" i="8"/>
  <c r="F82" i="8"/>
  <c r="G82" i="8"/>
  <c r="E83" i="8"/>
  <c r="F83" i="8"/>
  <c r="G83" i="8"/>
  <c r="E84" i="8"/>
  <c r="F84" i="8"/>
  <c r="G84" i="8"/>
  <c r="E85" i="8"/>
  <c r="F85" i="8"/>
  <c r="G85" i="8"/>
  <c r="E86" i="8"/>
  <c r="F86" i="8"/>
  <c r="G86" i="8"/>
  <c r="E87" i="8"/>
  <c r="F87" i="8"/>
  <c r="G87" i="8"/>
  <c r="E88" i="8"/>
  <c r="F88" i="8"/>
  <c r="G88" i="8"/>
  <c r="E89" i="8"/>
  <c r="F89" i="8"/>
  <c r="G89" i="8"/>
  <c r="E90" i="8"/>
  <c r="F90" i="8"/>
  <c r="G90" i="8"/>
  <c r="E91" i="8"/>
  <c r="F91" i="8"/>
  <c r="G91" i="8"/>
  <c r="E92" i="8"/>
  <c r="F92" i="8"/>
  <c r="G92" i="8"/>
  <c r="E93" i="8"/>
  <c r="F93" i="8"/>
  <c r="G93" i="8"/>
  <c r="E69" i="8"/>
  <c r="F69" i="8"/>
  <c r="G69" i="8"/>
  <c r="E70" i="8"/>
  <c r="F70" i="8"/>
  <c r="G70" i="8"/>
  <c r="E71" i="8"/>
  <c r="F71" i="8"/>
  <c r="G71" i="8"/>
  <c r="E72" i="8"/>
  <c r="F72" i="8"/>
  <c r="G72" i="8"/>
  <c r="E56" i="8"/>
  <c r="F56" i="8"/>
  <c r="G56" i="8"/>
  <c r="E57" i="8"/>
  <c r="F57" i="8"/>
  <c r="G57" i="8"/>
  <c r="E58" i="8"/>
  <c r="F58" i="8"/>
  <c r="G58" i="8"/>
  <c r="E59" i="8"/>
  <c r="F59" i="8"/>
  <c r="G59" i="8"/>
  <c r="E60" i="8"/>
  <c r="F60" i="8"/>
  <c r="G60" i="8"/>
  <c r="E61" i="8"/>
  <c r="F61" i="8"/>
  <c r="G61" i="8"/>
  <c r="E62" i="8"/>
  <c r="F62" i="8"/>
  <c r="G62" i="8"/>
  <c r="E48" i="8"/>
  <c r="F48" i="8"/>
  <c r="G48" i="8"/>
  <c r="E49" i="8"/>
  <c r="F49" i="8"/>
  <c r="G49" i="8"/>
  <c r="E50" i="8"/>
  <c r="F50" i="8"/>
  <c r="G50" i="8"/>
  <c r="E51" i="8"/>
  <c r="F51" i="8"/>
  <c r="G51" i="8"/>
  <c r="E52" i="8"/>
  <c r="F52" i="8"/>
  <c r="G52" i="8"/>
  <c r="G113" i="8"/>
  <c r="F113" i="8"/>
  <c r="E113" i="8"/>
  <c r="G96" i="8"/>
  <c r="F96" i="8"/>
  <c r="E96" i="8"/>
  <c r="G75" i="8"/>
  <c r="F75" i="8"/>
  <c r="E75" i="8"/>
  <c r="G68" i="8"/>
  <c r="F68" i="8"/>
  <c r="E68" i="8"/>
  <c r="G65" i="8"/>
  <c r="F65" i="8"/>
  <c r="E65" i="8"/>
  <c r="G55" i="8"/>
  <c r="F55" i="8"/>
  <c r="E55" i="8"/>
  <c r="G47" i="8"/>
  <c r="F47" i="8"/>
  <c r="E47" i="8"/>
  <c r="E42" i="8"/>
  <c r="F42" i="8"/>
  <c r="G42" i="8"/>
  <c r="E43" i="8"/>
  <c r="F43" i="8"/>
  <c r="G43" i="8"/>
  <c r="E44" i="8"/>
  <c r="F44" i="8"/>
  <c r="G44" i="8"/>
  <c r="G41" i="8"/>
  <c r="F41" i="8"/>
  <c r="E41" i="8"/>
  <c r="E33" i="8"/>
  <c r="E34" i="8"/>
  <c r="E35" i="8"/>
  <c r="E36" i="8"/>
  <c r="E37" i="8"/>
  <c r="E32" i="8"/>
  <c r="G33" i="8"/>
  <c r="G34" i="8"/>
  <c r="G35" i="8"/>
  <c r="G36" i="8"/>
  <c r="G37" i="8"/>
  <c r="G32" i="8"/>
  <c r="F33" i="8"/>
  <c r="F34" i="8"/>
  <c r="F35" i="8"/>
  <c r="F36" i="8"/>
  <c r="F37" i="8"/>
  <c r="F32" i="8"/>
  <c r="D740" i="8" l="1"/>
  <c r="D744" i="8" s="1"/>
  <c r="D752" i="8" s="1"/>
  <c r="D764" i="8" s="1"/>
  <c r="D773" i="8" s="1"/>
  <c r="D778" i="8" s="1"/>
  <c r="D788" i="8" s="1"/>
  <c r="D791" i="8" s="1"/>
  <c r="D798" i="8" s="1"/>
  <c r="D822" i="8" s="1"/>
  <c r="D846" i="8" s="1"/>
  <c r="D860" i="8" s="1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3" i="5"/>
  <c r="E513" i="5"/>
  <c r="D513" i="5"/>
  <c r="F512" i="5"/>
  <c r="E512" i="5"/>
  <c r="D512" i="5"/>
  <c r="F511" i="5"/>
  <c r="E511" i="5"/>
  <c r="D511" i="5"/>
  <c r="F510" i="5"/>
  <c r="E510" i="5"/>
  <c r="D510" i="5"/>
  <c r="F509" i="5"/>
  <c r="E509" i="5"/>
  <c r="D509" i="5"/>
  <c r="E60" i="6"/>
  <c r="D60" i="6"/>
  <c r="E59" i="6"/>
  <c r="D59" i="6"/>
  <c r="E58" i="6"/>
  <c r="D58" i="6"/>
  <c r="E57" i="6"/>
  <c r="D57" i="6"/>
  <c r="F713" i="5"/>
  <c r="E713" i="5"/>
  <c r="D713" i="5"/>
  <c r="F712" i="5"/>
  <c r="E712" i="5"/>
  <c r="D712" i="5"/>
  <c r="F709" i="5"/>
  <c r="E709" i="5"/>
  <c r="D709" i="5"/>
  <c r="F708" i="5"/>
  <c r="E708" i="5"/>
  <c r="D708" i="5"/>
  <c r="F705" i="5"/>
  <c r="E705" i="5"/>
  <c r="D705" i="5"/>
  <c r="F704" i="5"/>
  <c r="E704" i="5"/>
  <c r="D704" i="5"/>
  <c r="DR359" i="2"/>
  <c r="DQ359" i="2"/>
  <c r="DP359" i="2"/>
  <c r="DR189" i="2"/>
  <c r="DQ189" i="2"/>
  <c r="DP189" i="2"/>
  <c r="DR26" i="2"/>
  <c r="DQ26" i="2"/>
  <c r="DP26" i="2"/>
  <c r="DO359" i="2"/>
  <c r="DN359" i="2"/>
  <c r="DO189" i="2"/>
  <c r="DN189" i="2"/>
  <c r="DO26" i="2"/>
  <c r="DN26" i="2"/>
  <c r="BR74" i="3"/>
  <c r="BQ74" i="3"/>
  <c r="BR55" i="3"/>
  <c r="BQ55" i="3"/>
  <c r="BR31" i="3"/>
  <c r="BQ31" i="3"/>
  <c r="BE74" i="3"/>
  <c r="AA800" i="5" s="1"/>
  <c r="BE55" i="3"/>
  <c r="Z800" i="5" s="1"/>
  <c r="BE31" i="3"/>
  <c r="BC74" i="3"/>
  <c r="AA764" i="5" s="1"/>
  <c r="BC55" i="3"/>
  <c r="Z764" i="5" s="1"/>
  <c r="BC31" i="3"/>
  <c r="BI359" i="2"/>
  <c r="X340" i="5" s="1"/>
  <c r="BI189" i="2"/>
  <c r="W340" i="5" s="1"/>
  <c r="BI26" i="2"/>
  <c r="E528" i="5"/>
  <c r="D528" i="5"/>
  <c r="F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BP359" i="2"/>
  <c r="X483" i="5" s="1"/>
  <c r="BO359" i="2"/>
  <c r="X476" i="5" s="1"/>
  <c r="BP189" i="2"/>
  <c r="W483" i="5" s="1"/>
  <c r="BO189" i="2"/>
  <c r="W476" i="5" s="1"/>
  <c r="BP26" i="2"/>
  <c r="BO26" i="2"/>
  <c r="AZ359" i="2"/>
  <c r="AY359" i="2"/>
  <c r="AZ189" i="2"/>
  <c r="AY189" i="2"/>
  <c r="AZ26" i="2"/>
  <c r="AY26" i="2"/>
  <c r="AQ359" i="2"/>
  <c r="X285" i="5" s="1"/>
  <c r="AQ189" i="2"/>
  <c r="W285" i="5" s="1"/>
  <c r="AQ26" i="2"/>
  <c r="AH358" i="5" l="1"/>
  <c r="AH359" i="5"/>
  <c r="AH352" i="5"/>
  <c r="AH353" i="5"/>
  <c r="AH354" i="5"/>
  <c r="AG358" i="5"/>
  <c r="AG354" i="5"/>
  <c r="AG359" i="5"/>
  <c r="AG352" i="5"/>
  <c r="AG353" i="5"/>
  <c r="BO361" i="2"/>
  <c r="V476" i="5" s="1"/>
  <c r="DN361" i="2"/>
  <c r="BP361" i="2"/>
  <c r="V483" i="5" s="1"/>
  <c r="DR361" i="2"/>
  <c r="AQ361" i="2"/>
  <c r="V285" i="5" s="1"/>
  <c r="V288" i="5" s="1"/>
  <c r="AF288" i="5" s="1"/>
  <c r="AZ361" i="2"/>
  <c r="DQ361" i="2"/>
  <c r="BI361" i="2"/>
  <c r="V340" i="5" s="1"/>
  <c r="DO361" i="2"/>
  <c r="G835" i="5" s="1"/>
  <c r="C835" i="5" s="1"/>
  <c r="AY361" i="2"/>
  <c r="DP361" i="2"/>
  <c r="G836" i="5" s="1"/>
  <c r="C836" i="5" s="1"/>
  <c r="AA768" i="5"/>
  <c r="AK768" i="5" s="1"/>
  <c r="AA767" i="5"/>
  <c r="AK767" i="5" s="1"/>
  <c r="AA766" i="5"/>
  <c r="AK766" i="5" s="1"/>
  <c r="AK764" i="5"/>
  <c r="AA803" i="5"/>
  <c r="AK803" i="5" s="1"/>
  <c r="AA802" i="5"/>
  <c r="AK802" i="5" s="1"/>
  <c r="AA804" i="5"/>
  <c r="AK804" i="5" s="1"/>
  <c r="AK800" i="5"/>
  <c r="BC76" i="3"/>
  <c r="Y764" i="5" s="1"/>
  <c r="Y768" i="5" s="1"/>
  <c r="AI768" i="5" s="1"/>
  <c r="X478" i="5"/>
  <c r="AH478" i="5" s="1"/>
  <c r="X482" i="5"/>
  <c r="AH482" i="5" s="1"/>
  <c r="X480" i="5"/>
  <c r="AH480" i="5" s="1"/>
  <c r="X479" i="5"/>
  <c r="AH479" i="5" s="1"/>
  <c r="X481" i="5"/>
  <c r="AH481" i="5" s="1"/>
  <c r="AH476" i="5"/>
  <c r="X288" i="5"/>
  <c r="AH288" i="5" s="1"/>
  <c r="X287" i="5"/>
  <c r="AH287" i="5" s="1"/>
  <c r="AH285" i="5"/>
  <c r="X489" i="5"/>
  <c r="AH489" i="5" s="1"/>
  <c r="X490" i="5"/>
  <c r="AH490" i="5" s="1"/>
  <c r="X487" i="5"/>
  <c r="AH487" i="5" s="1"/>
  <c r="X486" i="5"/>
  <c r="AH486" i="5" s="1"/>
  <c r="X488" i="5"/>
  <c r="AH488" i="5" s="1"/>
  <c r="X485" i="5"/>
  <c r="AH485" i="5" s="1"/>
  <c r="X491" i="5"/>
  <c r="AH491" i="5" s="1"/>
  <c r="AH483" i="5"/>
  <c r="X348" i="5"/>
  <c r="AH348" i="5" s="1"/>
  <c r="X343" i="5"/>
  <c r="AH343" i="5" s="1"/>
  <c r="X344" i="5"/>
  <c r="AH344" i="5" s="1"/>
  <c r="X342" i="5"/>
  <c r="AH342" i="5" s="1"/>
  <c r="X349" i="5"/>
  <c r="AH349" i="5" s="1"/>
  <c r="AH340" i="5"/>
  <c r="Z803" i="5"/>
  <c r="AJ803" i="5" s="1"/>
  <c r="Z804" i="5"/>
  <c r="AJ804" i="5" s="1"/>
  <c r="Z802" i="5"/>
  <c r="AJ802" i="5" s="1"/>
  <c r="AJ800" i="5"/>
  <c r="Z768" i="5"/>
  <c r="AJ768" i="5" s="1"/>
  <c r="Z766" i="5"/>
  <c r="AJ766" i="5" s="1"/>
  <c r="Z767" i="5"/>
  <c r="AJ767" i="5" s="1"/>
  <c r="AJ764" i="5"/>
  <c r="W288" i="5"/>
  <c r="AG288" i="5" s="1"/>
  <c r="W287" i="5"/>
  <c r="AG287" i="5" s="1"/>
  <c r="AG285" i="5"/>
  <c r="W482" i="5"/>
  <c r="AG482" i="5" s="1"/>
  <c r="W480" i="5"/>
  <c r="AG480" i="5" s="1"/>
  <c r="W478" i="5"/>
  <c r="AG478" i="5" s="1"/>
  <c r="W479" i="5"/>
  <c r="AG479" i="5" s="1"/>
  <c r="W481" i="5"/>
  <c r="AG481" i="5" s="1"/>
  <c r="AG476" i="5"/>
  <c r="W342" i="5"/>
  <c r="AG342" i="5" s="1"/>
  <c r="W349" i="5"/>
  <c r="AG349" i="5" s="1"/>
  <c r="W343" i="5"/>
  <c r="AG343" i="5" s="1"/>
  <c r="W344" i="5"/>
  <c r="AG344" i="5" s="1"/>
  <c r="W348" i="5"/>
  <c r="AG348" i="5" s="1"/>
  <c r="AG340" i="5"/>
  <c r="W485" i="5"/>
  <c r="AG485" i="5" s="1"/>
  <c r="W486" i="5"/>
  <c r="AG486" i="5" s="1"/>
  <c r="W488" i="5"/>
  <c r="AG488" i="5" s="1"/>
  <c r="W489" i="5"/>
  <c r="AG489" i="5" s="1"/>
  <c r="W490" i="5"/>
  <c r="AG490" i="5" s="1"/>
  <c r="W487" i="5"/>
  <c r="AG487" i="5" s="1"/>
  <c r="W491" i="5"/>
  <c r="AG491" i="5" s="1"/>
  <c r="AG483" i="5"/>
  <c r="BQ76" i="3"/>
  <c r="BE76" i="3"/>
  <c r="BR76" i="3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CP359" i="2"/>
  <c r="X800" i="5" s="1"/>
  <c r="CP189" i="2"/>
  <c r="W800" i="5" s="1"/>
  <c r="CP26" i="2"/>
  <c r="CN359" i="2"/>
  <c r="X789" i="5" s="1"/>
  <c r="CM359" i="2"/>
  <c r="X784" i="5" s="1"/>
  <c r="CL359" i="2"/>
  <c r="X779" i="5" s="1"/>
  <c r="CN189" i="2"/>
  <c r="W789" i="5" s="1"/>
  <c r="CM189" i="2"/>
  <c r="W784" i="5" s="1"/>
  <c r="CL189" i="2"/>
  <c r="W779" i="5" s="1"/>
  <c r="CN26" i="2"/>
  <c r="CM26" i="2"/>
  <c r="CL26" i="2"/>
  <c r="CK359" i="2"/>
  <c r="X774" i="5" s="1"/>
  <c r="CJ359" i="2"/>
  <c r="X769" i="5" s="1"/>
  <c r="CK189" i="2"/>
  <c r="W774" i="5" s="1"/>
  <c r="CJ189" i="2"/>
  <c r="W769" i="5" s="1"/>
  <c r="CK26" i="2"/>
  <c r="CJ26" i="2"/>
  <c r="CI359" i="2"/>
  <c r="X764" i="5" s="1"/>
  <c r="CI189" i="2"/>
  <c r="W764" i="5" s="1"/>
  <c r="CI26" i="2"/>
  <c r="CV359" i="2"/>
  <c r="X741" i="5" s="1"/>
  <c r="CU359" i="2"/>
  <c r="X737" i="5" s="1"/>
  <c r="CV189" i="2"/>
  <c r="W741" i="5" s="1"/>
  <c r="CU189" i="2"/>
  <c r="W737" i="5" s="1"/>
  <c r="CV26" i="2"/>
  <c r="CU26" i="2"/>
  <c r="D56" i="6"/>
  <c r="E56" i="6"/>
  <c r="V342" i="5" l="1"/>
  <c r="AF342" i="5" s="1"/>
  <c r="AF353" i="5"/>
  <c r="AF358" i="5"/>
  <c r="AF354" i="5"/>
  <c r="AF359" i="5"/>
  <c r="AF352" i="5"/>
  <c r="Y800" i="5"/>
  <c r="Y804" i="5" s="1"/>
  <c r="AI804" i="5" s="1"/>
  <c r="CK361" i="2"/>
  <c r="CU361" i="2"/>
  <c r="CV361" i="2"/>
  <c r="CJ361" i="2"/>
  <c r="V769" i="5" s="1"/>
  <c r="CN361" i="2"/>
  <c r="V789" i="5" s="1"/>
  <c r="CL361" i="2"/>
  <c r="V779" i="5" s="1"/>
  <c r="CM361" i="2"/>
  <c r="CP361" i="2"/>
  <c r="CI361" i="2"/>
  <c r="AF476" i="5"/>
  <c r="F50" i="6"/>
  <c r="N50" i="6" s="1"/>
  <c r="O836" i="5"/>
  <c r="G838" i="5"/>
  <c r="C838" i="5" s="1"/>
  <c r="G834" i="5"/>
  <c r="C834" i="5" s="1"/>
  <c r="G837" i="5"/>
  <c r="C837" i="5" s="1"/>
  <c r="V480" i="5"/>
  <c r="AF480" i="5" s="1"/>
  <c r="Y766" i="5"/>
  <c r="AI766" i="5" s="1"/>
  <c r="Y767" i="5"/>
  <c r="AI767" i="5" s="1"/>
  <c r="AI764" i="5"/>
  <c r="F26" i="6"/>
  <c r="M26" i="6" s="1"/>
  <c r="V287" i="5"/>
  <c r="AF287" i="5" s="1"/>
  <c r="W781" i="5"/>
  <c r="AG781" i="5" s="1"/>
  <c r="W782" i="5"/>
  <c r="AG782" i="5" s="1"/>
  <c r="W783" i="5"/>
  <c r="AG783" i="5" s="1"/>
  <c r="AG779" i="5"/>
  <c r="X804" i="5"/>
  <c r="AH804" i="5" s="1"/>
  <c r="X803" i="5"/>
  <c r="AH803" i="5" s="1"/>
  <c r="X802" i="5"/>
  <c r="AH802" i="5" s="1"/>
  <c r="AH800" i="5"/>
  <c r="W744" i="5"/>
  <c r="AG744" i="5" s="1"/>
  <c r="W743" i="5"/>
  <c r="AG743" i="5" s="1"/>
  <c r="AG741" i="5"/>
  <c r="W766" i="5"/>
  <c r="AG766" i="5" s="1"/>
  <c r="W768" i="5"/>
  <c r="AG768" i="5" s="1"/>
  <c r="W767" i="5"/>
  <c r="AG767" i="5" s="1"/>
  <c r="AG764" i="5"/>
  <c r="W771" i="5"/>
  <c r="AG771" i="5" s="1"/>
  <c r="W773" i="5"/>
  <c r="AG773" i="5" s="1"/>
  <c r="W772" i="5"/>
  <c r="AG772" i="5" s="1"/>
  <c r="AG769" i="5"/>
  <c r="W787" i="5"/>
  <c r="AG787" i="5" s="1"/>
  <c r="W788" i="5"/>
  <c r="AG788" i="5" s="1"/>
  <c r="W786" i="5"/>
  <c r="AG786" i="5" s="1"/>
  <c r="AG784" i="5"/>
  <c r="X792" i="5"/>
  <c r="AH792" i="5" s="1"/>
  <c r="X791" i="5"/>
  <c r="AH791" i="5" s="1"/>
  <c r="X793" i="5"/>
  <c r="AH793" i="5" s="1"/>
  <c r="AH789" i="5"/>
  <c r="X744" i="5"/>
  <c r="AH744" i="5" s="1"/>
  <c r="X743" i="5"/>
  <c r="AH743" i="5" s="1"/>
  <c r="AH741" i="5"/>
  <c r="W739" i="5"/>
  <c r="AG739" i="5" s="1"/>
  <c r="W740" i="5"/>
  <c r="AG740" i="5" s="1"/>
  <c r="AG737" i="5"/>
  <c r="X739" i="5"/>
  <c r="AH739" i="5" s="1"/>
  <c r="X740" i="5"/>
  <c r="AH740" i="5" s="1"/>
  <c r="AH737" i="5"/>
  <c r="X766" i="5"/>
  <c r="AH766" i="5" s="1"/>
  <c r="X767" i="5"/>
  <c r="AH767" i="5" s="1"/>
  <c r="X768" i="5"/>
  <c r="AH768" i="5" s="1"/>
  <c r="AH764" i="5"/>
  <c r="W777" i="5"/>
  <c r="AG777" i="5" s="1"/>
  <c r="W778" i="5"/>
  <c r="AG778" i="5" s="1"/>
  <c r="W776" i="5"/>
  <c r="AG776" i="5" s="1"/>
  <c r="AG774" i="5"/>
  <c r="W791" i="5"/>
  <c r="AG791" i="5" s="1"/>
  <c r="W792" i="5"/>
  <c r="AG792" i="5" s="1"/>
  <c r="W793" i="5"/>
  <c r="AG793" i="5" s="1"/>
  <c r="AG789" i="5"/>
  <c r="X773" i="5"/>
  <c r="AH773" i="5" s="1"/>
  <c r="X771" i="5"/>
  <c r="AH771" i="5" s="1"/>
  <c r="X772" i="5"/>
  <c r="AH772" i="5" s="1"/>
  <c r="AH769" i="5"/>
  <c r="X782" i="5"/>
  <c r="AH782" i="5" s="1"/>
  <c r="X781" i="5"/>
  <c r="AH781" i="5" s="1"/>
  <c r="X783" i="5"/>
  <c r="AH783" i="5" s="1"/>
  <c r="AH779" i="5"/>
  <c r="W803" i="5"/>
  <c r="AG803" i="5" s="1"/>
  <c r="W804" i="5"/>
  <c r="AG804" i="5" s="1"/>
  <c r="W802" i="5"/>
  <c r="AG802" i="5" s="1"/>
  <c r="AG800" i="5"/>
  <c r="X778" i="5"/>
  <c r="AH778" i="5" s="1"/>
  <c r="X777" i="5"/>
  <c r="AH777" i="5" s="1"/>
  <c r="X776" i="5"/>
  <c r="AH776" i="5" s="1"/>
  <c r="AH774" i="5"/>
  <c r="X787" i="5"/>
  <c r="AH787" i="5" s="1"/>
  <c r="X786" i="5"/>
  <c r="AH786" i="5" s="1"/>
  <c r="X788" i="5"/>
  <c r="AH788" i="5" s="1"/>
  <c r="AH784" i="5"/>
  <c r="V481" i="5"/>
  <c r="AF481" i="5" s="1"/>
  <c r="V482" i="5"/>
  <c r="AF482" i="5" s="1"/>
  <c r="V479" i="5"/>
  <c r="AF479" i="5" s="1"/>
  <c r="V478" i="5"/>
  <c r="AF478" i="5" s="1"/>
  <c r="AF285" i="5"/>
  <c r="F51" i="6"/>
  <c r="AF483" i="5"/>
  <c r="V487" i="5"/>
  <c r="AF487" i="5" s="1"/>
  <c r="F31" i="6"/>
  <c r="AF340" i="5"/>
  <c r="V349" i="5"/>
  <c r="AF349" i="5" s="1"/>
  <c r="V343" i="5"/>
  <c r="AF343" i="5" s="1"/>
  <c r="V348" i="5"/>
  <c r="AF348" i="5" s="1"/>
  <c r="V488" i="5"/>
  <c r="AF488" i="5" s="1"/>
  <c r="V344" i="5"/>
  <c r="AF344" i="5" s="1"/>
  <c r="V491" i="5"/>
  <c r="AF491" i="5" s="1"/>
  <c r="V490" i="5"/>
  <c r="AF490" i="5" s="1"/>
  <c r="V485" i="5"/>
  <c r="AF485" i="5" s="1"/>
  <c r="N836" i="5"/>
  <c r="V486" i="5"/>
  <c r="AF486" i="5" s="1"/>
  <c r="V489" i="5"/>
  <c r="AF489" i="5" s="1"/>
  <c r="R836" i="5"/>
  <c r="P836" i="5"/>
  <c r="P835" i="5"/>
  <c r="R835" i="5"/>
  <c r="O835" i="5"/>
  <c r="N835" i="5"/>
  <c r="V737" i="5"/>
  <c r="F349" i="5"/>
  <c r="E349" i="5"/>
  <c r="D349" i="5"/>
  <c r="F348" i="5"/>
  <c r="E348" i="5"/>
  <c r="D348" i="5"/>
  <c r="F344" i="5"/>
  <c r="E344" i="5"/>
  <c r="D344" i="5"/>
  <c r="F343" i="5"/>
  <c r="E343" i="5"/>
  <c r="D343" i="5"/>
  <c r="F342" i="5"/>
  <c r="E342" i="5"/>
  <c r="D342" i="5"/>
  <c r="F288" i="5"/>
  <c r="E288" i="5"/>
  <c r="D288" i="5"/>
  <c r="F287" i="5"/>
  <c r="E287" i="5"/>
  <c r="D287" i="5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03" i="6"/>
  <c r="E103" i="6"/>
  <c r="D105" i="6"/>
  <c r="E105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E114" i="6"/>
  <c r="E100" i="6"/>
  <c r="E42" i="6"/>
  <c r="E44" i="6"/>
  <c r="E45" i="6"/>
  <c r="E46" i="6"/>
  <c r="E47" i="6"/>
  <c r="E48" i="6"/>
  <c r="E49" i="6"/>
  <c r="E50" i="6"/>
  <c r="E51" i="6"/>
  <c r="E52" i="6"/>
  <c r="E53" i="6"/>
  <c r="E54" i="6"/>
  <c r="E55" i="6"/>
  <c r="E61" i="6"/>
  <c r="E62" i="6"/>
  <c r="E63" i="6"/>
  <c r="E64" i="6"/>
  <c r="E65" i="6"/>
  <c r="E66" i="6"/>
  <c r="E67" i="6"/>
  <c r="E68" i="6"/>
  <c r="E69" i="6"/>
  <c r="E40" i="6"/>
  <c r="E35" i="6"/>
  <c r="E37" i="6"/>
  <c r="E38" i="6"/>
  <c r="E36" i="6"/>
  <c r="E34" i="6"/>
  <c r="E11" i="6"/>
  <c r="E12" i="6"/>
  <c r="E13" i="6"/>
  <c r="E14" i="6"/>
  <c r="E15" i="6"/>
  <c r="E16" i="6"/>
  <c r="E17" i="6"/>
  <c r="E19" i="6"/>
  <c r="E22" i="6"/>
  <c r="E23" i="6"/>
  <c r="E24" i="6"/>
  <c r="E25" i="6"/>
  <c r="E26" i="6"/>
  <c r="E27" i="6"/>
  <c r="E28" i="6"/>
  <c r="E29" i="6"/>
  <c r="E30" i="6"/>
  <c r="E31" i="6"/>
  <c r="E10" i="6"/>
  <c r="D42" i="6"/>
  <c r="D44" i="6"/>
  <c r="D45" i="6"/>
  <c r="D46" i="6"/>
  <c r="D47" i="6"/>
  <c r="D48" i="6"/>
  <c r="D49" i="6"/>
  <c r="D50" i="6"/>
  <c r="D51" i="6"/>
  <c r="D52" i="6"/>
  <c r="D53" i="6"/>
  <c r="D54" i="6"/>
  <c r="D55" i="6"/>
  <c r="D61" i="6"/>
  <c r="D62" i="6"/>
  <c r="D63" i="6"/>
  <c r="D64" i="6"/>
  <c r="D65" i="6"/>
  <c r="D66" i="6"/>
  <c r="D67" i="6"/>
  <c r="D68" i="6"/>
  <c r="D69" i="6"/>
  <c r="D35" i="6"/>
  <c r="D37" i="6"/>
  <c r="D38" i="6"/>
  <c r="D36" i="6"/>
  <c r="D11" i="6"/>
  <c r="D12" i="6"/>
  <c r="D13" i="6"/>
  <c r="D14" i="6"/>
  <c r="D15" i="6"/>
  <c r="D16" i="6"/>
  <c r="D17" i="6"/>
  <c r="D19" i="6"/>
  <c r="D22" i="6"/>
  <c r="D23" i="6"/>
  <c r="D24" i="6"/>
  <c r="D25" i="6"/>
  <c r="D26" i="6"/>
  <c r="D27" i="6"/>
  <c r="D28" i="6"/>
  <c r="D29" i="6"/>
  <c r="D30" i="6"/>
  <c r="D31" i="6"/>
  <c r="D114" i="6"/>
  <c r="D100" i="6"/>
  <c r="D40" i="6"/>
  <c r="D34" i="6"/>
  <c r="D10" i="6"/>
  <c r="Y803" i="5" l="1"/>
  <c r="AI803" i="5" s="1"/>
  <c r="AI800" i="5"/>
  <c r="Y802" i="5"/>
  <c r="AI802" i="5" s="1"/>
  <c r="O834" i="5"/>
  <c r="R834" i="5"/>
  <c r="N837" i="5"/>
  <c r="N834" i="5"/>
  <c r="R50" i="6"/>
  <c r="Q50" i="6"/>
  <c r="R837" i="5"/>
  <c r="O50" i="6"/>
  <c r="P837" i="5"/>
  <c r="B50" i="6"/>
  <c r="N838" i="5"/>
  <c r="R838" i="5"/>
  <c r="P838" i="5"/>
  <c r="O837" i="5"/>
  <c r="P834" i="5"/>
  <c r="O838" i="5"/>
  <c r="AF737" i="5"/>
  <c r="V774" i="5"/>
  <c r="F85" i="6" s="1"/>
  <c r="M85" i="6" s="1"/>
  <c r="V764" i="5"/>
  <c r="AF764" i="5" s="1"/>
  <c r="AF789" i="5"/>
  <c r="V741" i="5"/>
  <c r="V744" i="5" s="1"/>
  <c r="AF744" i="5" s="1"/>
  <c r="V784" i="5"/>
  <c r="AF784" i="5" s="1"/>
  <c r="V800" i="5"/>
  <c r="AF800" i="5" s="1"/>
  <c r="N26" i="6"/>
  <c r="P26" i="6"/>
  <c r="R26" i="6"/>
  <c r="Q26" i="6"/>
  <c r="B26" i="6"/>
  <c r="Q51" i="6"/>
  <c r="R51" i="6"/>
  <c r="N51" i="6"/>
  <c r="O51" i="6"/>
  <c r="B31" i="6"/>
  <c r="N31" i="6"/>
  <c r="M31" i="6"/>
  <c r="Q31" i="6"/>
  <c r="R31" i="6"/>
  <c r="B51" i="6"/>
  <c r="V772" i="5"/>
  <c r="AF772" i="5" s="1"/>
  <c r="AF769" i="5"/>
  <c r="V781" i="5"/>
  <c r="AF781" i="5" s="1"/>
  <c r="AF779" i="5"/>
  <c r="F86" i="6"/>
  <c r="F84" i="6"/>
  <c r="V782" i="5"/>
  <c r="AF782" i="5" s="1"/>
  <c r="V771" i="5"/>
  <c r="AF771" i="5" s="1"/>
  <c r="V773" i="5"/>
  <c r="AF773" i="5" s="1"/>
  <c r="V783" i="5"/>
  <c r="AF783" i="5" s="1"/>
  <c r="F77" i="6"/>
  <c r="V739" i="5"/>
  <c r="AF739" i="5" s="1"/>
  <c r="V740" i="5"/>
  <c r="AF740" i="5" s="1"/>
  <c r="F88" i="6"/>
  <c r="V793" i="5"/>
  <c r="AF793" i="5" s="1"/>
  <c r="V791" i="5"/>
  <c r="AF791" i="5" s="1"/>
  <c r="V792" i="5"/>
  <c r="AF792" i="5" s="1"/>
  <c r="E871" i="5"/>
  <c r="F871" i="5"/>
  <c r="E872" i="5"/>
  <c r="F872" i="5"/>
  <c r="E873" i="5"/>
  <c r="F873" i="5"/>
  <c r="E874" i="5"/>
  <c r="F874" i="5"/>
  <c r="E876" i="5"/>
  <c r="F876" i="5"/>
  <c r="E877" i="5"/>
  <c r="F877" i="5"/>
  <c r="E878" i="5"/>
  <c r="F878" i="5"/>
  <c r="E879" i="5"/>
  <c r="F879" i="5"/>
  <c r="E880" i="5"/>
  <c r="F880" i="5"/>
  <c r="E882" i="5"/>
  <c r="F882" i="5"/>
  <c r="E883" i="5"/>
  <c r="F883" i="5"/>
  <c r="E884" i="5"/>
  <c r="F884" i="5"/>
  <c r="E885" i="5"/>
  <c r="F885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5" i="5"/>
  <c r="F905" i="5"/>
  <c r="E906" i="5"/>
  <c r="F906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04" i="5"/>
  <c r="F904" i="5"/>
  <c r="E907" i="5"/>
  <c r="F907" i="5"/>
  <c r="E921" i="5"/>
  <c r="F921" i="5"/>
  <c r="E922" i="5"/>
  <c r="F922" i="5"/>
  <c r="E923" i="5"/>
  <c r="F923" i="5"/>
  <c r="E940" i="5"/>
  <c r="F940" i="5"/>
  <c r="E939" i="5"/>
  <c r="F939" i="5"/>
  <c r="E943" i="5"/>
  <c r="F943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53" i="5"/>
  <c r="E953" i="5"/>
  <c r="F953" i="5"/>
  <c r="D954" i="5"/>
  <c r="E954" i="5"/>
  <c r="F954" i="5"/>
  <c r="D955" i="5"/>
  <c r="E955" i="5"/>
  <c r="F955" i="5"/>
  <c r="D870" i="5"/>
  <c r="E870" i="5"/>
  <c r="F870" i="5"/>
  <c r="D867" i="5"/>
  <c r="E867" i="5"/>
  <c r="F867" i="5"/>
  <c r="D868" i="5"/>
  <c r="E868" i="5"/>
  <c r="F868" i="5"/>
  <c r="E808" i="5"/>
  <c r="F808" i="5"/>
  <c r="E809" i="5"/>
  <c r="F809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E828" i="5"/>
  <c r="F828" i="5"/>
  <c r="D829" i="5"/>
  <c r="E829" i="5"/>
  <c r="F829" i="5"/>
  <c r="E830" i="5"/>
  <c r="F830" i="5"/>
  <c r="D831" i="5"/>
  <c r="E831" i="5"/>
  <c r="F831" i="5"/>
  <c r="E832" i="5"/>
  <c r="F832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43" i="5"/>
  <c r="E843" i="5"/>
  <c r="F843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2" i="5"/>
  <c r="E862" i="5"/>
  <c r="F862" i="5"/>
  <c r="D863" i="5"/>
  <c r="E863" i="5"/>
  <c r="F863" i="5"/>
  <c r="D864" i="5"/>
  <c r="E864" i="5"/>
  <c r="F864" i="5"/>
  <c r="D803" i="5"/>
  <c r="E803" i="5"/>
  <c r="F803" i="5"/>
  <c r="D804" i="5"/>
  <c r="E804" i="5"/>
  <c r="F804" i="5"/>
  <c r="D797" i="5"/>
  <c r="E797" i="5"/>
  <c r="F797" i="5"/>
  <c r="D799" i="5"/>
  <c r="E799" i="5"/>
  <c r="F799" i="5"/>
  <c r="D792" i="5"/>
  <c r="E792" i="5"/>
  <c r="F792" i="5"/>
  <c r="D793" i="5"/>
  <c r="E793" i="5"/>
  <c r="F793" i="5"/>
  <c r="D787" i="5"/>
  <c r="E787" i="5"/>
  <c r="F787" i="5"/>
  <c r="D788" i="5"/>
  <c r="E788" i="5"/>
  <c r="F788" i="5"/>
  <c r="D782" i="5"/>
  <c r="E782" i="5"/>
  <c r="F782" i="5"/>
  <c r="D783" i="5"/>
  <c r="E783" i="5"/>
  <c r="F783" i="5"/>
  <c r="D777" i="5"/>
  <c r="E777" i="5"/>
  <c r="F777" i="5"/>
  <c r="D778" i="5"/>
  <c r="E778" i="5"/>
  <c r="F778" i="5"/>
  <c r="D772" i="5"/>
  <c r="E772" i="5"/>
  <c r="F772" i="5"/>
  <c r="D773" i="5"/>
  <c r="E773" i="5"/>
  <c r="F773" i="5"/>
  <c r="D767" i="5"/>
  <c r="E767" i="5"/>
  <c r="F767" i="5"/>
  <c r="D768" i="5"/>
  <c r="E768" i="5"/>
  <c r="F768" i="5"/>
  <c r="D762" i="5"/>
  <c r="E762" i="5"/>
  <c r="F762" i="5"/>
  <c r="D763" i="5"/>
  <c r="E763" i="5"/>
  <c r="F763" i="5"/>
  <c r="D757" i="5"/>
  <c r="E757" i="5"/>
  <c r="F757" i="5"/>
  <c r="D758" i="5"/>
  <c r="E758" i="5"/>
  <c r="F758" i="5"/>
  <c r="D753" i="5"/>
  <c r="E753" i="5"/>
  <c r="F753" i="5"/>
  <c r="D752" i="5"/>
  <c r="E752" i="5"/>
  <c r="F752" i="5"/>
  <c r="D748" i="5"/>
  <c r="E748" i="5"/>
  <c r="F748" i="5"/>
  <c r="D744" i="5"/>
  <c r="E744" i="5"/>
  <c r="F744" i="5"/>
  <c r="D740" i="5"/>
  <c r="E740" i="5"/>
  <c r="F740" i="5"/>
  <c r="D736" i="5"/>
  <c r="E736" i="5"/>
  <c r="F736" i="5"/>
  <c r="D732" i="5"/>
  <c r="E732" i="5"/>
  <c r="F732" i="5"/>
  <c r="D727" i="5"/>
  <c r="E727" i="5"/>
  <c r="F727" i="5"/>
  <c r="D728" i="5"/>
  <c r="E728" i="5"/>
  <c r="F728" i="5"/>
  <c r="D722" i="5"/>
  <c r="E722" i="5"/>
  <c r="F722" i="5"/>
  <c r="D723" i="5"/>
  <c r="E723" i="5"/>
  <c r="F723" i="5"/>
  <c r="D717" i="5"/>
  <c r="E717" i="5"/>
  <c r="F717" i="5"/>
  <c r="D718" i="5"/>
  <c r="E718" i="5"/>
  <c r="F718" i="5"/>
  <c r="D685" i="5"/>
  <c r="E685" i="5"/>
  <c r="F685" i="5"/>
  <c r="D686" i="5"/>
  <c r="E686" i="5"/>
  <c r="F686" i="5"/>
  <c r="D687" i="5"/>
  <c r="E687" i="5"/>
  <c r="F687" i="5"/>
  <c r="D679" i="5"/>
  <c r="E679" i="5"/>
  <c r="F679" i="5"/>
  <c r="D680" i="5"/>
  <c r="E680" i="5"/>
  <c r="F680" i="5"/>
  <c r="D681" i="5"/>
  <c r="E681" i="5"/>
  <c r="F681" i="5"/>
  <c r="D659" i="5"/>
  <c r="E659" i="5"/>
  <c r="F659" i="5"/>
  <c r="D660" i="5"/>
  <c r="E660" i="5"/>
  <c r="F660" i="5"/>
  <c r="D661" i="5"/>
  <c r="E661" i="5"/>
  <c r="F661" i="5"/>
  <c r="D653" i="5"/>
  <c r="E653" i="5"/>
  <c r="F653" i="5"/>
  <c r="D654" i="5"/>
  <c r="E654" i="5"/>
  <c r="F654" i="5"/>
  <c r="D655" i="5"/>
  <c r="E655" i="5"/>
  <c r="F655" i="5"/>
  <c r="D644" i="5"/>
  <c r="E644" i="5"/>
  <c r="F644" i="5"/>
  <c r="D645" i="5"/>
  <c r="E645" i="5"/>
  <c r="F645" i="5"/>
  <c r="D646" i="5"/>
  <c r="E646" i="5"/>
  <c r="F646" i="5"/>
  <c r="D648" i="5"/>
  <c r="E648" i="5"/>
  <c r="F648" i="5"/>
  <c r="D649" i="5"/>
  <c r="E649" i="5"/>
  <c r="F649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33" i="5"/>
  <c r="E633" i="5"/>
  <c r="F63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13" i="5"/>
  <c r="E613" i="5"/>
  <c r="F613" i="5"/>
  <c r="D614" i="5"/>
  <c r="E614" i="5"/>
  <c r="F614" i="5"/>
  <c r="D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04" i="5"/>
  <c r="E604" i="5"/>
  <c r="F604" i="5"/>
  <c r="D605" i="5"/>
  <c r="E605" i="5"/>
  <c r="F605" i="5"/>
  <c r="D606" i="5"/>
  <c r="F606" i="5"/>
  <c r="D607" i="5"/>
  <c r="E607" i="5"/>
  <c r="F607" i="5"/>
  <c r="D608" i="5"/>
  <c r="E608" i="5"/>
  <c r="F608" i="5"/>
  <c r="D609" i="5"/>
  <c r="E609" i="5"/>
  <c r="F609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393" i="5"/>
  <c r="E393" i="5"/>
  <c r="F393" i="5"/>
  <c r="D389" i="5"/>
  <c r="E389" i="5"/>
  <c r="F389" i="5"/>
  <c r="D381" i="5"/>
  <c r="E381" i="5"/>
  <c r="D368" i="5"/>
  <c r="E368" i="5"/>
  <c r="F368" i="5"/>
  <c r="D364" i="5"/>
  <c r="E364" i="5"/>
  <c r="F364" i="5"/>
  <c r="D334" i="5"/>
  <c r="E334" i="5"/>
  <c r="F334" i="5"/>
  <c r="D335" i="5"/>
  <c r="E335" i="5"/>
  <c r="F335" i="5"/>
  <c r="D338" i="5"/>
  <c r="E338" i="5"/>
  <c r="F338" i="5"/>
  <c r="D339" i="5"/>
  <c r="E339" i="5"/>
  <c r="F339" i="5"/>
  <c r="D324" i="5"/>
  <c r="E324" i="5"/>
  <c r="F324" i="5"/>
  <c r="D325" i="5"/>
  <c r="E325" i="5"/>
  <c r="F325" i="5"/>
  <c r="D329" i="5"/>
  <c r="E329" i="5"/>
  <c r="F329" i="5"/>
  <c r="D330" i="5"/>
  <c r="E330" i="5"/>
  <c r="F330" i="5"/>
  <c r="D313" i="5"/>
  <c r="E313" i="5"/>
  <c r="F313" i="5"/>
  <c r="D314" i="5"/>
  <c r="E314" i="5"/>
  <c r="F314" i="5"/>
  <c r="D319" i="5"/>
  <c r="E319" i="5"/>
  <c r="F319" i="5"/>
  <c r="D320" i="5"/>
  <c r="E320" i="5"/>
  <c r="F320" i="5"/>
  <c r="D302" i="5"/>
  <c r="E302" i="5"/>
  <c r="F302" i="5"/>
  <c r="D303" i="5"/>
  <c r="E303" i="5"/>
  <c r="F303" i="5"/>
  <c r="D308" i="5"/>
  <c r="E308" i="5"/>
  <c r="F308" i="5"/>
  <c r="D309" i="5"/>
  <c r="E309" i="5"/>
  <c r="F309" i="5"/>
  <c r="D292" i="5"/>
  <c r="E292" i="5"/>
  <c r="F292" i="5"/>
  <c r="D293" i="5"/>
  <c r="E293" i="5"/>
  <c r="F293" i="5"/>
  <c r="D297" i="5"/>
  <c r="E297" i="5"/>
  <c r="F297" i="5"/>
  <c r="D298" i="5"/>
  <c r="E298" i="5"/>
  <c r="F298" i="5"/>
  <c r="D226" i="5"/>
  <c r="E226" i="5"/>
  <c r="F226" i="5"/>
  <c r="D227" i="5"/>
  <c r="E227" i="5"/>
  <c r="F227" i="5"/>
  <c r="D220" i="5"/>
  <c r="E220" i="5"/>
  <c r="F220" i="5"/>
  <c r="D221" i="5"/>
  <c r="E221" i="5"/>
  <c r="F221" i="5"/>
  <c r="D222" i="5"/>
  <c r="E222" i="5"/>
  <c r="F222" i="5"/>
  <c r="D216" i="5"/>
  <c r="E216" i="5"/>
  <c r="F216" i="5"/>
  <c r="D181" i="5"/>
  <c r="D182" i="5"/>
  <c r="D183" i="5"/>
  <c r="D184" i="5"/>
  <c r="D185" i="5"/>
  <c r="D186" i="5"/>
  <c r="D192" i="5"/>
  <c r="D193" i="5"/>
  <c r="D194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92" i="5"/>
  <c r="F192" i="5"/>
  <c r="E193" i="5"/>
  <c r="F193" i="5"/>
  <c r="E194" i="5"/>
  <c r="F194" i="5"/>
  <c r="D141" i="5"/>
  <c r="E141" i="5"/>
  <c r="F141" i="5"/>
  <c r="D142" i="5"/>
  <c r="E142" i="5"/>
  <c r="F142" i="5"/>
  <c r="D148" i="5"/>
  <c r="E148" i="5"/>
  <c r="F148" i="5"/>
  <c r="D149" i="5"/>
  <c r="E149" i="5"/>
  <c r="F149" i="5"/>
  <c r="D150" i="5"/>
  <c r="E150" i="5"/>
  <c r="F150" i="5"/>
  <c r="D135" i="5"/>
  <c r="E135" i="5"/>
  <c r="F135" i="5"/>
  <c r="D136" i="5"/>
  <c r="E136" i="5"/>
  <c r="F136" i="5"/>
  <c r="D137" i="5"/>
  <c r="E137" i="5"/>
  <c r="F137" i="5"/>
  <c r="D130" i="5"/>
  <c r="E130" i="5"/>
  <c r="F130" i="5"/>
  <c r="D131" i="5"/>
  <c r="E131" i="5"/>
  <c r="F131" i="5"/>
  <c r="D126" i="5"/>
  <c r="E126" i="5"/>
  <c r="F126" i="5"/>
  <c r="D110" i="5"/>
  <c r="E110" i="5"/>
  <c r="F110" i="5"/>
  <c r="D111" i="5"/>
  <c r="E111" i="5"/>
  <c r="F111" i="5"/>
  <c r="D112" i="5"/>
  <c r="F112" i="5"/>
  <c r="D120" i="5"/>
  <c r="E120" i="5"/>
  <c r="F120" i="5"/>
  <c r="D121" i="5"/>
  <c r="E121" i="5"/>
  <c r="F121" i="5"/>
  <c r="D122" i="5"/>
  <c r="E122" i="5"/>
  <c r="F122" i="5"/>
  <c r="D97" i="5"/>
  <c r="E97" i="5"/>
  <c r="F97" i="5"/>
  <c r="D98" i="5"/>
  <c r="E98" i="5"/>
  <c r="F98" i="5"/>
  <c r="D104" i="5"/>
  <c r="E104" i="5"/>
  <c r="F104" i="5"/>
  <c r="D105" i="5"/>
  <c r="E105" i="5"/>
  <c r="F105" i="5"/>
  <c r="D106" i="5"/>
  <c r="E106" i="5"/>
  <c r="F106" i="5"/>
  <c r="D91" i="5"/>
  <c r="E91" i="5"/>
  <c r="F91" i="5"/>
  <c r="D92" i="5"/>
  <c r="E92" i="5"/>
  <c r="F92" i="5"/>
  <c r="D93" i="5"/>
  <c r="E93" i="5"/>
  <c r="F93" i="5"/>
  <c r="D87" i="5"/>
  <c r="E87" i="5"/>
  <c r="F87" i="5"/>
  <c r="D53" i="5"/>
  <c r="E53" i="5"/>
  <c r="F53" i="5"/>
  <c r="D54" i="5"/>
  <c r="E54" i="5"/>
  <c r="F54" i="5"/>
  <c r="D63" i="5"/>
  <c r="E63" i="5"/>
  <c r="F63" i="5"/>
  <c r="D64" i="5"/>
  <c r="E64" i="5"/>
  <c r="F64" i="5"/>
  <c r="D65" i="5"/>
  <c r="E65" i="5"/>
  <c r="F65" i="5"/>
  <c r="D26" i="5"/>
  <c r="E26" i="5"/>
  <c r="F26" i="5"/>
  <c r="D27" i="5"/>
  <c r="E27" i="5"/>
  <c r="F27" i="5"/>
  <c r="D33" i="5"/>
  <c r="E33" i="5"/>
  <c r="F33" i="5"/>
  <c r="D34" i="5"/>
  <c r="E34" i="5"/>
  <c r="F34" i="5"/>
  <c r="D35" i="5"/>
  <c r="E35" i="5"/>
  <c r="F35" i="5"/>
  <c r="D20" i="5"/>
  <c r="F20" i="5"/>
  <c r="D21" i="5"/>
  <c r="E21" i="5"/>
  <c r="F21" i="5"/>
  <c r="D22" i="5"/>
  <c r="E22" i="5"/>
  <c r="F22" i="5"/>
  <c r="F957" i="5"/>
  <c r="E957" i="5"/>
  <c r="D957" i="5"/>
  <c r="F866" i="5"/>
  <c r="E866" i="5"/>
  <c r="D866" i="5"/>
  <c r="F807" i="5"/>
  <c r="E807" i="5"/>
  <c r="F802" i="5"/>
  <c r="E802" i="5"/>
  <c r="D802" i="5"/>
  <c r="F796" i="5"/>
  <c r="E796" i="5"/>
  <c r="D796" i="5"/>
  <c r="F791" i="5"/>
  <c r="E791" i="5"/>
  <c r="D791" i="5"/>
  <c r="F786" i="5"/>
  <c r="E786" i="5"/>
  <c r="D786" i="5"/>
  <c r="F781" i="5"/>
  <c r="E781" i="5"/>
  <c r="D781" i="5"/>
  <c r="F776" i="5"/>
  <c r="E776" i="5"/>
  <c r="D776" i="5"/>
  <c r="F771" i="5"/>
  <c r="E771" i="5"/>
  <c r="D771" i="5"/>
  <c r="F766" i="5"/>
  <c r="E766" i="5"/>
  <c r="D766" i="5"/>
  <c r="F761" i="5"/>
  <c r="E761" i="5"/>
  <c r="D761" i="5"/>
  <c r="F756" i="5"/>
  <c r="E756" i="5"/>
  <c r="D756" i="5"/>
  <c r="F751" i="5"/>
  <c r="E751" i="5"/>
  <c r="D751" i="5"/>
  <c r="F747" i="5"/>
  <c r="E747" i="5"/>
  <c r="D747" i="5"/>
  <c r="F743" i="5"/>
  <c r="E743" i="5"/>
  <c r="D743" i="5"/>
  <c r="F739" i="5"/>
  <c r="E739" i="5"/>
  <c r="D739" i="5"/>
  <c r="F735" i="5"/>
  <c r="E735" i="5"/>
  <c r="D735" i="5"/>
  <c r="F731" i="5"/>
  <c r="E731" i="5"/>
  <c r="D731" i="5"/>
  <c r="F726" i="5"/>
  <c r="E726" i="5"/>
  <c r="D726" i="5"/>
  <c r="F721" i="5"/>
  <c r="E721" i="5"/>
  <c r="D721" i="5"/>
  <c r="F716" i="5"/>
  <c r="E716" i="5"/>
  <c r="D716" i="5"/>
  <c r="F684" i="5"/>
  <c r="E684" i="5"/>
  <c r="D684" i="5"/>
  <c r="F678" i="5"/>
  <c r="E678" i="5"/>
  <c r="D678" i="5"/>
  <c r="F658" i="5"/>
  <c r="E658" i="5"/>
  <c r="D658" i="5"/>
  <c r="F652" i="5"/>
  <c r="E652" i="5"/>
  <c r="D652" i="5"/>
  <c r="F643" i="5"/>
  <c r="E643" i="5"/>
  <c r="D643" i="5"/>
  <c r="F632" i="5"/>
  <c r="E632" i="5"/>
  <c r="D632" i="5"/>
  <c r="F623" i="5"/>
  <c r="E623" i="5"/>
  <c r="D623" i="5"/>
  <c r="F612" i="5"/>
  <c r="E612" i="5"/>
  <c r="D612" i="5"/>
  <c r="F603" i="5"/>
  <c r="E603" i="5"/>
  <c r="D603" i="5"/>
  <c r="F592" i="5"/>
  <c r="E592" i="5"/>
  <c r="D592" i="5"/>
  <c r="F583" i="5"/>
  <c r="E583" i="5"/>
  <c r="D583" i="5"/>
  <c r="F572" i="5"/>
  <c r="E572" i="5"/>
  <c r="D572" i="5"/>
  <c r="F563" i="5"/>
  <c r="E563" i="5"/>
  <c r="D563" i="5"/>
  <c r="F485" i="5"/>
  <c r="E485" i="5"/>
  <c r="D485" i="5"/>
  <c r="F478" i="5"/>
  <c r="E478" i="5"/>
  <c r="D478" i="5"/>
  <c r="F469" i="5"/>
  <c r="E469" i="5"/>
  <c r="D469" i="5"/>
  <c r="F462" i="5"/>
  <c r="E462" i="5"/>
  <c r="D462" i="5"/>
  <c r="F501" i="5"/>
  <c r="E501" i="5"/>
  <c r="D501" i="5"/>
  <c r="F494" i="5"/>
  <c r="E494" i="5"/>
  <c r="D494" i="5"/>
  <c r="F438" i="5"/>
  <c r="E438" i="5"/>
  <c r="D438" i="5"/>
  <c r="F431" i="5"/>
  <c r="E431" i="5"/>
  <c r="D431" i="5"/>
  <c r="F531" i="5"/>
  <c r="E531" i="5"/>
  <c r="D531" i="5"/>
  <c r="F540" i="5"/>
  <c r="E540" i="5"/>
  <c r="D540" i="5"/>
  <c r="F453" i="5"/>
  <c r="E453" i="5"/>
  <c r="D453" i="5"/>
  <c r="F446" i="5"/>
  <c r="E446" i="5"/>
  <c r="D446" i="5"/>
  <c r="F556" i="5"/>
  <c r="E556" i="5"/>
  <c r="D556" i="5"/>
  <c r="F549" i="5"/>
  <c r="E549" i="5"/>
  <c r="D549" i="5"/>
  <c r="F414" i="5"/>
  <c r="E414" i="5"/>
  <c r="D414" i="5"/>
  <c r="F397" i="5"/>
  <c r="E397" i="5"/>
  <c r="D397" i="5"/>
  <c r="F392" i="5"/>
  <c r="E392" i="5"/>
  <c r="D392" i="5"/>
  <c r="F388" i="5"/>
  <c r="E388" i="5"/>
  <c r="D388" i="5"/>
  <c r="F380" i="5"/>
  <c r="E380" i="5"/>
  <c r="D380" i="5"/>
  <c r="F375" i="5"/>
  <c r="E375" i="5"/>
  <c r="D375" i="5"/>
  <c r="F367" i="5"/>
  <c r="E367" i="5"/>
  <c r="D367" i="5"/>
  <c r="F363" i="5"/>
  <c r="E363" i="5"/>
  <c r="D363" i="5"/>
  <c r="F333" i="5"/>
  <c r="E333" i="5"/>
  <c r="D333" i="5"/>
  <c r="F323" i="5"/>
  <c r="E323" i="5"/>
  <c r="D323" i="5"/>
  <c r="F312" i="5"/>
  <c r="D312" i="5"/>
  <c r="F301" i="5"/>
  <c r="D301" i="5"/>
  <c r="F291" i="5"/>
  <c r="D291" i="5"/>
  <c r="F225" i="5"/>
  <c r="E225" i="5"/>
  <c r="D225" i="5"/>
  <c r="F219" i="5"/>
  <c r="E219" i="5"/>
  <c r="D219" i="5"/>
  <c r="F215" i="5"/>
  <c r="E215" i="5"/>
  <c r="D215" i="5"/>
  <c r="F180" i="5"/>
  <c r="E180" i="5"/>
  <c r="D180" i="5"/>
  <c r="F140" i="5"/>
  <c r="E140" i="5"/>
  <c r="D140" i="5"/>
  <c r="F134" i="5"/>
  <c r="E134" i="5"/>
  <c r="D134" i="5"/>
  <c r="F129" i="5"/>
  <c r="E129" i="5"/>
  <c r="D129" i="5"/>
  <c r="F125" i="5"/>
  <c r="E125" i="5"/>
  <c r="D125" i="5"/>
  <c r="F109" i="5"/>
  <c r="E109" i="5"/>
  <c r="D109" i="5"/>
  <c r="F96" i="5"/>
  <c r="E96" i="5"/>
  <c r="D96" i="5"/>
  <c r="F90" i="5"/>
  <c r="E90" i="5"/>
  <c r="D90" i="5"/>
  <c r="F86" i="5"/>
  <c r="E86" i="5"/>
  <c r="D86" i="5"/>
  <c r="F52" i="5"/>
  <c r="E52" i="5"/>
  <c r="D52" i="5"/>
  <c r="F25" i="5"/>
  <c r="E25" i="5"/>
  <c r="D25" i="5"/>
  <c r="F19" i="5"/>
  <c r="E19" i="5"/>
  <c r="D19" i="5"/>
  <c r="D11" i="5"/>
  <c r="E11" i="5"/>
  <c r="F11" i="5"/>
  <c r="F10" i="5"/>
  <c r="E10" i="5"/>
  <c r="D10" i="5"/>
  <c r="V766" i="5" l="1"/>
  <c r="AF766" i="5" s="1"/>
  <c r="V767" i="5"/>
  <c r="AF767" i="5" s="1"/>
  <c r="V768" i="5"/>
  <c r="AF768" i="5" s="1"/>
  <c r="F83" i="6"/>
  <c r="B83" i="6" s="1"/>
  <c r="F87" i="6"/>
  <c r="B87" i="6" s="1"/>
  <c r="F78" i="6"/>
  <c r="V788" i="5"/>
  <c r="AF788" i="5" s="1"/>
  <c r="V778" i="5"/>
  <c r="AF778" i="5" s="1"/>
  <c r="AF774" i="5"/>
  <c r="B85" i="6"/>
  <c r="V777" i="5"/>
  <c r="AF777" i="5" s="1"/>
  <c r="V786" i="5"/>
  <c r="AF786" i="5" s="1"/>
  <c r="V787" i="5"/>
  <c r="AF787" i="5" s="1"/>
  <c r="N85" i="6"/>
  <c r="R85" i="6"/>
  <c r="O85" i="6"/>
  <c r="Q85" i="6"/>
  <c r="V776" i="5"/>
  <c r="AF776" i="5" s="1"/>
  <c r="V743" i="5"/>
  <c r="AF743" i="5" s="1"/>
  <c r="AF741" i="5"/>
  <c r="V803" i="5"/>
  <c r="AF803" i="5" s="1"/>
  <c r="V804" i="5"/>
  <c r="AF804" i="5" s="1"/>
  <c r="F90" i="6"/>
  <c r="Q90" i="6" s="1"/>
  <c r="V802" i="5"/>
  <c r="AF802" i="5" s="1"/>
  <c r="B77" i="6"/>
  <c r="Q77" i="6"/>
  <c r="R77" i="6"/>
  <c r="N77" i="6"/>
  <c r="O77" i="6"/>
  <c r="P77" i="6"/>
  <c r="M84" i="6"/>
  <c r="N84" i="6"/>
  <c r="Q84" i="6"/>
  <c r="R84" i="6"/>
  <c r="O84" i="6"/>
  <c r="B88" i="6"/>
  <c r="M88" i="6"/>
  <c r="N88" i="6"/>
  <c r="Q88" i="6"/>
  <c r="R88" i="6"/>
  <c r="O88" i="6"/>
  <c r="M86" i="6"/>
  <c r="N86" i="6"/>
  <c r="Q86" i="6"/>
  <c r="R86" i="6"/>
  <c r="O86" i="6"/>
  <c r="B86" i="6"/>
  <c r="B84" i="6"/>
  <c r="F669" i="4"/>
  <c r="G669" i="4"/>
  <c r="I669" i="4"/>
  <c r="J669" i="4"/>
  <c r="H669" i="4"/>
  <c r="K669" i="4"/>
  <c r="L669" i="4"/>
  <c r="M669" i="4"/>
  <c r="N669" i="4"/>
  <c r="O669" i="4"/>
  <c r="P669" i="4"/>
  <c r="Q669" i="4"/>
  <c r="R669" i="4"/>
  <c r="S669" i="4"/>
  <c r="T669" i="4"/>
  <c r="U669" i="4"/>
  <c r="W669" i="4"/>
  <c r="X669" i="4"/>
  <c r="Z669" i="4"/>
  <c r="AB669" i="4"/>
  <c r="AC669" i="4"/>
  <c r="AE669" i="4"/>
  <c r="AG669" i="4"/>
  <c r="AH669" i="4"/>
  <c r="AI669" i="4"/>
  <c r="AJ669" i="4"/>
  <c r="AM669" i="4"/>
  <c r="AN669" i="4"/>
  <c r="AO669" i="4"/>
  <c r="AP669" i="4"/>
  <c r="AQ669" i="4"/>
  <c r="AR669" i="4"/>
  <c r="AU669" i="4"/>
  <c r="AV669" i="4"/>
  <c r="AW669" i="4"/>
  <c r="AX669" i="4"/>
  <c r="AY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W669" i="4"/>
  <c r="BX669" i="4"/>
  <c r="BY669" i="4"/>
  <c r="BZ669" i="4"/>
  <c r="CA669" i="4"/>
  <c r="CB669" i="4"/>
  <c r="CB702" i="4" s="1"/>
  <c r="CC669" i="4"/>
  <c r="CL669" i="4"/>
  <c r="CM669" i="4"/>
  <c r="CN669" i="4"/>
  <c r="CP669" i="4"/>
  <c r="CR669" i="4"/>
  <c r="CS669" i="4"/>
  <c r="CT669" i="4"/>
  <c r="CV669" i="4"/>
  <c r="CW669" i="4"/>
  <c r="E669" i="4"/>
  <c r="F638" i="4"/>
  <c r="G638" i="4"/>
  <c r="I638" i="4"/>
  <c r="J638" i="4"/>
  <c r="H638" i="4"/>
  <c r="H700" i="4" s="1"/>
  <c r="G872" i="5" s="1"/>
  <c r="K638" i="4"/>
  <c r="L638" i="4"/>
  <c r="M638" i="4"/>
  <c r="N638" i="4"/>
  <c r="O638" i="4"/>
  <c r="O700" i="4" s="1"/>
  <c r="P638" i="4"/>
  <c r="Q638" i="4"/>
  <c r="R638" i="4"/>
  <c r="S638" i="4"/>
  <c r="T638" i="4"/>
  <c r="U638" i="4"/>
  <c r="W638" i="4"/>
  <c r="W700" i="4" s="1"/>
  <c r="X638" i="4"/>
  <c r="Z638" i="4"/>
  <c r="AB638" i="4"/>
  <c r="AC638" i="4"/>
  <c r="AE638" i="4"/>
  <c r="AE700" i="4" s="1"/>
  <c r="AG638" i="4"/>
  <c r="AH638" i="4"/>
  <c r="AI638" i="4"/>
  <c r="AI700" i="4" s="1"/>
  <c r="AJ638" i="4"/>
  <c r="AJ700" i="4" s="1"/>
  <c r="AM638" i="4"/>
  <c r="AN638" i="4"/>
  <c r="AO638" i="4"/>
  <c r="AO700" i="4" s="1"/>
  <c r="AP638" i="4"/>
  <c r="AP700" i="4" s="1"/>
  <c r="AQ638" i="4"/>
  <c r="AR638" i="4"/>
  <c r="AU638" i="4"/>
  <c r="AU700" i="4" s="1"/>
  <c r="AV638" i="4"/>
  <c r="AV700" i="4" s="1"/>
  <c r="AW638" i="4"/>
  <c r="AX638" i="4"/>
  <c r="AY638" i="4"/>
  <c r="AZ638" i="4"/>
  <c r="AZ700" i="4" s="1"/>
  <c r="BA638" i="4"/>
  <c r="BA700" i="4" s="1"/>
  <c r="BB638" i="4"/>
  <c r="BB700" i="4" s="1"/>
  <c r="BC638" i="4"/>
  <c r="BD638" i="4"/>
  <c r="BD700" i="4" s="1"/>
  <c r="BE638" i="4"/>
  <c r="BE700" i="4" s="1"/>
  <c r="BF638" i="4"/>
  <c r="BF700" i="4" s="1"/>
  <c r="BG638" i="4"/>
  <c r="BG700" i="4" s="1"/>
  <c r="BH638" i="4"/>
  <c r="BH700" i="4" s="1"/>
  <c r="G882" i="5" s="1"/>
  <c r="C882" i="5" s="1"/>
  <c r="BI638" i="4"/>
  <c r="BJ638" i="4"/>
  <c r="BJ700" i="4" s="1"/>
  <c r="BK638" i="4"/>
  <c r="BL638" i="4"/>
  <c r="BL700" i="4" s="1"/>
  <c r="G886" i="5" s="1"/>
  <c r="C886" i="5" s="1"/>
  <c r="BM638" i="4"/>
  <c r="BM700" i="4" s="1"/>
  <c r="BN638" i="4"/>
  <c r="BN700" i="4" s="1"/>
  <c r="BO638" i="4"/>
  <c r="BO700" i="4" s="1"/>
  <c r="BP638" i="4"/>
  <c r="BP700" i="4" s="1"/>
  <c r="G903" i="5" s="1"/>
  <c r="C903" i="5" s="1"/>
  <c r="BQ638" i="4"/>
  <c r="BR638" i="4"/>
  <c r="BR700" i="4" s="1"/>
  <c r="BS638" i="4"/>
  <c r="BT638" i="4"/>
  <c r="BU638" i="4"/>
  <c r="BW638" i="4"/>
  <c r="BW700" i="4" s="1"/>
  <c r="BX638" i="4"/>
  <c r="BX700" i="4" s="1"/>
  <c r="BY638" i="4"/>
  <c r="BY700" i="4" s="1"/>
  <c r="BZ638" i="4"/>
  <c r="BZ700" i="4" s="1"/>
  <c r="CA638" i="4"/>
  <c r="CA700" i="4" s="1"/>
  <c r="CB638" i="4"/>
  <c r="CC638" i="4"/>
  <c r="CL638" i="4"/>
  <c r="CL700" i="4" s="1"/>
  <c r="CM638" i="4"/>
  <c r="CM700" i="4" s="1"/>
  <c r="CN638" i="4"/>
  <c r="CP638" i="4"/>
  <c r="CP700" i="4" s="1"/>
  <c r="CR638" i="4"/>
  <c r="CR700" i="4" s="1"/>
  <c r="CS638" i="4"/>
  <c r="CS700" i="4" s="1"/>
  <c r="CT638" i="4"/>
  <c r="CV638" i="4"/>
  <c r="CW638" i="4"/>
  <c r="E638" i="4"/>
  <c r="E700" i="4" s="1"/>
  <c r="R68" i="4"/>
  <c r="S68" i="4"/>
  <c r="S700" i="4" s="1"/>
  <c r="E74" i="3"/>
  <c r="G74" i="3"/>
  <c r="I74" i="3"/>
  <c r="K74" i="3"/>
  <c r="L74" i="3"/>
  <c r="AA365" i="5" s="1"/>
  <c r="M74" i="3"/>
  <c r="AA378" i="5" s="1"/>
  <c r="N74" i="3"/>
  <c r="O74" i="3"/>
  <c r="AA386" i="5" s="1"/>
  <c r="P74" i="3"/>
  <c r="AA390" i="5" s="1"/>
  <c r="Q74" i="3"/>
  <c r="AA84" i="5" s="1"/>
  <c r="R74" i="3"/>
  <c r="AA88" i="5" s="1"/>
  <c r="S74" i="3"/>
  <c r="AA94" i="5" s="1"/>
  <c r="T74" i="3"/>
  <c r="AA107" i="5" s="1"/>
  <c r="U74" i="3"/>
  <c r="AA123" i="5" s="1"/>
  <c r="V74" i="3"/>
  <c r="AA132" i="5" s="1"/>
  <c r="W74" i="3"/>
  <c r="AA127" i="5" s="1"/>
  <c r="X74" i="3"/>
  <c r="AA138" i="5" s="1"/>
  <c r="Z74" i="3"/>
  <c r="AA178" i="5" s="1"/>
  <c r="AB74" i="3"/>
  <c r="AA213" i="5" s="1"/>
  <c r="AC74" i="3"/>
  <c r="AA217" i="5" s="1"/>
  <c r="AD74" i="3"/>
  <c r="AA223" i="5" s="1"/>
  <c r="AE74" i="3"/>
  <c r="AF74" i="3"/>
  <c r="AA581" i="5" s="1"/>
  <c r="AG74" i="3"/>
  <c r="AA590" i="5" s="1"/>
  <c r="AH74" i="3"/>
  <c r="AA601" i="5" s="1"/>
  <c r="AI74" i="3"/>
  <c r="AA610" i="5" s="1"/>
  <c r="AJ74" i="3"/>
  <c r="AA621" i="5" s="1"/>
  <c r="AK74" i="3"/>
  <c r="AA630" i="5" s="1"/>
  <c r="AL74" i="3"/>
  <c r="AA641" i="5" s="1"/>
  <c r="AM74" i="3"/>
  <c r="AA650" i="5" s="1"/>
  <c r="AK667" i="5" s="1"/>
  <c r="AN74" i="3"/>
  <c r="AA656" i="5" s="1"/>
  <c r="AQ74" i="3"/>
  <c r="AR74" i="3"/>
  <c r="AA310" i="5" s="1"/>
  <c r="AS74" i="3"/>
  <c r="AV74" i="3"/>
  <c r="AA492" i="5" s="1"/>
  <c r="AW74" i="3"/>
  <c r="AA499" i="5" s="1"/>
  <c r="AT74" i="3"/>
  <c r="AU74" i="3"/>
  <c r="AY74" i="3"/>
  <c r="AA749" i="5" s="1"/>
  <c r="AZ74" i="3"/>
  <c r="AA754" i="5" s="1"/>
  <c r="BA74" i="3"/>
  <c r="AA745" i="5" s="1"/>
  <c r="BB74" i="3"/>
  <c r="AA759" i="5" s="1"/>
  <c r="BD74" i="3"/>
  <c r="AA794" i="5" s="1"/>
  <c r="AA798" i="5" s="1"/>
  <c r="AK798" i="5" s="1"/>
  <c r="BF74" i="3"/>
  <c r="AA714" i="5" s="1"/>
  <c r="BG74" i="3"/>
  <c r="AA719" i="5" s="1"/>
  <c r="BH74" i="3"/>
  <c r="BI74" i="3"/>
  <c r="BJ74" i="3"/>
  <c r="BK74" i="3"/>
  <c r="BL74" i="3"/>
  <c r="BM74" i="3"/>
  <c r="BN74" i="3"/>
  <c r="BO74" i="3"/>
  <c r="AA729" i="5" s="1"/>
  <c r="BP74" i="3"/>
  <c r="AA733" i="5" s="1"/>
  <c r="BS74" i="3"/>
  <c r="BT74" i="3"/>
  <c r="BU74" i="3"/>
  <c r="BV74" i="3"/>
  <c r="BW74" i="3"/>
  <c r="BX74" i="3"/>
  <c r="BY74" i="3"/>
  <c r="BZ74" i="3"/>
  <c r="CA74" i="3"/>
  <c r="CB74" i="3"/>
  <c r="AX74" i="3"/>
  <c r="AA395" i="5" s="1"/>
  <c r="D74" i="3"/>
  <c r="D55" i="3"/>
  <c r="E55" i="3"/>
  <c r="G55" i="3"/>
  <c r="I55" i="3"/>
  <c r="K55" i="3"/>
  <c r="L55" i="3"/>
  <c r="Z365" i="5" s="1"/>
  <c r="M55" i="3"/>
  <c r="Z378" i="5" s="1"/>
  <c r="N55" i="3"/>
  <c r="O55" i="3"/>
  <c r="Z386" i="5" s="1"/>
  <c r="P55" i="3"/>
  <c r="Z390" i="5" s="1"/>
  <c r="Q55" i="3"/>
  <c r="Z84" i="5" s="1"/>
  <c r="R55" i="3"/>
  <c r="Z88" i="5" s="1"/>
  <c r="S55" i="3"/>
  <c r="Z94" i="5" s="1"/>
  <c r="T55" i="3"/>
  <c r="Z107" i="5" s="1"/>
  <c r="U55" i="3"/>
  <c r="Z123" i="5" s="1"/>
  <c r="V55" i="3"/>
  <c r="Z132" i="5" s="1"/>
  <c r="W55" i="3"/>
  <c r="Z127" i="5" s="1"/>
  <c r="X55" i="3"/>
  <c r="Z138" i="5" s="1"/>
  <c r="Z55" i="3"/>
  <c r="Z178" i="5" s="1"/>
  <c r="AB55" i="3"/>
  <c r="Z213" i="5" s="1"/>
  <c r="AC55" i="3"/>
  <c r="Z217" i="5" s="1"/>
  <c r="AD55" i="3"/>
  <c r="Z223" i="5" s="1"/>
  <c r="AE55" i="3"/>
  <c r="AF55" i="3"/>
  <c r="Z581" i="5" s="1"/>
  <c r="AG55" i="3"/>
  <c r="Z590" i="5" s="1"/>
  <c r="AH55" i="3"/>
  <c r="Z601" i="5" s="1"/>
  <c r="AI55" i="3"/>
  <c r="Z610" i="5" s="1"/>
  <c r="AJ55" i="3"/>
  <c r="Z621" i="5" s="1"/>
  <c r="AK55" i="3"/>
  <c r="Z630" i="5" s="1"/>
  <c r="AL55" i="3"/>
  <c r="Z641" i="5" s="1"/>
  <c r="AM55" i="3"/>
  <c r="Z650" i="5" s="1"/>
  <c r="AJ667" i="5" s="1"/>
  <c r="AN55" i="3"/>
  <c r="Z656" i="5" s="1"/>
  <c r="AQ55" i="3"/>
  <c r="AR55" i="3"/>
  <c r="Z310" i="5" s="1"/>
  <c r="AS55" i="3"/>
  <c r="AV55" i="3"/>
  <c r="Z492" i="5" s="1"/>
  <c r="AW55" i="3"/>
  <c r="Z499" i="5" s="1"/>
  <c r="AT55" i="3"/>
  <c r="AU55" i="3"/>
  <c r="AY55" i="3"/>
  <c r="Z749" i="5" s="1"/>
  <c r="AZ55" i="3"/>
  <c r="Z754" i="5" s="1"/>
  <c r="BA55" i="3"/>
  <c r="Z745" i="5" s="1"/>
  <c r="BB55" i="3"/>
  <c r="Z759" i="5" s="1"/>
  <c r="BD55" i="3"/>
  <c r="Z794" i="5" s="1"/>
  <c r="Z798" i="5" s="1"/>
  <c r="AJ798" i="5" s="1"/>
  <c r="BF55" i="3"/>
  <c r="Z714" i="5" s="1"/>
  <c r="BG55" i="3"/>
  <c r="Z719" i="5" s="1"/>
  <c r="BH55" i="3"/>
  <c r="BI55" i="3"/>
  <c r="BJ55" i="3"/>
  <c r="BK55" i="3"/>
  <c r="BL55" i="3"/>
  <c r="BM55" i="3"/>
  <c r="BN55" i="3"/>
  <c r="BO55" i="3"/>
  <c r="Z729" i="5" s="1"/>
  <c r="BP55" i="3"/>
  <c r="Z733" i="5" s="1"/>
  <c r="BS55" i="3"/>
  <c r="BT55" i="3"/>
  <c r="BU55" i="3"/>
  <c r="BV55" i="3"/>
  <c r="BW55" i="3"/>
  <c r="BX55" i="3"/>
  <c r="BY55" i="3"/>
  <c r="BZ55" i="3"/>
  <c r="CA55" i="3"/>
  <c r="CB55" i="3"/>
  <c r="AX55" i="3"/>
  <c r="Z395" i="5" s="1"/>
  <c r="E31" i="3"/>
  <c r="G31" i="3"/>
  <c r="I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Z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Q31" i="3"/>
  <c r="AR31" i="3"/>
  <c r="AS31" i="3"/>
  <c r="AV31" i="3"/>
  <c r="AW31" i="3"/>
  <c r="AT31" i="3"/>
  <c r="AU31" i="3"/>
  <c r="AY31" i="3"/>
  <c r="AZ31" i="3"/>
  <c r="BA31" i="3"/>
  <c r="BB31" i="3"/>
  <c r="BD31" i="3"/>
  <c r="BF31" i="3"/>
  <c r="BG31" i="3"/>
  <c r="BH31" i="3"/>
  <c r="BI31" i="3"/>
  <c r="BJ31" i="3"/>
  <c r="BK31" i="3"/>
  <c r="BL31" i="3"/>
  <c r="BM31" i="3"/>
  <c r="BN31" i="3"/>
  <c r="BO31" i="3"/>
  <c r="BP31" i="3"/>
  <c r="BS31" i="3"/>
  <c r="BT31" i="3"/>
  <c r="BU31" i="3"/>
  <c r="BV31" i="3"/>
  <c r="BW31" i="3"/>
  <c r="BX31" i="3"/>
  <c r="BY31" i="3"/>
  <c r="BZ31" i="3"/>
  <c r="CA31" i="3"/>
  <c r="CB31" i="3"/>
  <c r="AX31" i="3"/>
  <c r="D31" i="3"/>
  <c r="BE359" i="2"/>
  <c r="X299" i="5" s="1"/>
  <c r="BF359" i="2"/>
  <c r="X310" i="5" s="1"/>
  <c r="BG359" i="2"/>
  <c r="X321" i="5" s="1"/>
  <c r="BH359" i="2"/>
  <c r="X331" i="5" s="1"/>
  <c r="BE189" i="2"/>
  <c r="W299" i="5" s="1"/>
  <c r="BF189" i="2"/>
  <c r="W310" i="5" s="1"/>
  <c r="BG189" i="2"/>
  <c r="W321" i="5" s="1"/>
  <c r="BH189" i="2"/>
  <c r="W331" i="5" s="1"/>
  <c r="BU189" i="2"/>
  <c r="W522" i="5" s="1"/>
  <c r="BE26" i="2"/>
  <c r="BF26" i="2"/>
  <c r="BG26" i="2"/>
  <c r="BH26" i="2"/>
  <c r="E359" i="2"/>
  <c r="F359" i="2"/>
  <c r="G359" i="2"/>
  <c r="H359" i="2"/>
  <c r="J359" i="2"/>
  <c r="L359" i="2"/>
  <c r="M359" i="2"/>
  <c r="N359" i="2"/>
  <c r="O359" i="2"/>
  <c r="P359" i="2"/>
  <c r="Q359" i="2"/>
  <c r="S359" i="2"/>
  <c r="X382" i="5" s="1"/>
  <c r="U359" i="2"/>
  <c r="X365" i="5" s="1"/>
  <c r="V359" i="2"/>
  <c r="X378" i="5" s="1"/>
  <c r="W359" i="2"/>
  <c r="X373" i="5" s="1"/>
  <c r="X359" i="2"/>
  <c r="X386" i="5" s="1"/>
  <c r="Y359" i="2"/>
  <c r="X390" i="5" s="1"/>
  <c r="Z359" i="2"/>
  <c r="X84" i="5" s="1"/>
  <c r="AA359" i="2"/>
  <c r="X88" i="5" s="1"/>
  <c r="AB359" i="2"/>
  <c r="X94" i="5" s="1"/>
  <c r="AC359" i="2"/>
  <c r="X107" i="5" s="1"/>
  <c r="AD359" i="2"/>
  <c r="X123" i="5" s="1"/>
  <c r="AE359" i="2"/>
  <c r="X132" i="5" s="1"/>
  <c r="AF359" i="2"/>
  <c r="X127" i="5" s="1"/>
  <c r="AH359" i="2"/>
  <c r="X138" i="5" s="1"/>
  <c r="AJ359" i="2"/>
  <c r="X178" i="5" s="1"/>
  <c r="AL359" i="2"/>
  <c r="X213" i="5" s="1"/>
  <c r="AM359" i="2"/>
  <c r="X217" i="5" s="1"/>
  <c r="AN359" i="2"/>
  <c r="X223" i="5" s="1"/>
  <c r="AO359" i="2"/>
  <c r="AR359" i="2"/>
  <c r="X581" i="5" s="1"/>
  <c r="AS359" i="2"/>
  <c r="X590" i="5" s="1"/>
  <c r="AT359" i="2"/>
  <c r="X601" i="5" s="1"/>
  <c r="AU359" i="2"/>
  <c r="X610" i="5" s="1"/>
  <c r="AV359" i="2"/>
  <c r="X621" i="5" s="1"/>
  <c r="AW359" i="2"/>
  <c r="X630" i="5" s="1"/>
  <c r="AX359" i="2"/>
  <c r="X641" i="5" s="1"/>
  <c r="BA359" i="2"/>
  <c r="X650" i="5" s="1"/>
  <c r="BB359" i="2"/>
  <c r="X656" i="5" s="1"/>
  <c r="BU359" i="2"/>
  <c r="X522" i="5" s="1"/>
  <c r="BV359" i="2"/>
  <c r="X529" i="5" s="1"/>
  <c r="BW359" i="2"/>
  <c r="X538" i="5" s="1"/>
  <c r="BK359" i="2"/>
  <c r="X444" i="5" s="1"/>
  <c r="BL359" i="2"/>
  <c r="X451" i="5" s="1"/>
  <c r="BQ359" i="2"/>
  <c r="X492" i="5" s="1"/>
  <c r="BR359" i="2"/>
  <c r="X499" i="5" s="1"/>
  <c r="BM359" i="2"/>
  <c r="X460" i="5" s="1"/>
  <c r="BN359" i="2"/>
  <c r="X467" i="5" s="1"/>
  <c r="BX359" i="2"/>
  <c r="BY359" i="2"/>
  <c r="X554" i="5" s="1"/>
  <c r="CC359" i="2"/>
  <c r="CD359" i="2"/>
  <c r="X754" i="5" s="1"/>
  <c r="CE359" i="2"/>
  <c r="X745" i="5" s="1"/>
  <c r="CH359" i="2"/>
  <c r="X759" i="5" s="1"/>
  <c r="CO359" i="2"/>
  <c r="X794" i="5" s="1"/>
  <c r="X798" i="5" s="1"/>
  <c r="AH798" i="5" s="1"/>
  <c r="CQ359" i="2"/>
  <c r="X714" i="5" s="1"/>
  <c r="CR359" i="2"/>
  <c r="X719" i="5" s="1"/>
  <c r="CS359" i="2"/>
  <c r="X729" i="5" s="1"/>
  <c r="CT359" i="2"/>
  <c r="X733" i="5" s="1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S359" i="2"/>
  <c r="DT359" i="2"/>
  <c r="DU359" i="2"/>
  <c r="CA359" i="2"/>
  <c r="X412" i="5" s="1"/>
  <c r="DX359" i="2"/>
  <c r="DY359" i="2"/>
  <c r="DZ359" i="2"/>
  <c r="EB359" i="2"/>
  <c r="EC359" i="2"/>
  <c r="EF359" i="2"/>
  <c r="EJ359" i="2"/>
  <c r="EK359" i="2"/>
  <c r="EM359" i="2"/>
  <c r="EO359" i="2"/>
  <c r="EP359" i="2"/>
  <c r="ET359" i="2"/>
  <c r="EU359" i="2"/>
  <c r="EV359" i="2"/>
  <c r="EW359" i="2"/>
  <c r="EY359" i="2"/>
  <c r="FA359" i="2"/>
  <c r="FB359" i="2"/>
  <c r="FE359" i="2"/>
  <c r="D359" i="2"/>
  <c r="E189" i="2"/>
  <c r="F189" i="2"/>
  <c r="G189" i="2"/>
  <c r="H189" i="2"/>
  <c r="J189" i="2"/>
  <c r="L189" i="2"/>
  <c r="M189" i="2"/>
  <c r="N189" i="2"/>
  <c r="O189" i="2"/>
  <c r="P189" i="2"/>
  <c r="Q189" i="2"/>
  <c r="S189" i="2"/>
  <c r="W382" i="5" s="1"/>
  <c r="U189" i="2"/>
  <c r="W365" i="5" s="1"/>
  <c r="W189" i="2"/>
  <c r="W373" i="5" s="1"/>
  <c r="X189" i="2"/>
  <c r="W386" i="5" s="1"/>
  <c r="Y189" i="2"/>
  <c r="W390" i="5" s="1"/>
  <c r="Z189" i="2"/>
  <c r="W84" i="5" s="1"/>
  <c r="AA189" i="2"/>
  <c r="W88" i="5" s="1"/>
  <c r="AB189" i="2"/>
  <c r="W94" i="5" s="1"/>
  <c r="AC189" i="2"/>
  <c r="W107" i="5" s="1"/>
  <c r="AD189" i="2"/>
  <c r="W123" i="5" s="1"/>
  <c r="AE189" i="2"/>
  <c r="W132" i="5" s="1"/>
  <c r="AF189" i="2"/>
  <c r="W127" i="5" s="1"/>
  <c r="AH189" i="2"/>
  <c r="W138" i="5" s="1"/>
  <c r="AJ189" i="2"/>
  <c r="W178" i="5" s="1"/>
  <c r="AL189" i="2"/>
  <c r="W213" i="5" s="1"/>
  <c r="AM189" i="2"/>
  <c r="W217" i="5" s="1"/>
  <c r="AN189" i="2"/>
  <c r="W223" i="5" s="1"/>
  <c r="AO189" i="2"/>
  <c r="AR189" i="2"/>
  <c r="W581" i="5" s="1"/>
  <c r="AS189" i="2"/>
  <c r="W590" i="5" s="1"/>
  <c r="AT189" i="2"/>
  <c r="W601" i="5" s="1"/>
  <c r="AU189" i="2"/>
  <c r="W610" i="5" s="1"/>
  <c r="AV189" i="2"/>
  <c r="W621" i="5" s="1"/>
  <c r="AW189" i="2"/>
  <c r="W630" i="5" s="1"/>
  <c r="AX189" i="2"/>
  <c r="W641" i="5" s="1"/>
  <c r="BA189" i="2"/>
  <c r="W650" i="5" s="1"/>
  <c r="BB189" i="2"/>
  <c r="W656" i="5" s="1"/>
  <c r="BV189" i="2"/>
  <c r="W529" i="5" s="1"/>
  <c r="BW189" i="2"/>
  <c r="W538" i="5" s="1"/>
  <c r="BK189" i="2"/>
  <c r="W444" i="5" s="1"/>
  <c r="BL189" i="2"/>
  <c r="W451" i="5" s="1"/>
  <c r="BQ189" i="2"/>
  <c r="W492" i="5" s="1"/>
  <c r="BR189" i="2"/>
  <c r="W499" i="5" s="1"/>
  <c r="BM189" i="2"/>
  <c r="W460" i="5" s="1"/>
  <c r="BN189" i="2"/>
  <c r="W467" i="5" s="1"/>
  <c r="BX189" i="2"/>
  <c r="BY189" i="2"/>
  <c r="W554" i="5" s="1"/>
  <c r="CC189" i="2"/>
  <c r="CD189" i="2"/>
  <c r="W754" i="5" s="1"/>
  <c r="CE189" i="2"/>
  <c r="W745" i="5" s="1"/>
  <c r="CH189" i="2"/>
  <c r="W759" i="5" s="1"/>
  <c r="CO189" i="2"/>
  <c r="W794" i="5" s="1"/>
  <c r="W798" i="5" s="1"/>
  <c r="AG798" i="5" s="1"/>
  <c r="CQ189" i="2"/>
  <c r="W714" i="5" s="1"/>
  <c r="CR189" i="2"/>
  <c r="W719" i="5" s="1"/>
  <c r="CS189" i="2"/>
  <c r="W729" i="5" s="1"/>
  <c r="CT189" i="2"/>
  <c r="W733" i="5" s="1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S189" i="2"/>
  <c r="DT189" i="2"/>
  <c r="DU189" i="2"/>
  <c r="CA189" i="2"/>
  <c r="W412" i="5" s="1"/>
  <c r="DX189" i="2"/>
  <c r="DY189" i="2"/>
  <c r="DZ189" i="2"/>
  <c r="EB189" i="2"/>
  <c r="EC189" i="2"/>
  <c r="EF189" i="2"/>
  <c r="EJ189" i="2"/>
  <c r="EK189" i="2"/>
  <c r="EM189" i="2"/>
  <c r="EO189" i="2"/>
  <c r="EP189" i="2"/>
  <c r="ET189" i="2"/>
  <c r="EU189" i="2"/>
  <c r="EV189" i="2"/>
  <c r="EW189" i="2"/>
  <c r="EY189" i="2"/>
  <c r="FA189" i="2"/>
  <c r="FB189" i="2"/>
  <c r="FE189" i="2"/>
  <c r="D189" i="2"/>
  <c r="D364" i="2" s="1"/>
  <c r="E26" i="2"/>
  <c r="F26" i="2"/>
  <c r="G26" i="2"/>
  <c r="H26" i="2"/>
  <c r="J26" i="2"/>
  <c r="L26" i="2"/>
  <c r="M26" i="2"/>
  <c r="N26" i="2"/>
  <c r="O26" i="2"/>
  <c r="P26" i="2"/>
  <c r="Q26" i="2"/>
  <c r="S26" i="2"/>
  <c r="U26" i="2"/>
  <c r="W26" i="2"/>
  <c r="X26" i="2"/>
  <c r="Y26" i="2"/>
  <c r="Z26" i="2"/>
  <c r="AA26" i="2"/>
  <c r="AB26" i="2"/>
  <c r="AC26" i="2"/>
  <c r="AD26" i="2"/>
  <c r="AE26" i="2"/>
  <c r="AF26" i="2"/>
  <c r="AH26" i="2"/>
  <c r="AJ26" i="2"/>
  <c r="AL26" i="2"/>
  <c r="AM26" i="2"/>
  <c r="AN26" i="2"/>
  <c r="AO26" i="2"/>
  <c r="AR26" i="2"/>
  <c r="AS26" i="2"/>
  <c r="AT26" i="2"/>
  <c r="AU26" i="2"/>
  <c r="AV26" i="2"/>
  <c r="AW26" i="2"/>
  <c r="AX26" i="2"/>
  <c r="BA26" i="2"/>
  <c r="BB26" i="2"/>
  <c r="BU26" i="2"/>
  <c r="BV26" i="2"/>
  <c r="BW26" i="2"/>
  <c r="BK26" i="2"/>
  <c r="BL26" i="2"/>
  <c r="BQ26" i="2"/>
  <c r="BR26" i="2"/>
  <c r="BM26" i="2"/>
  <c r="BN26" i="2"/>
  <c r="BX26" i="2"/>
  <c r="BY26" i="2"/>
  <c r="CC26" i="2"/>
  <c r="CD26" i="2"/>
  <c r="CE26" i="2"/>
  <c r="CH26" i="2"/>
  <c r="CO26" i="2"/>
  <c r="CQ26" i="2"/>
  <c r="CR26" i="2"/>
  <c r="CS26" i="2"/>
  <c r="CT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S26" i="2"/>
  <c r="DT26" i="2"/>
  <c r="DU26" i="2"/>
  <c r="CA26" i="2"/>
  <c r="DX26" i="2"/>
  <c r="DY26" i="2"/>
  <c r="DZ26" i="2"/>
  <c r="EB26" i="2"/>
  <c r="EC26" i="2"/>
  <c r="EF26" i="2"/>
  <c r="EJ26" i="2"/>
  <c r="EK26" i="2"/>
  <c r="EM26" i="2"/>
  <c r="EO26" i="2"/>
  <c r="EP26" i="2"/>
  <c r="ET26" i="2"/>
  <c r="EU26" i="2"/>
  <c r="EV26" i="2"/>
  <c r="EW26" i="2"/>
  <c r="EY26" i="2"/>
  <c r="FA26" i="2"/>
  <c r="FB26" i="2"/>
  <c r="FE26" i="2"/>
  <c r="D26" i="2"/>
  <c r="D363" i="2" s="1"/>
  <c r="R38" i="1"/>
  <c r="S38" i="1" s="1"/>
  <c r="R39" i="1"/>
  <c r="S39" i="1" s="1"/>
  <c r="R40" i="1"/>
  <c r="S40" i="1" s="1"/>
  <c r="R41" i="1"/>
  <c r="S41" i="1" s="1"/>
  <c r="R42" i="1"/>
  <c r="S42" i="1" s="1"/>
  <c r="I277" i="15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I85" i="15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9" i="1"/>
  <c r="S59" i="1" s="1"/>
  <c r="R60" i="1"/>
  <c r="S60" i="1" s="1"/>
  <c r="R61" i="1"/>
  <c r="S61" i="1" s="1"/>
  <c r="R62" i="1"/>
  <c r="S62" i="1" s="1"/>
  <c r="R65" i="1"/>
  <c r="S65" i="1" s="1"/>
  <c r="R66" i="1"/>
  <c r="S66" i="1" s="1"/>
  <c r="R67" i="1"/>
  <c r="S67" i="1" s="1"/>
  <c r="R68" i="1"/>
  <c r="S68" i="1" s="1"/>
  <c r="R69" i="1"/>
  <c r="S69" i="1" s="1"/>
  <c r="R37" i="1"/>
  <c r="S37" i="1" s="1"/>
  <c r="R12" i="1"/>
  <c r="S12" i="1" s="1"/>
  <c r="R13" i="1"/>
  <c r="S13" i="1" s="1"/>
  <c r="R14" i="1"/>
  <c r="S14" i="1" s="1"/>
  <c r="R16" i="1"/>
  <c r="S16" i="1" s="1"/>
  <c r="R17" i="1"/>
  <c r="S17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11" i="1"/>
  <c r="S11" i="1" s="1"/>
  <c r="G700" i="4" l="1"/>
  <c r="AT76" i="3"/>
  <c r="K700" i="4"/>
  <c r="CB700" i="4"/>
  <c r="BC700" i="4"/>
  <c r="G911" i="5" s="1"/>
  <c r="F268" i="1"/>
  <c r="K938" i="5" s="1"/>
  <c r="Q938" i="5" s="1"/>
  <c r="I90" i="15"/>
  <c r="J259" i="15"/>
  <c r="F425" i="1"/>
  <c r="J79" i="15"/>
  <c r="I259" i="15"/>
  <c r="I79" i="15"/>
  <c r="J73" i="15"/>
  <c r="F177" i="1"/>
  <c r="K76" i="3"/>
  <c r="AQ76" i="3"/>
  <c r="P700" i="4"/>
  <c r="D7" i="20"/>
  <c r="E706" i="4"/>
  <c r="F529" i="1"/>
  <c r="F531" i="1"/>
  <c r="F530" i="1"/>
  <c r="F532" i="1"/>
  <c r="F356" i="1"/>
  <c r="F355" i="1"/>
  <c r="F359" i="1"/>
  <c r="I81" i="15"/>
  <c r="F357" i="1"/>
  <c r="F358" i="1"/>
  <c r="J81" i="15"/>
  <c r="AK355" i="5"/>
  <c r="AA346" i="5"/>
  <c r="AK346" i="5" s="1"/>
  <c r="AA319" i="5"/>
  <c r="AA318" i="5"/>
  <c r="AK318" i="5" s="1"/>
  <c r="AA347" i="5"/>
  <c r="AK347" i="5" s="1"/>
  <c r="AA317" i="5"/>
  <c r="AJ355" i="5"/>
  <c r="Z318" i="5"/>
  <c r="AJ318" i="5" s="1"/>
  <c r="Z317" i="5"/>
  <c r="Z319" i="5"/>
  <c r="Z347" i="5"/>
  <c r="AJ347" i="5" s="1"/>
  <c r="Z346" i="5"/>
  <c r="AJ346" i="5" s="1"/>
  <c r="F700" i="4"/>
  <c r="G870" i="5" s="1"/>
  <c r="C870" i="5" s="1"/>
  <c r="AX700" i="4"/>
  <c r="AN700" i="4"/>
  <c r="AH700" i="4"/>
  <c r="AB700" i="4"/>
  <c r="R700" i="4"/>
  <c r="J700" i="4"/>
  <c r="W326" i="5"/>
  <c r="AG326" i="5" s="1"/>
  <c r="W328" i="5"/>
  <c r="AG328" i="5" s="1"/>
  <c r="W327" i="5"/>
  <c r="AG327" i="5" s="1"/>
  <c r="X326" i="5"/>
  <c r="AH326" i="5" s="1"/>
  <c r="X327" i="5"/>
  <c r="AH327" i="5" s="1"/>
  <c r="X328" i="5"/>
  <c r="AG355" i="5"/>
  <c r="W347" i="5"/>
  <c r="AG347" i="5" s="1"/>
  <c r="W318" i="5"/>
  <c r="AG318" i="5" s="1"/>
  <c r="W346" i="5"/>
  <c r="AG346" i="5" s="1"/>
  <c r="W317" i="5"/>
  <c r="AG317" i="5" s="1"/>
  <c r="W319" i="5"/>
  <c r="AG319" i="5" s="1"/>
  <c r="AH355" i="5"/>
  <c r="X346" i="5"/>
  <c r="AH346" i="5" s="1"/>
  <c r="X317" i="5"/>
  <c r="AH317" i="5" s="1"/>
  <c r="X319" i="5"/>
  <c r="AH319" i="5" s="1"/>
  <c r="X318" i="5"/>
  <c r="AH318" i="5" s="1"/>
  <c r="X347" i="5"/>
  <c r="AH347" i="5" s="1"/>
  <c r="W304" i="5"/>
  <c r="AG304" i="5" s="1"/>
  <c r="W305" i="5"/>
  <c r="AG305" i="5" s="1"/>
  <c r="W307" i="5"/>
  <c r="AG307" i="5" s="1"/>
  <c r="W306" i="5"/>
  <c r="AG306" i="5" s="1"/>
  <c r="X304" i="5"/>
  <c r="AH304" i="5" s="1"/>
  <c r="X306" i="5"/>
  <c r="AH306" i="5" s="1"/>
  <c r="X305" i="5"/>
  <c r="AH305" i="5" s="1"/>
  <c r="X307" i="5"/>
  <c r="AH307" i="5" s="1"/>
  <c r="W337" i="5"/>
  <c r="AG337" i="5" s="1"/>
  <c r="W336" i="5"/>
  <c r="AG336" i="5" s="1"/>
  <c r="X336" i="5"/>
  <c r="AH336" i="5" s="1"/>
  <c r="X337" i="5"/>
  <c r="AH337" i="5" s="1"/>
  <c r="X71" i="5"/>
  <c r="AH71" i="5" s="1"/>
  <c r="X272" i="5"/>
  <c r="AH272" i="5" s="1"/>
  <c r="Z71" i="5"/>
  <c r="AJ71" i="5" s="1"/>
  <c r="Z272" i="5"/>
  <c r="AJ272" i="5" s="1"/>
  <c r="W71" i="5"/>
  <c r="AG71" i="5" s="1"/>
  <c r="W272" i="5"/>
  <c r="AG272" i="5" s="1"/>
  <c r="AA71" i="5"/>
  <c r="AK71" i="5" s="1"/>
  <c r="AA272" i="5"/>
  <c r="AK272" i="5" s="1"/>
  <c r="F325" i="1"/>
  <c r="F310" i="1"/>
  <c r="J234" i="5" s="1"/>
  <c r="P234" i="5" s="1"/>
  <c r="F405" i="1"/>
  <c r="X161" i="5"/>
  <c r="AH161" i="5" s="1"/>
  <c r="X153" i="5"/>
  <c r="AH153" i="5" s="1"/>
  <c r="X154" i="5"/>
  <c r="AH154" i="5" s="1"/>
  <c r="X155" i="5"/>
  <c r="AH155" i="5" s="1"/>
  <c r="X162" i="5"/>
  <c r="AH162" i="5" s="1"/>
  <c r="AJ175" i="5"/>
  <c r="Z155" i="5"/>
  <c r="AJ155" i="5" s="1"/>
  <c r="Z162" i="5"/>
  <c r="AJ162" i="5" s="1"/>
  <c r="Z161" i="5"/>
  <c r="AJ161" i="5" s="1"/>
  <c r="Z153" i="5"/>
  <c r="AJ153" i="5" s="1"/>
  <c r="Z154" i="5"/>
  <c r="AJ154" i="5" s="1"/>
  <c r="W162" i="5"/>
  <c r="AG162" i="5" s="1"/>
  <c r="W153" i="5"/>
  <c r="AG153" i="5" s="1"/>
  <c r="W161" i="5"/>
  <c r="AG161" i="5" s="1"/>
  <c r="W154" i="5"/>
  <c r="AG154" i="5" s="1"/>
  <c r="W155" i="5"/>
  <c r="AG155" i="5" s="1"/>
  <c r="AA162" i="5"/>
  <c r="AK162" i="5" s="1"/>
  <c r="AA153" i="5"/>
  <c r="AK153" i="5" s="1"/>
  <c r="AA161" i="5"/>
  <c r="AK161" i="5" s="1"/>
  <c r="AA154" i="5"/>
  <c r="AK154" i="5" s="1"/>
  <c r="AA155" i="5"/>
  <c r="AK155" i="5" s="1"/>
  <c r="J61" i="15"/>
  <c r="F431" i="1"/>
  <c r="F423" i="1"/>
  <c r="F428" i="1"/>
  <c r="K518" i="8" s="1"/>
  <c r="O518" i="8" s="1"/>
  <c r="F424" i="1"/>
  <c r="F429" i="1"/>
  <c r="F427" i="1"/>
  <c r="J277" i="15"/>
  <c r="M277" i="15" s="1"/>
  <c r="O277" i="15" s="1"/>
  <c r="I61" i="15"/>
  <c r="Q62" i="5"/>
  <c r="Q50" i="5" s="1"/>
  <c r="J105" i="6" s="1"/>
  <c r="Q119" i="5"/>
  <c r="Q107" i="5" s="1"/>
  <c r="K103" i="5"/>
  <c r="Q103" i="5" s="1"/>
  <c r="Q94" i="5" s="1"/>
  <c r="Q79" i="5"/>
  <c r="Q66" i="5" s="1"/>
  <c r="J106" i="6" s="1"/>
  <c r="P106" i="6" s="1"/>
  <c r="Q147" i="5"/>
  <c r="Q138" i="5" s="1"/>
  <c r="J17" i="6" s="1"/>
  <c r="Q191" i="5"/>
  <c r="Q178" i="5" s="1"/>
  <c r="J19" i="6" s="1"/>
  <c r="Q32" i="5"/>
  <c r="Q23" i="5" s="1"/>
  <c r="J103" i="6" s="1"/>
  <c r="Q45" i="5"/>
  <c r="Q36" i="5" s="1"/>
  <c r="J104" i="6" s="1"/>
  <c r="P104" i="6" s="1"/>
  <c r="Q173" i="5"/>
  <c r="Q164" i="5" s="1"/>
  <c r="J20" i="6" s="1"/>
  <c r="P20" i="6" s="1"/>
  <c r="Q208" i="5"/>
  <c r="Q195" i="5" s="1"/>
  <c r="J21" i="6" s="1"/>
  <c r="P21" i="6" s="1"/>
  <c r="AJ357" i="5"/>
  <c r="AJ356" i="5"/>
  <c r="AG356" i="5"/>
  <c r="AG357" i="5"/>
  <c r="AH357" i="5"/>
  <c r="AH356" i="5"/>
  <c r="AK356" i="5"/>
  <c r="AK357" i="5"/>
  <c r="AK294" i="5"/>
  <c r="AA345" i="5"/>
  <c r="AK345" i="5" s="1"/>
  <c r="AG294" i="5"/>
  <c r="W345" i="5"/>
  <c r="AG345" i="5" s="1"/>
  <c r="AH294" i="5"/>
  <c r="X345" i="5"/>
  <c r="AH345" i="5" s="1"/>
  <c r="AJ294" i="5"/>
  <c r="Z345" i="5"/>
  <c r="AJ345" i="5" s="1"/>
  <c r="J252" i="15"/>
  <c r="I252" i="15"/>
  <c r="AW700" i="4"/>
  <c r="AB702" i="5" s="1"/>
  <c r="AL702" i="5" s="1"/>
  <c r="AQ700" i="4"/>
  <c r="I354" i="15"/>
  <c r="I353" i="15"/>
  <c r="I352" i="15"/>
  <c r="I351" i="15"/>
  <c r="I350" i="15"/>
  <c r="I349" i="15"/>
  <c r="I348" i="15"/>
  <c r="I368" i="15"/>
  <c r="I366" i="15"/>
  <c r="I364" i="15"/>
  <c r="J349" i="15"/>
  <c r="J347" i="15"/>
  <c r="J370" i="15"/>
  <c r="J369" i="15"/>
  <c r="J365" i="15"/>
  <c r="J364" i="15"/>
  <c r="J363" i="15"/>
  <c r="I370" i="15"/>
  <c r="I369" i="15"/>
  <c r="I367" i="15"/>
  <c r="I365" i="15"/>
  <c r="J354" i="15"/>
  <c r="J353" i="15"/>
  <c r="J348" i="15"/>
  <c r="J266" i="15"/>
  <c r="I266" i="15"/>
  <c r="I360" i="15"/>
  <c r="I359" i="15"/>
  <c r="I358" i="15"/>
  <c r="I357" i="15"/>
  <c r="J356" i="15"/>
  <c r="J344" i="15"/>
  <c r="J343" i="15"/>
  <c r="J342" i="15"/>
  <c r="J341" i="15"/>
  <c r="J340" i="15"/>
  <c r="I356" i="15"/>
  <c r="I344" i="15"/>
  <c r="I343" i="15"/>
  <c r="I342" i="15"/>
  <c r="I341" i="15"/>
  <c r="I340" i="15"/>
  <c r="J270" i="15"/>
  <c r="J359" i="15"/>
  <c r="I270" i="15"/>
  <c r="J360" i="15"/>
  <c r="J358" i="15"/>
  <c r="J357" i="15"/>
  <c r="I254" i="15"/>
  <c r="J254" i="15"/>
  <c r="I331" i="15"/>
  <c r="I347" i="15"/>
  <c r="M347" i="15" s="1"/>
  <c r="O347" i="15" s="1"/>
  <c r="I363" i="15"/>
  <c r="M363" i="15" s="1"/>
  <c r="O363" i="15" s="1"/>
  <c r="J345" i="15"/>
  <c r="J352" i="15"/>
  <c r="J368" i="15"/>
  <c r="J367" i="15"/>
  <c r="J366" i="15"/>
  <c r="J351" i="15"/>
  <c r="J350" i="15"/>
  <c r="J346" i="15"/>
  <c r="I361" i="15"/>
  <c r="I345" i="15"/>
  <c r="I346" i="15"/>
  <c r="I362" i="15"/>
  <c r="J361" i="15"/>
  <c r="J362" i="15"/>
  <c r="F445" i="1"/>
  <c r="J328" i="15"/>
  <c r="I328" i="15"/>
  <c r="J327" i="15"/>
  <c r="I327" i="15"/>
  <c r="J326" i="15"/>
  <c r="H213" i="13"/>
  <c r="K213" i="13" s="1"/>
  <c r="M213" i="13" s="1"/>
  <c r="H214" i="13"/>
  <c r="K214" i="13" s="1"/>
  <c r="M214" i="13" s="1"/>
  <c r="H215" i="13"/>
  <c r="K215" i="13" s="1"/>
  <c r="M215" i="13" s="1"/>
  <c r="H221" i="13"/>
  <c r="K221" i="13" s="1"/>
  <c r="M221" i="13" s="1"/>
  <c r="F235" i="1"/>
  <c r="J338" i="15"/>
  <c r="J337" i="15"/>
  <c r="J333" i="15"/>
  <c r="J332" i="15"/>
  <c r="J331" i="15"/>
  <c r="M331" i="15" s="1"/>
  <c r="O331" i="15" s="1"/>
  <c r="I338" i="15"/>
  <c r="I337" i="15"/>
  <c r="I336" i="15"/>
  <c r="I335" i="15"/>
  <c r="I334" i="15"/>
  <c r="I333" i="15"/>
  <c r="M333" i="15" s="1"/>
  <c r="O333" i="15" s="1"/>
  <c r="I332" i="15"/>
  <c r="J43" i="15"/>
  <c r="J44" i="15"/>
  <c r="J51" i="15"/>
  <c r="J52" i="15"/>
  <c r="I52" i="15"/>
  <c r="J58" i="15"/>
  <c r="I58" i="15"/>
  <c r="I43" i="15"/>
  <c r="I44" i="15"/>
  <c r="I45" i="15"/>
  <c r="I51" i="15"/>
  <c r="M51" i="15" s="1"/>
  <c r="I53" i="15"/>
  <c r="I57" i="15"/>
  <c r="J46" i="15"/>
  <c r="J49" i="15"/>
  <c r="J45" i="15"/>
  <c r="J47" i="15"/>
  <c r="J55" i="15"/>
  <c r="J53" i="15"/>
  <c r="J48" i="15"/>
  <c r="I47" i="15"/>
  <c r="J54" i="15"/>
  <c r="I48" i="15"/>
  <c r="I54" i="15"/>
  <c r="J56" i="15"/>
  <c r="I55" i="15"/>
  <c r="M55" i="15" s="1"/>
  <c r="O55" i="15" s="1"/>
  <c r="I46" i="15"/>
  <c r="I56" i="15"/>
  <c r="J57" i="15"/>
  <c r="I49" i="15"/>
  <c r="J329" i="15"/>
  <c r="J336" i="15"/>
  <c r="J335" i="15"/>
  <c r="J334" i="15"/>
  <c r="I330" i="15"/>
  <c r="J330" i="15"/>
  <c r="I326" i="15"/>
  <c r="I329" i="15"/>
  <c r="J63" i="15"/>
  <c r="I63" i="15"/>
  <c r="H219" i="13"/>
  <c r="K219" i="13" s="1"/>
  <c r="M219" i="13" s="1"/>
  <c r="H218" i="13"/>
  <c r="K218" i="13" s="1"/>
  <c r="M218" i="13" s="1"/>
  <c r="H217" i="13"/>
  <c r="K217" i="13" s="1"/>
  <c r="M217" i="13" s="1"/>
  <c r="H216" i="13"/>
  <c r="K216" i="13" s="1"/>
  <c r="M216" i="13" s="1"/>
  <c r="H212" i="13"/>
  <c r="K212" i="13" s="1"/>
  <c r="H222" i="13"/>
  <c r="K222" i="13" s="1"/>
  <c r="M222" i="13" s="1"/>
  <c r="H220" i="13"/>
  <c r="K220" i="13" s="1"/>
  <c r="M220" i="13" s="1"/>
  <c r="AA14" i="5"/>
  <c r="AK14" i="5" s="1"/>
  <c r="AA15" i="5"/>
  <c r="AK15" i="5" s="1"/>
  <c r="AA16" i="5"/>
  <c r="AK16" i="5" s="1"/>
  <c r="X14" i="5"/>
  <c r="AH14" i="5" s="1"/>
  <c r="X16" i="5"/>
  <c r="AH16" i="5" s="1"/>
  <c r="X15" i="5"/>
  <c r="AH15" i="5" s="1"/>
  <c r="Z15" i="5"/>
  <c r="AJ15" i="5" s="1"/>
  <c r="Z14" i="5"/>
  <c r="AJ14" i="5" s="1"/>
  <c r="Z16" i="5"/>
  <c r="AJ16" i="5" s="1"/>
  <c r="W14" i="5"/>
  <c r="AG14" i="5" s="1"/>
  <c r="W15" i="5"/>
  <c r="AG15" i="5" s="1"/>
  <c r="W16" i="5"/>
  <c r="AG16" i="5" s="1"/>
  <c r="AR700" i="4"/>
  <c r="AB682" i="5" s="1"/>
  <c r="Q700" i="4"/>
  <c r="G948" i="5" s="1"/>
  <c r="M700" i="4"/>
  <c r="G951" i="5" s="1"/>
  <c r="CW700" i="4"/>
  <c r="G960" i="5" s="1"/>
  <c r="BU700" i="4"/>
  <c r="G894" i="5" s="1"/>
  <c r="BQ700" i="4"/>
  <c r="G895" i="5" s="1"/>
  <c r="AM700" i="4"/>
  <c r="AB561" i="5" s="1"/>
  <c r="AL561" i="5" s="1"/>
  <c r="AG700" i="4"/>
  <c r="AB84" i="5" s="1"/>
  <c r="AL84" i="5" s="1"/>
  <c r="G947" i="5"/>
  <c r="R947" i="5" s="1"/>
  <c r="L700" i="4"/>
  <c r="G950" i="5" s="1"/>
  <c r="I700" i="4"/>
  <c r="CV700" i="4"/>
  <c r="G959" i="5" s="1"/>
  <c r="CC700" i="4"/>
  <c r="G887" i="5" s="1"/>
  <c r="BT700" i="4"/>
  <c r="G893" i="5" s="1"/>
  <c r="CT700" i="4"/>
  <c r="G957" i="5" s="1"/>
  <c r="C957" i="5" s="1"/>
  <c r="CN700" i="4"/>
  <c r="G923" i="5" s="1"/>
  <c r="BS700" i="4"/>
  <c r="G892" i="5" s="1"/>
  <c r="BK700" i="4"/>
  <c r="G885" i="5" s="1"/>
  <c r="AY700" i="4"/>
  <c r="AB710" i="5" s="1"/>
  <c r="AL710" i="5" s="1"/>
  <c r="AC700" i="4"/>
  <c r="N700" i="4"/>
  <c r="G876" i="5" s="1"/>
  <c r="BI700" i="4"/>
  <c r="G883" i="5" s="1"/>
  <c r="AB299" i="5"/>
  <c r="AB107" i="5"/>
  <c r="AL107" i="5" s="1"/>
  <c r="AB50" i="5"/>
  <c r="AL50" i="5" s="1"/>
  <c r="X700" i="4"/>
  <c r="AB365" i="5" s="1"/>
  <c r="AL365" i="5" s="1"/>
  <c r="G946" i="5"/>
  <c r="R946" i="5" s="1"/>
  <c r="G875" i="5"/>
  <c r="G949" i="5" s="1"/>
  <c r="G871" i="5"/>
  <c r="C871" i="5" s="1"/>
  <c r="U700" i="4"/>
  <c r="T700" i="4"/>
  <c r="DD361" i="2"/>
  <c r="CT361" i="2"/>
  <c r="V733" i="5" s="1"/>
  <c r="CO361" i="2"/>
  <c r="V794" i="5" s="1"/>
  <c r="V798" i="5" s="1"/>
  <c r="AF798" i="5" s="1"/>
  <c r="CC361" i="2"/>
  <c r="V749" i="5" s="1"/>
  <c r="V751" i="5" s="1"/>
  <c r="AF751" i="5" s="1"/>
  <c r="BM361" i="2"/>
  <c r="V460" i="5" s="1"/>
  <c r="BK361" i="2"/>
  <c r="V444" i="5" s="1"/>
  <c r="G361" i="2"/>
  <c r="G813" i="5" s="1"/>
  <c r="C813" i="5" s="1"/>
  <c r="DH361" i="2"/>
  <c r="CZ361" i="2"/>
  <c r="V361" i="2"/>
  <c r="V378" i="5" s="1"/>
  <c r="AB676" i="5"/>
  <c r="AB679" i="5" s="1"/>
  <c r="AL679" i="5" s="1"/>
  <c r="Z700" i="4"/>
  <c r="Z702" i="4" s="1"/>
  <c r="DT361" i="2"/>
  <c r="G818" i="5" s="1"/>
  <c r="C818" i="5" s="1"/>
  <c r="DG361" i="2"/>
  <c r="G825" i="5" s="1"/>
  <c r="C825" i="5" s="1"/>
  <c r="DC361" i="2"/>
  <c r="CS361" i="2"/>
  <c r="CH361" i="2"/>
  <c r="V759" i="5" s="1"/>
  <c r="BY361" i="2"/>
  <c r="V547" i="5" s="1"/>
  <c r="BR361" i="2"/>
  <c r="BW361" i="2"/>
  <c r="V538" i="5" s="1"/>
  <c r="F426" i="1"/>
  <c r="F18" i="20"/>
  <c r="I274" i="15"/>
  <c r="I258" i="15"/>
  <c r="I275" i="15"/>
  <c r="I302" i="15"/>
  <c r="I316" i="15"/>
  <c r="I315" i="15"/>
  <c r="I303" i="15"/>
  <c r="DK361" i="2"/>
  <c r="CY361" i="2"/>
  <c r="G829" i="5" s="1"/>
  <c r="C829" i="5" s="1"/>
  <c r="G888" i="5"/>
  <c r="CB703" i="4"/>
  <c r="AV361" i="2"/>
  <c r="BB361" i="2"/>
  <c r="AL361" i="2"/>
  <c r="AA361" i="2"/>
  <c r="V88" i="5" s="1"/>
  <c r="L361" i="2"/>
  <c r="G848" i="5" s="1"/>
  <c r="F361" i="2"/>
  <c r="AR361" i="2"/>
  <c r="V581" i="5" s="1"/>
  <c r="AE361" i="2"/>
  <c r="W361" i="2"/>
  <c r="BG361" i="2"/>
  <c r="V321" i="5" s="1"/>
  <c r="F430" i="1"/>
  <c r="K951" i="5" s="1"/>
  <c r="F178" i="1"/>
  <c r="J17" i="15"/>
  <c r="G403" i="1"/>
  <c r="G404" i="1"/>
  <c r="AA316" i="5"/>
  <c r="AK316" i="5" s="1"/>
  <c r="AK305" i="5"/>
  <c r="W316" i="5"/>
  <c r="AG316" i="5" s="1"/>
  <c r="X316" i="5"/>
  <c r="AH316" i="5" s="1"/>
  <c r="Z316" i="5"/>
  <c r="AJ316" i="5" s="1"/>
  <c r="AJ305" i="5"/>
  <c r="AJ336" i="5"/>
  <c r="AJ337" i="5"/>
  <c r="AK336" i="5"/>
  <c r="AK337" i="5"/>
  <c r="AH328" i="5"/>
  <c r="AJ327" i="5"/>
  <c r="AJ328" i="5"/>
  <c r="AK327" i="5"/>
  <c r="AK328" i="5"/>
  <c r="AJ317" i="5"/>
  <c r="AK317" i="5"/>
  <c r="AJ306" i="5"/>
  <c r="AJ307" i="5"/>
  <c r="AK306" i="5"/>
  <c r="AK307" i="5"/>
  <c r="AH296" i="5"/>
  <c r="AH295" i="5"/>
  <c r="AJ295" i="5"/>
  <c r="AJ296" i="5"/>
  <c r="AG295" i="5"/>
  <c r="AG296" i="5"/>
  <c r="AK295" i="5"/>
  <c r="AK296" i="5"/>
  <c r="EF361" i="2"/>
  <c r="DY361" i="2"/>
  <c r="EU361" i="2"/>
  <c r="E61" i="16" s="1"/>
  <c r="G61" i="16" s="1"/>
  <c r="EC361" i="2"/>
  <c r="G24" i="15" s="1"/>
  <c r="N24" i="15" s="1"/>
  <c r="DX361" i="2"/>
  <c r="EY361" i="2"/>
  <c r="ET361" i="2"/>
  <c r="EK361" i="2"/>
  <c r="FE361" i="2"/>
  <c r="G27" i="15" s="1"/>
  <c r="DZ361" i="2"/>
  <c r="G908" i="5"/>
  <c r="C908" i="5" s="1"/>
  <c r="F619" i="1"/>
  <c r="F617" i="1"/>
  <c r="K926" i="5" s="1"/>
  <c r="Q926" i="5" s="1"/>
  <c r="F618" i="1"/>
  <c r="DL361" i="2"/>
  <c r="G832" i="5" s="1"/>
  <c r="C832" i="5" s="1"/>
  <c r="H251" i="13"/>
  <c r="K251" i="13" s="1"/>
  <c r="M251" i="13" s="1"/>
  <c r="H250" i="13"/>
  <c r="K250" i="13" s="1"/>
  <c r="M250" i="13" s="1"/>
  <c r="H258" i="13"/>
  <c r="K258" i="13" s="1"/>
  <c r="M258" i="13" s="1"/>
  <c r="H259" i="13"/>
  <c r="K259" i="13" s="1"/>
  <c r="M259" i="13" s="1"/>
  <c r="H249" i="13"/>
  <c r="K249" i="13" s="1"/>
  <c r="M249" i="13" s="1"/>
  <c r="H246" i="13"/>
  <c r="K246" i="13" s="1"/>
  <c r="M246" i="13" s="1"/>
  <c r="H237" i="13"/>
  <c r="K237" i="13" s="1"/>
  <c r="M237" i="13" s="1"/>
  <c r="H203" i="13"/>
  <c r="K203" i="13" s="1"/>
  <c r="M203" i="13" s="1"/>
  <c r="H234" i="13"/>
  <c r="K234" i="13" s="1"/>
  <c r="M234" i="13" s="1"/>
  <c r="H225" i="13"/>
  <c r="K225" i="13" s="1"/>
  <c r="M225" i="13" s="1"/>
  <c r="H239" i="13"/>
  <c r="K239" i="13" s="1"/>
  <c r="M239" i="13" s="1"/>
  <c r="H238" i="13"/>
  <c r="K238" i="13" s="1"/>
  <c r="M238" i="13" s="1"/>
  <c r="H197" i="13"/>
  <c r="K197" i="13" s="1"/>
  <c r="M197" i="13" s="1"/>
  <c r="H189" i="13"/>
  <c r="K189" i="13" s="1"/>
  <c r="M189" i="13" s="1"/>
  <c r="H226" i="13"/>
  <c r="K226" i="13" s="1"/>
  <c r="M226" i="13" s="1"/>
  <c r="H198" i="13"/>
  <c r="K198" i="13" s="1"/>
  <c r="M198" i="13" s="1"/>
  <c r="H190" i="13"/>
  <c r="K190" i="13" s="1"/>
  <c r="M190" i="13" s="1"/>
  <c r="H209" i="13"/>
  <c r="K209" i="13" s="1"/>
  <c r="M209" i="13" s="1"/>
  <c r="H201" i="13"/>
  <c r="K201" i="13" s="1"/>
  <c r="M201" i="13" s="1"/>
  <c r="H227" i="13"/>
  <c r="K227" i="13" s="1"/>
  <c r="M227" i="13" s="1"/>
  <c r="H245" i="13"/>
  <c r="K245" i="13" s="1"/>
  <c r="H191" i="13"/>
  <c r="K191" i="13" s="1"/>
  <c r="M191" i="13" s="1"/>
  <c r="H210" i="13"/>
  <c r="K210" i="13" s="1"/>
  <c r="M210" i="13" s="1"/>
  <c r="H202" i="13"/>
  <c r="K202" i="13" s="1"/>
  <c r="M202" i="13" s="1"/>
  <c r="H233" i="13"/>
  <c r="K233" i="13" s="1"/>
  <c r="M233" i="13" s="1"/>
  <c r="F486" i="1"/>
  <c r="H253" i="13"/>
  <c r="K253" i="13" s="1"/>
  <c r="M253" i="13" s="1"/>
  <c r="H256" i="13"/>
  <c r="K256" i="13" s="1"/>
  <c r="M256" i="13" s="1"/>
  <c r="H257" i="13"/>
  <c r="K257" i="13" s="1"/>
  <c r="M257" i="13" s="1"/>
  <c r="H252" i="13"/>
  <c r="K252" i="13" s="1"/>
  <c r="M252" i="13" s="1"/>
  <c r="H254" i="13"/>
  <c r="K254" i="13" s="1"/>
  <c r="M254" i="13" s="1"/>
  <c r="H248" i="13"/>
  <c r="K248" i="13" s="1"/>
  <c r="H255" i="13"/>
  <c r="K255" i="13" s="1"/>
  <c r="M255" i="13" s="1"/>
  <c r="H242" i="13"/>
  <c r="K242" i="13" s="1"/>
  <c r="M242" i="13" s="1"/>
  <c r="H192" i="13"/>
  <c r="K192" i="13" s="1"/>
  <c r="M192" i="13" s="1"/>
  <c r="H188" i="13"/>
  <c r="K188" i="13" s="1"/>
  <c r="H207" i="13"/>
  <c r="K207" i="13" s="1"/>
  <c r="M207" i="13" s="1"/>
  <c r="H229" i="13"/>
  <c r="K229" i="13" s="1"/>
  <c r="M229" i="13" s="1"/>
  <c r="H243" i="13"/>
  <c r="K243" i="13" s="1"/>
  <c r="M243" i="13" s="1"/>
  <c r="H196" i="13"/>
  <c r="K196" i="13" s="1"/>
  <c r="M196" i="13" s="1"/>
  <c r="H195" i="13"/>
  <c r="K195" i="13" s="1"/>
  <c r="M195" i="13" s="1"/>
  <c r="H194" i="13"/>
  <c r="K194" i="13" s="1"/>
  <c r="M194" i="13" s="1"/>
  <c r="H193" i="13"/>
  <c r="K193" i="13" s="1"/>
  <c r="M193" i="13" s="1"/>
  <c r="H208" i="13"/>
  <c r="K208" i="13" s="1"/>
  <c r="M208" i="13" s="1"/>
  <c r="H204" i="13"/>
  <c r="K204" i="13" s="1"/>
  <c r="M204" i="13" s="1"/>
  <c r="H200" i="13"/>
  <c r="K200" i="13" s="1"/>
  <c r="H230" i="13"/>
  <c r="K230" i="13" s="1"/>
  <c r="M230" i="13" s="1"/>
  <c r="H244" i="13"/>
  <c r="K244" i="13" s="1"/>
  <c r="M244" i="13" s="1"/>
  <c r="H240" i="13"/>
  <c r="K240" i="13" s="1"/>
  <c r="M240" i="13" s="1"/>
  <c r="H205" i="13"/>
  <c r="K205" i="13" s="1"/>
  <c r="M205" i="13" s="1"/>
  <c r="H232" i="13"/>
  <c r="K232" i="13" s="1"/>
  <c r="M232" i="13" s="1"/>
  <c r="H231" i="13"/>
  <c r="K231" i="13" s="1"/>
  <c r="M231" i="13" s="1"/>
  <c r="H241" i="13"/>
  <c r="K241" i="13" s="1"/>
  <c r="M241" i="13" s="1"/>
  <c r="H236" i="13"/>
  <c r="K236" i="13" s="1"/>
  <c r="M236" i="13" s="1"/>
  <c r="H206" i="13"/>
  <c r="K206" i="13" s="1"/>
  <c r="M206" i="13" s="1"/>
  <c r="H228" i="13"/>
  <c r="K228" i="13" s="1"/>
  <c r="M228" i="13" s="1"/>
  <c r="H224" i="13"/>
  <c r="K224" i="13" s="1"/>
  <c r="EB361" i="2"/>
  <c r="G82" i="16"/>
  <c r="EW361" i="2"/>
  <c r="E75" i="16"/>
  <c r="G75" i="16" s="1"/>
  <c r="EP361" i="2"/>
  <c r="EJ361" i="2"/>
  <c r="E85" i="16"/>
  <c r="G85" i="16" s="1"/>
  <c r="FB361" i="2"/>
  <c r="E81" i="16"/>
  <c r="G81" i="16" s="1"/>
  <c r="EV361" i="2"/>
  <c r="E74" i="16"/>
  <c r="G74" i="16" s="1"/>
  <c r="EO361" i="2"/>
  <c r="E84" i="16"/>
  <c r="G84" i="16" s="1"/>
  <c r="FA361" i="2"/>
  <c r="G23" i="16" s="1"/>
  <c r="E73" i="16"/>
  <c r="G73" i="16" s="1"/>
  <c r="EM361" i="2"/>
  <c r="J323" i="15"/>
  <c r="I323" i="15"/>
  <c r="J283" i="15"/>
  <c r="I283" i="15"/>
  <c r="J284" i="15"/>
  <c r="J279" i="15"/>
  <c r="J278" i="15"/>
  <c r="J276" i="15"/>
  <c r="I284" i="15"/>
  <c r="M284" i="15" s="1"/>
  <c r="O284" i="15" s="1"/>
  <c r="I282" i="15"/>
  <c r="I281" i="15"/>
  <c r="I280" i="15"/>
  <c r="I279" i="15"/>
  <c r="I278" i="15"/>
  <c r="J282" i="15"/>
  <c r="J281" i="15"/>
  <c r="J280" i="15"/>
  <c r="J271" i="15"/>
  <c r="I276" i="15"/>
  <c r="J275" i="15"/>
  <c r="I271" i="15"/>
  <c r="I273" i="15"/>
  <c r="I272" i="15"/>
  <c r="I269" i="15"/>
  <c r="J274" i="15"/>
  <c r="F533" i="1"/>
  <c r="K2179" i="8" s="1"/>
  <c r="O2179" i="8" s="1"/>
  <c r="J269" i="15"/>
  <c r="J273" i="15"/>
  <c r="J272" i="15"/>
  <c r="F484" i="1"/>
  <c r="F485" i="1"/>
  <c r="G444" i="1"/>
  <c r="K92" i="15"/>
  <c r="N92" i="15" s="1"/>
  <c r="K89" i="15"/>
  <c r="N89" i="15" s="1"/>
  <c r="K90" i="15"/>
  <c r="N90" i="15" s="1"/>
  <c r="K91" i="15"/>
  <c r="N91" i="15" s="1"/>
  <c r="L27" i="15"/>
  <c r="K27" i="15"/>
  <c r="K93" i="15"/>
  <c r="N93" i="15" s="1"/>
  <c r="K12" i="15"/>
  <c r="K11" i="15"/>
  <c r="K10" i="15"/>
  <c r="K9" i="15"/>
  <c r="L10" i="15"/>
  <c r="L12" i="15"/>
  <c r="L9" i="15"/>
  <c r="L11" i="15"/>
  <c r="L8" i="15"/>
  <c r="K8" i="15"/>
  <c r="L60" i="15"/>
  <c r="K60" i="15"/>
  <c r="J265" i="15"/>
  <c r="J264" i="15"/>
  <c r="J263" i="15"/>
  <c r="I256" i="15"/>
  <c r="I75" i="15"/>
  <c r="I257" i="15"/>
  <c r="J255" i="15"/>
  <c r="J60" i="15"/>
  <c r="J75" i="15"/>
  <c r="I260" i="15"/>
  <c r="J258" i="15"/>
  <c r="I253" i="15"/>
  <c r="I255" i="15"/>
  <c r="J322" i="15"/>
  <c r="J321" i="15"/>
  <c r="J320" i="15"/>
  <c r="J315" i="15"/>
  <c r="J302" i="15"/>
  <c r="I317" i="15"/>
  <c r="J316" i="15"/>
  <c r="I314" i="15"/>
  <c r="J309" i="15"/>
  <c r="J308" i="15"/>
  <c r="J307" i="15"/>
  <c r="I301" i="15"/>
  <c r="J313" i="15"/>
  <c r="I304" i="15"/>
  <c r="J300" i="15"/>
  <c r="I312" i="15"/>
  <c r="I300" i="15"/>
  <c r="J303" i="15"/>
  <c r="I299" i="15"/>
  <c r="I313" i="15"/>
  <c r="J40" i="15"/>
  <c r="J39" i="15"/>
  <c r="J11" i="15"/>
  <c r="J38" i="15"/>
  <c r="J32" i="15"/>
  <c r="I35" i="15"/>
  <c r="I34" i="15"/>
  <c r="I33" i="15"/>
  <c r="I32" i="15"/>
  <c r="I31" i="15"/>
  <c r="J26" i="15"/>
  <c r="J25" i="15"/>
  <c r="J24" i="15"/>
  <c r="J30" i="15"/>
  <c r="I28" i="15"/>
  <c r="M28" i="15" s="1"/>
  <c r="O28" i="15" s="1"/>
  <c r="I26" i="15"/>
  <c r="I25" i="15"/>
  <c r="I24" i="15"/>
  <c r="I21" i="15"/>
  <c r="J34" i="15"/>
  <c r="I29" i="15"/>
  <c r="I30" i="15"/>
  <c r="J33" i="15"/>
  <c r="F483" i="1"/>
  <c r="K1448" i="8" s="1"/>
  <c r="O1448" i="8" s="1"/>
  <c r="J257" i="15"/>
  <c r="J91" i="15"/>
  <c r="J256" i="15"/>
  <c r="J92" i="15"/>
  <c r="J89" i="15"/>
  <c r="J90" i="15"/>
  <c r="I89" i="15"/>
  <c r="I91" i="15"/>
  <c r="J253" i="15"/>
  <c r="I92" i="15"/>
  <c r="J314" i="15"/>
  <c r="J301" i="15"/>
  <c r="J299" i="15"/>
  <c r="J312" i="15"/>
  <c r="J29" i="15"/>
  <c r="J31" i="15"/>
  <c r="I27" i="15"/>
  <c r="J27" i="15"/>
  <c r="J93" i="15"/>
  <c r="I93" i="15"/>
  <c r="J267" i="15"/>
  <c r="J262" i="15"/>
  <c r="J261" i="15"/>
  <c r="I263" i="15"/>
  <c r="I264" i="15"/>
  <c r="J260" i="15"/>
  <c r="I262" i="15"/>
  <c r="I265" i="15"/>
  <c r="I261" i="15"/>
  <c r="I267" i="15"/>
  <c r="J324" i="15"/>
  <c r="J319" i="15"/>
  <c r="J318" i="15"/>
  <c r="J317" i="15"/>
  <c r="I324" i="15"/>
  <c r="I322" i="15"/>
  <c r="I321" i="15"/>
  <c r="I320" i="15"/>
  <c r="I319" i="15"/>
  <c r="I318" i="15"/>
  <c r="J310" i="15"/>
  <c r="J306" i="15"/>
  <c r="J305" i="15"/>
  <c r="J304" i="15"/>
  <c r="I310" i="15"/>
  <c r="I309" i="15"/>
  <c r="I308" i="15"/>
  <c r="I307" i="15"/>
  <c r="I306" i="15"/>
  <c r="I305" i="15"/>
  <c r="J41" i="15"/>
  <c r="J20" i="15"/>
  <c r="J12" i="15"/>
  <c r="J10" i="15"/>
  <c r="J9" i="15"/>
  <c r="J8" i="15"/>
  <c r="I12" i="15"/>
  <c r="I41" i="15"/>
  <c r="I40" i="15"/>
  <c r="I39" i="15"/>
  <c r="J37" i="15"/>
  <c r="J36" i="15"/>
  <c r="J35" i="15"/>
  <c r="J16" i="15"/>
  <c r="I11" i="15"/>
  <c r="I38" i="15"/>
  <c r="I37" i="15"/>
  <c r="I36" i="15"/>
  <c r="J23" i="15"/>
  <c r="J22" i="15"/>
  <c r="I23" i="15"/>
  <c r="I22" i="15"/>
  <c r="I10" i="15"/>
  <c r="I8" i="15"/>
  <c r="I9" i="15"/>
  <c r="I16" i="15"/>
  <c r="I13" i="15"/>
  <c r="I14" i="15"/>
  <c r="I17" i="15"/>
  <c r="J18" i="15"/>
  <c r="J14" i="15"/>
  <c r="I15" i="15"/>
  <c r="I18" i="15"/>
  <c r="J19" i="15"/>
  <c r="J15" i="15"/>
  <c r="I19" i="15"/>
  <c r="I20" i="15"/>
  <c r="AA410" i="5"/>
  <c r="AK410" i="5" s="1"/>
  <c r="AA407" i="5"/>
  <c r="AK407" i="5" s="1"/>
  <c r="AA408" i="5"/>
  <c r="AK408" i="5" s="1"/>
  <c r="AA411" i="5"/>
  <c r="AK411" i="5" s="1"/>
  <c r="AA406" i="5"/>
  <c r="AK406" i="5" s="1"/>
  <c r="AA409" i="5"/>
  <c r="AK409" i="5" s="1"/>
  <c r="Z410" i="5"/>
  <c r="AJ410" i="5" s="1"/>
  <c r="Z409" i="5"/>
  <c r="AJ409" i="5" s="1"/>
  <c r="Z407" i="5"/>
  <c r="AJ407" i="5" s="1"/>
  <c r="Z406" i="5"/>
  <c r="AJ406" i="5" s="1"/>
  <c r="Z408" i="5"/>
  <c r="AJ408" i="5" s="1"/>
  <c r="Z411" i="5"/>
  <c r="AJ411" i="5" s="1"/>
  <c r="F536" i="1"/>
  <c r="K958" i="5" s="1"/>
  <c r="Q958" i="5" s="1"/>
  <c r="F497" i="1"/>
  <c r="F496" i="1"/>
  <c r="F508" i="1"/>
  <c r="K867" i="5" s="1"/>
  <c r="X425" i="5"/>
  <c r="AH425" i="5" s="1"/>
  <c r="X423" i="5"/>
  <c r="AH423" i="5" s="1"/>
  <c r="X428" i="5"/>
  <c r="AH428" i="5" s="1"/>
  <c r="X427" i="5"/>
  <c r="AH427" i="5" s="1"/>
  <c r="X426" i="5"/>
  <c r="AH426" i="5" s="1"/>
  <c r="X424" i="5"/>
  <c r="AH424" i="5" s="1"/>
  <c r="W425" i="5"/>
  <c r="AG425" i="5" s="1"/>
  <c r="W423" i="5"/>
  <c r="AG423" i="5" s="1"/>
  <c r="W427" i="5"/>
  <c r="AG427" i="5" s="1"/>
  <c r="W426" i="5"/>
  <c r="AG426" i="5" s="1"/>
  <c r="W424" i="5"/>
  <c r="AG424" i="5" s="1"/>
  <c r="W428" i="5"/>
  <c r="AG428" i="5" s="1"/>
  <c r="BH361" i="2"/>
  <c r="V331" i="5" s="1"/>
  <c r="BF361" i="2"/>
  <c r="V310" i="5" s="1"/>
  <c r="AJ361" i="2"/>
  <c r="AU361" i="2"/>
  <c r="V610" i="5" s="1"/>
  <c r="AO361" i="2"/>
  <c r="V250" i="5" s="1"/>
  <c r="Z361" i="2"/>
  <c r="V84" i="5" s="1"/>
  <c r="DJ361" i="2"/>
  <c r="DB361" i="2"/>
  <c r="G820" i="5" s="1"/>
  <c r="CR361" i="2"/>
  <c r="CE361" i="2"/>
  <c r="BX361" i="2"/>
  <c r="V554" i="5" s="1"/>
  <c r="BQ361" i="2"/>
  <c r="V492" i="5" s="1"/>
  <c r="V495" i="5" s="1"/>
  <c r="AF495" i="5" s="1"/>
  <c r="BV361" i="2"/>
  <c r="V529" i="5" s="1"/>
  <c r="U361" i="2"/>
  <c r="V365" i="5" s="1"/>
  <c r="J361" i="2"/>
  <c r="G816" i="5" s="1"/>
  <c r="C816" i="5" s="1"/>
  <c r="E361" i="2"/>
  <c r="G811" i="5" s="1"/>
  <c r="BA361" i="2"/>
  <c r="AD361" i="2"/>
  <c r="DS361" i="2"/>
  <c r="DF361" i="2"/>
  <c r="CX361" i="2"/>
  <c r="G828" i="5" s="1"/>
  <c r="C828" i="5" s="1"/>
  <c r="AX361" i="2"/>
  <c r="V641" i="5" s="1"/>
  <c r="AT361" i="2"/>
  <c r="V601" i="5" s="1"/>
  <c r="AN361" i="2"/>
  <c r="V223" i="5" s="1"/>
  <c r="AH361" i="2"/>
  <c r="V151" i="5" s="1"/>
  <c r="AC361" i="2"/>
  <c r="V107" i="5" s="1"/>
  <c r="Y361" i="2"/>
  <c r="V390" i="5" s="1"/>
  <c r="D361" i="2"/>
  <c r="D4" i="20" s="1"/>
  <c r="CA361" i="2"/>
  <c r="DM361" i="2"/>
  <c r="G833" i="5" s="1"/>
  <c r="C833" i="5" s="1"/>
  <c r="DI361" i="2"/>
  <c r="DE361" i="2"/>
  <c r="G823" i="5" s="1"/>
  <c r="C823" i="5" s="1"/>
  <c r="DA361" i="2"/>
  <c r="G831" i="5" s="1"/>
  <c r="C831" i="5" s="1"/>
  <c r="CW361" i="2"/>
  <c r="G827" i="5" s="1"/>
  <c r="C827" i="5" s="1"/>
  <c r="CQ361" i="2"/>
  <c r="CD361" i="2"/>
  <c r="V754" i="5" s="1"/>
  <c r="BN361" i="2"/>
  <c r="V467" i="5" s="1"/>
  <c r="BL361" i="2"/>
  <c r="V451" i="5" s="1"/>
  <c r="BU361" i="2"/>
  <c r="V522" i="5" s="1"/>
  <c r="V528" i="5" s="1"/>
  <c r="AF528" i="5" s="1"/>
  <c r="AW361" i="2"/>
  <c r="V630" i="5" s="1"/>
  <c r="AF630" i="5" s="1"/>
  <c r="AS361" i="2"/>
  <c r="V590" i="5" s="1"/>
  <c r="V598" i="5" s="1"/>
  <c r="AF598" i="5" s="1"/>
  <c r="AM361" i="2"/>
  <c r="V217" i="5" s="1"/>
  <c r="V220" i="5" s="1"/>
  <c r="AF220" i="5" s="1"/>
  <c r="AF361" i="2"/>
  <c r="V127" i="5" s="1"/>
  <c r="AB361" i="2"/>
  <c r="V94" i="5" s="1"/>
  <c r="V104" i="5" s="1"/>
  <c r="AF104" i="5" s="1"/>
  <c r="X361" i="2"/>
  <c r="V386" i="5" s="1"/>
  <c r="V389" i="5" s="1"/>
  <c r="AF389" i="5" s="1"/>
  <c r="S361" i="2"/>
  <c r="H11" i="15" s="1"/>
  <c r="H361" i="2"/>
  <c r="G814" i="5" s="1"/>
  <c r="C814" i="5" s="1"/>
  <c r="BE361" i="2"/>
  <c r="V299" i="5" s="1"/>
  <c r="J55" i="22"/>
  <c r="J71" i="22" s="1"/>
  <c r="H71" i="22"/>
  <c r="Q87" i="6"/>
  <c r="R87" i="6"/>
  <c r="R78" i="6"/>
  <c r="O87" i="6"/>
  <c r="M87" i="6"/>
  <c r="B78" i="6"/>
  <c r="M83" i="6"/>
  <c r="O83" i="6"/>
  <c r="Q83" i="6"/>
  <c r="B90" i="6"/>
  <c r="R83" i="6"/>
  <c r="N83" i="6"/>
  <c r="Q78" i="6"/>
  <c r="N87" i="6"/>
  <c r="O78" i="6"/>
  <c r="N78" i="6"/>
  <c r="P78" i="6"/>
  <c r="N90" i="6"/>
  <c r="R90" i="6"/>
  <c r="O90" i="6"/>
  <c r="G912" i="5"/>
  <c r="C912" i="5" s="1"/>
  <c r="AB590" i="5"/>
  <c r="AL590" i="5" s="1"/>
  <c r="G915" i="5"/>
  <c r="C915" i="5" s="1"/>
  <c r="AB289" i="5"/>
  <c r="AB581" i="5"/>
  <c r="AL581" i="5" s="1"/>
  <c r="AB94" i="5"/>
  <c r="AL94" i="5" s="1"/>
  <c r="G913" i="5"/>
  <c r="C913" i="5" s="1"/>
  <c r="G909" i="5"/>
  <c r="C909" i="5" s="1"/>
  <c r="AB650" i="5"/>
  <c r="AB361" i="5"/>
  <c r="AL361" i="5" s="1"/>
  <c r="C872" i="5"/>
  <c r="H25" i="13"/>
  <c r="K25" i="13" s="1"/>
  <c r="M25" i="13" s="1"/>
  <c r="G354" i="1"/>
  <c r="G353" i="1"/>
  <c r="L743" i="8" s="1"/>
  <c r="P743" i="8" s="1"/>
  <c r="F353" i="1"/>
  <c r="K743" i="8" s="1"/>
  <c r="O743" i="8" s="1"/>
  <c r="F354" i="1"/>
  <c r="F271" i="1"/>
  <c r="K2642" i="8" s="1"/>
  <c r="O2642" i="8" s="1"/>
  <c r="F375" i="1"/>
  <c r="F374" i="1"/>
  <c r="F373" i="1"/>
  <c r="E91" i="23"/>
  <c r="E87" i="23" s="1"/>
  <c r="D91" i="23"/>
  <c r="E98" i="23"/>
  <c r="E94" i="23" s="1"/>
  <c r="D98" i="23"/>
  <c r="E70" i="23"/>
  <c r="E66" i="23" s="1"/>
  <c r="D70" i="23"/>
  <c r="E224" i="23"/>
  <c r="E220" i="23" s="1"/>
  <c r="D224" i="23"/>
  <c r="D210" i="23"/>
  <c r="E210" i="23"/>
  <c r="E206" i="23" s="1"/>
  <c r="E203" i="23"/>
  <c r="E199" i="23" s="1"/>
  <c r="D203" i="23"/>
  <c r="D63" i="23"/>
  <c r="E63" i="23"/>
  <c r="E59" i="23" s="1"/>
  <c r="D217" i="23"/>
  <c r="E217" i="23"/>
  <c r="E213" i="23" s="1"/>
  <c r="H184" i="13"/>
  <c r="K184" i="13" s="1"/>
  <c r="M184" i="13" s="1"/>
  <c r="H169" i="13"/>
  <c r="K169" i="13" s="1"/>
  <c r="M169" i="13" s="1"/>
  <c r="H82" i="13"/>
  <c r="K82" i="13" s="1"/>
  <c r="M82" i="13" s="1"/>
  <c r="H57" i="13"/>
  <c r="K57" i="13" s="1"/>
  <c r="M57" i="13" s="1"/>
  <c r="H53" i="13"/>
  <c r="K53" i="13" s="1"/>
  <c r="H171" i="13"/>
  <c r="K171" i="13" s="1"/>
  <c r="M171" i="13" s="1"/>
  <c r="H180" i="13"/>
  <c r="K180" i="13" s="1"/>
  <c r="M180" i="13" s="1"/>
  <c r="H176" i="13"/>
  <c r="K176" i="13" s="1"/>
  <c r="H170" i="13"/>
  <c r="K170" i="13" s="1"/>
  <c r="M170" i="13" s="1"/>
  <c r="H79" i="13"/>
  <c r="K79" i="13" s="1"/>
  <c r="M79" i="13" s="1"/>
  <c r="H58" i="13"/>
  <c r="K58" i="13" s="1"/>
  <c r="M58" i="13" s="1"/>
  <c r="H183" i="13"/>
  <c r="K183" i="13" s="1"/>
  <c r="M183" i="13" s="1"/>
  <c r="H181" i="13"/>
  <c r="K181" i="13" s="1"/>
  <c r="M181" i="13" s="1"/>
  <c r="H172" i="13"/>
  <c r="K172" i="13" s="1"/>
  <c r="M172" i="13" s="1"/>
  <c r="H80" i="13"/>
  <c r="K80" i="13" s="1"/>
  <c r="M80" i="13" s="1"/>
  <c r="H75" i="13"/>
  <c r="K75" i="13" s="1"/>
  <c r="H59" i="13"/>
  <c r="K59" i="13" s="1"/>
  <c r="M59" i="13" s="1"/>
  <c r="H182" i="13"/>
  <c r="K182" i="13" s="1"/>
  <c r="M182" i="13" s="1"/>
  <c r="H168" i="13"/>
  <c r="K168" i="13" s="1"/>
  <c r="M168" i="13" s="1"/>
  <c r="H164" i="13"/>
  <c r="K164" i="13" s="1"/>
  <c r="H81" i="13"/>
  <c r="K81" i="13" s="1"/>
  <c r="M81" i="13" s="1"/>
  <c r="H60" i="13"/>
  <c r="K60" i="13" s="1"/>
  <c r="M60" i="13" s="1"/>
  <c r="H179" i="13"/>
  <c r="K179" i="13" s="1"/>
  <c r="M179" i="13" s="1"/>
  <c r="H174" i="13"/>
  <c r="K174" i="13" s="1"/>
  <c r="M174" i="13" s="1"/>
  <c r="H165" i="13"/>
  <c r="K165" i="13" s="1"/>
  <c r="M165" i="13" s="1"/>
  <c r="H78" i="13"/>
  <c r="K78" i="13" s="1"/>
  <c r="M78" i="13" s="1"/>
  <c r="H61" i="13"/>
  <c r="K61" i="13" s="1"/>
  <c r="M61" i="13" s="1"/>
  <c r="H185" i="13"/>
  <c r="K185" i="13" s="1"/>
  <c r="M185" i="13" s="1"/>
  <c r="H166" i="13"/>
  <c r="K166" i="13" s="1"/>
  <c r="M166" i="13" s="1"/>
  <c r="H83" i="13"/>
  <c r="K83" i="13" s="1"/>
  <c r="M83" i="13" s="1"/>
  <c r="H62" i="13"/>
  <c r="K62" i="13" s="1"/>
  <c r="M62" i="13" s="1"/>
  <c r="H54" i="13"/>
  <c r="K54" i="13" s="1"/>
  <c r="M54" i="13" s="1"/>
  <c r="H76" i="13"/>
  <c r="K76" i="13" s="1"/>
  <c r="M76" i="13" s="1"/>
  <c r="H186" i="13"/>
  <c r="K186" i="13" s="1"/>
  <c r="M186" i="13" s="1"/>
  <c r="H177" i="13"/>
  <c r="K177" i="13" s="1"/>
  <c r="M177" i="13" s="1"/>
  <c r="H167" i="13"/>
  <c r="K167" i="13" s="1"/>
  <c r="M167" i="13" s="1"/>
  <c r="H84" i="13"/>
  <c r="K84" i="13" s="1"/>
  <c r="M84" i="13" s="1"/>
  <c r="H55" i="13"/>
  <c r="K55" i="13" s="1"/>
  <c r="M55" i="13" s="1"/>
  <c r="H178" i="13"/>
  <c r="K178" i="13" s="1"/>
  <c r="M178" i="13" s="1"/>
  <c r="H173" i="13"/>
  <c r="K173" i="13" s="1"/>
  <c r="M173" i="13" s="1"/>
  <c r="H77" i="13"/>
  <c r="K77" i="13" s="1"/>
  <c r="M77" i="13" s="1"/>
  <c r="H56" i="13"/>
  <c r="K56" i="13" s="1"/>
  <c r="M56" i="13" s="1"/>
  <c r="F376" i="1"/>
  <c r="F377" i="1"/>
  <c r="F466" i="1"/>
  <c r="F269" i="1"/>
  <c r="F270" i="1"/>
  <c r="K136" i="15"/>
  <c r="L135" i="15"/>
  <c r="L149" i="15"/>
  <c r="K135" i="15"/>
  <c r="K149" i="15"/>
  <c r="L148" i="15"/>
  <c r="K148" i="15"/>
  <c r="L136" i="15"/>
  <c r="G490" i="1"/>
  <c r="G491" i="1"/>
  <c r="G492" i="1"/>
  <c r="G493" i="1"/>
  <c r="F491" i="1"/>
  <c r="F493" i="1"/>
  <c r="F490" i="1"/>
  <c r="F492" i="1"/>
  <c r="F368" i="1"/>
  <c r="I140" i="15"/>
  <c r="I139" i="15"/>
  <c r="I138" i="15"/>
  <c r="I137" i="15"/>
  <c r="J153" i="15"/>
  <c r="J152" i="15"/>
  <c r="J151" i="15"/>
  <c r="J150" i="15"/>
  <c r="J136" i="15"/>
  <c r="I153" i="15"/>
  <c r="I152" i="15"/>
  <c r="I151" i="15"/>
  <c r="I150" i="15"/>
  <c r="J148" i="15"/>
  <c r="J149" i="15"/>
  <c r="J140" i="15"/>
  <c r="J139" i="15"/>
  <c r="J138" i="15"/>
  <c r="J137" i="15"/>
  <c r="J135" i="15"/>
  <c r="F273" i="1"/>
  <c r="F272" i="1"/>
  <c r="I136" i="15"/>
  <c r="I148" i="15"/>
  <c r="I149" i="15"/>
  <c r="I135" i="15"/>
  <c r="J296" i="15"/>
  <c r="J290" i="15"/>
  <c r="J295" i="15"/>
  <c r="J289" i="15"/>
  <c r="J294" i="15"/>
  <c r="I159" i="15"/>
  <c r="I158" i="15"/>
  <c r="J157" i="15"/>
  <c r="J156" i="15"/>
  <c r="J155" i="15"/>
  <c r="J154" i="15"/>
  <c r="I157" i="15"/>
  <c r="I156" i="15"/>
  <c r="I155" i="15"/>
  <c r="M155" i="15" s="1"/>
  <c r="O155" i="15" s="1"/>
  <c r="I154" i="15"/>
  <c r="J146" i="15"/>
  <c r="J145" i="15"/>
  <c r="J144" i="15"/>
  <c r="J143" i="15"/>
  <c r="J142" i="15"/>
  <c r="J141" i="15"/>
  <c r="J159" i="15"/>
  <c r="J158" i="15"/>
  <c r="I146" i="15"/>
  <c r="I145" i="15"/>
  <c r="I144" i="15"/>
  <c r="M144" i="15" s="1"/>
  <c r="O144" i="15" s="1"/>
  <c r="I143" i="15"/>
  <c r="M143" i="15" s="1"/>
  <c r="O143" i="15" s="1"/>
  <c r="I142" i="15"/>
  <c r="M142" i="15" s="1"/>
  <c r="O142" i="15" s="1"/>
  <c r="I141" i="15"/>
  <c r="J291" i="15"/>
  <c r="J286" i="15"/>
  <c r="J288" i="15"/>
  <c r="E80" i="16"/>
  <c r="G80" i="16" s="1"/>
  <c r="X547" i="5"/>
  <c r="X553" i="5" s="1"/>
  <c r="AH553" i="5" s="1"/>
  <c r="E86" i="16"/>
  <c r="G86" i="16" s="1"/>
  <c r="E79" i="16"/>
  <c r="G79" i="16" s="1"/>
  <c r="G12" i="16"/>
  <c r="G88" i="16"/>
  <c r="E13" i="16"/>
  <c r="G13" i="16" s="1"/>
  <c r="AH382" i="5"/>
  <c r="X385" i="5"/>
  <c r="AH385" i="5" s="1"/>
  <c r="X384" i="5"/>
  <c r="AH384" i="5" s="1"/>
  <c r="W547" i="5"/>
  <c r="W551" i="5" s="1"/>
  <c r="AG551" i="5" s="1"/>
  <c r="AA735" i="5"/>
  <c r="AK735" i="5" s="1"/>
  <c r="AA736" i="5"/>
  <c r="AK736" i="5" s="1"/>
  <c r="AK733" i="5"/>
  <c r="AA762" i="5"/>
  <c r="AK762" i="5" s="1"/>
  <c r="AA763" i="5"/>
  <c r="AK763" i="5" s="1"/>
  <c r="AA761" i="5"/>
  <c r="AK761" i="5" s="1"/>
  <c r="AK759" i="5"/>
  <c r="AA620" i="5"/>
  <c r="AK620" i="5" s="1"/>
  <c r="AA616" i="5"/>
  <c r="AK616" i="5" s="1"/>
  <c r="AA619" i="5"/>
  <c r="AK619" i="5" s="1"/>
  <c r="AA612" i="5"/>
  <c r="AK612" i="5" s="1"/>
  <c r="AA613" i="5"/>
  <c r="AK613" i="5" s="1"/>
  <c r="AA617" i="5"/>
  <c r="AK617" i="5" s="1"/>
  <c r="AA614" i="5"/>
  <c r="AK614" i="5" s="1"/>
  <c r="AA618" i="5"/>
  <c r="AK618" i="5" s="1"/>
  <c r="AK610" i="5"/>
  <c r="AA615" i="5"/>
  <c r="AK615" i="5" s="1"/>
  <c r="AA126" i="5"/>
  <c r="AK126" i="5" s="1"/>
  <c r="AA125" i="5"/>
  <c r="AK125" i="5" s="1"/>
  <c r="AK123" i="5"/>
  <c r="AK84" i="5"/>
  <c r="AA86" i="5"/>
  <c r="AK86" i="5" s="1"/>
  <c r="AA87" i="5"/>
  <c r="AK87" i="5" s="1"/>
  <c r="AA380" i="5"/>
  <c r="AK380" i="5" s="1"/>
  <c r="AA381" i="5"/>
  <c r="AK381" i="5" s="1"/>
  <c r="AK378" i="5"/>
  <c r="AA400" i="5"/>
  <c r="AK400" i="5" s="1"/>
  <c r="AA401" i="5"/>
  <c r="AK401" i="5" s="1"/>
  <c r="AA403" i="5"/>
  <c r="AK403" i="5" s="1"/>
  <c r="AA402" i="5"/>
  <c r="AK402" i="5" s="1"/>
  <c r="AA397" i="5"/>
  <c r="AK397" i="5" s="1"/>
  <c r="AA399" i="5"/>
  <c r="AK399" i="5" s="1"/>
  <c r="AK395" i="5"/>
  <c r="AA398" i="5"/>
  <c r="AK398" i="5" s="1"/>
  <c r="AA732" i="5"/>
  <c r="AK732" i="5" s="1"/>
  <c r="AA731" i="5"/>
  <c r="AK731" i="5" s="1"/>
  <c r="AK729" i="5"/>
  <c r="AA723" i="5"/>
  <c r="AK723" i="5" s="1"/>
  <c r="AA721" i="5"/>
  <c r="AK721" i="5" s="1"/>
  <c r="AA722" i="5"/>
  <c r="AK722" i="5" s="1"/>
  <c r="AK719" i="5"/>
  <c r="AA747" i="5"/>
  <c r="AK747" i="5" s="1"/>
  <c r="AA748" i="5"/>
  <c r="AK748" i="5" s="1"/>
  <c r="AK745" i="5"/>
  <c r="AA313" i="5"/>
  <c r="AK313" i="5" s="1"/>
  <c r="AA315" i="5"/>
  <c r="AK315" i="5" s="1"/>
  <c r="AK310" i="5"/>
  <c r="AA320" i="5"/>
  <c r="AK320" i="5" s="1"/>
  <c r="AA314" i="5"/>
  <c r="AK314" i="5" s="1"/>
  <c r="AA312" i="5"/>
  <c r="AK312" i="5" s="1"/>
  <c r="AK319" i="5"/>
  <c r="AK641" i="5"/>
  <c r="AA609" i="5"/>
  <c r="AK609" i="5" s="1"/>
  <c r="AA603" i="5"/>
  <c r="AK603" i="5" s="1"/>
  <c r="AA607" i="5"/>
  <c r="AK607" i="5" s="1"/>
  <c r="AA608" i="5"/>
  <c r="AK608" i="5" s="1"/>
  <c r="AA605" i="5"/>
  <c r="AK605" i="5" s="1"/>
  <c r="AA604" i="5"/>
  <c r="AK604" i="5" s="1"/>
  <c r="AK601" i="5"/>
  <c r="AA606" i="5"/>
  <c r="AK606" i="5" s="1"/>
  <c r="AA226" i="5"/>
  <c r="AK226" i="5" s="1"/>
  <c r="AA227" i="5"/>
  <c r="AK227" i="5" s="1"/>
  <c r="AA225" i="5"/>
  <c r="AK225" i="5" s="1"/>
  <c r="AK223" i="5"/>
  <c r="AA142" i="5"/>
  <c r="AK142" i="5" s="1"/>
  <c r="AA148" i="5"/>
  <c r="AK148" i="5" s="1"/>
  <c r="AA149" i="5"/>
  <c r="AK149" i="5" s="1"/>
  <c r="AA141" i="5"/>
  <c r="AK141" i="5" s="1"/>
  <c r="AA140" i="5"/>
  <c r="AK140" i="5" s="1"/>
  <c r="AK138" i="5"/>
  <c r="AA113" i="5"/>
  <c r="AK113" i="5" s="1"/>
  <c r="AA112" i="5"/>
  <c r="AK112" i="5" s="1"/>
  <c r="AA122" i="5"/>
  <c r="AK122" i="5" s="1"/>
  <c r="AA110" i="5"/>
  <c r="AK110" i="5" s="1"/>
  <c r="AA121" i="5"/>
  <c r="AK121" i="5" s="1"/>
  <c r="AA109" i="5"/>
  <c r="AK109" i="5" s="1"/>
  <c r="AA120" i="5"/>
  <c r="AK120" i="5" s="1"/>
  <c r="AA114" i="5"/>
  <c r="AK114" i="5" s="1"/>
  <c r="AA111" i="5"/>
  <c r="AK111" i="5" s="1"/>
  <c r="AK107" i="5"/>
  <c r="AA393" i="5"/>
  <c r="AK393" i="5" s="1"/>
  <c r="AA392" i="5"/>
  <c r="AK392" i="5" s="1"/>
  <c r="AK390" i="5"/>
  <c r="AA367" i="5"/>
  <c r="AK367" i="5" s="1"/>
  <c r="AA368" i="5"/>
  <c r="AK368" i="5" s="1"/>
  <c r="AK365" i="5"/>
  <c r="AA716" i="5"/>
  <c r="AK716" i="5" s="1"/>
  <c r="AA718" i="5"/>
  <c r="AK718" i="5" s="1"/>
  <c r="AA717" i="5"/>
  <c r="AK717" i="5" s="1"/>
  <c r="AK714" i="5"/>
  <c r="AA758" i="5"/>
  <c r="AK758" i="5" s="1"/>
  <c r="AA757" i="5"/>
  <c r="AK757" i="5" s="1"/>
  <c r="AA756" i="5"/>
  <c r="AK756" i="5" s="1"/>
  <c r="AK754" i="5"/>
  <c r="AA506" i="5"/>
  <c r="AK506" i="5" s="1"/>
  <c r="AA503" i="5"/>
  <c r="AK503" i="5" s="1"/>
  <c r="AA502" i="5"/>
  <c r="AK502" i="5" s="1"/>
  <c r="AA504" i="5"/>
  <c r="AK504" i="5" s="1"/>
  <c r="AA501" i="5"/>
  <c r="AK501" i="5" s="1"/>
  <c r="AA505" i="5"/>
  <c r="AK505" i="5" s="1"/>
  <c r="AK499" i="5"/>
  <c r="AA633" i="5"/>
  <c r="AK633" i="5" s="1"/>
  <c r="AA638" i="5"/>
  <c r="AK638" i="5" s="1"/>
  <c r="AA637" i="5"/>
  <c r="AK637" i="5" s="1"/>
  <c r="AA634" i="5"/>
  <c r="AK634" i="5" s="1"/>
  <c r="AA632" i="5"/>
  <c r="AK632" i="5" s="1"/>
  <c r="AA635" i="5"/>
  <c r="AK635" i="5" s="1"/>
  <c r="AA636" i="5"/>
  <c r="AK636" i="5" s="1"/>
  <c r="AA639" i="5"/>
  <c r="AK639" i="5" s="1"/>
  <c r="AA640" i="5"/>
  <c r="AK640" i="5" s="1"/>
  <c r="AK630" i="5"/>
  <c r="AA592" i="5"/>
  <c r="AK592" i="5" s="1"/>
  <c r="AA593" i="5"/>
  <c r="AK593" i="5" s="1"/>
  <c r="AA599" i="5"/>
  <c r="AK599" i="5" s="1"/>
  <c r="AA597" i="5"/>
  <c r="AK597" i="5" s="1"/>
  <c r="AA594" i="5"/>
  <c r="AK594" i="5" s="1"/>
  <c r="AA598" i="5"/>
  <c r="AK598" i="5" s="1"/>
  <c r="AA596" i="5"/>
  <c r="AK596" i="5" s="1"/>
  <c r="AA600" i="5"/>
  <c r="AK600" i="5" s="1"/>
  <c r="AK590" i="5"/>
  <c r="AA595" i="5"/>
  <c r="AK595" i="5" s="1"/>
  <c r="AA219" i="5"/>
  <c r="AK219" i="5" s="1"/>
  <c r="AA220" i="5"/>
  <c r="AK220" i="5" s="1"/>
  <c r="AA221" i="5"/>
  <c r="AK221" i="5" s="1"/>
  <c r="AA222" i="5"/>
  <c r="AK222" i="5" s="1"/>
  <c r="AK217" i="5"/>
  <c r="AA96" i="5"/>
  <c r="AK96" i="5" s="1"/>
  <c r="AA105" i="5"/>
  <c r="AK105" i="5" s="1"/>
  <c r="AA104" i="5"/>
  <c r="AK104" i="5" s="1"/>
  <c r="AA98" i="5"/>
  <c r="AK98" i="5" s="1"/>
  <c r="AA97" i="5"/>
  <c r="AK97" i="5" s="1"/>
  <c r="AA106" i="5"/>
  <c r="AK106" i="5" s="1"/>
  <c r="AK94" i="5"/>
  <c r="AA389" i="5"/>
  <c r="AK389" i="5" s="1"/>
  <c r="AA388" i="5"/>
  <c r="AK388" i="5" s="1"/>
  <c r="AK386" i="5"/>
  <c r="AA799" i="5"/>
  <c r="AK799" i="5" s="1"/>
  <c r="AA797" i="5"/>
  <c r="AK797" i="5" s="1"/>
  <c r="AA796" i="5"/>
  <c r="AK796" i="5" s="1"/>
  <c r="AK794" i="5"/>
  <c r="AA753" i="5"/>
  <c r="AK753" i="5" s="1"/>
  <c r="AA751" i="5"/>
  <c r="AK751" i="5" s="1"/>
  <c r="AA752" i="5"/>
  <c r="AK752" i="5" s="1"/>
  <c r="AK749" i="5"/>
  <c r="AA498" i="5"/>
  <c r="AK498" i="5" s="1"/>
  <c r="AA497" i="5"/>
  <c r="AK497" i="5" s="1"/>
  <c r="AA496" i="5"/>
  <c r="AK496" i="5" s="1"/>
  <c r="AA494" i="5"/>
  <c r="AK494" i="5" s="1"/>
  <c r="AA495" i="5"/>
  <c r="AK495" i="5" s="1"/>
  <c r="AK492" i="5"/>
  <c r="AA628" i="5"/>
  <c r="AK628" i="5" s="1"/>
  <c r="AA629" i="5"/>
  <c r="AK629" i="5" s="1"/>
  <c r="AA627" i="5"/>
  <c r="AK627" i="5" s="1"/>
  <c r="AA626" i="5"/>
  <c r="AK626" i="5" s="1"/>
  <c r="AA624" i="5"/>
  <c r="AK624" i="5" s="1"/>
  <c r="AA625" i="5"/>
  <c r="AK625" i="5" s="1"/>
  <c r="AA623" i="5"/>
  <c r="AK623" i="5" s="1"/>
  <c r="AK621" i="5"/>
  <c r="AA588" i="5"/>
  <c r="AK588" i="5" s="1"/>
  <c r="AA583" i="5"/>
  <c r="AK583" i="5" s="1"/>
  <c r="AA589" i="5"/>
  <c r="AK589" i="5" s="1"/>
  <c r="AA587" i="5"/>
  <c r="AK587" i="5" s="1"/>
  <c r="AA585" i="5"/>
  <c r="AK585" i="5" s="1"/>
  <c r="AA584" i="5"/>
  <c r="AK584" i="5" s="1"/>
  <c r="AK581" i="5"/>
  <c r="AA586" i="5"/>
  <c r="AK586" i="5" s="1"/>
  <c r="AA216" i="5"/>
  <c r="AK216" i="5" s="1"/>
  <c r="AA215" i="5"/>
  <c r="AK215" i="5" s="1"/>
  <c r="AK213" i="5"/>
  <c r="AA135" i="5"/>
  <c r="AK135" i="5" s="1"/>
  <c r="AA134" i="5"/>
  <c r="AK134" i="5" s="1"/>
  <c r="AA136" i="5"/>
  <c r="AK136" i="5" s="1"/>
  <c r="AA137" i="5"/>
  <c r="AK137" i="5" s="1"/>
  <c r="AK132" i="5"/>
  <c r="AA93" i="5"/>
  <c r="AK93" i="5" s="1"/>
  <c r="AA90" i="5"/>
  <c r="AK90" i="5" s="1"/>
  <c r="AA91" i="5"/>
  <c r="AK91" i="5" s="1"/>
  <c r="AA92" i="5"/>
  <c r="AK92" i="5" s="1"/>
  <c r="AK88" i="5"/>
  <c r="Z315" i="5"/>
  <c r="AJ315" i="5" s="1"/>
  <c r="Z313" i="5"/>
  <c r="AJ313" i="5" s="1"/>
  <c r="AJ310" i="5"/>
  <c r="Z320" i="5"/>
  <c r="AJ320" i="5" s="1"/>
  <c r="Z314" i="5"/>
  <c r="AJ314" i="5" s="1"/>
  <c r="Z312" i="5"/>
  <c r="AJ312" i="5" s="1"/>
  <c r="AJ319" i="5"/>
  <c r="AX76" i="3"/>
  <c r="Y395" i="5" s="1"/>
  <c r="AR76" i="3"/>
  <c r="Y310" i="5" s="1"/>
  <c r="W315" i="5"/>
  <c r="AG315" i="5" s="1"/>
  <c r="X315" i="5"/>
  <c r="AH315" i="5" s="1"/>
  <c r="K950" i="5"/>
  <c r="F305" i="1"/>
  <c r="F300" i="1"/>
  <c r="F261" i="1"/>
  <c r="F262" i="1"/>
  <c r="K576" i="5" s="1"/>
  <c r="Q576" i="5" s="1"/>
  <c r="F481" i="1"/>
  <c r="K1971" i="8" s="1"/>
  <c r="O1971" i="8" s="1"/>
  <c r="F482" i="1"/>
  <c r="K1349" i="8" s="1"/>
  <c r="O1349" i="8" s="1"/>
  <c r="F487" i="1"/>
  <c r="F488" i="1"/>
  <c r="F489" i="1"/>
  <c r="K1869" i="8" s="1"/>
  <c r="O1869" i="8" s="1"/>
  <c r="F239" i="1"/>
  <c r="F436" i="1"/>
  <c r="K855" i="5" s="1"/>
  <c r="F593" i="1"/>
  <c r="F595" i="1"/>
  <c r="F594" i="1"/>
  <c r="K1144" i="8" s="1"/>
  <c r="O1144" i="8" s="1"/>
  <c r="F596" i="1"/>
  <c r="F598" i="1"/>
  <c r="F597" i="1"/>
  <c r="K1123" i="8" s="1"/>
  <c r="O1123" i="8" s="1"/>
  <c r="F363" i="1"/>
  <c r="F367" i="1"/>
  <c r="F372" i="1"/>
  <c r="F370" i="1"/>
  <c r="K553" i="5" s="1"/>
  <c r="Q553" i="5" s="1"/>
  <c r="Q547" i="5" s="1"/>
  <c r="F364" i="1"/>
  <c r="K2398" i="8" s="1"/>
  <c r="O2398" i="8" s="1"/>
  <c r="F360" i="1"/>
  <c r="F361" i="1"/>
  <c r="F365" i="1"/>
  <c r="F369" i="1"/>
  <c r="F362" i="1"/>
  <c r="K763" i="8" s="1"/>
  <c r="O763" i="8" s="1"/>
  <c r="F366" i="1"/>
  <c r="K2598" i="8" s="1"/>
  <c r="O2598" i="8" s="1"/>
  <c r="F371" i="1"/>
  <c r="K435" i="5" s="1"/>
  <c r="Q435" i="5" s="1"/>
  <c r="Q429" i="5" s="1"/>
  <c r="K1605" i="8"/>
  <c r="O1605" i="8" s="1"/>
  <c r="K2146" i="8"/>
  <c r="O2146" i="8" s="1"/>
  <c r="W384" i="5"/>
  <c r="AG384" i="5" s="1"/>
  <c r="AG382" i="5"/>
  <c r="W385" i="5"/>
  <c r="AG385" i="5" s="1"/>
  <c r="AI385" i="5"/>
  <c r="AI384" i="5"/>
  <c r="AJ384" i="5"/>
  <c r="AJ385" i="5"/>
  <c r="AF371" i="5"/>
  <c r="AF372" i="5"/>
  <c r="AG371" i="5"/>
  <c r="AG372" i="5"/>
  <c r="AH372" i="5"/>
  <c r="AH371" i="5"/>
  <c r="AJ371" i="5"/>
  <c r="AJ372" i="5"/>
  <c r="W415" i="5"/>
  <c r="AG415" i="5" s="1"/>
  <c r="W414" i="5"/>
  <c r="AG414" i="5" s="1"/>
  <c r="W418" i="5"/>
  <c r="AG418" i="5" s="1"/>
  <c r="W420" i="5"/>
  <c r="AG420" i="5" s="1"/>
  <c r="W419" i="5"/>
  <c r="AG419" i="5" s="1"/>
  <c r="W417" i="5"/>
  <c r="AG417" i="5" s="1"/>
  <c r="W416" i="5"/>
  <c r="AG416" i="5" s="1"/>
  <c r="AG412" i="5"/>
  <c r="W717" i="5"/>
  <c r="AG717" i="5" s="1"/>
  <c r="W718" i="5"/>
  <c r="AG718" i="5" s="1"/>
  <c r="W716" i="5"/>
  <c r="AG716" i="5" s="1"/>
  <c r="AG714" i="5"/>
  <c r="W758" i="5"/>
  <c r="AG758" i="5" s="1"/>
  <c r="W757" i="5"/>
  <c r="AG757" i="5" s="1"/>
  <c r="W756" i="5"/>
  <c r="AG756" i="5" s="1"/>
  <c r="AG754" i="5"/>
  <c r="X420" i="5"/>
  <c r="AH420" i="5" s="1"/>
  <c r="X418" i="5"/>
  <c r="AH418" i="5" s="1"/>
  <c r="X417" i="5"/>
  <c r="AH417" i="5" s="1"/>
  <c r="X419" i="5"/>
  <c r="AH419" i="5" s="1"/>
  <c r="X415" i="5"/>
  <c r="AH415" i="5" s="1"/>
  <c r="X416" i="5"/>
  <c r="AH416" i="5" s="1"/>
  <c r="X414" i="5"/>
  <c r="AH414" i="5" s="1"/>
  <c r="AH412" i="5"/>
  <c r="X471" i="5"/>
  <c r="AH471" i="5" s="1"/>
  <c r="X472" i="5"/>
  <c r="AH472" i="5" s="1"/>
  <c r="X470" i="5"/>
  <c r="AH470" i="5" s="1"/>
  <c r="X469" i="5"/>
  <c r="AH469" i="5" s="1"/>
  <c r="X475" i="5"/>
  <c r="AH475" i="5" s="1"/>
  <c r="X473" i="5"/>
  <c r="AH473" i="5" s="1"/>
  <c r="X474" i="5"/>
  <c r="AH474" i="5" s="1"/>
  <c r="AH467" i="5"/>
  <c r="X454" i="5"/>
  <c r="AH454" i="5" s="1"/>
  <c r="X453" i="5"/>
  <c r="AH453" i="5" s="1"/>
  <c r="X457" i="5"/>
  <c r="AH457" i="5" s="1"/>
  <c r="X456" i="5"/>
  <c r="AH456" i="5" s="1"/>
  <c r="X458" i="5"/>
  <c r="AH458" i="5" s="1"/>
  <c r="X455" i="5"/>
  <c r="AH455" i="5" s="1"/>
  <c r="X459" i="5"/>
  <c r="AH459" i="5" s="1"/>
  <c r="AH451" i="5"/>
  <c r="X302" i="5"/>
  <c r="AH302" i="5" s="1"/>
  <c r="AH299" i="5"/>
  <c r="X309" i="5"/>
  <c r="AH309" i="5" s="1"/>
  <c r="X301" i="5"/>
  <c r="AH301" i="5" s="1"/>
  <c r="X303" i="5"/>
  <c r="AH303" i="5" s="1"/>
  <c r="X308" i="5"/>
  <c r="AH308" i="5" s="1"/>
  <c r="W736" i="5"/>
  <c r="AG736" i="5" s="1"/>
  <c r="W735" i="5"/>
  <c r="AG735" i="5" s="1"/>
  <c r="AG733" i="5"/>
  <c r="W796" i="5"/>
  <c r="AG796" i="5" s="1"/>
  <c r="W799" i="5"/>
  <c r="AG799" i="5" s="1"/>
  <c r="W797" i="5"/>
  <c r="AG797" i="5" s="1"/>
  <c r="AG794" i="5"/>
  <c r="W749" i="5"/>
  <c r="X465" i="5"/>
  <c r="AH465" i="5" s="1"/>
  <c r="X464" i="5"/>
  <c r="AH464" i="5" s="1"/>
  <c r="X463" i="5"/>
  <c r="AH463" i="5" s="1"/>
  <c r="X466" i="5"/>
  <c r="AH466" i="5" s="1"/>
  <c r="X462" i="5"/>
  <c r="AH462" i="5" s="1"/>
  <c r="AH460" i="5"/>
  <c r="X447" i="5"/>
  <c r="AH447" i="5" s="1"/>
  <c r="X448" i="5"/>
  <c r="AH448" i="5" s="1"/>
  <c r="X450" i="5"/>
  <c r="AH450" i="5" s="1"/>
  <c r="X449" i="5"/>
  <c r="AH449" i="5" s="1"/>
  <c r="X446" i="5"/>
  <c r="AH446" i="5" s="1"/>
  <c r="AH444" i="5"/>
  <c r="X333" i="5"/>
  <c r="AH333" i="5" s="1"/>
  <c r="X335" i="5"/>
  <c r="AH335" i="5" s="1"/>
  <c r="X334" i="5"/>
  <c r="AH334" i="5" s="1"/>
  <c r="X339" i="5"/>
  <c r="AH339" i="5" s="1"/>
  <c r="X338" i="5"/>
  <c r="AH338" i="5" s="1"/>
  <c r="AH331" i="5"/>
  <c r="W732" i="5"/>
  <c r="AG732" i="5" s="1"/>
  <c r="W731" i="5"/>
  <c r="AG731" i="5" s="1"/>
  <c r="AG729" i="5"/>
  <c r="W763" i="5"/>
  <c r="AG763" i="5" s="1"/>
  <c r="W762" i="5"/>
  <c r="AG762" i="5" s="1"/>
  <c r="W761" i="5"/>
  <c r="AG761" i="5" s="1"/>
  <c r="AG759" i="5"/>
  <c r="X556" i="5"/>
  <c r="AH556" i="5" s="1"/>
  <c r="X559" i="5"/>
  <c r="AH559" i="5" s="1"/>
  <c r="X560" i="5"/>
  <c r="AH560" i="5" s="1"/>
  <c r="X557" i="5"/>
  <c r="AH557" i="5" s="1"/>
  <c r="X558" i="5"/>
  <c r="AH558" i="5" s="1"/>
  <c r="AH554" i="5"/>
  <c r="X505" i="5"/>
  <c r="AH505" i="5" s="1"/>
  <c r="X501" i="5"/>
  <c r="AH501" i="5" s="1"/>
  <c r="X506" i="5"/>
  <c r="AH506" i="5" s="1"/>
  <c r="X504" i="5"/>
  <c r="AH504" i="5" s="1"/>
  <c r="X502" i="5"/>
  <c r="AH502" i="5" s="1"/>
  <c r="X503" i="5"/>
  <c r="AH503" i="5" s="1"/>
  <c r="AH499" i="5"/>
  <c r="X324" i="5"/>
  <c r="AH324" i="5" s="1"/>
  <c r="AH321" i="5"/>
  <c r="X323" i="5"/>
  <c r="AH323" i="5" s="1"/>
  <c r="X325" i="5"/>
  <c r="AH325" i="5" s="1"/>
  <c r="X330" i="5"/>
  <c r="AH330" i="5" s="1"/>
  <c r="X329" i="5"/>
  <c r="AH329" i="5" s="1"/>
  <c r="W722" i="5"/>
  <c r="AG722" i="5" s="1"/>
  <c r="W723" i="5"/>
  <c r="AG723" i="5" s="1"/>
  <c r="W721" i="5"/>
  <c r="AG721" i="5" s="1"/>
  <c r="AG719" i="5"/>
  <c r="W747" i="5"/>
  <c r="AG747" i="5" s="1"/>
  <c r="W748" i="5"/>
  <c r="AG748" i="5" s="1"/>
  <c r="AG745" i="5"/>
  <c r="X498" i="5"/>
  <c r="AH498" i="5" s="1"/>
  <c r="X496" i="5"/>
  <c r="AH496" i="5" s="1"/>
  <c r="X494" i="5"/>
  <c r="AH494" i="5" s="1"/>
  <c r="X495" i="5"/>
  <c r="AH495" i="5" s="1"/>
  <c r="X497" i="5"/>
  <c r="AH497" i="5" s="1"/>
  <c r="AH492" i="5"/>
  <c r="X368" i="5"/>
  <c r="AH368" i="5" s="1"/>
  <c r="X367" i="5"/>
  <c r="AH367" i="5" s="1"/>
  <c r="AH365" i="5"/>
  <c r="X313" i="5"/>
  <c r="AH313" i="5" s="1"/>
  <c r="AH310" i="5"/>
  <c r="X320" i="5"/>
  <c r="AH320" i="5" s="1"/>
  <c r="X314" i="5"/>
  <c r="AH314" i="5" s="1"/>
  <c r="X312" i="5"/>
  <c r="AH312" i="5" s="1"/>
  <c r="X716" i="5"/>
  <c r="AH716" i="5" s="1"/>
  <c r="X717" i="5"/>
  <c r="AH717" i="5" s="1"/>
  <c r="X718" i="5"/>
  <c r="AH718" i="5" s="1"/>
  <c r="AH714" i="5"/>
  <c r="X756" i="5"/>
  <c r="AH756" i="5" s="1"/>
  <c r="X758" i="5"/>
  <c r="AH758" i="5" s="1"/>
  <c r="X757" i="5"/>
  <c r="AH757" i="5" s="1"/>
  <c r="AH754" i="5"/>
  <c r="X525" i="5"/>
  <c r="AH525" i="5" s="1"/>
  <c r="X528" i="5"/>
  <c r="AH528" i="5" s="1"/>
  <c r="X524" i="5"/>
  <c r="AH524" i="5" s="1"/>
  <c r="X526" i="5"/>
  <c r="AH526" i="5" s="1"/>
  <c r="X527" i="5"/>
  <c r="AH527" i="5" s="1"/>
  <c r="AH522" i="5"/>
  <c r="X633" i="5"/>
  <c r="AH633" i="5" s="1"/>
  <c r="X634" i="5"/>
  <c r="AH634" i="5" s="1"/>
  <c r="X636" i="5"/>
  <c r="AH636" i="5" s="1"/>
  <c r="X632" i="5"/>
  <c r="AH632" i="5" s="1"/>
  <c r="X640" i="5"/>
  <c r="AH640" i="5" s="1"/>
  <c r="X639" i="5"/>
  <c r="AH639" i="5" s="1"/>
  <c r="X637" i="5"/>
  <c r="AH637" i="5" s="1"/>
  <c r="X635" i="5"/>
  <c r="AH635" i="5" s="1"/>
  <c r="X638" i="5"/>
  <c r="AH638" i="5" s="1"/>
  <c r="AH630" i="5"/>
  <c r="X592" i="5"/>
  <c r="AH592" i="5" s="1"/>
  <c r="X598" i="5"/>
  <c r="AH598" i="5" s="1"/>
  <c r="X597" i="5"/>
  <c r="AH597" i="5" s="1"/>
  <c r="X596" i="5"/>
  <c r="AH596" i="5" s="1"/>
  <c r="X594" i="5"/>
  <c r="AH594" i="5" s="1"/>
  <c r="X599" i="5"/>
  <c r="AH599" i="5" s="1"/>
  <c r="X600" i="5"/>
  <c r="AH600" i="5" s="1"/>
  <c r="X593" i="5"/>
  <c r="AH593" i="5" s="1"/>
  <c r="AH590" i="5"/>
  <c r="X595" i="5"/>
  <c r="AH595" i="5" s="1"/>
  <c r="X221" i="5"/>
  <c r="AH221" i="5" s="1"/>
  <c r="X222" i="5"/>
  <c r="AH222" i="5" s="1"/>
  <c r="X220" i="5"/>
  <c r="AH220" i="5" s="1"/>
  <c r="X219" i="5"/>
  <c r="AH219" i="5" s="1"/>
  <c r="AH217" i="5"/>
  <c r="X130" i="5"/>
  <c r="AH130" i="5" s="1"/>
  <c r="X129" i="5"/>
  <c r="AH129" i="5" s="1"/>
  <c r="X131" i="5"/>
  <c r="AH131" i="5" s="1"/>
  <c r="AH127" i="5"/>
  <c r="X98" i="5"/>
  <c r="AH98" i="5" s="1"/>
  <c r="X105" i="5"/>
  <c r="AH105" i="5" s="1"/>
  <c r="X106" i="5"/>
  <c r="AH106" i="5" s="1"/>
  <c r="X96" i="5"/>
  <c r="AH96" i="5" s="1"/>
  <c r="X97" i="5"/>
  <c r="AH97" i="5" s="1"/>
  <c r="X104" i="5"/>
  <c r="AH104" i="5" s="1"/>
  <c r="AH94" i="5"/>
  <c r="X388" i="5"/>
  <c r="AH388" i="5" s="1"/>
  <c r="X389" i="5"/>
  <c r="AH389" i="5" s="1"/>
  <c r="AH386" i="5"/>
  <c r="X735" i="5"/>
  <c r="AH735" i="5" s="1"/>
  <c r="X736" i="5"/>
  <c r="AH736" i="5" s="1"/>
  <c r="AH733" i="5"/>
  <c r="X796" i="5"/>
  <c r="AH796" i="5" s="1"/>
  <c r="X797" i="5"/>
  <c r="AH797" i="5" s="1"/>
  <c r="X799" i="5"/>
  <c r="AH799" i="5" s="1"/>
  <c r="AH794" i="5"/>
  <c r="X749" i="5"/>
  <c r="X658" i="5"/>
  <c r="AH658" i="5" s="1"/>
  <c r="X659" i="5"/>
  <c r="AH659" i="5" s="1"/>
  <c r="AH656" i="5"/>
  <c r="X660" i="5"/>
  <c r="AH660" i="5" s="1"/>
  <c r="X661" i="5"/>
  <c r="AH661" i="5" s="1"/>
  <c r="X624" i="5"/>
  <c r="AH624" i="5" s="1"/>
  <c r="X629" i="5"/>
  <c r="AH629" i="5" s="1"/>
  <c r="X625" i="5"/>
  <c r="AH625" i="5" s="1"/>
  <c r="X626" i="5"/>
  <c r="AH626" i="5" s="1"/>
  <c r="X623" i="5"/>
  <c r="AH623" i="5" s="1"/>
  <c r="X627" i="5"/>
  <c r="AH627" i="5" s="1"/>
  <c r="X628" i="5"/>
  <c r="AH628" i="5" s="1"/>
  <c r="AH621" i="5"/>
  <c r="X587" i="5"/>
  <c r="AH587" i="5" s="1"/>
  <c r="X588" i="5"/>
  <c r="AH588" i="5" s="1"/>
  <c r="X589" i="5"/>
  <c r="AH589" i="5" s="1"/>
  <c r="X584" i="5"/>
  <c r="AH584" i="5" s="1"/>
  <c r="X585" i="5"/>
  <c r="AH585" i="5" s="1"/>
  <c r="X583" i="5"/>
  <c r="AH583" i="5" s="1"/>
  <c r="AH581" i="5"/>
  <c r="X586" i="5"/>
  <c r="AH586" i="5" s="1"/>
  <c r="X215" i="5"/>
  <c r="AH215" i="5" s="1"/>
  <c r="X216" i="5"/>
  <c r="AH216" i="5" s="1"/>
  <c r="AH213" i="5"/>
  <c r="X135" i="5"/>
  <c r="AH135" i="5" s="1"/>
  <c r="X136" i="5"/>
  <c r="AH136" i="5" s="1"/>
  <c r="X134" i="5"/>
  <c r="AH134" i="5" s="1"/>
  <c r="X137" i="5"/>
  <c r="AH137" i="5" s="1"/>
  <c r="AH132" i="5"/>
  <c r="X91" i="5"/>
  <c r="AH91" i="5" s="1"/>
  <c r="X93" i="5"/>
  <c r="AH93" i="5" s="1"/>
  <c r="X90" i="5"/>
  <c r="AH90" i="5" s="1"/>
  <c r="X92" i="5"/>
  <c r="AH92" i="5" s="1"/>
  <c r="AH88" i="5"/>
  <c r="X376" i="5"/>
  <c r="AH376" i="5" s="1"/>
  <c r="X375" i="5"/>
  <c r="AH375" i="5" s="1"/>
  <c r="AH373" i="5"/>
  <c r="X377" i="5"/>
  <c r="AH377" i="5" s="1"/>
  <c r="X731" i="5"/>
  <c r="AH731" i="5" s="1"/>
  <c r="X732" i="5"/>
  <c r="AH732" i="5" s="1"/>
  <c r="AH729" i="5"/>
  <c r="X762" i="5"/>
  <c r="AH762" i="5" s="1"/>
  <c r="X763" i="5"/>
  <c r="AH763" i="5" s="1"/>
  <c r="X761" i="5"/>
  <c r="AH761" i="5" s="1"/>
  <c r="AH759" i="5"/>
  <c r="X546" i="5"/>
  <c r="AH546" i="5" s="1"/>
  <c r="X542" i="5"/>
  <c r="AH542" i="5" s="1"/>
  <c r="X540" i="5"/>
  <c r="AH540" i="5" s="1"/>
  <c r="X541" i="5"/>
  <c r="AH541" i="5" s="1"/>
  <c r="X543" i="5"/>
  <c r="AH543" i="5" s="1"/>
  <c r="X544" i="5"/>
  <c r="AH544" i="5" s="1"/>
  <c r="X545" i="5"/>
  <c r="AH545" i="5" s="1"/>
  <c r="AH538" i="5"/>
  <c r="X653" i="5"/>
  <c r="AH653" i="5" s="1"/>
  <c r="X652" i="5"/>
  <c r="AH652" i="5" s="1"/>
  <c r="AH650" i="5"/>
  <c r="X654" i="5"/>
  <c r="AH654" i="5" s="1"/>
  <c r="X655" i="5"/>
  <c r="AH655" i="5" s="1"/>
  <c r="X619" i="5"/>
  <c r="AH619" i="5" s="1"/>
  <c r="X614" i="5"/>
  <c r="AH614" i="5" s="1"/>
  <c r="X616" i="5"/>
  <c r="AH616" i="5" s="1"/>
  <c r="X613" i="5"/>
  <c r="AH613" i="5" s="1"/>
  <c r="X612" i="5"/>
  <c r="AH612" i="5" s="1"/>
  <c r="X618" i="5"/>
  <c r="AH618" i="5" s="1"/>
  <c r="X617" i="5"/>
  <c r="AH617" i="5" s="1"/>
  <c r="X620" i="5"/>
  <c r="AH620" i="5" s="1"/>
  <c r="AH610" i="5"/>
  <c r="X615" i="5"/>
  <c r="AH615" i="5" s="1"/>
  <c r="X182" i="5"/>
  <c r="AH182" i="5" s="1"/>
  <c r="X180" i="5"/>
  <c r="AH180" i="5" s="1"/>
  <c r="X185" i="5"/>
  <c r="AH185" i="5" s="1"/>
  <c r="X193" i="5"/>
  <c r="AH193" i="5" s="1"/>
  <c r="X186" i="5"/>
  <c r="AH186" i="5" s="1"/>
  <c r="X181" i="5"/>
  <c r="AH181" i="5" s="1"/>
  <c r="X184" i="5"/>
  <c r="AH184" i="5" s="1"/>
  <c r="X183" i="5"/>
  <c r="AH183" i="5" s="1"/>
  <c r="X200" i="5"/>
  <c r="AH200" i="5" s="1"/>
  <c r="X192" i="5"/>
  <c r="AH192" i="5" s="1"/>
  <c r="AH178" i="5"/>
  <c r="X126" i="5"/>
  <c r="AH126" i="5" s="1"/>
  <c r="X125" i="5"/>
  <c r="AH125" i="5" s="1"/>
  <c r="AH123" i="5"/>
  <c r="AH84" i="5"/>
  <c r="X86" i="5"/>
  <c r="AH86" i="5" s="1"/>
  <c r="X87" i="5"/>
  <c r="AH87" i="5" s="1"/>
  <c r="X381" i="5"/>
  <c r="AH381" i="5" s="1"/>
  <c r="X380" i="5"/>
  <c r="AH380" i="5" s="1"/>
  <c r="AH378" i="5"/>
  <c r="X721" i="5"/>
  <c r="AH721" i="5" s="1"/>
  <c r="X722" i="5"/>
  <c r="AH722" i="5" s="1"/>
  <c r="X723" i="5"/>
  <c r="AH723" i="5" s="1"/>
  <c r="AH719" i="5"/>
  <c r="X748" i="5"/>
  <c r="AH748" i="5" s="1"/>
  <c r="X747" i="5"/>
  <c r="AH747" i="5" s="1"/>
  <c r="AH745" i="5"/>
  <c r="X533" i="5"/>
  <c r="AH533" i="5" s="1"/>
  <c r="X535" i="5"/>
  <c r="AH535" i="5" s="1"/>
  <c r="X531" i="5"/>
  <c r="AH531" i="5" s="1"/>
  <c r="X534" i="5"/>
  <c r="AH534" i="5" s="1"/>
  <c r="X537" i="5"/>
  <c r="AH537" i="5" s="1"/>
  <c r="X532" i="5"/>
  <c r="AH532" i="5" s="1"/>
  <c r="X536" i="5"/>
  <c r="AH536" i="5" s="1"/>
  <c r="AH529" i="5"/>
  <c r="AH641" i="5"/>
  <c r="X609" i="5"/>
  <c r="AH609" i="5" s="1"/>
  <c r="X604" i="5"/>
  <c r="AH604" i="5" s="1"/>
  <c r="X607" i="5"/>
  <c r="AH607" i="5" s="1"/>
  <c r="X608" i="5"/>
  <c r="AH608" i="5" s="1"/>
  <c r="X603" i="5"/>
  <c r="AH603" i="5" s="1"/>
  <c r="X605" i="5"/>
  <c r="AH605" i="5" s="1"/>
  <c r="AH601" i="5"/>
  <c r="X606" i="5"/>
  <c r="AH606" i="5" s="1"/>
  <c r="X227" i="5"/>
  <c r="AH227" i="5" s="1"/>
  <c r="X225" i="5"/>
  <c r="AH225" i="5" s="1"/>
  <c r="X226" i="5"/>
  <c r="AH226" i="5" s="1"/>
  <c r="AH223" i="5"/>
  <c r="X141" i="5"/>
  <c r="AH141" i="5" s="1"/>
  <c r="X149" i="5"/>
  <c r="AH149" i="5" s="1"/>
  <c r="X148" i="5"/>
  <c r="AH148" i="5" s="1"/>
  <c r="X142" i="5"/>
  <c r="AH142" i="5" s="1"/>
  <c r="X140" i="5"/>
  <c r="AH140" i="5" s="1"/>
  <c r="AH138" i="5"/>
  <c r="X122" i="5"/>
  <c r="AH122" i="5" s="1"/>
  <c r="X112" i="5"/>
  <c r="AH112" i="5" s="1"/>
  <c r="X113" i="5"/>
  <c r="AH113" i="5" s="1"/>
  <c r="X109" i="5"/>
  <c r="AH109" i="5" s="1"/>
  <c r="X120" i="5"/>
  <c r="AH120" i="5" s="1"/>
  <c r="X110" i="5"/>
  <c r="AH110" i="5" s="1"/>
  <c r="X114" i="5"/>
  <c r="AH114" i="5" s="1"/>
  <c r="X121" i="5"/>
  <c r="AH121" i="5" s="1"/>
  <c r="X111" i="5"/>
  <c r="AH111" i="5" s="1"/>
  <c r="AH107" i="5"/>
  <c r="X392" i="5"/>
  <c r="AH392" i="5" s="1"/>
  <c r="X393" i="5"/>
  <c r="AH393" i="5" s="1"/>
  <c r="AH390" i="5"/>
  <c r="Z402" i="5"/>
  <c r="AJ402" i="5" s="1"/>
  <c r="Z400" i="5"/>
  <c r="AJ400" i="5" s="1"/>
  <c r="Z399" i="5"/>
  <c r="AJ399" i="5" s="1"/>
  <c r="Z403" i="5"/>
  <c r="AJ403" i="5" s="1"/>
  <c r="Z401" i="5"/>
  <c r="AJ401" i="5" s="1"/>
  <c r="Z397" i="5"/>
  <c r="AJ397" i="5" s="1"/>
  <c r="AJ395" i="5"/>
  <c r="Z398" i="5"/>
  <c r="AJ398" i="5" s="1"/>
  <c r="CB76" i="3"/>
  <c r="AA129" i="5"/>
  <c r="AK129" i="5" s="1"/>
  <c r="AA130" i="5"/>
  <c r="AK130" i="5" s="1"/>
  <c r="AA131" i="5"/>
  <c r="AK131" i="5" s="1"/>
  <c r="AK127" i="5"/>
  <c r="AF673" i="5"/>
  <c r="AF674" i="5"/>
  <c r="AF671" i="5"/>
  <c r="AF675" i="5"/>
  <c r="AF672" i="5"/>
  <c r="W559" i="5"/>
  <c r="AG559" i="5" s="1"/>
  <c r="W558" i="5"/>
  <c r="AG558" i="5" s="1"/>
  <c r="W557" i="5"/>
  <c r="AG557" i="5" s="1"/>
  <c r="W560" i="5"/>
  <c r="AG560" i="5" s="1"/>
  <c r="W556" i="5"/>
  <c r="AG556" i="5" s="1"/>
  <c r="AG554" i="5"/>
  <c r="W502" i="5"/>
  <c r="AG502" i="5" s="1"/>
  <c r="W501" i="5"/>
  <c r="AG501" i="5" s="1"/>
  <c r="W505" i="5"/>
  <c r="AG505" i="5" s="1"/>
  <c r="W503" i="5"/>
  <c r="AG503" i="5" s="1"/>
  <c r="W504" i="5"/>
  <c r="AG504" i="5" s="1"/>
  <c r="W506" i="5"/>
  <c r="AG506" i="5" s="1"/>
  <c r="AG499" i="5"/>
  <c r="W545" i="5"/>
  <c r="AG545" i="5" s="1"/>
  <c r="W546" i="5"/>
  <c r="AG546" i="5" s="1"/>
  <c r="W544" i="5"/>
  <c r="AG544" i="5" s="1"/>
  <c r="W541" i="5"/>
  <c r="AG541" i="5" s="1"/>
  <c r="W540" i="5"/>
  <c r="AG540" i="5" s="1"/>
  <c r="W542" i="5"/>
  <c r="AG542" i="5" s="1"/>
  <c r="W543" i="5"/>
  <c r="AG543" i="5" s="1"/>
  <c r="AG538" i="5"/>
  <c r="AG641" i="5"/>
  <c r="W609" i="5"/>
  <c r="AG609" i="5" s="1"/>
  <c r="W605" i="5"/>
  <c r="AG605" i="5" s="1"/>
  <c r="W604" i="5"/>
  <c r="AG604" i="5" s="1"/>
  <c r="W603" i="5"/>
  <c r="AG603" i="5" s="1"/>
  <c r="W608" i="5"/>
  <c r="AG608" i="5" s="1"/>
  <c r="W607" i="5"/>
  <c r="AG607" i="5" s="1"/>
  <c r="AG601" i="5"/>
  <c r="W606" i="5"/>
  <c r="AG606" i="5" s="1"/>
  <c r="W227" i="5"/>
  <c r="AG227" i="5" s="1"/>
  <c r="W226" i="5"/>
  <c r="AG226" i="5" s="1"/>
  <c r="W225" i="5"/>
  <c r="AG225" i="5" s="1"/>
  <c r="AG223" i="5"/>
  <c r="AG175" i="5"/>
  <c r="W149" i="5"/>
  <c r="AG149" i="5" s="1"/>
  <c r="AG167" i="5"/>
  <c r="W141" i="5"/>
  <c r="AG141" i="5" s="1"/>
  <c r="AG174" i="5"/>
  <c r="W148" i="5"/>
  <c r="AG148" i="5" s="1"/>
  <c r="W142" i="5"/>
  <c r="AG142" i="5" s="1"/>
  <c r="AG166" i="5"/>
  <c r="W140" i="5"/>
  <c r="AG140" i="5" s="1"/>
  <c r="AG176" i="5"/>
  <c r="AG168" i="5"/>
  <c r="AG138" i="5"/>
  <c r="W110" i="5"/>
  <c r="AG110" i="5" s="1"/>
  <c r="W112" i="5"/>
  <c r="AG112" i="5" s="1"/>
  <c r="W121" i="5"/>
  <c r="AG121" i="5" s="1"/>
  <c r="W109" i="5"/>
  <c r="AG109" i="5" s="1"/>
  <c r="W120" i="5"/>
  <c r="AG120" i="5" s="1"/>
  <c r="W114" i="5"/>
  <c r="AG114" i="5" s="1"/>
  <c r="W111" i="5"/>
  <c r="AG111" i="5" s="1"/>
  <c r="W113" i="5"/>
  <c r="AG113" i="5" s="1"/>
  <c r="W122" i="5"/>
  <c r="AG122" i="5" s="1"/>
  <c r="AG107" i="5"/>
  <c r="W393" i="5"/>
  <c r="AG393" i="5" s="1"/>
  <c r="W392" i="5"/>
  <c r="AG392" i="5" s="1"/>
  <c r="AG390" i="5"/>
  <c r="W528" i="5"/>
  <c r="AG528" i="5" s="1"/>
  <c r="W525" i="5"/>
  <c r="AG525" i="5" s="1"/>
  <c r="W524" i="5"/>
  <c r="AG524" i="5" s="1"/>
  <c r="W526" i="5"/>
  <c r="AG526" i="5" s="1"/>
  <c r="W527" i="5"/>
  <c r="AG527" i="5" s="1"/>
  <c r="AG522" i="5"/>
  <c r="W302" i="5"/>
  <c r="AG302" i="5" s="1"/>
  <c r="AG299" i="5"/>
  <c r="W309" i="5"/>
  <c r="AG309" i="5" s="1"/>
  <c r="W301" i="5"/>
  <c r="AG301" i="5" s="1"/>
  <c r="W303" i="5"/>
  <c r="AG303" i="5" s="1"/>
  <c r="W308" i="5"/>
  <c r="AG308" i="5" s="1"/>
  <c r="AF667" i="5"/>
  <c r="AF665" i="5"/>
  <c r="AF664" i="5"/>
  <c r="AF666" i="5"/>
  <c r="AF668" i="5"/>
  <c r="AF198" i="5"/>
  <c r="AF201" i="5"/>
  <c r="AF211" i="5"/>
  <c r="AF210" i="5"/>
  <c r="AF197" i="5"/>
  <c r="AF202" i="5"/>
  <c r="AF209" i="5"/>
  <c r="AF203" i="5"/>
  <c r="AF199" i="5"/>
  <c r="W495" i="5"/>
  <c r="AG495" i="5" s="1"/>
  <c r="W494" i="5"/>
  <c r="AG494" i="5" s="1"/>
  <c r="W498" i="5"/>
  <c r="AG498" i="5" s="1"/>
  <c r="W496" i="5"/>
  <c r="AG496" i="5" s="1"/>
  <c r="W497" i="5"/>
  <c r="AG497" i="5" s="1"/>
  <c r="AG492" i="5"/>
  <c r="W536" i="5"/>
  <c r="AG536" i="5" s="1"/>
  <c r="W532" i="5"/>
  <c r="AG532" i="5" s="1"/>
  <c r="W535" i="5"/>
  <c r="AG535" i="5" s="1"/>
  <c r="W531" i="5"/>
  <c r="AG531" i="5" s="1"/>
  <c r="W533" i="5"/>
  <c r="AG533" i="5" s="1"/>
  <c r="W534" i="5"/>
  <c r="AG534" i="5" s="1"/>
  <c r="W537" i="5"/>
  <c r="AG537" i="5" s="1"/>
  <c r="AG529" i="5"/>
  <c r="W637" i="5"/>
  <c r="AG637" i="5" s="1"/>
  <c r="W639" i="5"/>
  <c r="AG639" i="5" s="1"/>
  <c r="W632" i="5"/>
  <c r="AG632" i="5" s="1"/>
  <c r="W638" i="5"/>
  <c r="AG638" i="5" s="1"/>
  <c r="W634" i="5"/>
  <c r="AG634" i="5" s="1"/>
  <c r="W635" i="5"/>
  <c r="AG635" i="5" s="1"/>
  <c r="W633" i="5"/>
  <c r="AG633" i="5" s="1"/>
  <c r="W636" i="5"/>
  <c r="AG636" i="5" s="1"/>
  <c r="W640" i="5"/>
  <c r="AG640" i="5" s="1"/>
  <c r="AG630" i="5"/>
  <c r="W596" i="5"/>
  <c r="AG596" i="5" s="1"/>
  <c r="W594" i="5"/>
  <c r="AG594" i="5" s="1"/>
  <c r="W592" i="5"/>
  <c r="AG592" i="5" s="1"/>
  <c r="W600" i="5"/>
  <c r="AG600" i="5" s="1"/>
  <c r="W597" i="5"/>
  <c r="AG597" i="5" s="1"/>
  <c r="W598" i="5"/>
  <c r="AG598" i="5" s="1"/>
  <c r="W599" i="5"/>
  <c r="AG599" i="5" s="1"/>
  <c r="W593" i="5"/>
  <c r="AG593" i="5" s="1"/>
  <c r="AG590" i="5"/>
  <c r="W595" i="5"/>
  <c r="AG595" i="5" s="1"/>
  <c r="W221" i="5"/>
  <c r="AG221" i="5" s="1"/>
  <c r="W219" i="5"/>
  <c r="AG219" i="5" s="1"/>
  <c r="W222" i="5"/>
  <c r="AG222" i="5" s="1"/>
  <c r="W220" i="5"/>
  <c r="AG220" i="5" s="1"/>
  <c r="AG217" i="5"/>
  <c r="W130" i="5"/>
  <c r="AG130" i="5" s="1"/>
  <c r="W129" i="5"/>
  <c r="AG129" i="5" s="1"/>
  <c r="W131" i="5"/>
  <c r="AG131" i="5" s="1"/>
  <c r="AG127" i="5"/>
  <c r="W96" i="5"/>
  <c r="AG96" i="5" s="1"/>
  <c r="W106" i="5"/>
  <c r="AG106" i="5" s="1"/>
  <c r="W104" i="5"/>
  <c r="AG104" i="5" s="1"/>
  <c r="W98" i="5"/>
  <c r="AG98" i="5" s="1"/>
  <c r="W105" i="5"/>
  <c r="AG105" i="5" s="1"/>
  <c r="W97" i="5"/>
  <c r="AG97" i="5" s="1"/>
  <c r="AG94" i="5"/>
  <c r="W388" i="5"/>
  <c r="AG388" i="5" s="1"/>
  <c r="W389" i="5"/>
  <c r="AG389" i="5" s="1"/>
  <c r="AG386" i="5"/>
  <c r="W334" i="5"/>
  <c r="AG334" i="5" s="1"/>
  <c r="W333" i="5"/>
  <c r="AG333" i="5" s="1"/>
  <c r="W338" i="5"/>
  <c r="AG338" i="5" s="1"/>
  <c r="W335" i="5"/>
  <c r="AG335" i="5" s="1"/>
  <c r="W339" i="5"/>
  <c r="AG339" i="5" s="1"/>
  <c r="AG331" i="5"/>
  <c r="AF175" i="5"/>
  <c r="AF168" i="5"/>
  <c r="AF167" i="5"/>
  <c r="AF166" i="5"/>
  <c r="AF176" i="5"/>
  <c r="AF174" i="5"/>
  <c r="W473" i="5"/>
  <c r="AG473" i="5" s="1"/>
  <c r="W474" i="5"/>
  <c r="AG474" i="5" s="1"/>
  <c r="W469" i="5"/>
  <c r="AG469" i="5" s="1"/>
  <c r="W471" i="5"/>
  <c r="AG471" i="5" s="1"/>
  <c r="W472" i="5"/>
  <c r="AG472" i="5" s="1"/>
  <c r="W475" i="5"/>
  <c r="AG475" i="5" s="1"/>
  <c r="W470" i="5"/>
  <c r="AG470" i="5" s="1"/>
  <c r="AG467" i="5"/>
  <c r="W459" i="5"/>
  <c r="AG459" i="5" s="1"/>
  <c r="W453" i="5"/>
  <c r="AG453" i="5" s="1"/>
  <c r="W458" i="5"/>
  <c r="AG458" i="5" s="1"/>
  <c r="W455" i="5"/>
  <c r="AG455" i="5" s="1"/>
  <c r="W456" i="5"/>
  <c r="AG456" i="5" s="1"/>
  <c r="W454" i="5"/>
  <c r="AG454" i="5" s="1"/>
  <c r="W457" i="5"/>
  <c r="AG457" i="5" s="1"/>
  <c r="AG451" i="5"/>
  <c r="AG675" i="5"/>
  <c r="AG674" i="5"/>
  <c r="AG672" i="5"/>
  <c r="W658" i="5"/>
  <c r="AG658" i="5" s="1"/>
  <c r="AG673" i="5"/>
  <c r="W659" i="5"/>
  <c r="AG659" i="5" s="1"/>
  <c r="AG671" i="5"/>
  <c r="AG656" i="5"/>
  <c r="W660" i="5"/>
  <c r="AG660" i="5" s="1"/>
  <c r="W661" i="5"/>
  <c r="AG661" i="5" s="1"/>
  <c r="W626" i="5"/>
  <c r="AG626" i="5" s="1"/>
  <c r="W629" i="5"/>
  <c r="AG629" i="5" s="1"/>
  <c r="W628" i="5"/>
  <c r="AG628" i="5" s="1"/>
  <c r="W624" i="5"/>
  <c r="AG624" i="5" s="1"/>
  <c r="W625" i="5"/>
  <c r="AG625" i="5" s="1"/>
  <c r="W627" i="5"/>
  <c r="AG627" i="5" s="1"/>
  <c r="W623" i="5"/>
  <c r="AG623" i="5" s="1"/>
  <c r="AG621" i="5"/>
  <c r="W587" i="5"/>
  <c r="AG587" i="5" s="1"/>
  <c r="W585" i="5"/>
  <c r="AG585" i="5" s="1"/>
  <c r="W588" i="5"/>
  <c r="AG588" i="5" s="1"/>
  <c r="W583" i="5"/>
  <c r="AG583" i="5" s="1"/>
  <c r="W584" i="5"/>
  <c r="AG584" i="5" s="1"/>
  <c r="W589" i="5"/>
  <c r="AG589" i="5" s="1"/>
  <c r="AG581" i="5"/>
  <c r="W586" i="5"/>
  <c r="AG586" i="5" s="1"/>
  <c r="W215" i="5"/>
  <c r="AG215" i="5" s="1"/>
  <c r="W216" i="5"/>
  <c r="AG216" i="5" s="1"/>
  <c r="AG213" i="5"/>
  <c r="W137" i="5"/>
  <c r="AG137" i="5" s="1"/>
  <c r="W135" i="5"/>
  <c r="AG135" i="5" s="1"/>
  <c r="W134" i="5"/>
  <c r="AG134" i="5" s="1"/>
  <c r="W136" i="5"/>
  <c r="AG136" i="5" s="1"/>
  <c r="AG132" i="5"/>
  <c r="W93" i="5"/>
  <c r="AG93" i="5" s="1"/>
  <c r="W91" i="5"/>
  <c r="AG91" i="5" s="1"/>
  <c r="W92" i="5"/>
  <c r="AG92" i="5" s="1"/>
  <c r="W90" i="5"/>
  <c r="AG90" i="5" s="1"/>
  <c r="AG88" i="5"/>
  <c r="W376" i="5"/>
  <c r="AG376" i="5" s="1"/>
  <c r="W375" i="5"/>
  <c r="AG375" i="5" s="1"/>
  <c r="AG373" i="5"/>
  <c r="W377" i="5"/>
  <c r="AG377" i="5" s="1"/>
  <c r="W324" i="5"/>
  <c r="AG324" i="5" s="1"/>
  <c r="AG321" i="5"/>
  <c r="W323" i="5"/>
  <c r="AG323" i="5" s="1"/>
  <c r="W330" i="5"/>
  <c r="AG330" i="5" s="1"/>
  <c r="W325" i="5"/>
  <c r="AG325" i="5" s="1"/>
  <c r="W329" i="5"/>
  <c r="AG329" i="5" s="1"/>
  <c r="O361" i="2"/>
  <c r="G810" i="5" s="1"/>
  <c r="P810" i="5" s="1"/>
  <c r="W464" i="5"/>
  <c r="AG464" i="5" s="1"/>
  <c r="W463" i="5"/>
  <c r="AG463" i="5" s="1"/>
  <c r="W462" i="5"/>
  <c r="AG462" i="5" s="1"/>
  <c r="W466" i="5"/>
  <c r="AG466" i="5" s="1"/>
  <c r="W465" i="5"/>
  <c r="AG465" i="5" s="1"/>
  <c r="AG460" i="5"/>
  <c r="W446" i="5"/>
  <c r="AG446" i="5" s="1"/>
  <c r="W450" i="5"/>
  <c r="AG450" i="5" s="1"/>
  <c r="W448" i="5"/>
  <c r="AG448" i="5" s="1"/>
  <c r="W449" i="5"/>
  <c r="AG449" i="5" s="1"/>
  <c r="W447" i="5"/>
  <c r="AG447" i="5" s="1"/>
  <c r="AG444" i="5"/>
  <c r="AG667" i="5"/>
  <c r="W653" i="5"/>
  <c r="AG653" i="5" s="1"/>
  <c r="W652" i="5"/>
  <c r="AG652" i="5" s="1"/>
  <c r="AG664" i="5"/>
  <c r="AG668" i="5"/>
  <c r="AG665" i="5"/>
  <c r="AG666" i="5"/>
  <c r="AG650" i="5"/>
  <c r="W654" i="5"/>
  <c r="AG654" i="5" s="1"/>
  <c r="W655" i="5"/>
  <c r="AG655" i="5" s="1"/>
  <c r="W617" i="5"/>
  <c r="AG617" i="5" s="1"/>
  <c r="W612" i="5"/>
  <c r="AG612" i="5" s="1"/>
  <c r="W613" i="5"/>
  <c r="AG613" i="5" s="1"/>
  <c r="W618" i="5"/>
  <c r="AG618" i="5" s="1"/>
  <c r="W620" i="5"/>
  <c r="AG620" i="5" s="1"/>
  <c r="W614" i="5"/>
  <c r="AG614" i="5" s="1"/>
  <c r="W619" i="5"/>
  <c r="AG619" i="5" s="1"/>
  <c r="W616" i="5"/>
  <c r="AG616" i="5" s="1"/>
  <c r="AG610" i="5"/>
  <c r="W615" i="5"/>
  <c r="AG615" i="5" s="1"/>
  <c r="W185" i="5"/>
  <c r="AG185" i="5" s="1"/>
  <c r="W182" i="5"/>
  <c r="AG182" i="5" s="1"/>
  <c r="W180" i="5"/>
  <c r="AG180" i="5" s="1"/>
  <c r="W186" i="5"/>
  <c r="AG186" i="5" s="1"/>
  <c r="W184" i="5"/>
  <c r="AG184" i="5" s="1"/>
  <c r="AG209" i="5"/>
  <c r="AG199" i="5"/>
  <c r="AG202" i="5"/>
  <c r="W192" i="5"/>
  <c r="AG192" i="5" s="1"/>
  <c r="W181" i="5"/>
  <c r="AG181" i="5" s="1"/>
  <c r="W183" i="5"/>
  <c r="AG183" i="5" s="1"/>
  <c r="AG210" i="5"/>
  <c r="AG197" i="5"/>
  <c r="AG198" i="5"/>
  <c r="AG203" i="5"/>
  <c r="W200" i="5"/>
  <c r="AG200" i="5" s="1"/>
  <c r="AG201" i="5"/>
  <c r="AG211" i="5"/>
  <c r="W193" i="5"/>
  <c r="AG193" i="5" s="1"/>
  <c r="AG178" i="5"/>
  <c r="W126" i="5"/>
  <c r="AG126" i="5" s="1"/>
  <c r="W125" i="5"/>
  <c r="AG125" i="5" s="1"/>
  <c r="AG123" i="5"/>
  <c r="AG84" i="5"/>
  <c r="W86" i="5"/>
  <c r="AG86" i="5" s="1"/>
  <c r="W87" i="5"/>
  <c r="AG87" i="5" s="1"/>
  <c r="W367" i="5"/>
  <c r="AG367" i="5" s="1"/>
  <c r="W368" i="5"/>
  <c r="AG368" i="5" s="1"/>
  <c r="AG365" i="5"/>
  <c r="W313" i="5"/>
  <c r="AG313" i="5" s="1"/>
  <c r="AG310" i="5"/>
  <c r="W314" i="5"/>
  <c r="AG314" i="5" s="1"/>
  <c r="W312" i="5"/>
  <c r="AG312" i="5" s="1"/>
  <c r="W320" i="5"/>
  <c r="AG320" i="5" s="1"/>
  <c r="F434" i="1"/>
  <c r="F433" i="1"/>
  <c r="F444" i="1"/>
  <c r="F435" i="1"/>
  <c r="F446" i="1"/>
  <c r="G446" i="1"/>
  <c r="G435" i="1"/>
  <c r="G445" i="1"/>
  <c r="G434" i="1"/>
  <c r="G433" i="1"/>
  <c r="AA182" i="5"/>
  <c r="AK182" i="5" s="1"/>
  <c r="AA193" i="5"/>
  <c r="AK193" i="5" s="1"/>
  <c r="AA180" i="5"/>
  <c r="AK180" i="5" s="1"/>
  <c r="AA185" i="5"/>
  <c r="AK185" i="5" s="1"/>
  <c r="AK201" i="5"/>
  <c r="AK202" i="5"/>
  <c r="AA181" i="5"/>
  <c r="AK181" i="5" s="1"/>
  <c r="AK209" i="5"/>
  <c r="AK199" i="5"/>
  <c r="AK198" i="5"/>
  <c r="AA192" i="5"/>
  <c r="AK192" i="5" s="1"/>
  <c r="AA184" i="5"/>
  <c r="AK184" i="5" s="1"/>
  <c r="AA186" i="5"/>
  <c r="AK186" i="5" s="1"/>
  <c r="AK210" i="5"/>
  <c r="AK197" i="5"/>
  <c r="AA200" i="5"/>
  <c r="AK200" i="5" s="1"/>
  <c r="AK203" i="5"/>
  <c r="AK211" i="5"/>
  <c r="AA183" i="5"/>
  <c r="AK183" i="5" s="1"/>
  <c r="AK178" i="5"/>
  <c r="AJ211" i="5"/>
  <c r="AJ202" i="5"/>
  <c r="Z200" i="5"/>
  <c r="AJ200" i="5" s="1"/>
  <c r="AJ198" i="5"/>
  <c r="AJ210" i="5"/>
  <c r="AJ203" i="5"/>
  <c r="AJ209" i="5"/>
  <c r="AJ201" i="5"/>
  <c r="AJ197" i="5"/>
  <c r="AJ199" i="5"/>
  <c r="AI211" i="5"/>
  <c r="AI202" i="5"/>
  <c r="AI198" i="5"/>
  <c r="AI209" i="5"/>
  <c r="AI201" i="5"/>
  <c r="AI203" i="5"/>
  <c r="AI199" i="5"/>
  <c r="AI210" i="5"/>
  <c r="AI197" i="5"/>
  <c r="AJ168" i="5"/>
  <c r="AJ166" i="5"/>
  <c r="AJ176" i="5"/>
  <c r="AJ174" i="5"/>
  <c r="AJ167" i="5"/>
  <c r="AI667" i="5"/>
  <c r="AJ674" i="5"/>
  <c r="AK674" i="5"/>
  <c r="AI674" i="5"/>
  <c r="BY76" i="3"/>
  <c r="BU76" i="3"/>
  <c r="BO76" i="3"/>
  <c r="Y729" i="5"/>
  <c r="Y731" i="5" s="1"/>
  <c r="AI731" i="5" s="1"/>
  <c r="BK76" i="3"/>
  <c r="BG76" i="3"/>
  <c r="Y719" i="5" s="1"/>
  <c r="BA76" i="3"/>
  <c r="Y745" i="5" s="1"/>
  <c r="Y748" i="5" s="1"/>
  <c r="AI748" i="5" s="1"/>
  <c r="AL76" i="3"/>
  <c r="Y641" i="5" s="1"/>
  <c r="AI641" i="5" s="1"/>
  <c r="AH76" i="3"/>
  <c r="Y601" i="5" s="1"/>
  <c r="AI601" i="5" s="1"/>
  <c r="AD76" i="3"/>
  <c r="Y223" i="5" s="1"/>
  <c r="X76" i="3"/>
  <c r="Y138" i="5" s="1"/>
  <c r="T76" i="3"/>
  <c r="Y107" i="5" s="1"/>
  <c r="P76" i="3"/>
  <c r="Y390" i="5" s="1"/>
  <c r="L76" i="3"/>
  <c r="Y365" i="5" s="1"/>
  <c r="Y368" i="5" s="1"/>
  <c r="AI368" i="5" s="1"/>
  <c r="G76" i="3"/>
  <c r="Z799" i="5"/>
  <c r="AJ799" i="5" s="1"/>
  <c r="Z797" i="5"/>
  <c r="AJ797" i="5" s="1"/>
  <c r="Z796" i="5"/>
  <c r="AJ796" i="5" s="1"/>
  <c r="AJ794" i="5"/>
  <c r="Z751" i="5"/>
  <c r="AJ751" i="5" s="1"/>
  <c r="Z753" i="5"/>
  <c r="AJ753" i="5" s="1"/>
  <c r="Z752" i="5"/>
  <c r="AJ752" i="5" s="1"/>
  <c r="AJ749" i="5"/>
  <c r="Z496" i="5"/>
  <c r="AJ496" i="5" s="1"/>
  <c r="Z498" i="5"/>
  <c r="AJ498" i="5" s="1"/>
  <c r="Z494" i="5"/>
  <c r="AJ494" i="5" s="1"/>
  <c r="Z495" i="5"/>
  <c r="AJ495" i="5" s="1"/>
  <c r="Z497" i="5"/>
  <c r="AJ497" i="5" s="1"/>
  <c r="AJ492" i="5"/>
  <c r="AJ673" i="5"/>
  <c r="AJ671" i="5"/>
  <c r="AJ675" i="5"/>
  <c r="AJ672" i="5"/>
  <c r="Z659" i="5"/>
  <c r="AJ659" i="5" s="1"/>
  <c r="Z658" i="5"/>
  <c r="AJ658" i="5" s="1"/>
  <c r="AJ656" i="5"/>
  <c r="Z660" i="5"/>
  <c r="AJ660" i="5" s="1"/>
  <c r="Z661" i="5"/>
  <c r="AJ661" i="5" s="1"/>
  <c r="Z624" i="5"/>
  <c r="AJ624" i="5" s="1"/>
  <c r="Z626" i="5"/>
  <c r="AJ626" i="5" s="1"/>
  <c r="Z628" i="5"/>
  <c r="AJ628" i="5" s="1"/>
  <c r="Z625" i="5"/>
  <c r="AJ625" i="5" s="1"/>
  <c r="Z627" i="5"/>
  <c r="AJ627" i="5" s="1"/>
  <c r="Z623" i="5"/>
  <c r="AJ623" i="5" s="1"/>
  <c r="Z629" i="5"/>
  <c r="AJ629" i="5" s="1"/>
  <c r="AJ621" i="5"/>
  <c r="Z584" i="5"/>
  <c r="AJ584" i="5" s="1"/>
  <c r="Z589" i="5"/>
  <c r="AJ589" i="5" s="1"/>
  <c r="Z588" i="5"/>
  <c r="AJ588" i="5" s="1"/>
  <c r="Z583" i="5"/>
  <c r="AJ583" i="5" s="1"/>
  <c r="Z585" i="5"/>
  <c r="AJ585" i="5" s="1"/>
  <c r="Z587" i="5"/>
  <c r="AJ587" i="5" s="1"/>
  <c r="AJ581" i="5"/>
  <c r="Z586" i="5"/>
  <c r="AJ586" i="5" s="1"/>
  <c r="Z216" i="5"/>
  <c r="AJ216" i="5" s="1"/>
  <c r="Z215" i="5"/>
  <c r="AJ215" i="5" s="1"/>
  <c r="AJ213" i="5"/>
  <c r="Z137" i="5"/>
  <c r="AJ137" i="5" s="1"/>
  <c r="Z135" i="5"/>
  <c r="AJ135" i="5" s="1"/>
  <c r="Z136" i="5"/>
  <c r="AJ136" i="5" s="1"/>
  <c r="Z134" i="5"/>
  <c r="AJ134" i="5" s="1"/>
  <c r="AJ132" i="5"/>
  <c r="Z91" i="5"/>
  <c r="AJ91" i="5" s="1"/>
  <c r="Z90" i="5"/>
  <c r="AJ90" i="5" s="1"/>
  <c r="Z92" i="5"/>
  <c r="AJ92" i="5" s="1"/>
  <c r="Z93" i="5"/>
  <c r="AJ93" i="5" s="1"/>
  <c r="AJ88" i="5"/>
  <c r="AK673" i="5"/>
  <c r="AK671" i="5"/>
  <c r="AK675" i="5"/>
  <c r="AK672" i="5"/>
  <c r="AA658" i="5"/>
  <c r="AK658" i="5" s="1"/>
  <c r="AA659" i="5"/>
  <c r="AK659" i="5" s="1"/>
  <c r="AK656" i="5"/>
  <c r="AA660" i="5"/>
  <c r="AK660" i="5" s="1"/>
  <c r="AA661" i="5"/>
  <c r="AK661" i="5" s="1"/>
  <c r="AI666" i="5"/>
  <c r="AI664" i="5"/>
  <c r="AI668" i="5"/>
  <c r="AI665" i="5"/>
  <c r="BX76" i="3"/>
  <c r="BT76" i="3"/>
  <c r="BN76" i="3"/>
  <c r="BJ76" i="3"/>
  <c r="BF76" i="3"/>
  <c r="Y714" i="5" s="1"/>
  <c r="AI714" i="5" s="1"/>
  <c r="AZ76" i="3"/>
  <c r="Y754" i="5" s="1"/>
  <c r="Y757" i="5" s="1"/>
  <c r="AI757" i="5" s="1"/>
  <c r="AW76" i="3"/>
  <c r="Y499" i="5" s="1"/>
  <c r="AI499" i="5" s="1"/>
  <c r="AK76" i="3"/>
  <c r="Y630" i="5" s="1"/>
  <c r="Y632" i="5" s="1"/>
  <c r="AI632" i="5" s="1"/>
  <c r="AG76" i="3"/>
  <c r="Y590" i="5" s="1"/>
  <c r="AC76" i="3"/>
  <c r="Y217" i="5" s="1"/>
  <c r="Y219" i="5" s="1"/>
  <c r="AI219" i="5" s="1"/>
  <c r="W76" i="3"/>
  <c r="Y127" i="5" s="1"/>
  <c r="S76" i="3"/>
  <c r="Y94" i="5" s="1"/>
  <c r="Y105" i="5" s="1"/>
  <c r="AI105" i="5" s="1"/>
  <c r="O76" i="3"/>
  <c r="Y386" i="5" s="1"/>
  <c r="Y388" i="5" s="1"/>
  <c r="AI388" i="5" s="1"/>
  <c r="E76" i="3"/>
  <c r="Z736" i="5"/>
  <c r="AJ736" i="5" s="1"/>
  <c r="Z735" i="5"/>
  <c r="AJ735" i="5" s="1"/>
  <c r="AJ733" i="5"/>
  <c r="Z763" i="5"/>
  <c r="AJ763" i="5" s="1"/>
  <c r="Z762" i="5"/>
  <c r="AJ762" i="5" s="1"/>
  <c r="Z761" i="5"/>
  <c r="AJ761" i="5" s="1"/>
  <c r="AJ759" i="5"/>
  <c r="AJ666" i="5"/>
  <c r="AJ668" i="5"/>
  <c r="AJ665" i="5"/>
  <c r="AJ664" i="5"/>
  <c r="Z653" i="5"/>
  <c r="AJ653" i="5" s="1"/>
  <c r="Z652" i="5"/>
  <c r="AJ652" i="5" s="1"/>
  <c r="AJ650" i="5"/>
  <c r="Z654" i="5"/>
  <c r="AJ654" i="5" s="1"/>
  <c r="Z655" i="5"/>
  <c r="AJ655" i="5" s="1"/>
  <c r="Z613" i="5"/>
  <c r="AJ613" i="5" s="1"/>
  <c r="Z620" i="5"/>
  <c r="AJ620" i="5" s="1"/>
  <c r="Z618" i="5"/>
  <c r="AJ618" i="5" s="1"/>
  <c r="Z614" i="5"/>
  <c r="AJ614" i="5" s="1"/>
  <c r="Z617" i="5"/>
  <c r="AJ617" i="5" s="1"/>
  <c r="Z612" i="5"/>
  <c r="AJ612" i="5" s="1"/>
  <c r="Z619" i="5"/>
  <c r="AJ619" i="5" s="1"/>
  <c r="Z616" i="5"/>
  <c r="AJ616" i="5" s="1"/>
  <c r="AJ610" i="5"/>
  <c r="Z615" i="5"/>
  <c r="AJ615" i="5" s="1"/>
  <c r="Z192" i="5"/>
  <c r="AJ192" i="5" s="1"/>
  <c r="Z180" i="5"/>
  <c r="AJ180" i="5" s="1"/>
  <c r="Z193" i="5"/>
  <c r="AJ193" i="5" s="1"/>
  <c r="Z186" i="5"/>
  <c r="AJ186" i="5" s="1"/>
  <c r="Z184" i="5"/>
  <c r="AJ184" i="5" s="1"/>
  <c r="Z185" i="5"/>
  <c r="AJ185" i="5" s="1"/>
  <c r="Z182" i="5"/>
  <c r="AJ182" i="5" s="1"/>
  <c r="Z181" i="5"/>
  <c r="AJ181" i="5" s="1"/>
  <c r="Z183" i="5"/>
  <c r="AJ183" i="5" s="1"/>
  <c r="AJ178" i="5"/>
  <c r="Z126" i="5"/>
  <c r="AJ126" i="5" s="1"/>
  <c r="Z125" i="5"/>
  <c r="AJ125" i="5" s="1"/>
  <c r="AJ123" i="5"/>
  <c r="AJ84" i="5"/>
  <c r="Z86" i="5"/>
  <c r="AJ86" i="5" s="1"/>
  <c r="Z87" i="5"/>
  <c r="AJ87" i="5" s="1"/>
  <c r="Z380" i="5"/>
  <c r="AJ380" i="5" s="1"/>
  <c r="Z381" i="5"/>
  <c r="AJ381" i="5" s="1"/>
  <c r="AJ378" i="5"/>
  <c r="AK668" i="5"/>
  <c r="AK665" i="5"/>
  <c r="AK666" i="5"/>
  <c r="AK664" i="5"/>
  <c r="AA653" i="5"/>
  <c r="AK653" i="5" s="1"/>
  <c r="AA652" i="5"/>
  <c r="AK652" i="5" s="1"/>
  <c r="AK650" i="5"/>
  <c r="AA654" i="5"/>
  <c r="AK654" i="5" s="1"/>
  <c r="AA655" i="5"/>
  <c r="AK655" i="5" s="1"/>
  <c r="Z731" i="5"/>
  <c r="AJ731" i="5" s="1"/>
  <c r="Z732" i="5"/>
  <c r="AJ732" i="5" s="1"/>
  <c r="AJ729" i="5"/>
  <c r="Z721" i="5"/>
  <c r="AJ721" i="5" s="1"/>
  <c r="Z722" i="5"/>
  <c r="AJ722" i="5" s="1"/>
  <c r="Z723" i="5"/>
  <c r="AJ723" i="5" s="1"/>
  <c r="AJ719" i="5"/>
  <c r="Z747" i="5"/>
  <c r="AJ747" i="5" s="1"/>
  <c r="Z748" i="5"/>
  <c r="AJ748" i="5" s="1"/>
  <c r="AJ745" i="5"/>
  <c r="AJ641" i="5"/>
  <c r="Z609" i="5"/>
  <c r="AJ609" i="5" s="1"/>
  <c r="Z604" i="5"/>
  <c r="AJ604" i="5" s="1"/>
  <c r="Z603" i="5"/>
  <c r="AJ603" i="5" s="1"/>
  <c r="Z608" i="5"/>
  <c r="AJ608" i="5" s="1"/>
  <c r="Z605" i="5"/>
  <c r="AJ605" i="5" s="1"/>
  <c r="Z607" i="5"/>
  <c r="AJ607" i="5" s="1"/>
  <c r="AJ601" i="5"/>
  <c r="Z606" i="5"/>
  <c r="AJ606" i="5" s="1"/>
  <c r="Z225" i="5"/>
  <c r="AJ225" i="5" s="1"/>
  <c r="Z227" i="5"/>
  <c r="AJ227" i="5" s="1"/>
  <c r="Z226" i="5"/>
  <c r="AJ226" i="5" s="1"/>
  <c r="AJ223" i="5"/>
  <c r="Z141" i="5"/>
  <c r="AJ141" i="5" s="1"/>
  <c r="Z149" i="5"/>
  <c r="AJ149" i="5" s="1"/>
  <c r="Z142" i="5"/>
  <c r="AJ142" i="5" s="1"/>
  <c r="Z140" i="5"/>
  <c r="AJ140" i="5" s="1"/>
  <c r="Z148" i="5"/>
  <c r="AJ148" i="5" s="1"/>
  <c r="AJ138" i="5"/>
  <c r="Z114" i="5"/>
  <c r="AJ114" i="5" s="1"/>
  <c r="Z122" i="5"/>
  <c r="AJ122" i="5" s="1"/>
  <c r="Z112" i="5"/>
  <c r="AJ112" i="5" s="1"/>
  <c r="Z121" i="5"/>
  <c r="AJ121" i="5" s="1"/>
  <c r="Z113" i="5"/>
  <c r="AJ113" i="5" s="1"/>
  <c r="Z110" i="5"/>
  <c r="AJ110" i="5" s="1"/>
  <c r="Z109" i="5"/>
  <c r="AJ109" i="5" s="1"/>
  <c r="Z120" i="5"/>
  <c r="AJ120" i="5" s="1"/>
  <c r="Z111" i="5"/>
  <c r="AJ111" i="5" s="1"/>
  <c r="AJ107" i="5"/>
  <c r="Z392" i="5"/>
  <c r="AJ392" i="5" s="1"/>
  <c r="Z393" i="5"/>
  <c r="AJ393" i="5" s="1"/>
  <c r="AJ390" i="5"/>
  <c r="Z368" i="5"/>
  <c r="AJ368" i="5" s="1"/>
  <c r="Z367" i="5"/>
  <c r="AJ367" i="5" s="1"/>
  <c r="AJ365" i="5"/>
  <c r="AI675" i="5"/>
  <c r="AI672" i="5"/>
  <c r="AI673" i="5"/>
  <c r="AI671" i="5"/>
  <c r="Z718" i="5"/>
  <c r="AJ718" i="5" s="1"/>
  <c r="Z716" i="5"/>
  <c r="AJ716" i="5" s="1"/>
  <c r="Z717" i="5"/>
  <c r="AJ717" i="5" s="1"/>
  <c r="AJ714" i="5"/>
  <c r="Z757" i="5"/>
  <c r="AJ757" i="5" s="1"/>
  <c r="Z756" i="5"/>
  <c r="AJ756" i="5" s="1"/>
  <c r="Z758" i="5"/>
  <c r="AJ758" i="5" s="1"/>
  <c r="AJ754" i="5"/>
  <c r="Z503" i="5"/>
  <c r="AJ503" i="5" s="1"/>
  <c r="Z506" i="5"/>
  <c r="AJ506" i="5" s="1"/>
  <c r="Z502" i="5"/>
  <c r="AJ502" i="5" s="1"/>
  <c r="Z504" i="5"/>
  <c r="AJ504" i="5" s="1"/>
  <c r="Z505" i="5"/>
  <c r="AJ505" i="5" s="1"/>
  <c r="Z501" i="5"/>
  <c r="AJ501" i="5" s="1"/>
  <c r="AJ499" i="5"/>
  <c r="Z633" i="5"/>
  <c r="AJ633" i="5" s="1"/>
  <c r="Z632" i="5"/>
  <c r="AJ632" i="5" s="1"/>
  <c r="Z637" i="5"/>
  <c r="AJ637" i="5" s="1"/>
  <c r="Z640" i="5"/>
  <c r="AJ640" i="5" s="1"/>
  <c r="Z635" i="5"/>
  <c r="AJ635" i="5" s="1"/>
  <c r="Z634" i="5"/>
  <c r="AJ634" i="5" s="1"/>
  <c r="Z636" i="5"/>
  <c r="AJ636" i="5" s="1"/>
  <c r="Z639" i="5"/>
  <c r="AJ639" i="5" s="1"/>
  <c r="Z638" i="5"/>
  <c r="AJ638" i="5" s="1"/>
  <c r="AJ630" i="5"/>
  <c r="Z593" i="5"/>
  <c r="AJ593" i="5" s="1"/>
  <c r="Z600" i="5"/>
  <c r="AJ600" i="5" s="1"/>
  <c r="Z599" i="5"/>
  <c r="AJ599" i="5" s="1"/>
  <c r="Z596" i="5"/>
  <c r="AJ596" i="5" s="1"/>
  <c r="Z597" i="5"/>
  <c r="AJ597" i="5" s="1"/>
  <c r="Z592" i="5"/>
  <c r="AJ592" i="5" s="1"/>
  <c r="Z598" i="5"/>
  <c r="AJ598" i="5" s="1"/>
  <c r="Z594" i="5"/>
  <c r="AJ594" i="5" s="1"/>
  <c r="AJ590" i="5"/>
  <c r="Z595" i="5"/>
  <c r="AJ595" i="5" s="1"/>
  <c r="Z222" i="5"/>
  <c r="AJ222" i="5" s="1"/>
  <c r="Z221" i="5"/>
  <c r="AJ221" i="5" s="1"/>
  <c r="Z220" i="5"/>
  <c r="AJ220" i="5" s="1"/>
  <c r="Z219" i="5"/>
  <c r="AJ219" i="5" s="1"/>
  <c r="AJ217" i="5"/>
  <c r="Z131" i="5"/>
  <c r="AJ131" i="5" s="1"/>
  <c r="Z129" i="5"/>
  <c r="AJ129" i="5" s="1"/>
  <c r="Z130" i="5"/>
  <c r="AJ130" i="5" s="1"/>
  <c r="AJ127" i="5"/>
  <c r="Z104" i="5"/>
  <c r="AJ104" i="5" s="1"/>
  <c r="Z105" i="5"/>
  <c r="AJ105" i="5" s="1"/>
  <c r="Z96" i="5"/>
  <c r="AJ96" i="5" s="1"/>
  <c r="Z97" i="5"/>
  <c r="AJ97" i="5" s="1"/>
  <c r="Z98" i="5"/>
  <c r="AJ98" i="5" s="1"/>
  <c r="Z106" i="5"/>
  <c r="AJ106" i="5" s="1"/>
  <c r="AJ94" i="5"/>
  <c r="Z389" i="5"/>
  <c r="AJ389" i="5" s="1"/>
  <c r="Z388" i="5"/>
  <c r="AJ388" i="5" s="1"/>
  <c r="AJ386" i="5"/>
  <c r="K786" i="5"/>
  <c r="Q786" i="5" s="1"/>
  <c r="Q784" i="5" s="1"/>
  <c r="K766" i="5"/>
  <c r="Q766" i="5" s="1"/>
  <c r="Q764" i="5" s="1"/>
  <c r="K791" i="5"/>
  <c r="Q791" i="5" s="1"/>
  <c r="Q789" i="5" s="1"/>
  <c r="K771" i="5"/>
  <c r="Q771" i="5" s="1"/>
  <c r="Q769" i="5" s="1"/>
  <c r="K796" i="5"/>
  <c r="Q796" i="5" s="1"/>
  <c r="Q794" i="5" s="1"/>
  <c r="K776" i="5"/>
  <c r="Q776" i="5" s="1"/>
  <c r="Q774" i="5" s="1"/>
  <c r="K802" i="5"/>
  <c r="Q802" i="5" s="1"/>
  <c r="Q800" i="5" s="1"/>
  <c r="K781" i="5"/>
  <c r="Q781" i="5" s="1"/>
  <c r="Q779" i="5" s="1"/>
  <c r="K761" i="5"/>
  <c r="Q761" i="5" s="1"/>
  <c r="Q759" i="5" s="1"/>
  <c r="F573" i="1"/>
  <c r="F572" i="1"/>
  <c r="K1372" i="8" s="1"/>
  <c r="O1372" i="8" s="1"/>
  <c r="F574" i="1"/>
  <c r="F575" i="1"/>
  <c r="F576" i="1"/>
  <c r="F336" i="1"/>
  <c r="K358" i="5" s="1"/>
  <c r="Q358" i="5" s="1"/>
  <c r="F340" i="1"/>
  <c r="F338" i="1"/>
  <c r="K359" i="5" s="1"/>
  <c r="Q359" i="5" s="1"/>
  <c r="K2015" i="8"/>
  <c r="O2015" i="8" s="1"/>
  <c r="F337" i="1"/>
  <c r="F12" i="20"/>
  <c r="G12" i="20" s="1"/>
  <c r="F25" i="20"/>
  <c r="F295" i="1"/>
  <c r="F294" i="1"/>
  <c r="F296" i="1"/>
  <c r="F224" i="1"/>
  <c r="F226" i="1"/>
  <c r="F228" i="1"/>
  <c r="F230" i="1"/>
  <c r="F223" i="1"/>
  <c r="F225" i="1"/>
  <c r="F227" i="1"/>
  <c r="F229" i="1"/>
  <c r="J287" i="15"/>
  <c r="I291" i="15"/>
  <c r="I290" i="15"/>
  <c r="I289" i="15"/>
  <c r="I288" i="15"/>
  <c r="I286" i="15"/>
  <c r="I287" i="15"/>
  <c r="I240" i="15"/>
  <c r="I214" i="15"/>
  <c r="I188" i="15"/>
  <c r="I162" i="15"/>
  <c r="I110" i="15"/>
  <c r="J166" i="15"/>
  <c r="J163" i="15"/>
  <c r="J126" i="15"/>
  <c r="J113" i="15"/>
  <c r="J244" i="15"/>
  <c r="J243" i="15"/>
  <c r="J242" i="15"/>
  <c r="J241" i="15"/>
  <c r="J231" i="15"/>
  <c r="J230" i="15"/>
  <c r="J229" i="15"/>
  <c r="J228" i="15"/>
  <c r="J226" i="15"/>
  <c r="J218" i="15"/>
  <c r="J217" i="15"/>
  <c r="J216" i="15"/>
  <c r="J215" i="15"/>
  <c r="J205" i="15"/>
  <c r="J204" i="15"/>
  <c r="J203" i="15"/>
  <c r="J202" i="15"/>
  <c r="J200" i="15"/>
  <c r="J192" i="15"/>
  <c r="J191" i="15"/>
  <c r="J190" i="15"/>
  <c r="J189" i="15"/>
  <c r="J179" i="15"/>
  <c r="J178" i="15"/>
  <c r="J177" i="15"/>
  <c r="J176" i="15"/>
  <c r="J174" i="15"/>
  <c r="J165" i="15"/>
  <c r="J125" i="15"/>
  <c r="J122" i="15"/>
  <c r="J112" i="15"/>
  <c r="I244" i="15"/>
  <c r="I243" i="15"/>
  <c r="I242" i="15"/>
  <c r="I241" i="15"/>
  <c r="I231" i="15"/>
  <c r="I230" i="15"/>
  <c r="I229" i="15"/>
  <c r="I228" i="15"/>
  <c r="I226" i="15"/>
  <c r="I218" i="15"/>
  <c r="I217" i="15"/>
  <c r="I216" i="15"/>
  <c r="I215" i="15"/>
  <c r="I205" i="15"/>
  <c r="I204" i="15"/>
  <c r="I203" i="15"/>
  <c r="I202" i="15"/>
  <c r="I200" i="15"/>
  <c r="I192" i="15"/>
  <c r="I191" i="15"/>
  <c r="I190" i="15"/>
  <c r="I189" i="15"/>
  <c r="I179" i="15"/>
  <c r="I178" i="15"/>
  <c r="I177" i="15"/>
  <c r="I176" i="15"/>
  <c r="I174" i="15"/>
  <c r="I166" i="15"/>
  <c r="I165" i="15"/>
  <c r="M165" i="15" s="1"/>
  <c r="O165" i="15" s="1"/>
  <c r="I164" i="15"/>
  <c r="I163" i="15"/>
  <c r="M163" i="15" s="1"/>
  <c r="O163" i="15" s="1"/>
  <c r="J240" i="15"/>
  <c r="J214" i="15"/>
  <c r="J188" i="15"/>
  <c r="J162" i="15"/>
  <c r="J110" i="15"/>
  <c r="J164" i="15"/>
  <c r="J127" i="15"/>
  <c r="J124" i="15"/>
  <c r="J114" i="15"/>
  <c r="I125" i="15"/>
  <c r="I122" i="15"/>
  <c r="I113" i="15"/>
  <c r="I126" i="15"/>
  <c r="I114" i="15"/>
  <c r="I127" i="15"/>
  <c r="J111" i="15"/>
  <c r="I124" i="15"/>
  <c r="I112" i="15"/>
  <c r="I111" i="15"/>
  <c r="J68" i="15"/>
  <c r="I68" i="15"/>
  <c r="I201" i="15"/>
  <c r="J175" i="15"/>
  <c r="J227" i="15"/>
  <c r="J96" i="15"/>
  <c r="J101" i="15"/>
  <c r="J83" i="15"/>
  <c r="J161" i="15"/>
  <c r="J213" i="15"/>
  <c r="J123" i="15"/>
  <c r="I109" i="15"/>
  <c r="I187" i="15"/>
  <c r="I239" i="15"/>
  <c r="I101" i="15"/>
  <c r="J82" i="15"/>
  <c r="I83" i="15"/>
  <c r="I123" i="15"/>
  <c r="I175" i="15"/>
  <c r="I227" i="15"/>
  <c r="J201" i="15"/>
  <c r="I82" i="15"/>
  <c r="J109" i="15"/>
  <c r="J187" i="15"/>
  <c r="J239" i="15"/>
  <c r="I161" i="15"/>
  <c r="I213" i="15"/>
  <c r="I96" i="15"/>
  <c r="I94" i="15"/>
  <c r="J99" i="15"/>
  <c r="I98" i="15"/>
  <c r="I66" i="15"/>
  <c r="J67" i="15"/>
  <c r="I71" i="15"/>
  <c r="J72" i="15"/>
  <c r="I76" i="15"/>
  <c r="J77" i="15"/>
  <c r="J100" i="15"/>
  <c r="I99" i="15"/>
  <c r="J62" i="15"/>
  <c r="J66" i="15"/>
  <c r="I70" i="15"/>
  <c r="J71" i="15"/>
  <c r="J76" i="15"/>
  <c r="I100" i="15"/>
  <c r="J97" i="15"/>
  <c r="I62" i="15"/>
  <c r="I69" i="15"/>
  <c r="J70" i="15"/>
  <c r="I78" i="15"/>
  <c r="J94" i="15"/>
  <c r="J98" i="15"/>
  <c r="I97" i="15"/>
  <c r="I67" i="15"/>
  <c r="J69" i="15"/>
  <c r="I72" i="15"/>
  <c r="I77" i="15"/>
  <c r="J78" i="15"/>
  <c r="F539" i="1"/>
  <c r="F341" i="1"/>
  <c r="F343" i="1"/>
  <c r="F345" i="1"/>
  <c r="F347" i="1"/>
  <c r="F349" i="1"/>
  <c r="F351" i="1"/>
  <c r="K389" i="5" s="1"/>
  <c r="Q389" i="5" s="1"/>
  <c r="Q386" i="5" s="1"/>
  <c r="K946" i="5"/>
  <c r="K948" i="5"/>
  <c r="K952" i="5"/>
  <c r="Q952" i="5" s="1"/>
  <c r="F437" i="1"/>
  <c r="F447" i="1"/>
  <c r="K861" i="5" s="1"/>
  <c r="F449" i="1"/>
  <c r="F453" i="1"/>
  <c r="F455" i="1"/>
  <c r="F457" i="1"/>
  <c r="F474" i="1"/>
  <c r="F476" i="1"/>
  <c r="F520" i="1"/>
  <c r="F522" i="1"/>
  <c r="F524" i="1"/>
  <c r="F526" i="1"/>
  <c r="F528" i="1"/>
  <c r="F342" i="1"/>
  <c r="F344" i="1"/>
  <c r="K376" i="5" s="1"/>
  <c r="Q376" i="5" s="1"/>
  <c r="F346" i="1"/>
  <c r="F348" i="1"/>
  <c r="K2543" i="8" s="1"/>
  <c r="O2543" i="8" s="1"/>
  <c r="F350" i="1"/>
  <c r="F352" i="1"/>
  <c r="K393" i="5" s="1"/>
  <c r="Q393" i="5" s="1"/>
  <c r="Q390" i="5" s="1"/>
  <c r="F394" i="1"/>
  <c r="K945" i="5"/>
  <c r="Q945" i="5" s="1"/>
  <c r="K947" i="5"/>
  <c r="F438" i="1"/>
  <c r="F452" i="1"/>
  <c r="F448" i="1"/>
  <c r="F458" i="1"/>
  <c r="F475" i="1"/>
  <c r="F521" i="1"/>
  <c r="F7" i="1"/>
  <c r="F456" i="1"/>
  <c r="F523" i="1"/>
  <c r="F535" i="1"/>
  <c r="F538" i="1"/>
  <c r="K960" i="5" s="1"/>
  <c r="F541" i="1"/>
  <c r="F454" i="1"/>
  <c r="F469" i="1"/>
  <c r="F525" i="1"/>
  <c r="F519" i="1"/>
  <c r="F527" i="1"/>
  <c r="F534" i="1"/>
  <c r="F537" i="1"/>
  <c r="K959" i="5" s="1"/>
  <c r="F540" i="1"/>
  <c r="K1588" i="8" s="1"/>
  <c r="O1588" i="8" s="1"/>
  <c r="F542" i="1"/>
  <c r="J85" i="15"/>
  <c r="I87" i="15"/>
  <c r="J88" i="15"/>
  <c r="J64" i="15"/>
  <c r="I65" i="15"/>
  <c r="I86" i="15"/>
  <c r="J87" i="15"/>
  <c r="I64" i="15"/>
  <c r="J65" i="15"/>
  <c r="I73" i="15"/>
  <c r="J86" i="15"/>
  <c r="I88" i="15"/>
  <c r="F494" i="1"/>
  <c r="K32" i="8"/>
  <c r="O32" i="8" s="1"/>
  <c r="F495" i="1"/>
  <c r="I24" i="22"/>
  <c r="I23" i="22"/>
  <c r="I25" i="22"/>
  <c r="I26" i="22"/>
  <c r="I27" i="22"/>
  <c r="G348" i="1"/>
  <c r="L2543" i="8" s="1"/>
  <c r="P2543" i="8" s="1"/>
  <c r="G350" i="1"/>
  <c r="G347" i="1"/>
  <c r="G349" i="1"/>
  <c r="G351" i="1"/>
  <c r="M389" i="5" s="1"/>
  <c r="S389" i="5" s="1"/>
  <c r="S386" i="5" s="1"/>
  <c r="H268" i="13"/>
  <c r="K268" i="13" s="1"/>
  <c r="M268" i="13" s="1"/>
  <c r="F17" i="20"/>
  <c r="H137" i="13"/>
  <c r="K137" i="13" s="1"/>
  <c r="M137" i="13" s="1"/>
  <c r="H269" i="13"/>
  <c r="K269" i="13" s="1"/>
  <c r="M269" i="13" s="1"/>
  <c r="H158" i="13"/>
  <c r="K158" i="13" s="1"/>
  <c r="M158" i="13" s="1"/>
  <c r="H149" i="13"/>
  <c r="K149" i="13" s="1"/>
  <c r="M149" i="13" s="1"/>
  <c r="H135" i="13"/>
  <c r="K135" i="13" s="1"/>
  <c r="M135" i="13" s="1"/>
  <c r="H126" i="13"/>
  <c r="K126" i="13" s="1"/>
  <c r="M126" i="13" s="1"/>
  <c r="H113" i="13"/>
  <c r="K113" i="13" s="1"/>
  <c r="M113" i="13" s="1"/>
  <c r="H104" i="13"/>
  <c r="K104" i="13" s="1"/>
  <c r="M104" i="13" s="1"/>
  <c r="H91" i="13"/>
  <c r="K91" i="13" s="1"/>
  <c r="M91" i="13" s="1"/>
  <c r="H71" i="13"/>
  <c r="K71" i="13" s="1"/>
  <c r="M71" i="13" s="1"/>
  <c r="H47" i="13"/>
  <c r="K47" i="13" s="1"/>
  <c r="M47" i="13" s="1"/>
  <c r="H38" i="13"/>
  <c r="K38" i="13" s="1"/>
  <c r="M38" i="13" s="1"/>
  <c r="H24" i="13"/>
  <c r="H13" i="13"/>
  <c r="K13" i="13" s="1"/>
  <c r="M13" i="13" s="1"/>
  <c r="H16" i="13"/>
  <c r="K16" i="13" s="1"/>
  <c r="M16" i="13" s="1"/>
  <c r="H267" i="13"/>
  <c r="K267" i="13" s="1"/>
  <c r="M267" i="13" s="1"/>
  <c r="H157" i="13"/>
  <c r="K157" i="13" s="1"/>
  <c r="M157" i="13" s="1"/>
  <c r="H153" i="13"/>
  <c r="K153" i="13" s="1"/>
  <c r="M153" i="13" s="1"/>
  <c r="H148" i="13"/>
  <c r="K148" i="13" s="1"/>
  <c r="M148" i="13" s="1"/>
  <c r="H134" i="13"/>
  <c r="K134" i="13" s="1"/>
  <c r="M134" i="13" s="1"/>
  <c r="H130" i="13"/>
  <c r="K130" i="13" s="1"/>
  <c r="M130" i="13" s="1"/>
  <c r="H125" i="13"/>
  <c r="K125" i="13" s="1"/>
  <c r="M125" i="13" s="1"/>
  <c r="H112" i="13"/>
  <c r="K112" i="13" s="1"/>
  <c r="M112" i="13" s="1"/>
  <c r="H108" i="13"/>
  <c r="K108" i="13" s="1"/>
  <c r="M108" i="13" s="1"/>
  <c r="H103" i="13"/>
  <c r="K103" i="13" s="1"/>
  <c r="M103" i="13" s="1"/>
  <c r="H90" i="13"/>
  <c r="K90" i="13" s="1"/>
  <c r="M90" i="13" s="1"/>
  <c r="H86" i="13"/>
  <c r="K86" i="13" s="1"/>
  <c r="M86" i="13" s="1"/>
  <c r="H70" i="13"/>
  <c r="K70" i="13" s="1"/>
  <c r="M70" i="13" s="1"/>
  <c r="H46" i="13"/>
  <c r="K46" i="13" s="1"/>
  <c r="M46" i="13" s="1"/>
  <c r="H42" i="13"/>
  <c r="K42" i="13" s="1"/>
  <c r="M42" i="13" s="1"/>
  <c r="H35" i="13"/>
  <c r="K35" i="13" s="1"/>
  <c r="M35" i="13" s="1"/>
  <c r="H26" i="13"/>
  <c r="H14" i="13"/>
  <c r="K14" i="13" s="1"/>
  <c r="M14" i="13" s="1"/>
  <c r="H266" i="13"/>
  <c r="K266" i="13" s="1"/>
  <c r="M266" i="13" s="1"/>
  <c r="H160" i="13"/>
  <c r="K160" i="13" s="1"/>
  <c r="M160" i="13" s="1"/>
  <c r="H147" i="13"/>
  <c r="K147" i="13" s="1"/>
  <c r="M147" i="13" s="1"/>
  <c r="H138" i="13"/>
  <c r="K138" i="13" s="1"/>
  <c r="M138" i="13" s="1"/>
  <c r="H124" i="13"/>
  <c r="K124" i="13" s="1"/>
  <c r="M124" i="13" s="1"/>
  <c r="H115" i="13"/>
  <c r="K115" i="13" s="1"/>
  <c r="M115" i="13" s="1"/>
  <c r="H102" i="13"/>
  <c r="K102" i="13" s="1"/>
  <c r="M102" i="13" s="1"/>
  <c r="H93" i="13"/>
  <c r="K93" i="13" s="1"/>
  <c r="M93" i="13" s="1"/>
  <c r="H69" i="13"/>
  <c r="K69" i="13" s="1"/>
  <c r="M69" i="13" s="1"/>
  <c r="H49" i="13"/>
  <c r="K49" i="13" s="1"/>
  <c r="M49" i="13" s="1"/>
  <c r="H36" i="13"/>
  <c r="K36" i="13" s="1"/>
  <c r="M36" i="13" s="1"/>
  <c r="H27" i="13"/>
  <c r="H15" i="13"/>
  <c r="K15" i="13" s="1"/>
  <c r="M15" i="13" s="1"/>
  <c r="H265" i="13"/>
  <c r="K265" i="13" s="1"/>
  <c r="M265" i="13" s="1"/>
  <c r="H261" i="13"/>
  <c r="K261" i="13" s="1"/>
  <c r="M261" i="13" s="1"/>
  <c r="H159" i="13"/>
  <c r="K159" i="13" s="1"/>
  <c r="M159" i="13" s="1"/>
  <c r="H146" i="13"/>
  <c r="K146" i="13" s="1"/>
  <c r="M146" i="13" s="1"/>
  <c r="H142" i="13"/>
  <c r="K142" i="13" s="1"/>
  <c r="M142" i="13" s="1"/>
  <c r="H136" i="13"/>
  <c r="K136" i="13" s="1"/>
  <c r="M136" i="13" s="1"/>
  <c r="H123" i="13"/>
  <c r="K123" i="13" s="1"/>
  <c r="M123" i="13" s="1"/>
  <c r="H119" i="13"/>
  <c r="K119" i="13" s="1"/>
  <c r="M119" i="13" s="1"/>
  <c r="H114" i="13"/>
  <c r="K114" i="13" s="1"/>
  <c r="M114" i="13" s="1"/>
  <c r="H101" i="13"/>
  <c r="K101" i="13" s="1"/>
  <c r="M101" i="13" s="1"/>
  <c r="H97" i="13"/>
  <c r="K97" i="13" s="1"/>
  <c r="M97" i="13" s="1"/>
  <c r="H92" i="13"/>
  <c r="K92" i="13" s="1"/>
  <c r="M92" i="13" s="1"/>
  <c r="H68" i="13"/>
  <c r="K68" i="13" s="1"/>
  <c r="M68" i="13" s="1"/>
  <c r="H64" i="13"/>
  <c r="K64" i="13" s="1"/>
  <c r="M64" i="13" s="1"/>
  <c r="H48" i="13"/>
  <c r="K48" i="13" s="1"/>
  <c r="M48" i="13" s="1"/>
  <c r="H37" i="13"/>
  <c r="K37" i="13" s="1"/>
  <c r="M37" i="13" s="1"/>
  <c r="H31" i="13"/>
  <c r="K31" i="13" s="1"/>
  <c r="M31" i="13" s="1"/>
  <c r="H21" i="13"/>
  <c r="K21" i="13" s="1"/>
  <c r="M21" i="13" s="1"/>
  <c r="G223" i="1"/>
  <c r="G225" i="1"/>
  <c r="G227" i="1"/>
  <c r="G229" i="1"/>
  <c r="G224" i="1"/>
  <c r="G226" i="1"/>
  <c r="G228" i="1"/>
  <c r="G230" i="1"/>
  <c r="K85" i="15"/>
  <c r="K87" i="15"/>
  <c r="L86" i="15"/>
  <c r="L88" i="15"/>
  <c r="K88" i="15"/>
  <c r="L85" i="15"/>
  <c r="K86" i="15"/>
  <c r="L87" i="15"/>
  <c r="F304" i="1"/>
  <c r="F307" i="1"/>
  <c r="F309" i="1"/>
  <c r="F311" i="1"/>
  <c r="F403" i="1"/>
  <c r="K751" i="8" s="1"/>
  <c r="O751" i="8" s="1"/>
  <c r="F303" i="1"/>
  <c r="F308" i="1"/>
  <c r="F322" i="1"/>
  <c r="F404" i="1"/>
  <c r="H264" i="13"/>
  <c r="K264" i="13" s="1"/>
  <c r="M264" i="13" s="1"/>
  <c r="H162" i="13"/>
  <c r="K162" i="13" s="1"/>
  <c r="M162" i="13" s="1"/>
  <c r="H154" i="13"/>
  <c r="K154" i="13" s="1"/>
  <c r="M154" i="13" s="1"/>
  <c r="H145" i="13"/>
  <c r="K145" i="13" s="1"/>
  <c r="M145" i="13" s="1"/>
  <c r="H140" i="13"/>
  <c r="K140" i="13" s="1"/>
  <c r="M140" i="13" s="1"/>
  <c r="H131" i="13"/>
  <c r="K131" i="13" s="1"/>
  <c r="M131" i="13" s="1"/>
  <c r="H122" i="13"/>
  <c r="K122" i="13" s="1"/>
  <c r="M122" i="13" s="1"/>
  <c r="H117" i="13"/>
  <c r="K117" i="13" s="1"/>
  <c r="M117" i="13" s="1"/>
  <c r="H109" i="13"/>
  <c r="K109" i="13" s="1"/>
  <c r="M109" i="13" s="1"/>
  <c r="H100" i="13"/>
  <c r="K100" i="13" s="1"/>
  <c r="M100" i="13" s="1"/>
  <c r="H95" i="13"/>
  <c r="K95" i="13" s="1"/>
  <c r="M95" i="13" s="1"/>
  <c r="H87" i="13"/>
  <c r="K87" i="13" s="1"/>
  <c r="M87" i="13" s="1"/>
  <c r="H67" i="13"/>
  <c r="K67" i="13" s="1"/>
  <c r="M67" i="13" s="1"/>
  <c r="H51" i="13"/>
  <c r="K51" i="13" s="1"/>
  <c r="M51" i="13" s="1"/>
  <c r="H43" i="13"/>
  <c r="K43" i="13" s="1"/>
  <c r="M43" i="13" s="1"/>
  <c r="H34" i="13"/>
  <c r="K34" i="13" s="1"/>
  <c r="M34" i="13" s="1"/>
  <c r="H23" i="13"/>
  <c r="K23" i="13" s="1"/>
  <c r="M23" i="13" s="1"/>
  <c r="H19" i="13"/>
  <c r="H263" i="13"/>
  <c r="K263" i="13" s="1"/>
  <c r="M263" i="13" s="1"/>
  <c r="H161" i="13"/>
  <c r="K161" i="13" s="1"/>
  <c r="M161" i="13" s="1"/>
  <c r="H144" i="13"/>
  <c r="K144" i="13" s="1"/>
  <c r="M144" i="13" s="1"/>
  <c r="H139" i="13"/>
  <c r="K139" i="13" s="1"/>
  <c r="M139" i="13" s="1"/>
  <c r="H121" i="13"/>
  <c r="K121" i="13" s="1"/>
  <c r="M121" i="13" s="1"/>
  <c r="H116" i="13"/>
  <c r="K116" i="13" s="1"/>
  <c r="M116" i="13" s="1"/>
  <c r="H99" i="13"/>
  <c r="K99" i="13" s="1"/>
  <c r="M99" i="13" s="1"/>
  <c r="H94" i="13"/>
  <c r="K94" i="13" s="1"/>
  <c r="M94" i="13" s="1"/>
  <c r="H66" i="13"/>
  <c r="K66" i="13" s="1"/>
  <c r="M66" i="13" s="1"/>
  <c r="H50" i="13"/>
  <c r="K50" i="13" s="1"/>
  <c r="M50" i="13" s="1"/>
  <c r="H39" i="13"/>
  <c r="K39" i="13" s="1"/>
  <c r="M39" i="13" s="1"/>
  <c r="H20" i="13"/>
  <c r="H10" i="13"/>
  <c r="H271" i="13"/>
  <c r="K271" i="13" s="1"/>
  <c r="M271" i="13" s="1"/>
  <c r="H262" i="13"/>
  <c r="K262" i="13" s="1"/>
  <c r="M262" i="13" s="1"/>
  <c r="H156" i="13"/>
  <c r="K156" i="13" s="1"/>
  <c r="M156" i="13" s="1"/>
  <c r="H151" i="13"/>
  <c r="K151" i="13" s="1"/>
  <c r="M151" i="13" s="1"/>
  <c r="H143" i="13"/>
  <c r="K143" i="13" s="1"/>
  <c r="M143" i="13" s="1"/>
  <c r="H133" i="13"/>
  <c r="K133" i="13" s="1"/>
  <c r="M133" i="13" s="1"/>
  <c r="H128" i="13"/>
  <c r="K128" i="13" s="1"/>
  <c r="M128" i="13" s="1"/>
  <c r="H120" i="13"/>
  <c r="K120" i="13" s="1"/>
  <c r="M120" i="13" s="1"/>
  <c r="H111" i="13"/>
  <c r="K111" i="13" s="1"/>
  <c r="M111" i="13" s="1"/>
  <c r="H106" i="13"/>
  <c r="K106" i="13" s="1"/>
  <c r="M106" i="13" s="1"/>
  <c r="H98" i="13"/>
  <c r="K98" i="13" s="1"/>
  <c r="M98" i="13" s="1"/>
  <c r="H89" i="13"/>
  <c r="K89" i="13" s="1"/>
  <c r="M89" i="13" s="1"/>
  <c r="H73" i="13"/>
  <c r="K73" i="13" s="1"/>
  <c r="M73" i="13" s="1"/>
  <c r="H65" i="13"/>
  <c r="K65" i="13" s="1"/>
  <c r="M65" i="13" s="1"/>
  <c r="H45" i="13"/>
  <c r="K45" i="13" s="1"/>
  <c r="M45" i="13" s="1"/>
  <c r="H32" i="13"/>
  <c r="K32" i="13" s="1"/>
  <c r="M32" i="13" s="1"/>
  <c r="H40" i="13"/>
  <c r="K40" i="13" s="1"/>
  <c r="M40" i="13" s="1"/>
  <c r="H11" i="13"/>
  <c r="H17" i="13"/>
  <c r="H270" i="13"/>
  <c r="K270" i="13" s="1"/>
  <c r="M270" i="13" s="1"/>
  <c r="H155" i="13"/>
  <c r="K155" i="13" s="1"/>
  <c r="M155" i="13" s="1"/>
  <c r="H150" i="13"/>
  <c r="K150" i="13" s="1"/>
  <c r="M150" i="13" s="1"/>
  <c r="H132" i="13"/>
  <c r="K132" i="13" s="1"/>
  <c r="M132" i="13" s="1"/>
  <c r="H127" i="13"/>
  <c r="K127" i="13" s="1"/>
  <c r="M127" i="13" s="1"/>
  <c r="H110" i="13"/>
  <c r="K110" i="13" s="1"/>
  <c r="M110" i="13" s="1"/>
  <c r="H105" i="13"/>
  <c r="K105" i="13" s="1"/>
  <c r="M105" i="13" s="1"/>
  <c r="H88" i="13"/>
  <c r="K88" i="13" s="1"/>
  <c r="M88" i="13" s="1"/>
  <c r="H72" i="13"/>
  <c r="K72" i="13" s="1"/>
  <c r="M72" i="13" s="1"/>
  <c r="H44" i="13"/>
  <c r="K44" i="13" s="1"/>
  <c r="M44" i="13" s="1"/>
  <c r="H33" i="13"/>
  <c r="K33" i="13" s="1"/>
  <c r="M33" i="13" s="1"/>
  <c r="H28" i="13"/>
  <c r="K28" i="13" s="1"/>
  <c r="M28" i="13" s="1"/>
  <c r="H12" i="13"/>
  <c r="K12" i="13" s="1"/>
  <c r="M12" i="13" s="1"/>
  <c r="H18" i="13"/>
  <c r="K18" i="13" s="1"/>
  <c r="M18" i="13" s="1"/>
  <c r="J297" i="15"/>
  <c r="J293" i="15"/>
  <c r="J292" i="15"/>
  <c r="I297" i="15"/>
  <c r="I296" i="15"/>
  <c r="I295" i="15"/>
  <c r="I294" i="15"/>
  <c r="I293" i="15"/>
  <c r="I292" i="15"/>
  <c r="J171" i="15"/>
  <c r="J168" i="15"/>
  <c r="J132" i="15"/>
  <c r="J129" i="15"/>
  <c r="J119" i="15"/>
  <c r="J116" i="15"/>
  <c r="J250" i="15"/>
  <c r="J249" i="15"/>
  <c r="J248" i="15"/>
  <c r="J247" i="15"/>
  <c r="J246" i="15"/>
  <c r="J245" i="15"/>
  <c r="J237" i="15"/>
  <c r="J236" i="15"/>
  <c r="J235" i="15"/>
  <c r="J234" i="15"/>
  <c r="J233" i="15"/>
  <c r="J232" i="15"/>
  <c r="J224" i="15"/>
  <c r="J223" i="15"/>
  <c r="J222" i="15"/>
  <c r="J221" i="15"/>
  <c r="J220" i="15"/>
  <c r="J219" i="15"/>
  <c r="J211" i="15"/>
  <c r="J210" i="15"/>
  <c r="J209" i="15"/>
  <c r="J208" i="15"/>
  <c r="J207" i="15"/>
  <c r="J206" i="15"/>
  <c r="J198" i="15"/>
  <c r="J197" i="15"/>
  <c r="J196" i="15"/>
  <c r="J195" i="15"/>
  <c r="J194" i="15"/>
  <c r="J193" i="15"/>
  <c r="J185" i="15"/>
  <c r="J184" i="15"/>
  <c r="J183" i="15"/>
  <c r="J182" i="15"/>
  <c r="J181" i="15"/>
  <c r="J180" i="15"/>
  <c r="J172" i="15"/>
  <c r="J169" i="15"/>
  <c r="J167" i="15"/>
  <c r="J131" i="15"/>
  <c r="J128" i="15"/>
  <c r="J118" i="15"/>
  <c r="J115" i="15"/>
  <c r="I250" i="15"/>
  <c r="I249" i="15"/>
  <c r="I248" i="15"/>
  <c r="I247" i="15"/>
  <c r="I246" i="15"/>
  <c r="I245" i="15"/>
  <c r="I237" i="15"/>
  <c r="I236" i="15"/>
  <c r="I235" i="15"/>
  <c r="I234" i="15"/>
  <c r="I233" i="15"/>
  <c r="I232" i="15"/>
  <c r="I224" i="15"/>
  <c r="I223" i="15"/>
  <c r="I222" i="15"/>
  <c r="I221" i="15"/>
  <c r="I220" i="15"/>
  <c r="I219" i="15"/>
  <c r="I211" i="15"/>
  <c r="I210" i="15"/>
  <c r="I209" i="15"/>
  <c r="I208" i="15"/>
  <c r="I207" i="15"/>
  <c r="I206" i="15"/>
  <c r="I198" i="15"/>
  <c r="I197" i="15"/>
  <c r="I196" i="15"/>
  <c r="I195" i="15"/>
  <c r="I194" i="15"/>
  <c r="I193" i="15"/>
  <c r="I185" i="15"/>
  <c r="I184" i="15"/>
  <c r="I183" i="15"/>
  <c r="I182" i="15"/>
  <c r="I181" i="15"/>
  <c r="I180" i="15"/>
  <c r="I172" i="15"/>
  <c r="I171" i="15"/>
  <c r="I170" i="15"/>
  <c r="I169" i="15"/>
  <c r="I168" i="15"/>
  <c r="M168" i="15" s="1"/>
  <c r="O168" i="15" s="1"/>
  <c r="I167" i="15"/>
  <c r="I133" i="15"/>
  <c r="J170" i="15"/>
  <c r="J133" i="15"/>
  <c r="J130" i="15"/>
  <c r="J120" i="15"/>
  <c r="J117" i="15"/>
  <c r="I129" i="15"/>
  <c r="I117" i="15"/>
  <c r="I130" i="15"/>
  <c r="I118" i="15"/>
  <c r="I131" i="15"/>
  <c r="I119" i="15"/>
  <c r="I115" i="15"/>
  <c r="I132" i="15"/>
  <c r="I128" i="15"/>
  <c r="I120" i="15"/>
  <c r="I116" i="15"/>
  <c r="J105" i="15"/>
  <c r="I104" i="15"/>
  <c r="J84" i="15"/>
  <c r="J106" i="15"/>
  <c r="I105" i="15"/>
  <c r="J102" i="15"/>
  <c r="I84" i="15"/>
  <c r="J107" i="15"/>
  <c r="I106" i="15"/>
  <c r="J103" i="15"/>
  <c r="I102" i="15"/>
  <c r="J80" i="15"/>
  <c r="I80" i="15"/>
  <c r="I107" i="15"/>
  <c r="J104" i="15"/>
  <c r="I103" i="15"/>
  <c r="I60" i="15"/>
  <c r="I74" i="15"/>
  <c r="J74" i="15"/>
  <c r="F173" i="1"/>
  <c r="F175" i="1"/>
  <c r="K888" i="5"/>
  <c r="F195" i="1"/>
  <c r="F197" i="1"/>
  <c r="F238" i="1"/>
  <c r="F339" i="1"/>
  <c r="K459" i="5"/>
  <c r="Q459" i="5" s="1"/>
  <c r="Q451" i="5" s="1"/>
  <c r="K443" i="5"/>
  <c r="Q443" i="5" s="1"/>
  <c r="Q436" i="5" s="1"/>
  <c r="F463" i="1"/>
  <c r="F465" i="1"/>
  <c r="F470" i="1"/>
  <c r="K953" i="5" s="1"/>
  <c r="Q953" i="5" s="1"/>
  <c r="F172" i="1"/>
  <c r="F174" i="1"/>
  <c r="K897" i="5" s="1"/>
  <c r="K889" i="5"/>
  <c r="F194" i="1"/>
  <c r="F198" i="1"/>
  <c r="K528" i="5"/>
  <c r="Q528" i="5" s="1"/>
  <c r="Q522" i="5" s="1"/>
  <c r="K560" i="5"/>
  <c r="Q560" i="5" s="1"/>
  <c r="Q554" i="5" s="1"/>
  <c r="F380" i="1"/>
  <c r="F464" i="1"/>
  <c r="F682" i="1"/>
  <c r="F684" i="1"/>
  <c r="K883" i="5" s="1"/>
  <c r="F686" i="1"/>
  <c r="K885" i="5" s="1"/>
  <c r="F688" i="1"/>
  <c r="K886" i="5" s="1"/>
  <c r="Q886" i="5" s="1"/>
  <c r="F462" i="1"/>
  <c r="F567" i="1"/>
  <c r="F683" i="1"/>
  <c r="K882" i="5" s="1"/>
  <c r="Q882" i="5" s="1"/>
  <c r="F685" i="1"/>
  <c r="F687" i="1"/>
  <c r="F689" i="1"/>
  <c r="F568" i="1"/>
  <c r="E140" i="23"/>
  <c r="E136" i="23" s="1"/>
  <c r="E147" i="23"/>
  <c r="E143" i="23" s="1"/>
  <c r="D175" i="23"/>
  <c r="D196" i="23"/>
  <c r="D182" i="23"/>
  <c r="E182" i="23"/>
  <c r="E178" i="23" s="1"/>
  <c r="D189" i="23"/>
  <c r="E154" i="23"/>
  <c r="E150" i="23" s="1"/>
  <c r="E196" i="23"/>
  <c r="E192" i="23" s="1"/>
  <c r="D133" i="23"/>
  <c r="E133" i="23"/>
  <c r="E129" i="23" s="1"/>
  <c r="D140" i="23"/>
  <c r="D154" i="23"/>
  <c r="E175" i="23"/>
  <c r="E171" i="23" s="1"/>
  <c r="D147" i="23"/>
  <c r="E189" i="23"/>
  <c r="E185" i="23" s="1"/>
  <c r="L286" i="15"/>
  <c r="K287" i="15"/>
  <c r="L287" i="15"/>
  <c r="K286" i="15"/>
  <c r="D336" i="23"/>
  <c r="E336" i="23"/>
  <c r="E332" i="23" s="1"/>
  <c r="E329" i="23"/>
  <c r="E325" i="23" s="1"/>
  <c r="D329" i="23"/>
  <c r="K227" i="15"/>
  <c r="K201" i="15"/>
  <c r="K175" i="15"/>
  <c r="K123" i="15"/>
  <c r="L239" i="15"/>
  <c r="L213" i="15"/>
  <c r="L187" i="15"/>
  <c r="L161" i="15"/>
  <c r="K239" i="15"/>
  <c r="K213" i="15"/>
  <c r="K187" i="15"/>
  <c r="K161" i="15"/>
  <c r="L227" i="15"/>
  <c r="L201" i="15"/>
  <c r="L175" i="15"/>
  <c r="L123" i="15"/>
  <c r="L68" i="15"/>
  <c r="L109" i="15"/>
  <c r="K109" i="15"/>
  <c r="L110" i="15"/>
  <c r="L188" i="15"/>
  <c r="L240" i="15"/>
  <c r="K162" i="15"/>
  <c r="K214" i="15"/>
  <c r="K174" i="15"/>
  <c r="K226" i="15"/>
  <c r="L200" i="15"/>
  <c r="L162" i="15"/>
  <c r="L214" i="15"/>
  <c r="L174" i="15"/>
  <c r="K110" i="15"/>
  <c r="K188" i="15"/>
  <c r="K240" i="15"/>
  <c r="K122" i="15"/>
  <c r="K200" i="15"/>
  <c r="L122" i="15"/>
  <c r="L226" i="15"/>
  <c r="K68" i="15"/>
  <c r="L69" i="15"/>
  <c r="K97" i="15"/>
  <c r="L96" i="15"/>
  <c r="K69" i="15"/>
  <c r="L97" i="15"/>
  <c r="K96" i="15"/>
  <c r="G481" i="1"/>
  <c r="G487" i="1"/>
  <c r="G489" i="1"/>
  <c r="L1869" i="8" s="1"/>
  <c r="P1869" i="8" s="1"/>
  <c r="G495" i="1"/>
  <c r="G519" i="1"/>
  <c r="G521" i="1"/>
  <c r="G523" i="1"/>
  <c r="G525" i="1"/>
  <c r="G527" i="1"/>
  <c r="E126" i="23"/>
  <c r="E122" i="23" s="1"/>
  <c r="D126" i="23"/>
  <c r="G482" i="1"/>
  <c r="L1349" i="8" s="1"/>
  <c r="P1349" i="8" s="1"/>
  <c r="G488" i="1"/>
  <c r="G494" i="1"/>
  <c r="G520" i="1"/>
  <c r="G522" i="1"/>
  <c r="G524" i="1"/>
  <c r="G526" i="1"/>
  <c r="G528" i="1"/>
  <c r="E168" i="23"/>
  <c r="E164" i="23" s="1"/>
  <c r="D56" i="23"/>
  <c r="D84" i="23"/>
  <c r="D168" i="23"/>
  <c r="E56" i="23"/>
  <c r="E52" i="23" s="1"/>
  <c r="E84" i="23"/>
  <c r="E80" i="23" s="1"/>
  <c r="E119" i="23"/>
  <c r="E115" i="23" s="1"/>
  <c r="E112" i="23"/>
  <c r="E108" i="23" s="1"/>
  <c r="D119" i="23"/>
  <c r="D112" i="23"/>
  <c r="E77" i="23"/>
  <c r="E73" i="23" s="1"/>
  <c r="E49" i="23"/>
  <c r="E45" i="23" s="1"/>
  <c r="D42" i="23"/>
  <c r="E161" i="23"/>
  <c r="E157" i="23" s="1"/>
  <c r="D49" i="23"/>
  <c r="D161" i="23"/>
  <c r="D77" i="23"/>
  <c r="E42" i="23"/>
  <c r="E38" i="23" s="1"/>
  <c r="E105" i="23"/>
  <c r="E101" i="23" s="1"/>
  <c r="D105" i="23"/>
  <c r="D35" i="23"/>
  <c r="E35" i="23"/>
  <c r="E31" i="23" s="1"/>
  <c r="L751" i="8"/>
  <c r="P751" i="8" s="1"/>
  <c r="DU361" i="2"/>
  <c r="G819" i="5" s="1"/>
  <c r="C819" i="5" s="1"/>
  <c r="P361" i="2"/>
  <c r="G897" i="5"/>
  <c r="Q903" i="5"/>
  <c r="P903" i="5"/>
  <c r="R903" i="5"/>
  <c r="O903" i="5"/>
  <c r="S903" i="5"/>
  <c r="O886" i="5"/>
  <c r="S886" i="5"/>
  <c r="R886" i="5"/>
  <c r="P886" i="5"/>
  <c r="O882" i="5"/>
  <c r="S882" i="5"/>
  <c r="P882" i="5"/>
  <c r="R882" i="5"/>
  <c r="O872" i="5"/>
  <c r="S872" i="5"/>
  <c r="P872" i="5"/>
  <c r="R872" i="5"/>
  <c r="Q872" i="5"/>
  <c r="N903" i="5"/>
  <c r="N886" i="5"/>
  <c r="N882" i="5"/>
  <c r="N872" i="5"/>
  <c r="G898" i="5"/>
  <c r="C898" i="5" s="1"/>
  <c r="G916" i="5"/>
  <c r="C916" i="5" s="1"/>
  <c r="C911" i="5"/>
  <c r="G921" i="5"/>
  <c r="C921" i="5" s="1"/>
  <c r="G874" i="5"/>
  <c r="G922" i="5"/>
  <c r="C922" i="5" s="1"/>
  <c r="G901" i="5"/>
  <c r="C901" i="5" s="1"/>
  <c r="G902" i="5"/>
  <c r="C902" i="5" s="1"/>
  <c r="G900" i="5"/>
  <c r="C900" i="5" s="1"/>
  <c r="G889" i="5"/>
  <c r="C889" i="5" s="1"/>
  <c r="G884" i="5"/>
  <c r="C884" i="5" s="1"/>
  <c r="AB706" i="5"/>
  <c r="V621" i="5"/>
  <c r="V373" i="5"/>
  <c r="N361" i="2"/>
  <c r="G809" i="5" s="1"/>
  <c r="G821" i="5"/>
  <c r="C821" i="5" s="1"/>
  <c r="V499" i="5"/>
  <c r="Q361" i="2"/>
  <c r="M361" i="2"/>
  <c r="G808" i="5" s="1"/>
  <c r="CA76" i="3"/>
  <c r="BW76" i="3"/>
  <c r="BS76" i="3"/>
  <c r="BM76" i="3"/>
  <c r="BI76" i="3"/>
  <c r="BD76" i="3"/>
  <c r="Y794" i="5" s="1"/>
  <c r="Y798" i="5" s="1"/>
  <c r="AI798" i="5" s="1"/>
  <c r="AY76" i="3"/>
  <c r="Y749" i="5" s="1"/>
  <c r="AV76" i="3"/>
  <c r="Y492" i="5" s="1"/>
  <c r="AN76" i="3"/>
  <c r="AJ76" i="3"/>
  <c r="Y621" i="5" s="1"/>
  <c r="AF76" i="3"/>
  <c r="Y581" i="5" s="1"/>
  <c r="AB76" i="3"/>
  <c r="V76" i="3"/>
  <c r="R76" i="3"/>
  <c r="N76" i="3"/>
  <c r="D76" i="3"/>
  <c r="BZ76" i="3"/>
  <c r="BV76" i="3"/>
  <c r="BP76" i="3"/>
  <c r="Y733" i="5" s="1"/>
  <c r="BL76" i="3"/>
  <c r="BH76" i="3"/>
  <c r="BB76" i="3"/>
  <c r="Y759" i="5" s="1"/>
  <c r="AU76" i="3"/>
  <c r="AS76" i="3"/>
  <c r="AM76" i="3"/>
  <c r="AI76" i="3"/>
  <c r="Y610" i="5" s="1"/>
  <c r="AE76" i="3"/>
  <c r="Y250" i="5" s="1"/>
  <c r="AI250" i="5" s="1"/>
  <c r="Z76" i="3"/>
  <c r="U76" i="3"/>
  <c r="Q76" i="3"/>
  <c r="Y84" i="5" s="1"/>
  <c r="M76" i="3"/>
  <c r="Y378" i="5" s="1"/>
  <c r="I76" i="3"/>
  <c r="M16" i="15" l="1"/>
  <c r="O16" i="15" s="1"/>
  <c r="M9" i="15"/>
  <c r="M12" i="15"/>
  <c r="M32" i="15"/>
  <c r="O32" i="15" s="1"/>
  <c r="K949" i="5"/>
  <c r="M145" i="15"/>
  <c r="O145" i="15" s="1"/>
  <c r="M156" i="15"/>
  <c r="O156" i="15" s="1"/>
  <c r="M146" i="15"/>
  <c r="O146" i="15" s="1"/>
  <c r="M157" i="15"/>
  <c r="O157" i="15" s="1"/>
  <c r="M324" i="15"/>
  <c r="O324" i="15" s="1"/>
  <c r="M332" i="15"/>
  <c r="O332" i="15" s="1"/>
  <c r="J232" i="5"/>
  <c r="P232" i="5" s="1"/>
  <c r="J208" i="5"/>
  <c r="M61" i="15"/>
  <c r="O61" i="15" s="1"/>
  <c r="M154" i="15"/>
  <c r="O154" i="15" s="1"/>
  <c r="N213" i="15"/>
  <c r="G873" i="5"/>
  <c r="C873" i="5" s="1"/>
  <c r="E712" i="4"/>
  <c r="M11" i="15"/>
  <c r="G881" i="5"/>
  <c r="S881" i="5" s="1"/>
  <c r="K2244" i="8"/>
  <c r="O2244" i="8" s="1"/>
  <c r="K2321" i="8"/>
  <c r="O2321" i="8" s="1"/>
  <c r="K1802" i="8"/>
  <c r="O1802" i="8" s="1"/>
  <c r="K1862" i="8"/>
  <c r="O1862" i="8" s="1"/>
  <c r="K1833" i="8"/>
  <c r="O1833" i="8" s="1"/>
  <c r="K2216" i="8"/>
  <c r="O2216" i="8" s="1"/>
  <c r="K2245" i="8"/>
  <c r="O2245" i="8" s="1"/>
  <c r="K1618" i="8"/>
  <c r="O1618" i="8" s="1"/>
  <c r="K2161" i="8"/>
  <c r="O2161" i="8" s="1"/>
  <c r="K1740" i="8"/>
  <c r="O1740" i="8" s="1"/>
  <c r="J163" i="5"/>
  <c r="P163" i="5" s="1"/>
  <c r="J235" i="5"/>
  <c r="P235" i="5" s="1"/>
  <c r="K2243" i="8"/>
  <c r="O2243" i="8" s="1"/>
  <c r="K2320" i="8"/>
  <c r="O2320" i="8" s="1"/>
  <c r="K1861" i="8"/>
  <c r="O1861" i="8" s="1"/>
  <c r="K1801" i="8"/>
  <c r="O1801" i="8" s="1"/>
  <c r="L163" i="5"/>
  <c r="R163" i="5" s="1"/>
  <c r="R151" i="5" s="1"/>
  <c r="K18" i="6" s="1"/>
  <c r="L235" i="5"/>
  <c r="R235" i="5" s="1"/>
  <c r="R223" i="5" s="1"/>
  <c r="K2163" i="8"/>
  <c r="O2163" i="8" s="1"/>
  <c r="K1742" i="8"/>
  <c r="O1742" i="8" s="1"/>
  <c r="O1643" i="8"/>
  <c r="K1787" i="8"/>
  <c r="O1787" i="8" s="1"/>
  <c r="K2318" i="8"/>
  <c r="O2318" i="8" s="1"/>
  <c r="K2242" i="8"/>
  <c r="O2242" i="8" s="1"/>
  <c r="K1860" i="8"/>
  <c r="O1860" i="8" s="1"/>
  <c r="K2319" i="8"/>
  <c r="O2319" i="8" s="1"/>
  <c r="K2241" i="8"/>
  <c r="O2241" i="8" s="1"/>
  <c r="K1800" i="8"/>
  <c r="O1800" i="8" s="1"/>
  <c r="K1619" i="8"/>
  <c r="O1619" i="8" s="1"/>
  <c r="K2162" i="8"/>
  <c r="O2162" i="8" s="1"/>
  <c r="K1741" i="8"/>
  <c r="O1741" i="8" s="1"/>
  <c r="K2164" i="8"/>
  <c r="O2164" i="8" s="1"/>
  <c r="K1743" i="8"/>
  <c r="O1743" i="8" s="1"/>
  <c r="R959" i="5"/>
  <c r="P959" i="5"/>
  <c r="C959" i="5"/>
  <c r="O959" i="5"/>
  <c r="N959" i="5"/>
  <c r="S959" i="5"/>
  <c r="O960" i="5"/>
  <c r="P960" i="5"/>
  <c r="C960" i="5"/>
  <c r="R960" i="5"/>
  <c r="N960" i="5"/>
  <c r="S960" i="5"/>
  <c r="Q960" i="5"/>
  <c r="V363" i="2"/>
  <c r="AF250" i="5"/>
  <c r="U250" i="5"/>
  <c r="AI355" i="5"/>
  <c r="Y317" i="5"/>
  <c r="AI317" i="5" s="1"/>
  <c r="Y347" i="5"/>
  <c r="AI347" i="5" s="1"/>
  <c r="Y346" i="5"/>
  <c r="Y319" i="5"/>
  <c r="Y318" i="5"/>
  <c r="G877" i="5"/>
  <c r="P877" i="5" s="1"/>
  <c r="F26" i="13"/>
  <c r="J26" i="13" s="1"/>
  <c r="AB23" i="5"/>
  <c r="AL23" i="5" s="1"/>
  <c r="F27" i="13"/>
  <c r="L27" i="13" s="1"/>
  <c r="V347" i="5"/>
  <c r="V317" i="5"/>
  <c r="V318" i="5"/>
  <c r="V346" i="5"/>
  <c r="V319" i="5"/>
  <c r="AF319" i="5" s="1"/>
  <c r="V326" i="5"/>
  <c r="AF326" i="5" s="1"/>
  <c r="V328" i="5"/>
  <c r="V327" i="5"/>
  <c r="V336" i="5"/>
  <c r="V337" i="5"/>
  <c r="V306" i="5"/>
  <c r="V305" i="5"/>
  <c r="AF305" i="5" s="1"/>
  <c r="V307" i="5"/>
  <c r="AB304" i="5"/>
  <c r="AL304" i="5" s="1"/>
  <c r="AB305" i="5"/>
  <c r="AL305" i="5" s="1"/>
  <c r="AB306" i="5"/>
  <c r="AL306" i="5" s="1"/>
  <c r="AB307" i="5"/>
  <c r="AL307" i="5" s="1"/>
  <c r="AL289" i="5"/>
  <c r="AB295" i="5"/>
  <c r="AL295" i="5" s="1"/>
  <c r="AB294" i="5"/>
  <c r="AL294" i="5" s="1"/>
  <c r="AB297" i="5"/>
  <c r="AL297" i="5" s="1"/>
  <c r="AB296" i="5"/>
  <c r="AL296" i="5" s="1"/>
  <c r="J160" i="5"/>
  <c r="P160" i="5" s="1"/>
  <c r="P208" i="5"/>
  <c r="J119" i="5"/>
  <c r="P119" i="5" s="1"/>
  <c r="J32" i="5"/>
  <c r="P32" i="5" s="1"/>
  <c r="J191" i="5"/>
  <c r="P191" i="5" s="1"/>
  <c r="J79" i="5"/>
  <c r="P79" i="5" s="1"/>
  <c r="J62" i="5"/>
  <c r="P62" i="5" s="1"/>
  <c r="J173" i="5"/>
  <c r="P173" i="5" s="1"/>
  <c r="J147" i="5"/>
  <c r="P147" i="5" s="1"/>
  <c r="J45" i="5"/>
  <c r="P45" i="5" s="1"/>
  <c r="J162" i="5"/>
  <c r="P162" i="5" s="1"/>
  <c r="J48" i="5"/>
  <c r="P48" i="5" s="1"/>
  <c r="J16" i="5"/>
  <c r="P16" i="5" s="1"/>
  <c r="J701" i="5"/>
  <c r="P701" i="5" s="1"/>
  <c r="J82" i="5"/>
  <c r="P82" i="5" s="1"/>
  <c r="J694" i="5"/>
  <c r="P694" i="5" s="1"/>
  <c r="K1621" i="8"/>
  <c r="O1621" i="8" s="1"/>
  <c r="J337" i="5"/>
  <c r="P337" i="5" s="1"/>
  <c r="J296" i="5"/>
  <c r="P296" i="5" s="1"/>
  <c r="J357" i="5"/>
  <c r="P357" i="5" s="1"/>
  <c r="J328" i="5"/>
  <c r="P328" i="5" s="1"/>
  <c r="J347" i="5"/>
  <c r="P347" i="5" s="1"/>
  <c r="J318" i="5"/>
  <c r="P318" i="5" s="1"/>
  <c r="J307" i="5"/>
  <c r="P307" i="5" s="1"/>
  <c r="C946" i="5"/>
  <c r="F18" i="6"/>
  <c r="U151" i="5"/>
  <c r="AF151" i="5"/>
  <c r="K20" i="13"/>
  <c r="AI175" i="5"/>
  <c r="Y154" i="5"/>
  <c r="AI154" i="5" s="1"/>
  <c r="Y155" i="5"/>
  <c r="AI155" i="5" s="1"/>
  <c r="Y161" i="5"/>
  <c r="AI161" i="5" s="1"/>
  <c r="Y153" i="5"/>
  <c r="AI153" i="5" s="1"/>
  <c r="Y162" i="5"/>
  <c r="AI162" i="5" s="1"/>
  <c r="V382" i="5"/>
  <c r="V384" i="5" s="1"/>
  <c r="AF384" i="5" s="1"/>
  <c r="E11" i="16"/>
  <c r="G11" i="16" s="1"/>
  <c r="E9" i="16"/>
  <c r="G9" i="16" s="1"/>
  <c r="E10" i="16"/>
  <c r="G10" i="16" s="1"/>
  <c r="E6" i="16"/>
  <c r="B6" i="16" s="1"/>
  <c r="B7" i="16" s="1"/>
  <c r="B8" i="16" s="1"/>
  <c r="G879" i="5"/>
  <c r="R879" i="5" s="1"/>
  <c r="F24" i="13"/>
  <c r="K24" i="13" s="1"/>
  <c r="G906" i="5"/>
  <c r="C906" i="5" s="1"/>
  <c r="K1124" i="8"/>
  <c r="O1124" i="8" s="1"/>
  <c r="M105" i="15"/>
  <c r="O105" i="15" s="1"/>
  <c r="K1974" i="8"/>
  <c r="O1974" i="8" s="1"/>
  <c r="K2125" i="8"/>
  <c r="O2125" i="8" s="1"/>
  <c r="K1746" i="8"/>
  <c r="O1746" i="8" s="1"/>
  <c r="K2178" i="8"/>
  <c r="O2178" i="8" s="1"/>
  <c r="V745" i="5"/>
  <c r="F79" i="6" s="1"/>
  <c r="K19" i="13"/>
  <c r="G867" i="5"/>
  <c r="G847" i="5" s="1"/>
  <c r="C847" i="5" s="1"/>
  <c r="F17" i="13"/>
  <c r="K17" i="13" s="1"/>
  <c r="J20" i="13"/>
  <c r="C888" i="5"/>
  <c r="G890" i="5"/>
  <c r="C890" i="5" s="1"/>
  <c r="M321" i="15"/>
  <c r="O321" i="15" s="1"/>
  <c r="Q811" i="5"/>
  <c r="G859" i="5"/>
  <c r="C859" i="5" s="1"/>
  <c r="K930" i="5"/>
  <c r="Q930" i="5" s="1"/>
  <c r="Q350" i="5"/>
  <c r="J32" i="6" s="1"/>
  <c r="P32" i="6" s="1"/>
  <c r="J12" i="6"/>
  <c r="J109" i="6"/>
  <c r="K1620" i="8"/>
  <c r="O1620" i="8" s="1"/>
  <c r="J356" i="5"/>
  <c r="P356" i="5" s="1"/>
  <c r="J346" i="5"/>
  <c r="P346" i="5" s="1"/>
  <c r="J13" i="6"/>
  <c r="J110" i="6"/>
  <c r="V345" i="5"/>
  <c r="AF345" i="5" s="1"/>
  <c r="AF355" i="5"/>
  <c r="AI357" i="5"/>
  <c r="AI356" i="5"/>
  <c r="AI294" i="5"/>
  <c r="Y345" i="5"/>
  <c r="AI345" i="5" s="1"/>
  <c r="AI346" i="5"/>
  <c r="Q946" i="5"/>
  <c r="N946" i="5"/>
  <c r="P946" i="5"/>
  <c r="O946" i="5"/>
  <c r="S946" i="5"/>
  <c r="M263" i="15"/>
  <c r="O263" i="15" s="1"/>
  <c r="M343" i="15"/>
  <c r="O343" i="15" s="1"/>
  <c r="M370" i="15"/>
  <c r="O370" i="15" s="1"/>
  <c r="J47" i="5"/>
  <c r="P47" i="5" s="1"/>
  <c r="J81" i="5"/>
  <c r="P81" i="5" s="1"/>
  <c r="J83" i="5"/>
  <c r="P83" i="5" s="1"/>
  <c r="J49" i="5"/>
  <c r="P49" i="5" s="1"/>
  <c r="J46" i="5"/>
  <c r="P46" i="5" s="1"/>
  <c r="J80" i="5"/>
  <c r="P80" i="5" s="1"/>
  <c r="M252" i="15"/>
  <c r="O252" i="15" s="1"/>
  <c r="L83" i="5"/>
  <c r="R83" i="5" s="1"/>
  <c r="L49" i="5"/>
  <c r="R49" i="5" s="1"/>
  <c r="R36" i="5" s="1"/>
  <c r="K104" i="6" s="1"/>
  <c r="Q104" i="6" s="1"/>
  <c r="M362" i="15"/>
  <c r="O362" i="15" s="1"/>
  <c r="M270" i="15"/>
  <c r="O270" i="15" s="1"/>
  <c r="M341" i="15"/>
  <c r="O341" i="15" s="1"/>
  <c r="M356" i="15"/>
  <c r="M365" i="15"/>
  <c r="O365" i="15" s="1"/>
  <c r="M346" i="15"/>
  <c r="O346" i="15" s="1"/>
  <c r="K2119" i="8"/>
  <c r="O2119" i="8" s="1"/>
  <c r="M125" i="15"/>
  <c r="O125" i="15" s="1"/>
  <c r="M254" i="15"/>
  <c r="O254" i="15" s="1"/>
  <c r="K1661" i="8"/>
  <c r="O1661" i="8" s="1"/>
  <c r="K2071" i="8"/>
  <c r="O2071" i="8" s="1"/>
  <c r="M342" i="15"/>
  <c r="O342" i="15" s="1"/>
  <c r="M367" i="15"/>
  <c r="O367" i="15" s="1"/>
  <c r="M351" i="15"/>
  <c r="O351" i="15" s="1"/>
  <c r="K450" i="5"/>
  <c r="Q450" i="5" s="1"/>
  <c r="Q444" i="5" s="1"/>
  <c r="K2069" i="8"/>
  <c r="O2069" i="8" s="1"/>
  <c r="K1659" i="8"/>
  <c r="O1659" i="8" s="1"/>
  <c r="P1591" i="8"/>
  <c r="G270" i="9" s="1"/>
  <c r="G269" i="9" s="1"/>
  <c r="K2120" i="8"/>
  <c r="O2120" i="8" s="1"/>
  <c r="K2070" i="8"/>
  <c r="O2070" i="8" s="1"/>
  <c r="K1145" i="8"/>
  <c r="O1145" i="8" s="1"/>
  <c r="M52" i="15"/>
  <c r="O52" i="15" s="1"/>
  <c r="M345" i="15"/>
  <c r="O345" i="15" s="1"/>
  <c r="M369" i="15"/>
  <c r="O369" i="15" s="1"/>
  <c r="M359" i="15"/>
  <c r="O359" i="15" s="1"/>
  <c r="M368" i="15"/>
  <c r="O368" i="15" s="1"/>
  <c r="M360" i="15"/>
  <c r="O360" i="15" s="1"/>
  <c r="M348" i="15"/>
  <c r="O348" i="15" s="1"/>
  <c r="M352" i="15"/>
  <c r="O352" i="15" s="1"/>
  <c r="M361" i="15"/>
  <c r="O361" i="15" s="1"/>
  <c r="M340" i="15"/>
  <c r="M344" i="15"/>
  <c r="O344" i="15" s="1"/>
  <c r="M357" i="15"/>
  <c r="O357" i="15" s="1"/>
  <c r="M266" i="15"/>
  <c r="O266" i="15" s="1"/>
  <c r="M364" i="15"/>
  <c r="O364" i="15" s="1"/>
  <c r="M349" i="15"/>
  <c r="O349" i="15" s="1"/>
  <c r="M353" i="15"/>
  <c r="O353" i="15" s="1"/>
  <c r="M46" i="15"/>
  <c r="O46" i="15" s="1"/>
  <c r="M358" i="15"/>
  <c r="O358" i="15" s="1"/>
  <c r="M366" i="15"/>
  <c r="O366" i="15" s="1"/>
  <c r="M350" i="15"/>
  <c r="O350" i="15" s="1"/>
  <c r="M354" i="15"/>
  <c r="O354" i="15" s="1"/>
  <c r="M58" i="15"/>
  <c r="O58" i="15" s="1"/>
  <c r="M265" i="15"/>
  <c r="O265" i="15" s="1"/>
  <c r="M330" i="15"/>
  <c r="O330" i="15" s="1"/>
  <c r="M48" i="15"/>
  <c r="O48" i="15" s="1"/>
  <c r="M53" i="15"/>
  <c r="O53" i="15" s="1"/>
  <c r="M44" i="15"/>
  <c r="O44" i="15" s="1"/>
  <c r="M337" i="15"/>
  <c r="O337" i="15" s="1"/>
  <c r="M326" i="15"/>
  <c r="O326" i="15" s="1"/>
  <c r="M40" i="15"/>
  <c r="O40" i="15" s="1"/>
  <c r="M308" i="15"/>
  <c r="O308" i="15" s="1"/>
  <c r="M291" i="15"/>
  <c r="O291" i="15" s="1"/>
  <c r="M54" i="15"/>
  <c r="O54" i="15" s="1"/>
  <c r="M45" i="15"/>
  <c r="O45" i="15" s="1"/>
  <c r="M328" i="15"/>
  <c r="O328" i="15" s="1"/>
  <c r="M141" i="15"/>
  <c r="O141" i="15" s="1"/>
  <c r="M30" i="15"/>
  <c r="O30" i="15" s="1"/>
  <c r="M327" i="15"/>
  <c r="O327" i="15" s="1"/>
  <c r="Y109" i="5"/>
  <c r="AI109" i="5" s="1"/>
  <c r="Y113" i="5"/>
  <c r="AI113" i="5" s="1"/>
  <c r="AB684" i="5"/>
  <c r="AL684" i="5" s="1"/>
  <c r="AB686" i="5"/>
  <c r="AL686" i="5" s="1"/>
  <c r="AL682" i="5"/>
  <c r="AB687" i="5"/>
  <c r="AL687" i="5" s="1"/>
  <c r="AB685" i="5"/>
  <c r="AL685" i="5" s="1"/>
  <c r="J15" i="5"/>
  <c r="P15" i="5" s="1"/>
  <c r="J700" i="5"/>
  <c r="P700" i="5" s="1"/>
  <c r="J693" i="5"/>
  <c r="P693" i="5" s="1"/>
  <c r="K1094" i="8"/>
  <c r="O1094" i="8" s="1"/>
  <c r="K1608" i="8"/>
  <c r="O1608" i="8" s="1"/>
  <c r="K1585" i="8"/>
  <c r="O1585" i="8" s="1"/>
  <c r="K1582" i="8"/>
  <c r="O1582" i="8" s="1"/>
  <c r="K1583" i="8"/>
  <c r="O1583" i="8" s="1"/>
  <c r="K1586" i="8"/>
  <c r="O1586" i="8" s="1"/>
  <c r="M56" i="15"/>
  <c r="O56" i="15" s="1"/>
  <c r="M336" i="15"/>
  <c r="O336" i="15" s="1"/>
  <c r="J14" i="5"/>
  <c r="P14" i="5" s="1"/>
  <c r="J692" i="5"/>
  <c r="P692" i="5" s="1"/>
  <c r="J699" i="5"/>
  <c r="P699" i="5" s="1"/>
  <c r="M49" i="15"/>
  <c r="O49" i="15" s="1"/>
  <c r="O51" i="15"/>
  <c r="K2283" i="8"/>
  <c r="O2283" i="8" s="1"/>
  <c r="K1660" i="8"/>
  <c r="O1660" i="8" s="1"/>
  <c r="K1632" i="8"/>
  <c r="O1632" i="8" s="1"/>
  <c r="K1689" i="8"/>
  <c r="O1689" i="8" s="1"/>
  <c r="M329" i="15"/>
  <c r="O329" i="15" s="1"/>
  <c r="M334" i="15"/>
  <c r="O334" i="15" s="1"/>
  <c r="M338" i="15"/>
  <c r="O338" i="15" s="1"/>
  <c r="L1585" i="8"/>
  <c r="P1585" i="8" s="1"/>
  <c r="L1582" i="8"/>
  <c r="P1582" i="8" s="1"/>
  <c r="K2281" i="8"/>
  <c r="O2281" i="8" s="1"/>
  <c r="K1688" i="8"/>
  <c r="O1688" i="8" s="1"/>
  <c r="K1658" i="8"/>
  <c r="O1658" i="8" s="1"/>
  <c r="K1488" i="8"/>
  <c r="O1488" i="8" s="1"/>
  <c r="K1624" i="8"/>
  <c r="O1624" i="8" s="1"/>
  <c r="K1625" i="8"/>
  <c r="O1625" i="8" s="1"/>
  <c r="O1671" i="8"/>
  <c r="K1584" i="8"/>
  <c r="O1584" i="8" s="1"/>
  <c r="K1587" i="8"/>
  <c r="O1587" i="8" s="1"/>
  <c r="K211" i="13"/>
  <c r="M212" i="13"/>
  <c r="M47" i="15"/>
  <c r="O47" i="15" s="1"/>
  <c r="M57" i="15"/>
  <c r="O57" i="15" s="1"/>
  <c r="M43" i="15"/>
  <c r="M335" i="15"/>
  <c r="O335" i="15" s="1"/>
  <c r="Y130" i="5"/>
  <c r="AI130" i="5" s="1"/>
  <c r="Y16" i="5"/>
  <c r="AI16" i="5" s="1"/>
  <c r="Y15" i="5"/>
  <c r="AI15" i="5" s="1"/>
  <c r="Y14" i="5"/>
  <c r="AI14" i="5" s="1"/>
  <c r="V131" i="5"/>
  <c r="AF131" i="5" s="1"/>
  <c r="V15" i="5"/>
  <c r="AF15" i="5" s="1"/>
  <c r="V14" i="5"/>
  <c r="AF14" i="5" s="1"/>
  <c r="V16" i="5"/>
  <c r="AF16" i="5" s="1"/>
  <c r="C947" i="5"/>
  <c r="C892" i="5"/>
  <c r="Q892" i="5"/>
  <c r="S892" i="5"/>
  <c r="O892" i="5"/>
  <c r="N892" i="5"/>
  <c r="P892" i="5"/>
  <c r="R892" i="5"/>
  <c r="C894" i="5"/>
  <c r="S894" i="5"/>
  <c r="N894" i="5"/>
  <c r="P894" i="5"/>
  <c r="R894" i="5"/>
  <c r="O894" i="5"/>
  <c r="Q894" i="5"/>
  <c r="P951" i="5"/>
  <c r="S951" i="5"/>
  <c r="R951" i="5"/>
  <c r="O951" i="5"/>
  <c r="C951" i="5"/>
  <c r="N951" i="5"/>
  <c r="C887" i="5"/>
  <c r="S887" i="5"/>
  <c r="O887" i="5"/>
  <c r="P887" i="5"/>
  <c r="R887" i="5"/>
  <c r="Q887" i="5"/>
  <c r="N887" i="5"/>
  <c r="O876" i="5"/>
  <c r="N876" i="5"/>
  <c r="S876" i="5"/>
  <c r="R876" i="5"/>
  <c r="C876" i="5"/>
  <c r="P876" i="5"/>
  <c r="Q876" i="5"/>
  <c r="Q951" i="5"/>
  <c r="C885" i="5"/>
  <c r="S885" i="5"/>
  <c r="P885" i="5"/>
  <c r="R885" i="5"/>
  <c r="N885" i="5"/>
  <c r="O885" i="5"/>
  <c r="R948" i="5"/>
  <c r="C948" i="5"/>
  <c r="N948" i="5"/>
  <c r="O948" i="5"/>
  <c r="S948" i="5"/>
  <c r="P948" i="5"/>
  <c r="C893" i="5"/>
  <c r="S893" i="5"/>
  <c r="P893" i="5"/>
  <c r="Q893" i="5"/>
  <c r="N893" i="5"/>
  <c r="O893" i="5"/>
  <c r="R893" i="5"/>
  <c r="C923" i="5"/>
  <c r="O923" i="5"/>
  <c r="P923" i="5"/>
  <c r="N923" i="5"/>
  <c r="R923" i="5"/>
  <c r="Q923" i="5"/>
  <c r="S923" i="5"/>
  <c r="C895" i="5"/>
  <c r="R895" i="5"/>
  <c r="S895" i="5"/>
  <c r="P895" i="5"/>
  <c r="O895" i="5"/>
  <c r="Q895" i="5"/>
  <c r="N895" i="5"/>
  <c r="Q948" i="5"/>
  <c r="Q885" i="5"/>
  <c r="C883" i="5"/>
  <c r="O883" i="5"/>
  <c r="N883" i="5"/>
  <c r="P883" i="5"/>
  <c r="R883" i="5"/>
  <c r="S883" i="5"/>
  <c r="Q883" i="5"/>
  <c r="AB655" i="5"/>
  <c r="AL655" i="5" s="1"/>
  <c r="AB693" i="5"/>
  <c r="AL693" i="5" s="1"/>
  <c r="AB690" i="5"/>
  <c r="AL690" i="5" s="1"/>
  <c r="AB692" i="5"/>
  <c r="AL692" i="5" s="1"/>
  <c r="AB691" i="5"/>
  <c r="AL691" i="5" s="1"/>
  <c r="AB694" i="5"/>
  <c r="AL694" i="5" s="1"/>
  <c r="G26" i="16"/>
  <c r="G23" i="15"/>
  <c r="N23" i="15" s="1"/>
  <c r="G26" i="15"/>
  <c r="N26" i="15" s="1"/>
  <c r="M111" i="15"/>
  <c r="O111" i="15" s="1"/>
  <c r="M122" i="15"/>
  <c r="M289" i="15"/>
  <c r="O289" i="15" s="1"/>
  <c r="M118" i="15"/>
  <c r="O118" i="15" s="1"/>
  <c r="M120" i="15"/>
  <c r="O120" i="15" s="1"/>
  <c r="M67" i="15"/>
  <c r="O67" i="15" s="1"/>
  <c r="G878" i="5"/>
  <c r="S875" i="5"/>
  <c r="P875" i="5"/>
  <c r="R875" i="5"/>
  <c r="Q875" i="5"/>
  <c r="N875" i="5"/>
  <c r="C875" i="5"/>
  <c r="O875" i="5"/>
  <c r="N947" i="5"/>
  <c r="S947" i="5"/>
  <c r="Q947" i="5"/>
  <c r="G880" i="5"/>
  <c r="P947" i="5"/>
  <c r="O947" i="5"/>
  <c r="O957" i="5"/>
  <c r="AB678" i="5"/>
  <c r="AL678" i="5" s="1"/>
  <c r="R888" i="5"/>
  <c r="P888" i="5"/>
  <c r="O888" i="5"/>
  <c r="Q888" i="5"/>
  <c r="AL676" i="5"/>
  <c r="N888" i="5"/>
  <c r="S888" i="5"/>
  <c r="AB8" i="5"/>
  <c r="N957" i="5"/>
  <c r="S957" i="5"/>
  <c r="R957" i="5"/>
  <c r="P957" i="5"/>
  <c r="AB681" i="5"/>
  <c r="AL681" i="5" s="1"/>
  <c r="AB680" i="5"/>
  <c r="AL680" i="5" s="1"/>
  <c r="AI590" i="5"/>
  <c r="Y595" i="5"/>
  <c r="AI595" i="5" s="1"/>
  <c r="M255" i="15"/>
  <c r="O255" i="15" s="1"/>
  <c r="Y402" i="5"/>
  <c r="AI402" i="5" s="1"/>
  <c r="AI395" i="5"/>
  <c r="Y399" i="5"/>
  <c r="AI399" i="5" s="1"/>
  <c r="Y400" i="5"/>
  <c r="AI400" i="5" s="1"/>
  <c r="Y398" i="5"/>
  <c r="AI398" i="5" s="1"/>
  <c r="Y397" i="5"/>
  <c r="AI397" i="5" s="1"/>
  <c r="Y401" i="5"/>
  <c r="AI401" i="5" s="1"/>
  <c r="Y403" i="5"/>
  <c r="AI403" i="5" s="1"/>
  <c r="AI337" i="5"/>
  <c r="AI318" i="5"/>
  <c r="AI296" i="5"/>
  <c r="AI336" i="5"/>
  <c r="AI295" i="5"/>
  <c r="AI328" i="5"/>
  <c r="AI307" i="5"/>
  <c r="AI327" i="5"/>
  <c r="AI306" i="5"/>
  <c r="M97" i="15"/>
  <c r="M100" i="15"/>
  <c r="O100" i="15" s="1"/>
  <c r="D8" i="20"/>
  <c r="D3" i="20"/>
  <c r="E25" i="20" s="1"/>
  <c r="G25" i="20" s="1"/>
  <c r="Y213" i="5"/>
  <c r="AI213" i="5" s="1"/>
  <c r="G843" i="5"/>
  <c r="O843" i="5" s="1"/>
  <c r="AI84" i="5"/>
  <c r="Y123" i="5"/>
  <c r="AI123" i="5" s="1"/>
  <c r="Y650" i="5"/>
  <c r="Y88" i="5"/>
  <c r="AI88" i="5" s="1"/>
  <c r="Y178" i="5"/>
  <c r="Y132" i="5"/>
  <c r="AI132" i="5" s="1"/>
  <c r="Y656" i="5"/>
  <c r="Y661" i="5" s="1"/>
  <c r="AI661" i="5" s="1"/>
  <c r="M313" i="15"/>
  <c r="O313" i="15" s="1"/>
  <c r="N839" i="5"/>
  <c r="K749" i="8"/>
  <c r="O749" i="8" s="1"/>
  <c r="J686" i="5"/>
  <c r="P686" i="5" s="1"/>
  <c r="J680" i="5"/>
  <c r="P680" i="5" s="1"/>
  <c r="J336" i="5"/>
  <c r="P336" i="5" s="1"/>
  <c r="J306" i="5"/>
  <c r="P306" i="5" s="1"/>
  <c r="P299" i="5" s="1"/>
  <c r="J317" i="5"/>
  <c r="P317" i="5" s="1"/>
  <c r="J327" i="5"/>
  <c r="P327" i="5" s="1"/>
  <c r="P321" i="5" s="1"/>
  <c r="J295" i="5"/>
  <c r="P295" i="5" s="1"/>
  <c r="O839" i="5"/>
  <c r="AF294" i="5"/>
  <c r="Y316" i="5"/>
  <c r="AI316" i="5" s="1"/>
  <c r="AI305" i="5"/>
  <c r="V315" i="5"/>
  <c r="AF315" i="5" s="1"/>
  <c r="V316" i="5"/>
  <c r="AF316" i="5" s="1"/>
  <c r="K750" i="8"/>
  <c r="O750" i="8" s="1"/>
  <c r="J687" i="5"/>
  <c r="P687" i="5" s="1"/>
  <c r="J681" i="5"/>
  <c r="P681" i="5" s="1"/>
  <c r="G21" i="15"/>
  <c r="M21" i="15" s="1"/>
  <c r="E60" i="16"/>
  <c r="G60" i="16" s="1"/>
  <c r="G10" i="15"/>
  <c r="N10" i="15" s="1"/>
  <c r="M19" i="15"/>
  <c r="O19" i="15" s="1"/>
  <c r="M22" i="15"/>
  <c r="O22" i="15" s="1"/>
  <c r="M36" i="15"/>
  <c r="O36" i="15" s="1"/>
  <c r="M320" i="15"/>
  <c r="O320" i="15" s="1"/>
  <c r="M38" i="15"/>
  <c r="O38" i="15" s="1"/>
  <c r="M309" i="15"/>
  <c r="O309" i="15" s="1"/>
  <c r="J219" i="5"/>
  <c r="P219" i="5" s="1"/>
  <c r="J90" i="5"/>
  <c r="P90" i="5" s="1"/>
  <c r="J134" i="5"/>
  <c r="P134" i="5" s="1"/>
  <c r="J19" i="5"/>
  <c r="P19" i="5" s="1"/>
  <c r="M276" i="15"/>
  <c r="O276" i="15" s="1"/>
  <c r="M275" i="15"/>
  <c r="O275" i="15" s="1"/>
  <c r="M278" i="15"/>
  <c r="O278" i="15" s="1"/>
  <c r="M20" i="15"/>
  <c r="O20" i="15" s="1"/>
  <c r="M18" i="15"/>
  <c r="O18" i="15" s="1"/>
  <c r="M17" i="15"/>
  <c r="O17" i="15" s="1"/>
  <c r="M319" i="15"/>
  <c r="O319" i="15" s="1"/>
  <c r="M27" i="15"/>
  <c r="M279" i="15"/>
  <c r="O279" i="15" s="1"/>
  <c r="C904" i="5"/>
  <c r="G907" i="5"/>
  <c r="K1577" i="8"/>
  <c r="O1577" i="8" s="1"/>
  <c r="K1537" i="8"/>
  <c r="O1537" i="8" s="1"/>
  <c r="K1578" i="8"/>
  <c r="O1578" i="8" s="1"/>
  <c r="K1693" i="8"/>
  <c r="O1693" i="8" s="1"/>
  <c r="K1696" i="8"/>
  <c r="O1696" i="8" s="1"/>
  <c r="M323" i="15"/>
  <c r="O323" i="15" s="1"/>
  <c r="L1693" i="8"/>
  <c r="P1693" i="8" s="1"/>
  <c r="L1696" i="8"/>
  <c r="P1696" i="8" s="1"/>
  <c r="M200" i="13"/>
  <c r="K199" i="13"/>
  <c r="G251" i="14" s="1"/>
  <c r="K2212" i="8"/>
  <c r="O2212" i="8" s="1"/>
  <c r="K1536" i="8"/>
  <c r="O1536" i="8" s="1"/>
  <c r="K2173" i="8"/>
  <c r="O2173" i="8" s="1"/>
  <c r="K1904" i="8"/>
  <c r="K1483" i="8"/>
  <c r="O1483" i="8" s="1"/>
  <c r="K1285" i="8"/>
  <c r="O1285" i="8" s="1"/>
  <c r="K1012" i="8"/>
  <c r="K584" i="8"/>
  <c r="K2011" i="8"/>
  <c r="O2011" i="8" s="1"/>
  <c r="K1732" i="8"/>
  <c r="O1732" i="8" s="1"/>
  <c r="K1384" i="8"/>
  <c r="O1384" i="8" s="1"/>
  <c r="K1106" i="8"/>
  <c r="K2012" i="8"/>
  <c r="O2012" i="8" s="1"/>
  <c r="K1733" i="8"/>
  <c r="O1733" i="8" s="1"/>
  <c r="K1385" i="8"/>
  <c r="O1385" i="8" s="1"/>
  <c r="K1107" i="8"/>
  <c r="K585" i="8"/>
  <c r="O585" i="8" s="1"/>
  <c r="K2174" i="8"/>
  <c r="O2174" i="8" s="1"/>
  <c r="K1905" i="8"/>
  <c r="O1905" i="8" s="1"/>
  <c r="K1484" i="8"/>
  <c r="O1484" i="8" s="1"/>
  <c r="K1286" i="8"/>
  <c r="O1286" i="8" s="1"/>
  <c r="K1013" i="8"/>
  <c r="O1013" i="8" s="1"/>
  <c r="K2128" i="8"/>
  <c r="O2128" i="8" s="1"/>
  <c r="K1450" i="8"/>
  <c r="O1450" i="8" s="1"/>
  <c r="K1977" i="8"/>
  <c r="O1977" i="8" s="1"/>
  <c r="K1868" i="8"/>
  <c r="O1868" i="8" s="1"/>
  <c r="K1695" i="8"/>
  <c r="O1695" i="8" s="1"/>
  <c r="K1447" i="8"/>
  <c r="O1447" i="8" s="1"/>
  <c r="K1348" i="8"/>
  <c r="O1348" i="8" s="1"/>
  <c r="K554" i="8"/>
  <c r="O554" i="8" s="1"/>
  <c r="K1871" i="8"/>
  <c r="O1871" i="8" s="1"/>
  <c r="K1351" i="8"/>
  <c r="O1351" i="8" s="1"/>
  <c r="K1698" i="8"/>
  <c r="O1698" i="8" s="1"/>
  <c r="K977" i="8"/>
  <c r="O977" i="8" s="1"/>
  <c r="M283" i="15"/>
  <c r="O283" i="15" s="1"/>
  <c r="M224" i="13"/>
  <c r="K223" i="13"/>
  <c r="G279" i="14" s="1"/>
  <c r="K1558" i="8"/>
  <c r="O1558" i="8" s="1"/>
  <c r="K1538" i="8"/>
  <c r="O1538" i="8" s="1"/>
  <c r="K2127" i="8"/>
  <c r="O2127" i="8" s="1"/>
  <c r="K1870" i="8"/>
  <c r="O1870" i="8" s="1"/>
  <c r="K1697" i="8"/>
  <c r="O1697" i="8" s="1"/>
  <c r="K1449" i="8"/>
  <c r="O1449" i="8" s="1"/>
  <c r="K1350" i="8"/>
  <c r="O1350" i="8" s="1"/>
  <c r="K976" i="8"/>
  <c r="K866" i="5"/>
  <c r="K1976" i="8"/>
  <c r="O1976" i="8" s="1"/>
  <c r="K1867" i="8"/>
  <c r="O1867" i="8" s="1"/>
  <c r="K1694" i="8"/>
  <c r="O1694" i="8" s="1"/>
  <c r="K1446" i="8"/>
  <c r="O1446" i="8" s="1"/>
  <c r="K1347" i="8"/>
  <c r="O1347" i="8" s="1"/>
  <c r="K553" i="8"/>
  <c r="O553" i="8" s="1"/>
  <c r="M188" i="13"/>
  <c r="K187" i="13"/>
  <c r="G237" i="14" s="1"/>
  <c r="K247" i="13"/>
  <c r="G307" i="14" s="1"/>
  <c r="M248" i="13"/>
  <c r="K235" i="13"/>
  <c r="G293" i="14" s="1"/>
  <c r="M245" i="13"/>
  <c r="Q950" i="5"/>
  <c r="G866" i="5"/>
  <c r="F10" i="13"/>
  <c r="O1401" i="8"/>
  <c r="K556" i="8"/>
  <c r="O556" i="8" s="1"/>
  <c r="K979" i="8"/>
  <c r="O979" i="8" s="1"/>
  <c r="K1073" i="8"/>
  <c r="O1073" i="8" s="1"/>
  <c r="M24" i="15"/>
  <c r="O24" i="15" s="1"/>
  <c r="M315" i="15"/>
  <c r="O315" i="15" s="1"/>
  <c r="M262" i="15"/>
  <c r="O262" i="15" s="1"/>
  <c r="M271" i="15"/>
  <c r="O271" i="15" s="1"/>
  <c r="M273" i="15"/>
  <c r="O273" i="15" s="1"/>
  <c r="M280" i="15"/>
  <c r="O280" i="15" s="1"/>
  <c r="M112" i="15"/>
  <c r="O112" i="15" s="1"/>
  <c r="M126" i="15"/>
  <c r="O126" i="15" s="1"/>
  <c r="M274" i="15"/>
  <c r="O274" i="15" s="1"/>
  <c r="M281" i="15"/>
  <c r="O281" i="15" s="1"/>
  <c r="M8" i="15"/>
  <c r="M92" i="15"/>
  <c r="O92" i="15" s="1"/>
  <c r="M300" i="15"/>
  <c r="O300" i="15" s="1"/>
  <c r="M269" i="15"/>
  <c r="M282" i="15"/>
  <c r="O282" i="15" s="1"/>
  <c r="M306" i="15"/>
  <c r="O306" i="15" s="1"/>
  <c r="N60" i="15"/>
  <c r="K1975" i="8"/>
  <c r="O1975" i="8" s="1"/>
  <c r="K2126" i="8"/>
  <c r="O2126" i="8" s="1"/>
  <c r="M272" i="15"/>
  <c r="O272" i="15" s="1"/>
  <c r="F86" i="11"/>
  <c r="H86" i="11" s="1"/>
  <c r="I86" i="11" s="1"/>
  <c r="J86" i="11" s="1"/>
  <c r="F87" i="11"/>
  <c r="N8" i="15"/>
  <c r="M227" i="15"/>
  <c r="M41" i="15"/>
  <c r="O41" i="15" s="1"/>
  <c r="M318" i="15"/>
  <c r="O318" i="15" s="1"/>
  <c r="M322" i="15"/>
  <c r="O322" i="15" s="1"/>
  <c r="M62" i="15"/>
  <c r="O62" i="15" s="1"/>
  <c r="M175" i="15"/>
  <c r="M114" i="15"/>
  <c r="O114" i="15" s="1"/>
  <c r="M13" i="15"/>
  <c r="O13" i="15" s="1"/>
  <c r="M310" i="15"/>
  <c r="O310" i="15" s="1"/>
  <c r="M261" i="15"/>
  <c r="O261" i="15" s="1"/>
  <c r="M264" i="15"/>
  <c r="O264" i="15" s="1"/>
  <c r="M302" i="15"/>
  <c r="O302" i="15" s="1"/>
  <c r="M15" i="15"/>
  <c r="O15" i="15" s="1"/>
  <c r="M39" i="15"/>
  <c r="O39" i="15" s="1"/>
  <c r="M307" i="15"/>
  <c r="O307" i="15" s="1"/>
  <c r="M93" i="15"/>
  <c r="O93" i="15" s="1"/>
  <c r="M316" i="15"/>
  <c r="O316" i="15" s="1"/>
  <c r="N27" i="15"/>
  <c r="N9" i="15"/>
  <c r="O9" i="15" s="1"/>
  <c r="M14" i="15"/>
  <c r="O14" i="15" s="1"/>
  <c r="L1973" i="8"/>
  <c r="P1973" i="8" s="1"/>
  <c r="L1445" i="8"/>
  <c r="P1445" i="8" s="1"/>
  <c r="P1444" i="8" s="1"/>
  <c r="F254" i="10" s="1"/>
  <c r="F253" i="10" s="1"/>
  <c r="L727" i="8"/>
  <c r="P727" i="8" s="1"/>
  <c r="P726" i="8" s="1"/>
  <c r="F142" i="10" s="1"/>
  <c r="F141" i="10" s="1"/>
  <c r="L1971" i="8"/>
  <c r="P1971" i="8" s="1"/>
  <c r="O2184" i="8"/>
  <c r="O2020" i="8"/>
  <c r="O1912" i="8"/>
  <c r="O1751" i="8"/>
  <c r="O1492" i="8"/>
  <c r="O1392" i="8"/>
  <c r="M88" i="15"/>
  <c r="K2215" i="8"/>
  <c r="O2215" i="8" s="1"/>
  <c r="K2048" i="8"/>
  <c r="O2048" i="8" s="1"/>
  <c r="K1780" i="8"/>
  <c r="O1780" i="8" s="1"/>
  <c r="K1940" i="8"/>
  <c r="O1940" i="8" s="1"/>
  <c r="K1417" i="8"/>
  <c r="O1417" i="8" s="1"/>
  <c r="K1518" i="8"/>
  <c r="O1518" i="8" s="1"/>
  <c r="K1699" i="8"/>
  <c r="O1699" i="8" s="1"/>
  <c r="K1451" i="8"/>
  <c r="O1451" i="8" s="1"/>
  <c r="K928" i="5"/>
  <c r="Q928" i="5" s="1"/>
  <c r="K1437" i="8"/>
  <c r="O1437" i="8" s="1"/>
  <c r="K2172" i="8"/>
  <c r="O2172" i="8" s="1"/>
  <c r="K2010" i="8"/>
  <c r="O2010" i="8" s="1"/>
  <c r="K1731" i="8"/>
  <c r="O1731" i="8" s="1"/>
  <c r="K1903" i="8"/>
  <c r="O1903" i="8" s="1"/>
  <c r="K1383" i="8"/>
  <c r="O1383" i="8" s="1"/>
  <c r="K1482" i="8"/>
  <c r="O1482" i="8" s="1"/>
  <c r="K2147" i="8"/>
  <c r="O2147" i="8" s="1"/>
  <c r="K1996" i="8"/>
  <c r="O1996" i="8" s="1"/>
  <c r="K1716" i="8"/>
  <c r="O1716" i="8" s="1"/>
  <c r="K1889" i="8"/>
  <c r="O1889" i="8" s="1"/>
  <c r="K1468" i="8"/>
  <c r="O1468" i="8" s="1"/>
  <c r="K1369" i="8"/>
  <c r="O1369" i="8" s="1"/>
  <c r="O2199" i="8"/>
  <c r="O2033" i="8"/>
  <c r="O1764" i="8"/>
  <c r="O1925" i="8"/>
  <c r="O1504" i="8"/>
  <c r="M33" i="15"/>
  <c r="O33" i="15" s="1"/>
  <c r="M312" i="15"/>
  <c r="M258" i="15"/>
  <c r="L1972" i="8"/>
  <c r="P1972" i="8" s="1"/>
  <c r="L1346" i="8"/>
  <c r="P1346" i="8" s="1"/>
  <c r="P1345" i="8" s="1"/>
  <c r="F240" i="10" s="1"/>
  <c r="F239" i="10" s="1"/>
  <c r="O1904" i="8"/>
  <c r="P1436" i="8"/>
  <c r="K2129" i="8"/>
  <c r="O2129" i="8" s="1"/>
  <c r="K1978" i="8"/>
  <c r="O1978" i="8" s="1"/>
  <c r="K1872" i="8"/>
  <c r="O1872" i="8" s="1"/>
  <c r="K790" i="8"/>
  <c r="O790" i="8" s="1"/>
  <c r="K2177" i="8"/>
  <c r="O2177" i="8" s="1"/>
  <c r="K2016" i="8"/>
  <c r="O2016" i="8" s="1"/>
  <c r="K1908" i="8"/>
  <c r="O1908" i="8" s="1"/>
  <c r="K1747" i="8"/>
  <c r="O1747" i="8" s="1"/>
  <c r="K1487" i="8"/>
  <c r="O1487" i="8" s="1"/>
  <c r="K1388" i="8"/>
  <c r="O1388" i="8" s="1"/>
  <c r="K403" i="5"/>
  <c r="Q403" i="5" s="1"/>
  <c r="Q395" i="5" s="1"/>
  <c r="J40" i="6" s="1"/>
  <c r="P40" i="6" s="1"/>
  <c r="K411" i="5"/>
  <c r="Q411" i="5" s="1"/>
  <c r="Q404" i="5" s="1"/>
  <c r="J41" i="6" s="1"/>
  <c r="P41" i="6" s="1"/>
  <c r="O2257" i="8"/>
  <c r="K2079" i="8"/>
  <c r="O2079" i="8" s="1"/>
  <c r="O1948" i="8"/>
  <c r="O1812" i="8"/>
  <c r="K1765" i="8"/>
  <c r="O1765" i="8" s="1"/>
  <c r="O1402" i="8"/>
  <c r="K1505" i="8"/>
  <c r="O1505" i="8" s="1"/>
  <c r="O1422" i="8"/>
  <c r="K414" i="8"/>
  <c r="O414" i="8" s="1"/>
  <c r="M91" i="15"/>
  <c r="O91" i="15" s="1"/>
  <c r="M34" i="15"/>
  <c r="O34" i="15" s="1"/>
  <c r="M299" i="15"/>
  <c r="M301" i="15"/>
  <c r="O301" i="15" s="1"/>
  <c r="M314" i="15"/>
  <c r="O314" i="15" s="1"/>
  <c r="M253" i="15"/>
  <c r="M260" i="15"/>
  <c r="O260" i="15" s="1"/>
  <c r="M257" i="15"/>
  <c r="O257" i="15" s="1"/>
  <c r="L2124" i="8"/>
  <c r="P2124" i="8" s="1"/>
  <c r="P2123" i="8" s="1"/>
  <c r="F324" i="10" s="1"/>
  <c r="F323" i="10" s="1"/>
  <c r="L1866" i="8"/>
  <c r="P1866" i="8" s="1"/>
  <c r="P1865" i="8" s="1"/>
  <c r="F296" i="10" s="1"/>
  <c r="F295" i="10" s="1"/>
  <c r="K1352" i="8"/>
  <c r="O1352" i="8" s="1"/>
  <c r="K2727" i="8"/>
  <c r="O2727" i="8" s="1"/>
  <c r="K2284" i="8"/>
  <c r="O2284" i="8" s="1"/>
  <c r="K2047" i="8"/>
  <c r="O2047" i="8" s="1"/>
  <c r="K2097" i="8"/>
  <c r="O2097" i="8" s="1"/>
  <c r="K2187" i="8"/>
  <c r="O2187" i="8" s="1"/>
  <c r="K2214" i="8"/>
  <c r="O2214" i="8" s="1"/>
  <c r="K2023" i="8"/>
  <c r="O2023" i="8" s="1"/>
  <c r="K1967" i="8"/>
  <c r="O1967" i="8" s="1"/>
  <c r="K1517" i="8"/>
  <c r="O1517" i="8" s="1"/>
  <c r="K1779" i="8"/>
  <c r="O1779" i="8" s="1"/>
  <c r="K1832" i="8"/>
  <c r="O1832" i="8" s="1"/>
  <c r="K1557" i="8"/>
  <c r="O1557" i="8" s="1"/>
  <c r="K1939" i="8"/>
  <c r="O1939" i="8" s="1"/>
  <c r="K1915" i="8"/>
  <c r="O1915" i="8" s="1"/>
  <c r="K1754" i="8"/>
  <c r="O1754" i="8" s="1"/>
  <c r="K1416" i="8"/>
  <c r="O1416" i="8" s="1"/>
  <c r="K1495" i="8"/>
  <c r="O1495" i="8" s="1"/>
  <c r="K1441" i="8"/>
  <c r="O1441" i="8" s="1"/>
  <c r="K1395" i="8"/>
  <c r="O1395" i="8" s="1"/>
  <c r="O1436" i="8"/>
  <c r="K2171" i="8"/>
  <c r="O2171" i="8" s="1"/>
  <c r="K2009" i="8"/>
  <c r="O2009" i="8" s="1"/>
  <c r="K1902" i="8"/>
  <c r="O1902" i="8" s="1"/>
  <c r="K1730" i="8"/>
  <c r="O1730" i="8" s="1"/>
  <c r="K1481" i="8"/>
  <c r="O1481" i="8" s="1"/>
  <c r="K1382" i="8"/>
  <c r="O1382" i="8" s="1"/>
  <c r="K2150" i="8"/>
  <c r="O2150" i="8" s="1"/>
  <c r="K1999" i="8"/>
  <c r="O1999" i="8" s="1"/>
  <c r="K1892" i="8"/>
  <c r="O1892" i="8" s="1"/>
  <c r="K1719" i="8"/>
  <c r="O1719" i="8" s="1"/>
  <c r="K1471" i="8"/>
  <c r="O1471" i="8" s="1"/>
  <c r="K1972" i="8"/>
  <c r="O1972" i="8" s="1"/>
  <c r="K1346" i="8"/>
  <c r="O1346" i="8" s="1"/>
  <c r="M37" i="15"/>
  <c r="O37" i="15" s="1"/>
  <c r="M89" i="15"/>
  <c r="O89" i="15" s="1"/>
  <c r="K1973" i="8"/>
  <c r="O1973" i="8" s="1"/>
  <c r="K1445" i="8"/>
  <c r="O1445" i="8" s="1"/>
  <c r="M29" i="15"/>
  <c r="O29" i="15" s="1"/>
  <c r="M25" i="15"/>
  <c r="O25" i="15" s="1"/>
  <c r="M31" i="15"/>
  <c r="O31" i="15" s="1"/>
  <c r="M35" i="15"/>
  <c r="O35" i="15" s="1"/>
  <c r="M303" i="15"/>
  <c r="O303" i="15" s="1"/>
  <c r="M317" i="15"/>
  <c r="O317" i="15" s="1"/>
  <c r="M259" i="15"/>
  <c r="O259" i="15" s="1"/>
  <c r="M75" i="15"/>
  <c r="O75" i="15" s="1"/>
  <c r="N11" i="15"/>
  <c r="O11" i="15" s="1"/>
  <c r="K2213" i="8"/>
  <c r="O2213" i="8" s="1"/>
  <c r="K2282" i="8"/>
  <c r="O2282" i="8" s="1"/>
  <c r="K2046" i="8"/>
  <c r="O2046" i="8" s="1"/>
  <c r="K2096" i="8"/>
  <c r="O2096" i="8" s="1"/>
  <c r="K1966" i="8"/>
  <c r="O1966" i="8" s="1"/>
  <c r="K1831" i="8"/>
  <c r="O1831" i="8" s="1"/>
  <c r="K1556" i="8"/>
  <c r="O1556" i="8" s="1"/>
  <c r="K1938" i="8"/>
  <c r="O1938" i="8" s="1"/>
  <c r="K1778" i="8"/>
  <c r="O1778" i="8" s="1"/>
  <c r="K1516" i="8"/>
  <c r="O1516" i="8" s="1"/>
  <c r="K1440" i="8"/>
  <c r="O1440" i="8" s="1"/>
  <c r="K1415" i="8"/>
  <c r="O1415" i="8" s="1"/>
  <c r="O2186" i="8"/>
  <c r="O2022" i="8"/>
  <c r="O1914" i="8"/>
  <c r="O1753" i="8"/>
  <c r="O1494" i="8"/>
  <c r="O1394" i="8"/>
  <c r="M928" i="5"/>
  <c r="S928" i="5" s="1"/>
  <c r="L1437" i="8"/>
  <c r="P1437" i="8" s="1"/>
  <c r="O2198" i="8"/>
  <c r="O2031" i="8"/>
  <c r="O1924" i="8"/>
  <c r="O828" i="8"/>
  <c r="O2258" i="8"/>
  <c r="K2080" i="8"/>
  <c r="O2080" i="8" s="1"/>
  <c r="O1814" i="8"/>
  <c r="O1544" i="8"/>
  <c r="O1949" i="8"/>
  <c r="O1423" i="8"/>
  <c r="K2124" i="8"/>
  <c r="O2124" i="8" s="1"/>
  <c r="K1866" i="8"/>
  <c r="O1866" i="8" s="1"/>
  <c r="M305" i="15"/>
  <c r="O305" i="15" s="1"/>
  <c r="M267" i="15"/>
  <c r="O267" i="15" s="1"/>
  <c r="M90" i="15"/>
  <c r="O90" i="15" s="1"/>
  <c r="M304" i="15"/>
  <c r="O304" i="15" s="1"/>
  <c r="M256" i="15"/>
  <c r="O256" i="15" s="1"/>
  <c r="N12" i="15"/>
  <c r="O12" i="15" s="1"/>
  <c r="F84" i="11"/>
  <c r="H84" i="11" s="1"/>
  <c r="I84" i="11" s="1"/>
  <c r="J84" i="11" s="1"/>
  <c r="F81" i="11"/>
  <c r="H81" i="11" s="1"/>
  <c r="I81" i="11" s="1"/>
  <c r="J81" i="11" s="1"/>
  <c r="F85" i="11"/>
  <c r="H85" i="11" s="1"/>
  <c r="I85" i="11" s="1"/>
  <c r="J85" i="11" s="1"/>
  <c r="F82" i="11"/>
  <c r="H82" i="11" s="1"/>
  <c r="I82" i="11" s="1"/>
  <c r="J82" i="11" s="1"/>
  <c r="N69" i="15"/>
  <c r="N96" i="15"/>
  <c r="M290" i="15"/>
  <c r="O290" i="15" s="1"/>
  <c r="M288" i="15"/>
  <c r="O288" i="15" s="1"/>
  <c r="AB363" i="5"/>
  <c r="AL363" i="5" s="1"/>
  <c r="AB54" i="5"/>
  <c r="AL54" i="5" s="1"/>
  <c r="AB96" i="5"/>
  <c r="AL96" i="5" s="1"/>
  <c r="AB364" i="5"/>
  <c r="AL364" i="5" s="1"/>
  <c r="AB653" i="5"/>
  <c r="AL653" i="5" s="1"/>
  <c r="AB104" i="5"/>
  <c r="AL104" i="5" s="1"/>
  <c r="S912" i="5"/>
  <c r="AB53" i="5"/>
  <c r="AL53" i="5" s="1"/>
  <c r="AB64" i="5"/>
  <c r="AL64" i="5" s="1"/>
  <c r="AB652" i="5"/>
  <c r="AL652" i="5" s="1"/>
  <c r="R912" i="5"/>
  <c r="AB57" i="5"/>
  <c r="AL57" i="5" s="1"/>
  <c r="AB63" i="5"/>
  <c r="AL63" i="5" s="1"/>
  <c r="AB98" i="5"/>
  <c r="AL98" i="5" s="1"/>
  <c r="AB367" i="5"/>
  <c r="AL367" i="5" s="1"/>
  <c r="AB112" i="5"/>
  <c r="AL112" i="5" s="1"/>
  <c r="O909" i="5"/>
  <c r="AB52" i="5"/>
  <c r="AL52" i="5" s="1"/>
  <c r="AB654" i="5"/>
  <c r="AL654" i="5" s="1"/>
  <c r="AB105" i="5"/>
  <c r="AL105" i="5" s="1"/>
  <c r="AB106" i="5"/>
  <c r="AL106" i="5" s="1"/>
  <c r="Q912" i="5"/>
  <c r="P912" i="5"/>
  <c r="AB55" i="5"/>
  <c r="AL55" i="5" s="1"/>
  <c r="AB56" i="5"/>
  <c r="AL56" i="5" s="1"/>
  <c r="AB65" i="5"/>
  <c r="AL65" i="5" s="1"/>
  <c r="AB97" i="5"/>
  <c r="AL97" i="5" s="1"/>
  <c r="O912" i="5"/>
  <c r="Q949" i="5"/>
  <c r="AB121" i="5"/>
  <c r="AL121" i="5" s="1"/>
  <c r="AB588" i="5"/>
  <c r="AL588" i="5" s="1"/>
  <c r="P909" i="5"/>
  <c r="AB587" i="5"/>
  <c r="AL587" i="5" s="1"/>
  <c r="AB585" i="5"/>
  <c r="AL585" i="5" s="1"/>
  <c r="AB368" i="5"/>
  <c r="AL368" i="5" s="1"/>
  <c r="AB111" i="5"/>
  <c r="AL111" i="5" s="1"/>
  <c r="AB114" i="5"/>
  <c r="AL114" i="5" s="1"/>
  <c r="AB120" i="5"/>
  <c r="AL120" i="5" s="1"/>
  <c r="R909" i="5"/>
  <c r="AB589" i="5"/>
  <c r="AL589" i="5" s="1"/>
  <c r="AB583" i="5"/>
  <c r="AL583" i="5" s="1"/>
  <c r="AB113" i="5"/>
  <c r="AL113" i="5" s="1"/>
  <c r="AB109" i="5"/>
  <c r="AL109" i="5" s="1"/>
  <c r="Q909" i="5"/>
  <c r="AB584" i="5"/>
  <c r="AL584" i="5" s="1"/>
  <c r="AB586" i="5"/>
  <c r="AL586" i="5" s="1"/>
  <c r="AB110" i="5"/>
  <c r="AL110" i="5" s="1"/>
  <c r="AB122" i="5"/>
  <c r="AL122" i="5" s="1"/>
  <c r="S909" i="5"/>
  <c r="C950" i="5"/>
  <c r="O950" i="5"/>
  <c r="P950" i="5"/>
  <c r="R950" i="5"/>
  <c r="N950" i="5"/>
  <c r="S950" i="5"/>
  <c r="AB596" i="5"/>
  <c r="AL596" i="5" s="1"/>
  <c r="AB291" i="5"/>
  <c r="AL291" i="5" s="1"/>
  <c r="AB599" i="5"/>
  <c r="AL599" i="5" s="1"/>
  <c r="AB86" i="5"/>
  <c r="AL86" i="5" s="1"/>
  <c r="R913" i="5"/>
  <c r="N870" i="5"/>
  <c r="AB293" i="5"/>
  <c r="AL293" i="5" s="1"/>
  <c r="AB600" i="5"/>
  <c r="AL600" i="5" s="1"/>
  <c r="AB592" i="5"/>
  <c r="AL592" i="5" s="1"/>
  <c r="S913" i="5"/>
  <c r="S870" i="5"/>
  <c r="AB292" i="5"/>
  <c r="AL292" i="5" s="1"/>
  <c r="AB595" i="5"/>
  <c r="AL595" i="5" s="1"/>
  <c r="AB598" i="5"/>
  <c r="AL598" i="5" s="1"/>
  <c r="Q913" i="5"/>
  <c r="O913" i="5"/>
  <c r="R870" i="5"/>
  <c r="O870" i="5"/>
  <c r="AB597" i="5"/>
  <c r="AL597" i="5" s="1"/>
  <c r="AB593" i="5"/>
  <c r="AL593" i="5" s="1"/>
  <c r="AB594" i="5"/>
  <c r="AL594" i="5" s="1"/>
  <c r="AB87" i="5"/>
  <c r="AL87" i="5" s="1"/>
  <c r="P913" i="5"/>
  <c r="P870" i="5"/>
  <c r="Q870" i="5"/>
  <c r="AB565" i="5"/>
  <c r="AL565" i="5" s="1"/>
  <c r="AB564" i="5"/>
  <c r="AL564" i="5" s="1"/>
  <c r="AB301" i="5"/>
  <c r="AL301" i="5" s="1"/>
  <c r="O915" i="5"/>
  <c r="O871" i="5"/>
  <c r="AB302" i="5"/>
  <c r="AL302" i="5" s="1"/>
  <c r="AB563" i="5"/>
  <c r="AL563" i="5" s="1"/>
  <c r="R871" i="5"/>
  <c r="S915" i="5"/>
  <c r="AB308" i="5"/>
  <c r="AL308" i="5" s="1"/>
  <c r="N871" i="5"/>
  <c r="AB569" i="5"/>
  <c r="AL569" i="5" s="1"/>
  <c r="AB566" i="5"/>
  <c r="AL566" i="5" s="1"/>
  <c r="S871" i="5"/>
  <c r="R915" i="5"/>
  <c r="Q915" i="5"/>
  <c r="AB303" i="5"/>
  <c r="AL303" i="5" s="1"/>
  <c r="AB309" i="5"/>
  <c r="AL309" i="5" s="1"/>
  <c r="AB567" i="5"/>
  <c r="AL567" i="5" s="1"/>
  <c r="AB568" i="5"/>
  <c r="AL568" i="5" s="1"/>
  <c r="Q871" i="5"/>
  <c r="P871" i="5"/>
  <c r="P915" i="5"/>
  <c r="Y411" i="5"/>
  <c r="AI411" i="5" s="1"/>
  <c r="Y406" i="5"/>
  <c r="AI406" i="5" s="1"/>
  <c r="Y410" i="5"/>
  <c r="AI410" i="5" s="1"/>
  <c r="Y409" i="5"/>
  <c r="AI409" i="5" s="1"/>
  <c r="Y407" i="5"/>
  <c r="AI407" i="5" s="1"/>
  <c r="Y408" i="5"/>
  <c r="AI408" i="5" s="1"/>
  <c r="K934" i="8"/>
  <c r="O934" i="8" s="1"/>
  <c r="K350" i="8"/>
  <c r="O350" i="8" s="1"/>
  <c r="K477" i="8"/>
  <c r="O477" i="8" s="1"/>
  <c r="K420" i="5"/>
  <c r="Q420" i="5" s="1"/>
  <c r="Q412" i="5" s="1"/>
  <c r="K428" i="5"/>
  <c r="Q428" i="5" s="1"/>
  <c r="Q421" i="5" s="1"/>
  <c r="J43" i="6" s="1"/>
  <c r="P43" i="6" s="1"/>
  <c r="K305" i="8"/>
  <c r="O305" i="8" s="1"/>
  <c r="K432" i="8"/>
  <c r="O432" i="8" s="1"/>
  <c r="K2726" i="8"/>
  <c r="O2726" i="8" s="1"/>
  <c r="K501" i="8"/>
  <c r="O501" i="8" s="1"/>
  <c r="K2606" i="8"/>
  <c r="O2606" i="8" s="1"/>
  <c r="K772" i="8"/>
  <c r="O772" i="8" s="1"/>
  <c r="K884" i="8"/>
  <c r="O884" i="8" s="1"/>
  <c r="AH547" i="5"/>
  <c r="X550" i="5"/>
  <c r="AH550" i="5" s="1"/>
  <c r="X552" i="5"/>
  <c r="AH552" i="5" s="1"/>
  <c r="X551" i="5"/>
  <c r="AH551" i="5" s="1"/>
  <c r="X549" i="5"/>
  <c r="AH549" i="5" s="1"/>
  <c r="W553" i="5"/>
  <c r="AG553" i="5" s="1"/>
  <c r="F76" i="22"/>
  <c r="I71" i="22"/>
  <c r="E1" i="22" s="1"/>
  <c r="C808" i="5"/>
  <c r="G849" i="5"/>
  <c r="C849" i="5" s="1"/>
  <c r="G850" i="5"/>
  <c r="R850" i="5" s="1"/>
  <c r="C809" i="5"/>
  <c r="V377" i="5"/>
  <c r="AF377" i="5" s="1"/>
  <c r="F36" i="6"/>
  <c r="N36" i="6" s="1"/>
  <c r="V376" i="5"/>
  <c r="AF376" i="5" s="1"/>
  <c r="V375" i="5"/>
  <c r="AF375" i="5" s="1"/>
  <c r="AF373" i="5"/>
  <c r="V392" i="5"/>
  <c r="AF392" i="5" s="1"/>
  <c r="V393" i="5"/>
  <c r="AF393" i="5" s="1"/>
  <c r="C820" i="5"/>
  <c r="N820" i="5"/>
  <c r="V447" i="5"/>
  <c r="AF447" i="5" s="1"/>
  <c r="V449" i="5"/>
  <c r="AF449" i="5" s="1"/>
  <c r="V450" i="5"/>
  <c r="AF450" i="5" s="1"/>
  <c r="V448" i="5"/>
  <c r="AF448" i="5" s="1"/>
  <c r="V446" i="5"/>
  <c r="AF446" i="5" s="1"/>
  <c r="V549" i="5"/>
  <c r="AF549" i="5" s="1"/>
  <c r="V553" i="5"/>
  <c r="AF553" i="5" s="1"/>
  <c r="V551" i="5"/>
  <c r="AF551" i="5" s="1"/>
  <c r="V552" i="5"/>
  <c r="AF552" i="5" s="1"/>
  <c r="V550" i="5"/>
  <c r="AF550" i="5" s="1"/>
  <c r="G807" i="5"/>
  <c r="C807" i="5" s="1"/>
  <c r="V213" i="5"/>
  <c r="AF213" i="5" s="1"/>
  <c r="F13" i="6"/>
  <c r="R13" i="6" s="1"/>
  <c r="V533" i="5"/>
  <c r="AF533" i="5" s="1"/>
  <c r="V463" i="5"/>
  <c r="AF463" i="5" s="1"/>
  <c r="V138" i="5"/>
  <c r="G822" i="5"/>
  <c r="C822" i="5" s="1"/>
  <c r="G826" i="5"/>
  <c r="C826" i="5" s="1"/>
  <c r="V412" i="5"/>
  <c r="G824" i="5"/>
  <c r="C824" i="5" s="1"/>
  <c r="AF84" i="5"/>
  <c r="AF88" i="5"/>
  <c r="F34" i="6"/>
  <c r="N34" i="6" s="1"/>
  <c r="V227" i="5"/>
  <c r="AF227" i="5" s="1"/>
  <c r="V497" i="5"/>
  <c r="AF497" i="5" s="1"/>
  <c r="S828" i="5"/>
  <c r="F89" i="6"/>
  <c r="Q89" i="6" s="1"/>
  <c r="Q819" i="5"/>
  <c r="Q820" i="5"/>
  <c r="G812" i="5"/>
  <c r="P812" i="5" s="1"/>
  <c r="V132" i="5"/>
  <c r="AF132" i="5" s="1"/>
  <c r="V719" i="5"/>
  <c r="V722" i="5" s="1"/>
  <c r="AF722" i="5" s="1"/>
  <c r="G830" i="5"/>
  <c r="O830" i="5" s="1"/>
  <c r="G841" i="5"/>
  <c r="C841" i="5" s="1"/>
  <c r="C868" i="5"/>
  <c r="V729" i="5"/>
  <c r="AF729" i="5" s="1"/>
  <c r="V633" i="5"/>
  <c r="AF633" i="5" s="1"/>
  <c r="F23" i="6"/>
  <c r="B23" i="6" s="1"/>
  <c r="V714" i="5"/>
  <c r="AF714" i="5" s="1"/>
  <c r="V650" i="5"/>
  <c r="AF650" i="5" s="1"/>
  <c r="V656" i="5"/>
  <c r="AF656" i="5" s="1"/>
  <c r="V606" i="5"/>
  <c r="AF606" i="5" s="1"/>
  <c r="V603" i="5"/>
  <c r="AF603" i="5" s="1"/>
  <c r="V608" i="5"/>
  <c r="AF608" i="5" s="1"/>
  <c r="V605" i="5"/>
  <c r="AF605" i="5" s="1"/>
  <c r="V609" i="5"/>
  <c r="AF609" i="5" s="1"/>
  <c r="V607" i="5"/>
  <c r="AF607" i="5" s="1"/>
  <c r="V604" i="5"/>
  <c r="AF604" i="5" s="1"/>
  <c r="V178" i="5"/>
  <c r="V272" i="5" s="1"/>
  <c r="AF272" i="5" s="1"/>
  <c r="V123" i="5"/>
  <c r="AF123" i="5" s="1"/>
  <c r="AB17" i="5"/>
  <c r="G891" i="5"/>
  <c r="C891" i="5" s="1"/>
  <c r="G914" i="5"/>
  <c r="C914" i="5" s="1"/>
  <c r="G910" i="5"/>
  <c r="C910" i="5" s="1"/>
  <c r="AB570" i="5"/>
  <c r="AL570" i="5" s="1"/>
  <c r="AB88" i="5"/>
  <c r="AL88" i="5" s="1"/>
  <c r="AL299" i="5"/>
  <c r="AB656" i="5"/>
  <c r="AL674" i="5" s="1"/>
  <c r="G899" i="5"/>
  <c r="C899" i="5" s="1"/>
  <c r="G896" i="5"/>
  <c r="C896" i="5" s="1"/>
  <c r="AB667" i="5"/>
  <c r="AL667" i="5" s="1"/>
  <c r="AB668" i="5"/>
  <c r="AL668" i="5" s="1"/>
  <c r="AB665" i="5"/>
  <c r="AL665" i="5" s="1"/>
  <c r="AB666" i="5"/>
  <c r="AL666" i="5" s="1"/>
  <c r="AB664" i="5"/>
  <c r="AL664" i="5" s="1"/>
  <c r="AL650" i="5"/>
  <c r="C949" i="5"/>
  <c r="P949" i="5"/>
  <c r="R949" i="5"/>
  <c r="O949" i="5"/>
  <c r="S949" i="5"/>
  <c r="N949" i="5"/>
  <c r="O874" i="5"/>
  <c r="O730" i="8"/>
  <c r="W552" i="5"/>
  <c r="AG552" i="5" s="1"/>
  <c r="AG547" i="5"/>
  <c r="W549" i="5"/>
  <c r="AG549" i="5" s="1"/>
  <c r="W550" i="5"/>
  <c r="AG550" i="5" s="1"/>
  <c r="K2514" i="8"/>
  <c r="O2514" i="8" s="1"/>
  <c r="K530" i="8"/>
  <c r="O530" i="8" s="1"/>
  <c r="K525" i="8"/>
  <c r="O525" i="8" s="1"/>
  <c r="Q959" i="5"/>
  <c r="K966" i="8"/>
  <c r="O966" i="8" s="1"/>
  <c r="K858" i="8"/>
  <c r="O858" i="8" s="1"/>
  <c r="K851" i="8"/>
  <c r="O851" i="8" s="1"/>
  <c r="K508" i="8"/>
  <c r="O508" i="8" s="1"/>
  <c r="K2731" i="8"/>
  <c r="O2731" i="8" s="1"/>
  <c r="K2519" i="8"/>
  <c r="O2519" i="8" s="1"/>
  <c r="K398" i="8"/>
  <c r="O398" i="8" s="1"/>
  <c r="K2736" i="8"/>
  <c r="O2736" i="8" s="1"/>
  <c r="K540" i="8"/>
  <c r="O540" i="8" s="1"/>
  <c r="K535" i="8"/>
  <c r="O535" i="8" s="1"/>
  <c r="K2741" i="8"/>
  <c r="O2741" i="8" s="1"/>
  <c r="K520" i="8"/>
  <c r="O520" i="8" s="1"/>
  <c r="K545" i="8"/>
  <c r="O545" i="8" s="1"/>
  <c r="K393" i="8"/>
  <c r="O393" i="8" s="1"/>
  <c r="K2522" i="8"/>
  <c r="O2522" i="8" s="1"/>
  <c r="K855" i="8"/>
  <c r="O855" i="8" s="1"/>
  <c r="K533" i="8"/>
  <c r="O533" i="8" s="1"/>
  <c r="K548" i="8"/>
  <c r="O548" i="8" s="1"/>
  <c r="K543" i="8"/>
  <c r="O543" i="8" s="1"/>
  <c r="K538" i="8"/>
  <c r="O538" i="8" s="1"/>
  <c r="K2734" i="8"/>
  <c r="O2734" i="8" s="1"/>
  <c r="K2517" i="8"/>
  <c r="O2517" i="8" s="1"/>
  <c r="K512" i="8"/>
  <c r="O512" i="8" s="1"/>
  <c r="K406" i="8"/>
  <c r="O406" i="8" s="1"/>
  <c r="K396" i="8"/>
  <c r="O396" i="8" s="1"/>
  <c r="K971" i="8"/>
  <c r="O971" i="8" s="1"/>
  <c r="K523" i="8"/>
  <c r="O523" i="8" s="1"/>
  <c r="K2739" i="8"/>
  <c r="O2739" i="8" s="1"/>
  <c r="K528" i="8"/>
  <c r="O528" i="8" s="1"/>
  <c r="K401" i="8"/>
  <c r="O401" i="8" s="1"/>
  <c r="K391" i="8"/>
  <c r="O391" i="8" s="1"/>
  <c r="K2744" i="8"/>
  <c r="O2744" i="8" s="1"/>
  <c r="K386" i="8"/>
  <c r="O386" i="8" s="1"/>
  <c r="K2394" i="8"/>
  <c r="O2394" i="8" s="1"/>
  <c r="K2384" i="8"/>
  <c r="O2384" i="8" s="1"/>
  <c r="K759" i="8"/>
  <c r="O759" i="8" s="1"/>
  <c r="K2613" i="8"/>
  <c r="O2613" i="8" s="1"/>
  <c r="K2623" i="8"/>
  <c r="O2623" i="8" s="1"/>
  <c r="K2397" i="8"/>
  <c r="O2397" i="8" s="1"/>
  <c r="K2386" i="8"/>
  <c r="O2386" i="8" s="1"/>
  <c r="K762" i="8"/>
  <c r="O762" i="8" s="1"/>
  <c r="K2626" i="8"/>
  <c r="O2626" i="8" s="1"/>
  <c r="K2615" i="8"/>
  <c r="O2615" i="8" s="1"/>
  <c r="L2734" i="8"/>
  <c r="P2734" i="8" s="1"/>
  <c r="L2517" i="8"/>
  <c r="P2517" i="8" s="1"/>
  <c r="L512" i="8"/>
  <c r="P512" i="8" s="1"/>
  <c r="L406" i="8"/>
  <c r="P406" i="8" s="1"/>
  <c r="L396" i="8"/>
  <c r="P396" i="8" s="1"/>
  <c r="L533" i="8"/>
  <c r="P533" i="8" s="1"/>
  <c r="L2739" i="8"/>
  <c r="P2739" i="8" s="1"/>
  <c r="L528" i="8"/>
  <c r="P528" i="8" s="1"/>
  <c r="L401" i="8"/>
  <c r="P401" i="8" s="1"/>
  <c r="L855" i="8"/>
  <c r="P855" i="8" s="1"/>
  <c r="L2744" i="8"/>
  <c r="P2744" i="8" s="1"/>
  <c r="L971" i="8"/>
  <c r="P971" i="8" s="1"/>
  <c r="L548" i="8"/>
  <c r="P548" i="8" s="1"/>
  <c r="L543" i="8"/>
  <c r="P543" i="8" s="1"/>
  <c r="L538" i="8"/>
  <c r="P538" i="8" s="1"/>
  <c r="L523" i="8"/>
  <c r="P523" i="8" s="1"/>
  <c r="L391" i="8"/>
  <c r="P391" i="8" s="1"/>
  <c r="L2522" i="8"/>
  <c r="P2522" i="8" s="1"/>
  <c r="L386" i="8"/>
  <c r="P386" i="8" s="1"/>
  <c r="G213" i="23"/>
  <c r="F80" i="11"/>
  <c r="H80" i="11" s="1"/>
  <c r="I80" i="11" s="1"/>
  <c r="J80" i="11" s="1"/>
  <c r="G199" i="23"/>
  <c r="F79" i="11"/>
  <c r="H79" i="11" s="1"/>
  <c r="I79" i="11" s="1"/>
  <c r="J79" i="11" s="1"/>
  <c r="G220" i="23"/>
  <c r="F183" i="11"/>
  <c r="H183" i="11" s="1"/>
  <c r="I183" i="11" s="1"/>
  <c r="J183" i="11" s="1"/>
  <c r="G94" i="23"/>
  <c r="F174" i="11"/>
  <c r="H174" i="11" s="1"/>
  <c r="I174" i="11" s="1"/>
  <c r="J174" i="11" s="1"/>
  <c r="G59" i="23"/>
  <c r="F69" i="11"/>
  <c r="H69" i="11" s="1"/>
  <c r="I69" i="11" s="1"/>
  <c r="J69" i="11" s="1"/>
  <c r="G206" i="23"/>
  <c r="F182" i="11"/>
  <c r="H182" i="11" s="1"/>
  <c r="I182" i="11" s="1"/>
  <c r="J182" i="11" s="1"/>
  <c r="G66" i="23"/>
  <c r="F172" i="11"/>
  <c r="H172" i="11" s="1"/>
  <c r="I172" i="11" s="1"/>
  <c r="J172" i="11" s="1"/>
  <c r="G87" i="23"/>
  <c r="F71" i="11"/>
  <c r="H71" i="11" s="1"/>
  <c r="I71" i="11" s="1"/>
  <c r="J71" i="11" s="1"/>
  <c r="M164" i="13"/>
  <c r="K163" i="13"/>
  <c r="G209" i="14" s="1"/>
  <c r="M75" i="13"/>
  <c r="K74" i="13"/>
  <c r="G97" i="14" s="1"/>
  <c r="M176" i="13"/>
  <c r="K175" i="13"/>
  <c r="G223" i="14" s="1"/>
  <c r="M53" i="13"/>
  <c r="K52" i="13"/>
  <c r="G69" i="14" s="1"/>
  <c r="K2387" i="8"/>
  <c r="O2387" i="8" s="1"/>
  <c r="K2570" i="8"/>
  <c r="O2570" i="8" s="1"/>
  <c r="K2367" i="8"/>
  <c r="O2367" i="8" s="1"/>
  <c r="K786" i="8"/>
  <c r="O786" i="8" s="1"/>
  <c r="K2637" i="8"/>
  <c r="O2637" i="8" s="1"/>
  <c r="K2425" i="8"/>
  <c r="O2425" i="8" s="1"/>
  <c r="K898" i="8"/>
  <c r="O898" i="8" s="1"/>
  <c r="K441" i="8"/>
  <c r="O441" i="8" s="1"/>
  <c r="K314" i="8"/>
  <c r="O314" i="8" s="1"/>
  <c r="K2627" i="8"/>
  <c r="O2627" i="8" s="1"/>
  <c r="K2569" i="8"/>
  <c r="O2569" i="8" s="1"/>
  <c r="K2366" i="8"/>
  <c r="O2366" i="8" s="1"/>
  <c r="K2638" i="8"/>
  <c r="O2638" i="8" s="1"/>
  <c r="K2426" i="8"/>
  <c r="O2426" i="8" s="1"/>
  <c r="K899" i="8"/>
  <c r="O899" i="8" s="1"/>
  <c r="K442" i="8"/>
  <c r="O442" i="8" s="1"/>
  <c r="K787" i="8"/>
  <c r="O787" i="8" s="1"/>
  <c r="K315" i="8"/>
  <c r="O315" i="8" s="1"/>
  <c r="K2365" i="8"/>
  <c r="O2365" i="8" s="1"/>
  <c r="K2568" i="8"/>
  <c r="O2568" i="8" s="1"/>
  <c r="K2722" i="8"/>
  <c r="O2722" i="8" s="1"/>
  <c r="K388" i="8"/>
  <c r="O388" i="8" s="1"/>
  <c r="L2718" i="8"/>
  <c r="P2718" i="8" s="1"/>
  <c r="K2721" i="8"/>
  <c r="O2721" i="8" s="1"/>
  <c r="L2721" i="8"/>
  <c r="P2721" i="8" s="1"/>
  <c r="Q897" i="5"/>
  <c r="K403" i="8"/>
  <c r="O403" i="8" s="1"/>
  <c r="K2723" i="8"/>
  <c r="O2723" i="8" s="1"/>
  <c r="K1337" i="8"/>
  <c r="O1337" i="8" s="1"/>
  <c r="O2719" i="8"/>
  <c r="O2720" i="8"/>
  <c r="K382" i="8"/>
  <c r="O382" i="8" s="1"/>
  <c r="Q898" i="5"/>
  <c r="K2724" i="8"/>
  <c r="O2724" i="8" s="1"/>
  <c r="P2720" i="8"/>
  <c r="L1337" i="8"/>
  <c r="P1337" i="8" s="1"/>
  <c r="P2719" i="8"/>
  <c r="K2718" i="8"/>
  <c r="O2718" i="8" s="1"/>
  <c r="N239" i="15"/>
  <c r="M136" i="15"/>
  <c r="M153" i="15"/>
  <c r="O153" i="15" s="1"/>
  <c r="N149" i="15"/>
  <c r="N136" i="15"/>
  <c r="N135" i="15"/>
  <c r="N148" i="15"/>
  <c r="L2326" i="8"/>
  <c r="P2326" i="8" s="1"/>
  <c r="P2325" i="8" s="1"/>
  <c r="F212" i="10" s="1"/>
  <c r="F211" i="10" s="1"/>
  <c r="L2526" i="8"/>
  <c r="P2526" i="8" s="1"/>
  <c r="P2525" i="8" s="1"/>
  <c r="F226" i="10" s="1"/>
  <c r="F225" i="10" s="1"/>
  <c r="M119" i="15"/>
  <c r="O119" i="15" s="1"/>
  <c r="M135" i="15"/>
  <c r="M150" i="15"/>
  <c r="O150" i="15" s="1"/>
  <c r="K2591" i="8"/>
  <c r="O2591" i="8" s="1"/>
  <c r="K2616" i="8"/>
  <c r="O2616" i="8" s="1"/>
  <c r="K2678" i="8"/>
  <c r="O2678" i="8" s="1"/>
  <c r="K2469" i="8"/>
  <c r="O2469" i="8" s="1"/>
  <c r="K2347" i="8"/>
  <c r="O2347" i="8" s="1"/>
  <c r="K2547" i="8"/>
  <c r="O2547" i="8" s="1"/>
  <c r="K2652" i="8"/>
  <c r="O2652" i="8" s="1"/>
  <c r="K821" i="8"/>
  <c r="O821" i="8" s="1"/>
  <c r="K797" i="8"/>
  <c r="O797" i="8" s="1"/>
  <c r="K845" i="8"/>
  <c r="O845" i="8" s="1"/>
  <c r="K2510" i="8"/>
  <c r="O2510" i="8" s="1"/>
  <c r="K2443" i="8"/>
  <c r="O2443" i="8" s="1"/>
  <c r="K2635" i="8"/>
  <c r="O2635" i="8" s="1"/>
  <c r="K784" i="8"/>
  <c r="O784" i="8" s="1"/>
  <c r="K2431" i="8"/>
  <c r="O2431" i="8" s="1"/>
  <c r="K2423" i="8"/>
  <c r="O2423" i="8" s="1"/>
  <c r="K1110" i="8"/>
  <c r="O1110" i="8" s="1"/>
  <c r="K2641" i="8"/>
  <c r="O2641" i="8" s="1"/>
  <c r="K2434" i="8"/>
  <c r="O2434" i="8" s="1"/>
  <c r="O2700" i="8"/>
  <c r="O827" i="8"/>
  <c r="O804" i="8"/>
  <c r="O2491" i="8"/>
  <c r="K2559" i="8"/>
  <c r="O2559" i="8" s="1"/>
  <c r="K2553" i="8"/>
  <c r="O2553" i="8" s="1"/>
  <c r="K2705" i="8"/>
  <c r="O2705" i="8" s="1"/>
  <c r="K2706" i="8"/>
  <c r="O2706" i="8" s="1"/>
  <c r="K2704" i="8"/>
  <c r="O2704" i="8" s="1"/>
  <c r="K834" i="8"/>
  <c r="O834" i="8" s="1"/>
  <c r="K810" i="8"/>
  <c r="O810" i="8" s="1"/>
  <c r="K833" i="8"/>
  <c r="O833" i="8" s="1"/>
  <c r="K809" i="8"/>
  <c r="O809" i="8" s="1"/>
  <c r="K832" i="8"/>
  <c r="O832" i="8" s="1"/>
  <c r="K808" i="8"/>
  <c r="O808" i="8" s="1"/>
  <c r="K2497" i="8"/>
  <c r="O2497" i="8" s="1"/>
  <c r="K2495" i="8"/>
  <c r="O2495" i="8" s="1"/>
  <c r="K2496" i="8"/>
  <c r="O2496" i="8" s="1"/>
  <c r="K1139" i="8"/>
  <c r="O1139" i="8" s="1"/>
  <c r="K2728" i="8"/>
  <c r="O2728" i="8" s="1"/>
  <c r="K2679" i="8"/>
  <c r="O2679" i="8" s="1"/>
  <c r="K2511" i="8"/>
  <c r="O2511" i="8" s="1"/>
  <c r="K2470" i="8"/>
  <c r="O2470" i="8" s="1"/>
  <c r="O2699" i="8"/>
  <c r="O803" i="8"/>
  <c r="O2490" i="8"/>
  <c r="K2429" i="8"/>
  <c r="O2429" i="8" s="1"/>
  <c r="M149" i="15"/>
  <c r="K2666" i="8"/>
  <c r="O2666" i="8" s="1"/>
  <c r="K2664" i="8"/>
  <c r="O2664" i="8" s="1"/>
  <c r="K2665" i="8"/>
  <c r="O2665" i="8" s="1"/>
  <c r="K2456" i="8"/>
  <c r="O2456" i="8" s="1"/>
  <c r="K2455" i="8"/>
  <c r="O2455" i="8" s="1"/>
  <c r="K2457" i="8"/>
  <c r="O2457" i="8" s="1"/>
  <c r="K2326" i="8"/>
  <c r="O2326" i="8" s="1"/>
  <c r="K2526" i="8"/>
  <c r="O2526" i="8" s="1"/>
  <c r="L212" i="5"/>
  <c r="R212" i="5" s="1"/>
  <c r="R195" i="5" s="1"/>
  <c r="L2570" i="8"/>
  <c r="P2570" i="8" s="1"/>
  <c r="L2367" i="8"/>
  <c r="P2367" i="8" s="1"/>
  <c r="K820" i="8"/>
  <c r="O820" i="8" s="1"/>
  <c r="K844" i="8"/>
  <c r="O844" i="8" s="1"/>
  <c r="K2509" i="8"/>
  <c r="O2509" i="8" s="1"/>
  <c r="O2651" i="8"/>
  <c r="O796" i="8"/>
  <c r="O2442" i="8"/>
  <c r="J212" i="5"/>
  <c r="P212" i="5" s="1"/>
  <c r="K2556" i="8"/>
  <c r="O2556" i="8" s="1"/>
  <c r="K2550" i="8"/>
  <c r="O2550" i="8" s="1"/>
  <c r="K2527" i="8"/>
  <c r="O2527" i="8" s="1"/>
  <c r="K728" i="8"/>
  <c r="O728" i="8" s="1"/>
  <c r="O2329" i="8"/>
  <c r="O2529" i="8"/>
  <c r="K2636" i="8"/>
  <c r="O2636" i="8" s="1"/>
  <c r="K785" i="8"/>
  <c r="O785" i="8" s="1"/>
  <c r="K2430" i="8"/>
  <c r="O2430" i="8" s="1"/>
  <c r="K2424" i="8"/>
  <c r="O2424" i="8" s="1"/>
  <c r="O2659" i="8"/>
  <c r="O2450" i="8"/>
  <c r="K283" i="8"/>
  <c r="O283" i="8" s="1"/>
  <c r="K727" i="8"/>
  <c r="O727" i="8" s="1"/>
  <c r="K2552" i="8"/>
  <c r="O2552" i="8" s="1"/>
  <c r="K2558" i="8"/>
  <c r="O2558" i="8" s="1"/>
  <c r="M151" i="15"/>
  <c r="O151" i="15" s="1"/>
  <c r="K2647" i="8"/>
  <c r="O2647" i="8" s="1"/>
  <c r="K2438" i="8"/>
  <c r="O2438" i="8" s="1"/>
  <c r="K2653" i="8"/>
  <c r="O2653" i="8" s="1"/>
  <c r="K2444" i="8"/>
  <c r="O2444" i="8" s="1"/>
  <c r="O2649" i="8"/>
  <c r="O794" i="8"/>
  <c r="O2440" i="8"/>
  <c r="K2428" i="8"/>
  <c r="O2428" i="8" s="1"/>
  <c r="F196" i="10" s="1"/>
  <c r="F195" i="10" s="1"/>
  <c r="L2347" i="8"/>
  <c r="P2347" i="8" s="1"/>
  <c r="L2547" i="8"/>
  <c r="P2547" i="8" s="1"/>
  <c r="K2680" i="8"/>
  <c r="O2680" i="8" s="1"/>
  <c r="K2471" i="8"/>
  <c r="O2471" i="8" s="1"/>
  <c r="K887" i="8"/>
  <c r="O887" i="8" s="1"/>
  <c r="K775" i="8"/>
  <c r="O775" i="8" s="1"/>
  <c r="O2660" i="8"/>
  <c r="O2451" i="8"/>
  <c r="K2528" i="8"/>
  <c r="O2528" i="8" s="1"/>
  <c r="K729" i="8"/>
  <c r="O729" i="8" s="1"/>
  <c r="L177" i="5"/>
  <c r="R177" i="5" s="1"/>
  <c r="R164" i="5" s="1"/>
  <c r="M139" i="15"/>
  <c r="O139" i="15" s="1"/>
  <c r="L32" i="8"/>
  <c r="P32" i="8" s="1"/>
  <c r="P31" i="8" s="1"/>
  <c r="F44" i="10" s="1"/>
  <c r="F43" i="10" s="1"/>
  <c r="L283" i="8"/>
  <c r="P283" i="8" s="1"/>
  <c r="P282" i="8" s="1"/>
  <c r="F86" i="10" s="1"/>
  <c r="F85" i="10" s="1"/>
  <c r="K1114" i="8"/>
  <c r="O1114" i="8" s="1"/>
  <c r="O906" i="8"/>
  <c r="O449" i="8"/>
  <c r="O322" i="8"/>
  <c r="O584" i="8"/>
  <c r="L1338" i="8"/>
  <c r="P1338" i="8" s="1"/>
  <c r="K588" i="8"/>
  <c r="O588" i="8" s="1"/>
  <c r="K902" i="8"/>
  <c r="O902" i="8" s="1"/>
  <c r="K318" i="8"/>
  <c r="O318" i="8" s="1"/>
  <c r="K445" i="8"/>
  <c r="O445" i="8" s="1"/>
  <c r="O916" i="8"/>
  <c r="O941" i="8"/>
  <c r="O484" i="8"/>
  <c r="O459" i="8"/>
  <c r="O332" i="8"/>
  <c r="O357" i="8"/>
  <c r="K2358" i="8"/>
  <c r="O2358" i="8" s="1"/>
  <c r="K2352" i="8"/>
  <c r="O2352" i="8" s="1"/>
  <c r="M158" i="15"/>
  <c r="O158" i="15" s="1"/>
  <c r="M148" i="15"/>
  <c r="M137" i="15"/>
  <c r="O137" i="15" s="1"/>
  <c r="L863" i="8"/>
  <c r="P863" i="8" s="1"/>
  <c r="P862" i="8" s="1"/>
  <c r="F156" i="10" s="1"/>
  <c r="F155" i="10" s="1"/>
  <c r="L410" i="8"/>
  <c r="P410" i="8" s="1"/>
  <c r="P409" i="8" s="1"/>
  <c r="F114" i="10" s="1"/>
  <c r="F113" i="10" s="1"/>
  <c r="K2404" i="8"/>
  <c r="O2404" i="8" s="1"/>
  <c r="K2409" i="8"/>
  <c r="O2409" i="8" s="1"/>
  <c r="K2377" i="8"/>
  <c r="O2377" i="8" s="1"/>
  <c r="K2415" i="8"/>
  <c r="O2415" i="8" s="1"/>
  <c r="M364" i="5"/>
  <c r="S364" i="5" s="1"/>
  <c r="S361" i="5" s="1"/>
  <c r="L114" i="6" s="1"/>
  <c r="L2343" i="8"/>
  <c r="P2343" i="8" s="1"/>
  <c r="K933" i="8"/>
  <c r="O933" i="8" s="1"/>
  <c r="K909" i="8"/>
  <c r="O909" i="8" s="1"/>
  <c r="K502" i="8"/>
  <c r="O502" i="8" s="1"/>
  <c r="K960" i="8"/>
  <c r="O960" i="8" s="1"/>
  <c r="K376" i="8"/>
  <c r="O376" i="8" s="1"/>
  <c r="K476" i="8"/>
  <c r="O476" i="8" s="1"/>
  <c r="K452" i="8"/>
  <c r="O452" i="8" s="1"/>
  <c r="K349" i="8"/>
  <c r="O349" i="8" s="1"/>
  <c r="K325" i="8"/>
  <c r="O325" i="8" s="1"/>
  <c r="K896" i="8"/>
  <c r="O896" i="8" s="1"/>
  <c r="K439" i="8"/>
  <c r="O439" i="8" s="1"/>
  <c r="K312" i="8"/>
  <c r="O312" i="8" s="1"/>
  <c r="M159" i="15"/>
  <c r="O159" i="15" s="1"/>
  <c r="K2328" i="8"/>
  <c r="O2328" i="8" s="1"/>
  <c r="K865" i="8"/>
  <c r="O865" i="8" s="1"/>
  <c r="K412" i="8"/>
  <c r="O412" i="8" s="1"/>
  <c r="K285" i="8"/>
  <c r="O285" i="8" s="1"/>
  <c r="M152" i="15"/>
  <c r="O152" i="15" s="1"/>
  <c r="M138" i="15"/>
  <c r="O138" i="15" s="1"/>
  <c r="K364" i="5"/>
  <c r="Q364" i="5" s="1"/>
  <c r="Q361" i="5" s="1"/>
  <c r="J114" i="6" s="1"/>
  <c r="K2343" i="8"/>
  <c r="O2343" i="8" s="1"/>
  <c r="K574" i="8"/>
  <c r="O574" i="8" s="1"/>
  <c r="O940" i="8"/>
  <c r="O915" i="8"/>
  <c r="O356" i="8"/>
  <c r="O483" i="8"/>
  <c r="K2353" i="8"/>
  <c r="O2353" i="8" s="1"/>
  <c r="K2359" i="8"/>
  <c r="O2359" i="8" s="1"/>
  <c r="K922" i="8"/>
  <c r="O922" i="8" s="1"/>
  <c r="K947" i="8"/>
  <c r="O947" i="8" s="1"/>
  <c r="K921" i="8"/>
  <c r="O921" i="8" s="1"/>
  <c r="K489" i="8"/>
  <c r="O489" i="8" s="1"/>
  <c r="K946" i="8"/>
  <c r="O946" i="8" s="1"/>
  <c r="K920" i="8"/>
  <c r="O920" i="8" s="1"/>
  <c r="K945" i="8"/>
  <c r="O945" i="8" s="1"/>
  <c r="K490" i="8"/>
  <c r="O490" i="8" s="1"/>
  <c r="K488" i="8"/>
  <c r="O488" i="8" s="1"/>
  <c r="K464" i="8"/>
  <c r="O464" i="8" s="1"/>
  <c r="K336" i="8"/>
  <c r="O336" i="8" s="1"/>
  <c r="K465" i="8"/>
  <c r="O465" i="8" s="1"/>
  <c r="K363" i="8"/>
  <c r="O363" i="8" s="1"/>
  <c r="K463" i="8"/>
  <c r="O463" i="8" s="1"/>
  <c r="K362" i="8"/>
  <c r="O362" i="8" s="1"/>
  <c r="K338" i="8"/>
  <c r="O338" i="8" s="1"/>
  <c r="K361" i="8"/>
  <c r="O361" i="8" s="1"/>
  <c r="K337" i="8"/>
  <c r="O337" i="8" s="1"/>
  <c r="K1157" i="8"/>
  <c r="O1157" i="8" s="1"/>
  <c r="K932" i="8"/>
  <c r="O932" i="8" s="1"/>
  <c r="K959" i="8"/>
  <c r="O959" i="8" s="1"/>
  <c r="K475" i="8"/>
  <c r="O475" i="8" s="1"/>
  <c r="K375" i="8"/>
  <c r="O375" i="8" s="1"/>
  <c r="K348" i="8"/>
  <c r="O348" i="8" s="1"/>
  <c r="K1116" i="8"/>
  <c r="O1116" i="8" s="1"/>
  <c r="O908" i="8"/>
  <c r="O451" i="8"/>
  <c r="O324" i="8"/>
  <c r="O866" i="8"/>
  <c r="O286" i="8"/>
  <c r="K555" i="8"/>
  <c r="O555" i="8" s="1"/>
  <c r="K413" i="8"/>
  <c r="O413" i="8" s="1"/>
  <c r="K2356" i="8"/>
  <c r="O2356" i="8" s="1"/>
  <c r="K2350" i="8"/>
  <c r="O2350" i="8" s="1"/>
  <c r="K1072" i="8"/>
  <c r="O1072" i="8" s="1"/>
  <c r="K2327" i="8"/>
  <c r="O2327" i="8" s="1"/>
  <c r="K864" i="8"/>
  <c r="O864" i="8" s="1"/>
  <c r="K411" i="8"/>
  <c r="O411" i="8" s="1"/>
  <c r="K284" i="8"/>
  <c r="O284" i="8" s="1"/>
  <c r="K897" i="8"/>
  <c r="O897" i="8" s="1"/>
  <c r="K313" i="8"/>
  <c r="O313" i="8" s="1"/>
  <c r="K440" i="8"/>
  <c r="O440" i="8" s="1"/>
  <c r="O458" i="8"/>
  <c r="O331" i="8"/>
  <c r="K863" i="8"/>
  <c r="O863" i="8" s="1"/>
  <c r="K410" i="8"/>
  <c r="O410" i="8" s="1"/>
  <c r="M140" i="15"/>
  <c r="O140" i="15" s="1"/>
  <c r="AK8" i="5"/>
  <c r="Y315" i="5"/>
  <c r="AI315" i="5" s="1"/>
  <c r="AI310" i="5"/>
  <c r="Y313" i="5"/>
  <c r="AI313" i="5" s="1"/>
  <c r="Y312" i="5"/>
  <c r="AI312" i="5" s="1"/>
  <c r="Y314" i="5"/>
  <c r="AI314" i="5" s="1"/>
  <c r="Y320" i="5"/>
  <c r="AI320" i="5" s="1"/>
  <c r="AI319" i="5"/>
  <c r="AI378" i="5"/>
  <c r="K1338" i="8"/>
  <c r="O1338" i="8" s="1"/>
  <c r="J667" i="5"/>
  <c r="P667" i="5" s="1"/>
  <c r="J674" i="5"/>
  <c r="P674" i="5" s="1"/>
  <c r="J675" i="5"/>
  <c r="P675" i="5" s="1"/>
  <c r="J655" i="5"/>
  <c r="P655" i="5" s="1"/>
  <c r="J661" i="5"/>
  <c r="P661" i="5" s="1"/>
  <c r="J668" i="5"/>
  <c r="P668" i="5" s="1"/>
  <c r="J177" i="5"/>
  <c r="P177" i="5" s="1"/>
  <c r="J666" i="5"/>
  <c r="P666" i="5" s="1"/>
  <c r="J673" i="5"/>
  <c r="P673" i="5" s="1"/>
  <c r="J660" i="5"/>
  <c r="P660" i="5" s="1"/>
  <c r="J654" i="5"/>
  <c r="P654" i="5" s="1"/>
  <c r="Y722" i="5"/>
  <c r="AI722" i="5" s="1"/>
  <c r="Y605" i="5"/>
  <c r="AI605" i="5" s="1"/>
  <c r="Y104" i="5"/>
  <c r="AI104" i="5" s="1"/>
  <c r="M381" i="5"/>
  <c r="S381" i="5" s="1"/>
  <c r="S378" i="5" s="1"/>
  <c r="M385" i="5"/>
  <c r="S385" i="5" s="1"/>
  <c r="S382" i="5" s="1"/>
  <c r="M368" i="5"/>
  <c r="S368" i="5" s="1"/>
  <c r="S365" i="5" s="1"/>
  <c r="M372" i="5"/>
  <c r="S372" i="5" s="1"/>
  <c r="S369" i="5" s="1"/>
  <c r="K368" i="5"/>
  <c r="Q368" i="5" s="1"/>
  <c r="Q365" i="5" s="1"/>
  <c r="K372" i="5"/>
  <c r="Q372" i="5" s="1"/>
  <c r="Q369" i="5" s="1"/>
  <c r="O1012" i="8"/>
  <c r="O1106" i="8"/>
  <c r="K636" i="5"/>
  <c r="Q636" i="5" s="1"/>
  <c r="K596" i="5"/>
  <c r="Q596" i="5" s="1"/>
  <c r="K616" i="5"/>
  <c r="Q616" i="5" s="1"/>
  <c r="K381" i="5"/>
  <c r="Q381" i="5" s="1"/>
  <c r="Q378" i="5" s="1"/>
  <c r="K385" i="5"/>
  <c r="Q385" i="5" s="1"/>
  <c r="Q382" i="5" s="1"/>
  <c r="O1107" i="8"/>
  <c r="K1074" i="8"/>
  <c r="O1074" i="8" s="1"/>
  <c r="K1270" i="8"/>
  <c r="O1270" i="8" s="1"/>
  <c r="K996" i="8"/>
  <c r="O996" i="8" s="1"/>
  <c r="K1091" i="8"/>
  <c r="O1091" i="8" s="1"/>
  <c r="N187" i="15"/>
  <c r="Y227" i="5"/>
  <c r="AI227" i="5" s="1"/>
  <c r="Y505" i="5"/>
  <c r="AI505" i="5" s="1"/>
  <c r="AI729" i="5"/>
  <c r="Y607" i="5"/>
  <c r="AI607" i="5" s="1"/>
  <c r="Y221" i="5"/>
  <c r="AI221" i="5" s="1"/>
  <c r="Y106" i="5"/>
  <c r="AI106" i="5" s="1"/>
  <c r="AF299" i="5"/>
  <c r="V304" i="5"/>
  <c r="AF304" i="5" s="1"/>
  <c r="Y141" i="5"/>
  <c r="AI141" i="5" s="1"/>
  <c r="Y635" i="5"/>
  <c r="AI635" i="5" s="1"/>
  <c r="Y758" i="5"/>
  <c r="AI758" i="5" s="1"/>
  <c r="AI754" i="5"/>
  <c r="Y637" i="5"/>
  <c r="AI637" i="5" s="1"/>
  <c r="Y142" i="5"/>
  <c r="AI142" i="5" s="1"/>
  <c r="Y149" i="5"/>
  <c r="AI149" i="5" s="1"/>
  <c r="Y609" i="5"/>
  <c r="AI609" i="5" s="1"/>
  <c r="Y603" i="5"/>
  <c r="AI603" i="5" s="1"/>
  <c r="Y222" i="5"/>
  <c r="AI222" i="5" s="1"/>
  <c r="Y639" i="5"/>
  <c r="AI639" i="5" s="1"/>
  <c r="Y640" i="5"/>
  <c r="AI640" i="5" s="1"/>
  <c r="Y633" i="5"/>
  <c r="AI633" i="5" s="1"/>
  <c r="Y96" i="5"/>
  <c r="AI96" i="5" s="1"/>
  <c r="AI630" i="5"/>
  <c r="AI745" i="5"/>
  <c r="Y393" i="5"/>
  <c r="AI393" i="5" s="1"/>
  <c r="Y148" i="5"/>
  <c r="AI148" i="5" s="1"/>
  <c r="Y606" i="5"/>
  <c r="AI606" i="5" s="1"/>
  <c r="Y747" i="5"/>
  <c r="AI747" i="5" s="1"/>
  <c r="Y220" i="5"/>
  <c r="AI220" i="5" s="1"/>
  <c r="Y634" i="5"/>
  <c r="AI634" i="5" s="1"/>
  <c r="Y636" i="5"/>
  <c r="AI636" i="5" s="1"/>
  <c r="Y756" i="5"/>
  <c r="AI756" i="5" s="1"/>
  <c r="Y98" i="5"/>
  <c r="AI98" i="5" s="1"/>
  <c r="Y97" i="5"/>
  <c r="AI97" i="5" s="1"/>
  <c r="Y392" i="5"/>
  <c r="AI392" i="5" s="1"/>
  <c r="Y140" i="5"/>
  <c r="AI140" i="5" s="1"/>
  <c r="Y608" i="5"/>
  <c r="AI608" i="5" s="1"/>
  <c r="Y604" i="5"/>
  <c r="AI604" i="5" s="1"/>
  <c r="Y638" i="5"/>
  <c r="AI638" i="5" s="1"/>
  <c r="Q855" i="5"/>
  <c r="P855" i="5"/>
  <c r="R855" i="5"/>
  <c r="N855" i="5"/>
  <c r="S855" i="5"/>
  <c r="O855" i="5"/>
  <c r="Q861" i="5"/>
  <c r="P861" i="5"/>
  <c r="N861" i="5"/>
  <c r="S861" i="5"/>
  <c r="O861" i="5"/>
  <c r="R861" i="5"/>
  <c r="M176" i="15"/>
  <c r="O176" i="15" s="1"/>
  <c r="M189" i="15"/>
  <c r="O189" i="15" s="1"/>
  <c r="M200" i="15"/>
  <c r="M205" i="15"/>
  <c r="O205" i="15" s="1"/>
  <c r="M218" i="15"/>
  <c r="O218" i="15" s="1"/>
  <c r="M230" i="15"/>
  <c r="O230" i="15" s="1"/>
  <c r="M243" i="15"/>
  <c r="O243" i="15" s="1"/>
  <c r="N110" i="15"/>
  <c r="N109" i="15"/>
  <c r="M84" i="15"/>
  <c r="O84" i="15" s="1"/>
  <c r="M132" i="15"/>
  <c r="O132" i="15" s="1"/>
  <c r="M127" i="15"/>
  <c r="O127" i="15" s="1"/>
  <c r="Y120" i="5"/>
  <c r="AI120" i="5" s="1"/>
  <c r="Y122" i="5"/>
  <c r="AI122" i="5" s="1"/>
  <c r="Y716" i="5"/>
  <c r="AI716" i="5" s="1"/>
  <c r="Y226" i="5"/>
  <c r="AI226" i="5" s="1"/>
  <c r="Y597" i="5"/>
  <c r="AI597" i="5" s="1"/>
  <c r="Y114" i="5"/>
  <c r="AI114" i="5" s="1"/>
  <c r="Y367" i="5"/>
  <c r="AI367" i="5" s="1"/>
  <c r="Y112" i="5"/>
  <c r="AI112" i="5" s="1"/>
  <c r="Y131" i="5"/>
  <c r="AI131" i="5" s="1"/>
  <c r="Y389" i="5"/>
  <c r="AI389" i="5" s="1"/>
  <c r="Y110" i="5"/>
  <c r="AI110" i="5" s="1"/>
  <c r="Y111" i="5"/>
  <c r="AI111" i="5" s="1"/>
  <c r="Y723" i="5"/>
  <c r="AI723" i="5" s="1"/>
  <c r="Y732" i="5"/>
  <c r="AI732" i="5" s="1"/>
  <c r="Y718" i="5"/>
  <c r="AI718" i="5" s="1"/>
  <c r="Y501" i="5"/>
  <c r="AI501" i="5" s="1"/>
  <c r="Y506" i="5"/>
  <c r="AI506" i="5" s="1"/>
  <c r="Y599" i="5"/>
  <c r="AI599" i="5" s="1"/>
  <c r="Y596" i="5"/>
  <c r="AI596" i="5" s="1"/>
  <c r="AI719" i="5"/>
  <c r="AI386" i="5"/>
  <c r="Y717" i="5"/>
  <c r="AI717" i="5" s="1"/>
  <c r="Y129" i="5"/>
  <c r="AI129" i="5" s="1"/>
  <c r="Y503" i="5"/>
  <c r="AI503" i="5" s="1"/>
  <c r="Y592" i="5"/>
  <c r="AI592" i="5" s="1"/>
  <c r="Y598" i="5"/>
  <c r="AI598" i="5" s="1"/>
  <c r="Y593" i="5"/>
  <c r="AI593" i="5" s="1"/>
  <c r="Y121" i="5"/>
  <c r="AI121" i="5" s="1"/>
  <c r="Y225" i="5"/>
  <c r="AI225" i="5" s="1"/>
  <c r="Y721" i="5"/>
  <c r="AI721" i="5" s="1"/>
  <c r="Y504" i="5"/>
  <c r="AI504" i="5" s="1"/>
  <c r="Y502" i="5"/>
  <c r="AI502" i="5" s="1"/>
  <c r="Y600" i="5"/>
  <c r="AI600" i="5" s="1"/>
  <c r="Y594" i="5"/>
  <c r="AI594" i="5" s="1"/>
  <c r="N161" i="15"/>
  <c r="M64" i="15"/>
  <c r="O64" i="15" s="1"/>
  <c r="M177" i="15"/>
  <c r="O177" i="15" s="1"/>
  <c r="M190" i="15"/>
  <c r="O190" i="15" s="1"/>
  <c r="M202" i="15"/>
  <c r="O202" i="15" s="1"/>
  <c r="M215" i="15"/>
  <c r="O215" i="15" s="1"/>
  <c r="M226" i="15"/>
  <c r="M231" i="15"/>
  <c r="O231" i="15" s="1"/>
  <c r="M244" i="15"/>
  <c r="O244" i="15" s="1"/>
  <c r="M116" i="15"/>
  <c r="O116" i="15" s="1"/>
  <c r="M166" i="15"/>
  <c r="O166" i="15" s="1"/>
  <c r="AF378" i="5"/>
  <c r="F72" i="11"/>
  <c r="H72" i="11" s="1"/>
  <c r="I72" i="11" s="1"/>
  <c r="J72" i="11" s="1"/>
  <c r="G101" i="23"/>
  <c r="F70" i="11"/>
  <c r="H70" i="11" s="1"/>
  <c r="I70" i="11" s="1"/>
  <c r="J70" i="11" s="1"/>
  <c r="G73" i="23"/>
  <c r="F176" i="11"/>
  <c r="H176" i="11" s="1"/>
  <c r="I176" i="11" s="1"/>
  <c r="J176" i="11" s="1"/>
  <c r="G122" i="23"/>
  <c r="F77" i="11"/>
  <c r="H77" i="11" s="1"/>
  <c r="I77" i="11" s="1"/>
  <c r="J77" i="11" s="1"/>
  <c r="G171" i="23"/>
  <c r="F180" i="11"/>
  <c r="H180" i="11" s="1"/>
  <c r="I180" i="11" s="1"/>
  <c r="J180" i="11" s="1"/>
  <c r="G178" i="23"/>
  <c r="F67" i="11"/>
  <c r="G31" i="23"/>
  <c r="F170" i="11"/>
  <c r="G38" i="23"/>
  <c r="F173" i="11"/>
  <c r="H173" i="11" s="1"/>
  <c r="I173" i="11" s="1"/>
  <c r="J173" i="11" s="1"/>
  <c r="G80" i="23"/>
  <c r="F171" i="11"/>
  <c r="H171" i="11" s="1"/>
  <c r="I171" i="11" s="1"/>
  <c r="J171" i="11" s="1"/>
  <c r="G52" i="23"/>
  <c r="F179" i="11"/>
  <c r="H179" i="11" s="1"/>
  <c r="I179" i="11" s="1"/>
  <c r="J179" i="11" s="1"/>
  <c r="G164" i="23"/>
  <c r="F78" i="11"/>
  <c r="H78" i="11" s="1"/>
  <c r="I78" i="11" s="1"/>
  <c r="J78" i="11" s="1"/>
  <c r="G185" i="23"/>
  <c r="F178" i="11"/>
  <c r="H178" i="11" s="1"/>
  <c r="I178" i="11" s="1"/>
  <c r="J178" i="11" s="1"/>
  <c r="G150" i="23"/>
  <c r="F73" i="11"/>
  <c r="H73" i="11" s="1"/>
  <c r="I73" i="11" s="1"/>
  <c r="J73" i="11" s="1"/>
  <c r="G115" i="23"/>
  <c r="F191" i="11"/>
  <c r="H191" i="11" s="1"/>
  <c r="I191" i="11" s="1"/>
  <c r="J191" i="11" s="1"/>
  <c r="G332" i="23"/>
  <c r="F75" i="11"/>
  <c r="H75" i="11" s="1"/>
  <c r="I75" i="11" s="1"/>
  <c r="J75" i="11" s="1"/>
  <c r="G143" i="23"/>
  <c r="F76" i="11"/>
  <c r="H76" i="11" s="1"/>
  <c r="I76" i="11" s="1"/>
  <c r="J76" i="11" s="1"/>
  <c r="G157" i="23"/>
  <c r="F181" i="11"/>
  <c r="H181" i="11" s="1"/>
  <c r="I181" i="11" s="1"/>
  <c r="J181" i="11" s="1"/>
  <c r="G192" i="23"/>
  <c r="F177" i="11"/>
  <c r="H177" i="11" s="1"/>
  <c r="I177" i="11" s="1"/>
  <c r="J177" i="11" s="1"/>
  <c r="G136" i="23"/>
  <c r="F68" i="11"/>
  <c r="H68" i="11" s="1"/>
  <c r="I68" i="11" s="1"/>
  <c r="J68" i="11" s="1"/>
  <c r="G45" i="23"/>
  <c r="F175" i="11"/>
  <c r="H175" i="11" s="1"/>
  <c r="I175" i="11" s="1"/>
  <c r="J175" i="11" s="1"/>
  <c r="G108" i="23"/>
  <c r="F88" i="11"/>
  <c r="H88" i="11" s="1"/>
  <c r="I88" i="11" s="1"/>
  <c r="J88" i="11" s="1"/>
  <c r="G325" i="23"/>
  <c r="F74" i="11"/>
  <c r="H74" i="11" s="1"/>
  <c r="I74" i="11" s="1"/>
  <c r="J74" i="11" s="1"/>
  <c r="G129" i="23"/>
  <c r="AI372" i="5"/>
  <c r="AI371" i="5"/>
  <c r="AF522" i="5"/>
  <c r="V388" i="5"/>
  <c r="AF388" i="5" s="1"/>
  <c r="F66" i="6"/>
  <c r="N66" i="6" s="1"/>
  <c r="V635" i="5"/>
  <c r="AF635" i="5" s="1"/>
  <c r="P816" i="5"/>
  <c r="V219" i="5"/>
  <c r="AF219" i="5" s="1"/>
  <c r="V222" i="5"/>
  <c r="AF222" i="5" s="1"/>
  <c r="V636" i="5"/>
  <c r="AF636" i="5" s="1"/>
  <c r="F37" i="6"/>
  <c r="Q37" i="6" s="1"/>
  <c r="O816" i="5"/>
  <c r="V638" i="5"/>
  <c r="AF638" i="5" s="1"/>
  <c r="R816" i="5"/>
  <c r="V526" i="5"/>
  <c r="AF526" i="5" s="1"/>
  <c r="F27" i="6"/>
  <c r="N27" i="6" s="1"/>
  <c r="V97" i="5"/>
  <c r="AF97" i="5" s="1"/>
  <c r="V524" i="5"/>
  <c r="AF524" i="5" s="1"/>
  <c r="V597" i="5"/>
  <c r="AF597" i="5" s="1"/>
  <c r="O810" i="5"/>
  <c r="V600" i="5"/>
  <c r="AF600" i="5" s="1"/>
  <c r="F12" i="6"/>
  <c r="M12" i="6" s="1"/>
  <c r="S811" i="5"/>
  <c r="V98" i="5"/>
  <c r="AF98" i="5" s="1"/>
  <c r="V129" i="5"/>
  <c r="AF129" i="5" s="1"/>
  <c r="V221" i="5"/>
  <c r="AF221" i="5" s="1"/>
  <c r="V599" i="5"/>
  <c r="AF599" i="5" s="1"/>
  <c r="V596" i="5"/>
  <c r="AF596" i="5" s="1"/>
  <c r="V637" i="5"/>
  <c r="AF637" i="5" s="1"/>
  <c r="V640" i="5"/>
  <c r="AF640" i="5" s="1"/>
  <c r="V527" i="5"/>
  <c r="AF527" i="5" s="1"/>
  <c r="F16" i="6"/>
  <c r="B16" i="6" s="1"/>
  <c r="Q816" i="5"/>
  <c r="N810" i="5"/>
  <c r="S810" i="5"/>
  <c r="V106" i="5"/>
  <c r="AF106" i="5" s="1"/>
  <c r="R811" i="5"/>
  <c r="F56" i="6"/>
  <c r="R56" i="6" s="1"/>
  <c r="AF590" i="5"/>
  <c r="V593" i="5"/>
  <c r="AF593" i="5" s="1"/>
  <c r="V592" i="5"/>
  <c r="AF592" i="5" s="1"/>
  <c r="V525" i="5"/>
  <c r="AF525" i="5" s="1"/>
  <c r="R810" i="5"/>
  <c r="V96" i="5"/>
  <c r="AF96" i="5" s="1"/>
  <c r="V130" i="5"/>
  <c r="AF130" i="5" s="1"/>
  <c r="V594" i="5"/>
  <c r="AF594" i="5" s="1"/>
  <c r="Q810" i="5"/>
  <c r="V105" i="5"/>
  <c r="AF105" i="5" s="1"/>
  <c r="O811" i="5"/>
  <c r="P811" i="5"/>
  <c r="F62" i="6"/>
  <c r="V595" i="5"/>
  <c r="AF595" i="5" s="1"/>
  <c r="V634" i="5"/>
  <c r="AF634" i="5" s="1"/>
  <c r="V639" i="5"/>
  <c r="AF639" i="5" s="1"/>
  <c r="V632" i="5"/>
  <c r="AF632" i="5" s="1"/>
  <c r="N816" i="5"/>
  <c r="S816" i="5"/>
  <c r="N811" i="5"/>
  <c r="W753" i="5"/>
  <c r="AG753" i="5" s="1"/>
  <c r="W751" i="5"/>
  <c r="AG751" i="5" s="1"/>
  <c r="W752" i="5"/>
  <c r="AG752" i="5" s="1"/>
  <c r="AG749" i="5"/>
  <c r="X751" i="5"/>
  <c r="AH751" i="5" s="1"/>
  <c r="X752" i="5"/>
  <c r="AH752" i="5" s="1"/>
  <c r="X753" i="5"/>
  <c r="AH753" i="5" s="1"/>
  <c r="AH749" i="5"/>
  <c r="AH8" i="5"/>
  <c r="V308" i="5"/>
  <c r="AF308" i="5" s="1"/>
  <c r="V302" i="5"/>
  <c r="AF302" i="5" s="1"/>
  <c r="V303" i="5"/>
  <c r="AF303" i="5" s="1"/>
  <c r="V301" i="5"/>
  <c r="AF301" i="5" s="1"/>
  <c r="V309" i="5"/>
  <c r="AF309" i="5" s="1"/>
  <c r="AF94" i="5"/>
  <c r="C848" i="5"/>
  <c r="P848" i="5"/>
  <c r="R848" i="5"/>
  <c r="O848" i="5"/>
  <c r="N848" i="5"/>
  <c r="AF386" i="5"/>
  <c r="AF217" i="5"/>
  <c r="C811" i="5"/>
  <c r="C810" i="5"/>
  <c r="G851" i="5"/>
  <c r="AG8" i="5"/>
  <c r="AF127" i="5"/>
  <c r="M113" i="15"/>
  <c r="O113" i="15" s="1"/>
  <c r="M171" i="15"/>
  <c r="O171" i="15" s="1"/>
  <c r="M99" i="15"/>
  <c r="O99" i="15" s="1"/>
  <c r="M101" i="15"/>
  <c r="O101" i="15" s="1"/>
  <c r="M115" i="15"/>
  <c r="O115" i="15" s="1"/>
  <c r="M209" i="15"/>
  <c r="O209" i="15" s="1"/>
  <c r="M220" i="15"/>
  <c r="O220" i="15" s="1"/>
  <c r="M224" i="15"/>
  <c r="O224" i="15" s="1"/>
  <c r="M235" i="15"/>
  <c r="O235" i="15" s="1"/>
  <c r="M246" i="15"/>
  <c r="O246" i="15" s="1"/>
  <c r="M250" i="15"/>
  <c r="O250" i="15" s="1"/>
  <c r="L552" i="8"/>
  <c r="P552" i="8" s="1"/>
  <c r="P551" i="8" s="1"/>
  <c r="L1071" i="8"/>
  <c r="P1071" i="8" s="1"/>
  <c r="P1070" i="8" s="1"/>
  <c r="F184" i="10" s="1"/>
  <c r="F183" i="10" s="1"/>
  <c r="K1251" i="8"/>
  <c r="O1251" i="8" s="1"/>
  <c r="K1138" i="8"/>
  <c r="O1138" i="8" s="1"/>
  <c r="K1117" i="8"/>
  <c r="O1117" i="8" s="1"/>
  <c r="K1158" i="8"/>
  <c r="O1158" i="8" s="1"/>
  <c r="K1149" i="8"/>
  <c r="O1149" i="8" s="1"/>
  <c r="K1150" i="8"/>
  <c r="O1150" i="8" s="1"/>
  <c r="K1151" i="8"/>
  <c r="O1151" i="8" s="1"/>
  <c r="M287" i="15"/>
  <c r="J130" i="5"/>
  <c r="P130" i="5" s="1"/>
  <c r="P210" i="5"/>
  <c r="J175" i="5"/>
  <c r="P175" i="5" s="1"/>
  <c r="Q667" i="5"/>
  <c r="Q674" i="5"/>
  <c r="K1044" i="8"/>
  <c r="O1044" i="8" s="1"/>
  <c r="K1137" i="8"/>
  <c r="O1137" i="8" s="1"/>
  <c r="J211" i="5"/>
  <c r="P211" i="5" s="1"/>
  <c r="J176" i="5"/>
  <c r="P176" i="5" s="1"/>
  <c r="Q675" i="5"/>
  <c r="Q668" i="5"/>
  <c r="J129" i="5"/>
  <c r="P129" i="5" s="1"/>
  <c r="J174" i="5"/>
  <c r="P174" i="5" s="1"/>
  <c r="P209" i="5"/>
  <c r="Q673" i="5"/>
  <c r="Q666" i="5"/>
  <c r="K552" i="8"/>
  <c r="O552" i="8" s="1"/>
  <c r="K1071" i="8"/>
  <c r="O1071" i="8" s="1"/>
  <c r="O1129" i="8"/>
  <c r="O1128" i="8"/>
  <c r="O1130" i="8"/>
  <c r="K1252" i="8"/>
  <c r="O1252" i="8" s="1"/>
  <c r="K582" i="8"/>
  <c r="O582" i="8" s="1"/>
  <c r="K1104" i="8"/>
  <c r="O1104" i="8" s="1"/>
  <c r="K583" i="8"/>
  <c r="O583" i="8" s="1"/>
  <c r="K1105" i="8"/>
  <c r="O1105" i="8" s="1"/>
  <c r="J44" i="6"/>
  <c r="P44" i="6" s="1"/>
  <c r="J56" i="6"/>
  <c r="J46" i="6"/>
  <c r="J45" i="6"/>
  <c r="P45" i="6" s="1"/>
  <c r="J47" i="6"/>
  <c r="J37" i="6"/>
  <c r="J86" i="6"/>
  <c r="P86" i="6" s="1"/>
  <c r="J85" i="6"/>
  <c r="P85" i="6" s="1"/>
  <c r="J84" i="6"/>
  <c r="P84" i="6" s="1"/>
  <c r="J83" i="6"/>
  <c r="P83" i="6" s="1"/>
  <c r="J60" i="6"/>
  <c r="J59" i="6"/>
  <c r="L37" i="6"/>
  <c r="J38" i="6"/>
  <c r="J82" i="6"/>
  <c r="J90" i="6"/>
  <c r="P90" i="6" s="1"/>
  <c r="J89" i="6"/>
  <c r="J88" i="6"/>
  <c r="P88" i="6" s="1"/>
  <c r="J87" i="6"/>
  <c r="P87" i="6" s="1"/>
  <c r="AI174" i="5"/>
  <c r="AI168" i="5"/>
  <c r="AI166" i="5"/>
  <c r="AI176" i="5"/>
  <c r="AI167" i="5"/>
  <c r="AI365" i="5"/>
  <c r="AI107" i="5"/>
  <c r="AI223" i="5"/>
  <c r="AI94" i="5"/>
  <c r="AI217" i="5"/>
  <c r="AJ8" i="5"/>
  <c r="AI390" i="5"/>
  <c r="AI138" i="5"/>
  <c r="AI127" i="5"/>
  <c r="N88" i="15"/>
  <c r="M167" i="15"/>
  <c r="O167" i="15" s="1"/>
  <c r="M182" i="15"/>
  <c r="O182" i="15" s="1"/>
  <c r="M193" i="15"/>
  <c r="O193" i="15" s="1"/>
  <c r="M197" i="15"/>
  <c r="O197" i="15" s="1"/>
  <c r="M208" i="15"/>
  <c r="O208" i="15" s="1"/>
  <c r="M219" i="15"/>
  <c r="O219" i="15" s="1"/>
  <c r="M223" i="15"/>
  <c r="O223" i="15" s="1"/>
  <c r="M234" i="15"/>
  <c r="O234" i="15" s="1"/>
  <c r="M245" i="15"/>
  <c r="O245" i="15" s="1"/>
  <c r="M249" i="15"/>
  <c r="O249" i="15" s="1"/>
  <c r="N86" i="15"/>
  <c r="N162" i="15"/>
  <c r="N201" i="15"/>
  <c r="N287" i="15"/>
  <c r="N200" i="15"/>
  <c r="M96" i="15"/>
  <c r="M161" i="15"/>
  <c r="M124" i="15"/>
  <c r="O124" i="15" s="1"/>
  <c r="M174" i="15"/>
  <c r="M179" i="15"/>
  <c r="O179" i="15" s="1"/>
  <c r="M192" i="15"/>
  <c r="O192" i="15" s="1"/>
  <c r="M204" i="15"/>
  <c r="O204" i="15" s="1"/>
  <c r="M217" i="15"/>
  <c r="O217" i="15" s="1"/>
  <c r="M229" i="15"/>
  <c r="O229" i="15" s="1"/>
  <c r="M242" i="15"/>
  <c r="O242" i="15" s="1"/>
  <c r="N188" i="15"/>
  <c r="N174" i="15"/>
  <c r="N897" i="5"/>
  <c r="C897" i="5"/>
  <c r="K978" i="8"/>
  <c r="O978" i="8" s="1"/>
  <c r="K1253" i="8"/>
  <c r="O1253" i="8" s="1"/>
  <c r="K751" i="5"/>
  <c r="Q751" i="5" s="1"/>
  <c r="Q749" i="5" s="1"/>
  <c r="K756" i="5"/>
  <c r="Q756" i="5" s="1"/>
  <c r="Q754" i="5" s="1"/>
  <c r="K747" i="5"/>
  <c r="Q747" i="5" s="1"/>
  <c r="Q745" i="5" s="1"/>
  <c r="M213" i="15"/>
  <c r="M68" i="15"/>
  <c r="M178" i="15"/>
  <c r="O178" i="15" s="1"/>
  <c r="M191" i="15"/>
  <c r="O191" i="15" s="1"/>
  <c r="M203" i="15"/>
  <c r="O203" i="15" s="1"/>
  <c r="M216" i="15"/>
  <c r="O216" i="15" s="1"/>
  <c r="M228" i="15"/>
  <c r="O228" i="15" s="1"/>
  <c r="M241" i="15"/>
  <c r="O241" i="15" s="1"/>
  <c r="M838" i="5"/>
  <c r="S838" i="5" s="1"/>
  <c r="K838" i="5"/>
  <c r="Q838" i="5" s="1"/>
  <c r="M837" i="5"/>
  <c r="S837" i="5" s="1"/>
  <c r="M836" i="5"/>
  <c r="S836" i="5" s="1"/>
  <c r="K836" i="5"/>
  <c r="Q836" i="5" s="1"/>
  <c r="K837" i="5"/>
  <c r="Q837" i="5" s="1"/>
  <c r="N85" i="15"/>
  <c r="M835" i="5"/>
  <c r="S835" i="5" s="1"/>
  <c r="M834" i="5"/>
  <c r="S834" i="5" s="1"/>
  <c r="O976" i="8"/>
  <c r="K834" i="5"/>
  <c r="Q834" i="5" s="1"/>
  <c r="K835" i="5"/>
  <c r="Q835" i="5" s="1"/>
  <c r="M72" i="15"/>
  <c r="O72" i="15" s="1"/>
  <c r="M103" i="15"/>
  <c r="O103" i="15" s="1"/>
  <c r="M128" i="15"/>
  <c r="O128" i="15" s="1"/>
  <c r="M117" i="15"/>
  <c r="O117" i="15" s="1"/>
  <c r="M172" i="15"/>
  <c r="O172" i="15" s="1"/>
  <c r="M183" i="15"/>
  <c r="O183" i="15" s="1"/>
  <c r="M194" i="15"/>
  <c r="O194" i="15" s="1"/>
  <c r="M198" i="15"/>
  <c r="O198" i="15" s="1"/>
  <c r="M294" i="15"/>
  <c r="O294" i="15" s="1"/>
  <c r="M86" i="15"/>
  <c r="M87" i="15"/>
  <c r="M83" i="15"/>
  <c r="O83" i="15" s="1"/>
  <c r="M187" i="15"/>
  <c r="M74" i="15"/>
  <c r="O74" i="15" s="1"/>
  <c r="M102" i="15"/>
  <c r="O102" i="15" s="1"/>
  <c r="M129" i="15"/>
  <c r="O129" i="15" s="1"/>
  <c r="M169" i="15"/>
  <c r="O169" i="15" s="1"/>
  <c r="M295" i="15"/>
  <c r="O295" i="15" s="1"/>
  <c r="M79" i="15"/>
  <c r="O79" i="15" s="1"/>
  <c r="V464" i="5"/>
  <c r="AF464" i="5" s="1"/>
  <c r="V532" i="5"/>
  <c r="AF532" i="5" s="1"/>
  <c r="V534" i="5"/>
  <c r="AF534" i="5" s="1"/>
  <c r="R820" i="5"/>
  <c r="L11" i="13"/>
  <c r="J11" i="13"/>
  <c r="K11" i="13"/>
  <c r="N68" i="15"/>
  <c r="N122" i="15"/>
  <c r="N214" i="15"/>
  <c r="N123" i="15"/>
  <c r="N286" i="15"/>
  <c r="K999" i="8"/>
  <c r="O999" i="8" s="1"/>
  <c r="K1273" i="8"/>
  <c r="O1273" i="8" s="1"/>
  <c r="K1284" i="8"/>
  <c r="O1284" i="8" s="1"/>
  <c r="K60" i="8"/>
  <c r="O60" i="8" s="1"/>
  <c r="K1011" i="8"/>
  <c r="O1011" i="8" s="1"/>
  <c r="K827" i="5"/>
  <c r="Q827" i="5" s="1"/>
  <c r="K491" i="5"/>
  <c r="Q491" i="5" s="1"/>
  <c r="Q483" i="5" s="1"/>
  <c r="K475" i="5"/>
  <c r="Q475" i="5" s="1"/>
  <c r="Q467" i="5" s="1"/>
  <c r="K1293" i="8"/>
  <c r="O1293" i="8" s="1"/>
  <c r="K69" i="8"/>
  <c r="O69" i="8" s="1"/>
  <c r="O592" i="8"/>
  <c r="O1020" i="8"/>
  <c r="Q828" i="5"/>
  <c r="M60" i="15"/>
  <c r="M107" i="15"/>
  <c r="O107" i="15" s="1"/>
  <c r="M104" i="15"/>
  <c r="O104" i="15" s="1"/>
  <c r="M131" i="15"/>
  <c r="O131" i="15" s="1"/>
  <c r="M133" i="15"/>
  <c r="O133" i="15" s="1"/>
  <c r="M170" i="15"/>
  <c r="O170" i="15" s="1"/>
  <c r="M181" i="15"/>
  <c r="O181" i="15" s="1"/>
  <c r="M185" i="15"/>
  <c r="O185" i="15" s="1"/>
  <c r="M196" i="15"/>
  <c r="O196" i="15" s="1"/>
  <c r="M207" i="15"/>
  <c r="O207" i="15" s="1"/>
  <c r="M211" i="15"/>
  <c r="O211" i="15" s="1"/>
  <c r="M222" i="15"/>
  <c r="O222" i="15" s="1"/>
  <c r="M233" i="15"/>
  <c r="O233" i="15" s="1"/>
  <c r="M237" i="15"/>
  <c r="O237" i="15" s="1"/>
  <c r="M248" i="15"/>
  <c r="O248" i="15" s="1"/>
  <c r="M292" i="15"/>
  <c r="O292" i="15" s="1"/>
  <c r="M296" i="15"/>
  <c r="O296" i="15" s="1"/>
  <c r="Q687" i="5"/>
  <c r="Q681" i="5"/>
  <c r="Q661" i="5"/>
  <c r="Q655" i="5"/>
  <c r="J193" i="5"/>
  <c r="P193" i="5" s="1"/>
  <c r="J131" i="5"/>
  <c r="P131" i="5" s="1"/>
  <c r="J93" i="5"/>
  <c r="P93" i="5" s="1"/>
  <c r="J64" i="5"/>
  <c r="P64" i="5" s="1"/>
  <c r="J34" i="5"/>
  <c r="P34" i="5" s="1"/>
  <c r="J22" i="5"/>
  <c r="P22" i="5" s="1"/>
  <c r="J216" i="5"/>
  <c r="P216" i="5" s="1"/>
  <c r="J149" i="5"/>
  <c r="P149" i="5" s="1"/>
  <c r="J137" i="5"/>
  <c r="P137" i="5" s="1"/>
  <c r="J87" i="5"/>
  <c r="P87" i="5" s="1"/>
  <c r="J11" i="5"/>
  <c r="P11" i="5" s="1"/>
  <c r="J105" i="5"/>
  <c r="P105" i="5" s="1"/>
  <c r="J288" i="5"/>
  <c r="P288" i="5" s="1"/>
  <c r="J222" i="5"/>
  <c r="P222" i="5" s="1"/>
  <c r="J126" i="5"/>
  <c r="P126" i="5" s="1"/>
  <c r="J121" i="5"/>
  <c r="P121" i="5" s="1"/>
  <c r="J122" i="5"/>
  <c r="P122" i="5" s="1"/>
  <c r="J106" i="5"/>
  <c r="P106" i="5" s="1"/>
  <c r="J65" i="5"/>
  <c r="P65" i="5" s="1"/>
  <c r="J35" i="5"/>
  <c r="P35" i="5" s="1"/>
  <c r="J150" i="5"/>
  <c r="P150" i="5" s="1"/>
  <c r="M944" i="5"/>
  <c r="S944" i="5" s="1"/>
  <c r="M850" i="5"/>
  <c r="M943" i="5"/>
  <c r="S943" i="5" s="1"/>
  <c r="M849" i="5"/>
  <c r="S833" i="5"/>
  <c r="S832" i="5"/>
  <c r="K118" i="13"/>
  <c r="K107" i="13"/>
  <c r="K1323" i="8"/>
  <c r="O1323" i="8" s="1"/>
  <c r="O1031" i="8"/>
  <c r="O602" i="8"/>
  <c r="K1303" i="8"/>
  <c r="O1303" i="8" s="1"/>
  <c r="K975" i="8"/>
  <c r="O975" i="8" s="1"/>
  <c r="K1250" i="8"/>
  <c r="O1250" i="8" s="1"/>
  <c r="K859" i="5"/>
  <c r="K848" i="5"/>
  <c r="Q848" i="5" s="1"/>
  <c r="M85" i="15"/>
  <c r="K1318" i="8"/>
  <c r="O1318" i="8" s="1"/>
  <c r="K617" i="8"/>
  <c r="O617" i="8" s="1"/>
  <c r="K1046" i="8"/>
  <c r="O1046" i="8" s="1"/>
  <c r="K33" i="8"/>
  <c r="O33" i="8" s="1"/>
  <c r="K1283" i="8"/>
  <c r="O1283" i="8" s="1"/>
  <c r="K59" i="8"/>
  <c r="O59" i="8" s="1"/>
  <c r="K1010" i="8"/>
  <c r="O1010" i="8" s="1"/>
  <c r="M77" i="15"/>
  <c r="O77" i="15" s="1"/>
  <c r="M78" i="15"/>
  <c r="O78" i="15" s="1"/>
  <c r="M98" i="15"/>
  <c r="O98" i="15" s="1"/>
  <c r="M81" i="15"/>
  <c r="O81" i="15" s="1"/>
  <c r="M164" i="15"/>
  <c r="O164" i="15" s="1"/>
  <c r="M188" i="15"/>
  <c r="L106" i="5"/>
  <c r="R106" i="5" s="1"/>
  <c r="R94" i="5" s="1"/>
  <c r="L35" i="5"/>
  <c r="R35" i="5" s="1"/>
  <c r="R23" i="5" s="1"/>
  <c r="K103" i="6" s="1"/>
  <c r="L150" i="5"/>
  <c r="R150" i="5" s="1"/>
  <c r="R138" i="5" s="1"/>
  <c r="L122" i="5"/>
  <c r="R122" i="5" s="1"/>
  <c r="R107" i="5" s="1"/>
  <c r="L65" i="5"/>
  <c r="R65" i="5" s="1"/>
  <c r="R50" i="5" s="1"/>
  <c r="K105" i="6" s="1"/>
  <c r="N97" i="15"/>
  <c r="N240" i="15"/>
  <c r="N226" i="15"/>
  <c r="N175" i="15"/>
  <c r="K498" i="5"/>
  <c r="Q498" i="5" s="1"/>
  <c r="Q492" i="5" s="1"/>
  <c r="K513" i="5"/>
  <c r="Q513" i="5" s="1"/>
  <c r="Q507" i="5" s="1"/>
  <c r="K320" i="5"/>
  <c r="Q320" i="5" s="1"/>
  <c r="K349" i="5"/>
  <c r="Q349" i="5" s="1"/>
  <c r="K309" i="5"/>
  <c r="Q309" i="5" s="1"/>
  <c r="K339" i="5"/>
  <c r="Q339" i="5" s="1"/>
  <c r="K298" i="5"/>
  <c r="Q298" i="5" s="1"/>
  <c r="K330" i="5"/>
  <c r="Q330" i="5" s="1"/>
  <c r="K862" i="5"/>
  <c r="Q862" i="5" s="1"/>
  <c r="K537" i="5"/>
  <c r="Q537" i="5" s="1"/>
  <c r="Q529" i="5" s="1"/>
  <c r="K546" i="5"/>
  <c r="Q546" i="5" s="1"/>
  <c r="Q538" i="5" s="1"/>
  <c r="M80" i="15"/>
  <c r="O80" i="15" s="1"/>
  <c r="M106" i="15"/>
  <c r="O106" i="15" s="1"/>
  <c r="M130" i="15"/>
  <c r="O130" i="15" s="1"/>
  <c r="M293" i="15"/>
  <c r="O293" i="15" s="1"/>
  <c r="M297" i="15"/>
  <c r="O297" i="15" s="1"/>
  <c r="K62" i="8"/>
  <c r="O62" i="8" s="1"/>
  <c r="M848" i="5"/>
  <c r="S848" i="5" s="1"/>
  <c r="K96" i="13"/>
  <c r="K85" i="13"/>
  <c r="G111" i="14" s="1"/>
  <c r="K1302" i="8"/>
  <c r="O1302" i="8" s="1"/>
  <c r="O601" i="8"/>
  <c r="O1030" i="8"/>
  <c r="K1324" i="8"/>
  <c r="O1324" i="8" s="1"/>
  <c r="K79" i="8"/>
  <c r="O79" i="8" s="1"/>
  <c r="K99" i="8"/>
  <c r="O99" i="8" s="1"/>
  <c r="O1052" i="8"/>
  <c r="O623" i="8"/>
  <c r="K98" i="8"/>
  <c r="O98" i="8" s="1"/>
  <c r="K78" i="8"/>
  <c r="O78" i="8" s="1"/>
  <c r="O622" i="8"/>
  <c r="O1051" i="8"/>
  <c r="K943" i="5"/>
  <c r="Q943" i="5" s="1"/>
  <c r="K849" i="5"/>
  <c r="M73" i="15"/>
  <c r="O73" i="15" s="1"/>
  <c r="Q19" i="5"/>
  <c r="Q17" i="5" s="1"/>
  <c r="J102" i="6" s="1"/>
  <c r="Q90" i="5"/>
  <c r="Q88" i="5" s="1"/>
  <c r="Q134" i="5"/>
  <c r="Q132" i="5" s="1"/>
  <c r="Q219" i="5"/>
  <c r="Q217" i="5" s="1"/>
  <c r="O1035" i="8"/>
  <c r="O1037" i="8"/>
  <c r="O1036" i="8"/>
  <c r="K856" i="5"/>
  <c r="Q856" i="5" s="1"/>
  <c r="K84" i="8"/>
  <c r="O84" i="8" s="1"/>
  <c r="K103" i="8"/>
  <c r="O103" i="8" s="1"/>
  <c r="K105" i="8"/>
  <c r="O105" i="8" s="1"/>
  <c r="K83" i="8"/>
  <c r="O83" i="8" s="1"/>
  <c r="K85" i="8"/>
  <c r="O85" i="8" s="1"/>
  <c r="K104" i="8"/>
  <c r="O104" i="8" s="1"/>
  <c r="O1329" i="8"/>
  <c r="O1309" i="8"/>
  <c r="K1058" i="8"/>
  <c r="O1058" i="8" s="1"/>
  <c r="O628" i="8"/>
  <c r="O607" i="8"/>
  <c r="O1330" i="8"/>
  <c r="O1328" i="8"/>
  <c r="O629" i="8"/>
  <c r="K1056" i="8"/>
  <c r="O1056" i="8" s="1"/>
  <c r="O1307" i="8"/>
  <c r="O606" i="8"/>
  <c r="O627" i="8"/>
  <c r="O1308" i="8"/>
  <c r="K1057" i="8"/>
  <c r="O1057" i="8" s="1"/>
  <c r="O608" i="8"/>
  <c r="M70" i="15"/>
  <c r="O70" i="15" s="1"/>
  <c r="M71" i="15"/>
  <c r="O71" i="15" s="1"/>
  <c r="M82" i="15"/>
  <c r="O82" i="15" s="1"/>
  <c r="M123" i="15"/>
  <c r="M239" i="15"/>
  <c r="M201" i="15"/>
  <c r="M214" i="15"/>
  <c r="M286" i="15"/>
  <c r="L194" i="5"/>
  <c r="R194" i="5" s="1"/>
  <c r="R178" i="5" s="1"/>
  <c r="L975" i="8"/>
  <c r="P975" i="8" s="1"/>
  <c r="P974" i="8" s="1"/>
  <c r="F170" i="10" s="1"/>
  <c r="L1250" i="8"/>
  <c r="P1250" i="8" s="1"/>
  <c r="P1249" i="8" s="1"/>
  <c r="F338" i="10" s="1"/>
  <c r="K319" i="5"/>
  <c r="Q319" i="5" s="1"/>
  <c r="K329" i="5"/>
  <c r="Q329" i="5" s="1"/>
  <c r="K348" i="5"/>
  <c r="Q348" i="5" s="1"/>
  <c r="K308" i="5"/>
  <c r="Q308" i="5" s="1"/>
  <c r="K297" i="5"/>
  <c r="Q297" i="5" s="1"/>
  <c r="K338" i="5"/>
  <c r="Q338" i="5" s="1"/>
  <c r="K521" i="5"/>
  <c r="Q521" i="5" s="1"/>
  <c r="Q514" i="5" s="1"/>
  <c r="K506" i="5"/>
  <c r="Q506" i="5" s="1"/>
  <c r="Q499" i="5" s="1"/>
  <c r="K717" i="5"/>
  <c r="Q717" i="5" s="1"/>
  <c r="Q714" i="5" s="1"/>
  <c r="K709" i="5"/>
  <c r="Q709" i="5" s="1"/>
  <c r="Q706" i="5" s="1"/>
  <c r="K722" i="5"/>
  <c r="Q722" i="5" s="1"/>
  <c r="Q719" i="5" s="1"/>
  <c r="K907" i="5"/>
  <c r="K727" i="5"/>
  <c r="Q727" i="5" s="1"/>
  <c r="Q724" i="5" s="1"/>
  <c r="K713" i="5"/>
  <c r="Q713" i="5" s="1"/>
  <c r="Q710" i="5" s="1"/>
  <c r="K705" i="5"/>
  <c r="Q705" i="5" s="1"/>
  <c r="Q702" i="5" s="1"/>
  <c r="J194" i="5"/>
  <c r="P194" i="5" s="1"/>
  <c r="Q686" i="5"/>
  <c r="Q680" i="5"/>
  <c r="Q660" i="5"/>
  <c r="Q654" i="5"/>
  <c r="J104" i="5"/>
  <c r="P104" i="5" s="1"/>
  <c r="J215" i="5"/>
  <c r="P215" i="5" s="1"/>
  <c r="J86" i="5"/>
  <c r="P86" i="5" s="1"/>
  <c r="J221" i="5"/>
  <c r="P221" i="5" s="1"/>
  <c r="J120" i="5"/>
  <c r="P120" i="5" s="1"/>
  <c r="J287" i="5"/>
  <c r="P287" i="5" s="1"/>
  <c r="J125" i="5"/>
  <c r="P125" i="5" s="1"/>
  <c r="P123" i="5" s="1"/>
  <c r="J192" i="5"/>
  <c r="P192" i="5" s="1"/>
  <c r="J136" i="5"/>
  <c r="P136" i="5" s="1"/>
  <c r="J92" i="5"/>
  <c r="P92" i="5" s="1"/>
  <c r="J63" i="5"/>
  <c r="P63" i="5" s="1"/>
  <c r="J33" i="5"/>
  <c r="P33" i="5" s="1"/>
  <c r="J21" i="5"/>
  <c r="P21" i="5" s="1"/>
  <c r="J10" i="5"/>
  <c r="P10" i="5" s="1"/>
  <c r="J148" i="5"/>
  <c r="P148" i="5" s="1"/>
  <c r="N87" i="15"/>
  <c r="K63" i="13"/>
  <c r="K260" i="13"/>
  <c r="K41" i="13"/>
  <c r="K152" i="13"/>
  <c r="K860" i="5"/>
  <c r="K35" i="8"/>
  <c r="O35" i="8" s="1"/>
  <c r="K957" i="5"/>
  <c r="Q957" i="5" s="1"/>
  <c r="K864" i="5"/>
  <c r="Q864" i="5" s="1"/>
  <c r="K639" i="5"/>
  <c r="Q639" i="5" s="1"/>
  <c r="K629" i="5"/>
  <c r="Q629" i="5" s="1"/>
  <c r="Q621" i="5" s="1"/>
  <c r="K619" i="5"/>
  <c r="Q619" i="5" s="1"/>
  <c r="K609" i="5"/>
  <c r="Q609" i="5" s="1"/>
  <c r="Q601" i="5" s="1"/>
  <c r="K599" i="5"/>
  <c r="Q599" i="5" s="1"/>
  <c r="K589" i="5"/>
  <c r="Q589" i="5" s="1"/>
  <c r="Q581" i="5" s="1"/>
  <c r="K579" i="5"/>
  <c r="Q579" i="5" s="1"/>
  <c r="Q570" i="5" s="1"/>
  <c r="J117" i="6" s="1"/>
  <c r="K569" i="5"/>
  <c r="Q569" i="5" s="1"/>
  <c r="Q561" i="5" s="1"/>
  <c r="J116" i="6" s="1"/>
  <c r="K649" i="5"/>
  <c r="K72" i="8"/>
  <c r="O72" i="8" s="1"/>
  <c r="K93" i="8"/>
  <c r="O93" i="8" s="1"/>
  <c r="K112" i="8"/>
  <c r="O112" i="8" s="1"/>
  <c r="K1342" i="8"/>
  <c r="O1342" i="8" s="1"/>
  <c r="K595" i="8"/>
  <c r="O595" i="8" s="1"/>
  <c r="K1317" i="8"/>
  <c r="O1317" i="8" s="1"/>
  <c r="K1045" i="8"/>
  <c r="O1045" i="8" s="1"/>
  <c r="K1023" i="8"/>
  <c r="O1023" i="8" s="1"/>
  <c r="K616" i="8"/>
  <c r="O616" i="8" s="1"/>
  <c r="K1296" i="8"/>
  <c r="O1296" i="8" s="1"/>
  <c r="K638" i="8"/>
  <c r="O638" i="8" s="1"/>
  <c r="K1067" i="8"/>
  <c r="O1067" i="8" s="1"/>
  <c r="M69" i="15"/>
  <c r="M94" i="15"/>
  <c r="O94" i="15" s="1"/>
  <c r="M110" i="15"/>
  <c r="M240" i="15"/>
  <c r="Q832" i="5"/>
  <c r="Q833" i="5"/>
  <c r="N227" i="15"/>
  <c r="K92" i="8"/>
  <c r="O92" i="8" s="1"/>
  <c r="K111" i="8"/>
  <c r="O111" i="8" s="1"/>
  <c r="K1066" i="8"/>
  <c r="O1066" i="8" s="1"/>
  <c r="K1341" i="8"/>
  <c r="O1341" i="8" s="1"/>
  <c r="K637" i="8"/>
  <c r="O637" i="8" s="1"/>
  <c r="K1316" i="8"/>
  <c r="O1316" i="8" s="1"/>
  <c r="K615" i="8"/>
  <c r="O615" i="8" s="1"/>
  <c r="K482" i="5"/>
  <c r="Q482" i="5" s="1"/>
  <c r="Q476" i="5" s="1"/>
  <c r="K466" i="5"/>
  <c r="Q466" i="5" s="1"/>
  <c r="Q460" i="5" s="1"/>
  <c r="K831" i="5"/>
  <c r="Q831" i="5" s="1"/>
  <c r="K1295" i="8"/>
  <c r="O1295" i="8" s="1"/>
  <c r="K71" i="8"/>
  <c r="O71" i="8" s="1"/>
  <c r="O1022" i="8"/>
  <c r="O594" i="8"/>
  <c r="M180" i="15"/>
  <c r="O180" i="15" s="1"/>
  <c r="M184" i="15"/>
  <c r="O184" i="15" s="1"/>
  <c r="M195" i="15"/>
  <c r="M206" i="15"/>
  <c r="O206" i="15" s="1"/>
  <c r="M210" i="15"/>
  <c r="O210" i="15" s="1"/>
  <c r="M221" i="15"/>
  <c r="M232" i="15"/>
  <c r="O232" i="15" s="1"/>
  <c r="M236" i="15"/>
  <c r="O236" i="15" s="1"/>
  <c r="M247" i="15"/>
  <c r="O247" i="15" s="1"/>
  <c r="K61" i="8"/>
  <c r="O61" i="8" s="1"/>
  <c r="M860" i="5"/>
  <c r="M859" i="5"/>
  <c r="K30" i="13"/>
  <c r="K141" i="13"/>
  <c r="K129" i="13"/>
  <c r="G167" i="14" s="1"/>
  <c r="K1289" i="8"/>
  <c r="O1289" i="8" s="1"/>
  <c r="K65" i="8"/>
  <c r="O65" i="8" s="1"/>
  <c r="K1016" i="8"/>
  <c r="O1016" i="8" s="1"/>
  <c r="K944" i="5"/>
  <c r="Q944" i="5" s="1"/>
  <c r="K850" i="5"/>
  <c r="M65" i="15"/>
  <c r="O65" i="15" s="1"/>
  <c r="K34" i="8"/>
  <c r="O34" i="8" s="1"/>
  <c r="M76" i="15"/>
  <c r="O76" i="15" s="1"/>
  <c r="M66" i="15"/>
  <c r="O66" i="15" s="1"/>
  <c r="M109" i="15"/>
  <c r="M162" i="15"/>
  <c r="O820" i="5"/>
  <c r="P820" i="5"/>
  <c r="V368" i="5"/>
  <c r="AF368" i="5" s="1"/>
  <c r="V494" i="5"/>
  <c r="AF494" i="5" s="1"/>
  <c r="P828" i="5"/>
  <c r="S820" i="5"/>
  <c r="V796" i="5"/>
  <c r="AF796" i="5" s="1"/>
  <c r="R819" i="5"/>
  <c r="O828" i="5"/>
  <c r="P819" i="5"/>
  <c r="R828" i="5"/>
  <c r="S819" i="5"/>
  <c r="AI733" i="5"/>
  <c r="AI759" i="5"/>
  <c r="AI749" i="5"/>
  <c r="F82" i="6"/>
  <c r="AF759" i="5"/>
  <c r="F61" i="6"/>
  <c r="AF581" i="5"/>
  <c r="F29" i="6"/>
  <c r="AF321" i="5"/>
  <c r="F67" i="6"/>
  <c r="AF641" i="5"/>
  <c r="F76" i="6"/>
  <c r="AF733" i="5"/>
  <c r="AI794" i="5"/>
  <c r="F58" i="6"/>
  <c r="AF538" i="5"/>
  <c r="F81" i="6"/>
  <c r="AF754" i="5"/>
  <c r="F57" i="6"/>
  <c r="AF529" i="5"/>
  <c r="F48" i="6"/>
  <c r="AF460" i="5"/>
  <c r="AI492" i="5"/>
  <c r="AI610" i="5"/>
  <c r="AI581" i="5"/>
  <c r="F49" i="6"/>
  <c r="AF467" i="5"/>
  <c r="V122" i="5"/>
  <c r="AF122" i="5" s="1"/>
  <c r="AF107" i="5"/>
  <c r="F80" i="6"/>
  <c r="AF749" i="5"/>
  <c r="AI621" i="5"/>
  <c r="F65" i="6"/>
  <c r="AF621" i="5"/>
  <c r="F53" i="6"/>
  <c r="AF499" i="5"/>
  <c r="F28" i="6"/>
  <c r="AF310" i="5"/>
  <c r="V462" i="5"/>
  <c r="AF462" i="5" s="1"/>
  <c r="V536" i="5"/>
  <c r="AF536" i="5" s="1"/>
  <c r="V535" i="5"/>
  <c r="AF535" i="5" s="1"/>
  <c r="AF365" i="5"/>
  <c r="F24" i="6"/>
  <c r="AF223" i="5"/>
  <c r="F52" i="6"/>
  <c r="AF492" i="5"/>
  <c r="V799" i="5"/>
  <c r="AF799" i="5" s="1"/>
  <c r="AF794" i="5"/>
  <c r="F64" i="6"/>
  <c r="AF610" i="5"/>
  <c r="F60" i="6"/>
  <c r="AF554" i="5"/>
  <c r="F47" i="6"/>
  <c r="AF451" i="5"/>
  <c r="F30" i="6"/>
  <c r="AF331" i="5"/>
  <c r="V465" i="5"/>
  <c r="AF465" i="5" s="1"/>
  <c r="V466" i="5"/>
  <c r="AF466" i="5" s="1"/>
  <c r="V537" i="5"/>
  <c r="AF537" i="5" s="1"/>
  <c r="V531" i="5"/>
  <c r="AF531" i="5" s="1"/>
  <c r="O832" i="5"/>
  <c r="F38" i="6"/>
  <c r="AF390" i="5"/>
  <c r="F63" i="6"/>
  <c r="AF601" i="5"/>
  <c r="F59" i="6"/>
  <c r="AF547" i="5"/>
  <c r="F46" i="6"/>
  <c r="AF444" i="5"/>
  <c r="V112" i="5"/>
  <c r="AF112" i="5" s="1"/>
  <c r="V226" i="5"/>
  <c r="AF226" i="5" s="1"/>
  <c r="V225" i="5"/>
  <c r="AF225" i="5" s="1"/>
  <c r="N819" i="5"/>
  <c r="V367" i="5"/>
  <c r="AF367" i="5" s="1"/>
  <c r="V496" i="5"/>
  <c r="AF496" i="5" s="1"/>
  <c r="V498" i="5"/>
  <c r="AF498" i="5" s="1"/>
  <c r="N828" i="5"/>
  <c r="R832" i="5"/>
  <c r="V797" i="5"/>
  <c r="AF797" i="5" s="1"/>
  <c r="O819" i="5"/>
  <c r="V114" i="5"/>
  <c r="AF114" i="5" s="1"/>
  <c r="V113" i="5"/>
  <c r="AF113" i="5" s="1"/>
  <c r="V121" i="5"/>
  <c r="AF121" i="5" s="1"/>
  <c r="V753" i="5"/>
  <c r="AF753" i="5" s="1"/>
  <c r="V736" i="5"/>
  <c r="AF736" i="5" s="1"/>
  <c r="V110" i="5"/>
  <c r="AF110" i="5" s="1"/>
  <c r="V109" i="5"/>
  <c r="AF109" i="5" s="1"/>
  <c r="V120" i="5"/>
  <c r="AF120" i="5" s="1"/>
  <c r="P832" i="5"/>
  <c r="V735" i="5"/>
  <c r="AF735" i="5" s="1"/>
  <c r="V111" i="5"/>
  <c r="AF111" i="5" s="1"/>
  <c r="N832" i="5"/>
  <c r="V752" i="5"/>
  <c r="AF752" i="5" s="1"/>
  <c r="O808" i="5"/>
  <c r="S808" i="5"/>
  <c r="R808" i="5"/>
  <c r="P808" i="5"/>
  <c r="Q808" i="5"/>
  <c r="N808" i="5"/>
  <c r="R825" i="5"/>
  <c r="S825" i="5"/>
  <c r="O825" i="5"/>
  <c r="P825" i="5"/>
  <c r="Q825" i="5"/>
  <c r="P831" i="5"/>
  <c r="O831" i="5"/>
  <c r="R831" i="5"/>
  <c r="S831" i="5"/>
  <c r="Q884" i="5"/>
  <c r="R884" i="5"/>
  <c r="O884" i="5"/>
  <c r="P884" i="5"/>
  <c r="S884" i="5"/>
  <c r="Q900" i="5"/>
  <c r="R900" i="5"/>
  <c r="S900" i="5"/>
  <c r="P900" i="5"/>
  <c r="O900" i="5"/>
  <c r="R922" i="5"/>
  <c r="O922" i="5"/>
  <c r="P922" i="5"/>
  <c r="Q922" i="5"/>
  <c r="S922" i="5"/>
  <c r="P908" i="5"/>
  <c r="Q908" i="5"/>
  <c r="R908" i="5"/>
  <c r="S908" i="5"/>
  <c r="O908" i="5"/>
  <c r="O898" i="5"/>
  <c r="S898" i="5"/>
  <c r="P898" i="5"/>
  <c r="R898" i="5"/>
  <c r="Q814" i="5"/>
  <c r="O814" i="5"/>
  <c r="P814" i="5"/>
  <c r="R814" i="5"/>
  <c r="S814" i="5"/>
  <c r="N814" i="5"/>
  <c r="P823" i="5"/>
  <c r="R823" i="5"/>
  <c r="S823" i="5"/>
  <c r="O823" i="5"/>
  <c r="Q823" i="5"/>
  <c r="O902" i="5"/>
  <c r="R902" i="5"/>
  <c r="P902" i="5"/>
  <c r="Q902" i="5"/>
  <c r="S902" i="5"/>
  <c r="Q874" i="5"/>
  <c r="P874" i="5"/>
  <c r="O921" i="5"/>
  <c r="S921" i="5"/>
  <c r="P921" i="5"/>
  <c r="Q921" i="5"/>
  <c r="R921" i="5"/>
  <c r="R829" i="5"/>
  <c r="O829" i="5"/>
  <c r="P829" i="5"/>
  <c r="Q829" i="5"/>
  <c r="S829" i="5"/>
  <c r="Q818" i="5"/>
  <c r="P818" i="5"/>
  <c r="R818" i="5"/>
  <c r="S818" i="5"/>
  <c r="O818" i="5"/>
  <c r="R809" i="5"/>
  <c r="S809" i="5"/>
  <c r="O809" i="5"/>
  <c r="Q809" i="5"/>
  <c r="P809" i="5"/>
  <c r="N809" i="5"/>
  <c r="P889" i="5"/>
  <c r="S889" i="5"/>
  <c r="Q889" i="5"/>
  <c r="R889" i="5"/>
  <c r="O889" i="5"/>
  <c r="P901" i="5"/>
  <c r="R901" i="5"/>
  <c r="O901" i="5"/>
  <c r="Q901" i="5"/>
  <c r="S901" i="5"/>
  <c r="Q911" i="5"/>
  <c r="R911" i="5"/>
  <c r="S911" i="5"/>
  <c r="O911" i="5"/>
  <c r="P911" i="5"/>
  <c r="R813" i="5"/>
  <c r="O813" i="5"/>
  <c r="P813" i="5"/>
  <c r="S813" i="5"/>
  <c r="Q813" i="5"/>
  <c r="N813" i="5"/>
  <c r="R821" i="5"/>
  <c r="Q821" i="5"/>
  <c r="S821" i="5"/>
  <c r="O821" i="5"/>
  <c r="P821" i="5"/>
  <c r="P827" i="5"/>
  <c r="S827" i="5"/>
  <c r="O827" i="5"/>
  <c r="R827" i="5"/>
  <c r="R833" i="5"/>
  <c r="P833" i="5"/>
  <c r="O833" i="5"/>
  <c r="P916" i="5"/>
  <c r="S916" i="5"/>
  <c r="O916" i="5"/>
  <c r="Q916" i="5"/>
  <c r="R916" i="5"/>
  <c r="P904" i="5"/>
  <c r="Q904" i="5"/>
  <c r="R904" i="5"/>
  <c r="S904" i="5"/>
  <c r="O904" i="5"/>
  <c r="P897" i="5"/>
  <c r="S897" i="5"/>
  <c r="R897" i="5"/>
  <c r="O897" i="5"/>
  <c r="F11" i="6"/>
  <c r="F35" i="6"/>
  <c r="F10" i="6"/>
  <c r="N921" i="5"/>
  <c r="N922" i="5"/>
  <c r="Y763" i="5"/>
  <c r="AI763" i="5" s="1"/>
  <c r="Y762" i="5"/>
  <c r="AI762" i="5" s="1"/>
  <c r="Y761" i="5"/>
  <c r="AI761" i="5" s="1"/>
  <c r="Y751" i="5"/>
  <c r="AI751" i="5" s="1"/>
  <c r="Y753" i="5"/>
  <c r="AI753" i="5" s="1"/>
  <c r="Y752" i="5"/>
  <c r="AI752" i="5" s="1"/>
  <c r="V584" i="5"/>
  <c r="AF584" i="5" s="1"/>
  <c r="V588" i="5"/>
  <c r="AF588" i="5" s="1"/>
  <c r="V589" i="5"/>
  <c r="AF589" i="5" s="1"/>
  <c r="V587" i="5"/>
  <c r="AF587" i="5" s="1"/>
  <c r="V586" i="5"/>
  <c r="AF586" i="5" s="1"/>
  <c r="V583" i="5"/>
  <c r="AF583" i="5" s="1"/>
  <c r="V585" i="5"/>
  <c r="AF585" i="5" s="1"/>
  <c r="N884" i="5"/>
  <c r="Y655" i="5"/>
  <c r="AI655" i="5" s="1"/>
  <c r="Y654" i="5"/>
  <c r="AI654" i="5" s="1"/>
  <c r="Y652" i="5"/>
  <c r="AI652" i="5" s="1"/>
  <c r="Y653" i="5"/>
  <c r="AI653" i="5" s="1"/>
  <c r="Y625" i="5"/>
  <c r="AI625" i="5" s="1"/>
  <c r="Y629" i="5"/>
  <c r="AI629" i="5" s="1"/>
  <c r="Y624" i="5"/>
  <c r="AI624" i="5" s="1"/>
  <c r="Y628" i="5"/>
  <c r="AI628" i="5" s="1"/>
  <c r="Y627" i="5"/>
  <c r="AI627" i="5" s="1"/>
  <c r="Y626" i="5"/>
  <c r="AI626" i="5" s="1"/>
  <c r="Y623" i="5"/>
  <c r="AI623" i="5" s="1"/>
  <c r="Y799" i="5"/>
  <c r="AI799" i="5" s="1"/>
  <c r="Y796" i="5"/>
  <c r="AI796" i="5" s="1"/>
  <c r="Y797" i="5"/>
  <c r="AI797" i="5" s="1"/>
  <c r="V540" i="5"/>
  <c r="AF540" i="5" s="1"/>
  <c r="V544" i="5"/>
  <c r="AF544" i="5" s="1"/>
  <c r="V545" i="5"/>
  <c r="AF545" i="5" s="1"/>
  <c r="V541" i="5"/>
  <c r="AF541" i="5" s="1"/>
  <c r="V543" i="5"/>
  <c r="AF543" i="5" s="1"/>
  <c r="V542" i="5"/>
  <c r="AF542" i="5" s="1"/>
  <c r="V546" i="5"/>
  <c r="AF546" i="5" s="1"/>
  <c r="V93" i="5"/>
  <c r="AF93" i="5" s="1"/>
  <c r="V92" i="5"/>
  <c r="AF92" i="5" s="1"/>
  <c r="V624" i="5"/>
  <c r="AF624" i="5" s="1"/>
  <c r="V628" i="5"/>
  <c r="AF628" i="5" s="1"/>
  <c r="V623" i="5"/>
  <c r="AF623" i="5" s="1"/>
  <c r="V627" i="5"/>
  <c r="AF627" i="5" s="1"/>
  <c r="V625" i="5"/>
  <c r="AF625" i="5" s="1"/>
  <c r="V629" i="5"/>
  <c r="AF629" i="5" s="1"/>
  <c r="V626" i="5"/>
  <c r="AF626" i="5" s="1"/>
  <c r="V758" i="5"/>
  <c r="AF758" i="5" s="1"/>
  <c r="V757" i="5"/>
  <c r="AF757" i="5" s="1"/>
  <c r="V756" i="5"/>
  <c r="AF756" i="5" s="1"/>
  <c r="N823" i="5"/>
  <c r="N902" i="5"/>
  <c r="N874" i="5"/>
  <c r="N898" i="5"/>
  <c r="Y615" i="5"/>
  <c r="AI615" i="5" s="1"/>
  <c r="Y619" i="5"/>
  <c r="AI619" i="5" s="1"/>
  <c r="Y613" i="5"/>
  <c r="AI613" i="5" s="1"/>
  <c r="Y620" i="5"/>
  <c r="AI620" i="5" s="1"/>
  <c r="Y617" i="5"/>
  <c r="AI617" i="5" s="1"/>
  <c r="Y616" i="5"/>
  <c r="AI616" i="5" s="1"/>
  <c r="Y614" i="5"/>
  <c r="AI614" i="5" s="1"/>
  <c r="Y612" i="5"/>
  <c r="AI612" i="5" s="1"/>
  <c r="Y618" i="5"/>
  <c r="AI618" i="5" s="1"/>
  <c r="N825" i="5"/>
  <c r="V469" i="5"/>
  <c r="AF469" i="5" s="1"/>
  <c r="V473" i="5"/>
  <c r="AF473" i="5" s="1"/>
  <c r="V471" i="5"/>
  <c r="AF471" i="5" s="1"/>
  <c r="V474" i="5"/>
  <c r="AF474" i="5" s="1"/>
  <c r="V475" i="5"/>
  <c r="AF475" i="5" s="1"/>
  <c r="V470" i="5"/>
  <c r="AF470" i="5" s="1"/>
  <c r="V472" i="5"/>
  <c r="AF472" i="5" s="1"/>
  <c r="N900" i="5"/>
  <c r="N904" i="5"/>
  <c r="Y180" i="5"/>
  <c r="AI180" i="5" s="1"/>
  <c r="Y192" i="5"/>
  <c r="AI192" i="5" s="1"/>
  <c r="Y658" i="5"/>
  <c r="AI658" i="5" s="1"/>
  <c r="V380" i="5"/>
  <c r="AF380" i="5" s="1"/>
  <c r="V381" i="5"/>
  <c r="AF381" i="5" s="1"/>
  <c r="V501" i="5"/>
  <c r="AF501" i="5" s="1"/>
  <c r="V505" i="5"/>
  <c r="AF505" i="5" s="1"/>
  <c r="V502" i="5"/>
  <c r="AF502" i="5" s="1"/>
  <c r="V504" i="5"/>
  <c r="AF504" i="5" s="1"/>
  <c r="V503" i="5"/>
  <c r="AF503" i="5" s="1"/>
  <c r="V506" i="5"/>
  <c r="AF506" i="5" s="1"/>
  <c r="N829" i="5"/>
  <c r="N818" i="5"/>
  <c r="V320" i="5"/>
  <c r="AF320" i="5" s="1"/>
  <c r="N889" i="5"/>
  <c r="N901" i="5"/>
  <c r="AB713" i="5"/>
  <c r="AL713" i="5" s="1"/>
  <c r="AB712" i="5"/>
  <c r="AL712" i="5" s="1"/>
  <c r="Y87" i="5"/>
  <c r="AI87" i="5" s="1"/>
  <c r="Y86" i="5"/>
  <c r="AI86" i="5" s="1"/>
  <c r="Y585" i="5"/>
  <c r="AI585" i="5" s="1"/>
  <c r="Y589" i="5"/>
  <c r="AI589" i="5" s="1"/>
  <c r="Y587" i="5"/>
  <c r="AI587" i="5" s="1"/>
  <c r="Y584" i="5"/>
  <c r="AI584" i="5" s="1"/>
  <c r="Y586" i="5"/>
  <c r="AI586" i="5" s="1"/>
  <c r="Y583" i="5"/>
  <c r="AI583" i="5" s="1"/>
  <c r="Y588" i="5"/>
  <c r="AI588" i="5" s="1"/>
  <c r="V762" i="5"/>
  <c r="AF762" i="5" s="1"/>
  <c r="V761" i="5"/>
  <c r="AF761" i="5" s="1"/>
  <c r="V763" i="5"/>
  <c r="AF763" i="5" s="1"/>
  <c r="N831" i="5"/>
  <c r="V329" i="5"/>
  <c r="AF329" i="5" s="1"/>
  <c r="V330" i="5"/>
  <c r="AF330" i="5" s="1"/>
  <c r="Y381" i="5"/>
  <c r="AI381" i="5" s="1"/>
  <c r="Y380" i="5"/>
  <c r="AI380" i="5" s="1"/>
  <c r="Y736" i="5"/>
  <c r="AI736" i="5" s="1"/>
  <c r="Y735" i="5"/>
  <c r="AI735" i="5" s="1"/>
  <c r="Y495" i="5"/>
  <c r="AI495" i="5" s="1"/>
  <c r="Y497" i="5"/>
  <c r="AI497" i="5" s="1"/>
  <c r="Y494" i="5"/>
  <c r="AI494" i="5" s="1"/>
  <c r="Y496" i="5"/>
  <c r="AI496" i="5" s="1"/>
  <c r="Y498" i="5"/>
  <c r="AI498" i="5" s="1"/>
  <c r="V614" i="5"/>
  <c r="AF614" i="5" s="1"/>
  <c r="V618" i="5"/>
  <c r="AF618" i="5" s="1"/>
  <c r="V615" i="5"/>
  <c r="AF615" i="5" s="1"/>
  <c r="V617" i="5"/>
  <c r="AF617" i="5" s="1"/>
  <c r="V612" i="5"/>
  <c r="AF612" i="5" s="1"/>
  <c r="V619" i="5"/>
  <c r="AF619" i="5" s="1"/>
  <c r="V613" i="5"/>
  <c r="AF613" i="5" s="1"/>
  <c r="V616" i="5"/>
  <c r="AF616" i="5" s="1"/>
  <c r="V620" i="5"/>
  <c r="AF620" i="5" s="1"/>
  <c r="V557" i="5"/>
  <c r="AF557" i="5" s="1"/>
  <c r="V556" i="5"/>
  <c r="AF556" i="5" s="1"/>
  <c r="V560" i="5"/>
  <c r="AF560" i="5" s="1"/>
  <c r="V559" i="5"/>
  <c r="AF559" i="5" s="1"/>
  <c r="V558" i="5"/>
  <c r="AF558" i="5" s="1"/>
  <c r="N821" i="5"/>
  <c r="V459" i="5"/>
  <c r="AF459" i="5" s="1"/>
  <c r="V453" i="5"/>
  <c r="AF453" i="5" s="1"/>
  <c r="V457" i="5"/>
  <c r="AF457" i="5" s="1"/>
  <c r="V458" i="5"/>
  <c r="AF458" i="5" s="1"/>
  <c r="V454" i="5"/>
  <c r="AF454" i="5" s="1"/>
  <c r="V455" i="5"/>
  <c r="AF455" i="5" s="1"/>
  <c r="V456" i="5"/>
  <c r="AF456" i="5" s="1"/>
  <c r="N827" i="5"/>
  <c r="N833" i="5"/>
  <c r="V338" i="5"/>
  <c r="AF338" i="5" s="1"/>
  <c r="V339" i="5"/>
  <c r="AF339" i="5" s="1"/>
  <c r="AB704" i="5"/>
  <c r="AL704" i="5" s="1"/>
  <c r="AB705" i="5"/>
  <c r="AL705" i="5" s="1"/>
  <c r="V334" i="5"/>
  <c r="AF334" i="5" s="1"/>
  <c r="V333" i="5"/>
  <c r="AF333" i="5" s="1"/>
  <c r="V335" i="5"/>
  <c r="AF335" i="5" s="1"/>
  <c r="V323" i="5"/>
  <c r="AF323" i="5" s="1"/>
  <c r="V325" i="5"/>
  <c r="AF325" i="5" s="1"/>
  <c r="V324" i="5"/>
  <c r="AF324" i="5" s="1"/>
  <c r="V90" i="5"/>
  <c r="AF90" i="5" s="1"/>
  <c r="V91" i="5"/>
  <c r="AF91" i="5" s="1"/>
  <c r="V86" i="5"/>
  <c r="AF86" i="5" s="1"/>
  <c r="V87" i="5"/>
  <c r="AF87" i="5" s="1"/>
  <c r="V312" i="5"/>
  <c r="AF312" i="5" s="1"/>
  <c r="V314" i="5"/>
  <c r="AF314" i="5" s="1"/>
  <c r="V313" i="5"/>
  <c r="AF313" i="5" s="1"/>
  <c r="G905" i="5"/>
  <c r="C905" i="5" s="1"/>
  <c r="AL706" i="5"/>
  <c r="Y659" i="5" l="1"/>
  <c r="AI659" i="5" s="1"/>
  <c r="Y660" i="5"/>
  <c r="AI660" i="5" s="1"/>
  <c r="N212" i="15"/>
  <c r="G169" i="9" s="1"/>
  <c r="O213" i="15"/>
  <c r="K27" i="13"/>
  <c r="P873" i="5"/>
  <c r="Q877" i="5"/>
  <c r="N873" i="5"/>
  <c r="Q873" i="5"/>
  <c r="R873" i="5"/>
  <c r="S873" i="5"/>
  <c r="O873" i="5"/>
  <c r="O340" i="15"/>
  <c r="M339" i="15"/>
  <c r="O356" i="15"/>
  <c r="M355" i="15"/>
  <c r="G302" i="9" s="1"/>
  <c r="P164" i="5"/>
  <c r="R66" i="5"/>
  <c r="K106" i="6" s="1"/>
  <c r="Q106" i="6" s="1"/>
  <c r="P66" i="5"/>
  <c r="I106" i="6" s="1"/>
  <c r="O106" i="6" s="1"/>
  <c r="P195" i="5"/>
  <c r="P331" i="5"/>
  <c r="R881" i="5"/>
  <c r="J27" i="13"/>
  <c r="O881" i="5"/>
  <c r="N881" i="5"/>
  <c r="C881" i="5"/>
  <c r="Q881" i="5"/>
  <c r="P881" i="5"/>
  <c r="L26" i="13"/>
  <c r="K26" i="13"/>
  <c r="P350" i="5"/>
  <c r="I32" i="6" s="1"/>
  <c r="O32" i="6" s="1"/>
  <c r="E16" i="20"/>
  <c r="H16" i="20" s="1"/>
  <c r="H27" i="20" s="1"/>
  <c r="F7" i="19" s="1"/>
  <c r="C16" i="20"/>
  <c r="O122" i="15"/>
  <c r="V385" i="5"/>
  <c r="AF385" i="5" s="1"/>
  <c r="S877" i="5"/>
  <c r="R877" i="5"/>
  <c r="O877" i="5"/>
  <c r="P289" i="5"/>
  <c r="I111" i="6" s="1"/>
  <c r="N877" i="5"/>
  <c r="C877" i="5"/>
  <c r="P310" i="5"/>
  <c r="P340" i="5"/>
  <c r="I31" i="6" s="1"/>
  <c r="O31" i="6" s="1"/>
  <c r="G250" i="5"/>
  <c r="C250" i="5" s="1"/>
  <c r="AE250" i="5"/>
  <c r="AB26" i="5"/>
  <c r="AL26" i="5" s="1"/>
  <c r="AB27" i="5"/>
  <c r="AL27" i="5" s="1"/>
  <c r="AB35" i="5"/>
  <c r="AL35" i="5" s="1"/>
  <c r="AB34" i="5"/>
  <c r="AL34" i="5" s="1"/>
  <c r="AB33" i="5"/>
  <c r="AL33" i="5" s="1"/>
  <c r="AB25" i="5"/>
  <c r="AL25" i="5" s="1"/>
  <c r="Q907" i="5"/>
  <c r="Y182" i="5"/>
  <c r="AI182" i="5" s="1"/>
  <c r="Y272" i="5"/>
  <c r="AI272" i="5" s="1"/>
  <c r="P151" i="5"/>
  <c r="I18" i="6" s="1"/>
  <c r="O18" i="6" s="1"/>
  <c r="N879" i="5"/>
  <c r="P879" i="5"/>
  <c r="P906" i="5"/>
  <c r="U382" i="5"/>
  <c r="U384" i="5" s="1"/>
  <c r="AF382" i="5"/>
  <c r="S879" i="5"/>
  <c r="C879" i="5"/>
  <c r="O879" i="5"/>
  <c r="Q879" i="5"/>
  <c r="V748" i="5"/>
  <c r="AF748" i="5" s="1"/>
  <c r="V747" i="5"/>
  <c r="AF747" i="5" s="1"/>
  <c r="AF745" i="5"/>
  <c r="O847" i="5"/>
  <c r="J24" i="13"/>
  <c r="L24" i="13"/>
  <c r="M26" i="15"/>
  <c r="O26" i="15" s="1"/>
  <c r="B9" i="16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18" i="6"/>
  <c r="P18" i="6"/>
  <c r="M18" i="6"/>
  <c r="Q18" i="6"/>
  <c r="R18" i="6"/>
  <c r="N18" i="6"/>
  <c r="L20" i="13"/>
  <c r="M20" i="13" s="1"/>
  <c r="AE151" i="5"/>
  <c r="G151" i="5"/>
  <c r="C151" i="5" s="1"/>
  <c r="S906" i="5"/>
  <c r="N906" i="5"/>
  <c r="Q906" i="5"/>
  <c r="O906" i="5"/>
  <c r="R906" i="5"/>
  <c r="P12" i="5"/>
  <c r="I101" i="6" s="1"/>
  <c r="O101" i="6" s="1"/>
  <c r="V140" i="5"/>
  <c r="AF140" i="5" s="1"/>
  <c r="V155" i="5"/>
  <c r="AF155" i="5" s="1"/>
  <c r="V162" i="5"/>
  <c r="AF162" i="5" s="1"/>
  <c r="V161" i="5"/>
  <c r="AF161" i="5" s="1"/>
  <c r="V153" i="5"/>
  <c r="AF153" i="5" s="1"/>
  <c r="V154" i="5"/>
  <c r="AF154" i="5" s="1"/>
  <c r="C867" i="5"/>
  <c r="H63" i="15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P847" i="5"/>
  <c r="Q847" i="5"/>
  <c r="S847" i="5"/>
  <c r="R847" i="5"/>
  <c r="N847" i="5"/>
  <c r="L17" i="13"/>
  <c r="J17" i="13"/>
  <c r="J19" i="13"/>
  <c r="L19" i="13"/>
  <c r="Q880" i="5"/>
  <c r="G919" i="5"/>
  <c r="P919" i="5" s="1"/>
  <c r="O878" i="5"/>
  <c r="G918" i="5"/>
  <c r="G844" i="5"/>
  <c r="P844" i="5" s="1"/>
  <c r="G846" i="5"/>
  <c r="AF357" i="5"/>
  <c r="AF356" i="5"/>
  <c r="Y135" i="5"/>
  <c r="AI135" i="5" s="1"/>
  <c r="AF346" i="5"/>
  <c r="AF347" i="5"/>
  <c r="Y216" i="5"/>
  <c r="AI216" i="5" s="1"/>
  <c r="Y90" i="5"/>
  <c r="AI90" i="5" s="1"/>
  <c r="Y91" i="5"/>
  <c r="AI91" i="5" s="1"/>
  <c r="Y92" i="5"/>
  <c r="AI92" i="5" s="1"/>
  <c r="Y93" i="5"/>
  <c r="AI93" i="5" s="1"/>
  <c r="Y181" i="5"/>
  <c r="AI181" i="5" s="1"/>
  <c r="Y186" i="5"/>
  <c r="AI186" i="5" s="1"/>
  <c r="Y193" i="5"/>
  <c r="AI193" i="5" s="1"/>
  <c r="Y183" i="5"/>
  <c r="AI183" i="5" s="1"/>
  <c r="P36" i="5"/>
  <c r="I104" i="6" s="1"/>
  <c r="O104" i="6" s="1"/>
  <c r="Y184" i="5"/>
  <c r="AI184" i="5" s="1"/>
  <c r="Y185" i="5"/>
  <c r="AI185" i="5" s="1"/>
  <c r="Y215" i="5"/>
  <c r="AI215" i="5" s="1"/>
  <c r="Y136" i="5"/>
  <c r="AI136" i="5" s="1"/>
  <c r="Y126" i="5"/>
  <c r="AI126" i="5" s="1"/>
  <c r="Y134" i="5"/>
  <c r="AI134" i="5" s="1"/>
  <c r="Y125" i="5"/>
  <c r="AI125" i="5" s="1"/>
  <c r="Y137" i="5"/>
  <c r="AI137" i="5" s="1"/>
  <c r="Y200" i="5"/>
  <c r="AI200" i="5" s="1"/>
  <c r="Y71" i="5"/>
  <c r="AI71" i="5" s="1"/>
  <c r="V200" i="5"/>
  <c r="AF200" i="5" s="1"/>
  <c r="V71" i="5"/>
  <c r="AF71" i="5" s="1"/>
  <c r="P688" i="5"/>
  <c r="I122" i="6" s="1"/>
  <c r="O122" i="6" s="1"/>
  <c r="O258" i="15"/>
  <c r="M251" i="15"/>
  <c r="G319" i="9" s="1"/>
  <c r="P695" i="5"/>
  <c r="I123" i="6" s="1"/>
  <c r="O123" i="6" s="1"/>
  <c r="P1581" i="8"/>
  <c r="O1591" i="8"/>
  <c r="G267" i="9" s="1"/>
  <c r="H267" i="9" s="1"/>
  <c r="O96" i="15"/>
  <c r="N95" i="15"/>
  <c r="G16" i="9" s="1"/>
  <c r="G14" i="9" s="1"/>
  <c r="O43" i="15"/>
  <c r="M42" i="15"/>
  <c r="O42" i="15" s="1"/>
  <c r="M325" i="15"/>
  <c r="O1581" i="8"/>
  <c r="AL17" i="5"/>
  <c r="F102" i="6"/>
  <c r="G265" i="14"/>
  <c r="G264" i="14" s="1"/>
  <c r="M211" i="13"/>
  <c r="M50" i="15"/>
  <c r="O50" i="15" s="1"/>
  <c r="C186" i="11"/>
  <c r="E186" i="11" s="1"/>
  <c r="C83" i="11"/>
  <c r="E83" i="11" s="1"/>
  <c r="O69" i="15"/>
  <c r="M23" i="15"/>
  <c r="O23" i="15" s="1"/>
  <c r="O27" i="15"/>
  <c r="O175" i="15"/>
  <c r="O227" i="15"/>
  <c r="O136" i="15"/>
  <c r="O239" i="15"/>
  <c r="S878" i="5"/>
  <c r="Q878" i="5"/>
  <c r="C878" i="5"/>
  <c r="N878" i="5"/>
  <c r="P878" i="5"/>
  <c r="R878" i="5"/>
  <c r="S880" i="5"/>
  <c r="P880" i="5"/>
  <c r="N880" i="5"/>
  <c r="R880" i="5"/>
  <c r="O880" i="5"/>
  <c r="C880" i="5"/>
  <c r="O88" i="15"/>
  <c r="P843" i="5"/>
  <c r="N843" i="5"/>
  <c r="K22" i="13"/>
  <c r="G26" i="14" s="1"/>
  <c r="G25" i="14" s="1"/>
  <c r="O866" i="5"/>
  <c r="Q843" i="5"/>
  <c r="C843" i="5"/>
  <c r="R843" i="5"/>
  <c r="S843" i="5"/>
  <c r="R866" i="5"/>
  <c r="AB11" i="5"/>
  <c r="AL11" i="5" s="1"/>
  <c r="AB10" i="5"/>
  <c r="AL10" i="5" s="1"/>
  <c r="G6" i="16"/>
  <c r="AI178" i="5"/>
  <c r="C10" i="15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M10" i="15"/>
  <c r="O10" i="15" s="1"/>
  <c r="AI650" i="5"/>
  <c r="E19" i="20"/>
  <c r="G19" i="20" s="1"/>
  <c r="E17" i="20"/>
  <c r="G17" i="20" s="1"/>
  <c r="C17" i="20"/>
  <c r="E18" i="20"/>
  <c r="G18" i="20" s="1"/>
  <c r="AI656" i="5"/>
  <c r="P682" i="5"/>
  <c r="I121" i="6" s="1"/>
  <c r="Q839" i="5"/>
  <c r="C866" i="5"/>
  <c r="S839" i="5"/>
  <c r="C839" i="5"/>
  <c r="P839" i="5"/>
  <c r="R839" i="5"/>
  <c r="P676" i="5"/>
  <c r="I120" i="6" s="1"/>
  <c r="I30" i="6"/>
  <c r="O30" i="6" s="1"/>
  <c r="I29" i="6"/>
  <c r="O29" i="6" s="1"/>
  <c r="I28" i="6"/>
  <c r="O28" i="6" s="1"/>
  <c r="I27" i="6"/>
  <c r="O27" i="6" s="1"/>
  <c r="I112" i="6"/>
  <c r="O1692" i="8"/>
  <c r="AF336" i="5"/>
  <c r="AF337" i="5"/>
  <c r="AF327" i="5"/>
  <c r="AF328" i="5"/>
  <c r="AF317" i="5"/>
  <c r="AF318" i="5"/>
  <c r="AF306" i="5"/>
  <c r="AF307" i="5"/>
  <c r="AF295" i="5"/>
  <c r="AF296" i="5"/>
  <c r="N21" i="15"/>
  <c r="O21" i="15" s="1"/>
  <c r="O60" i="15"/>
  <c r="M27" i="13"/>
  <c r="C907" i="5"/>
  <c r="R907" i="5"/>
  <c r="O907" i="5"/>
  <c r="P907" i="5"/>
  <c r="S907" i="5"/>
  <c r="N907" i="5"/>
  <c r="H87" i="11"/>
  <c r="I87" i="11" s="1"/>
  <c r="J87" i="11" s="1"/>
  <c r="G292" i="14"/>
  <c r="M235" i="13"/>
  <c r="G278" i="14"/>
  <c r="M223" i="13"/>
  <c r="P1692" i="8"/>
  <c r="G306" i="14"/>
  <c r="M247" i="13"/>
  <c r="G250" i="14"/>
  <c r="M199" i="13"/>
  <c r="G236" i="14"/>
  <c r="M187" i="13"/>
  <c r="F169" i="11"/>
  <c r="L22" i="13"/>
  <c r="G28" i="14" s="1"/>
  <c r="G27" i="14" s="1"/>
  <c r="G845" i="5"/>
  <c r="N845" i="5" s="1"/>
  <c r="Q849" i="5"/>
  <c r="G321" i="14"/>
  <c r="G320" i="14" s="1"/>
  <c r="C184" i="11"/>
  <c r="E184" i="11" s="1"/>
  <c r="C185" i="11"/>
  <c r="E185" i="11" s="1"/>
  <c r="C187" i="11"/>
  <c r="E187" i="11" s="1"/>
  <c r="C188" i="11"/>
  <c r="E188" i="11" s="1"/>
  <c r="C189" i="11"/>
  <c r="E189" i="11" s="1"/>
  <c r="C190" i="11"/>
  <c r="E190" i="11" s="1"/>
  <c r="G181" i="14"/>
  <c r="G180" i="14" s="1"/>
  <c r="G55" i="14"/>
  <c r="G54" i="14" s="1"/>
  <c r="G41" i="14"/>
  <c r="G40" i="14" s="1"/>
  <c r="G83" i="14"/>
  <c r="G82" i="14" s="1"/>
  <c r="G125" i="14"/>
  <c r="G124" i="14" s="1"/>
  <c r="G139" i="14"/>
  <c r="G138" i="14" s="1"/>
  <c r="G195" i="14"/>
  <c r="G194" i="14" s="1"/>
  <c r="G153" i="14"/>
  <c r="G152" i="14" s="1"/>
  <c r="G166" i="14"/>
  <c r="G110" i="14"/>
  <c r="O8" i="15"/>
  <c r="P982" i="8"/>
  <c r="G168" i="9" s="1"/>
  <c r="G167" i="9" s="1"/>
  <c r="O269" i="15"/>
  <c r="M268" i="15"/>
  <c r="G336" i="9" s="1"/>
  <c r="J42" i="6"/>
  <c r="Q590" i="5"/>
  <c r="J119" i="6" s="1"/>
  <c r="C87" i="11"/>
  <c r="E87" i="11" s="1"/>
  <c r="C86" i="11"/>
  <c r="E86" i="11" s="1"/>
  <c r="O1970" i="8"/>
  <c r="O1345" i="8"/>
  <c r="O1875" i="8"/>
  <c r="G301" i="9" s="1"/>
  <c r="O253" i="15"/>
  <c r="P1702" i="8"/>
  <c r="G287" i="9" s="1"/>
  <c r="G286" i="9" s="1"/>
  <c r="O1865" i="8"/>
  <c r="O1702" i="8"/>
  <c r="G284" i="9" s="1"/>
  <c r="O299" i="15"/>
  <c r="M298" i="15"/>
  <c r="G234" i="9" s="1"/>
  <c r="P1875" i="8"/>
  <c r="G304" i="9" s="1"/>
  <c r="G303" i="9" s="1"/>
  <c r="O2132" i="8"/>
  <c r="G335" i="9" s="1"/>
  <c r="O2123" i="8"/>
  <c r="G285" i="9"/>
  <c r="O1454" i="8"/>
  <c r="G250" i="9" s="1"/>
  <c r="O1981" i="8"/>
  <c r="G318" i="9" s="1"/>
  <c r="P1355" i="8"/>
  <c r="G236" i="9" s="1"/>
  <c r="G235" i="9" s="1"/>
  <c r="P1981" i="8"/>
  <c r="G321" i="9" s="1"/>
  <c r="G320" i="9" s="1"/>
  <c r="O312" i="15"/>
  <c r="M311" i="15"/>
  <c r="G251" i="9" s="1"/>
  <c r="P1970" i="8"/>
  <c r="F310" i="10" s="1"/>
  <c r="F309" i="10" s="1"/>
  <c r="O1444" i="8"/>
  <c r="O1355" i="8"/>
  <c r="G233" i="9" s="1"/>
  <c r="P1454" i="8"/>
  <c r="G253" i="9" s="1"/>
  <c r="G252" i="9" s="1"/>
  <c r="P2132" i="8"/>
  <c r="G338" i="9" s="1"/>
  <c r="G337" i="9" s="1"/>
  <c r="C81" i="11"/>
  <c r="E81" i="11" s="1"/>
  <c r="C82" i="11"/>
  <c r="E82" i="11" s="1"/>
  <c r="C84" i="11"/>
  <c r="E84" i="11" s="1"/>
  <c r="C85" i="11"/>
  <c r="E85" i="11" s="1"/>
  <c r="N238" i="15"/>
  <c r="G203" i="9" s="1"/>
  <c r="G201" i="9" s="1"/>
  <c r="AB574" i="5"/>
  <c r="AL574" i="5" s="1"/>
  <c r="AB22" i="5"/>
  <c r="AL22" i="5" s="1"/>
  <c r="AB19" i="5"/>
  <c r="AL19" i="5" s="1"/>
  <c r="N899" i="5"/>
  <c r="O899" i="5"/>
  <c r="AL8" i="5"/>
  <c r="R910" i="5"/>
  <c r="R891" i="5"/>
  <c r="P914" i="5"/>
  <c r="O914" i="5"/>
  <c r="S914" i="5"/>
  <c r="Q914" i="5"/>
  <c r="R914" i="5"/>
  <c r="AB658" i="5"/>
  <c r="AL658" i="5" s="1"/>
  <c r="AB92" i="5"/>
  <c r="AL92" i="5" s="1"/>
  <c r="Q891" i="5"/>
  <c r="AB91" i="5"/>
  <c r="AL91" i="5" s="1"/>
  <c r="S891" i="5"/>
  <c r="AB90" i="5"/>
  <c r="AL90" i="5" s="1"/>
  <c r="P891" i="5"/>
  <c r="AB93" i="5"/>
  <c r="AL93" i="5" s="1"/>
  <c r="N891" i="5"/>
  <c r="O891" i="5"/>
  <c r="AB578" i="5"/>
  <c r="AL578" i="5" s="1"/>
  <c r="AB21" i="5"/>
  <c r="AL21" i="5" s="1"/>
  <c r="S899" i="5"/>
  <c r="AB573" i="5"/>
  <c r="AL573" i="5" s="1"/>
  <c r="R899" i="5"/>
  <c r="AB20" i="5"/>
  <c r="AL20" i="5" s="1"/>
  <c r="AB580" i="5"/>
  <c r="AL580" i="5" s="1"/>
  <c r="AB661" i="5"/>
  <c r="AL661" i="5" s="1"/>
  <c r="P910" i="5"/>
  <c r="AB660" i="5"/>
  <c r="AL660" i="5" s="1"/>
  <c r="O910" i="5"/>
  <c r="AB576" i="5"/>
  <c r="AL576" i="5" s="1"/>
  <c r="P899" i="5"/>
  <c r="N23" i="6"/>
  <c r="AB577" i="5"/>
  <c r="AL577" i="5" s="1"/>
  <c r="AB579" i="5"/>
  <c r="AL579" i="5" s="1"/>
  <c r="AB575" i="5"/>
  <c r="AL575" i="5" s="1"/>
  <c r="AB572" i="5"/>
  <c r="AL572" i="5" s="1"/>
  <c r="Q899" i="5"/>
  <c r="AF412" i="5"/>
  <c r="V427" i="5"/>
  <c r="AF427" i="5" s="1"/>
  <c r="V426" i="5"/>
  <c r="AF426" i="5" s="1"/>
  <c r="V424" i="5"/>
  <c r="AF424" i="5" s="1"/>
  <c r="V425" i="5"/>
  <c r="AF425" i="5" s="1"/>
  <c r="V423" i="5"/>
  <c r="AF423" i="5" s="1"/>
  <c r="V428" i="5"/>
  <c r="AF428" i="5" s="1"/>
  <c r="N824" i="5"/>
  <c r="AF719" i="5"/>
  <c r="C850" i="5"/>
  <c r="F14" i="6"/>
  <c r="Q14" i="6" s="1"/>
  <c r="Q36" i="6"/>
  <c r="S824" i="5"/>
  <c r="S849" i="5"/>
  <c r="N13" i="6"/>
  <c r="O849" i="5"/>
  <c r="B36" i="6"/>
  <c r="R849" i="5"/>
  <c r="V654" i="5"/>
  <c r="AF654" i="5" s="1"/>
  <c r="N812" i="5"/>
  <c r="V723" i="5"/>
  <c r="AF723" i="5" s="1"/>
  <c r="V126" i="5"/>
  <c r="AF126" i="5" s="1"/>
  <c r="P824" i="5"/>
  <c r="Q824" i="5"/>
  <c r="V721" i="5"/>
  <c r="AF721" i="5" s="1"/>
  <c r="M23" i="6"/>
  <c r="P13" i="6"/>
  <c r="B13" i="6"/>
  <c r="M36" i="6"/>
  <c r="P849" i="5"/>
  <c r="V125" i="5"/>
  <c r="AF125" i="5" s="1"/>
  <c r="F25" i="6"/>
  <c r="N25" i="6" s="1"/>
  <c r="R23" i="6"/>
  <c r="R36" i="6"/>
  <c r="O36" i="6"/>
  <c r="O824" i="5"/>
  <c r="F73" i="6"/>
  <c r="Q23" i="6"/>
  <c r="N849" i="5"/>
  <c r="P807" i="5"/>
  <c r="P826" i="5"/>
  <c r="S841" i="5"/>
  <c r="V135" i="5"/>
  <c r="AF135" i="5" s="1"/>
  <c r="V182" i="5"/>
  <c r="AF182" i="5" s="1"/>
  <c r="V658" i="5"/>
  <c r="AF658" i="5" s="1"/>
  <c r="M34" i="6"/>
  <c r="N850" i="5"/>
  <c r="F72" i="6"/>
  <c r="R72" i="6" s="1"/>
  <c r="Q822" i="5"/>
  <c r="V652" i="5"/>
  <c r="AF652" i="5" s="1"/>
  <c r="V732" i="5"/>
  <c r="AF732" i="5" s="1"/>
  <c r="S807" i="5"/>
  <c r="Q826" i="5"/>
  <c r="R812" i="5"/>
  <c r="V183" i="5"/>
  <c r="AF183" i="5" s="1"/>
  <c r="V415" i="5"/>
  <c r="AF415" i="5" s="1"/>
  <c r="V136" i="5"/>
  <c r="AF136" i="5" s="1"/>
  <c r="V193" i="5"/>
  <c r="AF193" i="5" s="1"/>
  <c r="V420" i="5"/>
  <c r="AF420" i="5" s="1"/>
  <c r="V148" i="5"/>
  <c r="AF148" i="5" s="1"/>
  <c r="V416" i="5"/>
  <c r="AF416" i="5" s="1"/>
  <c r="V661" i="5"/>
  <c r="AF661" i="5" s="1"/>
  <c r="V655" i="5"/>
  <c r="AF655" i="5" s="1"/>
  <c r="V731" i="5"/>
  <c r="AF731" i="5" s="1"/>
  <c r="O807" i="5"/>
  <c r="S812" i="5"/>
  <c r="N841" i="5"/>
  <c r="P841" i="5"/>
  <c r="O812" i="5"/>
  <c r="N826" i="5"/>
  <c r="S826" i="5"/>
  <c r="Q841" i="5"/>
  <c r="V653" i="5"/>
  <c r="AF653" i="5" s="1"/>
  <c r="F68" i="6"/>
  <c r="M68" i="6" s="1"/>
  <c r="F75" i="6"/>
  <c r="Q75" i="6" s="1"/>
  <c r="N807" i="5"/>
  <c r="Q807" i="5"/>
  <c r="O826" i="5"/>
  <c r="O841" i="5"/>
  <c r="V134" i="5"/>
  <c r="AF134" i="5" s="1"/>
  <c r="V185" i="5"/>
  <c r="AF185" i="5" s="1"/>
  <c r="V414" i="5"/>
  <c r="AF414" i="5" s="1"/>
  <c r="V192" i="5"/>
  <c r="AF192" i="5" s="1"/>
  <c r="F15" i="6"/>
  <c r="B15" i="6" s="1"/>
  <c r="F19" i="6"/>
  <c r="R19" i="6" s="1"/>
  <c r="F22" i="6"/>
  <c r="B22" i="6" s="1"/>
  <c r="V181" i="5"/>
  <c r="AF181" i="5" s="1"/>
  <c r="V184" i="5"/>
  <c r="AF184" i="5" s="1"/>
  <c r="V417" i="5"/>
  <c r="AF417" i="5" s="1"/>
  <c r="V216" i="5"/>
  <c r="AF216" i="5" s="1"/>
  <c r="V659" i="5"/>
  <c r="AF659" i="5" s="1"/>
  <c r="V186" i="5"/>
  <c r="AF186" i="5" s="1"/>
  <c r="V180" i="5"/>
  <c r="AF180" i="5" s="1"/>
  <c r="V419" i="5"/>
  <c r="AF419" i="5" s="1"/>
  <c r="V418" i="5"/>
  <c r="AF418" i="5" s="1"/>
  <c r="V215" i="5"/>
  <c r="AF215" i="5" s="1"/>
  <c r="V660" i="5"/>
  <c r="AF660" i="5" s="1"/>
  <c r="V137" i="5"/>
  <c r="AF137" i="5" s="1"/>
  <c r="F42" i="6"/>
  <c r="F69" i="6"/>
  <c r="R69" i="6" s="1"/>
  <c r="AF138" i="5"/>
  <c r="B89" i="6"/>
  <c r="O822" i="5"/>
  <c r="S822" i="5"/>
  <c r="Q850" i="5"/>
  <c r="N822" i="5"/>
  <c r="S850" i="5"/>
  <c r="P850" i="5"/>
  <c r="O850" i="5"/>
  <c r="P822" i="5"/>
  <c r="F17" i="6"/>
  <c r="B17" i="6" s="1"/>
  <c r="O34" i="6"/>
  <c r="C34" i="6"/>
  <c r="C35" i="6" s="1"/>
  <c r="C36" i="6" s="1"/>
  <c r="C37" i="6" s="1"/>
  <c r="C38" i="6" s="1"/>
  <c r="N89" i="6"/>
  <c r="V717" i="5"/>
  <c r="AF717" i="5" s="1"/>
  <c r="V716" i="5"/>
  <c r="AF716" i="5" s="1"/>
  <c r="R830" i="5"/>
  <c r="Q830" i="5"/>
  <c r="S830" i="5"/>
  <c r="V718" i="5"/>
  <c r="AF718" i="5" s="1"/>
  <c r="Q34" i="6"/>
  <c r="B34" i="6"/>
  <c r="R89" i="6"/>
  <c r="O89" i="6"/>
  <c r="P89" i="6"/>
  <c r="B17" i="22"/>
  <c r="B16" i="22"/>
  <c r="B21" i="22"/>
  <c r="J19" i="22"/>
  <c r="B15" i="22"/>
  <c r="J22" i="22"/>
  <c r="B27" i="22"/>
  <c r="B18" i="22"/>
  <c r="J18" i="22"/>
  <c r="B26" i="22"/>
  <c r="B25" i="22"/>
  <c r="J16" i="22"/>
  <c r="J20" i="22"/>
  <c r="J21" i="22"/>
  <c r="B19" i="22"/>
  <c r="J28" i="22"/>
  <c r="B22" i="22"/>
  <c r="J30" i="22"/>
  <c r="B29" i="22"/>
  <c r="J15" i="22"/>
  <c r="E8" i="22"/>
  <c r="B31" i="22"/>
  <c r="B20" i="22"/>
  <c r="J17" i="22"/>
  <c r="B24" i="22"/>
  <c r="B32" i="22"/>
  <c r="J32" i="22"/>
  <c r="B23" i="22"/>
  <c r="B28" i="22"/>
  <c r="B30" i="22"/>
  <c r="J31" i="22"/>
  <c r="J29" i="22"/>
  <c r="J25" i="22"/>
  <c r="J23" i="22"/>
  <c r="J26" i="22"/>
  <c r="J24" i="22"/>
  <c r="J27" i="22"/>
  <c r="R826" i="5"/>
  <c r="C812" i="5"/>
  <c r="G860" i="5"/>
  <c r="Q860" i="5" s="1"/>
  <c r="C830" i="5"/>
  <c r="N830" i="5"/>
  <c r="P830" i="5"/>
  <c r="V142" i="5"/>
  <c r="AF142" i="5" s="1"/>
  <c r="V149" i="5"/>
  <c r="AF149" i="5" s="1"/>
  <c r="V141" i="5"/>
  <c r="AF141" i="5" s="1"/>
  <c r="Q812" i="5"/>
  <c r="R822" i="5"/>
  <c r="R824" i="5"/>
  <c r="R807" i="5"/>
  <c r="R841" i="5"/>
  <c r="AF178" i="5"/>
  <c r="AB659" i="5"/>
  <c r="AL659" i="5" s="1"/>
  <c r="Q910" i="5"/>
  <c r="S910" i="5"/>
  <c r="AL656" i="5"/>
  <c r="S874" i="5"/>
  <c r="C874" i="5"/>
  <c r="R874" i="5"/>
  <c r="G373" i="9"/>
  <c r="H373" i="9" s="1"/>
  <c r="P2333" i="8"/>
  <c r="G355" i="9" s="1"/>
  <c r="G354" i="9" s="1"/>
  <c r="P2533" i="8"/>
  <c r="G372" i="9" s="1"/>
  <c r="O2533" i="8"/>
  <c r="G369" i="9" s="1"/>
  <c r="H369" i="9" s="1"/>
  <c r="O2333" i="8"/>
  <c r="G352" i="9" s="1"/>
  <c r="O149" i="15"/>
  <c r="G366" i="9"/>
  <c r="G365" i="9" s="1"/>
  <c r="G349" i="9"/>
  <c r="G348" i="9" s="1"/>
  <c r="G88" i="23"/>
  <c r="G89" i="23"/>
  <c r="G91" i="23"/>
  <c r="G93" i="23"/>
  <c r="G92" i="23"/>
  <c r="G90" i="23"/>
  <c r="G212" i="23"/>
  <c r="G210" i="23"/>
  <c r="G208" i="23"/>
  <c r="G211" i="23"/>
  <c r="G209" i="23"/>
  <c r="G207" i="23"/>
  <c r="G99" i="23"/>
  <c r="G100" i="23"/>
  <c r="G96" i="23"/>
  <c r="G98" i="23"/>
  <c r="G97" i="23"/>
  <c r="G95" i="23"/>
  <c r="G200" i="23"/>
  <c r="G204" i="23"/>
  <c r="G202" i="23"/>
  <c r="G203" i="23"/>
  <c r="G205" i="23"/>
  <c r="G201" i="23"/>
  <c r="G71" i="23"/>
  <c r="G70" i="23"/>
  <c r="G69" i="23"/>
  <c r="G68" i="23"/>
  <c r="G67" i="23"/>
  <c r="G72" i="23"/>
  <c r="G65" i="23"/>
  <c r="G63" i="23"/>
  <c r="G60" i="23"/>
  <c r="G61" i="23"/>
  <c r="G62" i="23"/>
  <c r="G64" i="23"/>
  <c r="G223" i="23"/>
  <c r="G225" i="23"/>
  <c r="G226" i="23"/>
  <c r="G221" i="23"/>
  <c r="G222" i="23"/>
  <c r="G224" i="23"/>
  <c r="G214" i="23"/>
  <c r="G216" i="23"/>
  <c r="G218" i="23"/>
  <c r="G219" i="23"/>
  <c r="G215" i="23"/>
  <c r="G217" i="23"/>
  <c r="G68" i="14"/>
  <c r="M52" i="13"/>
  <c r="G96" i="14"/>
  <c r="M74" i="13"/>
  <c r="G222" i="14"/>
  <c r="M175" i="13"/>
  <c r="G208" i="14"/>
  <c r="M163" i="13"/>
  <c r="C80" i="11"/>
  <c r="E80" i="11" s="1"/>
  <c r="C79" i="11"/>
  <c r="E79" i="11" s="1"/>
  <c r="C71" i="11"/>
  <c r="E71" i="11" s="1"/>
  <c r="C69" i="11"/>
  <c r="E69" i="11" s="1"/>
  <c r="C183" i="11"/>
  <c r="E183" i="11" s="1"/>
  <c r="C182" i="11"/>
  <c r="E182" i="11" s="1"/>
  <c r="C174" i="11"/>
  <c r="E174" i="11" s="1"/>
  <c r="C170" i="11"/>
  <c r="E170" i="11" s="1"/>
  <c r="C172" i="11"/>
  <c r="E172" i="11" s="1"/>
  <c r="P870" i="8"/>
  <c r="G151" i="9" s="1"/>
  <c r="K20" i="6"/>
  <c r="Q20" i="6" s="1"/>
  <c r="P559" i="8"/>
  <c r="G83" i="9" s="1"/>
  <c r="P1256" i="8"/>
  <c r="G219" i="9" s="1"/>
  <c r="P290" i="8"/>
  <c r="G66" i="9" s="1"/>
  <c r="P734" i="8"/>
  <c r="G134" i="9" s="1"/>
  <c r="P417" i="8"/>
  <c r="G100" i="9" s="1"/>
  <c r="L34" i="6"/>
  <c r="R34" i="6" s="1"/>
  <c r="N134" i="15"/>
  <c r="G67" i="9" s="1"/>
  <c r="L115" i="6"/>
  <c r="O135" i="15"/>
  <c r="K21" i="6"/>
  <c r="Q21" i="6" s="1"/>
  <c r="N147" i="15"/>
  <c r="G101" i="9" s="1"/>
  <c r="H101" i="9" s="1"/>
  <c r="O734" i="8"/>
  <c r="O2325" i="8"/>
  <c r="F210" i="10" s="1"/>
  <c r="F209" i="10" s="1"/>
  <c r="O187" i="15"/>
  <c r="N186" i="15"/>
  <c r="G135" i="9" s="1"/>
  <c r="J115" i="6"/>
  <c r="O726" i="8"/>
  <c r="F140" i="10" s="1"/>
  <c r="F139" i="10" s="1"/>
  <c r="O2525" i="8"/>
  <c r="F224" i="10" s="1"/>
  <c r="F223" i="10" s="1"/>
  <c r="F192" i="10"/>
  <c r="F199" i="10"/>
  <c r="O862" i="8"/>
  <c r="F154" i="10" s="1"/>
  <c r="F153" i="10" s="1"/>
  <c r="F150" i="10" s="1"/>
  <c r="O870" i="8"/>
  <c r="J35" i="6"/>
  <c r="P35" i="6" s="1"/>
  <c r="O409" i="8"/>
  <c r="F112" i="10" s="1"/>
  <c r="F111" i="10" s="1"/>
  <c r="O282" i="8"/>
  <c r="F84" i="10" s="1"/>
  <c r="F83" i="10" s="1"/>
  <c r="O290" i="8"/>
  <c r="G63" i="9" s="1"/>
  <c r="M134" i="15"/>
  <c r="G64" i="9" s="1"/>
  <c r="O417" i="8"/>
  <c r="G97" i="9" s="1"/>
  <c r="O148" i="15"/>
  <c r="M147" i="15"/>
  <c r="G98" i="9" s="1"/>
  <c r="Q630" i="5"/>
  <c r="P650" i="5"/>
  <c r="P656" i="5"/>
  <c r="P662" i="5"/>
  <c r="P669" i="5"/>
  <c r="Q610" i="5"/>
  <c r="J34" i="6"/>
  <c r="P34" i="6" s="1"/>
  <c r="L35" i="6"/>
  <c r="R35" i="6" s="1"/>
  <c r="Q27" i="6"/>
  <c r="M16" i="6"/>
  <c r="H170" i="11"/>
  <c r="O188" i="15"/>
  <c r="M30" i="13"/>
  <c r="R37" i="6"/>
  <c r="R66" i="6"/>
  <c r="O66" i="6"/>
  <c r="C171" i="11"/>
  <c r="E171" i="11" s="1"/>
  <c r="N108" i="15"/>
  <c r="O110" i="15"/>
  <c r="N160" i="15"/>
  <c r="N199" i="15"/>
  <c r="O109" i="15"/>
  <c r="O214" i="15"/>
  <c r="O200" i="15"/>
  <c r="O123" i="15"/>
  <c r="O240" i="15"/>
  <c r="O286" i="15"/>
  <c r="O161" i="15"/>
  <c r="O1077" i="8"/>
  <c r="G182" i="9" s="1"/>
  <c r="P127" i="5"/>
  <c r="Q66" i="6"/>
  <c r="P88" i="5"/>
  <c r="B66" i="6"/>
  <c r="P132" i="5"/>
  <c r="C73" i="11"/>
  <c r="E73" i="11" s="1"/>
  <c r="C78" i="11"/>
  <c r="E78" i="11" s="1"/>
  <c r="H67" i="11"/>
  <c r="C173" i="11"/>
  <c r="E173" i="11" s="1"/>
  <c r="F66" i="11"/>
  <c r="C72" i="11"/>
  <c r="E72" i="11" s="1"/>
  <c r="C77" i="11"/>
  <c r="E77" i="11" s="1"/>
  <c r="C88" i="11"/>
  <c r="E88" i="11" s="1"/>
  <c r="C74" i="11"/>
  <c r="E74" i="11" s="1"/>
  <c r="C175" i="11"/>
  <c r="E175" i="11" s="1"/>
  <c r="C181" i="11"/>
  <c r="E181" i="11" s="1"/>
  <c r="C179" i="11"/>
  <c r="E179" i="11" s="1"/>
  <c r="C67" i="11"/>
  <c r="E67" i="11" s="1"/>
  <c r="C75" i="11"/>
  <c r="E75" i="11" s="1"/>
  <c r="C68" i="11"/>
  <c r="E68" i="11" s="1"/>
  <c r="C191" i="11"/>
  <c r="E191" i="11" s="1"/>
  <c r="C177" i="11"/>
  <c r="E177" i="11" s="1"/>
  <c r="C180" i="11"/>
  <c r="E180" i="11" s="1"/>
  <c r="C76" i="11"/>
  <c r="E76" i="11" s="1"/>
  <c r="C70" i="11"/>
  <c r="E70" i="11" s="1"/>
  <c r="C178" i="11"/>
  <c r="E178" i="11" s="1"/>
  <c r="C176" i="11"/>
  <c r="E176" i="11" s="1"/>
  <c r="P217" i="5"/>
  <c r="Q331" i="5"/>
  <c r="C382" i="5"/>
  <c r="O37" i="6"/>
  <c r="B37" i="6"/>
  <c r="O226" i="15"/>
  <c r="N285" i="15"/>
  <c r="O86" i="15"/>
  <c r="N173" i="15"/>
  <c r="M27" i="6"/>
  <c r="R16" i="6"/>
  <c r="R27" i="6"/>
  <c r="P16" i="6"/>
  <c r="N16" i="6"/>
  <c r="B27" i="6"/>
  <c r="Q16" i="6"/>
  <c r="G112" i="23"/>
  <c r="G113" i="23"/>
  <c r="G110" i="23"/>
  <c r="G109" i="23"/>
  <c r="G111" i="23"/>
  <c r="G114" i="23"/>
  <c r="G336" i="23"/>
  <c r="G338" i="23"/>
  <c r="G333" i="23"/>
  <c r="G334" i="23"/>
  <c r="G337" i="23"/>
  <c r="G335" i="23"/>
  <c r="G168" i="23"/>
  <c r="G170" i="23"/>
  <c r="G165" i="23"/>
  <c r="G167" i="23"/>
  <c r="G169" i="23"/>
  <c r="G166" i="23"/>
  <c r="G37" i="23"/>
  <c r="G34" i="23"/>
  <c r="G33" i="23"/>
  <c r="G35" i="23"/>
  <c r="G32" i="23"/>
  <c r="G36" i="23"/>
  <c r="G175" i="23"/>
  <c r="G174" i="23"/>
  <c r="G177" i="23"/>
  <c r="G173" i="23"/>
  <c r="G172" i="23"/>
  <c r="G176" i="23"/>
  <c r="G135" i="23"/>
  <c r="G132" i="23"/>
  <c r="G131" i="23"/>
  <c r="G133" i="23"/>
  <c r="G130" i="23"/>
  <c r="G134" i="23"/>
  <c r="G140" i="23"/>
  <c r="G142" i="23"/>
  <c r="G137" i="23"/>
  <c r="G139" i="23"/>
  <c r="G141" i="23"/>
  <c r="G138" i="23"/>
  <c r="G161" i="23"/>
  <c r="G160" i="23"/>
  <c r="G158" i="23"/>
  <c r="G162" i="23"/>
  <c r="G159" i="23"/>
  <c r="G163" i="23"/>
  <c r="G154" i="23"/>
  <c r="G156" i="23"/>
  <c r="G151" i="23"/>
  <c r="G152" i="23"/>
  <c r="G155" i="23"/>
  <c r="G153" i="23"/>
  <c r="G86" i="23"/>
  <c r="G83" i="23"/>
  <c r="G81" i="23"/>
  <c r="G85" i="23"/>
  <c r="G82" i="23"/>
  <c r="G84" i="23"/>
  <c r="G79" i="23"/>
  <c r="G76" i="23"/>
  <c r="G75" i="23"/>
  <c r="G74" i="23"/>
  <c r="G78" i="23"/>
  <c r="G77" i="23"/>
  <c r="G329" i="23"/>
  <c r="G328" i="23"/>
  <c r="G331" i="23"/>
  <c r="G327" i="23"/>
  <c r="G326" i="23"/>
  <c r="G330" i="23"/>
  <c r="G49" i="23"/>
  <c r="G47" i="23"/>
  <c r="G51" i="23"/>
  <c r="G46" i="23"/>
  <c r="G50" i="23"/>
  <c r="G48" i="23"/>
  <c r="G196" i="23"/>
  <c r="G198" i="23"/>
  <c r="G193" i="23"/>
  <c r="G195" i="23"/>
  <c r="G197" i="23"/>
  <c r="G194" i="23"/>
  <c r="G147" i="23"/>
  <c r="G146" i="23"/>
  <c r="G149" i="23"/>
  <c r="G145" i="23"/>
  <c r="G144" i="23"/>
  <c r="G148" i="23"/>
  <c r="G119" i="23"/>
  <c r="G117" i="23"/>
  <c r="G118" i="23"/>
  <c r="G121" i="23"/>
  <c r="G116" i="23"/>
  <c r="G120" i="23"/>
  <c r="G189" i="23"/>
  <c r="G188" i="23"/>
  <c r="G186" i="23"/>
  <c r="G187" i="23"/>
  <c r="G191" i="23"/>
  <c r="G190" i="23"/>
  <c r="G58" i="23"/>
  <c r="G55" i="23"/>
  <c r="G54" i="23"/>
  <c r="G56" i="23"/>
  <c r="G53" i="23"/>
  <c r="G57" i="23"/>
  <c r="G42" i="23"/>
  <c r="G43" i="23"/>
  <c r="G39" i="23"/>
  <c r="G41" i="23"/>
  <c r="G40" i="23"/>
  <c r="G44" i="23"/>
  <c r="G182" i="23"/>
  <c r="G184" i="23"/>
  <c r="G179" i="23"/>
  <c r="G183" i="23"/>
  <c r="G181" i="23"/>
  <c r="G180" i="23"/>
  <c r="G126" i="23"/>
  <c r="G127" i="23"/>
  <c r="G124" i="23"/>
  <c r="G128" i="23"/>
  <c r="G125" i="23"/>
  <c r="G123" i="23"/>
  <c r="G107" i="23"/>
  <c r="G102" i="23"/>
  <c r="G106" i="23"/>
  <c r="G104" i="23"/>
  <c r="G105" i="23"/>
  <c r="G103" i="23"/>
  <c r="P12" i="6"/>
  <c r="R62" i="6"/>
  <c r="N37" i="6"/>
  <c r="M37" i="6"/>
  <c r="P37" i="6"/>
  <c r="P56" i="6"/>
  <c r="B12" i="6"/>
  <c r="Q56" i="6"/>
  <c r="R12" i="6"/>
  <c r="N56" i="6"/>
  <c r="N12" i="6"/>
  <c r="O56" i="6"/>
  <c r="B56" i="6"/>
  <c r="Q62" i="6"/>
  <c r="N62" i="6"/>
  <c r="B62" i="6"/>
  <c r="O62" i="6"/>
  <c r="Q662" i="5"/>
  <c r="Q859" i="5"/>
  <c r="S859" i="5"/>
  <c r="C851" i="5"/>
  <c r="O851" i="5"/>
  <c r="P851" i="5"/>
  <c r="R851" i="5"/>
  <c r="Q851" i="5"/>
  <c r="N851" i="5"/>
  <c r="S851" i="5"/>
  <c r="O859" i="5"/>
  <c r="P859" i="5"/>
  <c r="R859" i="5"/>
  <c r="N859" i="5"/>
  <c r="M285" i="15"/>
  <c r="G217" i="9" s="1"/>
  <c r="M95" i="15"/>
  <c r="G13" i="9" s="1"/>
  <c r="O201" i="15"/>
  <c r="O85" i="15"/>
  <c r="O287" i="15"/>
  <c r="M121" i="15"/>
  <c r="P213" i="5"/>
  <c r="O1070" i="8"/>
  <c r="F182" i="10" s="1"/>
  <c r="F181" i="10" s="1"/>
  <c r="Q669" i="5"/>
  <c r="J50" i="6"/>
  <c r="P50" i="6" s="1"/>
  <c r="J74" i="6"/>
  <c r="P74" i="6" s="1"/>
  <c r="J73" i="6"/>
  <c r="J72" i="6"/>
  <c r="J55" i="6"/>
  <c r="P55" i="6" s="1"/>
  <c r="K25" i="6"/>
  <c r="J15" i="6"/>
  <c r="J58" i="6"/>
  <c r="P58" i="6" s="1"/>
  <c r="J54" i="6"/>
  <c r="P54" i="6" s="1"/>
  <c r="K110" i="6"/>
  <c r="K13" i="6"/>
  <c r="Q13" i="6" s="1"/>
  <c r="K17" i="6"/>
  <c r="K109" i="6"/>
  <c r="K12" i="6"/>
  <c r="Q12" i="6" s="1"/>
  <c r="J51" i="6"/>
  <c r="P51" i="6" s="1"/>
  <c r="J81" i="6"/>
  <c r="P81" i="6" s="1"/>
  <c r="J48" i="6"/>
  <c r="P48" i="6" s="1"/>
  <c r="J118" i="6"/>
  <c r="J61" i="6"/>
  <c r="P61" i="6" s="1"/>
  <c r="J63" i="6"/>
  <c r="P63" i="6" s="1"/>
  <c r="J65" i="6"/>
  <c r="P65" i="6" s="1"/>
  <c r="J53" i="6"/>
  <c r="P53" i="6" s="1"/>
  <c r="K19" i="6"/>
  <c r="J23" i="6"/>
  <c r="P23" i="6" s="1"/>
  <c r="J108" i="6"/>
  <c r="J11" i="6"/>
  <c r="P11" i="6" s="1"/>
  <c r="J57" i="6"/>
  <c r="P57" i="6" s="1"/>
  <c r="J52" i="6"/>
  <c r="P52" i="6" s="1"/>
  <c r="K24" i="6"/>
  <c r="Q24" i="6" s="1"/>
  <c r="J49" i="6"/>
  <c r="P49" i="6" s="1"/>
  <c r="J79" i="6"/>
  <c r="P79" i="6" s="1"/>
  <c r="J80" i="6"/>
  <c r="P80" i="6" s="1"/>
  <c r="Q65" i="6"/>
  <c r="R65" i="6"/>
  <c r="N65" i="6"/>
  <c r="O65" i="6"/>
  <c r="B11" i="6"/>
  <c r="Q11" i="6"/>
  <c r="R11" i="6"/>
  <c r="N11" i="6"/>
  <c r="M11" i="6"/>
  <c r="P10" i="6"/>
  <c r="Q10" i="6"/>
  <c r="N10" i="6"/>
  <c r="M10" i="6"/>
  <c r="R10" i="6"/>
  <c r="R28" i="6"/>
  <c r="Q28" i="6"/>
  <c r="M28" i="6"/>
  <c r="N28" i="6"/>
  <c r="N80" i="6"/>
  <c r="Q80" i="6"/>
  <c r="R80" i="6"/>
  <c r="O80" i="6"/>
  <c r="Q59" i="6"/>
  <c r="R59" i="6"/>
  <c r="N59" i="6"/>
  <c r="P59" i="6"/>
  <c r="O59" i="6"/>
  <c r="B38" i="6"/>
  <c r="M38" i="6"/>
  <c r="N38" i="6"/>
  <c r="Q38" i="6"/>
  <c r="R38" i="6"/>
  <c r="P38" i="6"/>
  <c r="O38" i="6"/>
  <c r="B30" i="6"/>
  <c r="R30" i="6"/>
  <c r="M30" i="6"/>
  <c r="N30" i="6"/>
  <c r="Q30" i="6"/>
  <c r="B60" i="6"/>
  <c r="N60" i="6"/>
  <c r="Q60" i="6"/>
  <c r="R60" i="6"/>
  <c r="P60" i="6"/>
  <c r="O60" i="6"/>
  <c r="B24" i="6"/>
  <c r="R24" i="6"/>
  <c r="M24" i="6"/>
  <c r="N24" i="6"/>
  <c r="P24" i="6"/>
  <c r="N58" i="6"/>
  <c r="Q58" i="6"/>
  <c r="R58" i="6"/>
  <c r="O58" i="6"/>
  <c r="N76" i="6"/>
  <c r="Q76" i="6"/>
  <c r="R76" i="6"/>
  <c r="P76" i="6"/>
  <c r="O76" i="6"/>
  <c r="N29" i="6"/>
  <c r="R29" i="6"/>
  <c r="Q29" i="6"/>
  <c r="M29" i="6"/>
  <c r="M82" i="6"/>
  <c r="N82" i="6"/>
  <c r="Q82" i="6"/>
  <c r="R82" i="6"/>
  <c r="P82" i="6"/>
  <c r="O82" i="6"/>
  <c r="B48" i="6"/>
  <c r="N48" i="6"/>
  <c r="Q48" i="6"/>
  <c r="R48" i="6"/>
  <c r="O48" i="6"/>
  <c r="B53" i="6"/>
  <c r="Q53" i="6"/>
  <c r="R53" i="6"/>
  <c r="N53" i="6"/>
  <c r="O53" i="6"/>
  <c r="Q79" i="6"/>
  <c r="R79" i="6"/>
  <c r="M79" i="6"/>
  <c r="N79" i="6"/>
  <c r="O79" i="6"/>
  <c r="B49" i="6"/>
  <c r="Q49" i="6"/>
  <c r="R49" i="6"/>
  <c r="N49" i="6"/>
  <c r="O49" i="6"/>
  <c r="B57" i="6"/>
  <c r="Q57" i="6"/>
  <c r="R57" i="6"/>
  <c r="N57" i="6"/>
  <c r="O57" i="6"/>
  <c r="Q35" i="6"/>
  <c r="M35" i="6"/>
  <c r="N35" i="6"/>
  <c r="O35" i="6"/>
  <c r="B46" i="6"/>
  <c r="N46" i="6"/>
  <c r="Q46" i="6"/>
  <c r="R46" i="6"/>
  <c r="P46" i="6"/>
  <c r="O46" i="6"/>
  <c r="Q63" i="6"/>
  <c r="R63" i="6"/>
  <c r="N63" i="6"/>
  <c r="O63" i="6"/>
  <c r="Q47" i="6"/>
  <c r="R47" i="6"/>
  <c r="N47" i="6"/>
  <c r="O47" i="6"/>
  <c r="P47" i="6"/>
  <c r="N64" i="6"/>
  <c r="Q64" i="6"/>
  <c r="R64" i="6"/>
  <c r="O64" i="6"/>
  <c r="N52" i="6"/>
  <c r="Q52" i="6"/>
  <c r="R52" i="6"/>
  <c r="O52" i="6"/>
  <c r="B81" i="6"/>
  <c r="Q81" i="6"/>
  <c r="R81" i="6"/>
  <c r="N81" i="6"/>
  <c r="O81" i="6"/>
  <c r="B61" i="6"/>
  <c r="Q61" i="6"/>
  <c r="R61" i="6"/>
  <c r="N61" i="6"/>
  <c r="O61" i="6"/>
  <c r="Q676" i="5"/>
  <c r="J120" i="6" s="1"/>
  <c r="Q299" i="5"/>
  <c r="P138" i="5"/>
  <c r="P50" i="5"/>
  <c r="I105" i="6" s="1"/>
  <c r="P223" i="5"/>
  <c r="P17" i="5"/>
  <c r="I102" i="6" s="1"/>
  <c r="P107" i="5"/>
  <c r="P23" i="5"/>
  <c r="I103" i="6" s="1"/>
  <c r="P94" i="5"/>
  <c r="Q682" i="5"/>
  <c r="J121" i="6" s="1"/>
  <c r="P285" i="5"/>
  <c r="M260" i="13"/>
  <c r="M118" i="13"/>
  <c r="M41" i="13"/>
  <c r="M107" i="13"/>
  <c r="M11" i="13"/>
  <c r="M141" i="13"/>
  <c r="M63" i="13"/>
  <c r="M85" i="13"/>
  <c r="M129" i="13"/>
  <c r="M152" i="13"/>
  <c r="M96" i="13"/>
  <c r="M212" i="15"/>
  <c r="G166" i="9" s="1"/>
  <c r="O221" i="15"/>
  <c r="O68" i="15"/>
  <c r="M160" i="15"/>
  <c r="G81" i="9" s="1"/>
  <c r="O162" i="15"/>
  <c r="O174" i="15"/>
  <c r="O97" i="15"/>
  <c r="M186" i="15"/>
  <c r="G132" i="9" s="1"/>
  <c r="O195" i="15"/>
  <c r="O87" i="15"/>
  <c r="F337" i="10"/>
  <c r="F169" i="10"/>
  <c r="M225" i="15"/>
  <c r="G183" i="9" s="1"/>
  <c r="M173" i="15"/>
  <c r="Q289" i="5"/>
  <c r="J111" i="6" s="1"/>
  <c r="Q310" i="5"/>
  <c r="M199" i="15"/>
  <c r="G149" i="9" s="1"/>
  <c r="M108" i="15"/>
  <c r="Q340" i="5"/>
  <c r="Q321" i="5"/>
  <c r="N866" i="5"/>
  <c r="P178" i="5"/>
  <c r="O551" i="8"/>
  <c r="F98" i="10" s="1"/>
  <c r="B35" i="6"/>
  <c r="B47" i="6"/>
  <c r="B64" i="6"/>
  <c r="B52" i="6"/>
  <c r="B58" i="6"/>
  <c r="B76" i="6"/>
  <c r="B29" i="6"/>
  <c r="B82" i="6"/>
  <c r="B63" i="6"/>
  <c r="B79" i="6"/>
  <c r="B67" i="6"/>
  <c r="C10" i="6"/>
  <c r="C11" i="6" s="1"/>
  <c r="C12" i="6" s="1"/>
  <c r="C13" i="6" s="1"/>
  <c r="B10" i="6"/>
  <c r="B59" i="6"/>
  <c r="B28" i="6"/>
  <c r="B65" i="6"/>
  <c r="B80" i="6"/>
  <c r="H169" i="9"/>
  <c r="F100" i="10"/>
  <c r="C30" i="13"/>
  <c r="O31" i="8"/>
  <c r="F42" i="10" s="1"/>
  <c r="O974" i="8"/>
  <c r="F168" i="10" s="1"/>
  <c r="P8" i="5"/>
  <c r="Q656" i="5"/>
  <c r="O38" i="8"/>
  <c r="G12" i="9" s="1"/>
  <c r="P84" i="5"/>
  <c r="M238" i="15"/>
  <c r="N225" i="15"/>
  <c r="O1256" i="8"/>
  <c r="G216" i="9" s="1"/>
  <c r="O559" i="8"/>
  <c r="G80" i="9" s="1"/>
  <c r="O1249" i="8"/>
  <c r="F336" i="10" s="1"/>
  <c r="Q650" i="5"/>
  <c r="O982" i="8"/>
  <c r="G165" i="9" s="1"/>
  <c r="N121" i="15"/>
  <c r="AI8" i="5"/>
  <c r="R867" i="5"/>
  <c r="P866" i="5"/>
  <c r="S866" i="5"/>
  <c r="Q866" i="5"/>
  <c r="K10" i="13"/>
  <c r="K9" i="13" s="1"/>
  <c r="G12" i="14" s="1"/>
  <c r="L10" i="13"/>
  <c r="J10" i="13"/>
  <c r="Q896" i="5"/>
  <c r="P896" i="5"/>
  <c r="R896" i="5"/>
  <c r="S896" i="5"/>
  <c r="O896" i="5"/>
  <c r="O905" i="5"/>
  <c r="S905" i="5"/>
  <c r="Q905" i="5"/>
  <c r="R905" i="5"/>
  <c r="P905" i="5"/>
  <c r="O890" i="5"/>
  <c r="S890" i="5"/>
  <c r="R890" i="5"/>
  <c r="P890" i="5"/>
  <c r="Q890" i="5"/>
  <c r="N867" i="5"/>
  <c r="O868" i="5"/>
  <c r="S868" i="5"/>
  <c r="Q868" i="5"/>
  <c r="R868" i="5"/>
  <c r="P868" i="5"/>
  <c r="N868" i="5"/>
  <c r="N905" i="5"/>
  <c r="N896" i="5"/>
  <c r="AB709" i="5"/>
  <c r="AL709" i="5" s="1"/>
  <c r="AB708" i="5"/>
  <c r="AL708" i="5" s="1"/>
  <c r="N890" i="5"/>
  <c r="J22" i="13" l="1"/>
  <c r="G24" i="14" s="1"/>
  <c r="G23" i="14" s="1"/>
  <c r="G22" i="14" s="1"/>
  <c r="H22" i="14" s="1"/>
  <c r="H21" i="14" s="1"/>
  <c r="M26" i="13"/>
  <c r="AF8" i="5"/>
  <c r="C251" i="5"/>
  <c r="C253" i="5"/>
  <c r="C254" i="5"/>
  <c r="C259" i="5"/>
  <c r="C256" i="5"/>
  <c r="C257" i="5"/>
  <c r="C258" i="5"/>
  <c r="C263" i="5"/>
  <c r="C260" i="5"/>
  <c r="C261" i="5"/>
  <c r="C262" i="5"/>
  <c r="C252" i="5"/>
  <c r="C264" i="5"/>
  <c r="C265" i="5"/>
  <c r="C266" i="5"/>
  <c r="U385" i="5"/>
  <c r="M24" i="13"/>
  <c r="AE382" i="5"/>
  <c r="Q844" i="5"/>
  <c r="R844" i="5"/>
  <c r="S844" i="5"/>
  <c r="N844" i="5"/>
  <c r="O844" i="5"/>
  <c r="C844" i="5"/>
  <c r="C152" i="5"/>
  <c r="C161" i="5"/>
  <c r="C158" i="5"/>
  <c r="C157" i="5"/>
  <c r="C163" i="5"/>
  <c r="C154" i="5"/>
  <c r="C156" i="5"/>
  <c r="C160" i="5"/>
  <c r="C155" i="5"/>
  <c r="C159" i="5"/>
  <c r="C153" i="5"/>
  <c r="N63" i="15"/>
  <c r="N59" i="15" s="1"/>
  <c r="G36" i="7" s="1"/>
  <c r="J36" i="7" s="1"/>
  <c r="M63" i="15"/>
  <c r="M17" i="13"/>
  <c r="K377" i="5"/>
  <c r="Q377" i="5" s="1"/>
  <c r="Q373" i="5" s="1"/>
  <c r="J36" i="6" s="1"/>
  <c r="P36" i="6" s="1"/>
  <c r="M19" i="13"/>
  <c r="L9" i="13"/>
  <c r="G14" i="14" s="1"/>
  <c r="G13" i="14" s="1"/>
  <c r="C918" i="5"/>
  <c r="O918" i="5"/>
  <c r="P918" i="5"/>
  <c r="R918" i="5"/>
  <c r="Q918" i="5"/>
  <c r="S918" i="5"/>
  <c r="N918" i="5"/>
  <c r="C846" i="5"/>
  <c r="Q846" i="5"/>
  <c r="S846" i="5"/>
  <c r="N846" i="5"/>
  <c r="P846" i="5"/>
  <c r="R846" i="5"/>
  <c r="O846" i="5"/>
  <c r="P102" i="6"/>
  <c r="N7" i="15"/>
  <c r="G18" i="7" s="1"/>
  <c r="J18" i="7" s="1"/>
  <c r="G370" i="9"/>
  <c r="H370" i="9" s="1"/>
  <c r="G268" i="14"/>
  <c r="G261" i="14"/>
  <c r="B102" i="6"/>
  <c r="O102" i="6"/>
  <c r="R102" i="6"/>
  <c r="Q102" i="6"/>
  <c r="N102" i="6"/>
  <c r="M102" i="6"/>
  <c r="O325" i="15"/>
  <c r="G268" i="9"/>
  <c r="F282" i="10"/>
  <c r="F281" i="10" s="1"/>
  <c r="F268" i="10"/>
  <c r="F267" i="10" s="1"/>
  <c r="F280" i="10"/>
  <c r="F279" i="10" s="1"/>
  <c r="F283" i="10" s="1"/>
  <c r="F266" i="10"/>
  <c r="F265" i="10" s="1"/>
  <c r="M7" i="15"/>
  <c r="G15" i="7" s="1"/>
  <c r="J15" i="7" s="1"/>
  <c r="N919" i="5"/>
  <c r="C919" i="5"/>
  <c r="Q919" i="5"/>
  <c r="R919" i="5"/>
  <c r="O919" i="5"/>
  <c r="S919" i="5"/>
  <c r="J62" i="6"/>
  <c r="P62" i="6" s="1"/>
  <c r="G27" i="20"/>
  <c r="F6" i="19" s="1"/>
  <c r="E22" i="23"/>
  <c r="Q956" i="5"/>
  <c r="J125" i="6" s="1"/>
  <c r="B20" i="16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H66" i="11"/>
  <c r="O956" i="5"/>
  <c r="P956" i="5"/>
  <c r="I125" i="6" s="1"/>
  <c r="S956" i="5"/>
  <c r="L125" i="6" s="1"/>
  <c r="G254" i="14"/>
  <c r="G247" i="14"/>
  <c r="G282" i="14"/>
  <c r="G275" i="14"/>
  <c r="G240" i="14"/>
  <c r="G233" i="14"/>
  <c r="G310" i="14"/>
  <c r="G303" i="14"/>
  <c r="G296" i="14"/>
  <c r="G289" i="14"/>
  <c r="I170" i="11"/>
  <c r="I169" i="11" s="1"/>
  <c r="J169" i="11" s="1"/>
  <c r="H169" i="11"/>
  <c r="R956" i="5"/>
  <c r="K125" i="6" s="1"/>
  <c r="N956" i="5"/>
  <c r="G125" i="6" s="1"/>
  <c r="P72" i="6"/>
  <c r="C845" i="5"/>
  <c r="P845" i="5"/>
  <c r="S845" i="5"/>
  <c r="R845" i="5"/>
  <c r="Q845" i="5"/>
  <c r="O845" i="5"/>
  <c r="G324" i="14"/>
  <c r="G317" i="14"/>
  <c r="H317" i="14" s="1"/>
  <c r="H316" i="14" s="1"/>
  <c r="F238" i="10"/>
  <c r="F237" i="10" s="1"/>
  <c r="F252" i="10"/>
  <c r="F251" i="10" s="1"/>
  <c r="F294" i="10"/>
  <c r="F293" i="10" s="1"/>
  <c r="F322" i="10"/>
  <c r="F321" i="10" s="1"/>
  <c r="F308" i="10"/>
  <c r="F307" i="10" s="1"/>
  <c r="G149" i="14"/>
  <c r="G156" i="14"/>
  <c r="G128" i="14"/>
  <c r="G121" i="14"/>
  <c r="H121" i="14" s="1"/>
  <c r="G29" i="14"/>
  <c r="G86" i="14"/>
  <c r="G79" i="14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G44" i="14"/>
  <c r="G37" i="14"/>
  <c r="H37" i="14" s="1"/>
  <c r="G191" i="14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G198" i="14"/>
  <c r="G51" i="14"/>
  <c r="H51" i="14" s="1"/>
  <c r="H50" i="14" s="1"/>
  <c r="G58" i="14"/>
  <c r="G142" i="14"/>
  <c r="G135" i="14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G184" i="14"/>
  <c r="G177" i="14"/>
  <c r="H177" i="14" s="1"/>
  <c r="H176" i="14" s="1"/>
  <c r="G170" i="14"/>
  <c r="G163" i="14"/>
  <c r="H163" i="14" s="1"/>
  <c r="G114" i="14"/>
  <c r="G107" i="14"/>
  <c r="H107" i="14" s="1"/>
  <c r="H106" i="14" s="1"/>
  <c r="G200" i="9"/>
  <c r="G198" i="9" s="1"/>
  <c r="G194" i="9" s="1"/>
  <c r="G204" i="9" s="1"/>
  <c r="G205" i="9" s="1"/>
  <c r="G206" i="9" s="1"/>
  <c r="G207" i="9" s="1"/>
  <c r="G208" i="9" s="1"/>
  <c r="G209" i="9" s="1"/>
  <c r="G30" i="9"/>
  <c r="G28" i="9" s="1"/>
  <c r="G115" i="9"/>
  <c r="G113" i="9" s="1"/>
  <c r="G47" i="9"/>
  <c r="G45" i="9" s="1"/>
  <c r="G131" i="9"/>
  <c r="H131" i="9" s="1"/>
  <c r="G148" i="9"/>
  <c r="H148" i="9" s="1"/>
  <c r="H336" i="9"/>
  <c r="O268" i="15"/>
  <c r="O251" i="15"/>
  <c r="H319" i="9"/>
  <c r="E28" i="23"/>
  <c r="H318" i="9"/>
  <c r="H335" i="9"/>
  <c r="O311" i="15"/>
  <c r="H251" i="9"/>
  <c r="H302" i="9"/>
  <c r="O355" i="15"/>
  <c r="H301" i="9"/>
  <c r="H233" i="9"/>
  <c r="H250" i="9"/>
  <c r="H284" i="9"/>
  <c r="O339" i="15"/>
  <c r="H285" i="9"/>
  <c r="H234" i="9"/>
  <c r="O298" i="15"/>
  <c r="G371" i="9"/>
  <c r="D22" i="23"/>
  <c r="D28" i="23"/>
  <c r="R42" i="6"/>
  <c r="C42" i="6"/>
  <c r="C43" i="6" s="1"/>
  <c r="C44" i="6" s="1"/>
  <c r="R73" i="6"/>
  <c r="C14" i="6"/>
  <c r="C15" i="6" s="1"/>
  <c r="C16" i="6" s="1"/>
  <c r="C17" i="6" s="1"/>
  <c r="N72" i="6"/>
  <c r="M14" i="6"/>
  <c r="N15" i="6"/>
  <c r="P14" i="6"/>
  <c r="N14" i="6"/>
  <c r="B72" i="6"/>
  <c r="R14" i="6"/>
  <c r="B14" i="6"/>
  <c r="N69" i="6"/>
  <c r="R25" i="6"/>
  <c r="N19" i="6"/>
  <c r="B25" i="6"/>
  <c r="B19" i="6"/>
  <c r="P25" i="6"/>
  <c r="M15" i="6"/>
  <c r="Q72" i="6"/>
  <c r="Q69" i="6"/>
  <c r="B69" i="6"/>
  <c r="R15" i="6"/>
  <c r="O72" i="6"/>
  <c r="M69" i="6"/>
  <c r="Q15" i="6"/>
  <c r="P15" i="6"/>
  <c r="P19" i="6"/>
  <c r="Q25" i="6"/>
  <c r="O73" i="6"/>
  <c r="Q73" i="6"/>
  <c r="P73" i="6"/>
  <c r="B73" i="6"/>
  <c r="N73" i="6"/>
  <c r="R75" i="6"/>
  <c r="Q42" i="6"/>
  <c r="O75" i="6"/>
  <c r="Q19" i="6"/>
  <c r="N75" i="6"/>
  <c r="B75" i="6"/>
  <c r="P42" i="6"/>
  <c r="N17" i="6"/>
  <c r="P75" i="6"/>
  <c r="M22" i="6"/>
  <c r="Q68" i="6"/>
  <c r="B68" i="6"/>
  <c r="N22" i="6"/>
  <c r="N68" i="6"/>
  <c r="R22" i="6"/>
  <c r="P22" i="6"/>
  <c r="R68" i="6"/>
  <c r="Q22" i="6"/>
  <c r="B42" i="6"/>
  <c r="N42" i="6"/>
  <c r="M17" i="6"/>
  <c r="R17" i="6"/>
  <c r="O42" i="6"/>
  <c r="P17" i="6"/>
  <c r="Q17" i="6"/>
  <c r="S860" i="5"/>
  <c r="C860" i="5"/>
  <c r="O860" i="5"/>
  <c r="P860" i="5"/>
  <c r="R860" i="5"/>
  <c r="N860" i="5"/>
  <c r="G133" i="9"/>
  <c r="G72" i="14"/>
  <c r="G65" i="14"/>
  <c r="G226" i="14"/>
  <c r="G219" i="14"/>
  <c r="G212" i="14"/>
  <c r="G205" i="14"/>
  <c r="G100" i="14"/>
  <c r="G93" i="14"/>
  <c r="F115" i="10"/>
  <c r="F108" i="10"/>
  <c r="F213" i="10"/>
  <c r="F206" i="10"/>
  <c r="F227" i="10"/>
  <c r="F220" i="10"/>
  <c r="F87" i="10"/>
  <c r="F80" i="10"/>
  <c r="C41" i="13"/>
  <c r="C63" i="13" s="1"/>
  <c r="C85" i="13" s="1"/>
  <c r="C96" i="13" s="1"/>
  <c r="C107" i="13" s="1"/>
  <c r="C118" i="13" s="1"/>
  <c r="C129" i="13" s="1"/>
  <c r="C141" i="13" s="1"/>
  <c r="C152" i="13" s="1"/>
  <c r="C52" i="13"/>
  <c r="C74" i="13" s="1"/>
  <c r="G65" i="9"/>
  <c r="J64" i="6"/>
  <c r="P64" i="6" s="1"/>
  <c r="H67" i="9"/>
  <c r="G99" i="9"/>
  <c r="I108" i="6"/>
  <c r="I68" i="6"/>
  <c r="O68" i="6" s="1"/>
  <c r="F143" i="10"/>
  <c r="F136" i="10"/>
  <c r="G192" i="10"/>
  <c r="F200" i="10"/>
  <c r="F201" i="10" s="1"/>
  <c r="F202" i="10" s="1"/>
  <c r="H352" i="9"/>
  <c r="G351" i="9"/>
  <c r="J66" i="6"/>
  <c r="P66" i="6" s="1"/>
  <c r="I69" i="6"/>
  <c r="O69" i="6" s="1"/>
  <c r="I16" i="6"/>
  <c r="O16" i="6" s="1"/>
  <c r="I11" i="6"/>
  <c r="O11" i="6" s="1"/>
  <c r="F157" i="10"/>
  <c r="F158" i="10" s="1"/>
  <c r="G150" i="10"/>
  <c r="H98" i="9"/>
  <c r="O147" i="15"/>
  <c r="O134" i="15"/>
  <c r="H64" i="9"/>
  <c r="H97" i="9"/>
  <c r="H63" i="9"/>
  <c r="I71" i="6"/>
  <c r="O71" i="6" s="1"/>
  <c r="I70" i="6"/>
  <c r="O70" i="6" s="1"/>
  <c r="H16" i="9"/>
  <c r="H135" i="9"/>
  <c r="G152" i="9"/>
  <c r="G150" i="9" s="1"/>
  <c r="G84" i="9"/>
  <c r="H84" i="9" s="1"/>
  <c r="G33" i="9"/>
  <c r="G31" i="9" s="1"/>
  <c r="G50" i="9"/>
  <c r="G48" i="9" s="1"/>
  <c r="G186" i="9"/>
  <c r="G184" i="9" s="1"/>
  <c r="G164" i="9"/>
  <c r="G160" i="9" s="1"/>
  <c r="G170" i="9" s="1"/>
  <c r="G171" i="9" s="1"/>
  <c r="G172" i="9" s="1"/>
  <c r="G173" i="9" s="1"/>
  <c r="G174" i="9" s="1"/>
  <c r="G175" i="9" s="1"/>
  <c r="G11" i="9"/>
  <c r="G7" i="9" s="1"/>
  <c r="G17" i="9" s="1"/>
  <c r="G18" i="9" s="1"/>
  <c r="G19" i="9" s="1"/>
  <c r="G20" i="9" s="1"/>
  <c r="G21" i="9" s="1"/>
  <c r="G22" i="9" s="1"/>
  <c r="G118" i="9"/>
  <c r="G116" i="9" s="1"/>
  <c r="G181" i="9"/>
  <c r="H203" i="9"/>
  <c r="H217" i="9"/>
  <c r="G220" i="9"/>
  <c r="G218" i="9" s="1"/>
  <c r="I15" i="6"/>
  <c r="O15" i="6" s="1"/>
  <c r="I23" i="6"/>
  <c r="O23" i="6" s="1"/>
  <c r="H13" i="9"/>
  <c r="H182" i="9"/>
  <c r="G11" i="14"/>
  <c r="G15" i="14" s="1"/>
  <c r="F185" i="10"/>
  <c r="F178" i="10"/>
  <c r="I67" i="11"/>
  <c r="I66" i="11" s="1"/>
  <c r="J66" i="11" s="1"/>
  <c r="J30" i="6"/>
  <c r="P30" i="6" s="1"/>
  <c r="O95" i="15"/>
  <c r="O285" i="15"/>
  <c r="C383" i="5"/>
  <c r="C385" i="5"/>
  <c r="C384" i="5"/>
  <c r="J70" i="6"/>
  <c r="P70" i="6" s="1"/>
  <c r="I20" i="6"/>
  <c r="O20" i="6" s="1"/>
  <c r="I21" i="6"/>
  <c r="O21" i="6" s="1"/>
  <c r="I22" i="6"/>
  <c r="O22" i="6" s="1"/>
  <c r="B33" i="6"/>
  <c r="J71" i="6"/>
  <c r="P71" i="6" s="1"/>
  <c r="I100" i="6"/>
  <c r="J31" i="6"/>
  <c r="P31" i="6" s="1"/>
  <c r="I109" i="6"/>
  <c r="I12" i="6"/>
  <c r="O12" i="6" s="1"/>
  <c r="J68" i="6"/>
  <c r="P68" i="6" s="1"/>
  <c r="I107" i="6"/>
  <c r="I10" i="6"/>
  <c r="O10" i="6" s="1"/>
  <c r="J69" i="6"/>
  <c r="P69" i="6" s="1"/>
  <c r="I19" i="6"/>
  <c r="O19" i="6" s="1"/>
  <c r="J29" i="6"/>
  <c r="P29" i="6" s="1"/>
  <c r="I25" i="6"/>
  <c r="O25" i="6" s="1"/>
  <c r="J28" i="6"/>
  <c r="P28" i="6" s="1"/>
  <c r="I26" i="6"/>
  <c r="O26" i="6" s="1"/>
  <c r="I14" i="6"/>
  <c r="O14" i="6" s="1"/>
  <c r="I110" i="6"/>
  <c r="I13" i="6"/>
  <c r="O13" i="6" s="1"/>
  <c r="I24" i="6"/>
  <c r="O24" i="6" s="1"/>
  <c r="I17" i="6"/>
  <c r="O17" i="6" s="1"/>
  <c r="J112" i="6"/>
  <c r="J27" i="6"/>
  <c r="P27" i="6" s="1"/>
  <c r="M29" i="13"/>
  <c r="J9" i="13"/>
  <c r="G10" i="14" s="1"/>
  <c r="M10" i="13"/>
  <c r="O108" i="15"/>
  <c r="H149" i="9"/>
  <c r="O199" i="15"/>
  <c r="O225" i="15"/>
  <c r="H166" i="9"/>
  <c r="O212" i="15"/>
  <c r="O238" i="15"/>
  <c r="O186" i="15"/>
  <c r="H81" i="9"/>
  <c r="O160" i="15"/>
  <c r="O173" i="15"/>
  <c r="O121" i="15"/>
  <c r="F167" i="10"/>
  <c r="F164" i="10" s="1"/>
  <c r="G164" i="10" s="1"/>
  <c r="F97" i="10"/>
  <c r="F101" i="10" s="1"/>
  <c r="F41" i="10"/>
  <c r="F38" i="10" s="1"/>
  <c r="G38" i="10" s="1"/>
  <c r="F99" i="10"/>
  <c r="F335" i="10"/>
  <c r="F339" i="10" s="1"/>
  <c r="H165" i="9"/>
  <c r="H80" i="9"/>
  <c r="H12" i="9"/>
  <c r="H216" i="9"/>
  <c r="Q867" i="5"/>
  <c r="Q865" i="5" s="1"/>
  <c r="J95" i="6" s="1"/>
  <c r="D11" i="23"/>
  <c r="D17" i="23"/>
  <c r="E11" i="23"/>
  <c r="E17" i="23"/>
  <c r="O867" i="5"/>
  <c r="O865" i="5" s="1"/>
  <c r="P867" i="5"/>
  <c r="P865" i="5" s="1"/>
  <c r="I95" i="6" s="1"/>
  <c r="S867" i="5"/>
  <c r="S865" i="5" s="1"/>
  <c r="L95" i="6" s="1"/>
  <c r="R865" i="5"/>
  <c r="K95" i="6" s="1"/>
  <c r="N865" i="5"/>
  <c r="G95" i="6" s="1"/>
  <c r="M22" i="13" l="1"/>
  <c r="G368" i="9"/>
  <c r="H368" i="9" s="1"/>
  <c r="B45" i="16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C19" i="6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18" i="6"/>
  <c r="O63" i="15"/>
  <c r="M59" i="15"/>
  <c r="N806" i="5"/>
  <c r="G92" i="6" s="1"/>
  <c r="Q806" i="5"/>
  <c r="J92" i="6" s="1"/>
  <c r="O7" i="15"/>
  <c r="G269" i="14"/>
  <c r="G270" i="14" s="1"/>
  <c r="G271" i="14" s="1"/>
  <c r="H261" i="14"/>
  <c r="H268" i="9"/>
  <c r="G266" i="9"/>
  <c r="F276" i="10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F269" i="10"/>
  <c r="F262" i="10"/>
  <c r="F8" i="19"/>
  <c r="F9" i="19" s="1"/>
  <c r="F10" i="19" s="1"/>
  <c r="P806" i="5"/>
  <c r="I92" i="6" s="1"/>
  <c r="J170" i="11"/>
  <c r="H303" i="14"/>
  <c r="G311" i="14"/>
  <c r="G283" i="14"/>
  <c r="G284" i="14" s="1"/>
  <c r="G285" i="14" s="1"/>
  <c r="H275" i="14"/>
  <c r="H289" i="14"/>
  <c r="G297" i="14"/>
  <c r="G298" i="14" s="1"/>
  <c r="G299" i="14" s="1"/>
  <c r="H233" i="14"/>
  <c r="G241" i="14"/>
  <c r="G242" i="14" s="1"/>
  <c r="G243" i="14" s="1"/>
  <c r="H247" i="14"/>
  <c r="G255" i="14"/>
  <c r="G256" i="14" s="1"/>
  <c r="G257" i="14" s="1"/>
  <c r="G956" i="5"/>
  <c r="C956" i="5" s="1"/>
  <c r="O806" i="5"/>
  <c r="S806" i="5"/>
  <c r="L92" i="6" s="1"/>
  <c r="R806" i="5"/>
  <c r="K92" i="6" s="1"/>
  <c r="G325" i="14"/>
  <c r="G326" i="14" s="1"/>
  <c r="G327" i="14" s="1"/>
  <c r="G328" i="14" s="1"/>
  <c r="G329" i="14" s="1"/>
  <c r="H78" i="14"/>
  <c r="G185" i="14"/>
  <c r="G186" i="14" s="1"/>
  <c r="G187" i="14" s="1"/>
  <c r="G188" i="14" s="1"/>
  <c r="G189" i="14" s="1"/>
  <c r="F325" i="10"/>
  <c r="F318" i="10"/>
  <c r="F297" i="10"/>
  <c r="F290" i="10"/>
  <c r="G290" i="10" s="1"/>
  <c r="F255" i="10"/>
  <c r="F248" i="10"/>
  <c r="F311" i="10"/>
  <c r="F304" i="10"/>
  <c r="G304" i="10" s="1"/>
  <c r="F241" i="10"/>
  <c r="F234" i="10"/>
  <c r="G234" i="10" s="1"/>
  <c r="H108" i="14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G45" i="14"/>
  <c r="G46" i="14" s="1"/>
  <c r="G47" i="14" s="1"/>
  <c r="G48" i="14" s="1"/>
  <c r="G49" i="14" s="1"/>
  <c r="G30" i="14"/>
  <c r="G31" i="14" s="1"/>
  <c r="G32" i="14" s="1"/>
  <c r="G33" i="14" s="1"/>
  <c r="G34" i="14" s="1"/>
  <c r="G129" i="14"/>
  <c r="G130" i="14" s="1"/>
  <c r="G131" i="14" s="1"/>
  <c r="G132" i="14" s="1"/>
  <c r="G133" i="14" s="1"/>
  <c r="G171" i="14"/>
  <c r="G172" i="14" s="1"/>
  <c r="G173" i="14" s="1"/>
  <c r="G174" i="14" s="1"/>
  <c r="G175" i="14" s="1"/>
  <c r="H190" i="14"/>
  <c r="G87" i="14"/>
  <c r="G88" i="14" s="1"/>
  <c r="G89" i="14" s="1"/>
  <c r="G90" i="14" s="1"/>
  <c r="G91" i="14" s="1"/>
  <c r="G157" i="14"/>
  <c r="G158" i="14" s="1"/>
  <c r="G159" i="14" s="1"/>
  <c r="G160" i="14" s="1"/>
  <c r="G161" i="14" s="1"/>
  <c r="H149" i="14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G143" i="14"/>
  <c r="G144" i="14" s="1"/>
  <c r="G145" i="14" s="1"/>
  <c r="G146" i="14" s="1"/>
  <c r="G147" i="14" s="1"/>
  <c r="G59" i="14"/>
  <c r="G60" i="14" s="1"/>
  <c r="G61" i="14" s="1"/>
  <c r="G62" i="14" s="1"/>
  <c r="G63" i="14" s="1"/>
  <c r="G199" i="14"/>
  <c r="G200" i="14" s="1"/>
  <c r="G201" i="14" s="1"/>
  <c r="G202" i="14" s="1"/>
  <c r="G203" i="14" s="1"/>
  <c r="G115" i="14"/>
  <c r="G116" i="14" s="1"/>
  <c r="G117" i="14" s="1"/>
  <c r="G118" i="14" s="1"/>
  <c r="G119" i="14" s="1"/>
  <c r="H30" i="9"/>
  <c r="H115" i="9"/>
  <c r="H200" i="9"/>
  <c r="H47" i="9"/>
  <c r="G109" i="9"/>
  <c r="G119" i="9" s="1"/>
  <c r="G120" i="9" s="1"/>
  <c r="G121" i="9" s="1"/>
  <c r="G122" i="9" s="1"/>
  <c r="G123" i="9" s="1"/>
  <c r="G124" i="9" s="1"/>
  <c r="G41" i="9"/>
  <c r="G51" i="9" s="1"/>
  <c r="G52" i="9" s="1"/>
  <c r="G53" i="9" s="1"/>
  <c r="G54" i="9" s="1"/>
  <c r="G55" i="9" s="1"/>
  <c r="G56" i="9" s="1"/>
  <c r="G24" i="9"/>
  <c r="G34" i="9" s="1"/>
  <c r="G35" i="9" s="1"/>
  <c r="G36" i="9" s="1"/>
  <c r="G37" i="9" s="1"/>
  <c r="G38" i="9" s="1"/>
  <c r="G39" i="9" s="1"/>
  <c r="G147" i="9"/>
  <c r="G143" i="9" s="1"/>
  <c r="G153" i="9" s="1"/>
  <c r="G154" i="9" s="1"/>
  <c r="G155" i="9" s="1"/>
  <c r="G156" i="9" s="1"/>
  <c r="G157" i="9" s="1"/>
  <c r="G158" i="9" s="1"/>
  <c r="G130" i="9"/>
  <c r="G126" i="9" s="1"/>
  <c r="G136" i="9" s="1"/>
  <c r="G137" i="9" s="1"/>
  <c r="G138" i="9" s="1"/>
  <c r="G139" i="9" s="1"/>
  <c r="G140" i="9" s="1"/>
  <c r="G141" i="9" s="1"/>
  <c r="G317" i="9"/>
  <c r="H317" i="9" s="1"/>
  <c r="G334" i="9"/>
  <c r="H334" i="9" s="1"/>
  <c r="G249" i="9"/>
  <c r="H249" i="9" s="1"/>
  <c r="G232" i="9"/>
  <c r="G283" i="9"/>
  <c r="G300" i="9"/>
  <c r="C45" i="6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B9" i="6"/>
  <c r="B39" i="6"/>
  <c r="H93" i="14"/>
  <c r="G101" i="14"/>
  <c r="G102" i="14" s="1"/>
  <c r="G103" i="14" s="1"/>
  <c r="G227" i="14"/>
  <c r="G228" i="14" s="1"/>
  <c r="G229" i="14" s="1"/>
  <c r="H219" i="14"/>
  <c r="G213" i="14"/>
  <c r="G214" i="14" s="1"/>
  <c r="G215" i="14" s="1"/>
  <c r="H205" i="14"/>
  <c r="G73" i="14"/>
  <c r="G74" i="14" s="1"/>
  <c r="G75" i="14" s="1"/>
  <c r="H65" i="14"/>
  <c r="G80" i="10"/>
  <c r="F88" i="10"/>
  <c r="F89" i="10" s="1"/>
  <c r="F90" i="10" s="1"/>
  <c r="F214" i="10"/>
  <c r="F215" i="10" s="1"/>
  <c r="F216" i="10" s="1"/>
  <c r="G206" i="10"/>
  <c r="G220" i="10"/>
  <c r="F228" i="10"/>
  <c r="F229" i="10" s="1"/>
  <c r="F230" i="10" s="1"/>
  <c r="G108" i="10"/>
  <c r="F116" i="10"/>
  <c r="F117" i="10" s="1"/>
  <c r="F118" i="10" s="1"/>
  <c r="C163" i="13"/>
  <c r="C175" i="13" s="1"/>
  <c r="C187" i="13" s="1"/>
  <c r="F203" i="10"/>
  <c r="F204" i="10" s="1"/>
  <c r="F136" i="11"/>
  <c r="H136" i="11" s="1"/>
  <c r="I136" i="11" s="1"/>
  <c r="J136" i="11" s="1"/>
  <c r="G136" i="10"/>
  <c r="F144" i="10"/>
  <c r="G193" i="10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H351" i="9"/>
  <c r="G347" i="9"/>
  <c r="F159" i="10"/>
  <c r="F160" i="10" s="1"/>
  <c r="G151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62" i="9"/>
  <c r="G58" i="9" s="1"/>
  <c r="G96" i="9"/>
  <c r="H96" i="9" s="1"/>
  <c r="G82" i="9"/>
  <c r="H118" i="9"/>
  <c r="H50" i="9"/>
  <c r="G177" i="9"/>
  <c r="G187" i="9" s="1"/>
  <c r="G188" i="9" s="1"/>
  <c r="G189" i="9" s="1"/>
  <c r="G190" i="9" s="1"/>
  <c r="G191" i="9" s="1"/>
  <c r="G192" i="9" s="1"/>
  <c r="H186" i="9"/>
  <c r="H33" i="9"/>
  <c r="H152" i="9"/>
  <c r="H220" i="9"/>
  <c r="G215" i="9"/>
  <c r="H11" i="9"/>
  <c r="H45" i="9"/>
  <c r="J67" i="11"/>
  <c r="G178" i="10"/>
  <c r="F186" i="10"/>
  <c r="F45" i="10"/>
  <c r="F46" i="10" s="1"/>
  <c r="H28" i="9"/>
  <c r="H134" i="14"/>
  <c r="F332" i="10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F94" i="10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H178" i="14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52" i="14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23" i="14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G79" i="9"/>
  <c r="H79" i="9" s="1"/>
  <c r="H318" i="14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198" i="9"/>
  <c r="H120" i="14"/>
  <c r="H122" i="14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64" i="14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62" i="14"/>
  <c r="H38" i="14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36" i="14"/>
  <c r="G9" i="14"/>
  <c r="G8" i="14" s="1"/>
  <c r="M9" i="13"/>
  <c r="M8" i="13" s="1"/>
  <c r="G39" i="10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165" i="10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H132" i="9"/>
  <c r="H183" i="9"/>
  <c r="H181" i="9"/>
  <c r="F171" i="10"/>
  <c r="G865" i="5"/>
  <c r="G364" i="9" l="1"/>
  <c r="H364" i="9" s="1"/>
  <c r="G33" i="7"/>
  <c r="J33" i="7" s="1"/>
  <c r="O59" i="15"/>
  <c r="H266" i="9"/>
  <c r="G262" i="9"/>
  <c r="H262" i="14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60" i="14"/>
  <c r="F164" i="11"/>
  <c r="H164" i="11" s="1"/>
  <c r="I164" i="11" s="1"/>
  <c r="J164" i="11" s="1"/>
  <c r="G272" i="14"/>
  <c r="G273" i="14" s="1"/>
  <c r="F284" i="10"/>
  <c r="F285" i="10" s="1"/>
  <c r="F286" i="10" s="1"/>
  <c r="F287" i="10" s="1"/>
  <c r="F288" i="10" s="1"/>
  <c r="F270" i="10"/>
  <c r="F271" i="10" s="1"/>
  <c r="F272" i="10" s="1"/>
  <c r="G262" i="10"/>
  <c r="C199" i="13"/>
  <c r="F194" i="11"/>
  <c r="F11" i="19"/>
  <c r="F12" i="19" s="1"/>
  <c r="B90" i="16"/>
  <c r="B91" i="16" s="1"/>
  <c r="B92" i="16" s="1"/>
  <c r="B93" i="16" s="1"/>
  <c r="B94" i="16" s="1"/>
  <c r="B95" i="16" s="1"/>
  <c r="B96" i="16" s="1"/>
  <c r="P869" i="5"/>
  <c r="I124" i="6" s="1"/>
  <c r="AB956" i="5"/>
  <c r="AB938" i="5" s="1"/>
  <c r="AL938" i="5" s="1"/>
  <c r="R869" i="5"/>
  <c r="K124" i="6" s="1"/>
  <c r="G244" i="14"/>
  <c r="G245" i="14" s="1"/>
  <c r="F162" i="11"/>
  <c r="H162" i="11" s="1"/>
  <c r="I162" i="11" s="1"/>
  <c r="J162" i="11" s="1"/>
  <c r="H274" i="14"/>
  <c r="H276" i="14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34" i="14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32" i="14"/>
  <c r="G286" i="14"/>
  <c r="G287" i="14" s="1"/>
  <c r="F165" i="11"/>
  <c r="H165" i="11" s="1"/>
  <c r="I165" i="11" s="1"/>
  <c r="J165" i="11" s="1"/>
  <c r="G258" i="14"/>
  <c r="G259" i="14" s="1"/>
  <c r="F163" i="11"/>
  <c r="H163" i="11" s="1"/>
  <c r="I163" i="11" s="1"/>
  <c r="J163" i="11" s="1"/>
  <c r="G300" i="14"/>
  <c r="G301" i="14" s="1"/>
  <c r="F166" i="11"/>
  <c r="H166" i="11" s="1"/>
  <c r="I166" i="11" s="1"/>
  <c r="J166" i="11" s="1"/>
  <c r="G312" i="14"/>
  <c r="G313" i="14" s="1"/>
  <c r="H246" i="14"/>
  <c r="H248" i="14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88" i="14"/>
  <c r="H290" i="14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4" i="14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02" i="14"/>
  <c r="S869" i="5"/>
  <c r="L124" i="6" s="1"/>
  <c r="Q869" i="5"/>
  <c r="J124" i="6" s="1"/>
  <c r="O869" i="5"/>
  <c r="F168" i="11"/>
  <c r="H168" i="11" s="1"/>
  <c r="I168" i="11" s="1"/>
  <c r="J168" i="11" s="1"/>
  <c r="G806" i="5"/>
  <c r="C806" i="5" s="1"/>
  <c r="F159" i="11"/>
  <c r="H159" i="11" s="1"/>
  <c r="I159" i="11" s="1"/>
  <c r="J159" i="11" s="1"/>
  <c r="F158" i="11"/>
  <c r="H158" i="11" s="1"/>
  <c r="I158" i="11" s="1"/>
  <c r="J158" i="11" s="1"/>
  <c r="F154" i="11"/>
  <c r="H154" i="11" s="1"/>
  <c r="I154" i="11" s="1"/>
  <c r="J154" i="11" s="1"/>
  <c r="F312" i="10"/>
  <c r="F313" i="10" s="1"/>
  <c r="F314" i="10" s="1"/>
  <c r="F144" i="11" s="1"/>
  <c r="H144" i="11" s="1"/>
  <c r="I144" i="11" s="1"/>
  <c r="J144" i="11" s="1"/>
  <c r="F298" i="10"/>
  <c r="F299" i="10" s="1"/>
  <c r="F300" i="10" s="1"/>
  <c r="F301" i="10" s="1"/>
  <c r="F302" i="10" s="1"/>
  <c r="H148" i="14"/>
  <c r="F242" i="10"/>
  <c r="F243" i="10" s="1"/>
  <c r="F244" i="10" s="1"/>
  <c r="F245" i="10" s="1"/>
  <c r="F246" i="10" s="1"/>
  <c r="F256" i="10"/>
  <c r="F257" i="10" s="1"/>
  <c r="F258" i="10" s="1"/>
  <c r="F259" i="10" s="1"/>
  <c r="F260" i="10" s="1"/>
  <c r="F326" i="10"/>
  <c r="F327" i="10" s="1"/>
  <c r="F328" i="10" s="1"/>
  <c r="F145" i="11" s="1"/>
  <c r="H145" i="11" s="1"/>
  <c r="I145" i="11" s="1"/>
  <c r="J145" i="11" s="1"/>
  <c r="G248" i="10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318" i="10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F153" i="11"/>
  <c r="H153" i="11" s="1"/>
  <c r="I153" i="11" s="1"/>
  <c r="J153" i="11" s="1"/>
  <c r="F156" i="11"/>
  <c r="H156" i="11" s="1"/>
  <c r="I156" i="11" s="1"/>
  <c r="J156" i="11" s="1"/>
  <c r="F151" i="11"/>
  <c r="H151" i="11" s="1"/>
  <c r="I151" i="11" s="1"/>
  <c r="J151" i="11" s="1"/>
  <c r="F149" i="11"/>
  <c r="H149" i="11" s="1"/>
  <c r="I149" i="11" s="1"/>
  <c r="J149" i="11" s="1"/>
  <c r="H147" i="9"/>
  <c r="G313" i="9"/>
  <c r="G323" i="9" s="1"/>
  <c r="H323" i="9" s="1"/>
  <c r="G330" i="9"/>
  <c r="H330" i="9" s="1"/>
  <c r="G305" i="10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245" i="9"/>
  <c r="G255" i="9" s="1"/>
  <c r="H255" i="9" s="1"/>
  <c r="G291" i="10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H283" i="9"/>
  <c r="G279" i="9"/>
  <c r="G275" i="10"/>
  <c r="H300" i="9"/>
  <c r="G296" i="9"/>
  <c r="G235" i="10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H232" i="9"/>
  <c r="G228" i="9"/>
  <c r="H64" i="14"/>
  <c r="H66" i="14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218" i="14"/>
  <c r="H220" i="14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G76" i="14"/>
  <c r="G77" i="14" s="1"/>
  <c r="F150" i="11"/>
  <c r="H150" i="11" s="1"/>
  <c r="I150" i="11" s="1"/>
  <c r="J150" i="11" s="1"/>
  <c r="G230" i="14"/>
  <c r="G231" i="14" s="1"/>
  <c r="F161" i="11"/>
  <c r="H161" i="11" s="1"/>
  <c r="I161" i="11" s="1"/>
  <c r="J161" i="11" s="1"/>
  <c r="H206" i="14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04" i="14"/>
  <c r="G104" i="14"/>
  <c r="G105" i="14" s="1"/>
  <c r="F152" i="11"/>
  <c r="H152" i="11" s="1"/>
  <c r="I152" i="11" s="1"/>
  <c r="J152" i="11" s="1"/>
  <c r="G216" i="14"/>
  <c r="G217" i="14" s="1"/>
  <c r="F160" i="11"/>
  <c r="H160" i="11" s="1"/>
  <c r="I160" i="11" s="1"/>
  <c r="J160" i="11" s="1"/>
  <c r="H94" i="14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92" i="14"/>
  <c r="G221" i="10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81" i="10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F129" i="11"/>
  <c r="H129" i="11" s="1"/>
  <c r="I129" i="11" s="1"/>
  <c r="J129" i="11" s="1"/>
  <c r="F119" i="10"/>
  <c r="F120" i="10" s="1"/>
  <c r="G207" i="10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109" i="10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F137" i="11"/>
  <c r="H137" i="11" s="1"/>
  <c r="I137" i="11" s="1"/>
  <c r="J137" i="11" s="1"/>
  <c r="F217" i="10"/>
  <c r="F218" i="10" s="1"/>
  <c r="F138" i="11"/>
  <c r="H138" i="11" s="1"/>
  <c r="I138" i="11" s="1"/>
  <c r="J138" i="11" s="1"/>
  <c r="F231" i="10"/>
  <c r="F232" i="10" s="1"/>
  <c r="F127" i="11"/>
  <c r="H127" i="11" s="1"/>
  <c r="I127" i="11" s="1"/>
  <c r="J127" i="11" s="1"/>
  <c r="F91" i="10"/>
  <c r="F92" i="10" s="1"/>
  <c r="G374" i="9"/>
  <c r="H374" i="9" s="1"/>
  <c r="F145" i="10"/>
  <c r="F146" i="10" s="1"/>
  <c r="G137" i="10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91" i="10"/>
  <c r="G357" i="9"/>
  <c r="H357" i="9" s="1"/>
  <c r="H347" i="9"/>
  <c r="F161" i="10"/>
  <c r="F162" i="10" s="1"/>
  <c r="F133" i="11"/>
  <c r="H133" i="11" s="1"/>
  <c r="I133" i="11" s="1"/>
  <c r="J133" i="11" s="1"/>
  <c r="G149" i="10"/>
  <c r="H62" i="9"/>
  <c r="G92" i="9"/>
  <c r="H92" i="9" s="1"/>
  <c r="G68" i="9"/>
  <c r="H68" i="9" s="1"/>
  <c r="H58" i="9"/>
  <c r="G211" i="9"/>
  <c r="H215" i="9"/>
  <c r="H7" i="9"/>
  <c r="H41" i="9"/>
  <c r="F187" i="10"/>
  <c r="F188" i="10" s="1"/>
  <c r="G179" i="10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F155" i="11"/>
  <c r="H155" i="11" s="1"/>
  <c r="I155" i="11" s="1"/>
  <c r="J155" i="11" s="1"/>
  <c r="F157" i="11"/>
  <c r="H157" i="11" s="1"/>
  <c r="I157" i="11" s="1"/>
  <c r="J157" i="11" s="1"/>
  <c r="F99" i="11"/>
  <c r="H99" i="11" s="1"/>
  <c r="I99" i="11" s="1"/>
  <c r="J99" i="11" s="1"/>
  <c r="H143" i="9"/>
  <c r="H24" i="9"/>
  <c r="F340" i="10"/>
  <c r="F341" i="10" s="1"/>
  <c r="F102" i="10"/>
  <c r="F103" i="10" s="1"/>
  <c r="G163" i="10"/>
  <c r="H194" i="9"/>
  <c r="G37" i="10"/>
  <c r="G75" i="9"/>
  <c r="H75" i="9" s="1"/>
  <c r="H160" i="9"/>
  <c r="H164" i="9"/>
  <c r="H177" i="9"/>
  <c r="G331" i="10"/>
  <c r="G93" i="10"/>
  <c r="G16" i="14"/>
  <c r="G17" i="14" s="1"/>
  <c r="G18" i="14" s="1"/>
  <c r="H8" i="14"/>
  <c r="H130" i="9"/>
  <c r="F172" i="10"/>
  <c r="F173" i="10" s="1"/>
  <c r="H113" i="9"/>
  <c r="F47" i="10"/>
  <c r="V865" i="5"/>
  <c r="C865" i="5"/>
  <c r="H170" i="9"/>
  <c r="H51" i="9"/>
  <c r="F148" i="11"/>
  <c r="AB936" i="5" l="1"/>
  <c r="AL936" i="5" s="1"/>
  <c r="AB932" i="5"/>
  <c r="AL932" i="5" s="1"/>
  <c r="AB934" i="5"/>
  <c r="AL934" i="5" s="1"/>
  <c r="AB937" i="5"/>
  <c r="AL937" i="5" s="1"/>
  <c r="AB935" i="5"/>
  <c r="AL935" i="5" s="1"/>
  <c r="AB933" i="5"/>
  <c r="AL933" i="5" s="1"/>
  <c r="G272" i="9"/>
  <c r="H272" i="9" s="1"/>
  <c r="H262" i="9"/>
  <c r="C211" i="13"/>
  <c r="C223" i="13" s="1"/>
  <c r="C235" i="13" s="1"/>
  <c r="G263" i="10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F141" i="11"/>
  <c r="H141" i="11" s="1"/>
  <c r="I141" i="11" s="1"/>
  <c r="J141" i="11" s="1"/>
  <c r="F273" i="10"/>
  <c r="F274" i="10" s="1"/>
  <c r="C164" i="11"/>
  <c r="E164" i="11" s="1"/>
  <c r="C194" i="11"/>
  <c r="H194" i="11"/>
  <c r="I194" i="11" s="1"/>
  <c r="J194" i="11" s="1"/>
  <c r="AB957" i="5"/>
  <c r="AL957" i="5" s="1"/>
  <c r="AB959" i="5"/>
  <c r="AL959" i="5" s="1"/>
  <c r="AB958" i="5"/>
  <c r="AL958" i="5" s="1"/>
  <c r="AL956" i="5"/>
  <c r="F125" i="6"/>
  <c r="O125" i="6" s="1"/>
  <c r="O127" i="6" s="1"/>
  <c r="AB960" i="5"/>
  <c r="AL960" i="5" s="1"/>
  <c r="G314" i="14"/>
  <c r="G315" i="14" s="1"/>
  <c r="F167" i="11"/>
  <c r="H167" i="11" s="1"/>
  <c r="I167" i="11" s="1"/>
  <c r="J167" i="11" s="1"/>
  <c r="V806" i="5"/>
  <c r="F315" i="10"/>
  <c r="F316" i="10" s="1"/>
  <c r="F329" i="10"/>
  <c r="F330" i="10" s="1"/>
  <c r="C162" i="11"/>
  <c r="E162" i="11" s="1"/>
  <c r="C163" i="11"/>
  <c r="E163" i="11" s="1"/>
  <c r="C165" i="11"/>
  <c r="E165" i="11" s="1"/>
  <c r="C166" i="11"/>
  <c r="E166" i="11" s="1"/>
  <c r="H313" i="9"/>
  <c r="G340" i="9"/>
  <c r="H340" i="9" s="1"/>
  <c r="G317" i="10"/>
  <c r="G303" i="10"/>
  <c r="G324" i="9"/>
  <c r="G325" i="9" s="1"/>
  <c r="H245" i="9"/>
  <c r="G247" i="10"/>
  <c r="G256" i="9"/>
  <c r="G257" i="9" s="1"/>
  <c r="H257" i="9" s="1"/>
  <c r="G233" i="10"/>
  <c r="H228" i="9"/>
  <c r="G238" i="9"/>
  <c r="H238" i="9" s="1"/>
  <c r="H296" i="9"/>
  <c r="G306" i="9"/>
  <c r="H306" i="9" s="1"/>
  <c r="H279" i="9"/>
  <c r="G289" i="9"/>
  <c r="H289" i="9" s="1"/>
  <c r="G289" i="10"/>
  <c r="G375" i="9"/>
  <c r="H375" i="9" s="1"/>
  <c r="G205" i="10"/>
  <c r="G79" i="10"/>
  <c r="G107" i="10"/>
  <c r="G219" i="10"/>
  <c r="C160" i="11"/>
  <c r="E160" i="11" s="1"/>
  <c r="C161" i="11"/>
  <c r="E161" i="11" s="1"/>
  <c r="C150" i="11"/>
  <c r="E150" i="11" s="1"/>
  <c r="C152" i="11"/>
  <c r="E152" i="11" s="1"/>
  <c r="G135" i="10"/>
  <c r="F132" i="11"/>
  <c r="H132" i="11" s="1"/>
  <c r="I132" i="11" s="1"/>
  <c r="J132" i="11" s="1"/>
  <c r="F147" i="10"/>
  <c r="F148" i="10" s="1"/>
  <c r="G358" i="9"/>
  <c r="G359" i="9" s="1"/>
  <c r="H359" i="9" s="1"/>
  <c r="G102" i="9"/>
  <c r="H102" i="9" s="1"/>
  <c r="G69" i="9"/>
  <c r="H69" i="9" s="1"/>
  <c r="G221" i="9"/>
  <c r="H211" i="9"/>
  <c r="H17" i="9"/>
  <c r="AF865" i="5"/>
  <c r="G177" i="10"/>
  <c r="F189" i="10"/>
  <c r="F190" i="10" s="1"/>
  <c r="F135" i="11"/>
  <c r="H135" i="11" s="1"/>
  <c r="I135" i="11" s="1"/>
  <c r="J135" i="11" s="1"/>
  <c r="H34" i="9"/>
  <c r="H153" i="9"/>
  <c r="F95" i="6"/>
  <c r="B95" i="6" s="1"/>
  <c r="H35" i="9"/>
  <c r="H204" i="9"/>
  <c r="H187" i="9"/>
  <c r="G85" i="9"/>
  <c r="H85" i="9" s="1"/>
  <c r="C149" i="11"/>
  <c r="E149" i="11" s="1"/>
  <c r="C155" i="11"/>
  <c r="E155" i="11" s="1"/>
  <c r="C159" i="11"/>
  <c r="E159" i="11" s="1"/>
  <c r="C154" i="11"/>
  <c r="E154" i="11" s="1"/>
  <c r="C158" i="11"/>
  <c r="E158" i="11" s="1"/>
  <c r="C151" i="11"/>
  <c r="E151" i="11" s="1"/>
  <c r="C156" i="11"/>
  <c r="E156" i="11" s="1"/>
  <c r="C153" i="11"/>
  <c r="E153" i="11" s="1"/>
  <c r="C157" i="11"/>
  <c r="E157" i="11" s="1"/>
  <c r="C148" i="11"/>
  <c r="E148" i="11" s="1"/>
  <c r="H9" i="14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7" i="14"/>
  <c r="G19" i="14"/>
  <c r="G20" i="14" s="1"/>
  <c r="F98" i="11"/>
  <c r="H126" i="9"/>
  <c r="H109" i="9"/>
  <c r="F174" i="10"/>
  <c r="F342" i="10"/>
  <c r="F48" i="10"/>
  <c r="F104" i="10"/>
  <c r="V868" i="5"/>
  <c r="AF868" i="5" s="1"/>
  <c r="V866" i="5"/>
  <c r="AF866" i="5" s="1"/>
  <c r="V867" i="5"/>
  <c r="AF867" i="5" s="1"/>
  <c r="H52" i="9"/>
  <c r="H171" i="9"/>
  <c r="H148" i="11"/>
  <c r="V840" i="5" l="1"/>
  <c r="AF840" i="5" s="1"/>
  <c r="V847" i="5"/>
  <c r="AF847" i="5" s="1"/>
  <c r="G273" i="9"/>
  <c r="H273" i="9" s="1"/>
  <c r="G261" i="10"/>
  <c r="C260" i="13"/>
  <c r="C247" i="13"/>
  <c r="R125" i="6"/>
  <c r="F29" i="10" s="1"/>
  <c r="F28" i="10" s="1"/>
  <c r="V842" i="5"/>
  <c r="AF842" i="5" s="1"/>
  <c r="V846" i="5"/>
  <c r="AF846" i="5" s="1"/>
  <c r="N125" i="6"/>
  <c r="N127" i="6" s="1"/>
  <c r="Q125" i="6"/>
  <c r="Q127" i="6" s="1"/>
  <c r="B125" i="6"/>
  <c r="P125" i="6"/>
  <c r="P127" i="6" s="1"/>
  <c r="M125" i="6"/>
  <c r="M127" i="6" s="1"/>
  <c r="V845" i="5"/>
  <c r="AF845" i="5" s="1"/>
  <c r="V839" i="5"/>
  <c r="AF839" i="5" s="1"/>
  <c r="V860" i="5"/>
  <c r="AF860" i="5" s="1"/>
  <c r="F147" i="11"/>
  <c r="C168" i="11"/>
  <c r="E168" i="11" s="1"/>
  <c r="V812" i="5"/>
  <c r="AF812" i="5" s="1"/>
  <c r="V820" i="5"/>
  <c r="AF820" i="5" s="1"/>
  <c r="V814" i="5"/>
  <c r="AF814" i="5" s="1"/>
  <c r="V829" i="5"/>
  <c r="AF829" i="5" s="1"/>
  <c r="V843" i="5"/>
  <c r="AF843" i="5" s="1"/>
  <c r="V858" i="5"/>
  <c r="AF858" i="5" s="1"/>
  <c r="V853" i="5"/>
  <c r="AF853" i="5" s="1"/>
  <c r="V810" i="5"/>
  <c r="AF810" i="5" s="1"/>
  <c r="V822" i="5"/>
  <c r="AF822" i="5" s="1"/>
  <c r="V837" i="5"/>
  <c r="AF837" i="5" s="1"/>
  <c r="V854" i="5"/>
  <c r="AF854" i="5" s="1"/>
  <c r="V834" i="5"/>
  <c r="AF834" i="5" s="1"/>
  <c r="V808" i="5"/>
  <c r="AF808" i="5" s="1"/>
  <c r="V830" i="5"/>
  <c r="AF830" i="5" s="1"/>
  <c r="V851" i="5"/>
  <c r="AF851" i="5" s="1"/>
  <c r="V859" i="5"/>
  <c r="AF859" i="5" s="1"/>
  <c r="V849" i="5"/>
  <c r="AF849" i="5" s="1"/>
  <c r="V836" i="5"/>
  <c r="AF836" i="5" s="1"/>
  <c r="H147" i="11"/>
  <c r="V831" i="5"/>
  <c r="AF831" i="5" s="1"/>
  <c r="V809" i="5"/>
  <c r="AF809" i="5" s="1"/>
  <c r="V863" i="5"/>
  <c r="AF863" i="5" s="1"/>
  <c r="V817" i="5"/>
  <c r="AF817" i="5" s="1"/>
  <c r="V832" i="5"/>
  <c r="AF832" i="5" s="1"/>
  <c r="V850" i="5"/>
  <c r="AF850" i="5" s="1"/>
  <c r="V833" i="5"/>
  <c r="AF833" i="5" s="1"/>
  <c r="AF806" i="5"/>
  <c r="V826" i="5"/>
  <c r="AF826" i="5" s="1"/>
  <c r="V852" i="5"/>
  <c r="AF852" i="5" s="1"/>
  <c r="C167" i="11"/>
  <c r="E167" i="11" s="1"/>
  <c r="V855" i="5"/>
  <c r="AF855" i="5" s="1"/>
  <c r="V815" i="5"/>
  <c r="AF815" i="5" s="1"/>
  <c r="V828" i="5"/>
  <c r="AF828" i="5" s="1"/>
  <c r="V857" i="5"/>
  <c r="AF857" i="5" s="1"/>
  <c r="V827" i="5"/>
  <c r="AF827" i="5" s="1"/>
  <c r="V825" i="5"/>
  <c r="AF825" i="5" s="1"/>
  <c r="V819" i="5"/>
  <c r="AF819" i="5" s="1"/>
  <c r="V821" i="5"/>
  <c r="AF821" i="5" s="1"/>
  <c r="V816" i="5"/>
  <c r="AF816" i="5" s="1"/>
  <c r="V818" i="5"/>
  <c r="AF818" i="5" s="1"/>
  <c r="V811" i="5"/>
  <c r="AF811" i="5" s="1"/>
  <c r="V848" i="5"/>
  <c r="AF848" i="5" s="1"/>
  <c r="V856" i="5"/>
  <c r="AF856" i="5" s="1"/>
  <c r="V824" i="5"/>
  <c r="AF824" i="5" s="1"/>
  <c r="F92" i="6"/>
  <c r="V862" i="5"/>
  <c r="AF862" i="5" s="1"/>
  <c r="V841" i="5"/>
  <c r="AF841" i="5" s="1"/>
  <c r="V813" i="5"/>
  <c r="AF813" i="5" s="1"/>
  <c r="V823" i="5"/>
  <c r="AF823" i="5" s="1"/>
  <c r="V807" i="5"/>
  <c r="AF807" i="5" s="1"/>
  <c r="V864" i="5"/>
  <c r="AF864" i="5" s="1"/>
  <c r="V835" i="5"/>
  <c r="AF835" i="5" s="1"/>
  <c r="V838" i="5"/>
  <c r="AF838" i="5" s="1"/>
  <c r="V861" i="5"/>
  <c r="AF861" i="5" s="1"/>
  <c r="V844" i="5"/>
  <c r="AF844" i="5" s="1"/>
  <c r="G341" i="9"/>
  <c r="H341" i="9" s="1"/>
  <c r="H325" i="9"/>
  <c r="G326" i="9"/>
  <c r="H326" i="9" s="1"/>
  <c r="H324" i="9"/>
  <c r="H256" i="9"/>
  <c r="G307" i="9"/>
  <c r="G308" i="9" s="1"/>
  <c r="H308" i="9" s="1"/>
  <c r="G239" i="9"/>
  <c r="G290" i="9"/>
  <c r="G258" i="9"/>
  <c r="F140" i="11"/>
  <c r="H140" i="11" s="1"/>
  <c r="I140" i="11" s="1"/>
  <c r="J140" i="11" s="1"/>
  <c r="F142" i="11"/>
  <c r="H142" i="11" s="1"/>
  <c r="I142" i="11" s="1"/>
  <c r="J142" i="11" s="1"/>
  <c r="F143" i="11"/>
  <c r="H143" i="11" s="1"/>
  <c r="I143" i="11" s="1"/>
  <c r="J143" i="11" s="1"/>
  <c r="F139" i="11"/>
  <c r="G376" i="9"/>
  <c r="H376" i="9" s="1"/>
  <c r="G360" i="9"/>
  <c r="H358" i="9"/>
  <c r="G103" i="9"/>
  <c r="H103" i="9" s="1"/>
  <c r="G70" i="9"/>
  <c r="G222" i="9"/>
  <c r="H221" i="9"/>
  <c r="H18" i="9"/>
  <c r="Q95" i="6"/>
  <c r="Q97" i="6" s="1"/>
  <c r="H154" i="9"/>
  <c r="M95" i="6"/>
  <c r="M97" i="6" s="1"/>
  <c r="F92" i="11" s="1"/>
  <c r="P95" i="6"/>
  <c r="P97" i="6" s="1"/>
  <c r="F13" i="10" s="1"/>
  <c r="N95" i="6"/>
  <c r="N97" i="6" s="1"/>
  <c r="F11" i="10" s="1"/>
  <c r="F10" i="10" s="1"/>
  <c r="R95" i="6"/>
  <c r="R97" i="6" s="1"/>
  <c r="F15" i="10" s="1"/>
  <c r="F14" i="10" s="1"/>
  <c r="O95" i="6"/>
  <c r="O97" i="6" s="1"/>
  <c r="H205" i="9"/>
  <c r="H36" i="9"/>
  <c r="G86" i="9"/>
  <c r="H86" i="9" s="1"/>
  <c r="H188" i="9"/>
  <c r="H98" i="11"/>
  <c r="H97" i="11" s="1"/>
  <c r="C99" i="11"/>
  <c r="E99" i="11" s="1"/>
  <c r="C98" i="11"/>
  <c r="E98" i="11" s="1"/>
  <c r="H6" i="14"/>
  <c r="F97" i="11"/>
  <c r="H119" i="9"/>
  <c r="H136" i="9"/>
  <c r="F130" i="11"/>
  <c r="H130" i="11" s="1"/>
  <c r="F105" i="10"/>
  <c r="F343" i="10"/>
  <c r="F146" i="11"/>
  <c r="H146" i="11" s="1"/>
  <c r="I146" i="11" s="1"/>
  <c r="J146" i="11" s="1"/>
  <c r="F49" i="10"/>
  <c r="F125" i="11"/>
  <c r="F175" i="10"/>
  <c r="F134" i="11"/>
  <c r="H134" i="11" s="1"/>
  <c r="I134" i="11" s="1"/>
  <c r="J134" i="11" s="1"/>
  <c r="H172" i="9"/>
  <c r="H53" i="9"/>
  <c r="I148" i="11"/>
  <c r="G10" i="7"/>
  <c r="G274" i="9" l="1"/>
  <c r="H274" i="9" s="1"/>
  <c r="C141" i="11"/>
  <c r="E141" i="11" s="1"/>
  <c r="O92" i="6"/>
  <c r="M92" i="6"/>
  <c r="R127" i="6"/>
  <c r="B127" i="6" s="1"/>
  <c r="F25" i="10"/>
  <c r="F24" i="10" s="1"/>
  <c r="F27" i="10"/>
  <c r="F26" i="10" s="1"/>
  <c r="F30" i="10" s="1"/>
  <c r="F93" i="11"/>
  <c r="H93" i="11" s="1"/>
  <c r="I93" i="11" s="1"/>
  <c r="J93" i="11" s="1"/>
  <c r="Q92" i="6"/>
  <c r="N92" i="6"/>
  <c r="B92" i="6"/>
  <c r="R92" i="6"/>
  <c r="P92" i="6"/>
  <c r="G342" i="9"/>
  <c r="H342" i="9" s="1"/>
  <c r="F62" i="11"/>
  <c r="H62" i="11" s="1"/>
  <c r="I62" i="11" s="1"/>
  <c r="J62" i="11" s="1"/>
  <c r="G327" i="9"/>
  <c r="H327" i="9" s="1"/>
  <c r="C144" i="11"/>
  <c r="E144" i="11" s="1"/>
  <c r="C145" i="11"/>
  <c r="E145" i="11" s="1"/>
  <c r="H307" i="9"/>
  <c r="G309" i="9"/>
  <c r="H309" i="9" s="1"/>
  <c r="G259" i="9"/>
  <c r="H259" i="9" s="1"/>
  <c r="F57" i="11"/>
  <c r="H57" i="11" s="1"/>
  <c r="I57" i="11" s="1"/>
  <c r="J57" i="11" s="1"/>
  <c r="H258" i="9"/>
  <c r="G291" i="9"/>
  <c r="H291" i="9" s="1"/>
  <c r="H290" i="9"/>
  <c r="G240" i="9"/>
  <c r="H240" i="9" s="1"/>
  <c r="H239" i="9"/>
  <c r="H139" i="11"/>
  <c r="I139" i="11" s="1"/>
  <c r="J139" i="11" s="1"/>
  <c r="C139" i="11"/>
  <c r="E139" i="11" s="1"/>
  <c r="C140" i="11"/>
  <c r="E140" i="11" s="1"/>
  <c r="C142" i="11"/>
  <c r="E142" i="11" s="1"/>
  <c r="C143" i="11"/>
  <c r="E143" i="11" s="1"/>
  <c r="G377" i="9"/>
  <c r="G378" i="9" s="1"/>
  <c r="H378" i="9" s="1"/>
  <c r="C137" i="11"/>
  <c r="E137" i="11" s="1"/>
  <c r="C138" i="11"/>
  <c r="E138" i="11" s="1"/>
  <c r="C127" i="11"/>
  <c r="E127" i="11" s="1"/>
  <c r="C129" i="11"/>
  <c r="E129" i="11" s="1"/>
  <c r="H360" i="9"/>
  <c r="F64" i="11"/>
  <c r="H64" i="11" s="1"/>
  <c r="I64" i="11" s="1"/>
  <c r="J64" i="11" s="1"/>
  <c r="G361" i="9"/>
  <c r="H361" i="9" s="1"/>
  <c r="G104" i="9"/>
  <c r="H104" i="9" s="1"/>
  <c r="H70" i="9"/>
  <c r="G71" i="9"/>
  <c r="F46" i="11" s="1"/>
  <c r="H46" i="11" s="1"/>
  <c r="I46" i="11" s="1"/>
  <c r="J46" i="11" s="1"/>
  <c r="G223" i="9"/>
  <c r="H222" i="9"/>
  <c r="H19" i="9"/>
  <c r="H155" i="9"/>
  <c r="F12" i="10"/>
  <c r="B97" i="6"/>
  <c r="H206" i="9"/>
  <c r="H37" i="9"/>
  <c r="H20" i="9"/>
  <c r="H189" i="9"/>
  <c r="G87" i="9"/>
  <c r="H87" i="9" s="1"/>
  <c r="I98" i="11"/>
  <c r="J98" i="11" s="1"/>
  <c r="C128" i="11"/>
  <c r="E128" i="11" s="1"/>
  <c r="C133" i="11"/>
  <c r="E133" i="11" s="1"/>
  <c r="C146" i="11"/>
  <c r="E146" i="11" s="1"/>
  <c r="C132" i="11"/>
  <c r="E132" i="11" s="1"/>
  <c r="C130" i="11"/>
  <c r="E130" i="11" s="1"/>
  <c r="C134" i="11"/>
  <c r="E134" i="11" s="1"/>
  <c r="C125" i="11"/>
  <c r="E125" i="11" s="1"/>
  <c r="C131" i="11"/>
  <c r="E131" i="11" s="1"/>
  <c r="C135" i="11"/>
  <c r="E135" i="11" s="1"/>
  <c r="C126" i="11"/>
  <c r="E126" i="11" s="1"/>
  <c r="C136" i="11"/>
  <c r="E136" i="11" s="1"/>
  <c r="H92" i="11"/>
  <c r="C92" i="11"/>
  <c r="E92" i="11" s="1"/>
  <c r="I130" i="11"/>
  <c r="J130" i="11" s="1"/>
  <c r="H137" i="9"/>
  <c r="H120" i="9"/>
  <c r="F50" i="10"/>
  <c r="F106" i="10"/>
  <c r="F176" i="10"/>
  <c r="H125" i="11"/>
  <c r="I125" i="11" s="1"/>
  <c r="F124" i="11"/>
  <c r="F100" i="11" s="1"/>
  <c r="F344" i="10"/>
  <c r="H54" i="9"/>
  <c r="H173" i="9"/>
  <c r="F53" i="11"/>
  <c r="J148" i="11"/>
  <c r="I147" i="11"/>
  <c r="J147" i="11" s="1"/>
  <c r="G275" i="9" l="1"/>
  <c r="H275" i="9" s="1"/>
  <c r="F23" i="10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H91" i="11"/>
  <c r="F91" i="11"/>
  <c r="C93" i="11"/>
  <c r="E93" i="11" s="1"/>
  <c r="G343" i="9"/>
  <c r="H343" i="9" s="1"/>
  <c r="G310" i="9"/>
  <c r="H310" i="9" s="1"/>
  <c r="G328" i="9"/>
  <c r="H328" i="9" s="1"/>
  <c r="H321" i="9" s="1"/>
  <c r="H320" i="9" s="1"/>
  <c r="H315" i="9" s="1"/>
  <c r="H314" i="9" s="1"/>
  <c r="H312" i="9" s="1"/>
  <c r="F60" i="11"/>
  <c r="H60" i="11" s="1"/>
  <c r="I60" i="11" s="1"/>
  <c r="J60" i="11" s="1"/>
  <c r="G292" i="9"/>
  <c r="H292" i="9" s="1"/>
  <c r="G241" i="9"/>
  <c r="G242" i="9" s="1"/>
  <c r="H242" i="9" s="1"/>
  <c r="G260" i="9"/>
  <c r="H260" i="9" s="1"/>
  <c r="H253" i="9" s="1"/>
  <c r="H252" i="9" s="1"/>
  <c r="H247" i="9" s="1"/>
  <c r="H246" i="9" s="1"/>
  <c r="H244" i="9" s="1"/>
  <c r="F65" i="11"/>
  <c r="H65" i="11" s="1"/>
  <c r="I65" i="11" s="1"/>
  <c r="J65" i="11" s="1"/>
  <c r="G379" i="9"/>
  <c r="H379" i="9" s="1"/>
  <c r="H377" i="9"/>
  <c r="G362" i="9"/>
  <c r="H362" i="9" s="1"/>
  <c r="H355" i="9" s="1"/>
  <c r="H354" i="9" s="1"/>
  <c r="H349" i="9" s="1"/>
  <c r="H348" i="9" s="1"/>
  <c r="H346" i="9" s="1"/>
  <c r="G105" i="9"/>
  <c r="G72" i="9"/>
  <c r="H72" i="9" s="1"/>
  <c r="H71" i="9"/>
  <c r="G224" i="9"/>
  <c r="F61" i="11" s="1"/>
  <c r="H61" i="11" s="1"/>
  <c r="I61" i="11" s="1"/>
  <c r="J61" i="11" s="1"/>
  <c r="H223" i="9"/>
  <c r="H157" i="9"/>
  <c r="F9" i="10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F16" i="10"/>
  <c r="F45" i="11"/>
  <c r="H45" i="11" s="1"/>
  <c r="I45" i="11" s="1"/>
  <c r="J45" i="11" s="1"/>
  <c r="H207" i="9"/>
  <c r="H38" i="9"/>
  <c r="H190" i="9"/>
  <c r="H21" i="9"/>
  <c r="F44" i="11"/>
  <c r="G88" i="9"/>
  <c r="H88" i="9" s="1"/>
  <c r="I97" i="11"/>
  <c r="J97" i="11" s="1"/>
  <c r="I92" i="11"/>
  <c r="I91" i="11" s="1"/>
  <c r="J91" i="11" s="1"/>
  <c r="H124" i="11"/>
  <c r="H100" i="11" s="1"/>
  <c r="H138" i="9"/>
  <c r="H121" i="9"/>
  <c r="J125" i="11"/>
  <c r="I124" i="11"/>
  <c r="J124" i="11" s="1"/>
  <c r="H53" i="11"/>
  <c r="I53" i="11" s="1"/>
  <c r="J53" i="11" s="1"/>
  <c r="H175" i="9"/>
  <c r="H174" i="9"/>
  <c r="F47" i="11"/>
  <c r="H47" i="11" s="1"/>
  <c r="I47" i="11" s="1"/>
  <c r="J47" i="11" s="1"/>
  <c r="H55" i="9"/>
  <c r="F58" i="11" l="1"/>
  <c r="H58" i="11" s="1"/>
  <c r="I58" i="11" s="1"/>
  <c r="J58" i="11" s="1"/>
  <c r="G276" i="9"/>
  <c r="H276" i="9" s="1"/>
  <c r="F31" i="10"/>
  <c r="F32" i="10" s="1"/>
  <c r="G22" i="10"/>
  <c r="F63" i="11"/>
  <c r="H63" i="11" s="1"/>
  <c r="I63" i="11" s="1"/>
  <c r="J63" i="11" s="1"/>
  <c r="G344" i="9"/>
  <c r="H344" i="9" s="1"/>
  <c r="G311" i="9"/>
  <c r="H311" i="9" s="1"/>
  <c r="H304" i="9" s="1"/>
  <c r="H303" i="9" s="1"/>
  <c r="H298" i="9" s="1"/>
  <c r="H297" i="9" s="1"/>
  <c r="H295" i="9" s="1"/>
  <c r="H241" i="9"/>
  <c r="F56" i="11"/>
  <c r="H56" i="11" s="1"/>
  <c r="I56" i="11" s="1"/>
  <c r="J56" i="11" s="1"/>
  <c r="F59" i="11"/>
  <c r="H59" i="11" s="1"/>
  <c r="I59" i="11" s="1"/>
  <c r="J59" i="11" s="1"/>
  <c r="G293" i="9"/>
  <c r="H293" i="9" s="1"/>
  <c r="G243" i="9"/>
  <c r="H243" i="9" s="1"/>
  <c r="H372" i="9"/>
  <c r="H371" i="9" s="1"/>
  <c r="H366" i="9" s="1"/>
  <c r="H365" i="9" s="1"/>
  <c r="H363" i="9" s="1"/>
  <c r="G106" i="9"/>
  <c r="H106" i="9" s="1"/>
  <c r="F48" i="11"/>
  <c r="H48" i="11" s="1"/>
  <c r="I48" i="11" s="1"/>
  <c r="J48" i="11" s="1"/>
  <c r="C46" i="11"/>
  <c r="E46" i="11" s="1"/>
  <c r="H105" i="9"/>
  <c r="G73" i="9"/>
  <c r="H73" i="9" s="1"/>
  <c r="H66" i="9" s="1"/>
  <c r="H65" i="9" s="1"/>
  <c r="H60" i="9" s="1"/>
  <c r="H59" i="9" s="1"/>
  <c r="H57" i="9" s="1"/>
  <c r="G225" i="9"/>
  <c r="H224" i="9"/>
  <c r="G8" i="10"/>
  <c r="F17" i="10"/>
  <c r="F18" i="10" s="1"/>
  <c r="H158" i="9"/>
  <c r="F52" i="11"/>
  <c r="H52" i="11" s="1"/>
  <c r="I52" i="11" s="1"/>
  <c r="J52" i="11" s="1"/>
  <c r="H156" i="9"/>
  <c r="H191" i="9"/>
  <c r="F54" i="11"/>
  <c r="H54" i="11" s="1"/>
  <c r="I54" i="11" s="1"/>
  <c r="J54" i="11" s="1"/>
  <c r="F55" i="11"/>
  <c r="H55" i="11" s="1"/>
  <c r="I55" i="11" s="1"/>
  <c r="J55" i="11" s="1"/>
  <c r="C45" i="11"/>
  <c r="E45" i="11" s="1"/>
  <c r="H208" i="9"/>
  <c r="C44" i="11"/>
  <c r="E44" i="11" s="1"/>
  <c r="H39" i="9"/>
  <c r="H32" i="9" s="1"/>
  <c r="H31" i="9" s="1"/>
  <c r="H26" i="9" s="1"/>
  <c r="H25" i="9" s="1"/>
  <c r="H23" i="9" s="1"/>
  <c r="F49" i="11"/>
  <c r="H49" i="11" s="1"/>
  <c r="I49" i="11" s="1"/>
  <c r="J49" i="11" s="1"/>
  <c r="H22" i="9"/>
  <c r="H15" i="9" s="1"/>
  <c r="H14" i="9" s="1"/>
  <c r="H9" i="9" s="1"/>
  <c r="H8" i="9" s="1"/>
  <c r="H6" i="9" s="1"/>
  <c r="H44" i="11"/>
  <c r="G89" i="9"/>
  <c r="H89" i="9" s="1"/>
  <c r="J92" i="11"/>
  <c r="C47" i="11"/>
  <c r="E47" i="11" s="1"/>
  <c r="I100" i="11"/>
  <c r="D6" i="12" s="1"/>
  <c r="H139" i="9"/>
  <c r="F51" i="11"/>
  <c r="H51" i="11" s="1"/>
  <c r="I51" i="11" s="1"/>
  <c r="J51" i="11" s="1"/>
  <c r="H122" i="9"/>
  <c r="F50" i="11"/>
  <c r="H50" i="11" s="1"/>
  <c r="I50" i="11" s="1"/>
  <c r="J50" i="11" s="1"/>
  <c r="H168" i="9"/>
  <c r="H167" i="9" s="1"/>
  <c r="H162" i="9" s="1"/>
  <c r="H161" i="9" s="1"/>
  <c r="H159" i="9" s="1"/>
  <c r="H56" i="9"/>
  <c r="H49" i="9" s="1"/>
  <c r="H48" i="9" s="1"/>
  <c r="H43" i="9" s="1"/>
  <c r="H42" i="9" s="1"/>
  <c r="H40" i="9" s="1"/>
  <c r="G277" i="9" l="1"/>
  <c r="H277" i="9" s="1"/>
  <c r="H270" i="9" s="1"/>
  <c r="H269" i="9" s="1"/>
  <c r="H264" i="9" s="1"/>
  <c r="H263" i="9" s="1"/>
  <c r="H261" i="9" s="1"/>
  <c r="C58" i="11"/>
  <c r="E58" i="11" s="1"/>
  <c r="H43" i="11"/>
  <c r="F43" i="11"/>
  <c r="G7" i="10"/>
  <c r="G345" i="9"/>
  <c r="H345" i="9" s="1"/>
  <c r="H338" i="9" s="1"/>
  <c r="H337" i="9" s="1"/>
  <c r="H332" i="9" s="1"/>
  <c r="H331" i="9" s="1"/>
  <c r="H329" i="9" s="1"/>
  <c r="H236" i="9"/>
  <c r="H235" i="9" s="1"/>
  <c r="H230" i="9" s="1"/>
  <c r="H229" i="9" s="1"/>
  <c r="H227" i="9" s="1"/>
  <c r="C62" i="11"/>
  <c r="E62" i="11" s="1"/>
  <c r="C63" i="11"/>
  <c r="E63" i="11" s="1"/>
  <c r="G294" i="9"/>
  <c r="H294" i="9" s="1"/>
  <c r="H287" i="9" s="1"/>
  <c r="H286" i="9" s="1"/>
  <c r="H281" i="9" s="1"/>
  <c r="H280" i="9" s="1"/>
  <c r="H278" i="9" s="1"/>
  <c r="C56" i="11"/>
  <c r="E56" i="11" s="1"/>
  <c r="C57" i="11"/>
  <c r="E57" i="11" s="1"/>
  <c r="C59" i="11"/>
  <c r="E59" i="11" s="1"/>
  <c r="C60" i="11"/>
  <c r="E60" i="11" s="1"/>
  <c r="I44" i="11"/>
  <c r="I43" i="11" s="1"/>
  <c r="C64" i="11"/>
  <c r="E64" i="11" s="1"/>
  <c r="C65" i="11"/>
  <c r="E65" i="11" s="1"/>
  <c r="G107" i="9"/>
  <c r="H107" i="9" s="1"/>
  <c r="H100" i="9" s="1"/>
  <c r="H99" i="9" s="1"/>
  <c r="H94" i="9" s="1"/>
  <c r="H93" i="9" s="1"/>
  <c r="H91" i="9" s="1"/>
  <c r="C48" i="11"/>
  <c r="E48" i="11" s="1"/>
  <c r="G226" i="9"/>
  <c r="H226" i="9" s="1"/>
  <c r="H225" i="9"/>
  <c r="H151" i="9"/>
  <c r="H150" i="9" s="1"/>
  <c r="H145" i="9" s="1"/>
  <c r="H144" i="9" s="1"/>
  <c r="H142" i="9" s="1"/>
  <c r="H209" i="9"/>
  <c r="H202" i="9" s="1"/>
  <c r="H201" i="9" s="1"/>
  <c r="H196" i="9" s="1"/>
  <c r="H195" i="9" s="1"/>
  <c r="H193" i="9" s="1"/>
  <c r="H192" i="9"/>
  <c r="H185" i="9" s="1"/>
  <c r="H184" i="9" s="1"/>
  <c r="H179" i="9" s="1"/>
  <c r="H178" i="9" s="1"/>
  <c r="H176" i="9" s="1"/>
  <c r="C49" i="11"/>
  <c r="E49" i="11" s="1"/>
  <c r="G90" i="9"/>
  <c r="H90" i="9" s="1"/>
  <c r="H83" i="9" s="1"/>
  <c r="H82" i="9" s="1"/>
  <c r="H77" i="9" s="1"/>
  <c r="H76" i="9" s="1"/>
  <c r="H74" i="9" s="1"/>
  <c r="J100" i="11"/>
  <c r="C53" i="11"/>
  <c r="E53" i="11" s="1"/>
  <c r="C55" i="11"/>
  <c r="E55" i="11" s="1"/>
  <c r="C54" i="11"/>
  <c r="E54" i="11" s="1"/>
  <c r="C51" i="11"/>
  <c r="E51" i="11" s="1"/>
  <c r="C52" i="11"/>
  <c r="E52" i="11" s="1"/>
  <c r="C61" i="11"/>
  <c r="E61" i="11" s="1"/>
  <c r="C50" i="11"/>
  <c r="E50" i="11" s="1"/>
  <c r="H123" i="9"/>
  <c r="H124" i="9"/>
  <c r="H140" i="9"/>
  <c r="H141" i="9"/>
  <c r="F33" i="10"/>
  <c r="F19" i="10"/>
  <c r="J44" i="11" l="1"/>
  <c r="F223" i="11"/>
  <c r="H223" i="11" s="1"/>
  <c r="I223" i="11" s="1"/>
  <c r="J223" i="11" s="1"/>
  <c r="H219" i="9"/>
  <c r="H218" i="9" s="1"/>
  <c r="H213" i="9" s="1"/>
  <c r="H212" i="9" s="1"/>
  <c r="H210" i="9" s="1"/>
  <c r="H117" i="9"/>
  <c r="H116" i="9" s="1"/>
  <c r="H111" i="9" s="1"/>
  <c r="H110" i="9" s="1"/>
  <c r="H108" i="9" s="1"/>
  <c r="F96" i="11"/>
  <c r="H96" i="11" s="1"/>
  <c r="I96" i="11" s="1"/>
  <c r="J96" i="11" s="1"/>
  <c r="F34" i="10"/>
  <c r="F95" i="11"/>
  <c r="F20" i="10"/>
  <c r="H134" i="9"/>
  <c r="H133" i="9" s="1"/>
  <c r="H128" i="9" s="1"/>
  <c r="H127" i="9" s="1"/>
  <c r="H125" i="9" s="1"/>
  <c r="J43" i="11"/>
  <c r="C96" i="11" l="1"/>
  <c r="E96" i="11" s="1"/>
  <c r="C95" i="11"/>
  <c r="E95" i="11" s="1"/>
  <c r="F94" i="11"/>
  <c r="F90" i="11" s="1"/>
  <c r="H95" i="11"/>
  <c r="H94" i="11" s="1"/>
  <c r="H90" i="11" s="1"/>
  <c r="H89" i="11" s="1"/>
  <c r="F35" i="10"/>
  <c r="F21" i="10"/>
  <c r="F89" i="11" l="1"/>
  <c r="D20" i="26" s="1"/>
  <c r="I95" i="11"/>
  <c r="F121" i="6"/>
  <c r="F120" i="6"/>
  <c r="F118" i="6"/>
  <c r="F119" i="6"/>
  <c r="F109" i="6"/>
  <c r="F107" i="6"/>
  <c r="F103" i="6"/>
  <c r="F111" i="6"/>
  <c r="F112" i="6"/>
  <c r="F116" i="6"/>
  <c r="F110" i="6"/>
  <c r="F105" i="6"/>
  <c r="F117" i="6"/>
  <c r="F108" i="6"/>
  <c r="F115" i="6"/>
  <c r="U289" i="5"/>
  <c r="G289" i="5" s="1"/>
  <c r="C289" i="5" s="1"/>
  <c r="U340" i="5"/>
  <c r="U514" i="5"/>
  <c r="G514" i="5" s="1"/>
  <c r="C514" i="5" s="1"/>
  <c r="U213" i="5"/>
  <c r="AE213" i="5" s="1"/>
  <c r="U444" i="5"/>
  <c r="U737" i="5"/>
  <c r="G737" i="5" s="1"/>
  <c r="C737" i="5" s="1"/>
  <c r="U724" i="5"/>
  <c r="U728" i="5" s="1"/>
  <c r="AE728" i="5" s="1"/>
  <c r="U365" i="5"/>
  <c r="U769" i="5"/>
  <c r="U773" i="5" s="1"/>
  <c r="AE773" i="5" s="1"/>
  <c r="U460" i="5"/>
  <c r="G460" i="5" s="1"/>
  <c r="C460" i="5" s="1"/>
  <c r="U390" i="5"/>
  <c r="AE390" i="5" s="1"/>
  <c r="U217" i="5"/>
  <c r="U220" i="5" s="1"/>
  <c r="AE220" i="5" s="1"/>
  <c r="U682" i="5"/>
  <c r="U132" i="5"/>
  <c r="U134" i="5" s="1"/>
  <c r="AE134" i="5" s="1"/>
  <c r="U590" i="5"/>
  <c r="U594" i="5" s="1"/>
  <c r="AE594" i="5" s="1"/>
  <c r="U373" i="5"/>
  <c r="G373" i="5" s="1"/>
  <c r="C373" i="5" s="1"/>
  <c r="U529" i="5"/>
  <c r="U533" i="5" s="1"/>
  <c r="AE533" i="5" s="1"/>
  <c r="U138" i="5"/>
  <c r="U547" i="5"/>
  <c r="U551" i="5" s="1"/>
  <c r="AE551" i="5" s="1"/>
  <c r="U754" i="5"/>
  <c r="G754" i="5" s="1"/>
  <c r="C754" i="5" s="1"/>
  <c r="U88" i="5"/>
  <c r="U90" i="5" s="1"/>
  <c r="AE90" i="5" s="1"/>
  <c r="U499" i="5"/>
  <c r="U554" i="5"/>
  <c r="U559" i="5" s="1"/>
  <c r="AE559" i="5" s="1"/>
  <c r="U378" i="5"/>
  <c r="U107" i="5"/>
  <c r="U113" i="5" s="1"/>
  <c r="AE113" i="5" s="1"/>
  <c r="U84" i="5"/>
  <c r="G84" i="5" s="1"/>
  <c r="C84" i="5" s="1"/>
  <c r="U741" i="5"/>
  <c r="AE741" i="5" s="1"/>
  <c r="U429" i="5"/>
  <c r="U431" i="5" s="1"/>
  <c r="AE431" i="5" s="1"/>
  <c r="U764" i="5"/>
  <c r="U768" i="5" s="1"/>
  <c r="AE768" i="5" s="1"/>
  <c r="U779" i="5"/>
  <c r="G779" i="5" s="1"/>
  <c r="C779" i="5" s="1"/>
  <c r="U395" i="5"/>
  <c r="U714" i="5"/>
  <c r="AE714" i="5" s="1"/>
  <c r="U436" i="5"/>
  <c r="G436" i="5" s="1"/>
  <c r="C436" i="5" s="1"/>
  <c r="U561" i="5"/>
  <c r="U564" i="5" s="1"/>
  <c r="AE564" i="5" s="1"/>
  <c r="U522" i="5"/>
  <c r="U528" i="5" s="1"/>
  <c r="AE528" i="5" s="1"/>
  <c r="U94" i="5"/>
  <c r="U105" i="5" s="1"/>
  <c r="AE105" i="5" s="1"/>
  <c r="U601" i="5"/>
  <c r="U607" i="5" s="1"/>
  <c r="AE607" i="5" s="1"/>
  <c r="U729" i="5"/>
  <c r="U731" i="5" s="1"/>
  <c r="AE731" i="5" s="1"/>
  <c r="U299" i="5"/>
  <c r="U759" i="5"/>
  <c r="G759" i="5" s="1"/>
  <c r="C759" i="5" s="1"/>
  <c r="U321" i="5"/>
  <c r="U719" i="5"/>
  <c r="G719" i="5" s="1"/>
  <c r="C719" i="5" s="1"/>
  <c r="U127" i="5"/>
  <c r="U621" i="5"/>
  <c r="U623" i="5" s="1"/>
  <c r="AE623" i="5" s="1"/>
  <c r="F114" i="6"/>
  <c r="U656" i="5"/>
  <c r="AE674" i="5" s="1"/>
  <c r="U610" i="5"/>
  <c r="U612" i="5" s="1"/>
  <c r="AE612" i="5" s="1"/>
  <c r="U483" i="5"/>
  <c r="G483" i="5" s="1"/>
  <c r="C483" i="5" s="1"/>
  <c r="U285" i="5"/>
  <c r="AE285" i="5" s="1"/>
  <c r="U50" i="5"/>
  <c r="U64" i="5" s="1"/>
  <c r="AE64" i="5" s="1"/>
  <c r="U745" i="5"/>
  <c r="U748" i="5" s="1"/>
  <c r="AE748" i="5" s="1"/>
  <c r="U23" i="5"/>
  <c r="U26" i="5" s="1"/>
  <c r="AE26" i="5" s="1"/>
  <c r="U17" i="5"/>
  <c r="U22" i="5" s="1"/>
  <c r="AE22" i="5" s="1"/>
  <c r="U706" i="5"/>
  <c r="G706" i="5" s="1"/>
  <c r="C706" i="5" s="1"/>
  <c r="U476" i="5"/>
  <c r="U482" i="5" s="1"/>
  <c r="AE482" i="5" s="1"/>
  <c r="U467" i="5"/>
  <c r="U474" i="5" s="1"/>
  <c r="AE474" i="5" s="1"/>
  <c r="U538" i="5"/>
  <c r="U546" i="5" s="1"/>
  <c r="AE546" i="5" s="1"/>
  <c r="U676" i="5"/>
  <c r="G676" i="5" s="1"/>
  <c r="C676" i="5" s="1"/>
  <c r="U178" i="5"/>
  <c r="U451" i="5"/>
  <c r="G451" i="5" s="1"/>
  <c r="C451" i="5" s="1"/>
  <c r="U733" i="5"/>
  <c r="G733" i="5" s="1"/>
  <c r="C733" i="5" s="1"/>
  <c r="U507" i="5"/>
  <c r="U512" i="5" s="1"/>
  <c r="AE512" i="5" s="1"/>
  <c r="U800" i="5"/>
  <c r="AE800" i="5" s="1"/>
  <c r="U702" i="5"/>
  <c r="U223" i="5"/>
  <c r="U225" i="5" s="1"/>
  <c r="AE225" i="5" s="1"/>
  <c r="U641" i="5"/>
  <c r="U570" i="5"/>
  <c r="U576" i="5" s="1"/>
  <c r="AE576" i="5" s="1"/>
  <c r="U784" i="5"/>
  <c r="U787" i="5" s="1"/>
  <c r="AE787" i="5" s="1"/>
  <c r="U630" i="5"/>
  <c r="G630" i="5" s="1"/>
  <c r="C630" i="5" s="1"/>
  <c r="C631" i="5" s="1"/>
  <c r="U789" i="5"/>
  <c r="G789" i="5" s="1"/>
  <c r="C789" i="5" s="1"/>
  <c r="U412" i="5"/>
  <c r="U331" i="5"/>
  <c r="U386" i="5"/>
  <c r="AE386" i="5" s="1"/>
  <c r="U310" i="5"/>
  <c r="U774" i="5"/>
  <c r="U778" i="5" s="1"/>
  <c r="AE778" i="5" s="1"/>
  <c r="U794" i="5"/>
  <c r="U650" i="5"/>
  <c r="U710" i="5"/>
  <c r="G710" i="5" s="1"/>
  <c r="C710" i="5" s="1"/>
  <c r="U361" i="5"/>
  <c r="AE361" i="5" s="1"/>
  <c r="U492" i="5"/>
  <c r="U749" i="5"/>
  <c r="G749" i="5" s="1"/>
  <c r="C749" i="5" s="1"/>
  <c r="U581" i="5"/>
  <c r="U588" i="5" s="1"/>
  <c r="AE588" i="5" s="1"/>
  <c r="U123" i="5"/>
  <c r="G123" i="5" s="1"/>
  <c r="C123" i="5" s="1"/>
  <c r="U8" i="5"/>
  <c r="U11" i="5" s="1"/>
  <c r="AE11" i="5" s="1"/>
  <c r="F100" i="6"/>
  <c r="AE794" i="5" l="1"/>
  <c r="U798" i="5"/>
  <c r="AE798" i="5" s="1"/>
  <c r="C294" i="5"/>
  <c r="C295" i="5"/>
  <c r="U306" i="5"/>
  <c r="AE306" i="5" s="1"/>
  <c r="U305" i="5"/>
  <c r="AE305" i="5" s="1"/>
  <c r="U307" i="5"/>
  <c r="AE307" i="5" s="1"/>
  <c r="U327" i="5"/>
  <c r="AE327" i="5" s="1"/>
  <c r="U328" i="5"/>
  <c r="AE328" i="5" s="1"/>
  <c r="AE355" i="5"/>
  <c r="U317" i="5"/>
  <c r="AE317" i="5" s="1"/>
  <c r="U346" i="5"/>
  <c r="AE346" i="5" s="1"/>
  <c r="U347" i="5"/>
  <c r="AE347" i="5" s="1"/>
  <c r="U318" i="5"/>
  <c r="AE318" i="5" s="1"/>
  <c r="U319" i="5"/>
  <c r="U295" i="5"/>
  <c r="AE295" i="5" s="1"/>
  <c r="U296" i="5"/>
  <c r="AE296" i="5" s="1"/>
  <c r="U333" i="5"/>
  <c r="AE333" i="5" s="1"/>
  <c r="U337" i="5"/>
  <c r="AE337" i="5" s="1"/>
  <c r="U336" i="5"/>
  <c r="AE336" i="5" s="1"/>
  <c r="U71" i="5"/>
  <c r="AE71" i="5" s="1"/>
  <c r="U272" i="5"/>
  <c r="AE272" i="5" s="1"/>
  <c r="AE175" i="5"/>
  <c r="U154" i="5"/>
  <c r="AE154" i="5" s="1"/>
  <c r="U155" i="5"/>
  <c r="AE155" i="5" s="1"/>
  <c r="U161" i="5"/>
  <c r="AE161" i="5" s="1"/>
  <c r="U153" i="5"/>
  <c r="AE153" i="5" s="1"/>
  <c r="U162" i="5"/>
  <c r="AE162" i="5" s="1"/>
  <c r="AE357" i="5"/>
  <c r="AE356" i="5"/>
  <c r="U342" i="5"/>
  <c r="AE342" i="5" s="1"/>
  <c r="AE359" i="5"/>
  <c r="AE352" i="5"/>
  <c r="AE353" i="5"/>
  <c r="AE358" i="5"/>
  <c r="AE354" i="5"/>
  <c r="U294" i="5"/>
  <c r="AE294" i="5" s="1"/>
  <c r="U345" i="5"/>
  <c r="AE345" i="5" s="1"/>
  <c r="G127" i="5"/>
  <c r="C127" i="5" s="1"/>
  <c r="C129" i="5" s="1"/>
  <c r="U16" i="5"/>
  <c r="AE16" i="5" s="1"/>
  <c r="U15" i="5"/>
  <c r="AE15" i="5" s="1"/>
  <c r="U14" i="5"/>
  <c r="AE14" i="5" s="1"/>
  <c r="U316" i="5"/>
  <c r="AE316" i="5" s="1"/>
  <c r="C296" i="5"/>
  <c r="G702" i="5"/>
  <c r="C702" i="5" s="1"/>
  <c r="C704" i="5" s="1"/>
  <c r="U401" i="5"/>
  <c r="AE401" i="5" s="1"/>
  <c r="U411" i="5"/>
  <c r="AE411" i="5" s="1"/>
  <c r="U406" i="5"/>
  <c r="AE406" i="5" s="1"/>
  <c r="U410" i="5"/>
  <c r="AE410" i="5" s="1"/>
  <c r="U409" i="5"/>
  <c r="AE409" i="5" s="1"/>
  <c r="U407" i="5"/>
  <c r="AE407" i="5" s="1"/>
  <c r="U408" i="5"/>
  <c r="AE408" i="5" s="1"/>
  <c r="G412" i="5"/>
  <c r="C412" i="5" s="1"/>
  <c r="C414" i="5" s="1"/>
  <c r="U428" i="5"/>
  <c r="AE428" i="5" s="1"/>
  <c r="U427" i="5"/>
  <c r="AE427" i="5" s="1"/>
  <c r="U426" i="5"/>
  <c r="AE426" i="5" s="1"/>
  <c r="U424" i="5"/>
  <c r="AE424" i="5" s="1"/>
  <c r="U425" i="5"/>
  <c r="AE425" i="5" s="1"/>
  <c r="U423" i="5"/>
  <c r="AE423" i="5" s="1"/>
  <c r="F208" i="11"/>
  <c r="H208" i="11" s="1"/>
  <c r="I208" i="11" s="1"/>
  <c r="J208" i="11" s="1"/>
  <c r="J7" i="18"/>
  <c r="U325" i="5"/>
  <c r="AE325" i="5" s="1"/>
  <c r="U326" i="5"/>
  <c r="AE326" i="5" s="1"/>
  <c r="U314" i="5"/>
  <c r="AE314" i="5" s="1"/>
  <c r="U315" i="5"/>
  <c r="AE315" i="5" s="1"/>
  <c r="U302" i="5"/>
  <c r="AE302" i="5" s="1"/>
  <c r="U304" i="5"/>
  <c r="AE304" i="5" s="1"/>
  <c r="AE385" i="5"/>
  <c r="AE384" i="5"/>
  <c r="U368" i="5"/>
  <c r="AE368" i="5" s="1"/>
  <c r="AE372" i="5"/>
  <c r="AE371" i="5"/>
  <c r="AE667" i="5"/>
  <c r="U653" i="5"/>
  <c r="AE653" i="5" s="1"/>
  <c r="M108" i="6"/>
  <c r="O108" i="6"/>
  <c r="Q108" i="6"/>
  <c r="N108" i="6"/>
  <c r="P108" i="6"/>
  <c r="R108" i="6"/>
  <c r="O117" i="6"/>
  <c r="Q117" i="6"/>
  <c r="N117" i="6"/>
  <c r="P117" i="6"/>
  <c r="R117" i="6"/>
  <c r="O110" i="6"/>
  <c r="Q110" i="6"/>
  <c r="N110" i="6"/>
  <c r="P110" i="6"/>
  <c r="R110" i="6"/>
  <c r="O116" i="6"/>
  <c r="Q116" i="6"/>
  <c r="N116" i="6"/>
  <c r="P116" i="6"/>
  <c r="R116" i="6"/>
  <c r="M111" i="6"/>
  <c r="O111" i="6"/>
  <c r="Q111" i="6"/>
  <c r="N111" i="6"/>
  <c r="P111" i="6"/>
  <c r="R111" i="6"/>
  <c r="M109" i="6"/>
  <c r="O109" i="6"/>
  <c r="Q109" i="6"/>
  <c r="N109" i="6"/>
  <c r="P109" i="6"/>
  <c r="R109" i="6"/>
  <c r="B118" i="6"/>
  <c r="O118" i="6"/>
  <c r="Q118" i="6"/>
  <c r="N118" i="6"/>
  <c r="P118" i="6"/>
  <c r="R118" i="6"/>
  <c r="M121" i="6"/>
  <c r="O121" i="6"/>
  <c r="Q121" i="6"/>
  <c r="N121" i="6"/>
  <c r="P121" i="6"/>
  <c r="R121" i="6"/>
  <c r="R100" i="6"/>
  <c r="P100" i="6"/>
  <c r="N100" i="6"/>
  <c r="Q100" i="6"/>
  <c r="O100" i="6"/>
  <c r="M100" i="6"/>
  <c r="B114" i="6"/>
  <c r="R114" i="6"/>
  <c r="P114" i="6"/>
  <c r="N114" i="6"/>
  <c r="Q114" i="6"/>
  <c r="O114" i="6"/>
  <c r="M114" i="6"/>
  <c r="M115" i="6"/>
  <c r="O115" i="6"/>
  <c r="Q115" i="6"/>
  <c r="N115" i="6"/>
  <c r="P115" i="6"/>
  <c r="R115" i="6"/>
  <c r="O105" i="6"/>
  <c r="Q105" i="6"/>
  <c r="N105" i="6"/>
  <c r="P105" i="6"/>
  <c r="R105" i="6"/>
  <c r="M112" i="6"/>
  <c r="O112" i="6"/>
  <c r="Q112" i="6"/>
  <c r="N112" i="6"/>
  <c r="P112" i="6"/>
  <c r="R112" i="6"/>
  <c r="M103" i="6"/>
  <c r="O103" i="6"/>
  <c r="Q103" i="6"/>
  <c r="N103" i="6"/>
  <c r="P103" i="6"/>
  <c r="R103" i="6"/>
  <c r="M107" i="6"/>
  <c r="O107" i="6"/>
  <c r="Q107" i="6"/>
  <c r="N107" i="6"/>
  <c r="P107" i="6"/>
  <c r="R107" i="6"/>
  <c r="O119" i="6"/>
  <c r="Q119" i="6"/>
  <c r="N119" i="6"/>
  <c r="P119" i="6"/>
  <c r="R119" i="6"/>
  <c r="M120" i="6"/>
  <c r="O120" i="6"/>
  <c r="Q120" i="6"/>
  <c r="N120" i="6"/>
  <c r="P120" i="6"/>
  <c r="R120" i="6"/>
  <c r="U183" i="5"/>
  <c r="AE183" i="5" s="1"/>
  <c r="AE211" i="5"/>
  <c r="AE202" i="5"/>
  <c r="U200" i="5"/>
  <c r="AE200" i="5" s="1"/>
  <c r="AE198" i="5"/>
  <c r="AE209" i="5"/>
  <c r="AE197" i="5"/>
  <c r="AE203" i="5"/>
  <c r="AE199" i="5"/>
  <c r="AE201" i="5"/>
  <c r="AE210" i="5"/>
  <c r="AE174" i="5"/>
  <c r="AE168" i="5"/>
  <c r="AE166" i="5"/>
  <c r="AE167" i="5"/>
  <c r="AE176" i="5"/>
  <c r="G656" i="5"/>
  <c r="C656" i="5" s="1"/>
  <c r="AE675" i="5"/>
  <c r="AE672" i="5"/>
  <c r="AE673" i="5"/>
  <c r="AE671" i="5"/>
  <c r="U652" i="5"/>
  <c r="AE652" i="5" s="1"/>
  <c r="AE666" i="5"/>
  <c r="AE664" i="5"/>
  <c r="AE668" i="5"/>
  <c r="AE665" i="5"/>
  <c r="I94" i="11"/>
  <c r="J95" i="11"/>
  <c r="C780" i="5"/>
  <c r="C781" i="5"/>
  <c r="C783" i="5"/>
  <c r="C782" i="5"/>
  <c r="C738" i="5"/>
  <c r="C739" i="5"/>
  <c r="C740" i="5"/>
  <c r="C734" i="5"/>
  <c r="C736" i="5"/>
  <c r="C735" i="5"/>
  <c r="C711" i="5"/>
  <c r="C712" i="5"/>
  <c r="C713" i="5"/>
  <c r="C677" i="5"/>
  <c r="C678" i="5"/>
  <c r="C679" i="5"/>
  <c r="C680" i="5"/>
  <c r="C681" i="5"/>
  <c r="C709" i="5"/>
  <c r="C708" i="5"/>
  <c r="C720" i="5"/>
  <c r="C722" i="5"/>
  <c r="C723" i="5"/>
  <c r="C721" i="5"/>
  <c r="C750" i="5"/>
  <c r="C752" i="5"/>
  <c r="C753" i="5"/>
  <c r="C751" i="5"/>
  <c r="C790" i="5"/>
  <c r="C792" i="5"/>
  <c r="C793" i="5"/>
  <c r="C791" i="5"/>
  <c r="C760" i="5"/>
  <c r="C761" i="5"/>
  <c r="C762" i="5"/>
  <c r="C763" i="5"/>
  <c r="C755" i="5"/>
  <c r="C757" i="5"/>
  <c r="C756" i="5"/>
  <c r="C758" i="5"/>
  <c r="G285" i="5"/>
  <c r="C285" i="5" s="1"/>
  <c r="C286" i="5" s="1"/>
  <c r="G794" i="5"/>
  <c r="C794" i="5" s="1"/>
  <c r="G386" i="5"/>
  <c r="C386" i="5" s="1"/>
  <c r="C389" i="5" s="1"/>
  <c r="G223" i="5"/>
  <c r="C223" i="5" s="1"/>
  <c r="U388" i="5"/>
  <c r="AE388" i="5" s="1"/>
  <c r="U288" i="5"/>
  <c r="AE288" i="5" s="1"/>
  <c r="G741" i="5"/>
  <c r="C741" i="5" s="1"/>
  <c r="U589" i="5"/>
  <c r="AE589" i="5" s="1"/>
  <c r="G429" i="5"/>
  <c r="C429" i="5" s="1"/>
  <c r="C431" i="5" s="1"/>
  <c r="G529" i="5"/>
  <c r="C529" i="5" s="1"/>
  <c r="C534" i="5" s="1"/>
  <c r="B119" i="6"/>
  <c r="U709" i="5"/>
  <c r="AE709" i="5" s="1"/>
  <c r="U762" i="5"/>
  <c r="AE762" i="5" s="1"/>
  <c r="G299" i="5"/>
  <c r="C299" i="5" s="1"/>
  <c r="G561" i="5"/>
  <c r="C561" i="5" s="1"/>
  <c r="C565" i="5" s="1"/>
  <c r="G395" i="5"/>
  <c r="C395" i="5" s="1"/>
  <c r="G784" i="5"/>
  <c r="C784" i="5" s="1"/>
  <c r="U301" i="5"/>
  <c r="AE301" i="5" s="1"/>
  <c r="U568" i="5"/>
  <c r="AE568" i="5" s="1"/>
  <c r="G217" i="5"/>
  <c r="C217" i="5" s="1"/>
  <c r="C218" i="5" s="1"/>
  <c r="B110" i="6"/>
  <c r="G331" i="5"/>
  <c r="C331" i="5" s="1"/>
  <c r="G178" i="5"/>
  <c r="C178" i="5" s="1"/>
  <c r="G522" i="5"/>
  <c r="C522" i="5" s="1"/>
  <c r="C527" i="5" s="1"/>
  <c r="U743" i="5"/>
  <c r="AE743" i="5" s="1"/>
  <c r="G88" i="5"/>
  <c r="C88" i="5" s="1"/>
  <c r="C89" i="5" s="1"/>
  <c r="G213" i="5"/>
  <c r="C213" i="5" s="1"/>
  <c r="G800" i="5"/>
  <c r="C800" i="5" s="1"/>
  <c r="C801" i="5" s="1"/>
  <c r="U799" i="5"/>
  <c r="AE799" i="5" s="1"/>
  <c r="U184" i="5"/>
  <c r="AE184" i="5" s="1"/>
  <c r="G321" i="5"/>
  <c r="C321" i="5" s="1"/>
  <c r="G94" i="5"/>
  <c r="C94" i="5" s="1"/>
  <c r="G714" i="5"/>
  <c r="C714" i="5" s="1"/>
  <c r="G538" i="5"/>
  <c r="C538" i="5" s="1"/>
  <c r="C546" i="5" s="1"/>
  <c r="G764" i="5"/>
  <c r="C764" i="5" s="1"/>
  <c r="U216" i="5"/>
  <c r="AE216" i="5" s="1"/>
  <c r="C486" i="5"/>
  <c r="C490" i="5"/>
  <c r="C488" i="5"/>
  <c r="C485" i="5"/>
  <c r="C491" i="5"/>
  <c r="C484" i="5"/>
  <c r="C85" i="5"/>
  <c r="C86" i="5"/>
  <c r="C87" i="5"/>
  <c r="C374" i="5"/>
  <c r="C376" i="5"/>
  <c r="C375" i="5"/>
  <c r="C377" i="5"/>
  <c r="C124" i="5"/>
  <c r="C126" i="5"/>
  <c r="C125" i="5"/>
  <c r="C441" i="5"/>
  <c r="C439" i="5"/>
  <c r="C438" i="5"/>
  <c r="C442" i="5"/>
  <c r="C443" i="5"/>
  <c r="C437" i="5"/>
  <c r="C440" i="5"/>
  <c r="AE492" i="5"/>
  <c r="U496" i="5"/>
  <c r="AE496" i="5" s="1"/>
  <c r="U497" i="5"/>
  <c r="AE497" i="5" s="1"/>
  <c r="U495" i="5"/>
  <c r="AE495" i="5" s="1"/>
  <c r="U494" i="5"/>
  <c r="AE494" i="5" s="1"/>
  <c r="AE656" i="5"/>
  <c r="U658" i="5"/>
  <c r="AE658" i="5" s="1"/>
  <c r="U660" i="5"/>
  <c r="AE660" i="5" s="1"/>
  <c r="U543" i="5"/>
  <c r="AE543" i="5" s="1"/>
  <c r="U678" i="5"/>
  <c r="AE678" i="5" s="1"/>
  <c r="AE601" i="5"/>
  <c r="U609" i="5"/>
  <c r="AE609" i="5" s="1"/>
  <c r="U605" i="5"/>
  <c r="AE605" i="5" s="1"/>
  <c r="U604" i="5"/>
  <c r="AE604" i="5" s="1"/>
  <c r="U606" i="5"/>
  <c r="AE606" i="5" s="1"/>
  <c r="AE378" i="5"/>
  <c r="U381" i="5"/>
  <c r="AE381" i="5" s="1"/>
  <c r="U718" i="5"/>
  <c r="AE718" i="5" s="1"/>
  <c r="U766" i="5"/>
  <c r="AE766" i="5" s="1"/>
  <c r="G554" i="5"/>
  <c r="C554" i="5" s="1"/>
  <c r="U503" i="5"/>
  <c r="AE503" i="5" s="1"/>
  <c r="AE499" i="5"/>
  <c r="U506" i="5"/>
  <c r="AE506" i="5" s="1"/>
  <c r="U505" i="5"/>
  <c r="AE505" i="5" s="1"/>
  <c r="U504" i="5"/>
  <c r="AE504" i="5" s="1"/>
  <c r="U502" i="5"/>
  <c r="AE502" i="5" s="1"/>
  <c r="U661" i="5"/>
  <c r="AE661" i="5" s="1"/>
  <c r="U149" i="5"/>
  <c r="AE149" i="5" s="1"/>
  <c r="AE138" i="5"/>
  <c r="U140" i="5"/>
  <c r="AE140" i="5" s="1"/>
  <c r="U141" i="5"/>
  <c r="AE141" i="5" s="1"/>
  <c r="U148" i="5"/>
  <c r="AE148" i="5" s="1"/>
  <c r="U473" i="5"/>
  <c r="AE473" i="5" s="1"/>
  <c r="U614" i="5"/>
  <c r="AE614" i="5" s="1"/>
  <c r="U679" i="5"/>
  <c r="AE679" i="5" s="1"/>
  <c r="U624" i="5"/>
  <c r="AE624" i="5" s="1"/>
  <c r="U716" i="5"/>
  <c r="AE716" i="5" s="1"/>
  <c r="U491" i="5"/>
  <c r="AE491" i="5" s="1"/>
  <c r="U577" i="5"/>
  <c r="AE577" i="5" s="1"/>
  <c r="U685" i="5"/>
  <c r="AE685" i="5" s="1"/>
  <c r="U686" i="5"/>
  <c r="AE686" i="5" s="1"/>
  <c r="AE682" i="5"/>
  <c r="U687" i="5"/>
  <c r="AE687" i="5" s="1"/>
  <c r="U193" i="5"/>
  <c r="AE193" i="5" s="1"/>
  <c r="U469" i="5"/>
  <c r="AE469" i="5" s="1"/>
  <c r="U752" i="5"/>
  <c r="AE752" i="5" s="1"/>
  <c r="AE749" i="5"/>
  <c r="U753" i="5"/>
  <c r="AE753" i="5" s="1"/>
  <c r="U655" i="5"/>
  <c r="AE655" i="5" s="1"/>
  <c r="U654" i="5"/>
  <c r="AE654" i="5" s="1"/>
  <c r="AE650" i="5"/>
  <c r="AE774" i="5"/>
  <c r="U777" i="5"/>
  <c r="AE777" i="5" s="1"/>
  <c r="U776" i="5"/>
  <c r="AE776" i="5" s="1"/>
  <c r="AE412" i="5"/>
  <c r="U420" i="5"/>
  <c r="AE420" i="5" s="1"/>
  <c r="U415" i="5"/>
  <c r="AE415" i="5" s="1"/>
  <c r="U416" i="5"/>
  <c r="AE416" i="5" s="1"/>
  <c r="U417" i="5"/>
  <c r="AE417" i="5" s="1"/>
  <c r="U10" i="5"/>
  <c r="AE10" i="5" s="1"/>
  <c r="U751" i="5"/>
  <c r="AE751" i="5" s="1"/>
  <c r="U540" i="5"/>
  <c r="AE540" i="5" s="1"/>
  <c r="AE538" i="5"/>
  <c r="U544" i="5"/>
  <c r="AE544" i="5" s="1"/>
  <c r="U545" i="5"/>
  <c r="AE545" i="5" s="1"/>
  <c r="U542" i="5"/>
  <c r="AE542" i="5" s="1"/>
  <c r="U414" i="5"/>
  <c r="AE414" i="5" s="1"/>
  <c r="AE476" i="5"/>
  <c r="U481" i="5"/>
  <c r="AE481" i="5" s="1"/>
  <c r="U480" i="5"/>
  <c r="AE480" i="5" s="1"/>
  <c r="U479" i="5"/>
  <c r="AE479" i="5" s="1"/>
  <c r="U19" i="5"/>
  <c r="AE19" i="5" s="1"/>
  <c r="U21" i="5"/>
  <c r="AE21" i="5" s="1"/>
  <c r="AE17" i="5"/>
  <c r="AE23" i="5"/>
  <c r="U25" i="5"/>
  <c r="AE25" i="5" s="1"/>
  <c r="U34" i="5"/>
  <c r="AE34" i="5" s="1"/>
  <c r="U27" i="5"/>
  <c r="AE27" i="5" s="1"/>
  <c r="U389" i="5"/>
  <c r="AE389" i="5" s="1"/>
  <c r="G8" i="5"/>
  <c r="C8" i="5" s="1"/>
  <c r="G581" i="5"/>
  <c r="C581" i="5" s="1"/>
  <c r="G310" i="5"/>
  <c r="C310" i="5" s="1"/>
  <c r="AE331" i="5"/>
  <c r="U334" i="5"/>
  <c r="AE334" i="5" s="1"/>
  <c r="U338" i="5"/>
  <c r="AE338" i="5" s="1"/>
  <c r="U339" i="5"/>
  <c r="AE339" i="5" s="1"/>
  <c r="AE784" i="5"/>
  <c r="U788" i="5"/>
  <c r="AE788" i="5" s="1"/>
  <c r="U786" i="5"/>
  <c r="AE786" i="5" s="1"/>
  <c r="G570" i="5"/>
  <c r="C570" i="5" s="1"/>
  <c r="G641" i="5"/>
  <c r="AE223" i="5"/>
  <c r="U226" i="5"/>
  <c r="AE226" i="5" s="1"/>
  <c r="G507" i="5"/>
  <c r="C507" i="5" s="1"/>
  <c r="C511" i="5" s="1"/>
  <c r="AE451" i="5"/>
  <c r="U453" i="5"/>
  <c r="AE453" i="5" s="1"/>
  <c r="U458" i="5"/>
  <c r="AE458" i="5" s="1"/>
  <c r="U456" i="5"/>
  <c r="AE456" i="5" s="1"/>
  <c r="U459" i="5"/>
  <c r="AE459" i="5" s="1"/>
  <c r="U457" i="5"/>
  <c r="AE457" i="5" s="1"/>
  <c r="U181" i="5"/>
  <c r="AE181" i="5" s="1"/>
  <c r="G467" i="5"/>
  <c r="C467" i="5" s="1"/>
  <c r="AE706" i="5"/>
  <c r="U708" i="5"/>
  <c r="AE708" i="5" s="1"/>
  <c r="G745" i="5"/>
  <c r="C745" i="5" s="1"/>
  <c r="G50" i="5"/>
  <c r="C50" i="5" s="1"/>
  <c r="U287" i="5"/>
  <c r="AE287" i="5" s="1"/>
  <c r="G610" i="5"/>
  <c r="C610" i="5" s="1"/>
  <c r="G621" i="5"/>
  <c r="C621" i="5" s="1"/>
  <c r="C622" i="5" s="1"/>
  <c r="U791" i="5"/>
  <c r="AE791" i="5" s="1"/>
  <c r="AE759" i="5"/>
  <c r="U761" i="5"/>
  <c r="AE761" i="5" s="1"/>
  <c r="U763" i="5"/>
  <c r="AE763" i="5" s="1"/>
  <c r="G729" i="5"/>
  <c r="C729" i="5" s="1"/>
  <c r="U659" i="5"/>
  <c r="AE659" i="5" s="1"/>
  <c r="U455" i="5"/>
  <c r="AE455" i="5" s="1"/>
  <c r="U56" i="5"/>
  <c r="AE56" i="5" s="1"/>
  <c r="AE522" i="5"/>
  <c r="U525" i="5"/>
  <c r="AE525" i="5" s="1"/>
  <c r="U526" i="5"/>
  <c r="AE526" i="5" s="1"/>
  <c r="U527" i="5"/>
  <c r="AE527" i="5" s="1"/>
  <c r="AE436" i="5"/>
  <c r="U441" i="5"/>
  <c r="AE441" i="5" s="1"/>
  <c r="U442" i="5"/>
  <c r="AE442" i="5" s="1"/>
  <c r="U438" i="5"/>
  <c r="AE438" i="5" s="1"/>
  <c r="U440" i="5"/>
  <c r="AE440" i="5" s="1"/>
  <c r="U439" i="5"/>
  <c r="AE439" i="5" s="1"/>
  <c r="AE779" i="5"/>
  <c r="U783" i="5"/>
  <c r="AE783" i="5" s="1"/>
  <c r="U434" i="5"/>
  <c r="AE434" i="5" s="1"/>
  <c r="AE429" i="5"/>
  <c r="U433" i="5"/>
  <c r="AE433" i="5" s="1"/>
  <c r="U435" i="5"/>
  <c r="AE435" i="5" s="1"/>
  <c r="U432" i="5"/>
  <c r="AE432" i="5" s="1"/>
  <c r="AE84" i="5"/>
  <c r="U87" i="5"/>
  <c r="AE87" i="5" s="1"/>
  <c r="U86" i="5"/>
  <c r="AE86" i="5" s="1"/>
  <c r="U114" i="5"/>
  <c r="AE114" i="5" s="1"/>
  <c r="U121" i="5"/>
  <c r="AE121" i="5" s="1"/>
  <c r="U109" i="5"/>
  <c r="AE109" i="5" s="1"/>
  <c r="AE107" i="5"/>
  <c r="U111" i="5"/>
  <c r="AE111" i="5" s="1"/>
  <c r="U112" i="5"/>
  <c r="AE112" i="5" s="1"/>
  <c r="U122" i="5"/>
  <c r="AE122" i="5" s="1"/>
  <c r="U110" i="5"/>
  <c r="AE110" i="5" s="1"/>
  <c r="U120" i="5"/>
  <c r="AE120" i="5" s="1"/>
  <c r="U65" i="5"/>
  <c r="AE65" i="5" s="1"/>
  <c r="AE554" i="5"/>
  <c r="U560" i="5"/>
  <c r="AE560" i="5" s="1"/>
  <c r="U558" i="5"/>
  <c r="AE558" i="5" s="1"/>
  <c r="U556" i="5"/>
  <c r="AE556" i="5" s="1"/>
  <c r="U552" i="5"/>
  <c r="AE552" i="5" s="1"/>
  <c r="AE547" i="5"/>
  <c r="U553" i="5"/>
  <c r="AE553" i="5" s="1"/>
  <c r="U550" i="5"/>
  <c r="AE550" i="5" s="1"/>
  <c r="U549" i="5"/>
  <c r="AE549" i="5" s="1"/>
  <c r="U600" i="5"/>
  <c r="AE600" i="5" s="1"/>
  <c r="U598" i="5"/>
  <c r="AE598" i="5" s="1"/>
  <c r="AE590" i="5"/>
  <c r="U593" i="5"/>
  <c r="AE593" i="5" s="1"/>
  <c r="U599" i="5"/>
  <c r="AE599" i="5" s="1"/>
  <c r="U595" i="5"/>
  <c r="AE595" i="5" s="1"/>
  <c r="U592" i="5"/>
  <c r="AE592" i="5" s="1"/>
  <c r="U596" i="5"/>
  <c r="AE596" i="5" s="1"/>
  <c r="U488" i="5"/>
  <c r="AE488" i="5" s="1"/>
  <c r="U781" i="5"/>
  <c r="AE781" i="5" s="1"/>
  <c r="U443" i="5"/>
  <c r="AE443" i="5" s="1"/>
  <c r="U541" i="5"/>
  <c r="AE541" i="5" s="1"/>
  <c r="U137" i="5"/>
  <c r="AE137" i="5" s="1"/>
  <c r="U136" i="5"/>
  <c r="AE136" i="5" s="1"/>
  <c r="U135" i="5"/>
  <c r="AE135" i="5" s="1"/>
  <c r="AE132" i="5"/>
  <c r="U597" i="5"/>
  <c r="AE597" i="5" s="1"/>
  <c r="C462" i="5"/>
  <c r="C465" i="5"/>
  <c r="C466" i="5"/>
  <c r="C461" i="5"/>
  <c r="C463" i="5"/>
  <c r="C464" i="5"/>
  <c r="G492" i="5"/>
  <c r="C492" i="5" s="1"/>
  <c r="G361" i="5"/>
  <c r="C361" i="5" s="1"/>
  <c r="AE710" i="5"/>
  <c r="U713" i="5"/>
  <c r="AE713" i="5" s="1"/>
  <c r="U712" i="5"/>
  <c r="AE712" i="5" s="1"/>
  <c r="G650" i="5"/>
  <c r="C650" i="5" s="1"/>
  <c r="G774" i="5"/>
  <c r="C774" i="5" s="1"/>
  <c r="U634" i="5"/>
  <c r="AE634" i="5" s="1"/>
  <c r="U636" i="5"/>
  <c r="AE636" i="5" s="1"/>
  <c r="AE630" i="5"/>
  <c r="U639" i="5"/>
  <c r="AE639" i="5" s="1"/>
  <c r="U635" i="5"/>
  <c r="AE635" i="5" s="1"/>
  <c r="U640" i="5"/>
  <c r="AE640" i="5" s="1"/>
  <c r="U638" i="5"/>
  <c r="AE638" i="5" s="1"/>
  <c r="U633" i="5"/>
  <c r="AE633" i="5" s="1"/>
  <c r="U580" i="5"/>
  <c r="AE580" i="5" s="1"/>
  <c r="AE641" i="5"/>
  <c r="AE702" i="5"/>
  <c r="U705" i="5"/>
  <c r="AE705" i="5" s="1"/>
  <c r="U510" i="5"/>
  <c r="AE510" i="5" s="1"/>
  <c r="AE507" i="5"/>
  <c r="U511" i="5"/>
  <c r="AE511" i="5" s="1"/>
  <c r="U513" i="5"/>
  <c r="AE513" i="5" s="1"/>
  <c r="U509" i="5"/>
  <c r="AE509" i="5" s="1"/>
  <c r="AE733" i="5"/>
  <c r="U735" i="5"/>
  <c r="AE735" i="5" s="1"/>
  <c r="U186" i="5"/>
  <c r="AE186" i="5" s="1"/>
  <c r="AE178" i="5"/>
  <c r="U182" i="5"/>
  <c r="AE182" i="5" s="1"/>
  <c r="U192" i="5"/>
  <c r="AE192" i="5" s="1"/>
  <c r="U185" i="5"/>
  <c r="AE185" i="5" s="1"/>
  <c r="G476" i="5"/>
  <c r="C476" i="5" s="1"/>
  <c r="G17" i="5"/>
  <c r="C17" i="5" s="1"/>
  <c r="G23" i="5"/>
  <c r="C23" i="5" s="1"/>
  <c r="U617" i="5"/>
  <c r="AE617" i="5" s="1"/>
  <c r="U736" i="5"/>
  <c r="AE736" i="5" s="1"/>
  <c r="AE127" i="5"/>
  <c r="U129" i="5"/>
  <c r="AE129" i="5" s="1"/>
  <c r="U130" i="5"/>
  <c r="AE130" i="5" s="1"/>
  <c r="U131" i="5"/>
  <c r="AE131" i="5" s="1"/>
  <c r="AE321" i="5"/>
  <c r="U330" i="5"/>
  <c r="AE330" i="5" s="1"/>
  <c r="U324" i="5"/>
  <c r="AE324" i="5" s="1"/>
  <c r="U323" i="5"/>
  <c r="AE323" i="5" s="1"/>
  <c r="U303" i="5"/>
  <c r="AE303" i="5" s="1"/>
  <c r="AE299" i="5"/>
  <c r="U309" i="5"/>
  <c r="AE309" i="5" s="1"/>
  <c r="U308" i="5"/>
  <c r="AE308" i="5" s="1"/>
  <c r="G601" i="5"/>
  <c r="C601" i="5" s="1"/>
  <c r="AE94" i="5"/>
  <c r="U104" i="5"/>
  <c r="AE104" i="5" s="1"/>
  <c r="U98" i="5"/>
  <c r="AE98" i="5" s="1"/>
  <c r="U97" i="5"/>
  <c r="AE97" i="5" s="1"/>
  <c r="U96" i="5"/>
  <c r="AE96" i="5" s="1"/>
  <c r="U106" i="5"/>
  <c r="AE106" i="5" s="1"/>
  <c r="U566" i="5"/>
  <c r="AE566" i="5" s="1"/>
  <c r="AE561" i="5"/>
  <c r="U567" i="5"/>
  <c r="AE567" i="5" s="1"/>
  <c r="U569" i="5"/>
  <c r="AE569" i="5" s="1"/>
  <c r="U565" i="5"/>
  <c r="AE565" i="5" s="1"/>
  <c r="U563" i="5"/>
  <c r="AE563" i="5" s="1"/>
  <c r="U704" i="5"/>
  <c r="AE704" i="5" s="1"/>
  <c r="AE395" i="5"/>
  <c r="U398" i="5"/>
  <c r="AE398" i="5" s="1"/>
  <c r="U399" i="5"/>
  <c r="AE399" i="5" s="1"/>
  <c r="U403" i="5"/>
  <c r="AE403" i="5" s="1"/>
  <c r="U402" i="5"/>
  <c r="AE402" i="5" s="1"/>
  <c r="U804" i="5"/>
  <c r="AE804" i="5" s="1"/>
  <c r="U364" i="5"/>
  <c r="AE364" i="5" s="1"/>
  <c r="AE764" i="5"/>
  <c r="U767" i="5"/>
  <c r="AE767" i="5" s="1"/>
  <c r="U454" i="5"/>
  <c r="AE454" i="5" s="1"/>
  <c r="U603" i="5"/>
  <c r="AE603" i="5" s="1"/>
  <c r="G378" i="5"/>
  <c r="C378" i="5" s="1"/>
  <c r="U585" i="5"/>
  <c r="AE585" i="5" s="1"/>
  <c r="U419" i="5"/>
  <c r="AE419" i="5" s="1"/>
  <c r="G499" i="5"/>
  <c r="C499" i="5" s="1"/>
  <c r="U91" i="5"/>
  <c r="AE91" i="5" s="1"/>
  <c r="AE88" i="5"/>
  <c r="U92" i="5"/>
  <c r="AE92" i="5" s="1"/>
  <c r="U93" i="5"/>
  <c r="AE93" i="5" s="1"/>
  <c r="U632" i="5"/>
  <c r="AE632" i="5" s="1"/>
  <c r="AE754" i="5"/>
  <c r="U757" i="5"/>
  <c r="AE757" i="5" s="1"/>
  <c r="U758" i="5"/>
  <c r="AE758" i="5" s="1"/>
  <c r="U756" i="5"/>
  <c r="AE756" i="5" s="1"/>
  <c r="U20" i="5"/>
  <c r="AE20" i="5" s="1"/>
  <c r="G138" i="5"/>
  <c r="C138" i="5" s="1"/>
  <c r="U377" i="5"/>
  <c r="AE377" i="5" s="1"/>
  <c r="AE373" i="5"/>
  <c r="U375" i="5"/>
  <c r="AE375" i="5" s="1"/>
  <c r="U376" i="5"/>
  <c r="AE376" i="5" s="1"/>
  <c r="U227" i="5"/>
  <c r="AE227" i="5" s="1"/>
  <c r="U797" i="5"/>
  <c r="AE797" i="5" s="1"/>
  <c r="U35" i="5"/>
  <c r="AE35" i="5" s="1"/>
  <c r="U744" i="5"/>
  <c r="AE744" i="5" s="1"/>
  <c r="U400" i="5"/>
  <c r="AE400" i="5" s="1"/>
  <c r="U608" i="5"/>
  <c r="AE608" i="5" s="1"/>
  <c r="G682" i="5"/>
  <c r="C682" i="5" s="1"/>
  <c r="U33" i="5"/>
  <c r="AE33" i="5" s="1"/>
  <c r="U524" i="5"/>
  <c r="AE524" i="5" s="1"/>
  <c r="C516" i="5"/>
  <c r="C518" i="5"/>
  <c r="C515" i="5"/>
  <c r="C520" i="5"/>
  <c r="C517" i="5"/>
  <c r="C521" i="5"/>
  <c r="C100" i="6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B100" i="6"/>
  <c r="AE123" i="5"/>
  <c r="U125" i="5"/>
  <c r="AE125" i="5" s="1"/>
  <c r="U126" i="5"/>
  <c r="AE126" i="5" s="1"/>
  <c r="AE581" i="5"/>
  <c r="U583" i="5"/>
  <c r="AE583" i="5" s="1"/>
  <c r="U586" i="5"/>
  <c r="AE586" i="5" s="1"/>
  <c r="U584" i="5"/>
  <c r="AE584" i="5" s="1"/>
  <c r="U587" i="5"/>
  <c r="AE587" i="5" s="1"/>
  <c r="AE310" i="5"/>
  <c r="U313" i="5"/>
  <c r="AE313" i="5" s="1"/>
  <c r="AE319" i="5"/>
  <c r="U312" i="5"/>
  <c r="AE312" i="5" s="1"/>
  <c r="U320" i="5"/>
  <c r="AE320" i="5" s="1"/>
  <c r="AE789" i="5"/>
  <c r="U793" i="5"/>
  <c r="AE793" i="5" s="1"/>
  <c r="U792" i="5"/>
  <c r="AE792" i="5" s="1"/>
  <c r="U575" i="5"/>
  <c r="AE575" i="5" s="1"/>
  <c r="U573" i="5"/>
  <c r="AE573" i="5" s="1"/>
  <c r="AE570" i="5"/>
  <c r="U579" i="5"/>
  <c r="AE579" i="5" s="1"/>
  <c r="U572" i="5"/>
  <c r="AE572" i="5" s="1"/>
  <c r="U578" i="5"/>
  <c r="AE578" i="5" s="1"/>
  <c r="U498" i="5"/>
  <c r="AE498" i="5" s="1"/>
  <c r="C458" i="5"/>
  <c r="C456" i="5"/>
  <c r="C455" i="5"/>
  <c r="C454" i="5"/>
  <c r="C452" i="5"/>
  <c r="C457" i="5"/>
  <c r="C459" i="5"/>
  <c r="C453" i="5"/>
  <c r="AE676" i="5"/>
  <c r="U680" i="5"/>
  <c r="AE680" i="5" s="1"/>
  <c r="U681" i="5"/>
  <c r="AE681" i="5" s="1"/>
  <c r="U475" i="5"/>
  <c r="AE475" i="5" s="1"/>
  <c r="AE467" i="5"/>
  <c r="U470" i="5"/>
  <c r="AE470" i="5" s="1"/>
  <c r="AE745" i="5"/>
  <c r="U747" i="5"/>
  <c r="AE747" i="5" s="1"/>
  <c r="U52" i="5"/>
  <c r="AE52" i="5" s="1"/>
  <c r="AE50" i="5"/>
  <c r="U63" i="5"/>
  <c r="AE63" i="5" s="1"/>
  <c r="U54" i="5"/>
  <c r="AE54" i="5" s="1"/>
  <c r="U55" i="5"/>
  <c r="AE55" i="5" s="1"/>
  <c r="U53" i="5"/>
  <c r="AE53" i="5" s="1"/>
  <c r="U574" i="5"/>
  <c r="AE574" i="5" s="1"/>
  <c r="AE483" i="5"/>
  <c r="U487" i="5"/>
  <c r="AE487" i="5" s="1"/>
  <c r="U489" i="5"/>
  <c r="AE489" i="5" s="1"/>
  <c r="U486" i="5"/>
  <c r="AE486" i="5" s="1"/>
  <c r="U490" i="5"/>
  <c r="AE490" i="5" s="1"/>
  <c r="U485" i="5"/>
  <c r="AE485" i="5" s="1"/>
  <c r="AE610" i="5"/>
  <c r="U618" i="5"/>
  <c r="AE618" i="5" s="1"/>
  <c r="U616" i="5"/>
  <c r="AE616" i="5" s="1"/>
  <c r="U615" i="5"/>
  <c r="AE615" i="5" s="1"/>
  <c r="U613" i="5"/>
  <c r="AE613" i="5" s="1"/>
  <c r="U619" i="5"/>
  <c r="AE619" i="5" s="1"/>
  <c r="U620" i="5"/>
  <c r="AE620" i="5" s="1"/>
  <c r="C114" i="6"/>
  <c r="C115" i="6" s="1"/>
  <c r="C116" i="6" s="1"/>
  <c r="C117" i="6" s="1"/>
  <c r="C118" i="6" s="1"/>
  <c r="C119" i="6" s="1"/>
  <c r="C120" i="6" s="1"/>
  <c r="C121" i="6" s="1"/>
  <c r="C122" i="6" s="1"/>
  <c r="C123" i="6" s="1"/>
  <c r="AE621" i="5"/>
  <c r="U626" i="5"/>
  <c r="AE626" i="5" s="1"/>
  <c r="U625" i="5"/>
  <c r="AE625" i="5" s="1"/>
  <c r="U629" i="5"/>
  <c r="AE629" i="5" s="1"/>
  <c r="U627" i="5"/>
  <c r="AE627" i="5" s="1"/>
  <c r="U637" i="5"/>
  <c r="AE637" i="5" s="1"/>
  <c r="U471" i="5"/>
  <c r="AE471" i="5" s="1"/>
  <c r="AE719" i="5"/>
  <c r="U721" i="5"/>
  <c r="AE721" i="5" s="1"/>
  <c r="U723" i="5"/>
  <c r="AE723" i="5" s="1"/>
  <c r="U722" i="5"/>
  <c r="AE722" i="5" s="1"/>
  <c r="U732" i="5"/>
  <c r="AE732" i="5" s="1"/>
  <c r="AE729" i="5"/>
  <c r="U628" i="5"/>
  <c r="AE628" i="5" s="1"/>
  <c r="U180" i="5"/>
  <c r="AE180" i="5" s="1"/>
  <c r="U57" i="5"/>
  <c r="AE57" i="5" s="1"/>
  <c r="U472" i="5"/>
  <c r="AE472" i="5" s="1"/>
  <c r="U329" i="5"/>
  <c r="AE329" i="5" s="1"/>
  <c r="U478" i="5"/>
  <c r="AE478" i="5" s="1"/>
  <c r="U803" i="5"/>
  <c r="AE803" i="5" s="1"/>
  <c r="U418" i="5"/>
  <c r="AE418" i="5" s="1"/>
  <c r="U717" i="5"/>
  <c r="AE717" i="5" s="1"/>
  <c r="G107" i="5"/>
  <c r="C107" i="5" s="1"/>
  <c r="U380" i="5"/>
  <c r="AE380" i="5" s="1"/>
  <c r="U501" i="5"/>
  <c r="AE501" i="5" s="1"/>
  <c r="G547" i="5"/>
  <c r="C547" i="5" s="1"/>
  <c r="C550" i="5" s="1"/>
  <c r="U142" i="5"/>
  <c r="AE142" i="5" s="1"/>
  <c r="U537" i="5"/>
  <c r="AE537" i="5" s="1"/>
  <c r="AE529" i="5"/>
  <c r="U532" i="5"/>
  <c r="AE532" i="5" s="1"/>
  <c r="U531" i="5"/>
  <c r="AE531" i="5" s="1"/>
  <c r="U536" i="5"/>
  <c r="AE536" i="5" s="1"/>
  <c r="U535" i="5"/>
  <c r="AE535" i="5" s="1"/>
  <c r="U534" i="5"/>
  <c r="AE534" i="5" s="1"/>
  <c r="U397" i="5"/>
  <c r="AE397" i="5" s="1"/>
  <c r="G590" i="5"/>
  <c r="C590" i="5" s="1"/>
  <c r="U335" i="5"/>
  <c r="AE335" i="5" s="1"/>
  <c r="U557" i="5"/>
  <c r="AE557" i="5" s="1"/>
  <c r="U802" i="5"/>
  <c r="AE802" i="5" s="1"/>
  <c r="U796" i="5"/>
  <c r="AE796" i="5" s="1"/>
  <c r="G132" i="5"/>
  <c r="C132" i="5" s="1"/>
  <c r="U363" i="5"/>
  <c r="AE363" i="5" s="1"/>
  <c r="U782" i="5"/>
  <c r="AE782" i="5" s="1"/>
  <c r="U684" i="5"/>
  <c r="AE684" i="5" s="1"/>
  <c r="U219" i="5"/>
  <c r="AE219" i="5" s="1"/>
  <c r="U221" i="5"/>
  <c r="AE221" i="5" s="1"/>
  <c r="AE217" i="5"/>
  <c r="U222" i="5"/>
  <c r="AE222" i="5" s="1"/>
  <c r="U392" i="5"/>
  <c r="AE392" i="5" s="1"/>
  <c r="AE460" i="5"/>
  <c r="U464" i="5"/>
  <c r="AE464" i="5" s="1"/>
  <c r="U462" i="5"/>
  <c r="AE462" i="5" s="1"/>
  <c r="U466" i="5"/>
  <c r="AE466" i="5" s="1"/>
  <c r="G365" i="5"/>
  <c r="C365" i="5" s="1"/>
  <c r="AE444" i="5"/>
  <c r="U446" i="5"/>
  <c r="AE446" i="5" s="1"/>
  <c r="U448" i="5"/>
  <c r="AE448" i="5" s="1"/>
  <c r="U447" i="5"/>
  <c r="AE447" i="5" s="1"/>
  <c r="U449" i="5"/>
  <c r="AE449" i="5" s="1"/>
  <c r="AE769" i="5"/>
  <c r="U771" i="5"/>
  <c r="AE771" i="5" s="1"/>
  <c r="U772" i="5"/>
  <c r="AE772" i="5" s="1"/>
  <c r="AE724" i="5"/>
  <c r="U726" i="5"/>
  <c r="AE726" i="5" s="1"/>
  <c r="U727" i="5"/>
  <c r="AE727" i="5" s="1"/>
  <c r="U518" i="5"/>
  <c r="AE518" i="5" s="1"/>
  <c r="AE514" i="5"/>
  <c r="U516" i="5"/>
  <c r="AE516" i="5" s="1"/>
  <c r="U521" i="5"/>
  <c r="AE521" i="5" s="1"/>
  <c r="U520" i="5"/>
  <c r="AE520" i="5" s="1"/>
  <c r="U519" i="5"/>
  <c r="AE519" i="5" s="1"/>
  <c r="U517" i="5"/>
  <c r="AE517" i="5" s="1"/>
  <c r="U343" i="5"/>
  <c r="AE343" i="5" s="1"/>
  <c r="U348" i="5"/>
  <c r="AE348" i="5" s="1"/>
  <c r="U344" i="5"/>
  <c r="AE344" i="5" s="1"/>
  <c r="AE340" i="5"/>
  <c r="U349" i="5"/>
  <c r="AE349" i="5" s="1"/>
  <c r="U393" i="5"/>
  <c r="AE393" i="5" s="1"/>
  <c r="AE365" i="5"/>
  <c r="U367" i="5"/>
  <c r="AE367" i="5" s="1"/>
  <c r="AE737" i="5"/>
  <c r="U739" i="5"/>
  <c r="AE739" i="5" s="1"/>
  <c r="U740" i="5"/>
  <c r="AE740" i="5" s="1"/>
  <c r="G444" i="5"/>
  <c r="C444" i="5" s="1"/>
  <c r="U215" i="5"/>
  <c r="AE215" i="5" s="1"/>
  <c r="U463" i="5"/>
  <c r="AE463" i="5" s="1"/>
  <c r="G390" i="5"/>
  <c r="C390" i="5" s="1"/>
  <c r="U465" i="5"/>
  <c r="AE465" i="5" s="1"/>
  <c r="G769" i="5"/>
  <c r="C769" i="5" s="1"/>
  <c r="G724" i="5"/>
  <c r="C724" i="5" s="1"/>
  <c r="U450" i="5"/>
  <c r="AE450" i="5" s="1"/>
  <c r="G340" i="5"/>
  <c r="C340" i="5" s="1"/>
  <c r="C291" i="5"/>
  <c r="C293" i="5"/>
  <c r="C297" i="5"/>
  <c r="C290" i="5"/>
  <c r="C292" i="5"/>
  <c r="C298" i="5"/>
  <c r="AE289" i="5"/>
  <c r="U293" i="5"/>
  <c r="AE293" i="5" s="1"/>
  <c r="U292" i="5"/>
  <c r="AE292" i="5" s="1"/>
  <c r="U297" i="5"/>
  <c r="AE297" i="5" s="1"/>
  <c r="U291" i="5"/>
  <c r="AE291" i="5" s="1"/>
  <c r="B111" i="6"/>
  <c r="B117" i="6"/>
  <c r="B105" i="6"/>
  <c r="B103" i="6"/>
  <c r="B120" i="6"/>
  <c r="B108" i="6"/>
  <c r="B121" i="6"/>
  <c r="B116" i="6"/>
  <c r="B112" i="6"/>
  <c r="B115" i="6"/>
  <c r="B109" i="6"/>
  <c r="B107" i="6"/>
  <c r="C796" i="5" l="1"/>
  <c r="C799" i="5"/>
  <c r="C798" i="5"/>
  <c r="C797" i="5"/>
  <c r="C305" i="5"/>
  <c r="C306" i="5"/>
  <c r="C307" i="5"/>
  <c r="C234" i="5"/>
  <c r="C235" i="5"/>
  <c r="C233" i="5"/>
  <c r="C232" i="5"/>
  <c r="C226" i="5"/>
  <c r="C227" i="5"/>
  <c r="C231" i="5"/>
  <c r="C230" i="5"/>
  <c r="C229" i="5"/>
  <c r="C228" i="5"/>
  <c r="C224" i="5"/>
  <c r="C225" i="5"/>
  <c r="C131" i="5"/>
  <c r="C130" i="5"/>
  <c r="C128" i="5"/>
  <c r="C358" i="5"/>
  <c r="C355" i="5"/>
  <c r="C356" i="5"/>
  <c r="C352" i="5"/>
  <c r="C353" i="5"/>
  <c r="C354" i="5"/>
  <c r="C357" i="5"/>
  <c r="C359" i="5"/>
  <c r="C345" i="5"/>
  <c r="C346" i="5"/>
  <c r="C349" i="5"/>
  <c r="C348" i="5"/>
  <c r="C347" i="5"/>
  <c r="C341" i="5"/>
  <c r="C344" i="5"/>
  <c r="C343" i="5"/>
  <c r="C342" i="5"/>
  <c r="C34" i="5"/>
  <c r="C31" i="5"/>
  <c r="C28" i="5"/>
  <c r="C32" i="5"/>
  <c r="C30" i="5"/>
  <c r="C29" i="5"/>
  <c r="C33" i="5"/>
  <c r="C27" i="5"/>
  <c r="C26" i="5"/>
  <c r="C112" i="5"/>
  <c r="C116" i="5"/>
  <c r="C120" i="5"/>
  <c r="C115" i="5"/>
  <c r="C119" i="5"/>
  <c r="C113" i="5"/>
  <c r="C117" i="5"/>
  <c r="C111" i="5"/>
  <c r="C114" i="5"/>
  <c r="C118" i="5"/>
  <c r="C198" i="5"/>
  <c r="C202" i="5"/>
  <c r="C206" i="5"/>
  <c r="C181" i="5"/>
  <c r="C185" i="5"/>
  <c r="C189" i="5"/>
  <c r="C71" i="5"/>
  <c r="C75" i="5"/>
  <c r="C79" i="5"/>
  <c r="C201" i="5"/>
  <c r="C184" i="5"/>
  <c r="C192" i="5"/>
  <c r="C199" i="5"/>
  <c r="C203" i="5"/>
  <c r="C207" i="5"/>
  <c r="C182" i="5"/>
  <c r="C186" i="5"/>
  <c r="C190" i="5"/>
  <c r="C72" i="5"/>
  <c r="C76" i="5"/>
  <c r="C80" i="5"/>
  <c r="C205" i="5"/>
  <c r="C209" i="5"/>
  <c r="C188" i="5"/>
  <c r="C78" i="5"/>
  <c r="C204" i="5"/>
  <c r="C208" i="5"/>
  <c r="C187" i="5"/>
  <c r="C191" i="5"/>
  <c r="C73" i="5"/>
  <c r="C77" i="5"/>
  <c r="C143" i="5"/>
  <c r="C147" i="5"/>
  <c r="C146" i="5"/>
  <c r="C144" i="5"/>
  <c r="C148" i="5"/>
  <c r="C145" i="5"/>
  <c r="C149" i="5"/>
  <c r="C56" i="5"/>
  <c r="C60" i="5"/>
  <c r="C57" i="5"/>
  <c r="C61" i="5"/>
  <c r="C55" i="5"/>
  <c r="C63" i="5"/>
  <c r="C54" i="5"/>
  <c r="C58" i="5"/>
  <c r="C62" i="5"/>
  <c r="C59" i="5"/>
  <c r="C102" i="5"/>
  <c r="C99" i="5"/>
  <c r="C103" i="5"/>
  <c r="C101" i="5"/>
  <c r="C100" i="5"/>
  <c r="C104" i="5"/>
  <c r="C105" i="5"/>
  <c r="C97" i="5"/>
  <c r="C98" i="5"/>
  <c r="C83" i="5"/>
  <c r="C68" i="5"/>
  <c r="C82" i="5"/>
  <c r="C69" i="5"/>
  <c r="C81" i="5"/>
  <c r="C70" i="5"/>
  <c r="C703" i="5"/>
  <c r="C16" i="5"/>
  <c r="C15" i="5"/>
  <c r="C14" i="5"/>
  <c r="C667" i="5"/>
  <c r="C316" i="5"/>
  <c r="C326" i="5"/>
  <c r="C327" i="5"/>
  <c r="C328" i="5"/>
  <c r="C325" i="5"/>
  <c r="C317" i="5"/>
  <c r="C318" i="5"/>
  <c r="C332" i="5"/>
  <c r="C336" i="5"/>
  <c r="C337" i="5"/>
  <c r="C705" i="5"/>
  <c r="C21" i="5"/>
  <c r="C22" i="5"/>
  <c r="C214" i="5"/>
  <c r="C216" i="5"/>
  <c r="C215" i="5"/>
  <c r="C95" i="5"/>
  <c r="C96" i="5"/>
  <c r="C106" i="5"/>
  <c r="C24" i="5"/>
  <c r="C35" i="5"/>
  <c r="C25" i="5"/>
  <c r="C417" i="5"/>
  <c r="C418" i="5"/>
  <c r="C415" i="5"/>
  <c r="C413" i="5"/>
  <c r="C419" i="5"/>
  <c r="C416" i="5"/>
  <c r="C420" i="5"/>
  <c r="C400" i="5"/>
  <c r="C428" i="5"/>
  <c r="C425" i="5"/>
  <c r="C423" i="5"/>
  <c r="C427" i="5"/>
  <c r="C426" i="5"/>
  <c r="C424" i="5"/>
  <c r="C528" i="5"/>
  <c r="C315" i="5"/>
  <c r="C657" i="5"/>
  <c r="C322" i="5"/>
  <c r="C304" i="5"/>
  <c r="C308" i="5"/>
  <c r="C303" i="5"/>
  <c r="C324" i="5"/>
  <c r="C301" i="5"/>
  <c r="C300" i="5"/>
  <c r="C387" i="5"/>
  <c r="C330" i="5"/>
  <c r="C323" i="5"/>
  <c r="C329" i="5"/>
  <c r="C401" i="5"/>
  <c r="C396" i="5"/>
  <c r="C388" i="5"/>
  <c r="C309" i="5"/>
  <c r="C302" i="5"/>
  <c r="C91" i="5"/>
  <c r="C433" i="5"/>
  <c r="C545" i="5"/>
  <c r="C795" i="5"/>
  <c r="C544" i="5"/>
  <c r="C661" i="5"/>
  <c r="C537" i="5"/>
  <c r="C658" i="5"/>
  <c r="C533" i="5"/>
  <c r="C660" i="5"/>
  <c r="C659" i="5"/>
  <c r="C212" i="5"/>
  <c r="C197" i="5"/>
  <c r="C211" i="5"/>
  <c r="C210" i="5"/>
  <c r="C665" i="5"/>
  <c r="C666" i="5"/>
  <c r="C664" i="5"/>
  <c r="C668" i="5"/>
  <c r="J94" i="11"/>
  <c r="I90" i="11"/>
  <c r="C725" i="5"/>
  <c r="C727" i="5"/>
  <c r="C726" i="5"/>
  <c r="C728" i="5"/>
  <c r="C746" i="5"/>
  <c r="C747" i="5"/>
  <c r="C748" i="5"/>
  <c r="C742" i="5"/>
  <c r="C744" i="5"/>
  <c r="C743" i="5"/>
  <c r="C770" i="5"/>
  <c r="C772" i="5"/>
  <c r="C773" i="5"/>
  <c r="C771" i="5"/>
  <c r="C683" i="5"/>
  <c r="C684" i="5"/>
  <c r="C685" i="5"/>
  <c r="C686" i="5"/>
  <c r="C687" i="5"/>
  <c r="C715" i="5"/>
  <c r="C718" i="5"/>
  <c r="C716" i="5"/>
  <c r="C717" i="5"/>
  <c r="C785" i="5"/>
  <c r="C788" i="5"/>
  <c r="C786" i="5"/>
  <c r="C787" i="5"/>
  <c r="C775" i="5"/>
  <c r="C776" i="5"/>
  <c r="C777" i="5"/>
  <c r="C778" i="5"/>
  <c r="C765" i="5"/>
  <c r="C768" i="5"/>
  <c r="C766" i="5"/>
  <c r="C767" i="5"/>
  <c r="C651" i="5"/>
  <c r="C652" i="5"/>
  <c r="C653" i="5"/>
  <c r="C654" i="5"/>
  <c r="C655" i="5"/>
  <c r="C730" i="5"/>
  <c r="C731" i="5"/>
  <c r="C732" i="5"/>
  <c r="C434" i="5"/>
  <c r="C180" i="5"/>
  <c r="C541" i="5"/>
  <c r="C92" i="5"/>
  <c r="C804" i="5"/>
  <c r="C641" i="5"/>
  <c r="C642" i="5" s="1"/>
  <c r="C539" i="5"/>
  <c r="C93" i="5"/>
  <c r="C540" i="5"/>
  <c r="C543" i="5"/>
  <c r="C562" i="5"/>
  <c r="C90" i="5"/>
  <c r="C568" i="5"/>
  <c r="C179" i="5"/>
  <c r="C194" i="5"/>
  <c r="C193" i="5"/>
  <c r="C802" i="5"/>
  <c r="C435" i="5"/>
  <c r="C567" i="5"/>
  <c r="C566" i="5"/>
  <c r="C803" i="5"/>
  <c r="C432" i="5"/>
  <c r="C430" i="5"/>
  <c r="C563" i="5"/>
  <c r="C564" i="5"/>
  <c r="C569" i="5"/>
  <c r="C530" i="5"/>
  <c r="C531" i="5"/>
  <c r="C398" i="5"/>
  <c r="C402" i="5"/>
  <c r="C526" i="5"/>
  <c r="C523" i="5"/>
  <c r="C524" i="5"/>
  <c r="C525" i="5"/>
  <c r="C536" i="5"/>
  <c r="C532" i="5"/>
  <c r="C397" i="5"/>
  <c r="C399" i="5"/>
  <c r="C535" i="5"/>
  <c r="C403" i="5"/>
  <c r="B113" i="6"/>
  <c r="AE8" i="5"/>
  <c r="C368" i="5"/>
  <c r="C366" i="5"/>
  <c r="C367" i="5"/>
  <c r="C553" i="5"/>
  <c r="C551" i="5"/>
  <c r="C549" i="5"/>
  <c r="C548" i="5"/>
  <c r="C150" i="5"/>
  <c r="C142" i="5"/>
  <c r="C140" i="5"/>
  <c r="C139" i="5"/>
  <c r="C141" i="5"/>
  <c r="C609" i="5"/>
  <c r="C606" i="5"/>
  <c r="C602" i="5"/>
  <c r="C604" i="5"/>
  <c r="C607" i="5"/>
  <c r="C608" i="5"/>
  <c r="C603" i="5"/>
  <c r="C605" i="5"/>
  <c r="C20" i="5"/>
  <c r="C18" i="5"/>
  <c r="C19" i="5"/>
  <c r="C496" i="5"/>
  <c r="C493" i="5"/>
  <c r="C494" i="5"/>
  <c r="C498" i="5"/>
  <c r="C495" i="5"/>
  <c r="C497" i="5"/>
  <c r="C508" i="5"/>
  <c r="C510" i="5"/>
  <c r="C513" i="5"/>
  <c r="C512" i="5"/>
  <c r="C509" i="5"/>
  <c r="C9" i="5"/>
  <c r="C10" i="5"/>
  <c r="C11" i="5"/>
  <c r="C137" i="5"/>
  <c r="C133" i="5"/>
  <c r="C136" i="5"/>
  <c r="C135" i="5"/>
  <c r="C134" i="5"/>
  <c r="C482" i="5"/>
  <c r="C479" i="5"/>
  <c r="C477" i="5"/>
  <c r="C478" i="5"/>
  <c r="C481" i="5"/>
  <c r="C613" i="5"/>
  <c r="C614" i="5"/>
  <c r="C611" i="5"/>
  <c r="C615" i="5"/>
  <c r="C620" i="5"/>
  <c r="C619" i="5"/>
  <c r="C617" i="5"/>
  <c r="C612" i="5"/>
  <c r="C616" i="5"/>
  <c r="C618" i="5"/>
  <c r="C445" i="5"/>
  <c r="C449" i="5"/>
  <c r="C448" i="5"/>
  <c r="C447" i="5"/>
  <c r="C450" i="5"/>
  <c r="C446" i="5"/>
  <c r="C592" i="5"/>
  <c r="C594" i="5"/>
  <c r="C596" i="5"/>
  <c r="C591" i="5"/>
  <c r="C599" i="5"/>
  <c r="C597" i="5"/>
  <c r="C598" i="5"/>
  <c r="C600" i="5"/>
  <c r="C595" i="5"/>
  <c r="C593" i="5"/>
  <c r="B99" i="6"/>
  <c r="C379" i="5"/>
  <c r="C381" i="5"/>
  <c r="C380" i="5"/>
  <c r="C391" i="5"/>
  <c r="C392" i="5"/>
  <c r="C393" i="5"/>
  <c r="C110" i="5"/>
  <c r="C122" i="5"/>
  <c r="C108" i="5"/>
  <c r="C121" i="5"/>
  <c r="C109" i="5"/>
  <c r="C505" i="5"/>
  <c r="C504" i="5"/>
  <c r="C501" i="5"/>
  <c r="C502" i="5"/>
  <c r="C506" i="5"/>
  <c r="C500" i="5"/>
  <c r="C503" i="5"/>
  <c r="C363" i="5"/>
  <c r="C362" i="5"/>
  <c r="C364" i="5"/>
  <c r="C53" i="5"/>
  <c r="C64" i="5"/>
  <c r="C52" i="5"/>
  <c r="C51" i="5"/>
  <c r="C65" i="5"/>
  <c r="C470" i="5"/>
  <c r="C473" i="5"/>
  <c r="C471" i="5"/>
  <c r="C475" i="5"/>
  <c r="C472" i="5"/>
  <c r="C474" i="5"/>
  <c r="C469" i="5"/>
  <c r="C468" i="5"/>
  <c r="C574" i="5"/>
  <c r="C579" i="5"/>
  <c r="C577" i="5"/>
  <c r="C573" i="5"/>
  <c r="C572" i="5"/>
  <c r="C575" i="5"/>
  <c r="C578" i="5"/>
  <c r="C580" i="5"/>
  <c r="C576" i="5"/>
  <c r="C571" i="5"/>
  <c r="C320" i="5"/>
  <c r="C313" i="5"/>
  <c r="C319" i="5"/>
  <c r="C314" i="5"/>
  <c r="C312" i="5"/>
  <c r="C311" i="5"/>
  <c r="C583" i="5"/>
  <c r="C582" i="5"/>
  <c r="C587" i="5"/>
  <c r="C584" i="5"/>
  <c r="C585" i="5"/>
  <c r="C588" i="5"/>
  <c r="C586" i="5"/>
  <c r="C589" i="5"/>
  <c r="C556" i="5"/>
  <c r="C560" i="5"/>
  <c r="C555" i="5"/>
  <c r="C557" i="5"/>
  <c r="C112" i="6" l="1"/>
  <c r="C644" i="5"/>
  <c r="C649" i="5"/>
  <c r="C645" i="5"/>
  <c r="C646" i="5"/>
  <c r="C648" i="5"/>
  <c r="C647" i="5"/>
  <c r="D7" i="12"/>
  <c r="D8" i="12" s="1"/>
  <c r="D4" i="32" s="1"/>
  <c r="E4" i="32" s="1"/>
  <c r="J90" i="11"/>
  <c r="I89" i="11"/>
  <c r="C643" i="5"/>
  <c r="X648" i="5"/>
  <c r="AH648" i="5" s="1"/>
  <c r="Z648" i="5"/>
  <c r="AJ648" i="5" s="1"/>
  <c r="AA648" i="5"/>
  <c r="AK648" i="5" s="1"/>
  <c r="W648" i="5"/>
  <c r="AG648" i="5" s="1"/>
  <c r="O648" i="5"/>
  <c r="P648" i="5"/>
  <c r="R648" i="5"/>
  <c r="Q648" i="5"/>
  <c r="N648" i="5"/>
  <c r="S648" i="5"/>
  <c r="AB648" i="5"/>
  <c r="AL648" i="5" s="1"/>
  <c r="Y648" i="5"/>
  <c r="AI648" i="5" s="1"/>
  <c r="V648" i="5"/>
  <c r="AF648" i="5" s="1"/>
  <c r="U648" i="5"/>
  <c r="AE648" i="5" s="1"/>
  <c r="S647" i="5"/>
  <c r="O647" i="5"/>
  <c r="R647" i="5"/>
  <c r="N647" i="5"/>
  <c r="P647" i="5"/>
  <c r="Q647" i="5"/>
  <c r="AB647" i="5"/>
  <c r="AL647" i="5" s="1"/>
  <c r="Z647" i="5"/>
  <c r="AJ647" i="5" s="1"/>
  <c r="Y647" i="5"/>
  <c r="AI647" i="5" s="1"/>
  <c r="X647" i="5"/>
  <c r="AH647" i="5" s="1"/>
  <c r="V647" i="5"/>
  <c r="AF647" i="5" s="1"/>
  <c r="W647" i="5"/>
  <c r="AG647" i="5" s="1"/>
  <c r="AA647" i="5"/>
  <c r="AK647" i="5" s="1"/>
  <c r="U647" i="5"/>
  <c r="AE647" i="5" s="1"/>
  <c r="X644" i="5"/>
  <c r="AH644" i="5" s="1"/>
  <c r="AA644" i="5"/>
  <c r="AK644" i="5" s="1"/>
  <c r="W644" i="5"/>
  <c r="AG644" i="5" s="1"/>
  <c r="Z644" i="5"/>
  <c r="AJ644" i="5" s="1"/>
  <c r="O644" i="5"/>
  <c r="P644" i="5"/>
  <c r="R644" i="5"/>
  <c r="Q644" i="5"/>
  <c r="N644" i="5"/>
  <c r="S644" i="5"/>
  <c r="AB644" i="5"/>
  <c r="AL644" i="5" s="1"/>
  <c r="V644" i="5"/>
  <c r="AF644" i="5" s="1"/>
  <c r="Y644" i="5"/>
  <c r="AI644" i="5" s="1"/>
  <c r="U644" i="5"/>
  <c r="AE644" i="5" s="1"/>
  <c r="W646" i="5"/>
  <c r="AG646" i="5" s="1"/>
  <c r="X646" i="5"/>
  <c r="AH646" i="5" s="1"/>
  <c r="AA646" i="5"/>
  <c r="AK646" i="5" s="1"/>
  <c r="Z646" i="5"/>
  <c r="AJ646" i="5" s="1"/>
  <c r="R646" i="5"/>
  <c r="O646" i="5"/>
  <c r="P646" i="5"/>
  <c r="Q646" i="5"/>
  <c r="S646" i="5"/>
  <c r="N646" i="5"/>
  <c r="AB646" i="5"/>
  <c r="AL646" i="5" s="1"/>
  <c r="Y646" i="5"/>
  <c r="AI646" i="5" s="1"/>
  <c r="V646" i="5"/>
  <c r="AF646" i="5" s="1"/>
  <c r="U646" i="5"/>
  <c r="AE646" i="5" s="1"/>
  <c r="X643" i="5"/>
  <c r="AH643" i="5" s="1"/>
  <c r="Z643" i="5"/>
  <c r="AJ643" i="5" s="1"/>
  <c r="AA643" i="5"/>
  <c r="AK643" i="5" s="1"/>
  <c r="W643" i="5"/>
  <c r="AG643" i="5" s="1"/>
  <c r="O643" i="5"/>
  <c r="P643" i="5"/>
  <c r="R643" i="5"/>
  <c r="Q643" i="5"/>
  <c r="AB643" i="5"/>
  <c r="AL643" i="5" s="1"/>
  <c r="S643" i="5"/>
  <c r="Y643" i="5"/>
  <c r="AI643" i="5" s="1"/>
  <c r="V643" i="5"/>
  <c r="AF643" i="5" s="1"/>
  <c r="U643" i="5"/>
  <c r="AE643" i="5" s="1"/>
  <c r="Z649" i="5"/>
  <c r="AJ649" i="5" s="1"/>
  <c r="AA649" i="5"/>
  <c r="AK649" i="5" s="1"/>
  <c r="W649" i="5"/>
  <c r="AG649" i="5" s="1"/>
  <c r="X649" i="5"/>
  <c r="AH649" i="5" s="1"/>
  <c r="O649" i="5"/>
  <c r="P649" i="5"/>
  <c r="R649" i="5"/>
  <c r="N649" i="5"/>
  <c r="S649" i="5"/>
  <c r="AB649" i="5"/>
  <c r="AL649" i="5" s="1"/>
  <c r="Y649" i="5"/>
  <c r="AI649" i="5" s="1"/>
  <c r="V649" i="5"/>
  <c r="AF649" i="5" s="1"/>
  <c r="Q649" i="5"/>
  <c r="U649" i="5"/>
  <c r="AE649" i="5" s="1"/>
  <c r="X645" i="5"/>
  <c r="AH645" i="5" s="1"/>
  <c r="AA645" i="5"/>
  <c r="AK645" i="5" s="1"/>
  <c r="W645" i="5"/>
  <c r="AG645" i="5" s="1"/>
  <c r="Z645" i="5"/>
  <c r="AJ645" i="5" s="1"/>
  <c r="P645" i="5"/>
  <c r="R645" i="5"/>
  <c r="O645" i="5"/>
  <c r="Q645" i="5"/>
  <c r="N645" i="5"/>
  <c r="S645" i="5"/>
  <c r="AB645" i="5"/>
  <c r="AL645" i="5" s="1"/>
  <c r="Y645" i="5"/>
  <c r="AI645" i="5" s="1"/>
  <c r="V645" i="5"/>
  <c r="AF645" i="5" s="1"/>
  <c r="U645" i="5"/>
  <c r="AE645" i="5" s="1"/>
  <c r="C360" i="5"/>
  <c r="J89" i="11" l="1"/>
  <c r="C394" i="5"/>
  <c r="S641" i="5"/>
  <c r="R641" i="5"/>
  <c r="P641" i="5"/>
  <c r="Q641" i="5"/>
  <c r="O641" i="5"/>
  <c r="J67" i="6" l="1"/>
  <c r="P67" i="6" s="1"/>
  <c r="P96" i="6" s="1"/>
  <c r="G14" i="7" s="1"/>
  <c r="G13" i="7" s="1"/>
  <c r="G19" i="7" s="1"/>
  <c r="K67" i="6"/>
  <c r="Q67" i="6" s="1"/>
  <c r="Q96" i="6" s="1"/>
  <c r="H67" i="6"/>
  <c r="N67" i="6" s="1"/>
  <c r="I67" i="6"/>
  <c r="O67" i="6" s="1"/>
  <c r="O96" i="6" s="1"/>
  <c r="L67" i="6"/>
  <c r="R67" i="6" s="1"/>
  <c r="R96" i="6" s="1"/>
  <c r="G17" i="7" s="1"/>
  <c r="G16" i="7" s="1"/>
  <c r="N96" i="6" l="1"/>
  <c r="I11" i="7" s="1"/>
  <c r="I10" i="7" s="1"/>
  <c r="J10" i="7" s="1"/>
  <c r="I14" i="7"/>
  <c r="I13" i="7" s="1"/>
  <c r="I17" i="7"/>
  <c r="I16" i="7" s="1"/>
  <c r="J11" i="7" l="1"/>
  <c r="J14" i="7"/>
  <c r="J17" i="7"/>
  <c r="I9" i="7"/>
  <c r="I19" i="7" s="1"/>
  <c r="J16" i="7"/>
  <c r="J13" i="7"/>
  <c r="G9" i="7"/>
  <c r="I20" i="7" l="1"/>
  <c r="I21" i="7" s="1"/>
  <c r="I22" i="7" s="1"/>
  <c r="I23" i="7" s="1"/>
  <c r="I24" i="7" s="1"/>
  <c r="J19" i="7"/>
  <c r="J9" i="7"/>
  <c r="G20" i="7"/>
  <c r="J20" i="7" l="1"/>
  <c r="G21" i="7"/>
  <c r="J21" i="7" s="1"/>
  <c r="G22" i="7" l="1"/>
  <c r="G23" i="7" s="1"/>
  <c r="J23" i="7" s="1"/>
  <c r="J22" i="7" l="1"/>
  <c r="F12" i="11"/>
  <c r="G24" i="7"/>
  <c r="J24" i="7" s="1"/>
  <c r="J25" i="7" s="1"/>
  <c r="J8" i="7" l="1"/>
  <c r="H12" i="11"/>
  <c r="I12" i="11" s="1"/>
  <c r="J12" i="11" s="1"/>
  <c r="C12" i="11"/>
  <c r="G6" i="24" l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C18" i="11" l="1"/>
  <c r="H18" i="11"/>
  <c r="H17" i="11" s="1"/>
  <c r="F17" i="11"/>
  <c r="I18" i="11" l="1"/>
  <c r="J18" i="11" s="1"/>
  <c r="I17" i="11" l="1"/>
  <c r="J17" i="11" l="1"/>
  <c r="H209" i="11" l="1"/>
  <c r="I209" i="11" s="1"/>
  <c r="J209" i="11" s="1"/>
  <c r="H55" i="5"/>
  <c r="N55" i="5" s="1"/>
  <c r="H56" i="5"/>
  <c r="N56" i="5" s="1"/>
  <c r="H57" i="5"/>
  <c r="N57" i="5" s="1"/>
  <c r="H71" i="5"/>
  <c r="N71" i="5" s="1"/>
  <c r="H72" i="5"/>
  <c r="N72" i="5" s="1"/>
  <c r="H73" i="5"/>
  <c r="N73" i="5" s="1"/>
  <c r="H74" i="5"/>
  <c r="N74" i="5" s="1"/>
  <c r="H112" i="5"/>
  <c r="N112" i="5" s="1"/>
  <c r="H113" i="5"/>
  <c r="N113" i="5" s="1"/>
  <c r="H114" i="5"/>
  <c r="N114" i="5" s="1"/>
  <c r="H183" i="5"/>
  <c r="N183" i="5" s="1"/>
  <c r="H184" i="5"/>
  <c r="N184" i="5" s="1"/>
  <c r="H185" i="5"/>
  <c r="N185" i="5" s="1"/>
  <c r="H186" i="5"/>
  <c r="N186" i="5" s="1"/>
  <c r="H200" i="5"/>
  <c r="N200" i="5" s="1"/>
  <c r="H201" i="5"/>
  <c r="N201" i="5" s="1"/>
  <c r="H202" i="5"/>
  <c r="N202" i="5" s="1"/>
  <c r="H203" i="5"/>
  <c r="N203" i="5" s="1"/>
  <c r="H400" i="5"/>
  <c r="N400" i="5" s="1"/>
  <c r="H401" i="5"/>
  <c r="N401" i="5" s="1"/>
  <c r="H402" i="5"/>
  <c r="N402" i="5" s="1"/>
  <c r="H409" i="5"/>
  <c r="N409" i="5" s="1"/>
  <c r="H410" i="5"/>
  <c r="N410" i="5" s="1"/>
  <c r="H417" i="5"/>
  <c r="N417" i="5" s="1"/>
  <c r="H418" i="5"/>
  <c r="N418" i="5" s="1"/>
  <c r="H419" i="5"/>
  <c r="N419" i="5" s="1"/>
  <c r="H426" i="5"/>
  <c r="N426" i="5" s="1"/>
  <c r="H427" i="5"/>
  <c r="N427" i="5" s="1"/>
  <c r="H433" i="5"/>
  <c r="N433" i="5" s="1"/>
  <c r="H434" i="5"/>
  <c r="N434" i="5" s="1"/>
  <c r="H440" i="5"/>
  <c r="N440" i="5" s="1"/>
  <c r="H441" i="5"/>
  <c r="N441" i="5" s="1"/>
  <c r="H442" i="5"/>
  <c r="N442" i="5" s="1"/>
  <c r="H448" i="5"/>
  <c r="N448" i="5" s="1"/>
  <c r="H449" i="5"/>
  <c r="N449" i="5" s="1"/>
  <c r="H455" i="5"/>
  <c r="N455" i="5" s="1"/>
  <c r="H456" i="5"/>
  <c r="N456" i="5" s="1"/>
  <c r="H457" i="5"/>
  <c r="N457" i="5" s="1"/>
  <c r="H458" i="5"/>
  <c r="N458" i="5" s="1"/>
  <c r="H464" i="5"/>
  <c r="N464" i="5" s="1"/>
  <c r="H465" i="5"/>
  <c r="N465" i="5" s="1"/>
  <c r="H471" i="5"/>
  <c r="N471" i="5" s="1"/>
  <c r="H472" i="5"/>
  <c r="N472" i="5" s="1"/>
  <c r="H473" i="5"/>
  <c r="N473" i="5" s="1"/>
  <c r="H474" i="5"/>
  <c r="N474" i="5" s="1"/>
  <c r="H480" i="5"/>
  <c r="N480" i="5" s="1"/>
  <c r="H481" i="5"/>
  <c r="N481" i="5" s="1"/>
  <c r="H487" i="5"/>
  <c r="N487" i="5" s="1"/>
  <c r="H488" i="5"/>
  <c r="N488" i="5" s="1"/>
  <c r="H489" i="5"/>
  <c r="N489" i="5" s="1"/>
  <c r="H490" i="5"/>
  <c r="N490" i="5" s="1"/>
  <c r="H496" i="5"/>
  <c r="N496" i="5" s="1"/>
  <c r="H497" i="5"/>
  <c r="N497" i="5" s="1"/>
  <c r="H503" i="5"/>
  <c r="N503" i="5" s="1"/>
  <c r="H504" i="5"/>
  <c r="N504" i="5" s="1"/>
  <c r="H505" i="5"/>
  <c r="N505" i="5" s="1"/>
  <c r="H511" i="5"/>
  <c r="N511" i="5" s="1"/>
  <c r="H512" i="5"/>
  <c r="N512" i="5" s="1"/>
  <c r="H518" i="5"/>
  <c r="N518" i="5" s="1"/>
  <c r="H519" i="5"/>
  <c r="N519" i="5" s="1"/>
  <c r="H520" i="5"/>
  <c r="N520" i="5" s="1"/>
  <c r="H526" i="5"/>
  <c r="N526" i="5" s="1"/>
  <c r="H527" i="5"/>
  <c r="N527" i="5" s="1"/>
  <c r="H533" i="5"/>
  <c r="N533" i="5" s="1"/>
  <c r="H534" i="5"/>
  <c r="N534" i="5" s="1"/>
  <c r="H535" i="5"/>
  <c r="N535" i="5" s="1"/>
  <c r="H536" i="5"/>
  <c r="N536" i="5" s="1"/>
  <c r="H542" i="5"/>
  <c r="N542" i="5" s="1"/>
  <c r="H543" i="5"/>
  <c r="N543" i="5" s="1"/>
  <c r="H544" i="5"/>
  <c r="N544" i="5" s="1"/>
  <c r="H545" i="5"/>
  <c r="N545" i="5" s="1"/>
  <c r="H550" i="5"/>
  <c r="N550" i="5" s="1"/>
  <c r="H551" i="5"/>
  <c r="N551" i="5" s="1"/>
  <c r="H552" i="5"/>
  <c r="N552" i="5" s="1"/>
  <c r="H557" i="5"/>
  <c r="N557" i="5" s="1"/>
  <c r="H558" i="5"/>
  <c r="N558" i="5" s="1"/>
  <c r="H559" i="5"/>
  <c r="N559" i="5" s="1"/>
  <c r="H563" i="5"/>
  <c r="N563" i="5" s="1"/>
  <c r="N561" i="5" s="1"/>
  <c r="G116" i="6" s="1"/>
  <c r="M116" i="6" s="1"/>
  <c r="H572" i="5"/>
  <c r="N572" i="5" s="1"/>
  <c r="N570" i="5" s="1"/>
  <c r="G117" i="6" s="1"/>
  <c r="M117" i="6" s="1"/>
  <c r="H583" i="5"/>
  <c r="N583" i="5" s="1"/>
  <c r="N581" i="5" s="1"/>
  <c r="H592" i="5"/>
  <c r="N592" i="5" s="1"/>
  <c r="N590" i="5" s="1"/>
  <c r="H603" i="5"/>
  <c r="N603" i="5" s="1"/>
  <c r="N601" i="5" s="1"/>
  <c r="G63" i="6" s="1"/>
  <c r="M63" i="6" s="1"/>
  <c r="H612" i="5"/>
  <c r="N612" i="5" s="1"/>
  <c r="N610" i="5" s="1"/>
  <c r="G64" i="6" s="1"/>
  <c r="M64" i="6" s="1"/>
  <c r="H623" i="5"/>
  <c r="N623" i="5" s="1"/>
  <c r="N621" i="5" s="1"/>
  <c r="G65" i="6" s="1"/>
  <c r="M65" i="6" s="1"/>
  <c r="H632" i="5"/>
  <c r="N632" i="5" s="1"/>
  <c r="N630" i="5" s="1"/>
  <c r="G66" i="6" s="1"/>
  <c r="M66" i="6" s="1"/>
  <c r="H643" i="5"/>
  <c r="N643" i="5" s="1"/>
  <c r="N641" i="5" s="1"/>
  <c r="G67" i="6" s="1"/>
  <c r="M67" i="6" s="1"/>
  <c r="H718" i="5"/>
  <c r="N718" i="5" s="1"/>
  <c r="N714" i="5" s="1"/>
  <c r="G72" i="6" s="1"/>
  <c r="M72" i="6" s="1"/>
  <c r="H723" i="5"/>
  <c r="N723" i="5" s="1"/>
  <c r="N719" i="5" s="1"/>
  <c r="G73" i="6" s="1"/>
  <c r="M73" i="6" s="1"/>
  <c r="H728" i="5"/>
  <c r="N728" i="5" s="1"/>
  <c r="N724" i="5" s="1"/>
  <c r="G74" i="6" s="1"/>
  <c r="M74" i="6" s="1"/>
  <c r="H732" i="5"/>
  <c r="N732" i="5" s="1"/>
  <c r="N729" i="5" s="1"/>
  <c r="G75" i="6" s="1"/>
  <c r="M75" i="6" s="1"/>
  <c r="H736" i="5"/>
  <c r="N736" i="5" s="1"/>
  <c r="N733" i="5" s="1"/>
  <c r="G76" i="6" s="1"/>
  <c r="M76" i="6" s="1"/>
  <c r="H740" i="5"/>
  <c r="N740" i="5" s="1"/>
  <c r="N737" i="5" s="1"/>
  <c r="G77" i="6" s="1"/>
  <c r="M77" i="6" s="1"/>
  <c r="H744" i="5"/>
  <c r="N744" i="5" s="1"/>
  <c r="N741" i="5" s="1"/>
  <c r="G78" i="6" s="1"/>
  <c r="M78" i="6" s="1"/>
  <c r="H753" i="5"/>
  <c r="N753" i="5" s="1"/>
  <c r="N749" i="5" s="1"/>
  <c r="G80" i="6" s="1"/>
  <c r="M80" i="6" s="1"/>
  <c r="H758" i="5"/>
  <c r="N758" i="5" s="1"/>
  <c r="N754" i="5" s="1"/>
  <c r="G81" i="6" s="1"/>
  <c r="M81" i="6" s="1"/>
  <c r="N799" i="5"/>
  <c r="N794" i="5" s="1"/>
  <c r="G89" i="6" s="1"/>
  <c r="M89" i="6" s="1"/>
  <c r="H804" i="5"/>
  <c r="N804" i="5" s="1"/>
  <c r="N800" i="5" s="1"/>
  <c r="G90" i="6" s="1"/>
  <c r="M90" i="6" s="1"/>
  <c r="H908" i="5"/>
  <c r="N908" i="5" s="1"/>
  <c r="H909" i="5"/>
  <c r="N909" i="5" s="1"/>
  <c r="H910" i="5"/>
  <c r="N910" i="5" s="1"/>
  <c r="H911" i="5"/>
  <c r="N911" i="5" s="1"/>
  <c r="H912" i="5"/>
  <c r="N912" i="5" s="1"/>
  <c r="H913" i="5"/>
  <c r="N913" i="5" s="1"/>
  <c r="H914" i="5"/>
  <c r="N914" i="5" s="1"/>
  <c r="H915" i="5"/>
  <c r="N915" i="5" s="1"/>
  <c r="H916" i="5"/>
  <c r="N916" i="5" s="1"/>
  <c r="I50" i="8"/>
  <c r="M50" i="8" s="1"/>
  <c r="I51" i="8"/>
  <c r="M51" i="8" s="1"/>
  <c r="I52" i="8"/>
  <c r="M52" i="8" s="1"/>
  <c r="I296" i="8"/>
  <c r="M296" i="8" s="1"/>
  <c r="I302" i="8"/>
  <c r="M302" i="8" s="1"/>
  <c r="I303" i="8"/>
  <c r="M303" i="8" s="1"/>
  <c r="I304" i="8"/>
  <c r="M304" i="8" s="1"/>
  <c r="I383" i="8"/>
  <c r="M383" i="8" s="1"/>
  <c r="I389" i="8"/>
  <c r="M389" i="8" s="1"/>
  <c r="I394" i="8"/>
  <c r="M394" i="8" s="1"/>
  <c r="I399" i="8"/>
  <c r="M399" i="8" s="1"/>
  <c r="I404" i="8"/>
  <c r="M404" i="8" s="1"/>
  <c r="I423" i="8"/>
  <c r="M423" i="8" s="1"/>
  <c r="I429" i="8"/>
  <c r="M429" i="8" s="1"/>
  <c r="I430" i="8"/>
  <c r="M430" i="8" s="1"/>
  <c r="I431" i="8"/>
  <c r="M431" i="8" s="1"/>
  <c r="I509" i="8"/>
  <c r="M509" i="8" s="1"/>
  <c r="I516" i="8"/>
  <c r="M516" i="8" s="1"/>
  <c r="I521" i="8"/>
  <c r="M521" i="8" s="1"/>
  <c r="I526" i="8"/>
  <c r="M526" i="8" s="1"/>
  <c r="I531" i="8"/>
  <c r="M531" i="8" s="1"/>
  <c r="I536" i="8"/>
  <c r="M536" i="8" s="1"/>
  <c r="I541" i="8"/>
  <c r="M541" i="8" s="1"/>
  <c r="I546" i="8"/>
  <c r="M546" i="8" s="1"/>
  <c r="I565" i="8"/>
  <c r="M565" i="8" s="1"/>
  <c r="I571" i="8"/>
  <c r="M571" i="8" s="1"/>
  <c r="I572" i="8"/>
  <c r="M572" i="8" s="1"/>
  <c r="I573" i="8"/>
  <c r="M573" i="8" s="1"/>
  <c r="I756" i="8"/>
  <c r="M756" i="8" s="1"/>
  <c r="I757" i="8"/>
  <c r="M757" i="8" s="1"/>
  <c r="I758" i="8"/>
  <c r="M758" i="8" s="1"/>
  <c r="I769" i="8"/>
  <c r="M769" i="8" s="1"/>
  <c r="I770" i="8"/>
  <c r="M770" i="8" s="1"/>
  <c r="I771" i="8"/>
  <c r="M771" i="8" s="1"/>
  <c r="I776" i="8"/>
  <c r="M776" i="8" s="1"/>
  <c r="I777" i="8"/>
  <c r="M777" i="8" s="1"/>
  <c r="I852" i="8"/>
  <c r="M852" i="8" s="1"/>
  <c r="I859" i="8"/>
  <c r="M859" i="8" s="1"/>
  <c r="I881" i="8"/>
  <c r="M881" i="8" s="1"/>
  <c r="I882" i="8"/>
  <c r="M882" i="8" s="1"/>
  <c r="I883" i="8"/>
  <c r="M883" i="8" s="1"/>
  <c r="I888" i="8"/>
  <c r="M888" i="8" s="1"/>
  <c r="I889" i="8"/>
  <c r="M889" i="8" s="1"/>
  <c r="I967" i="8"/>
  <c r="M967" i="8" s="1"/>
  <c r="I993" i="8"/>
  <c r="M993" i="8" s="1"/>
  <c r="I994" i="8"/>
  <c r="M994" i="8" s="1"/>
  <c r="I995" i="8"/>
  <c r="M995" i="8" s="1"/>
  <c r="I1000" i="8"/>
  <c r="M1000" i="8" s="1"/>
  <c r="I1001" i="8"/>
  <c r="M1001" i="8" s="1"/>
  <c r="I1002" i="8"/>
  <c r="M1002" i="8" s="1"/>
  <c r="I1088" i="8"/>
  <c r="M1088" i="8" s="1"/>
  <c r="I1089" i="8"/>
  <c r="M1089" i="8" s="1"/>
  <c r="I1090" i="8"/>
  <c r="M1090" i="8" s="1"/>
  <c r="I1095" i="8"/>
  <c r="M1095" i="8" s="1"/>
  <c r="I1096" i="8"/>
  <c r="M1096" i="8" s="1"/>
  <c r="I1267" i="8"/>
  <c r="M1267" i="8" s="1"/>
  <c r="I1268" i="8"/>
  <c r="M1268" i="8" s="1"/>
  <c r="I1269" i="8"/>
  <c r="M1269" i="8" s="1"/>
  <c r="I1274" i="8"/>
  <c r="M1274" i="8" s="1"/>
  <c r="I1275" i="8"/>
  <c r="M1275" i="8" s="1"/>
  <c r="I1366" i="8"/>
  <c r="M1366" i="8" s="1"/>
  <c r="I1367" i="8"/>
  <c r="M1367" i="8" s="1"/>
  <c r="I1368" i="8"/>
  <c r="M1368" i="8" s="1"/>
  <c r="I1373" i="8"/>
  <c r="M1373" i="8" s="1"/>
  <c r="I1374" i="8"/>
  <c r="M1374" i="8" s="1"/>
  <c r="I1465" i="8"/>
  <c r="M1465" i="8" s="1"/>
  <c r="I1466" i="8"/>
  <c r="M1466" i="8" s="1"/>
  <c r="I1467" i="8"/>
  <c r="M1467" i="8" s="1"/>
  <c r="I1472" i="8"/>
  <c r="M1472" i="8" s="1"/>
  <c r="I1473" i="8"/>
  <c r="M1473" i="8" s="1"/>
  <c r="I1602" i="8"/>
  <c r="M1602" i="8" s="1"/>
  <c r="I1603" i="8"/>
  <c r="M1603" i="8" s="1"/>
  <c r="I1604" i="8"/>
  <c r="M1604" i="8" s="1"/>
  <c r="I1609" i="8"/>
  <c r="M1609" i="8" s="1"/>
  <c r="I1610" i="8"/>
  <c r="M1610" i="8" s="1"/>
  <c r="I1713" i="8"/>
  <c r="M1713" i="8" s="1"/>
  <c r="I1714" i="8"/>
  <c r="M1714" i="8" s="1"/>
  <c r="I1715" i="8"/>
  <c r="M1715" i="8" s="1"/>
  <c r="I1720" i="8"/>
  <c r="M1720" i="8" s="1"/>
  <c r="I1721" i="8"/>
  <c r="M1721" i="8" s="1"/>
  <c r="I1886" i="8"/>
  <c r="M1886" i="8" s="1"/>
  <c r="I1887" i="8"/>
  <c r="M1887" i="8" s="1"/>
  <c r="I1888" i="8"/>
  <c r="M1888" i="8" s="1"/>
  <c r="I1893" i="8"/>
  <c r="M1893" i="8" s="1"/>
  <c r="I1894" i="8"/>
  <c r="M1894" i="8" s="1"/>
  <c r="I1987" i="8"/>
  <c r="M1987" i="8" s="1"/>
  <c r="I1993" i="8"/>
  <c r="M1993" i="8" s="1"/>
  <c r="I1994" i="8"/>
  <c r="M1994" i="8" s="1"/>
  <c r="I1995" i="8"/>
  <c r="M1995" i="8" s="1"/>
  <c r="I2000" i="8"/>
  <c r="M2000" i="8" s="1"/>
  <c r="I2001" i="8"/>
  <c r="M2001" i="8" s="1"/>
  <c r="I2143" i="8"/>
  <c r="M2143" i="8" s="1"/>
  <c r="I2144" i="8"/>
  <c r="M2144" i="8" s="1"/>
  <c r="I2145" i="8"/>
  <c r="M2145" i="8" s="1"/>
  <c r="I2151" i="8"/>
  <c r="M2151" i="8" s="1"/>
  <c r="I2152" i="8"/>
  <c r="M2152" i="8" s="1"/>
  <c r="I2373" i="8"/>
  <c r="M2373" i="8" s="1"/>
  <c r="I2374" i="8"/>
  <c r="M2374" i="8" s="1"/>
  <c r="I2375" i="8"/>
  <c r="M2375" i="8" s="1"/>
  <c r="I2376" i="8"/>
  <c r="M2376" i="8" s="1"/>
  <c r="I2382" i="8"/>
  <c r="M2382" i="8" s="1"/>
  <c r="I2383" i="8"/>
  <c r="M2383" i="8" s="1"/>
  <c r="I2392" i="8"/>
  <c r="M2392" i="8" s="1"/>
  <c r="I2393" i="8"/>
  <c r="M2393" i="8" s="1"/>
  <c r="I2402" i="8"/>
  <c r="M2402" i="8" s="1"/>
  <c r="I2408" i="8"/>
  <c r="M2408" i="8" s="1"/>
  <c r="I2413" i="8"/>
  <c r="M2413" i="8" s="1"/>
  <c r="I2515" i="8"/>
  <c r="M2515" i="8" s="1"/>
  <c r="I2520" i="8"/>
  <c r="M2520" i="8" s="1"/>
  <c r="I2565" i="8"/>
  <c r="M2565" i="8" s="1"/>
  <c r="I2566" i="8"/>
  <c r="M2566" i="8" s="1"/>
  <c r="I2567" i="8"/>
  <c r="M2567" i="8" s="1"/>
  <c r="I2585" i="8"/>
  <c r="M2585" i="8" s="1"/>
  <c r="I2586" i="8"/>
  <c r="M2586" i="8" s="1"/>
  <c r="I2587" i="8"/>
  <c r="M2587" i="8" s="1"/>
  <c r="I2588" i="8"/>
  <c r="M2588" i="8" s="1"/>
  <c r="I2589" i="8"/>
  <c r="M2589" i="8" s="1"/>
  <c r="I2590" i="8"/>
  <c r="M2590" i="8" s="1"/>
  <c r="I2596" i="8"/>
  <c r="M2596" i="8" s="1"/>
  <c r="I2597" i="8"/>
  <c r="M2597" i="8" s="1"/>
  <c r="I2603" i="8"/>
  <c r="M2603" i="8" s="1"/>
  <c r="I2604" i="8"/>
  <c r="M2604" i="8" s="1"/>
  <c r="I2611" i="8"/>
  <c r="M2611" i="8" s="1"/>
  <c r="I2612" i="8"/>
  <c r="M2612" i="8" s="1"/>
  <c r="I2621" i="8"/>
  <c r="M2621" i="8" s="1"/>
  <c r="I2622" i="8"/>
  <c r="M2622" i="8" s="1"/>
  <c r="I2725" i="8"/>
  <c r="M2725" i="8" s="1"/>
  <c r="I2732" i="8"/>
  <c r="M2732" i="8" s="1"/>
  <c r="I2737" i="8"/>
  <c r="M2737" i="8" s="1"/>
  <c r="I2742" i="8"/>
  <c r="M2742" i="8" s="1"/>
  <c r="N404" i="5" l="1"/>
  <c r="G41" i="6" s="1"/>
  <c r="M41" i="6" s="1"/>
  <c r="N429" i="5"/>
  <c r="G44" i="6" s="1"/>
  <c r="M44" i="6" s="1"/>
  <c r="N395" i="5"/>
  <c r="G40" i="6" s="1"/>
  <c r="M40" i="6" s="1"/>
  <c r="N66" i="5"/>
  <c r="G106" i="6" s="1"/>
  <c r="M106" i="6" s="1"/>
  <c r="N476" i="5"/>
  <c r="G50" i="6" s="1"/>
  <c r="M50" i="6" s="1"/>
  <c r="M1355" i="8"/>
  <c r="F33" i="11" s="1"/>
  <c r="H33" i="11" s="1"/>
  <c r="I33" i="11" s="1"/>
  <c r="J33" i="11" s="1"/>
  <c r="M1077" i="8"/>
  <c r="F31" i="11" s="1"/>
  <c r="H31" i="11" s="1"/>
  <c r="I31" i="11" s="1"/>
  <c r="J31" i="11" s="1"/>
  <c r="M870" i="8"/>
  <c r="C870" i="8" s="1"/>
  <c r="N460" i="5"/>
  <c r="G48" i="6" s="1"/>
  <c r="M48" i="6" s="1"/>
  <c r="M1981" i="8"/>
  <c r="F39" i="11" s="1"/>
  <c r="H39" i="11" s="1"/>
  <c r="I39" i="11" s="1"/>
  <c r="J39" i="11" s="1"/>
  <c r="M559" i="8"/>
  <c r="F25" i="11" s="1"/>
  <c r="H25" i="11" s="1"/>
  <c r="I25" i="11" s="1"/>
  <c r="J25" i="11" s="1"/>
  <c r="N178" i="5"/>
  <c r="G19" i="6" s="1"/>
  <c r="M19" i="6" s="1"/>
  <c r="M2132" i="8"/>
  <c r="F40" i="11" s="1"/>
  <c r="H40" i="11" s="1"/>
  <c r="I40" i="11" s="1"/>
  <c r="J40" i="11" s="1"/>
  <c r="M1875" i="8"/>
  <c r="F37" i="11" s="1"/>
  <c r="H37" i="11" s="1"/>
  <c r="I37" i="11" s="1"/>
  <c r="J37" i="11" s="1"/>
  <c r="M38" i="8"/>
  <c r="F21" i="11" s="1"/>
  <c r="C21" i="11" s="1"/>
  <c r="E21" i="11" s="1"/>
  <c r="M1591" i="8"/>
  <c r="F35" i="11" s="1"/>
  <c r="H35" i="11" s="1"/>
  <c r="I35" i="11" s="1"/>
  <c r="J35" i="11" s="1"/>
  <c r="M734" i="8"/>
  <c r="F28" i="11" s="1"/>
  <c r="N554" i="5"/>
  <c r="G59" i="6" s="1"/>
  <c r="M59" i="6" s="1"/>
  <c r="N492" i="5"/>
  <c r="G52" i="6" s="1"/>
  <c r="M52" i="6" s="1"/>
  <c r="N444" i="5"/>
  <c r="G46" i="6" s="1"/>
  <c r="M46" i="6" s="1"/>
  <c r="N436" i="5"/>
  <c r="G45" i="6" s="1"/>
  <c r="M45" i="6" s="1"/>
  <c r="N421" i="5"/>
  <c r="G43" i="6" s="1"/>
  <c r="M43" i="6" s="1"/>
  <c r="G25" i="6"/>
  <c r="M25" i="6" s="1"/>
  <c r="M2333" i="8"/>
  <c r="M1702" i="8"/>
  <c r="F36" i="11" s="1"/>
  <c r="M1256" i="8"/>
  <c r="F38" i="11" s="1"/>
  <c r="M982" i="8"/>
  <c r="F30" i="11" s="1"/>
  <c r="M417" i="8"/>
  <c r="M2533" i="8"/>
  <c r="M1454" i="8"/>
  <c r="F34" i="11" s="1"/>
  <c r="M290" i="8"/>
  <c r="G118" i="6"/>
  <c r="M118" i="6" s="1"/>
  <c r="G61" i="6"/>
  <c r="M61" i="6" s="1"/>
  <c r="N538" i="5"/>
  <c r="G58" i="6" s="1"/>
  <c r="M58" i="6" s="1"/>
  <c r="N529" i="5"/>
  <c r="G57" i="6" s="1"/>
  <c r="M57" i="6" s="1"/>
  <c r="N507" i="5"/>
  <c r="G54" i="6" s="1"/>
  <c r="M54" i="6" s="1"/>
  <c r="N499" i="5"/>
  <c r="G53" i="6" s="1"/>
  <c r="M53" i="6" s="1"/>
  <c r="N451" i="5"/>
  <c r="G47" i="6" s="1"/>
  <c r="M47" i="6" s="1"/>
  <c r="N195" i="5"/>
  <c r="G21" i="6" s="1"/>
  <c r="M21" i="6" s="1"/>
  <c r="N547" i="5"/>
  <c r="G60" i="6" s="1"/>
  <c r="M60" i="6" s="1"/>
  <c r="N522" i="5"/>
  <c r="G56" i="6" s="1"/>
  <c r="M56" i="6" s="1"/>
  <c r="N514" i="5"/>
  <c r="G55" i="6" s="1"/>
  <c r="M55" i="6" s="1"/>
  <c r="N483" i="5"/>
  <c r="G51" i="6" s="1"/>
  <c r="M51" i="6" s="1"/>
  <c r="N467" i="5"/>
  <c r="G49" i="6" s="1"/>
  <c r="M49" i="6" s="1"/>
  <c r="N50" i="5"/>
  <c r="G105" i="6" s="1"/>
  <c r="M105" i="6" s="1"/>
  <c r="N869" i="5"/>
  <c r="G119" i="6"/>
  <c r="M119" i="6" s="1"/>
  <c r="G62" i="6"/>
  <c r="M62" i="6" s="1"/>
  <c r="N412" i="5"/>
  <c r="G42" i="6" s="1"/>
  <c r="M42" i="6" s="1"/>
  <c r="N107" i="5"/>
  <c r="C734" i="8" l="1"/>
  <c r="F29" i="11"/>
  <c r="H29" i="11" s="1"/>
  <c r="I29" i="11" s="1"/>
  <c r="J29" i="11" s="1"/>
  <c r="H21" i="11"/>
  <c r="I21" i="11" s="1"/>
  <c r="J21" i="11" s="1"/>
  <c r="C22" i="11"/>
  <c r="E22" i="11" s="1"/>
  <c r="H34" i="11"/>
  <c r="I34" i="11" s="1"/>
  <c r="J34" i="11" s="1"/>
  <c r="F23" i="11"/>
  <c r="C290" i="8"/>
  <c r="F26" i="11"/>
  <c r="C417" i="8"/>
  <c r="G124" i="6"/>
  <c r="G869" i="5"/>
  <c r="H30" i="11"/>
  <c r="I30" i="11" s="1"/>
  <c r="J30" i="11" s="1"/>
  <c r="H36" i="11"/>
  <c r="I36" i="11" s="1"/>
  <c r="J36" i="11" s="1"/>
  <c r="G110" i="6"/>
  <c r="M110" i="6" s="1"/>
  <c r="G13" i="6"/>
  <c r="M13" i="6" s="1"/>
  <c r="M96" i="6" s="1"/>
  <c r="H28" i="11"/>
  <c r="I28" i="11" s="1"/>
  <c r="J28" i="11" s="1"/>
  <c r="F42" i="11"/>
  <c r="C2533" i="8"/>
  <c r="H38" i="11"/>
  <c r="I38" i="11" s="1"/>
  <c r="J38" i="11" s="1"/>
  <c r="F41" i="11"/>
  <c r="C2333" i="8"/>
  <c r="H26" i="11" l="1"/>
  <c r="I26" i="11" s="1"/>
  <c r="J26" i="11" s="1"/>
  <c r="H41" i="11"/>
  <c r="I41" i="11" s="1"/>
  <c r="J41" i="11" s="1"/>
  <c r="F9" i="11"/>
  <c r="B96" i="6"/>
  <c r="B8" i="6" s="1"/>
  <c r="H42" i="11"/>
  <c r="I42" i="11" s="1"/>
  <c r="J42" i="11" s="1"/>
  <c r="H23" i="11"/>
  <c r="C23" i="11"/>
  <c r="E23" i="11" s="1"/>
  <c r="C41" i="11"/>
  <c r="E41" i="11" s="1"/>
  <c r="C30" i="11"/>
  <c r="E30" i="11" s="1"/>
  <c r="C26" i="11"/>
  <c r="E26" i="11" s="1"/>
  <c r="C38" i="11"/>
  <c r="E38" i="11" s="1"/>
  <c r="F20" i="11"/>
  <c r="F19" i="11" s="1"/>
  <c r="C28" i="11"/>
  <c r="E28" i="11" s="1"/>
  <c r="C42" i="11"/>
  <c r="E42" i="11" s="1"/>
  <c r="C35" i="11"/>
  <c r="E35" i="11" s="1"/>
  <c r="C31" i="11"/>
  <c r="E31" i="11" s="1"/>
  <c r="C27" i="11"/>
  <c r="E27" i="11" s="1"/>
  <c r="C33" i="11"/>
  <c r="E33" i="11" s="1"/>
  <c r="C24" i="11"/>
  <c r="E24" i="11" s="1"/>
  <c r="C36" i="11"/>
  <c r="E36" i="11" s="1"/>
  <c r="C32" i="11"/>
  <c r="E32" i="11" s="1"/>
  <c r="C39" i="11"/>
  <c r="E39" i="11" s="1"/>
  <c r="C34" i="11"/>
  <c r="E34" i="11" s="1"/>
  <c r="C29" i="11"/>
  <c r="E29" i="11" s="1"/>
  <c r="C25" i="11"/>
  <c r="E25" i="11" s="1"/>
  <c r="C37" i="11"/>
  <c r="E37" i="11" s="1"/>
  <c r="C40" i="11"/>
  <c r="E40" i="11" s="1"/>
  <c r="AB869" i="5"/>
  <c r="C869" i="5"/>
  <c r="C805" i="5" s="1"/>
  <c r="H20" i="11" l="1"/>
  <c r="H19" i="11" s="1"/>
  <c r="I23" i="11"/>
  <c r="C9" i="11"/>
  <c r="H9" i="11"/>
  <c r="I9" i="11" s="1"/>
  <c r="F124" i="6"/>
  <c r="AB871" i="5"/>
  <c r="AL871" i="5" s="1"/>
  <c r="AB873" i="5"/>
  <c r="AL873" i="5" s="1"/>
  <c r="AB875" i="5"/>
  <c r="AL875" i="5" s="1"/>
  <c r="AB877" i="5"/>
  <c r="AL877" i="5" s="1"/>
  <c r="AB879" i="5"/>
  <c r="AL879" i="5" s="1"/>
  <c r="AB881" i="5"/>
  <c r="AL881" i="5" s="1"/>
  <c r="AB883" i="5"/>
  <c r="AL883" i="5" s="1"/>
  <c r="AB885" i="5"/>
  <c r="AL885" i="5" s="1"/>
  <c r="AB887" i="5"/>
  <c r="AL887" i="5" s="1"/>
  <c r="AB889" i="5"/>
  <c r="AL889" i="5" s="1"/>
  <c r="AB891" i="5"/>
  <c r="AL891" i="5" s="1"/>
  <c r="AB893" i="5"/>
  <c r="AL893" i="5" s="1"/>
  <c r="AB895" i="5"/>
  <c r="AL895" i="5" s="1"/>
  <c r="AB897" i="5"/>
  <c r="AL897" i="5" s="1"/>
  <c r="AB899" i="5"/>
  <c r="AL899" i="5" s="1"/>
  <c r="AB901" i="5"/>
  <c r="AL901" i="5" s="1"/>
  <c r="AB903" i="5"/>
  <c r="AL903" i="5" s="1"/>
  <c r="AB905" i="5"/>
  <c r="AL905" i="5" s="1"/>
  <c r="AB907" i="5"/>
  <c r="AL907" i="5" s="1"/>
  <c r="AB908" i="5"/>
  <c r="AL908" i="5" s="1"/>
  <c r="AB909" i="5"/>
  <c r="AL909" i="5" s="1"/>
  <c r="AB910" i="5"/>
  <c r="AL910" i="5" s="1"/>
  <c r="AB911" i="5"/>
  <c r="AL911" i="5" s="1"/>
  <c r="AB912" i="5"/>
  <c r="AL912" i="5" s="1"/>
  <c r="AB913" i="5"/>
  <c r="AL913" i="5" s="1"/>
  <c r="AB914" i="5"/>
  <c r="AL914" i="5" s="1"/>
  <c r="AB915" i="5"/>
  <c r="AL915" i="5" s="1"/>
  <c r="AB916" i="5"/>
  <c r="AL916" i="5" s="1"/>
  <c r="AB918" i="5"/>
  <c r="AL918" i="5" s="1"/>
  <c r="AB920" i="5"/>
  <c r="AL920" i="5" s="1"/>
  <c r="AB922" i="5"/>
  <c r="AL922" i="5" s="1"/>
  <c r="AB924" i="5"/>
  <c r="AL924" i="5" s="1"/>
  <c r="AB926" i="5"/>
  <c r="AL926" i="5" s="1"/>
  <c r="AB928" i="5"/>
  <c r="AL928" i="5" s="1"/>
  <c r="AB930" i="5"/>
  <c r="AL930" i="5" s="1"/>
  <c r="AL869" i="5"/>
  <c r="AB870" i="5"/>
  <c r="AL870" i="5" s="1"/>
  <c r="AB872" i="5"/>
  <c r="AL872" i="5" s="1"/>
  <c r="AB874" i="5"/>
  <c r="AL874" i="5" s="1"/>
  <c r="AB876" i="5"/>
  <c r="AL876" i="5" s="1"/>
  <c r="AB878" i="5"/>
  <c r="AL878" i="5" s="1"/>
  <c r="AB880" i="5"/>
  <c r="AL880" i="5" s="1"/>
  <c r="AB882" i="5"/>
  <c r="AL882" i="5" s="1"/>
  <c r="AB884" i="5"/>
  <c r="AL884" i="5" s="1"/>
  <c r="AB886" i="5"/>
  <c r="AL886" i="5" s="1"/>
  <c r="AB888" i="5"/>
  <c r="AL888" i="5" s="1"/>
  <c r="AB890" i="5"/>
  <c r="AL890" i="5" s="1"/>
  <c r="AB892" i="5"/>
  <c r="AL892" i="5" s="1"/>
  <c r="AB894" i="5"/>
  <c r="AL894" i="5" s="1"/>
  <c r="AB896" i="5"/>
  <c r="AL896" i="5" s="1"/>
  <c r="AB898" i="5"/>
  <c r="AL898" i="5" s="1"/>
  <c r="AB900" i="5"/>
  <c r="AL900" i="5" s="1"/>
  <c r="AB902" i="5"/>
  <c r="AL902" i="5" s="1"/>
  <c r="AB904" i="5"/>
  <c r="AL904" i="5" s="1"/>
  <c r="AB906" i="5"/>
  <c r="AL906" i="5" s="1"/>
  <c r="AB923" i="5"/>
  <c r="AL923" i="5" s="1"/>
  <c r="AB917" i="5"/>
  <c r="AL917" i="5" s="1"/>
  <c r="AB925" i="5"/>
  <c r="AL925" i="5" s="1"/>
  <c r="AB931" i="5"/>
  <c r="AL931" i="5" s="1"/>
  <c r="AB940" i="5"/>
  <c r="AL940" i="5" s="1"/>
  <c r="AB942" i="5"/>
  <c r="AL942" i="5" s="1"/>
  <c r="AB944" i="5"/>
  <c r="AL944" i="5" s="1"/>
  <c r="AB946" i="5"/>
  <c r="AL946" i="5" s="1"/>
  <c r="AB948" i="5"/>
  <c r="AL948" i="5" s="1"/>
  <c r="AB950" i="5"/>
  <c r="AL950" i="5" s="1"/>
  <c r="AB952" i="5"/>
  <c r="AL952" i="5" s="1"/>
  <c r="AB954" i="5"/>
  <c r="AL954" i="5" s="1"/>
  <c r="AB919" i="5"/>
  <c r="AL919" i="5" s="1"/>
  <c r="AB927" i="5"/>
  <c r="AL927" i="5" s="1"/>
  <c r="AB921" i="5"/>
  <c r="AL921" i="5" s="1"/>
  <c r="AB929" i="5"/>
  <c r="AL929" i="5" s="1"/>
  <c r="AB939" i="5"/>
  <c r="AL939" i="5" s="1"/>
  <c r="AB941" i="5"/>
  <c r="AL941" i="5" s="1"/>
  <c r="AB943" i="5"/>
  <c r="AL943" i="5" s="1"/>
  <c r="AB945" i="5"/>
  <c r="AL945" i="5" s="1"/>
  <c r="AB947" i="5"/>
  <c r="AL947" i="5" s="1"/>
  <c r="AB949" i="5"/>
  <c r="AL949" i="5" s="1"/>
  <c r="AB951" i="5"/>
  <c r="AL951" i="5" s="1"/>
  <c r="AB953" i="5"/>
  <c r="AL953" i="5" s="1"/>
  <c r="AB955" i="5"/>
  <c r="AL955" i="5" s="1"/>
  <c r="F214" i="11"/>
  <c r="F225" i="11"/>
  <c r="J9" i="11" l="1"/>
  <c r="H214" i="11"/>
  <c r="I214" i="11" s="1"/>
  <c r="J214" i="11" s="1"/>
  <c r="P124" i="6"/>
  <c r="P126" i="6" s="1"/>
  <c r="G32" i="7" s="1"/>
  <c r="M124" i="6"/>
  <c r="M126" i="6" s="1"/>
  <c r="Q124" i="6"/>
  <c r="Q126" i="6" s="1"/>
  <c r="I35" i="7" s="1"/>
  <c r="I34" i="7" s="1"/>
  <c r="N124" i="6"/>
  <c r="N126" i="6" s="1"/>
  <c r="R124" i="6"/>
  <c r="R126" i="6" s="1"/>
  <c r="G35" i="7" s="1"/>
  <c r="G34" i="7" s="1"/>
  <c r="B124" i="6"/>
  <c r="O124" i="6"/>
  <c r="O126" i="6" s="1"/>
  <c r="I32" i="7" s="1"/>
  <c r="I31" i="7" s="1"/>
  <c r="H225" i="11"/>
  <c r="I225" i="11" s="1"/>
  <c r="J23" i="11"/>
  <c r="I20" i="11"/>
  <c r="J225" i="11" l="1"/>
  <c r="G28" i="7"/>
  <c r="I29" i="7"/>
  <c r="I28" i="7" s="1"/>
  <c r="I27" i="7" s="1"/>
  <c r="I19" i="11"/>
  <c r="J20" i="11"/>
  <c r="F10" i="11"/>
  <c r="B126" i="6"/>
  <c r="B98" i="6" s="1"/>
  <c r="G31" i="7"/>
  <c r="J32" i="7"/>
  <c r="G27" i="7" l="1"/>
  <c r="J27" i="7" s="1"/>
  <c r="I37" i="7"/>
  <c r="I38" i="7" s="1"/>
  <c r="G37" i="7"/>
  <c r="J31" i="7"/>
  <c r="C6" i="12"/>
  <c r="J19" i="11"/>
  <c r="H10" i="11"/>
  <c r="H8" i="11" s="1"/>
  <c r="C10" i="11"/>
  <c r="F8" i="11"/>
  <c r="G38" i="7" l="1"/>
  <c r="J38" i="7" s="1"/>
  <c r="I39" i="7"/>
  <c r="I40" i="7" s="1"/>
  <c r="I10" i="11"/>
  <c r="I6" i="12"/>
  <c r="J28" i="7"/>
  <c r="J34" i="7"/>
  <c r="J29" i="7"/>
  <c r="J35" i="7"/>
  <c r="J37" i="7"/>
  <c r="G39" i="7" l="1"/>
  <c r="J39" i="7" s="1"/>
  <c r="I41" i="7"/>
  <c r="I42" i="7" s="1"/>
  <c r="J10" i="11"/>
  <c r="I8" i="11"/>
  <c r="G40" i="7" l="1"/>
  <c r="J40" i="7" s="1"/>
  <c r="K8" i="11"/>
  <c r="D14" i="26"/>
  <c r="F18" i="26" s="1"/>
  <c r="J8" i="11"/>
  <c r="F13" i="11" l="1"/>
  <c r="H13" i="11" s="1"/>
  <c r="H11" i="11" s="1"/>
  <c r="G41" i="7"/>
  <c r="J41" i="7" s="1"/>
  <c r="F11" i="11" l="1"/>
  <c r="F222" i="11" s="1"/>
  <c r="C13" i="11"/>
  <c r="G42" i="7"/>
  <c r="J42" i="7" s="1"/>
  <c r="J26" i="7" s="1"/>
  <c r="I13" i="11"/>
  <c r="H222" i="11" l="1"/>
  <c r="I222" i="11" s="1"/>
  <c r="J222" i="11" s="1"/>
  <c r="J221" i="11" s="1"/>
  <c r="I11" i="11"/>
  <c r="J13" i="11"/>
  <c r="J11" i="11" l="1"/>
  <c r="D15" i="26"/>
  <c r="F19" i="26" s="1"/>
  <c r="K11" i="11"/>
  <c r="C7" i="5" l="1"/>
  <c r="V264" i="5"/>
  <c r="AF264" i="5" s="1"/>
  <c r="V253" i="5"/>
  <c r="AF253" i="5" s="1"/>
  <c r="V254" i="5"/>
  <c r="AF254" i="5" s="1"/>
  <c r="V258" i="5"/>
  <c r="AF258" i="5" s="1"/>
  <c r="V265" i="5"/>
  <c r="AF265" i="5" s="1"/>
  <c r="V256" i="5"/>
  <c r="AF256" i="5" s="1"/>
  <c r="V257" i="5"/>
  <c r="AF257" i="5"/>
  <c r="V266" i="5"/>
  <c r="AF266" i="5" s="1"/>
  <c r="V252" i="5"/>
  <c r="AF252" i="5" s="1"/>
  <c r="AF7" i="5" l="1"/>
  <c r="D19" i="23" s="1"/>
  <c r="D15" i="23" l="1"/>
  <c r="D13" i="23"/>
  <c r="E13" i="23"/>
  <c r="E19" i="23"/>
  <c r="E15" i="23"/>
  <c r="E9" i="23" l="1"/>
  <c r="G9" i="23"/>
  <c r="F15" i="11"/>
  <c r="G10" i="23" l="1"/>
  <c r="G15" i="23"/>
  <c r="G16" i="23"/>
  <c r="G19" i="23"/>
  <c r="G17" i="23"/>
  <c r="G12" i="23"/>
  <c r="G14" i="23"/>
  <c r="G11" i="23"/>
  <c r="G13" i="23"/>
  <c r="G18" i="23"/>
  <c r="C15" i="11"/>
  <c r="H15" i="11"/>
  <c r="I15" i="11"/>
  <c r="J15" i="11" l="1"/>
  <c r="AB253" i="5"/>
  <c r="AL253" i="5" s="1"/>
  <c r="AB266" i="5"/>
  <c r="AL266" i="5" s="1"/>
  <c r="AB258" i="5"/>
  <c r="AL258" i="5"/>
  <c r="AB257" i="5"/>
  <c r="AL257" i="5"/>
  <c r="AB264" i="5"/>
  <c r="AL264" i="5" s="1"/>
  <c r="AB256" i="5"/>
  <c r="AL256" i="5" s="1"/>
  <c r="AB265" i="5"/>
  <c r="AL265" i="5"/>
  <c r="AB254" i="5"/>
  <c r="AL254" i="5"/>
  <c r="AB252" i="5"/>
  <c r="AL252" i="5"/>
  <c r="AL7" i="5" s="1"/>
  <c r="D24" i="23" l="1"/>
  <c r="D30" i="23"/>
  <c r="D26" i="23"/>
  <c r="E30" i="23"/>
  <c r="E26" i="23"/>
  <c r="E24" i="23"/>
  <c r="E20" i="23" s="1"/>
  <c r="G20" i="23" l="1"/>
  <c r="F16" i="11"/>
  <c r="G21" i="23" l="1"/>
  <c r="G24" i="23"/>
  <c r="G23" i="23"/>
  <c r="G29" i="23"/>
  <c r="G27" i="23"/>
  <c r="G25" i="23"/>
  <c r="G28" i="23"/>
  <c r="G22" i="23"/>
  <c r="G26" i="23"/>
  <c r="G30" i="23"/>
  <c r="C16" i="11"/>
  <c r="H16" i="11"/>
  <c r="H14" i="11" s="1"/>
  <c r="H7" i="11" s="1"/>
  <c r="H6" i="11" s="1"/>
  <c r="F14" i="11"/>
  <c r="F7" i="11" s="1"/>
  <c r="F226" i="11" l="1"/>
  <c r="F6" i="11"/>
  <c r="F213" i="11"/>
  <c r="I16" i="11"/>
  <c r="H226" i="11" l="1"/>
  <c r="I226" i="11" s="1"/>
  <c r="J16" i="11"/>
  <c r="I14" i="11"/>
  <c r="H213" i="11"/>
  <c r="I213" i="11" s="1"/>
  <c r="D19" i="26"/>
  <c r="F215" i="11"/>
  <c r="Q192" i="11"/>
  <c r="Q194" i="11" s="1"/>
  <c r="F15" i="17"/>
  <c r="F219" i="11"/>
  <c r="F205" i="11"/>
  <c r="F206" i="11"/>
  <c r="F204" i="11"/>
  <c r="I7" i="18"/>
  <c r="H7" i="18" s="1"/>
  <c r="F196" i="11"/>
  <c r="F207" i="11"/>
  <c r="H207" i="11" l="1"/>
  <c r="I207" i="11" s="1"/>
  <c r="J207" i="11" s="1"/>
  <c r="F201" i="11"/>
  <c r="F203" i="11"/>
  <c r="F202" i="11"/>
  <c r="Q7" i="18"/>
  <c r="Q9" i="18" s="1"/>
  <c r="B11" i="18"/>
  <c r="H215" i="11"/>
  <c r="D13" i="26"/>
  <c r="F17" i="26" s="1"/>
  <c r="J226" i="11"/>
  <c r="J224" i="11" s="1"/>
  <c r="H204" i="11"/>
  <c r="I204" i="11" s="1"/>
  <c r="J204" i="11" s="1"/>
  <c r="H219" i="11"/>
  <c r="I219" i="11" s="1"/>
  <c r="J219" i="11" s="1"/>
  <c r="J14" i="11"/>
  <c r="I7" i="11"/>
  <c r="K12" i="11"/>
  <c r="H206" i="11"/>
  <c r="I206" i="11" s="1"/>
  <c r="J206" i="11" s="1"/>
  <c r="I12" i="17"/>
  <c r="J12" i="17" s="1"/>
  <c r="J213" i="11"/>
  <c r="J212" i="11" s="1"/>
  <c r="J211" i="11" s="1"/>
  <c r="H196" i="11"/>
  <c r="I196" i="11" s="1"/>
  <c r="J196" i="11" s="1"/>
  <c r="H205" i="11"/>
  <c r="I205" i="11" s="1"/>
  <c r="J205" i="11" s="1"/>
  <c r="F192" i="11"/>
  <c r="E192" i="11"/>
  <c r="F14" i="17" l="1"/>
  <c r="H192" i="11"/>
  <c r="I192" i="11" s="1"/>
  <c r="I215" i="11"/>
  <c r="E202" i="11"/>
  <c r="H202" i="11"/>
  <c r="I202" i="11" s="1"/>
  <c r="J202" i="11" s="1"/>
  <c r="E203" i="11"/>
  <c r="H203" i="11"/>
  <c r="I203" i="11" s="1"/>
  <c r="J203" i="11" s="1"/>
  <c r="B10" i="18"/>
  <c r="B7" i="18"/>
  <c r="B8" i="18"/>
  <c r="D8" i="18"/>
  <c r="D6" i="18" s="1"/>
  <c r="F195" i="11" s="1"/>
  <c r="E201" i="11"/>
  <c r="H201" i="11"/>
  <c r="I201" i="11" s="1"/>
  <c r="J201" i="11" s="1"/>
  <c r="J7" i="11"/>
  <c r="I6" i="11"/>
  <c r="C7" i="12"/>
  <c r="I7" i="12" l="1"/>
  <c r="C8" i="12"/>
  <c r="K196" i="11"/>
  <c r="J6" i="11"/>
  <c r="C195" i="11"/>
  <c r="C196" i="11" s="1"/>
  <c r="F199" i="11"/>
  <c r="H195" i="11"/>
  <c r="F198" i="11"/>
  <c r="F200" i="11"/>
  <c r="J192" i="11"/>
  <c r="E8" i="12"/>
  <c r="D5" i="32" s="1"/>
  <c r="E5" i="32" s="1"/>
  <c r="J215" i="11"/>
  <c r="E199" i="11" l="1"/>
  <c r="H199" i="11"/>
  <c r="I199" i="11" s="1"/>
  <c r="J199" i="11" s="1"/>
  <c r="E200" i="11"/>
  <c r="H200" i="11"/>
  <c r="I200" i="11" s="1"/>
  <c r="J200" i="11" s="1"/>
  <c r="E198" i="11"/>
  <c r="H198" i="11"/>
  <c r="I198" i="11" s="1"/>
  <c r="J198" i="11" s="1"/>
  <c r="E197" i="11"/>
  <c r="F197" i="11"/>
  <c r="I195" i="11"/>
  <c r="D3" i="32"/>
  <c r="E3" i="32" l="1"/>
  <c r="J195" i="11"/>
  <c r="D12" i="26"/>
  <c r="F16" i="26" s="1"/>
  <c r="D6" i="26" s="1"/>
  <c r="D9" i="26" s="1"/>
  <c r="D5" i="26" s="1"/>
  <c r="F220" i="11" s="1"/>
  <c r="C197" i="11"/>
  <c r="C198" i="11" s="1"/>
  <c r="C199" i="11" s="1"/>
  <c r="C200" i="11" s="1"/>
  <c r="C201" i="11" s="1"/>
  <c r="C202" i="11" s="1"/>
  <c r="C203" i="11" s="1"/>
  <c r="C204" i="11" s="1"/>
  <c r="C205" i="11" s="1"/>
  <c r="C206" i="11" s="1"/>
  <c r="C207" i="11" s="1"/>
  <c r="C208" i="11" s="1"/>
  <c r="C209" i="11" s="1"/>
  <c r="H197" i="11"/>
  <c r="F193" i="11"/>
  <c r="I220" i="11" l="1"/>
  <c r="J220" i="11" s="1"/>
  <c r="I197" i="11"/>
  <c r="H193" i="11"/>
  <c r="J197" i="11" l="1"/>
  <c r="I193" i="11"/>
  <c r="F8" i="12" l="1"/>
  <c r="J193" i="11"/>
  <c r="D6" i="32" l="1"/>
  <c r="E6" i="32" l="1"/>
  <c r="AA256" i="5"/>
  <c r="AK256" i="5" s="1"/>
  <c r="AA252" i="5"/>
  <c r="AK252" i="5" s="1"/>
  <c r="AA257" i="5"/>
  <c r="AK257" i="5" s="1"/>
  <c r="AA254" i="5"/>
  <c r="AK254" i="5" s="1"/>
  <c r="AA266" i="5"/>
  <c r="AK266" i="5" s="1"/>
  <c r="AA253" i="5"/>
  <c r="AK253" i="5" s="1"/>
  <c r="AA258" i="5"/>
  <c r="AK258" i="5" s="1"/>
  <c r="AA264" i="5"/>
  <c r="AK264" i="5" s="1"/>
  <c r="AA265" i="5"/>
  <c r="AK265" i="5" s="1"/>
  <c r="Y254" i="5"/>
  <c r="AI254" i="5" s="1"/>
  <c r="Y264" i="5"/>
  <c r="AI264" i="5" s="1"/>
  <c r="Y258" i="5"/>
  <c r="AI258" i="5" s="1"/>
  <c r="Y257" i="5"/>
  <c r="AI257" i="5" s="1"/>
  <c r="Y253" i="5"/>
  <c r="AI253" i="5"/>
  <c r="Y256" i="5"/>
  <c r="AI256" i="5" s="1"/>
  <c r="Y252" i="5"/>
  <c r="AI252" i="5" s="1"/>
  <c r="Y266" i="5"/>
  <c r="AI266" i="5" s="1"/>
  <c r="Y265" i="5"/>
  <c r="AI265" i="5" s="1"/>
  <c r="Z258" i="5"/>
  <c r="AJ258" i="5" s="1"/>
  <c r="Z264" i="5"/>
  <c r="AJ264" i="5" s="1"/>
  <c r="U258" i="5"/>
  <c r="AE258" i="5" s="1"/>
  <c r="U253" i="5"/>
  <c r="AE253" i="5"/>
  <c r="W254" i="5"/>
  <c r="AG254" i="5" s="1"/>
  <c r="U265" i="5"/>
  <c r="AE265" i="5"/>
  <c r="Z253" i="5"/>
  <c r="AJ253" i="5" s="1"/>
  <c r="U256" i="5"/>
  <c r="AE256" i="5" s="1"/>
  <c r="W256" i="5"/>
  <c r="AG256" i="5" s="1"/>
  <c r="X266" i="5"/>
  <c r="AH266" i="5" s="1"/>
  <c r="Z266" i="5"/>
  <c r="AJ266" i="5"/>
  <c r="X258" i="5"/>
  <c r="AH258" i="5" s="1"/>
  <c r="W264" i="5"/>
  <c r="AG264" i="5"/>
  <c r="U264" i="5"/>
  <c r="AE264" i="5" s="1"/>
  <c r="U252" i="5"/>
  <c r="AE252" i="5"/>
  <c r="X264" i="5"/>
  <c r="AH264" i="5" s="1"/>
  <c r="W265" i="5"/>
  <c r="AG265" i="5" s="1"/>
  <c r="Z265" i="5"/>
  <c r="AJ265" i="5" s="1"/>
  <c r="W257" i="5"/>
  <c r="AG257" i="5" s="1"/>
  <c r="U266" i="5"/>
  <c r="AE266" i="5" s="1"/>
  <c r="W253" i="5"/>
  <c r="AG253" i="5" s="1"/>
  <c r="W258" i="5"/>
  <c r="AG258" i="5" s="1"/>
  <c r="X253" i="5"/>
  <c r="AH253" i="5" s="1"/>
  <c r="Z254" i="5"/>
  <c r="AJ254" i="5" s="1"/>
  <c r="U257" i="5"/>
  <c r="AE257" i="5"/>
  <c r="W266" i="5"/>
  <c r="AG266" i="5" s="1"/>
  <c r="X265" i="5"/>
  <c r="AH265" i="5" s="1"/>
  <c r="X254" i="5"/>
  <c r="AH254" i="5" s="1"/>
  <c r="X257" i="5"/>
  <c r="AH257" i="5" s="1"/>
  <c r="U254" i="5"/>
  <c r="AE254" i="5" s="1"/>
  <c r="X252" i="5"/>
  <c r="AH252" i="5" s="1"/>
  <c r="Z252" i="5"/>
  <c r="AJ252" i="5" s="1"/>
  <c r="W252" i="5"/>
  <c r="AG252" i="5" s="1"/>
  <c r="Z257" i="5"/>
  <c r="AJ257" i="5"/>
  <c r="X256" i="5"/>
  <c r="AH256" i="5"/>
  <c r="Z256" i="5"/>
  <c r="AJ256" i="5"/>
  <c r="AG7" i="5" l="1"/>
  <c r="AH7" i="5"/>
  <c r="AK7" i="5"/>
  <c r="AE7" i="5"/>
  <c r="AJ7" i="5"/>
  <c r="AI7" i="5"/>
  <c r="J218" i="11"/>
  <c r="I218" i="11"/>
  <c r="E9" i="32"/>
  <c r="D9" i="32"/>
  <c r="H210" i="11"/>
  <c r="H217" i="11"/>
  <c r="E8" i="32"/>
  <c r="D8" i="32"/>
  <c r="H8" i="12"/>
  <c r="I8" i="12"/>
  <c r="D4" i="26"/>
  <c r="J216" i="11"/>
  <c r="J217" i="11"/>
  <c r="G8" i="12"/>
  <c r="D7" i="32"/>
  <c r="E7" i="32"/>
  <c r="H218" i="11"/>
  <c r="E218" i="11"/>
  <c r="I227" i="11"/>
  <c r="J227" i="11"/>
  <c r="C217" i="11"/>
  <c r="F210" i="11"/>
  <c r="E217" i="11"/>
  <c r="J210" i="11"/>
  <c r="P220" i="11"/>
  <c r="F217" i="11"/>
  <c r="I217" i="11"/>
  <c r="I210" i="11"/>
  <c r="P218" i="11"/>
  <c r="P221" i="11"/>
  <c r="F218" i="11"/>
  <c r="C218" i="11"/>
  <c r="C219" i="11"/>
  <c r="C220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 Nguyen</author>
    <author>Nguyen Xuan Vuong</author>
  </authors>
  <commentList>
    <comment ref="E10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TNT Nguyen:</t>
        </r>
        <r>
          <rPr>
            <sz val="9"/>
            <color indexed="81"/>
            <rFont val="Tahoma"/>
            <family val="2"/>
          </rPr>
          <t xml:space="preserve">
Gia SCL 2019</t>
        </r>
      </text>
    </comment>
    <comment ref="F297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Nguyen Xuan Vuong:</t>
        </r>
        <r>
          <rPr>
            <sz val="9"/>
            <color indexed="81"/>
            <rFont val="Tahoma"/>
            <family val="2"/>
          </rPr>
          <t xml:space="preserve">
QD 1901/UBND Tap 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</author>
  </authors>
  <commentList>
    <comment ref="D89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0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3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</commentList>
</comments>
</file>

<file path=xl/sharedStrings.xml><?xml version="1.0" encoding="utf-8"?>
<sst xmlns="http://schemas.openxmlformats.org/spreadsheetml/2006/main" count="23492" uniqueCount="4204">
  <si>
    <t>Mã</t>
  </si>
  <si>
    <t>MHĐG</t>
  </si>
  <si>
    <t>Tên vật tư</t>
  </si>
  <si>
    <t>Đơn vị</t>
  </si>
  <si>
    <t>Đơn giá</t>
  </si>
  <si>
    <t>Mã đơn giá NC</t>
  </si>
  <si>
    <t>Hệ số điều chỉnh NC</t>
  </si>
  <si>
    <t>Giá ca máy</t>
  </si>
  <si>
    <t>Số ca</t>
  </si>
  <si>
    <t>D12</t>
  </si>
  <si>
    <t>Đà cản BTCT 1,2m</t>
  </si>
  <si>
    <t>cái</t>
  </si>
  <si>
    <t>N2.40</t>
  </si>
  <si>
    <t>04.3801</t>
  </si>
  <si>
    <t>04.3802</t>
  </si>
  <si>
    <t>COM800</t>
  </si>
  <si>
    <t>Đà hộp composite 110x80x5-800</t>
  </si>
  <si>
    <t>CCOM800</t>
  </si>
  <si>
    <t>COM2400</t>
  </si>
  <si>
    <t>Đà hộp composite 110x80x5-2400</t>
  </si>
  <si>
    <t>CCOM2400</t>
  </si>
  <si>
    <t>Thanh chống Composite dẹp 10x40x920</t>
  </si>
  <si>
    <t>COM2600</t>
  </si>
  <si>
    <t>Đà hộp composite 110x80x5-2600</t>
  </si>
  <si>
    <t>bộ</t>
  </si>
  <si>
    <t>B1450</t>
  </si>
  <si>
    <t>Boulon 14x50+ 2 long đền vuông D16-50x50x3/Zn</t>
  </si>
  <si>
    <t>B14120</t>
  </si>
  <si>
    <t>Boulon 14x120+ 2 long đền vuông D16-50x50x3/Zn</t>
  </si>
  <si>
    <t>B1650</t>
  </si>
  <si>
    <t>Boulon 16x50+ 2 long đền vuông D18-50x50x3/Zn</t>
  </si>
  <si>
    <t>B16100</t>
  </si>
  <si>
    <t>Boulon 16x100+ 2 long đền vuông D18-50x50x3/Zn</t>
  </si>
  <si>
    <t>B16250</t>
  </si>
  <si>
    <t>Boulon 16x250+ 2 long đền vuông D18-50x50x3/Zn</t>
  </si>
  <si>
    <t>B16300</t>
  </si>
  <si>
    <t>Boulon 16x300+ 2 long đền vuông D18-50x50x3/Zn</t>
  </si>
  <si>
    <t>B16350</t>
  </si>
  <si>
    <t>Boulon 16x350+ 2 long đền vuông D18-50x50x3/Zn</t>
  </si>
  <si>
    <t>B16400</t>
  </si>
  <si>
    <t>Boulon 16x400+ 2 long đền vuông D18-50x50x3/Zn</t>
  </si>
  <si>
    <t>B16450</t>
  </si>
  <si>
    <t>Boulon 16x450+ 2 long đền vuông D18-50x50x3/Zn</t>
  </si>
  <si>
    <t>B16500</t>
  </si>
  <si>
    <t>Boulon 16x500+ 2 long đền vuông D18-50x50x3/Zn</t>
  </si>
  <si>
    <t>B16600</t>
  </si>
  <si>
    <t>Boulon 16x600+ 2 long đền vuông D18-50x50x3/Zn</t>
  </si>
  <si>
    <t>B16250V</t>
  </si>
  <si>
    <t>Boulon 16x250VRS+ 4 long đền vuông D18-50x50x3/Zn</t>
  </si>
  <si>
    <t>B16300V</t>
  </si>
  <si>
    <t>B16350V</t>
  </si>
  <si>
    <t>Boulon 16x350VRS+ 4 long đền vuông D18-50x50x3/Zn</t>
  </si>
  <si>
    <t>B16400v</t>
  </si>
  <si>
    <t>Boulon 16x400VRS + 4 long đền vuông D18-50x50x3/Zn</t>
  </si>
  <si>
    <t>B16450v</t>
  </si>
  <si>
    <t>Boulon 16x450VRS + 4 long đền vuông D18-50x50x3/Zn</t>
  </si>
  <si>
    <t>B16500V</t>
  </si>
  <si>
    <t>Boulon 16x500VRS + 2 long đền vuông D18-50x50x3/Zn</t>
  </si>
  <si>
    <t>B16550V</t>
  </si>
  <si>
    <t>Boulon 16x550VRS + 2 long đền vuông D18-50x50x3/Zn</t>
  </si>
  <si>
    <t>B16600V</t>
  </si>
  <si>
    <t>Boulon 16x600VRS + 4 long đền vuông D18-50x50x3/Zn</t>
  </si>
  <si>
    <t>B16650V</t>
  </si>
  <si>
    <t>Boulon 16x650VRS + 2 long đền vuông D18-50x50x3/Zn</t>
  </si>
  <si>
    <t>B16700V</t>
  </si>
  <si>
    <t>Boulon 16x700VRS + 4 long đền vuông D18-50x50x3/Zn</t>
  </si>
  <si>
    <t>B16750V</t>
  </si>
  <si>
    <t>Boulon 16x750VRS + 2 long đền vuông D18-50x50x3/Zn</t>
  </si>
  <si>
    <t>B16400vr</t>
  </si>
  <si>
    <t>Boulon 16x400VRS + 2 long đền vuông D18-50x50x3/Zn</t>
  </si>
  <si>
    <t>B16450vr</t>
  </si>
  <si>
    <t>Boulon 16x450VRS + 2 long đền vuông D18-50x50x3/Zn</t>
  </si>
  <si>
    <t>B16500Vr</t>
  </si>
  <si>
    <t>B16550Vr</t>
  </si>
  <si>
    <t>B16600Vr</t>
  </si>
  <si>
    <t>Boulon 16x600VRS + 2 long đền vuông D18-50x50x3/Zn</t>
  </si>
  <si>
    <t>B16650Vr</t>
  </si>
  <si>
    <t>B16700Vr</t>
  </si>
  <si>
    <t>Boulon 16x700VRS + 2 long đền vuông D18-50x50x3/Zn</t>
  </si>
  <si>
    <t>B16750Vr</t>
  </si>
  <si>
    <t>B22500</t>
  </si>
  <si>
    <t>Boulon 22x500+ 2 long đền vuông D24-50x50x3/Zn</t>
  </si>
  <si>
    <t>B22550</t>
  </si>
  <si>
    <t>Boulon 22x550+ 2 long đền vuông D24-60x60x6/Zn</t>
  </si>
  <si>
    <t>B22600</t>
  </si>
  <si>
    <t xml:space="preserve"> </t>
  </si>
  <si>
    <t>Boulon 22x600+ 2 long đền vuông D24-60x60x6/Zn</t>
  </si>
  <si>
    <t>B22650</t>
  </si>
  <si>
    <t>Boulon 22x650+ 2 long đền vuông D24-50x50x3/Zn</t>
  </si>
  <si>
    <t>B22700</t>
  </si>
  <si>
    <t>Boulon 22x700+ 2 long đền vuông D24-50x50x3/Zn</t>
  </si>
  <si>
    <t>B22750</t>
  </si>
  <si>
    <t>Boulon 22x750+ 2 long đền vuông D24-50x50x3/Zn</t>
  </si>
  <si>
    <t>B22800</t>
  </si>
  <si>
    <t>Boulon 22x800+ 2 long đền vuông D24-50x50x3/Zn</t>
  </si>
  <si>
    <t>B22850</t>
  </si>
  <si>
    <t>Boulon 22x850+ 2 long đền vuông D24-50x50x3/Zn</t>
  </si>
  <si>
    <t>B22800v</t>
  </si>
  <si>
    <t>Boulon 22x800VRS + 2 long đền vuông D24-60x60x6/Zn</t>
  </si>
  <si>
    <t>B22750v</t>
  </si>
  <si>
    <t>Boulon 22x750VRS + 2 long đền vuông D24-60x60x6/Zn</t>
  </si>
  <si>
    <t>B22500v</t>
  </si>
  <si>
    <t>Boulon 22x500VRS + 2 long đền vuông D24-60x60x6/Zn</t>
  </si>
  <si>
    <t>B22550v</t>
  </si>
  <si>
    <t>Boulon 22x550VRS + 2 long đền vuông D24-60x60x6/Zn</t>
  </si>
  <si>
    <t>B22600v</t>
  </si>
  <si>
    <t>Boulon 22x600VRS + 2 long đền vuông D24-60x60x6/Zn</t>
  </si>
  <si>
    <t>BM16230</t>
  </si>
  <si>
    <t>Boulon mắt 16x230+ long đền vuông D18-50x50x3/Zn</t>
  </si>
  <si>
    <t>BM16250</t>
  </si>
  <si>
    <t>Boulon mắt 16x250+ long đền vuông D18-50x50x3/Zn</t>
  </si>
  <si>
    <t>BM16300</t>
  </si>
  <si>
    <t>Boulon mắt 16x300+ long đền vuông D18-50x50x3/Zn</t>
  </si>
  <si>
    <t>BMOC16200</t>
  </si>
  <si>
    <t>Boulon móc 16x200+ long đền vuông D18-50x50x3/Zn</t>
  </si>
  <si>
    <t>BMOC16230</t>
  </si>
  <si>
    <t>Boulon móc 16x230+ long đền vuông D18-50x50x3/Zn</t>
  </si>
  <si>
    <t>BMOC16250</t>
  </si>
  <si>
    <t>Boulon móc 16x250+ long đền vuông D18-50x50x3/Zn</t>
  </si>
  <si>
    <t>BMOC16300</t>
  </si>
  <si>
    <t>Boulon móc 16x300+ long đền vuông D18-50x50x3/Zn</t>
  </si>
  <si>
    <t>BMOC16350</t>
  </si>
  <si>
    <t>Boulon móc 16x350+ long đền vuông D18-50x50x3/Zn</t>
  </si>
  <si>
    <t>BMOC16400</t>
  </si>
  <si>
    <t>Boulon móc 16x400+ long đền vuông D18-50x50x3/Zn</t>
  </si>
  <si>
    <t>LD tron</t>
  </si>
  <si>
    <t>Long đền tròn 12-14-16-18</t>
  </si>
  <si>
    <t>LD 40</t>
  </si>
  <si>
    <t>Long đền vuông 14-22 (50x50x3)</t>
  </si>
  <si>
    <t>LD 60</t>
  </si>
  <si>
    <t>Long đền vuông 18-24 (60x60x6)</t>
  </si>
  <si>
    <t>CHUPFCO</t>
  </si>
  <si>
    <t>Chụp đầu FCO (Trên + Dưới)</t>
  </si>
  <si>
    <t>CHUPLA</t>
  </si>
  <si>
    <t>Chụp đầu LA</t>
  </si>
  <si>
    <t>CHUPMBA</t>
  </si>
  <si>
    <t>Chụp đầu cực MBA</t>
  </si>
  <si>
    <t>BATLI</t>
  </si>
  <si>
    <t>Bộ</t>
  </si>
  <si>
    <t>BATLL</t>
  </si>
  <si>
    <t>Bass LL bắt FCO và LA</t>
  </si>
  <si>
    <t>04.5142</t>
  </si>
  <si>
    <t>cây</t>
  </si>
  <si>
    <t>kg</t>
  </si>
  <si>
    <t>M25</t>
  </si>
  <si>
    <t>Cáp đồng trần M25mm2</t>
  </si>
  <si>
    <t>mét</t>
  </si>
  <si>
    <t>Cáp 24KV C/XLPE/PVC 25mm2</t>
  </si>
  <si>
    <t>Cáp 24KV C/XLPE/PVC 50mm2</t>
  </si>
  <si>
    <t>XLPE70</t>
  </si>
  <si>
    <t>Cáp 24KV C/XLPE/PVC 70mm2</t>
  </si>
  <si>
    <t>XLPE95</t>
  </si>
  <si>
    <t>Cáp 24KV C/XLPE/PVC 95mm2</t>
  </si>
  <si>
    <t>XLPE120</t>
  </si>
  <si>
    <t>Cáp 24KV C/XLPE/PVC 120mm2</t>
  </si>
  <si>
    <t>XLPE150</t>
  </si>
  <si>
    <t>Cáp 24KV C/XLPE/PVC 150mm2</t>
  </si>
  <si>
    <t>XLPE185</t>
  </si>
  <si>
    <t>Cáp 24KV C/XLPE/PVC 185mm2</t>
  </si>
  <si>
    <t>XLPE240</t>
  </si>
  <si>
    <t>Cáp 24KV C/XLPE/PVC 240mm2</t>
  </si>
  <si>
    <t>XLPE250</t>
  </si>
  <si>
    <t>Cáp 24KV C/XLPE/PVC 250mm2</t>
  </si>
  <si>
    <t>Cáp 24KV ACX 50mm2</t>
  </si>
  <si>
    <t>Cáp 24KV ACX 70mm2</t>
  </si>
  <si>
    <t>XLPE370D</t>
  </si>
  <si>
    <t>Cáp 24kV C/XLPE/DSTA/PVC3x70mm2</t>
  </si>
  <si>
    <t>XLPE395D</t>
  </si>
  <si>
    <t>Cáp 24kV C/XLPE/DSTA/PVC3x95mm2</t>
  </si>
  <si>
    <t>XLPE3120D</t>
  </si>
  <si>
    <t>Cáp 24kV C/XLPE/DSTA/PVC3x120mm2</t>
  </si>
  <si>
    <t>XLPE3150D</t>
  </si>
  <si>
    <t>Cáp 24kV C/XLPE/DSTA/PVC3x150mm2</t>
  </si>
  <si>
    <t>XLPE3185D</t>
  </si>
  <si>
    <t>Cáp 24kV C/XLPE/DSTA/PVC3x185mm2</t>
  </si>
  <si>
    <t>XLPE3240D</t>
  </si>
  <si>
    <t>Cáp 24kV C/XLPE/DSTA/PVC3x240mm2</t>
  </si>
  <si>
    <t>AC50</t>
  </si>
  <si>
    <t>Cáp nhôm lõi thép AC-50/8</t>
  </si>
  <si>
    <t>AC70</t>
  </si>
  <si>
    <t>Cáp nhôm lõi thép AC-70/11</t>
  </si>
  <si>
    <t>AC95</t>
  </si>
  <si>
    <t>Cáp nhôm lõi thép AC-95/16</t>
  </si>
  <si>
    <t>AC120</t>
  </si>
  <si>
    <t>Cáp nhôm lõi thép AC-120/19</t>
  </si>
  <si>
    <t>AC150</t>
  </si>
  <si>
    <t>Cáp nhôm lõi thép AC-150/24</t>
  </si>
  <si>
    <t>AC185</t>
  </si>
  <si>
    <t>Cáp nhôm lõi thép AC-185/29</t>
  </si>
  <si>
    <t>AC240</t>
  </si>
  <si>
    <t>Cáp nhôm lõi thép AC-240/39</t>
  </si>
  <si>
    <t>av35</t>
  </si>
  <si>
    <t>Cáp nhôm bọc AV35</t>
  </si>
  <si>
    <t>av50</t>
  </si>
  <si>
    <t>Cáp nhôm bọc AV50</t>
  </si>
  <si>
    <t>av70</t>
  </si>
  <si>
    <t>Cáp nhôm bọc AV70</t>
  </si>
  <si>
    <t>av95</t>
  </si>
  <si>
    <t>Cáp nhôm bọc AV95</t>
  </si>
  <si>
    <t>av120</t>
  </si>
  <si>
    <t>Cáp nhôm bọc AV120</t>
  </si>
  <si>
    <t>av150</t>
  </si>
  <si>
    <t>Cáp nhôm bọc AV150</t>
  </si>
  <si>
    <t>av185</t>
  </si>
  <si>
    <t>Cáp nhôm bọc AV185</t>
  </si>
  <si>
    <t>av240</t>
  </si>
  <si>
    <t>Cáp nhôm bọc AV240</t>
  </si>
  <si>
    <t>av300</t>
  </si>
  <si>
    <t>Cáp nhôm bọc AV300</t>
  </si>
  <si>
    <t>ABC4x50</t>
  </si>
  <si>
    <t>Cáp nhôm ABC 4x50mm2</t>
  </si>
  <si>
    <t>ABC3x50</t>
  </si>
  <si>
    <t>Cáp nhôm ABC 3x50mm2</t>
  </si>
  <si>
    <t>ABC4x70</t>
  </si>
  <si>
    <t>Cáp nhôm ABC 4x70mm2</t>
  </si>
  <si>
    <t>ABC3x70</t>
  </si>
  <si>
    <t>Cáp nhôm ABC 3x70mm2</t>
  </si>
  <si>
    <t>ABC4x95</t>
  </si>
  <si>
    <t>Cáp nhôm ABC 4x95mm2</t>
  </si>
  <si>
    <t>ABC3x95</t>
  </si>
  <si>
    <t>Cáp nhôm ABC 3x95mm2</t>
  </si>
  <si>
    <t>ABC3x120</t>
  </si>
  <si>
    <t>Cáp nhôm ABC 3x120mm2</t>
  </si>
  <si>
    <t>ABC4x120</t>
  </si>
  <si>
    <t>Cáp nhôm ABC 4x120mm2</t>
  </si>
  <si>
    <t>ABC4x150</t>
  </si>
  <si>
    <t>Cáp nhôm ABC 4x150mm2</t>
  </si>
  <si>
    <t>cv25</t>
  </si>
  <si>
    <t>Cáp đồng bọc CV25</t>
  </si>
  <si>
    <t>cv35</t>
  </si>
  <si>
    <t>Cáp đồng bọc CV35</t>
  </si>
  <si>
    <t>cv50</t>
  </si>
  <si>
    <t>Cáp đồng bọc CV50</t>
  </si>
  <si>
    <t>cv70</t>
  </si>
  <si>
    <t>Cáp đồng bọc CV70</t>
  </si>
  <si>
    <t>cv95</t>
  </si>
  <si>
    <t>Cáp đồng bọc CV95</t>
  </si>
  <si>
    <t>cv120</t>
  </si>
  <si>
    <t>Cáp đồng bọc CV120</t>
  </si>
  <si>
    <t>cv150</t>
  </si>
  <si>
    <t>Cáp đồng bọc CV150</t>
  </si>
  <si>
    <t>cv185</t>
  </si>
  <si>
    <t>Cáp đồng bọc CV185</t>
  </si>
  <si>
    <t>cv200</t>
  </si>
  <si>
    <t>Cáp đồng bọc CV200</t>
  </si>
  <si>
    <t>cv240</t>
  </si>
  <si>
    <t>Cáp đồng bọc CV240</t>
  </si>
  <si>
    <t>cv250</t>
  </si>
  <si>
    <t>Cáp đồng bọc CV250</t>
  </si>
  <si>
    <t>cv300</t>
  </si>
  <si>
    <t>Cáp đồng bọc CV300</t>
  </si>
  <si>
    <t>cv400</t>
  </si>
  <si>
    <t>Cáp đồng bọc CV400</t>
  </si>
  <si>
    <t>A50</t>
  </si>
  <si>
    <t>Cáp nhôm A-50</t>
  </si>
  <si>
    <t>A70</t>
  </si>
  <si>
    <t>A95</t>
  </si>
  <si>
    <t>Cáp nhôm A-95</t>
  </si>
  <si>
    <t>A120</t>
  </si>
  <si>
    <t>Cáp nhôm A-120</t>
  </si>
  <si>
    <t>A150</t>
  </si>
  <si>
    <t>Cáp nhôm A-150</t>
  </si>
  <si>
    <t>A185</t>
  </si>
  <si>
    <t>Cáp nhôm A-185</t>
  </si>
  <si>
    <t>A240</t>
  </si>
  <si>
    <t>Cáp nhôm A-240</t>
  </si>
  <si>
    <t>C3/8</t>
  </si>
  <si>
    <t>Cáp thép 3/8"</t>
  </si>
  <si>
    <t>C5/8</t>
  </si>
  <si>
    <t>Cáp thép 5/8"</t>
  </si>
  <si>
    <t>CSDI</t>
  </si>
  <si>
    <t>Chân sứ đỉnh thẳng dài 870 dày 4mm</t>
  </si>
  <si>
    <t>CSDG</t>
  </si>
  <si>
    <t>Chân sứ đỉnh cong dài 870 dày 4mm</t>
  </si>
  <si>
    <t>CSD</t>
  </si>
  <si>
    <t>Chân sứ đứng 24kV</t>
  </si>
  <si>
    <t>trụ</t>
  </si>
  <si>
    <t>K3B</t>
  </si>
  <si>
    <t>CTD</t>
  </si>
  <si>
    <t>cọc</t>
  </si>
  <si>
    <t>KC</t>
  </si>
  <si>
    <t>Kẹp cọc tiếp địa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</si>
  <si>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</si>
  <si>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</si>
  <si>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</si>
  <si>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</si>
  <si>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</si>
  <si>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</si>
  <si>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>D4.6204</t>
  </si>
  <si>
    <t>N2.35</t>
  </si>
  <si>
    <t>KNGUNG50</t>
  </si>
  <si>
    <t>Kẹp ngừng cáp ABC4x50mm2</t>
  </si>
  <si>
    <t>KNGUNG70</t>
  </si>
  <si>
    <t>Kẹp ngừng cáp ABC4x70mm2</t>
  </si>
  <si>
    <t>KNGUNG95</t>
  </si>
  <si>
    <t>D4.6205</t>
  </si>
  <si>
    <t>Kẹp ngừng cáp ABC4x95mm2</t>
  </si>
  <si>
    <t>KNGUNG120</t>
  </si>
  <si>
    <t>Kẹp ngừng cáp ABC4x120mm2</t>
  </si>
  <si>
    <t>KNGUNG150</t>
  </si>
  <si>
    <t>Kẹp ngừng cáp ABC4x150mm2</t>
  </si>
  <si>
    <t>HOP9C</t>
  </si>
  <si>
    <t>11.03.204</t>
  </si>
  <si>
    <t>Hộp phân phối 9 cực bắt trực tiếp</t>
  </si>
  <si>
    <t>HOP6C</t>
  </si>
  <si>
    <t>Hộp phân phối 6 cực bắt trực tiếp</t>
  </si>
  <si>
    <t>HOPCB</t>
  </si>
  <si>
    <t>Hộp gắn CB phân đoạn</t>
  </si>
  <si>
    <t>m3</t>
  </si>
  <si>
    <t>m2</t>
  </si>
  <si>
    <t>BIT150</t>
  </si>
  <si>
    <t>Nắp bịt đầu cáp ABC150mm2</t>
  </si>
  <si>
    <t>BIT120</t>
  </si>
  <si>
    <t>Nắp bịt đầu cáp ABC120mm2</t>
  </si>
  <si>
    <t>BIT95</t>
  </si>
  <si>
    <t>Nắp bịt đầu cáp ABC95mm2</t>
  </si>
  <si>
    <t>BIT70</t>
  </si>
  <si>
    <t>Nắp bịt đầu cáp ABC70mm2</t>
  </si>
  <si>
    <t>BIT50</t>
  </si>
  <si>
    <t>Nắp bịt đầu cáp ABC50mm2</t>
  </si>
  <si>
    <t>KE25</t>
  </si>
  <si>
    <t>KE35</t>
  </si>
  <si>
    <t>Kẹp ép WR cỡ dây 35mm2</t>
  </si>
  <si>
    <t>KE50</t>
  </si>
  <si>
    <t>Kẹp ép WR cỡ dây 50mm2</t>
  </si>
  <si>
    <t>KE70</t>
  </si>
  <si>
    <t>Kẹp ép WR cỡ dây 70mm2</t>
  </si>
  <si>
    <t>KE95</t>
  </si>
  <si>
    <t>Kẹp ép WR cỡ dây 95mm2</t>
  </si>
  <si>
    <t>KE120</t>
  </si>
  <si>
    <t>Kẹp ép WR cỡ dây 120mm2</t>
  </si>
  <si>
    <t>KE150</t>
  </si>
  <si>
    <t>Kẹp ép WR cỡ dây 150mm2</t>
  </si>
  <si>
    <t>KE185</t>
  </si>
  <si>
    <t>Kẹp ép WR cỡ dây 185mm2</t>
  </si>
  <si>
    <t>KE240</t>
  </si>
  <si>
    <t>Kẹp ép WR cỡ dây 240mm2</t>
  </si>
  <si>
    <t>D6.6201</t>
  </si>
  <si>
    <t>Kẹp quai 2/0 (quai đồng 8mm)</t>
  </si>
  <si>
    <t>Kẹp quai 4/0 (quai đồng 8mm)</t>
  </si>
  <si>
    <t>Chụp cách điện kẹp quai</t>
  </si>
  <si>
    <t>D6.6202</t>
  </si>
  <si>
    <t>Kẹp hotline 2/0</t>
  </si>
  <si>
    <t>Kẹp hotline 4/0</t>
  </si>
  <si>
    <t>04.3107</t>
  </si>
  <si>
    <t>KN50</t>
  </si>
  <si>
    <t>Khóa néo dây cỡ dây 50 (kẹp dừng dây 3U-3mm)</t>
  </si>
  <si>
    <t>KN70</t>
  </si>
  <si>
    <t>KN95</t>
  </si>
  <si>
    <t>Khóa néo dây cỡ dây 95 (kẹp dừng dây 5U-4mm)</t>
  </si>
  <si>
    <t>KN120</t>
  </si>
  <si>
    <t>Khóa néo dây cỡ dây 120 (kẹp dừng dây 5U-4mm)</t>
  </si>
  <si>
    <t>KN150</t>
  </si>
  <si>
    <t>KN185</t>
  </si>
  <si>
    <t>KN240</t>
  </si>
  <si>
    <t>GNIU240</t>
  </si>
  <si>
    <t>Giáp níu dừng dây bọc 240 + Yếm móng U + Mắt nối yếm</t>
  </si>
  <si>
    <t>GNIU185</t>
  </si>
  <si>
    <t>Giáp níu dừng dây bọc 185 + Yếm móng U + Mắt nối yếm</t>
  </si>
  <si>
    <t>GNIU150</t>
  </si>
  <si>
    <t>Giáp níu dừng dây bọc 150 + Yếm móng U + Mắt nối yếm</t>
  </si>
  <si>
    <t>GNIU120</t>
  </si>
  <si>
    <t>Giáp níu dừng dây bọc 120 + Yếm móng U + Mắt nối yếm</t>
  </si>
  <si>
    <t>GNIU95</t>
  </si>
  <si>
    <t>Giáp níu dừng dây bọc 95 + Yếm móng U + Mắt nối yếm</t>
  </si>
  <si>
    <t>GNIU70</t>
  </si>
  <si>
    <t>Giáp níu dừng dây bọc 70 + Yếm móng U + Mắt nối yếm</t>
  </si>
  <si>
    <t>GNIU50</t>
  </si>
  <si>
    <t>Giáp níu dừng dây bọc 50 + Yếm móng U + Mắt nối yếm</t>
  </si>
  <si>
    <t>YGNIU50</t>
  </si>
  <si>
    <t>Yếm móng U giáp níu 50</t>
  </si>
  <si>
    <t>YGNIU150</t>
  </si>
  <si>
    <t>Yếm móng U giáp níu 150</t>
  </si>
  <si>
    <t>MANG</t>
  </si>
  <si>
    <t>MT</t>
  </si>
  <si>
    <t xml:space="preserve">Móc treo chữ U </t>
  </si>
  <si>
    <t>MT-D</t>
  </si>
  <si>
    <t>Móc treo chữ U D16-100</t>
  </si>
  <si>
    <t>D3.4014</t>
  </si>
  <si>
    <t>N2.50</t>
  </si>
  <si>
    <t>METL</t>
  </si>
  <si>
    <t>D3.4013</t>
  </si>
  <si>
    <t>D3.4011</t>
  </si>
  <si>
    <t>ONABC70</t>
  </si>
  <si>
    <t>Ống nối dây LV-ABC cỡ 70mm2</t>
  </si>
  <si>
    <t>ONABC95</t>
  </si>
  <si>
    <t>Ống nối dây LV-ABC cỡ 95mm2</t>
  </si>
  <si>
    <t>ONABC120</t>
  </si>
  <si>
    <t>ON50</t>
  </si>
  <si>
    <t>ON70</t>
  </si>
  <si>
    <t>ON95</t>
  </si>
  <si>
    <t>ON120</t>
  </si>
  <si>
    <t>ON150</t>
  </si>
  <si>
    <t>D3.4012</t>
  </si>
  <si>
    <t>ON185</t>
  </si>
  <si>
    <t>ON240</t>
  </si>
  <si>
    <t>OBCD</t>
  </si>
  <si>
    <t>R1</t>
  </si>
  <si>
    <t>Uclevis - 3mm</t>
  </si>
  <si>
    <t>R2</t>
  </si>
  <si>
    <t>R3</t>
  </si>
  <si>
    <t>Rack 3 sứ + sứ ống chỉ</t>
  </si>
  <si>
    <t>R4</t>
  </si>
  <si>
    <t>Rack 4 sứ + sứ ống chỉ</t>
  </si>
  <si>
    <t>SD</t>
  </si>
  <si>
    <t>06.1115</t>
  </si>
  <si>
    <t>Sứ đứng 24KV, đường rò 540mm</t>
  </si>
  <si>
    <t>Sứ chằng lớn</t>
  </si>
  <si>
    <t>SCL</t>
  </si>
  <si>
    <t>SOC</t>
  </si>
  <si>
    <t xml:space="preserve">Sứ ống chỉ </t>
  </si>
  <si>
    <t>STply</t>
  </si>
  <si>
    <t>Sứ treo polymer</t>
  </si>
  <si>
    <t>chuỗi</t>
  </si>
  <si>
    <t>D1660</t>
  </si>
  <si>
    <t>Đà sắt L75x75x8-1660 - 2 ốp</t>
  </si>
  <si>
    <t>D2000</t>
  </si>
  <si>
    <t>Đà sắt L75x75x8-2000 - 3 ốp (Lệch 2/3)</t>
  </si>
  <si>
    <t>D2100</t>
  </si>
  <si>
    <t>Đà sắt L75x75x8-2100 - 3 ốp (Lệch 100%)</t>
  </si>
  <si>
    <t>D2200</t>
  </si>
  <si>
    <t>Đà sắt L75x75x8-2200 - 4 ốp</t>
  </si>
  <si>
    <t>C810</t>
  </si>
  <si>
    <t>Thanh chống L50x50x5-810</t>
  </si>
  <si>
    <t>C1150</t>
  </si>
  <si>
    <t>Thanh chống L50x50x5-1150</t>
  </si>
  <si>
    <t>C1990</t>
  </si>
  <si>
    <t>Thanh chống L50x50x5-1990</t>
  </si>
  <si>
    <t>SO6</t>
  </si>
  <si>
    <t>Sắt   φ6</t>
  </si>
  <si>
    <t>SO8</t>
  </si>
  <si>
    <t>Sắt   φ8</t>
  </si>
  <si>
    <t>SO10</t>
  </si>
  <si>
    <t>Sắt   φ10</t>
  </si>
  <si>
    <t>SO12</t>
  </si>
  <si>
    <t>Sắt   φ12</t>
  </si>
  <si>
    <t>SO16</t>
  </si>
  <si>
    <t>Sắt   φ16</t>
  </si>
  <si>
    <t>SO24</t>
  </si>
  <si>
    <t>Sắt   φ24</t>
  </si>
  <si>
    <t>CL</t>
  </si>
  <si>
    <t>Bộ chống chằng hẹp φ60/50x1500+2BL12x40+BL16x250/80</t>
  </si>
  <si>
    <t>CLHT</t>
  </si>
  <si>
    <t>Bộ chống chằng hẹp φ60/50x1200+2BL12x40+BL16x200/50</t>
  </si>
  <si>
    <t>TN1618</t>
  </si>
  <si>
    <t>Ty neo φ16x1800</t>
  </si>
  <si>
    <t>TN1624</t>
  </si>
  <si>
    <t>Ty neo φ16x2400</t>
  </si>
  <si>
    <t>TN1824</t>
  </si>
  <si>
    <t>Ty neo φ18x2400</t>
  </si>
  <si>
    <t>TN2224</t>
  </si>
  <si>
    <t>Ty neo φ22x2400</t>
  </si>
  <si>
    <t>NX</t>
  </si>
  <si>
    <t>Lắp cổ dề</t>
  </si>
  <si>
    <t>D3.3241</t>
  </si>
  <si>
    <t>CD90</t>
  </si>
  <si>
    <t>CD114</t>
  </si>
  <si>
    <t>T75</t>
  </si>
  <si>
    <t>T84</t>
  </si>
  <si>
    <t>Trụ BTLT 8,4m F200 dự ứng lực</t>
  </si>
  <si>
    <t>T85</t>
  </si>
  <si>
    <t>T85300</t>
  </si>
  <si>
    <t>Trụ BTLT 8,5m F300 dự ứng lực</t>
  </si>
  <si>
    <t>T10</t>
  </si>
  <si>
    <t>Trụ BTLT 10,5m F350 dự ứng lực</t>
  </si>
  <si>
    <t>Trụ BTLT 12m F540 dự ứng lực</t>
  </si>
  <si>
    <t>T12</t>
  </si>
  <si>
    <t>T14</t>
  </si>
  <si>
    <t>Trụ BTLT 14m F650 dự ứng lực</t>
  </si>
  <si>
    <t>D1x2</t>
  </si>
  <si>
    <t>Đá 1x2</t>
  </si>
  <si>
    <t>CV</t>
  </si>
  <si>
    <t>Cát vàng</t>
  </si>
  <si>
    <t>viên</t>
  </si>
  <si>
    <t>m</t>
  </si>
  <si>
    <t>YC</t>
  </si>
  <si>
    <t>Yếm cáp dày 2mm</t>
  </si>
  <si>
    <t/>
  </si>
  <si>
    <t>MTC</t>
  </si>
  <si>
    <t>MDDA1</t>
  </si>
  <si>
    <t>Phá đá chân hố móng, đá cấp I</t>
  </si>
  <si>
    <t>N1.35</t>
  </si>
  <si>
    <t>MDDA2</t>
  </si>
  <si>
    <t>Phá đá chân hố móng, đá cấp II</t>
  </si>
  <si>
    <t>MDDA3</t>
  </si>
  <si>
    <t>MDD11</t>
  </si>
  <si>
    <t>03.1101</t>
  </si>
  <si>
    <t>Đào hố móng đất cấp 1 sâu &lt;=1m</t>
  </si>
  <si>
    <t>MDD21</t>
  </si>
  <si>
    <t>03.1102</t>
  </si>
  <si>
    <t>Đào hố móng đất cấp 2 sâu &lt;=1m</t>
  </si>
  <si>
    <t>MDD31</t>
  </si>
  <si>
    <t>N1.30</t>
  </si>
  <si>
    <t>MDD41</t>
  </si>
  <si>
    <t>03.1104</t>
  </si>
  <si>
    <t>Đào hố móng đất cấp 4 sâu &lt;=1m</t>
  </si>
  <si>
    <t>MDD2</t>
  </si>
  <si>
    <t>03.1012</t>
  </si>
  <si>
    <t>Đào hố móng đất cấp 2 sâu &gt;1m</t>
  </si>
  <si>
    <t>MDD3</t>
  </si>
  <si>
    <t>AB.11423</t>
  </si>
  <si>
    <t>MDD4</t>
  </si>
  <si>
    <t>03.1114</t>
  </si>
  <si>
    <t>Đào hố móng đất cấp 4 sâu &gt;1m</t>
  </si>
  <si>
    <t>MDAP1</t>
  </si>
  <si>
    <t>03.2201</t>
  </si>
  <si>
    <t>Đắp đất hố móng, đất cấp 1</t>
  </si>
  <si>
    <t>MDAP2</t>
  </si>
  <si>
    <t>03.2202</t>
  </si>
  <si>
    <t>Đắp đất hố móng, đất cấp 2</t>
  </si>
  <si>
    <t>MDAP3</t>
  </si>
  <si>
    <t>MDAP4</t>
  </si>
  <si>
    <t>03.2203</t>
  </si>
  <si>
    <t>Đắp đất hố móng, đất cấp 4</t>
  </si>
  <si>
    <t>DMC2</t>
  </si>
  <si>
    <t>03.3102</t>
  </si>
  <si>
    <t>Đào mương cáp ngầm đất cấp 2</t>
  </si>
  <si>
    <t>DMC3</t>
  </si>
  <si>
    <t>03.3103</t>
  </si>
  <si>
    <t>Đào mương cáp ngầm đất cấp 3</t>
  </si>
  <si>
    <t>DMC4</t>
  </si>
  <si>
    <t>03.3104</t>
  </si>
  <si>
    <t>Đào mương cáp ngầm đất cấp 4</t>
  </si>
  <si>
    <t>DDMC2</t>
  </si>
  <si>
    <t>03.3202</t>
  </si>
  <si>
    <t>Đắp đất mương cáp ngầm, đất cấp 2</t>
  </si>
  <si>
    <t>DDMC3</t>
  </si>
  <si>
    <t>03.3203</t>
  </si>
  <si>
    <t>Đắp đất mương cáp ngầm, đất cấp 3</t>
  </si>
  <si>
    <t>DDMC4</t>
  </si>
  <si>
    <t>Đắp đất mương cáp ngầm, đất cấp 4</t>
  </si>
  <si>
    <t>DCAT</t>
  </si>
  <si>
    <t>03.7000</t>
  </si>
  <si>
    <t xml:space="preserve">Đắp cát </t>
  </si>
  <si>
    <t>DD1x2</t>
  </si>
  <si>
    <t>Đắp đá 1x2</t>
  </si>
  <si>
    <t>DD2x4</t>
  </si>
  <si>
    <t>Đắp đá 2x4</t>
  </si>
  <si>
    <t>DTD2</t>
  </si>
  <si>
    <t>Đào rãnh tiếp địa đất cấp 2</t>
  </si>
  <si>
    <t>DTD3</t>
  </si>
  <si>
    <t>AB.11513</t>
  </si>
  <si>
    <t>Đào rãnh tiếp địa đất cấp 3</t>
  </si>
  <si>
    <t>DTD4</t>
  </si>
  <si>
    <t>Đào rãnh tiếp địa đất cấp 4</t>
  </si>
  <si>
    <t>DATD2</t>
  </si>
  <si>
    <t>Đắp đất rãnh tiếp địa cấp 2</t>
  </si>
  <si>
    <t>DATD3</t>
  </si>
  <si>
    <t>DATD4</t>
  </si>
  <si>
    <t>Đắp đất rãnh tiếp địa cấp 4</t>
  </si>
  <si>
    <t>LGIA</t>
  </si>
  <si>
    <t>05.6101</t>
  </si>
  <si>
    <t>Lắp gía đỡ cáp</t>
  </si>
  <si>
    <t>lapkep</t>
  </si>
  <si>
    <t>Lắp kẹp các loại</t>
  </si>
  <si>
    <t>LGACH</t>
  </si>
  <si>
    <t>07.2104</t>
  </si>
  <si>
    <t>Lắp gạch làm dấu</t>
  </si>
  <si>
    <t>M12</t>
  </si>
  <si>
    <t>Đặt đà cản 1,2m</t>
  </si>
  <si>
    <t>M15</t>
  </si>
  <si>
    <t>Đặt đà cản 1,5m</t>
  </si>
  <si>
    <t>MD25</t>
  </si>
  <si>
    <t xml:space="preserve">Đặt đà cản 2,5m </t>
  </si>
  <si>
    <t>DCT25</t>
  </si>
  <si>
    <t>Đóng cừ tràm 2,5 m</t>
  </si>
  <si>
    <t>DCT30</t>
  </si>
  <si>
    <t>Đóng cừ tràm 3 m</t>
  </si>
  <si>
    <t>DCT50</t>
  </si>
  <si>
    <t>Đóng cừ tràm 5 m</t>
  </si>
  <si>
    <t>KTD</t>
  </si>
  <si>
    <t>D2.7001</t>
  </si>
  <si>
    <t xml:space="preserve">Kéo dây tiếp địa </t>
  </si>
  <si>
    <t>KTDTBA</t>
  </si>
  <si>
    <t>Kéo dây tiếp địa trong TBA</t>
  </si>
  <si>
    <t>DCTD3</t>
  </si>
  <si>
    <t>D2.8103</t>
  </si>
  <si>
    <t>Đóng cọc tiếp địa đất cấp 3</t>
  </si>
  <si>
    <t>DCTD4</t>
  </si>
  <si>
    <t>D2.8104</t>
  </si>
  <si>
    <t>Đóng cọc tiếp địa đất cấp 4</t>
  </si>
  <si>
    <t>DCTDTBA</t>
  </si>
  <si>
    <t>Đóng cọc tiếp địa trong TBA (đất cấp 3)</t>
  </si>
  <si>
    <t>C8</t>
  </si>
  <si>
    <t>D2.5211</t>
  </si>
  <si>
    <t>Dựng trụ BTLT &lt;=8m bằng thủ công</t>
  </si>
  <si>
    <t>C10</t>
  </si>
  <si>
    <t>D2.5221</t>
  </si>
  <si>
    <t>Dựng trụ BTLT &lt;=10m bằng thủ công</t>
  </si>
  <si>
    <t>C105</t>
  </si>
  <si>
    <t>D2.5231</t>
  </si>
  <si>
    <t>Dựng trụ BTLT 10,5m bằng thủ công</t>
  </si>
  <si>
    <t>C12</t>
  </si>
  <si>
    <t>Dựng trụ BTLT 12m bằng thủ công</t>
  </si>
  <si>
    <t>C14</t>
  </si>
  <si>
    <t>D2.5241</t>
  </si>
  <si>
    <t>Dựng trụ BTLT 14m bằng thủ công</t>
  </si>
  <si>
    <t>C20</t>
  </si>
  <si>
    <t>05.5217</t>
  </si>
  <si>
    <t>Dựng trụ BTLT 20m bằng thủ công</t>
  </si>
  <si>
    <t>C8m</t>
  </si>
  <si>
    <t>D2.5222</t>
  </si>
  <si>
    <t>Dựng trụ BTLT &lt;=8m thủ công +cơ giới</t>
  </si>
  <si>
    <t>CAU10T</t>
  </si>
  <si>
    <t>C10m</t>
  </si>
  <si>
    <t>Dựng trụ BTLT &lt;=10m thủ công +cơ giới</t>
  </si>
  <si>
    <t>C105m</t>
  </si>
  <si>
    <t>D2.5232</t>
  </si>
  <si>
    <t>Dựng trụ BTLT 10,5m thủ công + cơ giới</t>
  </si>
  <si>
    <t>C12m</t>
  </si>
  <si>
    <t>Dựng trụ BTLT 12m thủ công + cơ giới</t>
  </si>
  <si>
    <t>C14m</t>
  </si>
  <si>
    <t>D2.5242</t>
  </si>
  <si>
    <t>Dựng trụ BTLT 14m thủ công + cơ giới</t>
  </si>
  <si>
    <t>C20m</t>
  </si>
  <si>
    <t>05.5227</t>
  </si>
  <si>
    <t>Dựng trụ BTLT 20m thủ công + cơ giới</t>
  </si>
  <si>
    <t>LCOM800</t>
  </si>
  <si>
    <t>LCOM2400</t>
  </si>
  <si>
    <t>LCOM800K</t>
  </si>
  <si>
    <t>LCOM2400K</t>
  </si>
  <si>
    <t>05.6011</t>
  </si>
  <si>
    <t>LCOM2600</t>
  </si>
  <si>
    <t>LX2000D</t>
  </si>
  <si>
    <t>D2.6021a</t>
  </si>
  <si>
    <t>Lắp đặt xà thép L75x75x8x2000 đơn cột đỡ (25,356 kg/bộ)</t>
  </si>
  <si>
    <t>LX2000K</t>
  </si>
  <si>
    <t>D2.6031a</t>
  </si>
  <si>
    <t>Lắp đặt xà thép L75x75x8x2000 kép cột đỡ (50,7514 kg/bộ)</t>
  </si>
  <si>
    <t>LX1660D</t>
  </si>
  <si>
    <t>D2.6021c</t>
  </si>
  <si>
    <t>Lắp đặt xà thép L75x75x8x1660 đơn cột đỡ (26,5504 kg/bộ)</t>
  </si>
  <si>
    <t>LX1660K</t>
  </si>
  <si>
    <t>D2.6031c</t>
  </si>
  <si>
    <t>Lắp đặt xà thép L75x75x8x1660 kép cột đỡ (51,5748 kg/bộ)</t>
  </si>
  <si>
    <t>LX2100D</t>
  </si>
  <si>
    <t>D2.6021d</t>
  </si>
  <si>
    <t>Lắp đặt xà thép L75x75x8x2100 đơn cột đỡ (29,4245 kg/bộ)</t>
  </si>
  <si>
    <t>LX2100K</t>
  </si>
  <si>
    <t>D2.6031d</t>
  </si>
  <si>
    <t>Lắp đặt xà thép L75x75x8x2100 kép cột đỡ (58,889 kg/bộ)</t>
  </si>
  <si>
    <t>LX2200D</t>
  </si>
  <si>
    <t>D2.6021e</t>
  </si>
  <si>
    <t>Lắp đặt xà thép L75x75x8x2200 đơn cột đỡ (29,759 kg/bộ)</t>
  </si>
  <si>
    <t>LX2200K</t>
  </si>
  <si>
    <t>D2.6032b</t>
  </si>
  <si>
    <t>Lắp đặt xà thép L75x75x8x2200 kép cột néo (58,628 kg/bộ)</t>
  </si>
  <si>
    <t>LXID</t>
  </si>
  <si>
    <t>05.6301</t>
  </si>
  <si>
    <t>Lắp xà trụ ghép ≤ 140kg</t>
  </si>
  <si>
    <t>LXIDL</t>
  </si>
  <si>
    <t>05.6302</t>
  </si>
  <si>
    <t>Lắp xà trụ ghép ≤ 230kg</t>
  </si>
  <si>
    <t>LXHN1</t>
  </si>
  <si>
    <t>05.6044</t>
  </si>
  <si>
    <t>Lắp xà cột Pi loại ≤140kg/xà</t>
  </si>
  <si>
    <t>LXHN2</t>
  </si>
  <si>
    <t>05.6402</t>
  </si>
  <si>
    <t>Lắp xà cột Pi loại ≤ 230kg/xà</t>
  </si>
  <si>
    <t>LXHN3</t>
  </si>
  <si>
    <t>05.6403</t>
  </si>
  <si>
    <t>Lắp xà cột Pi loại ≤ 320kg/xà</t>
  </si>
  <si>
    <t>LDAUCAP70</t>
  </si>
  <si>
    <t>07.4312</t>
  </si>
  <si>
    <t>Lắp đầu cáp trung thế 3x50mm2, 70mm2</t>
  </si>
  <si>
    <t>LDAUCAP120</t>
  </si>
  <si>
    <t>07.4313</t>
  </si>
  <si>
    <t>Lắp đầu cáp trung thế 3x120mm2, 95mm2</t>
  </si>
  <si>
    <t>LDAUCAP185</t>
  </si>
  <si>
    <t>07.4314</t>
  </si>
  <si>
    <t>Lắp đầu cáp trung thế 3x150mm2, 185mm2</t>
  </si>
  <si>
    <t>LDAUCAP70HT</t>
  </si>
  <si>
    <t>07.4102</t>
  </si>
  <si>
    <t>Lắp đầu cáp hạ thế 3x50mm2, 70mm2</t>
  </si>
  <si>
    <t>LDAUCAP120HT</t>
  </si>
  <si>
    <t>07.4103</t>
  </si>
  <si>
    <t>Lắp đầu cáp hạ thế 3x120mm2, 95mm2</t>
  </si>
  <si>
    <t>LDAUCAP185HT</t>
  </si>
  <si>
    <t>07.4104</t>
  </si>
  <si>
    <t>Lắp đầu cáp hạ thế 3x150mm2, 185mm2</t>
  </si>
  <si>
    <t>XLCD</t>
  </si>
  <si>
    <t>06.2110</t>
  </si>
  <si>
    <t>LBAKE</t>
  </si>
  <si>
    <t>Lắp tấm bakelit</t>
  </si>
  <si>
    <t>LCHI</t>
  </si>
  <si>
    <t>Lắp cầu chì 5A</t>
  </si>
  <si>
    <t>LCSD</t>
  </si>
  <si>
    <t>Lắp chân sứ đỉnh</t>
  </si>
  <si>
    <t>LCL</t>
  </si>
  <si>
    <t>Lắp bộ chống lệch</t>
  </si>
  <si>
    <t>LDN</t>
  </si>
  <si>
    <t>D3.3251</t>
  </si>
  <si>
    <t>Lắp bộ dây néo</t>
  </si>
  <si>
    <t>NXOE</t>
  </si>
  <si>
    <t>Đặt neo xòe 8 hướng (dày 3,2mm)</t>
  </si>
  <si>
    <t>LDN0212</t>
  </si>
  <si>
    <t>Đặt đế néo BTCT 200x1200</t>
  </si>
  <si>
    <t>LDN0412</t>
  </si>
  <si>
    <t>Đặt đế néo BTCT 400x1200</t>
  </si>
  <si>
    <t>LDN0415</t>
  </si>
  <si>
    <t>Đặt đế néo BTCT 400x1500</t>
  </si>
  <si>
    <t>LDN0615</t>
  </si>
  <si>
    <t>Đặt đế néo BTCT 600x1500</t>
  </si>
  <si>
    <t>LDN4</t>
  </si>
  <si>
    <t>Đặt đế néo BTCT 500x1200</t>
  </si>
  <si>
    <t>LDN6</t>
  </si>
  <si>
    <t>Đặt đế néo BTCT 500x1500</t>
  </si>
  <si>
    <t>DBT10046</t>
  </si>
  <si>
    <t>04.3112</t>
  </si>
  <si>
    <t>Đổ bê tông mác M100 đá 4x6</t>
  </si>
  <si>
    <t>DBT15012</t>
  </si>
  <si>
    <t>AF.11210</t>
  </si>
  <si>
    <t>MTR250</t>
  </si>
  <si>
    <t>DBT20012</t>
  </si>
  <si>
    <t>Đổ bê tông mác M200 đá 1x2</t>
  </si>
  <si>
    <t>LCT10</t>
  </si>
  <si>
    <t>04.1101</t>
  </si>
  <si>
    <t>Gia công và lắp dựng cốt thép D&lt;=10</t>
  </si>
  <si>
    <t>LCT18</t>
  </si>
  <si>
    <t>04.1102</t>
  </si>
  <si>
    <t>Gia công và lắp dựng cốt thép D&lt;=18</t>
  </si>
  <si>
    <t>LCT&gt;18</t>
  </si>
  <si>
    <t>04.1103</t>
  </si>
  <si>
    <t>Gia công và lắp dựng cốt thép D&gt;18</t>
  </si>
  <si>
    <t>LDVANK</t>
  </si>
  <si>
    <t>04.2001</t>
  </si>
  <si>
    <t>Gia công và lắp dựng ván khuôn</t>
  </si>
  <si>
    <t>KDA35</t>
  </si>
  <si>
    <t>06.6123</t>
  </si>
  <si>
    <t>Kéo dây nhôm cỡ dây 35mm2</t>
  </si>
  <si>
    <t>km</t>
  </si>
  <si>
    <t>KDA50</t>
  </si>
  <si>
    <t>06.6124</t>
  </si>
  <si>
    <t>Kéo dây nhôm cỡ dây 50mm2</t>
  </si>
  <si>
    <t>KDA70</t>
  </si>
  <si>
    <t>06.6125</t>
  </si>
  <si>
    <t>Kéo dây nhôm cỡ dây 70mm2</t>
  </si>
  <si>
    <t>KDA95</t>
  </si>
  <si>
    <t>06.6126</t>
  </si>
  <si>
    <t>Kéo dây nhôm cỡ dây 95mm2</t>
  </si>
  <si>
    <t>KDA35B</t>
  </si>
  <si>
    <t>06.6103</t>
  </si>
  <si>
    <t>Kéo dây nhôm bọc 35mm2</t>
  </si>
  <si>
    <t>KDA50B</t>
  </si>
  <si>
    <t>06.6104</t>
  </si>
  <si>
    <t>Kéo dây nhôm bọc 50mm2</t>
  </si>
  <si>
    <t>KDA70B</t>
  </si>
  <si>
    <t>06.6105</t>
  </si>
  <si>
    <t>Kéo dây nhôm bọc 70mm2</t>
  </si>
  <si>
    <t>KDA95B</t>
  </si>
  <si>
    <t>06.6106</t>
  </si>
  <si>
    <t>Kéo dây nhôm bọc 95mm2</t>
  </si>
  <si>
    <t>KDA120B</t>
  </si>
  <si>
    <t>06.6107</t>
  </si>
  <si>
    <t>Kéo dây nhôm bọc 120mm2</t>
  </si>
  <si>
    <t>KDA150B</t>
  </si>
  <si>
    <t>06.6108</t>
  </si>
  <si>
    <t>Kéo dây nhôm bọc 150mm2</t>
  </si>
  <si>
    <t>KDA185B</t>
  </si>
  <si>
    <t>06.6109</t>
  </si>
  <si>
    <t>Kéo dây nhôm bọc 185mm2</t>
  </si>
  <si>
    <t>KDA240B</t>
  </si>
  <si>
    <t>06.6110</t>
  </si>
  <si>
    <t>Kéo dây nhôm bọc 240mm2</t>
  </si>
  <si>
    <t>KDAABC50</t>
  </si>
  <si>
    <t>D3.6304</t>
  </si>
  <si>
    <t>KDAABC70</t>
  </si>
  <si>
    <t>D3.6305</t>
  </si>
  <si>
    <t>KDAABC95</t>
  </si>
  <si>
    <t>D3.6306</t>
  </si>
  <si>
    <t>KDAABC120</t>
  </si>
  <si>
    <t>D3.6307</t>
  </si>
  <si>
    <t>KDAABC150</t>
  </si>
  <si>
    <t>D3.6308</t>
  </si>
  <si>
    <t>KDAABC953</t>
  </si>
  <si>
    <t>KDAABC1203</t>
  </si>
  <si>
    <t>KDAABC1503</t>
  </si>
  <si>
    <t>KDAC35</t>
  </si>
  <si>
    <t>Kéo dây nhôm lõi thép cỡ dây 35mm2</t>
  </si>
  <si>
    <t>KDAC50</t>
  </si>
  <si>
    <t>D3.6211</t>
  </si>
  <si>
    <t>N2.45</t>
  </si>
  <si>
    <t>MRD</t>
  </si>
  <si>
    <t>KDAC70</t>
  </si>
  <si>
    <t>Kéo dây nhôm lõi thép cỡ dây 70mm2</t>
  </si>
  <si>
    <t>KDAC95</t>
  </si>
  <si>
    <t>D3.6212</t>
  </si>
  <si>
    <t>Kéo dây nhôm lõi thép cỡ dây 95mm2</t>
  </si>
  <si>
    <t>KDAC50T</t>
  </si>
  <si>
    <t>06.6114</t>
  </si>
  <si>
    <t>Kéo dây nhôm lõi thép cỡ dây 50mm2 (TC)</t>
  </si>
  <si>
    <t>KDAC70T</t>
  </si>
  <si>
    <t>06.6115</t>
  </si>
  <si>
    <t>Kéo dây nhôm lõi thép cỡ dây 70mm2 (TC)</t>
  </si>
  <si>
    <t>KDAC95T</t>
  </si>
  <si>
    <t>06.6116</t>
  </si>
  <si>
    <t>Kéo dây nhôm lõi thép cỡ dây 95mm2 (TC)</t>
  </si>
  <si>
    <t>KDAC120</t>
  </si>
  <si>
    <t>06.6161</t>
  </si>
  <si>
    <t>Kéo dây nhôm lõi thép cỡ dây 120mm2</t>
  </si>
  <si>
    <t>KDAC150</t>
  </si>
  <si>
    <t>06.6162</t>
  </si>
  <si>
    <t>Kéo dây nhôm lõi thép cỡ dây 150mm2</t>
  </si>
  <si>
    <t>KDACXV150</t>
  </si>
  <si>
    <t>06.6252</t>
  </si>
  <si>
    <t>Kéo dây nhôm lõi thép bọc XLPE cỡ dây 150mm2</t>
  </si>
  <si>
    <t>KDAC185</t>
  </si>
  <si>
    <t>06.6163</t>
  </si>
  <si>
    <t>Kéo dây nhôm lõi thép cỡ dây 185mm2</t>
  </si>
  <si>
    <t>KDAC240</t>
  </si>
  <si>
    <t>06.6164</t>
  </si>
  <si>
    <t>Kéo dây nhôm lõi thép cỡ dây 240mm2</t>
  </si>
  <si>
    <t>KDAC50B</t>
  </si>
  <si>
    <t>KDAC70B</t>
  </si>
  <si>
    <t>KDAC95B</t>
  </si>
  <si>
    <t>Kéo dây nhôm lõi thép bọc XLPE cỡ dây 95mm2</t>
  </si>
  <si>
    <t>KDAC50BT</t>
  </si>
  <si>
    <t>D3.6114</t>
  </si>
  <si>
    <t>Kéo dây nhôm lõi thép bọc XLPE cỡ dây 50mm2 (TC)</t>
  </si>
  <si>
    <t>KDAC70BT</t>
  </si>
  <si>
    <t>D3.6115</t>
  </si>
  <si>
    <t>Kéo dây nhôm lõi thép bọc XLPE cỡ dây 70mm2 (TC)</t>
  </si>
  <si>
    <t>KDAC95BT</t>
  </si>
  <si>
    <t>D3.6116</t>
  </si>
  <si>
    <t>Kéo dây nhôm lõi thép bọc XLPE cỡ dây 95mm2 (TC)</t>
  </si>
  <si>
    <t>KDAC120B</t>
  </si>
  <si>
    <t>D3.6251</t>
  </si>
  <si>
    <t>Kéo dây nhôm lõi thép bọc XLPE cỡ dây 120mm2</t>
  </si>
  <si>
    <t>KDAC150B</t>
  </si>
  <si>
    <t>D3.6252</t>
  </si>
  <si>
    <t>KDM22</t>
  </si>
  <si>
    <t>06.6142</t>
  </si>
  <si>
    <t>Kéo dây đồng trần 22mm2</t>
  </si>
  <si>
    <t>KDM25</t>
  </si>
  <si>
    <t>Kéo dây đồng trần 25mm2</t>
  </si>
  <si>
    <t>KDM35</t>
  </si>
  <si>
    <t>06.6143</t>
  </si>
  <si>
    <t>Kéo dây đồng trần 35mm2</t>
  </si>
  <si>
    <t>KDM48</t>
  </si>
  <si>
    <t>06.6144</t>
  </si>
  <si>
    <t>Kéo dây đồng trần 48mm2</t>
  </si>
  <si>
    <t>KDM50</t>
  </si>
  <si>
    <t>Kéo dây đồng trần 50mm2</t>
  </si>
  <si>
    <t>KDM70</t>
  </si>
  <si>
    <t>06.6145</t>
  </si>
  <si>
    <t>Kéo dây đồng trần 70mm2</t>
  </si>
  <si>
    <t>KDM95</t>
  </si>
  <si>
    <t>06.6146</t>
  </si>
  <si>
    <t>Kéo dây đồng trần 95mm2</t>
  </si>
  <si>
    <t>KDM25B</t>
  </si>
  <si>
    <t>Kéo dây đồng bọc 25mm2</t>
  </si>
  <si>
    <t>KDM50B</t>
  </si>
  <si>
    <t>Kéo dây đồng bọc 50mm3</t>
  </si>
  <si>
    <t>KDM95B</t>
  </si>
  <si>
    <t>Kéo dây đồng bọc 95mm2</t>
  </si>
  <si>
    <t>LPVC90CL</t>
  </si>
  <si>
    <t>Lắp ống nhựa PVC D90</t>
  </si>
  <si>
    <t>LPVC114CL</t>
  </si>
  <si>
    <t>Lắp ống nhựa PVC D114</t>
  </si>
  <si>
    <t>LPVC140CL</t>
  </si>
  <si>
    <t>Lắp ống nhựa PVC D140</t>
  </si>
  <si>
    <t>LSD</t>
  </si>
  <si>
    <t>D3.1115</t>
  </si>
  <si>
    <t>Lắp sứ đứng 24KV</t>
  </si>
  <si>
    <t>LSD_T</t>
  </si>
  <si>
    <t>Tháo sứ đứng 24KV</t>
  </si>
  <si>
    <t>lsd35</t>
  </si>
  <si>
    <t>06.1116</t>
  </si>
  <si>
    <t>Lắp sứ đứng 35KV</t>
  </si>
  <si>
    <t>LCHSNply</t>
  </si>
  <si>
    <t>D3.2411</t>
  </si>
  <si>
    <t>Lắp chuỗi sứ néo Polymer</t>
  </si>
  <si>
    <t>LSOC</t>
  </si>
  <si>
    <t>D3.1201</t>
  </si>
  <si>
    <t>Lắp rack sứ + sứ ống chỉ</t>
  </si>
  <si>
    <t>LR2</t>
  </si>
  <si>
    <t>06.1213</t>
  </si>
  <si>
    <t>Lắp rack 2 sứ + sứ ống chỉ</t>
  </si>
  <si>
    <t>LR3</t>
  </si>
  <si>
    <t>06.1214</t>
  </si>
  <si>
    <t>Lắp rack 3 sứ + sứ ống chỉ</t>
  </si>
  <si>
    <t>LR4</t>
  </si>
  <si>
    <t>06.1215</t>
  </si>
  <si>
    <t>Lắp rack 4 sứ + sứ ống chỉ</t>
  </si>
  <si>
    <t>LcapdongTB95</t>
  </si>
  <si>
    <t>T4.4201</t>
  </si>
  <si>
    <t>Lắp cáp đồng xuống thiết bị D ≤ 95mm2</t>
  </si>
  <si>
    <t>LcapdongTB150</t>
  </si>
  <si>
    <t>T4.4202</t>
  </si>
  <si>
    <t>Lắp cáp đồng xuống thiết bị D ≤ 150mm2</t>
  </si>
  <si>
    <t>LcapdongTB240</t>
  </si>
  <si>
    <t>T4.4203</t>
  </si>
  <si>
    <t>Lắp cáp đồng xuống thiết bị D &gt; 150mm2</t>
  </si>
  <si>
    <t>LFCO</t>
  </si>
  <si>
    <t>02.3505</t>
  </si>
  <si>
    <t>Lắp FCO 24KV</t>
  </si>
  <si>
    <t>máy</t>
  </si>
  <si>
    <t>T1.1431</t>
  </si>
  <si>
    <t>CAU5T</t>
  </si>
  <si>
    <t>TR251</t>
  </si>
  <si>
    <t>TR371</t>
  </si>
  <si>
    <t>T1.1432</t>
  </si>
  <si>
    <t>TR501</t>
  </si>
  <si>
    <t>TR751</t>
  </si>
  <si>
    <t>T1.1433</t>
  </si>
  <si>
    <t>TR1001</t>
  </si>
  <si>
    <t>T1.1434</t>
  </si>
  <si>
    <t>TR160</t>
  </si>
  <si>
    <t>TR250</t>
  </si>
  <si>
    <t>01.1155</t>
  </si>
  <si>
    <t>TR320</t>
  </si>
  <si>
    <t>TR400</t>
  </si>
  <si>
    <t>TR560</t>
  </si>
  <si>
    <t>01.1156</t>
  </si>
  <si>
    <t>TR630</t>
  </si>
  <si>
    <t>FCO 27kV - 100A</t>
  </si>
  <si>
    <t xml:space="preserve">FCO 27KV - 200A </t>
  </si>
  <si>
    <t>T2.3505</t>
  </si>
  <si>
    <t>DS1P</t>
  </si>
  <si>
    <t>02.3302</t>
  </si>
  <si>
    <t xml:space="preserve">DS 1P - 24KV - 600A </t>
  </si>
  <si>
    <t>DS3P</t>
  </si>
  <si>
    <t xml:space="preserve">DS 3P - 24KV - 630A </t>
  </si>
  <si>
    <t>DS1PDD</t>
  </si>
  <si>
    <t>02.3109</t>
  </si>
  <si>
    <t>DS3PDD</t>
  </si>
  <si>
    <t>02.3207</t>
  </si>
  <si>
    <t>LBS 16</t>
  </si>
  <si>
    <t>02.2124</t>
  </si>
  <si>
    <t>LBS SF6 3pha 24kV 630A - 16kA</t>
  </si>
  <si>
    <t>LBS treo</t>
  </si>
  <si>
    <t>LBS SF6 3pha 24kV 630A 12kA + bộ truyền động</t>
  </si>
  <si>
    <t>REC</t>
  </si>
  <si>
    <t>02.2113</t>
  </si>
  <si>
    <t>Recloser 24kV 630A</t>
  </si>
  <si>
    <t>Recloser</t>
  </si>
  <si>
    <t>Recloser 24kV 630-800A</t>
  </si>
  <si>
    <t>LTD</t>
  </si>
  <si>
    <t>02.3104</t>
  </si>
  <si>
    <t>LTD 1P 24KV - 800A</t>
  </si>
  <si>
    <t>LA12</t>
  </si>
  <si>
    <t>02.5114</t>
  </si>
  <si>
    <t>LA 12kV 10kA</t>
  </si>
  <si>
    <t>LA18</t>
  </si>
  <si>
    <t>T2.5004</t>
  </si>
  <si>
    <t>LA 18kV 10kA</t>
  </si>
  <si>
    <t>TI1005</t>
  </si>
  <si>
    <t>Biến dòng 600V - 100/5A</t>
  </si>
  <si>
    <t>TI1255</t>
  </si>
  <si>
    <t xml:space="preserve">Biến dòng 600V - 125/5A </t>
  </si>
  <si>
    <t>TI1505</t>
  </si>
  <si>
    <t xml:space="preserve">Biến dòng 600V - 150/5A </t>
  </si>
  <si>
    <t>TI200</t>
  </si>
  <si>
    <t xml:space="preserve">Biến dòng 600V - 200/5A </t>
  </si>
  <si>
    <t>TI250</t>
  </si>
  <si>
    <t>Biến dòng 600V - 250/5A</t>
  </si>
  <si>
    <t>TI300</t>
  </si>
  <si>
    <t xml:space="preserve">Biến dòng 600V - 300/5A </t>
  </si>
  <si>
    <t>TI400</t>
  </si>
  <si>
    <t>Biến dòng 600V - 400/5A</t>
  </si>
  <si>
    <t>TI500</t>
  </si>
  <si>
    <t>Biến dòng 600V - 500/5A</t>
  </si>
  <si>
    <t>TI600</t>
  </si>
  <si>
    <t>Biến dòng 600V - 600/5A</t>
  </si>
  <si>
    <t>TI800</t>
  </si>
  <si>
    <t>Biến dòng 600V - 800/5A</t>
  </si>
  <si>
    <t>02.8504</t>
  </si>
  <si>
    <t>tủ</t>
  </si>
  <si>
    <t>TUBU250</t>
  </si>
  <si>
    <t>Tủ tụ bù hạ thế 250kVAr</t>
  </si>
  <si>
    <t>TUBU220</t>
  </si>
  <si>
    <t>Tủ tụ bù hạ thế 220kVAr</t>
  </si>
  <si>
    <t>TUBU160</t>
  </si>
  <si>
    <t>Tủ tụ bù hạ thế 160kVAr</t>
  </si>
  <si>
    <t>TUBU135</t>
  </si>
  <si>
    <t>Tủ tụ bù hạ thế 135kVAr</t>
  </si>
  <si>
    <t>TUBU130</t>
  </si>
  <si>
    <t>Tủ tụ bù hạ thế 130kVAr</t>
  </si>
  <si>
    <t>TUBU100</t>
  </si>
  <si>
    <t>Tủ tụ bù hạ thế 100kVAr</t>
  </si>
  <si>
    <t>TUBU95</t>
  </si>
  <si>
    <t>Tủ tụ bù hạ thế 95kVAr</t>
  </si>
  <si>
    <t>TUBU80</t>
  </si>
  <si>
    <t>Tủ tụ bù hạ thế 80kVAr</t>
  </si>
  <si>
    <t>TUBU60</t>
  </si>
  <si>
    <t>Tủ tụ bù hạ thế 60kVAr</t>
  </si>
  <si>
    <t>TUBU40</t>
  </si>
  <si>
    <t>Tủ tụ bù hạ thế 40kVAr</t>
  </si>
  <si>
    <t>T5.1001</t>
  </si>
  <si>
    <t>TUAP1</t>
  </si>
  <si>
    <t>T5.1002</t>
  </si>
  <si>
    <t>TUAP3L</t>
  </si>
  <si>
    <t>ATM125</t>
  </si>
  <si>
    <t>T2.8403</t>
  </si>
  <si>
    <t>ATM150</t>
  </si>
  <si>
    <t>ATM200</t>
  </si>
  <si>
    <t>ATM250</t>
  </si>
  <si>
    <t>T2.8404</t>
  </si>
  <si>
    <t>ATM400</t>
  </si>
  <si>
    <t>T2.8405</t>
  </si>
  <si>
    <t>ATM500</t>
  </si>
  <si>
    <t>T2.8406</t>
  </si>
  <si>
    <t>MCCB 3 cực 600V - 500A - 45KA</t>
  </si>
  <si>
    <t>ATM600</t>
  </si>
  <si>
    <t>02.8403</t>
  </si>
  <si>
    <t>ATM630</t>
  </si>
  <si>
    <t>ATM800</t>
  </si>
  <si>
    <t>CHI3K</t>
  </si>
  <si>
    <t>Dây chảy 3K</t>
  </si>
  <si>
    <t>Sợi</t>
  </si>
  <si>
    <t>CHI6K</t>
  </si>
  <si>
    <t>Dây chảy 6K</t>
  </si>
  <si>
    <t>CHI8K</t>
  </si>
  <si>
    <t>Dây chảy 8K</t>
  </si>
  <si>
    <t>CHI10K</t>
  </si>
  <si>
    <t>Dây chảy 10K</t>
  </si>
  <si>
    <t>CHI12K</t>
  </si>
  <si>
    <t>Dây chảy 12K</t>
  </si>
  <si>
    <t>CHI15K</t>
  </si>
  <si>
    <t>Dây chảy 15K</t>
  </si>
  <si>
    <t>CHI20K</t>
  </si>
  <si>
    <t>Dây chảy 20K</t>
  </si>
  <si>
    <t>CHI25K</t>
  </si>
  <si>
    <t>Dây chảy 25K</t>
  </si>
  <si>
    <t>CHI30K</t>
  </si>
  <si>
    <t>Dây chảy 30K</t>
  </si>
  <si>
    <t>CHI40K</t>
  </si>
  <si>
    <t>Dây chảy 40K</t>
  </si>
  <si>
    <t>CHI50K</t>
  </si>
  <si>
    <t>Dây chảy 50K</t>
  </si>
  <si>
    <t>CHI65K</t>
  </si>
  <si>
    <t>Dây chảy 65K</t>
  </si>
  <si>
    <t>CHI80K</t>
  </si>
  <si>
    <t>Dây chảy 80K</t>
  </si>
  <si>
    <t>CHI100K</t>
  </si>
  <si>
    <t>Dây chảy 100K</t>
  </si>
  <si>
    <t>CHI140K</t>
  </si>
  <si>
    <t>Dây chảy 140K</t>
  </si>
  <si>
    <t>DK1p100A</t>
  </si>
  <si>
    <t>Điện kế 1 pha 2 dây 220V-100A</t>
  </si>
  <si>
    <t>DK1p80A</t>
  </si>
  <si>
    <t>Điện kế 1 pha 2 dây 220V-80A</t>
  </si>
  <si>
    <t>DK1p5A</t>
  </si>
  <si>
    <t>Điện kế 1 pha 2 dây 220V-5A</t>
  </si>
  <si>
    <t>DK3p50(100)A</t>
  </si>
  <si>
    <t>Điện kế 3 pha 4 dây 220/380V-50(100)A</t>
  </si>
  <si>
    <t>DK3p5A</t>
  </si>
  <si>
    <t>Điện kế 3 pha 4 dây 220/380V-5A</t>
  </si>
  <si>
    <t>DK3DT</t>
  </si>
  <si>
    <t>Điện kế 3 pha điện tử 120(60)V-5A</t>
  </si>
  <si>
    <t>DK3P</t>
  </si>
  <si>
    <t>Điện năng kế 3 pha 380V-5A</t>
  </si>
  <si>
    <t>DK-1P</t>
  </si>
  <si>
    <t>D4.6301</t>
  </si>
  <si>
    <t>Điện năng kế 1 pha</t>
  </si>
  <si>
    <t>DK-3P</t>
  </si>
  <si>
    <t>D4.6302</t>
  </si>
  <si>
    <t>Điện năng kế 3 pha</t>
  </si>
  <si>
    <t>BANG</t>
  </si>
  <si>
    <t>Bảng tên trạm + bulon</t>
  </si>
  <si>
    <t>GTMBA50</t>
  </si>
  <si>
    <t>T4.9302</t>
  </si>
  <si>
    <t>Gía chùm treo máy biến áp 3x50</t>
  </si>
  <si>
    <t>GTMBA25</t>
  </si>
  <si>
    <t>Gía chùm treo máy biến áp 3x25</t>
  </si>
  <si>
    <t>GTMBA37,5</t>
  </si>
  <si>
    <t>Gía chùm treo máy biến áp 3x37,5</t>
  </si>
  <si>
    <t>GTMBA</t>
  </si>
  <si>
    <t>Gía chùm treo máy biến áp 3x75</t>
  </si>
  <si>
    <t>GTMBA100</t>
  </si>
  <si>
    <t>Gía chùm treo máy biến áp 3x100</t>
  </si>
  <si>
    <t>COSe16</t>
  </si>
  <si>
    <t>03.4001</t>
  </si>
  <si>
    <t>Đầu cosse ép Cu-Al 16mm2</t>
  </si>
  <si>
    <t>COSe25</t>
  </si>
  <si>
    <t>Đầu cosse ép Cu-Al 25mm2</t>
  </si>
  <si>
    <t>COSe50</t>
  </si>
  <si>
    <t>03.4002</t>
  </si>
  <si>
    <t>Đầu cosse ép Cu-Al 50mm2</t>
  </si>
  <si>
    <t>COSe70</t>
  </si>
  <si>
    <t>03.4003</t>
  </si>
  <si>
    <t>Đầu cosse ép Cu-Al 70mm2</t>
  </si>
  <si>
    <t>COSe95</t>
  </si>
  <si>
    <t>03.4004</t>
  </si>
  <si>
    <t>Đầu cosse ép Cu-Al 95mm2</t>
  </si>
  <si>
    <t>COSe120</t>
  </si>
  <si>
    <t>03.4005</t>
  </si>
  <si>
    <t>Đầu cosse ép Cu-Al 120mm2</t>
  </si>
  <si>
    <t>COSe150</t>
  </si>
  <si>
    <t>03.4006</t>
  </si>
  <si>
    <t>Đầu cosse ép Cu-Al 150mm2</t>
  </si>
  <si>
    <t>COSe185</t>
  </si>
  <si>
    <t>03.4007</t>
  </si>
  <si>
    <t>Đầu cosse ép Cu-Al 185mm2</t>
  </si>
  <si>
    <t>COSe200</t>
  </si>
  <si>
    <t>03.4008</t>
  </si>
  <si>
    <t>Đầu cosse ép Cu-Al 200mm2</t>
  </si>
  <si>
    <t>COSe240</t>
  </si>
  <si>
    <t>Đầu cosse ép Cu-Al 240mm2</t>
  </si>
  <si>
    <t>COSe250</t>
  </si>
  <si>
    <t>Đầu cosse ép Cu-Al 250mm2</t>
  </si>
  <si>
    <t>COSe300</t>
  </si>
  <si>
    <t>Đầu cosse ép Cu-Al 300mm2</t>
  </si>
  <si>
    <t>Đầu cosse ép Cu-Al 400mm2</t>
  </si>
  <si>
    <t>COS25</t>
  </si>
  <si>
    <t>Đầu cosse ép Cu 25mm2</t>
  </si>
  <si>
    <t>COS35</t>
  </si>
  <si>
    <t>Đầu cosse ép Cu 35mm2</t>
  </si>
  <si>
    <t>COS38</t>
  </si>
  <si>
    <t>Đầu cosse ép Cu 38mm2</t>
  </si>
  <si>
    <t>COS50</t>
  </si>
  <si>
    <t>D4.5002</t>
  </si>
  <si>
    <t>Đầu cosse ép Cu 50mm2</t>
  </si>
  <si>
    <t>COS70</t>
  </si>
  <si>
    <t>D4.5003</t>
  </si>
  <si>
    <t>Đầu cosse ép Cu 70mm2</t>
  </si>
  <si>
    <t>COS95</t>
  </si>
  <si>
    <t>D4.5004</t>
  </si>
  <si>
    <t>Đầu cosse ép Cu 95mm2</t>
  </si>
  <si>
    <t>COS120</t>
  </si>
  <si>
    <t>D4.5005</t>
  </si>
  <si>
    <t>Đầu cosse ép Cu 120mm2</t>
  </si>
  <si>
    <t>COS150</t>
  </si>
  <si>
    <t>D4.5006</t>
  </si>
  <si>
    <t>Đầu cosse ép Cu 150mm2</t>
  </si>
  <si>
    <t>COS185</t>
  </si>
  <si>
    <t>D4.5007</t>
  </si>
  <si>
    <t>Đầu cosse ép Cu 185mm2</t>
  </si>
  <si>
    <t>COS200</t>
  </si>
  <si>
    <t>Đầu cosse ép Cu 200mm2</t>
  </si>
  <si>
    <t>COS240</t>
  </si>
  <si>
    <t>Đầu cosse ép Cu 240mm2</t>
  </si>
  <si>
    <t>COS250</t>
  </si>
  <si>
    <t>03.4009</t>
  </si>
  <si>
    <t>Đầu cosse ép Cu 250mm2</t>
  </si>
  <si>
    <t>COS300</t>
  </si>
  <si>
    <t>Đầu cosse ép Cu 300mm2</t>
  </si>
  <si>
    <t>CHCOS11</t>
  </si>
  <si>
    <t>Chụp đầu cosse  11mm2</t>
  </si>
  <si>
    <t>CHCOS16</t>
  </si>
  <si>
    <t>Chụp đầu cosse  16mm2</t>
  </si>
  <si>
    <t>CHCOS25</t>
  </si>
  <si>
    <t>Chụp đầu cosse  25mm2</t>
  </si>
  <si>
    <t>CHCOS35</t>
  </si>
  <si>
    <t>Chụp đầu cosse  35mm2</t>
  </si>
  <si>
    <t>CHCOS50</t>
  </si>
  <si>
    <t>Chụp đầu cosse  50mm2</t>
  </si>
  <si>
    <t>CHCOS70</t>
  </si>
  <si>
    <t>Chụp đầu cosse  70mm2</t>
  </si>
  <si>
    <t>CHCOS95</t>
  </si>
  <si>
    <t>Chụp đầu cosse  95mm2</t>
  </si>
  <si>
    <t>CHCOS120</t>
  </si>
  <si>
    <t>Chụp đầu cosse  120mm2</t>
  </si>
  <si>
    <t>CHCOS150</t>
  </si>
  <si>
    <t>Chụp đầu cosse  150mm2</t>
  </si>
  <si>
    <t>CHCOS185</t>
  </si>
  <si>
    <t>Chụp đầu cosse  185mm2</t>
  </si>
  <si>
    <t>CHCOS200</t>
  </si>
  <si>
    <t>Chụp đầu cosse  200mm2</t>
  </si>
  <si>
    <t>CHCOS240</t>
  </si>
  <si>
    <t>Chụp đầu cosse  240mm2</t>
  </si>
  <si>
    <t>CHCOS250</t>
  </si>
  <si>
    <t>Chụp đầu cosse  250mm2</t>
  </si>
  <si>
    <t>CHCOS300</t>
  </si>
  <si>
    <t>Chụp đầu cosse  300mm2</t>
  </si>
  <si>
    <t>Duplex 216</t>
  </si>
  <si>
    <t>Cáp Duplex 2x16</t>
  </si>
  <si>
    <t>Duplex 311</t>
  </si>
  <si>
    <t>Cáp Triplex 3x11</t>
  </si>
  <si>
    <t>Duplex 316</t>
  </si>
  <si>
    <t>Cáp Triplex 3x16</t>
  </si>
  <si>
    <t>Duplex 411</t>
  </si>
  <si>
    <t>Cáp Quadruplex 4x11</t>
  </si>
  <si>
    <t>Duplex 416</t>
  </si>
  <si>
    <t>Cáp Quadruplex 4x16</t>
  </si>
  <si>
    <t>PVC114</t>
  </si>
  <si>
    <t xml:space="preserve">Ống PVC D114x4,9mm </t>
  </si>
  <si>
    <t>PVC90</t>
  </si>
  <si>
    <t xml:space="preserve">Ống PVC D90x3,8mm </t>
  </si>
  <si>
    <t>CUT90</t>
  </si>
  <si>
    <t>Co sừng 90 độ PVC 90</t>
  </si>
  <si>
    <t>CUT90135</t>
  </si>
  <si>
    <t>Co 135 độ PVC 90</t>
  </si>
  <si>
    <t>CUT90T</t>
  </si>
  <si>
    <t>Co  90 độ PVC 90</t>
  </si>
  <si>
    <t>CUT114T</t>
  </si>
  <si>
    <t>Co  90 độ PVC 114</t>
  </si>
  <si>
    <t>CUT114</t>
  </si>
  <si>
    <t>Co sừng 90 độ PVC 114</t>
  </si>
  <si>
    <t>CUT114135</t>
  </si>
  <si>
    <t>Co 135 độ PVC 114</t>
  </si>
  <si>
    <t>BAKE</t>
  </si>
  <si>
    <t xml:space="preserve">Bakelit 550x450 dầy 10mm </t>
  </si>
  <si>
    <t>BANGKEO</t>
  </si>
  <si>
    <t>cuộn</t>
  </si>
  <si>
    <t>KEOBIT</t>
  </si>
  <si>
    <t>Keo silicon bít miệng ống</t>
  </si>
  <si>
    <t>ống</t>
  </si>
  <si>
    <t>Keo dán ống PVC (100gr)</t>
  </si>
  <si>
    <t>tuýp</t>
  </si>
  <si>
    <t>KEO</t>
  </si>
  <si>
    <t>Keo dán ống PVC (500gr)</t>
  </si>
  <si>
    <t>lon</t>
  </si>
  <si>
    <t>KVRT90</t>
  </si>
  <si>
    <t>Khâu ven răng trong D90</t>
  </si>
  <si>
    <t>KVRT114</t>
  </si>
  <si>
    <t>Khâu ven răng trong D114</t>
  </si>
  <si>
    <t>KVRT140</t>
  </si>
  <si>
    <t>Khâu ven răng trong D140</t>
  </si>
  <si>
    <t>KVRN90</t>
  </si>
  <si>
    <t>Khâu ven răng ngoài D90</t>
  </si>
  <si>
    <t>KVRN114</t>
  </si>
  <si>
    <t>Khâu ven răng ngoài D114</t>
  </si>
  <si>
    <t>KVRN140</t>
  </si>
  <si>
    <t>Khâu ven răng ngoài D140</t>
  </si>
  <si>
    <t>OXC25</t>
  </si>
  <si>
    <t>Ốc xiết cáp cỡ 25mm2</t>
  </si>
  <si>
    <t>OXC38</t>
  </si>
  <si>
    <t xml:space="preserve">Ốc xiết cáp cỡ 38mm2 </t>
  </si>
  <si>
    <t>OXC50</t>
  </si>
  <si>
    <t xml:space="preserve">Ốc xiết cáp cỡ 50mm2 </t>
  </si>
  <si>
    <t>OXC70</t>
  </si>
  <si>
    <t xml:space="preserve">Ốc xiết cáp cỡ 70mm2 </t>
  </si>
  <si>
    <t>OXC95</t>
  </si>
  <si>
    <t xml:space="preserve">Ốc xiết cáp cỡ 95mm2 </t>
  </si>
  <si>
    <t>OXC120</t>
  </si>
  <si>
    <t xml:space="preserve">Ốc xiết cáp cỡ 120mm2 </t>
  </si>
  <si>
    <t>OXC150</t>
  </si>
  <si>
    <t>Ốc xiết cáp cỡ 150mm2</t>
  </si>
  <si>
    <t>OXC185</t>
  </si>
  <si>
    <t>Ốc xiết cáp cỡ 185mm2</t>
  </si>
  <si>
    <t>OXC240</t>
  </si>
  <si>
    <t>Ốc xiết cáp cỡ 240mm2</t>
  </si>
  <si>
    <t>U160-2200</t>
  </si>
  <si>
    <t>U16-280</t>
  </si>
  <si>
    <t>U20-280</t>
  </si>
  <si>
    <t>U1008</t>
  </si>
  <si>
    <t>U1004</t>
  </si>
  <si>
    <t>D4.6203</t>
  </si>
  <si>
    <t>GIP50-35</t>
  </si>
  <si>
    <t>Ghíp nối IPC 50-35</t>
  </si>
  <si>
    <t>GIP70-35</t>
  </si>
  <si>
    <t>Ghíp nối IPC 70-35</t>
  </si>
  <si>
    <t>GIP95-35</t>
  </si>
  <si>
    <t>GIP120-35</t>
  </si>
  <si>
    <t>GIP95-95</t>
  </si>
  <si>
    <t>Ghíp nối IPC 95-95</t>
  </si>
  <si>
    <t>GIP95-150</t>
  </si>
  <si>
    <t>Ghíp nối IPC 95-150</t>
  </si>
  <si>
    <t>BẢNG ĐƠN GIÁ NHÂN CÔNG</t>
  </si>
  <si>
    <t>(Theo Thông tư 01/2015/TT-BXD, ngày 20/03/2015 của Bộ XD )</t>
  </si>
  <si>
    <t>Vùng I</t>
  </si>
  <si>
    <t>Vùng II</t>
  </si>
  <si>
    <t>Vùng III</t>
  </si>
  <si>
    <t>Vùng IV</t>
  </si>
  <si>
    <t>LNC</t>
  </si>
  <si>
    <t>Ngày công</t>
  </si>
  <si>
    <t>ngày</t>
  </si>
  <si>
    <t>Đơn vị tính: Đồng</t>
  </si>
  <si>
    <t>MÃ SỐ</t>
  </si>
  <si>
    <t>TÊN NHÂN CÔNG</t>
  </si>
  <si>
    <t>HỆ SỐ LƯƠNG
(HCB)</t>
  </si>
  <si>
    <t>LƯƠNG CB
(LNCxHCB)</t>
  </si>
  <si>
    <t>ĐƠN GIÁ NHÂN CÔNG</t>
  </si>
  <si>
    <t>NHÓM 1</t>
  </si>
  <si>
    <t>N1.10</t>
  </si>
  <si>
    <t>Nhân công bậc 1,0</t>
  </si>
  <si>
    <t>N1.20</t>
  </si>
  <si>
    <t>Nhân công bậc 2,0</t>
  </si>
  <si>
    <t>N1.23</t>
  </si>
  <si>
    <t>Nhân công bậc 2,3</t>
  </si>
  <si>
    <t>N1.25</t>
  </si>
  <si>
    <t>Nhân công bậc 2,5</t>
  </si>
  <si>
    <t>N1.27</t>
  </si>
  <si>
    <t>Nhân công bậc 2,7</t>
  </si>
  <si>
    <t>Nhân công bậc 3,0</t>
  </si>
  <si>
    <t>N1.32</t>
  </si>
  <si>
    <t>Nhân công bậc 3,2</t>
  </si>
  <si>
    <t>N1.33</t>
  </si>
  <si>
    <t>Nhân công bậc 3,3</t>
  </si>
  <si>
    <t>Nhân công bậc 3,5</t>
  </si>
  <si>
    <t>N1.37</t>
  </si>
  <si>
    <t>Nhân công bậc 3,7</t>
  </si>
  <si>
    <t>N1.40</t>
  </si>
  <si>
    <t>Nhân công bậc 4,0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</si>
  <si>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</si>
  <si>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</si>
  <si>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</si>
  <si>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</si>
  <si>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</si>
  <si>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</si>
  <si>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</si>
  <si>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</si>
  <si>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</si>
  <si>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5,0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</si>
  <si>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</si>
  <si>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</si>
  <si>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</si>
  <si>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</si>
  <si>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</si>
  <si>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</si>
  <si>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</si>
  <si>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6,0</t>
  </si>
  <si>
    <t>N1.70</t>
  </si>
  <si>
    <t>Nhân công bậc 7,0</t>
  </si>
  <si>
    <t>NHÓM 2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</si>
  <si>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</si>
  <si>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</si>
  <si>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</si>
  <si>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</si>
  <si>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</si>
  <si>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</si>
  <si>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</si>
  <si>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</si>
  <si>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N2.37</t>
  </si>
  <si>
    <t>N2.42</t>
  </si>
  <si>
    <t>N2.43</t>
  </si>
  <si>
    <t>N2.47</t>
  </si>
  <si>
    <t>N2.52</t>
  </si>
  <si>
    <t>N2.53</t>
  </si>
  <si>
    <t>N2.55</t>
  </si>
  <si>
    <t>N2.60</t>
  </si>
  <si>
    <t>N2.70</t>
  </si>
  <si>
    <t>KỸ SƯ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</si>
  <si>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</si>
  <si>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</si>
  <si>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</si>
  <si>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</si>
  <si>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</si>
  <si>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</si>
  <si>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</si>
  <si>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</si>
  <si>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</si>
  <si>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</si>
  <si>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</si>
  <si>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</si>
  <si>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</si>
  <si>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</si>
  <si>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</si>
  <si>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</si>
  <si>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</si>
  <si>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</si>
  <si>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Mã máy</t>
  </si>
  <si>
    <t>Loại máy</t>
  </si>
  <si>
    <t>CP Khấu hao</t>
  </si>
  <si>
    <t>CP Sửa chữa</t>
  </si>
  <si>
    <t>CP Khác</t>
  </si>
  <si>
    <t>Chi phí nhiên liệu</t>
  </si>
  <si>
    <t>CP Tiền lương</t>
  </si>
  <si>
    <t>Nguyên giá có VAT</t>
  </si>
  <si>
    <t>Ô tô tải gắn cần trục tải trọng 5T</t>
  </si>
  <si>
    <t>Ô tô tải gắn cần trục tải trọng 10T</t>
  </si>
  <si>
    <t>MK110</t>
  </si>
  <si>
    <t>Máy kéo bánh xích 110CV</t>
  </si>
  <si>
    <t>Máy trộn bê tông 250 lít</t>
  </si>
  <si>
    <t>DAM15</t>
  </si>
  <si>
    <t>Đầm dùi 1,5kW</t>
  </si>
  <si>
    <t>TOI5</t>
  </si>
  <si>
    <t>Tời điện 5 tấn</t>
  </si>
  <si>
    <t>Máy rải dây</t>
  </si>
  <si>
    <t>Máy ép thủy lực</t>
  </si>
  <si>
    <t>Vật liệu</t>
  </si>
  <si>
    <t>Nhân công</t>
  </si>
  <si>
    <t>ACX50</t>
  </si>
  <si>
    <t>ACX70</t>
  </si>
  <si>
    <t>ACX95</t>
  </si>
  <si>
    <t>ACX120</t>
  </si>
  <si>
    <t>ACX150</t>
  </si>
  <si>
    <t>ACX185</t>
  </si>
  <si>
    <t>ACX240</t>
  </si>
  <si>
    <t>Cáp 24KV ACX 95mm2</t>
  </si>
  <si>
    <t>Cáp 24KV ACX 120mm2</t>
  </si>
  <si>
    <t>Cáp 24KV ACX 150mm2</t>
  </si>
  <si>
    <t>Cáp 24KV ACX 185mm2</t>
  </si>
  <si>
    <t>Cáp 24KV ACX 240mm2</t>
  </si>
  <si>
    <t>Kẹp ép WR cỡ dây 25mm2</t>
  </si>
  <si>
    <t>Khóa néo dây cỡ dây 70 (kẹp dừng dây 3U-3mm)</t>
  </si>
  <si>
    <t>Khóa néo dây cỡ dây 150 (kẹp dừng dây 5U-4mm)</t>
  </si>
  <si>
    <t>Khóa néo dây cỡ dây 185 (kẹp dừng dây 5U-4mm)</t>
  </si>
  <si>
    <t>Rack 2 sứ</t>
  </si>
  <si>
    <t>SCN</t>
  </si>
  <si>
    <t>Sứ chằng nhỏ</t>
  </si>
  <si>
    <t>Bảng kê đơn gía trạm biến áp</t>
  </si>
  <si>
    <t>BẢNG A: BẢNG PHÂN BỐ TRỤ ĐƯỜNG DÂY HẠ THẾ XÂY DỰNG MỚI</t>
  </si>
  <si>
    <t>Số trụ hạ thế</t>
  </si>
  <si>
    <t xml:space="preserve">Số trụ trung thế </t>
  </si>
  <si>
    <t>Kh.cách</t>
  </si>
  <si>
    <t>Hướng</t>
  </si>
  <si>
    <t>Góc</t>
  </si>
  <si>
    <t>Hình thức trụ hiện hữu</t>
  </si>
  <si>
    <t>Hình thức trụ sau nâng cấp</t>
  </si>
  <si>
    <t>M8</t>
  </si>
  <si>
    <t>NXX</t>
  </si>
  <si>
    <t>NXL</t>
  </si>
  <si>
    <t>Tiếp địa lặp lại (trụ 10.5m)</t>
  </si>
  <si>
    <t>Bộ Uclevis + Sứ ống chỉ</t>
  </si>
  <si>
    <t>Ghíp nối IPC120-35</t>
  </si>
  <si>
    <t>Hộp bắt CB phân đoạn</t>
  </si>
  <si>
    <t>GHI CHÚ</t>
  </si>
  <si>
    <t>M8a</t>
  </si>
  <si>
    <t>M10</t>
  </si>
  <si>
    <t>M10a</t>
  </si>
  <si>
    <t>M12a</t>
  </si>
  <si>
    <t>Ghíp nối IPC95-35</t>
  </si>
  <si>
    <t>Ghíp nối IPC70-35</t>
  </si>
  <si>
    <t>Bịt đầu cáp 150</t>
  </si>
  <si>
    <t>Bịt đầu cáp 95</t>
  </si>
  <si>
    <t>Bịt đầu cáp 70</t>
  </si>
  <si>
    <t>ATM 125A (trên trụ)</t>
  </si>
  <si>
    <t>ATM 200A (trên trụ)</t>
  </si>
  <si>
    <t>ATM 250A (trên trụ)</t>
  </si>
  <si>
    <t>ATM 125A (tại trạm)</t>
  </si>
  <si>
    <t>ATM 200A (tại trạm)</t>
  </si>
  <si>
    <t>ATM 250A (tại trạm)</t>
  </si>
  <si>
    <t>Cáp AV95mm2</t>
  </si>
  <si>
    <t>1.</t>
  </si>
  <si>
    <t>2.</t>
  </si>
  <si>
    <t>3.</t>
  </si>
  <si>
    <t>Số trụ</t>
  </si>
  <si>
    <t>Khoảng cách</t>
  </si>
  <si>
    <t>Dây ACX 50mm2</t>
  </si>
  <si>
    <t>Dây AC50mm2</t>
  </si>
  <si>
    <t>Hình thức trụ</t>
  </si>
  <si>
    <t>Tiếp địa lặp lại trụ 12m</t>
  </si>
  <si>
    <t>Tiếp địa lặp lại (trụ 14m)</t>
  </si>
  <si>
    <t>Kẹp quai 4/0</t>
  </si>
  <si>
    <t>Ống co nhiệt cách điện D34</t>
  </si>
  <si>
    <t>M14a</t>
  </si>
  <si>
    <t>Cộng 1:</t>
  </si>
  <si>
    <t>Cộng 2:</t>
  </si>
  <si>
    <t>Cộng 3:</t>
  </si>
  <si>
    <t>TỔNG</t>
  </si>
  <si>
    <t>Hướng: T (trái), P (phải)</t>
  </si>
  <si>
    <t>Góc (độ)</t>
  </si>
  <si>
    <t>Hotline 2/0</t>
  </si>
  <si>
    <t>Hotline 4/0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</si>
  <si>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</si>
  <si>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</si>
  <si>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</si>
  <si>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</si>
  <si>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</si>
  <si>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</si>
  <si>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</si>
  <si>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FCO200</t>
  </si>
  <si>
    <t>FCO100</t>
  </si>
  <si>
    <t>Ống nối dây AC50</t>
  </si>
  <si>
    <t>Ống nối dây AC70</t>
  </si>
  <si>
    <t>Cáp C/XLPE/PVC 25mm2</t>
  </si>
  <si>
    <t>M14</t>
  </si>
  <si>
    <t>Bộ đà tháp U160 đơn</t>
  </si>
  <si>
    <t>Cáp C/XLPE/PVC 50mm2</t>
  </si>
  <si>
    <t>Chụp kẹp quai</t>
  </si>
  <si>
    <t>Bộ đà composite 2400</t>
  </si>
  <si>
    <t>Bộ chằng xuống trụ 10,5</t>
  </si>
  <si>
    <t>Bộ chằng lệch trụ 10,5</t>
  </si>
  <si>
    <t>Bộ chằng vượt trụ 10,5</t>
  </si>
  <si>
    <t>Chuỗi polymer</t>
  </si>
  <si>
    <t>Trụ BTLT 10,5m</t>
  </si>
  <si>
    <t>Boulon mắt 16x250</t>
  </si>
  <si>
    <t>FCO 100A + chụp</t>
  </si>
  <si>
    <t>Boulon 16x350</t>
  </si>
  <si>
    <t>Boulon 16x250</t>
  </si>
  <si>
    <t>Boulon 14x150</t>
  </si>
  <si>
    <t>Sứ đứng (không bọc chì)</t>
  </si>
  <si>
    <t>Kẹp quai 2/0</t>
  </si>
  <si>
    <t>Lem yên ngựa</t>
  </si>
  <si>
    <t>Uclevis</t>
  </si>
  <si>
    <t>Sứ ống chỉ</t>
  </si>
  <si>
    <t>CXV25</t>
  </si>
  <si>
    <t>CXV50</t>
  </si>
  <si>
    <t>Dây AC70mm2</t>
  </si>
  <si>
    <t>CX10</t>
  </si>
  <si>
    <t>CL10</t>
  </si>
  <si>
    <t>CX12</t>
  </si>
  <si>
    <t>CL12</t>
  </si>
  <si>
    <t>CX14</t>
  </si>
  <si>
    <t>CL14</t>
  </si>
  <si>
    <t>BTLTHH</t>
  </si>
  <si>
    <t>BTLT10</t>
  </si>
  <si>
    <t>BTLT12</t>
  </si>
  <si>
    <t>BTLT14</t>
  </si>
  <si>
    <t>BTLT20</t>
  </si>
  <si>
    <t>M10BT</t>
  </si>
  <si>
    <t>M10BTD</t>
  </si>
  <si>
    <t>M12D</t>
  </si>
  <si>
    <t>M12BT</t>
  </si>
  <si>
    <t>M12BTD</t>
  </si>
  <si>
    <t>M14BT</t>
  </si>
  <si>
    <t>M14BTD</t>
  </si>
  <si>
    <t>CKB</t>
  </si>
  <si>
    <t>X22D</t>
  </si>
  <si>
    <t>X22K</t>
  </si>
  <si>
    <t>X22KK</t>
  </si>
  <si>
    <t>X166D</t>
  </si>
  <si>
    <t>X166K</t>
  </si>
  <si>
    <t>X21D</t>
  </si>
  <si>
    <t>X21K</t>
  </si>
  <si>
    <t>X20D</t>
  </si>
  <si>
    <t>X20K</t>
  </si>
  <si>
    <t>DT160D</t>
  </si>
  <si>
    <t>DT160K</t>
  </si>
  <si>
    <t>SDI</t>
  </si>
  <si>
    <t>SDG</t>
  </si>
  <si>
    <t>U-D</t>
  </si>
  <si>
    <t>U-K</t>
  </si>
  <si>
    <t>KN3U</t>
  </si>
  <si>
    <t>KN5U</t>
  </si>
  <si>
    <t>KQ4</t>
  </si>
  <si>
    <t>HL2</t>
  </si>
  <si>
    <t>KQ2</t>
  </si>
  <si>
    <t>HL4</t>
  </si>
  <si>
    <t>CKQ</t>
  </si>
  <si>
    <t>Tổng</t>
  </si>
  <si>
    <t>Trụ BTLT hiện hữu</t>
  </si>
  <si>
    <t>Trụ BTLT 12m</t>
  </si>
  <si>
    <t>Trụ BTLT 12m (thủ công)</t>
  </si>
  <si>
    <t>Trụ BTLT 14m</t>
  </si>
  <si>
    <t>Trụ BTLT 20m</t>
  </si>
  <si>
    <t>Móng trụ M10</t>
  </si>
  <si>
    <t>Móng trụ M10a</t>
  </si>
  <si>
    <t>Móng trụ 10 BTĐơn</t>
  </si>
  <si>
    <t>Móng trụ 10 BTĐôi</t>
  </si>
  <si>
    <t>Móng trụ M12</t>
  </si>
  <si>
    <t>Móng trụ M12a</t>
  </si>
  <si>
    <t>Móng trụ M12 phá đá</t>
  </si>
  <si>
    <t>Móng trụ 12 BT Đơn</t>
  </si>
  <si>
    <t>Móng trụ 12 BT Đôi</t>
  </si>
  <si>
    <t>Móng trụ M14</t>
  </si>
  <si>
    <t>Móng trụ M14a</t>
  </si>
  <si>
    <t>Móng trụ 14 BT Đơn</t>
  </si>
  <si>
    <t>Móng trụ 14 BT Đôi</t>
  </si>
  <si>
    <t>Chằng lệch trụ 10,5m</t>
  </si>
  <si>
    <t>Chằng xuống trụ 10,5m</t>
  </si>
  <si>
    <t>Chằng xuống trụ 12m</t>
  </si>
  <si>
    <t>Chằng lệch trụ 12m</t>
  </si>
  <si>
    <t>Chằng xuống trụ 14m</t>
  </si>
  <si>
    <t>Chằng lệch trụ 14m</t>
  </si>
  <si>
    <t>Chằng vượt băng đường</t>
  </si>
  <si>
    <t>Móng neo cho chằng xuống</t>
  </si>
  <si>
    <t>Móng neo cho chằng lệch</t>
  </si>
  <si>
    <t>Bộ đà 2200 đơn</t>
  </si>
  <si>
    <t>Bộ đà 2200 kép</t>
  </si>
  <si>
    <t>Bộ đà 2200 kép (trụ ghép)</t>
  </si>
  <si>
    <t>Bộ đà 1660 đơn</t>
  </si>
  <si>
    <t>Bộ đà 1660 kép</t>
  </si>
  <si>
    <t>Bộ đà 2100 đơn</t>
  </si>
  <si>
    <t>Bộ đà 2100 kép</t>
  </si>
  <si>
    <t>Bộ đà 2000 đơn</t>
  </si>
  <si>
    <t>Bộ đà 2000 kép</t>
  </si>
  <si>
    <t>Bộ sứ đỉnh thẳng</t>
  </si>
  <si>
    <t>Bộ sứ đỉnh cong</t>
  </si>
  <si>
    <t>Bộ sứ đứng</t>
  </si>
  <si>
    <t>Bộ Uclevis đỡ dây trung hòa</t>
  </si>
  <si>
    <t>Bộ Uclevis hướng trụ ghép</t>
  </si>
  <si>
    <t>Bộ khóa néo 3U</t>
  </si>
  <si>
    <t>Bộ khóa néo 5U</t>
  </si>
  <si>
    <t>Tiếp địa lặp lại trụ 14m</t>
  </si>
  <si>
    <t>Tiếp địa lặp lại trụ 20m</t>
  </si>
  <si>
    <t>Tiếp địa lặp lại trụ 10,5m</t>
  </si>
  <si>
    <t>TD10</t>
  </si>
  <si>
    <t>TD14</t>
  </si>
  <si>
    <t>Bộ đà 800 đơn</t>
  </si>
  <si>
    <t>Bộ đà 800 kép</t>
  </si>
  <si>
    <t>X08D</t>
  </si>
  <si>
    <t>X08K</t>
  </si>
  <si>
    <t>Bộ đà composite 800</t>
  </si>
  <si>
    <t>Cộng 1</t>
  </si>
  <si>
    <t>Cộng 2</t>
  </si>
  <si>
    <t>Cộng 3</t>
  </si>
  <si>
    <t>Cáp ABC 4x120mm2</t>
  </si>
  <si>
    <t>Cáp AV120mm2</t>
  </si>
  <si>
    <t>Cáp AV150mm2</t>
  </si>
  <si>
    <t>Cáp ABC 3x70mm2</t>
  </si>
  <si>
    <t>Cáp ABC 3x95mm2</t>
  </si>
  <si>
    <t>Cáp ABC 3x120mm2</t>
  </si>
  <si>
    <t>Cáp ABC 4x70mm2</t>
  </si>
  <si>
    <t>Cáp ABC 4x95mm2</t>
  </si>
  <si>
    <t>AV95</t>
  </si>
  <si>
    <t>AV120</t>
  </si>
  <si>
    <t>AV150</t>
  </si>
  <si>
    <t>ABC3X70</t>
  </si>
  <si>
    <t>ABC3X95</t>
  </si>
  <si>
    <t>ABC3X120</t>
  </si>
  <si>
    <t>ABC4X70</t>
  </si>
  <si>
    <t>ABC4X95</t>
  </si>
  <si>
    <t>ABC4X120</t>
  </si>
  <si>
    <t>Trụ BTLT 8,5m</t>
  </si>
  <si>
    <t>Móng trụ M8</t>
  </si>
  <si>
    <t>Móng trụ M8a</t>
  </si>
  <si>
    <t>Móng trụ 8,5m BT đơn</t>
  </si>
  <si>
    <t>Móng trụ 8,5m BT đôi</t>
  </si>
  <si>
    <t>Móng trụ 10,5m BT đơn</t>
  </si>
  <si>
    <t>Móng trụ 10,5m BT đôi</t>
  </si>
  <si>
    <t>Bộ chằng xuống trụ 8,5m</t>
  </si>
  <si>
    <t>Bộ chằng lệch trụ 8,5m</t>
  </si>
  <si>
    <t>Bộ chằng xuống trụ 10,5m</t>
  </si>
  <si>
    <t>Bộ chằng lệch trụ 10,5m</t>
  </si>
  <si>
    <t>Bộ móng neo cho chằng xuống</t>
  </si>
  <si>
    <t>Bộ móng neo cho chằng lệch</t>
  </si>
  <si>
    <t>Tiếp địa lặp lại trụ 8,5m</t>
  </si>
  <si>
    <t>Cáp AC70mm2</t>
  </si>
  <si>
    <t>Cáp AC95mm2</t>
  </si>
  <si>
    <t>Ghíp nối IPC120-120</t>
  </si>
  <si>
    <t>Cáp ABC 4x150mm2</t>
  </si>
  <si>
    <t>ABC4X150</t>
  </si>
  <si>
    <t>Ghíp nối IPC150-35</t>
  </si>
  <si>
    <t>Bịt đầu cáp 120</t>
  </si>
  <si>
    <t>M8BT</t>
  </si>
  <si>
    <t>M8BTD</t>
  </si>
  <si>
    <t>CX85</t>
  </si>
  <si>
    <t>CL85</t>
  </si>
  <si>
    <t>MT-A</t>
  </si>
  <si>
    <t>KT70</t>
  </si>
  <si>
    <t>KT150</t>
  </si>
  <si>
    <t>Kẹp treo cáp ABC 70</t>
  </si>
  <si>
    <t>Kẹp treo cáp ABC 95</t>
  </si>
  <si>
    <t>Kẹp treo cáp ABC 120</t>
  </si>
  <si>
    <t>Kẹp treo cáp ABC 150</t>
  </si>
  <si>
    <t>Kẹp ngừng cáp ABC 70</t>
  </si>
  <si>
    <t>Kẹp ngừng cáp ABC 95</t>
  </si>
  <si>
    <t>Kẹp ngừng cáp ABC 120</t>
  </si>
  <si>
    <t>Kẹp ngừng cáp ABC 150</t>
  </si>
  <si>
    <t>DANH MỤC</t>
  </si>
  <si>
    <t>x</t>
  </si>
  <si>
    <t>BẢNG 5:  BẢNG TÍNH CHI TIẾT PHẦN ĐƯỜNG DÂY</t>
  </si>
  <si>
    <t>MÃ</t>
  </si>
  <si>
    <t>ĐƠN GIÁ</t>
  </si>
  <si>
    <t>THÀNH TIỀN</t>
  </si>
  <si>
    <t>VL-NĐM</t>
  </si>
  <si>
    <t>VL-ĐM</t>
  </si>
  <si>
    <t>NC</t>
  </si>
  <si>
    <t>I</t>
  </si>
  <si>
    <t>Phần móng và tiếp địa</t>
  </si>
  <si>
    <t>Móng</t>
  </si>
  <si>
    <t>tấn</t>
  </si>
  <si>
    <t>d12</t>
  </si>
  <si>
    <t>Móng M8</t>
  </si>
  <si>
    <t>Móng M8a</t>
  </si>
  <si>
    <t>Móng bê tông trụ đơn 8,4m</t>
  </si>
  <si>
    <t>XM</t>
  </si>
  <si>
    <t>D1X2</t>
  </si>
  <si>
    <t>Móng bê tông trụ đôi 8,4m</t>
  </si>
  <si>
    <t>Móng M10</t>
  </si>
  <si>
    <t xml:space="preserve">Móng M10a </t>
  </si>
  <si>
    <t>Mỗi móng gồm:</t>
  </si>
  <si>
    <t>b22550V</t>
  </si>
  <si>
    <t>b22650</t>
  </si>
  <si>
    <t>Móng bê tông trụ đơn 10.5m</t>
  </si>
  <si>
    <t>Móng M10BT đôi</t>
  </si>
  <si>
    <t>Móng M12</t>
  </si>
  <si>
    <t>Móng M12 phá đá chân móng</t>
  </si>
  <si>
    <t>Móng M12a</t>
  </si>
  <si>
    <t>b22550v</t>
  </si>
  <si>
    <t>Móng bê tông trụ đơn 12m</t>
  </si>
  <si>
    <t>Móng bê tông trụ đôi 12m</t>
  </si>
  <si>
    <t>Móng M14</t>
  </si>
  <si>
    <t>Móng M14a</t>
  </si>
  <si>
    <t>Móng bê tông trụ đơn 14m</t>
  </si>
  <si>
    <t>m25</t>
  </si>
  <si>
    <t>Mỗi bộ gồm:</t>
  </si>
  <si>
    <t>Tiếp địa lặp lại (trụ 12m)</t>
  </si>
  <si>
    <t>Tiếp địa lặp lại (trụ 20m)</t>
  </si>
  <si>
    <t>ke50</t>
  </si>
  <si>
    <t>II</t>
  </si>
  <si>
    <t>Phần trụ</t>
  </si>
  <si>
    <t>Trụ</t>
  </si>
  <si>
    <t>Trụ bê tông ly tâm 8.5m</t>
  </si>
  <si>
    <t>Trụ bê tông ly tâm 10.5m</t>
  </si>
  <si>
    <t>Trụ bê tông ly tâm 12m trồng thủ công</t>
  </si>
  <si>
    <t>Trụ bê tông ly tâm 12m trồng thủ công+cơ giới</t>
  </si>
  <si>
    <t>Trụ bê tông ly tâm 14m</t>
  </si>
  <si>
    <t>Trụ bê tông ly tâm 20m</t>
  </si>
  <si>
    <t>T20</t>
  </si>
  <si>
    <t>III</t>
  </si>
  <si>
    <t>Phần xà, néo</t>
  </si>
  <si>
    <t>BCOM</t>
  </si>
  <si>
    <t>Bộ xà Composite bắt LA, FCO 1 pha</t>
  </si>
  <si>
    <t>b16350</t>
  </si>
  <si>
    <t>BCOM3</t>
  </si>
  <si>
    <t>Bộ xà Composite bắt LA, FCO 3 pha</t>
  </si>
  <si>
    <t>B16300v</t>
  </si>
  <si>
    <t>Bộ xà kép L75x75x8 dài 1,66m:  X-1,66K</t>
  </si>
  <si>
    <t>d2200</t>
  </si>
  <si>
    <t>c810</t>
  </si>
  <si>
    <t>Bộ xà lệch đơn L75x75x8 dài 0,8m: X-8ĐL</t>
  </si>
  <si>
    <t>Bộ xà lệch kép L75x75x8 dài 0,8m: X-8KL</t>
  </si>
  <si>
    <t>B16400V</t>
  </si>
  <si>
    <t>d2100</t>
  </si>
  <si>
    <t>c1990</t>
  </si>
  <si>
    <t>d2000</t>
  </si>
  <si>
    <t>c1150</t>
  </si>
  <si>
    <t>Bộ xà lệch đơn L75x75x8 dài 2m: X-20ĐL2/3 (Lắp đà tháp)</t>
  </si>
  <si>
    <t>Bộ xà lệch kép L75x75x8 dài 2m: X-20KL2/3 (Lắp đà tháp)</t>
  </si>
  <si>
    <t>NXX-H</t>
  </si>
  <si>
    <t>NXL-H</t>
  </si>
  <si>
    <t>B16550vr</t>
  </si>
  <si>
    <t>Bộ khóa néo dây trung hòa vào trụ (cáp trần 50)</t>
  </si>
  <si>
    <t>kn50</t>
  </si>
  <si>
    <t>Bộ khóa néo dây trung hòa vào trụ (cáp trần 70)</t>
  </si>
  <si>
    <t>kn70</t>
  </si>
  <si>
    <t>Bộ khóa néo dây trung hòa vào trụ (cáp trần 95)</t>
  </si>
  <si>
    <t>kn95</t>
  </si>
  <si>
    <t>Bộ khóa néo dây trung hòa vào trụ (cáp trần 120)</t>
  </si>
  <si>
    <t>kn120</t>
  </si>
  <si>
    <t>Bộ cách điện đứng+ty sứ : SĐU</t>
  </si>
  <si>
    <t>Bộ cách điện đỉnh+ty sứ đơn : SĐI</t>
  </si>
  <si>
    <t>Bộ cách điện đỉnh góc + ty sứ đơn : SĐG</t>
  </si>
  <si>
    <t>Bộ sứ treo Polymer 25kV lắp vào xà (cáp bọc 50)</t>
  </si>
  <si>
    <t>Stply</t>
  </si>
  <si>
    <t>Bộ sứ treo Polymer 25kV lắp vào xà (cáp bọc 70)</t>
  </si>
  <si>
    <t>Bộ sứ treo Polymer 25kV lắp vào xà (cáp bọc 95)</t>
  </si>
  <si>
    <t>Bộ sứ treo Polymer 25kV lắp vào xà (cáp bọc 120)</t>
  </si>
  <si>
    <t>Bộ sứ treo Polymer 25kV lắp vào xà (cáp bọc 150)</t>
  </si>
  <si>
    <t>Bộ sứ treo Polymer 25kV lắp vào xà (cáp bọc 185)</t>
  </si>
  <si>
    <t>Bộ sứ treo Polymer 25kV lắp vào xà (cáp bọc 240)</t>
  </si>
  <si>
    <t>Bộ sứ treo Polymer 25kV lắp vào trụ (cáp bọc 50)</t>
  </si>
  <si>
    <t>Bộ sứ treo Polymer 25kV lắp vào trụ (cáp bọc 70)</t>
  </si>
  <si>
    <t>IV</t>
  </si>
  <si>
    <t>Phần dây, sứ và phụ kiện</t>
  </si>
  <si>
    <t>Tbộ</t>
  </si>
  <si>
    <t>ke70</t>
  </si>
  <si>
    <t>ke185</t>
  </si>
  <si>
    <t>ke120</t>
  </si>
  <si>
    <t>ke240</t>
  </si>
  <si>
    <t>ke95</t>
  </si>
  <si>
    <t>ke150</t>
  </si>
  <si>
    <t>chupfco</t>
  </si>
  <si>
    <t>KDM25b</t>
  </si>
  <si>
    <t>KDM50b</t>
  </si>
  <si>
    <t>V</t>
  </si>
  <si>
    <t>Phần thiết bị đường dây trung thế 3 pha 1 mạch</t>
  </si>
  <si>
    <t>chi8k</t>
  </si>
  <si>
    <t>VI</t>
  </si>
  <si>
    <t>CV25</t>
  </si>
  <si>
    <t>r3</t>
  </si>
  <si>
    <t>r4</t>
  </si>
  <si>
    <t>pvc90</t>
  </si>
  <si>
    <t>cut90t</t>
  </si>
  <si>
    <t>BMoc16250</t>
  </si>
  <si>
    <t>BMoc16300</t>
  </si>
  <si>
    <t>BMoc16350</t>
  </si>
  <si>
    <t>BMoc16400</t>
  </si>
  <si>
    <t>CV95</t>
  </si>
  <si>
    <t>TT3P</t>
  </si>
  <si>
    <t>TT1P</t>
  </si>
  <si>
    <t>HT</t>
  </si>
  <si>
    <t>MÃ ĐƠN GIÁ</t>
  </si>
  <si>
    <t>ĐƠN VỊ</t>
  </si>
  <si>
    <t>KHỐI LƯỢNG</t>
  </si>
  <si>
    <t>Phần đường dây trung thế 3 pha</t>
  </si>
  <si>
    <t>Xi măng</t>
  </si>
  <si>
    <t>Bass LI bắt FCO, LA</t>
  </si>
  <si>
    <t>LXU160-22D</t>
  </si>
  <si>
    <t>LXU160-22K</t>
  </si>
  <si>
    <t>D800</t>
  </si>
  <si>
    <t>Đà sắt L75x75x8-800 - 1 ốp</t>
  </si>
  <si>
    <t>C700</t>
  </si>
  <si>
    <t>Thanh chống L50x50x5-700</t>
  </si>
  <si>
    <t>LX800D</t>
  </si>
  <si>
    <t>LX800K</t>
  </si>
  <si>
    <t>Lắp đặt xà thép L75x75x8x800 đơn cột đỡ (13,5504 kg/bộ)</t>
  </si>
  <si>
    <t>Lắp đặt xà thép L75x75x8x800 kép cột đỡ (26,55 kg/bộ)</t>
  </si>
  <si>
    <t>BẢNG 4:  BẢNG TỔNG HỢP CHI PHÍ VẬT LIỆU, NHÂN CÔNG, MÁY THI CÔNG PHẦN ĐƯỜNG DÂY</t>
  </si>
  <si>
    <t>STT</t>
  </si>
  <si>
    <t>B</t>
  </si>
  <si>
    <t>A</t>
  </si>
  <si>
    <t>TDLL12</t>
  </si>
  <si>
    <t>Thiết bị đường dây</t>
  </si>
  <si>
    <t>Hotline</t>
  </si>
  <si>
    <t>Phần đấu nối Hotline</t>
  </si>
  <si>
    <t>TĐĐ</t>
  </si>
  <si>
    <t>VII</t>
  </si>
  <si>
    <t>Phần vật liệu trụ đo đếm</t>
  </si>
  <si>
    <t>Cộng (I-V)</t>
  </si>
  <si>
    <t>C</t>
  </si>
  <si>
    <t>Phần trụ, néo</t>
  </si>
  <si>
    <t>D</t>
  </si>
  <si>
    <t>Cộng ( I-IV)</t>
  </si>
  <si>
    <t>M20</t>
  </si>
  <si>
    <t>TDLL10</t>
  </si>
  <si>
    <t>TDLL14</t>
  </si>
  <si>
    <t>TDLL20</t>
  </si>
  <si>
    <t>TDLA</t>
  </si>
  <si>
    <t>CX20</t>
  </si>
  <si>
    <t>BTLT12TC</t>
  </si>
  <si>
    <t>Móng bê tông trụ đôi 14m</t>
  </si>
  <si>
    <t>Móng M20</t>
  </si>
  <si>
    <t>BTLT85</t>
  </si>
  <si>
    <t>TDLL85</t>
  </si>
  <si>
    <t>Tiếp địa lặp lại (trụ 8,5m)</t>
  </si>
  <si>
    <t>Tiếp địa lặp lại (trụ 10,5m)</t>
  </si>
  <si>
    <t>U-X</t>
  </si>
  <si>
    <t>Bộ khóa néo 3U (Dây 50)</t>
  </si>
  <si>
    <t>Bộ khóa néo 3U (Dây 70)</t>
  </si>
  <si>
    <t>Bộ khóa néo 5U (Dây 95)</t>
  </si>
  <si>
    <t>Bộ khóa néo 5U (Dây 120)</t>
  </si>
  <si>
    <t>Bộ Polyme lắp vào xà (50)</t>
  </si>
  <si>
    <t>Bộ Polyme lắp vào xà (70)</t>
  </si>
  <si>
    <t>Bộ Polyme lắp vào xà (95)</t>
  </si>
  <si>
    <t>Bộ Polyme lắp vào xà (120)</t>
  </si>
  <si>
    <t>Bộ Polyme lắp vào xà (150)</t>
  </si>
  <si>
    <t>Bộ Polyme lắp vào xà (185)</t>
  </si>
  <si>
    <t>Bộ Polyme lắp vào xà (240)</t>
  </si>
  <si>
    <t>PLY50X</t>
  </si>
  <si>
    <t>PLY70X</t>
  </si>
  <si>
    <t>PLY95X</t>
  </si>
  <si>
    <t>PLY120X</t>
  </si>
  <si>
    <t>PLY150X</t>
  </si>
  <si>
    <t>PLY185X</t>
  </si>
  <si>
    <t>PLY240X</t>
  </si>
  <si>
    <t>PLY50T</t>
  </si>
  <si>
    <t>PLY70T</t>
  </si>
  <si>
    <t>Bộ Polyme lắp vào trụ (50)</t>
  </si>
  <si>
    <t>Bộ Polyme lắp vào trụ (70)</t>
  </si>
  <si>
    <t>Móng trụ M20</t>
  </si>
  <si>
    <t>Chằng xuống trụ 20m</t>
  </si>
  <si>
    <t>CL20</t>
  </si>
  <si>
    <t>Chằng lệch trụ 20m</t>
  </si>
  <si>
    <t>X20DT</t>
  </si>
  <si>
    <t>X20KT</t>
  </si>
  <si>
    <t>Bộ đà 2000 đơn (Lắp đà tháp)</t>
  </si>
  <si>
    <t>Bộ đà 2000 kép (Lắp đà tháp)</t>
  </si>
  <si>
    <t>Ống nối dây AC95</t>
  </si>
  <si>
    <t>Ống nối dây AC120</t>
  </si>
  <si>
    <t>Ống nối dây AC150</t>
  </si>
  <si>
    <t>Ống nối dây AC185</t>
  </si>
  <si>
    <t>Ống nối dây AC240</t>
  </si>
  <si>
    <t>HUONG</t>
  </si>
  <si>
    <t>GOC</t>
  </si>
  <si>
    <t>HTT</t>
  </si>
  <si>
    <t>ST</t>
  </si>
  <si>
    <t>Bộ Uclevis đỡ dây hạ thế</t>
  </si>
  <si>
    <t>Bộ Rack 3 đỡ dây hạ thế</t>
  </si>
  <si>
    <t>Bộ Rack 4 đỡ dây hạ thế</t>
  </si>
  <si>
    <t>X8D</t>
  </si>
  <si>
    <t>X8K</t>
  </si>
  <si>
    <t>X21DT</t>
  </si>
  <si>
    <t>X21KT</t>
  </si>
  <si>
    <t>BẢNG 3:  BẢNG DỰ TOÁN CHI PHÍ XÂY DỰNG PHẦN ĐƯỜNG DÂY</t>
  </si>
  <si>
    <t>NỘI DUNG</t>
  </si>
  <si>
    <t>KÝ HIỆU</t>
  </si>
  <si>
    <t>CÁCH TÍNH</t>
  </si>
  <si>
    <t>Theo định mức 4970</t>
  </si>
  <si>
    <t>Theo định mức 1776</t>
  </si>
  <si>
    <t>T1</t>
  </si>
  <si>
    <t>CHI PHÍ TRỰC TIẾP</t>
  </si>
  <si>
    <t>T</t>
  </si>
  <si>
    <t xml:space="preserve"> Chi phí vật liệu </t>
  </si>
  <si>
    <t xml:space="preserve">     - Vật liệu phục vụ lắp đặt</t>
  </si>
  <si>
    <t>VL</t>
  </si>
  <si>
    <t xml:space="preserve">     - Vận chuyển đường dài vật liệu </t>
  </si>
  <si>
    <t>VCDD</t>
  </si>
  <si>
    <t xml:space="preserve"> Chi phí nhân công</t>
  </si>
  <si>
    <t xml:space="preserve">     - Nhân công lắp </t>
  </si>
  <si>
    <t xml:space="preserve">     - Nhân công tháo, lắp vật tư hiện hữu</t>
  </si>
  <si>
    <t xml:space="preserve"> Chi phí máy thi công</t>
  </si>
  <si>
    <t xml:space="preserve">     - Máy thi công lắp</t>
  </si>
  <si>
    <t xml:space="preserve">     - Máy thi công tháo, lắp vật tư hiện hữu</t>
  </si>
  <si>
    <t>CHI PHÍ CHUNG</t>
  </si>
  <si>
    <t>65%B</t>
  </si>
  <si>
    <t>5,5%T</t>
  </si>
  <si>
    <t>GIÁ THÀNH DỰ TOÁN XÂY DỰNG</t>
  </si>
  <si>
    <t>THU NHẬP CHỊU THUẾ TÍNH TRƯỚC</t>
  </si>
  <si>
    <t>TL</t>
  </si>
  <si>
    <t>TT1</t>
  </si>
  <si>
    <t>Giá trị dự toán xây lắp trước thuế</t>
  </si>
  <si>
    <t>Z</t>
  </si>
  <si>
    <t>THUẾ GIÁ TRỊ GIA TĂNG ĐẦU RA</t>
  </si>
  <si>
    <t>VAT</t>
  </si>
  <si>
    <t>10%Z</t>
  </si>
  <si>
    <t xml:space="preserve">  GIÁ TRỊ DỰ TOÁN XÂY LẮP SAU THUẾ</t>
  </si>
  <si>
    <t>Z+VAT</t>
  </si>
  <si>
    <t>T2</t>
  </si>
  <si>
    <t>T3</t>
  </si>
  <si>
    <t>TT3</t>
  </si>
  <si>
    <t>A+B+C</t>
  </si>
  <si>
    <t>giếng</t>
  </si>
  <si>
    <t>SL</t>
  </si>
  <si>
    <t>1P_25KVA</t>
  </si>
  <si>
    <t>3x25KVA</t>
  </si>
  <si>
    <t>1P_37,5KVA</t>
  </si>
  <si>
    <t>3x37,5KVA</t>
  </si>
  <si>
    <t>1P_50KVA</t>
  </si>
  <si>
    <t>3x50KVA</t>
  </si>
  <si>
    <t>3x75KVA</t>
  </si>
  <si>
    <t>1P_75KVA</t>
  </si>
  <si>
    <t>1P_100KVA</t>
  </si>
  <si>
    <t>250KVA</t>
  </si>
  <si>
    <t>320KVA</t>
  </si>
  <si>
    <t>400KVA</t>
  </si>
  <si>
    <t>560KVA</t>
  </si>
  <si>
    <t>630KVA</t>
  </si>
  <si>
    <t>BẢNG 7: BẢNG TÍNH CHI TIẾT PHẦN TRẠM</t>
  </si>
  <si>
    <t>SHĐM</t>
  </si>
  <si>
    <t>TÊN CẤU KIỆN</t>
  </si>
  <si>
    <t xml:space="preserve">THÀNH TIỀN </t>
  </si>
  <si>
    <t>VL CHÍNH</t>
  </si>
  <si>
    <t>VL PHỤ</t>
  </si>
  <si>
    <t>NCÔNG</t>
  </si>
  <si>
    <t>MÁY</t>
  </si>
  <si>
    <t>A.PHẦN THIẾT BỊ</t>
  </si>
  <si>
    <t>B. PHẦN VẬT LIỆU</t>
  </si>
  <si>
    <t>Gồm có:</t>
  </si>
  <si>
    <t>G</t>
  </si>
  <si>
    <t>dctdtba</t>
  </si>
  <si>
    <t>lcapdongTB95</t>
  </si>
  <si>
    <t>CV50</t>
  </si>
  <si>
    <t>CV70</t>
  </si>
  <si>
    <t>CV120</t>
  </si>
  <si>
    <t>Nối giảm PVC 114-90</t>
  </si>
  <si>
    <t>Giá chùm treo 3 MBT</t>
  </si>
  <si>
    <t>CV150</t>
  </si>
  <si>
    <t>Cái</t>
  </si>
  <si>
    <t>TUAP3</t>
  </si>
  <si>
    <t>KEODAN</t>
  </si>
  <si>
    <t>Giếng tiếp địa khoan đất</t>
  </si>
  <si>
    <t>Bộ dẫn cáp vào tủ tụ bù</t>
  </si>
  <si>
    <t>ktdTBA</t>
  </si>
  <si>
    <t>lcapdongTB150</t>
  </si>
  <si>
    <t>Trụ bê tông ly tâm 12m</t>
  </si>
  <si>
    <t>Trụ bê tông ly tâm 10,5m</t>
  </si>
  <si>
    <t>Móng M10a</t>
  </si>
  <si>
    <t>Đà đặt MBA</t>
  </si>
  <si>
    <t>Bộ tiếp địa Trạm biến áp</t>
  </si>
  <si>
    <t>Bộ dây dẫn trung thế 24kV 3 pha từ FCO vào MBA</t>
  </si>
  <si>
    <t>Lắp cáp đồng xuống thiết bị D ≤ 150mm2:</t>
  </si>
  <si>
    <t>Tủ MCCB 3 pha dày 2mm sơn tĩnh điện</t>
  </si>
  <si>
    <t>Bộ dây dẫn cáp xuất hạ thế từ MBA vào tủ MCCB</t>
  </si>
  <si>
    <t>com2600</t>
  </si>
  <si>
    <t>lcom2600</t>
  </si>
  <si>
    <t>MÃ ĐM</t>
  </si>
  <si>
    <t>Vật liệu bảo vệ thiết bị</t>
  </si>
  <si>
    <t>Đà Composite bắt LA, FCO</t>
  </si>
  <si>
    <t>Bộ tiếp địa Trạm 1 pha</t>
  </si>
  <si>
    <t>Tủ điện trạm treo 1 pha</t>
  </si>
  <si>
    <t>Bộ dây dẫn trung thế trạm 1 pha</t>
  </si>
  <si>
    <t>Bộ dây dẫn hạ thế lộ xuống</t>
  </si>
  <si>
    <t>CVV4X4</t>
  </si>
  <si>
    <t>Bộ dây dẫn hạ thế lộ lên</t>
  </si>
  <si>
    <t>LCAPDONGTB95</t>
  </si>
  <si>
    <t>NG11490</t>
  </si>
  <si>
    <t>Cáp điều khiển CVV 4x4,0mm2</t>
  </si>
  <si>
    <t>Bộ tiếp địa Trạm 3 pha</t>
  </si>
  <si>
    <t>BẢNG 6:  BẢNG DỰ TOÁN CHI PHÍ XÂY DỰNG PHẦN TRẠM</t>
  </si>
  <si>
    <t>- Vật liệu chính</t>
  </si>
  <si>
    <t xml:space="preserve">- Vận chuyển đường dài vật liệu </t>
  </si>
  <si>
    <t xml:space="preserve"> Chi phí nhân công </t>
  </si>
  <si>
    <t xml:space="preserve">- Nhân công lắp </t>
  </si>
  <si>
    <t>- Máy thi công lắp</t>
  </si>
  <si>
    <t>GIÁ TRỊ DỰ TOÁN XÂY LẮP TRƯỚC THUẾ</t>
  </si>
  <si>
    <t>GIÁ TRỊ DỰ TOÁN  XÂY LẮP SAU THUẾ</t>
  </si>
  <si>
    <t>- Nhân công tháo lắp vật tư hiện hữu</t>
  </si>
  <si>
    <t>- Nhân công lắp mới</t>
  </si>
  <si>
    <t>- Máy thi công lắp mới</t>
  </si>
  <si>
    <t>- Máy thi công tháo lắp vật tư hiện hữu</t>
  </si>
  <si>
    <t>BẢNG 8: TỔNG HỢP CHI PHÍ LẮP ĐẶT THIẾT BỊ</t>
  </si>
  <si>
    <t>Bảng chiết tính</t>
  </si>
  <si>
    <t>BẢNG 2 :  BẢNG TỔNG HỢP CHI PHI XÂY DỰNG, THIẾT BỊ, TƯ VẤN, QUẢN LÝ DỰ ÁN VÀ CHI PHÍ KHÁC</t>
  </si>
  <si>
    <t>KHOẢN MỤC CHI PHÍ</t>
  </si>
  <si>
    <t xml:space="preserve">DIỄN GIẢI </t>
  </si>
  <si>
    <t>THUẾ GTGT (VNĐ)</t>
  </si>
  <si>
    <t>TỶ LỆ</t>
  </si>
  <si>
    <t>Chi phí xây dựng công trình</t>
  </si>
  <si>
    <t>Gxd = I+II</t>
  </si>
  <si>
    <t>Chi phí xây dựng đường dây</t>
  </si>
  <si>
    <t>Chi phí vật liệu</t>
  </si>
  <si>
    <t>1.1</t>
  </si>
  <si>
    <t>VL1</t>
  </si>
  <si>
    <t>VL2</t>
  </si>
  <si>
    <t>Chi phí xây dựng chính</t>
  </si>
  <si>
    <t>XD1</t>
  </si>
  <si>
    <t>XD2</t>
  </si>
  <si>
    <t>Chi phí vận chuyển vật liệu</t>
  </si>
  <si>
    <t>VC1</t>
  </si>
  <si>
    <t>VC2</t>
  </si>
  <si>
    <t>Chi phí xây dựng TBA</t>
  </si>
  <si>
    <t>Chi phí thiết bị công trình</t>
  </si>
  <si>
    <t>Gtb = I+II</t>
  </si>
  <si>
    <t>Chi phí thiết bị đường dây</t>
  </si>
  <si>
    <t>Gtbdd = 1+2+3</t>
  </si>
  <si>
    <t>Mua sắm thiết bị</t>
  </si>
  <si>
    <t>Lắp đặt thiết bị</t>
  </si>
  <si>
    <t>Thí nghiệm hiệu chỉnh thiết bị</t>
  </si>
  <si>
    <t>Chi phí thiết bị TBA</t>
  </si>
  <si>
    <t>Gtbtba = 1+2+3+4</t>
  </si>
  <si>
    <t>Vận chuyển thiết bị</t>
  </si>
  <si>
    <t>CHI PHÍ QUẢN LÝ DỰ ÁN</t>
  </si>
  <si>
    <t>CHI PHÍ TƯ VẤN ĐẦU TƯ XÂY DỰNG</t>
  </si>
  <si>
    <t>- Chi phí khảo sát lập BCKTKT</t>
  </si>
  <si>
    <t>KS = Bảng chiết tính/1,1</t>
  </si>
  <si>
    <t>- Chi phí lập báo cáo kinh tế kỹ thuật</t>
  </si>
  <si>
    <t>TK = Bảng chiết tính/1,1</t>
  </si>
  <si>
    <t>- Chi phí lập HSMT thi công xây dựng và mua sắm vật tư, thiết bị</t>
  </si>
  <si>
    <t>- Chi phí đánh giá HSDT thi công xây dựng và mua sắm vật tư, thiết bị</t>
  </si>
  <si>
    <t xml:space="preserve">- Chi phí giám sát thi công xây dựng </t>
  </si>
  <si>
    <t>- Chi phí giám sát lắp đặt thiết bị</t>
  </si>
  <si>
    <t>E</t>
  </si>
  <si>
    <t xml:space="preserve">CHI PHÍ KHÁC </t>
  </si>
  <si>
    <t>E.1</t>
  </si>
  <si>
    <t>Chi phí hạng mục chung</t>
  </si>
  <si>
    <t>Chi phí xây dựng nhà tạm để ở và điều hành thi công</t>
  </si>
  <si>
    <t>Gxdlntdd</t>
  </si>
  <si>
    <t>Chi phí một số công việc thuộc hạng mục chung nhưng không xác định được khối lượng từ thiết kế</t>
  </si>
  <si>
    <t>- Chi phí thẩm định KQLCNT</t>
  </si>
  <si>
    <t>- Chi phí lãi vay</t>
  </si>
  <si>
    <t>Tạm tính</t>
  </si>
  <si>
    <t>- Chi phí bảo hiểm xây dựng công trình</t>
  </si>
  <si>
    <t>+ Chi phí bảo hiểm xây dựng TBA</t>
  </si>
  <si>
    <t>+ Chi phí bảo hiểm xây dựng đường dây</t>
  </si>
  <si>
    <t>F</t>
  </si>
  <si>
    <t>CHI PHÍ DỰ PHÒNG</t>
  </si>
  <si>
    <t>GIÁ TRỊ TRƯỚC THUẾ (VNĐ)</t>
  </si>
  <si>
    <t>GIÁ TRỊ SAU THUẾ (VNĐ)</t>
  </si>
  <si>
    <t>B16400VR</t>
  </si>
  <si>
    <t>B16500VR</t>
  </si>
  <si>
    <t>B16550VR</t>
  </si>
  <si>
    <t>B16450VR</t>
  </si>
  <si>
    <t>B16650VR</t>
  </si>
  <si>
    <t>B16450V</t>
  </si>
  <si>
    <t>Dây ACX 70mm2</t>
  </si>
  <si>
    <t>GIP150-35</t>
  </si>
  <si>
    <t>GIP120-120</t>
  </si>
  <si>
    <t>Ghíp nối IPC 150-35</t>
  </si>
  <si>
    <t>Ghíp nối IPC 120-120</t>
  </si>
  <si>
    <t>KT95</t>
  </si>
  <si>
    <t>KT120</t>
  </si>
  <si>
    <t>KT50</t>
  </si>
  <si>
    <t>ONABC150</t>
  </si>
  <si>
    <t>Ống nối dây LV-ABC cỡ 150mm2</t>
  </si>
  <si>
    <t>KDAABC703</t>
  </si>
  <si>
    <t>Trụ BTLT 20m F1300 dự ứng lực</t>
  </si>
  <si>
    <t>K3B42</t>
  </si>
  <si>
    <t>Kẹp cáp 3 boulon B42x130</t>
  </si>
  <si>
    <t>Kẹp cáp 3 boulon B46x136</t>
  </si>
  <si>
    <t>Máng che dây chằng dày 0,8x2000mm</t>
  </si>
  <si>
    <t>Khóa néo dây cỡ dây 240 (kẹp dừng dây 5U-4mm)</t>
  </si>
  <si>
    <t>Boulon 16x300VRS + 4 long đền vuông D18-50x50x3/Zn</t>
  </si>
  <si>
    <t>TAN14</t>
  </si>
  <si>
    <t>TAN16</t>
  </si>
  <si>
    <t>TAN22</t>
  </si>
  <si>
    <t>Tán M14</t>
  </si>
  <si>
    <t>Tán M16</t>
  </si>
  <si>
    <t>Tán M22</t>
  </si>
  <si>
    <t>DDTT3P</t>
  </si>
  <si>
    <t>TBTT3P</t>
  </si>
  <si>
    <t>DDHT</t>
  </si>
  <si>
    <t>TBHT</t>
  </si>
  <si>
    <t>Vật liệu:</t>
  </si>
  <si>
    <t>Thiết bị:</t>
  </si>
  <si>
    <t>TT3P4970</t>
  </si>
  <si>
    <t>TB3P4970</t>
  </si>
  <si>
    <t>HT4970</t>
  </si>
  <si>
    <t>TBHT4970</t>
  </si>
  <si>
    <t>NC1776</t>
  </si>
  <si>
    <t>NC4970</t>
  </si>
  <si>
    <t>MTC1776</t>
  </si>
  <si>
    <t>MTC4970</t>
  </si>
  <si>
    <t>B16750VR</t>
  </si>
  <si>
    <t>3x100KVA</t>
  </si>
  <si>
    <t>Lưới tiếp địa trạm 1 pha</t>
  </si>
  <si>
    <t>Lưới tiếp địa trạm treo 3 pha</t>
  </si>
  <si>
    <t>Lưới tiếp địa trạm giàn 3 pha</t>
  </si>
  <si>
    <t>DK3P5A</t>
  </si>
  <si>
    <t>LCAPDONGTB150</t>
  </si>
  <si>
    <t>ATM320</t>
  </si>
  <si>
    <t>Máy biến áp AMORPHOUS 22/0,4kV- 250kVA</t>
  </si>
  <si>
    <t>Máy biến áp AMORPHOUS 22/0,4kV- 320kVA</t>
  </si>
  <si>
    <t>Máy biến áp AMORPHOUS 22/0,4kV- 400kVA</t>
  </si>
  <si>
    <t>Máy biến áp AMORPHOUS 22/0,4kV- 560kVA</t>
  </si>
  <si>
    <t>Máy biến áp AMORPHOUS 22/0,4kV- 630kVA</t>
  </si>
  <si>
    <t>TBTR75</t>
  </si>
  <si>
    <t>TR75</t>
  </si>
  <si>
    <t>VLTR75</t>
  </si>
  <si>
    <t>TR100</t>
  </si>
  <si>
    <t>TBTR100</t>
  </si>
  <si>
    <t>VLTR100</t>
  </si>
  <si>
    <t>TR3X25</t>
  </si>
  <si>
    <t>TBTR3X25</t>
  </si>
  <si>
    <t>VLTR3X25</t>
  </si>
  <si>
    <t>TR3X375</t>
  </si>
  <si>
    <t>TBTR3X375</t>
  </si>
  <si>
    <t>VLTR3X375</t>
  </si>
  <si>
    <t>TR3X50</t>
  </si>
  <si>
    <t>TBTR3X50</t>
  </si>
  <si>
    <t>VLTR3X50</t>
  </si>
  <si>
    <t>TR3X75</t>
  </si>
  <si>
    <t>TBTR3X75</t>
  </si>
  <si>
    <t>VLTR3X75</t>
  </si>
  <si>
    <t>TR25</t>
  </si>
  <si>
    <t>TR375</t>
  </si>
  <si>
    <t>TR50</t>
  </si>
  <si>
    <t>TBTR25</t>
  </si>
  <si>
    <t>TBTR375</t>
  </si>
  <si>
    <t>TBTR50</t>
  </si>
  <si>
    <t>TR3X100</t>
  </si>
  <si>
    <t>VLTR25</t>
  </si>
  <si>
    <t>VLTR375</t>
  </si>
  <si>
    <t>VLTR50</t>
  </si>
  <si>
    <t>XLTR75</t>
  </si>
  <si>
    <t>XLTR3X50</t>
  </si>
  <si>
    <t>XLTR3X25</t>
  </si>
  <si>
    <t>XLTR3X375</t>
  </si>
  <si>
    <t>XLTR100</t>
  </si>
  <si>
    <t>XLTR25</t>
  </si>
  <si>
    <t>XLTR375</t>
  </si>
  <si>
    <t>XLTR50</t>
  </si>
  <si>
    <t>XLTR3X75</t>
  </si>
  <si>
    <t>XLTR3X100</t>
  </si>
  <si>
    <t>TBTR3X100</t>
  </si>
  <si>
    <t>VLTR3X100</t>
  </si>
  <si>
    <t>LDTBHT</t>
  </si>
  <si>
    <t>LDTBTT3P</t>
  </si>
  <si>
    <t>BẢNG 1: TỔNG HỢP DỰ TOÁN XÂY DỰNG CÔNG TRÌNH</t>
  </si>
  <si>
    <t>CHI PHÍ 
XÂY DỰNG</t>
  </si>
  <si>
    <t>CHI PHÍ
THIẾT BỊ</t>
  </si>
  <si>
    <t>CHI PHÍ 
QLDA</t>
  </si>
  <si>
    <t>CHI PHÍ TV ĐẦU TƯ XÂY DỰNG</t>
  </si>
  <si>
    <t>CHI PHÍ KHÁC</t>
  </si>
  <si>
    <t>CHI PHÍ 
DỰ PHÒNG</t>
  </si>
  <si>
    <t>TỔNG CỘNG</t>
  </si>
  <si>
    <t>PHẦN TRẠM BIẾN ÁP</t>
  </si>
  <si>
    <t>PHẦN ĐƯỜNG DÂY</t>
  </si>
  <si>
    <t xml:space="preserve">TỔNG CỘNG </t>
  </si>
  <si>
    <t>KIỂM TRA</t>
  </si>
  <si>
    <t>BẢNG 10: DỰ TOÁN THÍ NGHIỆM HIỆU CHỈNH THIẾT BỊ</t>
  </si>
  <si>
    <t>TÊN THIẾT BỊ</t>
  </si>
  <si>
    <t>M-T -C</t>
  </si>
  <si>
    <t>EB.22040</t>
  </si>
  <si>
    <t>FCO 27kV 100A</t>
  </si>
  <si>
    <t>HS</t>
  </si>
  <si>
    <t>FCO 27kV 200A</t>
  </si>
  <si>
    <t>EB.72010</t>
  </si>
  <si>
    <t>EC.22020</t>
  </si>
  <si>
    <t>Tiếp địa lặp lại</t>
  </si>
  <si>
    <t>Vị trí</t>
  </si>
  <si>
    <t>EC.11040</t>
  </si>
  <si>
    <t>EB.41020</t>
  </si>
  <si>
    <t>Sứ đứng 24kV</t>
  </si>
  <si>
    <t>EB.41040</t>
  </si>
  <si>
    <t>Cách điện treo polymer</t>
  </si>
  <si>
    <t>EB.60030</t>
  </si>
  <si>
    <t>Cáp lực điện áp đến 35kV</t>
  </si>
  <si>
    <t>Mẫu</t>
  </si>
  <si>
    <t>FCO 24kV 100A</t>
  </si>
  <si>
    <t>EC.21040</t>
  </si>
  <si>
    <t>Tiếp địa TBA</t>
  </si>
  <si>
    <t>EA.22230</t>
  </si>
  <si>
    <t>MBA 1 pha 12.7/0.22-0.44KV - 50KVA</t>
  </si>
  <si>
    <t>Máy</t>
  </si>
  <si>
    <t>MBA 1 pha 12.7/0.22-0.44KV - 75KVA</t>
  </si>
  <si>
    <t>MBA 1 pha 12.7/0.22-0.44KV - 100KVA</t>
  </si>
  <si>
    <t>EB.71040</t>
  </si>
  <si>
    <t>SỐ LƯỢNG</t>
  </si>
  <si>
    <t>Thí nghiệm dao cách ly</t>
  </si>
  <si>
    <t>Tên</t>
  </si>
  <si>
    <t>ĐVT</t>
  </si>
  <si>
    <t>KL</t>
  </si>
  <si>
    <t>ĐG</t>
  </si>
  <si>
    <t>Tên máy</t>
  </si>
  <si>
    <t>Điện</t>
  </si>
  <si>
    <t>kWh</t>
  </si>
  <si>
    <t>Máy đo điện trở tiếp xúc</t>
  </si>
  <si>
    <t>ca</t>
  </si>
  <si>
    <t>Dây CV2x1,5</t>
  </si>
  <si>
    <t>Mê gôm mét</t>
  </si>
  <si>
    <t>Giẻ lau</t>
  </si>
  <si>
    <t>Hợp bộ thí nghiệm cao áp</t>
  </si>
  <si>
    <t>Cồn công nghiệp</t>
  </si>
  <si>
    <t>Xe thang nâng</t>
  </si>
  <si>
    <t>Giấy nhám số 0</t>
  </si>
  <si>
    <t>tờ</t>
  </si>
  <si>
    <t>Thí nghiệm MCCB &lt;300A</t>
  </si>
  <si>
    <t>Thiết bị tạo dòng</t>
  </si>
  <si>
    <t>Thí nghiệm LA</t>
  </si>
  <si>
    <t>Thí nghiệm MCCB 300-&lt;500A</t>
  </si>
  <si>
    <t>Thí nghiệm tiếp địa trạm</t>
  </si>
  <si>
    <t>Máy đo điện trở tiếp địa</t>
  </si>
  <si>
    <t>Thí nghiệm tiếp địa lặp lại, LA</t>
  </si>
  <si>
    <t>Thí nghiệm cách điện đứng</t>
  </si>
  <si>
    <t>Thí nghiệm cách điện treo</t>
  </si>
  <si>
    <t>THÍ NGHIỆM MÁY BIẾN ÁP 1 PHA &lt;=100KVA</t>
  </si>
  <si>
    <t>Vải phin trắng 0,8m</t>
  </si>
  <si>
    <t>Hợp bộ đo lường</t>
  </si>
  <si>
    <t>Băng cách điện</t>
  </si>
  <si>
    <t>Máy đo điện trở một chiều</t>
  </si>
  <si>
    <t>Máy đo tỉ số biến</t>
  </si>
  <si>
    <t>Dây CV2x2,5</t>
  </si>
  <si>
    <t>Dây CV4x2,5</t>
  </si>
  <si>
    <t>TNFCO</t>
  </si>
  <si>
    <t>TNLA</t>
  </si>
  <si>
    <t>TNCB300</t>
  </si>
  <si>
    <t>TNCB500</t>
  </si>
  <si>
    <t>TNTDTR</t>
  </si>
  <si>
    <t>TNTDLA</t>
  </si>
  <si>
    <t>TNSD</t>
  </si>
  <si>
    <t>TNST</t>
  </si>
  <si>
    <t>TNMBA</t>
  </si>
  <si>
    <t>TNTDLL</t>
  </si>
  <si>
    <t>TNCAP</t>
  </si>
  <si>
    <t>BẢNG 9: TỔNG HỢP CHI PHÍ THÍ GHIỆM HIỆU CHỈNH THIẾT BỊ</t>
  </si>
  <si>
    <t>- Vật liệu thí nghiệm</t>
  </si>
  <si>
    <t>- Nhân công thí nghiệm</t>
  </si>
  <si>
    <t>- Máy thi công thí nghiệm</t>
  </si>
  <si>
    <t>TNT3</t>
  </si>
  <si>
    <t>TT</t>
  </si>
  <si>
    <t>LIỆT KÊ VẬT TƯ</t>
  </si>
  <si>
    <t>BẬC THỢ THÁO</t>
  </si>
  <si>
    <t>ĐỊNH MỨC 
NC THÁO</t>
  </si>
  <si>
    <t>HỆ SỐ THÁO</t>
  </si>
  <si>
    <t>BẬC THỢ LẮP</t>
  </si>
  <si>
    <t>ĐỊNH MỨC NC LẮP</t>
  </si>
  <si>
    <t>HỆ SỐ LẮP</t>
  </si>
  <si>
    <t>MÃ NC</t>
  </si>
  <si>
    <t>03.01.105</t>
  </si>
  <si>
    <t>Tháo (lắp) Sứ đứng</t>
  </si>
  <si>
    <t>Sứ</t>
  </si>
  <si>
    <t>3,5/7</t>
  </si>
  <si>
    <t>03.02.101</t>
  </si>
  <si>
    <t>Tháo (lắp) sứ ống chỉ</t>
  </si>
  <si>
    <t>3,0/7</t>
  </si>
  <si>
    <t>Tháo (lắp) Sứ treo thủy tinh (bộ 2 bát)</t>
  </si>
  <si>
    <t>4,0/7</t>
  </si>
  <si>
    <t>03.10.411</t>
  </si>
  <si>
    <t>Tháo (lắp) Chuỗi sừ treo Polymer</t>
  </si>
  <si>
    <t>03.09.311</t>
  </si>
  <si>
    <t>03.09.251</t>
  </si>
  <si>
    <t>4,5/7</t>
  </si>
  <si>
    <t>05.02.101</t>
  </si>
  <si>
    <t>Tháo (lắp) xà đơn X-2,0ĐL2/3</t>
  </si>
  <si>
    <t>Nhổ (dựng) trụ BTLT 14m</t>
  </si>
  <si>
    <t>Nhổ (dựng) trụ BTLT 12m</t>
  </si>
  <si>
    <t>04.02.302</t>
  </si>
  <si>
    <t>Nhổ (dựng) trụ BTLT 10,5m</t>
  </si>
  <si>
    <t xml:space="preserve">trạm </t>
  </si>
  <si>
    <t>07.10.402</t>
  </si>
  <si>
    <t>Tháo (lắp) MBA ≤100KVA</t>
  </si>
  <si>
    <t>13.01.001</t>
  </si>
  <si>
    <t>Tháo (lắp) thùng trạm 1 pha</t>
  </si>
  <si>
    <t>11.07.206</t>
  </si>
  <si>
    <t>Tháo (lắp) MCCB 250A</t>
  </si>
  <si>
    <t>14.04.005</t>
  </si>
  <si>
    <t>Tháo (lắp) bộ FCO</t>
  </si>
  <si>
    <t>09.05.004</t>
  </si>
  <si>
    <t>Tháo (lắp) bộ LA</t>
  </si>
  <si>
    <t>05.01.201</t>
  </si>
  <si>
    <t>05.01.401</t>
  </si>
  <si>
    <t>11.07.102</t>
  </si>
  <si>
    <t>Tháo CB tép 32A trên trụ tròn</t>
  </si>
  <si>
    <t>Tháo (lắp) tụ bù hạ thế</t>
  </si>
  <si>
    <t>Tháo (lắp) Rack 2</t>
  </si>
  <si>
    <t>Tháo (lắp) Rack 3</t>
  </si>
  <si>
    <t>Tháo (lắp) Rack 4</t>
  </si>
  <si>
    <t>ĐỊNH MỨC 
CA MÁY</t>
  </si>
  <si>
    <t>HỆ SỐ</t>
  </si>
  <si>
    <t>Ghi chú : Các loại vật tư sau khi thu hồi đơn vị thi công bàn giao lại cho Điện lực địa phương.</t>
  </si>
  <si>
    <t>NHÂN CÔNG</t>
  </si>
  <si>
    <t>MÁY THI CÔNG</t>
  </si>
  <si>
    <t>SỐ LƯỢNG THÁO</t>
  </si>
  <si>
    <t>SỐ LƯỢNG SDL</t>
  </si>
  <si>
    <t>ĐƠN GIÁ NC</t>
  </si>
  <si>
    <t>ĐƠN GIÁ MTC</t>
  </si>
  <si>
    <t>THÁO</t>
  </si>
  <si>
    <t>LẮP</t>
  </si>
  <si>
    <t>Tháo (lắp) xà kép X-2,0KL2/3</t>
  </si>
  <si>
    <t>Tháo (lắp) xà kép X-2,1K</t>
  </si>
  <si>
    <t>Tháo (lắp) xà đơn X-2,1Đ</t>
  </si>
  <si>
    <t>Tháo (lắp) xà đơn X-1,66Đ</t>
  </si>
  <si>
    <t>Tháo (lắp) xà kép X-1,66K</t>
  </si>
  <si>
    <t>Tháo (lắp) xà đơn X-22Đ</t>
  </si>
  <si>
    <t>Tháo (lắp) xà kép X-2,2K</t>
  </si>
  <si>
    <t>04.02.102</t>
  </si>
  <si>
    <t>03.09.271</t>
  </si>
  <si>
    <t>Tháo (lắp) bộ chằng</t>
  </si>
  <si>
    <t>03.09.261</t>
  </si>
  <si>
    <t>11.05.001</t>
  </si>
  <si>
    <t>01.02.001</t>
  </si>
  <si>
    <t>Tháo (lắp) tiếp địa ngọn</t>
  </si>
  <si>
    <t>05.02.202</t>
  </si>
  <si>
    <t>05.02.201</t>
  </si>
  <si>
    <t>Tháo hạ, căng dây AC50, AC70</t>
  </si>
  <si>
    <t>11.02.106</t>
  </si>
  <si>
    <t>Tháo ống PVC D90</t>
  </si>
  <si>
    <t>11.04.402</t>
  </si>
  <si>
    <t>Tháo dây CV11 xuống thiết bị</t>
  </si>
  <si>
    <t>11.04.403</t>
  </si>
  <si>
    <t>Tháo dây CV25 xuống thiết bị</t>
  </si>
  <si>
    <t>Tháo dây CV50xuống thiết bị</t>
  </si>
  <si>
    <t>Tháo dây CV70 xuống thiết bị</t>
  </si>
  <si>
    <t>Tháo dây CV95 xuống thiết bị</t>
  </si>
  <si>
    <t>Tháo dây CV120 xuống thiết bị</t>
  </si>
  <si>
    <t>Tháo (lắp) MBA ≤50KVA</t>
  </si>
  <si>
    <t>07.10.401</t>
  </si>
  <si>
    <t>LOẠI MÁY THÁO</t>
  </si>
  <si>
    <t>LOẠI MÁY LẮP</t>
  </si>
  <si>
    <t>04.02.202</t>
  </si>
  <si>
    <t>04.02.402</t>
  </si>
  <si>
    <t>04.03.111</t>
  </si>
  <si>
    <t>04.03.121</t>
  </si>
  <si>
    <t>04.03.122</t>
  </si>
  <si>
    <t>03.07.101</t>
  </si>
  <si>
    <t>Nhổ (dựng) trụ BTLT 8,4m và 8,5m</t>
  </si>
  <si>
    <t>Nhổ (dựng) trụ BTLT 7,5m</t>
  </si>
  <si>
    <t>Tháo hạ (căng) dây DuCV2x7mm2</t>
  </si>
  <si>
    <t>Tháo hạ (căng) dây DuAV2x7mm2</t>
  </si>
  <si>
    <t>Tháo (lắp) công tơ 1 pha</t>
  </si>
  <si>
    <t>Tháo (lắp) cầu chì cá</t>
  </si>
  <si>
    <t>Tháo (lắp) kẹp nhôm 2 rãnh</t>
  </si>
  <si>
    <t>Tháo (lắp) kẹp Ubolt</t>
  </si>
  <si>
    <t>TÊN CÔNG TRÌNH :</t>
  </si>
  <si>
    <t>HẠNG MỤC (NẾU CÓ):</t>
  </si>
  <si>
    <t>Chủ đầu tư:</t>
  </si>
  <si>
    <t>Đơn vị TV:</t>
  </si>
  <si>
    <t>- TỔNG MỨC ĐẦU TƯ (DADT) :</t>
  </si>
  <si>
    <t>đồng</t>
  </si>
  <si>
    <t>- GIÁ TRỊ (XL+TB) TRƯỚC THUẾ (DADT) :</t>
  </si>
  <si>
    <t>- CỰ LY VẬN CHUYỂN ĐƯỜNG DÀI (TRỤ):</t>
  </si>
  <si>
    <t>- CỰ LY VẬN CHUYỂN ĐƯỜNG DÀI (VẬT TƯ):</t>
  </si>
  <si>
    <t>- CỰ LY VẬN CHUYỂN THỦ CÔNG :</t>
  </si>
  <si>
    <t>- CỰ LY TRUNG CHUYỂN BÌNH QUÂN :</t>
  </si>
  <si>
    <t>- SỐ CHUYẾN KHẢO SÁT KT :</t>
  </si>
  <si>
    <t>ch</t>
  </si>
  <si>
    <t>- SỐ CHUYẾN KHẢO SÁT SƠ BỘ:</t>
  </si>
  <si>
    <t>- SỐ CHUYẾN QUA PHÀ :</t>
  </si>
  <si>
    <t>- CẤP ĐẤT ĐỊA HÌNH :</t>
  </si>
  <si>
    <t>- HỆ SỐ LẬP NHÀ TẠM</t>
  </si>
  <si>
    <t>%</t>
  </si>
  <si>
    <t>- CHI PHÍ DỰ PHÒNG</t>
  </si>
  <si>
    <t xml:space="preserve">- BÁO CÁO KINH TẾ KỸ THUẬT </t>
  </si>
  <si>
    <t>(BCKTKT)</t>
  </si>
  <si>
    <t xml:space="preserve">- THIẾT KẾ BẢN VẼ THI CÔNG </t>
  </si>
  <si>
    <t>(TKBVTC)</t>
  </si>
  <si>
    <t>- ĐO ĐẾM TRUNG THẾ</t>
  </si>
  <si>
    <t>- TIẾP ĐỊA TRẠM LOẠI :</t>
  </si>
  <si>
    <t>- CHỐNG SÉT VAN (LA) :</t>
  </si>
  <si>
    <t>kV</t>
  </si>
  <si>
    <t>- ĐIỆN ÁP CỦA LƯỚI HIỆN HỮU (Udhh) :</t>
  </si>
  <si>
    <t>TRẠM 1P :</t>
  </si>
  <si>
    <t>SL trạm</t>
  </si>
  <si>
    <t>TRẠM 3P :</t>
  </si>
  <si>
    <t>KVA</t>
  </si>
  <si>
    <t>1x25 KVA</t>
  </si>
  <si>
    <t>3x25</t>
  </si>
  <si>
    <t>1x37,5 KVA</t>
  </si>
  <si>
    <t>3x37,5</t>
  </si>
  <si>
    <t>1x50 KVA</t>
  </si>
  <si>
    <t>3x50</t>
  </si>
  <si>
    <t>3x75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</si>
  <si>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</si>
  <si>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</si>
  <si>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</si>
  <si>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</si>
  <si>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</si>
  <si>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</si>
  <si>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</si>
  <si>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</si>
  <si>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</si>
  <si>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</si>
  <si>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</si>
  <si>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</si>
  <si>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</si>
  <si>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</si>
  <si>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3K</t>
  </si>
  <si>
    <t>ATM75</t>
  </si>
  <si>
    <t>XLPE25</t>
  </si>
  <si>
    <t>atm200</t>
  </si>
  <si>
    <t>atm250</t>
  </si>
  <si>
    <t>atm400</t>
  </si>
  <si>
    <t>10K</t>
  </si>
  <si>
    <t>atn250</t>
  </si>
  <si>
    <t>CV151</t>
  </si>
  <si>
    <t>CV96</t>
  </si>
  <si>
    <t>12K</t>
  </si>
  <si>
    <t>CV152</t>
  </si>
  <si>
    <t>CV97</t>
  </si>
  <si>
    <t>15K</t>
  </si>
  <si>
    <t>CV153</t>
  </si>
  <si>
    <t>CV98</t>
  </si>
  <si>
    <t>25K</t>
  </si>
  <si>
    <t>CV154</t>
  </si>
  <si>
    <t>CV99</t>
  </si>
  <si>
    <t>30K</t>
  </si>
  <si>
    <t>CV155</t>
  </si>
  <si>
    <t>CV100</t>
  </si>
  <si>
    <t>40K</t>
  </si>
  <si>
    <t>CV156</t>
  </si>
  <si>
    <t>CV101</t>
  </si>
  <si>
    <t>50K</t>
  </si>
  <si>
    <t>CV157</t>
  </si>
  <si>
    <t>CV102</t>
  </si>
  <si>
    <t>65K</t>
  </si>
  <si>
    <t>100K</t>
  </si>
  <si>
    <t>140K</t>
  </si>
  <si>
    <t>1x75KVA</t>
  </si>
  <si>
    <t>1x100kVA</t>
  </si>
  <si>
    <t>3x100</t>
  </si>
  <si>
    <t>Dây ACX 95mm2</t>
  </si>
  <si>
    <t>Dây ACX 120mm2</t>
  </si>
  <si>
    <t>Dây ACX 150mm2</t>
  </si>
  <si>
    <t>Dây ACX 185mm2</t>
  </si>
  <si>
    <t>Dây ACX 240mm2</t>
  </si>
  <si>
    <t>Dây AC 50mm2</t>
  </si>
  <si>
    <t>Dây AC 70mm2</t>
  </si>
  <si>
    <t>Dây AC 95mm2</t>
  </si>
  <si>
    <t>Dây AC 120mm2</t>
  </si>
  <si>
    <t>Tuyến tổ 9B ấp 3 - Lâm San</t>
  </si>
  <si>
    <t>Tuyến tổ 3 ấp 3 - Lâm San</t>
  </si>
  <si>
    <t>Tuyến tổ 3 ấp 7 - Sông Ray</t>
  </si>
  <si>
    <t>I.</t>
  </si>
  <si>
    <t>CHI PHÍ LẬP BCKTKT</t>
  </si>
  <si>
    <t>=</t>
  </si>
  <si>
    <t>đ</t>
  </si>
  <si>
    <t xml:space="preserve">Trong đó: </t>
  </si>
  <si>
    <t xml:space="preserve">  + 1,1 hệ số bao gồm thuế GTGT; </t>
  </si>
  <si>
    <t>Chi phí XD,TB trước thuế</t>
  </si>
  <si>
    <t>XD + TB</t>
  </si>
  <si>
    <t>XD</t>
  </si>
  <si>
    <t>TB</t>
  </si>
  <si>
    <t>tính toán</t>
  </si>
  <si>
    <t>XD không nhà tạm</t>
  </si>
  <si>
    <t>N</t>
  </si>
  <si>
    <t>MCCB 3 cực 600V - 320A - 35KA</t>
  </si>
  <si>
    <t>MCCB 3 cực 600V - 125A - 30KA</t>
  </si>
  <si>
    <t>MCCB 3 cực 600V - 400A - 35KA</t>
  </si>
  <si>
    <t>MCCB 3 cực 600V - 200A - 35KA</t>
  </si>
  <si>
    <t>MCCB 3 cực 600V - 250A - 35KA</t>
  </si>
  <si>
    <t>Bảng 3</t>
  </si>
  <si>
    <t>K</t>
  </si>
  <si>
    <t>6% (NC+C+K)</t>
  </si>
  <si>
    <t>Giá trị dự toán xây dựng sau thuế</t>
  </si>
  <si>
    <t>Nội dung công việc</t>
  </si>
  <si>
    <t>Khối lượng</t>
  </si>
  <si>
    <t>Đơn giá 
(đồng)</t>
  </si>
  <si>
    <t>Thành tiền
Nhân công</t>
  </si>
  <si>
    <t>Thành tiền 
Chi phí khác</t>
  </si>
  <si>
    <t>THU THẬP TÀI LIỆU</t>
  </si>
  <si>
    <t>Công</t>
  </si>
  <si>
    <t>PT</t>
  </si>
  <si>
    <t xml:space="preserve">Chi phí phô tô tài liệu </t>
  </si>
  <si>
    <t>CTP</t>
  </si>
  <si>
    <t>OTO</t>
  </si>
  <si>
    <t>TX</t>
  </si>
  <si>
    <t>VIẾT BÁO CÁO THU THẬP SỐ LIỆU</t>
  </si>
  <si>
    <t>Chi phí thông tin liên lạc</t>
  </si>
  <si>
    <t>khoán gọn</t>
  </si>
  <si>
    <t>Chi phí văn phòng phẩm</t>
  </si>
  <si>
    <t>Chi phí điện nước văn phòng</t>
  </si>
  <si>
    <t xml:space="preserve">Chi phí khấu hao xe </t>
  </si>
  <si>
    <t>Viết báo cáo</t>
  </si>
  <si>
    <t>IN</t>
  </si>
  <si>
    <t>Tổng cộng:</t>
  </si>
  <si>
    <t>xe  7 chổ</t>
  </si>
  <si>
    <t>khấu hao</t>
  </si>
  <si>
    <t>năm</t>
  </si>
  <si>
    <t>tiền khấu hao trong 1 năm</t>
  </si>
  <si>
    <t>1 tháng</t>
  </si>
  <si>
    <t xml:space="preserve">NC+C+K+TL+GTGT </t>
  </si>
  <si>
    <t>NC+K+C+TL</t>
  </si>
  <si>
    <t>Z x 10%</t>
  </si>
  <si>
    <t>Chi phí nhân công</t>
  </si>
  <si>
    <t>Chi phí khác</t>
  </si>
  <si>
    <t>Chi phí chung</t>
  </si>
  <si>
    <t>Thu nhập chịu thuế tính trước</t>
  </si>
  <si>
    <t>Dự toán khảo sát trước thuế</t>
  </si>
  <si>
    <t>Thuế giá trị gia tăng (VAT)</t>
  </si>
  <si>
    <t>TÀI XẾ</t>
  </si>
  <si>
    <t>Tài xế bậc 1/4</t>
  </si>
  <si>
    <t>In ấn (photo) tài liệu cuối cùng (8 bộ)</t>
  </si>
  <si>
    <t>1 ngày</t>
  </si>
  <si>
    <t>TRNC3X50</t>
  </si>
  <si>
    <t>VLTRNC3X50</t>
  </si>
  <si>
    <t>TRẠM XDM</t>
  </si>
  <si>
    <t>TRẠM NC</t>
  </si>
  <si>
    <t>50-&gt;3X50</t>
  </si>
  <si>
    <t>Bảng số 2 - 79-QĐ-BXD  GXd+TB trước thuế</t>
  </si>
  <si>
    <t>BẢNG 11:  BẢNG TÍNH NHÂN CÔNG VẬT TƯ THÁO LẮP</t>
  </si>
  <si>
    <t>Cự ly vận chuyển :</t>
  </si>
  <si>
    <t>Hệ số khó khăn    :</t>
  </si>
  <si>
    <t>BẢNG 6:  CHI PHÍ VẬN CHUYỂN ĐƯỜNG NGẮN CHO MỘT ĐƠN VỊ KHỐI LƯỢNG</t>
  </si>
  <si>
    <t>Cự ly vận chuyển bình quân:</t>
  </si>
  <si>
    <t>MÃ VC</t>
  </si>
  <si>
    <t>LOẠI VẬT LIỆU</t>
  </si>
  <si>
    <t>ĐỊNH MỨC</t>
  </si>
  <si>
    <t>HAO HỤT</t>
  </si>
  <si>
    <t>ĐƠN GÍA VẬN CHUYỂN</t>
  </si>
  <si>
    <t>THEO QĐ</t>
  </si>
  <si>
    <t>KHÓ KHĂN</t>
  </si>
  <si>
    <t>TÍNH CHO 1KM</t>
  </si>
  <si>
    <t>CỰ LY TÍNH TOÁN</t>
  </si>
  <si>
    <t>THEP</t>
  </si>
  <si>
    <t>02.1351</t>
  </si>
  <si>
    <t>V/c cốt thép ( cự ly &lt;=100m)</t>
  </si>
  <si>
    <t>XIMANG</t>
  </si>
  <si>
    <t>02.1211</t>
  </si>
  <si>
    <t>V/c xi măng ( cự ly &lt;=100m)</t>
  </si>
  <si>
    <t>CAT</t>
  </si>
  <si>
    <t>02.1231</t>
  </si>
  <si>
    <t>V/c cát vàng cự ly &lt;=100m</t>
  </si>
  <si>
    <t>DADAM</t>
  </si>
  <si>
    <t>02.1241</t>
  </si>
  <si>
    <t>V/c đá dăm ( cự ly &lt;=100m)</t>
  </si>
  <si>
    <t>DA</t>
  </si>
  <si>
    <t>02.1451</t>
  </si>
  <si>
    <t>V/c đà cản vào vị trí (cự ly &lt;=100m)</t>
  </si>
  <si>
    <t>TD</t>
  </si>
  <si>
    <t>V/c tiếp địa vào vị trí ( cự ly &lt;=100m)</t>
  </si>
  <si>
    <t>DN</t>
  </si>
  <si>
    <t>V/c đế néo vào vị trí (cự ly &lt;=100m)</t>
  </si>
  <si>
    <t>02.1421</t>
  </si>
  <si>
    <t>V/c neo xòe vào vị trí (cự ly &lt;=100m)</t>
  </si>
  <si>
    <t>COT</t>
  </si>
  <si>
    <t>V/c cột vào vị trí (cự ly &lt;=100m)</t>
  </si>
  <si>
    <t>COT500+</t>
  </si>
  <si>
    <t>V/c cột vào vị trí (cự ly &gt;500m)</t>
  </si>
  <si>
    <t>COT500</t>
  </si>
  <si>
    <t>V/c cột vào vị trí (cự ly &lt;=500m)</t>
  </si>
  <si>
    <t>COT300</t>
  </si>
  <si>
    <t>V/c cột vào vị trí (cự ly &lt;=300m)</t>
  </si>
  <si>
    <t>COT100</t>
  </si>
  <si>
    <t>XA</t>
  </si>
  <si>
    <t>02.1361</t>
  </si>
  <si>
    <t>V/c xà vào vị trí (cư ly &lt;=100m)</t>
  </si>
  <si>
    <t>PK</t>
  </si>
  <si>
    <t>V/c phụ kiện vào vị trí ( cự ly &lt;=100m)</t>
  </si>
  <si>
    <t>ctram</t>
  </si>
  <si>
    <t>02.1411</t>
  </si>
  <si>
    <t>V/c cừ tràm 5m ( cự ly &lt;=100m)</t>
  </si>
  <si>
    <t>DAY</t>
  </si>
  <si>
    <t>02.1441</t>
  </si>
  <si>
    <t>V/c dây vào vị trí (cự ly &lt;=100m)</t>
  </si>
  <si>
    <t>DCTC</t>
  </si>
  <si>
    <t>02.1482</t>
  </si>
  <si>
    <t>V/c dụng cụ thi công ( cự ly &lt;=100m)</t>
  </si>
  <si>
    <t>BẢNG 6: BIỂU CHIẾT TÍNH CỰ LY TRUNG CHUYỂN</t>
  </si>
  <si>
    <t>- Vận chuyển đường dài của công trình bằng xe ôtô, và tập kết trụ tại các kho thi công. Đây là điểm tập kết của cà công trình.</t>
  </si>
  <si>
    <t>- Trung chuyển trụ từ điểm tập kết trên vào các tuyến của công trình như sau:</t>
  </si>
  <si>
    <t>Tên tuyến</t>
  </si>
  <si>
    <t>Phương tiện trung chuyển</t>
  </si>
  <si>
    <t>Số trụ trung hạ thế</t>
  </si>
  <si>
    <t>Cự ly [km]
trung chuyển</t>
  </si>
  <si>
    <t>12; 10,5m</t>
  </si>
  <si>
    <t>7,5; 8.5m</t>
  </si>
  <si>
    <t>Cộng:</t>
  </si>
  <si>
    <t>Cự ly trung chuyển bình quân :</t>
  </si>
  <si>
    <r>
      <t>X</t>
    </r>
    <r>
      <rPr>
        <vertAlign val="subscript"/>
        <sz val="12"/>
        <rFont val="Times New Roman"/>
        <family val="1"/>
        <charset val="163"/>
      </rPr>
      <t xml:space="preserve">TB </t>
    </r>
    <r>
      <rPr>
        <sz val="12"/>
        <rFont val="Times New Roman"/>
        <family val="1"/>
        <charset val="163"/>
      </rPr>
      <t>=</t>
    </r>
  </si>
  <si>
    <t>SỐ HIỆU ĐƠN GIÁ</t>
  </si>
  <si>
    <t>D1.1104</t>
  </si>
  <si>
    <t>D1.1102</t>
  </si>
  <si>
    <t>D1.1103</t>
  </si>
  <si>
    <t>D1.1105</t>
  </si>
  <si>
    <t>VẬT LIỆU</t>
  </si>
  <si>
    <t>TỶ TRỌNG</t>
  </si>
  <si>
    <t>Vận chuyển trụ, đà cản và đế neo đến công trường:</t>
  </si>
  <si>
    <t>4.</t>
  </si>
  <si>
    <t>5.</t>
  </si>
  <si>
    <t>Chi phí chằng buộc, bảo quản hàng trong qúa trình vận chuyển</t>
  </si>
  <si>
    <t>Vận chuyển dây sứ và phụ kiện đến công trường:</t>
  </si>
  <si>
    <t>Cẩu bốc dỡ trụ :</t>
  </si>
  <si>
    <t>Vận chuyển vật liệu TBA đến công trường:</t>
  </si>
  <si>
    <t>Chi phí chằng buộc, bảo quản hàng trong qúa trình vận chuyển:</t>
  </si>
  <si>
    <t>Vận chuyển máy biến áp và các thiết bị khác đến công trình</t>
  </si>
  <si>
    <t>đ/TKm</t>
  </si>
  <si>
    <t>Chiều dài vận chuyển trụ</t>
  </si>
  <si>
    <t>Chiều dài vận chuyển vật tư</t>
  </si>
  <si>
    <t>Chiều dài vận chuyển thiết bị</t>
  </si>
  <si>
    <t>Đường cấp I</t>
  </si>
  <si>
    <t>Đường cấp II</t>
  </si>
  <si>
    <t>Đường cấp III</t>
  </si>
  <si>
    <t>Đường cấp IV</t>
  </si>
  <si>
    <t>TRỤ</t>
  </si>
  <si>
    <t>Khối lượng chuyến xe chở trụ</t>
  </si>
  <si>
    <t>Khối lượng chuyến xe chở vật tư</t>
  </si>
  <si>
    <t>Khối lượng chuyến xe chở thiết bị</t>
  </si>
  <si>
    <t>Phần đường dây hạ thế</t>
  </si>
  <si>
    <t>Cẩu bốc dỡ vật tư</t>
  </si>
  <si>
    <t>Cẩu bốc dỡ trụ</t>
  </si>
  <si>
    <t>Cẩu bốc dỡ thiết bị</t>
  </si>
  <si>
    <t>VCTT3P</t>
  </si>
  <si>
    <t>VCHT</t>
  </si>
  <si>
    <t>Bảng kê đơn giá nhân công</t>
  </si>
  <si>
    <t>- Vật liệu phụ</t>
  </si>
  <si>
    <t>TT3P-2</t>
  </si>
  <si>
    <t>TT3P-3</t>
  </si>
  <si>
    <t>TT1P-2</t>
  </si>
  <si>
    <t>TT1P-3</t>
  </si>
  <si>
    <t>T1-2</t>
  </si>
  <si>
    <t>T1-3</t>
  </si>
  <si>
    <t>T2-2</t>
  </si>
  <si>
    <t>T2-3</t>
  </si>
  <si>
    <t>T4.7001</t>
  </si>
  <si>
    <t>&gt;0</t>
  </si>
  <si>
    <t>Móng neo chằng xuống (đá)</t>
  </si>
  <si>
    <t>Móng neo chằng lệch (đá)</t>
  </si>
  <si>
    <t>NXXD</t>
  </si>
  <si>
    <t>NXLD</t>
  </si>
  <si>
    <t>Móng bê tông trụ đơn 12m (Vướng đá)</t>
  </si>
  <si>
    <t>M12BTD-D</t>
  </si>
  <si>
    <t>M12BT-D</t>
  </si>
  <si>
    <t>Móng bê tông trụ đôi 12m (Vướng đá)</t>
  </si>
  <si>
    <t>Móng trụ 12 BT Đơn (Lỗ đá)</t>
  </si>
  <si>
    <t>Móng trụ 12 BT Đôi (Lỗ đá)</t>
  </si>
  <si>
    <t>HẠNG MỤC</t>
  </si>
  <si>
    <t>Thay sứ đứng đường dây 3 pha đối xứng</t>
  </si>
  <si>
    <t>HL.03</t>
  </si>
  <si>
    <t>Thay bộ 3 sứ đứng trên 3 xà lệch mắc song song</t>
  </si>
  <si>
    <t>HL.08</t>
  </si>
  <si>
    <t>Thay FCO, LB FCO, LA đường dây 1 pha</t>
  </si>
  <si>
    <t>HL.09</t>
  </si>
  <si>
    <t>Thay FCO, LB FCO, LA đường dây 3 pha</t>
  </si>
  <si>
    <t>HL.10</t>
  </si>
  <si>
    <t>Thay DS, LBS, OS, Reclose đường dây 3 pha</t>
  </si>
  <si>
    <t>HL.13</t>
  </si>
  <si>
    <t>Thay đà đôi trên trụ đường dây 3 pha</t>
  </si>
  <si>
    <t>HL.14</t>
  </si>
  <si>
    <t xml:space="preserve">Thay đà vertical trên trụ đường dây 3 pha </t>
  </si>
  <si>
    <t>HL.17</t>
  </si>
  <si>
    <t>Thay trụ cuối đường dây 1 pha</t>
  </si>
  <si>
    <t>HL.18</t>
  </si>
  <si>
    <t>Thay trụ cuối đường dây 3 pha</t>
  </si>
  <si>
    <t>HL.19</t>
  </si>
  <si>
    <t>Khai quang mé nhánh trên đường dây 3 pha</t>
  </si>
  <si>
    <t>Ghi chú: Hạng mục "Khai quang mé nhánh_HL.19" còn áp dụng cho các công tác: gỡ diều, tháo chướng ngại vật ; lắp phíp cách điện, bọc cách điện ; tháo lắp dây chằng và các công việc khác tương tự.</t>
  </si>
  <si>
    <t>NỘI DUNG CHI PHÍ</t>
  </si>
  <si>
    <t>Chi phí vật liệu (TG USD=22.820/15.455VNĐ=1,4765)</t>
  </si>
  <si>
    <t>Chi phí máy thi công</t>
  </si>
  <si>
    <t xml:space="preserve"> Chiết tính</t>
  </si>
  <si>
    <t>Chi phí trực tiếp</t>
  </si>
  <si>
    <t>CHI PHÍ BÙ TRỪ CHÊNH LỆCH GIÁ NHIÊN LIỆU</t>
  </si>
  <si>
    <t>Chiết tính</t>
  </si>
  <si>
    <t>CHI PHÍ HUY ĐỘNG PTTC ĐẾN CÔNG TRƯỜNG</t>
  </si>
  <si>
    <t>HĐ</t>
  </si>
  <si>
    <t>CHI PHÍ KHẢO SÁT, LẬP PHƯƠNG ÁN THI CÔNG</t>
  </si>
  <si>
    <t>KS</t>
  </si>
  <si>
    <t>GIÁ TRỊ DỰ TOÁN XD TRƯỚC THUẾ</t>
  </si>
  <si>
    <t>THUẾ GIÁ TRỊ GIA TĂNG</t>
  </si>
  <si>
    <t>GIÁ TRỊ DỰ TOÁN XD SAU THUẾ</t>
  </si>
  <si>
    <r>
      <t>G</t>
    </r>
    <r>
      <rPr>
        <b/>
        <vertAlign val="subscript"/>
        <sz val="12"/>
        <rFont val="Times New Roman"/>
        <family val="1"/>
      </rPr>
      <t>XDPT</t>
    </r>
    <r>
      <rPr>
        <b/>
        <sz val="12"/>
        <rFont val="Times New Roman"/>
        <family val="1"/>
      </rPr>
      <t xml:space="preserve"> = G + GTGT</t>
    </r>
  </si>
  <si>
    <t>USD1</t>
  </si>
  <si>
    <t>USD2</t>
  </si>
  <si>
    <t>Kn</t>
  </si>
  <si>
    <t>Tỷ lệ chi phí chung</t>
  </si>
  <si>
    <t>Tỷ lệ thuế tính trước</t>
  </si>
  <si>
    <t>GTGT</t>
  </si>
  <si>
    <t>VÙNG</t>
  </si>
  <si>
    <t>LOẠI CÔNG TRÌNH</t>
  </si>
  <si>
    <t>ĐTXD</t>
  </si>
  <si>
    <t>KH</t>
  </si>
  <si>
    <t>GIÁ USD</t>
  </si>
  <si>
    <t>GIÁ DO</t>
  </si>
  <si>
    <t>ĐỊNH MỨC NHIÊN LIỆU XE GÀU</t>
  </si>
  <si>
    <t>ĐỊNH MỨC NHIÊN LIỆU XE KHOAN</t>
  </si>
  <si>
    <t>CP CHUNG</t>
  </si>
  <si>
    <t>TN CHỊU THUẾ TT</t>
  </si>
  <si>
    <t>THUẾ GTGGT</t>
  </si>
  <si>
    <t>TÊN CÔNG TRÌNH</t>
  </si>
  <si>
    <t>ĐỊA CHỈ</t>
  </si>
  <si>
    <t>LOẠI CÔNG TRÌNH (SCL-ĐTXD-KH)</t>
  </si>
  <si>
    <t>CỰ LY CÔNG TÁC (KM)</t>
  </si>
  <si>
    <t>ĐƠN VỊ YÊU CẦU</t>
  </si>
  <si>
    <t xml:space="preserve">GIẤY YÊU CẦU </t>
  </si>
  <si>
    <t>BIÊN BẢN KHẢO SÁT</t>
  </si>
  <si>
    <t>MCV</t>
  </si>
  <si>
    <t>N.CÔNG</t>
  </si>
  <si>
    <t>DO CŨ</t>
  </si>
  <si>
    <t>ĐỊNH MỨC GÀU</t>
  </si>
  <si>
    <t>ĐỊNH MỨC KHOAN</t>
  </si>
  <si>
    <t>Xe gàu</t>
  </si>
  <si>
    <t>Xe cẩu</t>
  </si>
  <si>
    <t>Cự ly di chuyển</t>
  </si>
  <si>
    <t>LÀM MỚI</t>
  </si>
  <si>
    <t>SỬA CHỮA</t>
  </si>
  <si>
    <t>LOẠI CÔNG TÁC</t>
  </si>
  <si>
    <t xml:space="preserve">VL+NC+MTC </t>
  </si>
  <si>
    <t>5% x (T+C+TL+BTNL+HĐ)</t>
  </si>
  <si>
    <t>T+C+TL+BTNL+HĐ+KS</t>
  </si>
  <si>
    <t>Nếu lắp mới, phí nhân công nhân hệ số 0.8</t>
  </si>
  <si>
    <t>1 sứ</t>
  </si>
  <si>
    <t>1 cò</t>
  </si>
  <si>
    <t>1 trụ</t>
  </si>
  <si>
    <t>3 sứ</t>
  </si>
  <si>
    <t>1 cái</t>
  </si>
  <si>
    <t>1 bộ xà</t>
  </si>
  <si>
    <t>1 vị trí</t>
  </si>
  <si>
    <t>BTNL</t>
  </si>
  <si>
    <t>Cước vận chuyển</t>
  </si>
  <si>
    <t>M</t>
  </si>
  <si>
    <t>Chi phí thi công Hotline</t>
  </si>
  <si>
    <t>Móng neo chằng xuống (Lỗ đá)</t>
  </si>
  <si>
    <t>Móng neo chằng lệch (Lỗ đá)</t>
  </si>
  <si>
    <t>Móng trụ 14 BT Đôi (Lỗ đá)</t>
  </si>
  <si>
    <t>M14BTD-D</t>
  </si>
  <si>
    <t>Trụ BTLT 10,5m SDL</t>
  </si>
  <si>
    <t>Trụ BTLT 12m SDL</t>
  </si>
  <si>
    <t>Bộ sứ thủy tinh 2 bát</t>
  </si>
  <si>
    <t>Bộ đà lệch 2,1m</t>
  </si>
  <si>
    <t>Ty sứ đứng (không bọc chì)</t>
  </si>
  <si>
    <t>TRU10SDL</t>
  </si>
  <si>
    <t>TRU12SDL</t>
  </si>
  <si>
    <t>Trụ bê tông ly tâm 10.5m (SDL)</t>
  </si>
  <si>
    <t>Trụ bê tông ly tâm 12m (SDL)</t>
  </si>
  <si>
    <t>Bộ Uclevis đỡ dây trung hòa (trụ đơn)</t>
  </si>
  <si>
    <t>Bộ Uclevis đỡ dây trung hòa trụ ghép</t>
  </si>
  <si>
    <t>Bộ Uclevis đỡ dây trung hòa vào xà</t>
  </si>
  <si>
    <t>Bộ móng neo xòe cho chằng xuống (HT)</t>
  </si>
  <si>
    <t>Bộ móng neo xòe cho chằng lệch (HT)</t>
  </si>
  <si>
    <t>Bộ móng neo xòe cho chằng xuống (TT) - Lỗ đá</t>
  </si>
  <si>
    <t>Bộ móng neo xòe cho chằng lệch (TT) - Lỗ đá</t>
  </si>
  <si>
    <t>Bộ móng neo xòe cho chằng lệch (TT)</t>
  </si>
  <si>
    <t>Bộ móng neo xòe cho chằng xuống (TT)</t>
  </si>
  <si>
    <t>Bộ chằng vượt đơn</t>
  </si>
  <si>
    <t>Bộ chằng lệch đơn cho trụ 14m</t>
  </si>
  <si>
    <t>Bộ chằng xuống đơn cho trụ 14m</t>
  </si>
  <si>
    <t>Bộ chằng lệch đơn cho trụ 12m</t>
  </si>
  <si>
    <t>Bộ chằng xuống đơn cho trụ 12m</t>
  </si>
  <si>
    <t>Bộ chằng lệch đơn cho trụ 10,5m</t>
  </si>
  <si>
    <t>Bộ chằng xuống đơn cho trụ 10,5m</t>
  </si>
  <si>
    <t>Bộ chằng lệch đơn cho trụ hạ thế</t>
  </si>
  <si>
    <t>Bộ chằng xuống đơn cho trụ hạ thế</t>
  </si>
  <si>
    <t>Bộ xà kép L75x75x8 dài 2.2m (hướng trụ ghép)</t>
  </si>
  <si>
    <t>Bộ xà kép L75x75x8 dài 2.2m</t>
  </si>
  <si>
    <t>Bộ xà đơn L75x75x8 dài 2.2m</t>
  </si>
  <si>
    <t>Bộ xà lệch kép L75x75x8 dài 2,1m (Lắp đà tháp)</t>
  </si>
  <si>
    <t>Bộ xà lệch đơn L75x75x8 dài 2,1m (Lắp đà tháp)</t>
  </si>
  <si>
    <t>Bộ đà 2100 kép (Lắp đà tháp)</t>
  </si>
  <si>
    <t>Bộ đà 2100 đơn (Lắp đà tháp)</t>
  </si>
  <si>
    <t>Gxd_đd = 1+2+3+4</t>
  </si>
  <si>
    <t>+ Phần đường dây</t>
  </si>
  <si>
    <t>+ Phần trạm biến áp</t>
  </si>
  <si>
    <t>E.2</t>
  </si>
  <si>
    <t>Bộ xà lệch kép L75x75x8 dài 2,1m</t>
  </si>
  <si>
    <t>Bộ xà lệch đơn L75x75x8 dài 2,1m</t>
  </si>
  <si>
    <t>Bộ xà lệch kép L75x75x8 dài 2m</t>
  </si>
  <si>
    <t>Bộ xà lệch đơn L75x75x8 dài 2m</t>
  </si>
  <si>
    <t>Bộ xà đơn L75x75x8 dài 1,66m</t>
  </si>
  <si>
    <t>D2.6011</t>
  </si>
  <si>
    <t>TÊN VẬT TƯ, THIẾT BỊ</t>
  </si>
  <si>
    <t>Đà composite 80x110x5-800</t>
  </si>
  <si>
    <t>Thanh chống composite 40x10-710</t>
  </si>
  <si>
    <t>Cáp thép chằng 3/8"</t>
  </si>
  <si>
    <t>Kẹp cáp 3 boulon</t>
  </si>
  <si>
    <t>Đà sắt L75x75x8-2100</t>
  </si>
  <si>
    <t>Khóa néo 3U</t>
  </si>
  <si>
    <t>Giá T bắt LA, FCO</t>
  </si>
  <si>
    <t>Ty sứ đỉnh thẳng (630mm)</t>
  </si>
  <si>
    <t>Ống PVC D90</t>
  </si>
  <si>
    <t>MCCB 125A</t>
  </si>
  <si>
    <t>BẢNG 12: BẢNG TỔNG HỢP VẬT TƯ THU HỒI</t>
  </si>
  <si>
    <t>B16350v</t>
  </si>
  <si>
    <t>ĐC NC đường dây</t>
  </si>
  <si>
    <t>ĐC NC TBA</t>
  </si>
  <si>
    <t>BẢNG A. BẢNG KÊ TRỤ ĐƯỜNG DÂY TRUNG THẾ 1 PHA</t>
  </si>
  <si>
    <t>BẢNG B: PHÂN PHỐI TRỤ ĐƯỜNG DÂY TRUNG THẾ 3 PHA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</si>
  <si>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sz val="12"/>
        <color theme="1"/>
        <rFont val="Calibri"/>
        <family val="2"/>
      </rPr>
      <t/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</si>
  <si>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sz val="12"/>
        <color theme="1"/>
        <rFont val="Calibri"/>
        <family val="2"/>
      </rPr>
      <t/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</si>
  <si>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+a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</si>
  <si>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a</t>
    </r>
    <r>
      <rPr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</si>
  <si>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</si>
  <si>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i/>
        <vertAlign val="subscript"/>
        <sz val="12"/>
        <color theme="1"/>
        <rFont val="Times New Roman"/>
        <family val="1"/>
      </rPr>
      <t>1</t>
    </r>
  </si>
  <si>
    <r>
      <t>a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</si>
  <si>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</si>
  <si>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+b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</si>
  <si>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</si>
  <si>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+c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</si>
  <si>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</si>
  <si>
    <r>
      <t>6%Z</t>
    </r>
    <r>
      <rPr>
        <b/>
        <vertAlign val="subscript"/>
        <sz val="12"/>
        <color theme="1"/>
        <rFont val="Times New Roman"/>
        <family val="1"/>
      </rPr>
      <t>0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</si>
  <si>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  <r>
      <rPr>
        <b/>
        <i/>
        <sz val="12"/>
        <color theme="1"/>
        <rFont val="Times New Roman"/>
        <family val="1"/>
      </rPr>
      <t>+TL</t>
    </r>
  </si>
  <si>
    <r>
      <t>G</t>
    </r>
    <r>
      <rPr>
        <b/>
        <vertAlign val="subscript"/>
        <sz val="12"/>
        <color theme="1"/>
        <rFont val="Times New Roman"/>
        <family val="1"/>
      </rPr>
      <t>xl</t>
    </r>
  </si>
  <si>
    <r>
      <t>MTC</t>
    </r>
    <r>
      <rPr>
        <i/>
        <vertAlign val="subscript"/>
        <sz val="12"/>
        <color theme="1"/>
        <rFont val="Times New Roman"/>
        <family val="1"/>
      </rPr>
      <t>XDM</t>
    </r>
  </si>
  <si>
    <r>
      <t>MTC</t>
    </r>
    <r>
      <rPr>
        <i/>
        <vertAlign val="subscript"/>
        <sz val="12"/>
        <color theme="1"/>
        <rFont val="Times New Roman"/>
        <family val="1"/>
      </rPr>
      <t>TL</t>
    </r>
  </si>
  <si>
    <t>D2.6031b</t>
  </si>
  <si>
    <t>Phần thiết bị đường dây trung thế 3 pha</t>
  </si>
  <si>
    <r>
      <t>6%Z</t>
    </r>
    <r>
      <rPr>
        <b/>
        <vertAlign val="subscript"/>
        <sz val="12"/>
        <color theme="1"/>
        <rFont val="Times New Roman"/>
        <family val="1"/>
      </rPr>
      <t>o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</si>
  <si>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  <r>
      <rPr>
        <b/>
        <sz val="12"/>
        <color theme="1"/>
        <rFont val="Times New Roman"/>
        <family val="1"/>
      </rPr>
      <t>+TL</t>
    </r>
  </si>
  <si>
    <r>
      <t>a</t>
    </r>
    <r>
      <rPr>
        <vertAlign val="subscript"/>
        <sz val="12"/>
        <color theme="1"/>
        <rFont val="Times New Roman"/>
        <family val="1"/>
      </rPr>
      <t>1</t>
    </r>
  </si>
  <si>
    <r>
      <t>b</t>
    </r>
    <r>
      <rPr>
        <vertAlign val="sub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 </t>
    </r>
  </si>
  <si>
    <r>
      <t>c</t>
    </r>
    <r>
      <rPr>
        <vertAlign val="subscript"/>
        <sz val="12"/>
        <color theme="1"/>
        <rFont val="Times New Roman"/>
        <family val="1"/>
      </rPr>
      <t>1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</si>
  <si>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</si>
  <si>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</si>
  <si>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</si>
  <si>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</si>
  <si>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VC</t>
    </r>
    <r>
      <rPr>
        <i/>
        <vertAlign val="subscript"/>
        <sz val="12"/>
        <color theme="1"/>
        <rFont val="Times New Roman"/>
        <family val="1"/>
      </rPr>
      <t>VL</t>
    </r>
  </si>
  <si>
    <r>
      <t>1%x(G</t>
    </r>
    <r>
      <rPr>
        <i/>
        <vertAlign val="subscript"/>
        <sz val="12"/>
        <color theme="1"/>
        <rFont val="Times New Roman"/>
        <family val="1"/>
      </rPr>
      <t>xd</t>
    </r>
    <r>
      <rPr>
        <i/>
        <sz val="12"/>
        <color theme="1"/>
        <rFont val="Times New Roman"/>
        <family val="1"/>
      </rPr>
      <t xml:space="preserve">+LĐTB+TNHC) </t>
    </r>
  </si>
  <si>
    <r>
      <t>2%x(G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+LĐTB+TNHC) </t>
    </r>
  </si>
  <si>
    <r>
      <t>0,05 %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</si>
  <si>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xdtba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tba</t>
    </r>
    <r>
      <rPr>
        <i/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</si>
  <si>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xdđd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đd</t>
    </r>
    <r>
      <rPr>
        <i/>
        <sz val="12"/>
        <color theme="1"/>
        <rFont val="Times New Roman"/>
        <family val="1"/>
      </rPr>
      <t>)</t>
    </r>
  </si>
  <si>
    <t>Đắp đất rãnh tiếp địa (K=0,85)</t>
  </si>
  <si>
    <t>Đào rãnh tiếp địa</t>
  </si>
  <si>
    <t>Trụ BTLT 7,5m F300 dự ứng lực</t>
  </si>
  <si>
    <t>AB.11413</t>
  </si>
  <si>
    <t>Đà U160x68x5x2200 - (15kg/m)</t>
  </si>
  <si>
    <t>Lắp đặt xà tháp U160x68x5x2200 đơn cột đỡ (29,759 kg/bộ)</t>
  </si>
  <si>
    <t>Lắp đặt xà tháp U160x68x5x2200 kép cột đỡ (76,74 kg/bộ)</t>
  </si>
  <si>
    <t>Cổ dê kẹp ống PVC φ 90 (có giá nới)</t>
  </si>
  <si>
    <t>Cổ dê kẹp ống PVC φ 114 (có giá nới)</t>
  </si>
  <si>
    <t xml:space="preserve"> Chiết tính x 0,934</t>
  </si>
  <si>
    <t>Chi phí vật liệu (TG USD=22.660/15.455VNĐ=1,4662)</t>
  </si>
  <si>
    <t>Bộ đà tháp kép U160x68x5 dài 2,2m</t>
  </si>
  <si>
    <t>04.03.111
(N2.6021a)</t>
  </si>
  <si>
    <t>03.01.105
(D3.1115)</t>
  </si>
  <si>
    <t>07.10.401
(T1.1432)</t>
  </si>
  <si>
    <t>13.01.001
(T5.1001)</t>
  </si>
  <si>
    <t>11.02.106
(D4.1410)</t>
  </si>
  <si>
    <t>11.04.403
(T4.4201)</t>
  </si>
  <si>
    <t>Tháo (lắp) ống PVC D90</t>
  </si>
  <si>
    <t>Tháo (lắp) dây CV50xuống thiết bị</t>
  </si>
  <si>
    <t>Tháo (lắp) dây CV95 xuống thiết bị</t>
  </si>
  <si>
    <t>Tháo (lắp) dây CV70 xuống thiết bị</t>
  </si>
  <si>
    <t>T+D</t>
  </si>
  <si>
    <t>2x25kVA</t>
  </si>
  <si>
    <t>2x37,5kVA</t>
  </si>
  <si>
    <t>1P_2x25KVA</t>
  </si>
  <si>
    <t>1P_2x37,5KVA</t>
  </si>
  <si>
    <t>TR2X25</t>
  </si>
  <si>
    <t>TR2X375</t>
  </si>
  <si>
    <t>160 KVA N</t>
  </si>
  <si>
    <t>250 KVA N</t>
  </si>
  <si>
    <t>320 KVA N</t>
  </si>
  <si>
    <t>C10M</t>
  </si>
  <si>
    <t>D2600</t>
  </si>
  <si>
    <t>Đà sắt L75x75x8-2600 - 3 ốp</t>
  </si>
  <si>
    <t>Xà hộp Composite đơn 110x80x5-2600</t>
  </si>
  <si>
    <t>D2600-T</t>
  </si>
  <si>
    <t>Đà sắt L75x75x8-2600 - 0 ốp</t>
  </si>
  <si>
    <t>LX2600D</t>
  </si>
  <si>
    <t>Lắp đặt xà thép L75x75x8x2600 đơn cột đỡ (29,759 kg/bộ)</t>
  </si>
  <si>
    <t>Bộ dây dẫn cáp xuất hạ thế từ tủ MCCB lên lưới</t>
  </si>
  <si>
    <t>TR2x25</t>
  </si>
  <si>
    <t>TR2x375</t>
  </si>
  <si>
    <t>Máy biến áp 12,7/0,22-0,44kV  25kVA</t>
  </si>
  <si>
    <t>Máy biến áp 12,7/0,22-0,44kV  37,5kVA</t>
  </si>
  <si>
    <t>Máy biến áp 22/0,4kV- 160kVA</t>
  </si>
  <si>
    <t>160KVA (GIÀN)</t>
  </si>
  <si>
    <t>160KVA (NGỒI)</t>
  </si>
  <si>
    <t>T1.1414</t>
  </si>
  <si>
    <t>Vật liệu cách điện TBA và phụ kiện</t>
  </si>
  <si>
    <t>bmoc16250</t>
  </si>
  <si>
    <t>CV185</t>
  </si>
  <si>
    <t>LCAPDONGTB240</t>
  </si>
  <si>
    <t>T3P160</t>
  </si>
  <si>
    <t>T3P160N</t>
  </si>
  <si>
    <t>Móng bê tông đôi trụ 12m</t>
  </si>
  <si>
    <t>Móng bê tông đơn trụ 12m</t>
  </si>
  <si>
    <t>Xà hộp Composite kép 110x80x5-2400</t>
  </si>
  <si>
    <t>Bộ đà đặt MBA (trạm ngồi)</t>
  </si>
  <si>
    <t>Đà trạm ngồi</t>
  </si>
  <si>
    <t>Đà U100x46x4,5x800 (6,872 kg/cái)</t>
  </si>
  <si>
    <t>Đà U100x46x4,5x400 (3,436 kg/cái)</t>
  </si>
  <si>
    <t>B16700VR</t>
  </si>
  <si>
    <t>B16200</t>
  </si>
  <si>
    <t>Boulon 16x220+ 2 long đền vuông D18-50x50x3/Zn</t>
  </si>
  <si>
    <t>U10-400</t>
  </si>
  <si>
    <t>Đà U160x64x5x2800 đỡ MBA (42,84 kg/cái)</t>
  </si>
  <si>
    <t>Đà U200x76x5,2x2800 đỡ MBA (54,25 kg/cái)</t>
  </si>
  <si>
    <t>Tủ trạm treo</t>
  </si>
  <si>
    <t>CD114G</t>
  </si>
  <si>
    <t>CD90G</t>
  </si>
  <si>
    <t>CDTG</t>
  </si>
  <si>
    <t>Cổ dê kẹp ống PVC φ 114 trụ ghép (có giá nới)</t>
  </si>
  <si>
    <t>Cổ dê bắt tủ trạm treo trụ ghép (có giá nới)</t>
  </si>
  <si>
    <t>TUAP1G</t>
  </si>
  <si>
    <t>Xà đơn L75x75x8x2600 (0 ốp) đỡ thùng CB</t>
  </si>
  <si>
    <t>BMOC16450</t>
  </si>
  <si>
    <t>Boulon móc 16x450+ long đền vuông D18-50x50x3/Zn</t>
  </si>
  <si>
    <t>BMOC16500</t>
  </si>
  <si>
    <t>BMOC16550</t>
  </si>
  <si>
    <t>Boulon móc 16x500+ long đền vuông D18-50x50x3/Zn</t>
  </si>
  <si>
    <t>Boulon móc 16x550+ long đền vuông D18-50x50x3/Zn</t>
  </si>
  <si>
    <t>KU70</t>
  </si>
  <si>
    <t>KU95</t>
  </si>
  <si>
    <t>Kẹp Ubolt cỡ dây 70</t>
  </si>
  <si>
    <t>Kẹp Ubolt cỡ dây 95</t>
  </si>
  <si>
    <t>Xà kép L75x75x8x2100 (3 ốp) - Đơn</t>
  </si>
  <si>
    <t>LSDTBA</t>
  </si>
  <si>
    <t>T4.2201</t>
  </si>
  <si>
    <t>Lắp sứ đứng 24KV trong TBA</t>
  </si>
  <si>
    <t>LXTBAG</t>
  </si>
  <si>
    <t>Lắp bộ đà trạm giàn (S&lt;560kVA) - 145,98kg/bộ</t>
  </si>
  <si>
    <t>LXTBAN</t>
  </si>
  <si>
    <t>LXTBAGA</t>
  </si>
  <si>
    <t>Lắp đặt xà thép L75x75x8x2600 đơn (3 ốp) trụ PI (26,35 kg/bộ)</t>
  </si>
  <si>
    <t>D2.6021f</t>
  </si>
  <si>
    <t>D2.6021g</t>
  </si>
  <si>
    <t>LX2600DPI0</t>
  </si>
  <si>
    <t>LX2600DPI3</t>
  </si>
  <si>
    <t>Lắp đặt xà thép L75x75x8x2600 đơn (0 ốp) trụ PI (24,452 kg/bộ)</t>
  </si>
  <si>
    <t>AV70</t>
  </si>
  <si>
    <t>U16-1449</t>
  </si>
  <si>
    <t>U16-1700T</t>
  </si>
  <si>
    <t>U16-1700P</t>
  </si>
  <si>
    <t>U16-2100T</t>
  </si>
  <si>
    <t>U16-2100P</t>
  </si>
  <si>
    <t>U10-1100T</t>
  </si>
  <si>
    <t>U10-1100N</t>
  </si>
  <si>
    <t>U16-1100T</t>
  </si>
  <si>
    <t>Đà U160x64x5x1700 (24,14 kg/cái) (trái) (Đà số 1)</t>
  </si>
  <si>
    <t>Đà U160x64x5x1700 (24,14 kg/cái) (phải) (Đà số 1)</t>
  </si>
  <si>
    <t>Đà U160x64x5x2100 (29,82 kg/cái) (trái) (Đà số 2)</t>
  </si>
  <si>
    <t>Đà U160x64x5x2100 (29,82 kg/cái) (phải) (Đà số 2)</t>
  </si>
  <si>
    <t>Đà U160x64x5x1543,5 (21,918 kg/cái) (Đà số 3)</t>
  </si>
  <si>
    <t>Đà U100x46x4,5x400 (3,436 kg/cái) (Đà số 4)</t>
  </si>
  <si>
    <t>Đà U160x64x5x700 (9,94 kg/cái) (Đà số 5)</t>
  </si>
  <si>
    <t>Đà U160x64x5x1100 (15,62 kg/cái) (Đà số 6)</t>
  </si>
  <si>
    <t>Đà U160x64x5x1100 (15,62 kg/cái) (Đà số 7)</t>
  </si>
  <si>
    <t>Đà U100x46x4,5x700 (6,013 kg/cái) (Đà số 8)</t>
  </si>
  <si>
    <t>Đà U100x46x4,5x1100 (9,449kg/cái) (Đà số 9)</t>
  </si>
  <si>
    <t>Đà U100x46x4,5x1100 (9,449 kg/cái) (Đà số 10)</t>
  </si>
  <si>
    <t>U16-1100N</t>
  </si>
  <si>
    <t>U16-700</t>
  </si>
  <si>
    <t>U10-700</t>
  </si>
  <si>
    <t>B16200V</t>
  </si>
  <si>
    <t>Boulon 16x200VRS+ 4 long đền vuông D18-50x50x3/Zn</t>
  </si>
  <si>
    <t>Lắp bộ đà trạm ngồi (S&lt;560kVA) - 186,6kg/bộ</t>
  </si>
  <si>
    <t>T4.8002</t>
  </si>
  <si>
    <t>C12TBA</t>
  </si>
  <si>
    <t>T4.9103</t>
  </si>
  <si>
    <t>Dựng trụ BTLT 12m trong TBA</t>
  </si>
  <si>
    <t>C14TBA</t>
  </si>
  <si>
    <t>Dựng trụ BTLT 14m trong TBA</t>
  </si>
  <si>
    <t>Lưới hạ thế sau TBA Suối Râm 3, Suối Râm 3A</t>
  </si>
  <si>
    <t>Lưới hạ thế sau TBA Sông Ray 10B</t>
  </si>
  <si>
    <t>Lưới hạ thế sau TBA Xuân Tây 8C</t>
  </si>
  <si>
    <t>Lưới hạ thế sau TBA Lò Than 8A</t>
  </si>
  <si>
    <t>SDL 2 CÁI</t>
  </si>
  <si>
    <t>Lưới hạ thế sau TBA Thừa Đức 9B</t>
  </si>
  <si>
    <t>Lưới hạ thế sau TBA Suối Lức 1A</t>
  </si>
  <si>
    <t>Lưới hạ thế sau TBA Tân Hạnh 9A</t>
  </si>
  <si>
    <t>Lưới hạ thế sau TBA Bù Ron 3A</t>
  </si>
  <si>
    <t>Lưới hạ thế sau TBA Lò Than 6A</t>
  </si>
  <si>
    <t>Lưới hạ thế sau TBA Thừa Đức 10A</t>
  </si>
  <si>
    <t>Lưới hạ thế sau TBA Thừa Đức 8A</t>
  </si>
  <si>
    <t>Lưới hạ thế sau TBA Thừa Đức 12A</t>
  </si>
  <si>
    <t>Lưới hạ thế sau TBA Ấp Đồi B</t>
  </si>
  <si>
    <t>Trụ BTLT 12m trồng đôn</t>
  </si>
  <si>
    <t>Bộ đà 1,66m đơn đỡ dây trung thế</t>
  </si>
  <si>
    <t>Bộ Uclevis đỡ dây trung hòa trung thế</t>
  </si>
  <si>
    <t>Lưới hạ thế sau TBA Láng Me 1A</t>
  </si>
  <si>
    <t>Xà đơn L75x75x8x2100 (3 ốp) - Xuân Đông 2A</t>
  </si>
  <si>
    <t>Xà đơn L75x75x8x1660 (2 ốp) - Sông Ray 9B</t>
  </si>
  <si>
    <t>Xà đơn L75x75x8x2600 (3 ốp)</t>
  </si>
  <si>
    <t>Lưới hạ thế sau TBA Sông Ray 9B</t>
  </si>
  <si>
    <t>Lưới hạ thế sau TBA Xuân Đông 2A</t>
  </si>
  <si>
    <t>Xà đơn L75x75x8x2200 (4 ốp) đỡ sứ</t>
  </si>
  <si>
    <t>Xà đơn L75x75x8x1660 (2 ốp) + Sứ đỉnh đơn</t>
  </si>
  <si>
    <t>XT4A, 4B</t>
  </si>
  <si>
    <t>XM1A</t>
  </si>
  <si>
    <t>Lưới hạ thế sau TBA Xuân Mỹ 1A</t>
  </si>
  <si>
    <t>Lưới hạ thế sau TBA Xuân Tây 4A</t>
  </si>
  <si>
    <t>Lưới hạ thế sau TBA Xuân Tây 4B</t>
  </si>
  <si>
    <t>ATM160</t>
  </si>
  <si>
    <t>MCCB 3 cực 600V - 160A - 30KA</t>
  </si>
  <si>
    <t>Phần thiết bị đường dây hạ thế</t>
  </si>
  <si>
    <t>TBA1</t>
  </si>
  <si>
    <t>TBA3</t>
  </si>
  <si>
    <t>Tháo lắp vật tư hiện hữu TBA Xuân Tây 4A, Xuân Tây 4B</t>
  </si>
  <si>
    <t>Tháo lắp vật tư hiện hữu TBA Ấp Đồi B</t>
  </si>
  <si>
    <t>Cáp nhôm A-70 (Buộc cổ sứ)</t>
  </si>
  <si>
    <t>CUT90TD</t>
  </si>
  <si>
    <t>CUT114TD</t>
  </si>
  <si>
    <t>Co  90 độ PVC 90 (Loại dày)</t>
  </si>
  <si>
    <t>Co  90 độ PVC 114 (Loại dày)</t>
  </si>
  <si>
    <t>MCCB 3 cực 600V - 250A - 35KA (160-250A)</t>
  </si>
  <si>
    <t>MCCB 3 cực 600V - 320A - 35KA (200-320A)</t>
  </si>
  <si>
    <t>MCCB 3 cực 400V - 400A - 35KA (250-400A)</t>
  </si>
  <si>
    <t>MCCB 3 cực 400V - 600A - 35KA</t>
  </si>
  <si>
    <t>MCCB 3 cực 400V - 630A - 50KA (300-630A)</t>
  </si>
  <si>
    <t>MCCB 3 cực 400V - 800A - 50KA (400-800A)</t>
  </si>
  <si>
    <t>MCCB 3 cực 400V - 160A - 35KA (100-160A)</t>
  </si>
  <si>
    <t>MCCB 3 cực 400V - 200A - 35KA (125-200A)</t>
  </si>
  <si>
    <t>MCCB 3 cực 400V - 125A - 30KA (80-125A)</t>
  </si>
  <si>
    <t>Ống nối dây AC cỡ 50mm2 (Không lõi thép)</t>
  </si>
  <si>
    <t>Ống nối dây AC cỡ 70mm2 (Không lõi thép)</t>
  </si>
  <si>
    <t>Ống nối dây AC cỡ 95mm2 (Không lõi thép)</t>
  </si>
  <si>
    <t>Ống nối dây AC cỡ 120mm2 (Không lõi thép)</t>
  </si>
  <si>
    <t>Ống nối dây AC cỡ 150mm2 (Không lõi thép)</t>
  </si>
  <si>
    <t>Ống nối dây AC cỡ 185mm2 (Không lõi thép)</t>
  </si>
  <si>
    <t>Ống nối dây AC cỡ 240mm2 (Không lõi thép)</t>
  </si>
  <si>
    <t>Băng keo cách điện (Màu vàng)</t>
  </si>
  <si>
    <t>Băng keo cách điện (Màu xanh)</t>
  </si>
  <si>
    <t>Băng keo cách điện (Màu đỏ)</t>
  </si>
  <si>
    <t>BANGKEOV</t>
  </si>
  <si>
    <t>BANGKEOX</t>
  </si>
  <si>
    <t>BANGKEOD</t>
  </si>
  <si>
    <t>Tủ trạm treo + khóa + boulon + Bakelit + Collier (3 pha)</t>
  </si>
  <si>
    <t>Tủ trạm treo + khóa + boulon + Bakelit + Collier (1 pha)</t>
  </si>
  <si>
    <t>Vỏ tủ trạm giàn 2 ngăn + khóa tủ + Bakelit (3 pha)</t>
  </si>
  <si>
    <t>T4.8003</t>
  </si>
  <si>
    <t>Phụ kiện dừng dây hạ thế vào trạm</t>
  </si>
  <si>
    <t>MCCB 3 cực 600V - 160A - 35KA</t>
  </si>
  <si>
    <t>LINK ĐẾN HÀNG CẦN LẤY GIÁ TRỊ</t>
  </si>
  <si>
    <t>2DT</t>
  </si>
  <si>
    <t>DT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</si>
  <si>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</si>
  <si>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</si>
  <si>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</si>
  <si>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</si>
  <si>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</si>
  <si>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</si>
  <si>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</si>
  <si>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</si>
  <si>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</si>
  <si>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</si>
  <si>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</si>
  <si>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</si>
  <si>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</si>
  <si>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</si>
  <si>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I-DT</t>
  </si>
  <si>
    <t>001</t>
  </si>
  <si>
    <t>Móng trụ 12 BT Đơn (Lố đá)</t>
  </si>
  <si>
    <t>BCOM3-G</t>
  </si>
  <si>
    <t>Bộ đà composite 2400 (Trụ ghép)</t>
  </si>
  <si>
    <t>Cộng 4:</t>
  </si>
  <si>
    <t>Cộng 5:</t>
  </si>
  <si>
    <t>TT3P-4</t>
  </si>
  <si>
    <t>TT3P-5</t>
  </si>
  <si>
    <t>TT3P-6</t>
  </si>
  <si>
    <t>Cộng 6:</t>
  </si>
  <si>
    <t>Cộng 7:</t>
  </si>
  <si>
    <t>Cộng 8:</t>
  </si>
  <si>
    <t>Cộng 9:</t>
  </si>
  <si>
    <t>Cộng 10:</t>
  </si>
  <si>
    <t>028</t>
  </si>
  <si>
    <t>Cộng 11:</t>
  </si>
  <si>
    <t>031</t>
  </si>
  <si>
    <t>CÔNG TY TNHH MTV ĐIỆN LỰC ĐỒNG NAI</t>
  </si>
  <si>
    <t>Cộng 12:</t>
  </si>
  <si>
    <t>Cộng 13:</t>
  </si>
  <si>
    <t>Cộng 14:</t>
  </si>
  <si>
    <t>032</t>
  </si>
  <si>
    <t>Cộng 15:</t>
  </si>
  <si>
    <t>033</t>
  </si>
  <si>
    <t>Cộng 16:</t>
  </si>
  <si>
    <t>Cộng 17:</t>
  </si>
  <si>
    <t>Cộng 18:</t>
  </si>
  <si>
    <t>Cộng 19:</t>
  </si>
  <si>
    <t>Cộng 20:</t>
  </si>
  <si>
    <t>Cộng 21:</t>
  </si>
  <si>
    <t>22. Trung thế 3 pha Lâm San 4</t>
  </si>
  <si>
    <t>Cộng 22: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</si>
  <si>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</si>
  <si>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</si>
  <si>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</si>
  <si>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</si>
  <si>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</si>
  <si>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</si>
  <si>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</si>
  <si>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</si>
  <si>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</si>
  <si>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</si>
  <si>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</si>
  <si>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</si>
  <si>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029</t>
  </si>
  <si>
    <t>Bộ xà Composite bắt LA, FCO 3 pha (Trụ ghép)</t>
  </si>
  <si>
    <t>b16450V</t>
  </si>
  <si>
    <t>B14150</t>
  </si>
  <si>
    <t>Boulon 14x150+ 2 long đền vuông D16-50x50x3/Zn</t>
  </si>
  <si>
    <t>BCOM-G</t>
  </si>
  <si>
    <t>Bộ xà Composite bắt LA, FCO 1 pha (Trụ ghép)</t>
  </si>
  <si>
    <t>TT3P-7</t>
  </si>
  <si>
    <t>TT3P-8</t>
  </si>
  <si>
    <t>TT3P-9</t>
  </si>
  <si>
    <t>TT3P-10</t>
  </si>
  <si>
    <t>TT3P-11</t>
  </si>
  <si>
    <t>TT3P-12</t>
  </si>
  <si>
    <t>TT3P-13</t>
  </si>
  <si>
    <t>TT3P-14</t>
  </si>
  <si>
    <t>TT3P-15</t>
  </si>
  <si>
    <t>TT3P-16</t>
  </si>
  <si>
    <t>TT3P-17</t>
  </si>
  <si>
    <t>TT3P-18</t>
  </si>
  <si>
    <t>TT3P-19</t>
  </si>
  <si>
    <t>TT3P-20</t>
  </si>
  <si>
    <t>TT3P-21</t>
  </si>
  <si>
    <t>21. Trung thế 3 pha Biên Hòa 2-3A</t>
  </si>
  <si>
    <t>TT3P-22</t>
  </si>
  <si>
    <t>TT3P-23</t>
  </si>
  <si>
    <t>Cộng 4</t>
  </si>
  <si>
    <t>Cộng 5</t>
  </si>
  <si>
    <t>Cộng 6</t>
  </si>
  <si>
    <t>Cộng 7</t>
  </si>
  <si>
    <t>Cộng 8</t>
  </si>
  <si>
    <t>Cộng 9</t>
  </si>
  <si>
    <t>030</t>
  </si>
  <si>
    <t>Cộng 10</t>
  </si>
  <si>
    <t>Cộng 11</t>
  </si>
  <si>
    <t>Cộng 12</t>
  </si>
  <si>
    <t>Cộng 13</t>
  </si>
  <si>
    <t>Cộng 14</t>
  </si>
  <si>
    <t>Cáp nhôm bọc AV95mm2</t>
  </si>
  <si>
    <t>Cáp nhôm bọc AV70mm2</t>
  </si>
  <si>
    <t>Cáp nhôm bọc AV50mm2</t>
  </si>
  <si>
    <t>Cáp nhôm lõi thép AC50mm2</t>
  </si>
  <si>
    <t>Cáp nhôm trần A50mm2</t>
  </si>
  <si>
    <t>Cáp nhôm trần A35mm2</t>
  </si>
  <si>
    <t>Rack 2</t>
  </si>
  <si>
    <t>Rack 3</t>
  </si>
  <si>
    <t>Rack 4</t>
  </si>
  <si>
    <t>Rack 1 (Uclevis)</t>
  </si>
  <si>
    <t>Trụ bê tông 7,5m</t>
  </si>
  <si>
    <t>Trụ bê tông 8,4-8,5m</t>
  </si>
  <si>
    <t>Trụ bê tông 10,5m</t>
  </si>
  <si>
    <t>Trụ bê tông 12m</t>
  </si>
  <si>
    <t>Hộp domino</t>
  </si>
  <si>
    <t>Ghíp IPC các loại</t>
  </si>
  <si>
    <t>Kẹp treo cáp ABC các loại</t>
  </si>
  <si>
    <t>Kẹp dừng cáp ABC các loại</t>
  </si>
  <si>
    <t>Kẹp quai</t>
  </si>
  <si>
    <t>Cáp CV25mm2 (sợi)</t>
  </si>
  <si>
    <t>Kẹp Ubolt các loại</t>
  </si>
  <si>
    <t>Kẹp nhôm 2 rãnh các loại</t>
  </si>
  <si>
    <t>Bộ chằng xuống hạ thế</t>
  </si>
  <si>
    <t>Bộ chằng lệch hạ thế</t>
  </si>
  <si>
    <t>Bộ chằng xuống trung thế</t>
  </si>
  <si>
    <t>Bộ chằng lệch trung thế</t>
  </si>
  <si>
    <t>Boulon D16x200</t>
  </si>
  <si>
    <t>Boulon D16x250</t>
  </si>
  <si>
    <t>Boulon D16x300</t>
  </si>
  <si>
    <t>Boulon D16x350</t>
  </si>
  <si>
    <t>Boulon móc D16x250</t>
  </si>
  <si>
    <t>Boulon móc D16x300</t>
  </si>
  <si>
    <t>Giá T bắt FCO</t>
  </si>
  <si>
    <t>Bass LI</t>
  </si>
  <si>
    <t>Đà composite 800</t>
  </si>
  <si>
    <t>Bass LL</t>
  </si>
  <si>
    <t>Thùng trạm treo</t>
  </si>
  <si>
    <t>Ống PVC D114</t>
  </si>
  <si>
    <t>Co vuông PVC D90</t>
  </si>
  <si>
    <t>Co lơi PCV D90</t>
  </si>
  <si>
    <t>Co vuông PVC D114</t>
  </si>
  <si>
    <t>Co lơi PCV D114</t>
  </si>
  <si>
    <t>Collier kẹp ống PVC D90</t>
  </si>
  <si>
    <t>Collier kẹp ống PVC D114</t>
  </si>
  <si>
    <t>Cáp đồng trần M25mm2 (mét)</t>
  </si>
  <si>
    <t>Ống PVC D90 (mét)</t>
  </si>
  <si>
    <t>Khách hàng</t>
  </si>
  <si>
    <t>Điện kế</t>
  </si>
  <si>
    <t>Tụ bù hạ thế</t>
  </si>
  <si>
    <t>Bulon 16x250+2rondel</t>
  </si>
  <si>
    <t>Bulon 16x300+2 rondel</t>
  </si>
  <si>
    <t>Bulon 16x350+2 rondel</t>
  </si>
  <si>
    <t>Bulon 16x400+2 rondel</t>
  </si>
  <si>
    <t>Bulon móc16x250 + rondel</t>
  </si>
  <si>
    <t>Bulon móc16x300 + rondel</t>
  </si>
  <si>
    <t>Bulon móc16x350 + rondel</t>
  </si>
  <si>
    <t>Bulon móc16x400 + rondel</t>
  </si>
  <si>
    <t>Hộp phân phối 9 cực (TT)</t>
  </si>
  <si>
    <t>Hộp phân phối 6 cực (TT)</t>
  </si>
  <si>
    <t>THTRU12</t>
  </si>
  <si>
    <t>THTRU10</t>
  </si>
  <si>
    <t>THTRU8</t>
  </si>
  <si>
    <t>THTRU7</t>
  </si>
  <si>
    <t>THA35</t>
  </si>
  <si>
    <t>THA50</t>
  </si>
  <si>
    <t>THAC50</t>
  </si>
  <si>
    <t>THAV50</t>
  </si>
  <si>
    <t>THAV70</t>
  </si>
  <si>
    <t>THAV95</t>
  </si>
  <si>
    <t>THA3X50</t>
  </si>
  <si>
    <t>THA3X70</t>
  </si>
  <si>
    <t>THA3X95</t>
  </si>
  <si>
    <t>THA4X50</t>
  </si>
  <si>
    <t>THA4X70</t>
  </si>
  <si>
    <t>THA4X95</t>
  </si>
  <si>
    <t>THR1</t>
  </si>
  <si>
    <t>THR2</t>
  </si>
  <si>
    <t>THR3</t>
  </si>
  <si>
    <t>THR4</t>
  </si>
  <si>
    <t>THSOC</t>
  </si>
  <si>
    <t>THDOMI</t>
  </si>
  <si>
    <t>THCV52</t>
  </si>
  <si>
    <t>THGIP</t>
  </si>
  <si>
    <t>THKTREO</t>
  </si>
  <si>
    <t>THKNGUNG</t>
  </si>
  <si>
    <t>THKQ</t>
  </si>
  <si>
    <t>THAL2</t>
  </si>
  <si>
    <t>THUBOL</t>
  </si>
  <si>
    <t>THDGHT</t>
  </si>
  <si>
    <t>THAGHT</t>
  </si>
  <si>
    <t>THDGTT</t>
  </si>
  <si>
    <t>THB16200</t>
  </si>
  <si>
    <t>THB16250</t>
  </si>
  <si>
    <t>THB16300</t>
  </si>
  <si>
    <t>THB16350</t>
  </si>
  <si>
    <t>THBM250</t>
  </si>
  <si>
    <t>THBM300</t>
  </si>
  <si>
    <t>THGIAT</t>
  </si>
  <si>
    <t>THCOM8</t>
  </si>
  <si>
    <t>THLI</t>
  </si>
  <si>
    <t>THLL</t>
  </si>
  <si>
    <t>THTU</t>
  </si>
  <si>
    <t>THPVC90</t>
  </si>
  <si>
    <t>TH9090</t>
  </si>
  <si>
    <t>TH90135</t>
  </si>
  <si>
    <t>THKVRN90</t>
  </si>
  <si>
    <t>THKVRT90</t>
  </si>
  <si>
    <t>THPVC114</t>
  </si>
  <si>
    <t>TH11490</t>
  </si>
  <si>
    <t>TH114135</t>
  </si>
  <si>
    <t>THKVRT114</t>
  </si>
  <si>
    <t>THKVRN114</t>
  </si>
  <si>
    <t>THCOLI90</t>
  </si>
  <si>
    <t>THCOLI114</t>
  </si>
  <si>
    <t>THM25</t>
  </si>
  <si>
    <t>THSCN</t>
  </si>
  <si>
    <t>THTUBU</t>
  </si>
  <si>
    <t>KHHT</t>
  </si>
  <si>
    <t>DKKH</t>
  </si>
  <si>
    <t>Cộng 23:</t>
  </si>
  <si>
    <t>TT3P-24</t>
  </si>
  <si>
    <t>Cộng 24:</t>
  </si>
  <si>
    <t>TT3P-25</t>
  </si>
  <si>
    <t>Cộng 25:</t>
  </si>
  <si>
    <t>TT3P-26</t>
  </si>
  <si>
    <t>Cộng 26:</t>
  </si>
  <si>
    <t>Phát triển hạ thế sau TBA Ấp 7 Sông Ray A</t>
  </si>
  <si>
    <t>2x375-3x375</t>
  </si>
  <si>
    <t>100-100+2x50</t>
  </si>
  <si>
    <t>2x75-3x75</t>
  </si>
  <si>
    <t>2x100-3x100</t>
  </si>
  <si>
    <t>TRNC3X375</t>
  </si>
  <si>
    <t>TRNC100</t>
  </si>
  <si>
    <t>TRNC2x75</t>
  </si>
  <si>
    <t>TRNC2x100</t>
  </si>
  <si>
    <t>TRNC2X75</t>
  </si>
  <si>
    <t>TRNC2X100</t>
  </si>
  <si>
    <t>Cọc tiếp đất φ16 - 2,4m (mạ đồng 16µm)</t>
  </si>
  <si>
    <t>Tủ trạm treo + khóa + boulon + Bakelit + Collier-trụ ghép (3 pha)</t>
  </si>
  <si>
    <t>Phần đường dây trung thế</t>
  </si>
  <si>
    <t>Móng trụ 12m BT đôi</t>
  </si>
  <si>
    <t>Móng trụ 12m BT đơn</t>
  </si>
  <si>
    <t>23. Trung thế Bàu Lâm 2 (Kéo 01 khoảng băng đường)</t>
  </si>
  <si>
    <t>Bộ đà cân 1,66m</t>
  </si>
  <si>
    <t>25. Trung thế Bàu Lâm 1 (Kéo 01 khoảng băng đường)</t>
  </si>
  <si>
    <t>Cán bộ liên hệ tài liệu công trình hiện hữu, 02 người x 02 ngày</t>
  </si>
  <si>
    <t>Công tác phí (2 người x 2 ngày)</t>
  </si>
  <si>
    <t>Tháo hạ, căng dây ABC 4x50</t>
  </si>
  <si>
    <t>Tháo hạ, căng dây ABC 4x70</t>
  </si>
  <si>
    <t>Tháo (lắp) Rack 1</t>
  </si>
  <si>
    <t>Trụ BTLT 7,5-8,5m SDL</t>
  </si>
  <si>
    <t>05.02.206</t>
  </si>
  <si>
    <t>05.02.207</t>
  </si>
  <si>
    <t>Tháo (lắp) thùng trạm 3 pha</t>
  </si>
  <si>
    <t>TR1P DỜI</t>
  </si>
  <si>
    <t>TR3P DỜI</t>
  </si>
  <si>
    <t>DTR1P</t>
  </si>
  <si>
    <t>DTR3P</t>
  </si>
  <si>
    <t>Máy biến áp 12,7/0,23-0,46kV  50kVA</t>
  </si>
  <si>
    <t>Máy biến áp 12,7/0,22-0,44kV  75kVA</t>
  </si>
  <si>
    <t>Máy biến áp 12,7/0,22-0,44kV  100kVA</t>
  </si>
  <si>
    <t>Trạm di dời 1 pha</t>
  </si>
  <si>
    <t>Cáp CV 25mm2</t>
  </si>
  <si>
    <t>Cáp CV 70mm2</t>
  </si>
  <si>
    <t>Đầu cosse đồng 70</t>
  </si>
  <si>
    <t>ATM 160A (trên trụ)</t>
  </si>
  <si>
    <t>ATM 160A (tại trạm)</t>
  </si>
  <si>
    <t>U160-2500</t>
  </si>
  <si>
    <t>Đà U160x68x5x2500</t>
  </si>
  <si>
    <t>Cáp CV 95mm2</t>
  </si>
  <si>
    <t>Đầu cosse đồng 95</t>
  </si>
  <si>
    <t>Ống nối dây ABC 120mm2</t>
  </si>
  <si>
    <t>Ống co nhiệt 24kV D30</t>
  </si>
  <si>
    <t>Cáp CV25 SDL (sợi)</t>
  </si>
  <si>
    <t>HS QLDA</t>
  </si>
  <si>
    <t>Cổ dê kẹp ống PVC φ 90 trụ ghép (có giá nới)</t>
  </si>
  <si>
    <t>Tháo dây CV150 xuống thiết bị</t>
  </si>
  <si>
    <t>TR37</t>
  </si>
  <si>
    <t>Máy biến áp AMORPHOUS 12,7/0,22-0,44kV 37,5kVA</t>
  </si>
  <si>
    <t>Máy biến áp AMORPHOUS 12,7/0,23-0,46kV 50kVA</t>
  </si>
  <si>
    <t>Máy biến áp AMORPHOUS 12,7/0,22-0,44kV 75kVA</t>
  </si>
  <si>
    <t>Máy biến áp AMORPHOUS 12,7/0,22-0,44kV 100kVA</t>
  </si>
  <si>
    <t>NCx0,9</t>
  </si>
  <si>
    <t>NCTN×0,9</t>
  </si>
  <si>
    <t>III-1</t>
  </si>
  <si>
    <t>III-2</t>
  </si>
  <si>
    <t>IV-1</t>
  </si>
  <si>
    <t>IV-2</t>
  </si>
  <si>
    <t>V-1</t>
  </si>
  <si>
    <t>V-2</t>
  </si>
  <si>
    <t>VI-1</t>
  </si>
  <si>
    <t>VI-2</t>
  </si>
  <si>
    <t>VII-1</t>
  </si>
  <si>
    <t>VII-2</t>
  </si>
  <si>
    <t>VIII-1</t>
  </si>
  <si>
    <t>VIII-2</t>
  </si>
  <si>
    <t>IX-1</t>
  </si>
  <si>
    <t>IX-2</t>
  </si>
  <si>
    <t>X-1</t>
  </si>
  <si>
    <t>X-2</t>
  </si>
  <si>
    <t>24. Trung thế Bàu Lâm 2B (Đôn trụ mới)</t>
  </si>
  <si>
    <t>NCXDM×1,0</t>
  </si>
  <si>
    <t>NCTL×1,0</t>
  </si>
  <si>
    <t>NCx1,0</t>
  </si>
  <si>
    <t>Ống nối MJPB 120 (LV-ABC cỡ 120mm2)</t>
  </si>
  <si>
    <t>TUAP3G</t>
  </si>
  <si>
    <t>- Chi phí lập kế hoạch vảo vệ môi trường</t>
  </si>
  <si>
    <t>+ Đường dây trung áp xây dựng mới (5km&lt;L&lt;15km)</t>
  </si>
  <si>
    <t xml:space="preserve">+ Trạm biến áp (tổng dung lượng &lt;= 2MVA) </t>
  </si>
  <si>
    <t xml:space="preserve">- Chi phí nghiệm thu </t>
  </si>
  <si>
    <t>5a</t>
  </si>
  <si>
    <t>5b</t>
  </si>
  <si>
    <t>4a+4b</t>
  </si>
  <si>
    <t>5a+5b</t>
  </si>
  <si>
    <t>1,6%xGxdđd</t>
  </si>
  <si>
    <t>1,6%x Gxltba</t>
  </si>
  <si>
    <t>DIỄN GIẢI</t>
  </si>
  <si>
    <t>Vốn khấu hao cơ bản</t>
  </si>
  <si>
    <t>Nội dung thực hiện công việc và dự kiến giải ngân theo tiến độ</t>
  </si>
  <si>
    <t>Tổng số tiền dự án theo vốn (không bao gồm VAT)</t>
  </si>
  <si>
    <t>Tổng số tiền lãi phải trả theo nguồn vốn vay
trong thời gian thi công</t>
  </si>
  <si>
    <t>Lãi vay của 3 tháng (trả lãi trong vòng 3 tháng)</t>
  </si>
  <si>
    <t xml:space="preserve">Số tiền vay </t>
  </si>
  <si>
    <t>Tạm tính: 90% chi phí lập BCKT-KT + 100% chi phí bảo hiểm + 100% chi phí VTTB + 20% chi phí nhân công thi công</t>
  </si>
  <si>
    <t>Lãi suất năm (%)</t>
  </si>
  <si>
    <t>Thời hạn vay (tháng)</t>
  </si>
  <si>
    <t>Thành tiền lãi vay</t>
  </si>
  <si>
    <t>Ghi chú:</t>
  </si>
  <si>
    <t>- Chi phí lập Báo cáo Kinh tế Kỹ thuật</t>
  </si>
  <si>
    <t>- Chi phí bảo hiểm thi công xây dựng công trình</t>
  </si>
  <si>
    <t>- Chi phí VTTB</t>
  </si>
  <si>
    <t>- Chi phí nhân công thi công</t>
  </si>
  <si>
    <t>Vốn vay thương mại có thuế (VNĐ)</t>
  </si>
  <si>
    <t>Gvl_dd = Bảng 4</t>
  </si>
  <si>
    <t>Gxd_dd = Bảng 3</t>
  </si>
  <si>
    <t>Gvc_dd = Bảng 13</t>
  </si>
  <si>
    <t>Ghl_dd = Bảng 17</t>
  </si>
  <si>
    <t>Gxd_Tr = Bảng 6</t>
  </si>
  <si>
    <t>Gvl_Tr = Bảng 7</t>
  </si>
  <si>
    <t>Gxd_TBA = 1+2+3</t>
  </si>
  <si>
    <t>Gvc_Tr = Bảng 13</t>
  </si>
  <si>
    <t>Bảng 4</t>
  </si>
  <si>
    <t>Bảng 8</t>
  </si>
  <si>
    <t>Bảng 9</t>
  </si>
  <si>
    <t>Bảng 7</t>
  </si>
  <si>
    <t>Bảng 6</t>
  </si>
  <si>
    <t>Bảng 13</t>
  </si>
  <si>
    <t>Bộ đà tháp U160-2200 kép</t>
  </si>
  <si>
    <t>Bộ đà tháp đơn U160x68x5 dài 2,2m</t>
  </si>
  <si>
    <t>DUCV2x7</t>
  </si>
  <si>
    <t>Cáp Duplex đồng 2x7mm2</t>
  </si>
  <si>
    <t>HOP1CT</t>
  </si>
  <si>
    <t>Hộp bắt 1 công tơ + dây rút thép + khóa đai</t>
  </si>
  <si>
    <t>DUCV2x14</t>
  </si>
  <si>
    <t>D4.5001</t>
  </si>
  <si>
    <t>ONA16</t>
  </si>
  <si>
    <t>Ống nối Al 16mm2</t>
  </si>
  <si>
    <t>Tính ống Al 16mm2</t>
  </si>
  <si>
    <t>Tài xế chở cán bộ khảo sát, (01 người/đợt x 13 đợt)</t>
  </si>
  <si>
    <t>MCCB 200A</t>
  </si>
  <si>
    <t>Cáp Duplex đồng 2x14mm2</t>
  </si>
  <si>
    <t>MDD3D</t>
  </si>
  <si>
    <t>AB.11363</t>
  </si>
  <si>
    <t>Đào hố móng đà cản đất cấp 3</t>
  </si>
  <si>
    <t>AG.42121</t>
  </si>
  <si>
    <t>sợi</t>
  </si>
  <si>
    <r>
      <t>0,1%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</si>
  <si>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thẩm định HSMT thi công xây dựng và mua sắm vật tư, thiết bị</t>
  </si>
  <si>
    <r>
      <t>0,05%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</si>
  <si>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lập HSMT tư vấn thiết kế</t>
  </si>
  <si>
    <t>- Chi phí thẩm định HSMT tư vấn thiết kế</t>
  </si>
  <si>
    <t>- Chi phí đánh giá HSDT tư vấn thiết kế</t>
  </si>
  <si>
    <t>- Chi phí lập HSMT tư vấn giám sát</t>
  </si>
  <si>
    <t>- Chi phí thẩm định HSMT tư vấn giám sát</t>
  </si>
  <si>
    <t>- Chi phí đánh giá HSDT tư vấn giám sát</t>
  </si>
  <si>
    <r>
      <t>GS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 = 3,508 % x G</t>
    </r>
    <r>
      <rPr>
        <vertAlign val="subscript"/>
        <sz val="12"/>
        <color theme="1"/>
        <rFont val="Times New Roman"/>
        <family val="1"/>
      </rPr>
      <t>xd</t>
    </r>
  </si>
  <si>
    <r>
      <t>GS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 xml:space="preserve"> = 1,147 % x TB </t>
    </r>
  </si>
  <si>
    <t>Kéo dây nhôm lõi thép cỡ dây 50mm2 (&lt;10m)</t>
  </si>
  <si>
    <t>Kéo dây ABC 4x120mm2 (&lt;10m)</t>
  </si>
  <si>
    <t>Kéo dây ABC 3x120mm2 (&lt;10m)</t>
  </si>
  <si>
    <t>Kéo dây nhôm lõi thép bọc XLPE cỡ dây 70mm2 (≥10m)</t>
  </si>
  <si>
    <t>Tháo và lắp đà 2,1m</t>
  </si>
  <si>
    <t>Tháo và lắp sứ đứng 24kV</t>
  </si>
  <si>
    <t>Đổ bê tông mác M150 đá 1x2</t>
  </si>
  <si>
    <t>AB.12111</t>
  </si>
  <si>
    <t>AB.12112</t>
  </si>
  <si>
    <t>AB.12113</t>
  </si>
  <si>
    <t>EC.12010</t>
  </si>
  <si>
    <t>Băng keo cách điện</t>
  </si>
  <si>
    <t>1+2+…..+15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</si>
  <si>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i/>
        <sz val="12"/>
        <color theme="1"/>
        <rFont val="Times New Roman"/>
        <family val="1"/>
      </rPr>
      <t>×1,0</t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</si>
  <si>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i/>
        <sz val="12"/>
        <color theme="1"/>
        <rFont val="Times New Roman"/>
        <family val="1"/>
      </rPr>
      <t>×1,0</t>
    </r>
  </si>
  <si>
    <t>Chi phí chằng buộc, bảo quản hàng trong quá trình vận chuyển</t>
  </si>
  <si>
    <t>Chi phí chằng buộc, bảo quản hàng trong quá trình vận chuyển:</t>
  </si>
  <si>
    <r>
      <t>NC</t>
    </r>
    <r>
      <rPr>
        <i/>
        <vertAlign val="subscript"/>
        <sz val="12"/>
        <color theme="1"/>
        <rFont val="Times New Roman"/>
        <family val="1"/>
      </rPr>
      <t>TN</t>
    </r>
  </si>
  <si>
    <t>BKTT</t>
  </si>
  <si>
    <t>Băng keo cách điện trung thế</t>
  </si>
  <si>
    <t>BANGTB</t>
  </si>
  <si>
    <t>Bảng chỉ danh thiết bị</t>
  </si>
  <si>
    <t>DBST</t>
  </si>
  <si>
    <t>DBSG</t>
  </si>
  <si>
    <t>Dây buộc sứ trụ đỡ thẳng</t>
  </si>
  <si>
    <t>Dây buộc sứ trụ đỡ góc</t>
  </si>
  <si>
    <t>Dây phi kim buộc cổ sứ (trụ góc)</t>
  </si>
  <si>
    <t>Dây phi kim buộc cổ sứ (trụ thẳng)</t>
  </si>
  <si>
    <t>Ghíp nối IPC 2 Boulon 120-35</t>
  </si>
  <si>
    <t>Rack 3 sứ - 3mm (ty 14)</t>
  </si>
  <si>
    <r>
      <t xml:space="preserve">- Chi phí thẩm tra thiết kế hồ sơ BCKTKT 
</t>
    </r>
    <r>
      <rPr>
        <i/>
        <sz val="12"/>
        <color theme="1"/>
        <rFont val="Times New Roman"/>
        <family val="1"/>
      </rPr>
      <t>hệ số 1,2 do thẩm tra hồ sơ BCKTKT</t>
    </r>
  </si>
  <si>
    <t>Bảng 19</t>
  </si>
  <si>
    <t>Chiều dài khảo sát:</t>
  </si>
  <si>
    <t>+ Trung thế Xây dựng mới (Đdây 1,0Km/ngày/2 người)</t>
  </si>
  <si>
    <t>+ Trung thế cải tạo (Định mức = 0,6 x XDM)</t>
  </si>
  <si>
    <t>+ Hạ thế Xây dựng mới (Định mức = 0,3 x Trung thế XDM)</t>
  </si>
  <si>
    <t>Thời gian:</t>
  </si>
  <si>
    <t>+ Hạ thế cải tạo (Định mức = 0,25 x Trung thế XDM)</t>
  </si>
  <si>
    <t>70% x NC</t>
  </si>
  <si>
    <t>KHẢO SÁT THỰC TẾ TẠI TRẠM VÀ ĐƯỜNG DÂY</t>
  </si>
  <si>
    <t>Tháo (lắp) hộp Domino, cột BTLT</t>
  </si>
  <si>
    <t>Tháo hạ (căng) dây AV95, A95, &lt;10m</t>
  </si>
  <si>
    <t>Tháo hạ (căng) dây AV70, A70, &lt;10m</t>
  </si>
  <si>
    <t>Tháo hạ (căng) dây AV50, A50, A35, &lt;10m</t>
  </si>
  <si>
    <t>Tháo hạ (căng) dây AC50, AC70, &lt;10m</t>
  </si>
  <si>
    <t>Tháo hạ, căng dây ABC 3x50, &lt;10m</t>
  </si>
  <si>
    <t>Tháo hạ, căng dây ABC 3x70, &lt;10m</t>
  </si>
  <si>
    <t>Tháo hạ, căng dây ABC 4x95, &lt;10m</t>
  </si>
  <si>
    <t>THẨM ĐỊNH DỰ TOÁN</t>
  </si>
  <si>
    <t>PHÓ GIÁM ĐỐC</t>
  </si>
  <si>
    <t>Cần đèn chiếu sáng</t>
  </si>
  <si>
    <t>Collier kẹp Rack</t>
  </si>
  <si>
    <t>Ma ní</t>
  </si>
  <si>
    <t>LA-SDL</t>
  </si>
  <si>
    <t>FCO-SDL</t>
  </si>
  <si>
    <t>Bộ LA sử dụng lại</t>
  </si>
  <si>
    <t>Bộ FCO sử dụng lại</t>
  </si>
  <si>
    <t>Chống composite dẹt 720</t>
  </si>
  <si>
    <t>Ty sứ đỉnh thẳng 630</t>
  </si>
  <si>
    <t>Boulon 16x300</t>
  </si>
  <si>
    <t>Bộ tiếp địa cáp ABC</t>
  </si>
  <si>
    <t>TDABC</t>
  </si>
  <si>
    <t>Ống nối dây ABC 95mm2</t>
  </si>
  <si>
    <t>M8-D</t>
  </si>
  <si>
    <t>M8BT-D</t>
  </si>
  <si>
    <t>M8BTD-D</t>
  </si>
  <si>
    <t>NXX-HD</t>
  </si>
  <si>
    <t>NXL-HD</t>
  </si>
  <si>
    <t>Móng neo xuống HT - Đá</t>
  </si>
  <si>
    <t>Móng neo lệch HT - Đá</t>
  </si>
  <si>
    <t>Móng neo xuống HT</t>
  </si>
  <si>
    <t>Móng neo lệch HT</t>
  </si>
  <si>
    <t>Móng trụ M8 - Đá</t>
  </si>
  <si>
    <t>Móng trụ 8,5m BT đơn (Đá)</t>
  </si>
  <si>
    <t>Móng trụ 8,5m BT đôi (Đá)</t>
  </si>
  <si>
    <t xml:space="preserve">Tháo (lắp) bộ sứ đỉnh </t>
  </si>
  <si>
    <t>Điện kế (tháo lắp lại)</t>
  </si>
  <si>
    <t>Khách hàng (tháo lắp lại)</t>
  </si>
  <si>
    <t>Bộ móng neo xòe cho chằng xuống (HT) - Lỗ đá</t>
  </si>
  <si>
    <t>Bộ móng neo xòe cho chằng lệch (HT) - Lỗ đá</t>
  </si>
  <si>
    <t>Lưới điện hạ thế sau TBA Trạm xá Xuân Tây</t>
  </si>
  <si>
    <t>Lưới điện hạ thế sau TBA Sông Ray 5</t>
  </si>
  <si>
    <t>Lưới điện hạ thế sau TBA Sông Ray 5A</t>
  </si>
  <si>
    <t>16. TBA Xuân Đông 5</t>
  </si>
  <si>
    <t>17. TBA Xuân Đông 5A</t>
  </si>
  <si>
    <t>18. TBA Lâm San 3A</t>
  </si>
  <si>
    <t>19. TBA Lâm San 16A</t>
  </si>
  <si>
    <t>Lưới hạ thế sau TBA Lâm San 3, Lâm San 3A</t>
  </si>
  <si>
    <t>Cộng 15</t>
  </si>
  <si>
    <t>Cộng 16</t>
  </si>
  <si>
    <t>Cộng 17</t>
  </si>
  <si>
    <t>2x50-3x50</t>
  </si>
  <si>
    <t>TRNC2x50</t>
  </si>
  <si>
    <t>TRNC2X50</t>
  </si>
  <si>
    <t>ĐL cấp</t>
  </si>
  <si>
    <t>Bàu Lâm 4</t>
  </si>
  <si>
    <t>Lâm San 11</t>
  </si>
  <si>
    <t>Tên trạm</t>
  </si>
  <si>
    <t>MBA 50kVA</t>
  </si>
  <si>
    <t>MBA 75kVA</t>
  </si>
  <si>
    <t>FCO</t>
  </si>
  <si>
    <t>LA</t>
  </si>
  <si>
    <t>Thùng trạm</t>
  </si>
  <si>
    <t>Collier ống D114</t>
  </si>
  <si>
    <t>Collier ống D90</t>
  </si>
  <si>
    <t>Co vuông D114</t>
  </si>
  <si>
    <t>Co lơi D114</t>
  </si>
  <si>
    <t>Co vuông D90</t>
  </si>
  <si>
    <t>Co lơi D90</t>
  </si>
  <si>
    <t>Cáp CV150</t>
  </si>
  <si>
    <t>Cáp CV120</t>
  </si>
  <si>
    <t>Cáp CV95</t>
  </si>
  <si>
    <t>Cáp CV70</t>
  </si>
  <si>
    <t>Cáp CV50</t>
  </si>
  <si>
    <t>Cáp CV25</t>
  </si>
  <si>
    <t>Cáp CV11</t>
  </si>
  <si>
    <t>Thùng</t>
  </si>
  <si>
    <t>Mét</t>
  </si>
  <si>
    <t>Giá T</t>
  </si>
  <si>
    <t>Đà composite 2400</t>
  </si>
  <si>
    <t>Cáp C/XLPE/PVC 25</t>
  </si>
  <si>
    <t>MBA 100kVA</t>
  </si>
  <si>
    <t>MBA 37,5kVA</t>
  </si>
  <si>
    <t>Cáp ABC 3x70</t>
  </si>
  <si>
    <t>Móng M8 phá đá chân móng</t>
  </si>
  <si>
    <t>`</t>
  </si>
  <si>
    <t>Tháo (lắp) MBA ≤75KVA</t>
  </si>
  <si>
    <t>XN2T</t>
  </si>
  <si>
    <t>Xe nâng hàng 2 tấn</t>
  </si>
  <si>
    <t>Trạm di dời 3 pha</t>
  </si>
  <si>
    <t>BANGNH</t>
  </si>
  <si>
    <t>Bảng cảnh báo nguy hiểm</t>
  </si>
  <si>
    <t>15m+5m</t>
  </si>
  <si>
    <t>5+15</t>
  </si>
  <si>
    <t>10+30</t>
  </si>
  <si>
    <t>MBA 25kVA</t>
  </si>
  <si>
    <t>Tháo (lắp) MBA ≤30KVA</t>
  </si>
  <si>
    <t>Móng bê tông trụ đơn 8,5m (Vướng đá)</t>
  </si>
  <si>
    <t>Móng bê tông trụ đôi 8,5m (Vướng đá)</t>
  </si>
  <si>
    <t>VAN</t>
  </si>
  <si>
    <t>Gỗ ván (cả nẹp): 0,792 m3/100m2 ván khuôn</t>
  </si>
  <si>
    <t>GOCHONG</t>
  </si>
  <si>
    <t>Gỗ chống: 0,335 m3/100m2 ván khuôn</t>
  </si>
  <si>
    <t>GODA</t>
  </si>
  <si>
    <t>Gỗ đà nẹp: 0,21 m3/100m2 ván khuôn</t>
  </si>
  <si>
    <t>DINH</t>
  </si>
  <si>
    <t>Đinh: 15kg/100m2 ván khuôn</t>
  </si>
  <si>
    <t>LAPVAN</t>
  </si>
  <si>
    <t>AF.81122</t>
  </si>
  <si>
    <t>Lắp ván khuôn gỗ móng - móng vuông, chữ nhật</t>
  </si>
  <si>
    <t>Tiếp địa LA đường dây 3 pha</t>
  </si>
  <si>
    <t>Tiếp địa LA đường dây 1 pha</t>
  </si>
  <si>
    <t>TDLA1</t>
  </si>
  <si>
    <t>Tiếp địa LA trụ 12m (3 pha)</t>
  </si>
  <si>
    <t>Tiếp địa LA trụ 12m (1 pha)</t>
  </si>
  <si>
    <t>Kéo dây nhôm lõi thép bọc XLPE cỡ dây 50mm2 (≥10m)</t>
  </si>
  <si>
    <t>CVV6X4</t>
  </si>
  <si>
    <t>Cáp điều khiển CVV 6x4,0mm2</t>
  </si>
  <si>
    <t>DUCV2X7</t>
  </si>
  <si>
    <t>Thanh chống 10x40x710</t>
  </si>
  <si>
    <t>Neo xòe 8 hướng (dày 3,2mm) + đĩa sen</t>
  </si>
  <si>
    <t>HOP2CT</t>
  </si>
  <si>
    <t>Hộp bắt 2 công tơ + dây rút thép + khóa đai</t>
  </si>
  <si>
    <t>HOP4CT</t>
  </si>
  <si>
    <t>DTIN</t>
  </si>
  <si>
    <t>KDIN</t>
  </si>
  <si>
    <t>Dây đai thép Inox</t>
  </si>
  <si>
    <t>Khóa đai Inox</t>
  </si>
  <si>
    <t>Ống bọc cách điện D30/15</t>
  </si>
  <si>
    <t>Nhổ trụ BTLT 7,5m</t>
  </si>
  <si>
    <t>Nhổ trụ BTLT 8,4m, 8,5m</t>
  </si>
  <si>
    <t>Trụ BTLT 8,5m SDL</t>
  </si>
  <si>
    <t>Trụ BTLT 7,5m SDL</t>
  </si>
  <si>
    <t>04.02.102
(D2.5212)</t>
  </si>
  <si>
    <t>04.02.202
(D2.5222)</t>
  </si>
  <si>
    <t>04.02.302
(D2.5232)</t>
  </si>
  <si>
    <t>Tổng cộng</t>
  </si>
  <si>
    <t>BẢNG TỔNG HỢP VẬT TƯ, THIÊT BỊ THÁO LẮP PHẦN TRẠM</t>
  </si>
  <si>
    <t>Tháo (lắp) ống PVC D14</t>
  </si>
  <si>
    <t>11.02.106
(D4.1412)</t>
  </si>
  <si>
    <t>Ghíp nối IPC 2 Boulon 95-35</t>
  </si>
  <si>
    <t>Rack 4 sứ - 3mm (ty 14) + Sứ ống chỉ</t>
  </si>
  <si>
    <t>20. TBA Bàu Lâm 4A</t>
  </si>
  <si>
    <t>Bộ tiếp địa hạ thế cáp LV-ABC (95-120)</t>
  </si>
  <si>
    <t>Trụ BTLT 7,5m</t>
  </si>
  <si>
    <t>Kéo dây ABC 4x50mm2 (&lt;10m)</t>
  </si>
  <si>
    <t>Kéo dây ABC 4x70mm2 (&lt;10m)</t>
  </si>
  <si>
    <t>Kéo dây ABC 4x95mm2 (&lt;10m)</t>
  </si>
  <si>
    <t>Kéo dây ABC 4x150mm2 (&lt;10m)</t>
  </si>
  <si>
    <t>Kéo dây ABC 3x70mm2 (&lt;10m)</t>
  </si>
  <si>
    <t>Kéo dây ABC 3x95mm2 (&lt;10m)</t>
  </si>
  <si>
    <t>Kéo dây ABC 3x150mm2 (&lt;10m)</t>
  </si>
  <si>
    <t>Thẩm tra QT</t>
  </si>
  <si>
    <t>Kiểm toán</t>
  </si>
  <si>
    <t>6a</t>
  </si>
  <si>
    <t>6b</t>
  </si>
  <si>
    <r>
      <t xml:space="preserve">- Chi phí thẩm tra dự toán hồ sơ BCKTKT
</t>
    </r>
    <r>
      <rPr>
        <i/>
        <sz val="12"/>
        <color theme="1"/>
        <rFont val="Times New Roman"/>
        <family val="1"/>
      </rPr>
      <t>hệ số: 1,2 - do thẩm tra hồ sơ BCKTKT; Trường hợp Gtb &gt; 25% (Gtb + Gxd): x 1,2</t>
    </r>
  </si>
  <si>
    <t>- Chi phí kiểm toán báo cáo quyết toán hoàn thành công trình (Theo TT 64/2018/TT-BTC)</t>
  </si>
  <si>
    <t>- Chi phí thẩm tra phê duyệt quyết toán (Theo TT 64/2018/TT-BTC)</t>
  </si>
  <si>
    <t>BM16350</t>
  </si>
  <si>
    <t>Boulon mắt 16x350+ long đền vuông D18-50x50x3/Zn</t>
  </si>
  <si>
    <t>BM16400</t>
  </si>
  <si>
    <t>Boulon mắt 16x400+ long đền vuông D18-50x50x3/Zn</t>
  </si>
  <si>
    <t>Đào hố móng đất cấp 3 sâu ≤1m (rộng ≤1m)</t>
  </si>
  <si>
    <t>MDD31R</t>
  </si>
  <si>
    <t>AB.11433</t>
  </si>
  <si>
    <t>Đào hố móng đất cấp 3 sâu ≤1m (rộng &gt;1m)</t>
  </si>
  <si>
    <t>Đào hố móng đất cấp 3 sâu &gt;1m (rộng ≤1m)</t>
  </si>
  <si>
    <t>MDD3R</t>
  </si>
  <si>
    <t>AB.11443</t>
  </si>
  <si>
    <t>Đào hố móng đất cấp 3 sâu &gt;1m (rộng &gt;1m)</t>
  </si>
  <si>
    <t>AB.65110</t>
  </si>
  <si>
    <t>Đắp đất hố móng (K=0,85)</t>
  </si>
  <si>
    <t>DAMCOC</t>
  </si>
  <si>
    <t>METL200</t>
  </si>
  <si>
    <t>Máy ép thủy lực 200 tấn</t>
  </si>
  <si>
    <t>Giá Tây Ninh (Máy ép 130 tấn)</t>
  </si>
  <si>
    <t>Máy đầm đất cầm tay 50kg</t>
  </si>
  <si>
    <t>Hệ số khó khăn:</t>
  </si>
  <si>
    <t>địa hình bùn nước &lt;30cm</t>
  </si>
  <si>
    <t>Trụ BTLT 12m (SDL)</t>
  </si>
  <si>
    <t>M12BT-GC</t>
  </si>
  <si>
    <t>Móng trụ 12 BT Đơn (Gia cố)</t>
  </si>
  <si>
    <t>Móng bê tông trụ đơn 12m (Gia cố bê tông)</t>
  </si>
  <si>
    <t>PHẦN LẮP LẠI</t>
  </si>
  <si>
    <t>PHẦN THÁO</t>
  </si>
  <si>
    <t>10 TRẠM DI DỜI</t>
  </si>
  <si>
    <t>Cáp CV25 (trạm)</t>
  </si>
  <si>
    <t>1. Lưới điện trung thế 1 pha Xuân Tây 19A</t>
  </si>
  <si>
    <t>2. Lưới điện trung thế 1 pha Thừa Đức 11A</t>
  </si>
  <si>
    <t>3. Lưới trung thế 1 pha Suối Râm 7A</t>
  </si>
  <si>
    <t>4. Lưới điện trung thế 1 pha Thoại Hương 4A</t>
  </si>
  <si>
    <t>5. Lưới điện trung thế 3 pha Cánh đồng Xuân Tây 1A</t>
  </si>
  <si>
    <t>6. Lưới điện trung thế 3 pha Cánh Đồng Xuân Tây 1B</t>
  </si>
  <si>
    <t>7. Lưới điện trung thế 3 pha Nam Hà 3B</t>
  </si>
  <si>
    <t>9. Lưới điện trung thế 3 pha Láng Me 3B</t>
  </si>
  <si>
    <t>10. Lưới điện trung thế 3 pha Sông Ray 4A</t>
  </si>
  <si>
    <t>12. Lưới điện trung thế 3 pha Sông Ray 7A</t>
  </si>
  <si>
    <t>13. Lưới điện trung thế 3 pha Láng Me 5B-5C</t>
  </si>
  <si>
    <t>Lưới hạ thế sau TBA Lâm San 11A</t>
  </si>
  <si>
    <t>045</t>
  </si>
  <si>
    <t>046</t>
  </si>
  <si>
    <t>047</t>
  </si>
  <si>
    <t>47A</t>
  </si>
  <si>
    <t>45A</t>
  </si>
  <si>
    <t>46A</t>
  </si>
  <si>
    <t>048</t>
  </si>
  <si>
    <t>049</t>
  </si>
  <si>
    <t>050</t>
  </si>
  <si>
    <t>051</t>
  </si>
  <si>
    <t>052</t>
  </si>
  <si>
    <t>053</t>
  </si>
  <si>
    <t>054</t>
  </si>
  <si>
    <t>055</t>
  </si>
  <si>
    <t>55A</t>
  </si>
  <si>
    <t>056</t>
  </si>
  <si>
    <t>56A</t>
  </si>
  <si>
    <t>057</t>
  </si>
  <si>
    <t>57A</t>
  </si>
  <si>
    <t>058</t>
  </si>
  <si>
    <t>G-DT</t>
  </si>
  <si>
    <t>58A</t>
  </si>
  <si>
    <t>059</t>
  </si>
  <si>
    <t>59A</t>
  </si>
  <si>
    <t>060</t>
  </si>
  <si>
    <t>60A</t>
  </si>
  <si>
    <t>061</t>
  </si>
  <si>
    <t>/058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</si>
  <si>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</si>
  <si>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</si>
  <si>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</si>
  <si>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</si>
  <si>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</si>
  <si>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</si>
  <si>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</si>
  <si>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</si>
  <si>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</si>
  <si>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</si>
  <si>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/046</t>
  </si>
  <si>
    <t>Lưới hạ thế sau TBA Sông Ray 4A</t>
  </si>
  <si>
    <t>073</t>
  </si>
  <si>
    <t>72B</t>
  </si>
  <si>
    <t>ĐỂ TRỤ LẠI CHO CHIẾU SÁNG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</si>
  <si>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</si>
  <si>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</si>
  <si>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</si>
  <si>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</si>
  <si>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</si>
  <si>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</si>
  <si>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</si>
  <si>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</si>
  <si>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</si>
  <si>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</si>
  <si>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72A</t>
  </si>
  <si>
    <t>072</t>
  </si>
  <si>
    <t>Lưới hạ thế sau TBA Nam Hà 1</t>
  </si>
  <si>
    <t>358</t>
  </si>
  <si>
    <t>359</t>
  </si>
  <si>
    <t>339</t>
  </si>
  <si>
    <t>338</t>
  </si>
  <si>
    <t>338A</t>
  </si>
  <si>
    <t>340</t>
  </si>
  <si>
    <t>341</t>
  </si>
  <si>
    <t>342</t>
  </si>
  <si>
    <t>2I</t>
  </si>
  <si>
    <t>343</t>
  </si>
  <si>
    <t>344</t>
  </si>
  <si>
    <t>4DT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</si>
  <si>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</si>
  <si>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</si>
  <si>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</si>
  <si>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</si>
  <si>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</si>
  <si>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</si>
  <si>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</si>
  <si>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</si>
  <si>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</si>
  <si>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</si>
  <si>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</si>
  <si>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</si>
  <si>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</si>
  <si>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360</t>
  </si>
  <si>
    <t>361</t>
  </si>
  <si>
    <t>362</t>
  </si>
  <si>
    <t>363</t>
  </si>
  <si>
    <t>/338</t>
  </si>
  <si>
    <t>/340</t>
  </si>
  <si>
    <t>/342</t>
  </si>
  <si>
    <t>/344</t>
  </si>
  <si>
    <t>/02</t>
  </si>
  <si>
    <t>/347</t>
  </si>
  <si>
    <t>/348</t>
  </si>
  <si>
    <t>/354</t>
  </si>
  <si>
    <t>Lưới hạ thế sau TBA Nam Hà 3</t>
  </si>
  <si>
    <t>323</t>
  </si>
  <si>
    <t>324</t>
  </si>
  <si>
    <t>325</t>
  </si>
  <si>
    <t>325A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</si>
  <si>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</si>
  <si>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</si>
  <si>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</si>
  <si>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</si>
  <si>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</si>
  <si>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</si>
  <si>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</si>
  <si>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</si>
  <si>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</si>
  <si>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334A</t>
  </si>
  <si>
    <t>335</t>
  </si>
  <si>
    <t>336</t>
  </si>
  <si>
    <t>337</t>
  </si>
  <si>
    <t>/333</t>
  </si>
  <si>
    <t>/335</t>
  </si>
  <si>
    <t>/337</t>
  </si>
  <si>
    <t>3DT</t>
  </si>
  <si>
    <t>21</t>
  </si>
  <si>
    <t>22</t>
  </si>
  <si>
    <t>23</t>
  </si>
  <si>
    <t>24</t>
  </si>
  <si>
    <t>Lưới hạ thế sau TBA Sông Ray 2</t>
  </si>
  <si>
    <t>/016</t>
  </si>
  <si>
    <t>/12</t>
  </si>
  <si>
    <t>/08</t>
  </si>
  <si>
    <t>/07</t>
  </si>
  <si>
    <t>Lưới điện hạ thế sau TBA Sông Ray 7</t>
  </si>
  <si>
    <t>Lưới điện hạ thế sau TBA Sông Ray 8A</t>
  </si>
  <si>
    <t>Lưới điện hạ thế sau TBA Tân Bảo 3</t>
  </si>
  <si>
    <t>/374</t>
  </si>
  <si>
    <t>/13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</si>
  <si>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</si>
  <si>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</si>
  <si>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</si>
  <si>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</si>
  <si>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</si>
  <si>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</si>
  <si>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</si>
  <si>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</si>
  <si>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</si>
  <si>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</si>
  <si>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</si>
  <si>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</si>
  <si>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</si>
  <si>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</si>
  <si>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</si>
  <si>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</si>
  <si>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</si>
  <si>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</si>
  <si>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</si>
  <si>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THA70</t>
  </si>
  <si>
    <t>Cáp nhôm trần A70mm2</t>
  </si>
  <si>
    <t>135</t>
  </si>
  <si>
    <t>136</t>
  </si>
  <si>
    <t>137</t>
  </si>
  <si>
    <t>/119</t>
  </si>
  <si>
    <t>/376A</t>
  </si>
  <si>
    <t>/381</t>
  </si>
  <si>
    <t>369</t>
  </si>
  <si>
    <t>370</t>
  </si>
  <si>
    <t>371</t>
  </si>
  <si>
    <t>372</t>
  </si>
  <si>
    <t>373</t>
  </si>
  <si>
    <t>374</t>
  </si>
  <si>
    <t>375</t>
  </si>
  <si>
    <t>374A</t>
  </si>
  <si>
    <t>375A</t>
  </si>
  <si>
    <t>376</t>
  </si>
  <si>
    <t>377</t>
  </si>
  <si>
    <t>376A</t>
  </si>
  <si>
    <t>378</t>
  </si>
  <si>
    <t>379</t>
  </si>
  <si>
    <t>380</t>
  </si>
  <si>
    <t>381</t>
  </si>
  <si>
    <t>381B</t>
  </si>
  <si>
    <t>381A</t>
  </si>
  <si>
    <t>382</t>
  </si>
  <si>
    <t>383</t>
  </si>
  <si>
    <t>384</t>
  </si>
  <si>
    <t>384A</t>
  </si>
  <si>
    <t>385</t>
  </si>
  <si>
    <t>386</t>
  </si>
  <si>
    <t>/05</t>
  </si>
  <si>
    <t>48A</t>
  </si>
  <si>
    <t>/009A</t>
  </si>
  <si>
    <t>/003</t>
  </si>
  <si>
    <t>/103</t>
  </si>
  <si>
    <t>/087</t>
  </si>
  <si>
    <t>072A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</si>
  <si>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</si>
  <si>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</si>
  <si>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</si>
  <si>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</si>
  <si>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</si>
  <si>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</si>
  <si>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</si>
  <si>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</si>
  <si>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</si>
  <si>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</si>
  <si>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</si>
  <si>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</si>
  <si>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</si>
  <si>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01A</t>
  </si>
  <si>
    <t>02A</t>
  </si>
  <si>
    <t>03A</t>
  </si>
  <si>
    <t>04A</t>
  </si>
  <si>
    <t>05A</t>
  </si>
  <si>
    <t>339A</t>
  </si>
  <si>
    <t>348A</t>
  </si>
  <si>
    <t>354A</t>
  </si>
  <si>
    <t>/350</t>
  </si>
  <si>
    <t>/03</t>
  </si>
  <si>
    <t>CẢI TẠO LƯỚI ĐIỆN TRUNG HẠ THẾ VÀ TBA HUYỆN CẨM MỸ NĂM 2020</t>
  </si>
  <si>
    <t>09A</t>
  </si>
  <si>
    <t>335A</t>
  </si>
  <si>
    <t>/06</t>
  </si>
  <si>
    <t>017A</t>
  </si>
  <si>
    <t>KCT05</t>
  </si>
  <si>
    <t>Máy khoan cầm tay 0,5kW</t>
  </si>
  <si>
    <t>A Vương cho</t>
  </si>
  <si>
    <t>Phá đá chân hố móng, đá cấp III (thủ công)</t>
  </si>
  <si>
    <t>MDDA3M</t>
  </si>
  <si>
    <t>D4.6303</t>
  </si>
  <si>
    <t>Tháo (lắp) ghíp IPC (Nhân công tính trong tháo, lắp hộp Domino)</t>
  </si>
  <si>
    <t>Lắp đà composite 800mm đơn (KL &lt;=15kg, trụ BTLT, tính = 0.8 đà sắt)</t>
  </si>
  <si>
    <t>Lắp đà composite 2400mm đơn (KL &lt;=15kg, trụ BTLT, tính = 0.8 đà sắt)</t>
  </si>
  <si>
    <t>Lắp đà composite 800mm kép (KL &lt;=15kg, trụ BTLT, tính = 0.8 đà sắt)</t>
  </si>
  <si>
    <t>Lắp đà composite 2400mm kép (KL &lt;=15kg, trụ BTLT, tính = 0.8 đà sắt)</t>
  </si>
  <si>
    <t>Lắp đà composite 2600mm đơn (KL &lt;=15kg, trụ BTLT, tính = 0.8 đà sắt)</t>
  </si>
  <si>
    <t>M14BT-D</t>
  </si>
  <si>
    <t>Móng bê tông trụ đơn 14m (Vướng đá)</t>
  </si>
  <si>
    <t>Móng bê tông trụ đôi 14m (Vướng đá)</t>
  </si>
  <si>
    <t>14. Lưới hạ thế sau TBA Nam Hà 3</t>
  </si>
  <si>
    <t>15. Lưới hạ thế sau TBA Nam Hà 1</t>
  </si>
  <si>
    <t>NC lưới hạ thế sau TBA Xuân Tây 10A</t>
  </si>
  <si>
    <t>NC lưới hạ thế sau TBA Láng Me 5B, Láng Me 5C</t>
  </si>
  <si>
    <t>408</t>
  </si>
  <si>
    <t>07A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</si>
  <si>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</si>
  <si>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</si>
  <si>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</si>
  <si>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</si>
  <si>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</si>
  <si>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</si>
  <si>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</si>
  <si>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</si>
  <si>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</si>
  <si>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</si>
  <si>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</si>
  <si>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/001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</si>
  <si>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</si>
  <si>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</si>
  <si>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</si>
  <si>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</si>
  <si>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</si>
  <si>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</si>
  <si>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</si>
  <si>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</si>
  <si>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</si>
  <si>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TDHH</t>
  </si>
  <si>
    <t>Bộ tiếp địa hiện hữu</t>
  </si>
  <si>
    <t>HOPHH</t>
  </si>
  <si>
    <t>Hộp domino SDL</t>
  </si>
  <si>
    <t>/072A</t>
  </si>
  <si>
    <t>06A</t>
  </si>
  <si>
    <t>08A</t>
  </si>
  <si>
    <t>Nam Hà 1</t>
  </si>
  <si>
    <t>Nam Hà 3</t>
  </si>
  <si>
    <t>Lâm San 11A</t>
  </si>
  <si>
    <t>Láng Me 5</t>
  </si>
  <si>
    <t>Láng Me 5B</t>
  </si>
  <si>
    <t>Thoại Hương 4</t>
  </si>
  <si>
    <t>Suối Râm 7</t>
  </si>
  <si>
    <t>Tân Bảo 3</t>
  </si>
  <si>
    <t>Sông Ray 4A</t>
  </si>
  <si>
    <t>Sông Ray 7</t>
  </si>
  <si>
    <t>S.Ray 4A</t>
  </si>
  <si>
    <t>L.San 11A</t>
  </si>
  <si>
    <t>Tủ điện trạm treo 3 pha</t>
  </si>
  <si>
    <t>Bộ dây dẫn trung thế trạm 3 pha</t>
  </si>
  <si>
    <t>L.Me 5B</t>
  </si>
  <si>
    <t>T.Bảo 3</t>
  </si>
  <si>
    <t>LM5B: 7</t>
  </si>
  <si>
    <t>Tủ điện trạm treo</t>
  </si>
  <si>
    <t>L.Me 5</t>
  </si>
  <si>
    <t>N.Hà 1</t>
  </si>
  <si>
    <t>Lưới hạ thế sau TBA Láng Me 5</t>
  </si>
  <si>
    <t>8. Lưới điện trung thế 3 pha Láng Me 5A-1</t>
  </si>
  <si>
    <t>Lưới hạ thế sau TBA Láng Me 5A-1</t>
  </si>
  <si>
    <t>Lưới hạ thế sau TBA Láng Me 3B</t>
  </si>
  <si>
    <t>CDRG</t>
  </si>
  <si>
    <t>Cổ dê kẹp rack trụ ghép</t>
  </si>
  <si>
    <t>XDM</t>
  </si>
  <si>
    <t>NC3P</t>
  </si>
  <si>
    <t>NC1-3P</t>
  </si>
  <si>
    <t>11. Lưới điện trung thế 3 pha Sông Ray 2B</t>
  </si>
  <si>
    <t>Lưới điện hạ thế sau TBA Cánh đồng Xuân Tây 1, 1A, 1B</t>
  </si>
  <si>
    <t>Lưới điện hạ thế sau TBA Thoại Hương 4, 4A</t>
  </si>
  <si>
    <t>Lưới điện hạ thế sau TBA Xuân Tây 19, 19A, 19B</t>
  </si>
  <si>
    <t>Lưới điện hạ thế sau TBA Thừa Đức 11A</t>
  </si>
  <si>
    <t>Lưới hạ thế sau TBA Suối Râm 7, 7A</t>
  </si>
  <si>
    <t>CDR</t>
  </si>
  <si>
    <t>Cổ dê kẹp rack</t>
  </si>
  <si>
    <t>SR7</t>
  </si>
  <si>
    <t>SDL LM5B</t>
  </si>
  <si>
    <t>Lưới điện hạ thế sau TBA Xuân Tây 10A</t>
  </si>
  <si>
    <t>VTTH</t>
  </si>
  <si>
    <t>023A</t>
  </si>
  <si>
    <t>Chi phí vật liệu phụ</t>
  </si>
  <si>
    <t>Chi phí vận chuyển</t>
  </si>
  <si>
    <t>VC</t>
  </si>
  <si>
    <t>65% x NC</t>
  </si>
  <si>
    <t>(T+C)x 6%</t>
  </si>
  <si>
    <t>GIÁ TRỊ DỰ TOÁN TRƯỚC THUẾ</t>
  </si>
  <si>
    <t>T+C+TL</t>
  </si>
  <si>
    <t>Chi phí khảo sát lập phương án thi công</t>
  </si>
  <si>
    <t>5% x G</t>
  </si>
  <si>
    <t>Tổng cộng dự toán trước thuế</t>
  </si>
  <si>
    <t>G+KS</t>
  </si>
  <si>
    <t>10% x DT</t>
  </si>
  <si>
    <t>GXDPT = G + GTGT</t>
  </si>
  <si>
    <t>HL.01.09</t>
  </si>
  <si>
    <t>Lắp mới sứ đứng đường dây 1 pha</t>
  </si>
  <si>
    <t>HL.02.25</t>
  </si>
  <si>
    <t>HL.04.09</t>
  </si>
  <si>
    <t xml:space="preserve">Lắp mới sứ treo trên đường dây 1 pha </t>
  </si>
  <si>
    <t>HL.05.21</t>
  </si>
  <si>
    <t>Lắp mới 3 sứ treo trên đường dây 3 pha (3 sứ cùng ở 1 xà)</t>
  </si>
  <si>
    <t>HL.06.08</t>
  </si>
  <si>
    <t xml:space="preserve">Lắp mới 1 cò lèo, đấu nối đường dây 1 pha </t>
  </si>
  <si>
    <t>HL.07.70</t>
  </si>
  <si>
    <t>Lắp mới 3 cò lèo, đấu nối đường dây 3 pha (3 cò lèo ở cùng vị trí trụ)</t>
  </si>
  <si>
    <t>3 cò</t>
  </si>
  <si>
    <t>HL.11.07</t>
  </si>
  <si>
    <t>Lắp mới xà lắp đối xứng trên trụ đường dây 3 pha - 1 mạch</t>
  </si>
  <si>
    <t>HL.12.07</t>
  </si>
  <si>
    <t>Lắp mới xà lắp lệch trên trụ đường dây 3 pha - 1 mạch</t>
  </si>
  <si>
    <t>HL.15.04</t>
  </si>
  <si>
    <t>Lắp mới trụ đỡ đường dây 1 pha (trên lưới trung thế)</t>
  </si>
  <si>
    <t>HL.16.04</t>
  </si>
  <si>
    <t xml:space="preserve">Lắp mới trụ đỡ đường dây 3 pha trung thế </t>
  </si>
  <si>
    <t>SR7, LM3B</t>
  </si>
  <si>
    <t>LM3B</t>
  </si>
  <si>
    <t>SR7,LM3B</t>
  </si>
  <si>
    <t>Số km đoạn đường đi</t>
  </si>
  <si>
    <t>Số trạm</t>
  </si>
  <si>
    <t>trạm</t>
  </si>
  <si>
    <t>Giá dầu DO-0,05S</t>
  </si>
  <si>
    <t>đồng/l</t>
  </si>
  <si>
    <t>xe</t>
  </si>
  <si>
    <t>Xe bán tải chở công nhân</t>
  </si>
  <si>
    <t>Xe cẩu và khoan lỗ trụ</t>
  </si>
  <si>
    <t>NỘI DUNG CÔNG VIỆC</t>
  </si>
  <si>
    <t>SL xe</t>
  </si>
  <si>
    <t>CHI PHÍ VẬN CHUYỄN</t>
  </si>
  <si>
    <t>Lệ phí giao thông</t>
  </si>
  <si>
    <t>LP</t>
  </si>
  <si>
    <t>/trạm</t>
  </si>
  <si>
    <t>/lượt</t>
  </si>
  <si>
    <t>/đồng</t>
  </si>
  <si>
    <t>1.2</t>
  </si>
  <si>
    <t>1.3</t>
  </si>
  <si>
    <t>Chi phí nhân công lái xe</t>
  </si>
  <si>
    <t>2.1</t>
  </si>
  <si>
    <t>Xe gàu (lái xe bậc 3/4 - nhóm 2)</t>
  </si>
  <si>
    <t>công</t>
  </si>
  <si>
    <t>2.2</t>
  </si>
  <si>
    <t>Xe bán tải chở công nhân (lái xe bậc 2/4 - nhóm 1)</t>
  </si>
  <si>
    <t>2.3</t>
  </si>
  <si>
    <t>Xe cẩu và khoan lỗ trụ (lái xe bậc 3/4 - nhóm 2)</t>
  </si>
  <si>
    <t>Nhiên liệu tiêu hao</t>
  </si>
  <si>
    <t>NL</t>
  </si>
  <si>
    <t>3.1</t>
  </si>
  <si>
    <t>l/km</t>
  </si>
  <si>
    <t>/km</t>
  </si>
  <si>
    <t>3.2</t>
  </si>
  <si>
    <t>3.3</t>
  </si>
  <si>
    <t>I. CHI PHÍ VẬT LIỆU, NHÂN CÔNG, MÁY THI CÔNG:</t>
  </si>
  <si>
    <t>HC1</t>
  </si>
  <si>
    <t>3 XDM</t>
  </si>
  <si>
    <t>1 XDM</t>
  </si>
  <si>
    <t>LM5B+SR7</t>
  </si>
  <si>
    <t>115</t>
  </si>
  <si>
    <t>117A</t>
  </si>
  <si>
    <t>135A</t>
  </si>
  <si>
    <t>Giá nhân công đầu vào là 2.154.000VNĐ/Tháng</t>
  </si>
  <si>
    <t>AB.51613</t>
  </si>
  <si>
    <t>Phá đá chân hố móng, đá cấp III (bằng búa căn)</t>
  </si>
  <si>
    <t>SLD móng neo</t>
  </si>
  <si>
    <t>BTLT85SDL</t>
  </si>
  <si>
    <t>/13 HH</t>
  </si>
  <si>
    <t>1905/QĐ-UBND</t>
  </si>
  <si>
    <t>M102.0103</t>
  </si>
  <si>
    <t>M102.0105</t>
  </si>
  <si>
    <t>M102.1106</t>
  </si>
  <si>
    <t>STT 636</t>
  </si>
  <si>
    <t>Nội dung chi phí</t>
  </si>
  <si>
    <t>Giá trị đề nghị thẩm định</t>
  </si>
  <si>
    <t>Giá trị thẩm định</t>
  </si>
  <si>
    <t>Tăng + 
 (Giảm - )</t>
  </si>
  <si>
    <t>Chi phí xây dựng</t>
  </si>
  <si>
    <t>Chi phí thiết bị</t>
  </si>
  <si>
    <t>Chi phí QLDA</t>
  </si>
  <si>
    <t>Chi phí tư vấn ĐTXD</t>
  </si>
  <si>
    <t>Chi phí dự phòng</t>
  </si>
  <si>
    <t>5%(A+B+C+D+E)</t>
  </si>
  <si>
    <t>D2.5212</t>
  </si>
  <si>
    <t>Tháo (lắp) kẹp quai (NC tính trong tháo, hạ dây)</t>
  </si>
  <si>
    <t>BẢNG 12:  BẢNG TÍNH CHI PHÍ VẬN CHUYỂN ĐƯỜNG DÀI</t>
  </si>
  <si>
    <t>BẢNG 13: CHI PHÍ LẬP BÁO CÁO KINH TẾ KỸ THUẬT - ĐẦU TƯ XÂY DỰNG</t>
  </si>
  <si>
    <t>BẢNG 14: TỔNG HỢP CHI PHÍ CÔNG TÁC THU THẬP SỐ LIỆU</t>
  </si>
  <si>
    <t>BẢNG 15: CÔNG TÁC THU THẬP TÀI LIỆU</t>
  </si>
  <si>
    <t>BẢNG 16: BẢNG TỔNG HỢP CHI PHÍ THI CÔNG HOTLINE</t>
  </si>
  <si>
    <t>BẢNG 17: ĐƠN GIÁ CHI TIẾT THI CÔNG HOTLINE</t>
  </si>
  <si>
    <t>BẢNG 18: BẢNG TÍNH DI CHUYỄN XE VÀ NHÂN CÔNG HOTLINE</t>
  </si>
  <si>
    <t>BẢNG 19. BẢNG TÍNH CHI PHÍ LÃI VAY</t>
  </si>
  <si>
    <t>LẬP DỰ TOÁN</t>
  </si>
  <si>
    <t>TRUNG TÂM KC&amp;TVPTCN TỈNH ĐỒNG NAI</t>
  </si>
  <si>
    <t>Chu Văn Hiếu</t>
  </si>
  <si>
    <t>Trần Quang Phúc</t>
  </si>
  <si>
    <t>Trần Cao Anh Tú</t>
  </si>
  <si>
    <t>Stt</t>
  </si>
  <si>
    <t>Loại móng trụ</t>
  </si>
  <si>
    <t>Số lượng</t>
  </si>
  <si>
    <t>Gỗ chống (m3)</t>
  </si>
  <si>
    <t>Gỗ đà nẹp (m3)</t>
  </si>
  <si>
    <t>Gỗ ván (cả nẹp) (m3)</t>
  </si>
  <si>
    <t>Tổng khối lượng</t>
  </si>
  <si>
    <t>Kích thước móng</t>
  </si>
  <si>
    <t>1450x1150x500</t>
  </si>
  <si>
    <t>1300x1000x500</t>
  </si>
  <si>
    <t>Móng BT Đơn 12 mét</t>
  </si>
  <si>
    <t>1200x1200x800</t>
  </si>
  <si>
    <t>Móng BT Đôi 8,4 mét</t>
  </si>
  <si>
    <t>Móng BT Đôi 8,4 mét vướng đá</t>
  </si>
  <si>
    <t>Móng BT Đơn 12 mét vướng đá</t>
  </si>
  <si>
    <t>1000x1000x800</t>
  </si>
  <si>
    <t>Móng BT Đôi 12 mét vướng đá</t>
  </si>
  <si>
    <t>Móng BT Đôi 12 mét</t>
  </si>
  <si>
    <t>1500x1300x800</t>
  </si>
  <si>
    <t>1400x1200x800</t>
  </si>
  <si>
    <t>Móng BT Đôi 14 mét</t>
  </si>
  <si>
    <t>1800x1500x1200</t>
  </si>
  <si>
    <t>Chu vi ván (m2)</t>
  </si>
  <si>
    <t>CÁC VỊ TRÍ VƯỚNG MÓNG TRỤ ĐÔI</t>
  </si>
  <si>
    <t>PHẦN ĐƯỜNG DÂY TRUNG THẾ</t>
  </si>
  <si>
    <t>Trung thế Suối Râm 7A</t>
  </si>
  <si>
    <t>Loại Móng Trụ</t>
  </si>
  <si>
    <t>Kích thước móng trụ</t>
  </si>
  <si>
    <t>Ghi chú</t>
  </si>
  <si>
    <t>Trung thế Thừa Đức 11 A</t>
  </si>
  <si>
    <t>Trung thế Sông Ray 4A</t>
  </si>
  <si>
    <t>Trung thế Sông Ray 2B</t>
  </si>
  <si>
    <t>015A</t>
  </si>
  <si>
    <t>Trung thế Xuân Tây 19A</t>
  </si>
  <si>
    <t>Trung thế Nam Hà 3B</t>
  </si>
  <si>
    <t>PHẦN ĐƯỜNG DÂY HẠ THẾ</t>
  </si>
  <si>
    <t>Phát triển lưới hạ thế TBA Tân Bảo 3A</t>
  </si>
  <si>
    <t>Phát triển lưới hạ thế TBA Nam Hà 1</t>
  </si>
  <si>
    <t>347/06</t>
  </si>
  <si>
    <t>347/08</t>
  </si>
  <si>
    <t>347/09</t>
  </si>
  <si>
    <t>347/10</t>
  </si>
  <si>
    <t>347/12</t>
  </si>
  <si>
    <t>347/14</t>
  </si>
  <si>
    <t>347/15</t>
  </si>
  <si>
    <t>347/16</t>
  </si>
  <si>
    <t>347/17</t>
  </si>
  <si>
    <t>347/21</t>
  </si>
  <si>
    <t>Di dời TBA Nam Hà 1</t>
  </si>
  <si>
    <t>344/01</t>
  </si>
  <si>
    <t>344/03</t>
  </si>
  <si>
    <t>344/016</t>
  </si>
  <si>
    <t>344/22</t>
  </si>
  <si>
    <t>344/13</t>
  </si>
  <si>
    <t>348/01</t>
  </si>
  <si>
    <t>350/06</t>
  </si>
  <si>
    <t>350/07</t>
  </si>
  <si>
    <t>350/08</t>
  </si>
  <si>
    <t>350/09</t>
  </si>
  <si>
    <t>350/11</t>
  </si>
  <si>
    <t>Tổng số Móng đôi 12 m vướng</t>
  </si>
  <si>
    <t>Tổng số Móng đôi 14 m vướng</t>
  </si>
  <si>
    <t>Tổng số Móng đôi 8,4 m vướng</t>
  </si>
  <si>
    <t>22 móng</t>
  </si>
  <si>
    <t>24 móng</t>
  </si>
  <si>
    <t>2 móng</t>
  </si>
  <si>
    <t>T/K</t>
  </si>
  <si>
    <t>Móng BT đôi 8,4</t>
  </si>
  <si>
    <t>Móng BT đôi 12</t>
  </si>
  <si>
    <t>Móng BT đôi 14</t>
  </si>
  <si>
    <t>Móng BT đơn 12</t>
  </si>
  <si>
    <t>72 móng</t>
  </si>
  <si>
    <t>86 móng</t>
  </si>
  <si>
    <t>7 móng</t>
  </si>
  <si>
    <t>4 móng</t>
  </si>
  <si>
    <t>Âm móng trụ</t>
  </si>
  <si>
    <t>Hiệu chỉnh thiết kế</t>
  </si>
  <si>
    <t>Nghiên cứu xử lý lại</t>
  </si>
  <si>
    <t>Giảm 01 móng</t>
  </si>
  <si>
    <t>m ngang</t>
  </si>
  <si>
    <t>ok</t>
  </si>
  <si>
    <t xml:space="preserve">ok </t>
  </si>
  <si>
    <t>M ngang</t>
  </si>
  <si>
    <t>đo lại khoảng cách</t>
  </si>
  <si>
    <t>Lưới điện trung thế 1 pha Xuân Tây 19A</t>
  </si>
  <si>
    <t>1</t>
  </si>
  <si>
    <t>Lưới điện trung thế 1 pha Thừa Đức 11A</t>
  </si>
  <si>
    <t>Lưới trung thế 1 pha Suối Râm 7A</t>
  </si>
  <si>
    <t>Lưới điện trung thế 1 pha Thoại Hương 4A</t>
  </si>
  <si>
    <t>Lưới điện trung thế 3 pha Cánh đồng Xuân Tây 1A</t>
  </si>
  <si>
    <t>Lưới điện trung thế 3 pha Cánh Đồng Xuân Tây 1B</t>
  </si>
  <si>
    <t>009A</t>
  </si>
  <si>
    <t>Lưới điện trung thế 3 pha Nam Hà 3B</t>
  </si>
  <si>
    <t>VIII</t>
  </si>
  <si>
    <t>Lưới điện trung thế 3 pha Láng Me 5A-1</t>
  </si>
  <si>
    <t>IX</t>
  </si>
  <si>
    <t>Lưới điện trung thế 3 pha Láng Me 3B</t>
  </si>
  <si>
    <t>X</t>
  </si>
  <si>
    <t>XI</t>
  </si>
  <si>
    <t>Lưới điện trung thế 3 pha Sông Ray 4A</t>
  </si>
  <si>
    <t>Lưới điện trung thế 3 pha Sông Ray 2B</t>
  </si>
  <si>
    <t>XII</t>
  </si>
  <si>
    <t>Lưới điện trung thế 3 pha Sông Ray 7A</t>
  </si>
  <si>
    <t>Lưới điện trung thế 3 pha Láng Me 5B-5C</t>
  </si>
  <si>
    <t>XIII</t>
  </si>
  <si>
    <t>119/001</t>
  </si>
  <si>
    <t>XIV</t>
  </si>
  <si>
    <t>CỘNG A</t>
  </si>
  <si>
    <t>058/08</t>
  </si>
  <si>
    <t>058/10</t>
  </si>
  <si>
    <t>058/11</t>
  </si>
  <si>
    <t>046/03</t>
  </si>
  <si>
    <t>012/02</t>
  </si>
  <si>
    <t>012/03</t>
  </si>
  <si>
    <t>344/08</t>
  </si>
  <si>
    <t>344/11</t>
  </si>
  <si>
    <t>344/14</t>
  </si>
  <si>
    <t>344/15</t>
  </si>
  <si>
    <t>344/16</t>
  </si>
  <si>
    <t>350/01</t>
  </si>
  <si>
    <t>374/07</t>
  </si>
  <si>
    <t>374/09</t>
  </si>
  <si>
    <t>374/10</t>
  </si>
  <si>
    <t>381/21</t>
  </si>
  <si>
    <t>348/04</t>
  </si>
  <si>
    <t>348/07</t>
  </si>
  <si>
    <t>136/01</t>
  </si>
  <si>
    <t>136/02</t>
  </si>
  <si>
    <t>136/03</t>
  </si>
  <si>
    <t>136/04</t>
  </si>
  <si>
    <t>136/05</t>
  </si>
  <si>
    <t>136/07</t>
  </si>
  <si>
    <t>136/08</t>
  </si>
  <si>
    <t>136/09</t>
  </si>
  <si>
    <t>118/01</t>
  </si>
  <si>
    <t>118/03</t>
  </si>
  <si>
    <t>118/05</t>
  </si>
  <si>
    <t>118/06</t>
  </si>
  <si>
    <t>118/07</t>
  </si>
  <si>
    <t>118/09</t>
  </si>
  <si>
    <t>150/08</t>
  </si>
  <si>
    <t>150/11</t>
  </si>
  <si>
    <t>150/12</t>
  </si>
  <si>
    <t>150/15</t>
  </si>
  <si>
    <t>150/18</t>
  </si>
  <si>
    <t>150/21</t>
  </si>
  <si>
    <t>150/22</t>
  </si>
  <si>
    <t>150/23</t>
  </si>
  <si>
    <t>150/24</t>
  </si>
  <si>
    <t>150/25</t>
  </si>
  <si>
    <t>150/28</t>
  </si>
  <si>
    <t>150/08/01</t>
  </si>
  <si>
    <t>150/08/02</t>
  </si>
  <si>
    <t>150/08/04</t>
  </si>
  <si>
    <t>150/08/06</t>
  </si>
  <si>
    <t>150/08/07</t>
  </si>
  <si>
    <t>150/08/10</t>
  </si>
  <si>
    <t>CỘNG B</t>
  </si>
  <si>
    <t>Đổ đủ</t>
  </si>
  <si>
    <t>Chưa đổ</t>
  </si>
  <si>
    <t>344/09</t>
  </si>
  <si>
    <t>Chuyển từ trụ 344/08</t>
  </si>
  <si>
    <t>Giảm 1 móng do dân không cho đào</t>
  </si>
  <si>
    <t>Giảm 01 móng do dân không cho đào</t>
  </si>
  <si>
    <t>150/26</t>
  </si>
  <si>
    <t>T.K nhầm số trụ</t>
  </si>
  <si>
    <t>Ngày đổ</t>
  </si>
  <si>
    <t>Ngày</t>
  </si>
  <si>
    <t>Số Trụ</t>
  </si>
  <si>
    <t>Loại móng</t>
  </si>
  <si>
    <t>Tình trạng</t>
  </si>
  <si>
    <t>Xã</t>
  </si>
  <si>
    <t>Xuân Tây</t>
  </si>
  <si>
    <t>Sông Ray</t>
  </si>
  <si>
    <t>Lâm San</t>
  </si>
  <si>
    <t>Bảo Bình</t>
  </si>
  <si>
    <t>Sông Nhạn</t>
  </si>
  <si>
    <t>Xuân Đông</t>
  </si>
  <si>
    <t>Nam Hà</t>
  </si>
  <si>
    <t>Kích thước</t>
  </si>
  <si>
    <t>Móng trụ 8,5m BT đôi (Lỗ Đá)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</si>
</sst>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-* #,##0.00_-;\-* #,##0.00_-;_-* &quot;-&quot;??_-;_-@_-"/>
    <numFmt numFmtId="164" formatCode="_(* #,##0_);_(* \(#,##0\);_(* &quot;-&quot;_);_(@_)"/>
    <numFmt numFmtId="165" formatCode="#,##0.000"/>
    <numFmt numFmtId="166" formatCode="#,##0.0"/>
    <numFmt numFmtId="167" formatCode="_(* #,##0_);_(* \(#,##0\);_(* &quot;-&quot;??_);_(@_)"/>
    <numFmt numFmtId="168" formatCode="#"/>
    <numFmt numFmtId="169" formatCode="0.0000"/>
    <numFmt numFmtId="170" formatCode="0.000"/>
    <numFmt numFmtId="171" formatCode="_(* #,##0.00_);_(* \(#,##0.00\);_(* &quot;-&quot;&quot;?&quot;&quot;?&quot;_);_(@_)"/>
    <numFmt numFmtId="172" formatCode="_(* #,##0_);_(* \(#,##0\);_(* &quot;-&quot;&quot;?&quot;&quot;?&quot;_);_(@_)"/>
    <numFmt numFmtId="173" formatCode="_(* #,##0.0000_);_(* \(#,##0.0000\);_(* &quot;-&quot;&quot;?&quot;&quot;?&quot;_);_(@_)"/>
    <numFmt numFmtId="174" formatCode="###&quot;m&quot;"/>
    <numFmt numFmtId="175" formatCode="##.#&quot;m&quot;"/>
    <numFmt numFmtId="176" formatCode="0.0"/>
    <numFmt numFmtId="177" formatCode="&quot;=&quot;\ \ ###.0\ "/>
    <numFmt numFmtId="178" formatCode="&quot;=&quot;\ \ ###.#\ "/>
    <numFmt numFmtId="179" formatCode="#,##0.00000"/>
    <numFmt numFmtId="180" formatCode="#,##0.0000"/>
    <numFmt numFmtId="181" formatCode="#,###"/>
    <numFmt numFmtId="182" formatCode="#,##0.0000000"/>
    <numFmt numFmtId="183" formatCode="_-* #,##0.0000_-;\-* #,##0.0000_-;_-* &quot;-&quot;??_-;_-@_-"/>
    <numFmt numFmtId="184" formatCode="#,###.00"/>
    <numFmt numFmtId="185" formatCode="#,###.0"/>
    <numFmt numFmtId="186" formatCode="#,###.000"/>
    <numFmt numFmtId="187" formatCode="0.0%"/>
    <numFmt numFmtId="188" formatCode="_(* #,##0.0_);_(* \(#,##0.0\);_(* &quot;-&quot;??_);_(@_)"/>
    <numFmt numFmtId="189" formatCode="#.0"/>
    <numFmt numFmtId="190" formatCode="_-* #,##0_-;\-* #,##0_-;_-* &quot;-&quot;??_-;_-@_-"/>
  </numFmts>
  <fonts count="6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i/>
      <sz val="12"/>
      <color theme="1"/>
      <name val="Times New Roman"/>
      <family val="1"/>
    </font>
    <font>
      <sz val="12"/>
      <color rgb="FF00B050"/>
      <name val="Times New Roman"/>
      <family val="1"/>
    </font>
    <font>
      <b/>
      <i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name val="Times New Roman"/>
      <family val="1"/>
      <charset val="163"/>
    </font>
    <font>
      <sz val="12"/>
      <color rgb="FFFF0000"/>
      <name val="Times New Roman"/>
      <family val="1"/>
      <charset val="163"/>
    </font>
    <font>
      <sz val="12"/>
      <color rgb="FF0070C0"/>
      <name val="Times New Roman"/>
      <family val="1"/>
      <charset val="163"/>
    </font>
    <font>
      <b/>
      <sz val="12"/>
      <name val="Times New Roman"/>
      <family val="1"/>
    </font>
    <font>
      <b/>
      <sz val="10"/>
      <color indexed="13"/>
      <name val="Times New Roman"/>
      <family val="1"/>
      <charset val="163"/>
    </font>
    <font>
      <sz val="10"/>
      <color indexed="13"/>
      <name val="Times New Roman"/>
      <family val="1"/>
      <charset val="163"/>
    </font>
    <font>
      <sz val="10"/>
      <color indexed="62"/>
      <name val="Times New Roman"/>
      <family val="1"/>
      <charset val="163"/>
    </font>
    <font>
      <u/>
      <sz val="10"/>
      <color indexed="13"/>
      <name val="Times New Roman"/>
      <family val="1"/>
      <charset val="163"/>
    </font>
    <font>
      <b/>
      <sz val="10"/>
      <color indexed="10"/>
      <name val="Times New Roman"/>
      <family val="1"/>
      <charset val="163"/>
    </font>
    <font>
      <b/>
      <sz val="10"/>
      <color indexed="48"/>
      <name val="Times New Roman"/>
      <family val="1"/>
      <charset val="163"/>
    </font>
    <font>
      <sz val="10"/>
      <color indexed="12"/>
      <name val="Times New Roman"/>
      <family val="1"/>
      <charset val="163"/>
    </font>
    <font>
      <b/>
      <sz val="10"/>
      <color rgb="FFFF0000"/>
      <name val="Times New Roman"/>
      <family val="1"/>
      <charset val="163"/>
    </font>
    <font>
      <sz val="10"/>
      <name val="Times New Roman"/>
      <family val="1"/>
      <charset val="163"/>
    </font>
    <font>
      <b/>
      <u/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sz val="10"/>
      <name val="Arial"/>
      <family val="2"/>
    </font>
    <font>
      <b/>
      <sz val="14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color indexed="48"/>
      <name val="Times New Roman"/>
      <family val="1"/>
    </font>
    <font>
      <u/>
      <sz val="12"/>
      <name val="Times New Roman"/>
      <family val="1"/>
    </font>
    <font>
      <b/>
      <i/>
      <sz val="12"/>
      <color indexed="10"/>
      <name val="Times New Roman"/>
      <family val="1"/>
    </font>
    <font>
      <sz val="12"/>
      <color indexed="53"/>
      <name val="Times New Roman"/>
      <family val="1"/>
    </font>
    <font>
      <sz val="12"/>
      <color indexed="48"/>
      <name val="Times New Roman"/>
      <family val="1"/>
    </font>
    <font>
      <sz val="12"/>
      <color indexed="21"/>
      <name val="Times New Roman"/>
      <family val="1"/>
    </font>
    <font>
      <u/>
      <sz val="12"/>
      <color indexed="12"/>
      <name val="Times New Roman"/>
      <family val="1"/>
    </font>
    <font>
      <sz val="12"/>
      <color indexed="10"/>
      <name val="Times New Roman"/>
      <family val="1"/>
      <charset val="163"/>
    </font>
    <font>
      <b/>
      <sz val="12"/>
      <name val="Times New Roman"/>
      <family val="1"/>
      <charset val="163"/>
    </font>
    <font>
      <b/>
      <i/>
      <sz val="12"/>
      <name val="Times New Roman"/>
      <family val="1"/>
      <charset val="163"/>
    </font>
    <font>
      <u/>
      <sz val="12"/>
      <name val="Times New Roman"/>
      <family val="1"/>
      <charset val="163"/>
    </font>
    <font>
      <vertAlign val="subscript"/>
      <sz val="12"/>
      <name val="Times New Roman"/>
      <family val="1"/>
      <charset val="163"/>
    </font>
    <font>
      <b/>
      <vertAlign val="subscript"/>
      <sz val="12"/>
      <name val="Times New Roman"/>
      <family val="1"/>
    </font>
    <font>
      <b/>
      <sz val="12"/>
      <color rgb="FF7030A0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Calibri"/>
      <family val="2"/>
    </font>
    <font>
      <b/>
      <i/>
      <vertAlign val="sub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i/>
      <sz val="12"/>
      <color rgb="FFFF0000"/>
      <name val="Times New Roman"/>
      <family val="1"/>
    </font>
    <font>
      <sz val="11"/>
      <name val="Times New Roman"/>
      <family val="1"/>
    </font>
    <font>
      <sz val="10"/>
      <name val="VnBookman"/>
    </font>
    <font>
      <b/>
      <u/>
      <sz val="12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VNI-Goudy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</fonts>
  <fills count="2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indexed="6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</fills>
  <borders count="9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/>
      <bottom/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ashDot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 style="dashDot">
        <color auto="1"/>
      </bottom>
      <diagonal/>
    </border>
    <border>
      <left style="thin">
        <color auto="1"/>
      </left>
      <right style="thin">
        <color auto="1"/>
      </right>
      <top/>
      <bottom style="dashDot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/>
      <diagonal/>
    </border>
  </borders>
  <cellStyleXfs count="9">
    <xf numFmtId="0" fontId="0" fillId="0" borderId="0"/>
    <xf numFmtId="43" fontId="8" fillId="0" borderId="0" applyFont="0" applyFill="0" applyBorder="0" applyAlignment="0" applyProtection="0"/>
    <xf numFmtId="0" fontId="25" fillId="0" borderId="0"/>
    <xf numFmtId="171" fontId="25" fillId="0" borderId="0" applyFont="0" applyFill="0" applyBorder="0" applyAlignment="0" applyProtection="0"/>
    <xf numFmtId="0" fontId="25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8" fillId="0" borderId="0"/>
  </cellStyleXfs>
  <cellXfs count="1086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vertical="center" wrapText="1"/>
    </xf>
    <xf numFmtId="3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2" fillId="0" borderId="1" xfId="0" applyFont="1" applyBorder="1" applyAlignment="1">
      <alignment horizontal="center" textRotation="90"/>
    </xf>
    <xf numFmtId="0" fontId="2" fillId="0" borderId="1" xfId="0" applyFont="1" applyBorder="1" applyAlignment="1">
      <alignment horizontal="centerContinuous" vertical="center"/>
    </xf>
    <xf numFmtId="0" fontId="2" fillId="0" borderId="1" xfId="0" applyFont="1" applyBorder="1" applyAlignment="1">
      <alignment horizontal="centerContinuous"/>
    </xf>
    <xf numFmtId="0" fontId="1" fillId="0" borderId="1" xfId="0" applyFont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textRotation="90"/>
    </xf>
    <xf numFmtId="0" fontId="2" fillId="5" borderId="1" xfId="0" applyFont="1" applyFill="1" applyBorder="1" applyAlignment="1">
      <alignment vertical="center"/>
    </xf>
    <xf numFmtId="0" fontId="2" fillId="3" borderId="4" xfId="0" quotePrefix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3" fontId="1" fillId="0" borderId="0" xfId="0" applyNumberFormat="1" applyFont="1" applyAlignment="1">
      <alignment vertical="center"/>
    </xf>
    <xf numFmtId="3" fontId="1" fillId="0" borderId="1" xfId="0" applyNumberFormat="1" applyFont="1" applyBorder="1" applyAlignment="1">
      <alignment vertical="center"/>
    </xf>
    <xf numFmtId="3" fontId="2" fillId="3" borderId="1" xfId="0" applyNumberFormat="1" applyFont="1" applyFill="1" applyBorder="1" applyAlignment="1">
      <alignment vertical="center"/>
    </xf>
    <xf numFmtId="3" fontId="6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vertical="center"/>
    </xf>
    <xf numFmtId="3" fontId="7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3" fontId="2" fillId="4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9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 wrapText="1"/>
    </xf>
    <xf numFmtId="9" fontId="2" fillId="0" borderId="1" xfId="0" applyNumberFormat="1" applyFont="1" applyBorder="1" applyAlignment="1">
      <alignment vertical="center"/>
    </xf>
    <xf numFmtId="9" fontId="2" fillId="3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 wrapText="1"/>
    </xf>
    <xf numFmtId="9" fontId="2" fillId="9" borderId="1" xfId="0" applyNumberFormat="1" applyFont="1" applyFill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9" fontId="5" fillId="0" borderId="1" xfId="0" applyNumberFormat="1" applyFont="1" applyBorder="1" applyAlignment="1">
      <alignment vertical="center"/>
    </xf>
    <xf numFmtId="3" fontId="5" fillId="0" borderId="1" xfId="0" quotePrefix="1" applyNumberFormat="1" applyFont="1" applyBorder="1" applyAlignment="1">
      <alignment vertical="center" wrapText="1"/>
    </xf>
    <xf numFmtId="165" fontId="1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Continuous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3" fontId="2" fillId="0" borderId="0" xfId="0" applyNumberFormat="1" applyFont="1" applyAlignment="1">
      <alignment horizontal="centerContinuous" vertical="center"/>
    </xf>
    <xf numFmtId="3" fontId="13" fillId="12" borderId="9" xfId="0" applyNumberFormat="1" applyFont="1" applyFill="1" applyBorder="1" applyAlignment="1">
      <alignment horizontal="center" vertical="center"/>
    </xf>
    <xf numFmtId="3" fontId="13" fillId="12" borderId="10" xfId="0" applyNumberFormat="1" applyFont="1" applyFill="1" applyBorder="1" applyAlignment="1">
      <alignment horizontal="center" vertical="center"/>
    </xf>
    <xf numFmtId="0" fontId="14" fillId="13" borderId="0" xfId="0" applyFont="1" applyFill="1" applyAlignment="1">
      <alignment vertical="center"/>
    </xf>
    <xf numFmtId="0" fontId="15" fillId="13" borderId="0" xfId="0" applyFont="1" applyFill="1" applyAlignment="1">
      <alignment vertical="center"/>
    </xf>
    <xf numFmtId="0" fontId="16" fillId="13" borderId="0" xfId="0" applyFont="1" applyFill="1" applyAlignment="1">
      <alignment vertical="center"/>
    </xf>
    <xf numFmtId="0" fontId="17" fillId="14" borderId="11" xfId="0" applyFont="1" applyFill="1" applyBorder="1" applyAlignment="1">
      <alignment horizontal="centerContinuous" vertical="center" wrapText="1"/>
    </xf>
    <xf numFmtId="0" fontId="17" fillId="14" borderId="12" xfId="0" applyFont="1" applyFill="1" applyBorder="1" applyAlignment="1">
      <alignment horizontal="centerContinuous" vertical="center"/>
    </xf>
    <xf numFmtId="0" fontId="17" fillId="14" borderId="13" xfId="0" applyFont="1" applyFill="1" applyBorder="1" applyAlignment="1">
      <alignment horizontal="centerContinuous" vertical="center"/>
    </xf>
    <xf numFmtId="0" fontId="17" fillId="14" borderId="14" xfId="0" applyFont="1" applyFill="1" applyBorder="1" applyAlignment="1">
      <alignment horizontal="centerContinuous" vertical="center"/>
    </xf>
    <xf numFmtId="0" fontId="18" fillId="15" borderId="15" xfId="0" applyFont="1" applyFill="1" applyBorder="1" applyAlignment="1">
      <alignment horizontal="centerContinuous" vertical="center"/>
    </xf>
    <xf numFmtId="0" fontId="18" fillId="15" borderId="0" xfId="0" applyFont="1" applyFill="1" applyAlignment="1">
      <alignment horizontal="left" vertical="center"/>
    </xf>
    <xf numFmtId="0" fontId="17" fillId="15" borderId="0" xfId="0" applyFont="1" applyFill="1" applyAlignment="1">
      <alignment horizontal="centerContinuous" vertical="center"/>
    </xf>
    <xf numFmtId="0" fontId="17" fillId="15" borderId="17" xfId="0" applyFont="1" applyFill="1" applyBorder="1" applyAlignment="1">
      <alignment horizontal="centerContinuous" vertical="center"/>
    </xf>
    <xf numFmtId="0" fontId="17" fillId="15" borderId="19" xfId="0" applyFont="1" applyFill="1" applyBorder="1" applyAlignment="1">
      <alignment horizontal="centerContinuous" vertical="center"/>
    </xf>
    <xf numFmtId="0" fontId="17" fillId="15" borderId="20" xfId="0" applyFont="1" applyFill="1" applyBorder="1" applyAlignment="1">
      <alignment horizontal="centerContinuous" vertical="center"/>
    </xf>
    <xf numFmtId="0" fontId="19" fillId="15" borderId="21" xfId="0" applyFont="1" applyFill="1" applyBorder="1" applyAlignment="1">
      <alignment horizontal="left" vertical="center"/>
    </xf>
    <xf numFmtId="0" fontId="19" fillId="15" borderId="22" xfId="0" applyFont="1" applyFill="1" applyBorder="1" applyAlignment="1">
      <alignment vertical="center"/>
    </xf>
    <xf numFmtId="0" fontId="20" fillId="15" borderId="21" xfId="0" applyFont="1" applyFill="1" applyBorder="1" applyAlignment="1">
      <alignment horizontal="left" vertical="center"/>
    </xf>
    <xf numFmtId="0" fontId="18" fillId="15" borderId="22" xfId="0" applyFont="1" applyFill="1" applyBorder="1" applyAlignment="1">
      <alignment horizontal="left" vertical="center"/>
    </xf>
    <xf numFmtId="0" fontId="18" fillId="15" borderId="23" xfId="0" applyFont="1" applyFill="1" applyBorder="1" applyAlignment="1">
      <alignment horizontal="left" vertical="center"/>
    </xf>
    <xf numFmtId="0" fontId="19" fillId="15" borderId="24" xfId="0" applyFont="1" applyFill="1" applyBorder="1" applyAlignment="1">
      <alignment horizontal="left" vertical="center"/>
    </xf>
    <xf numFmtId="0" fontId="19" fillId="15" borderId="25" xfId="0" applyFont="1" applyFill="1" applyBorder="1" applyAlignment="1">
      <alignment vertical="center"/>
    </xf>
    <xf numFmtId="0" fontId="20" fillId="15" borderId="24" xfId="0" applyFont="1" applyFill="1" applyBorder="1" applyAlignment="1">
      <alignment horizontal="left" vertical="center"/>
    </xf>
    <xf numFmtId="0" fontId="18" fillId="15" borderId="25" xfId="0" applyFont="1" applyFill="1" applyBorder="1" applyAlignment="1">
      <alignment horizontal="left" vertical="center"/>
    </xf>
    <xf numFmtId="0" fontId="18" fillId="15" borderId="26" xfId="0" applyFont="1" applyFill="1" applyBorder="1" applyAlignment="1">
      <alignment horizontal="left" vertical="center"/>
    </xf>
    <xf numFmtId="0" fontId="19" fillId="15" borderId="27" xfId="0" applyFont="1" applyFill="1" applyBorder="1" applyAlignment="1">
      <alignment horizontal="left" vertical="center"/>
    </xf>
    <xf numFmtId="0" fontId="19" fillId="15" borderId="28" xfId="0" applyFont="1" applyFill="1" applyBorder="1" applyAlignment="1">
      <alignment vertical="center"/>
    </xf>
    <xf numFmtId="0" fontId="20" fillId="15" borderId="27" xfId="0" applyFont="1" applyFill="1" applyBorder="1" applyAlignment="1">
      <alignment horizontal="left" vertical="center"/>
    </xf>
    <xf numFmtId="0" fontId="18" fillId="15" borderId="28" xfId="0" applyFont="1" applyFill="1" applyBorder="1" applyAlignment="1">
      <alignment horizontal="left" vertical="center"/>
    </xf>
    <xf numFmtId="0" fontId="18" fillId="15" borderId="29" xfId="0" applyFont="1" applyFill="1" applyBorder="1" applyAlignment="1">
      <alignment horizontal="left" vertical="center"/>
    </xf>
    <xf numFmtId="0" fontId="21" fillId="16" borderId="30" xfId="0" quotePrefix="1" applyFont="1" applyFill="1" applyBorder="1" applyAlignment="1">
      <alignment horizontal="left" vertical="center"/>
    </xf>
    <xf numFmtId="0" fontId="21" fillId="16" borderId="31" xfId="0" applyFont="1" applyFill="1" applyBorder="1" applyAlignment="1">
      <alignment vertical="center"/>
    </xf>
    <xf numFmtId="0" fontId="21" fillId="16" borderId="31" xfId="0" applyFont="1" applyFill="1" applyBorder="1" applyAlignment="1">
      <alignment horizontal="left" vertical="center"/>
    </xf>
    <xf numFmtId="3" fontId="13" fillId="12" borderId="31" xfId="0" applyNumberFormat="1" applyFont="1" applyFill="1" applyBorder="1" applyAlignment="1">
      <alignment vertical="center"/>
    </xf>
    <xf numFmtId="0" fontId="21" fillId="16" borderId="32" xfId="0" applyFont="1" applyFill="1" applyBorder="1" applyAlignment="1">
      <alignment vertical="center"/>
    </xf>
    <xf numFmtId="0" fontId="21" fillId="16" borderId="33" xfId="0" quotePrefix="1" applyFont="1" applyFill="1" applyBorder="1" applyAlignment="1">
      <alignment horizontal="left" vertical="center"/>
    </xf>
    <xf numFmtId="0" fontId="21" fillId="16" borderId="34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left" vertical="center"/>
    </xf>
    <xf numFmtId="3" fontId="20" fillId="0" borderId="34" xfId="0" applyNumberFormat="1" applyFont="1" applyBorder="1" applyAlignment="1">
      <alignment vertical="center"/>
    </xf>
    <xf numFmtId="0" fontId="21" fillId="16" borderId="35" xfId="0" applyFont="1" applyFill="1" applyBorder="1" applyAlignment="1">
      <alignment vertical="center"/>
    </xf>
    <xf numFmtId="0" fontId="21" fillId="16" borderId="36" xfId="0" quotePrefix="1" applyFont="1" applyFill="1" applyBorder="1" applyAlignment="1">
      <alignment horizontal="left" vertical="center"/>
    </xf>
    <xf numFmtId="0" fontId="21" fillId="16" borderId="37" xfId="0" applyFont="1" applyFill="1" applyBorder="1" applyAlignment="1">
      <alignment vertical="center"/>
    </xf>
    <xf numFmtId="0" fontId="21" fillId="16" borderId="37" xfId="0" applyFont="1" applyFill="1" applyBorder="1" applyAlignment="1">
      <alignment horizontal="left" vertical="center"/>
    </xf>
    <xf numFmtId="3" fontId="13" fillId="12" borderId="37" xfId="0" applyNumberFormat="1" applyFont="1" applyFill="1" applyBorder="1" applyAlignment="1">
      <alignment horizontal="center" vertical="center"/>
    </xf>
    <xf numFmtId="0" fontId="21" fillId="16" borderId="38" xfId="0" applyFont="1" applyFill="1" applyBorder="1" applyAlignment="1">
      <alignment vertical="center"/>
    </xf>
    <xf numFmtId="0" fontId="21" fillId="16" borderId="39" xfId="0" quotePrefix="1" applyFont="1" applyFill="1" applyBorder="1" applyAlignment="1">
      <alignment horizontal="left" vertical="center"/>
    </xf>
    <xf numFmtId="0" fontId="21" fillId="16" borderId="40" xfId="0" applyFont="1" applyFill="1" applyBorder="1" applyAlignment="1">
      <alignment vertical="center"/>
    </xf>
    <xf numFmtId="0" fontId="21" fillId="16" borderId="40" xfId="0" applyFont="1" applyFill="1" applyBorder="1" applyAlignment="1">
      <alignment horizontal="left" vertical="center"/>
    </xf>
    <xf numFmtId="3" fontId="13" fillId="12" borderId="40" xfId="0" applyNumberFormat="1" applyFont="1" applyFill="1" applyBorder="1" applyAlignment="1">
      <alignment horizontal="center" vertical="center"/>
    </xf>
    <xf numFmtId="0" fontId="21" fillId="16" borderId="41" xfId="0" applyFont="1" applyFill="1" applyBorder="1" applyAlignment="1">
      <alignment vertical="center"/>
    </xf>
    <xf numFmtId="4" fontId="13" fillId="12" borderId="40" xfId="0" applyNumberFormat="1" applyFont="1" applyFill="1" applyBorder="1" applyAlignment="1">
      <alignment horizontal="center" vertical="center"/>
    </xf>
    <xf numFmtId="0" fontId="21" fillId="16" borderId="42" xfId="0" quotePrefix="1" applyFont="1" applyFill="1" applyBorder="1" applyAlignment="1">
      <alignment horizontal="left" vertical="center"/>
    </xf>
    <xf numFmtId="0" fontId="21" fillId="16" borderId="43" xfId="0" applyFont="1" applyFill="1" applyBorder="1" applyAlignment="1">
      <alignment vertical="center"/>
    </xf>
    <xf numFmtId="0" fontId="21" fillId="16" borderId="43" xfId="0" applyFont="1" applyFill="1" applyBorder="1" applyAlignment="1">
      <alignment horizontal="left" vertical="center"/>
    </xf>
    <xf numFmtId="3" fontId="13" fillId="12" borderId="43" xfId="0" applyNumberFormat="1" applyFont="1" applyFill="1" applyBorder="1" applyAlignment="1">
      <alignment horizontal="center" vertical="center"/>
    </xf>
    <xf numFmtId="0" fontId="21" fillId="16" borderId="44" xfId="0" applyFont="1" applyFill="1" applyBorder="1" applyAlignment="1">
      <alignment vertical="center"/>
    </xf>
    <xf numFmtId="0" fontId="21" fillId="16" borderId="0" xfId="0" applyFont="1" applyFill="1" applyAlignment="1">
      <alignment vertical="center"/>
    </xf>
    <xf numFmtId="0" fontId="21" fillId="16" borderId="0" xfId="0" applyFont="1" applyFill="1" applyAlignment="1">
      <alignment horizontal="left" vertical="center"/>
    </xf>
    <xf numFmtId="3" fontId="13" fillId="12" borderId="0" xfId="0" applyNumberFormat="1" applyFont="1" applyFill="1" applyAlignment="1">
      <alignment horizontal="center" vertical="center"/>
    </xf>
    <xf numFmtId="0" fontId="21" fillId="16" borderId="45" xfId="0" applyFont="1" applyFill="1" applyBorder="1" applyAlignment="1">
      <alignment vertical="center"/>
    </xf>
    <xf numFmtId="0" fontId="21" fillId="16" borderId="46" xfId="0" applyFont="1" applyFill="1" applyBorder="1" applyAlignment="1">
      <alignment horizontal="left" vertical="center"/>
    </xf>
    <xf numFmtId="3" fontId="13" fillId="12" borderId="34" xfId="0" applyNumberFormat="1" applyFont="1" applyFill="1" applyBorder="1" applyAlignment="1">
      <alignment horizontal="center" vertical="center"/>
    </xf>
    <xf numFmtId="0" fontId="21" fillId="16" borderId="47" xfId="0" quotePrefix="1" applyFont="1" applyFill="1" applyBorder="1" applyAlignment="1">
      <alignment horizontal="left" vertical="center"/>
    </xf>
    <xf numFmtId="0" fontId="21" fillId="16" borderId="48" xfId="0" applyFont="1" applyFill="1" applyBorder="1" applyAlignment="1">
      <alignment vertical="center"/>
    </xf>
    <xf numFmtId="0" fontId="21" fillId="16" borderId="48" xfId="0" applyFont="1" applyFill="1" applyBorder="1" applyAlignment="1">
      <alignment horizontal="right" vertical="center"/>
    </xf>
    <xf numFmtId="3" fontId="13" fillId="12" borderId="48" xfId="0" applyNumberFormat="1" applyFont="1" applyFill="1" applyBorder="1" applyAlignment="1">
      <alignment horizontal="center" vertical="center"/>
    </xf>
    <xf numFmtId="0" fontId="21" fillId="16" borderId="49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right" vertical="center"/>
    </xf>
    <xf numFmtId="0" fontId="21" fillId="16" borderId="50" xfId="0" quotePrefix="1" applyFont="1" applyFill="1" applyBorder="1" applyAlignment="1">
      <alignment horizontal="left" vertical="center"/>
    </xf>
    <xf numFmtId="0" fontId="21" fillId="16" borderId="51" xfId="0" applyFont="1" applyFill="1" applyBorder="1" applyAlignment="1">
      <alignment vertical="center"/>
    </xf>
    <xf numFmtId="0" fontId="21" fillId="16" borderId="51" xfId="0" applyFont="1" applyFill="1" applyBorder="1" applyAlignment="1">
      <alignment horizontal="left" vertical="center"/>
    </xf>
    <xf numFmtId="3" fontId="13" fillId="12" borderId="52" xfId="0" applyNumberFormat="1" applyFont="1" applyFill="1" applyBorder="1" applyAlignment="1">
      <alignment horizontal="center" vertical="center"/>
    </xf>
    <xf numFmtId="0" fontId="21" fillId="16" borderId="53" xfId="0" applyFont="1" applyFill="1" applyBorder="1" applyAlignment="1">
      <alignment vertical="center"/>
    </xf>
    <xf numFmtId="0" fontId="21" fillId="16" borderId="54" xfId="0" quotePrefix="1" applyFont="1" applyFill="1" applyBorder="1" applyAlignment="1">
      <alignment horizontal="left" vertical="center"/>
    </xf>
    <xf numFmtId="0" fontId="21" fillId="16" borderId="55" xfId="0" applyFont="1" applyFill="1" applyBorder="1" applyAlignment="1">
      <alignment vertical="center"/>
    </xf>
    <xf numFmtId="0" fontId="21" fillId="16" borderId="55" xfId="0" applyFont="1" applyFill="1" applyBorder="1" applyAlignment="1">
      <alignment horizontal="left" vertical="center"/>
    </xf>
    <xf numFmtId="3" fontId="13" fillId="12" borderId="56" xfId="0" applyNumberFormat="1" applyFont="1" applyFill="1" applyBorder="1" applyAlignment="1">
      <alignment horizontal="center" vertical="center"/>
    </xf>
    <xf numFmtId="0" fontId="21" fillId="16" borderId="57" xfId="0" applyFont="1" applyFill="1" applyBorder="1" applyAlignment="1">
      <alignment vertical="center"/>
    </xf>
    <xf numFmtId="0" fontId="13" fillId="12" borderId="31" xfId="0" applyFont="1" applyFill="1" applyBorder="1" applyAlignment="1">
      <alignment horizontal="center" vertical="center"/>
    </xf>
    <xf numFmtId="0" fontId="13" fillId="12" borderId="34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left" vertical="center"/>
    </xf>
    <xf numFmtId="0" fontId="23" fillId="16" borderId="58" xfId="0" applyFont="1" applyFill="1" applyBorder="1" applyAlignment="1">
      <alignment horizontal="center" vertical="center"/>
    </xf>
    <xf numFmtId="0" fontId="21" fillId="16" borderId="60" xfId="0" applyFont="1" applyFill="1" applyBorder="1" applyAlignment="1">
      <alignment horizontal="left" vertical="center"/>
    </xf>
    <xf numFmtId="0" fontId="21" fillId="16" borderId="60" xfId="0" applyFont="1" applyFill="1" applyBorder="1" applyAlignment="1">
      <alignment horizontal="right" vertical="center"/>
    </xf>
    <xf numFmtId="0" fontId="21" fillId="16" borderId="61" xfId="0" applyFont="1" applyFill="1" applyBorder="1" applyAlignment="1">
      <alignment horizontal="left" vertical="center"/>
    </xf>
    <xf numFmtId="0" fontId="21" fillId="16" borderId="62" xfId="0" applyFont="1" applyFill="1" applyBorder="1" applyAlignment="1">
      <alignment vertical="center"/>
    </xf>
    <xf numFmtId="0" fontId="21" fillId="16" borderId="39" xfId="0" applyFont="1" applyFill="1" applyBorder="1" applyAlignment="1">
      <alignment horizontal="left" vertical="center"/>
    </xf>
    <xf numFmtId="0" fontId="21" fillId="16" borderId="39" xfId="0" applyFont="1" applyFill="1" applyBorder="1" applyAlignment="1">
      <alignment horizontal="right" vertical="center"/>
    </xf>
    <xf numFmtId="0" fontId="21" fillId="16" borderId="42" xfId="0" applyFont="1" applyFill="1" applyBorder="1" applyAlignment="1">
      <alignment horizontal="left" vertical="center"/>
    </xf>
    <xf numFmtId="3" fontId="13" fillId="12" borderId="63" xfId="0" applyNumberFormat="1" applyFont="1" applyFill="1" applyBorder="1" applyAlignment="1">
      <alignment horizontal="center" vertical="center"/>
    </xf>
    <xf numFmtId="0" fontId="21" fillId="16" borderId="39" xfId="0" applyFont="1" applyFill="1" applyBorder="1" applyAlignment="1">
      <alignment vertical="center"/>
    </xf>
    <xf numFmtId="0" fontId="21" fillId="16" borderId="64" xfId="0" applyFont="1" applyFill="1" applyBorder="1" applyAlignment="1">
      <alignment vertical="center"/>
    </xf>
    <xf numFmtId="0" fontId="21" fillId="16" borderId="65" xfId="0" applyFont="1" applyFill="1" applyBorder="1" applyAlignment="1">
      <alignment horizontal="left" vertical="center"/>
    </xf>
    <xf numFmtId="3" fontId="13" fillId="12" borderId="66" xfId="0" applyNumberFormat="1" applyFont="1" applyFill="1" applyBorder="1" applyAlignment="1">
      <alignment horizontal="center" vertical="center"/>
    </xf>
    <xf numFmtId="0" fontId="21" fillId="16" borderId="67" xfId="0" applyFont="1" applyFill="1" applyBorder="1" applyAlignment="1">
      <alignment vertical="center"/>
    </xf>
    <xf numFmtId="0" fontId="21" fillId="16" borderId="42" xfId="0" applyFont="1" applyFill="1" applyBorder="1" applyAlignment="1">
      <alignment vertical="center"/>
    </xf>
    <xf numFmtId="0" fontId="23" fillId="16" borderId="68" xfId="0" applyFont="1" applyFill="1" applyBorder="1" applyAlignment="1">
      <alignment horizontal="center" vertical="center"/>
    </xf>
    <xf numFmtId="0" fontId="23" fillId="16" borderId="69" xfId="0" applyFont="1" applyFill="1" applyBorder="1" applyAlignment="1">
      <alignment horizontal="center" vertical="center"/>
    </xf>
    <xf numFmtId="0" fontId="22" fillId="16" borderId="69" xfId="0" applyFont="1" applyFill="1" applyBorder="1" applyAlignment="1">
      <alignment horizontal="left" vertical="center"/>
    </xf>
    <xf numFmtId="3" fontId="23" fillId="16" borderId="69" xfId="0" applyNumberFormat="1" applyFont="1" applyFill="1" applyBorder="1" applyAlignment="1">
      <alignment horizontal="center" vertical="center"/>
    </xf>
    <xf numFmtId="3" fontId="13" fillId="12" borderId="70" xfId="0" applyNumberFormat="1" applyFont="1" applyFill="1" applyBorder="1" applyAlignment="1">
      <alignment horizontal="center" vertical="center"/>
    </xf>
    <xf numFmtId="3" fontId="13" fillId="12" borderId="71" xfId="0" applyNumberFormat="1" applyFont="1" applyFill="1" applyBorder="1" applyAlignment="1">
      <alignment horizontal="center" vertical="center"/>
    </xf>
    <xf numFmtId="0" fontId="21" fillId="16" borderId="71" xfId="0" applyFont="1" applyFill="1" applyBorder="1" applyAlignment="1">
      <alignment horizontal="left" vertical="center"/>
    </xf>
    <xf numFmtId="3" fontId="13" fillId="12" borderId="72" xfId="0" applyNumberFormat="1" applyFont="1" applyFill="1" applyBorder="1" applyAlignment="1">
      <alignment horizontal="center" vertical="center"/>
    </xf>
    <xf numFmtId="3" fontId="13" fillId="12" borderId="73" xfId="0" applyNumberFormat="1" applyFont="1" applyFill="1" applyBorder="1" applyAlignment="1">
      <alignment horizontal="center" vertical="center"/>
    </xf>
    <xf numFmtId="0" fontId="21" fillId="16" borderId="73" xfId="0" applyFont="1" applyFill="1" applyBorder="1" applyAlignment="1">
      <alignment horizontal="left" vertical="center"/>
    </xf>
    <xf numFmtId="167" fontId="24" fillId="4" borderId="0" xfId="1" applyNumberFormat="1" applyFont="1" applyFill="1" applyAlignment="1">
      <alignment vertical="center"/>
    </xf>
    <xf numFmtId="0" fontId="2" fillId="0" borderId="0" xfId="0" applyFont="1" applyAlignment="1">
      <alignment horizontal="centerContinuous"/>
    </xf>
    <xf numFmtId="0" fontId="4" fillId="0" borderId="1" xfId="0" applyFon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168" fontId="2" fillId="4" borderId="1" xfId="0" applyNumberFormat="1" applyFont="1" applyFill="1" applyBorder="1" applyAlignment="1">
      <alignment vertical="center"/>
    </xf>
    <xf numFmtId="168" fontId="2" fillId="3" borderId="4" xfId="0" applyNumberFormat="1" applyFont="1" applyFill="1" applyBorder="1" applyAlignment="1">
      <alignment vertical="center"/>
    </xf>
    <xf numFmtId="168" fontId="1" fillId="0" borderId="0" xfId="0" applyNumberFormat="1" applyFont="1" applyAlignment="1">
      <alignment vertical="center"/>
    </xf>
    <xf numFmtId="168" fontId="2" fillId="5" borderId="1" xfId="0" applyNumberFormat="1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Continuous" vertical="center"/>
    </xf>
    <xf numFmtId="0" fontId="2" fillId="0" borderId="1" xfId="0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3" fillId="0" borderId="1" xfId="0" applyFont="1" applyBorder="1" applyAlignment="1">
      <alignment vertical="center"/>
    </xf>
    <xf numFmtId="0" fontId="1" fillId="11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4" fillId="3" borderId="4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2" applyFont="1" applyAlignment="1">
      <alignment horizontal="center"/>
    </xf>
    <xf numFmtId="0" fontId="29" fillId="0" borderId="0" xfId="2" applyFont="1" applyAlignment="1">
      <alignment horizontal="center"/>
    </xf>
    <xf numFmtId="0" fontId="29" fillId="0" borderId="0" xfId="2" applyFont="1"/>
    <xf numFmtId="167" fontId="29" fillId="0" borderId="0" xfId="1" applyNumberFormat="1" applyFont="1" applyAlignment="1">
      <alignment horizontal="right"/>
    </xf>
    <xf numFmtId="0" fontId="29" fillId="0" borderId="0" xfId="2" applyFont="1" applyAlignment="1">
      <alignment horizontal="left"/>
    </xf>
    <xf numFmtId="0" fontId="27" fillId="0" borderId="0" xfId="2" applyFont="1" applyAlignment="1">
      <alignment horizontal="left" vertical="center" indent="3"/>
    </xf>
    <xf numFmtId="167" fontId="27" fillId="0" borderId="0" xfId="1" applyNumberFormat="1" applyFont="1" applyAlignment="1">
      <alignment horizontal="right"/>
    </xf>
    <xf numFmtId="0" fontId="27" fillId="0" borderId="0" xfId="2" applyFont="1" applyAlignment="1">
      <alignment horizontal="left"/>
    </xf>
    <xf numFmtId="0" fontId="27" fillId="0" borderId="0" xfId="2" applyFont="1" applyAlignment="1">
      <alignment horizontal="left" indent="3"/>
    </xf>
    <xf numFmtId="0" fontId="30" fillId="0" borderId="0" xfId="2" applyFont="1" applyAlignment="1">
      <alignment horizontal="left" indent="1"/>
    </xf>
    <xf numFmtId="3" fontId="27" fillId="0" borderId="0" xfId="2" applyNumberFormat="1" applyFont="1"/>
    <xf numFmtId="0" fontId="28" fillId="0" borderId="0" xfId="2" applyFont="1" applyAlignment="1">
      <alignment horizontal="left" indent="2"/>
    </xf>
    <xf numFmtId="0" fontId="27" fillId="0" borderId="0" xfId="2" applyFont="1"/>
    <xf numFmtId="0" fontId="27" fillId="0" borderId="0" xfId="2" applyFont="1" applyAlignment="1">
      <alignment horizontal="right"/>
    </xf>
    <xf numFmtId="0" fontId="32" fillId="0" borderId="1" xfId="2" applyFont="1" applyBorder="1" applyAlignment="1">
      <alignment horizontal="center"/>
    </xf>
    <xf numFmtId="169" fontId="32" fillId="0" borderId="0" xfId="2" applyNumberFormat="1" applyFont="1" applyAlignment="1">
      <alignment horizontal="center"/>
    </xf>
    <xf numFmtId="170" fontId="32" fillId="0" borderId="75" xfId="2" applyNumberFormat="1" applyFont="1" applyBorder="1" applyAlignment="1">
      <alignment horizontal="center"/>
    </xf>
    <xf numFmtId="170" fontId="32" fillId="0" borderId="1" xfId="2" applyNumberFormat="1" applyFont="1" applyBorder="1" applyAlignment="1">
      <alignment horizontal="center"/>
    </xf>
    <xf numFmtId="167" fontId="33" fillId="0" borderId="1" xfId="1" applyNumberFormat="1" applyFont="1" applyBorder="1"/>
    <xf numFmtId="167" fontId="27" fillId="0" borderId="1" xfId="1" applyNumberFormat="1" applyFont="1" applyBorder="1"/>
    <xf numFmtId="3" fontId="34" fillId="0" borderId="0" xfId="2" applyNumberFormat="1" applyFont="1" applyAlignment="1">
      <alignment horizontal="center"/>
    </xf>
    <xf numFmtId="3" fontId="34" fillId="0" borderId="1" xfId="2" applyNumberFormat="1" applyFont="1" applyBorder="1" applyAlignment="1">
      <alignment horizontal="center"/>
    </xf>
    <xf numFmtId="3" fontId="34" fillId="17" borderId="1" xfId="2" applyNumberFormat="1" applyFont="1" applyFill="1" applyBorder="1" applyAlignment="1">
      <alignment horizontal="center"/>
    </xf>
    <xf numFmtId="43" fontId="33" fillId="0" borderId="7" xfId="1" applyFont="1" applyBorder="1"/>
    <xf numFmtId="43" fontId="27" fillId="0" borderId="7" xfId="1" applyFont="1" applyBorder="1"/>
    <xf numFmtId="0" fontId="27" fillId="0" borderId="7" xfId="2" applyFont="1" applyBorder="1"/>
    <xf numFmtId="172" fontId="27" fillId="0" borderId="7" xfId="3" applyNumberFormat="1" applyFont="1" applyBorder="1"/>
    <xf numFmtId="0" fontId="34" fillId="0" borderId="1" xfId="2" applyFont="1" applyBorder="1" applyAlignment="1">
      <alignment horizontal="center"/>
    </xf>
    <xf numFmtId="173" fontId="35" fillId="0" borderId="1" xfId="3" applyNumberFormat="1" applyFont="1" applyBorder="1"/>
    <xf numFmtId="0" fontId="1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3" fontId="27" fillId="0" borderId="0" xfId="4" applyNumberFormat="1" applyFont="1" applyAlignment="1">
      <alignment horizontal="right" vertical="center" wrapText="1"/>
    </xf>
    <xf numFmtId="0" fontId="27" fillId="0" borderId="0" xfId="4" applyFont="1" applyAlignment="1">
      <alignment horizontal="right" vertical="center" wrapText="1"/>
    </xf>
    <xf numFmtId="0" fontId="9" fillId="0" borderId="77" xfId="0" applyFont="1" applyBorder="1" applyAlignment="1">
      <alignment horizontal="center" vertical="center"/>
    </xf>
    <xf numFmtId="174" fontId="9" fillId="0" borderId="77" xfId="0" applyNumberFormat="1" applyFont="1" applyBorder="1" applyAlignment="1">
      <alignment vertical="center" wrapText="1"/>
    </xf>
    <xf numFmtId="3" fontId="9" fillId="0" borderId="77" xfId="0" applyNumberFormat="1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174" fontId="9" fillId="0" borderId="78" xfId="0" applyNumberFormat="1" applyFont="1" applyBorder="1" applyAlignment="1">
      <alignment vertical="center" wrapText="1"/>
    </xf>
    <xf numFmtId="174" fontId="9" fillId="0" borderId="78" xfId="0" applyNumberFormat="1" applyFont="1" applyBorder="1" applyAlignment="1">
      <alignment horizontal="center" vertical="center"/>
    </xf>
    <xf numFmtId="3" fontId="9" fillId="0" borderId="78" xfId="0" applyNumberFormat="1" applyFont="1" applyBorder="1" applyAlignment="1">
      <alignment horizontal="center" vertical="center"/>
    </xf>
    <xf numFmtId="176" fontId="9" fillId="0" borderId="78" xfId="0" applyNumberFormat="1" applyFont="1" applyBorder="1" applyAlignment="1">
      <alignment horizontal="center" vertical="center"/>
    </xf>
    <xf numFmtId="174" fontId="9" fillId="0" borderId="79" xfId="0" applyNumberFormat="1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174" fontId="9" fillId="0" borderId="80" xfId="0" applyNumberFormat="1" applyFont="1" applyBorder="1" applyAlignment="1">
      <alignment horizontal="centerContinuous" vertical="center" wrapText="1"/>
    </xf>
    <xf numFmtId="0" fontId="9" fillId="0" borderId="78" xfId="0" applyFont="1" applyBorder="1" applyAlignment="1">
      <alignment horizontal="centerContinuous" vertical="center"/>
    </xf>
    <xf numFmtId="0" fontId="38" fillId="0" borderId="80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0" borderId="81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4" fontId="9" fillId="0" borderId="0" xfId="0" applyNumberFormat="1" applyFont="1" applyAlignment="1">
      <alignment horizontal="centerContinuous" vertical="center" wrapText="1"/>
    </xf>
    <xf numFmtId="0" fontId="9" fillId="0" borderId="0" xfId="0" applyFont="1" applyAlignment="1">
      <alignment horizontal="centerContinuous" vertical="center" wrapText="1"/>
    </xf>
    <xf numFmtId="178" fontId="9" fillId="0" borderId="0" xfId="0" applyNumberFormat="1" applyFont="1" applyAlignment="1">
      <alignment horizontal="center" vertical="center"/>
    </xf>
    <xf numFmtId="0" fontId="9" fillId="0" borderId="82" xfId="0" applyFont="1" applyBorder="1" applyAlignment="1">
      <alignment horizontal="centerContinuous" vertical="center" wrapText="1"/>
    </xf>
    <xf numFmtId="174" fontId="9" fillId="0" borderId="7" xfId="0" applyNumberFormat="1" applyFont="1" applyBorder="1" applyAlignment="1">
      <alignment horizontal="center" vertical="center"/>
    </xf>
    <xf numFmtId="170" fontId="38" fillId="0" borderId="80" xfId="0" applyNumberFormat="1" applyFont="1" applyBorder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9" fillId="0" borderId="0" xfId="0" applyFont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hidden="1"/>
    </xf>
    <xf numFmtId="165" fontId="37" fillId="0" borderId="0" xfId="0" applyNumberFormat="1" applyFont="1" applyAlignment="1" applyProtection="1">
      <alignment horizontal="centerContinuous" vertical="center"/>
      <protection hidden="1"/>
    </xf>
    <xf numFmtId="0" fontId="37" fillId="0" borderId="0" xfId="0" applyFont="1" applyAlignment="1" applyProtection="1">
      <alignment horizontal="centerContinuous" vertical="center"/>
      <protection hidden="1"/>
    </xf>
    <xf numFmtId="165" fontId="9" fillId="0" borderId="0" xfId="0" applyNumberFormat="1" applyFont="1" applyAlignment="1" applyProtection="1">
      <alignment horizontal="left" vertical="center"/>
      <protection hidden="1"/>
    </xf>
    <xf numFmtId="165" fontId="9" fillId="0" borderId="0" xfId="0" applyNumberFormat="1" applyFont="1" applyAlignment="1" applyProtection="1">
      <alignment vertical="center"/>
      <protection hidden="1"/>
    </xf>
    <xf numFmtId="0" fontId="9" fillId="0" borderId="76" xfId="0" applyFont="1" applyBorder="1" applyAlignment="1" applyProtection="1">
      <alignment vertical="center"/>
      <protection locked="0"/>
    </xf>
    <xf numFmtId="0" fontId="36" fillId="0" borderId="76" xfId="0" applyFont="1" applyBorder="1" applyAlignment="1" applyProtection="1">
      <alignment vertical="center"/>
      <protection hidden="1"/>
    </xf>
    <xf numFmtId="0" fontId="9" fillId="0" borderId="76" xfId="0" applyFont="1" applyBorder="1" applyAlignment="1" applyProtection="1">
      <alignment horizontal="center" vertical="center"/>
      <protection hidden="1"/>
    </xf>
    <xf numFmtId="0" fontId="9" fillId="0" borderId="0" xfId="0" applyFont="1" applyAlignment="1">
      <alignment vertical="center"/>
    </xf>
    <xf numFmtId="0" fontId="37" fillId="0" borderId="0" xfId="0" applyFont="1" applyAlignment="1">
      <alignment horizontal="centerContinuous" vertical="center"/>
    </xf>
    <xf numFmtId="0" fontId="9" fillId="0" borderId="0" xfId="0" applyFont="1" applyAlignment="1">
      <alignment horizontal="centerContinuous" vertical="center"/>
    </xf>
    <xf numFmtId="0" fontId="37" fillId="0" borderId="0" xfId="0" applyFont="1" applyAlignment="1">
      <alignment vertical="center"/>
    </xf>
    <xf numFmtId="0" fontId="37" fillId="0" borderId="76" xfId="0" applyFont="1" applyBorder="1" applyAlignment="1">
      <alignment horizontal="centerContinuous" vertical="center"/>
    </xf>
    <xf numFmtId="174" fontId="37" fillId="0" borderId="76" xfId="0" applyNumberFormat="1" applyFont="1" applyBorder="1" applyAlignment="1">
      <alignment horizontal="center" vertical="center"/>
    </xf>
    <xf numFmtId="175" fontId="37" fillId="0" borderId="76" xfId="0" applyNumberFormat="1" applyFont="1" applyBorder="1" applyAlignment="1">
      <alignment horizontal="center" vertical="center"/>
    </xf>
    <xf numFmtId="174" fontId="39" fillId="0" borderId="0" xfId="0" applyNumberFormat="1" applyFont="1" applyAlignment="1">
      <alignment horizontal="left" vertical="center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76" xfId="0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vertical="center"/>
      <protection hidden="1"/>
    </xf>
    <xf numFmtId="43" fontId="9" fillId="0" borderId="76" xfId="1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horizontal="right" vertical="center"/>
      <protection hidden="1"/>
    </xf>
    <xf numFmtId="0" fontId="9" fillId="0" borderId="76" xfId="0" quotePrefix="1" applyFont="1" applyBorder="1" applyAlignment="1" applyProtection="1">
      <alignment horizontal="center" vertical="center"/>
      <protection hidden="1"/>
    </xf>
    <xf numFmtId="167" fontId="10" fillId="3" borderId="76" xfId="1" applyNumberFormat="1" applyFont="1" applyFill="1" applyBorder="1" applyAlignment="1" applyProtection="1">
      <alignment vertical="center"/>
      <protection hidden="1"/>
    </xf>
    <xf numFmtId="3" fontId="2" fillId="0" borderId="76" xfId="0" applyNumberFormat="1" applyFont="1" applyBorder="1" applyAlignment="1">
      <alignment horizontal="center" vertical="center" wrapText="1"/>
    </xf>
    <xf numFmtId="3" fontId="1" fillId="0" borderId="76" xfId="0" applyNumberFormat="1" applyFont="1" applyBorder="1" applyAlignment="1">
      <alignment vertical="center"/>
    </xf>
    <xf numFmtId="3" fontId="5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1" xfId="0" applyNumberFormat="1" applyFont="1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textRotation="90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>
      <alignment vertical="center"/>
    </xf>
    <xf numFmtId="165" fontId="1" fillId="2" borderId="1" xfId="0" applyNumberFormat="1" applyFont="1" applyFill="1" applyBorder="1" applyAlignment="1">
      <alignment vertical="center"/>
    </xf>
    <xf numFmtId="0" fontId="1" fillId="0" borderId="76" xfId="0" applyFont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3" fontId="4" fillId="11" borderId="1" xfId="0" applyNumberFormat="1" applyFont="1" applyFill="1" applyBorder="1" applyAlignment="1">
      <alignment vertical="center"/>
    </xf>
    <xf numFmtId="3" fontId="3" fillId="11" borderId="1" xfId="0" applyNumberFormat="1" applyFont="1" applyFill="1" applyBorder="1" applyAlignment="1">
      <alignment vertical="center"/>
    </xf>
    <xf numFmtId="0" fontId="4" fillId="11" borderId="76" xfId="0" applyFont="1" applyFill="1" applyBorder="1" applyAlignment="1">
      <alignment vertical="center"/>
    </xf>
    <xf numFmtId="0" fontId="12" fillId="18" borderId="84" xfId="0" applyFont="1" applyFill="1" applyBorder="1" applyAlignment="1">
      <alignment horizontal="center" vertical="center" wrapText="1"/>
    </xf>
    <xf numFmtId="0" fontId="12" fillId="18" borderId="76" xfId="0" applyFont="1" applyFill="1" applyBorder="1" applyAlignment="1">
      <alignment horizontal="center" vertical="center" wrapText="1"/>
    </xf>
    <xf numFmtId="3" fontId="12" fillId="18" borderId="76" xfId="0" applyNumberFormat="1" applyFont="1" applyFill="1" applyBorder="1" applyAlignment="1">
      <alignment horizontal="center" vertical="center" wrapText="1"/>
    </xf>
    <xf numFmtId="0" fontId="12" fillId="18" borderId="84" xfId="0" applyFont="1" applyFill="1" applyBorder="1" applyAlignment="1">
      <alignment horizontal="center" vertical="center"/>
    </xf>
    <xf numFmtId="0" fontId="12" fillId="18" borderId="76" xfId="0" applyFont="1" applyFill="1" applyBorder="1" applyAlignment="1">
      <alignment horizontal="center" vertical="center"/>
    </xf>
    <xf numFmtId="3" fontId="12" fillId="18" borderId="76" xfId="0" quotePrefix="1" applyNumberFormat="1" applyFont="1" applyFill="1" applyBorder="1" applyAlignment="1">
      <alignment vertical="center"/>
    </xf>
    <xf numFmtId="0" fontId="1" fillId="18" borderId="76" xfId="0" applyFont="1" applyFill="1" applyBorder="1" applyAlignment="1">
      <alignment horizontal="center" vertical="center"/>
    </xf>
    <xf numFmtId="3" fontId="1" fillId="18" borderId="76" xfId="0" quotePrefix="1" applyNumberFormat="1" applyFont="1" applyFill="1" applyBorder="1" applyAlignment="1">
      <alignment vertical="center"/>
    </xf>
    <xf numFmtId="0" fontId="1" fillId="18" borderId="84" xfId="0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vertical="center"/>
    </xf>
    <xf numFmtId="0" fontId="27" fillId="0" borderId="76" xfId="0" applyFont="1" applyBorder="1" applyAlignment="1">
      <alignment horizontal="center" vertical="center"/>
    </xf>
    <xf numFmtId="49" fontId="27" fillId="0" borderId="76" xfId="0" applyNumberFormat="1" applyFont="1" applyBorder="1" applyAlignment="1">
      <alignment horizontal="center" vertical="center"/>
    </xf>
    <xf numFmtId="1" fontId="27" fillId="0" borderId="76" xfId="0" applyNumberFormat="1" applyFont="1" applyBorder="1" applyAlignment="1">
      <alignment horizontal="center" vertical="center"/>
    </xf>
    <xf numFmtId="179" fontId="27" fillId="0" borderId="76" xfId="0" applyNumberFormat="1" applyFont="1" applyBorder="1" applyAlignment="1">
      <alignment horizontal="center" vertical="center"/>
    </xf>
    <xf numFmtId="3" fontId="27" fillId="0" borderId="76" xfId="0" applyNumberFormat="1" applyFont="1" applyBorder="1" applyAlignment="1">
      <alignment horizontal="center" vertical="center"/>
    </xf>
    <xf numFmtId="179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horizontal="right" vertical="center"/>
    </xf>
    <xf numFmtId="0" fontId="12" fillId="0" borderId="76" xfId="0" applyFont="1" applyBorder="1" applyAlignment="1">
      <alignment horizontal="center" vertical="center"/>
    </xf>
    <xf numFmtId="49" fontId="12" fillId="0" borderId="76" xfId="0" applyNumberFormat="1" applyFont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/>
    </xf>
    <xf numFmtId="0" fontId="27" fillId="4" borderId="76" xfId="0" applyFont="1" applyFill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 wrapText="1"/>
    </xf>
    <xf numFmtId="169" fontId="1" fillId="0" borderId="76" xfId="0" applyNumberFormat="1" applyFont="1" applyBorder="1" applyAlignment="1">
      <alignment vertical="center"/>
    </xf>
    <xf numFmtId="0" fontId="12" fillId="18" borderId="76" xfId="0" applyFont="1" applyFill="1" applyBorder="1" applyAlignment="1">
      <alignment horizontal="left" vertical="center"/>
    </xf>
    <xf numFmtId="3" fontId="1" fillId="18" borderId="76" xfId="0" applyNumberFormat="1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horizontal="left" vertical="center"/>
    </xf>
    <xf numFmtId="0" fontId="1" fillId="18" borderId="84" xfId="0" applyFont="1" applyFill="1" applyBorder="1" applyAlignment="1">
      <alignment horizontal="left" vertical="center" wrapText="1"/>
    </xf>
    <xf numFmtId="0" fontId="12" fillId="18" borderId="84" xfId="0" applyFont="1" applyFill="1" applyBorder="1" applyAlignment="1">
      <alignment horizontal="left" vertical="center" wrapText="1"/>
    </xf>
    <xf numFmtId="181" fontId="2" fillId="3" borderId="1" xfId="0" applyNumberFormat="1" applyFont="1" applyFill="1" applyBorder="1" applyAlignment="1">
      <alignment horizontal="center" vertical="center"/>
    </xf>
    <xf numFmtId="181" fontId="2" fillId="3" borderId="1" xfId="0" applyNumberFormat="1" applyFont="1" applyFill="1" applyBorder="1" applyAlignment="1">
      <alignment vertical="center"/>
    </xf>
    <xf numFmtId="181" fontId="5" fillId="9" borderId="1" xfId="0" applyNumberFormat="1" applyFont="1" applyFill="1" applyBorder="1" applyAlignment="1">
      <alignment horizontal="center" vertical="center"/>
    </xf>
    <xf numFmtId="181" fontId="5" fillId="9" borderId="1" xfId="0" applyNumberFormat="1" applyFont="1" applyFill="1" applyBorder="1" applyAlignment="1">
      <alignment vertical="center"/>
    </xf>
    <xf numFmtId="181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vertical="center"/>
    </xf>
    <xf numFmtId="181" fontId="2" fillId="8" borderId="1" xfId="0" applyNumberFormat="1" applyFont="1" applyFill="1" applyBorder="1" applyAlignment="1">
      <alignment horizontal="center" vertical="center"/>
    </xf>
    <xf numFmtId="181" fontId="2" fillId="8" borderId="1" xfId="0" applyNumberFormat="1" applyFont="1" applyFill="1" applyBorder="1" applyAlignment="1">
      <alignment vertical="center"/>
    </xf>
    <xf numFmtId="181" fontId="1" fillId="0" borderId="0" xfId="0" applyNumberFormat="1" applyFont="1" applyAlignment="1">
      <alignment vertical="center"/>
    </xf>
    <xf numFmtId="181" fontId="1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vertical="center"/>
    </xf>
    <xf numFmtId="181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Continuous" vertical="center"/>
    </xf>
    <xf numFmtId="181" fontId="2" fillId="0" borderId="0" xfId="0" applyNumberFormat="1" applyFont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left" vertical="center"/>
    </xf>
    <xf numFmtId="181" fontId="6" fillId="0" borderId="1" xfId="0" applyNumberFormat="1" applyFont="1" applyBorder="1" applyAlignment="1">
      <alignment vertical="center"/>
    </xf>
    <xf numFmtId="181" fontId="6" fillId="0" borderId="1" xfId="0" applyNumberFormat="1" applyFont="1" applyBorder="1" applyAlignment="1">
      <alignment horizontal="center" vertical="center"/>
    </xf>
    <xf numFmtId="181" fontId="2" fillId="11" borderId="0" xfId="0" applyNumberFormat="1" applyFont="1" applyFill="1" applyAlignment="1">
      <alignment horizontal="center" vertical="center"/>
    </xf>
    <xf numFmtId="181" fontId="1" fillId="0" borderId="0" xfId="0" applyNumberFormat="1" applyFont="1" applyAlignment="1">
      <alignment horizontal="centerContinuous" vertical="center"/>
    </xf>
    <xf numFmtId="181" fontId="2" fillId="4" borderId="1" xfId="0" applyNumberFormat="1" applyFont="1" applyFill="1" applyBorder="1" applyAlignment="1">
      <alignment horizontal="center" vertical="center"/>
    </xf>
    <xf numFmtId="181" fontId="2" fillId="4" borderId="1" xfId="0" applyNumberFormat="1" applyFont="1" applyFill="1" applyBorder="1" applyAlignment="1">
      <alignment vertical="center"/>
    </xf>
    <xf numFmtId="181" fontId="2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vertical="center"/>
    </xf>
    <xf numFmtId="181" fontId="7" fillId="0" borderId="1" xfId="0" applyNumberFormat="1" applyFont="1" applyBorder="1" applyAlignment="1">
      <alignment horizontal="center" vertical="center"/>
    </xf>
    <xf numFmtId="181" fontId="7" fillId="0" borderId="1" xfId="0" applyNumberFormat="1" applyFont="1" applyBorder="1" applyAlignment="1">
      <alignment vertical="center"/>
    </xf>
    <xf numFmtId="181" fontId="5" fillId="0" borderId="1" xfId="0" applyNumberFormat="1" applyFont="1" applyBorder="1" applyAlignment="1">
      <alignment horizontal="center" vertical="center"/>
    </xf>
    <xf numFmtId="181" fontId="5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vertical="center"/>
    </xf>
    <xf numFmtId="181" fontId="2" fillId="0" borderId="0" xfId="0" applyNumberFormat="1" applyFont="1" applyAlignment="1">
      <alignment vertical="center" wrapText="1"/>
    </xf>
    <xf numFmtId="181" fontId="1" fillId="0" borderId="6" xfId="0" applyNumberFormat="1" applyFont="1" applyBorder="1" applyAlignment="1">
      <alignment horizontal="center" vertical="center"/>
    </xf>
    <xf numFmtId="181" fontId="1" fillId="0" borderId="5" xfId="0" applyNumberFormat="1" applyFont="1" applyBorder="1" applyAlignment="1">
      <alignment horizontal="center" vertical="center"/>
    </xf>
    <xf numFmtId="181" fontId="1" fillId="0" borderId="6" xfId="0" applyNumberFormat="1" applyFont="1" applyBorder="1" applyAlignment="1">
      <alignment vertical="center"/>
    </xf>
    <xf numFmtId="181" fontId="2" fillId="7" borderId="1" xfId="0" applyNumberFormat="1" applyFont="1" applyFill="1" applyBorder="1" applyAlignment="1">
      <alignment horizontal="center" vertical="center"/>
    </xf>
    <xf numFmtId="181" fontId="2" fillId="7" borderId="1" xfId="0" applyNumberFormat="1" applyFont="1" applyFill="1" applyBorder="1" applyAlignment="1">
      <alignment vertical="center"/>
    </xf>
    <xf numFmtId="181" fontId="5" fillId="0" borderId="6" xfId="0" applyNumberFormat="1" applyFont="1" applyBorder="1" applyAlignment="1">
      <alignment vertical="center"/>
    </xf>
    <xf numFmtId="181" fontId="5" fillId="0" borderId="5" xfId="0" applyNumberFormat="1" applyFont="1" applyBorder="1" applyAlignment="1">
      <alignment horizontal="center" vertical="center"/>
    </xf>
    <xf numFmtId="181" fontId="5" fillId="0" borderId="0" xfId="0" applyNumberFormat="1" applyFont="1" applyAlignment="1">
      <alignment vertical="center"/>
    </xf>
    <xf numFmtId="181" fontId="3" fillId="0" borderId="1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" fillId="10" borderId="0" xfId="0" applyNumberFormat="1" applyFont="1" applyFill="1" applyAlignment="1">
      <alignment horizontal="center" vertical="center"/>
    </xf>
    <xf numFmtId="181" fontId="2" fillId="4" borderId="1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horizontal="left" vertical="center" wrapText="1"/>
    </xf>
    <xf numFmtId="181" fontId="6" fillId="0" borderId="0" xfId="0" applyNumberFormat="1" applyFont="1" applyAlignment="1">
      <alignment vertical="center"/>
    </xf>
    <xf numFmtId="181" fontId="2" fillId="3" borderId="8" xfId="0" applyNumberFormat="1" applyFont="1" applyFill="1" applyBorder="1" applyAlignment="1">
      <alignment horizontal="center" vertical="center"/>
    </xf>
    <xf numFmtId="181" fontId="2" fillId="3" borderId="8" xfId="0" applyNumberFormat="1" applyFont="1" applyFill="1" applyBorder="1" applyAlignment="1">
      <alignment horizontal="left" vertical="center"/>
    </xf>
    <xf numFmtId="181" fontId="4" fillId="0" borderId="0" xfId="0" applyNumberFormat="1" applyFont="1" applyAlignment="1">
      <alignment vertical="center"/>
    </xf>
    <xf numFmtId="181" fontId="4" fillId="4" borderId="0" xfId="0" applyNumberFormat="1" applyFont="1" applyFill="1" applyAlignment="1">
      <alignment horizontal="center" vertical="center"/>
    </xf>
    <xf numFmtId="181" fontId="2" fillId="9" borderId="1" xfId="0" applyNumberFormat="1" applyFont="1" applyFill="1" applyBorder="1" applyAlignment="1">
      <alignment horizontal="center" vertical="center"/>
    </xf>
    <xf numFmtId="181" fontId="2" fillId="9" borderId="1" xfId="0" applyNumberFormat="1" applyFont="1" applyFill="1" applyBorder="1" applyAlignment="1">
      <alignment vertical="center"/>
    </xf>
    <xf numFmtId="181" fontId="5" fillId="0" borderId="0" xfId="0" applyNumberFormat="1" applyFont="1" applyAlignment="1">
      <alignment horizontal="center" vertical="center"/>
    </xf>
    <xf numFmtId="181" fontId="5" fillId="0" borderId="1" xfId="0" quotePrefix="1" applyNumberFormat="1" applyFont="1" applyBorder="1" applyAlignment="1">
      <alignment vertical="center"/>
    </xf>
    <xf numFmtId="181" fontId="2" fillId="10" borderId="1" xfId="0" applyNumberFormat="1" applyFont="1" applyFill="1" applyBorder="1" applyAlignment="1">
      <alignment horizontal="center" vertical="center"/>
    </xf>
    <xf numFmtId="181" fontId="2" fillId="10" borderId="1" xfId="0" applyNumberFormat="1" applyFont="1" applyFill="1" applyBorder="1" applyAlignment="1">
      <alignment vertical="center"/>
    </xf>
    <xf numFmtId="181" fontId="2" fillId="5" borderId="0" xfId="0" applyNumberFormat="1" applyFont="1" applyFill="1" applyAlignment="1">
      <alignment horizontal="center" vertical="center"/>
    </xf>
    <xf numFmtId="181" fontId="9" fillId="0" borderId="1" xfId="0" applyNumberFormat="1" applyFont="1" applyBorder="1" applyAlignment="1">
      <alignment vertical="center"/>
    </xf>
    <xf numFmtId="181" fontId="9" fillId="0" borderId="0" xfId="0" applyNumberFormat="1" applyFont="1" applyAlignment="1">
      <alignment vertical="center"/>
    </xf>
    <xf numFmtId="181" fontId="9" fillId="0" borderId="1" xfId="0" applyNumberFormat="1" applyFont="1" applyBorder="1" applyAlignment="1">
      <alignment horizontal="center" vertical="center"/>
    </xf>
    <xf numFmtId="181" fontId="10" fillId="0" borderId="1" xfId="0" applyNumberFormat="1" applyFont="1" applyBorder="1" applyAlignment="1">
      <alignment vertical="center"/>
    </xf>
    <xf numFmtId="181" fontId="11" fillId="0" borderId="1" xfId="0" applyNumberFormat="1" applyFont="1" applyBorder="1" applyAlignment="1">
      <alignment vertical="center"/>
    </xf>
    <xf numFmtId="181" fontId="12" fillId="0" borderId="1" xfId="0" applyNumberFormat="1" applyFont="1" applyBorder="1" applyAlignment="1">
      <alignment vertical="center"/>
    </xf>
    <xf numFmtId="181" fontId="10" fillId="0" borderId="0" xfId="0" applyNumberFormat="1" applyFont="1" applyAlignment="1">
      <alignment vertical="center"/>
    </xf>
    <xf numFmtId="181" fontId="10" fillId="0" borderId="1" xfId="0" applyNumberFormat="1" applyFont="1" applyBorder="1" applyAlignment="1">
      <alignment horizontal="center" vertical="center"/>
    </xf>
    <xf numFmtId="181" fontId="10" fillId="0" borderId="1" xfId="1" applyNumberFormat="1" applyFont="1" applyBorder="1" applyAlignment="1">
      <alignment vertical="center"/>
    </xf>
    <xf numFmtId="181" fontId="2" fillId="0" borderId="76" xfId="0" applyNumberFormat="1" applyFont="1" applyBorder="1" applyAlignment="1">
      <alignment horizontal="center" vertical="center" wrapText="1"/>
    </xf>
    <xf numFmtId="181" fontId="2" fillId="3" borderId="0" xfId="0" applyNumberFormat="1" applyFont="1" applyFill="1" applyAlignment="1">
      <alignment vertical="center"/>
    </xf>
    <xf numFmtId="181" fontId="2" fillId="4" borderId="76" xfId="0" applyNumberFormat="1" applyFont="1" applyFill="1" applyBorder="1" applyAlignment="1">
      <alignment horizontal="center" vertical="center"/>
    </xf>
    <xf numFmtId="181" fontId="2" fillId="4" borderId="76" xfId="0" applyNumberFormat="1" applyFont="1" applyFill="1" applyBorder="1" applyAlignment="1">
      <alignment vertical="center"/>
    </xf>
    <xf numFmtId="181" fontId="1" fillId="4" borderId="76" xfId="0" applyNumberFormat="1" applyFont="1" applyFill="1" applyBorder="1" applyAlignment="1">
      <alignment vertical="center"/>
    </xf>
    <xf numFmtId="181" fontId="1" fillId="0" borderId="76" xfId="0" applyNumberFormat="1" applyFont="1" applyBorder="1" applyAlignment="1">
      <alignment horizontal="center" vertical="center"/>
    </xf>
    <xf numFmtId="181" fontId="1" fillId="0" borderId="76" xfId="0" applyNumberFormat="1" applyFont="1" applyBorder="1" applyAlignment="1">
      <alignment vertical="center"/>
    </xf>
    <xf numFmtId="181" fontId="5" fillId="0" borderId="76" xfId="0" applyNumberFormat="1" applyFont="1" applyBorder="1" applyAlignment="1">
      <alignment horizontal="center" vertical="center"/>
    </xf>
    <xf numFmtId="181" fontId="5" fillId="0" borderId="76" xfId="0" applyNumberFormat="1" applyFont="1" applyBorder="1" applyAlignment="1">
      <alignment vertical="center"/>
    </xf>
    <xf numFmtId="181" fontId="2" fillId="4" borderId="0" xfId="0" applyNumberFormat="1" applyFont="1" applyFill="1" applyAlignment="1">
      <alignment horizontal="center" vertical="center"/>
    </xf>
    <xf numFmtId="181" fontId="2" fillId="0" borderId="76" xfId="0" applyNumberFormat="1" applyFont="1" applyBorder="1" applyAlignment="1">
      <alignment horizontal="center" vertical="center"/>
    </xf>
    <xf numFmtId="181" fontId="1" fillId="0" borderId="0" xfId="0" applyNumberFormat="1" applyFont="1"/>
    <xf numFmtId="181" fontId="12" fillId="18" borderId="0" xfId="0" applyNumberFormat="1" applyFont="1" applyFill="1" applyAlignment="1">
      <alignment horizontal="center" vertical="center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27" fillId="18" borderId="76" xfId="1" applyNumberFormat="1" applyFont="1" applyFill="1" applyBorder="1" applyAlignment="1">
      <alignment horizontal="right" vertical="center"/>
    </xf>
    <xf numFmtId="181" fontId="27" fillId="18" borderId="76" xfId="0" applyNumberFormat="1" applyFont="1" applyFill="1" applyBorder="1" applyAlignment="1">
      <alignment horizontal="right" vertical="center"/>
    </xf>
    <xf numFmtId="181" fontId="27" fillId="0" borderId="76" xfId="0" applyNumberFormat="1" applyFont="1" applyBorder="1" applyAlignment="1">
      <alignment vertical="center"/>
    </xf>
    <xf numFmtId="181" fontId="27" fillId="0" borderId="0" xfId="0" applyNumberFormat="1" applyFont="1" applyAlignment="1">
      <alignment vertical="center"/>
    </xf>
    <xf numFmtId="181" fontId="27" fillId="18" borderId="0" xfId="0" applyNumberFormat="1" applyFont="1" applyFill="1"/>
    <xf numFmtId="181" fontId="27" fillId="18" borderId="0" xfId="0" applyNumberFormat="1" applyFont="1" applyFill="1" applyAlignment="1">
      <alignment horizontal="center"/>
    </xf>
    <xf numFmtId="181" fontId="12" fillId="0" borderId="0" xfId="0" applyNumberFormat="1" applyFont="1" applyAlignment="1">
      <alignment vertical="center"/>
    </xf>
    <xf numFmtId="180" fontId="1" fillId="0" borderId="76" xfId="0" applyNumberFormat="1" applyFont="1" applyBorder="1"/>
    <xf numFmtId="181" fontId="12" fillId="18" borderId="0" xfId="0" applyNumberFormat="1" applyFont="1" applyFill="1" applyAlignment="1">
      <alignment horizontal="centerContinuous" vertical="center"/>
    </xf>
    <xf numFmtId="181" fontId="27" fillId="0" borderId="76" xfId="0" applyNumberFormat="1" applyFont="1" applyBorder="1" applyAlignment="1" applyProtection="1">
      <alignment horizontal="center" vertical="center"/>
      <protection locked="0"/>
    </xf>
    <xf numFmtId="181" fontId="27" fillId="0" borderId="84" xfId="0" applyNumberFormat="1" applyFont="1" applyBorder="1" applyAlignment="1" applyProtection="1">
      <alignment vertical="center"/>
      <protection locked="0"/>
    </xf>
    <xf numFmtId="181" fontId="27" fillId="0" borderId="85" xfId="0" applyNumberFormat="1" applyFont="1" applyBorder="1" applyAlignment="1" applyProtection="1">
      <alignment vertical="center"/>
      <protection locked="0"/>
    </xf>
    <xf numFmtId="181" fontId="27" fillId="0" borderId="84" xfId="0" applyNumberFormat="1" applyFont="1" applyBorder="1" applyAlignment="1" applyProtection="1">
      <alignment horizontal="left" vertical="center"/>
      <protection locked="0"/>
    </xf>
    <xf numFmtId="181" fontId="27" fillId="0" borderId="85" xfId="0" applyNumberFormat="1" applyFont="1" applyBorder="1" applyAlignment="1" applyProtection="1">
      <alignment horizontal="left" vertical="center"/>
      <protection locked="0"/>
    </xf>
    <xf numFmtId="166" fontId="27" fillId="0" borderId="76" xfId="0" applyNumberFormat="1" applyFont="1" applyBorder="1" applyAlignment="1" applyProtection="1">
      <alignment horizontal="center" vertical="center"/>
      <protection locked="0"/>
    </xf>
    <xf numFmtId="182" fontId="1" fillId="0" borderId="0" xfId="0" applyNumberFormat="1" applyFont="1"/>
    <xf numFmtId="181" fontId="27" fillId="0" borderId="0" xfId="0" applyNumberFormat="1" applyFont="1" applyAlignment="1">
      <alignment horizontal="center" vertical="center"/>
    </xf>
    <xf numFmtId="181" fontId="3" fillId="0" borderId="0" xfId="0" applyNumberFormat="1" applyFont="1"/>
    <xf numFmtId="181" fontId="1" fillId="0" borderId="0" xfId="0" applyNumberFormat="1" applyFont="1" applyAlignment="1">
      <alignment horizontal="center"/>
    </xf>
    <xf numFmtId="183" fontId="27" fillId="18" borderId="76" xfId="1" applyNumberFormat="1" applyFont="1" applyFill="1" applyBorder="1" applyAlignment="1">
      <alignment horizontal="right" vertical="center"/>
    </xf>
    <xf numFmtId="0" fontId="3" fillId="4" borderId="76" xfId="0" applyFont="1" applyFill="1" applyBorder="1" applyAlignment="1">
      <alignment horizontal="center" vertical="center"/>
    </xf>
    <xf numFmtId="1" fontId="3" fillId="4" borderId="76" xfId="0" applyNumberFormat="1" applyFont="1" applyFill="1" applyBorder="1" applyAlignment="1">
      <alignment horizontal="center" vertical="center"/>
    </xf>
    <xf numFmtId="181" fontId="12" fillId="4" borderId="76" xfId="0" applyNumberFormat="1" applyFont="1" applyFill="1" applyBorder="1" applyAlignment="1">
      <alignment horizontal="center" vertical="center"/>
    </xf>
    <xf numFmtId="181" fontId="12" fillId="4" borderId="85" xfId="0" applyNumberFormat="1" applyFont="1" applyFill="1" applyBorder="1" applyAlignment="1">
      <alignment horizontal="center" vertical="center"/>
    </xf>
    <xf numFmtId="181" fontId="12" fillId="4" borderId="86" xfId="0" applyNumberFormat="1" applyFont="1" applyFill="1" applyBorder="1" applyAlignment="1">
      <alignment horizontal="center" vertical="center"/>
    </xf>
    <xf numFmtId="181" fontId="2" fillId="0" borderId="0" xfId="0" applyNumberFormat="1" applyFont="1"/>
    <xf numFmtId="181" fontId="12" fillId="4" borderId="76" xfId="0" applyNumberFormat="1" applyFont="1" applyFill="1" applyBorder="1" applyAlignment="1">
      <alignment horizontal="right" vertical="center"/>
    </xf>
    <xf numFmtId="183" fontId="12" fillId="4" borderId="76" xfId="1" applyNumberFormat="1" applyFont="1" applyFill="1" applyBorder="1" applyAlignment="1">
      <alignment horizontal="right" vertical="center"/>
    </xf>
    <xf numFmtId="181" fontId="4" fillId="19" borderId="0" xfId="0" applyNumberFormat="1" applyFont="1" applyFill="1" applyAlignment="1">
      <alignment horizontal="center" vertical="center"/>
    </xf>
    <xf numFmtId="181" fontId="12" fillId="4" borderId="84" xfId="0" applyNumberFormat="1" applyFont="1" applyFill="1" applyBorder="1" applyAlignment="1">
      <alignment horizontal="left" vertical="center"/>
    </xf>
    <xf numFmtId="181" fontId="27" fillId="18" borderId="0" xfId="0" applyNumberFormat="1" applyFont="1" applyFill="1" applyAlignment="1">
      <alignment horizontal="center" vertical="top"/>
    </xf>
    <xf numFmtId="181" fontId="27" fillId="18" borderId="0" xfId="0" applyNumberFormat="1" applyFont="1" applyFill="1" applyAlignment="1">
      <alignment horizontal="center" vertical="center"/>
    </xf>
    <xf numFmtId="181" fontId="42" fillId="19" borderId="0" xfId="0" applyNumberFormat="1" applyFont="1" applyFill="1" applyAlignment="1">
      <alignment horizontal="center" vertical="center"/>
    </xf>
    <xf numFmtId="0" fontId="12" fillId="4" borderId="84" xfId="0" applyFont="1" applyFill="1" applyBorder="1" applyAlignment="1">
      <alignment horizontal="center" vertical="center" wrapText="1"/>
    </xf>
    <xf numFmtId="0" fontId="12" fillId="4" borderId="76" xfId="0" applyFont="1" applyFill="1" applyBorder="1" applyAlignment="1">
      <alignment horizontal="center" vertical="center" wrapText="1"/>
    </xf>
    <xf numFmtId="3" fontId="12" fillId="4" borderId="76" xfId="0" applyNumberFormat="1" applyFont="1" applyFill="1" applyBorder="1" applyAlignment="1">
      <alignment horizontal="center" vertical="center" wrapText="1"/>
    </xf>
    <xf numFmtId="0" fontId="12" fillId="4" borderId="84" xfId="0" applyFont="1" applyFill="1" applyBorder="1" applyAlignment="1">
      <alignment horizontal="left" vertical="center" wrapText="1"/>
    </xf>
    <xf numFmtId="181" fontId="12" fillId="4" borderId="0" xfId="0" applyNumberFormat="1" applyFont="1" applyFill="1" applyAlignment="1">
      <alignment horizontal="center" vertical="center"/>
    </xf>
    <xf numFmtId="166" fontId="2" fillId="4" borderId="1" xfId="0" applyNumberFormat="1" applyFont="1" applyFill="1" applyBorder="1" applyAlignment="1">
      <alignment vertical="center"/>
    </xf>
    <xf numFmtId="0" fontId="12" fillId="6" borderId="1" xfId="0" applyFont="1" applyFill="1" applyBorder="1" applyAlignment="1">
      <alignment horizontal="center" textRotation="90"/>
    </xf>
    <xf numFmtId="184" fontId="1" fillId="0" borderId="1" xfId="0" applyNumberFormat="1" applyFont="1" applyBorder="1" applyAlignment="1">
      <alignment vertical="center"/>
    </xf>
    <xf numFmtId="165" fontId="6" fillId="0" borderId="1" xfId="0" applyNumberFormat="1" applyFont="1" applyBorder="1" applyAlignment="1">
      <alignment vertical="center"/>
    </xf>
    <xf numFmtId="10" fontId="3" fillId="0" borderId="0" xfId="0" applyNumberFormat="1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vertical="center" wrapText="1"/>
    </xf>
    <xf numFmtId="9" fontId="7" fillId="0" borderId="1" xfId="0" applyNumberFormat="1" applyFont="1" applyBorder="1" applyAlignment="1">
      <alignment vertical="center"/>
    </xf>
    <xf numFmtId="3" fontId="7" fillId="0" borderId="76" xfId="0" applyNumberFormat="1" applyFont="1" applyBorder="1" applyAlignment="1">
      <alignment horizontal="center" vertical="center"/>
    </xf>
    <xf numFmtId="3" fontId="7" fillId="0" borderId="76" xfId="0" applyNumberFormat="1" applyFont="1" applyBorder="1" applyAlignment="1">
      <alignment vertical="center" wrapText="1"/>
    </xf>
    <xf numFmtId="3" fontId="7" fillId="0" borderId="76" xfId="0" applyNumberFormat="1" applyFont="1" applyBorder="1" applyAlignment="1">
      <alignment vertical="center"/>
    </xf>
    <xf numFmtId="9" fontId="7" fillId="0" borderId="76" xfId="0" applyNumberFormat="1" applyFont="1" applyBorder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1" fillId="0" borderId="76" xfId="0" applyFont="1" applyBorder="1" applyAlignment="1">
      <alignment horizontal="center" vertical="center"/>
    </xf>
    <xf numFmtId="185" fontId="1" fillId="0" borderId="1" xfId="0" applyNumberFormat="1" applyFont="1" applyBorder="1" applyAlignment="1">
      <alignment vertical="center"/>
    </xf>
    <xf numFmtId="176" fontId="1" fillId="0" borderId="76" xfId="0" applyNumberFormat="1" applyFont="1" applyBorder="1" applyAlignment="1">
      <alignment horizontal="center" vertical="center"/>
    </xf>
    <xf numFmtId="185" fontId="3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165" fontId="2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 wrapText="1"/>
    </xf>
    <xf numFmtId="187" fontId="1" fillId="0" borderId="0" xfId="5" applyNumberFormat="1" applyFont="1" applyAlignment="1">
      <alignment vertical="center"/>
    </xf>
    <xf numFmtId="168" fontId="3" fillId="5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textRotation="90"/>
    </xf>
    <xf numFmtId="185" fontId="6" fillId="0" borderId="1" xfId="0" applyNumberFormat="1" applyFont="1" applyBorder="1" applyAlignment="1">
      <alignment vertical="center"/>
    </xf>
    <xf numFmtId="165" fontId="3" fillId="0" borderId="76" xfId="0" applyNumberFormat="1" applyFont="1" applyBorder="1" applyAlignment="1">
      <alignment vertical="center"/>
    </xf>
    <xf numFmtId="3" fontId="3" fillId="0" borderId="76" xfId="0" applyNumberFormat="1" applyFont="1" applyBorder="1" applyAlignment="1">
      <alignment vertical="center"/>
    </xf>
    <xf numFmtId="181" fontId="3" fillId="0" borderId="2" xfId="0" applyNumberFormat="1" applyFont="1" applyBorder="1" applyAlignment="1">
      <alignment vertical="center"/>
    </xf>
    <xf numFmtId="181" fontId="3" fillId="0" borderId="76" xfId="0" applyNumberFormat="1" applyFont="1" applyBorder="1" applyAlignment="1">
      <alignment vertical="center"/>
    </xf>
    <xf numFmtId="181" fontId="3" fillId="0" borderId="84" xfId="0" applyNumberFormat="1" applyFont="1" applyBorder="1" applyAlignment="1">
      <alignment vertical="center"/>
    </xf>
    <xf numFmtId="181" fontId="1" fillId="9" borderId="1" xfId="0" applyNumberFormat="1" applyFont="1" applyFill="1" applyBorder="1" applyAlignment="1">
      <alignment vertical="center"/>
    </xf>
    <xf numFmtId="181" fontId="1" fillId="9" borderId="1" xfId="0" applyNumberFormat="1" applyFont="1" applyFill="1" applyBorder="1" applyAlignment="1">
      <alignment horizontal="right" vertical="center"/>
    </xf>
    <xf numFmtId="184" fontId="3" fillId="0" borderId="0" xfId="0" applyNumberFormat="1" applyFont="1" applyAlignment="1">
      <alignment vertical="center"/>
    </xf>
    <xf numFmtId="3" fontId="1" fillId="2" borderId="76" xfId="0" applyNumberFormat="1" applyFont="1" applyFill="1" applyBorder="1" applyAlignment="1">
      <alignment vertical="center"/>
    </xf>
    <xf numFmtId="165" fontId="1" fillId="2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horizontal="center" vertical="center"/>
    </xf>
    <xf numFmtId="0" fontId="3" fillId="5" borderId="76" xfId="0" applyFont="1" applyFill="1" applyBorder="1" applyAlignment="1">
      <alignment vertical="center"/>
    </xf>
    <xf numFmtId="0" fontId="3" fillId="0" borderId="76" xfId="0" applyFont="1" applyBorder="1" applyAlignment="1">
      <alignment vertical="center"/>
    </xf>
    <xf numFmtId="166" fontId="5" fillId="0" borderId="1" xfId="0" applyNumberFormat="1" applyFont="1" applyBorder="1" applyAlignment="1">
      <alignment vertical="center"/>
    </xf>
    <xf numFmtId="166" fontId="3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horizontal="center" vertical="center"/>
    </xf>
    <xf numFmtId="181" fontId="2" fillId="3" borderId="76" xfId="0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81" fontId="27" fillId="5" borderId="0" xfId="0" applyNumberFormat="1" applyFont="1" applyFill="1" applyAlignment="1">
      <alignment horizontal="center" vertical="center"/>
    </xf>
    <xf numFmtId="166" fontId="1" fillId="0" borderId="1" xfId="0" applyNumberFormat="1" applyFont="1" applyBorder="1" applyAlignment="1">
      <alignment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1" xfId="0" quotePrefix="1" applyNumberFormat="1" applyFont="1" applyBorder="1" applyAlignment="1">
      <alignment horizontal="center" vertical="center"/>
    </xf>
    <xf numFmtId="168" fontId="1" fillId="5" borderId="1" xfId="0" applyNumberFormat="1" applyFon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vertical="center"/>
    </xf>
    <xf numFmtId="166" fontId="2" fillId="5" borderId="1" xfId="0" applyNumberFormat="1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4" fillId="0" borderId="0" xfId="0" applyNumberFormat="1" applyFont="1" applyAlignment="1">
      <alignment vertical="center"/>
    </xf>
    <xf numFmtId="3" fontId="4" fillId="0" borderId="0" xfId="1" applyNumberFormat="1" applyFont="1" applyAlignment="1">
      <alignment vertical="center"/>
    </xf>
    <xf numFmtId="49" fontId="1" fillId="0" borderId="76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textRotation="90"/>
    </xf>
    <xf numFmtId="0" fontId="2" fillId="6" borderId="76" xfId="0" applyFont="1" applyFill="1" applyBorder="1" applyAlignment="1">
      <alignment horizontal="center" textRotation="90"/>
    </xf>
    <xf numFmtId="49" fontId="2" fillId="3" borderId="84" xfId="0" applyNumberFormat="1" applyFont="1" applyFill="1" applyBorder="1" applyAlignment="1">
      <alignment vertical="center"/>
    </xf>
    <xf numFmtId="49" fontId="2" fillId="3" borderId="85" xfId="0" applyNumberFormat="1" applyFont="1" applyFill="1" applyBorder="1" applyAlignment="1">
      <alignment vertical="center"/>
    </xf>
    <xf numFmtId="0" fontId="2" fillId="3" borderId="85" xfId="0" applyFont="1" applyFill="1" applyBorder="1" applyAlignment="1">
      <alignment vertical="center"/>
    </xf>
    <xf numFmtId="0" fontId="2" fillId="3" borderId="85" xfId="0" applyFont="1" applyFill="1" applyBorder="1" applyAlignment="1">
      <alignment horizontal="center" vertical="center"/>
    </xf>
    <xf numFmtId="0" fontId="2" fillId="3" borderId="86" xfId="0" applyFont="1" applyFill="1" applyBorder="1" applyAlignment="1">
      <alignment vertical="center"/>
    </xf>
    <xf numFmtId="49" fontId="1" fillId="0" borderId="76" xfId="0" quotePrefix="1" applyNumberFormat="1" applyFont="1" applyBorder="1" applyAlignment="1">
      <alignment horizontal="center" vertical="center"/>
    </xf>
    <xf numFmtId="49" fontId="2" fillId="4" borderId="76" xfId="0" applyNumberFormat="1" applyFont="1" applyFill="1" applyBorder="1" applyAlignment="1">
      <alignment vertical="center"/>
    </xf>
    <xf numFmtId="0" fontId="2" fillId="4" borderId="76" xfId="0" applyFont="1" applyFill="1" applyBorder="1" applyAlignment="1">
      <alignment vertical="center"/>
    </xf>
    <xf numFmtId="0" fontId="2" fillId="4" borderId="76" xfId="0" applyFont="1" applyFill="1" applyBorder="1" applyAlignment="1">
      <alignment horizontal="center" vertical="center"/>
    </xf>
    <xf numFmtId="0" fontId="2" fillId="5" borderId="76" xfId="0" applyFont="1" applyFill="1" applyBorder="1" applyAlignment="1">
      <alignment vertical="center"/>
    </xf>
    <xf numFmtId="0" fontId="2" fillId="5" borderId="76" xfId="0" applyFont="1" applyFill="1" applyBorder="1" applyAlignment="1">
      <alignment horizontal="center" vertical="center"/>
    </xf>
    <xf numFmtId="0" fontId="1" fillId="5" borderId="76" xfId="0" applyFont="1" applyFill="1" applyBorder="1" applyAlignment="1">
      <alignment horizontal="center" vertical="center"/>
    </xf>
    <xf numFmtId="0" fontId="4" fillId="0" borderId="76" xfId="0" applyFont="1" applyBorder="1" applyAlignment="1">
      <alignment horizontal="center" textRotation="90"/>
    </xf>
    <xf numFmtId="0" fontId="4" fillId="6" borderId="76" xfId="0" applyFont="1" applyFill="1" applyBorder="1" applyAlignment="1">
      <alignment horizontal="center" textRotation="90"/>
    </xf>
    <xf numFmtId="181" fontId="1" fillId="5" borderId="1" xfId="0" applyNumberFormat="1" applyFont="1" applyFill="1" applyBorder="1" applyAlignment="1">
      <alignment vertical="center"/>
    </xf>
    <xf numFmtId="0" fontId="3" fillId="0" borderId="76" xfId="0" applyFont="1" applyBorder="1" applyAlignment="1">
      <alignment horizontal="center" vertical="center"/>
    </xf>
    <xf numFmtId="166" fontId="1" fillId="0" borderId="76" xfId="0" applyNumberFormat="1" applyFont="1" applyBorder="1" applyAlignment="1">
      <alignment horizontal="center" vertical="center"/>
    </xf>
    <xf numFmtId="166" fontId="2" fillId="4" borderId="76" xfId="0" applyNumberFormat="1" applyFont="1" applyFill="1" applyBorder="1" applyAlignment="1">
      <alignment horizontal="center" vertical="center"/>
    </xf>
    <xf numFmtId="166" fontId="2" fillId="3" borderId="85" xfId="0" applyNumberFormat="1" applyFont="1" applyFill="1" applyBorder="1" applyAlignment="1">
      <alignment horizontal="center" vertical="center"/>
    </xf>
    <xf numFmtId="166" fontId="2" fillId="5" borderId="76" xfId="0" applyNumberFormat="1" applyFont="1" applyFill="1" applyBorder="1" applyAlignment="1">
      <alignment horizontal="center" vertical="center"/>
    </xf>
    <xf numFmtId="3" fontId="48" fillId="0" borderId="0" xfId="0" applyNumberFormat="1" applyFont="1" applyAlignment="1">
      <alignment vertical="center"/>
    </xf>
    <xf numFmtId="49" fontId="3" fillId="0" borderId="76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 wrapText="1"/>
    </xf>
    <xf numFmtId="181" fontId="27" fillId="0" borderId="1" xfId="0" applyNumberFormat="1" applyFont="1" applyBorder="1" applyAlignment="1">
      <alignment vertical="center"/>
    </xf>
    <xf numFmtId="181" fontId="4" fillId="0" borderId="0" xfId="0" applyNumberFormat="1" applyFont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/>
    </xf>
    <xf numFmtId="181" fontId="4" fillId="3" borderId="8" xfId="0" applyNumberFormat="1" applyFont="1" applyFill="1" applyBorder="1" applyAlignment="1">
      <alignment horizontal="left" vertical="center"/>
    </xf>
    <xf numFmtId="181" fontId="4" fillId="3" borderId="1" xfId="0" applyNumberFormat="1" applyFont="1" applyFill="1" applyBorder="1" applyAlignment="1">
      <alignment vertical="center"/>
    </xf>
    <xf numFmtId="181" fontId="4" fillId="4" borderId="1" xfId="0" applyNumberFormat="1" applyFont="1" applyFill="1" applyBorder="1" applyAlignment="1">
      <alignment horizontal="center" vertical="center"/>
    </xf>
    <xf numFmtId="181" fontId="4" fillId="4" borderId="1" xfId="0" applyNumberFormat="1" applyFont="1" applyFill="1" applyBorder="1" applyAlignment="1">
      <alignment vertical="center"/>
    </xf>
    <xf numFmtId="181" fontId="4" fillId="9" borderId="1" xfId="0" applyNumberFormat="1" applyFont="1" applyFill="1" applyBorder="1" applyAlignment="1">
      <alignment horizontal="center" vertical="center"/>
    </xf>
    <xf numFmtId="181" fontId="4" fillId="9" borderId="1" xfId="0" applyNumberFormat="1" applyFont="1" applyFill="1" applyBorder="1" applyAlignment="1">
      <alignment vertical="center"/>
    </xf>
    <xf numFmtId="181" fontId="48" fillId="0" borderId="0" xfId="0" applyNumberFormat="1" applyFont="1" applyAlignment="1">
      <alignment vertical="center"/>
    </xf>
    <xf numFmtId="181" fontId="48" fillId="0" borderId="0" xfId="0" applyNumberFormat="1" applyFont="1" applyAlignment="1">
      <alignment horizontal="center" vertical="center"/>
    </xf>
    <xf numFmtId="181" fontId="48" fillId="0" borderId="1" xfId="0" applyNumberFormat="1" applyFont="1" applyBorder="1" applyAlignment="1">
      <alignment horizontal="center" vertical="center"/>
    </xf>
    <xf numFmtId="181" fontId="48" fillId="0" borderId="1" xfId="0" applyNumberFormat="1" applyFont="1" applyBorder="1" applyAlignment="1">
      <alignment vertical="center"/>
    </xf>
    <xf numFmtId="181" fontId="12" fillId="4" borderId="1" xfId="0" applyNumberFormat="1" applyFont="1" applyFill="1" applyBorder="1" applyAlignment="1">
      <alignment horizontal="center" vertical="center"/>
    </xf>
    <xf numFmtId="181" fontId="12" fillId="4" borderId="1" xfId="0" applyNumberFormat="1" applyFont="1" applyFill="1" applyBorder="1" applyAlignment="1">
      <alignment vertical="center"/>
    </xf>
    <xf numFmtId="181" fontId="12" fillId="9" borderId="1" xfId="0" applyNumberFormat="1" applyFont="1" applyFill="1" applyBorder="1" applyAlignment="1">
      <alignment horizontal="center" vertical="center"/>
    </xf>
    <xf numFmtId="181" fontId="12" fillId="9" borderId="1" xfId="0" applyNumberFormat="1" applyFont="1" applyFill="1" applyBorder="1" applyAlignment="1">
      <alignment vertical="center"/>
    </xf>
    <xf numFmtId="181" fontId="28" fillId="0" borderId="0" xfId="0" applyNumberFormat="1" applyFont="1" applyAlignment="1">
      <alignment vertical="center"/>
    </xf>
    <xf numFmtId="181" fontId="28" fillId="0" borderId="0" xfId="0" applyNumberFormat="1" applyFont="1" applyAlignment="1">
      <alignment horizontal="center" vertical="center"/>
    </xf>
    <xf numFmtId="181" fontId="28" fillId="0" borderId="1" xfId="0" applyNumberFormat="1" applyFont="1" applyBorder="1" applyAlignment="1">
      <alignment horizontal="center" vertical="center"/>
    </xf>
    <xf numFmtId="181" fontId="28" fillId="0" borderId="1" xfId="0" applyNumberFormat="1" applyFont="1" applyBorder="1" applyAlignment="1">
      <alignment vertical="center"/>
    </xf>
    <xf numFmtId="4" fontId="27" fillId="0" borderId="1" xfId="0" applyNumberFormat="1" applyFont="1" applyBorder="1" applyAlignment="1">
      <alignment vertical="center"/>
    </xf>
    <xf numFmtId="0" fontId="3" fillId="0" borderId="1" xfId="2" applyFont="1" applyBorder="1" applyAlignment="1">
      <alignment horizontal="center"/>
    </xf>
    <xf numFmtId="170" fontId="3" fillId="0" borderId="1" xfId="2" applyNumberFormat="1" applyFont="1" applyBorder="1" applyAlignment="1">
      <alignment horizontal="center"/>
    </xf>
    <xf numFmtId="185" fontId="27" fillId="0" borderId="1" xfId="0" applyNumberFormat="1" applyFont="1" applyBorder="1" applyAlignment="1">
      <alignment vertical="center"/>
    </xf>
    <xf numFmtId="181" fontId="28" fillId="2" borderId="76" xfId="0" applyNumberFormat="1" applyFont="1" applyFill="1" applyBorder="1" applyAlignment="1">
      <alignment horizontal="center" vertical="center"/>
    </xf>
    <xf numFmtId="181" fontId="28" fillId="2" borderId="76" xfId="0" applyNumberFormat="1" applyFont="1" applyFill="1" applyBorder="1" applyAlignment="1">
      <alignment vertical="center"/>
    </xf>
    <xf numFmtId="184" fontId="1" fillId="0" borderId="0" xfId="0" applyNumberFormat="1" applyFont="1" applyAlignment="1">
      <alignment vertical="center"/>
    </xf>
    <xf numFmtId="184" fontId="27" fillId="0" borderId="0" xfId="0" applyNumberFormat="1" applyFont="1" applyAlignment="1">
      <alignment vertical="center"/>
    </xf>
    <xf numFmtId="166" fontId="27" fillId="0" borderId="1" xfId="0" applyNumberFormat="1" applyFont="1" applyBorder="1" applyAlignment="1">
      <alignment vertical="center"/>
    </xf>
    <xf numFmtId="181" fontId="5" fillId="2" borderId="76" xfId="0" applyNumberFormat="1" applyFont="1" applyFill="1" applyBorder="1" applyAlignment="1">
      <alignment horizontal="center" vertical="center"/>
    </xf>
    <xf numFmtId="181" fontId="5" fillId="2" borderId="76" xfId="0" applyNumberFormat="1" applyFont="1" applyFill="1" applyBorder="1" applyAlignment="1">
      <alignment vertical="center"/>
    </xf>
    <xf numFmtId="0" fontId="3" fillId="0" borderId="0" xfId="0" applyFont="1" applyAlignment="1">
      <alignment horizontal="center"/>
    </xf>
    <xf numFmtId="0" fontId="4" fillId="3" borderId="2" xfId="0" applyFont="1" applyFill="1" applyBorder="1" applyAlignment="1">
      <alignment vertical="center"/>
    </xf>
    <xf numFmtId="168" fontId="4" fillId="3" borderId="4" xfId="0" applyNumberFormat="1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81" fontId="3" fillId="4" borderId="1" xfId="0" applyNumberFormat="1" applyFont="1" applyFill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1" fillId="0" borderId="1" xfId="0" quotePrefix="1" applyNumberFormat="1" applyFont="1" applyBorder="1" applyAlignment="1">
      <alignment vertical="center" wrapText="1"/>
    </xf>
    <xf numFmtId="3" fontId="12" fillId="0" borderId="90" xfId="0" applyNumberFormat="1" applyFont="1" applyBorder="1" applyAlignment="1">
      <alignment vertical="center"/>
    </xf>
    <xf numFmtId="3" fontId="12" fillId="0" borderId="76" xfId="0" applyNumberFormat="1" applyFont="1" applyBorder="1" applyAlignment="1">
      <alignment vertical="center"/>
    </xf>
    <xf numFmtId="3" fontId="27" fillId="0" borderId="87" xfId="0" applyNumberFormat="1" applyFont="1" applyBorder="1"/>
    <xf numFmtId="1" fontId="27" fillId="0" borderId="90" xfId="7" quotePrefix="1" applyNumberFormat="1" applyFont="1" applyBorder="1" applyAlignment="1">
      <alignment horizontal="right"/>
    </xf>
    <xf numFmtId="3" fontId="27" fillId="0" borderId="8" xfId="0" applyNumberFormat="1" applyFont="1" applyBorder="1"/>
    <xf numFmtId="0" fontId="5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3" fontId="12" fillId="0" borderId="76" xfId="0" applyNumberFormat="1" applyFont="1" applyBorder="1" applyAlignment="1">
      <alignment horizontal="center" vertical="center"/>
    </xf>
    <xf numFmtId="3" fontId="12" fillId="0" borderId="76" xfId="0" applyNumberFormat="1" applyFont="1" applyBorder="1" applyAlignment="1">
      <alignment horizontal="center" vertical="center" wrapText="1"/>
    </xf>
    <xf numFmtId="3" fontId="12" fillId="0" borderId="90" xfId="0" applyNumberFormat="1" applyFont="1" applyBorder="1" applyAlignment="1">
      <alignment horizontal="center" vertical="center"/>
    </xf>
    <xf numFmtId="3" fontId="12" fillId="0" borderId="90" xfId="0" applyNumberFormat="1" applyFont="1" applyBorder="1" applyAlignment="1">
      <alignment vertical="center" wrapText="1"/>
    </xf>
    <xf numFmtId="3" fontId="12" fillId="0" borderId="76" xfId="0" applyNumberFormat="1" applyFont="1" applyBorder="1" applyAlignment="1">
      <alignment vertical="center" wrapText="1"/>
    </xf>
    <xf numFmtId="3" fontId="27" fillId="0" borderId="90" xfId="0" applyNumberFormat="1" applyFont="1" applyBorder="1"/>
    <xf numFmtId="187" fontId="27" fillId="0" borderId="90" xfId="7" applyNumberFormat="1" applyFont="1" applyBorder="1"/>
    <xf numFmtId="3" fontId="12" fillId="0" borderId="0" xfId="0" applyNumberFormat="1" applyFont="1"/>
    <xf numFmtId="3" fontId="27" fillId="0" borderId="0" xfId="0" quotePrefix="1" applyNumberFormat="1" applyFont="1"/>
    <xf numFmtId="3" fontId="27" fillId="0" borderId="0" xfId="0" applyNumberFormat="1" applyFont="1"/>
    <xf numFmtId="3" fontId="51" fillId="0" borderId="0" xfId="0" applyNumberFormat="1" applyFont="1"/>
    <xf numFmtId="3" fontId="27" fillId="0" borderId="0" xfId="0" applyNumberFormat="1" applyFont="1" applyAlignment="1">
      <alignment wrapText="1"/>
    </xf>
    <xf numFmtId="3" fontId="49" fillId="0" borderId="0" xfId="0" quotePrefix="1" applyNumberFormat="1" applyFont="1"/>
    <xf numFmtId="167" fontId="27" fillId="0" borderId="0" xfId="1" applyNumberFormat="1" applyFont="1"/>
    <xf numFmtId="3" fontId="49" fillId="0" borderId="0" xfId="0" applyNumberFormat="1" applyFont="1"/>
    <xf numFmtId="164" fontId="27" fillId="0" borderId="0" xfId="0" applyNumberFormat="1" applyFont="1"/>
    <xf numFmtId="188" fontId="53" fillId="0" borderId="0" xfId="1" applyNumberFormat="1" applyFont="1"/>
    <xf numFmtId="166" fontId="2" fillId="4" borderId="76" xfId="0" applyNumberFormat="1" applyFont="1" applyFill="1" applyBorder="1" applyAlignment="1">
      <alignment vertical="center"/>
    </xf>
    <xf numFmtId="3" fontId="2" fillId="0" borderId="0" xfId="0" applyNumberFormat="1" applyFont="1" applyAlignment="1">
      <alignment horizontal="centerContinuous" vertical="center" wrapText="1"/>
    </xf>
    <xf numFmtId="186" fontId="3" fillId="0" borderId="0" xfId="0" applyNumberFormat="1" applyFont="1" applyAlignment="1">
      <alignment vertical="center"/>
    </xf>
    <xf numFmtId="181" fontId="27" fillId="5" borderId="1" xfId="0" applyNumberFormat="1" applyFont="1" applyFill="1" applyBorder="1" applyAlignment="1">
      <alignment vertical="center"/>
    </xf>
    <xf numFmtId="3" fontId="1" fillId="0" borderId="1" xfId="0" applyNumberFormat="1" applyFont="1" applyBorder="1" applyAlignment="1">
      <alignment horizontal="center" vertical="center" wrapText="1"/>
    </xf>
    <xf numFmtId="43" fontId="1" fillId="0" borderId="0" xfId="1" applyFont="1" applyAlignment="1">
      <alignment vertical="center"/>
    </xf>
    <xf numFmtId="181" fontId="7" fillId="20" borderId="1" xfId="0" applyNumberFormat="1" applyFont="1" applyFill="1" applyBorder="1" applyAlignment="1">
      <alignment horizontal="center" vertical="center"/>
    </xf>
    <xf numFmtId="181" fontId="7" fillId="20" borderId="1" xfId="0" applyNumberFormat="1" applyFont="1" applyFill="1" applyBorder="1" applyAlignment="1">
      <alignment vertical="center"/>
    </xf>
    <xf numFmtId="181" fontId="10" fillId="5" borderId="1" xfId="0" applyNumberFormat="1" applyFont="1" applyFill="1" applyBorder="1" applyAlignment="1">
      <alignment vertical="center"/>
    </xf>
    <xf numFmtId="181" fontId="10" fillId="5" borderId="1" xfId="1" applyNumberFormat="1" applyFont="1" applyFill="1" applyBorder="1" applyAlignment="1">
      <alignment vertical="center"/>
    </xf>
    <xf numFmtId="165" fontId="10" fillId="0" borderId="1" xfId="0" applyNumberFormat="1" applyFont="1" applyBorder="1" applyAlignment="1">
      <alignment vertical="center"/>
    </xf>
    <xf numFmtId="165" fontId="9" fillId="0" borderId="0" xfId="0" applyNumberFormat="1" applyFont="1" applyAlignment="1">
      <alignment vertical="center"/>
    </xf>
    <xf numFmtId="165" fontId="9" fillId="0" borderId="1" xfId="0" applyNumberFormat="1" applyFont="1" applyBorder="1" applyAlignment="1">
      <alignment horizontal="center" vertical="center"/>
    </xf>
    <xf numFmtId="165" fontId="9" fillId="0" borderId="1" xfId="0" applyNumberFormat="1" applyFont="1" applyBorder="1" applyAlignment="1">
      <alignment vertical="center"/>
    </xf>
    <xf numFmtId="165" fontId="12" fillId="0" borderId="1" xfId="0" applyNumberFormat="1" applyFont="1" applyBorder="1" applyAlignment="1">
      <alignment vertical="center"/>
    </xf>
    <xf numFmtId="165" fontId="10" fillId="0" borderId="0" xfId="0" applyNumberFormat="1" applyFont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vertical="center"/>
    </xf>
    <xf numFmtId="181" fontId="12" fillId="0" borderId="0" xfId="0" applyNumberFormat="1" applyFont="1" applyAlignment="1">
      <alignment horizontal="center" vertical="center"/>
    </xf>
    <xf numFmtId="181" fontId="12" fillId="0" borderId="0" xfId="0" applyNumberFormat="1" applyFont="1" applyAlignment="1">
      <alignment horizontal="centerContinuous" vertical="center"/>
    </xf>
    <xf numFmtId="181" fontId="12" fillId="0" borderId="6" xfId="0" applyNumberFormat="1" applyFont="1" applyBorder="1" applyAlignment="1">
      <alignment vertical="center" wrapText="1"/>
    </xf>
    <xf numFmtId="181" fontId="12" fillId="0" borderId="5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vertical="center" wrapText="1"/>
    </xf>
    <xf numFmtId="181" fontId="12" fillId="0" borderId="1" xfId="0" applyNumberFormat="1" applyFont="1" applyBorder="1" applyAlignment="1">
      <alignment vertical="center" wrapText="1"/>
    </xf>
    <xf numFmtId="181" fontId="12" fillId="0" borderId="84" xfId="0" applyNumberFormat="1" applyFont="1" applyBorder="1" applyAlignment="1">
      <alignment horizontal="centerContinuous" vertical="center" wrapText="1"/>
    </xf>
    <xf numFmtId="181" fontId="12" fillId="0" borderId="85" xfId="0" applyNumberFormat="1" applyFont="1" applyBorder="1" applyAlignment="1">
      <alignment horizontal="centerContinuous" vertical="center" wrapText="1"/>
    </xf>
    <xf numFmtId="181" fontId="12" fillId="0" borderId="86" xfId="0" applyNumberFormat="1" applyFont="1" applyBorder="1" applyAlignment="1">
      <alignment horizontal="centerContinuous" vertical="center" wrapText="1"/>
    </xf>
    <xf numFmtId="181" fontId="27" fillId="0" borderId="6" xfId="0" applyNumberFormat="1" applyFont="1" applyBorder="1" applyAlignment="1">
      <alignment vertical="center"/>
    </xf>
    <xf numFmtId="181" fontId="27" fillId="0" borderId="5" xfId="0" applyNumberFormat="1" applyFont="1" applyBorder="1" applyAlignment="1">
      <alignment horizontal="center" vertical="center"/>
    </xf>
    <xf numFmtId="181" fontId="12" fillId="3" borderId="1" xfId="0" applyNumberFormat="1" applyFont="1" applyFill="1" applyBorder="1" applyAlignment="1">
      <alignment horizontal="center" vertical="center"/>
    </xf>
    <xf numFmtId="181" fontId="12" fillId="3" borderId="1" xfId="0" applyNumberFormat="1" applyFont="1" applyFill="1" applyBorder="1" applyAlignment="1">
      <alignment vertical="center"/>
    </xf>
    <xf numFmtId="181" fontId="12" fillId="7" borderId="1" xfId="0" applyNumberFormat="1" applyFont="1" applyFill="1" applyBorder="1" applyAlignment="1">
      <alignment horizontal="center" vertical="center"/>
    </xf>
    <xf numFmtId="181" fontId="12" fillId="7" borderId="1" xfId="0" applyNumberFormat="1" applyFont="1" applyFill="1" applyBorder="1" applyAlignment="1">
      <alignment vertical="center"/>
    </xf>
    <xf numFmtId="181" fontId="28" fillId="0" borderId="6" xfId="0" applyNumberFormat="1" applyFont="1" applyBorder="1" applyAlignment="1">
      <alignment vertical="center"/>
    </xf>
    <xf numFmtId="181" fontId="28" fillId="0" borderId="5" xfId="0" applyNumberFormat="1" applyFont="1" applyBorder="1" applyAlignment="1">
      <alignment horizontal="center" vertical="center"/>
    </xf>
    <xf numFmtId="165" fontId="27" fillId="0" borderId="1" xfId="0" applyNumberFormat="1" applyFont="1" applyBorder="1" applyAlignment="1">
      <alignment vertical="center"/>
    </xf>
    <xf numFmtId="166" fontId="27" fillId="0" borderId="0" xfId="0" applyNumberFormat="1" applyFont="1" applyAlignment="1">
      <alignment vertical="center"/>
    </xf>
    <xf numFmtId="186" fontId="28" fillId="0" borderId="1" xfId="0" applyNumberFormat="1" applyFont="1" applyBorder="1" applyAlignment="1">
      <alignment vertical="center"/>
    </xf>
    <xf numFmtId="0" fontId="27" fillId="0" borderId="0" xfId="4" applyFont="1" applyAlignment="1">
      <alignment horizontal="left" vertical="center" wrapText="1" shrinkToFit="1"/>
    </xf>
    <xf numFmtId="0" fontId="27" fillId="0" borderId="0" xfId="4" applyFont="1" applyAlignment="1">
      <alignment horizontal="center" vertical="center" wrapText="1" shrinkToFit="1"/>
    </xf>
    <xf numFmtId="0" fontId="27" fillId="0" borderId="0" xfId="4" quotePrefix="1" applyFont="1" applyAlignment="1">
      <alignment horizontal="left" vertical="center" wrapText="1" shrinkToFit="1"/>
    </xf>
    <xf numFmtId="0" fontId="27" fillId="0" borderId="0" xfId="4" applyFont="1" applyAlignment="1">
      <alignment horizontal="left" vertical="center" wrapText="1"/>
    </xf>
    <xf numFmtId="3" fontId="27" fillId="0" borderId="0" xfId="4" applyNumberFormat="1" applyFont="1" applyAlignment="1">
      <alignment horizontal="center" vertical="center" wrapText="1"/>
    </xf>
    <xf numFmtId="181" fontId="2" fillId="21" borderId="1" xfId="0" applyNumberFormat="1" applyFont="1" applyFill="1" applyBorder="1" applyAlignment="1">
      <alignment horizontal="center" vertical="center"/>
    </xf>
    <xf numFmtId="181" fontId="2" fillId="21" borderId="1" xfId="0" applyNumberFormat="1" applyFont="1" applyFill="1" applyBorder="1" applyAlignment="1">
      <alignment vertical="center"/>
    </xf>
    <xf numFmtId="181" fontId="27" fillId="0" borderId="1" xfId="0" applyNumberFormat="1" applyFont="1" applyBorder="1" applyAlignment="1">
      <alignment horizontal="center" vertical="center" wrapText="1"/>
    </xf>
    <xf numFmtId="181" fontId="3" fillId="22" borderId="1" xfId="0" applyNumberFormat="1" applyFont="1" applyFill="1" applyBorder="1" applyAlignment="1">
      <alignment vertical="center"/>
    </xf>
    <xf numFmtId="165" fontId="3" fillId="22" borderId="1" xfId="0" applyNumberFormat="1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3" fillId="2" borderId="76" xfId="0" applyFont="1" applyFill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3" fillId="5" borderId="1" xfId="0" applyNumberFormat="1" applyFont="1" applyFill="1" applyBorder="1" applyAlignment="1">
      <alignment vertical="center"/>
    </xf>
    <xf numFmtId="4" fontId="3" fillId="0" borderId="1" xfId="0" applyNumberFormat="1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76" xfId="0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 wrapText="1"/>
    </xf>
    <xf numFmtId="181" fontId="27" fillId="22" borderId="0" xfId="0" applyNumberFormat="1" applyFont="1" applyFill="1" applyAlignment="1">
      <alignment vertical="center"/>
    </xf>
    <xf numFmtId="165" fontId="27" fillId="0" borderId="0" xfId="0" applyNumberFormat="1" applyFont="1" applyAlignment="1">
      <alignment vertical="center"/>
    </xf>
    <xf numFmtId="181" fontId="12" fillId="11" borderId="0" xfId="0" applyNumberFormat="1" applyFont="1" applyFill="1" applyAlignment="1">
      <alignment horizontal="center" vertical="center"/>
    </xf>
    <xf numFmtId="181" fontId="12" fillId="22" borderId="0" xfId="0" applyNumberFormat="1" applyFont="1" applyFill="1" applyAlignment="1">
      <alignment horizontal="centerContinuous" vertical="center"/>
    </xf>
    <xf numFmtId="181" fontId="12" fillId="22" borderId="1" xfId="0" applyNumberFormat="1" applyFont="1" applyFill="1" applyBorder="1" applyAlignment="1">
      <alignment vertical="center"/>
    </xf>
    <xf numFmtId="165" fontId="12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vertical="center"/>
    </xf>
    <xf numFmtId="165" fontId="27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horizontal="center" vertical="center"/>
    </xf>
    <xf numFmtId="3" fontId="27" fillId="0" borderId="76" xfId="0" applyNumberFormat="1" applyFont="1" applyBorder="1" applyAlignment="1">
      <alignment vertical="center"/>
    </xf>
    <xf numFmtId="165" fontId="27" fillId="0" borderId="76" xfId="0" applyNumberFormat="1" applyFont="1" applyBorder="1" applyAlignment="1">
      <alignment vertical="center"/>
    </xf>
    <xf numFmtId="165" fontId="12" fillId="4" borderId="1" xfId="0" applyNumberFormat="1" applyFont="1" applyFill="1" applyBorder="1" applyAlignment="1">
      <alignment vertical="center"/>
    </xf>
    <xf numFmtId="181" fontId="27" fillId="0" borderId="1" xfId="0" applyNumberFormat="1" applyFont="1" applyFill="1" applyBorder="1" applyAlignment="1">
      <alignment horizontal="center" vertical="center"/>
    </xf>
    <xf numFmtId="181" fontId="27" fillId="0" borderId="1" xfId="0" applyNumberFormat="1" applyFont="1" applyFill="1" applyBorder="1" applyAlignment="1">
      <alignment horizontal="center" vertical="center" wrapText="1"/>
    </xf>
    <xf numFmtId="181" fontId="27" fillId="0" borderId="1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vertical="center" wrapText="1"/>
    </xf>
    <xf numFmtId="181" fontId="27" fillId="9" borderId="1" xfId="0" applyNumberFormat="1" applyFont="1" applyFill="1" applyBorder="1" applyAlignment="1">
      <alignment vertical="center" wrapText="1"/>
    </xf>
    <xf numFmtId="3" fontId="1" fillId="0" borderId="76" xfId="0" applyNumberFormat="1" applyFont="1" applyBorder="1" applyAlignment="1">
      <alignment horizontal="center" vertical="center"/>
    </xf>
    <xf numFmtId="0" fontId="1" fillId="0" borderId="76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2" fillId="0" borderId="76" xfId="0" applyFont="1" applyBorder="1" applyAlignment="1">
      <alignment vertical="center"/>
    </xf>
    <xf numFmtId="181" fontId="3" fillId="5" borderId="1" xfId="0" applyNumberFormat="1" applyFont="1" applyFill="1" applyBorder="1" applyAlignment="1">
      <alignment horizontal="center" vertical="center" wrapText="1"/>
    </xf>
    <xf numFmtId="3" fontId="27" fillId="0" borderId="79" xfId="4" applyNumberFormat="1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/>
    </xf>
    <xf numFmtId="3" fontId="34" fillId="0" borderId="1" xfId="2" applyNumberFormat="1" applyFont="1" applyBorder="1" applyAlignment="1">
      <alignment horizontal="center" vertical="center"/>
    </xf>
    <xf numFmtId="3" fontId="34" fillId="17" borderId="1" xfId="2" applyNumberFormat="1" applyFont="1" applyFill="1" applyBorder="1" applyAlignment="1">
      <alignment horizontal="center" vertical="center"/>
    </xf>
    <xf numFmtId="3" fontId="27" fillId="3" borderId="76" xfId="0" applyNumberFormat="1" applyFont="1" applyFill="1" applyBorder="1" applyAlignment="1">
      <alignment vertical="center"/>
    </xf>
    <xf numFmtId="3" fontId="3" fillId="2" borderId="76" xfId="0" applyNumberFormat="1" applyFont="1" applyFill="1" applyBorder="1" applyAlignment="1">
      <alignment vertical="center"/>
    </xf>
    <xf numFmtId="165" fontId="3" fillId="2" borderId="76" xfId="0" applyNumberFormat="1" applyFont="1" applyFill="1" applyBorder="1" applyAlignment="1">
      <alignment vertical="center"/>
    </xf>
    <xf numFmtId="3" fontId="3" fillId="3" borderId="76" xfId="0" applyNumberFormat="1" applyFont="1" applyFill="1" applyBorder="1" applyAlignment="1">
      <alignment vertical="center"/>
    </xf>
    <xf numFmtId="3" fontId="27" fillId="5" borderId="76" xfId="0" applyNumberFormat="1" applyFont="1" applyFill="1" applyBorder="1" applyAlignment="1">
      <alignment vertical="center"/>
    </xf>
    <xf numFmtId="0" fontId="37" fillId="0" borderId="0" xfId="0" applyFont="1" applyAlignment="1" applyProtection="1">
      <alignment horizontal="left" vertical="center"/>
      <protection hidden="1"/>
    </xf>
    <xf numFmtId="0" fontId="3" fillId="0" borderId="0" xfId="0" applyFont="1"/>
    <xf numFmtId="0" fontId="2" fillId="0" borderId="76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3" borderId="85" xfId="0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76" xfId="0" applyNumberFormat="1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horizontal="center" vertical="center"/>
    </xf>
    <xf numFmtId="166" fontId="1" fillId="0" borderId="76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vertical="center" wrapText="1"/>
    </xf>
    <xf numFmtId="49" fontId="3" fillId="0" borderId="76" xfId="0" quotePrefix="1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49" fontId="27" fillId="0" borderId="76" xfId="0" applyNumberFormat="1" applyFont="1" applyFill="1" applyBorder="1" applyAlignment="1">
      <alignment horizontal="center" vertical="center"/>
    </xf>
    <xf numFmtId="49" fontId="27" fillId="0" borderId="76" xfId="0" quotePrefix="1" applyNumberFormat="1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vertical="center"/>
    </xf>
    <xf numFmtId="166" fontId="27" fillId="0" borderId="76" xfId="0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vertical="center"/>
    </xf>
    <xf numFmtId="0" fontId="27" fillId="0" borderId="76" xfId="0" applyFont="1" applyFill="1" applyBorder="1" applyAlignment="1">
      <alignment vertical="center" wrapText="1"/>
    </xf>
    <xf numFmtId="49" fontId="1" fillId="0" borderId="76" xfId="0" applyNumberFormat="1" applyFont="1" applyFill="1" applyBorder="1" applyAlignment="1">
      <alignment horizontal="center" vertical="center"/>
    </xf>
    <xf numFmtId="49" fontId="1" fillId="0" borderId="76" xfId="0" quotePrefix="1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8" fontId="3" fillId="0" borderId="1" xfId="0" applyNumberFormat="1" applyFont="1" applyFill="1" applyBorder="1" applyAlignment="1">
      <alignment horizontal="center" vertical="center"/>
    </xf>
    <xf numFmtId="168" fontId="1" fillId="0" borderId="1" xfId="0" applyNumberFormat="1" applyFont="1" applyFill="1" applyBorder="1" applyAlignment="1">
      <alignment horizontal="center" vertical="center"/>
    </xf>
    <xf numFmtId="49" fontId="4" fillId="0" borderId="76" xfId="0" quotePrefix="1" applyNumberFormat="1" applyFont="1" applyBorder="1" applyAlignment="1">
      <alignment horizontal="center" vertical="center"/>
    </xf>
    <xf numFmtId="0" fontId="1" fillId="10" borderId="76" xfId="0" applyFont="1" applyFill="1" applyBorder="1" applyAlignment="1">
      <alignment horizontal="center" vertical="center"/>
    </xf>
    <xf numFmtId="168" fontId="1" fillId="0" borderId="76" xfId="0" applyNumberFormat="1" applyFont="1" applyBorder="1" applyAlignment="1">
      <alignment horizontal="center" vertical="center"/>
    </xf>
    <xf numFmtId="168" fontId="3" fillId="5" borderId="76" xfId="0" applyNumberFormat="1" applyFont="1" applyFill="1" applyBorder="1" applyAlignment="1">
      <alignment horizontal="center" vertical="center"/>
    </xf>
    <xf numFmtId="0" fontId="3" fillId="10" borderId="76" xfId="0" applyFont="1" applyFill="1" applyBorder="1" applyAlignment="1">
      <alignment horizontal="center" vertical="center"/>
    </xf>
    <xf numFmtId="168" fontId="3" fillId="0" borderId="7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2" borderId="76" xfId="0" applyFont="1" applyFill="1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/>
    </xf>
    <xf numFmtId="189" fontId="2" fillId="4" borderId="1" xfId="0" applyNumberFormat="1" applyFont="1" applyFill="1" applyBorder="1" applyAlignment="1">
      <alignment vertical="center"/>
    </xf>
    <xf numFmtId="49" fontId="3" fillId="0" borderId="76" xfId="0" quotePrefix="1" applyNumberFormat="1" applyFont="1" applyBorder="1" applyAlignment="1">
      <alignment horizontal="center" vertical="center"/>
    </xf>
    <xf numFmtId="0" fontId="3" fillId="5" borderId="76" xfId="0" applyFont="1" applyFill="1" applyBorder="1" applyAlignment="1">
      <alignment horizontal="center" vertical="center"/>
    </xf>
    <xf numFmtId="3" fontId="27" fillId="2" borderId="76" xfId="0" applyNumberFormat="1" applyFont="1" applyFill="1" applyBorder="1" applyAlignment="1">
      <alignment vertical="center"/>
    </xf>
    <xf numFmtId="181" fontId="3" fillId="22" borderId="76" xfId="0" applyNumberFormat="1" applyFont="1" applyFill="1" applyBorder="1" applyAlignment="1">
      <alignment vertical="center"/>
    </xf>
    <xf numFmtId="165" fontId="3" fillId="22" borderId="76" xfId="0" applyNumberFormat="1" applyFont="1" applyFill="1" applyBorder="1" applyAlignment="1">
      <alignment vertical="center"/>
    </xf>
    <xf numFmtId="181" fontId="27" fillId="22" borderId="76" xfId="0" applyNumberFormat="1" applyFont="1" applyFill="1" applyBorder="1" applyAlignment="1">
      <alignment vertical="center"/>
    </xf>
    <xf numFmtId="165" fontId="27" fillId="22" borderId="76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vertical="center" wrapText="1"/>
    </xf>
    <xf numFmtId="181" fontId="12" fillId="3" borderId="1" xfId="0" applyNumberFormat="1" applyFont="1" applyFill="1" applyBorder="1" applyAlignment="1">
      <alignment vertical="center" wrapText="1"/>
    </xf>
    <xf numFmtId="181" fontId="12" fillId="7" borderId="1" xfId="0" applyNumberFormat="1" applyFont="1" applyFill="1" applyBorder="1" applyAlignment="1">
      <alignment vertical="center" wrapText="1"/>
    </xf>
    <xf numFmtId="181" fontId="28" fillId="0" borderId="1" xfId="0" applyNumberFormat="1" applyFont="1" applyBorder="1" applyAlignment="1">
      <alignment vertical="center" wrapText="1"/>
    </xf>
    <xf numFmtId="181" fontId="6" fillId="0" borderId="1" xfId="0" applyNumberFormat="1" applyFont="1" applyBorder="1" applyAlignment="1">
      <alignment vertical="center" wrapText="1"/>
    </xf>
    <xf numFmtId="181" fontId="2" fillId="7" borderId="1" xfId="0" applyNumberFormat="1" applyFont="1" applyFill="1" applyBorder="1" applyAlignment="1">
      <alignment vertical="center" wrapText="1"/>
    </xf>
    <xf numFmtId="181" fontId="5" fillId="0" borderId="1" xfId="0" applyNumberFormat="1" applyFont="1" applyBorder="1" applyAlignment="1">
      <alignment vertical="center" wrapText="1"/>
    </xf>
    <xf numFmtId="180" fontId="3" fillId="0" borderId="1" xfId="0" applyNumberFormat="1" applyFont="1" applyBorder="1" applyAlignment="1">
      <alignment vertical="center"/>
    </xf>
    <xf numFmtId="185" fontId="3" fillId="0" borderId="76" xfId="0" applyNumberFormat="1" applyFont="1" applyBorder="1" applyAlignment="1">
      <alignment vertical="center"/>
    </xf>
    <xf numFmtId="165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Fill="1" applyBorder="1" applyAlignment="1">
      <alignment vertical="center"/>
    </xf>
    <xf numFmtId="181" fontId="6" fillId="0" borderId="76" xfId="0" applyNumberFormat="1" applyFont="1" applyBorder="1" applyAlignment="1">
      <alignment horizontal="center" vertical="center"/>
    </xf>
    <xf numFmtId="181" fontId="6" fillId="0" borderId="76" xfId="0" applyNumberFormat="1" applyFont="1" applyBorder="1" applyAlignment="1">
      <alignment vertical="center"/>
    </xf>
    <xf numFmtId="181" fontId="27" fillId="0" borderId="76" xfId="0" applyNumberFormat="1" applyFont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vertical="center"/>
    </xf>
    <xf numFmtId="181" fontId="28" fillId="0" borderId="76" xfId="0" applyNumberFormat="1" applyFont="1" applyBorder="1" applyAlignment="1">
      <alignment horizontal="center" vertical="center"/>
    </xf>
    <xf numFmtId="181" fontId="28" fillId="0" borderId="76" xfId="0" applyNumberFormat="1" applyFont="1" applyBorder="1" applyAlignment="1">
      <alignment vertical="center"/>
    </xf>
    <xf numFmtId="181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Border="1" applyAlignment="1">
      <alignment vertical="center"/>
    </xf>
    <xf numFmtId="0" fontId="3" fillId="5" borderId="0" xfId="4" applyFont="1" applyFill="1" applyAlignment="1">
      <alignment horizontal="center" vertical="center" wrapText="1" shrinkToFit="1"/>
    </xf>
    <xf numFmtId="0" fontId="27" fillId="0" borderId="0" xfId="0" applyFont="1" applyAlignment="1">
      <alignment horizontal="center" vertical="center"/>
    </xf>
    <xf numFmtId="166" fontId="27" fillId="0" borderId="76" xfId="0" applyNumberFormat="1" applyFont="1" applyBorder="1" applyAlignment="1">
      <alignment horizontal="center" vertical="center"/>
    </xf>
    <xf numFmtId="0" fontId="27" fillId="0" borderId="76" xfId="0" applyFont="1" applyBorder="1" applyAlignment="1">
      <alignment vertical="center"/>
    </xf>
    <xf numFmtId="0" fontId="27" fillId="0" borderId="0" xfId="0" applyFont="1" applyAlignment="1">
      <alignment vertical="center"/>
    </xf>
    <xf numFmtId="49" fontId="27" fillId="0" borderId="76" xfId="0" quotePrefix="1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7" fillId="0" borderId="0" xfId="0" applyFont="1" applyFill="1" applyAlignment="1">
      <alignment horizontal="left" vertical="center"/>
    </xf>
    <xf numFmtId="0" fontId="27" fillId="2" borderId="76" xfId="0" applyFont="1" applyFill="1" applyBorder="1" applyAlignment="1">
      <alignment vertical="center"/>
    </xf>
    <xf numFmtId="0" fontId="27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vertical="center"/>
    </xf>
    <xf numFmtId="0" fontId="27" fillId="3" borderId="76" xfId="0" applyFont="1" applyFill="1" applyBorder="1" applyAlignment="1">
      <alignment horizontal="center" vertical="center"/>
    </xf>
    <xf numFmtId="0" fontId="27" fillId="3" borderId="76" xfId="0" applyFont="1" applyFill="1" applyBorder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27" fillId="5" borderId="76" xfId="0" applyFont="1" applyFill="1" applyBorder="1" applyAlignment="1">
      <alignment horizontal="center" vertical="center"/>
    </xf>
    <xf numFmtId="0" fontId="27" fillId="5" borderId="76" xfId="0" applyFont="1" applyFill="1" applyBorder="1" applyAlignment="1">
      <alignment vertical="center"/>
    </xf>
    <xf numFmtId="0" fontId="27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1" fillId="0" borderId="0" xfId="0" applyNumberFormat="1" applyFont="1" applyAlignment="1">
      <alignment vertical="center" wrapText="1"/>
    </xf>
    <xf numFmtId="181" fontId="3" fillId="0" borderId="0" xfId="0" applyNumberFormat="1" applyFont="1" applyAlignment="1">
      <alignment horizontal="right" vertical="center" wrapText="1"/>
    </xf>
    <xf numFmtId="181" fontId="3" fillId="0" borderId="0" xfId="0" applyNumberFormat="1" applyFont="1" applyAlignment="1">
      <alignment vertical="center" wrapText="1"/>
    </xf>
    <xf numFmtId="181" fontId="6" fillId="0" borderId="0" xfId="0" applyNumberFormat="1" applyFont="1" applyAlignment="1">
      <alignment vertical="center" wrapText="1"/>
    </xf>
    <xf numFmtId="181" fontId="2" fillId="10" borderId="0" xfId="0" applyNumberFormat="1" applyFont="1" applyFill="1" applyAlignment="1">
      <alignment horizontal="center" vertical="center" wrapText="1"/>
    </xf>
    <xf numFmtId="181" fontId="2" fillId="0" borderId="0" xfId="0" applyNumberFormat="1" applyFont="1" applyAlignment="1">
      <alignment horizontal="centerContinuous" vertical="center" wrapText="1"/>
    </xf>
    <xf numFmtId="181" fontId="2" fillId="3" borderId="8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vertical="center" wrapText="1"/>
    </xf>
    <xf numFmtId="181" fontId="1" fillId="0" borderId="1" xfId="0" applyNumberFormat="1" applyFont="1" applyBorder="1" applyAlignment="1">
      <alignment vertical="center" wrapText="1"/>
    </xf>
    <xf numFmtId="181" fontId="2" fillId="9" borderId="1" xfId="0" applyNumberFormat="1" applyFont="1" applyFill="1" applyBorder="1" applyAlignment="1">
      <alignment vertical="center" wrapText="1"/>
    </xf>
    <xf numFmtId="181" fontId="12" fillId="9" borderId="1" xfId="0" applyNumberFormat="1" applyFont="1" applyFill="1" applyBorder="1" applyAlignment="1">
      <alignment vertical="center" wrapText="1"/>
    </xf>
    <xf numFmtId="181" fontId="5" fillId="2" borderId="76" xfId="0" applyNumberFormat="1" applyFont="1" applyFill="1" applyBorder="1" applyAlignment="1">
      <alignment vertical="center" wrapText="1"/>
    </xf>
    <xf numFmtId="181" fontId="4" fillId="9" borderId="1" xfId="0" applyNumberFormat="1" applyFont="1" applyFill="1" applyBorder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 wrapText="1"/>
    </xf>
    <xf numFmtId="181" fontId="12" fillId="4" borderId="1" xfId="0" applyNumberFormat="1" applyFont="1" applyFill="1" applyBorder="1" applyAlignment="1">
      <alignment vertical="center" wrapText="1"/>
    </xf>
    <xf numFmtId="181" fontId="28" fillId="2" borderId="76" xfId="0" applyNumberFormat="1" applyFont="1" applyFill="1" applyBorder="1" applyAlignment="1">
      <alignment vertical="center" wrapText="1"/>
    </xf>
    <xf numFmtId="181" fontId="4" fillId="4" borderId="1" xfId="0" applyNumberFormat="1" applyFont="1" applyFill="1" applyBorder="1" applyAlignment="1">
      <alignment vertic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4" fillId="0" borderId="76" xfId="0" applyFont="1" applyBorder="1" applyAlignment="1">
      <alignment horizontal="centerContinuous" vertical="center"/>
    </xf>
    <xf numFmtId="181" fontId="3" fillId="18" borderId="0" xfId="0" applyNumberFormat="1" applyFont="1" applyFill="1" applyAlignment="1">
      <alignment horizontal="center" vertical="center"/>
    </xf>
    <xf numFmtId="181" fontId="3" fillId="0" borderId="76" xfId="0" applyNumberFormat="1" applyFont="1" applyBorder="1" applyAlignment="1" applyProtection="1">
      <alignment horizontal="center" vertical="center"/>
      <protection locked="0"/>
    </xf>
    <xf numFmtId="181" fontId="3" fillId="0" borderId="84" xfId="0" applyNumberFormat="1" applyFont="1" applyBorder="1" applyAlignment="1" applyProtection="1">
      <alignment vertical="center"/>
      <protection locked="0"/>
    </xf>
    <xf numFmtId="181" fontId="3" fillId="0" borderId="85" xfId="0" applyNumberFormat="1" applyFont="1" applyBorder="1" applyAlignment="1" applyProtection="1">
      <alignment vertical="center"/>
      <protection locked="0"/>
    </xf>
    <xf numFmtId="166" fontId="3" fillId="0" borderId="76" xfId="0" applyNumberFormat="1" applyFont="1" applyBorder="1" applyAlignment="1" applyProtection="1">
      <alignment horizontal="center" vertical="center"/>
      <protection locked="0"/>
    </xf>
    <xf numFmtId="181" fontId="3" fillId="18" borderId="76" xfId="1" applyNumberFormat="1" applyFont="1" applyFill="1" applyBorder="1" applyAlignment="1">
      <alignment horizontal="right" vertical="center"/>
    </xf>
    <xf numFmtId="181" fontId="3" fillId="18" borderId="76" xfId="0" applyNumberFormat="1" applyFont="1" applyFill="1" applyBorder="1" applyAlignment="1">
      <alignment horizontal="right" vertical="center"/>
    </xf>
    <xf numFmtId="183" fontId="3" fillId="18" borderId="76" xfId="1" applyNumberFormat="1" applyFont="1" applyFill="1" applyBorder="1" applyAlignment="1">
      <alignment horizontal="right" vertical="center"/>
    </xf>
    <xf numFmtId="180" fontId="3" fillId="0" borderId="76" xfId="0" applyNumberFormat="1" applyFont="1" applyBorder="1"/>
    <xf numFmtId="181" fontId="3" fillId="0" borderId="90" xfId="0" applyNumberFormat="1" applyFont="1" applyBorder="1" applyAlignment="1">
      <alignment vertical="center"/>
    </xf>
    <xf numFmtId="181" fontId="3" fillId="0" borderId="84" xfId="0" applyNumberFormat="1" applyFont="1" applyBorder="1" applyAlignment="1" applyProtection="1">
      <alignment horizontal="left" vertical="center"/>
      <protection locked="0"/>
    </xf>
    <xf numFmtId="181" fontId="3" fillId="0" borderId="85" xfId="0" applyNumberFormat="1" applyFont="1" applyBorder="1" applyAlignment="1" applyProtection="1">
      <alignment horizontal="left" vertical="center"/>
      <protection locked="0"/>
    </xf>
    <xf numFmtId="181" fontId="12" fillId="18" borderId="76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27" fillId="23" borderId="84" xfId="0" applyFont="1" applyFill="1" applyBorder="1" applyAlignment="1">
      <alignment vertical="center"/>
    </xf>
    <xf numFmtId="3" fontId="12" fillId="23" borderId="84" xfId="0" applyNumberFormat="1" applyFont="1" applyFill="1" applyBorder="1" applyAlignment="1">
      <alignment vertical="center"/>
    </xf>
    <xf numFmtId="4" fontId="12" fillId="23" borderId="84" xfId="0" applyNumberFormat="1" applyFont="1" applyFill="1" applyBorder="1" applyAlignment="1">
      <alignment vertical="center"/>
    </xf>
    <xf numFmtId="43" fontId="12" fillId="23" borderId="84" xfId="1" applyFont="1" applyFill="1" applyBorder="1" applyAlignment="1">
      <alignment vertical="center"/>
    </xf>
    <xf numFmtId="0" fontId="27" fillId="23" borderId="76" xfId="8" applyFont="1" applyFill="1" applyBorder="1" applyAlignment="1">
      <alignment horizontal="center" vertical="center" wrapText="1"/>
    </xf>
    <xf numFmtId="0" fontId="12" fillId="23" borderId="76" xfId="8" applyFont="1" applyFill="1" applyBorder="1" applyAlignment="1">
      <alignment horizontal="center" vertical="center" wrapText="1"/>
    </xf>
    <xf numFmtId="3" fontId="2" fillId="0" borderId="76" xfId="0" applyNumberFormat="1" applyFont="1" applyBorder="1" applyAlignment="1">
      <alignment horizontal="right" vertical="center"/>
    </xf>
    <xf numFmtId="3" fontId="12" fillId="23" borderId="76" xfId="1" applyNumberFormat="1" applyFont="1" applyFill="1" applyBorder="1" applyAlignment="1">
      <alignment horizontal="right" vertical="center"/>
    </xf>
    <xf numFmtId="3" fontId="12" fillId="23" borderId="76" xfId="0" applyNumberFormat="1" applyFont="1" applyFill="1" applyBorder="1" applyAlignment="1">
      <alignment horizontal="right"/>
    </xf>
    <xf numFmtId="0" fontId="2" fillId="0" borderId="84" xfId="0" applyFont="1" applyBorder="1" applyAlignment="1">
      <alignment vertical="center"/>
    </xf>
    <xf numFmtId="0" fontId="2" fillId="0" borderId="85" xfId="0" applyFont="1" applyBorder="1" applyAlignment="1">
      <alignment horizontal="center" vertical="center"/>
    </xf>
    <xf numFmtId="3" fontId="2" fillId="0" borderId="85" xfId="0" applyNumberFormat="1" applyFont="1" applyBorder="1" applyAlignment="1">
      <alignment vertical="center"/>
    </xf>
    <xf numFmtId="0" fontId="2" fillId="0" borderId="85" xfId="0" applyFont="1" applyBorder="1" applyAlignment="1">
      <alignment vertical="center"/>
    </xf>
    <xf numFmtId="0" fontId="2" fillId="0" borderId="86" xfId="0" applyFont="1" applyBorder="1" applyAlignment="1">
      <alignment vertical="center"/>
    </xf>
    <xf numFmtId="0" fontId="1" fillId="0" borderId="85" xfId="0" applyFont="1" applyBorder="1" applyAlignment="1">
      <alignment horizontal="center" vertical="center"/>
    </xf>
    <xf numFmtId="3" fontId="1" fillId="0" borderId="85" xfId="0" applyNumberFormat="1" applyFont="1" applyBorder="1" applyAlignment="1">
      <alignment vertical="center"/>
    </xf>
    <xf numFmtId="0" fontId="1" fillId="0" borderId="85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2" fillId="18" borderId="76" xfId="0" applyFont="1" applyFill="1" applyBorder="1" applyAlignment="1">
      <alignment horizontal="center" vertical="center"/>
    </xf>
    <xf numFmtId="3" fontId="2" fillId="18" borderId="76" xfId="0" quotePrefix="1" applyNumberFormat="1" applyFont="1" applyFill="1" applyBorder="1" applyAlignment="1">
      <alignment vertical="center"/>
    </xf>
    <xf numFmtId="3" fontId="2" fillId="18" borderId="76" xfId="0" applyNumberFormat="1" applyFont="1" applyFill="1" applyBorder="1" applyAlignment="1">
      <alignment horizontal="right" vertical="center"/>
    </xf>
    <xf numFmtId="0" fontId="2" fillId="18" borderId="84" xfId="0" applyFont="1" applyFill="1" applyBorder="1" applyAlignment="1">
      <alignment horizontal="left" vertical="center" wrapText="1"/>
    </xf>
    <xf numFmtId="0" fontId="1" fillId="4" borderId="76" xfId="0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1" fillId="5" borderId="0" xfId="0" applyNumberFormat="1" applyFont="1" applyFill="1" applyAlignment="1">
      <alignment vertical="center"/>
    </xf>
    <xf numFmtId="3" fontId="2" fillId="5" borderId="0" xfId="0" applyNumberFormat="1" applyFont="1" applyFill="1" applyAlignment="1">
      <alignment vertical="center" wrapText="1"/>
    </xf>
    <xf numFmtId="3" fontId="12" fillId="0" borderId="1" xfId="0" applyNumberFormat="1" applyFont="1" applyBorder="1" applyAlignment="1">
      <alignment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90" fontId="60" fillId="0" borderId="0" xfId="1" applyNumberFormat="1" applyFont="1" applyAlignment="1">
      <alignment vertical="center"/>
    </xf>
    <xf numFmtId="3" fontId="60" fillId="0" borderId="0" xfId="1" applyNumberFormat="1" applyFont="1" applyAlignment="1">
      <alignment vertical="center"/>
    </xf>
    <xf numFmtId="0" fontId="59" fillId="0" borderId="0" xfId="0" applyFont="1" applyAlignment="1">
      <alignment horizontal="center" vertical="center"/>
    </xf>
    <xf numFmtId="190" fontId="59" fillId="0" borderId="0" xfId="1" applyNumberFormat="1" applyFont="1" applyAlignment="1">
      <alignment vertical="center"/>
    </xf>
    <xf numFmtId="3" fontId="59" fillId="0" borderId="0" xfId="1" applyNumberFormat="1" applyFont="1" applyAlignment="1">
      <alignment vertical="center"/>
    </xf>
    <xf numFmtId="180" fontId="27" fillId="0" borderId="1" xfId="0" applyNumberFormat="1" applyFont="1" applyBorder="1" applyAlignment="1">
      <alignment vertical="center"/>
    </xf>
    <xf numFmtId="186" fontId="27" fillId="0" borderId="1" xfId="0" applyNumberFormat="1" applyFont="1" applyBorder="1" applyAlignment="1">
      <alignment vertical="center"/>
    </xf>
    <xf numFmtId="185" fontId="27" fillId="0" borderId="76" xfId="0" applyNumberFormat="1" applyFont="1" applyBorder="1" applyAlignment="1">
      <alignment vertical="center"/>
    </xf>
    <xf numFmtId="181" fontId="27" fillId="0" borderId="76" xfId="0" applyNumberFormat="1" applyFont="1" applyFill="1" applyBorder="1" applyAlignment="1">
      <alignment vertical="center"/>
    </xf>
    <xf numFmtId="180" fontId="27" fillId="0" borderId="76" xfId="0" applyNumberFormat="1" applyFont="1" applyFill="1" applyBorder="1" applyAlignment="1">
      <alignment vertical="center"/>
    </xf>
    <xf numFmtId="165" fontId="27" fillId="0" borderId="76" xfId="0" applyNumberFormat="1" applyFont="1" applyFill="1" applyBorder="1" applyAlignment="1">
      <alignment vertical="center"/>
    </xf>
    <xf numFmtId="181" fontId="27" fillId="0" borderId="0" xfId="0" applyNumberFormat="1" applyFont="1" applyFill="1" applyAlignment="1">
      <alignment vertical="center"/>
    </xf>
    <xf numFmtId="181" fontId="27" fillId="0" borderId="0" xfId="0" applyNumberFormat="1" applyFont="1" applyFill="1" applyAlignment="1">
      <alignment horizontal="center" vertical="center"/>
    </xf>
    <xf numFmtId="181" fontId="27" fillId="0" borderId="1" xfId="0" applyNumberFormat="1" applyFont="1" applyFill="1" applyBorder="1" applyAlignment="1">
      <alignment vertical="center" wrapText="1"/>
    </xf>
    <xf numFmtId="166" fontId="27" fillId="0" borderId="1" xfId="0" applyNumberFormat="1" applyFont="1" applyFill="1" applyBorder="1" applyAlignment="1">
      <alignment vertical="center"/>
    </xf>
    <xf numFmtId="3" fontId="52" fillId="0" borderId="0" xfId="0" applyNumberFormat="1" applyFont="1"/>
    <xf numFmtId="0" fontId="1" fillId="0" borderId="77" xfId="0" applyFont="1" applyBorder="1"/>
    <xf numFmtId="0" fontId="2" fillId="0" borderId="78" xfId="0" applyFont="1" applyBorder="1"/>
    <xf numFmtId="0" fontId="1" fillId="0" borderId="78" xfId="0" applyFont="1" applyBorder="1"/>
    <xf numFmtId="0" fontId="2" fillId="0" borderId="81" xfId="0" applyFont="1" applyBorder="1"/>
    <xf numFmtId="0" fontId="1" fillId="0" borderId="81" xfId="0" applyFont="1" applyBorder="1"/>
    <xf numFmtId="0" fontId="1" fillId="0" borderId="77" xfId="0" applyFont="1" applyBorder="1" applyAlignment="1">
      <alignment horizontal="center" vertical="center"/>
    </xf>
    <xf numFmtId="0" fontId="1" fillId="0" borderId="78" xfId="0" applyFont="1" applyBorder="1" applyAlignment="1">
      <alignment horizontal="center" vertical="center"/>
    </xf>
    <xf numFmtId="0" fontId="1" fillId="0" borderId="78" xfId="0" applyFont="1" applyBorder="1" applyAlignment="1">
      <alignment wrapText="1"/>
    </xf>
    <xf numFmtId="0" fontId="1" fillId="0" borderId="78" xfId="0" applyFont="1" applyBorder="1" applyAlignment="1">
      <alignment vertical="center"/>
    </xf>
    <xf numFmtId="0" fontId="1" fillId="0" borderId="78" xfId="0" applyFont="1" applyBorder="1" applyAlignment="1">
      <alignment vertical="center" wrapText="1"/>
    </xf>
    <xf numFmtId="0" fontId="1" fillId="0" borderId="78" xfId="0" applyFont="1" applyBorder="1" applyAlignment="1">
      <alignment horizontal="right" vertical="center"/>
    </xf>
    <xf numFmtId="0" fontId="2" fillId="0" borderId="76" xfId="0" applyFont="1" applyBorder="1" applyAlignment="1">
      <alignment horizontal="center"/>
    </xf>
    <xf numFmtId="0" fontId="1" fillId="0" borderId="76" xfId="0" applyFont="1" applyBorder="1"/>
    <xf numFmtId="0" fontId="2" fillId="0" borderId="76" xfId="0" applyFont="1" applyBorder="1"/>
    <xf numFmtId="0" fontId="2" fillId="0" borderId="76" xfId="0" applyFont="1" applyBorder="1" applyAlignment="1">
      <alignment horizontal="left" vertical="center"/>
    </xf>
    <xf numFmtId="0" fontId="1" fillId="0" borderId="76" xfId="0" quotePrefix="1" applyFont="1" applyBorder="1" applyAlignment="1">
      <alignment horizontal="center" vertical="center"/>
    </xf>
    <xf numFmtId="0" fontId="2" fillId="0" borderId="0" xfId="0" applyFont="1" applyAlignment="1"/>
    <xf numFmtId="0" fontId="2" fillId="0" borderId="87" xfId="0" applyFont="1" applyBorder="1" applyAlignment="1">
      <alignment horizontal="center" vertical="center"/>
    </xf>
    <xf numFmtId="0" fontId="2" fillId="0" borderId="91" xfId="0" applyFont="1" applyBorder="1"/>
    <xf numFmtId="0" fontId="1" fillId="0" borderId="92" xfId="0" applyFont="1" applyBorder="1" applyAlignment="1">
      <alignment horizontal="center" vertical="center"/>
    </xf>
    <xf numFmtId="0" fontId="1" fillId="0" borderId="92" xfId="0" applyFont="1" applyBorder="1"/>
    <xf numFmtId="0" fontId="2" fillId="0" borderId="93" xfId="0" applyFont="1" applyBorder="1"/>
    <xf numFmtId="0" fontId="2" fillId="0" borderId="87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2" borderId="0" xfId="0" applyFont="1" applyFill="1" applyAlignment="1">
      <alignment horizontal="centerContinuous" vertical="center"/>
    </xf>
    <xf numFmtId="0" fontId="2" fillId="2" borderId="1" xfId="0" applyFont="1" applyFill="1" applyBorder="1" applyAlignment="1">
      <alignment horizontal="center" textRotation="90"/>
    </xf>
    <xf numFmtId="0" fontId="2" fillId="2" borderId="4" xfId="0" applyFont="1" applyFill="1" applyBorder="1" applyAlignment="1">
      <alignment vertical="center"/>
    </xf>
    <xf numFmtId="168" fontId="1" fillId="2" borderId="1" xfId="0" applyNumberFormat="1" applyFont="1" applyFill="1" applyBorder="1" applyAlignment="1">
      <alignment horizontal="center" vertical="center"/>
    </xf>
    <xf numFmtId="168" fontId="2" fillId="2" borderId="1" xfId="0" applyNumberFormat="1" applyFont="1" applyFill="1" applyBorder="1" applyAlignment="1">
      <alignment vertical="center"/>
    </xf>
    <xf numFmtId="168" fontId="2" fillId="2" borderId="4" xfId="0" applyNumberFormat="1" applyFont="1" applyFill="1" applyBorder="1" applyAlignment="1">
      <alignment vertical="center"/>
    </xf>
    <xf numFmtId="168" fontId="1" fillId="2" borderId="76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168" fontId="4" fillId="2" borderId="4" xfId="0" applyNumberFormat="1" applyFont="1" applyFill="1" applyBorder="1" applyAlignment="1">
      <alignment vertical="center"/>
    </xf>
    <xf numFmtId="168" fontId="3" fillId="2" borderId="1" xfId="0" applyNumberFormat="1" applyFont="1" applyFill="1" applyBorder="1" applyAlignment="1">
      <alignment horizontal="center" vertical="center"/>
    </xf>
    <xf numFmtId="168" fontId="3" fillId="2" borderId="76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168" fontId="1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2" fillId="5" borderId="0" xfId="0" applyFont="1" applyFill="1" applyAlignment="1">
      <alignment horizontal="centerContinuous" vertical="center"/>
    </xf>
    <xf numFmtId="0" fontId="2" fillId="5" borderId="1" xfId="0" applyFont="1" applyFill="1" applyBorder="1" applyAlignment="1">
      <alignment horizontal="center" textRotation="90"/>
    </xf>
    <xf numFmtId="0" fontId="2" fillId="5" borderId="4" xfId="0" applyFont="1" applyFill="1" applyBorder="1" applyAlignment="1">
      <alignment vertical="center"/>
    </xf>
    <xf numFmtId="168" fontId="2" fillId="5" borderId="4" xfId="0" applyNumberFormat="1" applyFont="1" applyFill="1" applyBorder="1" applyAlignment="1">
      <alignment vertical="center"/>
    </xf>
    <xf numFmtId="168" fontId="1" fillId="5" borderId="76" xfId="0" applyNumberFormat="1" applyFont="1" applyFill="1" applyBorder="1" applyAlignment="1">
      <alignment horizontal="center" vertical="center"/>
    </xf>
    <xf numFmtId="168" fontId="4" fillId="5" borderId="4" xfId="0" applyNumberFormat="1" applyFont="1" applyFill="1" applyBorder="1" applyAlignment="1">
      <alignment vertical="center"/>
    </xf>
    <xf numFmtId="168" fontId="1" fillId="5" borderId="0" xfId="0" applyNumberFormat="1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2" fillId="19" borderId="0" xfId="0" applyFont="1" applyFill="1" applyAlignment="1">
      <alignment horizontal="centerContinuous" vertical="center"/>
    </xf>
    <xf numFmtId="0" fontId="2" fillId="19" borderId="1" xfId="0" applyFont="1" applyFill="1" applyBorder="1" applyAlignment="1">
      <alignment horizontal="center" textRotation="90"/>
    </xf>
    <xf numFmtId="0" fontId="2" fillId="19" borderId="4" xfId="0" applyFont="1" applyFill="1" applyBorder="1" applyAlignment="1">
      <alignment vertical="center"/>
    </xf>
    <xf numFmtId="168" fontId="1" fillId="19" borderId="1" xfId="0" applyNumberFormat="1" applyFont="1" applyFill="1" applyBorder="1" applyAlignment="1">
      <alignment horizontal="center" vertical="center"/>
    </xf>
    <xf numFmtId="168" fontId="2" fillId="19" borderId="1" xfId="0" applyNumberFormat="1" applyFont="1" applyFill="1" applyBorder="1" applyAlignment="1">
      <alignment vertical="center"/>
    </xf>
    <xf numFmtId="168" fontId="2" fillId="19" borderId="4" xfId="0" applyNumberFormat="1" applyFont="1" applyFill="1" applyBorder="1" applyAlignment="1">
      <alignment vertical="center"/>
    </xf>
    <xf numFmtId="168" fontId="1" fillId="19" borderId="76" xfId="0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vertical="center"/>
    </xf>
    <xf numFmtId="168" fontId="4" fillId="19" borderId="4" xfId="0" applyNumberFormat="1" applyFont="1" applyFill="1" applyBorder="1" applyAlignment="1">
      <alignment vertical="center"/>
    </xf>
    <xf numFmtId="168" fontId="3" fillId="19" borderId="1" xfId="0" applyNumberFormat="1" applyFont="1" applyFill="1" applyBorder="1" applyAlignment="1">
      <alignment horizontal="center" vertical="center"/>
    </xf>
    <xf numFmtId="168" fontId="3" fillId="19" borderId="76" xfId="0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vertical="center"/>
    </xf>
    <xf numFmtId="168" fontId="1" fillId="19" borderId="0" xfId="0" applyNumberFormat="1" applyFont="1" applyFill="1" applyAlignment="1">
      <alignment vertical="center"/>
    </xf>
    <xf numFmtId="0" fontId="1" fillId="19" borderId="0" xfId="0" applyFont="1" applyFill="1" applyAlignment="1">
      <alignment vertical="center"/>
    </xf>
    <xf numFmtId="0" fontId="12" fillId="24" borderId="0" xfId="0" applyFont="1" applyFill="1" applyAlignment="1">
      <alignment horizontal="centerContinuous" vertical="center"/>
    </xf>
    <xf numFmtId="0" fontId="12" fillId="24" borderId="1" xfId="0" applyFont="1" applyFill="1" applyBorder="1" applyAlignment="1">
      <alignment horizontal="center" textRotation="90"/>
    </xf>
    <xf numFmtId="0" fontId="12" fillId="24" borderId="4" xfId="0" applyFont="1" applyFill="1" applyBorder="1" applyAlignment="1">
      <alignment vertical="center"/>
    </xf>
    <xf numFmtId="168" fontId="27" fillId="24" borderId="1" xfId="0" applyNumberFormat="1" applyFont="1" applyFill="1" applyBorder="1" applyAlignment="1">
      <alignment horizontal="center" vertical="center"/>
    </xf>
    <xf numFmtId="168" fontId="12" fillId="24" borderId="1" xfId="0" applyNumberFormat="1" applyFont="1" applyFill="1" applyBorder="1" applyAlignment="1">
      <alignment vertical="center"/>
    </xf>
    <xf numFmtId="168" fontId="12" fillId="24" borderId="4" xfId="0" applyNumberFormat="1" applyFont="1" applyFill="1" applyBorder="1" applyAlignment="1">
      <alignment vertical="center"/>
    </xf>
    <xf numFmtId="168" fontId="27" fillId="24" borderId="76" xfId="0" applyNumberFormat="1" applyFont="1" applyFill="1" applyBorder="1" applyAlignment="1">
      <alignment horizontal="center" vertical="center"/>
    </xf>
    <xf numFmtId="0" fontId="12" fillId="24" borderId="1" xfId="0" applyFont="1" applyFill="1" applyBorder="1" applyAlignment="1">
      <alignment vertical="center"/>
    </xf>
    <xf numFmtId="168" fontId="27" fillId="24" borderId="0" xfId="0" applyNumberFormat="1" applyFont="1" applyFill="1" applyAlignment="1">
      <alignment vertical="center"/>
    </xf>
    <xf numFmtId="0" fontId="27" fillId="24" borderId="0" xfId="0" applyFont="1" applyFill="1" applyAlignment="1">
      <alignment vertical="center"/>
    </xf>
    <xf numFmtId="0" fontId="2" fillId="3" borderId="0" xfId="0" applyFont="1" applyFill="1" applyAlignment="1">
      <alignment horizontal="centerContinuous" vertical="center"/>
    </xf>
    <xf numFmtId="0" fontId="2" fillId="3" borderId="1" xfId="0" applyFont="1" applyFill="1" applyBorder="1" applyAlignment="1">
      <alignment horizontal="center" textRotation="90"/>
    </xf>
    <xf numFmtId="168" fontId="1" fillId="3" borderId="1" xfId="0" applyNumberFormat="1" applyFont="1" applyFill="1" applyBorder="1" applyAlignment="1">
      <alignment horizontal="center" vertical="center"/>
    </xf>
    <xf numFmtId="168" fontId="2" fillId="3" borderId="1" xfId="0" applyNumberFormat="1" applyFont="1" applyFill="1" applyBorder="1" applyAlignment="1">
      <alignment vertical="center"/>
    </xf>
    <xf numFmtId="168" fontId="1" fillId="3" borderId="76" xfId="0" applyNumberFormat="1" applyFont="1" applyFill="1" applyBorder="1" applyAlignment="1">
      <alignment horizontal="center" vertical="center"/>
    </xf>
    <xf numFmtId="168" fontId="3" fillId="3" borderId="1" xfId="0" applyNumberFormat="1" applyFont="1" applyFill="1" applyBorder="1" applyAlignment="1">
      <alignment horizontal="center" vertical="center"/>
    </xf>
    <xf numFmtId="168" fontId="3" fillId="3" borderId="76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168" fontId="1" fillId="3" borderId="0" xfId="0" applyNumberFormat="1" applyFont="1" applyFill="1" applyAlignment="1">
      <alignment vertical="center"/>
    </xf>
    <xf numFmtId="0" fontId="1" fillId="3" borderId="0" xfId="0" applyFont="1" applyFill="1" applyAlignment="1">
      <alignment vertical="center"/>
    </xf>
    <xf numFmtId="49" fontId="2" fillId="0" borderId="91" xfId="0" applyNumberFormat="1" applyFont="1" applyBorder="1" applyAlignment="1">
      <alignment horizontal="center" vertical="center"/>
    </xf>
    <xf numFmtId="49" fontId="2" fillId="0" borderId="93" xfId="0" applyNumberFormat="1" applyFont="1" applyBorder="1" applyAlignment="1">
      <alignment horizontal="center" vertical="center"/>
    </xf>
    <xf numFmtId="49" fontId="1" fillId="0" borderId="92" xfId="0" applyNumberFormat="1" applyFont="1" applyBorder="1" applyAlignment="1">
      <alignment horizontal="center" vertical="center"/>
    </xf>
    <xf numFmtId="49" fontId="1" fillId="0" borderId="0" xfId="0" applyNumberFormat="1" applyFont="1"/>
    <xf numFmtId="49" fontId="2" fillId="0" borderId="87" xfId="0" applyNumberFormat="1" applyFont="1" applyBorder="1" applyAlignment="1">
      <alignment horizontal="center" vertical="center"/>
    </xf>
    <xf numFmtId="49" fontId="2" fillId="0" borderId="91" xfId="0" applyNumberFormat="1" applyFont="1" applyBorder="1"/>
    <xf numFmtId="49" fontId="2" fillId="0" borderId="93" xfId="0" applyNumberFormat="1" applyFont="1" applyBorder="1"/>
    <xf numFmtId="49" fontId="2" fillId="0" borderId="92" xfId="0" applyNumberFormat="1" applyFont="1" applyBorder="1" applyAlignment="1">
      <alignment horizontal="left" vertical="center"/>
    </xf>
    <xf numFmtId="49" fontId="2" fillId="0" borderId="92" xfId="0" applyNumberFormat="1" applyFont="1" applyBorder="1" applyAlignment="1">
      <alignment horizontal="center" vertical="center"/>
    </xf>
    <xf numFmtId="49" fontId="1" fillId="0" borderId="94" xfId="0" applyNumberFormat="1" applyFont="1" applyBorder="1" applyAlignment="1">
      <alignment horizontal="center" vertical="center"/>
    </xf>
    <xf numFmtId="0" fontId="1" fillId="0" borderId="94" xfId="0" applyFont="1" applyBorder="1" applyAlignment="1">
      <alignment horizontal="center" vertical="center"/>
    </xf>
    <xf numFmtId="0" fontId="1" fillId="0" borderId="94" xfId="0" applyFont="1" applyBorder="1"/>
    <xf numFmtId="0" fontId="1" fillId="0" borderId="92" xfId="0" applyNumberFormat="1" applyFont="1" applyBorder="1" applyAlignment="1">
      <alignment horizontal="center" vertical="center"/>
    </xf>
    <xf numFmtId="0" fontId="2" fillId="0" borderId="91" xfId="0" applyNumberFormat="1" applyFont="1" applyBorder="1"/>
    <xf numFmtId="0" fontId="2" fillId="0" borderId="93" xfId="0" applyNumberFormat="1" applyFont="1" applyBorder="1"/>
    <xf numFmtId="0" fontId="2" fillId="0" borderId="92" xfId="0" applyNumberFormat="1" applyFont="1" applyBorder="1" applyAlignment="1">
      <alignment horizontal="left" vertical="center"/>
    </xf>
    <xf numFmtId="0" fontId="2" fillId="5" borderId="76" xfId="0" applyFont="1" applyFill="1" applyBorder="1" applyAlignment="1">
      <alignment horizontal="center" textRotation="90"/>
    </xf>
    <xf numFmtId="0" fontId="2" fillId="5" borderId="85" xfId="0" applyFont="1" applyFill="1" applyBorder="1" applyAlignment="1">
      <alignment vertical="center"/>
    </xf>
    <xf numFmtId="0" fontId="2" fillId="5" borderId="85" xfId="0" applyFont="1" applyFill="1" applyBorder="1" applyAlignment="1">
      <alignment horizontal="center" vertical="center"/>
    </xf>
    <xf numFmtId="0" fontId="2" fillId="19" borderId="76" xfId="0" applyFont="1" applyFill="1" applyBorder="1" applyAlignment="1">
      <alignment horizontal="center" textRotation="90"/>
    </xf>
    <xf numFmtId="0" fontId="2" fillId="19" borderId="85" xfId="0" applyFont="1" applyFill="1" applyBorder="1" applyAlignment="1">
      <alignment vertical="center"/>
    </xf>
    <xf numFmtId="0" fontId="3" fillId="19" borderId="76" xfId="0" applyFont="1" applyFill="1" applyBorder="1" applyAlignment="1">
      <alignment horizontal="center" vertical="center"/>
    </xf>
    <xf numFmtId="0" fontId="2" fillId="19" borderId="76" xfId="0" applyFont="1" applyFill="1" applyBorder="1" applyAlignment="1">
      <alignment horizontal="center" vertical="center"/>
    </xf>
    <xf numFmtId="0" fontId="2" fillId="19" borderId="85" xfId="0" applyFont="1" applyFill="1" applyBorder="1" applyAlignment="1">
      <alignment horizontal="center" vertical="center"/>
    </xf>
    <xf numFmtId="0" fontId="27" fillId="19" borderId="76" xfId="0" applyFont="1" applyFill="1" applyBorder="1" applyAlignment="1">
      <alignment horizontal="center" vertical="center"/>
    </xf>
    <xf numFmtId="0" fontId="1" fillId="19" borderId="76" xfId="0" applyFont="1" applyFill="1" applyBorder="1" applyAlignment="1">
      <alignment horizontal="center" vertical="center"/>
    </xf>
    <xf numFmtId="49" fontId="2" fillId="0" borderId="94" xfId="0" applyNumberFormat="1" applyFont="1" applyBorder="1" applyAlignment="1">
      <alignment horizontal="left" vertical="center"/>
    </xf>
    <xf numFmtId="49" fontId="2" fillId="0" borderId="94" xfId="0" applyNumberFormat="1" applyFont="1" applyBorder="1" applyAlignment="1">
      <alignment horizontal="center" vertical="center"/>
    </xf>
    <xf numFmtId="0" fontId="2" fillId="0" borderId="94" xfId="0" applyFont="1" applyBorder="1" applyAlignment="1">
      <alignment horizontal="center" vertical="center"/>
    </xf>
    <xf numFmtId="0" fontId="2" fillId="0" borderId="94" xfId="0" applyFont="1" applyBorder="1"/>
    <xf numFmtId="49" fontId="2" fillId="3" borderId="76" xfId="0" applyNumberFormat="1" applyFont="1" applyFill="1" applyBorder="1" applyAlignment="1">
      <alignment horizontal="left" vertical="center"/>
    </xf>
    <xf numFmtId="49" fontId="1" fillId="3" borderId="76" xfId="0" applyNumberFormat="1" applyFont="1" applyFill="1" applyBorder="1" applyAlignment="1">
      <alignment horizontal="center" vertical="center"/>
    </xf>
    <xf numFmtId="0" fontId="1" fillId="3" borderId="76" xfId="0" applyFont="1" applyFill="1" applyBorder="1" applyAlignment="1">
      <alignment horizontal="center" vertical="center"/>
    </xf>
    <xf numFmtId="0" fontId="1" fillId="3" borderId="76" xfId="0" applyFont="1" applyFill="1" applyBorder="1"/>
    <xf numFmtId="0" fontId="1" fillId="0" borderId="94" xfId="0" applyNumberFormat="1" applyFont="1" applyBorder="1" applyAlignment="1">
      <alignment horizontal="center" vertical="center"/>
    </xf>
    <xf numFmtId="49" fontId="1" fillId="0" borderId="93" xfId="0" applyNumberFormat="1" applyFont="1" applyBorder="1" applyAlignment="1">
      <alignment horizontal="center" vertical="center"/>
    </xf>
    <xf numFmtId="0" fontId="1" fillId="0" borderId="93" xfId="0" applyFont="1" applyBorder="1" applyAlignment="1">
      <alignment horizontal="center" vertical="center"/>
    </xf>
    <xf numFmtId="0" fontId="1" fillId="0" borderId="93" xfId="0" applyFont="1" applyBorder="1"/>
    <xf numFmtId="0" fontId="2" fillId="3" borderId="76" xfId="0" applyNumberFormat="1" applyFont="1" applyFill="1" applyBorder="1" applyAlignment="1">
      <alignment horizontal="center" vertical="center"/>
    </xf>
    <xf numFmtId="0" fontId="2" fillId="3" borderId="76" xfId="0" applyFont="1" applyFill="1" applyBorder="1" applyAlignment="1">
      <alignment horizontal="center" vertical="center"/>
    </xf>
    <xf numFmtId="0" fontId="2" fillId="3" borderId="76" xfId="0" applyFont="1" applyFill="1" applyBorder="1"/>
    <xf numFmtId="0" fontId="1" fillId="19" borderId="92" xfId="0" applyFont="1" applyFill="1" applyBorder="1" applyAlignment="1">
      <alignment horizontal="center" vertical="center"/>
    </xf>
    <xf numFmtId="0" fontId="1" fillId="4" borderId="94" xfId="0" applyFont="1" applyFill="1" applyBorder="1" applyAlignment="1">
      <alignment horizontal="center" vertical="center"/>
    </xf>
    <xf numFmtId="0" fontId="1" fillId="25" borderId="92" xfId="0" applyFont="1" applyFill="1" applyBorder="1" applyAlignment="1">
      <alignment horizontal="center" vertical="center"/>
    </xf>
    <xf numFmtId="0" fontId="1" fillId="5" borderId="92" xfId="0" applyFont="1" applyFill="1" applyBorder="1" applyAlignment="1">
      <alignment horizontal="center" vertical="center"/>
    </xf>
    <xf numFmtId="0" fontId="1" fillId="26" borderId="92" xfId="0" applyFont="1" applyFill="1" applyBorder="1" applyAlignment="1">
      <alignment horizontal="center" vertical="center"/>
    </xf>
    <xf numFmtId="0" fontId="1" fillId="11" borderId="92" xfId="0" applyFont="1" applyFill="1" applyBorder="1" applyAlignment="1">
      <alignment horizontal="center" vertical="center"/>
    </xf>
    <xf numFmtId="49" fontId="1" fillId="27" borderId="92" xfId="0" applyNumberFormat="1" applyFont="1" applyFill="1" applyBorder="1" applyAlignment="1">
      <alignment horizontal="center" vertical="center"/>
    </xf>
    <xf numFmtId="0" fontId="1" fillId="27" borderId="92" xfId="0" applyNumberFormat="1" applyFont="1" applyFill="1" applyBorder="1" applyAlignment="1">
      <alignment horizontal="center" vertical="center"/>
    </xf>
    <xf numFmtId="0" fontId="1" fillId="24" borderId="92" xfId="0" applyNumberFormat="1" applyFont="1" applyFill="1" applyBorder="1" applyAlignment="1">
      <alignment horizontal="center" vertical="center"/>
    </xf>
    <xf numFmtId="0" fontId="1" fillId="0" borderId="92" xfId="0" applyNumberFormat="1" applyFont="1" applyFill="1" applyBorder="1" applyAlignment="1">
      <alignment horizontal="center" vertical="center"/>
    </xf>
    <xf numFmtId="0" fontId="1" fillId="24" borderId="92" xfId="0" applyFont="1" applyFill="1" applyBorder="1" applyAlignment="1">
      <alignment horizontal="center" vertical="center"/>
    </xf>
    <xf numFmtId="0" fontId="1" fillId="24" borderId="94" xfId="0" applyFont="1" applyFill="1" applyBorder="1" applyAlignment="1">
      <alignment horizontal="center" vertical="center"/>
    </xf>
    <xf numFmtId="0" fontId="1" fillId="0" borderId="94" xfId="0" applyFont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14" fontId="1" fillId="0" borderId="0" xfId="0" applyNumberFormat="1" applyFont="1"/>
    <xf numFmtId="14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center"/>
    </xf>
    <xf numFmtId="0" fontId="57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/>
    </xf>
    <xf numFmtId="0" fontId="57" fillId="0" borderId="77" xfId="0" applyFont="1" applyBorder="1" applyAlignment="1">
      <alignment horizontal="center" vertical="center"/>
    </xf>
    <xf numFmtId="14" fontId="57" fillId="0" borderId="77" xfId="0" applyNumberFormat="1" applyFont="1" applyBorder="1" applyAlignment="1">
      <alignment horizontal="center" vertical="center"/>
    </xf>
    <xf numFmtId="49" fontId="0" fillId="0" borderId="78" xfId="0" applyNumberFormat="1" applyBorder="1"/>
    <xf numFmtId="0" fontId="0" fillId="0" borderId="78" xfId="0" applyBorder="1"/>
    <xf numFmtId="49" fontId="0" fillId="0" borderId="78" xfId="0" applyNumberFormat="1" applyBorder="1" applyAlignment="1">
      <alignment horizontal="center"/>
    </xf>
    <xf numFmtId="14" fontId="0" fillId="0" borderId="78" xfId="0" applyNumberFormat="1" applyBorder="1" applyAlignment="1">
      <alignment horizontal="center"/>
    </xf>
    <xf numFmtId="0" fontId="0" fillId="0" borderId="78" xfId="0" applyBorder="1" applyAlignment="1">
      <alignment horizontal="center"/>
    </xf>
    <xf numFmtId="49" fontId="0" fillId="0" borderId="81" xfId="0" applyNumberFormat="1" applyBorder="1"/>
    <xf numFmtId="0" fontId="0" fillId="0" borderId="81" xfId="0" applyBorder="1" applyAlignment="1">
      <alignment horizontal="center"/>
    </xf>
    <xf numFmtId="0" fontId="0" fillId="0" borderId="81" xfId="0" applyBorder="1"/>
    <xf numFmtId="14" fontId="0" fillId="0" borderId="81" xfId="0" applyNumberFormat="1" applyBorder="1" applyAlignment="1">
      <alignment horizontal="center"/>
    </xf>
    <xf numFmtId="0" fontId="1" fillId="28" borderId="92" xfId="0" applyFont="1" applyFill="1" applyBorder="1" applyAlignment="1">
      <alignment horizontal="center" vertical="center"/>
    </xf>
    <xf numFmtId="0" fontId="18" fillId="15" borderId="16" xfId="0" applyFont="1" applyFill="1" applyBorder="1" applyAlignment="1">
      <alignment horizontal="center" vertical="center"/>
    </xf>
    <xf numFmtId="0" fontId="18" fillId="15" borderId="18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center" vertical="center"/>
    </xf>
    <xf numFmtId="0" fontId="22" fillId="16" borderId="59" xfId="0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181" fontId="2" fillId="0" borderId="7" xfId="0" applyNumberFormat="1" applyFont="1" applyBorder="1" applyAlignment="1">
      <alignment horizontal="center" vertical="center" wrapText="1"/>
    </xf>
    <xf numFmtId="181" fontId="2" fillId="0" borderId="8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12" fillId="0" borderId="83" xfId="0" applyNumberFormat="1" applyFont="1" applyBorder="1" applyAlignment="1">
      <alignment horizontal="center" vertical="center" wrapText="1"/>
    </xf>
    <xf numFmtId="181" fontId="12" fillId="0" borderId="2" xfId="0" applyNumberFormat="1" applyFont="1" applyBorder="1" applyAlignment="1">
      <alignment horizontal="center" vertical="center" wrapText="1"/>
    </xf>
    <xf numFmtId="181" fontId="12" fillId="0" borderId="4" xfId="0" applyNumberFormat="1" applyFont="1" applyBorder="1" applyAlignment="1">
      <alignment horizontal="center" vertical="center" wrapText="1"/>
    </xf>
    <xf numFmtId="181" fontId="12" fillId="0" borderId="3" xfId="0" applyNumberFormat="1" applyFont="1" applyBorder="1" applyAlignment="1">
      <alignment horizontal="center" vertical="center" wrapText="1"/>
    </xf>
    <xf numFmtId="181" fontId="12" fillId="0" borderId="7" xfId="0" applyNumberFormat="1" applyFont="1" applyBorder="1" applyAlignment="1">
      <alignment horizontal="center" vertical="center" wrapText="1"/>
    </xf>
    <xf numFmtId="181" fontId="12" fillId="0" borderId="8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/>
    </xf>
    <xf numFmtId="181" fontId="3" fillId="0" borderId="3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3" fontId="2" fillId="2" borderId="2" xfId="0" applyNumberFormat="1" applyFont="1" applyFill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181" fontId="12" fillId="22" borderId="1" xfId="0" applyNumberFormat="1" applyFont="1" applyFill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/>
    </xf>
    <xf numFmtId="0" fontId="28" fillId="0" borderId="0" xfId="2" applyFont="1" applyAlignment="1">
      <alignment horizontal="left" wrapText="1"/>
    </xf>
    <xf numFmtId="0" fontId="27" fillId="0" borderId="0" xfId="2" applyFont="1" applyAlignment="1">
      <alignment horizontal="center"/>
    </xf>
    <xf numFmtId="0" fontId="31" fillId="0" borderId="74" xfId="2" applyFont="1" applyBorder="1" applyAlignment="1">
      <alignment horizontal="center"/>
    </xf>
    <xf numFmtId="0" fontId="26" fillId="0" borderId="0" xfId="2" applyFont="1" applyAlignment="1">
      <alignment horizont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12" fillId="18" borderId="84" xfId="0" applyNumberFormat="1" applyFont="1" applyFill="1" applyBorder="1" applyAlignment="1">
      <alignment horizontal="center" vertical="center" wrapText="1"/>
    </xf>
    <xf numFmtId="181" fontId="12" fillId="18" borderId="86" xfId="0" applyNumberFormat="1" applyFont="1" applyFill="1" applyBorder="1" applyAlignment="1">
      <alignment horizontal="center" vertical="center" wrapText="1"/>
    </xf>
    <xf numFmtId="181" fontId="12" fillId="18" borderId="87" xfId="0" applyNumberFormat="1" applyFont="1" applyFill="1" applyBorder="1" applyAlignment="1">
      <alignment horizontal="center" vertical="center" wrapText="1"/>
    </xf>
    <xf numFmtId="181" fontId="12" fillId="18" borderId="8" xfId="0" applyNumberFormat="1" applyFont="1" applyFill="1" applyBorder="1" applyAlignment="1">
      <alignment horizontal="center" vertical="center" wrapText="1"/>
    </xf>
    <xf numFmtId="181" fontId="12" fillId="18" borderId="88" xfId="0" applyNumberFormat="1" applyFont="1" applyFill="1" applyBorder="1" applyAlignment="1">
      <alignment horizontal="center" vertical="center" wrapText="1"/>
    </xf>
    <xf numFmtId="181" fontId="12" fillId="18" borderId="82" xfId="0" applyNumberFormat="1" applyFont="1" applyFill="1" applyBorder="1" applyAlignment="1">
      <alignment horizontal="center" vertical="center" wrapText="1"/>
    </xf>
    <xf numFmtId="181" fontId="12" fillId="18" borderId="89" xfId="0" applyNumberFormat="1" applyFont="1" applyFill="1" applyBorder="1" applyAlignment="1">
      <alignment horizontal="center" vertical="center" wrapText="1"/>
    </xf>
    <xf numFmtId="181" fontId="12" fillId="18" borderId="74" xfId="0" applyNumberFormat="1" applyFont="1" applyFill="1" applyBorder="1" applyAlignment="1">
      <alignment horizontal="center" vertical="center" wrapText="1"/>
    </xf>
    <xf numFmtId="181" fontId="12" fillId="18" borderId="0" xfId="0" applyNumberFormat="1" applyFont="1" applyFill="1" applyAlignment="1">
      <alignment horizontal="left" vertical="center"/>
    </xf>
    <xf numFmtId="181" fontId="12" fillId="18" borderId="74" xfId="0" applyNumberFormat="1" applyFont="1" applyFill="1" applyBorder="1" applyAlignment="1">
      <alignment vertical="top" wrapText="1"/>
    </xf>
    <xf numFmtId="0" fontId="2" fillId="0" borderId="0" xfId="0" applyFont="1" applyAlignment="1">
      <alignment horizontal="center" vertical="center"/>
    </xf>
    <xf numFmtId="0" fontId="2" fillId="0" borderId="84" xfId="0" applyFont="1" applyBorder="1" applyAlignment="1">
      <alignment horizontal="center" vertical="center" wrapText="1"/>
    </xf>
    <xf numFmtId="0" fontId="2" fillId="0" borderId="85" xfId="0" applyFont="1" applyBorder="1" applyAlignment="1">
      <alignment horizontal="center" vertical="center" wrapText="1"/>
    </xf>
    <xf numFmtId="0" fontId="2" fillId="0" borderId="86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3" fontId="12" fillId="0" borderId="84" xfId="0" applyNumberFormat="1" applyFont="1" applyBorder="1" applyAlignment="1">
      <alignment horizontal="center" vertical="center"/>
    </xf>
    <xf numFmtId="3" fontId="12" fillId="0" borderId="86" xfId="0" applyNumberFormat="1" applyFont="1" applyBorder="1" applyAlignment="1">
      <alignment horizontal="center" vertical="center"/>
    </xf>
    <xf numFmtId="3" fontId="12" fillId="0" borderId="84" xfId="0" applyNumberFormat="1" applyFont="1" applyBorder="1" applyAlignment="1">
      <alignment horizontal="left" vertical="center"/>
    </xf>
    <xf numFmtId="3" fontId="12" fillId="0" borderId="86" xfId="0" applyNumberFormat="1" applyFont="1" applyBorder="1" applyAlignment="1">
      <alignment horizontal="left" vertical="center"/>
    </xf>
    <xf numFmtId="3" fontId="12" fillId="0" borderId="84" xfId="0" applyNumberFormat="1" applyFont="1" applyBorder="1" applyAlignment="1">
      <alignment horizontal="left" vertical="center" wrapText="1"/>
    </xf>
    <xf numFmtId="3" fontId="27" fillId="0" borderId="87" xfId="0" applyNumberFormat="1" applyFont="1" applyBorder="1" applyAlignment="1">
      <alignment horizontal="center" vertical="center"/>
    </xf>
    <xf numFmtId="3" fontId="27" fillId="0" borderId="90" xfId="0" applyNumberFormat="1" applyFont="1" applyBorder="1" applyAlignment="1">
      <alignment horizontal="center" vertical="center"/>
    </xf>
    <xf numFmtId="3" fontId="27" fillId="0" borderId="8" xfId="0" applyNumberFormat="1" applyFont="1" applyBorder="1" applyAlignment="1">
      <alignment horizontal="center" vertical="center"/>
    </xf>
    <xf numFmtId="3" fontId="27" fillId="0" borderId="87" xfId="0" applyNumberFormat="1" applyFont="1" applyBorder="1" applyAlignment="1">
      <alignment horizontal="left" vertical="center" wrapText="1"/>
    </xf>
    <xf numFmtId="3" fontId="27" fillId="0" borderId="90" xfId="0" applyNumberFormat="1" applyFont="1" applyBorder="1" applyAlignment="1">
      <alignment horizontal="left" vertical="center"/>
    </xf>
    <xf numFmtId="3" fontId="27" fillId="0" borderId="8" xfId="0" applyNumberFormat="1" applyFont="1" applyBorder="1" applyAlignment="1">
      <alignment horizontal="left" vertical="center"/>
    </xf>
    <xf numFmtId="0" fontId="49" fillId="0" borderId="87" xfId="0" applyFont="1" applyBorder="1" applyAlignment="1">
      <alignment horizontal="center" vertical="center" wrapText="1"/>
    </xf>
    <xf numFmtId="0" fontId="49" fillId="0" borderId="90" xfId="0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177" fontId="37" fillId="0" borderId="0" xfId="0" applyNumberFormat="1" applyFont="1" applyAlignment="1">
      <alignment horizontal="center" vertical="center" wrapText="1"/>
    </xf>
    <xf numFmtId="178" fontId="37" fillId="0" borderId="0" xfId="0" applyNumberFormat="1" applyFont="1" applyAlignment="1">
      <alignment horizontal="left" vertical="center" wrapText="1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165" fontId="9" fillId="0" borderId="76" xfId="0" applyNumberFormat="1" applyFont="1" applyBorder="1" applyAlignment="1" applyProtection="1">
      <alignment horizontal="center" vertical="center" wrapText="1"/>
      <protection locked="0"/>
    </xf>
    <xf numFmtId="165" fontId="36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0" xfId="0" quotePrefix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37" fillId="0" borderId="76" xfId="0" applyFont="1" applyBorder="1" applyAlignment="1">
      <alignment horizontal="center" vertical="center" wrapText="1"/>
    </xf>
    <xf numFmtId="174" fontId="37" fillId="0" borderId="76" xfId="0" applyNumberFormat="1" applyFont="1" applyBorder="1" applyAlignment="1">
      <alignment horizontal="center" vertical="center" wrapText="1"/>
    </xf>
  </cellXfs>
  <cellStyles count="9">
    <cellStyle name="Comma" xfId="1" builtinId="3"/>
    <cellStyle name="Comma 2" xfId="3" xr:uid="{00000000-0005-0000-0000-000001000000}"/>
    <cellStyle name="Comma 3" xfId="6" xr:uid="{00000000-0005-0000-0000-000002000000}"/>
    <cellStyle name="Normal" xfId="0" builtinId="0"/>
    <cellStyle name="Normal 2" xfId="2" xr:uid="{00000000-0005-0000-0000-000004000000}"/>
    <cellStyle name="Normal_DD 15(22)KV &amp; TramTuDung NhaMayThuyDienCanDon Sualai" xfId="8" xr:uid="{00000000-0005-0000-0000-000005000000}"/>
    <cellStyle name="Normal_TRAM220 BEN TRE" xfId="4" xr:uid="{00000000-0005-0000-0000-000006000000}"/>
    <cellStyle name="Percent" xfId="5" builtinId="5"/>
    <cellStyle name="Percent 2" xfId="7" xr:uid="{00000000-0005-0000-0000-000008000000}"/>
  </cellStyles>
  <dxfs count="1"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P70"/>
  <sheetViews>
    <sheetView topLeftCell="A4" workbookViewId="0">
      <selection activeCell="B11" sqref="B11"/>
    </sheetView>
  </sheetViews>
  <sheetFormatPr defaultColWidth="9.109375" defaultRowHeight="13.2"/>
  <cols>
    <col min="1" max="1" width="10" style="66" customWidth="1"/>
    <col min="2" max="2" width="13.88671875" style="66" customWidth="1"/>
    <col min="3" max="3" width="14.88671875" style="66" customWidth="1"/>
    <col min="4" max="4" width="12.109375" style="66" customWidth="1"/>
    <col min="5" max="5" width="6.88671875" style="66" customWidth="1"/>
    <col min="6" max="6" width="14.109375" style="66" customWidth="1"/>
    <col min="7" max="8" width="10.44140625" style="66" customWidth="1"/>
    <col min="9" max="9" width="13.5546875" style="66" customWidth="1"/>
    <col min="10" max="10" width="13.88671875" style="66" customWidth="1"/>
    <col min="11" max="11" width="11.33203125" style="66" customWidth="1"/>
    <col min="12" max="13" width="14.109375" style="66" customWidth="1"/>
    <col min="14" max="14" width="12.33203125" style="66" customWidth="1"/>
    <col min="15" max="15" width="12.5546875" style="66" customWidth="1"/>
    <col min="16" max="16" width="29.6640625" style="66" customWidth="1"/>
    <col min="17" max="19" width="9.109375" style="66"/>
    <col min="20" max="20" width="9.5546875" style="66" bestFit="1" customWidth="1"/>
    <col min="21" max="16384" width="9.109375" style="66"/>
  </cols>
  <sheetData>
    <row r="4" spans="1:13" ht="18.75" customHeight="1" thickBot="1">
      <c r="L4" s="67"/>
    </row>
    <row r="5" spans="1:13" ht="18.75" customHeight="1" thickBot="1">
      <c r="A5" s="68" t="s">
        <v>2308</v>
      </c>
      <c r="B5" s="68"/>
      <c r="C5" s="69" t="s">
        <v>3814</v>
      </c>
      <c r="D5" s="70"/>
      <c r="E5" s="70"/>
      <c r="F5" s="70"/>
      <c r="G5" s="70"/>
      <c r="H5" s="70"/>
      <c r="I5" s="70"/>
      <c r="J5" s="70"/>
      <c r="K5" s="70"/>
      <c r="L5" s="70"/>
    </row>
    <row r="6" spans="1:13" ht="18.75" customHeight="1" thickBot="1">
      <c r="B6" s="68"/>
      <c r="C6" s="69"/>
      <c r="D6" s="71"/>
      <c r="E6" s="71"/>
      <c r="F6" s="71"/>
      <c r="G6" s="71"/>
      <c r="H6" s="71"/>
      <c r="I6" s="71"/>
      <c r="J6" s="71"/>
      <c r="K6" s="71"/>
      <c r="L6" s="72"/>
    </row>
    <row r="7" spans="1:13" ht="18.75" customHeight="1" thickBot="1">
      <c r="A7" s="68" t="s">
        <v>2309</v>
      </c>
      <c r="B7" s="68"/>
      <c r="C7" s="69"/>
      <c r="D7" s="71"/>
      <c r="E7" s="71"/>
      <c r="F7" s="71"/>
      <c r="G7" s="71"/>
      <c r="H7" s="71"/>
      <c r="I7" s="71"/>
      <c r="J7" s="71"/>
      <c r="K7" s="71"/>
      <c r="L7" s="72"/>
    </row>
    <row r="8" spans="1:13" ht="18.75" customHeight="1" thickBot="1">
      <c r="B8" s="73" t="s">
        <v>2310</v>
      </c>
      <c r="C8" s="69" t="s">
        <v>3023</v>
      </c>
      <c r="D8" s="69"/>
      <c r="E8" s="69"/>
      <c r="F8" s="69"/>
      <c r="G8" s="69"/>
      <c r="H8" s="69"/>
      <c r="I8" s="69"/>
      <c r="J8" s="69"/>
      <c r="K8" s="69"/>
    </row>
    <row r="9" spans="1:13" ht="18.75" customHeight="1">
      <c r="B9" s="1009" t="s">
        <v>2311</v>
      </c>
      <c r="C9" s="74" t="s">
        <v>3023</v>
      </c>
      <c r="D9" s="75"/>
      <c r="E9" s="75"/>
      <c r="F9" s="75"/>
      <c r="G9" s="75"/>
      <c r="H9" s="75"/>
      <c r="I9" s="75"/>
      <c r="J9" s="75"/>
      <c r="K9" s="76"/>
    </row>
    <row r="10" spans="1:13" ht="18.75" customHeight="1" thickBot="1">
      <c r="B10" s="1010"/>
      <c r="C10" s="74"/>
      <c r="D10" s="75"/>
      <c r="E10" s="75"/>
      <c r="F10" s="75"/>
      <c r="G10" s="77"/>
      <c r="H10" s="77"/>
      <c r="I10" s="77"/>
      <c r="J10" s="77"/>
      <c r="K10" s="78"/>
    </row>
    <row r="11" spans="1:13" ht="18.75" customHeight="1">
      <c r="B11" s="79" t="s">
        <v>3412</v>
      </c>
      <c r="C11" s="80"/>
      <c r="D11" s="81"/>
      <c r="E11" s="82"/>
      <c r="F11" s="83"/>
    </row>
    <row r="12" spans="1:13" ht="18.75" customHeight="1">
      <c r="B12" s="84" t="s">
        <v>2123</v>
      </c>
      <c r="C12" s="85"/>
      <c r="D12" s="86"/>
      <c r="E12" s="87"/>
      <c r="F12" s="88"/>
      <c r="G12" s="67">
        <f>+E15*0.1</f>
        <v>0</v>
      </c>
      <c r="H12" s="67"/>
      <c r="I12" s="170">
        <f>+F15*0.1</f>
        <v>1036173696.8000001</v>
      </c>
      <c r="J12" s="170">
        <f>0.1*(F15*1.05+I12*1.1)</f>
        <v>1201961488.2879999</v>
      </c>
    </row>
    <row r="13" spans="1:13" ht="18.75" customHeight="1" thickBot="1">
      <c r="B13" s="89" t="s">
        <v>3413</v>
      </c>
      <c r="C13" s="90"/>
      <c r="D13" s="91"/>
      <c r="E13" s="92"/>
      <c r="F13" s="93"/>
    </row>
    <row r="14" spans="1:13" ht="18.75" customHeight="1">
      <c r="B14" s="94" t="s">
        <v>2312</v>
      </c>
      <c r="C14" s="95"/>
      <c r="D14" s="95"/>
      <c r="E14" s="96"/>
      <c r="F14" s="97">
        <f>(F15+I12+J12)</f>
        <v>12599872153.087999</v>
      </c>
      <c r="G14" s="98" t="s">
        <v>2313</v>
      </c>
    </row>
    <row r="15" spans="1:13" ht="18.75" customHeight="1" thickBot="1">
      <c r="B15" s="99" t="s">
        <v>2314</v>
      </c>
      <c r="C15" s="100"/>
      <c r="D15" s="100"/>
      <c r="E15" s="101"/>
      <c r="F15" s="102">
        <f>'2.TCP-XD'!F6+'2.TCP-XD'!F89</f>
        <v>10361736968</v>
      </c>
      <c r="G15" s="103" t="s">
        <v>2313</v>
      </c>
      <c r="L15" s="66" t="s">
        <v>2747</v>
      </c>
      <c r="M15" s="66">
        <v>0.9</v>
      </c>
    </row>
    <row r="16" spans="1:13" ht="18.75" customHeight="1">
      <c r="B16" s="104" t="s">
        <v>2315</v>
      </c>
      <c r="C16" s="105"/>
      <c r="D16" s="105"/>
      <c r="E16" s="106"/>
      <c r="F16" s="107">
        <v>30</v>
      </c>
      <c r="G16" s="108" t="s">
        <v>730</v>
      </c>
      <c r="L16" s="66" t="s">
        <v>2748</v>
      </c>
      <c r="M16" s="66">
        <v>1</v>
      </c>
    </row>
    <row r="17" spans="2:10" ht="18.75" customHeight="1">
      <c r="B17" s="109" t="s">
        <v>2316</v>
      </c>
      <c r="C17" s="110"/>
      <c r="D17" s="110"/>
      <c r="E17" s="111"/>
      <c r="F17" s="112">
        <v>30</v>
      </c>
      <c r="G17" s="113" t="s">
        <v>730</v>
      </c>
      <c r="J17" s="66" t="s">
        <v>85</v>
      </c>
    </row>
    <row r="18" spans="2:10" ht="18.75" customHeight="1">
      <c r="B18" s="109" t="s">
        <v>2317</v>
      </c>
      <c r="C18" s="110"/>
      <c r="D18" s="110"/>
      <c r="E18" s="111"/>
      <c r="F18" s="114"/>
      <c r="G18" s="113" t="s">
        <v>730</v>
      </c>
    </row>
    <row r="19" spans="2:10" ht="18.75" customHeight="1" thickBot="1">
      <c r="B19" s="115" t="s">
        <v>2318</v>
      </c>
      <c r="C19" s="116"/>
      <c r="D19" s="116"/>
      <c r="E19" s="117"/>
      <c r="F19" s="118"/>
      <c r="G19" s="119" t="s">
        <v>730</v>
      </c>
    </row>
    <row r="20" spans="2:10" ht="18.75" customHeight="1">
      <c r="B20" s="104" t="s">
        <v>2319</v>
      </c>
      <c r="C20" s="105"/>
      <c r="D20" s="105"/>
      <c r="E20" s="106"/>
      <c r="F20" s="107">
        <v>1</v>
      </c>
      <c r="G20" s="108" t="s">
        <v>2320</v>
      </c>
    </row>
    <row r="21" spans="2:10" ht="18.75" customHeight="1">
      <c r="B21" s="109" t="s">
        <v>2321</v>
      </c>
      <c r="C21" s="110"/>
      <c r="D21" s="110"/>
      <c r="E21" s="111"/>
      <c r="F21" s="112"/>
      <c r="G21" s="113" t="s">
        <v>2320</v>
      </c>
    </row>
    <row r="22" spans="2:10" ht="18.75" customHeight="1" thickBot="1">
      <c r="B22" s="115" t="s">
        <v>2322</v>
      </c>
      <c r="C22" s="116"/>
      <c r="D22" s="116"/>
      <c r="E22" s="117"/>
      <c r="F22" s="118">
        <v>0</v>
      </c>
      <c r="G22" s="119" t="s">
        <v>2320</v>
      </c>
    </row>
    <row r="23" spans="2:10" ht="18.75" customHeight="1">
      <c r="B23" s="94" t="s">
        <v>2323</v>
      </c>
      <c r="C23" s="120"/>
      <c r="D23" s="120"/>
      <c r="E23" s="121"/>
      <c r="F23" s="122">
        <v>3</v>
      </c>
      <c r="G23" s="123"/>
    </row>
    <row r="24" spans="2:10" ht="18.75" customHeight="1">
      <c r="B24" s="124" t="s">
        <v>2324</v>
      </c>
      <c r="C24" s="100"/>
      <c r="D24" s="100"/>
      <c r="E24" s="101"/>
      <c r="F24" s="125">
        <v>1</v>
      </c>
      <c r="G24" s="103" t="s">
        <v>2325</v>
      </c>
    </row>
    <row r="25" spans="2:10" ht="18.75" customHeight="1" thickBot="1">
      <c r="B25" s="124" t="s">
        <v>2326</v>
      </c>
      <c r="C25" s="100"/>
      <c r="D25" s="100"/>
      <c r="E25" s="101"/>
      <c r="F25" s="125">
        <v>5</v>
      </c>
      <c r="G25" s="103" t="s">
        <v>2325</v>
      </c>
    </row>
    <row r="26" spans="2:10" ht="18.75" customHeight="1">
      <c r="B26" s="126" t="s">
        <v>2327</v>
      </c>
      <c r="C26" s="127"/>
      <c r="D26" s="127"/>
      <c r="E26" s="128" t="s">
        <v>2328</v>
      </c>
      <c r="F26" s="129">
        <v>1</v>
      </c>
      <c r="G26" s="130"/>
    </row>
    <row r="27" spans="2:10" ht="18.75" customHeight="1">
      <c r="B27" s="124" t="s">
        <v>2329</v>
      </c>
      <c r="C27" s="100"/>
      <c r="D27" s="100"/>
      <c r="E27" s="131" t="s">
        <v>2330</v>
      </c>
      <c r="F27" s="125"/>
      <c r="G27" s="103"/>
    </row>
    <row r="28" spans="2:10" ht="18.75" customHeight="1" thickBot="1">
      <c r="B28" s="99" t="s">
        <v>2331</v>
      </c>
      <c r="C28" s="100"/>
      <c r="D28" s="100"/>
      <c r="E28" s="101"/>
      <c r="F28" s="125"/>
      <c r="G28" s="103" t="s">
        <v>1665</v>
      </c>
    </row>
    <row r="29" spans="2:10" ht="18.75" customHeight="1">
      <c r="B29" s="132" t="s">
        <v>2332</v>
      </c>
      <c r="C29" s="133"/>
      <c r="D29" s="133"/>
      <c r="E29" s="134"/>
      <c r="F29" s="135">
        <v>9</v>
      </c>
      <c r="G29" s="136" t="s">
        <v>279</v>
      </c>
    </row>
    <row r="30" spans="2:10" ht="18.75" customHeight="1" thickBot="1">
      <c r="B30" s="137"/>
      <c r="C30" s="138"/>
      <c r="D30" s="138"/>
      <c r="E30" s="139"/>
      <c r="F30" s="140"/>
      <c r="G30" s="141" t="s">
        <v>1876</v>
      </c>
    </row>
    <row r="31" spans="2:10" ht="18.75" customHeight="1">
      <c r="B31" s="94" t="s">
        <v>2333</v>
      </c>
      <c r="C31" s="95"/>
      <c r="D31" s="95"/>
      <c r="E31" s="96"/>
      <c r="F31" s="142">
        <f>IF(F32=22,18,12)</f>
        <v>18</v>
      </c>
      <c r="G31" s="98" t="s">
        <v>2334</v>
      </c>
    </row>
    <row r="32" spans="2:10" ht="18.75" customHeight="1" thickBot="1">
      <c r="B32" s="99" t="s">
        <v>2335</v>
      </c>
      <c r="C32" s="100"/>
      <c r="D32" s="100"/>
      <c r="E32" s="101"/>
      <c r="F32" s="143">
        <v>22</v>
      </c>
      <c r="G32" s="103" t="s">
        <v>2334</v>
      </c>
    </row>
    <row r="33" spans="2:16" ht="18.75" customHeight="1">
      <c r="B33" s="144" t="s">
        <v>2336</v>
      </c>
      <c r="C33" s="145" t="s">
        <v>2337</v>
      </c>
      <c r="D33" s="1011" t="s">
        <v>2338</v>
      </c>
      <c r="E33" s="1012"/>
      <c r="F33" s="145" t="s">
        <v>2337</v>
      </c>
      <c r="G33" s="130"/>
    </row>
    <row r="34" spans="2:16" ht="18.75" customHeight="1">
      <c r="B34" s="146" t="s">
        <v>2340</v>
      </c>
      <c r="C34" s="64"/>
      <c r="D34" s="147" t="s">
        <v>2341</v>
      </c>
      <c r="E34" s="148" t="s">
        <v>2339</v>
      </c>
      <c r="F34" s="64"/>
      <c r="G34" s="149"/>
    </row>
    <row r="35" spans="2:16" ht="18.75" customHeight="1">
      <c r="B35" s="150" t="s">
        <v>2342</v>
      </c>
      <c r="C35" s="65"/>
      <c r="D35" s="151" t="s">
        <v>2343</v>
      </c>
      <c r="E35" s="111" t="s">
        <v>2339</v>
      </c>
      <c r="F35" s="65"/>
      <c r="G35" s="113"/>
    </row>
    <row r="36" spans="2:16" ht="18.75" customHeight="1">
      <c r="B36" s="150" t="s">
        <v>2344</v>
      </c>
      <c r="C36" s="65"/>
      <c r="D36" s="151" t="s">
        <v>2345</v>
      </c>
      <c r="E36" s="111" t="s">
        <v>2339</v>
      </c>
      <c r="F36" s="65">
        <v>6</v>
      </c>
      <c r="G36" s="113"/>
    </row>
    <row r="37" spans="2:16" ht="18.75" customHeight="1">
      <c r="B37" s="150" t="s">
        <v>2392</v>
      </c>
      <c r="C37" s="65">
        <v>8</v>
      </c>
      <c r="D37" s="151" t="s">
        <v>2346</v>
      </c>
      <c r="E37" s="111" t="s">
        <v>2339</v>
      </c>
      <c r="F37" s="65"/>
      <c r="G37" s="113"/>
    </row>
    <row r="38" spans="2:16" ht="18.75" customHeight="1">
      <c r="B38" s="150" t="s">
        <v>2393</v>
      </c>
      <c r="C38" s="65"/>
      <c r="D38" s="151" t="s">
        <v>2394</v>
      </c>
      <c r="E38" s="111" t="s">
        <v>2339</v>
      </c>
      <c r="F38" s="65"/>
      <c r="G38" s="113"/>
    </row>
    <row r="39" spans="2:16" ht="18.75" customHeight="1">
      <c r="B39" s="150" t="s">
        <v>2808</v>
      </c>
      <c r="C39" s="65"/>
      <c r="D39" s="151">
        <v>160</v>
      </c>
      <c r="E39" s="111" t="s">
        <v>2339</v>
      </c>
      <c r="F39" s="65"/>
      <c r="G39" s="113"/>
    </row>
    <row r="40" spans="2:16" ht="18.75" customHeight="1" thickBot="1">
      <c r="B40" s="152" t="s">
        <v>2809</v>
      </c>
      <c r="C40" s="153"/>
      <c r="D40" s="151">
        <v>250</v>
      </c>
      <c r="E40" s="111" t="s">
        <v>2339</v>
      </c>
      <c r="F40" s="65"/>
      <c r="G40" s="113"/>
    </row>
    <row r="41" spans="2:16" ht="18.75" customHeight="1">
      <c r="B41" s="121" t="s">
        <v>2814</v>
      </c>
      <c r="C41" s="122"/>
      <c r="D41" s="151">
        <v>320</v>
      </c>
      <c r="E41" s="111" t="s">
        <v>2339</v>
      </c>
      <c r="F41" s="65"/>
      <c r="G41" s="113"/>
    </row>
    <row r="42" spans="2:16" ht="18.75" customHeight="1">
      <c r="B42" s="121" t="s">
        <v>2815</v>
      </c>
      <c r="C42" s="122"/>
      <c r="D42" s="151">
        <v>400</v>
      </c>
      <c r="E42" s="111" t="s">
        <v>2339</v>
      </c>
      <c r="F42" s="65"/>
      <c r="G42" s="113"/>
    </row>
    <row r="43" spans="2:16" ht="18.75" customHeight="1">
      <c r="B43" s="121" t="s">
        <v>2816</v>
      </c>
      <c r="C43" s="122"/>
      <c r="D43" s="151">
        <v>560</v>
      </c>
      <c r="E43" s="111" t="s">
        <v>2339</v>
      </c>
      <c r="F43" s="65"/>
      <c r="G43" s="113"/>
    </row>
    <row r="44" spans="2:16" ht="18.75" customHeight="1">
      <c r="D44" s="154">
        <v>630</v>
      </c>
      <c r="E44" s="111" t="s">
        <v>2339</v>
      </c>
      <c r="F44" s="65"/>
      <c r="G44" s="113"/>
    </row>
    <row r="45" spans="2:16" ht="18.75" customHeight="1">
      <c r="D45" s="155">
        <v>1000</v>
      </c>
      <c r="E45" s="156" t="s">
        <v>2339</v>
      </c>
      <c r="F45" s="157"/>
      <c r="G45" s="158"/>
    </row>
    <row r="46" spans="2:16" ht="18.75" customHeight="1" thickBot="1">
      <c r="D46" s="159">
        <v>2000</v>
      </c>
      <c r="E46" s="117" t="s">
        <v>2339</v>
      </c>
      <c r="F46" s="153"/>
      <c r="G46" s="119"/>
    </row>
    <row r="47" spans="2:16" ht="18.75" customHeight="1" thickBot="1"/>
    <row r="48" spans="2:16" ht="18.75" customHeight="1">
      <c r="B48" s="160" t="s">
        <v>2337</v>
      </c>
      <c r="C48" s="161" t="s">
        <v>2347</v>
      </c>
      <c r="D48" s="162" t="s">
        <v>2348</v>
      </c>
      <c r="E48" s="161" t="s">
        <v>2349</v>
      </c>
      <c r="F48" s="161" t="s">
        <v>2350</v>
      </c>
      <c r="G48" s="163" t="s">
        <v>2351</v>
      </c>
      <c r="H48" s="161" t="s">
        <v>2352</v>
      </c>
      <c r="I48" s="161" t="s">
        <v>2353</v>
      </c>
      <c r="J48" s="161" t="s">
        <v>2354</v>
      </c>
      <c r="K48" s="161" t="s">
        <v>2355</v>
      </c>
      <c r="L48" s="161" t="s">
        <v>2356</v>
      </c>
      <c r="M48" s="161" t="s">
        <v>2357</v>
      </c>
      <c r="N48" s="161" t="s">
        <v>2358</v>
      </c>
      <c r="O48" s="161" t="s">
        <v>2359</v>
      </c>
      <c r="P48" s="161" t="s">
        <v>2360</v>
      </c>
    </row>
    <row r="49" spans="2:16" ht="18.75" customHeight="1">
      <c r="B49" s="164"/>
      <c r="C49" s="165">
        <f>C34+F34*3</f>
        <v>0</v>
      </c>
      <c r="D49" s="166">
        <v>15</v>
      </c>
      <c r="E49" s="165"/>
      <c r="F49" s="165" t="s">
        <v>2361</v>
      </c>
      <c r="G49" s="165" t="s">
        <v>2362</v>
      </c>
      <c r="H49" s="165"/>
      <c r="I49" s="165" t="s">
        <v>144</v>
      </c>
      <c r="J49" s="165" t="s">
        <v>2363</v>
      </c>
      <c r="K49" s="165">
        <v>0</v>
      </c>
      <c r="L49" s="165" t="str">
        <f>IF($C49=1,IF($M49=1,"CV50","CV35"),"CV35")</f>
        <v>CV35</v>
      </c>
      <c r="M49" s="165">
        <v>1</v>
      </c>
      <c r="N49" s="165" t="str">
        <f>IF($C49=1,IF($M49=1,"CV50","CV25"),"CV25")</f>
        <v>CV25</v>
      </c>
      <c r="O49" s="165">
        <v>1</v>
      </c>
      <c r="P49" s="165">
        <v>0</v>
      </c>
    </row>
    <row r="50" spans="2:16" ht="18.75" customHeight="1">
      <c r="B50" s="164"/>
      <c r="C50" s="165"/>
      <c r="D50" s="166">
        <v>25</v>
      </c>
      <c r="E50" s="165"/>
      <c r="F50" s="165" t="str">
        <f>IF($C50=3,"3K","6K")</f>
        <v>6K</v>
      </c>
      <c r="G50" s="165" t="s">
        <v>992</v>
      </c>
      <c r="H50" s="165">
        <f>IF($C50=3,"TI1005",IF($M50=1,,))</f>
        <v>0</v>
      </c>
      <c r="I50" s="165" t="s">
        <v>144</v>
      </c>
      <c r="J50" s="165" t="s">
        <v>2363</v>
      </c>
      <c r="K50" s="165"/>
      <c r="L50" s="165" t="str">
        <f>IF($C50=1,IF($M50=1,"CV70","CV50"),"CV70")</f>
        <v>CV70</v>
      </c>
      <c r="M50" s="165">
        <v>1</v>
      </c>
      <c r="N50" s="165" t="str">
        <f>IF($C50=1,IF($M50=1,"CV70","CV50"),"CV50")</f>
        <v>CV50</v>
      </c>
      <c r="O50" s="165">
        <v>1</v>
      </c>
      <c r="P50" s="165"/>
    </row>
    <row r="51" spans="2:16" ht="18.75" customHeight="1">
      <c r="B51" s="164"/>
      <c r="C51" s="165"/>
      <c r="D51" s="166">
        <v>37.5</v>
      </c>
      <c r="E51" s="165">
        <f>IF(C51=3,40,)</f>
        <v>0</v>
      </c>
      <c r="F51" s="165" t="str">
        <f>IF($C51=3,"6K","8K")</f>
        <v>8K</v>
      </c>
      <c r="G51" s="165" t="s">
        <v>2364</v>
      </c>
      <c r="H51" s="165" t="str">
        <f>IF($C51=3,"TI1505",IF($M51=1,"TI1005",))</f>
        <v>TI1005</v>
      </c>
      <c r="I51" s="165" t="s">
        <v>144</v>
      </c>
      <c r="J51" s="165" t="s">
        <v>2363</v>
      </c>
      <c r="K51" s="165"/>
      <c r="L51" s="165" t="str">
        <f>IF($C51=1,IF($M51=1,"CV95","CV95"),"CV95")</f>
        <v>CV95</v>
      </c>
      <c r="M51" s="165">
        <v>1</v>
      </c>
      <c r="N51" s="165" t="str">
        <f>IF($C51=1,IF($M51=1,"CV70","CV50"),"CV70")</f>
        <v>CV70</v>
      </c>
      <c r="O51" s="165">
        <v>1</v>
      </c>
      <c r="P51" s="165"/>
    </row>
    <row r="52" spans="2:16" ht="18.75" customHeight="1">
      <c r="B52" s="164"/>
      <c r="C52" s="165"/>
      <c r="D52" s="166">
        <v>50</v>
      </c>
      <c r="E52" s="165">
        <f>IF(C52=3,60,)</f>
        <v>0</v>
      </c>
      <c r="F52" s="165" t="str">
        <f>IF($C52=3,"6K","10K")</f>
        <v>10K</v>
      </c>
      <c r="G52" s="165" t="s">
        <v>2365</v>
      </c>
      <c r="H52" s="165" t="str">
        <f>IF($C52=3,"TI200",IF($M52=1,"TI200","TI1005"))</f>
        <v>TI1005</v>
      </c>
      <c r="I52" s="165" t="s">
        <v>144</v>
      </c>
      <c r="J52" s="165" t="s">
        <v>2363</v>
      </c>
      <c r="K52" s="165"/>
      <c r="L52" s="165" t="str">
        <f>IF($C52=1,IF($M52=1,"CV70","CV70"),"CV70")</f>
        <v>CV70</v>
      </c>
      <c r="M52" s="165">
        <v>2</v>
      </c>
      <c r="N52" s="165" t="str">
        <f>IF($C52=1,IF($M52=1,"CV150","CV50"),"CV50")</f>
        <v>CV50</v>
      </c>
      <c r="O52" s="165">
        <v>1</v>
      </c>
      <c r="P52" s="165"/>
    </row>
    <row r="53" spans="2:16" ht="18.75" customHeight="1">
      <c r="B53" s="164"/>
      <c r="C53" s="165"/>
      <c r="D53" s="166">
        <v>75</v>
      </c>
      <c r="E53" s="165">
        <f>IF(C53=3,100,)</f>
        <v>0</v>
      </c>
      <c r="F53" s="165" t="str">
        <f>IF($C53=3,"8K","10K")</f>
        <v>10K</v>
      </c>
      <c r="G53" s="165" t="s">
        <v>2366</v>
      </c>
      <c r="H53" s="165" t="str">
        <f>IF($C53=3,"TI400",IF($M53=1,"TI200","TI1005"))</f>
        <v>TI200</v>
      </c>
      <c r="I53" s="165" t="s">
        <v>144</v>
      </c>
      <c r="J53" s="165" t="s">
        <v>2363</v>
      </c>
      <c r="K53" s="165"/>
      <c r="L53" s="165" t="str">
        <f>IF($M53=1,"CV185","CV35")</f>
        <v>CV185</v>
      </c>
      <c r="M53" s="165">
        <v>1</v>
      </c>
      <c r="N53" s="165" t="str">
        <f>IF($M53=1,"CV120","CV25")</f>
        <v>CV120</v>
      </c>
      <c r="O53" s="165">
        <v>1</v>
      </c>
      <c r="P53" s="165"/>
    </row>
    <row r="54" spans="2:16" ht="18.75" customHeight="1">
      <c r="B54" s="164"/>
      <c r="C54" s="165"/>
      <c r="D54" s="166">
        <v>100</v>
      </c>
      <c r="E54" s="165">
        <f>IF(C54=3,135,45)</f>
        <v>45</v>
      </c>
      <c r="F54" s="165"/>
      <c r="G54" s="165"/>
      <c r="H54" s="165"/>
      <c r="I54" s="165" t="s">
        <v>144</v>
      </c>
      <c r="J54" s="165" t="s">
        <v>2363</v>
      </c>
      <c r="K54" s="165"/>
      <c r="L54" s="165" t="str">
        <f>IF($M54=1,"CV50","CV35")</f>
        <v>CV50</v>
      </c>
      <c r="M54" s="165">
        <v>1</v>
      </c>
      <c r="N54" s="165" t="str">
        <f>IF($M54=1,"CV35","CV25")</f>
        <v>CV35</v>
      </c>
      <c r="O54" s="165">
        <v>1</v>
      </c>
      <c r="P54" s="165"/>
    </row>
    <row r="55" spans="2:16" ht="18.75" customHeight="1">
      <c r="B55" s="164"/>
      <c r="C55" s="165"/>
      <c r="D55" s="166">
        <v>160</v>
      </c>
      <c r="E55" s="165">
        <v>60</v>
      </c>
      <c r="F55" s="165" t="s">
        <v>2367</v>
      </c>
      <c r="G55" s="165" t="s">
        <v>2368</v>
      </c>
      <c r="H55" s="165" t="s">
        <v>952</v>
      </c>
      <c r="I55" s="165" t="s">
        <v>144</v>
      </c>
      <c r="J55" s="165" t="s">
        <v>2363</v>
      </c>
      <c r="K55" s="165"/>
      <c r="L55" s="165" t="s">
        <v>1911</v>
      </c>
      <c r="M55" s="165">
        <v>1</v>
      </c>
      <c r="N55" s="165" t="s">
        <v>1742</v>
      </c>
      <c r="O55" s="165">
        <v>1</v>
      </c>
      <c r="P55" s="165">
        <v>1</v>
      </c>
    </row>
    <row r="56" spans="2:16" ht="18.75" customHeight="1">
      <c r="B56" s="164"/>
      <c r="C56" s="165"/>
      <c r="D56" s="166">
        <v>180</v>
      </c>
      <c r="E56" s="165">
        <v>80</v>
      </c>
      <c r="F56" s="165" t="s">
        <v>2367</v>
      </c>
      <c r="G56" s="165" t="s">
        <v>2368</v>
      </c>
      <c r="H56" s="165" t="s">
        <v>952</v>
      </c>
      <c r="I56" s="165" t="s">
        <v>144</v>
      </c>
      <c r="J56" s="165" t="s">
        <v>2363</v>
      </c>
      <c r="K56" s="165"/>
      <c r="L56" s="165" t="s">
        <v>2369</v>
      </c>
      <c r="M56" s="165">
        <v>1</v>
      </c>
      <c r="N56" s="165" t="s">
        <v>2370</v>
      </c>
      <c r="O56" s="165">
        <v>1</v>
      </c>
      <c r="P56" s="165">
        <v>1</v>
      </c>
    </row>
    <row r="57" spans="2:16" ht="18.75" customHeight="1">
      <c r="B57" s="164"/>
      <c r="C57" s="165"/>
      <c r="D57" s="166">
        <v>250</v>
      </c>
      <c r="E57" s="165">
        <v>100</v>
      </c>
      <c r="F57" s="165" t="s">
        <v>2371</v>
      </c>
      <c r="G57" s="165"/>
      <c r="H57" s="165"/>
      <c r="I57" s="165" t="s">
        <v>144</v>
      </c>
      <c r="J57" s="165" t="s">
        <v>2363</v>
      </c>
      <c r="K57" s="165"/>
      <c r="L57" s="165" t="s">
        <v>2372</v>
      </c>
      <c r="M57" s="165">
        <v>1</v>
      </c>
      <c r="N57" s="165" t="s">
        <v>2373</v>
      </c>
      <c r="O57" s="165">
        <v>1</v>
      </c>
      <c r="P57" s="165">
        <v>1</v>
      </c>
    </row>
    <row r="58" spans="2:16" ht="18.75" customHeight="1">
      <c r="B58" s="164"/>
      <c r="C58" s="165"/>
      <c r="D58" s="166">
        <v>320</v>
      </c>
      <c r="E58" s="165">
        <v>130</v>
      </c>
      <c r="F58" s="165" t="s">
        <v>2374</v>
      </c>
      <c r="G58" s="165"/>
      <c r="H58" s="165"/>
      <c r="I58" s="165" t="s">
        <v>144</v>
      </c>
      <c r="J58" s="165" t="s">
        <v>2363</v>
      </c>
      <c r="K58" s="165"/>
      <c r="L58" s="165" t="s">
        <v>2375</v>
      </c>
      <c r="M58" s="165">
        <v>1</v>
      </c>
      <c r="N58" s="165" t="s">
        <v>2376</v>
      </c>
      <c r="O58" s="165">
        <v>1</v>
      </c>
      <c r="P58" s="165">
        <v>1</v>
      </c>
    </row>
    <row r="59" spans="2:16" ht="18.75" customHeight="1">
      <c r="B59" s="164"/>
      <c r="C59" s="165"/>
      <c r="D59" s="166">
        <v>400</v>
      </c>
      <c r="E59" s="165">
        <v>160</v>
      </c>
      <c r="F59" s="165" t="s">
        <v>2377</v>
      </c>
      <c r="G59" s="165"/>
      <c r="H59" s="165"/>
      <c r="I59" s="165" t="s">
        <v>144</v>
      </c>
      <c r="J59" s="165" t="s">
        <v>2363</v>
      </c>
      <c r="K59" s="165"/>
      <c r="L59" s="165" t="s">
        <v>2378</v>
      </c>
      <c r="M59" s="165">
        <v>1</v>
      </c>
      <c r="N59" s="165" t="s">
        <v>2379</v>
      </c>
      <c r="O59" s="165">
        <v>1</v>
      </c>
      <c r="P59" s="165">
        <v>1</v>
      </c>
    </row>
    <row r="60" spans="2:16" ht="18.75" customHeight="1">
      <c r="B60" s="164"/>
      <c r="C60" s="165"/>
      <c r="D60" s="166">
        <v>560</v>
      </c>
      <c r="E60" s="165">
        <v>220</v>
      </c>
      <c r="F60" s="165" t="s">
        <v>2380</v>
      </c>
      <c r="G60" s="165"/>
      <c r="H60" s="165"/>
      <c r="I60" s="165" t="s">
        <v>144</v>
      </c>
      <c r="J60" s="165" t="s">
        <v>2363</v>
      </c>
      <c r="K60" s="165"/>
      <c r="L60" s="165" t="s">
        <v>2381</v>
      </c>
      <c r="M60" s="165">
        <v>1</v>
      </c>
      <c r="N60" s="165" t="s">
        <v>2382</v>
      </c>
      <c r="O60" s="165">
        <v>1</v>
      </c>
      <c r="P60" s="165">
        <v>1</v>
      </c>
    </row>
    <row r="61" spans="2:16" ht="18.75" customHeight="1">
      <c r="B61" s="164"/>
      <c r="C61" s="165"/>
      <c r="D61" s="166">
        <v>630</v>
      </c>
      <c r="E61" s="165">
        <v>250</v>
      </c>
      <c r="F61" s="165" t="s">
        <v>2383</v>
      </c>
      <c r="G61" s="165"/>
      <c r="H61" s="165"/>
      <c r="I61" s="165" t="s">
        <v>144</v>
      </c>
      <c r="J61" s="165" t="s">
        <v>2363</v>
      </c>
      <c r="K61" s="165"/>
      <c r="L61" s="165" t="s">
        <v>2384</v>
      </c>
      <c r="M61" s="165">
        <v>1</v>
      </c>
      <c r="N61" s="165" t="s">
        <v>2385</v>
      </c>
      <c r="O61" s="165">
        <v>1</v>
      </c>
      <c r="P61" s="165">
        <v>1</v>
      </c>
    </row>
    <row r="62" spans="2:16" ht="18.75" customHeight="1">
      <c r="B62" s="164"/>
      <c r="C62" s="165"/>
      <c r="D62" s="166">
        <v>750</v>
      </c>
      <c r="E62" s="165">
        <v>300</v>
      </c>
      <c r="F62" s="165" t="s">
        <v>2386</v>
      </c>
      <c r="G62" s="165"/>
      <c r="H62" s="165"/>
      <c r="I62" s="165" t="s">
        <v>144</v>
      </c>
      <c r="J62" s="165" t="s">
        <v>2363</v>
      </c>
      <c r="K62" s="165"/>
      <c r="L62" s="165" t="s">
        <v>2387</v>
      </c>
      <c r="M62" s="165">
        <v>1</v>
      </c>
      <c r="N62" s="165" t="s">
        <v>2388</v>
      </c>
      <c r="O62" s="165">
        <v>1</v>
      </c>
      <c r="P62" s="165">
        <v>1</v>
      </c>
    </row>
    <row r="63" spans="2:16" ht="18.75" customHeight="1">
      <c r="B63" s="164"/>
      <c r="C63" s="165"/>
      <c r="D63" s="166">
        <v>1000</v>
      </c>
      <c r="E63" s="165">
        <v>380</v>
      </c>
      <c r="F63" s="165" t="s">
        <v>2389</v>
      </c>
      <c r="G63" s="165"/>
      <c r="H63" s="165"/>
      <c r="I63" s="165"/>
      <c r="J63" s="165"/>
      <c r="K63" s="165"/>
      <c r="L63" s="165"/>
      <c r="M63" s="165"/>
      <c r="N63" s="165"/>
      <c r="O63" s="165"/>
      <c r="P63" s="165"/>
    </row>
    <row r="64" spans="2:16" ht="18.75" customHeight="1">
      <c r="B64" s="164"/>
      <c r="C64" s="165"/>
      <c r="D64" s="166">
        <v>1250</v>
      </c>
      <c r="E64" s="165">
        <v>400</v>
      </c>
      <c r="F64" s="165" t="s">
        <v>2389</v>
      </c>
      <c r="G64" s="165"/>
      <c r="H64" s="165"/>
      <c r="I64" s="165"/>
      <c r="J64" s="165"/>
      <c r="K64" s="165"/>
      <c r="L64" s="165"/>
      <c r="M64" s="165"/>
      <c r="N64" s="165"/>
      <c r="O64" s="165"/>
      <c r="P64" s="165"/>
    </row>
    <row r="65" spans="2:16" ht="18.75" customHeight="1">
      <c r="B65" s="164"/>
      <c r="C65" s="165"/>
      <c r="D65" s="166">
        <v>1500</v>
      </c>
      <c r="E65" s="165">
        <v>600</v>
      </c>
      <c r="F65" s="165" t="s">
        <v>2390</v>
      </c>
      <c r="G65" s="165"/>
      <c r="H65" s="165"/>
      <c r="I65" s="165"/>
      <c r="J65" s="165"/>
      <c r="K65" s="165"/>
      <c r="L65" s="165"/>
      <c r="M65" s="165"/>
      <c r="N65" s="165"/>
      <c r="O65" s="165"/>
      <c r="P65" s="165"/>
    </row>
    <row r="66" spans="2:16" ht="18.75" customHeight="1">
      <c r="B66" s="164"/>
      <c r="C66" s="165"/>
      <c r="D66" s="166">
        <v>1600</v>
      </c>
      <c r="E66" s="165">
        <v>600</v>
      </c>
      <c r="F66" s="165" t="s">
        <v>2390</v>
      </c>
      <c r="G66" s="165"/>
      <c r="H66" s="165"/>
      <c r="I66" s="165"/>
      <c r="J66" s="165"/>
      <c r="K66" s="165"/>
      <c r="L66" s="165"/>
      <c r="M66" s="165"/>
      <c r="N66" s="165"/>
      <c r="O66" s="165"/>
      <c r="P66" s="165"/>
    </row>
    <row r="67" spans="2:16" ht="18.75" customHeight="1">
      <c r="B67" s="164"/>
      <c r="C67" s="165"/>
      <c r="D67" s="166">
        <v>2000</v>
      </c>
      <c r="E67" s="165">
        <v>750</v>
      </c>
      <c r="F67" s="165" t="s">
        <v>2391</v>
      </c>
      <c r="G67" s="165"/>
      <c r="H67" s="165"/>
      <c r="I67" s="165"/>
      <c r="J67" s="165"/>
      <c r="K67" s="165"/>
      <c r="L67" s="165"/>
      <c r="M67" s="165"/>
      <c r="N67" s="165"/>
      <c r="O67" s="165"/>
      <c r="P67" s="165"/>
    </row>
    <row r="68" spans="2:16" ht="18.75" customHeight="1">
      <c r="B68" s="164"/>
      <c r="C68" s="165"/>
      <c r="D68" s="166">
        <v>2500</v>
      </c>
      <c r="E68" s="165">
        <v>1000</v>
      </c>
      <c r="F68" s="165" t="s">
        <v>2391</v>
      </c>
      <c r="G68" s="165"/>
      <c r="H68" s="165"/>
      <c r="I68" s="165"/>
      <c r="J68" s="165"/>
      <c r="K68" s="165"/>
      <c r="L68" s="165"/>
      <c r="M68" s="165"/>
      <c r="N68" s="165"/>
      <c r="O68" s="165"/>
      <c r="P68" s="165"/>
    </row>
    <row r="69" spans="2:16" ht="18.75" customHeight="1">
      <c r="B69" s="164"/>
      <c r="C69" s="165"/>
      <c r="D69" s="166">
        <v>3200</v>
      </c>
      <c r="E69" s="165">
        <v>1200</v>
      </c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</row>
    <row r="70" spans="2:16" ht="18.75" customHeight="1" thickBot="1">
      <c r="B70" s="167"/>
      <c r="C70" s="168"/>
      <c r="D70" s="169">
        <v>4000</v>
      </c>
      <c r="E70" s="168">
        <v>1500</v>
      </c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</row>
  </sheetData>
  <mergeCells count="2">
    <mergeCell ref="B9:B10"/>
    <mergeCell ref="D33:E33"/>
  </mergeCells>
  <conditionalFormatting sqref="F14:F32 B49:C70 C34:C43 F34:F46 E49:P70">
    <cfRule type="cellIs" dxfId="0" priority="1" stopIfTrue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9"/>
  <sheetViews>
    <sheetView workbookViewId="0">
      <selection activeCell="C3" sqref="C3:E9"/>
    </sheetView>
  </sheetViews>
  <sheetFormatPr defaultRowHeight="14.4"/>
  <cols>
    <col min="2" max="2" width="24.5546875" customWidth="1"/>
    <col min="3" max="3" width="20.33203125" customWidth="1"/>
    <col min="4" max="4" width="20.6640625" customWidth="1"/>
    <col min="5" max="5" width="18.88671875" customWidth="1"/>
  </cols>
  <sheetData>
    <row r="2" spans="1:5" ht="33.6">
      <c r="A2" s="837" t="s">
        <v>1763</v>
      </c>
      <c r="B2" s="837" t="s">
        <v>3998</v>
      </c>
      <c r="C2" s="837" t="s">
        <v>3999</v>
      </c>
      <c r="D2" s="837" t="s">
        <v>4000</v>
      </c>
      <c r="E2" s="837" t="s">
        <v>4001</v>
      </c>
    </row>
    <row r="3" spans="1:5" ht="16.8">
      <c r="A3" s="838">
        <v>1</v>
      </c>
      <c r="B3" s="839" t="s">
        <v>4002</v>
      </c>
      <c r="C3" s="840">
        <v>9419492100</v>
      </c>
      <c r="D3" s="840">
        <f>'1.TONG HOP'!C8</f>
        <v>9374958650</v>
      </c>
      <c r="E3" s="841">
        <f>D3-C3</f>
        <v>-44533450</v>
      </c>
    </row>
    <row r="4" spans="1:5" ht="16.8">
      <c r="A4" s="838">
        <v>2</v>
      </c>
      <c r="B4" s="839" t="s">
        <v>4003</v>
      </c>
      <c r="C4" s="840">
        <v>2064971915</v>
      </c>
      <c r="D4" s="840">
        <f>'1.TONG HOP'!D8</f>
        <v>2022952019</v>
      </c>
      <c r="E4" s="841">
        <f t="shared" ref="E4:E9" si="0">D4-C4</f>
        <v>-42019896</v>
      </c>
    </row>
    <row r="5" spans="1:5" ht="16.8">
      <c r="A5" s="838">
        <v>3</v>
      </c>
      <c r="B5" s="839" t="s">
        <v>4004</v>
      </c>
      <c r="C5" s="840">
        <v>286485175</v>
      </c>
      <c r="D5" s="840">
        <f>'1.TONG HOP'!E8</f>
        <v>284657638</v>
      </c>
      <c r="E5" s="841">
        <f t="shared" si="0"/>
        <v>-1827537</v>
      </c>
    </row>
    <row r="6" spans="1:5" ht="16.8">
      <c r="A6" s="838">
        <v>4</v>
      </c>
      <c r="B6" s="839" t="s">
        <v>4005</v>
      </c>
      <c r="C6" s="840">
        <v>938087596</v>
      </c>
      <c r="D6" s="840">
        <f>'1.TONG HOP'!F8</f>
        <v>930254297</v>
      </c>
      <c r="E6" s="841">
        <f t="shared" si="0"/>
        <v>-7833299</v>
      </c>
    </row>
    <row r="7" spans="1:5" ht="16.8">
      <c r="A7" s="838">
        <v>5</v>
      </c>
      <c r="B7" s="839" t="s">
        <v>2459</v>
      </c>
      <c r="C7" s="840">
        <v>795879038</v>
      </c>
      <c r="D7" s="840">
        <f ca="1">'1.TONG HOP'!G8</f>
        <v>790861115</v>
      </c>
      <c r="E7" s="841">
        <f t="shared" ca="1" si="0"/>
        <v>-5017923</v>
      </c>
    </row>
    <row r="8" spans="1:5" ht="16.8">
      <c r="A8" s="838">
        <v>6</v>
      </c>
      <c r="B8" s="839" t="s">
        <v>4006</v>
      </c>
      <c r="C8" s="840">
        <v>1350491582</v>
      </c>
      <c r="D8" s="840">
        <f ca="1">'1.TONG HOP'!H8</f>
        <v>670184186</v>
      </c>
      <c r="E8" s="841">
        <f t="shared" ca="1" si="0"/>
        <v>-680307396</v>
      </c>
    </row>
    <row r="9" spans="1:5" ht="16.8">
      <c r="A9" s="842"/>
      <c r="B9" s="842" t="s">
        <v>3540</v>
      </c>
      <c r="C9" s="843">
        <f>SUM(C3:C8)</f>
        <v>14855407406</v>
      </c>
      <c r="D9" s="843">
        <f ca="1">SUM(D3:D8)</f>
        <v>14073867905</v>
      </c>
      <c r="E9" s="844">
        <f t="shared" ca="1" si="0"/>
        <v>-781539501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2"/>
  <sheetViews>
    <sheetView showZeros="0" view="pageBreakPreview" zoomScaleNormal="100" zoomScaleSheetLayoutView="100" workbookViewId="0">
      <selection activeCell="H23" sqref="H23"/>
    </sheetView>
  </sheetViews>
  <sheetFormatPr defaultColWidth="9.109375" defaultRowHeight="15.6"/>
  <cols>
    <col min="1" max="1" width="5.6640625" style="32" customWidth="1"/>
    <col min="2" max="2" width="27.109375" style="32" customWidth="1"/>
    <col min="3" max="4" width="15.5546875" style="32" customWidth="1"/>
    <col min="5" max="5" width="13.109375" style="32" customWidth="1"/>
    <col min="6" max="8" width="15.5546875" style="32" customWidth="1"/>
    <col min="9" max="9" width="19.6640625" style="32" customWidth="1"/>
    <col min="10" max="10" width="12.44140625" style="32" bestFit="1" customWidth="1"/>
    <col min="11" max="16384" width="9.109375" style="32"/>
  </cols>
  <sheetData>
    <row r="1" spans="1:9">
      <c r="A1" s="32" t="s">
        <v>1623</v>
      </c>
    </row>
    <row r="2" spans="1:9">
      <c r="A2" s="63" t="s">
        <v>2112</v>
      </c>
      <c r="B2" s="63"/>
      <c r="C2" s="63"/>
      <c r="D2" s="63"/>
      <c r="E2" s="63"/>
      <c r="F2" s="63"/>
      <c r="G2" s="63"/>
      <c r="H2" s="63"/>
      <c r="I2" s="63"/>
    </row>
    <row r="3" spans="1:9">
      <c r="A3" s="592" t="str">
        <f>'SO LIEU'!C5</f>
        <v>CẢI TẠO LƯỚI ĐIỆN TRUNG HẠ THẾ VÀ TBA HUYỆN CẨM MỸ NĂM 2020</v>
      </c>
      <c r="B3" s="592"/>
      <c r="C3" s="592"/>
      <c r="D3" s="592"/>
      <c r="E3" s="592"/>
      <c r="F3" s="592"/>
      <c r="G3" s="592"/>
      <c r="H3" s="592"/>
      <c r="I3" s="592"/>
    </row>
    <row r="5" spans="1:9" ht="46.8">
      <c r="A5" s="495" t="s">
        <v>1763</v>
      </c>
      <c r="B5" s="495" t="s">
        <v>1958</v>
      </c>
      <c r="C5" s="495" t="s">
        <v>2113</v>
      </c>
      <c r="D5" s="495" t="s">
        <v>2114</v>
      </c>
      <c r="E5" s="495" t="s">
        <v>2115</v>
      </c>
      <c r="F5" s="495" t="s">
        <v>2116</v>
      </c>
      <c r="G5" s="495" t="s">
        <v>2117</v>
      </c>
      <c r="H5" s="495" t="s">
        <v>2118</v>
      </c>
      <c r="I5" s="495" t="s">
        <v>2119</v>
      </c>
    </row>
    <row r="6" spans="1:9" ht="16.2">
      <c r="A6" s="445">
        <v>1</v>
      </c>
      <c r="B6" s="29" t="s">
        <v>2120</v>
      </c>
      <c r="C6" s="29">
        <f>'2.TCP-XD'!I19</f>
        <v>887633038</v>
      </c>
      <c r="D6" s="29">
        <f>'2.TCP-XD'!I100</f>
        <v>1784216972</v>
      </c>
      <c r="E6" s="29"/>
      <c r="F6" s="29"/>
      <c r="G6" s="29"/>
      <c r="H6" s="29"/>
      <c r="I6" s="29">
        <f>SUM(C6:H6)</f>
        <v>2671850010</v>
      </c>
    </row>
    <row r="7" spans="1:9" ht="16.2">
      <c r="A7" s="445">
        <v>2</v>
      </c>
      <c r="B7" s="29" t="s">
        <v>2121</v>
      </c>
      <c r="C7" s="29">
        <f>'2.TCP-XD'!I7</f>
        <v>8487325612</v>
      </c>
      <c r="D7" s="29">
        <f>'2.TCP-XD'!I90</f>
        <v>238735047</v>
      </c>
      <c r="E7" s="29"/>
      <c r="F7" s="29"/>
      <c r="G7" s="29"/>
      <c r="H7" s="29"/>
      <c r="I7" s="29">
        <f>SUM(C7:H7)</f>
        <v>8726060659</v>
      </c>
    </row>
    <row r="8" spans="1:9">
      <c r="A8" s="28"/>
      <c r="B8" s="27" t="s">
        <v>2122</v>
      </c>
      <c r="C8" s="28">
        <f>SUM(C6:C7)</f>
        <v>9374958650</v>
      </c>
      <c r="D8" s="28">
        <f>SUM(D6:D7)</f>
        <v>2022952019</v>
      </c>
      <c r="E8" s="28">
        <f>'2.TCP-XD'!I192</f>
        <v>284657638</v>
      </c>
      <c r="F8" s="28">
        <f>'2.TCP-XD'!I193</f>
        <v>930254297</v>
      </c>
      <c r="G8" s="28">
        <f ca="1">'2.TCP-XD'!I210</f>
        <v>790861115</v>
      </c>
      <c r="H8" s="28">
        <f ca="1">'2.TCP-XD'!I227</f>
        <v>670184186</v>
      </c>
      <c r="I8" s="28">
        <f ca="1">SUM(C8:H8)</f>
        <v>14073867905</v>
      </c>
    </row>
    <row r="10" spans="1:9" s="832" customFormat="1">
      <c r="H10" s="832" t="s">
        <v>4019</v>
      </c>
    </row>
    <row r="11" spans="1:9" s="832" customFormat="1">
      <c r="B11" s="832" t="s">
        <v>4018</v>
      </c>
      <c r="E11" s="832" t="s">
        <v>2123</v>
      </c>
      <c r="H11" s="832" t="s">
        <v>3413</v>
      </c>
    </row>
    <row r="12" spans="1:9" s="832" customFormat="1"/>
    <row r="13" spans="1:9" s="832" customFormat="1" ht="31.5" customHeight="1"/>
    <row r="14" spans="1:9" s="832" customFormat="1"/>
    <row r="15" spans="1:9" s="832" customFormat="1"/>
    <row r="16" spans="1:9" s="832" customFormat="1">
      <c r="B16" s="832" t="s">
        <v>4022</v>
      </c>
      <c r="C16" s="831"/>
      <c r="D16" s="831"/>
      <c r="E16" s="832" t="s">
        <v>4021</v>
      </c>
      <c r="F16" s="831"/>
      <c r="H16" s="832" t="s">
        <v>4020</v>
      </c>
    </row>
    <row r="18" spans="1:9">
      <c r="A18" s="63">
        <f>'SO LIEU'!D11</f>
        <v>0</v>
      </c>
      <c r="B18" s="63"/>
      <c r="D18" s="63">
        <f>'SO LIEU'!D12</f>
        <v>0</v>
      </c>
      <c r="E18" s="63"/>
      <c r="G18" s="63">
        <f>'SO LIEU'!D13</f>
        <v>0</v>
      </c>
      <c r="H18" s="63"/>
      <c r="I18" s="63"/>
    </row>
    <row r="21" spans="1:9">
      <c r="B21" s="496"/>
      <c r="C21" s="497"/>
      <c r="D21" s="496"/>
      <c r="E21" s="496"/>
      <c r="F21" s="496"/>
      <c r="G21" s="496"/>
      <c r="H21" s="496"/>
      <c r="I21" s="496"/>
    </row>
    <row r="22" spans="1:9">
      <c r="B22" s="496"/>
      <c r="C22" s="496"/>
      <c r="D22" s="496"/>
      <c r="E22" s="496"/>
      <c r="F22" s="496"/>
      <c r="G22" s="496"/>
      <c r="H22" s="496"/>
      <c r="I22" s="496"/>
    </row>
  </sheetData>
  <printOptions horizontalCentered="1"/>
  <pageMargins left="0.19685039370078741" right="0.19685039370078741" top="0.78740157480314965" bottom="0.39370078740157483" header="0.31496062992125984" footer="0.31496062992125984"/>
  <pageSetup paperSize="9" scale="95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227"/>
  <sheetViews>
    <sheetView showZeros="0" view="pageBreakPreview" topLeftCell="A72" zoomScaleNormal="100" zoomScaleSheetLayoutView="100" workbookViewId="0">
      <selection activeCell="H23" sqref="H23"/>
    </sheetView>
  </sheetViews>
  <sheetFormatPr defaultColWidth="9.109375" defaultRowHeight="15.6"/>
  <cols>
    <col min="1" max="1" width="11.88671875" style="20" customWidth="1"/>
    <col min="2" max="2" width="17.33203125" style="20" customWidth="1"/>
    <col min="3" max="3" width="6.44140625" style="20" customWidth="1"/>
    <col min="4" max="4" width="45.109375" style="20" bestFit="1" customWidth="1"/>
    <col min="5" max="5" width="27.33203125" style="20" bestFit="1" customWidth="1"/>
    <col min="6" max="6" width="19.88671875" style="20" customWidth="1"/>
    <col min="7" max="7" width="9.5546875" style="20" bestFit="1" customWidth="1"/>
    <col min="8" max="8" width="17.88671875" style="20" customWidth="1"/>
    <col min="9" max="9" width="18.109375" style="20" customWidth="1"/>
    <col min="10" max="10" width="9.5546875" style="20" bestFit="1" customWidth="1"/>
    <col min="11" max="11" width="15.109375" style="20" bestFit="1" customWidth="1"/>
    <col min="12" max="12" width="14.33203125" style="20" bestFit="1" customWidth="1"/>
    <col min="13" max="13" width="15.44140625" style="20" bestFit="1" customWidth="1"/>
    <col min="14" max="17" width="16.109375" style="20" customWidth="1"/>
    <col min="18" max="21" width="15.44140625" style="20" customWidth="1"/>
    <col min="22" max="16384" width="9.109375" style="20"/>
  </cols>
  <sheetData>
    <row r="1" spans="1:11">
      <c r="C1" s="20" t="s">
        <v>1623</v>
      </c>
    </row>
    <row r="2" spans="1:11" s="32" customFormat="1">
      <c r="C2" s="63" t="s">
        <v>1957</v>
      </c>
      <c r="D2" s="63"/>
      <c r="E2" s="63"/>
      <c r="F2" s="63"/>
      <c r="G2" s="63"/>
      <c r="H2" s="63"/>
      <c r="I2" s="63"/>
    </row>
    <row r="4" spans="1:11" s="32" customFormat="1">
      <c r="C4" s="1013" t="s">
        <v>1763</v>
      </c>
      <c r="D4" s="1013" t="s">
        <v>1958</v>
      </c>
      <c r="E4" s="1013" t="s">
        <v>1959</v>
      </c>
      <c r="F4" s="1013" t="s">
        <v>2011</v>
      </c>
      <c r="G4" s="1013" t="s">
        <v>1960</v>
      </c>
      <c r="H4" s="1013"/>
      <c r="I4" s="1013" t="s">
        <v>2012</v>
      </c>
    </row>
    <row r="5" spans="1:11" s="32" customFormat="1">
      <c r="C5" s="1013"/>
      <c r="D5" s="1013"/>
      <c r="E5" s="1013"/>
      <c r="F5" s="1013"/>
      <c r="G5" s="282" t="s">
        <v>1961</v>
      </c>
      <c r="H5" s="282" t="s">
        <v>1627</v>
      </c>
      <c r="I5" s="1013"/>
    </row>
    <row r="6" spans="1:11">
      <c r="C6" s="26" t="s">
        <v>1765</v>
      </c>
      <c r="D6" s="36" t="s">
        <v>1962</v>
      </c>
      <c r="E6" s="26" t="s">
        <v>1963</v>
      </c>
      <c r="F6" s="22">
        <f>F7+F19</f>
        <v>8522689679</v>
      </c>
      <c r="G6" s="46"/>
      <c r="H6" s="22">
        <f>H7+H19</f>
        <v>852268971</v>
      </c>
      <c r="I6" s="22">
        <f>I7+I19</f>
        <v>9374958650</v>
      </c>
      <c r="J6" s="25">
        <f>IF(I6&lt;&gt;0,1,)</f>
        <v>1</v>
      </c>
    </row>
    <row r="7" spans="1:11">
      <c r="C7" s="35" t="s">
        <v>1631</v>
      </c>
      <c r="D7" s="47" t="s">
        <v>1964</v>
      </c>
      <c r="E7" s="35" t="s">
        <v>2724</v>
      </c>
      <c r="F7" s="34">
        <f>F8+F11+F14+F17</f>
        <v>7715750557</v>
      </c>
      <c r="G7" s="48"/>
      <c r="H7" s="34">
        <f>H8+H11+H14+H17</f>
        <v>771575055</v>
      </c>
      <c r="I7" s="34">
        <f>I8+I11+I14+I17</f>
        <v>8487325612</v>
      </c>
      <c r="J7" s="25">
        <f t="shared" ref="J7:J99" si="0">IF(I7&lt;&gt;0,1,)</f>
        <v>1</v>
      </c>
    </row>
    <row r="8" spans="1:11">
      <c r="C8" s="27">
        <v>1</v>
      </c>
      <c r="D8" s="3" t="s">
        <v>1965</v>
      </c>
      <c r="E8" s="27" t="s">
        <v>3320</v>
      </c>
      <c r="F8" s="28">
        <f>SUM(F9:F10)</f>
        <v>5825976052</v>
      </c>
      <c r="G8" s="45"/>
      <c r="H8" s="28">
        <f>SUM(H9:H10)</f>
        <v>582597605</v>
      </c>
      <c r="I8" s="28">
        <f>SUM(I9:I10)</f>
        <v>6408573657</v>
      </c>
      <c r="J8" s="25">
        <f t="shared" si="0"/>
        <v>1</v>
      </c>
      <c r="K8" s="20">
        <f>I8+I20+I91+I101</f>
        <v>8793905908</v>
      </c>
    </row>
    <row r="9" spans="1:11" s="42" customFormat="1">
      <c r="A9" s="42" t="s">
        <v>1844</v>
      </c>
      <c r="B9" s="42" t="s">
        <v>2049</v>
      </c>
      <c r="C9" s="30" t="str">
        <f>"1."&amp;COUNTIF($F$9:F9,$K$21)</f>
        <v>1.1</v>
      </c>
      <c r="D9" s="51" t="str">
        <f>"+ "&amp;VLOOKUP(A9,XLDD,'3.XL-DD'!$D$2,0)</f>
        <v>+ Phần đường dây trung thế</v>
      </c>
      <c r="E9" s="30" t="s">
        <v>1967</v>
      </c>
      <c r="F9" s="31">
        <f>ROUND(VLOOKUP(B9,GTDD,'4.GT'!$M$7,0),0)</f>
        <v>2855885179</v>
      </c>
      <c r="G9" s="50">
        <v>0.1</v>
      </c>
      <c r="H9" s="31">
        <f>ROUND(F9*G9,0)</f>
        <v>285588518</v>
      </c>
      <c r="I9" s="31">
        <f>F9+H9</f>
        <v>3141473697</v>
      </c>
      <c r="J9" s="25">
        <f t="shared" si="0"/>
        <v>1</v>
      </c>
    </row>
    <row r="10" spans="1:11" s="42" customFormat="1">
      <c r="A10" s="42" t="s">
        <v>1873</v>
      </c>
      <c r="B10" s="42" t="s">
        <v>2051</v>
      </c>
      <c r="C10" s="30" t="str">
        <f>"1."&amp;COUNTIF($F$9:F10,$K$21)</f>
        <v>1.2</v>
      </c>
      <c r="D10" s="51" t="str">
        <f>"+ "&amp;VLOOKUP(A10,XLDD,'3.XL-DD'!$D$2,0)</f>
        <v>+ Phần đường dây hạ thế</v>
      </c>
      <c r="E10" s="30" t="s">
        <v>1968</v>
      </c>
      <c r="F10" s="31">
        <f>ROUND(VLOOKUP(B10,GTDD,'4.GT'!$M$7,0),0)</f>
        <v>2970090873</v>
      </c>
      <c r="G10" s="50">
        <v>0.1</v>
      </c>
      <c r="H10" s="31">
        <f>ROUND(F10*G10,0)</f>
        <v>297009087</v>
      </c>
      <c r="I10" s="31">
        <f>F10+H10</f>
        <v>3267099960</v>
      </c>
      <c r="J10" s="25">
        <f t="shared" si="0"/>
        <v>1</v>
      </c>
    </row>
    <row r="11" spans="1:11">
      <c r="C11" s="27">
        <v>2</v>
      </c>
      <c r="D11" s="3" t="s">
        <v>1969</v>
      </c>
      <c r="E11" s="27" t="s">
        <v>3321</v>
      </c>
      <c r="F11" s="28">
        <f>SUM(F12:F13)</f>
        <v>1646100213</v>
      </c>
      <c r="G11" s="45"/>
      <c r="H11" s="28">
        <f>SUM(H12:H13)</f>
        <v>164610021</v>
      </c>
      <c r="I11" s="28">
        <f>SUM(I12:I13)</f>
        <v>1810710234</v>
      </c>
      <c r="J11" s="25">
        <f t="shared" si="0"/>
        <v>1</v>
      </c>
      <c r="K11" s="20">
        <f>I11+I43+I94+I124+I17</f>
        <v>2274197778</v>
      </c>
    </row>
    <row r="12" spans="1:11" s="42" customFormat="1">
      <c r="A12" s="42" t="s">
        <v>1844</v>
      </c>
      <c r="B12" s="42" t="s">
        <v>1864</v>
      </c>
      <c r="C12" s="30" t="str">
        <f>"2."&amp;COUNTIF($F$12:F12,$K$21)</f>
        <v>2.1</v>
      </c>
      <c r="D12" s="51" t="str">
        <f>"+ "&amp;VLOOKUP(A12,XLDD,'3.XL-DD'!$D$2,0)</f>
        <v>+ Phần đường dây trung thế</v>
      </c>
      <c r="E12" s="30" t="s">
        <v>1970</v>
      </c>
      <c r="F12" s="31">
        <f>ROUND(VLOOKUP(B12,XLDD,'3.XL-DD'!$G$2,0)+VLOOKUP(B12,XLDD,'3.XL-DD'!$I$2,0),0)</f>
        <v>876390141</v>
      </c>
      <c r="G12" s="50">
        <v>0.1</v>
      </c>
      <c r="H12" s="31">
        <f>ROUND(F12*G12,0)</f>
        <v>87639014</v>
      </c>
      <c r="I12" s="31">
        <f>F12+H12</f>
        <v>964029155</v>
      </c>
      <c r="J12" s="25">
        <f t="shared" si="0"/>
        <v>1</v>
      </c>
      <c r="K12" s="42">
        <f>I11+I14+I17+I43+I66+I94+I124+I169</f>
        <v>2468619070</v>
      </c>
    </row>
    <row r="13" spans="1:11" s="42" customFormat="1">
      <c r="A13" s="42" t="s">
        <v>1873</v>
      </c>
      <c r="B13" s="42" t="s">
        <v>1874</v>
      </c>
      <c r="C13" s="30" t="str">
        <f>"2."&amp;COUNTIF($F$12:F13,$K$21)</f>
        <v>2.2</v>
      </c>
      <c r="D13" s="51" t="str">
        <f>"+ "&amp;VLOOKUP(A13,XLDD,'3.XL-DD'!$D$2,0)</f>
        <v>+ Phần đường dây hạ thế</v>
      </c>
      <c r="E13" s="30" t="s">
        <v>1971</v>
      </c>
      <c r="F13" s="31">
        <f>ROUND(VLOOKUP(B13,XLDD,'3.XL-DD'!$G$2,0)+VLOOKUP(B13,XLDD,'3.XL-DD'!$I$2,0),0)</f>
        <v>769710072</v>
      </c>
      <c r="G13" s="50">
        <v>0.1</v>
      </c>
      <c r="H13" s="31">
        <f>ROUND(F13*G13,0)</f>
        <v>76971007</v>
      </c>
      <c r="I13" s="31">
        <f>F13+H13</f>
        <v>846681079</v>
      </c>
      <c r="J13" s="25">
        <f t="shared" si="0"/>
        <v>1</v>
      </c>
    </row>
    <row r="14" spans="1:11">
      <c r="C14" s="27">
        <v>3</v>
      </c>
      <c r="D14" s="3" t="s">
        <v>1972</v>
      </c>
      <c r="E14" s="27" t="s">
        <v>3322</v>
      </c>
      <c r="F14" s="28">
        <f>SUM(F15:F16)</f>
        <v>170331648</v>
      </c>
      <c r="G14" s="45"/>
      <c r="H14" s="28">
        <f>SUM(H15:H16)</f>
        <v>17033165</v>
      </c>
      <c r="I14" s="28">
        <f>SUM(I15:I16)</f>
        <v>187364813</v>
      </c>
      <c r="J14" s="25">
        <f t="shared" si="0"/>
        <v>1</v>
      </c>
    </row>
    <row r="15" spans="1:11" s="42" customFormat="1">
      <c r="A15" s="42" t="s">
        <v>1844</v>
      </c>
      <c r="B15" s="42" t="s">
        <v>2576</v>
      </c>
      <c r="C15" s="30" t="str">
        <f>"3."&amp;COUNTIF($F$15:F15,$K$21)</f>
        <v>3.1</v>
      </c>
      <c r="D15" s="51" t="str">
        <f>"+ "&amp;VLOOKUP(A15,XLDD,'3.XL-DD'!$D$2,0)</f>
        <v>+ Phần đường dây trung thế</v>
      </c>
      <c r="E15" s="30" t="s">
        <v>1973</v>
      </c>
      <c r="F15" s="31">
        <f>VLOOKUP(B15,CPVCDD,'13.VCDD'!$E$5,0)</f>
        <v>124208329</v>
      </c>
      <c r="G15" s="50">
        <v>0.1</v>
      </c>
      <c r="H15" s="31">
        <f>ROUND(F15*G15,0)</f>
        <v>12420833</v>
      </c>
      <c r="I15" s="31">
        <f>F15+H15</f>
        <v>136629162</v>
      </c>
      <c r="J15" s="25">
        <f t="shared" si="0"/>
        <v>1</v>
      </c>
    </row>
    <row r="16" spans="1:11" s="42" customFormat="1">
      <c r="A16" s="42" t="s">
        <v>1873</v>
      </c>
      <c r="B16" s="42" t="s">
        <v>2577</v>
      </c>
      <c r="C16" s="30" t="str">
        <f>"3."&amp;COUNTIF($F$15:F16,$K$21)</f>
        <v>3.2</v>
      </c>
      <c r="D16" s="51" t="str">
        <f>"+ "&amp;VLOOKUP(A16,XLDD,'3.XL-DD'!$D$2,0)</f>
        <v>+ Phần đường dây hạ thế</v>
      </c>
      <c r="E16" s="30" t="s">
        <v>1974</v>
      </c>
      <c r="F16" s="31">
        <f>VLOOKUP(B16,CPVCDD,'13.VCDD'!$E$5,0)</f>
        <v>46123319</v>
      </c>
      <c r="G16" s="50">
        <v>0.1</v>
      </c>
      <c r="H16" s="31">
        <f>ROUND(F16*G16,0)</f>
        <v>4612332</v>
      </c>
      <c r="I16" s="31">
        <f>F16+H16</f>
        <v>50735651</v>
      </c>
      <c r="J16" s="25">
        <f t="shared" si="0"/>
        <v>1</v>
      </c>
    </row>
    <row r="17" spans="1:11">
      <c r="C17" s="27">
        <v>4</v>
      </c>
      <c r="D17" s="3" t="s">
        <v>2685</v>
      </c>
      <c r="E17" s="27" t="s">
        <v>3323</v>
      </c>
      <c r="F17" s="28">
        <f>SUM(F18:F18)</f>
        <v>73342644</v>
      </c>
      <c r="G17" s="45"/>
      <c r="H17" s="28">
        <f>SUM(H18:H18)</f>
        <v>7334264</v>
      </c>
      <c r="I17" s="28">
        <f>SUM(I18:I18)</f>
        <v>80676908</v>
      </c>
      <c r="J17" s="25">
        <f>IF(I17&lt;&gt;0,1,)</f>
        <v>1</v>
      </c>
    </row>
    <row r="18" spans="1:11" s="42" customFormat="1">
      <c r="A18" s="42" t="s">
        <v>1844</v>
      </c>
      <c r="B18" s="42" t="str">
        <f>"HL"&amp;A18</f>
        <v>HLT1</v>
      </c>
      <c r="C18" s="30" t="str">
        <f>"4."&amp;COUNTIF($F$18:F18,$K$21)</f>
        <v>4.1</v>
      </c>
      <c r="D18" s="51" t="str">
        <f>"+ "&amp;VLOOKUP(A18,XLDD,'3.XL-DD'!$D$2,0)</f>
        <v>+ Phần đường dây trung thế</v>
      </c>
      <c r="E18" s="30" t="s">
        <v>3980</v>
      </c>
      <c r="F18" s="31">
        <f>'17.TH-HOTLINE'!F15</f>
        <v>73342644</v>
      </c>
      <c r="G18" s="50">
        <v>0.1</v>
      </c>
      <c r="H18" s="31">
        <f>ROUND(F18*G18,0)</f>
        <v>7334264</v>
      </c>
      <c r="I18" s="31">
        <f>F18+H18</f>
        <v>80676908</v>
      </c>
      <c r="J18" s="25">
        <f>IF(I18&lt;&gt;0,1,)</f>
        <v>1</v>
      </c>
    </row>
    <row r="19" spans="1:11">
      <c r="C19" s="35" t="s">
        <v>1663</v>
      </c>
      <c r="D19" s="47" t="s">
        <v>1975</v>
      </c>
      <c r="E19" s="35" t="s">
        <v>3326</v>
      </c>
      <c r="F19" s="34">
        <f>F20+F43+F66</f>
        <v>806939122</v>
      </c>
      <c r="G19" s="48"/>
      <c r="H19" s="34">
        <f>H20+H43+H66</f>
        <v>80693916</v>
      </c>
      <c r="I19" s="34">
        <f>I20+I43+I66</f>
        <v>887633038</v>
      </c>
      <c r="J19" s="25">
        <f t="shared" si="0"/>
        <v>1</v>
      </c>
    </row>
    <row r="20" spans="1:11">
      <c r="C20" s="27">
        <v>1</v>
      </c>
      <c r="D20" s="3" t="s">
        <v>1965</v>
      </c>
      <c r="E20" s="27" t="s">
        <v>3325</v>
      </c>
      <c r="F20" s="28">
        <f>SUM(F21:F42)</f>
        <v>648599504</v>
      </c>
      <c r="G20" s="45"/>
      <c r="H20" s="28">
        <f>SUM(H21:H42)</f>
        <v>64859951</v>
      </c>
      <c r="I20" s="28">
        <f>SUM(I21:I42)</f>
        <v>713459455</v>
      </c>
      <c r="J20" s="25">
        <f t="shared" si="0"/>
        <v>1</v>
      </c>
    </row>
    <row r="21" spans="1:11" s="42" customFormat="1" hidden="1">
      <c r="A21" s="42" t="s">
        <v>2088</v>
      </c>
      <c r="B21" s="42" t="str">
        <f>"VL"&amp;A21</f>
        <v>VLTR25</v>
      </c>
      <c r="C21" s="30" t="str">
        <f>"1."&amp;COUNTIF($F$21:F21,$K$21)</f>
        <v>1.0</v>
      </c>
      <c r="D21" s="49" t="str">
        <f>"+ "&amp;VLOOKUP(A21,XLTBA,'6.XL-TR'!$D$2,0)</f>
        <v>+ 0 Trạm 1 pha 25kVA</v>
      </c>
      <c r="E21" s="30" t="str">
        <f>"VL"&amp;RIGHT(C21,1)</f>
        <v>VL0</v>
      </c>
      <c r="F21" s="31">
        <f>ROUND(VLOOKUP(B21,CTTBA,'7.CT-TBA'!$M$25,0),0)</f>
        <v>0</v>
      </c>
      <c r="G21" s="50">
        <v>0.1</v>
      </c>
      <c r="H21" s="31">
        <f t="shared" ref="H21:H26" si="1">ROUND(F21*G21,0)</f>
        <v>0</v>
      </c>
      <c r="I21" s="31">
        <f t="shared" ref="I21:I26" si="2">F21+H21</f>
        <v>0</v>
      </c>
      <c r="J21" s="25">
        <f t="shared" si="0"/>
        <v>0</v>
      </c>
      <c r="K21" s="42" t="s">
        <v>2589</v>
      </c>
    </row>
    <row r="22" spans="1:11" s="42" customFormat="1" hidden="1">
      <c r="A22" s="42" t="s">
        <v>2089</v>
      </c>
      <c r="B22" s="42" t="str">
        <f t="shared" ref="B22:B37" si="3">"VL"&amp;A22</f>
        <v>VLTR375</v>
      </c>
      <c r="C22" s="30" t="str">
        <f>"1."&amp;COUNTIF($F$21:F22,$K$21)</f>
        <v>1.0</v>
      </c>
      <c r="D22" s="49" t="str">
        <f>"+ "&amp;VLOOKUP(A22,XLTBA,'6.XL-TR'!$D$2,0)</f>
        <v>+ 0 Trạm 1 pha 37,5kVA</v>
      </c>
      <c r="E22" s="30" t="str">
        <f t="shared" ref="E22:E39" si="4">"VL"&amp;RIGHT(C22,1)</f>
        <v>VL0</v>
      </c>
      <c r="F22" s="31">
        <f>ROUND(VLOOKUP(B22,CTTBA,'7.CT-TBA'!$M$25,0),0)</f>
        <v>0</v>
      </c>
      <c r="G22" s="50">
        <v>0.1</v>
      </c>
      <c r="H22" s="31">
        <f t="shared" si="1"/>
        <v>0</v>
      </c>
      <c r="I22" s="31">
        <f t="shared" si="2"/>
        <v>0</v>
      </c>
      <c r="J22" s="25">
        <f t="shared" si="0"/>
        <v>0</v>
      </c>
    </row>
    <row r="23" spans="1:11" s="42" customFormat="1" hidden="1">
      <c r="A23" s="42" t="s">
        <v>2826</v>
      </c>
      <c r="B23" s="42" t="str">
        <f>"VL"&amp;A23</f>
        <v>VLTR2x25</v>
      </c>
      <c r="C23" s="30" t="str">
        <f>"1."&amp;COUNTIF($F$21:F23,$K$21)</f>
        <v>1.0</v>
      </c>
      <c r="D23" s="49" t="str">
        <f>"+ "&amp;VLOOKUP(A23,XLTBA,'6.XL-TR'!$D$2,0)</f>
        <v>+ 0 Trạm 1 pha 2x25kVA</v>
      </c>
      <c r="E23" s="30" t="str">
        <f>"VL"&amp;RIGHT(C23,1)</f>
        <v>VL0</v>
      </c>
      <c r="F23" s="31">
        <f>ROUND(VLOOKUP(B23,CTTBA,'7.CT-TBA'!$M$25,0),0)</f>
        <v>0</v>
      </c>
      <c r="G23" s="50">
        <v>0.1</v>
      </c>
      <c r="H23" s="31">
        <f t="shared" si="1"/>
        <v>0</v>
      </c>
      <c r="I23" s="31">
        <f t="shared" si="2"/>
        <v>0</v>
      </c>
      <c r="J23" s="25">
        <f>IF(I23&lt;&gt;0,1,)</f>
        <v>0</v>
      </c>
      <c r="K23" s="42" t="s">
        <v>2589</v>
      </c>
    </row>
    <row r="24" spans="1:11" s="42" customFormat="1" hidden="1">
      <c r="A24" s="42" t="s">
        <v>2090</v>
      </c>
      <c r="B24" s="42" t="str">
        <f t="shared" si="3"/>
        <v>VLTR50</v>
      </c>
      <c r="C24" s="30" t="str">
        <f>"1."&amp;COUNTIF($F$21:F24,$K$21)</f>
        <v>1.0</v>
      </c>
      <c r="D24" s="49" t="str">
        <f>"+ "&amp;VLOOKUP(A24,XLTBA,'6.XL-TR'!$D$2,0)</f>
        <v>+ 0 Trạm 1 pha 50kVA</v>
      </c>
      <c r="E24" s="30" t="str">
        <f t="shared" si="4"/>
        <v>VL0</v>
      </c>
      <c r="F24" s="31">
        <f>ROUND(VLOOKUP(B24,CTTBA,'7.CT-TBA'!$M$25,0),0)</f>
        <v>0</v>
      </c>
      <c r="G24" s="50">
        <v>0.1</v>
      </c>
      <c r="H24" s="31">
        <f t="shared" si="1"/>
        <v>0</v>
      </c>
      <c r="I24" s="31">
        <f t="shared" si="2"/>
        <v>0</v>
      </c>
      <c r="J24" s="25">
        <f t="shared" si="0"/>
        <v>0</v>
      </c>
    </row>
    <row r="25" spans="1:11" s="42" customFormat="1">
      <c r="A25" s="42" t="s">
        <v>2071</v>
      </c>
      <c r="B25" s="42" t="str">
        <f t="shared" si="3"/>
        <v>VLTR75</v>
      </c>
      <c r="C25" s="30" t="str">
        <f>"1."&amp;COUNTIF($F$21:F25,$K$21)</f>
        <v>1.1</v>
      </c>
      <c r="D25" s="49" t="str">
        <f>"+ "&amp;VLOOKUP(A25,XLTBA,'6.XL-TR'!$D$2,0)</f>
        <v>+ 3 Trạm 1 pha 75kVA</v>
      </c>
      <c r="E25" s="30" t="str">
        <f t="shared" si="4"/>
        <v>VL1</v>
      </c>
      <c r="F25" s="31">
        <f>ROUND(VLOOKUP(B25,CTTBA,'7.CT-TBA'!$M$25,0),0)</f>
        <v>81333127</v>
      </c>
      <c r="G25" s="50">
        <v>0.1</v>
      </c>
      <c r="H25" s="31">
        <f t="shared" si="1"/>
        <v>8133313</v>
      </c>
      <c r="I25" s="31">
        <f t="shared" si="2"/>
        <v>89466440</v>
      </c>
      <c r="J25" s="25">
        <f t="shared" si="0"/>
        <v>1</v>
      </c>
    </row>
    <row r="26" spans="1:11" s="42" customFormat="1" hidden="1">
      <c r="A26" s="42" t="s">
        <v>2827</v>
      </c>
      <c r="B26" s="42" t="str">
        <f>"VL"&amp;A26</f>
        <v>VLTR2x375</v>
      </c>
      <c r="C26" s="30" t="str">
        <f>"1."&amp;COUNTIF($F$21:F26,$K$21)</f>
        <v>1.1</v>
      </c>
      <c r="D26" s="49" t="str">
        <f>"+ "&amp;VLOOKUP(A26,XLTBA,'6.XL-TR'!$D$2,0)</f>
        <v>+ 0 Trạm 1 pha 2x37,5kVA</v>
      </c>
      <c r="E26" s="30" t="str">
        <f>"VL"&amp;RIGHT(C26,1)</f>
        <v>VL1</v>
      </c>
      <c r="F26" s="31">
        <f>ROUND(VLOOKUP(B26,CTTBA,'7.CT-TBA'!$M$25,0),0)</f>
        <v>0</v>
      </c>
      <c r="G26" s="50">
        <v>0.1</v>
      </c>
      <c r="H26" s="31">
        <f t="shared" si="1"/>
        <v>0</v>
      </c>
      <c r="I26" s="31">
        <f t="shared" si="2"/>
        <v>0</v>
      </c>
      <c r="J26" s="25">
        <f>IF(I26&lt;&gt;0,1,)</f>
        <v>0</v>
      </c>
    </row>
    <row r="27" spans="1:11" s="42" customFormat="1" hidden="1">
      <c r="A27" s="42" t="s">
        <v>2073</v>
      </c>
      <c r="B27" s="42" t="str">
        <f t="shared" si="3"/>
        <v>VLTR100</v>
      </c>
      <c r="C27" s="30" t="str">
        <f>"1."&amp;COUNTIF($F$21:F27,$K$21)</f>
        <v>1.1</v>
      </c>
      <c r="D27" s="49" t="str">
        <f>"+ "&amp;VLOOKUP(A27,XLTBA,'6.XL-TR'!$D$2,0)</f>
        <v>+ 0 Trạm 1 pha 100kVA</v>
      </c>
      <c r="E27" s="30" t="str">
        <f t="shared" si="4"/>
        <v>VL1</v>
      </c>
      <c r="F27" s="31">
        <f>ROUND(VLOOKUP(B27,CTTBA,'7.CT-TBA'!$M$25,0),0)</f>
        <v>0</v>
      </c>
      <c r="G27" s="50">
        <v>0.1</v>
      </c>
      <c r="H27" s="31">
        <f t="shared" ref="H27:H37" si="5">ROUND(F27*G27,0)</f>
        <v>0</v>
      </c>
      <c r="I27" s="31">
        <f t="shared" ref="I27:I37" si="6">F27+H27</f>
        <v>0</v>
      </c>
      <c r="J27" s="25">
        <f t="shared" si="0"/>
        <v>0</v>
      </c>
    </row>
    <row r="28" spans="1:11" s="42" customFormat="1" hidden="1">
      <c r="A28" s="42" t="s">
        <v>2076</v>
      </c>
      <c r="B28" s="42" t="str">
        <f t="shared" si="3"/>
        <v>VLTR3X25</v>
      </c>
      <c r="C28" s="30" t="str">
        <f>"1."&amp;COUNTIF($F$21:F28,$K$21)</f>
        <v>1.1</v>
      </c>
      <c r="D28" s="49" t="str">
        <f>"+ "&amp;VLOOKUP(A28,XLTBA,'6.XL-TR'!$D$2,0)</f>
        <v>+ 0 Trạm 3 pha 3x25kVA</v>
      </c>
      <c r="E28" s="30" t="str">
        <f t="shared" si="4"/>
        <v>VL1</v>
      </c>
      <c r="F28" s="31">
        <f>ROUND(VLOOKUP(B28,CTTBA,'7.CT-TBA'!$M$25,0),0)</f>
        <v>0</v>
      </c>
      <c r="G28" s="50">
        <v>0.1</v>
      </c>
      <c r="H28" s="31">
        <f t="shared" si="5"/>
        <v>0</v>
      </c>
      <c r="I28" s="31">
        <f t="shared" si="6"/>
        <v>0</v>
      </c>
      <c r="J28" s="25">
        <f t="shared" si="0"/>
        <v>0</v>
      </c>
    </row>
    <row r="29" spans="1:11" s="42" customFormat="1" hidden="1">
      <c r="A29" s="42" t="s">
        <v>2079</v>
      </c>
      <c r="B29" s="42" t="str">
        <f t="shared" si="3"/>
        <v>VLTR3X375</v>
      </c>
      <c r="C29" s="30" t="str">
        <f>"1."&amp;COUNTIF($F$21:F29,$K$21)</f>
        <v>1.1</v>
      </c>
      <c r="D29" s="49" t="str">
        <f>"+ "&amp;VLOOKUP(A29,XLTBA,'6.XL-TR'!$D$2,0)</f>
        <v>+ 0 Trạm 3 pha 3x37,5kVA</v>
      </c>
      <c r="E29" s="30" t="str">
        <f t="shared" si="4"/>
        <v>VL1</v>
      </c>
      <c r="F29" s="31">
        <f>ROUND(VLOOKUP(B29,CTTBA,'7.CT-TBA'!$M$25,0),0)</f>
        <v>0</v>
      </c>
      <c r="G29" s="50">
        <v>0.1</v>
      </c>
      <c r="H29" s="31">
        <f t="shared" si="5"/>
        <v>0</v>
      </c>
      <c r="I29" s="31">
        <f t="shared" si="6"/>
        <v>0</v>
      </c>
      <c r="J29" s="25">
        <f t="shared" si="0"/>
        <v>0</v>
      </c>
    </row>
    <row r="30" spans="1:11" s="42" customFormat="1">
      <c r="A30" s="42" t="s">
        <v>2082</v>
      </c>
      <c r="B30" s="42" t="str">
        <f t="shared" si="3"/>
        <v>VLTR3X50</v>
      </c>
      <c r="C30" s="30" t="str">
        <f>"1."&amp;COUNTIF($F$21:F30,$K$21)</f>
        <v>1.2</v>
      </c>
      <c r="D30" s="49" t="str">
        <f>"+ "&amp;VLOOKUP(A30,XLTBA,'6.XL-TR'!$D$2,0)</f>
        <v>+ 9 Trạm 3 pha 3x50kVA</v>
      </c>
      <c r="E30" s="30" t="str">
        <f t="shared" si="4"/>
        <v>VL2</v>
      </c>
      <c r="F30" s="31">
        <f>ROUND(VLOOKUP(B30,CTTBA,'7.CT-TBA'!$M$25,0),0)</f>
        <v>359472117</v>
      </c>
      <c r="G30" s="50">
        <v>0.1</v>
      </c>
      <c r="H30" s="31">
        <f>ROUND(F30*G30,0)</f>
        <v>35947212</v>
      </c>
      <c r="I30" s="31">
        <f>F30+H30</f>
        <v>395419329</v>
      </c>
      <c r="J30" s="25">
        <f t="shared" si="0"/>
        <v>1</v>
      </c>
    </row>
    <row r="31" spans="1:11" s="42" customFormat="1" hidden="1">
      <c r="A31" s="42" t="s">
        <v>2085</v>
      </c>
      <c r="B31" s="42" t="str">
        <f t="shared" si="3"/>
        <v>VLTR3X75</v>
      </c>
      <c r="C31" s="30" t="str">
        <f>"1."&amp;COUNTIF($F$21:F31,$K$21)</f>
        <v>1.2</v>
      </c>
      <c r="D31" s="49" t="str">
        <f>"+ "&amp;VLOOKUP(A31,XLTBA,'6.XL-TR'!$D$2,0)</f>
        <v>+ 0 Trạm 3 pha 3x75kVA</v>
      </c>
      <c r="E31" s="30" t="str">
        <f t="shared" si="4"/>
        <v>VL2</v>
      </c>
      <c r="F31" s="31">
        <f>ROUND(VLOOKUP(B31,CTTBA,'7.CT-TBA'!$M$25,0),0)</f>
        <v>0</v>
      </c>
      <c r="G31" s="50">
        <v>0.1</v>
      </c>
      <c r="H31" s="31">
        <f>ROUND(F31*G31,0)</f>
        <v>0</v>
      </c>
      <c r="I31" s="31">
        <f>F31+H31</f>
        <v>0</v>
      </c>
      <c r="J31" s="25">
        <f t="shared" si="0"/>
        <v>0</v>
      </c>
    </row>
    <row r="32" spans="1:11" s="42" customFormat="1" hidden="1">
      <c r="A32" s="42" t="s">
        <v>2094</v>
      </c>
      <c r="B32" s="42" t="str">
        <f t="shared" si="3"/>
        <v>VLTR3X100</v>
      </c>
      <c r="C32" s="30" t="str">
        <f>"1."&amp;COUNTIF($F$21:F32,$K$21)</f>
        <v>1.2</v>
      </c>
      <c r="D32" s="49" t="str">
        <f>"+ "&amp;VLOOKUP(A32,XLTBA,'6.XL-TR'!$D$2,0)</f>
        <v>+ 0 Trạm 3 pha 3x100kVA</v>
      </c>
      <c r="E32" s="30" t="str">
        <f t="shared" si="4"/>
        <v>VL2</v>
      </c>
      <c r="F32" s="31">
        <f>ROUND(VLOOKUP(B32,CTTBA,'7.CT-TBA'!$M$25,0),0)</f>
        <v>0</v>
      </c>
      <c r="G32" s="50">
        <v>0.1</v>
      </c>
      <c r="H32" s="31">
        <f t="shared" si="5"/>
        <v>0</v>
      </c>
      <c r="I32" s="31">
        <f t="shared" si="6"/>
        <v>0</v>
      </c>
      <c r="J32" s="25">
        <f t="shared" si="0"/>
        <v>0</v>
      </c>
    </row>
    <row r="33" spans="1:10" s="42" customFormat="1" hidden="1">
      <c r="A33" s="42" t="s">
        <v>3218</v>
      </c>
      <c r="B33" s="42" t="str">
        <f>"VL"&amp;A33</f>
        <v>VLTRNC3X375</v>
      </c>
      <c r="C33" s="30" t="str">
        <f>"1."&amp;COUNTIF($F$21:F33,$K$21)</f>
        <v>1.2</v>
      </c>
      <c r="D33" s="49" t="str">
        <f>"+ "&amp;VLOOKUP(A33,XLTBA,'6.XL-TR'!$D$2,0)</f>
        <v>+  Trạm NC từ 2x37,5kVA lên 3x37,5kVA</v>
      </c>
      <c r="E33" s="30" t="str">
        <f t="shared" si="4"/>
        <v>VL2</v>
      </c>
      <c r="F33" s="31">
        <f>ROUND(VLOOKUP(B33,CTTBA,'7.CT-TBA'!$M$25,0),0)</f>
        <v>0</v>
      </c>
      <c r="G33" s="50">
        <v>0.1</v>
      </c>
      <c r="H33" s="31">
        <f>ROUND(F33*G33,0)</f>
        <v>0</v>
      </c>
      <c r="I33" s="31">
        <f>F33+H33</f>
        <v>0</v>
      </c>
      <c r="J33" s="25">
        <f t="shared" si="0"/>
        <v>0</v>
      </c>
    </row>
    <row r="34" spans="1:10" s="42" customFormat="1">
      <c r="A34" s="42" t="s">
        <v>3219</v>
      </c>
      <c r="B34" s="42" t="str">
        <f t="shared" si="3"/>
        <v>VLTRNC100</v>
      </c>
      <c r="C34" s="30" t="str">
        <f>"1."&amp;COUNTIF($F$21:F34,$K$21)</f>
        <v>1.3</v>
      </c>
      <c r="D34" s="49" t="str">
        <f>"+ "&amp;VLOOKUP(A34,XLTBA,'6.XL-TR'!$D$2,0)</f>
        <v>+ 2 Trạm NC từ 100kVA lên 100+2x50kVA</v>
      </c>
      <c r="E34" s="30" t="str">
        <f>"VL"&amp;RIGHT(C34,1)</f>
        <v>VL3</v>
      </c>
      <c r="F34" s="31">
        <f>ROUND(VLOOKUP(B34,CTTBA,'7.CT-TBA'!$M$25,0),0)</f>
        <v>54214208</v>
      </c>
      <c r="G34" s="50">
        <v>0.1</v>
      </c>
      <c r="H34" s="31">
        <f t="shared" si="5"/>
        <v>5421421</v>
      </c>
      <c r="I34" s="31">
        <f t="shared" si="6"/>
        <v>59635629</v>
      </c>
      <c r="J34" s="25">
        <f>IF(I34&lt;&gt;0,1,)</f>
        <v>1</v>
      </c>
    </row>
    <row r="35" spans="1:10" s="42" customFormat="1" hidden="1">
      <c r="A35" s="42" t="s">
        <v>3457</v>
      </c>
      <c r="B35" s="42" t="str">
        <f t="shared" si="3"/>
        <v>VLTRNC2X50</v>
      </c>
      <c r="C35" s="30" t="str">
        <f>"1."&amp;COUNTIF($F$21:F35,$K$21)</f>
        <v>1.3</v>
      </c>
      <c r="D35" s="49" t="str">
        <f>"+ "&amp;VLOOKUP(A35,XLTBA,'6.XL-TR'!$D$2,0)</f>
        <v>+  Trạm NC từ 2x50kVA lên 3x50kVA</v>
      </c>
      <c r="E35" s="30" t="str">
        <f>"VL"&amp;RIGHT(C35,1)</f>
        <v>VL3</v>
      </c>
      <c r="F35" s="31">
        <f>ROUND(VLOOKUP(B35,CTTBA,'7.CT-TBA'!$M$25,0),0)</f>
        <v>0</v>
      </c>
      <c r="G35" s="50">
        <v>0.1</v>
      </c>
      <c r="H35" s="31">
        <f t="shared" si="5"/>
        <v>0</v>
      </c>
      <c r="I35" s="31">
        <f t="shared" si="6"/>
        <v>0</v>
      </c>
      <c r="J35" s="25">
        <f>IF(I35&lt;&gt;0,1,)</f>
        <v>0</v>
      </c>
    </row>
    <row r="36" spans="1:10" s="42" customFormat="1">
      <c r="A36" s="42" t="s">
        <v>3222</v>
      </c>
      <c r="B36" s="42" t="str">
        <f>"VL"&amp;A36</f>
        <v>VLTRNC2X75</v>
      </c>
      <c r="C36" s="30" t="str">
        <f>"1."&amp;COUNTIF($F$21:F36,$K$21)</f>
        <v>1.4</v>
      </c>
      <c r="D36" s="49" t="str">
        <f>"+ "&amp;VLOOKUP(A36,XLTBA,'6.XL-TR'!$D$2,0)</f>
        <v>+ 2 Trạm NC từ 2x75kVA lên 3x75kVA</v>
      </c>
      <c r="E36" s="30" t="str">
        <f t="shared" si="4"/>
        <v>VL4</v>
      </c>
      <c r="F36" s="31">
        <f>ROUND(VLOOKUP(B36,CTTBA,'7.CT-TBA'!$M$25,0),0)</f>
        <v>57886368</v>
      </c>
      <c r="G36" s="50">
        <v>0.1</v>
      </c>
      <c r="H36" s="31">
        <f>ROUND(F36*G36,0)</f>
        <v>5788637</v>
      </c>
      <c r="I36" s="31">
        <f>F36+H36</f>
        <v>63675005</v>
      </c>
      <c r="J36" s="25">
        <f t="shared" si="0"/>
        <v>1</v>
      </c>
    </row>
    <row r="37" spans="1:10" s="42" customFormat="1">
      <c r="A37" s="42" t="s">
        <v>3223</v>
      </c>
      <c r="B37" s="42" t="str">
        <f t="shared" si="3"/>
        <v>VLTRNC2X100</v>
      </c>
      <c r="C37" s="30" t="str">
        <f>"1."&amp;COUNTIF($F$21:F37,$K$21)</f>
        <v>1.5</v>
      </c>
      <c r="D37" s="49" t="str">
        <f>"+ "&amp;VLOOKUP(A37,XLTBA,'6.XL-TR'!$D$2,0)</f>
        <v>+ 1 Trạm NC từ 2x100kVA lên 3x100kVA</v>
      </c>
      <c r="E37" s="30" t="str">
        <f>"VL"&amp;RIGHT(C37,1)</f>
        <v>VL5</v>
      </c>
      <c r="F37" s="31">
        <f>ROUND(VLOOKUP(B37,CTTBA,'7.CT-TBA'!$M$25,0),0)</f>
        <v>30823601</v>
      </c>
      <c r="G37" s="50">
        <v>0.1</v>
      </c>
      <c r="H37" s="31">
        <f t="shared" si="5"/>
        <v>3082360</v>
      </c>
      <c r="I37" s="31">
        <f t="shared" si="6"/>
        <v>33905961</v>
      </c>
      <c r="J37" s="25">
        <f>IF(I37&lt;&gt;0,1,)</f>
        <v>1</v>
      </c>
    </row>
    <row r="38" spans="1:10" s="42" customFormat="1" hidden="1">
      <c r="A38" s="42" t="s">
        <v>2468</v>
      </c>
      <c r="B38" s="42" t="str">
        <f>"VL"&amp;A38</f>
        <v>VLTRNC3X50</v>
      </c>
      <c r="C38" s="30" t="str">
        <f>"1."&amp;COUNTIF($F$21:F38,$K$21)</f>
        <v>1.5</v>
      </c>
      <c r="D38" s="49" t="str">
        <f>"+ "&amp;VLOOKUP(A38,XLTBA,'6.XL-TR'!$D$2,0)</f>
        <v>+  Trạm NC từ 50kVA lên 3x50kVA</v>
      </c>
      <c r="E38" s="30" t="str">
        <f t="shared" si="4"/>
        <v>VL5</v>
      </c>
      <c r="F38" s="31">
        <f>ROUND(VLOOKUP(B38,CTTBA,'7.CT-TBA'!$M$25,0),0)</f>
        <v>0</v>
      </c>
      <c r="G38" s="50">
        <v>0.1</v>
      </c>
      <c r="H38" s="31">
        <f>ROUND(F38*G38,0)</f>
        <v>0</v>
      </c>
      <c r="I38" s="31">
        <f>F38+H38</f>
        <v>0</v>
      </c>
      <c r="J38" s="25">
        <f t="shared" si="0"/>
        <v>0</v>
      </c>
    </row>
    <row r="39" spans="1:10" s="42" customFormat="1">
      <c r="A39" s="42" t="s">
        <v>3243</v>
      </c>
      <c r="B39" s="42" t="str">
        <f>"VL"&amp;A39</f>
        <v>VLDTR1P</v>
      </c>
      <c r="C39" s="30" t="str">
        <f>"1."&amp;COUNTIF($F$21:F39,$K$21)</f>
        <v>1.6</v>
      </c>
      <c r="D39" s="49" t="str">
        <f>"+ "&amp;VLOOKUP(A39,XLTBA,'6.XL-TR'!$D$2,0)</f>
        <v>+ 2 Trạm 1 pha di dời</v>
      </c>
      <c r="E39" s="30" t="str">
        <f t="shared" si="4"/>
        <v>VL6</v>
      </c>
      <c r="F39" s="31">
        <f>ROUND(VLOOKUP(B39,CTTBA,'7.CT-TBA'!$M$25,0),0)</f>
        <v>25500860</v>
      </c>
      <c r="G39" s="50">
        <v>0.1</v>
      </c>
      <c r="H39" s="31">
        <f>ROUND(F39*G39,0)</f>
        <v>2550086</v>
      </c>
      <c r="I39" s="31">
        <f>F39+H39</f>
        <v>28050946</v>
      </c>
      <c r="J39" s="25">
        <f t="shared" si="0"/>
        <v>1</v>
      </c>
    </row>
    <row r="40" spans="1:10" s="42" customFormat="1">
      <c r="A40" s="42" t="s">
        <v>3244</v>
      </c>
      <c r="B40" s="42" t="str">
        <f>"VL"&amp;A40</f>
        <v>VLDTR3P</v>
      </c>
      <c r="C40" s="30" t="str">
        <f>"1."&amp;COUNTIF($F$21:F40,$K$21)</f>
        <v>1.7</v>
      </c>
      <c r="D40" s="49" t="str">
        <f>"+ "&amp;VLOOKUP(A40,XLTBA,'6.XL-TR'!$D$2,0)</f>
        <v>+ 2 Trạm 3 pha di dời</v>
      </c>
      <c r="E40" s="30" t="str">
        <f>"VL"&amp;RIGHT(C40,1)</f>
        <v>VL7</v>
      </c>
      <c r="F40" s="31">
        <f>ROUND(VLOOKUP(B40,CTTBA,'7.CT-TBA'!$M$25,0),0)</f>
        <v>39369223</v>
      </c>
      <c r="G40" s="50">
        <v>0.1</v>
      </c>
      <c r="H40" s="31">
        <f>ROUND(F40*G40,0)</f>
        <v>3936922</v>
      </c>
      <c r="I40" s="31">
        <f>F40+H40</f>
        <v>43306145</v>
      </c>
      <c r="J40" s="25">
        <f>IF(I40&lt;&gt;0,1,)</f>
        <v>1</v>
      </c>
    </row>
    <row r="41" spans="1:10" s="42" customFormat="1" hidden="1">
      <c r="A41" s="42" t="s">
        <v>2838</v>
      </c>
      <c r="B41" s="42" t="str">
        <f>"VL"&amp;A41</f>
        <v>VLT3P160</v>
      </c>
      <c r="C41" s="30" t="str">
        <f>"1."&amp;COUNTIF($F$21:F41,$K$21)</f>
        <v>1.7</v>
      </c>
      <c r="D41" s="49" t="str">
        <f>"+ "&amp;VLOOKUP(A41,XLTBA,'6.XL-TR'!$D$2,0)</f>
        <v>+ 0 Trạm 3 pha 160kVA (trạm giàn)</v>
      </c>
      <c r="E41" s="30" t="str">
        <f>"VL"&amp;RIGHT(C41,1)</f>
        <v>VL7</v>
      </c>
      <c r="F41" s="31">
        <f>ROUND(VLOOKUP(B41,CTTBA,'7.CT-TBA'!$M$25,0),0)</f>
        <v>0</v>
      </c>
      <c r="G41" s="50">
        <v>0.1</v>
      </c>
      <c r="H41" s="31">
        <f>ROUND(F41*G41,0)</f>
        <v>0</v>
      </c>
      <c r="I41" s="31">
        <f>F41+H41</f>
        <v>0</v>
      </c>
      <c r="J41" s="25">
        <f>IF(I41&lt;&gt;0,1,)</f>
        <v>0</v>
      </c>
    </row>
    <row r="42" spans="1:10" s="42" customFormat="1" hidden="1">
      <c r="A42" s="42" t="s">
        <v>2839</v>
      </c>
      <c r="B42" s="42" t="str">
        <f>"VL"&amp;A42</f>
        <v>VLT3P160N</v>
      </c>
      <c r="C42" s="30" t="str">
        <f>"1."&amp;COUNTIF($F$21:F42,$K$21)</f>
        <v>1.7</v>
      </c>
      <c r="D42" s="49" t="str">
        <f>"+ "&amp;VLOOKUP(A42,XLTBA,'6.XL-TR'!$D$2,0)</f>
        <v>+ 0 Trạm 3 pha 160kVA (trạm ngồi)</v>
      </c>
      <c r="E42" s="30" t="str">
        <f>"VL"&amp;RIGHT(C42,1)</f>
        <v>VL7</v>
      </c>
      <c r="F42" s="31">
        <f>ROUND(VLOOKUP(B42,CTTBA,'7.CT-TBA'!$M$25,0),0)</f>
        <v>0</v>
      </c>
      <c r="G42" s="50">
        <v>0.1</v>
      </c>
      <c r="H42" s="31">
        <f>ROUND(F42*G42,0)</f>
        <v>0</v>
      </c>
      <c r="I42" s="31">
        <f>F42+H42</f>
        <v>0</v>
      </c>
      <c r="J42" s="25">
        <f>IF(I42&lt;&gt;0,1,)</f>
        <v>0</v>
      </c>
    </row>
    <row r="43" spans="1:10">
      <c r="C43" s="27">
        <v>2</v>
      </c>
      <c r="D43" s="3" t="s">
        <v>1969</v>
      </c>
      <c r="E43" s="27" t="s">
        <v>3324</v>
      </c>
      <c r="F43" s="28">
        <f>SUM(F44:F65)</f>
        <v>156426776</v>
      </c>
      <c r="G43" s="45"/>
      <c r="H43" s="28">
        <f>SUM(H44:H65)</f>
        <v>15642679</v>
      </c>
      <c r="I43" s="28">
        <f>SUM(I44:I65)</f>
        <v>172069455</v>
      </c>
      <c r="J43" s="25">
        <f t="shared" si="0"/>
        <v>1</v>
      </c>
    </row>
    <row r="44" spans="1:10" s="42" customFormat="1" hidden="1">
      <c r="A44" s="42" t="s">
        <v>2088</v>
      </c>
      <c r="B44" s="42" t="str">
        <f>"XL"&amp;A44</f>
        <v>XLTR25</v>
      </c>
      <c r="C44" s="30" t="str">
        <f>"2."&amp;COUNTIF($F$44:F44,$K$21)</f>
        <v>2.0</v>
      </c>
      <c r="D44" s="49" t="str">
        <f>"+ "&amp;VLOOKUP(A44,XLTBA,'6.XL-TR'!$D$2,0)</f>
        <v>+ 0 Trạm 1 pha 25kVA</v>
      </c>
      <c r="E44" s="30" t="str">
        <f>"XD"&amp;RIGHT(C44,1)</f>
        <v>XD0</v>
      </c>
      <c r="F44" s="31">
        <f>VLOOKUP(B44,XLTBA,'6.XL-TR'!$G$2,0)</f>
        <v>0</v>
      </c>
      <c r="G44" s="50">
        <v>0.1</v>
      </c>
      <c r="H44" s="31">
        <f t="shared" ref="H44:H49" si="7">ROUND(F44*G44,0)</f>
        <v>0</v>
      </c>
      <c r="I44" s="31">
        <f t="shared" ref="I44:I49" si="8">F44+H44</f>
        <v>0</v>
      </c>
      <c r="J44" s="25">
        <f t="shared" si="0"/>
        <v>0</v>
      </c>
    </row>
    <row r="45" spans="1:10" s="42" customFormat="1" hidden="1">
      <c r="A45" s="42" t="s">
        <v>2089</v>
      </c>
      <c r="B45" s="42" t="str">
        <f t="shared" ref="B45:B60" si="9">"XL"&amp;A45</f>
        <v>XLTR375</v>
      </c>
      <c r="C45" s="30" t="str">
        <f>"2."&amp;COUNTIF($F$44:F45,$K$21)</f>
        <v>2.0</v>
      </c>
      <c r="D45" s="49" t="str">
        <f>"+ "&amp;VLOOKUP(A45,XLTBA,'6.XL-TR'!$D$2,0)</f>
        <v>+ 0 Trạm 1 pha 37,5kVA</v>
      </c>
      <c r="E45" s="30" t="str">
        <f t="shared" ref="E45:E62" si="10">"XD"&amp;RIGHT(C45,1)</f>
        <v>XD0</v>
      </c>
      <c r="F45" s="31">
        <f>VLOOKUP(B45,XLTBA,'6.XL-TR'!$G$2,0)</f>
        <v>0</v>
      </c>
      <c r="G45" s="50">
        <v>0.1</v>
      </c>
      <c r="H45" s="31">
        <f t="shared" si="7"/>
        <v>0</v>
      </c>
      <c r="I45" s="31">
        <f t="shared" si="8"/>
        <v>0</v>
      </c>
      <c r="J45" s="25">
        <f t="shared" si="0"/>
        <v>0</v>
      </c>
    </row>
    <row r="46" spans="1:10" s="42" customFormat="1" hidden="1">
      <c r="A46" s="42" t="s">
        <v>2826</v>
      </c>
      <c r="B46" s="42" t="str">
        <f>"XL"&amp;A46</f>
        <v>XLTR2x25</v>
      </c>
      <c r="C46" s="30" t="str">
        <f>"2."&amp;COUNTIF($F$44:F46,$K$21)</f>
        <v>2.0</v>
      </c>
      <c r="D46" s="49" t="str">
        <f>"+ "&amp;VLOOKUP(A46,XLTBA,'6.XL-TR'!$D$2,0)</f>
        <v>+ 0 Trạm 1 pha 2x25kVA</v>
      </c>
      <c r="E46" s="30" t="str">
        <f>"XD"&amp;RIGHT(C46,1)</f>
        <v>XD0</v>
      </c>
      <c r="F46" s="31">
        <f>VLOOKUP(B46,XLTBA,'6.XL-TR'!$G$2,0)</f>
        <v>0</v>
      </c>
      <c r="G46" s="50">
        <v>0.1</v>
      </c>
      <c r="H46" s="31">
        <f t="shared" si="7"/>
        <v>0</v>
      </c>
      <c r="I46" s="31">
        <f t="shared" si="8"/>
        <v>0</v>
      </c>
      <c r="J46" s="25">
        <f>IF(I46&lt;&gt;0,1,)</f>
        <v>0</v>
      </c>
    </row>
    <row r="47" spans="1:10" s="42" customFormat="1" hidden="1">
      <c r="A47" s="42" t="s">
        <v>2090</v>
      </c>
      <c r="B47" s="42" t="str">
        <f t="shared" si="9"/>
        <v>XLTR50</v>
      </c>
      <c r="C47" s="30" t="str">
        <f>"2."&amp;COUNTIF($F$44:F47,$K$21)</f>
        <v>2.0</v>
      </c>
      <c r="D47" s="49" t="str">
        <f>"+ "&amp;VLOOKUP(A47,XLTBA,'6.XL-TR'!$D$2,0)</f>
        <v>+ 0 Trạm 1 pha 50kVA</v>
      </c>
      <c r="E47" s="30" t="str">
        <f t="shared" si="10"/>
        <v>XD0</v>
      </c>
      <c r="F47" s="31">
        <f>VLOOKUP(B47,XLTBA,'6.XL-TR'!$G$2,0)</f>
        <v>0</v>
      </c>
      <c r="G47" s="50">
        <v>0.1</v>
      </c>
      <c r="H47" s="31">
        <f t="shared" si="7"/>
        <v>0</v>
      </c>
      <c r="I47" s="31">
        <f t="shared" si="8"/>
        <v>0</v>
      </c>
      <c r="J47" s="25">
        <f t="shared" si="0"/>
        <v>0</v>
      </c>
    </row>
    <row r="48" spans="1:10" s="42" customFormat="1" hidden="1">
      <c r="A48" s="42" t="s">
        <v>2827</v>
      </c>
      <c r="B48" s="42" t="str">
        <f>"XL"&amp;A48</f>
        <v>XLTR2x375</v>
      </c>
      <c r="C48" s="30" t="str">
        <f>"2."&amp;COUNTIF($F$44:F48,$K$21)</f>
        <v>2.0</v>
      </c>
      <c r="D48" s="49" t="str">
        <f>"+ "&amp;VLOOKUP(A48,XLTBA,'6.XL-TR'!$D$2,0)</f>
        <v>+ 0 Trạm 1 pha 2x37,5kVA</v>
      </c>
      <c r="E48" s="30" t="str">
        <f>"XD"&amp;RIGHT(C48,1)</f>
        <v>XD0</v>
      </c>
      <c r="F48" s="31">
        <f>VLOOKUP(B48,XLTBA,'6.XL-TR'!$G$2,0)</f>
        <v>0</v>
      </c>
      <c r="G48" s="50">
        <v>0.1</v>
      </c>
      <c r="H48" s="31">
        <f t="shared" si="7"/>
        <v>0</v>
      </c>
      <c r="I48" s="31">
        <f t="shared" si="8"/>
        <v>0</v>
      </c>
      <c r="J48" s="25">
        <f>IF(I48&lt;&gt;0,1,)</f>
        <v>0</v>
      </c>
    </row>
    <row r="49" spans="1:10" s="42" customFormat="1">
      <c r="A49" s="42" t="s">
        <v>2071</v>
      </c>
      <c r="B49" s="42" t="str">
        <f t="shared" si="9"/>
        <v>XLTR75</v>
      </c>
      <c r="C49" s="30" t="str">
        <f>"2."&amp;COUNTIF($F$44:F49,$K$21)</f>
        <v>2.1</v>
      </c>
      <c r="D49" s="49" t="str">
        <f>"+ "&amp;VLOOKUP(A49,XLTBA,'6.XL-TR'!$D$2,0)</f>
        <v>+ 3 Trạm 1 pha 75kVA</v>
      </c>
      <c r="E49" s="30" t="str">
        <f t="shared" si="10"/>
        <v>XD1</v>
      </c>
      <c r="F49" s="31">
        <f>VLOOKUP(B49,XLTBA,'6.XL-TR'!$G$2,0)</f>
        <v>16655717</v>
      </c>
      <c r="G49" s="50">
        <v>0.1</v>
      </c>
      <c r="H49" s="31">
        <f t="shared" si="7"/>
        <v>1665572</v>
      </c>
      <c r="I49" s="31">
        <f t="shared" si="8"/>
        <v>18321289</v>
      </c>
      <c r="J49" s="25">
        <f t="shared" si="0"/>
        <v>1</v>
      </c>
    </row>
    <row r="50" spans="1:10" s="42" customFormat="1" hidden="1">
      <c r="A50" s="42" t="s">
        <v>2073</v>
      </c>
      <c r="B50" s="42" t="str">
        <f t="shared" si="9"/>
        <v>XLTR100</v>
      </c>
      <c r="C50" s="30" t="str">
        <f>"2."&amp;COUNTIF($F$44:F50,$K$21)</f>
        <v>2.1</v>
      </c>
      <c r="D50" s="49" t="str">
        <f>"+ "&amp;VLOOKUP(A50,XLTBA,'6.XL-TR'!$D$2,0)</f>
        <v>+ 0 Trạm 1 pha 100kVA</v>
      </c>
      <c r="E50" s="30" t="str">
        <f t="shared" si="10"/>
        <v>XD1</v>
      </c>
      <c r="F50" s="31">
        <f>VLOOKUP(B50,XLTBA,'6.XL-TR'!$G$2,0)</f>
        <v>0</v>
      </c>
      <c r="G50" s="50">
        <v>0.1</v>
      </c>
      <c r="H50" s="31">
        <f t="shared" ref="H50:H60" si="11">ROUND(F50*G50,0)</f>
        <v>0</v>
      </c>
      <c r="I50" s="31">
        <f t="shared" ref="I50:I60" si="12">F50+H50</f>
        <v>0</v>
      </c>
      <c r="J50" s="25">
        <f t="shared" si="0"/>
        <v>0</v>
      </c>
    </row>
    <row r="51" spans="1:10" s="42" customFormat="1" hidden="1">
      <c r="A51" s="42" t="s">
        <v>2076</v>
      </c>
      <c r="B51" s="42" t="str">
        <f t="shared" si="9"/>
        <v>XLTR3X25</v>
      </c>
      <c r="C51" s="30" t="str">
        <f>"2."&amp;COUNTIF($F$44:F51,$K$21)</f>
        <v>2.1</v>
      </c>
      <c r="D51" s="49" t="str">
        <f>"+ "&amp;VLOOKUP(A51,XLTBA,'6.XL-TR'!$D$2,0)</f>
        <v>+ 0 Trạm 3 pha 3x25kVA</v>
      </c>
      <c r="E51" s="30" t="str">
        <f t="shared" si="10"/>
        <v>XD1</v>
      </c>
      <c r="F51" s="31">
        <f>VLOOKUP(B51,XLTBA,'6.XL-TR'!$G$2,0)</f>
        <v>0</v>
      </c>
      <c r="G51" s="50">
        <v>0.1</v>
      </c>
      <c r="H51" s="31">
        <f t="shared" si="11"/>
        <v>0</v>
      </c>
      <c r="I51" s="31">
        <f t="shared" si="12"/>
        <v>0</v>
      </c>
      <c r="J51" s="25">
        <f t="shared" si="0"/>
        <v>0</v>
      </c>
    </row>
    <row r="52" spans="1:10" s="42" customFormat="1" hidden="1">
      <c r="A52" s="42" t="s">
        <v>2079</v>
      </c>
      <c r="B52" s="42" t="str">
        <f t="shared" si="9"/>
        <v>XLTR3X375</v>
      </c>
      <c r="C52" s="30" t="str">
        <f>"2."&amp;COUNTIF($F$44:F52,$K$21)</f>
        <v>2.1</v>
      </c>
      <c r="D52" s="49" t="str">
        <f>"+ "&amp;VLOOKUP(A52,XLTBA,'6.XL-TR'!$D$2,0)</f>
        <v>+ 0 Trạm 3 pha 3x37,5kVA</v>
      </c>
      <c r="E52" s="30" t="str">
        <f t="shared" si="10"/>
        <v>XD1</v>
      </c>
      <c r="F52" s="31">
        <f>VLOOKUP(B52,XLTBA,'6.XL-TR'!$G$2,0)</f>
        <v>0</v>
      </c>
      <c r="G52" s="50">
        <v>0.1</v>
      </c>
      <c r="H52" s="31">
        <f t="shared" si="11"/>
        <v>0</v>
      </c>
      <c r="I52" s="31">
        <f t="shared" si="12"/>
        <v>0</v>
      </c>
      <c r="J52" s="25">
        <f t="shared" si="0"/>
        <v>0</v>
      </c>
    </row>
    <row r="53" spans="1:10" s="42" customFormat="1">
      <c r="A53" s="42" t="s">
        <v>2082</v>
      </c>
      <c r="B53" s="42" t="str">
        <f t="shared" si="9"/>
        <v>XLTR3X50</v>
      </c>
      <c r="C53" s="30" t="str">
        <f>"2."&amp;COUNTIF($F$44:F53,$K$21)</f>
        <v>2.2</v>
      </c>
      <c r="D53" s="49" t="str">
        <f>"+ "&amp;VLOOKUP(A53,XLTBA,'6.XL-TR'!$D$2,0)</f>
        <v>+ 9 Trạm 3 pha 3x50kVA</v>
      </c>
      <c r="E53" s="30" t="str">
        <f t="shared" si="10"/>
        <v>XD2</v>
      </c>
      <c r="F53" s="31">
        <f>VLOOKUP(B53,XLTBA,'6.XL-TR'!$G$2,0)</f>
        <v>59479344</v>
      </c>
      <c r="G53" s="50">
        <v>0.1</v>
      </c>
      <c r="H53" s="31">
        <f>ROUND(F53*G53,0)</f>
        <v>5947934</v>
      </c>
      <c r="I53" s="31">
        <f>F53+H53</f>
        <v>65427278</v>
      </c>
      <c r="J53" s="25">
        <f t="shared" si="0"/>
        <v>1</v>
      </c>
    </row>
    <row r="54" spans="1:10" s="42" customFormat="1" hidden="1">
      <c r="A54" s="42" t="s">
        <v>2085</v>
      </c>
      <c r="B54" s="42" t="str">
        <f t="shared" si="9"/>
        <v>XLTR3X75</v>
      </c>
      <c r="C54" s="30" t="str">
        <f>"2."&amp;COUNTIF($F$44:F54,$K$21)</f>
        <v>2.2</v>
      </c>
      <c r="D54" s="49" t="str">
        <f>"+ "&amp;VLOOKUP(A54,XLTBA,'6.XL-TR'!$D$2,0)</f>
        <v>+ 0 Trạm 3 pha 3x75kVA</v>
      </c>
      <c r="E54" s="30" t="str">
        <f t="shared" si="10"/>
        <v>XD2</v>
      </c>
      <c r="F54" s="31">
        <f>VLOOKUP(B54,XLTBA,'6.XL-TR'!$G$2,0)</f>
        <v>0</v>
      </c>
      <c r="G54" s="50">
        <v>0.1</v>
      </c>
      <c r="H54" s="31">
        <f>ROUND(F54*G54,0)</f>
        <v>0</v>
      </c>
      <c r="I54" s="31">
        <f>F54+H54</f>
        <v>0</v>
      </c>
      <c r="J54" s="25">
        <f t="shared" si="0"/>
        <v>0</v>
      </c>
    </row>
    <row r="55" spans="1:10" s="42" customFormat="1" hidden="1">
      <c r="A55" s="42" t="s">
        <v>2094</v>
      </c>
      <c r="B55" s="42" t="str">
        <f t="shared" si="9"/>
        <v>XLTR3X100</v>
      </c>
      <c r="C55" s="30" t="str">
        <f>"2."&amp;COUNTIF($F$44:F55,$K$21)</f>
        <v>2.2</v>
      </c>
      <c r="D55" s="49" t="str">
        <f>"+ "&amp;VLOOKUP(A55,XLTBA,'6.XL-TR'!$D$2,0)</f>
        <v>+ 0 Trạm 3 pha 3x100kVA</v>
      </c>
      <c r="E55" s="30" t="str">
        <f t="shared" si="10"/>
        <v>XD2</v>
      </c>
      <c r="F55" s="31">
        <f>VLOOKUP(B55,XLTBA,'6.XL-TR'!$G$2,0)</f>
        <v>0</v>
      </c>
      <c r="G55" s="50">
        <v>0.1</v>
      </c>
      <c r="H55" s="31">
        <f t="shared" si="11"/>
        <v>0</v>
      </c>
      <c r="I55" s="31">
        <f t="shared" si="12"/>
        <v>0</v>
      </c>
      <c r="J55" s="25">
        <f t="shared" si="0"/>
        <v>0</v>
      </c>
    </row>
    <row r="56" spans="1:10" s="42" customFormat="1" hidden="1">
      <c r="A56" s="42" t="s">
        <v>3218</v>
      </c>
      <c r="B56" s="42" t="str">
        <f>"XL"&amp;A56</f>
        <v>XLTRNC3X375</v>
      </c>
      <c r="C56" s="30" t="str">
        <f>"2."&amp;COUNTIF($F$44:F56,$K$21)</f>
        <v>2.2</v>
      </c>
      <c r="D56" s="49" t="str">
        <f>"+ "&amp;VLOOKUP(A56,XLTBA,'6.XL-TR'!$D$2,0)</f>
        <v>+  Trạm NC từ 2x37,5kVA lên 3x37,5kVA</v>
      </c>
      <c r="E56" s="30" t="str">
        <f t="shared" si="10"/>
        <v>XD2</v>
      </c>
      <c r="F56" s="31">
        <f>VLOOKUP(B56,XLTBA,'6.XL-TR'!$G$2,0)</f>
        <v>0</v>
      </c>
      <c r="G56" s="50">
        <v>0.1</v>
      </c>
      <c r="H56" s="31">
        <f>ROUND(F56*G56,0)</f>
        <v>0</v>
      </c>
      <c r="I56" s="31">
        <f>F56+H56</f>
        <v>0</v>
      </c>
      <c r="J56" s="25">
        <f t="shared" si="0"/>
        <v>0</v>
      </c>
    </row>
    <row r="57" spans="1:10" s="42" customFormat="1">
      <c r="A57" s="42" t="s">
        <v>3219</v>
      </c>
      <c r="B57" s="42" t="str">
        <f t="shared" si="9"/>
        <v>XLTRNC100</v>
      </c>
      <c r="C57" s="30" t="str">
        <f>"2."&amp;COUNTIF($F$44:F57,$K$21)</f>
        <v>2.3</v>
      </c>
      <c r="D57" s="49" t="str">
        <f>"+ "&amp;VLOOKUP(A57,XLTBA,'6.XL-TR'!$D$2,0)</f>
        <v>+ 2 Trạm NC từ 100kVA lên 100+2x50kVA</v>
      </c>
      <c r="E57" s="30" t="str">
        <f>"XD"&amp;RIGHT(C57,1)</f>
        <v>XD3</v>
      </c>
      <c r="F57" s="31">
        <f>VLOOKUP(B57,XLTBA,'6.XL-TR'!$G$2,0)</f>
        <v>12111119</v>
      </c>
      <c r="G57" s="50">
        <v>0.1</v>
      </c>
      <c r="H57" s="31">
        <f t="shared" si="11"/>
        <v>1211112</v>
      </c>
      <c r="I57" s="31">
        <f t="shared" si="12"/>
        <v>13322231</v>
      </c>
      <c r="J57" s="25">
        <f>IF(I57&lt;&gt;0,1,)</f>
        <v>1</v>
      </c>
    </row>
    <row r="58" spans="1:10" s="42" customFormat="1">
      <c r="A58" s="42" t="s">
        <v>3457</v>
      </c>
      <c r="B58" s="42" t="str">
        <f t="shared" si="9"/>
        <v>XLTRNC2X50</v>
      </c>
      <c r="C58" s="30" t="str">
        <f>"2."&amp;COUNTIF($F$44:F58,$K$21)</f>
        <v>2.4</v>
      </c>
      <c r="D58" s="49" t="str">
        <f>"+ "&amp;VLOOKUP(A58,XLTBA,'6.XL-TR'!$D$2,0)</f>
        <v>+  Trạm NC từ 2x50kVA lên 3x50kVA</v>
      </c>
      <c r="E58" s="30" t="str">
        <f>"XD"&amp;RIGHT(C58,1)</f>
        <v>XD4</v>
      </c>
      <c r="F58" s="31">
        <f>VLOOKUP(B58,XLTBA,'6.XL-TR'!$G$2,0)</f>
        <v>2619646</v>
      </c>
      <c r="G58" s="50">
        <v>0.1</v>
      </c>
      <c r="H58" s="31">
        <f t="shared" si="11"/>
        <v>261965</v>
      </c>
      <c r="I58" s="31">
        <f t="shared" si="12"/>
        <v>2881611</v>
      </c>
      <c r="J58" s="25">
        <f>IF(I58&lt;&gt;0,1,)</f>
        <v>1</v>
      </c>
    </row>
    <row r="59" spans="1:10" s="42" customFormat="1">
      <c r="A59" s="42" t="s">
        <v>3222</v>
      </c>
      <c r="B59" s="42" t="str">
        <f>"XL"&amp;A59</f>
        <v>XLTRNC2X75</v>
      </c>
      <c r="C59" s="30" t="str">
        <f>"2."&amp;COUNTIF($F$44:F59,$K$21)</f>
        <v>2.5</v>
      </c>
      <c r="D59" s="49" t="str">
        <f>"+ "&amp;VLOOKUP(A59,XLTBA,'6.XL-TR'!$D$2,0)</f>
        <v>+ 2 Trạm NC từ 2x75kVA lên 3x75kVA</v>
      </c>
      <c r="E59" s="30" t="str">
        <f t="shared" si="10"/>
        <v>XD5</v>
      </c>
      <c r="F59" s="31">
        <f>VLOOKUP(B59,XLTBA,'6.XL-TR'!$G$2,0)</f>
        <v>18409462</v>
      </c>
      <c r="G59" s="50">
        <v>0.1</v>
      </c>
      <c r="H59" s="31">
        <f>ROUND(F59*G59,0)</f>
        <v>1840946</v>
      </c>
      <c r="I59" s="31">
        <f>F59+H59</f>
        <v>20250408</v>
      </c>
      <c r="J59" s="25">
        <f t="shared" si="0"/>
        <v>1</v>
      </c>
    </row>
    <row r="60" spans="1:10" s="42" customFormat="1">
      <c r="A60" s="42" t="s">
        <v>3223</v>
      </c>
      <c r="B60" s="42" t="str">
        <f t="shared" si="9"/>
        <v>XLTRNC2X100</v>
      </c>
      <c r="C60" s="30" t="str">
        <f>"2."&amp;COUNTIF($F$44:F60,$K$21)</f>
        <v>2.6</v>
      </c>
      <c r="D60" s="49" t="str">
        <f>"+ "&amp;VLOOKUP(A60,XLTBA,'6.XL-TR'!$D$2,0)</f>
        <v>+ 1 Trạm NC từ 2x100kVA lên 3x100kVA</v>
      </c>
      <c r="E60" s="30" t="str">
        <f>"XD"&amp;RIGHT(C60,1)</f>
        <v>XD6</v>
      </c>
      <c r="F60" s="31">
        <f>VLOOKUP(B60,XLTBA,'6.XL-TR'!$G$2,0)</f>
        <v>6519775</v>
      </c>
      <c r="G60" s="50">
        <v>0.1</v>
      </c>
      <c r="H60" s="31">
        <f t="shared" si="11"/>
        <v>651978</v>
      </c>
      <c r="I60" s="31">
        <f t="shared" si="12"/>
        <v>7171753</v>
      </c>
      <c r="J60" s="25">
        <f>IF(I60&lt;&gt;0,1,)</f>
        <v>1</v>
      </c>
    </row>
    <row r="61" spans="1:10" s="42" customFormat="1" hidden="1">
      <c r="A61" s="42" t="s">
        <v>2468</v>
      </c>
      <c r="B61" s="42" t="str">
        <f>"XL"&amp;A61</f>
        <v>XLTRNC3X50</v>
      </c>
      <c r="C61" s="30" t="str">
        <f>"2."&amp;COUNTIF($F$44:F61,$K$21)</f>
        <v>2.6</v>
      </c>
      <c r="D61" s="49" t="str">
        <f>"+ "&amp;VLOOKUP(A61,XLTBA,'6.XL-TR'!$D$2,0)</f>
        <v>+  Trạm NC từ 50kVA lên 3x50kVA</v>
      </c>
      <c r="E61" s="30" t="str">
        <f t="shared" si="10"/>
        <v>XD6</v>
      </c>
      <c r="F61" s="31">
        <f>VLOOKUP(B61,XLTBA,'6.XL-TR'!$G$2,0)</f>
        <v>0</v>
      </c>
      <c r="G61" s="50">
        <v>0.1</v>
      </c>
      <c r="H61" s="31">
        <f>ROUND(F61*G61,0)</f>
        <v>0</v>
      </c>
      <c r="I61" s="31">
        <f>F61+H61</f>
        <v>0</v>
      </c>
      <c r="J61" s="25">
        <f t="shared" si="0"/>
        <v>0</v>
      </c>
    </row>
    <row r="62" spans="1:10" s="42" customFormat="1">
      <c r="A62" s="42" t="s">
        <v>3243</v>
      </c>
      <c r="B62" s="42" t="str">
        <f>"XL"&amp;A62</f>
        <v>XLDTR1P</v>
      </c>
      <c r="C62" s="30" t="str">
        <f>"2."&amp;COUNTIF($F$44:F62,$K$21)</f>
        <v>2.7</v>
      </c>
      <c r="D62" s="49" t="str">
        <f>"+ "&amp;VLOOKUP(A62,XLTBA,'6.XL-TR'!$D$2,0)</f>
        <v>+ 2 Trạm 1 pha di dời</v>
      </c>
      <c r="E62" s="30" t="str">
        <f t="shared" si="10"/>
        <v>XD7</v>
      </c>
      <c r="F62" s="31">
        <f>VLOOKUP(B62,XLTBA,'6.XL-TR'!$G$2,0)</f>
        <v>28220296</v>
      </c>
      <c r="G62" s="50">
        <v>0.1</v>
      </c>
      <c r="H62" s="31">
        <f>ROUND(F62*G62,0)</f>
        <v>2822030</v>
      </c>
      <c r="I62" s="31">
        <f>F62+H62</f>
        <v>31042326</v>
      </c>
      <c r="J62" s="25">
        <f t="shared" si="0"/>
        <v>1</v>
      </c>
    </row>
    <row r="63" spans="1:10" s="42" customFormat="1">
      <c r="A63" s="42" t="s">
        <v>3244</v>
      </c>
      <c r="B63" s="42" t="str">
        <f>"XL"&amp;A63</f>
        <v>XLDTR3P</v>
      </c>
      <c r="C63" s="30" t="str">
        <f>"2."&amp;COUNTIF($F$44:F63,$K$21)</f>
        <v>2.8</v>
      </c>
      <c r="D63" s="49" t="str">
        <f>"+ "&amp;VLOOKUP(A63,XLTBA,'6.XL-TR'!$D$2,0)</f>
        <v>+ 2 Trạm 3 pha di dời</v>
      </c>
      <c r="E63" s="30" t="str">
        <f>"XD"&amp;RIGHT(C63,1)</f>
        <v>XD8</v>
      </c>
      <c r="F63" s="31">
        <f>VLOOKUP(B63,XLTBA,'6.XL-TR'!$G$2,0)</f>
        <v>12411417</v>
      </c>
      <c r="G63" s="50">
        <v>0.1</v>
      </c>
      <c r="H63" s="31">
        <f>ROUND(F63*G63,0)</f>
        <v>1241142</v>
      </c>
      <c r="I63" s="31">
        <f>F63+H63</f>
        <v>13652559</v>
      </c>
      <c r="J63" s="25">
        <f>IF(I63&lt;&gt;0,1,)</f>
        <v>1</v>
      </c>
    </row>
    <row r="64" spans="1:10" s="42" customFormat="1" hidden="1">
      <c r="A64" s="42" t="s">
        <v>2838</v>
      </c>
      <c r="B64" s="42" t="str">
        <f>"XL"&amp;A64</f>
        <v>XLT3P160</v>
      </c>
      <c r="C64" s="30" t="str">
        <f>"2."&amp;COUNTIF($F$44:F64,$K$21)</f>
        <v>2.8</v>
      </c>
      <c r="D64" s="49" t="str">
        <f>"+ "&amp;VLOOKUP(A64,XLTBA,'6.XL-TR'!$D$2,0)</f>
        <v>+ 0 Trạm 3 pha 160kVA (trạm giàn)</v>
      </c>
      <c r="E64" s="30" t="str">
        <f>"XD"&amp;RIGHT(C64,1)</f>
        <v>XD8</v>
      </c>
      <c r="F64" s="31">
        <f>VLOOKUP(B64,XLTBA,'6.XL-TR'!$G$2,0)</f>
        <v>0</v>
      </c>
      <c r="G64" s="50">
        <v>0.1</v>
      </c>
      <c r="H64" s="31">
        <f>ROUND(F64*G64,0)</f>
        <v>0</v>
      </c>
      <c r="I64" s="31">
        <f>F64+H64</f>
        <v>0</v>
      </c>
      <c r="J64" s="25">
        <f>IF(I64&lt;&gt;0,1,)</f>
        <v>0</v>
      </c>
    </row>
    <row r="65" spans="1:10" s="42" customFormat="1" hidden="1">
      <c r="A65" s="42" t="s">
        <v>2839</v>
      </c>
      <c r="B65" s="42" t="str">
        <f>"XL"&amp;A65</f>
        <v>XLT3P160N</v>
      </c>
      <c r="C65" s="30" t="str">
        <f>"2."&amp;COUNTIF($F$44:F65,$K$21)</f>
        <v>2.8</v>
      </c>
      <c r="D65" s="49" t="str">
        <f>"+ "&amp;VLOOKUP(A65,XLTBA,'6.XL-TR'!$D$2,0)</f>
        <v>+ 0 Trạm 3 pha 160kVA (trạm ngồi)</v>
      </c>
      <c r="E65" s="30" t="str">
        <f>"XD"&amp;RIGHT(C65,1)</f>
        <v>XD8</v>
      </c>
      <c r="F65" s="31">
        <f>VLOOKUP(B65,XLTBA,'6.XL-TR'!$G$2,0)</f>
        <v>0</v>
      </c>
      <c r="G65" s="50">
        <v>0.1</v>
      </c>
      <c r="H65" s="31">
        <f>ROUND(F65*G65,0)</f>
        <v>0</v>
      </c>
      <c r="I65" s="31">
        <f>F65+H65</f>
        <v>0</v>
      </c>
      <c r="J65" s="25">
        <f>IF(I65&lt;&gt;0,1,)</f>
        <v>0</v>
      </c>
    </row>
    <row r="66" spans="1:10">
      <c r="C66" s="27">
        <v>3</v>
      </c>
      <c r="D66" s="3" t="s">
        <v>1972</v>
      </c>
      <c r="E66" s="27" t="s">
        <v>3327</v>
      </c>
      <c r="F66" s="28">
        <f>SUM(F67:F88)</f>
        <v>1912842</v>
      </c>
      <c r="G66" s="45"/>
      <c r="H66" s="28">
        <f>SUM(H67:H88)</f>
        <v>191286</v>
      </c>
      <c r="I66" s="28">
        <f>SUM(I67:I88)</f>
        <v>2104128</v>
      </c>
      <c r="J66" s="25">
        <f t="shared" si="0"/>
        <v>1</v>
      </c>
    </row>
    <row r="67" spans="1:10" s="42" customFormat="1" hidden="1">
      <c r="A67" s="42" t="s">
        <v>2088</v>
      </c>
      <c r="B67" s="42" t="str">
        <f>"VCVL"&amp;A67</f>
        <v>VCVLTR25</v>
      </c>
      <c r="C67" s="30" t="str">
        <f>"3."&amp;COUNTIF($F$67:F67,$K$21)</f>
        <v>3.0</v>
      </c>
      <c r="D67" s="49" t="str">
        <f>"+ "&amp;VLOOKUP(A67,XLTBA,'6.XL-TR'!$D$2,0)</f>
        <v>+ 0 Trạm 1 pha 25kVA</v>
      </c>
      <c r="E67" s="30" t="str">
        <f>"VC"&amp;RIGHT(C67,1)</f>
        <v>VC0</v>
      </c>
      <c r="F67" s="31">
        <f>VLOOKUP(B67,CPVCDD,'13.VCDD'!$E$5,0)</f>
        <v>0</v>
      </c>
      <c r="G67" s="50">
        <v>0.1</v>
      </c>
      <c r="H67" s="31">
        <f t="shared" ref="H67:H72" si="13">ROUND(F67*G67,0)</f>
        <v>0</v>
      </c>
      <c r="I67" s="31">
        <f t="shared" ref="I67:I72" si="14">F67+H67</f>
        <v>0</v>
      </c>
      <c r="J67" s="25">
        <f t="shared" si="0"/>
        <v>0</v>
      </c>
    </row>
    <row r="68" spans="1:10" s="42" customFormat="1" hidden="1">
      <c r="A68" s="42" t="s">
        <v>2089</v>
      </c>
      <c r="B68" s="42" t="str">
        <f t="shared" ref="B68:B88" si="15">"VCVL"&amp;A68</f>
        <v>VCVLTR375</v>
      </c>
      <c r="C68" s="30" t="str">
        <f>"3."&amp;COUNTIF($F$67:F68,$K$21)</f>
        <v>3.0</v>
      </c>
      <c r="D68" s="49" t="str">
        <f>"+ "&amp;VLOOKUP(A68,XLTBA,'6.XL-TR'!$D$2,0)</f>
        <v>+ 0 Trạm 1 pha 37,5kVA</v>
      </c>
      <c r="E68" s="30" t="str">
        <f t="shared" ref="E68:E88" si="16">"VC"&amp;RIGHT(C68,1)</f>
        <v>VC0</v>
      </c>
      <c r="F68" s="31">
        <f>VLOOKUP(B68,CPVCDD,'13.VCDD'!$E$5,0)</f>
        <v>0</v>
      </c>
      <c r="G68" s="50">
        <v>0.1</v>
      </c>
      <c r="H68" s="31">
        <f t="shared" si="13"/>
        <v>0</v>
      </c>
      <c r="I68" s="31">
        <f t="shared" si="14"/>
        <v>0</v>
      </c>
      <c r="J68" s="25">
        <f t="shared" si="0"/>
        <v>0</v>
      </c>
    </row>
    <row r="69" spans="1:10" s="42" customFormat="1" hidden="1">
      <c r="A69" s="42" t="s">
        <v>2812</v>
      </c>
      <c r="B69" s="42" t="str">
        <f>"VCVL"&amp;A69</f>
        <v>VCVLTR2X25</v>
      </c>
      <c r="C69" s="30" t="str">
        <f>"3."&amp;COUNTIF($F$67:F69,$K$21)</f>
        <v>3.0</v>
      </c>
      <c r="D69" s="49" t="str">
        <f>"+ "&amp;VLOOKUP(A69,XLTBA,'6.XL-TR'!$D$2,0)</f>
        <v>+ 0 Trạm 1 pha 2x25kVA</v>
      </c>
      <c r="E69" s="30" t="str">
        <f>"VC"&amp;RIGHT(C69,1)</f>
        <v>VC0</v>
      </c>
      <c r="F69" s="31">
        <f>VLOOKUP(B69,CPVCDD,'13.VCDD'!$E$5,0)</f>
        <v>0</v>
      </c>
      <c r="G69" s="50">
        <v>0.1</v>
      </c>
      <c r="H69" s="31">
        <f t="shared" si="13"/>
        <v>0</v>
      </c>
      <c r="I69" s="31">
        <f t="shared" si="14"/>
        <v>0</v>
      </c>
      <c r="J69" s="25">
        <f>IF(I69&lt;&gt;0,1,)</f>
        <v>0</v>
      </c>
    </row>
    <row r="70" spans="1:10" s="42" customFormat="1" hidden="1">
      <c r="A70" s="42" t="s">
        <v>2090</v>
      </c>
      <c r="B70" s="42" t="str">
        <f t="shared" si="15"/>
        <v>VCVLTR50</v>
      </c>
      <c r="C70" s="30" t="str">
        <f>"3."&amp;COUNTIF($F$67:F70,$K$21)</f>
        <v>3.0</v>
      </c>
      <c r="D70" s="49" t="str">
        <f>"+ "&amp;VLOOKUP(A70,XLTBA,'6.XL-TR'!$D$2,0)</f>
        <v>+ 0 Trạm 1 pha 50kVA</v>
      </c>
      <c r="E70" s="30" t="str">
        <f t="shared" si="16"/>
        <v>VC0</v>
      </c>
      <c r="F70" s="31">
        <f>VLOOKUP(B70,CPVCDD,'13.VCDD'!$E$5,0)</f>
        <v>0</v>
      </c>
      <c r="G70" s="50">
        <v>0.1</v>
      </c>
      <c r="H70" s="31">
        <f t="shared" si="13"/>
        <v>0</v>
      </c>
      <c r="I70" s="31">
        <f t="shared" si="14"/>
        <v>0</v>
      </c>
      <c r="J70" s="25">
        <f t="shared" si="0"/>
        <v>0</v>
      </c>
    </row>
    <row r="71" spans="1:10" s="42" customFormat="1" hidden="1">
      <c r="A71" s="42" t="s">
        <v>2813</v>
      </c>
      <c r="B71" s="42" t="str">
        <f t="shared" si="15"/>
        <v>VCVLTR2X375</v>
      </c>
      <c r="C71" s="30" t="str">
        <f>"3."&amp;COUNTIF($F$67:F71,$K$21)</f>
        <v>3.0</v>
      </c>
      <c r="D71" s="49" t="str">
        <f>"+ "&amp;VLOOKUP(A71,XLTBA,'6.XL-TR'!$D$2,0)</f>
        <v>+ 0 Trạm 1 pha 2x37,5kVA</v>
      </c>
      <c r="E71" s="30" t="str">
        <f t="shared" si="16"/>
        <v>VC0</v>
      </c>
      <c r="F71" s="31">
        <f>VLOOKUP(B71,CPVCDD,'13.VCDD'!$E$5,0)</f>
        <v>0</v>
      </c>
      <c r="G71" s="50">
        <v>0.1</v>
      </c>
      <c r="H71" s="31">
        <f t="shared" si="13"/>
        <v>0</v>
      </c>
      <c r="I71" s="31">
        <f t="shared" si="14"/>
        <v>0</v>
      </c>
      <c r="J71" s="25">
        <f t="shared" si="0"/>
        <v>0</v>
      </c>
    </row>
    <row r="72" spans="1:10" s="42" customFormat="1">
      <c r="A72" s="42" t="s">
        <v>2071</v>
      </c>
      <c r="B72" s="42" t="str">
        <f t="shared" si="15"/>
        <v>VCVLTR75</v>
      </c>
      <c r="C72" s="30" t="str">
        <f>"3."&amp;COUNTIF($F$67:F72,$K$21)</f>
        <v>3.1</v>
      </c>
      <c r="D72" s="49" t="str">
        <f>"+ "&amp;VLOOKUP(A72,XLTBA,'6.XL-TR'!$D$2,0)</f>
        <v>+ 3 Trạm 1 pha 75kVA</v>
      </c>
      <c r="E72" s="30" t="str">
        <f t="shared" si="16"/>
        <v>VC1</v>
      </c>
      <c r="F72" s="31">
        <f>VLOOKUP(B72,CPVCDD,'13.VCDD'!$E$5,0)</f>
        <v>247506</v>
      </c>
      <c r="G72" s="50">
        <v>0.1</v>
      </c>
      <c r="H72" s="31">
        <f t="shared" si="13"/>
        <v>24751</v>
      </c>
      <c r="I72" s="31">
        <f t="shared" si="14"/>
        <v>272257</v>
      </c>
      <c r="J72" s="25">
        <f t="shared" si="0"/>
        <v>1</v>
      </c>
    </row>
    <row r="73" spans="1:10" s="42" customFormat="1" hidden="1">
      <c r="A73" s="42" t="s">
        <v>2073</v>
      </c>
      <c r="B73" s="42" t="str">
        <f t="shared" si="15"/>
        <v>VCVLTR100</v>
      </c>
      <c r="C73" s="30" t="str">
        <f>"3."&amp;COUNTIF($F$67:F73,$K$21)</f>
        <v>3.1</v>
      </c>
      <c r="D73" s="49" t="str">
        <f>"+ "&amp;VLOOKUP(A73,XLTBA,'6.XL-TR'!$D$2,0)</f>
        <v>+ 0 Trạm 1 pha 100kVA</v>
      </c>
      <c r="E73" s="30" t="str">
        <f t="shared" si="16"/>
        <v>VC1</v>
      </c>
      <c r="F73" s="31">
        <f>VLOOKUP(B73,CPVCDD,'13.VCDD'!$E$5,0)</f>
        <v>0</v>
      </c>
      <c r="G73" s="50">
        <v>0.1</v>
      </c>
      <c r="H73" s="31">
        <f t="shared" ref="H73:H78" si="17">ROUND(F73*G73,0)</f>
        <v>0</v>
      </c>
      <c r="I73" s="31">
        <f t="shared" ref="I73:I78" si="18">F73+H73</f>
        <v>0</v>
      </c>
      <c r="J73" s="25">
        <f t="shared" si="0"/>
        <v>0</v>
      </c>
    </row>
    <row r="74" spans="1:10" s="42" customFormat="1" hidden="1">
      <c r="A74" s="42" t="s">
        <v>2076</v>
      </c>
      <c r="B74" s="42" t="str">
        <f t="shared" si="15"/>
        <v>VCVLTR3X25</v>
      </c>
      <c r="C74" s="30" t="str">
        <f>"3."&amp;COUNTIF($F$67:F74,$K$21)</f>
        <v>3.1</v>
      </c>
      <c r="D74" s="49" t="str">
        <f>"+ "&amp;VLOOKUP(A74,XLTBA,'6.XL-TR'!$D$2,0)</f>
        <v>+ 0 Trạm 3 pha 3x25kVA</v>
      </c>
      <c r="E74" s="30" t="str">
        <f t="shared" si="16"/>
        <v>VC1</v>
      </c>
      <c r="F74" s="31">
        <f>VLOOKUP(B74,CPVCDD,'13.VCDD'!$E$5,0)</f>
        <v>0</v>
      </c>
      <c r="G74" s="50">
        <v>0.1</v>
      </c>
      <c r="H74" s="31">
        <f t="shared" si="17"/>
        <v>0</v>
      </c>
      <c r="I74" s="31">
        <f t="shared" si="18"/>
        <v>0</v>
      </c>
      <c r="J74" s="25">
        <f t="shared" si="0"/>
        <v>0</v>
      </c>
    </row>
    <row r="75" spans="1:10" s="42" customFormat="1" hidden="1">
      <c r="A75" s="42" t="s">
        <v>2079</v>
      </c>
      <c r="B75" s="42" t="str">
        <f t="shared" si="15"/>
        <v>VCVLTR3X375</v>
      </c>
      <c r="C75" s="30" t="str">
        <f>"3."&amp;COUNTIF($F$67:F75,$K$21)</f>
        <v>3.1</v>
      </c>
      <c r="D75" s="49" t="str">
        <f>"+ "&amp;VLOOKUP(A75,XLTBA,'6.XL-TR'!$D$2,0)</f>
        <v>+ 0 Trạm 3 pha 3x37,5kVA</v>
      </c>
      <c r="E75" s="30" t="str">
        <f t="shared" si="16"/>
        <v>VC1</v>
      </c>
      <c r="F75" s="31">
        <f>VLOOKUP(B75,CPVCDD,'13.VCDD'!$E$5,0)</f>
        <v>0</v>
      </c>
      <c r="G75" s="50">
        <v>0.1</v>
      </c>
      <c r="H75" s="31">
        <f t="shared" si="17"/>
        <v>0</v>
      </c>
      <c r="I75" s="31">
        <f t="shared" si="18"/>
        <v>0</v>
      </c>
      <c r="J75" s="25">
        <f t="shared" si="0"/>
        <v>0</v>
      </c>
    </row>
    <row r="76" spans="1:10" s="42" customFormat="1">
      <c r="A76" s="42" t="s">
        <v>2082</v>
      </c>
      <c r="B76" s="42" t="str">
        <f t="shared" si="15"/>
        <v>VCVLTR3X50</v>
      </c>
      <c r="C76" s="30" t="str">
        <f>"3."&amp;COUNTIF($F$67:F76,$K$21)</f>
        <v>3.2</v>
      </c>
      <c r="D76" s="49" t="str">
        <f>"+ "&amp;VLOOKUP(A76,XLTBA,'6.XL-TR'!$D$2,0)</f>
        <v>+ 9 Trạm 3 pha 3x50kVA</v>
      </c>
      <c r="E76" s="30" t="str">
        <f t="shared" si="16"/>
        <v>VC2</v>
      </c>
      <c r="F76" s="31">
        <f>VLOOKUP(B76,CPVCDD,'13.VCDD'!$E$5,0)</f>
        <v>580372</v>
      </c>
      <c r="G76" s="50">
        <v>0.1</v>
      </c>
      <c r="H76" s="31">
        <f>ROUND(F76*G76,0)</f>
        <v>58037</v>
      </c>
      <c r="I76" s="31">
        <f>F76+H76</f>
        <v>638409</v>
      </c>
      <c r="J76" s="25">
        <f t="shared" si="0"/>
        <v>1</v>
      </c>
    </row>
    <row r="77" spans="1:10" s="42" customFormat="1" hidden="1">
      <c r="A77" s="42" t="s">
        <v>2085</v>
      </c>
      <c r="B77" s="42" t="str">
        <f t="shared" si="15"/>
        <v>VCVLTR3X75</v>
      </c>
      <c r="C77" s="30" t="str">
        <f>"3."&amp;COUNTIF($F$67:F77,$K$21)</f>
        <v>3.2</v>
      </c>
      <c r="D77" s="49" t="str">
        <f>"+ "&amp;VLOOKUP(A77,XLTBA,'6.XL-TR'!$D$2,0)</f>
        <v>+ 0 Trạm 3 pha 3x75kVA</v>
      </c>
      <c r="E77" s="30" t="str">
        <f t="shared" si="16"/>
        <v>VC2</v>
      </c>
      <c r="F77" s="31">
        <f>VLOOKUP(B77,CPVCDD,'13.VCDD'!$E$5,0)</f>
        <v>0</v>
      </c>
      <c r="G77" s="50">
        <v>0.1</v>
      </c>
      <c r="H77" s="31">
        <f>ROUND(F77*G77,0)</f>
        <v>0</v>
      </c>
      <c r="I77" s="31">
        <f>F77+H77</f>
        <v>0</v>
      </c>
      <c r="J77" s="25">
        <f t="shared" si="0"/>
        <v>0</v>
      </c>
    </row>
    <row r="78" spans="1:10" s="42" customFormat="1" hidden="1">
      <c r="A78" s="42" t="s">
        <v>2094</v>
      </c>
      <c r="B78" s="42" t="str">
        <f t="shared" si="15"/>
        <v>VCVLTR3X100</v>
      </c>
      <c r="C78" s="30" t="str">
        <f>"3."&amp;COUNTIF($F$67:F78,$K$21)</f>
        <v>3.2</v>
      </c>
      <c r="D78" s="49" t="str">
        <f>"+ "&amp;VLOOKUP(A78,XLTBA,'6.XL-TR'!$D$2,0)</f>
        <v>+ 0 Trạm 3 pha 3x100kVA</v>
      </c>
      <c r="E78" s="30" t="str">
        <f t="shared" si="16"/>
        <v>VC2</v>
      </c>
      <c r="F78" s="31">
        <f>VLOOKUP(B78,CPVCDD,'13.VCDD'!$E$5,0)</f>
        <v>0</v>
      </c>
      <c r="G78" s="50">
        <v>0.1</v>
      </c>
      <c r="H78" s="31">
        <f t="shared" si="17"/>
        <v>0</v>
      </c>
      <c r="I78" s="31">
        <f t="shared" si="18"/>
        <v>0</v>
      </c>
      <c r="J78" s="25">
        <f t="shared" si="0"/>
        <v>0</v>
      </c>
    </row>
    <row r="79" spans="1:10" s="42" customFormat="1" hidden="1">
      <c r="A79" s="42" t="s">
        <v>2838</v>
      </c>
      <c r="B79" s="42" t="str">
        <f>"VCVL"&amp;A79</f>
        <v>VCVLT3P160</v>
      </c>
      <c r="C79" s="30" t="str">
        <f>"3."&amp;COUNTIF($F$67:F79,$K$21)</f>
        <v>3.2</v>
      </c>
      <c r="D79" s="49" t="str">
        <f>"+ "&amp;VLOOKUP(A79,XLTBA,'6.XL-TR'!$D$2,0)</f>
        <v>+ 0 Trạm 3 pha 160kVA (trạm giàn)</v>
      </c>
      <c r="E79" s="30" t="str">
        <f>"VC"&amp;RIGHT(C79,1)</f>
        <v>VC2</v>
      </c>
      <c r="F79" s="31">
        <f>VLOOKUP(B79,CPVCDD,'13.VCDD'!$E$5,0)</f>
        <v>0</v>
      </c>
      <c r="G79" s="50">
        <v>0.1</v>
      </c>
      <c r="H79" s="31">
        <f>ROUND(F79*G79,0)</f>
        <v>0</v>
      </c>
      <c r="I79" s="31">
        <f>F79+H79</f>
        <v>0</v>
      </c>
      <c r="J79" s="25">
        <f>IF(I79&lt;&gt;0,1,)</f>
        <v>0</v>
      </c>
    </row>
    <row r="80" spans="1:10" s="42" customFormat="1" hidden="1">
      <c r="A80" s="42" t="s">
        <v>2839</v>
      </c>
      <c r="B80" s="42" t="str">
        <f t="shared" ref="B80:B86" si="19">"VCVL"&amp;A80</f>
        <v>VCVLT3P160N</v>
      </c>
      <c r="C80" s="30" t="str">
        <f>"3."&amp;COUNTIF($F$67:F80,$K$21)</f>
        <v>3.2</v>
      </c>
      <c r="D80" s="49" t="str">
        <f>"+ "&amp;VLOOKUP(A80,XLTBA,'6.XL-TR'!$D$2,0)</f>
        <v>+ 0 Trạm 3 pha 160kVA (trạm ngồi)</v>
      </c>
      <c r="E80" s="30" t="str">
        <f t="shared" ref="E80:E86" si="20">"VC"&amp;RIGHT(C80,1)</f>
        <v>VC2</v>
      </c>
      <c r="F80" s="31">
        <f>VLOOKUP(B80,CPVCDD,'13.VCDD'!$E$5,0)</f>
        <v>0</v>
      </c>
      <c r="G80" s="50">
        <v>0.1</v>
      </c>
      <c r="H80" s="31">
        <f t="shared" ref="H80:H86" si="21">ROUND(F80*G80,0)</f>
        <v>0</v>
      </c>
      <c r="I80" s="31">
        <f t="shared" ref="I80:I86" si="22">F80+H80</f>
        <v>0</v>
      </c>
      <c r="J80" s="25">
        <f t="shared" ref="J80:J86" si="23">IF(I80&lt;&gt;0,1,)</f>
        <v>0</v>
      </c>
    </row>
    <row r="81" spans="1:10" s="42" customFormat="1" hidden="1">
      <c r="A81" s="521" t="s">
        <v>3218</v>
      </c>
      <c r="B81" s="42" t="str">
        <f>"VCVL"&amp;A81</f>
        <v>VCVLTRNC3X375</v>
      </c>
      <c r="C81" s="30" t="str">
        <f>"3."&amp;COUNTIF($F$67:F81,$K$21)</f>
        <v>3.2</v>
      </c>
      <c r="D81" s="49" t="str">
        <f>"+ "&amp;VLOOKUP(A81,XLTBA,'6.XL-TR'!$D$2,0)</f>
        <v>+  Trạm NC từ 2x37,5kVA lên 3x37,5kVA</v>
      </c>
      <c r="E81" s="30" t="str">
        <f>"VC"&amp;RIGHT(C81,1)</f>
        <v>VC2</v>
      </c>
      <c r="F81" s="31">
        <f>VLOOKUP(B81,CPVCDD,'13.VCDD'!$E$5,0)</f>
        <v>0</v>
      </c>
      <c r="G81" s="50">
        <v>0.1</v>
      </c>
      <c r="H81" s="31">
        <f>ROUND(F81*G81,0)</f>
        <v>0</v>
      </c>
      <c r="I81" s="31">
        <f>F81+H81</f>
        <v>0</v>
      </c>
      <c r="J81" s="25">
        <f>IF(I81&lt;&gt;0,1,)</f>
        <v>0</v>
      </c>
    </row>
    <row r="82" spans="1:10" s="42" customFormat="1">
      <c r="A82" s="521" t="s">
        <v>3219</v>
      </c>
      <c r="B82" s="42" t="str">
        <f t="shared" si="19"/>
        <v>VCVLTRNC100</v>
      </c>
      <c r="C82" s="30" t="str">
        <f>"3."&amp;COUNTIF($F$67:F82,$K$21)</f>
        <v>3.3</v>
      </c>
      <c r="D82" s="49" t="str">
        <f>"+ "&amp;VLOOKUP(A82,XLTBA,'6.XL-TR'!$D$2,0)</f>
        <v>+ 2 Trạm NC từ 100kVA lên 100+2x50kVA</v>
      </c>
      <c r="E82" s="30" t="str">
        <f t="shared" si="20"/>
        <v>VC3</v>
      </c>
      <c r="F82" s="31">
        <f>VLOOKUP(B82,CPVCDD,'13.VCDD'!$E$5,0)</f>
        <v>219767</v>
      </c>
      <c r="G82" s="50">
        <v>0.1</v>
      </c>
      <c r="H82" s="31">
        <f t="shared" si="21"/>
        <v>21977</v>
      </c>
      <c r="I82" s="31">
        <f t="shared" si="22"/>
        <v>241744</v>
      </c>
      <c r="J82" s="25">
        <f t="shared" si="23"/>
        <v>1</v>
      </c>
    </row>
    <row r="83" spans="1:10" s="42" customFormat="1" hidden="1">
      <c r="A83" s="521" t="s">
        <v>3457</v>
      </c>
      <c r="B83" s="42" t="str">
        <f t="shared" si="19"/>
        <v>VCVLTRNC2X50</v>
      </c>
      <c r="C83" s="30" t="str">
        <f>"3."&amp;COUNTIF($F$67:F83,$K$21)</f>
        <v>3.3</v>
      </c>
      <c r="D83" s="49" t="str">
        <f>"+ "&amp;VLOOKUP(A83,XLTBA,'6.XL-TR'!$D$2,0)</f>
        <v>+  Trạm NC từ 2x50kVA lên 3x50kVA</v>
      </c>
      <c r="E83" s="30" t="str">
        <f t="shared" si="20"/>
        <v>VC3</v>
      </c>
      <c r="F83" s="31">
        <f>VLOOKUP(B83,CPVCDD,'13.VCDD'!$E$5,0)</f>
        <v>0</v>
      </c>
      <c r="G83" s="50">
        <v>0.1</v>
      </c>
      <c r="H83" s="31">
        <f t="shared" si="21"/>
        <v>0</v>
      </c>
      <c r="I83" s="31">
        <f t="shared" si="22"/>
        <v>0</v>
      </c>
      <c r="J83" s="25">
        <f t="shared" si="23"/>
        <v>0</v>
      </c>
    </row>
    <row r="84" spans="1:10" s="42" customFormat="1">
      <c r="A84" s="521" t="s">
        <v>3222</v>
      </c>
      <c r="B84" s="42" t="str">
        <f>"VCVL"&amp;A84</f>
        <v>VCVLTRNC2X75</v>
      </c>
      <c r="C84" s="30" t="str">
        <f>"3."&amp;COUNTIF($F$67:F84,$K$21)</f>
        <v>3.4</v>
      </c>
      <c r="D84" s="49" t="str">
        <f>"+ "&amp;VLOOKUP(A84,XLTBA,'6.XL-TR'!$D$2,0)</f>
        <v>+ 2 Trạm NC từ 2x75kVA lên 3x75kVA</v>
      </c>
      <c r="E84" s="30" t="str">
        <f>"VC"&amp;RIGHT(C84,1)</f>
        <v>VC4</v>
      </c>
      <c r="F84" s="31">
        <f>VLOOKUP(B84,CPVCDD,'13.VCDD'!$E$5,0)</f>
        <v>233636</v>
      </c>
      <c r="G84" s="50">
        <v>0.1</v>
      </c>
      <c r="H84" s="31">
        <f>ROUND(F84*G84,0)</f>
        <v>23364</v>
      </c>
      <c r="I84" s="31">
        <f>F84+H84</f>
        <v>257000</v>
      </c>
      <c r="J84" s="25">
        <f>IF(I84&lt;&gt;0,1,)</f>
        <v>1</v>
      </c>
    </row>
    <row r="85" spans="1:10" s="42" customFormat="1">
      <c r="A85" s="521" t="s">
        <v>3223</v>
      </c>
      <c r="B85" s="42" t="str">
        <f t="shared" si="19"/>
        <v>VCVLTRNC2X100</v>
      </c>
      <c r="C85" s="30" t="str">
        <f>"3."&amp;COUNTIF($F$67:F85,$K$21)</f>
        <v>3.5</v>
      </c>
      <c r="D85" s="49" t="str">
        <f>"+ "&amp;VLOOKUP(A85,XLTBA,'6.XL-TR'!$D$2,0)</f>
        <v>+ 1 Trạm NC từ 2x100kVA lên 3x100kVA</v>
      </c>
      <c r="E85" s="30" t="str">
        <f t="shared" si="20"/>
        <v>VC5</v>
      </c>
      <c r="F85" s="31">
        <f>VLOOKUP(B85,CPVCDD,'13.VCDD'!$E$5,0)</f>
        <v>192028</v>
      </c>
      <c r="G85" s="50">
        <v>0.1</v>
      </c>
      <c r="H85" s="31">
        <f t="shared" si="21"/>
        <v>19203</v>
      </c>
      <c r="I85" s="31">
        <f t="shared" si="22"/>
        <v>211231</v>
      </c>
      <c r="J85" s="25">
        <f t="shared" si="23"/>
        <v>1</v>
      </c>
    </row>
    <row r="86" spans="1:10" s="42" customFormat="1">
      <c r="A86" s="521" t="s">
        <v>3243</v>
      </c>
      <c r="B86" s="42" t="str">
        <f t="shared" si="19"/>
        <v>VCVLDTR1P</v>
      </c>
      <c r="C86" s="30" t="str">
        <f>"3."&amp;COUNTIF($F$67:F86,$K$21)</f>
        <v>3.6</v>
      </c>
      <c r="D86" s="49" t="str">
        <f>"+ "&amp;VLOOKUP(A86,XLTBA,'6.XL-TR'!$D$2,0)</f>
        <v>+ 2 Trạm 1 pha di dời</v>
      </c>
      <c r="E86" s="30" t="str">
        <f t="shared" si="20"/>
        <v>VC6</v>
      </c>
      <c r="F86" s="31">
        <f>VLOOKUP(B86,CPVCDD,'13.VCDD'!$E$5,0)</f>
        <v>205897</v>
      </c>
      <c r="G86" s="50">
        <v>0.1</v>
      </c>
      <c r="H86" s="31">
        <f t="shared" si="21"/>
        <v>20590</v>
      </c>
      <c r="I86" s="31">
        <f t="shared" si="22"/>
        <v>226487</v>
      </c>
      <c r="J86" s="25">
        <f t="shared" si="23"/>
        <v>1</v>
      </c>
    </row>
    <row r="87" spans="1:10" s="42" customFormat="1">
      <c r="A87" s="521" t="s">
        <v>3244</v>
      </c>
      <c r="B87" s="42" t="str">
        <f>"VCVL"&amp;A87</f>
        <v>VCVLDTR3P</v>
      </c>
      <c r="C87" s="30" t="str">
        <f>"3."&amp;COUNTIF($F$67:F87,$K$21)</f>
        <v>3.7</v>
      </c>
      <c r="D87" s="49" t="str">
        <f>"+ "&amp;VLOOKUP(A87,XLTBA,'6.XL-TR'!$D$2,0)</f>
        <v>+ 2 Trạm 3 pha di dời</v>
      </c>
      <c r="E87" s="30" t="str">
        <f>"VC"&amp;RIGHT(C87,1)</f>
        <v>VC7</v>
      </c>
      <c r="F87" s="31">
        <f>VLOOKUP(B87,CPVCDD,'13.VCDD'!$E$5,0)</f>
        <v>233636</v>
      </c>
      <c r="G87" s="50">
        <v>0.1</v>
      </c>
      <c r="H87" s="31">
        <f>ROUND(F87*G87,0)</f>
        <v>23364</v>
      </c>
      <c r="I87" s="31">
        <f>F87+H87</f>
        <v>257000</v>
      </c>
      <c r="J87" s="25">
        <f>IF(I87&lt;&gt;0,1,)</f>
        <v>1</v>
      </c>
    </row>
    <row r="88" spans="1:10" s="42" customFormat="1" hidden="1">
      <c r="A88" s="42" t="s">
        <v>2468</v>
      </c>
      <c r="B88" s="42" t="str">
        <f t="shared" si="15"/>
        <v>VCVLTRNC3X50</v>
      </c>
      <c r="C88" s="30" t="str">
        <f>"3."&amp;COUNTIF($F$67:F88,$K$21)</f>
        <v>3.7</v>
      </c>
      <c r="D88" s="49" t="str">
        <f>"+ "&amp;VLOOKUP(A88,XLTBA,'6.XL-TR'!$D$2,0)</f>
        <v>+  Trạm NC từ 50kVA lên 3x50kVA</v>
      </c>
      <c r="E88" s="30" t="str">
        <f t="shared" si="16"/>
        <v>VC7</v>
      </c>
      <c r="F88" s="31">
        <f>VLOOKUP(B88,CPVCDD,'13.VCDD'!$E$5,0)</f>
        <v>0</v>
      </c>
      <c r="G88" s="50">
        <v>0.1</v>
      </c>
      <c r="H88" s="31">
        <f>ROUND(F88*G88,0)</f>
        <v>0</v>
      </c>
      <c r="I88" s="31">
        <f>F88+H88</f>
        <v>0</v>
      </c>
      <c r="J88" s="25">
        <f t="shared" si="0"/>
        <v>0</v>
      </c>
    </row>
    <row r="89" spans="1:10">
      <c r="C89" s="26" t="s">
        <v>1764</v>
      </c>
      <c r="D89" s="36" t="s">
        <v>1976</v>
      </c>
      <c r="E89" s="26" t="s">
        <v>1977</v>
      </c>
      <c r="F89" s="22">
        <f>F90+F100</f>
        <v>1839047289</v>
      </c>
      <c r="G89" s="46"/>
      <c r="H89" s="22">
        <f>H90+H100</f>
        <v>183904730</v>
      </c>
      <c r="I89" s="22">
        <f>I90+I100</f>
        <v>2022952019</v>
      </c>
      <c r="J89" s="25">
        <f t="shared" si="0"/>
        <v>1</v>
      </c>
    </row>
    <row r="90" spans="1:10">
      <c r="C90" s="35" t="s">
        <v>1631</v>
      </c>
      <c r="D90" s="47" t="s">
        <v>1978</v>
      </c>
      <c r="E90" s="35" t="s">
        <v>1979</v>
      </c>
      <c r="F90" s="34">
        <f>F91+F94+F97</f>
        <v>217031860</v>
      </c>
      <c r="G90" s="48"/>
      <c r="H90" s="34">
        <f>H91+H94+H97</f>
        <v>21703187</v>
      </c>
      <c r="I90" s="34">
        <f>I91+I94+I97</f>
        <v>238735047</v>
      </c>
      <c r="J90" s="25">
        <f t="shared" si="0"/>
        <v>1</v>
      </c>
    </row>
    <row r="91" spans="1:10">
      <c r="C91" s="27">
        <v>1</v>
      </c>
      <c r="D91" s="3" t="s">
        <v>1980</v>
      </c>
      <c r="E91" s="27" t="s">
        <v>3328</v>
      </c>
      <c r="F91" s="28">
        <f>SUM(F92:F93)</f>
        <v>134885000</v>
      </c>
      <c r="G91" s="45"/>
      <c r="H91" s="28">
        <f>SUM(H92:H93)</f>
        <v>13488500</v>
      </c>
      <c r="I91" s="28">
        <f>SUM(I92:I93)</f>
        <v>148373500</v>
      </c>
      <c r="J91" s="25">
        <f t="shared" si="0"/>
        <v>1</v>
      </c>
    </row>
    <row r="92" spans="1:10" s="42" customFormat="1">
      <c r="A92" s="42" t="s">
        <v>1844</v>
      </c>
      <c r="B92" s="42" t="s">
        <v>2050</v>
      </c>
      <c r="C92" s="30" t="str">
        <f>"1."&amp;COUNTIF($F$92:F92,$K$21)</f>
        <v>1.1</v>
      </c>
      <c r="D92" s="51" t="str">
        <f>"+ "&amp;VLOOKUP(A92,XLDD,'3.XL-DD'!$D$2,0)</f>
        <v>+ Phần đường dây trung thế</v>
      </c>
      <c r="E92" s="30" t="str">
        <f>"TBĐD-"&amp;RIGHT(C92,1)</f>
        <v>TBĐD-1</v>
      </c>
      <c r="F92" s="31">
        <f>VLOOKUP(B92,GTDD,'4.GT'!$M$7,0)</f>
        <v>60005000</v>
      </c>
      <c r="G92" s="50">
        <v>0.1</v>
      </c>
      <c r="H92" s="31">
        <f>ROUND(F92*G92,0)</f>
        <v>6000500</v>
      </c>
      <c r="I92" s="31">
        <f>F92+H92</f>
        <v>66005500</v>
      </c>
      <c r="J92" s="25">
        <f t="shared" si="0"/>
        <v>1</v>
      </c>
    </row>
    <row r="93" spans="1:10" s="42" customFormat="1">
      <c r="A93" s="42" t="s">
        <v>1873</v>
      </c>
      <c r="B93" s="42" t="s">
        <v>2046</v>
      </c>
      <c r="C93" s="30" t="str">
        <f>"1."&amp;COUNTIF($F$92:F93,$K$21)</f>
        <v>1.2</v>
      </c>
      <c r="D93" s="51" t="str">
        <f>"+ "&amp;VLOOKUP(A93,XLDD,'3.XL-DD'!$D$2,0)</f>
        <v>+ Phần đường dây hạ thế</v>
      </c>
      <c r="E93" s="30" t="str">
        <f>"TBĐD-"&amp;RIGHT(C93,1)</f>
        <v>TBĐD-2</v>
      </c>
      <c r="F93" s="31">
        <f>VLOOKUP(B93,GTDD,'4.GT'!$M$7,0)</f>
        <v>74880000</v>
      </c>
      <c r="G93" s="50">
        <v>0.1</v>
      </c>
      <c r="H93" s="31">
        <f>ROUND(F93*G93,0)</f>
        <v>7488000</v>
      </c>
      <c r="I93" s="31">
        <f>F93+H93</f>
        <v>82368000</v>
      </c>
      <c r="J93" s="25">
        <f t="shared" si="0"/>
        <v>1</v>
      </c>
    </row>
    <row r="94" spans="1:10">
      <c r="C94" s="27">
        <v>2</v>
      </c>
      <c r="D94" s="3" t="s">
        <v>1981</v>
      </c>
      <c r="E94" s="27" t="s">
        <v>3329</v>
      </c>
      <c r="F94" s="28">
        <f>SUM(F95:F96)</f>
        <v>50910031</v>
      </c>
      <c r="G94" s="45"/>
      <c r="H94" s="28">
        <f>SUM(H95:H96)</f>
        <v>5091004</v>
      </c>
      <c r="I94" s="28">
        <f>SUM(I95:I96)</f>
        <v>56001035</v>
      </c>
      <c r="J94" s="25">
        <f t="shared" si="0"/>
        <v>1</v>
      </c>
    </row>
    <row r="95" spans="1:10" s="42" customFormat="1">
      <c r="A95" s="42" t="s">
        <v>1844</v>
      </c>
      <c r="B95" s="42" t="s">
        <v>2111</v>
      </c>
      <c r="C95" s="30" t="str">
        <f>"2."&amp;COUNTIF($F$95:F95,$K$21)</f>
        <v>2.1</v>
      </c>
      <c r="D95" s="51" t="str">
        <f>"+ "&amp;VLOOKUP(A95,XLDD,'3.XL-DD'!$D$2,0)</f>
        <v>+ Phần đường dây trung thế</v>
      </c>
      <c r="E95" s="30" t="str">
        <f>"LĐTB_ĐD-"&amp;RIGHT(C95,1)</f>
        <v>LĐTB_ĐD-1</v>
      </c>
      <c r="F95" s="31">
        <f>VLOOKUP(B95,LDTB,'8.LD-TB'!$F$2,0)</f>
        <v>13165745</v>
      </c>
      <c r="G95" s="50">
        <v>0.1</v>
      </c>
      <c r="H95" s="31">
        <f>ROUND(F95*G95,0)</f>
        <v>1316575</v>
      </c>
      <c r="I95" s="31">
        <f>F95+H95</f>
        <v>14482320</v>
      </c>
      <c r="J95" s="25">
        <f t="shared" si="0"/>
        <v>1</v>
      </c>
    </row>
    <row r="96" spans="1:10" s="42" customFormat="1">
      <c r="A96" s="42" t="s">
        <v>1873</v>
      </c>
      <c r="B96" s="42" t="s">
        <v>2110</v>
      </c>
      <c r="C96" s="30" t="str">
        <f>"2."&amp;COUNTIF($F$95:F96,$K$21)</f>
        <v>2.2</v>
      </c>
      <c r="D96" s="51" t="str">
        <f>"+ "&amp;VLOOKUP(A96,XLDD,'3.XL-DD'!$D$2,0)</f>
        <v>+ Phần đường dây hạ thế</v>
      </c>
      <c r="E96" s="30" t="str">
        <f>"LĐTB_ĐD-"&amp;RIGHT(C96,1)</f>
        <v>LĐTB_ĐD-2</v>
      </c>
      <c r="F96" s="31">
        <f>VLOOKUP(B96,LDTB,'8.LD-TB'!$F$2,0)</f>
        <v>37744286</v>
      </c>
      <c r="G96" s="50">
        <v>0.1</v>
      </c>
      <c r="H96" s="31">
        <f>ROUND(F96*G96,0)</f>
        <v>3774429</v>
      </c>
      <c r="I96" s="31">
        <f>F96+H96</f>
        <v>41518715</v>
      </c>
      <c r="J96" s="25">
        <f t="shared" si="0"/>
        <v>1</v>
      </c>
    </row>
    <row r="97" spans="1:10">
      <c r="C97" s="27">
        <v>3</v>
      </c>
      <c r="D97" s="3" t="s">
        <v>1982</v>
      </c>
      <c r="E97" s="27" t="s">
        <v>3330</v>
      </c>
      <c r="F97" s="28">
        <f>SUM(F98:F99)</f>
        <v>31236829</v>
      </c>
      <c r="G97" s="45"/>
      <c r="H97" s="28">
        <f>SUM(H98:H99)</f>
        <v>3123683</v>
      </c>
      <c r="I97" s="28">
        <f>SUM(I98:I99)</f>
        <v>34360512</v>
      </c>
      <c r="J97" s="25">
        <f t="shared" si="0"/>
        <v>1</v>
      </c>
    </row>
    <row r="98" spans="1:10" s="42" customFormat="1">
      <c r="A98" s="42" t="s">
        <v>1844</v>
      </c>
      <c r="B98" s="42" t="str">
        <f>"TN"&amp;A98</f>
        <v>TNT1</v>
      </c>
      <c r="C98" s="30" t="str">
        <f>"3."&amp;COUNTIF($F$98:F98,$K$21)</f>
        <v>3.1</v>
      </c>
      <c r="D98" s="51" t="str">
        <f>"+ "&amp;VLOOKUP(A98,XLDD,'3.XL-DD'!$D$2,0)</f>
        <v>+ Phần đường dây trung thế</v>
      </c>
      <c r="E98" s="30" t="str">
        <f>"TNHC_TBĐD-"&amp;RIGHT(C98,1)</f>
        <v>TNHC_TBĐD-1</v>
      </c>
      <c r="F98" s="31">
        <f>VLOOKUP(B98,CPTN,'9.CPTN'!$G$2,0)</f>
        <v>7857747</v>
      </c>
      <c r="G98" s="50">
        <v>0.1</v>
      </c>
      <c r="H98" s="31">
        <f>ROUND(F98*G98,0)</f>
        <v>785775</v>
      </c>
      <c r="I98" s="31">
        <f>F98+H98</f>
        <v>8643522</v>
      </c>
      <c r="J98" s="25">
        <f t="shared" si="0"/>
        <v>1</v>
      </c>
    </row>
    <row r="99" spans="1:10" s="42" customFormat="1">
      <c r="A99" s="42" t="s">
        <v>1873</v>
      </c>
      <c r="B99" s="42" t="str">
        <f>"TN"&amp;A99</f>
        <v>TNT3</v>
      </c>
      <c r="C99" s="30" t="str">
        <f>"3."&amp;COUNTIF($F$98:F99,$K$21)</f>
        <v>3.2</v>
      </c>
      <c r="D99" s="51" t="str">
        <f>"+ "&amp;VLOOKUP(A99,XLDD,'3.XL-DD'!$D$2,0)</f>
        <v>+ Phần đường dây hạ thế</v>
      </c>
      <c r="E99" s="30" t="str">
        <f>"TNHC_TBĐD-"&amp;RIGHT(C99,1)</f>
        <v>TNHC_TBĐD-2</v>
      </c>
      <c r="F99" s="31">
        <f>VLOOKUP(B99,CPTN,'9.CPTN'!$G$2,0)</f>
        <v>23379082</v>
      </c>
      <c r="G99" s="50">
        <v>0.1</v>
      </c>
      <c r="H99" s="31">
        <f>ROUND(F99*G99,0)</f>
        <v>2337908</v>
      </c>
      <c r="I99" s="31">
        <f>F99+H99</f>
        <v>25716990</v>
      </c>
      <c r="J99" s="25">
        <f t="shared" si="0"/>
        <v>1</v>
      </c>
    </row>
    <row r="100" spans="1:10">
      <c r="C100" s="35" t="s">
        <v>1663</v>
      </c>
      <c r="D100" s="47" t="s">
        <v>1983</v>
      </c>
      <c r="E100" s="35" t="s">
        <v>1984</v>
      </c>
      <c r="F100" s="34">
        <f>F101+F124+F147+F169</f>
        <v>1622015429</v>
      </c>
      <c r="G100" s="48"/>
      <c r="H100" s="34">
        <f>H101+H124+H147+H169</f>
        <v>162201543</v>
      </c>
      <c r="I100" s="34">
        <f>I101+I124+I147+I169</f>
        <v>1784216972</v>
      </c>
      <c r="J100" s="25">
        <f t="shared" ref="J100:J210" si="24">IF(I100&lt;&gt;0,1,)</f>
        <v>1</v>
      </c>
    </row>
    <row r="101" spans="1:10">
      <c r="C101" s="27">
        <v>1</v>
      </c>
      <c r="D101" s="3" t="s">
        <v>1980</v>
      </c>
      <c r="E101" s="27" t="s">
        <v>3331</v>
      </c>
      <c r="F101" s="28">
        <f>SUM(F102:F123)</f>
        <v>1384999360</v>
      </c>
      <c r="G101" s="45"/>
      <c r="H101" s="28">
        <f>SUM(H102:H123)</f>
        <v>138499936</v>
      </c>
      <c r="I101" s="28">
        <f>SUM(I102:I123)</f>
        <v>1523499296</v>
      </c>
      <c r="J101" s="25">
        <f t="shared" si="24"/>
        <v>1</v>
      </c>
    </row>
    <row r="102" spans="1:10" s="42" customFormat="1" hidden="1">
      <c r="A102" s="42" t="s">
        <v>2088</v>
      </c>
      <c r="B102" s="42" t="str">
        <f>"TB"&amp;A102</f>
        <v>TBTR25</v>
      </c>
      <c r="C102" s="30" t="str">
        <f>"1."&amp;COUNTIF($F$102:F102,$K$21)</f>
        <v>1.0</v>
      </c>
      <c r="D102" s="49" t="str">
        <f>"+ "&amp;VLOOKUP(A102,XLTBA,'6.XL-TR'!$D$2,0)</f>
        <v>+ 0 Trạm 1 pha 25kVA</v>
      </c>
      <c r="E102" s="30" t="str">
        <f>"TBTBA-"&amp;RIGHT(C102,1)</f>
        <v>TBTBA-0</v>
      </c>
      <c r="F102" s="31">
        <f>VLOOKUP(B102,CTTBA,'7.CT-TBA'!$M$25,0)</f>
        <v>0</v>
      </c>
      <c r="G102" s="50">
        <v>0.1</v>
      </c>
      <c r="H102" s="31">
        <f>ROUND(F102*G102,0)</f>
        <v>0</v>
      </c>
      <c r="I102" s="31">
        <f>F102+H102</f>
        <v>0</v>
      </c>
      <c r="J102" s="25">
        <f t="shared" si="24"/>
        <v>0</v>
      </c>
    </row>
    <row r="103" spans="1:10" s="42" customFormat="1" hidden="1">
      <c r="A103" s="42" t="s">
        <v>2089</v>
      </c>
      <c r="B103" s="42" t="str">
        <f t="shared" ref="B103:B113" si="25">"TB"&amp;A103</f>
        <v>TBTR375</v>
      </c>
      <c r="C103" s="30" t="str">
        <f>"1."&amp;COUNTIF($F$102:F103,$K$21)</f>
        <v>1.0</v>
      </c>
      <c r="D103" s="49" t="str">
        <f>"+ "&amp;VLOOKUP(A103,XLTBA,'6.XL-TR'!$D$2,0)</f>
        <v>+ 0 Trạm 1 pha 37,5kVA</v>
      </c>
      <c r="E103" s="30" t="str">
        <f t="shared" ref="E103:E123" si="26">"TBTBA-"&amp;RIGHT(C103,1)</f>
        <v>TBTBA-0</v>
      </c>
      <c r="F103" s="31">
        <f>VLOOKUP(B103,CTTBA,'7.CT-TBA'!$M$25,0)</f>
        <v>0</v>
      </c>
      <c r="G103" s="50">
        <v>0.1</v>
      </c>
      <c r="H103" s="31">
        <f t="shared" ref="H103:H113" si="27">ROUND(F103*G103,0)</f>
        <v>0</v>
      </c>
      <c r="I103" s="31">
        <f t="shared" ref="I103:I113" si="28">F103+H103</f>
        <v>0</v>
      </c>
      <c r="J103" s="25">
        <f t="shared" si="24"/>
        <v>0</v>
      </c>
    </row>
    <row r="104" spans="1:10" s="42" customFormat="1" hidden="1">
      <c r="A104" s="42" t="s">
        <v>2826</v>
      </c>
      <c r="B104" s="42" t="str">
        <f>"TB"&amp;A104</f>
        <v>TBTR2x25</v>
      </c>
      <c r="C104" s="30" t="str">
        <f>"1."&amp;COUNTIF($F$102:F104,$K$21)</f>
        <v>1.0</v>
      </c>
      <c r="D104" s="49" t="str">
        <f>"+ "&amp;VLOOKUP(A104,XLTBA,'6.XL-TR'!$D$2,0)</f>
        <v>+ 0 Trạm 1 pha 2x25kVA</v>
      </c>
      <c r="E104" s="30" t="str">
        <f t="shared" si="26"/>
        <v>TBTBA-0</v>
      </c>
      <c r="F104" s="31">
        <f>VLOOKUP(B104,CTTBA,'7.CT-TBA'!$M$25,0)</f>
        <v>0</v>
      </c>
      <c r="G104" s="50">
        <v>0.1</v>
      </c>
      <c r="H104" s="31">
        <f t="shared" si="27"/>
        <v>0</v>
      </c>
      <c r="I104" s="31">
        <f t="shared" si="28"/>
        <v>0</v>
      </c>
      <c r="J104" s="25">
        <f>IF(I104&lt;&gt;0,1,)</f>
        <v>0</v>
      </c>
    </row>
    <row r="105" spans="1:10" s="42" customFormat="1" hidden="1">
      <c r="A105" s="42" t="s">
        <v>2090</v>
      </c>
      <c r="B105" s="42" t="str">
        <f t="shared" si="25"/>
        <v>TBTR50</v>
      </c>
      <c r="C105" s="30" t="str">
        <f>"1."&amp;COUNTIF($F$102:F105,$K$21)</f>
        <v>1.0</v>
      </c>
      <c r="D105" s="49" t="str">
        <f>"+ "&amp;VLOOKUP(A105,XLTBA,'6.XL-TR'!$D$2,0)</f>
        <v>+ 0 Trạm 1 pha 50kVA</v>
      </c>
      <c r="E105" s="30" t="str">
        <f t="shared" si="26"/>
        <v>TBTBA-0</v>
      </c>
      <c r="F105" s="31">
        <f>VLOOKUP(B105,CTTBA,'7.CT-TBA'!$M$25,0)</f>
        <v>0</v>
      </c>
      <c r="G105" s="50">
        <v>0.1</v>
      </c>
      <c r="H105" s="31">
        <f t="shared" si="27"/>
        <v>0</v>
      </c>
      <c r="I105" s="31">
        <f t="shared" si="28"/>
        <v>0</v>
      </c>
      <c r="J105" s="25">
        <f t="shared" si="24"/>
        <v>0</v>
      </c>
    </row>
    <row r="106" spans="1:10" s="42" customFormat="1" hidden="1">
      <c r="A106" s="42" t="s">
        <v>2827</v>
      </c>
      <c r="B106" s="42" t="str">
        <f>"TB"&amp;A106</f>
        <v>TBTR2x375</v>
      </c>
      <c r="C106" s="30" t="str">
        <f>"1."&amp;COUNTIF($F$102:F106,$K$21)</f>
        <v>1.0</v>
      </c>
      <c r="D106" s="49" t="str">
        <f>"+ "&amp;VLOOKUP(A106,XLTBA,'6.XL-TR'!$D$2,0)</f>
        <v>+ 0 Trạm 1 pha 2x37,5kVA</v>
      </c>
      <c r="E106" s="30" t="str">
        <f t="shared" si="26"/>
        <v>TBTBA-0</v>
      </c>
      <c r="F106" s="31">
        <f>VLOOKUP(B106,CTTBA,'7.CT-TBA'!$M$25,0)</f>
        <v>0</v>
      </c>
      <c r="G106" s="50">
        <v>0.1</v>
      </c>
      <c r="H106" s="31">
        <f>ROUND(F106*G106,0)</f>
        <v>0</v>
      </c>
      <c r="I106" s="31">
        <f>F106+H106</f>
        <v>0</v>
      </c>
      <c r="J106" s="25">
        <f>IF(I106&lt;&gt;0,1,)</f>
        <v>0</v>
      </c>
    </row>
    <row r="107" spans="1:10" s="42" customFormat="1">
      <c r="A107" s="42" t="s">
        <v>2071</v>
      </c>
      <c r="B107" s="42" t="str">
        <f t="shared" si="25"/>
        <v>TBTR75</v>
      </c>
      <c r="C107" s="30" t="str">
        <f>"1."&amp;COUNTIF($F$102:F107,$K$21)</f>
        <v>1.1</v>
      </c>
      <c r="D107" s="49" t="str">
        <f>"+ "&amp;VLOOKUP(A107,XLTBA,'6.XL-TR'!$D$2,0)</f>
        <v>+ 3 Trạm 1 pha 75kVA</v>
      </c>
      <c r="E107" s="30" t="str">
        <f t="shared" si="26"/>
        <v>TBTBA-1</v>
      </c>
      <c r="F107" s="31">
        <f>VLOOKUP(B107,CTTBA,'7.CT-TBA'!$M$25,0)</f>
        <v>130676280</v>
      </c>
      <c r="G107" s="50">
        <v>0.1</v>
      </c>
      <c r="H107" s="31">
        <f t="shared" si="27"/>
        <v>13067628</v>
      </c>
      <c r="I107" s="31">
        <f t="shared" si="28"/>
        <v>143743908</v>
      </c>
      <c r="J107" s="25">
        <f t="shared" si="24"/>
        <v>1</v>
      </c>
    </row>
    <row r="108" spans="1:10" s="42" customFormat="1" hidden="1">
      <c r="A108" s="42" t="s">
        <v>2073</v>
      </c>
      <c r="B108" s="42" t="str">
        <f t="shared" si="25"/>
        <v>TBTR100</v>
      </c>
      <c r="C108" s="30" t="str">
        <f>"1."&amp;COUNTIF($F$102:F108,$K$21)</f>
        <v>1.1</v>
      </c>
      <c r="D108" s="49" t="str">
        <f>"+ "&amp;VLOOKUP(A108,XLTBA,'6.XL-TR'!$D$2,0)</f>
        <v>+ 0 Trạm 1 pha 100kVA</v>
      </c>
      <c r="E108" s="30" t="str">
        <f t="shared" si="26"/>
        <v>TBTBA-1</v>
      </c>
      <c r="F108" s="31">
        <f>VLOOKUP(B108,CTTBA,'7.CT-TBA'!$M$25,0)</f>
        <v>0</v>
      </c>
      <c r="G108" s="50">
        <v>0.1</v>
      </c>
      <c r="H108" s="31">
        <f t="shared" si="27"/>
        <v>0</v>
      </c>
      <c r="I108" s="31">
        <f t="shared" si="28"/>
        <v>0</v>
      </c>
      <c r="J108" s="25">
        <f t="shared" si="24"/>
        <v>0</v>
      </c>
    </row>
    <row r="109" spans="1:10" s="42" customFormat="1" hidden="1">
      <c r="A109" s="42" t="s">
        <v>2076</v>
      </c>
      <c r="B109" s="42" t="str">
        <f t="shared" si="25"/>
        <v>TBTR3X25</v>
      </c>
      <c r="C109" s="30" t="str">
        <f>"1."&amp;COUNTIF($F$102:F109,$K$21)</f>
        <v>1.1</v>
      </c>
      <c r="D109" s="49" t="str">
        <f>"+ "&amp;VLOOKUP(A109,XLTBA,'6.XL-TR'!$D$2,0)</f>
        <v>+ 0 Trạm 3 pha 3x25kVA</v>
      </c>
      <c r="E109" s="30" t="str">
        <f t="shared" si="26"/>
        <v>TBTBA-1</v>
      </c>
      <c r="F109" s="31">
        <f>VLOOKUP(B109,CTTBA,'7.CT-TBA'!$M$25,0)</f>
        <v>0</v>
      </c>
      <c r="G109" s="50">
        <v>0.1</v>
      </c>
      <c r="H109" s="31">
        <f>ROUND(F109*G109,0)</f>
        <v>0</v>
      </c>
      <c r="I109" s="31">
        <f>F109+H109</f>
        <v>0</v>
      </c>
      <c r="J109" s="25">
        <f t="shared" si="24"/>
        <v>0</v>
      </c>
    </row>
    <row r="110" spans="1:10" s="42" customFormat="1" hidden="1">
      <c r="A110" s="42" t="s">
        <v>2079</v>
      </c>
      <c r="B110" s="42" t="str">
        <f t="shared" si="25"/>
        <v>TBTR3X375</v>
      </c>
      <c r="C110" s="30" t="str">
        <f>"1."&amp;COUNTIF($F$102:F110,$K$21)</f>
        <v>1.1</v>
      </c>
      <c r="D110" s="49" t="str">
        <f>"+ "&amp;VLOOKUP(A110,XLTBA,'6.XL-TR'!$D$2,0)</f>
        <v>+ 0 Trạm 3 pha 3x37,5kVA</v>
      </c>
      <c r="E110" s="30" t="str">
        <f t="shared" si="26"/>
        <v>TBTBA-1</v>
      </c>
      <c r="F110" s="31">
        <f>VLOOKUP(B110,CTTBA,'7.CT-TBA'!$M$25,0)</f>
        <v>0</v>
      </c>
      <c r="G110" s="50">
        <v>0.1</v>
      </c>
      <c r="H110" s="31">
        <f>ROUND(F110*G110,0)</f>
        <v>0</v>
      </c>
      <c r="I110" s="31">
        <f>F110+H110</f>
        <v>0</v>
      </c>
      <c r="J110" s="25">
        <f t="shared" si="24"/>
        <v>0</v>
      </c>
    </row>
    <row r="111" spans="1:10" s="42" customFormat="1">
      <c r="A111" s="42" t="s">
        <v>2082</v>
      </c>
      <c r="B111" s="42" t="str">
        <f t="shared" si="25"/>
        <v>TBTR3X50</v>
      </c>
      <c r="C111" s="30" t="str">
        <f>"1."&amp;COUNTIF($F$102:F111,$K$21)</f>
        <v>1.2</v>
      </c>
      <c r="D111" s="49" t="str">
        <f>"+ "&amp;VLOOKUP(A111,XLTBA,'6.XL-TR'!$D$2,0)</f>
        <v>+ 9 Trạm 3 pha 3x50kVA</v>
      </c>
      <c r="E111" s="30" t="str">
        <f t="shared" si="26"/>
        <v>TBTBA-2</v>
      </c>
      <c r="F111" s="31">
        <f>VLOOKUP(B111,CTTBA,'7.CT-TBA'!$M$25,0)</f>
        <v>939278520</v>
      </c>
      <c r="G111" s="50">
        <v>0.1</v>
      </c>
      <c r="H111" s="31">
        <f>ROUND(F111*G111,0)</f>
        <v>93927852</v>
      </c>
      <c r="I111" s="31">
        <f>F111+H111</f>
        <v>1033206372</v>
      </c>
      <c r="J111" s="25">
        <f t="shared" si="24"/>
        <v>1</v>
      </c>
    </row>
    <row r="112" spans="1:10" s="42" customFormat="1" hidden="1">
      <c r="A112" s="42" t="s">
        <v>2085</v>
      </c>
      <c r="B112" s="42" t="str">
        <f t="shared" si="25"/>
        <v>TBTR3X75</v>
      </c>
      <c r="C112" s="30" t="str">
        <f>"1."&amp;COUNTIF($F$102:F112,$K$21)</f>
        <v>1.2</v>
      </c>
      <c r="D112" s="49" t="str">
        <f>"+ "&amp;VLOOKUP(A112,XLTBA,'6.XL-TR'!$D$2,0)</f>
        <v>+ 0 Trạm 3 pha 3x75kVA</v>
      </c>
      <c r="E112" s="30" t="str">
        <f t="shared" si="26"/>
        <v>TBTBA-2</v>
      </c>
      <c r="F112" s="31">
        <f>VLOOKUP(B112,CTTBA,'7.CT-TBA'!$M$25,0)</f>
        <v>0</v>
      </c>
      <c r="G112" s="50">
        <v>0.1</v>
      </c>
      <c r="H112" s="31">
        <f>ROUND(F112*G112,0)</f>
        <v>0</v>
      </c>
      <c r="I112" s="31">
        <f>F112+H112</f>
        <v>0</v>
      </c>
      <c r="J112" s="25">
        <f t="shared" si="24"/>
        <v>0</v>
      </c>
    </row>
    <row r="113" spans="1:10" s="42" customFormat="1" hidden="1">
      <c r="A113" s="42" t="s">
        <v>2094</v>
      </c>
      <c r="B113" s="42" t="str">
        <f t="shared" si="25"/>
        <v>TBTR3X100</v>
      </c>
      <c r="C113" s="30" t="str">
        <f>"1."&amp;COUNTIF($F$102:F113,$K$21)</f>
        <v>1.2</v>
      </c>
      <c r="D113" s="49" t="str">
        <f>"+ "&amp;VLOOKUP(A113,XLTBA,'6.XL-TR'!$D$2,0)</f>
        <v>+ 0 Trạm 3 pha 3x100kVA</v>
      </c>
      <c r="E113" s="30" t="str">
        <f t="shared" si="26"/>
        <v>TBTBA-2</v>
      </c>
      <c r="F113" s="31">
        <f>VLOOKUP(B113,CTTBA,'7.CT-TBA'!$M$25,0)</f>
        <v>0</v>
      </c>
      <c r="G113" s="50">
        <v>0.1</v>
      </c>
      <c r="H113" s="31">
        <f t="shared" si="27"/>
        <v>0</v>
      </c>
      <c r="I113" s="31">
        <f t="shared" si="28"/>
        <v>0</v>
      </c>
      <c r="J113" s="25">
        <f t="shared" si="24"/>
        <v>0</v>
      </c>
    </row>
    <row r="114" spans="1:10" s="42" customFormat="1" hidden="1">
      <c r="A114" s="42" t="s">
        <v>2838</v>
      </c>
      <c r="B114" s="42" t="str">
        <f t="shared" ref="B114:B123" si="29">"TB"&amp;A114</f>
        <v>TBT3P160</v>
      </c>
      <c r="C114" s="30" t="str">
        <f>"1."&amp;COUNTIF($F$102:F114,$K$21)</f>
        <v>1.2</v>
      </c>
      <c r="D114" s="49" t="str">
        <f>"+ "&amp;VLOOKUP(A114,XLTBA,'6.XL-TR'!$D$2,0)</f>
        <v>+ 0 Trạm 3 pha 160kVA (trạm giàn)</v>
      </c>
      <c r="E114" s="30" t="str">
        <f t="shared" si="26"/>
        <v>TBTBA-2</v>
      </c>
      <c r="F114" s="31">
        <f>VLOOKUP(B114,CTTBA,'7.CT-TBA'!$M$25,0)</f>
        <v>0</v>
      </c>
      <c r="G114" s="50">
        <v>0.1</v>
      </c>
      <c r="H114" s="31">
        <f t="shared" ref="H114:H123" si="30">ROUND(F114*G114,0)</f>
        <v>0</v>
      </c>
      <c r="I114" s="31">
        <f t="shared" ref="I114:I123" si="31">F114+H114</f>
        <v>0</v>
      </c>
      <c r="J114" s="25">
        <f t="shared" ref="J114:J122" si="32">IF(I114&lt;&gt;0,1,)</f>
        <v>0</v>
      </c>
    </row>
    <row r="115" spans="1:10" s="42" customFormat="1" hidden="1">
      <c r="A115" s="42" t="s">
        <v>2839</v>
      </c>
      <c r="B115" s="42" t="str">
        <f t="shared" si="29"/>
        <v>TBT3P160N</v>
      </c>
      <c r="C115" s="30" t="str">
        <f>"1."&amp;COUNTIF($F$102:F115,$K$21)</f>
        <v>1.2</v>
      </c>
      <c r="D115" s="49" t="str">
        <f>"+ "&amp;VLOOKUP(A115,XLTBA,'6.XL-TR'!$D$2,0)</f>
        <v>+ 0 Trạm 3 pha 160kVA (trạm ngồi)</v>
      </c>
      <c r="E115" s="30" t="str">
        <f t="shared" si="26"/>
        <v>TBTBA-2</v>
      </c>
      <c r="F115" s="31">
        <f>VLOOKUP(B115,CTTBA,'7.CT-TBA'!$M$25,0)</f>
        <v>0</v>
      </c>
      <c r="G115" s="50">
        <v>0.1</v>
      </c>
      <c r="H115" s="31">
        <f t="shared" si="30"/>
        <v>0</v>
      </c>
      <c r="I115" s="31">
        <f t="shared" si="31"/>
        <v>0</v>
      </c>
      <c r="J115" s="25">
        <f t="shared" si="32"/>
        <v>0</v>
      </c>
    </row>
    <row r="116" spans="1:10" s="42" customFormat="1" hidden="1">
      <c r="A116" s="42" t="s">
        <v>3218</v>
      </c>
      <c r="B116" s="42" t="str">
        <f t="shared" si="29"/>
        <v>TBTRNC3X375</v>
      </c>
      <c r="C116" s="30" t="str">
        <f>"1."&amp;COUNTIF($F$102:F116,$K$21)</f>
        <v>1.2</v>
      </c>
      <c r="D116" s="49" t="str">
        <f>"+ "&amp;VLOOKUP(A116,XLTBA,'6.XL-TR'!$D$2,0)</f>
        <v>+  Trạm NC từ 2x37,5kVA lên 3x37,5kVA</v>
      </c>
      <c r="E116" s="30" t="str">
        <f t="shared" si="26"/>
        <v>TBTBA-2</v>
      </c>
      <c r="F116" s="31">
        <f>VLOOKUP(B116,CTTBA,'7.CT-TBA'!$M$25,0)</f>
        <v>0</v>
      </c>
      <c r="G116" s="50">
        <v>0.1</v>
      </c>
      <c r="H116" s="31">
        <f t="shared" si="30"/>
        <v>0</v>
      </c>
      <c r="I116" s="31">
        <f t="shared" si="31"/>
        <v>0</v>
      </c>
      <c r="J116" s="25">
        <f t="shared" si="32"/>
        <v>0</v>
      </c>
    </row>
    <row r="117" spans="1:10" s="42" customFormat="1">
      <c r="A117" s="42" t="s">
        <v>3219</v>
      </c>
      <c r="B117" s="42" t="str">
        <f t="shared" si="29"/>
        <v>TBTRNC100</v>
      </c>
      <c r="C117" s="30" t="str">
        <f>"1."&amp;COUNTIF($F$102:F117,$K$21)</f>
        <v>1.3</v>
      </c>
      <c r="D117" s="49" t="str">
        <f>"+ "&amp;VLOOKUP(A117,XLTBA,'6.XL-TR'!$D$2,0)</f>
        <v>+ 2 Trạm NC từ 100kVA lên 100+2x50kVA</v>
      </c>
      <c r="E117" s="30" t="str">
        <f t="shared" si="26"/>
        <v>TBTBA-3</v>
      </c>
      <c r="F117" s="31">
        <f>VLOOKUP(B117,CTTBA,'7.CT-TBA'!$M$25,0)</f>
        <v>131739040</v>
      </c>
      <c r="G117" s="50">
        <v>0.1</v>
      </c>
      <c r="H117" s="31">
        <f t="shared" si="30"/>
        <v>13173904</v>
      </c>
      <c r="I117" s="31">
        <f t="shared" si="31"/>
        <v>144912944</v>
      </c>
      <c r="J117" s="25">
        <f t="shared" si="32"/>
        <v>1</v>
      </c>
    </row>
    <row r="118" spans="1:10" s="42" customFormat="1" hidden="1">
      <c r="A118" s="42" t="s">
        <v>3457</v>
      </c>
      <c r="B118" s="42" t="str">
        <f t="shared" si="29"/>
        <v>TBTRNC2X50</v>
      </c>
      <c r="C118" s="30" t="str">
        <f>"1."&amp;COUNTIF($F$102:F118,$K$21)</f>
        <v>1.3</v>
      </c>
      <c r="D118" s="49" t="str">
        <f>"+ "&amp;VLOOKUP(A118,XLTBA,'6.XL-TR'!$D$2,0)</f>
        <v>+  Trạm NC từ 2x50kVA lên 3x50kVA</v>
      </c>
      <c r="E118" s="30" t="str">
        <f>"TBTBA-"&amp;RIGHT(C118,1)</f>
        <v>TBTBA-3</v>
      </c>
      <c r="F118" s="31">
        <f>VLOOKUP(B118,CTTBA,'7.CT-TBA'!$M$25,0)</f>
        <v>0</v>
      </c>
      <c r="G118" s="50">
        <v>0.1</v>
      </c>
      <c r="H118" s="31">
        <f t="shared" si="30"/>
        <v>0</v>
      </c>
      <c r="I118" s="31">
        <f t="shared" si="31"/>
        <v>0</v>
      </c>
      <c r="J118" s="25">
        <f t="shared" si="32"/>
        <v>0</v>
      </c>
    </row>
    <row r="119" spans="1:10" s="42" customFormat="1">
      <c r="A119" s="42" t="s">
        <v>3222</v>
      </c>
      <c r="B119" s="42" t="str">
        <f t="shared" si="29"/>
        <v>TBTRNC2X75</v>
      </c>
      <c r="C119" s="30" t="str">
        <f>"1."&amp;COUNTIF($F$102:F119,$K$21)</f>
        <v>1.4</v>
      </c>
      <c r="D119" s="49" t="str">
        <f>"+ "&amp;VLOOKUP(A119,XLTBA,'6.XL-TR'!$D$2,0)</f>
        <v>+ 2 Trạm NC từ 2x75kVA lên 3x75kVA</v>
      </c>
      <c r="E119" s="30" t="str">
        <f t="shared" si="26"/>
        <v>TBTBA-4</v>
      </c>
      <c r="F119" s="31">
        <f>VLOOKUP(B119,CTTBA,'7.CT-TBA'!$M$25,0)</f>
        <v>88127520</v>
      </c>
      <c r="G119" s="50">
        <v>0.1</v>
      </c>
      <c r="H119" s="31">
        <f t="shared" si="30"/>
        <v>8812752</v>
      </c>
      <c r="I119" s="31">
        <f t="shared" si="31"/>
        <v>96940272</v>
      </c>
      <c r="J119" s="25">
        <f t="shared" si="32"/>
        <v>1</v>
      </c>
    </row>
    <row r="120" spans="1:10" s="42" customFormat="1">
      <c r="A120" s="42" t="s">
        <v>3223</v>
      </c>
      <c r="B120" s="42" t="str">
        <f t="shared" si="29"/>
        <v>TBTRNC2X100</v>
      </c>
      <c r="C120" s="30" t="str">
        <f>"1."&amp;COUNTIF($F$102:F120,$K$21)</f>
        <v>1.5</v>
      </c>
      <c r="D120" s="49" t="str">
        <f>"+ "&amp;VLOOKUP(A120,XLTBA,'6.XL-TR'!$D$2,0)</f>
        <v>+ 1 Trạm NC từ 2x100kVA lên 3x100kVA</v>
      </c>
      <c r="E120" s="30" t="str">
        <f t="shared" si="26"/>
        <v>TBTBA-5</v>
      </c>
      <c r="F120" s="31">
        <f>VLOOKUP(B120,CTTBA,'7.CT-TBA'!$M$25,0)</f>
        <v>95178000</v>
      </c>
      <c r="G120" s="50">
        <v>0.1</v>
      </c>
      <c r="H120" s="31">
        <f t="shared" si="30"/>
        <v>9517800</v>
      </c>
      <c r="I120" s="31">
        <f t="shared" si="31"/>
        <v>104695800</v>
      </c>
      <c r="J120" s="25">
        <f t="shared" si="32"/>
        <v>1</v>
      </c>
    </row>
    <row r="121" spans="1:10" s="42" customFormat="1" hidden="1">
      <c r="A121" s="42" t="s">
        <v>3243</v>
      </c>
      <c r="B121" s="42" t="str">
        <f t="shared" si="29"/>
        <v>TBDTR1P</v>
      </c>
      <c r="C121" s="30" t="str">
        <f>"1."&amp;COUNTIF($F$102:F121,$K$21)</f>
        <v>1.5</v>
      </c>
      <c r="D121" s="49" t="str">
        <f>"+ "&amp;VLOOKUP(A121,XLTBA,'6.XL-TR'!$D$2,0)</f>
        <v>+ 2 Trạm 1 pha di dời</v>
      </c>
      <c r="E121" s="30" t="str">
        <f t="shared" si="26"/>
        <v>TBTBA-5</v>
      </c>
      <c r="F121" s="31">
        <f>VLOOKUP(B121,CTTBA,'7.CT-TBA'!$M$25,0)</f>
        <v>0</v>
      </c>
      <c r="G121" s="50">
        <v>0.1</v>
      </c>
      <c r="H121" s="31">
        <f t="shared" si="30"/>
        <v>0</v>
      </c>
      <c r="I121" s="31">
        <f t="shared" si="31"/>
        <v>0</v>
      </c>
      <c r="J121" s="25">
        <f t="shared" si="32"/>
        <v>0</v>
      </c>
    </row>
    <row r="122" spans="1:10" s="42" customFormat="1" hidden="1">
      <c r="A122" s="42" t="s">
        <v>3244</v>
      </c>
      <c r="B122" s="42" t="str">
        <f t="shared" si="29"/>
        <v>TBDTR3P</v>
      </c>
      <c r="C122" s="30" t="str">
        <f>"1."&amp;COUNTIF($F$102:F122,$K$21)</f>
        <v>1.5</v>
      </c>
      <c r="D122" s="49" t="str">
        <f>"+ "&amp;VLOOKUP(A122,XLTBA,'6.XL-TR'!$D$2,0)</f>
        <v>+ 2 Trạm 3 pha di dời</v>
      </c>
      <c r="E122" s="30" t="str">
        <f t="shared" si="26"/>
        <v>TBTBA-5</v>
      </c>
      <c r="F122" s="31">
        <f>VLOOKUP(B122,CTTBA,'7.CT-TBA'!$M$25,0)</f>
        <v>0</v>
      </c>
      <c r="G122" s="50">
        <v>0.1</v>
      </c>
      <c r="H122" s="31">
        <f t="shared" si="30"/>
        <v>0</v>
      </c>
      <c r="I122" s="31">
        <f t="shared" si="31"/>
        <v>0</v>
      </c>
      <c r="J122" s="25">
        <f t="shared" si="32"/>
        <v>0</v>
      </c>
    </row>
    <row r="123" spans="1:10" s="42" customFormat="1" hidden="1">
      <c r="A123" s="42" t="s">
        <v>2468</v>
      </c>
      <c r="B123" s="42" t="str">
        <f t="shared" si="29"/>
        <v>TBTRNC3X50</v>
      </c>
      <c r="C123" s="30" t="str">
        <f>"1."&amp;COUNTIF($F$102:F123,$K$21)</f>
        <v>1.5</v>
      </c>
      <c r="D123" s="49" t="str">
        <f>"+ "&amp;VLOOKUP(A123,XLTBA,'6.XL-TR'!$D$2,0)</f>
        <v>+  Trạm NC từ 50kVA lên 3x50kVA</v>
      </c>
      <c r="E123" s="30" t="str">
        <f t="shared" si="26"/>
        <v>TBTBA-5</v>
      </c>
      <c r="F123" s="31">
        <f>VLOOKUP(B123,CTTBA,'7.CT-TBA'!$M$25,0)</f>
        <v>0</v>
      </c>
      <c r="G123" s="50">
        <v>0.1</v>
      </c>
      <c r="H123" s="31">
        <f t="shared" si="30"/>
        <v>0</v>
      </c>
      <c r="I123" s="31">
        <f t="shared" si="31"/>
        <v>0</v>
      </c>
      <c r="J123" s="25">
        <f t="shared" si="24"/>
        <v>0</v>
      </c>
    </row>
    <row r="124" spans="1:10">
      <c r="C124" s="27">
        <v>2</v>
      </c>
      <c r="D124" s="3" t="s">
        <v>1981</v>
      </c>
      <c r="E124" s="27" t="s">
        <v>3332</v>
      </c>
      <c r="F124" s="28">
        <f>SUM(F125:F146)</f>
        <v>140672859</v>
      </c>
      <c r="G124" s="45"/>
      <c r="H124" s="28">
        <f>SUM(H125:H146)</f>
        <v>14067287</v>
      </c>
      <c r="I124" s="28">
        <f>SUM(I125:I146)</f>
        <v>154740146</v>
      </c>
      <c r="J124" s="25">
        <f t="shared" si="24"/>
        <v>1</v>
      </c>
    </row>
    <row r="125" spans="1:10" s="42" customFormat="1" hidden="1">
      <c r="A125" s="42" t="s">
        <v>2088</v>
      </c>
      <c r="B125" s="42" t="str">
        <f>"XL"&amp;A125</f>
        <v>XLTR25</v>
      </c>
      <c r="C125" s="30" t="str">
        <f>"2."&amp;COUNTIF($F$125:F125,$K$21)</f>
        <v>2.0</v>
      </c>
      <c r="D125" s="49" t="str">
        <f>"+ "&amp;VLOOKUP(A125,XLTBA,'6.XL-TR'!$D$2,0)</f>
        <v>+ 0 Trạm 1 pha 25kVA</v>
      </c>
      <c r="E125" s="30" t="str">
        <f>"LĐTB_TBA-"&amp;RIGHT(C125,1)</f>
        <v>LĐTB_TBA-0</v>
      </c>
      <c r="F125" s="31">
        <f>VLOOKUP(B125,LDTB,'8.LD-TB'!$F$2,0)</f>
        <v>0</v>
      </c>
      <c r="G125" s="50">
        <v>0.1</v>
      </c>
      <c r="H125" s="31">
        <f t="shared" ref="H125:H137" si="33">ROUND(F125*G125,0)</f>
        <v>0</v>
      </c>
      <c r="I125" s="31">
        <f t="shared" ref="I125:I137" si="34">F125+H125</f>
        <v>0</v>
      </c>
      <c r="J125" s="25">
        <f t="shared" si="24"/>
        <v>0</v>
      </c>
    </row>
    <row r="126" spans="1:10" s="42" customFormat="1" hidden="1">
      <c r="A126" s="42" t="s">
        <v>2089</v>
      </c>
      <c r="B126" s="42" t="str">
        <f t="shared" ref="B126:B137" si="35">"XL"&amp;A126</f>
        <v>XLTR375</v>
      </c>
      <c r="C126" s="30" t="str">
        <f>"2."&amp;COUNTIF($F$125:F126,$K$21)</f>
        <v>2.0</v>
      </c>
      <c r="D126" s="49" t="str">
        <f>"+ "&amp;VLOOKUP(A126,XLTBA,'6.XL-TR'!$D$2,0)</f>
        <v>+ 0 Trạm 1 pha 37,5kVA</v>
      </c>
      <c r="E126" s="30" t="str">
        <f t="shared" ref="E126:E146" si="36">"LĐTB_TBA-"&amp;RIGHT(C126,1)</f>
        <v>LĐTB_TBA-0</v>
      </c>
      <c r="F126" s="31">
        <f>VLOOKUP(B126,LDTB,'8.LD-TB'!$F$2,0)</f>
        <v>0</v>
      </c>
      <c r="G126" s="50">
        <v>0.1</v>
      </c>
      <c r="H126" s="31">
        <f t="shared" si="33"/>
        <v>0</v>
      </c>
      <c r="I126" s="31">
        <f t="shared" si="34"/>
        <v>0</v>
      </c>
      <c r="J126" s="25">
        <f t="shared" si="24"/>
        <v>0</v>
      </c>
    </row>
    <row r="127" spans="1:10" s="42" customFormat="1" hidden="1">
      <c r="A127" s="42" t="s">
        <v>2812</v>
      </c>
      <c r="B127" s="42" t="str">
        <f>"XL"&amp;A127</f>
        <v>XLTR2X25</v>
      </c>
      <c r="C127" s="30" t="str">
        <f>"2."&amp;COUNTIF($F$125:F127,$K$21)</f>
        <v>2.0</v>
      </c>
      <c r="D127" s="49" t="str">
        <f>"+ "&amp;VLOOKUP(A127,XLTBA,'6.XL-TR'!$D$2,0)</f>
        <v>+ 0 Trạm 1 pha 2x25kVA</v>
      </c>
      <c r="E127" s="30" t="str">
        <f t="shared" si="36"/>
        <v>LĐTB_TBA-0</v>
      </c>
      <c r="F127" s="31">
        <f>VLOOKUP(B127,LDTB,'8.LD-TB'!$F$2,0)</f>
        <v>0</v>
      </c>
      <c r="G127" s="50">
        <v>0.1</v>
      </c>
      <c r="H127" s="31">
        <f>ROUND(F127*G127,0)</f>
        <v>0</v>
      </c>
      <c r="I127" s="31">
        <f>F127+H127</f>
        <v>0</v>
      </c>
      <c r="J127" s="25">
        <f>IF(I127&lt;&gt;0,1,)</f>
        <v>0</v>
      </c>
    </row>
    <row r="128" spans="1:10" s="42" customFormat="1" hidden="1">
      <c r="A128" s="42" t="s">
        <v>2090</v>
      </c>
      <c r="B128" s="42" t="str">
        <f t="shared" si="35"/>
        <v>XLTR50</v>
      </c>
      <c r="C128" s="30" t="str">
        <f>"2."&amp;COUNTIF($F$125:F128,$K$21)</f>
        <v>2.0</v>
      </c>
      <c r="D128" s="49" t="str">
        <f>"+ "&amp;VLOOKUP(A128,XLTBA,'6.XL-TR'!$D$2,0)</f>
        <v>+ 0 Trạm 1 pha 50kVA</v>
      </c>
      <c r="E128" s="30" t="str">
        <f t="shared" si="36"/>
        <v>LĐTB_TBA-0</v>
      </c>
      <c r="F128" s="31">
        <f>VLOOKUP(B128,LDTB,'8.LD-TB'!$F$2,0)</f>
        <v>0</v>
      </c>
      <c r="G128" s="50">
        <v>0.1</v>
      </c>
      <c r="H128" s="31">
        <f t="shared" si="33"/>
        <v>0</v>
      </c>
      <c r="I128" s="31">
        <f t="shared" si="34"/>
        <v>0</v>
      </c>
      <c r="J128" s="25">
        <f t="shared" si="24"/>
        <v>0</v>
      </c>
    </row>
    <row r="129" spans="1:10" s="42" customFormat="1" hidden="1">
      <c r="A129" s="42" t="s">
        <v>2813</v>
      </c>
      <c r="B129" s="42" t="str">
        <f t="shared" si="35"/>
        <v>XLTR2X375</v>
      </c>
      <c r="C129" s="30" t="str">
        <f>"2."&amp;COUNTIF($F$125:F129,$K$21)</f>
        <v>2.0</v>
      </c>
      <c r="D129" s="49" t="str">
        <f>"+ "&amp;VLOOKUP(A129,XLTBA,'6.XL-TR'!$D$2,0)</f>
        <v>+ 0 Trạm 1 pha 2x37,5kVA</v>
      </c>
      <c r="E129" s="30" t="str">
        <f t="shared" si="36"/>
        <v>LĐTB_TBA-0</v>
      </c>
      <c r="F129" s="31">
        <f>VLOOKUP(B129,LDTB,'8.LD-TB'!$F$2,0)</f>
        <v>0</v>
      </c>
      <c r="G129" s="50">
        <v>0.1</v>
      </c>
      <c r="H129" s="31">
        <f t="shared" si="33"/>
        <v>0</v>
      </c>
      <c r="I129" s="31">
        <f t="shared" si="34"/>
        <v>0</v>
      </c>
      <c r="J129" s="25">
        <f t="shared" si="24"/>
        <v>0</v>
      </c>
    </row>
    <row r="130" spans="1:10" s="42" customFormat="1">
      <c r="A130" s="42" t="s">
        <v>2071</v>
      </c>
      <c r="B130" s="42" t="str">
        <f t="shared" si="35"/>
        <v>XLTR75</v>
      </c>
      <c r="C130" s="30" t="str">
        <f>"2."&amp;COUNTIF($F$125:F130,$K$21)</f>
        <v>2.1</v>
      </c>
      <c r="D130" s="49" t="str">
        <f>"+ "&amp;VLOOKUP(A130,XLTBA,'6.XL-TR'!$D$2,0)</f>
        <v>+ 3 Trạm 1 pha 75kVA</v>
      </c>
      <c r="E130" s="30" t="str">
        <f t="shared" si="36"/>
        <v>LĐTB_TBA-1</v>
      </c>
      <c r="F130" s="31">
        <f>VLOOKUP(B130,LDTB,'8.LD-TB'!$F$2,0)</f>
        <v>7727449</v>
      </c>
      <c r="G130" s="50">
        <v>0.1</v>
      </c>
      <c r="H130" s="31">
        <f t="shared" si="33"/>
        <v>772745</v>
      </c>
      <c r="I130" s="31">
        <f t="shared" si="34"/>
        <v>8500194</v>
      </c>
      <c r="J130" s="25">
        <f t="shared" si="24"/>
        <v>1</v>
      </c>
    </row>
    <row r="131" spans="1:10" s="42" customFormat="1" hidden="1">
      <c r="A131" s="42" t="s">
        <v>2073</v>
      </c>
      <c r="B131" s="42" t="str">
        <f t="shared" si="35"/>
        <v>XLTR100</v>
      </c>
      <c r="C131" s="30" t="str">
        <f>"2."&amp;COUNTIF($F$125:F131,$K$21)</f>
        <v>2.1</v>
      </c>
      <c r="D131" s="49" t="str">
        <f>"+ "&amp;VLOOKUP(A131,XLTBA,'6.XL-TR'!$D$2,0)</f>
        <v>+ 0 Trạm 1 pha 100kVA</v>
      </c>
      <c r="E131" s="30" t="str">
        <f t="shared" si="36"/>
        <v>LĐTB_TBA-1</v>
      </c>
      <c r="F131" s="31">
        <f>VLOOKUP(B131,LDTB,'8.LD-TB'!$F$2,0)</f>
        <v>0</v>
      </c>
      <c r="G131" s="50">
        <v>0.1</v>
      </c>
      <c r="H131" s="31">
        <f t="shared" si="33"/>
        <v>0</v>
      </c>
      <c r="I131" s="31">
        <f t="shared" si="34"/>
        <v>0</v>
      </c>
      <c r="J131" s="25">
        <f t="shared" si="24"/>
        <v>0</v>
      </c>
    </row>
    <row r="132" spans="1:10" s="42" customFormat="1" hidden="1">
      <c r="A132" s="42" t="s">
        <v>2076</v>
      </c>
      <c r="B132" s="42" t="str">
        <f t="shared" si="35"/>
        <v>XLTR3X25</v>
      </c>
      <c r="C132" s="30" t="str">
        <f>"2."&amp;COUNTIF($F$125:F132,$K$21)</f>
        <v>2.1</v>
      </c>
      <c r="D132" s="49" t="str">
        <f>"+ "&amp;VLOOKUP(A132,XLTBA,'6.XL-TR'!$D$2,0)</f>
        <v>+ 0 Trạm 3 pha 3x25kVA</v>
      </c>
      <c r="E132" s="30" t="str">
        <f t="shared" si="36"/>
        <v>LĐTB_TBA-1</v>
      </c>
      <c r="F132" s="31">
        <f>VLOOKUP(B132,LDTB,'8.LD-TB'!$F$2,0)</f>
        <v>0</v>
      </c>
      <c r="G132" s="50">
        <v>0.1</v>
      </c>
      <c r="H132" s="31">
        <f>ROUND(F132*G132,0)</f>
        <v>0</v>
      </c>
      <c r="I132" s="31">
        <f>F132+H132</f>
        <v>0</v>
      </c>
      <c r="J132" s="25">
        <f t="shared" si="24"/>
        <v>0</v>
      </c>
    </row>
    <row r="133" spans="1:10" s="42" customFormat="1" hidden="1">
      <c r="A133" s="42" t="s">
        <v>2079</v>
      </c>
      <c r="B133" s="42" t="str">
        <f t="shared" si="35"/>
        <v>XLTR3X375</v>
      </c>
      <c r="C133" s="30" t="str">
        <f>"2."&amp;COUNTIF($F$125:F133,$K$21)</f>
        <v>2.1</v>
      </c>
      <c r="D133" s="49" t="str">
        <f>"+ "&amp;VLOOKUP(A133,XLTBA,'6.XL-TR'!$D$2,0)</f>
        <v>+ 0 Trạm 3 pha 3x37,5kVA</v>
      </c>
      <c r="E133" s="30" t="str">
        <f t="shared" si="36"/>
        <v>LĐTB_TBA-1</v>
      </c>
      <c r="F133" s="31">
        <f>VLOOKUP(B133,LDTB,'8.LD-TB'!$F$2,0)</f>
        <v>0</v>
      </c>
      <c r="G133" s="50">
        <v>0.1</v>
      </c>
      <c r="H133" s="31">
        <f>ROUND(F133*G133,0)</f>
        <v>0</v>
      </c>
      <c r="I133" s="31">
        <f>F133+H133</f>
        <v>0</v>
      </c>
      <c r="J133" s="25">
        <f t="shared" si="24"/>
        <v>0</v>
      </c>
    </row>
    <row r="134" spans="1:10" s="42" customFormat="1">
      <c r="A134" s="42" t="s">
        <v>2082</v>
      </c>
      <c r="B134" s="42" t="str">
        <f t="shared" si="35"/>
        <v>XLTR3X50</v>
      </c>
      <c r="C134" s="30" t="str">
        <f>"2."&amp;COUNTIF($F$125:F134,$K$21)</f>
        <v>2.2</v>
      </c>
      <c r="D134" s="49" t="str">
        <f>"+ "&amp;VLOOKUP(A134,XLTBA,'6.XL-TR'!$D$2,0)</f>
        <v>+ 9 Trạm 3 pha 3x50kVA</v>
      </c>
      <c r="E134" s="30" t="str">
        <f t="shared" si="36"/>
        <v>LĐTB_TBA-2</v>
      </c>
      <c r="F134" s="31">
        <f>VLOOKUP(B134,LDTB,'8.LD-TB'!$F$2,0)</f>
        <v>57884417</v>
      </c>
      <c r="G134" s="50">
        <v>0.1</v>
      </c>
      <c r="H134" s="31">
        <f>ROUND(F134*G134,0)</f>
        <v>5788442</v>
      </c>
      <c r="I134" s="31">
        <f>F134+H134</f>
        <v>63672859</v>
      </c>
      <c r="J134" s="25">
        <f t="shared" si="24"/>
        <v>1</v>
      </c>
    </row>
    <row r="135" spans="1:10" s="42" customFormat="1" hidden="1">
      <c r="A135" s="42" t="s">
        <v>2085</v>
      </c>
      <c r="B135" s="42" t="str">
        <f t="shared" si="35"/>
        <v>XLTR3X75</v>
      </c>
      <c r="C135" s="30" t="str">
        <f>"2."&amp;COUNTIF($F$125:F135,$K$21)</f>
        <v>2.2</v>
      </c>
      <c r="D135" s="49" t="str">
        <f>"+ "&amp;VLOOKUP(A135,XLTBA,'6.XL-TR'!$D$2,0)</f>
        <v>+ 0 Trạm 3 pha 3x75kVA</v>
      </c>
      <c r="E135" s="30" t="str">
        <f t="shared" si="36"/>
        <v>LĐTB_TBA-2</v>
      </c>
      <c r="F135" s="31">
        <f>VLOOKUP(B135,LDTB,'8.LD-TB'!$F$2,0)</f>
        <v>0</v>
      </c>
      <c r="G135" s="50">
        <v>0.1</v>
      </c>
      <c r="H135" s="31">
        <f>ROUND(F135*G135,0)</f>
        <v>0</v>
      </c>
      <c r="I135" s="31">
        <f>F135+H135</f>
        <v>0</v>
      </c>
      <c r="J135" s="25">
        <f t="shared" si="24"/>
        <v>0</v>
      </c>
    </row>
    <row r="136" spans="1:10" s="42" customFormat="1" hidden="1">
      <c r="A136" s="42" t="s">
        <v>2094</v>
      </c>
      <c r="B136" s="42" t="str">
        <f t="shared" si="35"/>
        <v>XLTR3X100</v>
      </c>
      <c r="C136" s="30" t="str">
        <f>"2."&amp;COUNTIF($F$125:F136,$K$21)</f>
        <v>2.2</v>
      </c>
      <c r="D136" s="49" t="str">
        <f>"+ "&amp;VLOOKUP(A136,XLTBA,'6.XL-TR'!$D$2,0)</f>
        <v>+ 0 Trạm 3 pha 3x100kVA</v>
      </c>
      <c r="E136" s="30" t="str">
        <f t="shared" si="36"/>
        <v>LĐTB_TBA-2</v>
      </c>
      <c r="F136" s="31">
        <f>VLOOKUP(B136,LDTB,'8.LD-TB'!$F$2,0)</f>
        <v>0</v>
      </c>
      <c r="G136" s="50">
        <v>0.1</v>
      </c>
      <c r="H136" s="31">
        <f t="shared" si="33"/>
        <v>0</v>
      </c>
      <c r="I136" s="31">
        <f t="shared" si="34"/>
        <v>0</v>
      </c>
      <c r="J136" s="25">
        <f t="shared" si="24"/>
        <v>0</v>
      </c>
    </row>
    <row r="137" spans="1:10" s="42" customFormat="1" hidden="1">
      <c r="A137" s="42" t="s">
        <v>2838</v>
      </c>
      <c r="B137" s="42" t="str">
        <f t="shared" si="35"/>
        <v>XLT3P160</v>
      </c>
      <c r="C137" s="30" t="str">
        <f>"2."&amp;COUNTIF($F$125:F137,$K$21)</f>
        <v>2.2</v>
      </c>
      <c r="D137" s="49" t="str">
        <f>"+ "&amp;VLOOKUP(A137,XLTBA,'6.XL-TR'!$D$2,0)</f>
        <v>+ 0 Trạm 3 pha 160kVA (trạm giàn)</v>
      </c>
      <c r="E137" s="30" t="str">
        <f t="shared" si="36"/>
        <v>LĐTB_TBA-2</v>
      </c>
      <c r="F137" s="31">
        <f>VLOOKUP(B137,LDTB,'8.LD-TB'!$F$2,0)</f>
        <v>0</v>
      </c>
      <c r="G137" s="50">
        <v>0.1</v>
      </c>
      <c r="H137" s="31">
        <f t="shared" si="33"/>
        <v>0</v>
      </c>
      <c r="I137" s="31">
        <f t="shared" si="34"/>
        <v>0</v>
      </c>
      <c r="J137" s="25">
        <f t="shared" si="24"/>
        <v>0</v>
      </c>
    </row>
    <row r="138" spans="1:10" s="42" customFormat="1" hidden="1">
      <c r="A138" s="42" t="s">
        <v>2839</v>
      </c>
      <c r="B138" s="42" t="str">
        <f t="shared" ref="B138:B144" si="37">"XL"&amp;A138</f>
        <v>XLT3P160N</v>
      </c>
      <c r="C138" s="30" t="str">
        <f>"2."&amp;COUNTIF($F$125:F138,$K$21)</f>
        <v>2.2</v>
      </c>
      <c r="D138" s="49" t="str">
        <f>"+ "&amp;VLOOKUP(A138,XLTBA,'6.XL-TR'!$D$2,0)</f>
        <v>+ 0 Trạm 3 pha 160kVA (trạm ngồi)</v>
      </c>
      <c r="E138" s="30" t="str">
        <f t="shared" si="36"/>
        <v>LĐTB_TBA-2</v>
      </c>
      <c r="F138" s="31">
        <f>VLOOKUP(B138,LDTB,'8.LD-TB'!$F$2,0)</f>
        <v>0</v>
      </c>
      <c r="G138" s="50">
        <v>0.1</v>
      </c>
      <c r="H138" s="31">
        <f t="shared" ref="H138:H144" si="38">ROUND(F138*G138,0)</f>
        <v>0</v>
      </c>
      <c r="I138" s="31">
        <f t="shared" ref="I138:I144" si="39">F138+H138</f>
        <v>0</v>
      </c>
      <c r="J138" s="25">
        <f t="shared" ref="J138:J144" si="40">IF(I138&lt;&gt;0,1,)</f>
        <v>0</v>
      </c>
    </row>
    <row r="139" spans="1:10" s="42" customFormat="1" hidden="1">
      <c r="A139" s="42" t="s">
        <v>3218</v>
      </c>
      <c r="B139" s="42" t="str">
        <f>"XL"&amp;A139</f>
        <v>XLTRNC3X375</v>
      </c>
      <c r="C139" s="30" t="str">
        <f>"2."&amp;COUNTIF($F$125:F139,$K$21)</f>
        <v>2.2</v>
      </c>
      <c r="D139" s="49" t="str">
        <f>"+ "&amp;VLOOKUP(A139,XLTBA,'6.XL-TR'!$D$2,0)</f>
        <v>+  Trạm NC từ 2x37,5kVA lên 3x37,5kVA</v>
      </c>
      <c r="E139" s="30" t="str">
        <f t="shared" si="36"/>
        <v>LĐTB_TBA-2</v>
      </c>
      <c r="F139" s="31">
        <f>VLOOKUP(B139,LDTB,'8.LD-TB'!$F$2,0)</f>
        <v>0</v>
      </c>
      <c r="G139" s="50">
        <v>0.1</v>
      </c>
      <c r="H139" s="31">
        <f>ROUND(F139*G139,0)</f>
        <v>0</v>
      </c>
      <c r="I139" s="31">
        <f>F139+H139</f>
        <v>0</v>
      </c>
      <c r="J139" s="25">
        <f>IF(I139&lt;&gt;0,1,)</f>
        <v>0</v>
      </c>
    </row>
    <row r="140" spans="1:10" s="42" customFormat="1">
      <c r="A140" s="42" t="s">
        <v>3219</v>
      </c>
      <c r="B140" s="42" t="str">
        <f t="shared" si="37"/>
        <v>XLTRNC100</v>
      </c>
      <c r="C140" s="30" t="str">
        <f>"2."&amp;COUNTIF($F$125:F140,$K$21)</f>
        <v>2.3</v>
      </c>
      <c r="D140" s="49" t="str">
        <f>"+ "&amp;VLOOKUP(A140,XLTBA,'6.XL-TR'!$D$2,0)</f>
        <v>+ 2 Trạm NC từ 100kVA lên 100+2x50kVA</v>
      </c>
      <c r="E140" s="30" t="str">
        <f t="shared" si="36"/>
        <v>LĐTB_TBA-3</v>
      </c>
      <c r="F140" s="31">
        <f>VLOOKUP(B140,LDTB,'8.LD-TB'!$F$2,0)</f>
        <v>12863204</v>
      </c>
      <c r="G140" s="50">
        <v>0.1</v>
      </c>
      <c r="H140" s="31">
        <f t="shared" si="38"/>
        <v>1286320</v>
      </c>
      <c r="I140" s="31">
        <f t="shared" si="39"/>
        <v>14149524</v>
      </c>
      <c r="J140" s="25">
        <f t="shared" si="40"/>
        <v>1</v>
      </c>
    </row>
    <row r="141" spans="1:10" s="42" customFormat="1">
      <c r="A141" s="42" t="s">
        <v>3457</v>
      </c>
      <c r="B141" s="42" t="str">
        <f t="shared" si="37"/>
        <v>XLTRNC2X50</v>
      </c>
      <c r="C141" s="30" t="str">
        <f>"2."&amp;COUNTIF($F$125:F141,$K$21)</f>
        <v>2.4</v>
      </c>
      <c r="D141" s="49" t="str">
        <f>"+ "&amp;VLOOKUP(A141,XLTBA,'6.XL-TR'!$D$2,0)</f>
        <v>+  Trạm NC từ 2x50kVA lên 3x50kVA</v>
      </c>
      <c r="E141" s="30" t="str">
        <f>"LĐTB_TBA-"&amp;RIGHT(C141,1)</f>
        <v>LĐTB_TBA-4</v>
      </c>
      <c r="F141" s="31">
        <f>VLOOKUP(B141,LDTB,'8.LD-TB'!$F$2,0)</f>
        <v>15454896</v>
      </c>
      <c r="G141" s="50">
        <v>0.1</v>
      </c>
      <c r="H141" s="31">
        <f t="shared" si="38"/>
        <v>1545490</v>
      </c>
      <c r="I141" s="31">
        <f t="shared" si="39"/>
        <v>17000386</v>
      </c>
      <c r="J141" s="25">
        <f t="shared" si="40"/>
        <v>1</v>
      </c>
    </row>
    <row r="142" spans="1:10" s="42" customFormat="1">
      <c r="A142" s="42" t="s">
        <v>3222</v>
      </c>
      <c r="B142" s="42" t="str">
        <f>"XL"&amp;A142</f>
        <v>XLTRNC2X75</v>
      </c>
      <c r="C142" s="30" t="str">
        <f>"2."&amp;COUNTIF($F$125:F142,$K$21)</f>
        <v>2.5</v>
      </c>
      <c r="D142" s="49" t="str">
        <f>"+ "&amp;VLOOKUP(A142,XLTBA,'6.XL-TR'!$D$2,0)</f>
        <v>+ 2 Trạm NC từ 2x75kVA lên 3x75kVA</v>
      </c>
      <c r="E142" s="30" t="str">
        <f t="shared" si="36"/>
        <v>LĐTB_TBA-5</v>
      </c>
      <c r="F142" s="31">
        <f>VLOOKUP(B142,LDTB,'8.LD-TB'!$F$2,0)</f>
        <v>15454896</v>
      </c>
      <c r="G142" s="50">
        <v>0.1</v>
      </c>
      <c r="H142" s="31">
        <f>ROUND(F142*G142,0)</f>
        <v>1545490</v>
      </c>
      <c r="I142" s="31">
        <f>F142+H142</f>
        <v>17000386</v>
      </c>
      <c r="J142" s="25">
        <f>IF(I142&lt;&gt;0,1,)</f>
        <v>1</v>
      </c>
    </row>
    <row r="143" spans="1:10" s="42" customFormat="1">
      <c r="A143" s="42" t="s">
        <v>3223</v>
      </c>
      <c r="B143" s="42" t="str">
        <f t="shared" si="37"/>
        <v>XLTRNC2X100</v>
      </c>
      <c r="C143" s="30" t="str">
        <f>"2."&amp;COUNTIF($F$125:F143,$K$21)</f>
        <v>2.6</v>
      </c>
      <c r="D143" s="49" t="str">
        <f>"+ "&amp;VLOOKUP(A143,XLTBA,'6.XL-TR'!$D$2,0)</f>
        <v>+ 1 Trạm NC từ 2x100kVA lên 3x100kVA</v>
      </c>
      <c r="E143" s="30" t="str">
        <f t="shared" si="36"/>
        <v>LĐTB_TBA-6</v>
      </c>
      <c r="F143" s="31">
        <f>VLOOKUP(B143,LDTB,'8.LD-TB'!$F$2,0)</f>
        <v>8055134</v>
      </c>
      <c r="G143" s="50">
        <v>0.1</v>
      </c>
      <c r="H143" s="31">
        <f t="shared" si="38"/>
        <v>805513</v>
      </c>
      <c r="I143" s="31">
        <f t="shared" si="39"/>
        <v>8860647</v>
      </c>
      <c r="J143" s="25">
        <f t="shared" si="40"/>
        <v>1</v>
      </c>
    </row>
    <row r="144" spans="1:10" s="42" customFormat="1">
      <c r="A144" s="42" t="s">
        <v>3243</v>
      </c>
      <c r="B144" s="42" t="str">
        <f t="shared" si="37"/>
        <v>XLDTR1P</v>
      </c>
      <c r="C144" s="30" t="str">
        <f>"2."&amp;COUNTIF($F$125:F144,$K$21)</f>
        <v>2.7</v>
      </c>
      <c r="D144" s="49" t="str">
        <f>"+ "&amp;VLOOKUP(A144,XLTBA,'6.XL-TR'!$D$2,0)</f>
        <v>+ 2 Trạm 1 pha di dời</v>
      </c>
      <c r="E144" s="30" t="str">
        <f t="shared" si="36"/>
        <v>LĐTB_TBA-7</v>
      </c>
      <c r="F144" s="31">
        <f>VLOOKUP(B144,LDTB,'8.LD-TB'!$F$2,0)</f>
        <v>8746127</v>
      </c>
      <c r="G144" s="50">
        <v>0.1</v>
      </c>
      <c r="H144" s="31">
        <f t="shared" si="38"/>
        <v>874613</v>
      </c>
      <c r="I144" s="31">
        <f t="shared" si="39"/>
        <v>9620740</v>
      </c>
      <c r="J144" s="25">
        <f t="shared" si="40"/>
        <v>1</v>
      </c>
    </row>
    <row r="145" spans="1:10" s="42" customFormat="1">
      <c r="A145" s="42" t="s">
        <v>3244</v>
      </c>
      <c r="B145" s="42" t="str">
        <f>"XL"&amp;A145</f>
        <v>XLDTR3P</v>
      </c>
      <c r="C145" s="30" t="str">
        <f>"2."&amp;COUNTIF($F$125:F145,$K$21)</f>
        <v>2.8</v>
      </c>
      <c r="D145" s="49" t="str">
        <f>"+ "&amp;VLOOKUP(A145,XLTBA,'6.XL-TR'!$D$2,0)</f>
        <v>+ 2 Trạm 3 pha di dời</v>
      </c>
      <c r="E145" s="30" t="str">
        <f t="shared" si="36"/>
        <v>LĐTB_TBA-8</v>
      </c>
      <c r="F145" s="31">
        <f>VLOOKUP(B145,LDTB,'8.LD-TB'!$F$2,0)</f>
        <v>14486736</v>
      </c>
      <c r="G145" s="50">
        <v>0.1</v>
      </c>
      <c r="H145" s="31">
        <f>ROUND(F145*G145,0)</f>
        <v>1448674</v>
      </c>
      <c r="I145" s="31">
        <f>F145+H145</f>
        <v>15935410</v>
      </c>
      <c r="J145" s="25">
        <f>IF(I145&lt;&gt;0,1,)</f>
        <v>1</v>
      </c>
    </row>
    <row r="146" spans="1:10" s="42" customFormat="1" hidden="1">
      <c r="A146" s="42" t="s">
        <v>2468</v>
      </c>
      <c r="B146" s="42" t="str">
        <f>"XL"&amp;A146</f>
        <v>XLTRNC3X50</v>
      </c>
      <c r="C146" s="30" t="str">
        <f>"2."&amp;COUNTIF($F$125:F146,$K$21)</f>
        <v>2.8</v>
      </c>
      <c r="D146" s="49" t="str">
        <f>"+ "&amp;VLOOKUP(A146,XLTBA,'6.XL-TR'!$D$2,0)</f>
        <v>+  Trạm NC từ 50kVA lên 3x50kVA</v>
      </c>
      <c r="E146" s="30" t="str">
        <f t="shared" si="36"/>
        <v>LĐTB_TBA-8</v>
      </c>
      <c r="F146" s="31">
        <f>VLOOKUP(B146,LDTB,'8.LD-TB'!$F$2,0)</f>
        <v>0</v>
      </c>
      <c r="G146" s="50">
        <v>0.1</v>
      </c>
      <c r="H146" s="31">
        <f>ROUND(F146*G146,0)</f>
        <v>0</v>
      </c>
      <c r="I146" s="31">
        <f>F146+H146</f>
        <v>0</v>
      </c>
      <c r="J146" s="25">
        <f t="shared" si="24"/>
        <v>0</v>
      </c>
    </row>
    <row r="147" spans="1:10">
      <c r="C147" s="27">
        <v>3</v>
      </c>
      <c r="D147" s="3" t="s">
        <v>1982</v>
      </c>
      <c r="E147" s="27" t="s">
        <v>3330</v>
      </c>
      <c r="F147" s="28">
        <f>SUM(F148:F168)</f>
        <v>91841072</v>
      </c>
      <c r="G147" s="45"/>
      <c r="H147" s="28">
        <f>SUM(H148:H168)</f>
        <v>9184107</v>
      </c>
      <c r="I147" s="28">
        <f>SUM(I148:I168)</f>
        <v>101025179</v>
      </c>
      <c r="J147" s="25">
        <f t="shared" si="24"/>
        <v>1</v>
      </c>
    </row>
    <row r="148" spans="1:10" s="42" customFormat="1" hidden="1">
      <c r="A148" s="42" t="s">
        <v>2088</v>
      </c>
      <c r="B148" s="42" t="str">
        <f>"TN"&amp;A148</f>
        <v>TNTR25</v>
      </c>
      <c r="C148" s="30" t="str">
        <f>"3."&amp;COUNTIF($F$148:F148,$K$21)</f>
        <v>3.0</v>
      </c>
      <c r="D148" s="49" t="str">
        <f>"+ "&amp;VLOOKUP(A148,XLTBA,'6.XL-TR'!$D$2,0)</f>
        <v>+ 0 Trạm 1 pha 25kVA</v>
      </c>
      <c r="E148" s="30" t="str">
        <f>"TNHC_TBTBA-"&amp;RIGHT(C148,1)</f>
        <v>TNHC_TBTBA-0</v>
      </c>
      <c r="F148" s="31">
        <f>VLOOKUP(B148,CPTN,'9.CPTN'!$G$2,0)</f>
        <v>0</v>
      </c>
      <c r="G148" s="50">
        <v>0.1</v>
      </c>
      <c r="H148" s="31">
        <f t="shared" ref="H148:H168" si="41">ROUND(F148*G148,0)</f>
        <v>0</v>
      </c>
      <c r="I148" s="31">
        <f t="shared" ref="I148:I168" si="42">F148+H148</f>
        <v>0</v>
      </c>
      <c r="J148" s="25">
        <f t="shared" si="24"/>
        <v>0</v>
      </c>
    </row>
    <row r="149" spans="1:10" s="42" customFormat="1" hidden="1">
      <c r="A149" s="42" t="s">
        <v>2089</v>
      </c>
      <c r="B149" s="42" t="str">
        <f t="shared" ref="B149:B168" si="43">"TN"&amp;A149</f>
        <v>TNTR375</v>
      </c>
      <c r="C149" s="30" t="str">
        <f>"3."&amp;COUNTIF($F$148:F149,$K$21)</f>
        <v>3.0</v>
      </c>
      <c r="D149" s="49" t="str">
        <f>"+ "&amp;VLOOKUP(A149,XLTBA,'6.XL-TR'!$D$2,0)</f>
        <v>+ 0 Trạm 1 pha 37,5kVA</v>
      </c>
      <c r="E149" s="30" t="str">
        <f t="shared" ref="E149:E168" si="44">"TNHC_TBTBA-"&amp;RIGHT(C149,1)</f>
        <v>TNHC_TBTBA-0</v>
      </c>
      <c r="F149" s="31">
        <f>VLOOKUP(B149,CPTN,'9.CPTN'!$G$2,0)</f>
        <v>0</v>
      </c>
      <c r="G149" s="50">
        <v>0.1</v>
      </c>
      <c r="H149" s="31">
        <f t="shared" si="41"/>
        <v>0</v>
      </c>
      <c r="I149" s="31">
        <f t="shared" si="42"/>
        <v>0</v>
      </c>
      <c r="J149" s="25">
        <f t="shared" si="24"/>
        <v>0</v>
      </c>
    </row>
    <row r="150" spans="1:10" s="42" customFormat="1" hidden="1">
      <c r="A150" s="42" t="s">
        <v>2812</v>
      </c>
      <c r="B150" s="42" t="str">
        <f>"TN"&amp;A150</f>
        <v>TNTR2X25</v>
      </c>
      <c r="C150" s="30" t="str">
        <f>"3."&amp;COUNTIF($F$148:F150,$K$21)</f>
        <v>3.0</v>
      </c>
      <c r="D150" s="49" t="str">
        <f>"+ "&amp;VLOOKUP(A150,XLTBA,'6.XL-TR'!$D$2,0)</f>
        <v>+ 0 Trạm 1 pha 2x25kVA</v>
      </c>
      <c r="E150" s="30" t="str">
        <f t="shared" si="44"/>
        <v>TNHC_TBTBA-0</v>
      </c>
      <c r="F150" s="31">
        <f>VLOOKUP(B150,CPTN,'9.CPTN'!$G$2,0)</f>
        <v>0</v>
      </c>
      <c r="G150" s="50">
        <v>0.1</v>
      </c>
      <c r="H150" s="31">
        <f>ROUND(F150*G150,0)</f>
        <v>0</v>
      </c>
      <c r="I150" s="31">
        <f>F150+H150</f>
        <v>0</v>
      </c>
      <c r="J150" s="25">
        <f>IF(I150&lt;&gt;0,1,)</f>
        <v>0</v>
      </c>
    </row>
    <row r="151" spans="1:10" s="42" customFormat="1" hidden="1">
      <c r="A151" s="42" t="s">
        <v>2090</v>
      </c>
      <c r="B151" s="42" t="str">
        <f t="shared" si="43"/>
        <v>TNTR50</v>
      </c>
      <c r="C151" s="30" t="str">
        <f>"3."&amp;COUNTIF($F$148:F151,$K$21)</f>
        <v>3.0</v>
      </c>
      <c r="D151" s="49" t="str">
        <f>"+ "&amp;VLOOKUP(A151,XLTBA,'6.XL-TR'!$D$2,0)</f>
        <v>+ 0 Trạm 1 pha 50kVA</v>
      </c>
      <c r="E151" s="30" t="str">
        <f t="shared" si="44"/>
        <v>TNHC_TBTBA-0</v>
      </c>
      <c r="F151" s="31">
        <f>VLOOKUP(B151,CPTN,'9.CPTN'!$G$2,0)</f>
        <v>0</v>
      </c>
      <c r="G151" s="50">
        <v>0.1</v>
      </c>
      <c r="H151" s="31">
        <f t="shared" si="41"/>
        <v>0</v>
      </c>
      <c r="I151" s="31">
        <f t="shared" si="42"/>
        <v>0</v>
      </c>
      <c r="J151" s="25">
        <f t="shared" si="24"/>
        <v>0</v>
      </c>
    </row>
    <row r="152" spans="1:10" s="42" customFormat="1" hidden="1">
      <c r="A152" s="42" t="s">
        <v>2813</v>
      </c>
      <c r="B152" s="42" t="str">
        <f t="shared" si="43"/>
        <v>TNTR2X375</v>
      </c>
      <c r="C152" s="30" t="str">
        <f>"3."&amp;COUNTIF($F$148:F152,$K$21)</f>
        <v>3.0</v>
      </c>
      <c r="D152" s="49" t="str">
        <f>"+ "&amp;VLOOKUP(A152,XLTBA,'6.XL-TR'!$D$2,0)</f>
        <v>+ 0 Trạm 1 pha 2x37,5kVA</v>
      </c>
      <c r="E152" s="30" t="str">
        <f t="shared" si="44"/>
        <v>TNHC_TBTBA-0</v>
      </c>
      <c r="F152" s="31">
        <f>VLOOKUP(B152,CPTN,'9.CPTN'!$G$2,0)</f>
        <v>0</v>
      </c>
      <c r="G152" s="50">
        <v>0.1</v>
      </c>
      <c r="H152" s="31">
        <f t="shared" si="41"/>
        <v>0</v>
      </c>
      <c r="I152" s="31">
        <f t="shared" si="42"/>
        <v>0</v>
      </c>
      <c r="J152" s="25">
        <f t="shared" si="24"/>
        <v>0</v>
      </c>
    </row>
    <row r="153" spans="1:10" s="42" customFormat="1">
      <c r="A153" s="42" t="s">
        <v>2071</v>
      </c>
      <c r="B153" s="42" t="str">
        <f t="shared" si="43"/>
        <v>TNTR75</v>
      </c>
      <c r="C153" s="30" t="str">
        <f>"3."&amp;COUNTIF($F$148:F153,$K$21)</f>
        <v>3.1</v>
      </c>
      <c r="D153" s="49" t="str">
        <f>"+ "&amp;VLOOKUP(A153,XLTBA,'6.XL-TR'!$D$2,0)</f>
        <v>+ 3 Trạm 1 pha 75kVA</v>
      </c>
      <c r="E153" s="30" t="str">
        <f t="shared" si="44"/>
        <v>TNHC_TBTBA-1</v>
      </c>
      <c r="F153" s="31">
        <f>VLOOKUP(B153,CPTN,'9.CPTN'!$G$2,0)</f>
        <v>8243069</v>
      </c>
      <c r="G153" s="50">
        <v>0.1</v>
      </c>
      <c r="H153" s="31">
        <f t="shared" si="41"/>
        <v>824307</v>
      </c>
      <c r="I153" s="31">
        <f t="shared" si="42"/>
        <v>9067376</v>
      </c>
      <c r="J153" s="25">
        <f t="shared" si="24"/>
        <v>1</v>
      </c>
    </row>
    <row r="154" spans="1:10" s="42" customFormat="1" hidden="1">
      <c r="A154" s="42" t="s">
        <v>2073</v>
      </c>
      <c r="B154" s="42" t="str">
        <f t="shared" si="43"/>
        <v>TNTR100</v>
      </c>
      <c r="C154" s="30" t="str">
        <f>"3."&amp;COUNTIF($F$148:F154,$K$21)</f>
        <v>3.1</v>
      </c>
      <c r="D154" s="49" t="str">
        <f>"+ "&amp;VLOOKUP(A154,XLTBA,'6.XL-TR'!$D$2,0)</f>
        <v>+ 0 Trạm 1 pha 100kVA</v>
      </c>
      <c r="E154" s="30" t="str">
        <f t="shared" si="44"/>
        <v>TNHC_TBTBA-1</v>
      </c>
      <c r="F154" s="31">
        <f>VLOOKUP(B154,CPTN,'9.CPTN'!$G$2,0)</f>
        <v>0</v>
      </c>
      <c r="G154" s="50">
        <v>0.1</v>
      </c>
      <c r="H154" s="31">
        <f t="shared" si="41"/>
        <v>0</v>
      </c>
      <c r="I154" s="31">
        <f t="shared" si="42"/>
        <v>0</v>
      </c>
      <c r="J154" s="25">
        <f t="shared" si="24"/>
        <v>0</v>
      </c>
    </row>
    <row r="155" spans="1:10" s="42" customFormat="1" hidden="1">
      <c r="A155" s="42" t="s">
        <v>2076</v>
      </c>
      <c r="B155" s="42" t="str">
        <f t="shared" si="43"/>
        <v>TNTR3X25</v>
      </c>
      <c r="C155" s="30" t="str">
        <f>"3."&amp;COUNTIF($F$148:F155,$K$21)</f>
        <v>3.1</v>
      </c>
      <c r="D155" s="49" t="str">
        <f>"+ "&amp;VLOOKUP(A155,XLTBA,'6.XL-TR'!$D$2,0)</f>
        <v>+ 0 Trạm 3 pha 3x25kVA</v>
      </c>
      <c r="E155" s="30" t="str">
        <f t="shared" si="44"/>
        <v>TNHC_TBTBA-1</v>
      </c>
      <c r="F155" s="31">
        <f>VLOOKUP(B155,CPTN,'9.CPTN'!$G$2,0)</f>
        <v>0</v>
      </c>
      <c r="G155" s="50">
        <v>0.1</v>
      </c>
      <c r="H155" s="31">
        <f t="shared" si="41"/>
        <v>0</v>
      </c>
      <c r="I155" s="31">
        <f t="shared" si="42"/>
        <v>0</v>
      </c>
      <c r="J155" s="25">
        <f t="shared" si="24"/>
        <v>0</v>
      </c>
    </row>
    <row r="156" spans="1:10" s="42" customFormat="1" hidden="1">
      <c r="A156" s="42" t="s">
        <v>2079</v>
      </c>
      <c r="B156" s="42" t="str">
        <f t="shared" si="43"/>
        <v>TNTR3X375</v>
      </c>
      <c r="C156" s="30" t="str">
        <f>"3."&amp;COUNTIF($F$148:F156,$K$21)</f>
        <v>3.1</v>
      </c>
      <c r="D156" s="49" t="str">
        <f>"+ "&amp;VLOOKUP(A156,XLTBA,'6.XL-TR'!$D$2,0)</f>
        <v>+ 0 Trạm 3 pha 3x37,5kVA</v>
      </c>
      <c r="E156" s="30" t="str">
        <f t="shared" si="44"/>
        <v>TNHC_TBTBA-1</v>
      </c>
      <c r="F156" s="31">
        <f>VLOOKUP(B156,CPTN,'9.CPTN'!$G$2,0)</f>
        <v>0</v>
      </c>
      <c r="G156" s="50">
        <v>0.1</v>
      </c>
      <c r="H156" s="31">
        <f t="shared" si="41"/>
        <v>0</v>
      </c>
      <c r="I156" s="31">
        <f t="shared" si="42"/>
        <v>0</v>
      </c>
      <c r="J156" s="25">
        <f t="shared" si="24"/>
        <v>0</v>
      </c>
    </row>
    <row r="157" spans="1:10" s="42" customFormat="1">
      <c r="A157" s="42" t="s">
        <v>2082</v>
      </c>
      <c r="B157" s="42" t="str">
        <f t="shared" si="43"/>
        <v>TNTR3X50</v>
      </c>
      <c r="C157" s="30" t="str">
        <f>"3."&amp;COUNTIF($F$148:F157,$K$21)</f>
        <v>3.2</v>
      </c>
      <c r="D157" s="49" t="str">
        <f>"+ "&amp;VLOOKUP(A157,XLTBA,'6.XL-TR'!$D$2,0)</f>
        <v>+ 9 Trạm 3 pha 3x50kVA</v>
      </c>
      <c r="E157" s="30" t="str">
        <f t="shared" si="44"/>
        <v>TNHC_TBTBA-2</v>
      </c>
      <c r="F157" s="31">
        <f>VLOOKUP(B157,CPTN,'9.CPTN'!$G$2,0)</f>
        <v>66745852</v>
      </c>
      <c r="G157" s="50">
        <v>0.1</v>
      </c>
      <c r="H157" s="31">
        <f t="shared" si="41"/>
        <v>6674585</v>
      </c>
      <c r="I157" s="31">
        <f t="shared" si="42"/>
        <v>73420437</v>
      </c>
      <c r="J157" s="25">
        <f t="shared" si="24"/>
        <v>1</v>
      </c>
    </row>
    <row r="158" spans="1:10" s="42" customFormat="1" hidden="1">
      <c r="A158" s="42" t="s">
        <v>2085</v>
      </c>
      <c r="B158" s="42" t="str">
        <f t="shared" si="43"/>
        <v>TNTR3X75</v>
      </c>
      <c r="C158" s="30" t="str">
        <f>"3."&amp;COUNTIF($F$148:F158,$K$21)</f>
        <v>3.2</v>
      </c>
      <c r="D158" s="49" t="str">
        <f>"+ "&amp;VLOOKUP(A158,XLTBA,'6.XL-TR'!$D$2,0)</f>
        <v>+ 0 Trạm 3 pha 3x75kVA</v>
      </c>
      <c r="E158" s="30" t="str">
        <f t="shared" si="44"/>
        <v>TNHC_TBTBA-2</v>
      </c>
      <c r="F158" s="31">
        <f>VLOOKUP(B158,CPTN,'9.CPTN'!$G$2,0)</f>
        <v>0</v>
      </c>
      <c r="G158" s="50">
        <v>0.1</v>
      </c>
      <c r="H158" s="31">
        <f t="shared" si="41"/>
        <v>0</v>
      </c>
      <c r="I158" s="31">
        <f t="shared" si="42"/>
        <v>0</v>
      </c>
      <c r="J158" s="25">
        <f t="shared" si="24"/>
        <v>0</v>
      </c>
    </row>
    <row r="159" spans="1:10" s="42" customFormat="1" hidden="1">
      <c r="A159" s="42" t="s">
        <v>2094</v>
      </c>
      <c r="B159" s="42" t="str">
        <f t="shared" si="43"/>
        <v>TNTR3X100</v>
      </c>
      <c r="C159" s="30" t="str">
        <f>"3."&amp;COUNTIF($F$148:F159,$K$21)</f>
        <v>3.2</v>
      </c>
      <c r="D159" s="49" t="str">
        <f>"+ "&amp;VLOOKUP(A159,XLTBA,'6.XL-TR'!$D$2,0)</f>
        <v>+ 0 Trạm 3 pha 3x100kVA</v>
      </c>
      <c r="E159" s="30" t="str">
        <f t="shared" si="44"/>
        <v>TNHC_TBTBA-2</v>
      </c>
      <c r="F159" s="31">
        <f>VLOOKUP(B159,CPTN,'9.CPTN'!$G$2,0)</f>
        <v>0</v>
      </c>
      <c r="G159" s="50">
        <v>0.1</v>
      </c>
      <c r="H159" s="31">
        <f t="shared" si="41"/>
        <v>0</v>
      </c>
      <c r="I159" s="31">
        <f t="shared" si="42"/>
        <v>0</v>
      </c>
      <c r="J159" s="25">
        <f t="shared" si="24"/>
        <v>0</v>
      </c>
    </row>
    <row r="160" spans="1:10" s="42" customFormat="1" hidden="1">
      <c r="A160" s="42" t="s">
        <v>2838</v>
      </c>
      <c r="B160" s="42" t="str">
        <f>"TN"&amp;A160</f>
        <v>TNT3P160</v>
      </c>
      <c r="C160" s="30" t="str">
        <f>"3."&amp;COUNTIF($F$148:F160,$K$21)</f>
        <v>3.2</v>
      </c>
      <c r="D160" s="49" t="str">
        <f>"+ "&amp;VLOOKUP(A160,XLTBA,'6.XL-TR'!$D$2,0)</f>
        <v>+ 0 Trạm 3 pha 160kVA (trạm giàn)</v>
      </c>
      <c r="E160" s="30" t="str">
        <f t="shared" si="44"/>
        <v>TNHC_TBTBA-2</v>
      </c>
      <c r="F160" s="31">
        <f>VLOOKUP(B160,CPTN,'9.CPTN'!$G$2,0)</f>
        <v>0</v>
      </c>
      <c r="G160" s="50">
        <v>0.1</v>
      </c>
      <c r="H160" s="31">
        <f>ROUND(F160*G160,0)</f>
        <v>0</v>
      </c>
      <c r="I160" s="31">
        <f>F160+H160</f>
        <v>0</v>
      </c>
      <c r="J160" s="25">
        <f>IF(I160&lt;&gt;0,1,)</f>
        <v>0</v>
      </c>
    </row>
    <row r="161" spans="1:17" s="42" customFormat="1" hidden="1">
      <c r="A161" s="42" t="s">
        <v>2839</v>
      </c>
      <c r="B161" s="42" t="str">
        <f t="shared" ref="B161:B166" si="45">"TN"&amp;A161</f>
        <v>TNT3P160N</v>
      </c>
      <c r="C161" s="30" t="str">
        <f>"3."&amp;COUNTIF($F$148:F161,$K$21)</f>
        <v>3.2</v>
      </c>
      <c r="D161" s="49" t="str">
        <f>"+ "&amp;VLOOKUP(A161,XLTBA,'6.XL-TR'!$D$2,0)</f>
        <v>+ 0 Trạm 3 pha 160kVA (trạm ngồi)</v>
      </c>
      <c r="E161" s="30" t="str">
        <f t="shared" si="44"/>
        <v>TNHC_TBTBA-2</v>
      </c>
      <c r="F161" s="31">
        <f>VLOOKUP(B161,CPTN,'9.CPTN'!$G$2,0)</f>
        <v>0</v>
      </c>
      <c r="G161" s="50">
        <v>0.1</v>
      </c>
      <c r="H161" s="31">
        <f t="shared" ref="H161:H166" si="46">ROUND(F161*G161,0)</f>
        <v>0</v>
      </c>
      <c r="I161" s="31">
        <f t="shared" ref="I161:I166" si="47">F161+H161</f>
        <v>0</v>
      </c>
      <c r="J161" s="25">
        <f t="shared" ref="J161:J166" si="48">IF(I161&lt;&gt;0,1,)</f>
        <v>0</v>
      </c>
    </row>
    <row r="162" spans="1:17" s="42" customFormat="1" hidden="1">
      <c r="A162" s="42" t="s">
        <v>3218</v>
      </c>
      <c r="B162" s="42" t="str">
        <f>"TN"&amp;A162</f>
        <v>TNTRNC3X375</v>
      </c>
      <c r="C162" s="30" t="str">
        <f>"3."&amp;COUNTIF($F$148:F162,$K$21)</f>
        <v>3.2</v>
      </c>
      <c r="D162" s="49" t="str">
        <f>"+ "&amp;VLOOKUP(A162,XLTBA,'6.XL-TR'!$D$2,0)</f>
        <v>+  Trạm NC từ 2x37,5kVA lên 3x37,5kVA</v>
      </c>
      <c r="E162" s="30" t="str">
        <f t="shared" si="44"/>
        <v>TNHC_TBTBA-2</v>
      </c>
      <c r="F162" s="31">
        <f>VLOOKUP(B162,CPTN,'9.CPTN'!$G$2,0)</f>
        <v>0</v>
      </c>
      <c r="G162" s="50">
        <v>0.1</v>
      </c>
      <c r="H162" s="31">
        <f>ROUND(F162*G162,0)</f>
        <v>0</v>
      </c>
      <c r="I162" s="31">
        <f>F162+H162</f>
        <v>0</v>
      </c>
      <c r="J162" s="25">
        <f>IF(I162&lt;&gt;0,1,)</f>
        <v>0</v>
      </c>
    </row>
    <row r="163" spans="1:17" s="42" customFormat="1">
      <c r="A163" s="42" t="s">
        <v>3219</v>
      </c>
      <c r="B163" s="42" t="str">
        <f t="shared" si="45"/>
        <v>TNTRNC100</v>
      </c>
      <c r="C163" s="30" t="str">
        <f>"3."&amp;COUNTIF($F$148:F163,$K$21)</f>
        <v>3.3</v>
      </c>
      <c r="D163" s="49" t="str">
        <f>"+ "&amp;VLOOKUP(A163,XLTBA,'6.XL-TR'!$D$2,0)</f>
        <v>+ 2 Trạm NC từ 100kVA lên 100+2x50kVA</v>
      </c>
      <c r="E163" s="30" t="str">
        <f t="shared" si="44"/>
        <v>TNHC_TBTBA-3</v>
      </c>
      <c r="F163" s="31">
        <f>VLOOKUP(B163,CPTN,'9.CPTN'!$G$2,0)</f>
        <v>9192368</v>
      </c>
      <c r="G163" s="50">
        <v>0.1</v>
      </c>
      <c r="H163" s="31">
        <f t="shared" si="46"/>
        <v>919237</v>
      </c>
      <c r="I163" s="31">
        <f t="shared" si="47"/>
        <v>10111605</v>
      </c>
      <c r="J163" s="25">
        <f t="shared" si="48"/>
        <v>1</v>
      </c>
    </row>
    <row r="164" spans="1:17" s="42" customFormat="1" hidden="1">
      <c r="A164" s="42" t="s">
        <v>3457</v>
      </c>
      <c r="B164" s="42" t="str">
        <f t="shared" si="45"/>
        <v>TNTRNC2X50</v>
      </c>
      <c r="C164" s="30" t="str">
        <f>"3."&amp;COUNTIF($F$148:F164,$K$21)</f>
        <v>3.3</v>
      </c>
      <c r="D164" s="49" t="str">
        <f>"+ "&amp;VLOOKUP(A164,XLTBA,'6.XL-TR'!$D$2,0)</f>
        <v>+  Trạm NC từ 2x50kVA lên 3x50kVA</v>
      </c>
      <c r="E164" s="30" t="str">
        <f>"TNHC_TBTBA-"&amp;RIGHT(C164,1)</f>
        <v>TNHC_TBTBA-3</v>
      </c>
      <c r="F164" s="31">
        <f>VLOOKUP(B164,CPTN,'9.CPTN'!$G$2,0)</f>
        <v>0</v>
      </c>
      <c r="G164" s="50">
        <v>0.1</v>
      </c>
      <c r="H164" s="31">
        <f t="shared" si="46"/>
        <v>0</v>
      </c>
      <c r="I164" s="31">
        <f t="shared" si="47"/>
        <v>0</v>
      </c>
      <c r="J164" s="25">
        <f t="shared" si="48"/>
        <v>0</v>
      </c>
    </row>
    <row r="165" spans="1:17" s="42" customFormat="1">
      <c r="A165" s="42" t="s">
        <v>3222</v>
      </c>
      <c r="B165" s="42" t="str">
        <f>"TN"&amp;A165</f>
        <v>TNTRNC2X75</v>
      </c>
      <c r="C165" s="30" t="str">
        <f>"3."&amp;COUNTIF($F$148:F165,$K$21)</f>
        <v>3.4</v>
      </c>
      <c r="D165" s="49" t="str">
        <f>"+ "&amp;VLOOKUP(A165,XLTBA,'6.XL-TR'!$D$2,0)</f>
        <v>+ 2 Trạm NC từ 2x75kVA lên 3x75kVA</v>
      </c>
      <c r="E165" s="30" t="str">
        <f t="shared" si="44"/>
        <v>TNHC_TBTBA-4</v>
      </c>
      <c r="F165" s="31">
        <f>VLOOKUP(B165,CPTN,'9.CPTN'!$G$2,0)</f>
        <v>5106522</v>
      </c>
      <c r="G165" s="50">
        <v>0.1</v>
      </c>
      <c r="H165" s="31">
        <f>ROUND(F165*G165,0)</f>
        <v>510652</v>
      </c>
      <c r="I165" s="31">
        <f>F165+H165</f>
        <v>5617174</v>
      </c>
      <c r="J165" s="25">
        <f>IF(I165&lt;&gt;0,1,)</f>
        <v>1</v>
      </c>
    </row>
    <row r="166" spans="1:17" s="42" customFormat="1">
      <c r="A166" s="42" t="s">
        <v>3223</v>
      </c>
      <c r="B166" s="42" t="str">
        <f t="shared" si="45"/>
        <v>TNTRNC2X100</v>
      </c>
      <c r="C166" s="30" t="str">
        <f>"3."&amp;COUNTIF($F$148:F166,$K$21)</f>
        <v>3.5</v>
      </c>
      <c r="D166" s="49" t="str">
        <f>"+ "&amp;VLOOKUP(A166,XLTBA,'6.XL-TR'!$D$2,0)</f>
        <v>+ 1 Trạm NC từ 2x100kVA lên 3x100kVA</v>
      </c>
      <c r="E166" s="30" t="str">
        <f t="shared" si="44"/>
        <v>TNHC_TBTBA-5</v>
      </c>
      <c r="F166" s="31">
        <f>VLOOKUP(B166,CPTN,'9.CPTN'!$G$2,0)</f>
        <v>2553261</v>
      </c>
      <c r="G166" s="50">
        <v>0.1</v>
      </c>
      <c r="H166" s="31">
        <f t="shared" si="46"/>
        <v>255326</v>
      </c>
      <c r="I166" s="31">
        <f t="shared" si="47"/>
        <v>2808587</v>
      </c>
      <c r="J166" s="25">
        <f t="shared" si="48"/>
        <v>1</v>
      </c>
    </row>
    <row r="167" spans="1:17" s="42" customFormat="1" hidden="1">
      <c r="A167" s="42" t="s">
        <v>3243</v>
      </c>
      <c r="B167" s="42" t="str">
        <f>"TN"&amp;A167</f>
        <v>TNDTR1P</v>
      </c>
      <c r="C167" s="30" t="str">
        <f>"3."&amp;COUNTIF($F$148:F167,$K$21)</f>
        <v>3.5</v>
      </c>
      <c r="D167" s="49" t="str">
        <f>"+ "&amp;VLOOKUP(A167,XLTBA,'6.XL-TR'!$D$2,0)</f>
        <v>+ 2 Trạm 1 pha di dời</v>
      </c>
      <c r="E167" s="30" t="str">
        <f t="shared" si="44"/>
        <v>TNHC_TBTBA-5</v>
      </c>
      <c r="F167" s="31">
        <f>VLOOKUP(B167,CPTN,'9.CPTN'!$G$2,0)</f>
        <v>0</v>
      </c>
      <c r="G167" s="50">
        <v>0.1</v>
      </c>
      <c r="H167" s="31">
        <f>ROUND(F167*G167,0)</f>
        <v>0</v>
      </c>
      <c r="I167" s="31">
        <f>F167+H167</f>
        <v>0</v>
      </c>
      <c r="J167" s="25">
        <f>IF(I167&lt;&gt;0,1,)</f>
        <v>0</v>
      </c>
    </row>
    <row r="168" spans="1:17" s="42" customFormat="1" hidden="1">
      <c r="A168" s="42" t="s">
        <v>2468</v>
      </c>
      <c r="B168" s="42" t="str">
        <f t="shared" si="43"/>
        <v>TNTRNC3X50</v>
      </c>
      <c r="C168" s="30" t="str">
        <f>"3."&amp;COUNTIF($F$148:F168,$K$21)</f>
        <v>3.5</v>
      </c>
      <c r="D168" s="49" t="str">
        <f>"+ "&amp;VLOOKUP(A168,XLTBA,'6.XL-TR'!$D$2,0)</f>
        <v>+  Trạm NC từ 50kVA lên 3x50kVA</v>
      </c>
      <c r="E168" s="30" t="str">
        <f t="shared" si="44"/>
        <v>TNHC_TBTBA-5</v>
      </c>
      <c r="F168" s="31">
        <f>VLOOKUP(B168,CPTN,'9.CPTN'!$G$2,0)</f>
        <v>0</v>
      </c>
      <c r="G168" s="50">
        <v>0.1</v>
      </c>
      <c r="H168" s="31">
        <f t="shared" si="41"/>
        <v>0</v>
      </c>
      <c r="I168" s="31">
        <f t="shared" si="42"/>
        <v>0</v>
      </c>
      <c r="J168" s="25">
        <f t="shared" si="24"/>
        <v>0</v>
      </c>
    </row>
    <row r="169" spans="1:17">
      <c r="C169" s="27">
        <v>4</v>
      </c>
      <c r="D169" s="3" t="s">
        <v>1985</v>
      </c>
      <c r="E169" s="27" t="s">
        <v>3333</v>
      </c>
      <c r="F169" s="28">
        <f>SUM(F170:F191)</f>
        <v>4502138</v>
      </c>
      <c r="G169" s="45"/>
      <c r="H169" s="28">
        <f>SUM(H170:H191)</f>
        <v>450213</v>
      </c>
      <c r="I169" s="28">
        <f>SUM(I170:I191)</f>
        <v>4952351</v>
      </c>
      <c r="J169" s="25">
        <f t="shared" si="24"/>
        <v>1</v>
      </c>
    </row>
    <row r="170" spans="1:17" s="42" customFormat="1" hidden="1">
      <c r="A170" s="42" t="s">
        <v>2088</v>
      </c>
      <c r="B170" s="42" t="str">
        <f>"VCTB"&amp;A170</f>
        <v>VCTBTR25</v>
      </c>
      <c r="C170" s="30" t="str">
        <f>"4."&amp;COUNTIF($F$170:F170,$K$21)</f>
        <v>4.0</v>
      </c>
      <c r="D170" s="49" t="str">
        <f>"+ "&amp;VLOOKUP(A170,XLTBA,'6.XL-TR'!$D$2,0)</f>
        <v>+ 0 Trạm 1 pha 25kVA</v>
      </c>
      <c r="E170" s="30" t="str">
        <f>"VC_TBTBA-"&amp;RIGHT(C170,1)</f>
        <v>VC_TBTBA-0</v>
      </c>
      <c r="F170" s="31">
        <f>VLOOKUP(B170,CPVCDD,'13.VCDD'!$E$5,0)</f>
        <v>0</v>
      </c>
      <c r="G170" s="50">
        <v>0.1</v>
      </c>
      <c r="H170" s="31">
        <f t="shared" ref="H170:H181" si="49">ROUND(F170*G170,0)</f>
        <v>0</v>
      </c>
      <c r="I170" s="31">
        <f t="shared" ref="I170:I181" si="50">F170+H170</f>
        <v>0</v>
      </c>
      <c r="J170" s="25">
        <f t="shared" si="24"/>
        <v>0</v>
      </c>
    </row>
    <row r="171" spans="1:17" s="42" customFormat="1" hidden="1">
      <c r="A171" s="42" t="s">
        <v>2089</v>
      </c>
      <c r="B171" s="42" t="str">
        <f t="shared" ref="B171:B191" si="51">"VCTB"&amp;A171</f>
        <v>VCTBTR375</v>
      </c>
      <c r="C171" s="30" t="str">
        <f>"4."&amp;COUNTIF($F$170:F171,$K$21)</f>
        <v>4.0</v>
      </c>
      <c r="D171" s="49" t="str">
        <f>"+ "&amp;VLOOKUP(A171,XLTBA,'6.XL-TR'!$D$2,0)</f>
        <v>+ 0 Trạm 1 pha 37,5kVA</v>
      </c>
      <c r="E171" s="30" t="str">
        <f t="shared" ref="E171:E191" si="52">"VC_TBTBA-"&amp;RIGHT(C171,1)</f>
        <v>VC_TBTBA-0</v>
      </c>
      <c r="F171" s="31">
        <f>VLOOKUP(B171,CPVCDD,'13.VCDD'!$E$5,0)</f>
        <v>0</v>
      </c>
      <c r="G171" s="50">
        <v>0.1</v>
      </c>
      <c r="H171" s="31">
        <f t="shared" si="49"/>
        <v>0</v>
      </c>
      <c r="I171" s="31">
        <f t="shared" si="50"/>
        <v>0</v>
      </c>
      <c r="J171" s="25">
        <f t="shared" si="24"/>
        <v>0</v>
      </c>
    </row>
    <row r="172" spans="1:17" s="42" customFormat="1" hidden="1">
      <c r="A172" s="42" t="s">
        <v>2812</v>
      </c>
      <c r="B172" s="42" t="str">
        <f>"VCTB"&amp;A172</f>
        <v>VCTBTR2X25</v>
      </c>
      <c r="C172" s="30" t="str">
        <f>"4."&amp;COUNTIF($F$170:F172,$K$21)</f>
        <v>4.0</v>
      </c>
      <c r="D172" s="49" t="str">
        <f>"+ "&amp;VLOOKUP(A172,XLTBA,'6.XL-TR'!$D$2,0)</f>
        <v>+ 0 Trạm 1 pha 2x25kVA</v>
      </c>
      <c r="E172" s="30" t="str">
        <f t="shared" si="52"/>
        <v>VC_TBTBA-0</v>
      </c>
      <c r="F172" s="31">
        <f>VLOOKUP(B172,CPVCDD,'13.VCDD'!$E$5,0)</f>
        <v>0</v>
      </c>
      <c r="G172" s="50">
        <v>0.1</v>
      </c>
      <c r="H172" s="31">
        <f>ROUND(F172*G172,0)</f>
        <v>0</v>
      </c>
      <c r="I172" s="31">
        <f>F172+H172</f>
        <v>0</v>
      </c>
      <c r="J172" s="25">
        <f>IF(I172&lt;&gt;0,1,)</f>
        <v>0</v>
      </c>
    </row>
    <row r="173" spans="1:17" s="42" customFormat="1" hidden="1">
      <c r="A173" s="42" t="s">
        <v>2090</v>
      </c>
      <c r="B173" s="42" t="str">
        <f t="shared" si="51"/>
        <v>VCTBTR50</v>
      </c>
      <c r="C173" s="30" t="str">
        <f>"4."&amp;COUNTIF($F$170:F173,$K$21)</f>
        <v>4.0</v>
      </c>
      <c r="D173" s="49" t="str">
        <f>"+ "&amp;VLOOKUP(A173,XLTBA,'6.XL-TR'!$D$2,0)</f>
        <v>+ 0 Trạm 1 pha 50kVA</v>
      </c>
      <c r="E173" s="30" t="str">
        <f t="shared" si="52"/>
        <v>VC_TBTBA-0</v>
      </c>
      <c r="F173" s="31">
        <f>VLOOKUP(B173,CPVCDD,'13.VCDD'!$E$5,0)</f>
        <v>0</v>
      </c>
      <c r="G173" s="50">
        <v>0.1</v>
      </c>
      <c r="H173" s="31">
        <f t="shared" si="49"/>
        <v>0</v>
      </c>
      <c r="I173" s="31">
        <f t="shared" si="50"/>
        <v>0</v>
      </c>
      <c r="J173" s="25">
        <f t="shared" si="24"/>
        <v>0</v>
      </c>
    </row>
    <row r="174" spans="1:17" s="42" customFormat="1" hidden="1">
      <c r="A174" s="42" t="s">
        <v>2813</v>
      </c>
      <c r="B174" s="42" t="str">
        <f t="shared" si="51"/>
        <v>VCTBTR2X375</v>
      </c>
      <c r="C174" s="30" t="str">
        <f>"4."&amp;COUNTIF($F$170:F174,$K$21)</f>
        <v>4.0</v>
      </c>
      <c r="D174" s="49" t="str">
        <f>"+ "&amp;VLOOKUP(A174,XLTBA,'6.XL-TR'!$D$2,0)</f>
        <v>+ 0 Trạm 1 pha 2x37,5kVA</v>
      </c>
      <c r="E174" s="30" t="str">
        <f t="shared" si="52"/>
        <v>VC_TBTBA-0</v>
      </c>
      <c r="F174" s="31">
        <f>VLOOKUP(B174,CPVCDD,'13.VCDD'!$E$5,0)</f>
        <v>0</v>
      </c>
      <c r="G174" s="50">
        <v>0.1</v>
      </c>
      <c r="H174" s="31">
        <f t="shared" si="49"/>
        <v>0</v>
      </c>
      <c r="I174" s="31">
        <f t="shared" si="50"/>
        <v>0</v>
      </c>
      <c r="J174" s="25">
        <f t="shared" si="24"/>
        <v>0</v>
      </c>
    </row>
    <row r="175" spans="1:17" s="42" customFormat="1">
      <c r="A175" s="42" t="s">
        <v>2071</v>
      </c>
      <c r="B175" s="42" t="str">
        <f t="shared" si="51"/>
        <v>VCTBTR75</v>
      </c>
      <c r="C175" s="30" t="str">
        <f>"4."&amp;COUNTIF($F$170:F175,$K$21)</f>
        <v>4.1</v>
      </c>
      <c r="D175" s="49" t="str">
        <f>"+ "&amp;VLOOKUP(A175,XLTBA,'6.XL-TR'!$D$2,0)</f>
        <v>+ 3 Trạm 1 pha 75kVA</v>
      </c>
      <c r="E175" s="30" t="str">
        <f t="shared" si="52"/>
        <v>VC_TBTBA-1</v>
      </c>
      <c r="F175" s="31">
        <f>VLOOKUP(B175,CPVCDD,'13.VCDD'!$E$5,0)</f>
        <v>330722</v>
      </c>
      <c r="G175" s="50">
        <v>0.1</v>
      </c>
      <c r="H175" s="31">
        <f t="shared" si="49"/>
        <v>33072</v>
      </c>
      <c r="I175" s="31">
        <f t="shared" si="50"/>
        <v>363794</v>
      </c>
      <c r="J175" s="25">
        <f t="shared" si="24"/>
        <v>1</v>
      </c>
      <c r="M175" s="20"/>
      <c r="N175" s="20"/>
      <c r="O175" s="20"/>
      <c r="P175" s="20"/>
      <c r="Q175" s="20"/>
    </row>
    <row r="176" spans="1:17" s="42" customFormat="1" hidden="1">
      <c r="A176" s="42" t="s">
        <v>2073</v>
      </c>
      <c r="B176" s="42" t="str">
        <f t="shared" si="51"/>
        <v>VCTBTR100</v>
      </c>
      <c r="C176" s="30" t="str">
        <f>"4."&amp;COUNTIF($F$170:F176,$K$21)</f>
        <v>4.1</v>
      </c>
      <c r="D176" s="49" t="str">
        <f>"+ "&amp;VLOOKUP(A176,XLTBA,'6.XL-TR'!$D$2,0)</f>
        <v>+ 0 Trạm 1 pha 100kVA</v>
      </c>
      <c r="E176" s="30" t="str">
        <f t="shared" si="52"/>
        <v>VC_TBTBA-1</v>
      </c>
      <c r="F176" s="31">
        <f>VLOOKUP(B176,CPVCDD,'13.VCDD'!$E$5,0)</f>
        <v>0</v>
      </c>
      <c r="G176" s="50">
        <v>0.1</v>
      </c>
      <c r="H176" s="31">
        <f t="shared" si="49"/>
        <v>0</v>
      </c>
      <c r="I176" s="31">
        <f t="shared" si="50"/>
        <v>0</v>
      </c>
      <c r="J176" s="25">
        <f t="shared" si="24"/>
        <v>0</v>
      </c>
    </row>
    <row r="177" spans="1:17" s="42" customFormat="1" hidden="1">
      <c r="A177" s="42" t="s">
        <v>2076</v>
      </c>
      <c r="B177" s="42" t="str">
        <f t="shared" si="51"/>
        <v>VCTBTR3X25</v>
      </c>
      <c r="C177" s="30" t="str">
        <f>"4."&amp;COUNTIF($F$170:F177,$K$21)</f>
        <v>4.1</v>
      </c>
      <c r="D177" s="49" t="str">
        <f>"+ "&amp;VLOOKUP(A177,XLTBA,'6.XL-TR'!$D$2,0)</f>
        <v>+ 0 Trạm 3 pha 3x25kVA</v>
      </c>
      <c r="E177" s="30" t="str">
        <f t="shared" si="52"/>
        <v>VC_TBTBA-1</v>
      </c>
      <c r="F177" s="31">
        <f>VLOOKUP(B177,CPVCDD,'13.VCDD'!$E$5,0)</f>
        <v>0</v>
      </c>
      <c r="G177" s="50">
        <v>0.1</v>
      </c>
      <c r="H177" s="31">
        <f t="shared" si="49"/>
        <v>0</v>
      </c>
      <c r="I177" s="31">
        <f t="shared" si="50"/>
        <v>0</v>
      </c>
      <c r="J177" s="25">
        <f t="shared" si="24"/>
        <v>0</v>
      </c>
    </row>
    <row r="178" spans="1:17" s="42" customFormat="1" hidden="1">
      <c r="A178" s="42" t="s">
        <v>2079</v>
      </c>
      <c r="B178" s="42" t="str">
        <f t="shared" si="51"/>
        <v>VCTBTR3X375</v>
      </c>
      <c r="C178" s="30" t="str">
        <f>"4."&amp;COUNTIF($F$170:F178,$K$21)</f>
        <v>4.1</v>
      </c>
      <c r="D178" s="49" t="str">
        <f>"+ "&amp;VLOOKUP(A178,XLTBA,'6.XL-TR'!$D$2,0)</f>
        <v>+ 0 Trạm 3 pha 3x37,5kVA</v>
      </c>
      <c r="E178" s="30" t="str">
        <f t="shared" si="52"/>
        <v>VC_TBTBA-1</v>
      </c>
      <c r="F178" s="31">
        <f>VLOOKUP(B178,CPVCDD,'13.VCDD'!$E$5,0)</f>
        <v>0</v>
      </c>
      <c r="G178" s="50">
        <v>0.1</v>
      </c>
      <c r="H178" s="31">
        <f t="shared" si="49"/>
        <v>0</v>
      </c>
      <c r="I178" s="31">
        <f t="shared" si="50"/>
        <v>0</v>
      </c>
      <c r="J178" s="25">
        <f t="shared" si="24"/>
        <v>0</v>
      </c>
    </row>
    <row r="179" spans="1:17" s="42" customFormat="1">
      <c r="A179" s="42" t="s">
        <v>2082</v>
      </c>
      <c r="B179" s="42" t="str">
        <f t="shared" si="51"/>
        <v>VCTBTR3X50</v>
      </c>
      <c r="C179" s="30" t="str">
        <f>"4."&amp;COUNTIF($F$170:F179,$K$21)</f>
        <v>4.2</v>
      </c>
      <c r="D179" s="49" t="str">
        <f>"+ "&amp;VLOOKUP(A179,XLTBA,'6.XL-TR'!$D$2,0)</f>
        <v>+ 9 Trạm 3 pha 3x50kVA</v>
      </c>
      <c r="E179" s="30" t="str">
        <f t="shared" si="52"/>
        <v>VC_TBTBA-2</v>
      </c>
      <c r="F179" s="31">
        <f>VLOOKUP(B179,CPVCDD,'13.VCDD'!$E$5,0)</f>
        <v>1879811</v>
      </c>
      <c r="G179" s="50">
        <v>0.1</v>
      </c>
      <c r="H179" s="31">
        <f t="shared" si="49"/>
        <v>187981</v>
      </c>
      <c r="I179" s="31">
        <f t="shared" si="50"/>
        <v>2067792</v>
      </c>
      <c r="J179" s="25">
        <f t="shared" si="24"/>
        <v>1</v>
      </c>
      <c r="M179" s="20"/>
      <c r="N179" s="20"/>
      <c r="O179" s="20"/>
      <c r="P179" s="20"/>
      <c r="Q179" s="20"/>
    </row>
    <row r="180" spans="1:17" s="42" customFormat="1" hidden="1">
      <c r="A180" s="42" t="s">
        <v>2085</v>
      </c>
      <c r="B180" s="42" t="str">
        <f t="shared" si="51"/>
        <v>VCTBTR3X75</v>
      </c>
      <c r="C180" s="30" t="str">
        <f>"4."&amp;COUNTIF($F$170:F180,$K$21)</f>
        <v>4.2</v>
      </c>
      <c r="D180" s="49" t="str">
        <f>"+ "&amp;VLOOKUP(A180,XLTBA,'6.XL-TR'!$D$2,0)</f>
        <v>+ 0 Trạm 3 pha 3x75kVA</v>
      </c>
      <c r="E180" s="30" t="str">
        <f t="shared" si="52"/>
        <v>VC_TBTBA-2</v>
      </c>
      <c r="F180" s="31">
        <f>VLOOKUP(B180,CPVCDD,'13.VCDD'!$E$5,0)</f>
        <v>0</v>
      </c>
      <c r="G180" s="50">
        <v>0.1</v>
      </c>
      <c r="H180" s="31">
        <f t="shared" si="49"/>
        <v>0</v>
      </c>
      <c r="I180" s="31">
        <f t="shared" si="50"/>
        <v>0</v>
      </c>
      <c r="J180" s="25">
        <f t="shared" si="24"/>
        <v>0</v>
      </c>
    </row>
    <row r="181" spans="1:17" s="42" customFormat="1" hidden="1">
      <c r="A181" s="42" t="s">
        <v>2094</v>
      </c>
      <c r="B181" s="42" t="str">
        <f t="shared" si="51"/>
        <v>VCTBTR3X100</v>
      </c>
      <c r="C181" s="30" t="str">
        <f>"4."&amp;COUNTIF($F$170:F181,$K$21)</f>
        <v>4.2</v>
      </c>
      <c r="D181" s="49" t="str">
        <f>"+ "&amp;VLOOKUP(A181,XLTBA,'6.XL-TR'!$D$2,0)</f>
        <v>+ 0 Trạm 3 pha 3x100kVA</v>
      </c>
      <c r="E181" s="30" t="str">
        <f t="shared" si="52"/>
        <v>VC_TBTBA-2</v>
      </c>
      <c r="F181" s="31">
        <f>VLOOKUP(B181,CPVCDD,'13.VCDD'!$E$5,0)</f>
        <v>0</v>
      </c>
      <c r="G181" s="50">
        <v>0.1</v>
      </c>
      <c r="H181" s="31">
        <f t="shared" si="49"/>
        <v>0</v>
      </c>
      <c r="I181" s="31">
        <f t="shared" si="50"/>
        <v>0</v>
      </c>
      <c r="J181" s="25">
        <f t="shared" si="24"/>
        <v>0</v>
      </c>
    </row>
    <row r="182" spans="1:17" s="42" customFormat="1" hidden="1">
      <c r="A182" s="42" t="s">
        <v>2838</v>
      </c>
      <c r="B182" s="42" t="str">
        <f t="shared" ref="B182:B190" si="53">"VCTB"&amp;A182</f>
        <v>VCTBT3P160</v>
      </c>
      <c r="C182" s="30" t="str">
        <f>"4."&amp;COUNTIF($F$170:F182,$K$21)</f>
        <v>4.2</v>
      </c>
      <c r="D182" s="49" t="str">
        <f>"+ "&amp;VLOOKUP(A182,XLTBA,'6.XL-TR'!$D$2,0)</f>
        <v>+ 0 Trạm 3 pha 160kVA (trạm giàn)</v>
      </c>
      <c r="E182" s="30" t="str">
        <f t="shared" si="52"/>
        <v>VC_TBTBA-2</v>
      </c>
      <c r="F182" s="31">
        <f>VLOOKUP(B182,CPVCDD,'13.VCDD'!$E$5,0)</f>
        <v>0</v>
      </c>
      <c r="G182" s="50">
        <v>0.1</v>
      </c>
      <c r="H182" s="31">
        <f t="shared" ref="H182:H191" si="54">ROUND(F182*G182,0)</f>
        <v>0</v>
      </c>
      <c r="I182" s="31">
        <f t="shared" ref="I182:I192" si="55">F182+H182</f>
        <v>0</v>
      </c>
      <c r="J182" s="25">
        <f t="shared" ref="J182:J190" si="56">IF(I182&lt;&gt;0,1,)</f>
        <v>0</v>
      </c>
    </row>
    <row r="183" spans="1:17" s="42" customFormat="1" hidden="1">
      <c r="A183" s="42" t="s">
        <v>2839</v>
      </c>
      <c r="B183" s="42" t="str">
        <f t="shared" si="53"/>
        <v>VCTBT3P160N</v>
      </c>
      <c r="C183" s="30" t="str">
        <f>"4."&amp;COUNTIF($F$170:F183,$K$21)</f>
        <v>4.2</v>
      </c>
      <c r="D183" s="49" t="str">
        <f>"+ "&amp;VLOOKUP(A183,XLTBA,'6.XL-TR'!$D$2,0)</f>
        <v>+ 0 Trạm 3 pha 160kVA (trạm ngồi)</v>
      </c>
      <c r="E183" s="30" t="str">
        <f t="shared" si="52"/>
        <v>VC_TBTBA-2</v>
      </c>
      <c r="F183" s="31">
        <f>VLOOKUP(B183,CPVCDD,'13.VCDD'!$E$5,0)</f>
        <v>0</v>
      </c>
      <c r="G183" s="50">
        <v>0.1</v>
      </c>
      <c r="H183" s="31">
        <f t="shared" si="54"/>
        <v>0</v>
      </c>
      <c r="I183" s="31">
        <f t="shared" si="55"/>
        <v>0</v>
      </c>
      <c r="J183" s="25">
        <f t="shared" si="56"/>
        <v>0</v>
      </c>
    </row>
    <row r="184" spans="1:17" s="42" customFormat="1" hidden="1">
      <c r="A184" s="42" t="s">
        <v>3218</v>
      </c>
      <c r="B184" s="42" t="str">
        <f t="shared" si="53"/>
        <v>VCTBTRNC3X375</v>
      </c>
      <c r="C184" s="30" t="str">
        <f>"4."&amp;COUNTIF($F$170:F184,$K$21)</f>
        <v>4.2</v>
      </c>
      <c r="D184" s="49" t="str">
        <f>"+ "&amp;VLOOKUP(A184,XLTBA,'6.XL-TR'!$D$2,0)</f>
        <v>+  Trạm NC từ 2x37,5kVA lên 3x37,5kVA</v>
      </c>
      <c r="E184" s="30" t="str">
        <f t="shared" si="52"/>
        <v>VC_TBTBA-2</v>
      </c>
      <c r="F184" s="31">
        <f>VLOOKUP(B184,CPVCDD,'13.VCDD'!$E$5,0)</f>
        <v>0</v>
      </c>
      <c r="G184" s="50">
        <v>0.1</v>
      </c>
      <c r="H184" s="31">
        <f t="shared" si="54"/>
        <v>0</v>
      </c>
      <c r="I184" s="31">
        <f t="shared" si="55"/>
        <v>0</v>
      </c>
      <c r="J184" s="25">
        <f t="shared" si="56"/>
        <v>0</v>
      </c>
      <c r="M184" s="20"/>
      <c r="N184" s="20"/>
      <c r="O184" s="20"/>
      <c r="P184" s="20"/>
      <c r="Q184" s="20"/>
    </row>
    <row r="185" spans="1:17" s="42" customFormat="1">
      <c r="A185" s="42" t="s">
        <v>3219</v>
      </c>
      <c r="B185" s="42" t="str">
        <f t="shared" si="53"/>
        <v>VCTBTRNC100</v>
      </c>
      <c r="C185" s="30" t="str">
        <f>"4."&amp;COUNTIF($F$170:F185,$K$21)</f>
        <v>4.3</v>
      </c>
      <c r="D185" s="49" t="str">
        <f>"+ "&amp;VLOOKUP(A185,XLTBA,'6.XL-TR'!$D$2,0)</f>
        <v>+ 2 Trạm NC từ 100kVA lên 100+2x50kVA</v>
      </c>
      <c r="E185" s="30" t="str">
        <f t="shared" si="52"/>
        <v>VC_TBTBA-3</v>
      </c>
      <c r="F185" s="31">
        <f>VLOOKUP(B185,CPVCDD,'13.VCDD'!$E$5,0)</f>
        <v>469417</v>
      </c>
      <c r="G185" s="50">
        <v>0.1</v>
      </c>
      <c r="H185" s="31">
        <f t="shared" si="54"/>
        <v>46942</v>
      </c>
      <c r="I185" s="31">
        <f t="shared" si="55"/>
        <v>516359</v>
      </c>
      <c r="J185" s="25">
        <f t="shared" si="56"/>
        <v>1</v>
      </c>
      <c r="M185" s="20"/>
      <c r="N185" s="20"/>
      <c r="O185" s="20"/>
      <c r="P185" s="20"/>
      <c r="Q185" s="20"/>
    </row>
    <row r="186" spans="1:17" s="42" customFormat="1" hidden="1">
      <c r="A186" s="42" t="s">
        <v>3457</v>
      </c>
      <c r="B186" s="42" t="str">
        <f t="shared" si="53"/>
        <v>VCTBTRNC2X50</v>
      </c>
      <c r="C186" s="30" t="str">
        <f>"4."&amp;COUNTIF($F$170:F186,$K$21)</f>
        <v>4.3</v>
      </c>
      <c r="D186" s="49" t="str">
        <f>"+ "&amp;VLOOKUP(A186,XLTBA,'6.XL-TR'!$D$2,0)</f>
        <v>+  Trạm NC từ 2x50kVA lên 3x50kVA</v>
      </c>
      <c r="E186" s="30" t="str">
        <f>"VC_TBTBA-"&amp;RIGHT(C186,1)</f>
        <v>VC_TBTBA-3</v>
      </c>
      <c r="F186" s="31">
        <f>VLOOKUP(B186,CPVCDD,'13.VCDD'!$E$5,0)</f>
        <v>0</v>
      </c>
      <c r="G186" s="50">
        <v>0.1</v>
      </c>
      <c r="H186" s="31">
        <f t="shared" si="54"/>
        <v>0</v>
      </c>
      <c r="I186" s="31">
        <f t="shared" si="55"/>
        <v>0</v>
      </c>
      <c r="J186" s="25">
        <f t="shared" si="56"/>
        <v>0</v>
      </c>
      <c r="M186" s="20"/>
      <c r="N186" s="20"/>
      <c r="O186" s="20"/>
      <c r="P186" s="20"/>
      <c r="Q186" s="20"/>
    </row>
    <row r="187" spans="1:17" s="42" customFormat="1">
      <c r="A187" s="42" t="s">
        <v>3222</v>
      </c>
      <c r="B187" s="42" t="str">
        <f t="shared" si="53"/>
        <v>VCTBTRNC2X75</v>
      </c>
      <c r="C187" s="30" t="str">
        <f>"4."&amp;COUNTIF($F$170:F187,$K$21)</f>
        <v>4.4</v>
      </c>
      <c r="D187" s="49" t="str">
        <f>"+ "&amp;VLOOKUP(A187,XLTBA,'6.XL-TR'!$D$2,0)</f>
        <v>+ 2 Trạm NC từ 2x75kVA lên 3x75kVA</v>
      </c>
      <c r="E187" s="30" t="str">
        <f t="shared" si="52"/>
        <v>VC_TBTBA-4</v>
      </c>
      <c r="F187" s="31">
        <f>VLOOKUP(B187,CPVCDD,'13.VCDD'!$E$5,0)</f>
        <v>524894</v>
      </c>
      <c r="G187" s="50">
        <v>0.1</v>
      </c>
      <c r="H187" s="31">
        <f t="shared" si="54"/>
        <v>52489</v>
      </c>
      <c r="I187" s="31">
        <f t="shared" si="55"/>
        <v>577383</v>
      </c>
      <c r="J187" s="25">
        <f t="shared" si="56"/>
        <v>1</v>
      </c>
      <c r="M187" s="20"/>
      <c r="N187" s="20"/>
      <c r="O187" s="20"/>
      <c r="P187" s="20"/>
      <c r="Q187" s="20"/>
    </row>
    <row r="188" spans="1:17" s="42" customFormat="1">
      <c r="A188" s="42" t="s">
        <v>3223</v>
      </c>
      <c r="B188" s="42" t="str">
        <f t="shared" si="53"/>
        <v>VCTBTRNC2X100</v>
      </c>
      <c r="C188" s="30" t="str">
        <f>"4."&amp;COUNTIF($F$170:F188,$K$21)</f>
        <v>4.5</v>
      </c>
      <c r="D188" s="49" t="str">
        <f>"+ "&amp;VLOOKUP(A188,XLTBA,'6.XL-TR'!$D$2,0)</f>
        <v>+ 1 Trạm NC từ 2x100kVA lên 3x100kVA</v>
      </c>
      <c r="E188" s="30" t="str">
        <f t="shared" si="52"/>
        <v>VC_TBTBA-5</v>
      </c>
      <c r="F188" s="31">
        <f>VLOOKUP(B188,CPVCDD,'13.VCDD'!$E$5,0)</f>
        <v>372330</v>
      </c>
      <c r="G188" s="50">
        <v>0.1</v>
      </c>
      <c r="H188" s="31">
        <f t="shared" si="54"/>
        <v>37233</v>
      </c>
      <c r="I188" s="31">
        <f t="shared" si="55"/>
        <v>409563</v>
      </c>
      <c r="J188" s="25">
        <f t="shared" si="56"/>
        <v>1</v>
      </c>
      <c r="M188" s="20"/>
      <c r="N188" s="20"/>
      <c r="O188" s="20"/>
      <c r="P188" s="20"/>
      <c r="Q188" s="20"/>
    </row>
    <row r="189" spans="1:17" s="42" customFormat="1">
      <c r="A189" s="42" t="s">
        <v>3243</v>
      </c>
      <c r="B189" s="42" t="str">
        <f t="shared" si="53"/>
        <v>VCTBDTR1P</v>
      </c>
      <c r="C189" s="30" t="str">
        <f>"4."&amp;COUNTIF($F$170:F189,$K$21)</f>
        <v>4.6</v>
      </c>
      <c r="D189" s="49" t="str">
        <f>"+ "&amp;VLOOKUP(A189,XLTBA,'6.XL-TR'!$D$2,0)</f>
        <v>+ 2 Trạm 1 pha di dời</v>
      </c>
      <c r="E189" s="30" t="str">
        <f t="shared" si="52"/>
        <v>VC_TBTBA-6</v>
      </c>
      <c r="F189" s="31">
        <f>VLOOKUP(B189,CPVCDD,'13.VCDD'!$E$5,0)</f>
        <v>386200</v>
      </c>
      <c r="G189" s="50">
        <v>0.1</v>
      </c>
      <c r="H189" s="31">
        <f t="shared" si="54"/>
        <v>38620</v>
      </c>
      <c r="I189" s="31">
        <f t="shared" si="55"/>
        <v>424820</v>
      </c>
      <c r="J189" s="25">
        <f t="shared" si="56"/>
        <v>1</v>
      </c>
      <c r="M189" s="20"/>
      <c r="N189" s="20"/>
      <c r="O189" s="20"/>
      <c r="P189" s="20"/>
      <c r="Q189" s="20"/>
    </row>
    <row r="190" spans="1:17" s="42" customFormat="1">
      <c r="A190" s="42" t="s">
        <v>3244</v>
      </c>
      <c r="B190" s="42" t="str">
        <f t="shared" si="53"/>
        <v>VCTBDTR3P</v>
      </c>
      <c r="C190" s="30" t="str">
        <f>"4."&amp;COUNTIF($F$170:F190,$K$21)</f>
        <v>4.7</v>
      </c>
      <c r="D190" s="49" t="str">
        <f>"+ "&amp;VLOOKUP(A190,XLTBA,'6.XL-TR'!$D$2,0)</f>
        <v>+ 2 Trạm 3 pha di dời</v>
      </c>
      <c r="E190" s="30" t="str">
        <f t="shared" si="52"/>
        <v>VC_TBTBA-7</v>
      </c>
      <c r="F190" s="31">
        <f>VLOOKUP(B190,CPVCDD,'13.VCDD'!$E$5,0)</f>
        <v>538764</v>
      </c>
      <c r="G190" s="50">
        <v>0.1</v>
      </c>
      <c r="H190" s="31">
        <f t="shared" si="54"/>
        <v>53876</v>
      </c>
      <c r="I190" s="31">
        <f t="shared" si="55"/>
        <v>592640</v>
      </c>
      <c r="J190" s="25">
        <f t="shared" si="56"/>
        <v>1</v>
      </c>
      <c r="M190" s="20"/>
      <c r="N190" s="20"/>
      <c r="O190" s="20"/>
      <c r="P190" s="20"/>
      <c r="Q190" s="20"/>
    </row>
    <row r="191" spans="1:17" s="42" customFormat="1" hidden="1">
      <c r="A191" s="42" t="s">
        <v>2468</v>
      </c>
      <c r="B191" s="42" t="str">
        <f t="shared" si="51"/>
        <v>VCTBTRNC3X50</v>
      </c>
      <c r="C191" s="30" t="str">
        <f>"4."&amp;COUNTIF($F$170:F191,$K$21)</f>
        <v>4.7</v>
      </c>
      <c r="D191" s="49" t="str">
        <f>"+ "&amp;VLOOKUP(A191,XLTBA,'6.XL-TR'!$D$2,0)</f>
        <v>+  Trạm NC từ 50kVA lên 3x50kVA</v>
      </c>
      <c r="E191" s="30" t="str">
        <f t="shared" si="52"/>
        <v>VC_TBTBA-7</v>
      </c>
      <c r="F191" s="31">
        <f>VLOOKUP(B191,CPVCDD,'13.VCDD'!$E$5,0)</f>
        <v>0</v>
      </c>
      <c r="G191" s="50">
        <v>0.1</v>
      </c>
      <c r="H191" s="31">
        <f t="shared" si="54"/>
        <v>0</v>
      </c>
      <c r="I191" s="31">
        <f t="shared" si="55"/>
        <v>0</v>
      </c>
      <c r="J191" s="25">
        <f t="shared" si="24"/>
        <v>0</v>
      </c>
      <c r="M191" s="210"/>
      <c r="N191" s="211"/>
      <c r="O191" s="211"/>
      <c r="P191" s="211"/>
      <c r="Q191" s="548" t="s">
        <v>3261</v>
      </c>
    </row>
    <row r="192" spans="1:17">
      <c r="C192" s="26" t="s">
        <v>1774</v>
      </c>
      <c r="D192" s="36" t="s">
        <v>1986</v>
      </c>
      <c r="E192" s="26" t="str">
        <f>Q194&amp;"% x 0,8 x (Gxd + Gtb)"</f>
        <v>3,434% x 0,8 x (Gxd + Gtb)</v>
      </c>
      <c r="F192" s="22">
        <f>ROUND(Q194*0.8*(F6+F89)/100,0)</f>
        <v>284657638</v>
      </c>
      <c r="G192" s="46"/>
      <c r="H192" s="22">
        <f>G192*F192</f>
        <v>0</v>
      </c>
      <c r="I192" s="22">
        <f t="shared" si="55"/>
        <v>284657638</v>
      </c>
      <c r="J192" s="25">
        <f t="shared" si="24"/>
        <v>1</v>
      </c>
      <c r="M192" s="547" t="s">
        <v>1774</v>
      </c>
      <c r="N192" s="215">
        <v>10000000000</v>
      </c>
      <c r="O192" s="215">
        <v>20000000000</v>
      </c>
      <c r="P192" s="215">
        <v>50000000000</v>
      </c>
      <c r="Q192" s="216">
        <f>F6+F89</f>
        <v>10361736968</v>
      </c>
    </row>
    <row r="193" spans="3:17">
      <c r="C193" s="26" t="s">
        <v>1776</v>
      </c>
      <c r="D193" s="36" t="s">
        <v>1987</v>
      </c>
      <c r="E193" s="26" t="s">
        <v>3376</v>
      </c>
      <c r="F193" s="22">
        <f>SUM(F194:F209)</f>
        <v>853533190</v>
      </c>
      <c r="G193" s="46"/>
      <c r="H193" s="22">
        <f>SUM(H194:H209)</f>
        <v>76721107</v>
      </c>
      <c r="I193" s="22">
        <f>SUM(I194:I209)</f>
        <v>930254297</v>
      </c>
      <c r="J193" s="25">
        <f t="shared" si="24"/>
        <v>1</v>
      </c>
      <c r="M193" s="547"/>
      <c r="N193" s="208"/>
      <c r="O193" s="215"/>
      <c r="P193" s="215"/>
      <c r="Q193" s="216"/>
    </row>
    <row r="194" spans="3:17">
      <c r="C194" s="24">
        <f>IF(F194&lt;&gt;0,1,)</f>
        <v>1</v>
      </c>
      <c r="D194" s="44" t="s">
        <v>1988</v>
      </c>
      <c r="E194" s="24" t="s">
        <v>1989</v>
      </c>
      <c r="F194" s="21">
        <f>'15.CP-KS'!F10</f>
        <v>23346210</v>
      </c>
      <c r="G194" s="43">
        <v>0.1</v>
      </c>
      <c r="H194" s="21">
        <f>ROUND(F194*G194,0)</f>
        <v>2334621</v>
      </c>
      <c r="I194" s="21">
        <f>H194+F194</f>
        <v>25680831</v>
      </c>
      <c r="J194" s="25">
        <f t="shared" si="24"/>
        <v>1</v>
      </c>
      <c r="M194" s="547" t="s">
        <v>2419</v>
      </c>
      <c r="N194" s="221">
        <v>3.4529999999999998</v>
      </c>
      <c r="O194" s="221">
        <v>2.93</v>
      </c>
      <c r="P194" s="221">
        <v>2.6160000000000001</v>
      </c>
      <c r="Q194" s="222">
        <f>IF(Q192&lt;=N192,N194,IF(Q192&lt;=O192,ROUND(N194-(N194-O194)*(Q192-N192)/(O192-N192),3),IF(Q192&lt;=P192,ROUND(O194-(O194-P194)*(Q192-O192)/(P192-O192),3),)))</f>
        <v>3.4340000000000002</v>
      </c>
    </row>
    <row r="195" spans="3:17">
      <c r="C195" s="24">
        <f>IF(F195&lt;&gt;0,C194+1,C194)</f>
        <v>2</v>
      </c>
      <c r="D195" s="44" t="s">
        <v>1990</v>
      </c>
      <c r="E195" s="24" t="s">
        <v>1991</v>
      </c>
      <c r="F195" s="21">
        <f>ROUND('14.CP-TK'!D6/1.1,0)</f>
        <v>423795042</v>
      </c>
      <c r="G195" s="43">
        <v>0.1</v>
      </c>
      <c r="H195" s="21">
        <f>ROUND(F195*G195,0)</f>
        <v>42379504</v>
      </c>
      <c r="I195" s="21">
        <f>H195+F195</f>
        <v>466174546</v>
      </c>
      <c r="J195" s="25">
        <f t="shared" si="24"/>
        <v>1</v>
      </c>
    </row>
    <row r="196" spans="3:17" ht="31.2">
      <c r="C196" s="24">
        <f t="shared" ref="C196:C209" si="57">IF(F196&lt;&gt;0,C195+1,C195)</f>
        <v>3</v>
      </c>
      <c r="D196" s="565" t="s">
        <v>3394</v>
      </c>
      <c r="E196" s="595" t="str">
        <f>"Gxd x 1,2 x 0,29% "</f>
        <v xml:space="preserve">Gxd x 1,2 x 0,29% </v>
      </c>
      <c r="F196" s="21">
        <f>ROUND(0.29%*F6*1.2,0)</f>
        <v>29658960</v>
      </c>
      <c r="G196" s="43"/>
      <c r="H196" s="21">
        <f t="shared" ref="H196:H209" si="58">ROUND(F196*G196,0)</f>
        <v>0</v>
      </c>
      <c r="I196" s="21">
        <f t="shared" ref="I196:I209" si="59">H196+F196</f>
        <v>29658960</v>
      </c>
      <c r="J196" s="25">
        <f t="shared" si="24"/>
        <v>1</v>
      </c>
      <c r="K196" s="461">
        <f>IF((I6+I89)&lt;&gt;0,I89/(I6+I89),0)</f>
        <v>0.17748445989333977</v>
      </c>
    </row>
    <row r="197" spans="3:17" ht="46.8">
      <c r="C197" s="24">
        <f t="shared" si="57"/>
        <v>4</v>
      </c>
      <c r="D197" s="565" t="s">
        <v>3560</v>
      </c>
      <c r="E197" s="24" t="str">
        <f>"0,282 % x Gxd x 1,2"&amp;IF(K196&gt;25%," x 1,2",)</f>
        <v>0,282 % x Gxd x 1,2</v>
      </c>
      <c r="F197" s="21">
        <f>ROUND(0.282%*F6*1.2*IF(K196&gt;=25%,1.2,1),0)</f>
        <v>28840782</v>
      </c>
      <c r="G197" s="43"/>
      <c r="H197" s="21">
        <f t="shared" si="58"/>
        <v>0</v>
      </c>
      <c r="I197" s="21">
        <f t="shared" si="59"/>
        <v>28840782</v>
      </c>
      <c r="J197" s="25">
        <f t="shared" si="24"/>
        <v>1</v>
      </c>
      <c r="K197" s="461"/>
    </row>
    <row r="198" spans="3:17">
      <c r="C198" s="24">
        <f t="shared" si="57"/>
        <v>5</v>
      </c>
      <c r="D198" s="565" t="s">
        <v>3356</v>
      </c>
      <c r="E198" s="24" t="str">
        <f>IF(F198=1000000,"Giá tối thiểu","0,1% x (KS+TK)")</f>
        <v>0,1% x (KS+TK)</v>
      </c>
      <c r="F198" s="21">
        <f>ROUND((F194+F195)*0.1%,)</f>
        <v>447141</v>
      </c>
      <c r="G198" s="43"/>
      <c r="H198" s="21">
        <f t="shared" si="58"/>
        <v>0</v>
      </c>
      <c r="I198" s="21">
        <f t="shared" si="59"/>
        <v>447141</v>
      </c>
      <c r="J198" s="25">
        <f t="shared" si="24"/>
        <v>1</v>
      </c>
    </row>
    <row r="199" spans="3:17">
      <c r="C199" s="24">
        <f t="shared" si="57"/>
        <v>6</v>
      </c>
      <c r="D199" s="565" t="s">
        <v>3357</v>
      </c>
      <c r="E199" s="24" t="str">
        <f>IF(F199=1000000,"Giá tối thiểu","0,05% x (KS+TK)")</f>
        <v>0,05% x (KS+TK)</v>
      </c>
      <c r="F199" s="21">
        <f>ROUND((F194+F195)*0.05%,0)</f>
        <v>223571</v>
      </c>
      <c r="G199" s="43"/>
      <c r="H199" s="21">
        <f>ROUND(F199*G199,0)</f>
        <v>0</v>
      </c>
      <c r="I199" s="21">
        <f>H199+F199</f>
        <v>223571</v>
      </c>
      <c r="J199" s="25">
        <f>IF(I199&lt;&gt;0,1,)</f>
        <v>1</v>
      </c>
    </row>
    <row r="200" spans="3:17">
      <c r="C200" s="24">
        <f t="shared" si="57"/>
        <v>7</v>
      </c>
      <c r="D200" s="565" t="s">
        <v>3358</v>
      </c>
      <c r="E200" s="24" t="str">
        <f>IF(F200=1000000,"Giá tối thiểu","0,1% x (KS+TK)")</f>
        <v>0,1% x (KS+TK)</v>
      </c>
      <c r="F200" s="21">
        <f>ROUND((F194+F195)*0.1%,0)</f>
        <v>447141</v>
      </c>
      <c r="G200" s="43"/>
      <c r="H200" s="21">
        <f t="shared" si="58"/>
        <v>0</v>
      </c>
      <c r="I200" s="21">
        <f t="shared" si="59"/>
        <v>447141</v>
      </c>
      <c r="J200" s="25">
        <f t="shared" si="24"/>
        <v>1</v>
      </c>
    </row>
    <row r="201" spans="3:17">
      <c r="C201" s="24">
        <f t="shared" si="57"/>
        <v>8</v>
      </c>
      <c r="D201" s="565" t="s">
        <v>3359</v>
      </c>
      <c r="E201" s="24" t="str">
        <f>IF(F201=1000000,"Giá tối thiểu","0,1% x (GSxd + GStb)")</f>
        <v>0,1% x (GSxd + GStb)</v>
      </c>
      <c r="F201" s="21">
        <f>ROUND((F207+F208)*0.1%,0)</f>
        <v>320070</v>
      </c>
      <c r="G201" s="43"/>
      <c r="H201" s="21">
        <f>ROUND(F201*G201,0)</f>
        <v>0</v>
      </c>
      <c r="I201" s="21">
        <f>H201+F201</f>
        <v>320070</v>
      </c>
      <c r="J201" s="25">
        <f>IF(I201&lt;&gt;0,1,)</f>
        <v>1</v>
      </c>
    </row>
    <row r="202" spans="3:17">
      <c r="C202" s="24">
        <f t="shared" si="57"/>
        <v>9</v>
      </c>
      <c r="D202" s="565" t="s">
        <v>3360</v>
      </c>
      <c r="E202" s="24" t="str">
        <f>IF(F202=1000000,"Giá tối thiểu","0,05% x (GSxd + GStb)")</f>
        <v>0,05% x (GSxd + GStb)</v>
      </c>
      <c r="F202" s="21">
        <f>ROUND((F207+F208)*0.05%,0)</f>
        <v>160035</v>
      </c>
      <c r="G202" s="43"/>
      <c r="H202" s="21">
        <f>ROUND(F202*G202,0)</f>
        <v>0</v>
      </c>
      <c r="I202" s="21">
        <f>H202+F202</f>
        <v>160035</v>
      </c>
      <c r="J202" s="25">
        <f>IF(I202&lt;&gt;0,1,)</f>
        <v>1</v>
      </c>
    </row>
    <row r="203" spans="3:17">
      <c r="C203" s="24">
        <f t="shared" si="57"/>
        <v>10</v>
      </c>
      <c r="D203" s="565" t="s">
        <v>3361</v>
      </c>
      <c r="E203" s="24" t="str">
        <f>IF(F203=1000000,"Giá tối thiểu","0,1% x (GSxd + GStb)")</f>
        <v>0,1% x (GSxd + GStb)</v>
      </c>
      <c r="F203" s="21">
        <f>ROUND((F207+F208)*0.1%,0)</f>
        <v>320070</v>
      </c>
      <c r="G203" s="43"/>
      <c r="H203" s="21">
        <f>ROUND(F203*G203,0)</f>
        <v>0</v>
      </c>
      <c r="I203" s="21">
        <f>H203+F203</f>
        <v>320070</v>
      </c>
      <c r="J203" s="25">
        <f>IF(I203&lt;&gt;0,1,)</f>
        <v>1</v>
      </c>
    </row>
    <row r="204" spans="3:17" ht="31.2">
      <c r="C204" s="24">
        <f t="shared" si="57"/>
        <v>11</v>
      </c>
      <c r="D204" s="44" t="s">
        <v>1992</v>
      </c>
      <c r="E204" s="24" t="s">
        <v>3353</v>
      </c>
      <c r="F204" s="21">
        <f>ROUND((F6+F89)*0.1%,0)</f>
        <v>10361737</v>
      </c>
      <c r="G204" s="43"/>
      <c r="H204" s="21">
        <f t="shared" si="58"/>
        <v>0</v>
      </c>
      <c r="I204" s="21">
        <f t="shared" si="59"/>
        <v>10361737</v>
      </c>
      <c r="J204" s="25">
        <f t="shared" si="24"/>
        <v>1</v>
      </c>
    </row>
    <row r="205" spans="3:17" ht="31.2">
      <c r="C205" s="24">
        <f t="shared" si="57"/>
        <v>12</v>
      </c>
      <c r="D205" s="565" t="s">
        <v>3354</v>
      </c>
      <c r="E205" s="24" t="s">
        <v>3355</v>
      </c>
      <c r="F205" s="21">
        <f>ROUND((F6+F89)*0.05%,0)</f>
        <v>5180868</v>
      </c>
      <c r="G205" s="43"/>
      <c r="H205" s="21">
        <f>ROUND(F205*G205,0)</f>
        <v>0</v>
      </c>
      <c r="I205" s="21">
        <f>H205+F205</f>
        <v>5180868</v>
      </c>
      <c r="J205" s="25">
        <f>IF(I205&lt;&gt;0,1,)</f>
        <v>1</v>
      </c>
    </row>
    <row r="206" spans="3:17" ht="31.2">
      <c r="C206" s="24">
        <f t="shared" si="57"/>
        <v>13</v>
      </c>
      <c r="D206" s="44" t="s">
        <v>1993</v>
      </c>
      <c r="E206" s="24" t="s">
        <v>3353</v>
      </c>
      <c r="F206" s="21">
        <f>ROUND((F6+F89)*0.1%,0)</f>
        <v>10361737</v>
      </c>
      <c r="G206" s="43"/>
      <c r="H206" s="21">
        <f t="shared" si="58"/>
        <v>0</v>
      </c>
      <c r="I206" s="21">
        <f t="shared" si="59"/>
        <v>10361737</v>
      </c>
      <c r="J206" s="25">
        <f t="shared" si="24"/>
        <v>1</v>
      </c>
    </row>
    <row r="207" spans="3:17" ht="18">
      <c r="C207" s="24">
        <f t="shared" si="57"/>
        <v>14</v>
      </c>
      <c r="D207" s="44" t="s">
        <v>1994</v>
      </c>
      <c r="E207" s="24" t="s">
        <v>3362</v>
      </c>
      <c r="F207" s="21">
        <f>ROUND(3.508%*F6,0)</f>
        <v>298975954</v>
      </c>
      <c r="G207" s="43">
        <v>0.1</v>
      </c>
      <c r="H207" s="21">
        <f t="shared" si="58"/>
        <v>29897595</v>
      </c>
      <c r="I207" s="21">
        <f t="shared" si="59"/>
        <v>328873549</v>
      </c>
      <c r="J207" s="25">
        <f t="shared" si="24"/>
        <v>1</v>
      </c>
    </row>
    <row r="208" spans="3:17" ht="18">
      <c r="C208" s="24">
        <f t="shared" si="57"/>
        <v>15</v>
      </c>
      <c r="D208" s="44" t="s">
        <v>1995</v>
      </c>
      <c r="E208" s="24" t="s">
        <v>3363</v>
      </c>
      <c r="F208" s="21">
        <f>ROUND(1.147%*F89,0)</f>
        <v>21093872</v>
      </c>
      <c r="G208" s="43">
        <v>0.1</v>
      </c>
      <c r="H208" s="21">
        <f t="shared" si="58"/>
        <v>2109387</v>
      </c>
      <c r="I208" s="21">
        <f t="shared" si="59"/>
        <v>23203259</v>
      </c>
      <c r="J208" s="25">
        <f t="shared" si="24"/>
        <v>1</v>
      </c>
    </row>
    <row r="209" spans="1:16" hidden="1">
      <c r="C209" s="24">
        <f t="shared" si="57"/>
        <v>15</v>
      </c>
      <c r="D209" s="565" t="s">
        <v>3293</v>
      </c>
      <c r="E209" s="24" t="s">
        <v>2005</v>
      </c>
      <c r="F209" s="21">
        <f>ROUND(10000000/1.1,0)*0</f>
        <v>0</v>
      </c>
      <c r="G209" s="43">
        <v>0.1</v>
      </c>
      <c r="H209" s="21">
        <f t="shared" si="58"/>
        <v>0</v>
      </c>
      <c r="I209" s="21">
        <f t="shared" si="59"/>
        <v>0</v>
      </c>
      <c r="J209" s="25">
        <f t="shared" si="24"/>
        <v>0</v>
      </c>
    </row>
    <row r="210" spans="1:16">
      <c r="C210" s="26" t="s">
        <v>1996</v>
      </c>
      <c r="D210" s="36" t="s">
        <v>1997</v>
      </c>
      <c r="E210" s="26"/>
      <c r="F210" s="22">
        <f ca="1">SUM(F211:F226)</f>
        <v>745345510</v>
      </c>
      <c r="G210" s="46"/>
      <c r="H210" s="22">
        <f ca="1">SUM(H211:H226)</f>
        <v>45515605</v>
      </c>
      <c r="I210" s="22">
        <f ca="1">SUM(I211:I226)</f>
        <v>790861115</v>
      </c>
      <c r="J210" s="25">
        <f t="shared" ca="1" si="24"/>
        <v>1</v>
      </c>
    </row>
    <row r="211" spans="1:16" ht="16.2">
      <c r="C211" s="445" t="s">
        <v>1998</v>
      </c>
      <c r="D211" s="446" t="s">
        <v>1999</v>
      </c>
      <c r="E211" s="445"/>
      <c r="F211" s="29"/>
      <c r="G211" s="447"/>
      <c r="H211" s="29"/>
      <c r="I211" s="29"/>
      <c r="J211" s="25">
        <f>IF(SUM(J212:J214)&lt;&gt;0,1,)</f>
        <v>1</v>
      </c>
    </row>
    <row r="212" spans="1:16" ht="31.2">
      <c r="A212" s="42"/>
      <c r="C212" s="24">
        <v>1</v>
      </c>
      <c r="D212" s="44" t="s">
        <v>2000</v>
      </c>
      <c r="E212" s="24" t="s">
        <v>2001</v>
      </c>
      <c r="F212" s="21"/>
      <c r="G212" s="43"/>
      <c r="H212" s="21"/>
      <c r="I212" s="21"/>
      <c r="J212" s="25">
        <f>IF(SUM(J213:J214)&lt;&gt;0,1,)</f>
        <v>1</v>
      </c>
      <c r="K212" s="444">
        <v>0.01</v>
      </c>
    </row>
    <row r="213" spans="1:16" s="42" customFormat="1" ht="18">
      <c r="A213" s="42" t="s">
        <v>1844</v>
      </c>
      <c r="C213" s="30" t="s">
        <v>1966</v>
      </c>
      <c r="D213" s="51" t="s">
        <v>2725</v>
      </c>
      <c r="E213" s="30" t="s">
        <v>2780</v>
      </c>
      <c r="F213" s="31">
        <f>ROUND($K$212*(F7+F90-F91),0)</f>
        <v>77978974</v>
      </c>
      <c r="G213" s="50">
        <v>0.1</v>
      </c>
      <c r="H213" s="31">
        <f>ROUND(F213*G213,0)</f>
        <v>7797897</v>
      </c>
      <c r="I213" s="31">
        <f>F213+H213</f>
        <v>85776871</v>
      </c>
      <c r="J213" s="279">
        <f t="shared" ref="J213:J227" si="60">IF(I213&lt;&gt;0,1,)</f>
        <v>1</v>
      </c>
    </row>
    <row r="214" spans="1:16" s="42" customFormat="1" ht="18">
      <c r="A214" s="42" t="s">
        <v>2584</v>
      </c>
      <c r="C214" s="30" t="s">
        <v>1966</v>
      </c>
      <c r="D214" s="51" t="s">
        <v>2726</v>
      </c>
      <c r="E214" s="30" t="s">
        <v>2780</v>
      </c>
      <c r="F214" s="31">
        <f>ROUND($K$212*(F19+F100-F101),0)</f>
        <v>10439552</v>
      </c>
      <c r="G214" s="50">
        <v>0.1</v>
      </c>
      <c r="H214" s="31">
        <f>ROUND(F214*G214,0)</f>
        <v>1043955</v>
      </c>
      <c r="I214" s="31">
        <f>F214+H214</f>
        <v>11483507</v>
      </c>
      <c r="J214" s="279">
        <f>IF(I214&lt;&gt;0,1,)</f>
        <v>1</v>
      </c>
    </row>
    <row r="215" spans="1:16" ht="31.2">
      <c r="C215" s="24">
        <v>2</v>
      </c>
      <c r="D215" s="44" t="s">
        <v>2002</v>
      </c>
      <c r="E215" s="24" t="s">
        <v>2781</v>
      </c>
      <c r="F215" s="21">
        <f>ROUND(2%*(F6+F89-F91-F101),0)</f>
        <v>176837052</v>
      </c>
      <c r="G215" s="43">
        <v>0.1</v>
      </c>
      <c r="H215" s="21">
        <f>ROUND(F215*G215,0)</f>
        <v>17683705</v>
      </c>
      <c r="I215" s="21">
        <f>F215+H215</f>
        <v>194520757</v>
      </c>
      <c r="J215" s="25">
        <f t="shared" si="60"/>
        <v>1</v>
      </c>
    </row>
    <row r="216" spans="1:16" ht="16.2">
      <c r="C216" s="448" t="s">
        <v>2727</v>
      </c>
      <c r="D216" s="449" t="s">
        <v>2459</v>
      </c>
      <c r="E216" s="448"/>
      <c r="F216" s="450"/>
      <c r="G216" s="451"/>
      <c r="H216" s="450"/>
      <c r="I216" s="450"/>
      <c r="J216" s="25">
        <f ca="1">IF(SUM(J217:J226)&lt;&gt;0,1,)</f>
        <v>1</v>
      </c>
    </row>
    <row r="217" spans="1:16" ht="31.2">
      <c r="C217" s="24">
        <f ca="1">IF(F217&lt;&gt;0,1,)</f>
        <v>1</v>
      </c>
      <c r="D217" s="565" t="s">
        <v>3562</v>
      </c>
      <c r="E217" s="24" t="str">
        <f ca="1">P220&amp;"% x 50% x GTĐNQT"</f>
        <v>0,635% x 50% x GTĐNQT</v>
      </c>
      <c r="F217" s="21">
        <f ca="1">ROUND(P220%*P218*50%,0)</f>
        <v>42556696</v>
      </c>
      <c r="G217" s="43"/>
      <c r="H217" s="21">
        <f ca="1">ROUND(F217*G217,0)</f>
        <v>0</v>
      </c>
      <c r="I217" s="21">
        <f ca="1">F217+H217</f>
        <v>42556696</v>
      </c>
      <c r="J217" s="25">
        <f t="shared" ca="1" si="60"/>
        <v>1</v>
      </c>
      <c r="L217" s="547"/>
      <c r="M217" s="215"/>
      <c r="N217" s="215"/>
      <c r="O217" s="215"/>
      <c r="P217" s="216"/>
    </row>
    <row r="218" spans="1:16" ht="31.2">
      <c r="C218" s="24">
        <f ca="1">IF(F218&lt;&gt;0,C217+1,C217)</f>
        <v>2</v>
      </c>
      <c r="D218" s="565" t="s">
        <v>3561</v>
      </c>
      <c r="E218" s="24" t="str">
        <f ca="1">P221&amp;"% x GTĐNQT"</f>
        <v>1,047% x GTĐNQT</v>
      </c>
      <c r="F218" s="21">
        <f ca="1">ROUND(P221%*P218,0)</f>
        <v>140336569</v>
      </c>
      <c r="G218" s="43">
        <v>0.1</v>
      </c>
      <c r="H218" s="21">
        <f ca="1">ROUND(F218*G218,0)</f>
        <v>14033657</v>
      </c>
      <c r="I218" s="21">
        <f ca="1">F218+H218</f>
        <v>154370226</v>
      </c>
      <c r="J218" s="25">
        <f ca="1">IF(I218&lt;&gt;0,1,)</f>
        <v>1</v>
      </c>
      <c r="L218" s="675" t="s">
        <v>1774</v>
      </c>
      <c r="M218" s="676">
        <v>5000000000</v>
      </c>
      <c r="N218" s="676">
        <v>10000000000</v>
      </c>
      <c r="O218" s="676">
        <v>50000000000</v>
      </c>
      <c r="P218" s="677">
        <f ca="1">I6+I89+I192+I193+I210</f>
        <v>13403683719</v>
      </c>
    </row>
    <row r="219" spans="1:16" ht="18">
      <c r="C219" s="24">
        <f ca="1">IF(F219&lt;&gt;0,C218+1,C218)</f>
        <v>3</v>
      </c>
      <c r="D219" s="44" t="s">
        <v>2003</v>
      </c>
      <c r="E219" s="24" t="s">
        <v>2782</v>
      </c>
      <c r="F219" s="21">
        <f>ROUND(0.05%*(F6+F89),0)</f>
        <v>5180868</v>
      </c>
      <c r="G219" s="43"/>
      <c r="H219" s="21">
        <f>ROUND(F219*G219,0)</f>
        <v>0</v>
      </c>
      <c r="I219" s="21">
        <f>F219+H219</f>
        <v>5180868</v>
      </c>
      <c r="J219" s="25">
        <f>IF(I219&lt;&gt;0,1,)</f>
        <v>1</v>
      </c>
      <c r="L219" s="547"/>
      <c r="M219" s="208"/>
      <c r="N219" s="215"/>
      <c r="O219" s="215"/>
      <c r="P219" s="216"/>
    </row>
    <row r="220" spans="1:16">
      <c r="C220" s="24">
        <f ca="1">IF(F220&lt;&gt;0,C219+1,C219)</f>
        <v>4</v>
      </c>
      <c r="D220" s="44" t="s">
        <v>2004</v>
      </c>
      <c r="E220" s="24" t="s">
        <v>3395</v>
      </c>
      <c r="F220" s="21">
        <f>'20. LAI VAY'!D5</f>
        <v>242451894</v>
      </c>
      <c r="G220" s="43"/>
      <c r="H220" s="21"/>
      <c r="I220" s="21">
        <f>F220+H220</f>
        <v>242451894</v>
      </c>
      <c r="J220" s="25">
        <f t="shared" si="60"/>
        <v>1</v>
      </c>
      <c r="L220" s="547" t="s">
        <v>3556</v>
      </c>
      <c r="M220" s="221">
        <v>0.95</v>
      </c>
      <c r="N220" s="221">
        <v>0.65</v>
      </c>
      <c r="O220" s="221">
        <v>0.47499999999999998</v>
      </c>
      <c r="P220" s="222">
        <f ca="1">IF(P218&lt;=M218,M220,IF(P218&lt;=N218,ROUND(M220-(M220-N220)*(P218-M218)/(N218-M218),3),IF(P218&lt;=O218,ROUND(N220-(N220-O220)*(P218-N218)/(O218-N218),3),)))</f>
        <v>0.63500000000000001</v>
      </c>
    </row>
    <row r="221" spans="1:16">
      <c r="C221" s="24">
        <v>5</v>
      </c>
      <c r="D221" s="565" t="s">
        <v>3296</v>
      </c>
      <c r="E221" s="24" t="s">
        <v>3299</v>
      </c>
      <c r="F221" s="21"/>
      <c r="G221" s="43"/>
      <c r="H221" s="21"/>
      <c r="I221" s="21"/>
      <c r="J221" s="25">
        <f>IF(SUM(J222:J223)&lt;&gt;0,1,)</f>
        <v>1</v>
      </c>
      <c r="L221" s="547" t="s">
        <v>3557</v>
      </c>
      <c r="M221" s="221">
        <v>1.6</v>
      </c>
      <c r="N221" s="221">
        <v>1.075</v>
      </c>
      <c r="O221" s="221">
        <v>0.75</v>
      </c>
      <c r="P221" s="222">
        <f ca="1">IF(P218&lt;=M218,M221,IF(P218&lt;=N218,ROUND(M221-(M221-N221)*(P218-M218)/(N218-M218),3),IF(P218&lt;=O218,ROUND(N221-(N221-O221)*(P218-N218)/(O218-N218),3),)))</f>
        <v>1.0469999999999999</v>
      </c>
    </row>
    <row r="222" spans="1:16" s="42" customFormat="1" ht="31.2">
      <c r="C222" s="30" t="s">
        <v>3297</v>
      </c>
      <c r="D222" s="49" t="s">
        <v>3294</v>
      </c>
      <c r="E222" s="30" t="s">
        <v>3301</v>
      </c>
      <c r="F222" s="31">
        <f>ROUND(1.6%*F11,0)</f>
        <v>26337603</v>
      </c>
      <c r="G222" s="50">
        <v>0.1</v>
      </c>
      <c r="H222" s="31">
        <f>ROUND(F222*G222,0)</f>
        <v>2633760</v>
      </c>
      <c r="I222" s="31">
        <f>F222+H222</f>
        <v>28971363</v>
      </c>
      <c r="J222" s="279">
        <f>IF(I222&lt;&gt;0,1,)</f>
        <v>1</v>
      </c>
    </row>
    <row r="223" spans="1:16" s="42" customFormat="1">
      <c r="C223" s="30" t="s">
        <v>3298</v>
      </c>
      <c r="D223" s="49" t="s">
        <v>3295</v>
      </c>
      <c r="E223" s="30" t="s">
        <v>3302</v>
      </c>
      <c r="F223" s="31">
        <f>ROUND(1.6%*F43,0)</f>
        <v>2502828</v>
      </c>
      <c r="G223" s="50">
        <v>0.1</v>
      </c>
      <c r="H223" s="31">
        <f>ROUND(F223*G223,0)</f>
        <v>250283</v>
      </c>
      <c r="I223" s="31">
        <f>F223+H223</f>
        <v>2753111</v>
      </c>
      <c r="J223" s="279">
        <f>IF(I223&lt;&gt;0,1,)</f>
        <v>1</v>
      </c>
    </row>
    <row r="224" spans="1:16">
      <c r="C224" s="24">
        <v>6</v>
      </c>
      <c r="D224" s="44" t="s">
        <v>2006</v>
      </c>
      <c r="E224" s="24" t="s">
        <v>3300</v>
      </c>
      <c r="F224" s="21"/>
      <c r="G224" s="43"/>
      <c r="H224" s="21"/>
      <c r="I224" s="21"/>
      <c r="J224" s="25">
        <f>IF(SUM(J225:J226)&lt;&gt;0,1,)</f>
        <v>1</v>
      </c>
    </row>
    <row r="225" spans="3:10" s="42" customFormat="1" ht="18">
      <c r="C225" s="30" t="s">
        <v>3558</v>
      </c>
      <c r="D225" s="49" t="s">
        <v>2007</v>
      </c>
      <c r="E225" s="30" t="s">
        <v>2783</v>
      </c>
      <c r="F225" s="31">
        <f>ROUND(0.2%*(F19+F100),0)</f>
        <v>4857909</v>
      </c>
      <c r="G225" s="50">
        <v>0.1</v>
      </c>
      <c r="H225" s="31">
        <f>ROUND(F225*G225,0)</f>
        <v>485791</v>
      </c>
      <c r="I225" s="31">
        <f>F225+H225</f>
        <v>5343700</v>
      </c>
      <c r="J225" s="279">
        <f t="shared" si="60"/>
        <v>1</v>
      </c>
    </row>
    <row r="226" spans="3:10" s="42" customFormat="1" ht="18">
      <c r="C226" s="30" t="s">
        <v>3559</v>
      </c>
      <c r="D226" s="49" t="s">
        <v>2008</v>
      </c>
      <c r="E226" s="30" t="s">
        <v>2784</v>
      </c>
      <c r="F226" s="31">
        <f>ROUND(0.2%*(F7+F90),0)</f>
        <v>15865565</v>
      </c>
      <c r="G226" s="50">
        <v>0.1</v>
      </c>
      <c r="H226" s="31">
        <f>ROUND(F226*G226,0)</f>
        <v>1586557</v>
      </c>
      <c r="I226" s="31">
        <f>F226+H226</f>
        <v>17452122</v>
      </c>
      <c r="J226" s="279">
        <f t="shared" si="60"/>
        <v>1</v>
      </c>
    </row>
    <row r="227" spans="3:10">
      <c r="C227" s="26" t="s">
        <v>2009</v>
      </c>
      <c r="D227" s="36" t="s">
        <v>2010</v>
      </c>
      <c r="E227" s="26" t="s">
        <v>4007</v>
      </c>
      <c r="F227" s="22"/>
      <c r="G227" s="46"/>
      <c r="H227" s="22"/>
      <c r="I227" s="22">
        <f ca="1">ROUND(5%*(I6+I89+I192+I193+I210),0)</f>
        <v>670184186</v>
      </c>
      <c r="J227" s="25">
        <f t="shared" ca="1" si="60"/>
        <v>1</v>
      </c>
    </row>
  </sheetData>
  <autoFilter ref="J5:J227" xr:uid="{00000000-0009-0000-0000-000003000000}">
    <filterColumn colId="0">
      <customFilters>
        <customFilter operator="notEqual" val=" "/>
      </customFilters>
    </filterColumn>
  </autoFilter>
  <mergeCells count="6">
    <mergeCell ref="C4:C5"/>
    <mergeCell ref="I4:I5"/>
    <mergeCell ref="G4:H4"/>
    <mergeCell ref="F4:F5"/>
    <mergeCell ref="E4:E5"/>
    <mergeCell ref="D4:D5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2:K42"/>
  <sheetViews>
    <sheetView showZeros="0" view="pageBreakPreview" topLeftCell="A23" zoomScale="80" zoomScaleNormal="100" zoomScaleSheetLayoutView="80" workbookViewId="0">
      <selection activeCell="H23" sqref="H23"/>
    </sheetView>
  </sheetViews>
  <sheetFormatPr defaultColWidth="9.109375" defaultRowHeight="15.6"/>
  <cols>
    <col min="1" max="2" width="13.5546875" style="332" customWidth="1"/>
    <col min="3" max="3" width="9.33203125" style="332" bestFit="1" customWidth="1"/>
    <col min="4" max="4" width="47" style="332" customWidth="1"/>
    <col min="5" max="5" width="9.109375" style="332"/>
    <col min="6" max="9" width="16" style="332" customWidth="1"/>
    <col min="10" max="10" width="9.33203125" style="332" bestFit="1" customWidth="1"/>
    <col min="11" max="16384" width="9.109375" style="332"/>
  </cols>
  <sheetData>
    <row r="2" spans="1:11">
      <c r="A2" s="333"/>
      <c r="B2" s="342">
        <v>1</v>
      </c>
      <c r="C2" s="342">
        <v>2</v>
      </c>
      <c r="D2" s="342">
        <v>3</v>
      </c>
      <c r="E2" s="342">
        <v>4</v>
      </c>
      <c r="F2" s="342">
        <v>5</v>
      </c>
      <c r="G2" s="342">
        <v>6</v>
      </c>
      <c r="H2" s="342">
        <v>7</v>
      </c>
      <c r="I2" s="342">
        <v>8</v>
      </c>
      <c r="J2" s="333">
        <v>9</v>
      </c>
    </row>
    <row r="4" spans="1:11">
      <c r="C4" s="336" t="s">
        <v>1838</v>
      </c>
      <c r="D4" s="343"/>
      <c r="E4" s="343"/>
      <c r="F4" s="343"/>
      <c r="G4" s="343"/>
      <c r="H4" s="343"/>
      <c r="I4" s="343"/>
    </row>
    <row r="6" spans="1:11" s="334" customFormat="1">
      <c r="A6" s="334">
        <v>4970</v>
      </c>
      <c r="B6" s="334">
        <v>1776</v>
      </c>
      <c r="C6" s="1014" t="s">
        <v>1763</v>
      </c>
      <c r="D6" s="1014" t="s">
        <v>1839</v>
      </c>
      <c r="E6" s="1014" t="s">
        <v>1840</v>
      </c>
      <c r="F6" s="1016" t="s">
        <v>1841</v>
      </c>
      <c r="G6" s="1018"/>
      <c r="H6" s="1018"/>
      <c r="I6" s="1017"/>
    </row>
    <row r="7" spans="1:11" s="334" customFormat="1">
      <c r="C7" s="1015"/>
      <c r="D7" s="1015"/>
      <c r="E7" s="1015"/>
      <c r="F7" s="1016" t="s">
        <v>1842</v>
      </c>
      <c r="G7" s="1017"/>
      <c r="H7" s="1016" t="s">
        <v>1843</v>
      </c>
      <c r="I7" s="1017"/>
    </row>
    <row r="8" spans="1:11">
      <c r="A8" s="332" t="s">
        <v>1743</v>
      </c>
      <c r="B8" s="332" t="s">
        <v>1844</v>
      </c>
      <c r="C8" s="344"/>
      <c r="D8" s="345" t="s">
        <v>3226</v>
      </c>
      <c r="E8" s="345"/>
      <c r="F8" s="345"/>
      <c r="G8" s="345"/>
      <c r="H8" s="345"/>
      <c r="I8" s="345"/>
      <c r="J8" s="333">
        <f>IF(SUM(J9:J24)&lt;&gt;0,1,)</f>
        <v>1</v>
      </c>
    </row>
    <row r="9" spans="1:11">
      <c r="C9" s="346" t="s">
        <v>1631</v>
      </c>
      <c r="D9" s="347" t="s">
        <v>1845</v>
      </c>
      <c r="E9" s="346" t="s">
        <v>1846</v>
      </c>
      <c r="F9" s="346" t="s">
        <v>1875</v>
      </c>
      <c r="G9" s="347">
        <f>G10+G13+G16</f>
        <v>311214345.94089997</v>
      </c>
      <c r="H9" s="346" t="s">
        <v>1875</v>
      </c>
      <c r="I9" s="347">
        <f>I10+I13+I16</f>
        <v>329898667.79999995</v>
      </c>
      <c r="J9" s="333">
        <f t="shared" ref="J9:J42" si="0">IF((G9+I9)&lt;&gt;0,1,)</f>
        <v>1</v>
      </c>
    </row>
    <row r="10" spans="1:11" ht="18.600000000000001">
      <c r="C10" s="348">
        <v>1</v>
      </c>
      <c r="D10" s="349" t="s">
        <v>1847</v>
      </c>
      <c r="E10" s="348" t="s">
        <v>1765</v>
      </c>
      <c r="F10" s="348" t="s">
        <v>2753</v>
      </c>
      <c r="G10" s="349">
        <f>SUM(G11:G12)</f>
        <v>0</v>
      </c>
      <c r="H10" s="348" t="s">
        <v>2753</v>
      </c>
      <c r="I10" s="349">
        <f>SUM(I11:I12)</f>
        <v>154118028</v>
      </c>
      <c r="J10" s="333">
        <f t="shared" si="0"/>
        <v>1</v>
      </c>
    </row>
    <row r="11" spans="1:11" ht="18">
      <c r="A11" s="332" t="s">
        <v>2049</v>
      </c>
      <c r="C11" s="350"/>
      <c r="D11" s="351" t="s">
        <v>1848</v>
      </c>
      <c r="E11" s="350" t="s">
        <v>2754</v>
      </c>
      <c r="F11" s="350" t="s">
        <v>1849</v>
      </c>
      <c r="G11" s="351"/>
      <c r="H11" s="350" t="s">
        <v>1849</v>
      </c>
      <c r="I11" s="351">
        <f>VLOOKUP(A11,GTDD,'4.GT'!$N$7,0)</f>
        <v>154118028</v>
      </c>
      <c r="J11" s="333">
        <f t="shared" si="0"/>
        <v>1</v>
      </c>
    </row>
    <row r="12" spans="1:11" ht="18" hidden="1">
      <c r="C12" s="350"/>
      <c r="D12" s="351" t="s">
        <v>1850</v>
      </c>
      <c r="E12" s="350" t="s">
        <v>2757</v>
      </c>
      <c r="F12" s="350" t="s">
        <v>1851</v>
      </c>
      <c r="G12" s="351"/>
      <c r="H12" s="350" t="s">
        <v>1851</v>
      </c>
      <c r="I12" s="351"/>
      <c r="J12" s="333">
        <f t="shared" si="0"/>
        <v>0</v>
      </c>
    </row>
    <row r="13" spans="1:11" ht="18.600000000000001">
      <c r="C13" s="348">
        <v>2</v>
      </c>
      <c r="D13" s="349" t="s">
        <v>1852</v>
      </c>
      <c r="E13" s="348" t="s">
        <v>1764</v>
      </c>
      <c r="F13" s="348" t="s">
        <v>2759</v>
      </c>
      <c r="G13" s="349">
        <f>SUM(G14:G15)</f>
        <v>257731862.33789998</v>
      </c>
      <c r="H13" s="348" t="s">
        <v>2759</v>
      </c>
      <c r="I13" s="349">
        <f>SUM(I14:I15)</f>
        <v>146484594.877</v>
      </c>
      <c r="J13" s="333">
        <f t="shared" si="0"/>
        <v>1</v>
      </c>
    </row>
    <row r="14" spans="1:11" ht="18">
      <c r="A14" s="332" t="s">
        <v>2049</v>
      </c>
      <c r="C14" s="350"/>
      <c r="D14" s="351" t="s">
        <v>1853</v>
      </c>
      <c r="E14" s="350" t="s">
        <v>2755</v>
      </c>
      <c r="F14" s="350" t="str">
        <f>"NCxdm×"&amp;NCDD</f>
        <v>NCxdm×0,9</v>
      </c>
      <c r="G14" s="351">
        <f>VLOOKUP(A14,GTDD,'4.GT'!$P$7,0)*NCDD</f>
        <v>255832211.63789999</v>
      </c>
      <c r="H14" s="350" t="s">
        <v>2751</v>
      </c>
      <c r="I14" s="351">
        <f>VLOOKUP(A14,GTDD,'4.GT'!$O$7,0)</f>
        <v>146484594.877</v>
      </c>
      <c r="J14" s="333">
        <f t="shared" si="0"/>
        <v>1</v>
      </c>
      <c r="K14" s="596">
        <f>NCDD</f>
        <v>0.9</v>
      </c>
    </row>
    <row r="15" spans="1:11" ht="18">
      <c r="A15" s="332" t="s">
        <v>1844</v>
      </c>
      <c r="C15" s="350"/>
      <c r="D15" s="351" t="s">
        <v>1854</v>
      </c>
      <c r="E15" s="350" t="s">
        <v>2758</v>
      </c>
      <c r="F15" s="350" t="str">
        <f>"NCtl×"&amp;NCDD</f>
        <v>NCtl×0,9</v>
      </c>
      <c r="G15" s="351">
        <f>VLOOKUP(A15,NCTL,'11.CP-VTTH'!$M$2,0)*NCDD</f>
        <v>1899650.7</v>
      </c>
      <c r="H15" s="350" t="s">
        <v>2752</v>
      </c>
      <c r="I15" s="351"/>
      <c r="J15" s="333">
        <f t="shared" si="0"/>
        <v>1</v>
      </c>
    </row>
    <row r="16" spans="1:11" ht="18.600000000000001">
      <c r="C16" s="348">
        <v>3</v>
      </c>
      <c r="D16" s="349" t="s">
        <v>1855</v>
      </c>
      <c r="E16" s="348" t="s">
        <v>1774</v>
      </c>
      <c r="F16" s="348" t="s">
        <v>2761</v>
      </c>
      <c r="G16" s="349">
        <f>SUM(G17:G18)</f>
        <v>53482483.603</v>
      </c>
      <c r="H16" s="348" t="s">
        <v>2761</v>
      </c>
      <c r="I16" s="349">
        <f>SUM(I17:I18)</f>
        <v>29296044.922999997</v>
      </c>
      <c r="J16" s="333">
        <f t="shared" si="0"/>
        <v>1</v>
      </c>
    </row>
    <row r="17" spans="1:10" ht="18">
      <c r="A17" s="332" t="s">
        <v>2049</v>
      </c>
      <c r="C17" s="350"/>
      <c r="D17" s="351" t="s">
        <v>1856</v>
      </c>
      <c r="E17" s="350" t="s">
        <v>2756</v>
      </c>
      <c r="F17" s="350" t="s">
        <v>2766</v>
      </c>
      <c r="G17" s="351">
        <f>VLOOKUP(A17,GTDD,'4.GT'!$R$7,0)</f>
        <v>52670372.603</v>
      </c>
      <c r="H17" s="350" t="s">
        <v>2766</v>
      </c>
      <c r="I17" s="351">
        <f>VLOOKUP(A17,GTDD,'4.GT'!$Q$7,0)</f>
        <v>29296044.922999997</v>
      </c>
      <c r="J17" s="333">
        <f t="shared" si="0"/>
        <v>1</v>
      </c>
    </row>
    <row r="18" spans="1:10" ht="18">
      <c r="A18" s="332" t="s">
        <v>1844</v>
      </c>
      <c r="C18" s="350"/>
      <c r="D18" s="351" t="s">
        <v>1857</v>
      </c>
      <c r="E18" s="350" t="s">
        <v>2760</v>
      </c>
      <c r="F18" s="350" t="s">
        <v>2767</v>
      </c>
      <c r="G18" s="351">
        <f>VLOOKUP(A18,NCTL,'11.CP-VTTH'!$N$2,0)</f>
        <v>812111</v>
      </c>
      <c r="H18" s="350" t="s">
        <v>2767</v>
      </c>
      <c r="I18" s="351"/>
      <c r="J18" s="333">
        <f t="shared" si="0"/>
        <v>1</v>
      </c>
    </row>
    <row r="19" spans="1:10">
      <c r="C19" s="346" t="s">
        <v>1663</v>
      </c>
      <c r="D19" s="347" t="s">
        <v>1858</v>
      </c>
      <c r="E19" s="346" t="s">
        <v>1776</v>
      </c>
      <c r="F19" s="346" t="s">
        <v>1859</v>
      </c>
      <c r="G19" s="347">
        <f>ROUND(65%*G13,0)</f>
        <v>167525711</v>
      </c>
      <c r="H19" s="346" t="s">
        <v>1860</v>
      </c>
      <c r="I19" s="347">
        <f>ROUND(5.5%*I9,0)</f>
        <v>18144427</v>
      </c>
      <c r="J19" s="333">
        <f t="shared" si="0"/>
        <v>1</v>
      </c>
    </row>
    <row r="20" spans="1:10" ht="18.600000000000001">
      <c r="C20" s="348"/>
      <c r="D20" s="349" t="s">
        <v>1861</v>
      </c>
      <c r="E20" s="348" t="s">
        <v>2762</v>
      </c>
      <c r="F20" s="348" t="s">
        <v>2807</v>
      </c>
      <c r="G20" s="349">
        <f>G9+G19</f>
        <v>478740056.94089997</v>
      </c>
      <c r="H20" s="348" t="s">
        <v>2807</v>
      </c>
      <c r="I20" s="349">
        <f>I9+I19</f>
        <v>348043094.79999995</v>
      </c>
      <c r="J20" s="333">
        <f t="shared" si="0"/>
        <v>1</v>
      </c>
    </row>
    <row r="21" spans="1:10" ht="18">
      <c r="C21" s="346" t="s">
        <v>1673</v>
      </c>
      <c r="D21" s="347" t="s">
        <v>1862</v>
      </c>
      <c r="E21" s="346" t="s">
        <v>1863</v>
      </c>
      <c r="F21" s="346" t="s">
        <v>2763</v>
      </c>
      <c r="G21" s="347">
        <f>ROUND(6%*G20,0)</f>
        <v>28724403</v>
      </c>
      <c r="H21" s="346" t="s">
        <v>2763</v>
      </c>
      <c r="I21" s="347">
        <f>ROUND(6%*I20,0)</f>
        <v>20882586</v>
      </c>
      <c r="J21" s="333">
        <f t="shared" si="0"/>
        <v>1</v>
      </c>
    </row>
    <row r="22" spans="1:10" ht="18.600000000000001">
      <c r="B22" s="332" t="s">
        <v>1864</v>
      </c>
      <c r="C22" s="597"/>
      <c r="D22" s="598" t="s">
        <v>1865</v>
      </c>
      <c r="E22" s="597" t="s">
        <v>1866</v>
      </c>
      <c r="F22" s="597" t="s">
        <v>2764</v>
      </c>
      <c r="G22" s="598">
        <f>G20+G21</f>
        <v>507464459.94089997</v>
      </c>
      <c r="H22" s="597" t="s">
        <v>2764</v>
      </c>
      <c r="I22" s="598">
        <f>I20+I21</f>
        <v>368925680.79999995</v>
      </c>
      <c r="J22" s="333">
        <f t="shared" si="0"/>
        <v>1</v>
      </c>
    </row>
    <row r="23" spans="1:10">
      <c r="C23" s="346" t="s">
        <v>1717</v>
      </c>
      <c r="D23" s="347" t="s">
        <v>1867</v>
      </c>
      <c r="E23" s="346" t="s">
        <v>1868</v>
      </c>
      <c r="F23" s="346" t="s">
        <v>1869</v>
      </c>
      <c r="G23" s="347">
        <f>ROUND(G22*10%,0)</f>
        <v>50746446</v>
      </c>
      <c r="H23" s="346" t="s">
        <v>1869</v>
      </c>
      <c r="I23" s="347">
        <f>ROUND(I22*10%,0)</f>
        <v>36892568</v>
      </c>
      <c r="J23" s="333">
        <f t="shared" si="0"/>
        <v>1</v>
      </c>
    </row>
    <row r="24" spans="1:10" ht="18">
      <c r="C24" s="346" t="s">
        <v>1729</v>
      </c>
      <c r="D24" s="347" t="s">
        <v>1870</v>
      </c>
      <c r="E24" s="346" t="s">
        <v>2765</v>
      </c>
      <c r="F24" s="346" t="s">
        <v>1871</v>
      </c>
      <c r="G24" s="347">
        <f>G22+G23</f>
        <v>558210905.94089997</v>
      </c>
      <c r="H24" s="346" t="s">
        <v>1871</v>
      </c>
      <c r="I24" s="347">
        <f>I22+I23</f>
        <v>405818248.79999995</v>
      </c>
      <c r="J24" s="333">
        <f t="shared" si="0"/>
        <v>1</v>
      </c>
    </row>
    <row r="25" spans="1:10">
      <c r="C25" s="328"/>
      <c r="D25" s="329"/>
      <c r="E25" s="328"/>
      <c r="F25" s="328"/>
      <c r="G25" s="329"/>
      <c r="H25" s="328"/>
      <c r="I25" s="329"/>
      <c r="J25" s="333">
        <f>J24</f>
        <v>1</v>
      </c>
    </row>
    <row r="26" spans="1:10">
      <c r="B26" s="332" t="s">
        <v>1873</v>
      </c>
      <c r="C26" s="344"/>
      <c r="D26" s="345" t="s">
        <v>2572</v>
      </c>
      <c r="E26" s="344"/>
      <c r="F26" s="344"/>
      <c r="G26" s="345"/>
      <c r="H26" s="344"/>
      <c r="I26" s="345"/>
      <c r="J26" s="333">
        <f>IF(SUM(J27:J42)&lt;&gt;0,1,)</f>
        <v>1</v>
      </c>
    </row>
    <row r="27" spans="1:10">
      <c r="C27" s="346" t="s">
        <v>1631</v>
      </c>
      <c r="D27" s="347" t="s">
        <v>1845</v>
      </c>
      <c r="E27" s="346" t="s">
        <v>1846</v>
      </c>
      <c r="F27" s="346" t="s">
        <v>1875</v>
      </c>
      <c r="G27" s="347">
        <f>G28+G31+G34</f>
        <v>372413143.34558004</v>
      </c>
      <c r="H27" s="346" t="s">
        <v>1875</v>
      </c>
      <c r="I27" s="347">
        <f>I28+I31+I34</f>
        <v>131115272.09899999</v>
      </c>
      <c r="J27" s="333">
        <f t="shared" si="0"/>
        <v>1</v>
      </c>
    </row>
    <row r="28" spans="1:10" ht="18.600000000000001">
      <c r="C28" s="348">
        <v>1</v>
      </c>
      <c r="D28" s="349" t="s">
        <v>1847</v>
      </c>
      <c r="E28" s="348" t="s">
        <v>1765</v>
      </c>
      <c r="F28" s="348" t="s">
        <v>2753</v>
      </c>
      <c r="G28" s="349">
        <f>SUM(G29:G30)</f>
        <v>0</v>
      </c>
      <c r="H28" s="348" t="s">
        <v>2753</v>
      </c>
      <c r="I28" s="349">
        <f>SUM(I29:I30)</f>
        <v>59254310.952</v>
      </c>
      <c r="J28" s="333">
        <f>J27</f>
        <v>1</v>
      </c>
    </row>
    <row r="29" spans="1:10" ht="18">
      <c r="A29" s="332" t="s">
        <v>2051</v>
      </c>
      <c r="C29" s="350"/>
      <c r="D29" s="351" t="s">
        <v>1848</v>
      </c>
      <c r="E29" s="350" t="s">
        <v>2754</v>
      </c>
      <c r="F29" s="350" t="s">
        <v>1849</v>
      </c>
      <c r="G29" s="351"/>
      <c r="H29" s="350" t="s">
        <v>1849</v>
      </c>
      <c r="I29" s="351">
        <f>VLOOKUP(A29,GTDD,'4.GT'!$N$7,0)</f>
        <v>59254310.952</v>
      </c>
      <c r="J29" s="333">
        <f>J27</f>
        <v>1</v>
      </c>
    </row>
    <row r="30" spans="1:10" ht="18" hidden="1">
      <c r="C30" s="350"/>
      <c r="D30" s="351" t="s">
        <v>1850</v>
      </c>
      <c r="E30" s="350" t="s">
        <v>2757</v>
      </c>
      <c r="F30" s="350" t="s">
        <v>1851</v>
      </c>
      <c r="G30" s="351"/>
      <c r="H30" s="350" t="s">
        <v>1851</v>
      </c>
      <c r="I30" s="351"/>
      <c r="J30" s="333">
        <f t="shared" si="0"/>
        <v>0</v>
      </c>
    </row>
    <row r="31" spans="1:10" ht="18.600000000000001">
      <c r="C31" s="348">
        <v>2</v>
      </c>
      <c r="D31" s="349" t="s">
        <v>1852</v>
      </c>
      <c r="E31" s="348" t="s">
        <v>1764</v>
      </c>
      <c r="F31" s="348" t="s">
        <v>2759</v>
      </c>
      <c r="G31" s="349">
        <f>SUM(G32:G33)</f>
        <v>331387418.34558004</v>
      </c>
      <c r="H31" s="348" t="s">
        <v>2759</v>
      </c>
      <c r="I31" s="349">
        <f>SUM(I32:I33)</f>
        <v>61233904.838999994</v>
      </c>
      <c r="J31" s="333">
        <f t="shared" si="0"/>
        <v>1</v>
      </c>
    </row>
    <row r="32" spans="1:10" ht="18">
      <c r="A32" s="332" t="s">
        <v>2051</v>
      </c>
      <c r="C32" s="350"/>
      <c r="D32" s="351" t="s">
        <v>1853</v>
      </c>
      <c r="E32" s="350" t="s">
        <v>2755</v>
      </c>
      <c r="F32" s="350" t="str">
        <f>"NCxdm×"&amp;NCDD</f>
        <v>NCxdm×0,9</v>
      </c>
      <c r="G32" s="351">
        <f>VLOOKUP(A32,GTDD,'4.GT'!$P$7,0)*NCDD</f>
        <v>258146096.94558004</v>
      </c>
      <c r="H32" s="350" t="s">
        <v>2751</v>
      </c>
      <c r="I32" s="351">
        <f>VLOOKUP(A32,GTDD,'4.GT'!$O$7,0)</f>
        <v>61233904.838999994</v>
      </c>
      <c r="J32" s="333">
        <f t="shared" si="0"/>
        <v>1</v>
      </c>
    </row>
    <row r="33" spans="1:10" ht="18">
      <c r="A33" s="332" t="s">
        <v>1873</v>
      </c>
      <c r="C33" s="350"/>
      <c r="D33" s="351" t="s">
        <v>1854</v>
      </c>
      <c r="E33" s="350" t="s">
        <v>2758</v>
      </c>
      <c r="F33" s="350" t="str">
        <f>"NCtl×"&amp;NCDD</f>
        <v>NCtl×0,9</v>
      </c>
      <c r="G33" s="351">
        <f>VLOOKUP(A33,NCTL,'11.CP-VTTH'!$M$2,0)*NCDD</f>
        <v>73241321.400000006</v>
      </c>
      <c r="H33" s="350" t="s">
        <v>2752</v>
      </c>
      <c r="I33" s="351"/>
      <c r="J33" s="333">
        <f t="shared" si="0"/>
        <v>1</v>
      </c>
    </row>
    <row r="34" spans="1:10" ht="18.600000000000001">
      <c r="C34" s="348">
        <v>3</v>
      </c>
      <c r="D34" s="349" t="s">
        <v>1855</v>
      </c>
      <c r="E34" s="348" t="s">
        <v>1774</v>
      </c>
      <c r="F34" s="348" t="s">
        <v>2761</v>
      </c>
      <c r="G34" s="349">
        <f>SUM(G35:G36)</f>
        <v>41025725</v>
      </c>
      <c r="H34" s="348" t="s">
        <v>2761</v>
      </c>
      <c r="I34" s="349">
        <f>SUM(I35:I36)</f>
        <v>10627056.307999998</v>
      </c>
      <c r="J34" s="333">
        <f>J27</f>
        <v>1</v>
      </c>
    </row>
    <row r="35" spans="1:10" ht="18">
      <c r="A35" s="332" t="s">
        <v>2051</v>
      </c>
      <c r="C35" s="350"/>
      <c r="D35" s="351" t="s">
        <v>1856</v>
      </c>
      <c r="E35" s="350" t="s">
        <v>2756</v>
      </c>
      <c r="F35" s="350" t="s">
        <v>2766</v>
      </c>
      <c r="G35" s="351">
        <f>VLOOKUP(A35,GTDD,'4.GT'!$R$7,0)</f>
        <v>27154400</v>
      </c>
      <c r="H35" s="350" t="s">
        <v>2766</v>
      </c>
      <c r="I35" s="351">
        <f>VLOOKUP(A35,GTDD,'4.GT'!$Q$7,0)</f>
        <v>10627056.307999998</v>
      </c>
      <c r="J35" s="333">
        <f>J27</f>
        <v>1</v>
      </c>
    </row>
    <row r="36" spans="1:10" ht="18">
      <c r="A36" s="332" t="s">
        <v>1873</v>
      </c>
      <c r="C36" s="350"/>
      <c r="D36" s="351" t="s">
        <v>1857</v>
      </c>
      <c r="E36" s="350" t="s">
        <v>2760</v>
      </c>
      <c r="F36" s="350" t="s">
        <v>2767</v>
      </c>
      <c r="G36" s="351">
        <f>VLOOKUP(A36,NCTL,'11.CP-VTTH'!$N$2,0)</f>
        <v>13871325</v>
      </c>
      <c r="H36" s="350" t="s">
        <v>2767</v>
      </c>
      <c r="I36" s="351"/>
      <c r="J36" s="333">
        <f t="shared" si="0"/>
        <v>1</v>
      </c>
    </row>
    <row r="37" spans="1:10">
      <c r="C37" s="346" t="s">
        <v>1663</v>
      </c>
      <c r="D37" s="347" t="s">
        <v>1858</v>
      </c>
      <c r="E37" s="346" t="s">
        <v>1776</v>
      </c>
      <c r="F37" s="346" t="s">
        <v>1859</v>
      </c>
      <c r="G37" s="347">
        <f>ROUND(65%*G31,0)</f>
        <v>215401822</v>
      </c>
      <c r="H37" s="346" t="s">
        <v>1860</v>
      </c>
      <c r="I37" s="347">
        <f>ROUND(5.5%*I27,0)</f>
        <v>7211340</v>
      </c>
      <c r="J37" s="333">
        <f t="shared" si="0"/>
        <v>1</v>
      </c>
    </row>
    <row r="38" spans="1:10" ht="18.600000000000001">
      <c r="C38" s="348"/>
      <c r="D38" s="349" t="s">
        <v>1861</v>
      </c>
      <c r="E38" s="348" t="s">
        <v>2762</v>
      </c>
      <c r="F38" s="348" t="s">
        <v>2807</v>
      </c>
      <c r="G38" s="349">
        <f>G27+G37</f>
        <v>587814965.3455801</v>
      </c>
      <c r="H38" s="348" t="s">
        <v>2807</v>
      </c>
      <c r="I38" s="349">
        <f>I27+I37</f>
        <v>138326612.09899998</v>
      </c>
      <c r="J38" s="333">
        <f t="shared" si="0"/>
        <v>1</v>
      </c>
    </row>
    <row r="39" spans="1:10" ht="18">
      <c r="C39" s="346" t="s">
        <v>1673</v>
      </c>
      <c r="D39" s="347" t="s">
        <v>1862</v>
      </c>
      <c r="E39" s="346" t="s">
        <v>1863</v>
      </c>
      <c r="F39" s="346" t="s">
        <v>2763</v>
      </c>
      <c r="G39" s="347">
        <f>ROUND(6%*G38,0)</f>
        <v>35268898</v>
      </c>
      <c r="H39" s="346" t="s">
        <v>2763</v>
      </c>
      <c r="I39" s="347">
        <f>ROUND(6%*I38,0)</f>
        <v>8299597</v>
      </c>
      <c r="J39" s="333">
        <f t="shared" si="0"/>
        <v>1</v>
      </c>
    </row>
    <row r="40" spans="1:10" ht="18.600000000000001">
      <c r="B40" s="332" t="s">
        <v>1874</v>
      </c>
      <c r="C40" s="597"/>
      <c r="D40" s="598" t="s">
        <v>1865</v>
      </c>
      <c r="E40" s="597" t="s">
        <v>1866</v>
      </c>
      <c r="F40" s="597" t="s">
        <v>2764</v>
      </c>
      <c r="G40" s="598">
        <f>G38+G39</f>
        <v>623083863.3455801</v>
      </c>
      <c r="H40" s="597" t="s">
        <v>2764</v>
      </c>
      <c r="I40" s="598">
        <f>I38+I39</f>
        <v>146626209.09899998</v>
      </c>
      <c r="J40" s="333">
        <f t="shared" si="0"/>
        <v>1</v>
      </c>
    </row>
    <row r="41" spans="1:10">
      <c r="C41" s="346" t="s">
        <v>1717</v>
      </c>
      <c r="D41" s="347" t="s">
        <v>1867</v>
      </c>
      <c r="E41" s="346" t="s">
        <v>1868</v>
      </c>
      <c r="F41" s="346" t="s">
        <v>1869</v>
      </c>
      <c r="G41" s="347">
        <f>ROUND(G40*10%,0)</f>
        <v>62308386</v>
      </c>
      <c r="H41" s="346" t="s">
        <v>1869</v>
      </c>
      <c r="I41" s="347">
        <f>ROUND(I40*10%,0)</f>
        <v>14662621</v>
      </c>
      <c r="J41" s="333">
        <f t="shared" si="0"/>
        <v>1</v>
      </c>
    </row>
    <row r="42" spans="1:10" ht="18">
      <c r="C42" s="346" t="s">
        <v>1729</v>
      </c>
      <c r="D42" s="347" t="s">
        <v>1870</v>
      </c>
      <c r="E42" s="346" t="s">
        <v>2765</v>
      </c>
      <c r="F42" s="346" t="s">
        <v>1871</v>
      </c>
      <c r="G42" s="347">
        <f>G40+G41</f>
        <v>685392249.3455801</v>
      </c>
      <c r="H42" s="346" t="s">
        <v>1871</v>
      </c>
      <c r="I42" s="347">
        <f>I40+I41</f>
        <v>161288830.09899998</v>
      </c>
      <c r="J42" s="333">
        <f t="shared" si="0"/>
        <v>1</v>
      </c>
    </row>
  </sheetData>
  <autoFilter ref="J7:J42" xr:uid="{00000000-0009-0000-0000-000004000000}">
    <filterColumn colId="0">
      <customFilters>
        <customFilter operator="notEqual" val=" "/>
      </customFilters>
    </filterColumn>
  </autoFilter>
  <mergeCells count="6">
    <mergeCell ref="C6:C7"/>
    <mergeCell ref="D6:D7"/>
    <mergeCell ref="E6:E7"/>
    <mergeCell ref="F7:G7"/>
    <mergeCell ref="H7:I7"/>
    <mergeCell ref="F6:I6"/>
  </mergeCells>
  <printOptions horizontalCentered="1"/>
  <pageMargins left="0.196850393700787" right="0.196850393700787" top="0.78740157480314998" bottom="0.196850393700787" header="0.31496062992126" footer="0.31496062992126"/>
  <pageSetup paperSize="9" orientation="landscape" blackAndWhite="1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R127"/>
  <sheetViews>
    <sheetView showZeros="0" view="pageBreakPreview" zoomScale="80" zoomScaleNormal="100" zoomScaleSheetLayoutView="80" workbookViewId="0">
      <pane xSplit="6" ySplit="7" topLeftCell="J60" activePane="bottomRight" state="frozen"/>
      <selection activeCell="H23" sqref="H23"/>
      <selection pane="topRight" activeCell="H23" sqref="H23"/>
      <selection pane="bottomLeft" activeCell="H23" sqref="H23"/>
      <selection pane="bottomRight" activeCell="H23" sqref="H23"/>
    </sheetView>
  </sheetViews>
  <sheetFormatPr defaultColWidth="9.109375" defaultRowHeight="15.6"/>
  <cols>
    <col min="1" max="1" width="13.6640625" style="332" customWidth="1"/>
    <col min="2" max="2" width="9.33203125" style="333" bestFit="1" customWidth="1"/>
    <col min="3" max="3" width="9.33203125" style="332" bestFit="1" customWidth="1"/>
    <col min="4" max="4" width="61.44140625" style="332" bestFit="1" customWidth="1"/>
    <col min="5" max="6" width="9.33203125" style="332" bestFit="1" customWidth="1"/>
    <col min="7" max="7" width="15.5546875" style="332" customWidth="1"/>
    <col min="8" max="9" width="11.88671875" style="332" customWidth="1"/>
    <col min="10" max="10" width="14" style="332" customWidth="1"/>
    <col min="11" max="12" width="11.88671875" style="332" customWidth="1"/>
    <col min="13" max="13" width="15.88671875" style="332" customWidth="1"/>
    <col min="14" max="15" width="13.109375" style="332" customWidth="1"/>
    <col min="16" max="16" width="13.6640625" style="332" customWidth="1"/>
    <col min="17" max="18" width="13.109375" style="332" customWidth="1"/>
    <col min="19" max="19" width="9.109375" style="332"/>
    <col min="20" max="20" width="9.33203125" style="332" bestFit="1" customWidth="1"/>
    <col min="21" max="21" width="14.88671875" style="332" customWidth="1"/>
    <col min="22" max="16384" width="9.109375" style="332"/>
  </cols>
  <sheetData>
    <row r="1" spans="1:18">
      <c r="A1" s="332" t="s">
        <v>1623</v>
      </c>
    </row>
    <row r="3" spans="1:18" s="334" customFormat="1">
      <c r="B3" s="335"/>
      <c r="C3" s="336" t="s">
        <v>1762</v>
      </c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</row>
    <row r="5" spans="1:18" s="337" customFormat="1">
      <c r="C5" s="1019" t="s">
        <v>1763</v>
      </c>
      <c r="D5" s="1019" t="s">
        <v>1622</v>
      </c>
      <c r="E5" s="1019" t="s">
        <v>1747</v>
      </c>
      <c r="F5" s="1019" t="s">
        <v>1748</v>
      </c>
      <c r="G5" s="1019" t="s">
        <v>1626</v>
      </c>
      <c r="H5" s="1019"/>
      <c r="I5" s="1019"/>
      <c r="J5" s="1019"/>
      <c r="K5" s="1019"/>
      <c r="L5" s="1019"/>
      <c r="M5" s="1019" t="s">
        <v>1627</v>
      </c>
      <c r="N5" s="1019"/>
      <c r="O5" s="1019"/>
      <c r="P5" s="1019"/>
      <c r="Q5" s="1019"/>
      <c r="R5" s="1019"/>
    </row>
    <row r="6" spans="1:18" s="337" customFormat="1">
      <c r="A6" s="337" t="s">
        <v>1625</v>
      </c>
      <c r="C6" s="1019"/>
      <c r="D6" s="1019"/>
      <c r="E6" s="1019"/>
      <c r="F6" s="1019"/>
      <c r="G6" s="338" t="s">
        <v>1628</v>
      </c>
      <c r="H6" s="338" t="s">
        <v>1629</v>
      </c>
      <c r="I6" s="338" t="s">
        <v>2053</v>
      </c>
      <c r="J6" s="338" t="s">
        <v>2054</v>
      </c>
      <c r="K6" s="338" t="s">
        <v>2055</v>
      </c>
      <c r="L6" s="338" t="s">
        <v>2056</v>
      </c>
      <c r="M6" s="338" t="s">
        <v>1628</v>
      </c>
      <c r="N6" s="338" t="s">
        <v>1629</v>
      </c>
      <c r="O6" s="338" t="s">
        <v>2053</v>
      </c>
      <c r="P6" s="338" t="s">
        <v>2054</v>
      </c>
      <c r="Q6" s="338" t="s">
        <v>2055</v>
      </c>
      <c r="R6" s="338" t="s">
        <v>2056</v>
      </c>
    </row>
    <row r="7" spans="1:18" s="333" customFormat="1" hidden="1">
      <c r="A7" s="333">
        <v>1</v>
      </c>
      <c r="B7" s="333">
        <v>2</v>
      </c>
      <c r="C7" s="328">
        <v>3</v>
      </c>
      <c r="D7" s="328">
        <v>4</v>
      </c>
      <c r="E7" s="328">
        <v>5</v>
      </c>
      <c r="F7" s="328">
        <v>6</v>
      </c>
      <c r="G7" s="328">
        <v>7</v>
      </c>
      <c r="H7" s="328">
        <v>8</v>
      </c>
      <c r="I7" s="328">
        <v>9</v>
      </c>
      <c r="J7" s="328">
        <v>10</v>
      </c>
      <c r="K7" s="328">
        <v>11</v>
      </c>
      <c r="L7" s="328">
        <v>12</v>
      </c>
      <c r="M7" s="328">
        <v>13</v>
      </c>
      <c r="N7" s="328">
        <v>14</v>
      </c>
      <c r="O7" s="328">
        <v>15</v>
      </c>
      <c r="P7" s="328">
        <v>16</v>
      </c>
      <c r="Q7" s="328">
        <v>17</v>
      </c>
      <c r="R7" s="328">
        <v>18</v>
      </c>
    </row>
    <row r="8" spans="1:18">
      <c r="A8" s="339" t="s">
        <v>1743</v>
      </c>
      <c r="B8" s="333">
        <f>IF(SUM(B9:B97)&lt;&gt;0,1,)</f>
        <v>1</v>
      </c>
      <c r="C8" s="324" t="s">
        <v>1765</v>
      </c>
      <c r="D8" s="325" t="s">
        <v>3226</v>
      </c>
      <c r="E8" s="324"/>
      <c r="F8" s="324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</row>
    <row r="9" spans="1:18">
      <c r="B9" s="333">
        <f>IF(SUM(B10:B31)&lt;&gt;0,1)</f>
        <v>1</v>
      </c>
      <c r="C9" s="326" t="s">
        <v>1631</v>
      </c>
      <c r="D9" s="327" t="s">
        <v>1632</v>
      </c>
      <c r="E9" s="326"/>
      <c r="F9" s="326"/>
      <c r="G9" s="327"/>
      <c r="H9" s="327"/>
      <c r="I9" s="327"/>
      <c r="J9" s="327"/>
      <c r="K9" s="327"/>
      <c r="L9" s="327"/>
      <c r="M9" s="327"/>
      <c r="N9" s="327"/>
      <c r="O9" s="327"/>
      <c r="P9" s="327"/>
      <c r="Q9" s="327"/>
      <c r="R9" s="327"/>
    </row>
    <row r="10" spans="1:18" hidden="1">
      <c r="A10" s="332" t="s">
        <v>1400</v>
      </c>
      <c r="B10" s="333">
        <f t="shared" ref="B10:B31" si="0">IF(F10&lt;&gt;0,1,)</f>
        <v>0</v>
      </c>
      <c r="C10" s="328">
        <f>IF(F10&lt;&gt;0,1,)</f>
        <v>0</v>
      </c>
      <c r="D10" s="340" t="str">
        <f>VLOOKUP(A10,CTDD,'5.CT-DD'!$E$6,0)</f>
        <v>Móng M10</v>
      </c>
      <c r="E10" s="341" t="str">
        <f>VLOOKUP(A10,CTDD,'5.CT-DD'!$F$6,0)</f>
        <v>Móng</v>
      </c>
      <c r="F10" s="328">
        <f>VLOOKUP($A10,CTDD,'5.CT-DD'!$V$6,0)</f>
        <v>0</v>
      </c>
      <c r="G10" s="329">
        <f>VLOOKUP($A10,CTDD,'5.CT-DD'!$N$6,0)</f>
        <v>0</v>
      </c>
      <c r="H10" s="329">
        <f>VLOOKUP($A10,CTDD,'5.CT-DD'!$O$6,0)</f>
        <v>0</v>
      </c>
      <c r="I10" s="329">
        <f>VLOOKUP($A10,CTDD,'5.CT-DD'!$P$6,0)</f>
        <v>98311.13</v>
      </c>
      <c r="J10" s="329">
        <f>VLOOKUP($A10,CTDD,'5.CT-DD'!$Q$6,0)</f>
        <v>0</v>
      </c>
      <c r="K10" s="329">
        <f>VLOOKUP($A10,CTDD,'5.CT-DD'!$R$6,0)</f>
        <v>2525.7760000000003</v>
      </c>
      <c r="L10" s="329">
        <f>VLOOKUP($A10,CTDD,'5.CT-DD'!$S$6,0)</f>
        <v>0</v>
      </c>
      <c r="M10" s="329">
        <f t="shared" ref="M10:R10" si="1">$F10*G10</f>
        <v>0</v>
      </c>
      <c r="N10" s="329">
        <f t="shared" si="1"/>
        <v>0</v>
      </c>
      <c r="O10" s="329">
        <f t="shared" si="1"/>
        <v>0</v>
      </c>
      <c r="P10" s="329">
        <f t="shared" si="1"/>
        <v>0</v>
      </c>
      <c r="Q10" s="329">
        <f t="shared" si="1"/>
        <v>0</v>
      </c>
      <c r="R10" s="329">
        <f t="shared" si="1"/>
        <v>0</v>
      </c>
    </row>
    <row r="11" spans="1:18" hidden="1">
      <c r="A11" s="332" t="s">
        <v>1401</v>
      </c>
      <c r="B11" s="333">
        <f t="shared" si="0"/>
        <v>0</v>
      </c>
      <c r="C11" s="328">
        <f>IF(F11&lt;&gt;0,C10+1,C10)</f>
        <v>0</v>
      </c>
      <c r="D11" s="340" t="str">
        <f>VLOOKUP(A11,CTDD,'5.CT-DD'!$E$6,0)</f>
        <v xml:space="preserve">Móng M10a </v>
      </c>
      <c r="E11" s="341" t="str">
        <f>VLOOKUP(A11,CTDD,'5.CT-DD'!$F$6,0)</f>
        <v>Móng</v>
      </c>
      <c r="F11" s="328">
        <f>VLOOKUP($A11,CTDD,'5.CT-DD'!$V$6,0)</f>
        <v>0</v>
      </c>
      <c r="G11" s="329">
        <f>VLOOKUP($A11,CTDD,'5.CT-DD'!$N$6,0)</f>
        <v>412400</v>
      </c>
      <c r="H11" s="329">
        <f>VLOOKUP($A11,CTDD,'5.CT-DD'!$O$6,0)</f>
        <v>0</v>
      </c>
      <c r="I11" s="329">
        <f>VLOOKUP($A11,CTDD,'5.CT-DD'!$P$6,0)</f>
        <v>193240.861</v>
      </c>
      <c r="J11" s="329">
        <f>VLOOKUP($A11,CTDD,'5.CT-DD'!$Q$6,0)</f>
        <v>0</v>
      </c>
      <c r="K11" s="329">
        <f>VLOOKUP($A11,CTDD,'5.CT-DD'!$R$6,0)</f>
        <v>5811.52</v>
      </c>
      <c r="L11" s="329">
        <f>VLOOKUP($A11,CTDD,'5.CT-DD'!$S$6,0)</f>
        <v>0</v>
      </c>
      <c r="M11" s="329">
        <f t="shared" ref="M11:M31" si="2">$F11*G11</f>
        <v>0</v>
      </c>
      <c r="N11" s="329">
        <f t="shared" ref="N11:N31" si="3">$F11*H11</f>
        <v>0</v>
      </c>
      <c r="O11" s="329">
        <f t="shared" ref="O11:O31" si="4">$F11*I11</f>
        <v>0</v>
      </c>
      <c r="P11" s="329">
        <f t="shared" ref="P11:P31" si="5">$F11*J11</f>
        <v>0</v>
      </c>
      <c r="Q11" s="329">
        <f t="shared" ref="Q11:Q31" si="6">$F11*K11</f>
        <v>0</v>
      </c>
      <c r="R11" s="329">
        <f t="shared" ref="R11:R31" si="7">$F11*L11</f>
        <v>0</v>
      </c>
    </row>
    <row r="12" spans="1:18" hidden="1">
      <c r="A12" s="332" t="s">
        <v>1482</v>
      </c>
      <c r="B12" s="333">
        <f t="shared" si="0"/>
        <v>0</v>
      </c>
      <c r="C12" s="328">
        <f t="shared" ref="C12:C31" si="8">IF(F12&lt;&gt;0,C11+1,C11)</f>
        <v>0</v>
      </c>
      <c r="D12" s="340" t="str">
        <f>VLOOKUP(A12,CTDD,'5.CT-DD'!$E$6,0)</f>
        <v>Móng bê tông trụ đơn 10.5m</v>
      </c>
      <c r="E12" s="341" t="str">
        <f>VLOOKUP(A12,CTDD,'5.CT-DD'!$F$6,0)</f>
        <v>Móng</v>
      </c>
      <c r="F12" s="328">
        <f>VLOOKUP($A12,CTDD,'5.CT-DD'!$V$6,0)</f>
        <v>0</v>
      </c>
      <c r="G12" s="329">
        <f>VLOOKUP($A12,CTDD,'5.CT-DD'!$N$6,0)</f>
        <v>281700</v>
      </c>
      <c r="H12" s="329">
        <f>VLOOKUP($A12,CTDD,'5.CT-DD'!$O$6,0)</f>
        <v>1063106</v>
      </c>
      <c r="I12" s="329">
        <f>VLOOKUP($A12,CTDD,'5.CT-DD'!$P$6,0)</f>
        <v>865910.96900000004</v>
      </c>
      <c r="J12" s="329">
        <f>VLOOKUP($A12,CTDD,'5.CT-DD'!$Q$6,0)</f>
        <v>300392.06400000001</v>
      </c>
      <c r="K12" s="329">
        <f>VLOOKUP($A12,CTDD,'5.CT-DD'!$R$6,0)</f>
        <v>48768.839</v>
      </c>
      <c r="L12" s="329">
        <f>VLOOKUP($A12,CTDD,'5.CT-DD'!$S$6,0)</f>
        <v>0</v>
      </c>
      <c r="M12" s="329">
        <f t="shared" si="2"/>
        <v>0</v>
      </c>
      <c r="N12" s="329">
        <f t="shared" si="3"/>
        <v>0</v>
      </c>
      <c r="O12" s="329">
        <f t="shared" si="4"/>
        <v>0</v>
      </c>
      <c r="P12" s="329">
        <f t="shared" si="5"/>
        <v>0</v>
      </c>
      <c r="Q12" s="329">
        <f t="shared" si="6"/>
        <v>0</v>
      </c>
      <c r="R12" s="329">
        <f t="shared" si="7"/>
        <v>0</v>
      </c>
    </row>
    <row r="13" spans="1:18" hidden="1">
      <c r="A13" s="332" t="s">
        <v>1483</v>
      </c>
      <c r="B13" s="333">
        <f t="shared" si="0"/>
        <v>0</v>
      </c>
      <c r="C13" s="328">
        <f t="shared" si="8"/>
        <v>0</v>
      </c>
      <c r="D13" s="340" t="str">
        <f>VLOOKUP(A13,CTDD,'5.CT-DD'!$E$6,0)</f>
        <v>Móng M10BT đôi</v>
      </c>
      <c r="E13" s="341" t="str">
        <f>VLOOKUP(A13,CTDD,'5.CT-DD'!$F$6,0)</f>
        <v>Móng</v>
      </c>
      <c r="F13" s="328">
        <f>VLOOKUP($A13,CTDD,'5.CT-DD'!$V$6,0)</f>
        <v>0</v>
      </c>
      <c r="G13" s="329">
        <f>VLOOKUP($A13,CTDD,'5.CT-DD'!$N$6,0)</f>
        <v>375370</v>
      </c>
      <c r="H13" s="329">
        <f>VLOOKUP($A13,CTDD,'5.CT-DD'!$O$6,0)</f>
        <v>1317888</v>
      </c>
      <c r="I13" s="329">
        <f>VLOOKUP($A13,CTDD,'5.CT-DD'!$P$6,0)</f>
        <v>1194068.9759999998</v>
      </c>
      <c r="J13" s="329">
        <f>VLOOKUP($A13,CTDD,'5.CT-DD'!$Q$6,0)</f>
        <v>0</v>
      </c>
      <c r="K13" s="329">
        <f>VLOOKUP($A13,CTDD,'5.CT-DD'!$R$6,0)</f>
        <v>63475.576000000008</v>
      </c>
      <c r="L13" s="329">
        <f>VLOOKUP($A13,CTDD,'5.CT-DD'!$S$6,0)</f>
        <v>0</v>
      </c>
      <c r="M13" s="329">
        <f t="shared" si="2"/>
        <v>0</v>
      </c>
      <c r="N13" s="329">
        <f t="shared" si="3"/>
        <v>0</v>
      </c>
      <c r="O13" s="329">
        <f t="shared" si="4"/>
        <v>0</v>
      </c>
      <c r="P13" s="329">
        <f t="shared" si="5"/>
        <v>0</v>
      </c>
      <c r="Q13" s="329">
        <f t="shared" si="6"/>
        <v>0</v>
      </c>
      <c r="R13" s="329">
        <f t="shared" si="7"/>
        <v>0</v>
      </c>
    </row>
    <row r="14" spans="1:18">
      <c r="A14" s="332" t="s">
        <v>558</v>
      </c>
      <c r="B14" s="333">
        <f t="shared" si="0"/>
        <v>1</v>
      </c>
      <c r="C14" s="328">
        <f t="shared" si="8"/>
        <v>1</v>
      </c>
      <c r="D14" s="329" t="str">
        <f>VLOOKUP(A14,CTDD,'5.CT-DD'!$E$6,0)</f>
        <v>Móng M12</v>
      </c>
      <c r="E14" s="328" t="str">
        <f>VLOOKUP(A14,CTDD,'5.CT-DD'!$F$6,0)</f>
        <v>Móng</v>
      </c>
      <c r="F14" s="328">
        <f>VLOOKUP($A14,CTDD,'5.CT-DD'!$V$6,0)</f>
        <v>57</v>
      </c>
      <c r="G14" s="329">
        <f>VLOOKUP($A14,CTDD,'5.CT-DD'!$N$6,0)</f>
        <v>0</v>
      </c>
      <c r="H14" s="329">
        <f>VLOOKUP($A14,CTDD,'5.CT-DD'!$O$6,0)</f>
        <v>0</v>
      </c>
      <c r="I14" s="329">
        <f>VLOOKUP($A14,CTDD,'5.CT-DD'!$P$6,0)</f>
        <v>109186.255</v>
      </c>
      <c r="J14" s="329">
        <f>VLOOKUP($A14,CTDD,'5.CT-DD'!$Q$6,0)</f>
        <v>0</v>
      </c>
      <c r="K14" s="329">
        <f>VLOOKUP($A14,CTDD,'5.CT-DD'!$R$6,0)</f>
        <v>2805.1759999999999</v>
      </c>
      <c r="L14" s="329">
        <f>VLOOKUP($A14,CTDD,'5.CT-DD'!$S$6,0)</f>
        <v>0</v>
      </c>
      <c r="M14" s="329">
        <f t="shared" si="2"/>
        <v>0</v>
      </c>
      <c r="N14" s="329">
        <f t="shared" si="3"/>
        <v>0</v>
      </c>
      <c r="O14" s="329">
        <f t="shared" si="4"/>
        <v>6223616.5350000001</v>
      </c>
      <c r="P14" s="329">
        <f t="shared" si="5"/>
        <v>0</v>
      </c>
      <c r="Q14" s="329">
        <f t="shared" si="6"/>
        <v>159895.03200000001</v>
      </c>
      <c r="R14" s="329">
        <f t="shared" si="7"/>
        <v>0</v>
      </c>
    </row>
    <row r="15" spans="1:18" hidden="1">
      <c r="A15" s="332" t="s">
        <v>1402</v>
      </c>
      <c r="B15" s="333">
        <f t="shared" si="0"/>
        <v>0</v>
      </c>
      <c r="C15" s="328">
        <f t="shared" si="8"/>
        <v>1</v>
      </c>
      <c r="D15" s="340" t="str">
        <f>VLOOKUP(A15,CTDD,'5.CT-DD'!$E$6,0)</f>
        <v>Móng M12a</v>
      </c>
      <c r="E15" s="341" t="str">
        <f>VLOOKUP(A15,CTDD,'5.CT-DD'!$F$6,0)</f>
        <v>Móng</v>
      </c>
      <c r="F15" s="328">
        <f>VLOOKUP($A15,CTDD,'5.CT-DD'!$V$6,0)</f>
        <v>0</v>
      </c>
      <c r="G15" s="329">
        <f>VLOOKUP($A15,CTDD,'5.CT-DD'!$N$6,0)</f>
        <v>412400</v>
      </c>
      <c r="H15" s="329">
        <f>VLOOKUP($A15,CTDD,'5.CT-DD'!$O$6,0)</f>
        <v>0</v>
      </c>
      <c r="I15" s="329">
        <f>VLOOKUP($A15,CTDD,'5.CT-DD'!$P$6,0)</f>
        <v>199524.97200000001</v>
      </c>
      <c r="J15" s="329">
        <f>VLOOKUP($A15,CTDD,'5.CT-DD'!$Q$6,0)</f>
        <v>0</v>
      </c>
      <c r="K15" s="329">
        <f>VLOOKUP($A15,CTDD,'5.CT-DD'!$R$6,0)</f>
        <v>8247.887999999999</v>
      </c>
      <c r="L15" s="329">
        <f>VLOOKUP($A15,CTDD,'5.CT-DD'!$S$6,0)</f>
        <v>0</v>
      </c>
      <c r="M15" s="329">
        <f t="shared" si="2"/>
        <v>0</v>
      </c>
      <c r="N15" s="329">
        <f t="shared" si="3"/>
        <v>0</v>
      </c>
      <c r="O15" s="329">
        <f t="shared" si="4"/>
        <v>0</v>
      </c>
      <c r="P15" s="329">
        <f t="shared" si="5"/>
        <v>0</v>
      </c>
      <c r="Q15" s="329">
        <f t="shared" si="6"/>
        <v>0</v>
      </c>
      <c r="R15" s="329">
        <f t="shared" si="7"/>
        <v>0</v>
      </c>
    </row>
    <row r="16" spans="1:18">
      <c r="A16" s="332" t="s">
        <v>1484</v>
      </c>
      <c r="B16" s="333">
        <f t="shared" si="0"/>
        <v>1</v>
      </c>
      <c r="C16" s="328">
        <f t="shared" si="8"/>
        <v>2</v>
      </c>
      <c r="D16" s="329" t="str">
        <f>VLOOKUP(A16,CTDD,'5.CT-DD'!$E$6,0)</f>
        <v>Móng M12 phá đá chân móng</v>
      </c>
      <c r="E16" s="328" t="str">
        <f>VLOOKUP(A16,CTDD,'5.CT-DD'!$F$6,0)</f>
        <v>Móng</v>
      </c>
      <c r="F16" s="328">
        <f>VLOOKUP($A16,CTDD,'5.CT-DD'!$V$6,0)</f>
        <v>11</v>
      </c>
      <c r="G16" s="329">
        <f>VLOOKUP($A16,CTDD,'5.CT-DD'!$N$6,0)</f>
        <v>0</v>
      </c>
      <c r="H16" s="329">
        <f>VLOOKUP($A16,CTDD,'5.CT-DD'!$O$6,0)</f>
        <v>0</v>
      </c>
      <c r="I16" s="329">
        <f>VLOOKUP($A16,CTDD,'5.CT-DD'!$P$6,0)</f>
        <v>465017.48899999994</v>
      </c>
      <c r="J16" s="329">
        <f>VLOOKUP($A16,CTDD,'5.CT-DD'!$Q$6,0)</f>
        <v>0</v>
      </c>
      <c r="K16" s="329">
        <f>VLOOKUP($A16,CTDD,'5.CT-DD'!$R$6,0)</f>
        <v>560178.71199999994</v>
      </c>
      <c r="L16" s="329">
        <f>VLOOKUP($A16,CTDD,'5.CT-DD'!$S$6,0)</f>
        <v>0</v>
      </c>
      <c r="M16" s="329">
        <f t="shared" si="2"/>
        <v>0</v>
      </c>
      <c r="N16" s="329">
        <f t="shared" si="3"/>
        <v>0</v>
      </c>
      <c r="O16" s="329">
        <f t="shared" si="4"/>
        <v>5115192.3789999997</v>
      </c>
      <c r="P16" s="329">
        <f t="shared" si="5"/>
        <v>0</v>
      </c>
      <c r="Q16" s="329">
        <f t="shared" si="6"/>
        <v>6161965.8319999995</v>
      </c>
      <c r="R16" s="329">
        <f t="shared" si="7"/>
        <v>0</v>
      </c>
    </row>
    <row r="17" spans="1:18">
      <c r="A17" s="332" t="s">
        <v>1485</v>
      </c>
      <c r="B17" s="333">
        <f t="shared" si="0"/>
        <v>1</v>
      </c>
      <c r="C17" s="328">
        <f t="shared" si="8"/>
        <v>3</v>
      </c>
      <c r="D17" s="329" t="str">
        <f>VLOOKUP(A17,CTDD,'5.CT-DD'!$E$6,0)</f>
        <v>Móng bê tông trụ đơn 12m</v>
      </c>
      <c r="E17" s="328" t="str">
        <f>VLOOKUP(A17,CTDD,'5.CT-DD'!$F$6,0)</f>
        <v>Móng</v>
      </c>
      <c r="F17" s="328">
        <f>VLOOKUP($A17,CTDD,'5.CT-DD'!$V$6,0)</f>
        <v>6</v>
      </c>
      <c r="G17" s="329">
        <f>VLOOKUP($A17,CTDD,'5.CT-DD'!$N$6,0)</f>
        <v>0</v>
      </c>
      <c r="H17" s="329">
        <f>VLOOKUP($A17,CTDD,'5.CT-DD'!$O$6,0)</f>
        <v>1245282</v>
      </c>
      <c r="I17" s="329">
        <f>VLOOKUP($A17,CTDD,'5.CT-DD'!$P$6,0)</f>
        <v>902398.14100000006</v>
      </c>
      <c r="J17" s="329">
        <f>VLOOKUP($A17,CTDD,'5.CT-DD'!$Q$6,0)</f>
        <v>0</v>
      </c>
      <c r="K17" s="329">
        <f>VLOOKUP($A17,CTDD,'5.CT-DD'!$R$6,0)</f>
        <v>48902.950999999994</v>
      </c>
      <c r="L17" s="329">
        <f>VLOOKUP($A17,CTDD,'5.CT-DD'!$S$6,0)</f>
        <v>0</v>
      </c>
      <c r="M17" s="329">
        <f t="shared" si="2"/>
        <v>0</v>
      </c>
      <c r="N17" s="329">
        <f t="shared" si="3"/>
        <v>7471692</v>
      </c>
      <c r="O17" s="329">
        <f t="shared" si="4"/>
        <v>5414388.8460000008</v>
      </c>
      <c r="P17" s="329">
        <f t="shared" si="5"/>
        <v>0</v>
      </c>
      <c r="Q17" s="329">
        <f t="shared" si="6"/>
        <v>293417.70599999995</v>
      </c>
      <c r="R17" s="329">
        <f t="shared" si="7"/>
        <v>0</v>
      </c>
    </row>
    <row r="18" spans="1:18" hidden="1">
      <c r="A18" s="332" t="s">
        <v>3585</v>
      </c>
      <c r="B18" s="333">
        <f>IF(F18&lt;&gt;0,1,)</f>
        <v>0</v>
      </c>
      <c r="C18" s="328">
        <f>IF(F18&lt;&gt;0,C17+1,C17)</f>
        <v>3</v>
      </c>
      <c r="D18" s="329" t="str">
        <f>VLOOKUP(A18,CTDD,'5.CT-DD'!$E$6,0)</f>
        <v>Móng bê tông trụ đơn 12m (Gia cố bê tông)</v>
      </c>
      <c r="E18" s="328" t="str">
        <f>VLOOKUP(A18,CTDD,'5.CT-DD'!$F$6,0)</f>
        <v>Móng</v>
      </c>
      <c r="F18" s="328">
        <f>VLOOKUP($A18,CTDD,'5.CT-DD'!$V$6,0)</f>
        <v>0</v>
      </c>
      <c r="G18" s="329">
        <f>VLOOKUP($A18,CTDD,'5.CT-DD'!$N$6,0)</f>
        <v>209820</v>
      </c>
      <c r="H18" s="329">
        <f>VLOOKUP($A18,CTDD,'5.CT-DD'!$O$6,0)</f>
        <v>1035462</v>
      </c>
      <c r="I18" s="329">
        <f>VLOOKUP($A18,CTDD,'5.CT-DD'!$P$6,0)</f>
        <v>778459.64</v>
      </c>
      <c r="J18" s="329">
        <f>VLOOKUP($A18,CTDD,'5.CT-DD'!$Q$6,0)</f>
        <v>0</v>
      </c>
      <c r="K18" s="329">
        <f>VLOOKUP($A18,CTDD,'5.CT-DD'!$R$6,0)</f>
        <v>48053.574999999997</v>
      </c>
      <c r="L18" s="329">
        <f>VLOOKUP($A18,CTDD,'5.CT-DD'!$S$6,0)</f>
        <v>0</v>
      </c>
      <c r="M18" s="329">
        <f t="shared" ref="M18:R18" si="9">$F18*G18</f>
        <v>0</v>
      </c>
      <c r="N18" s="329">
        <f t="shared" si="9"/>
        <v>0</v>
      </c>
      <c r="O18" s="329">
        <f t="shared" si="9"/>
        <v>0</v>
      </c>
      <c r="P18" s="329">
        <f t="shared" si="9"/>
        <v>0</v>
      </c>
      <c r="Q18" s="329">
        <f t="shared" si="9"/>
        <v>0</v>
      </c>
      <c r="R18" s="329">
        <f t="shared" si="9"/>
        <v>0</v>
      </c>
    </row>
    <row r="19" spans="1:18">
      <c r="A19" s="332" t="s">
        <v>1486</v>
      </c>
      <c r="B19" s="333">
        <f t="shared" si="0"/>
        <v>1</v>
      </c>
      <c r="C19" s="328">
        <f>IF(F19&lt;&gt;0,C17+1,C17)</f>
        <v>4</v>
      </c>
      <c r="D19" s="329" t="str">
        <f>VLOOKUP(A19,CTDD,'5.CT-DD'!$E$6,0)</f>
        <v>Móng bê tông trụ đôi 12m</v>
      </c>
      <c r="E19" s="328" t="str">
        <f>VLOOKUP(A19,CTDD,'5.CT-DD'!$F$6,0)</f>
        <v>Móng</v>
      </c>
      <c r="F19" s="328">
        <f>VLOOKUP($A19,CTDD,'5.CT-DD'!$V$6,0)</f>
        <v>71</v>
      </c>
      <c r="G19" s="329">
        <f>VLOOKUP($A19,CTDD,'5.CT-DD'!$N$6,0)</f>
        <v>147000</v>
      </c>
      <c r="H19" s="329">
        <f>VLOOKUP($A19,CTDD,'5.CT-DD'!$O$6,0)</f>
        <v>1562258</v>
      </c>
      <c r="I19" s="329">
        <f>VLOOKUP($A19,CTDD,'5.CT-DD'!$P$6,0)</f>
        <v>1267918.8429999999</v>
      </c>
      <c r="J19" s="329">
        <f>VLOOKUP($A19,CTDD,'5.CT-DD'!$Q$6,0)</f>
        <v>0</v>
      </c>
      <c r="K19" s="329">
        <f>VLOOKUP($A19,CTDD,'5.CT-DD'!$R$6,0)</f>
        <v>65945.472000000009</v>
      </c>
      <c r="L19" s="329">
        <f>VLOOKUP($A19,CTDD,'5.CT-DD'!$S$6,0)</f>
        <v>0</v>
      </c>
      <c r="M19" s="329">
        <f t="shared" si="2"/>
        <v>10437000</v>
      </c>
      <c r="N19" s="329">
        <f t="shared" si="3"/>
        <v>110920318</v>
      </c>
      <c r="O19" s="329">
        <f t="shared" si="4"/>
        <v>90022237.852999985</v>
      </c>
      <c r="P19" s="329">
        <f t="shared" si="5"/>
        <v>0</v>
      </c>
      <c r="Q19" s="329">
        <f t="shared" si="6"/>
        <v>4682128.512000001</v>
      </c>
      <c r="R19" s="329">
        <f t="shared" si="7"/>
        <v>0</v>
      </c>
    </row>
    <row r="20" spans="1:18">
      <c r="A20" s="332" t="s">
        <v>2596</v>
      </c>
      <c r="B20" s="333">
        <f>IF(F20&lt;&gt;0,1,)</f>
        <v>1</v>
      </c>
      <c r="C20" s="328">
        <f t="shared" si="8"/>
        <v>5</v>
      </c>
      <c r="D20" s="329" t="str">
        <f>VLOOKUP(A20,CTDD,'5.CT-DD'!$E$6,0)</f>
        <v>Móng bê tông trụ đơn 12m (Vướng đá)</v>
      </c>
      <c r="E20" s="328" t="str">
        <f>VLOOKUP(A20,CTDD,'5.CT-DD'!$F$6,0)</f>
        <v>Móng</v>
      </c>
      <c r="F20" s="328">
        <f>VLOOKUP($A20,CTDD,'5.CT-DD'!$V$6,0)</f>
        <v>1</v>
      </c>
      <c r="G20" s="329">
        <f>VLOOKUP($A20,CTDD,'5.CT-DD'!$N$6,0)</f>
        <v>0</v>
      </c>
      <c r="H20" s="329">
        <f>VLOOKUP($A20,CTDD,'5.CT-DD'!$O$6,0)</f>
        <v>870838</v>
      </c>
      <c r="I20" s="329">
        <f>VLOOKUP($A20,CTDD,'5.CT-DD'!$P$6,0)</f>
        <v>850866.07299999986</v>
      </c>
      <c r="J20" s="329">
        <f>VLOOKUP($A20,CTDD,'5.CT-DD'!$Q$6,0)</f>
        <v>0</v>
      </c>
      <c r="K20" s="329">
        <f>VLOOKUP($A20,CTDD,'5.CT-DD'!$R$6,0)</f>
        <v>584417.28699999989</v>
      </c>
      <c r="L20" s="329">
        <f>VLOOKUP($A20,CTDD,'5.CT-DD'!$S$6,0)</f>
        <v>0</v>
      </c>
      <c r="M20" s="329">
        <f t="shared" ref="M20:R21" si="10">$F20*G20</f>
        <v>0</v>
      </c>
      <c r="N20" s="329">
        <f t="shared" si="10"/>
        <v>870838</v>
      </c>
      <c r="O20" s="329">
        <f t="shared" si="10"/>
        <v>850866.07299999986</v>
      </c>
      <c r="P20" s="329">
        <f t="shared" si="10"/>
        <v>0</v>
      </c>
      <c r="Q20" s="329">
        <f t="shared" si="10"/>
        <v>584417.28699999989</v>
      </c>
      <c r="R20" s="329">
        <f t="shared" si="10"/>
        <v>0</v>
      </c>
    </row>
    <row r="21" spans="1:18">
      <c r="A21" s="332" t="s">
        <v>2595</v>
      </c>
      <c r="B21" s="333">
        <f>IF(F21&lt;&gt;0,1,)</f>
        <v>1</v>
      </c>
      <c r="C21" s="328">
        <f t="shared" si="8"/>
        <v>6</v>
      </c>
      <c r="D21" s="329" t="str">
        <f>VLOOKUP(A21,CTDD,'5.CT-DD'!$E$6,0)</f>
        <v>Móng bê tông trụ đôi 12m (Vướng đá)</v>
      </c>
      <c r="E21" s="328" t="str">
        <f>VLOOKUP(A21,CTDD,'5.CT-DD'!$F$6,0)</f>
        <v>Móng</v>
      </c>
      <c r="F21" s="328">
        <f>VLOOKUP($A21,CTDD,'5.CT-DD'!$V$6,0)</f>
        <v>15</v>
      </c>
      <c r="G21" s="329">
        <f>VLOOKUP($A21,CTDD,'5.CT-DD'!$N$6,0)</f>
        <v>147000</v>
      </c>
      <c r="H21" s="329">
        <f>VLOOKUP($A21,CTDD,'5.CT-DD'!$O$6,0)</f>
        <v>1372844</v>
      </c>
      <c r="I21" s="329">
        <f>VLOOKUP($A21,CTDD,'5.CT-DD'!$P$6,0)</f>
        <v>1342865.7390000001</v>
      </c>
      <c r="J21" s="329">
        <f>VLOOKUP($A21,CTDD,'5.CT-DD'!$Q$6,0)</f>
        <v>0</v>
      </c>
      <c r="K21" s="329">
        <f>VLOOKUP($A21,CTDD,'5.CT-DD'!$R$6,0)</f>
        <v>1099248.486</v>
      </c>
      <c r="L21" s="329">
        <f>VLOOKUP($A21,CTDD,'5.CT-DD'!$S$6,0)</f>
        <v>0</v>
      </c>
      <c r="M21" s="329">
        <f t="shared" si="10"/>
        <v>2205000</v>
      </c>
      <c r="N21" s="329">
        <f t="shared" si="10"/>
        <v>20592660</v>
      </c>
      <c r="O21" s="329">
        <f t="shared" si="10"/>
        <v>20142986.085000001</v>
      </c>
      <c r="P21" s="329">
        <f t="shared" si="10"/>
        <v>0</v>
      </c>
      <c r="Q21" s="329">
        <f t="shared" si="10"/>
        <v>16488727.290000001</v>
      </c>
      <c r="R21" s="329">
        <f t="shared" si="10"/>
        <v>0</v>
      </c>
    </row>
    <row r="22" spans="1:18">
      <c r="A22" s="332" t="s">
        <v>1448</v>
      </c>
      <c r="B22" s="333">
        <f t="shared" si="0"/>
        <v>1</v>
      </c>
      <c r="C22" s="328">
        <f t="shared" si="8"/>
        <v>7</v>
      </c>
      <c r="D22" s="525" t="str">
        <f>VLOOKUP(A22,CTDD,'5.CT-DD'!$E$6,0)</f>
        <v>Móng M14</v>
      </c>
      <c r="E22" s="523" t="str">
        <f>VLOOKUP(A22,CTDD,'5.CT-DD'!$F$6,0)</f>
        <v>Móng</v>
      </c>
      <c r="F22" s="328">
        <f>VLOOKUP($A22,CTDD,'5.CT-DD'!$V$6,0)</f>
        <v>1</v>
      </c>
      <c r="G22" s="329">
        <f>VLOOKUP($A22,CTDD,'5.CT-DD'!$N$6,0)</f>
        <v>0</v>
      </c>
      <c r="H22" s="329">
        <f>VLOOKUP($A22,CTDD,'5.CT-DD'!$O$6,0)</f>
        <v>0</v>
      </c>
      <c r="I22" s="329">
        <f>VLOOKUP($A22,CTDD,'5.CT-DD'!$P$6,0)</f>
        <v>157906.815</v>
      </c>
      <c r="J22" s="329">
        <f>VLOOKUP($A22,CTDD,'5.CT-DD'!$Q$6,0)</f>
        <v>0</v>
      </c>
      <c r="K22" s="329">
        <f>VLOOKUP($A22,CTDD,'5.CT-DD'!$R$6,0)</f>
        <v>4056.8879999999999</v>
      </c>
      <c r="L22" s="329">
        <f>VLOOKUP($A22,CTDD,'5.CT-DD'!$S$6,0)</f>
        <v>0</v>
      </c>
      <c r="M22" s="329">
        <f t="shared" si="2"/>
        <v>0</v>
      </c>
      <c r="N22" s="329">
        <f t="shared" si="3"/>
        <v>0</v>
      </c>
      <c r="O22" s="329">
        <f t="shared" si="4"/>
        <v>157906.815</v>
      </c>
      <c r="P22" s="329">
        <f t="shared" si="5"/>
        <v>0</v>
      </c>
      <c r="Q22" s="329">
        <f t="shared" si="6"/>
        <v>4056.8879999999999</v>
      </c>
      <c r="R22" s="329">
        <f t="shared" si="7"/>
        <v>0</v>
      </c>
    </row>
    <row r="23" spans="1:18" hidden="1">
      <c r="A23" s="332" t="s">
        <v>1427</v>
      </c>
      <c r="B23" s="333">
        <f t="shared" si="0"/>
        <v>0</v>
      </c>
      <c r="C23" s="328">
        <f t="shared" si="8"/>
        <v>7</v>
      </c>
      <c r="D23" s="340" t="str">
        <f>VLOOKUP(A23,CTDD,'5.CT-DD'!$E$6,0)</f>
        <v>Móng M14a</v>
      </c>
      <c r="E23" s="341" t="str">
        <f>VLOOKUP(A23,CTDD,'5.CT-DD'!$F$6,0)</f>
        <v>Móng</v>
      </c>
      <c r="F23" s="328">
        <f>VLOOKUP($A23,CTDD,'5.CT-DD'!$V$6,0)</f>
        <v>0</v>
      </c>
      <c r="G23" s="329">
        <f>VLOOKUP($A23,CTDD,'5.CT-DD'!$N$6,0)</f>
        <v>0</v>
      </c>
      <c r="H23" s="329">
        <f>VLOOKUP($A23,CTDD,'5.CT-DD'!$O$6,0)</f>
        <v>0</v>
      </c>
      <c r="I23" s="329">
        <f>VLOOKUP($A23,CTDD,'5.CT-DD'!$P$6,0)</f>
        <v>0</v>
      </c>
      <c r="J23" s="329">
        <f>VLOOKUP($A23,CTDD,'5.CT-DD'!$Q$6,0)</f>
        <v>0</v>
      </c>
      <c r="K23" s="329">
        <f>VLOOKUP($A23,CTDD,'5.CT-DD'!$R$6,0)</f>
        <v>0</v>
      </c>
      <c r="L23" s="329">
        <f>VLOOKUP($A23,CTDD,'5.CT-DD'!$S$6,0)</f>
        <v>0</v>
      </c>
      <c r="M23" s="329">
        <f t="shared" si="2"/>
        <v>0</v>
      </c>
      <c r="N23" s="329">
        <f t="shared" si="3"/>
        <v>0</v>
      </c>
      <c r="O23" s="329">
        <f t="shared" si="4"/>
        <v>0</v>
      </c>
      <c r="P23" s="329">
        <f t="shared" si="5"/>
        <v>0</v>
      </c>
      <c r="Q23" s="329">
        <f t="shared" si="6"/>
        <v>0</v>
      </c>
      <c r="R23" s="329">
        <f t="shared" si="7"/>
        <v>0</v>
      </c>
    </row>
    <row r="24" spans="1:18" hidden="1">
      <c r="A24" s="332" t="s">
        <v>1487</v>
      </c>
      <c r="B24" s="333">
        <f t="shared" si="0"/>
        <v>0</v>
      </c>
      <c r="C24" s="328">
        <f t="shared" si="8"/>
        <v>7</v>
      </c>
      <c r="D24" s="340" t="str">
        <f>VLOOKUP(A24,CTDD,'5.CT-DD'!$E$6,0)</f>
        <v>Móng bê tông trụ đơn 14m</v>
      </c>
      <c r="E24" s="341" t="str">
        <f>VLOOKUP(A24,CTDD,'5.CT-DD'!$F$6,0)</f>
        <v>Móng</v>
      </c>
      <c r="F24" s="328">
        <f>VLOOKUP($A24,CTDD,'5.CT-DD'!$V$6,0)</f>
        <v>0</v>
      </c>
      <c r="G24" s="329">
        <f>VLOOKUP($A24,CTDD,'5.CT-DD'!$N$6,0)</f>
        <v>306000</v>
      </c>
      <c r="H24" s="329">
        <f>VLOOKUP($A24,CTDD,'5.CT-DD'!$O$6,0)</f>
        <v>1795286</v>
      </c>
      <c r="I24" s="329">
        <f>VLOOKUP($A24,CTDD,'5.CT-DD'!$P$6,0)</f>
        <v>1477737.5759999999</v>
      </c>
      <c r="J24" s="329">
        <f>VLOOKUP($A24,CTDD,'5.CT-DD'!$Q$6,0)</f>
        <v>0</v>
      </c>
      <c r="K24" s="329">
        <f>VLOOKUP($A24,CTDD,'5.CT-DD'!$R$6,0)</f>
        <v>84518.495999999999</v>
      </c>
      <c r="L24" s="329">
        <f>VLOOKUP($A24,CTDD,'5.CT-DD'!$S$6,0)</f>
        <v>0</v>
      </c>
      <c r="M24" s="329">
        <f t="shared" si="2"/>
        <v>0</v>
      </c>
      <c r="N24" s="329">
        <f t="shared" si="3"/>
        <v>0</v>
      </c>
      <c r="O24" s="329">
        <f t="shared" si="4"/>
        <v>0</v>
      </c>
      <c r="P24" s="329">
        <f t="shared" si="5"/>
        <v>0</v>
      </c>
      <c r="Q24" s="329">
        <f t="shared" si="6"/>
        <v>0</v>
      </c>
      <c r="R24" s="329">
        <f t="shared" si="7"/>
        <v>0</v>
      </c>
    </row>
    <row r="25" spans="1:18">
      <c r="A25" s="332" t="s">
        <v>1488</v>
      </c>
      <c r="B25" s="333">
        <f t="shared" si="0"/>
        <v>1</v>
      </c>
      <c r="C25" s="328">
        <f t="shared" si="8"/>
        <v>8</v>
      </c>
      <c r="D25" s="525" t="str">
        <f>VLOOKUP(A25,CTDD,'5.CT-DD'!$E$6,0)</f>
        <v>Móng bê tông trụ đôi 14m</v>
      </c>
      <c r="E25" s="523" t="str">
        <f>VLOOKUP(A25,CTDD,'5.CT-DD'!$F$6,0)</f>
        <v>Móng</v>
      </c>
      <c r="F25" s="328">
        <f>VLOOKUP($A25,CTDD,'5.CT-DD'!$V$6,0)</f>
        <v>4</v>
      </c>
      <c r="G25" s="329">
        <f>VLOOKUP($A25,CTDD,'5.CT-DD'!$N$6,0)</f>
        <v>147000</v>
      </c>
      <c r="H25" s="329">
        <f>VLOOKUP($A25,CTDD,'5.CT-DD'!$O$6,0)</f>
        <v>3565630</v>
      </c>
      <c r="I25" s="329">
        <f>VLOOKUP($A25,CTDD,'5.CT-DD'!$P$6,0)</f>
        <v>2413750.648</v>
      </c>
      <c r="J25" s="329">
        <f>VLOOKUP($A25,CTDD,'5.CT-DD'!$Q$6,0)</f>
        <v>0</v>
      </c>
      <c r="K25" s="329">
        <f>VLOOKUP($A25,CTDD,'5.CT-DD'!$R$6,0)</f>
        <v>138953.38399999999</v>
      </c>
      <c r="L25" s="329">
        <f>VLOOKUP($A25,CTDD,'5.CT-DD'!$S$6,0)</f>
        <v>0</v>
      </c>
      <c r="M25" s="329">
        <f t="shared" si="2"/>
        <v>588000</v>
      </c>
      <c r="N25" s="329">
        <f t="shared" si="3"/>
        <v>14262520</v>
      </c>
      <c r="O25" s="329">
        <f t="shared" si="4"/>
        <v>9655002.5920000002</v>
      </c>
      <c r="P25" s="329">
        <f t="shared" si="5"/>
        <v>0</v>
      </c>
      <c r="Q25" s="329">
        <f t="shared" si="6"/>
        <v>555813.53599999996</v>
      </c>
      <c r="R25" s="329">
        <f t="shared" si="7"/>
        <v>0</v>
      </c>
    </row>
    <row r="26" spans="1:18" hidden="1">
      <c r="A26" s="332" t="s">
        <v>1778</v>
      </c>
      <c r="B26" s="333">
        <f t="shared" si="0"/>
        <v>0</v>
      </c>
      <c r="C26" s="328">
        <f t="shared" si="8"/>
        <v>8</v>
      </c>
      <c r="D26" s="340" t="str">
        <f>VLOOKUP(A26,CTDD,'5.CT-DD'!$E$6,0)</f>
        <v>Móng M20</v>
      </c>
      <c r="E26" s="341" t="str">
        <f>VLOOKUP(A26,CTDD,'5.CT-DD'!$F$6,0)</f>
        <v>Móng</v>
      </c>
      <c r="F26" s="328">
        <f>VLOOKUP($A26,CTDD,'5.CT-DD'!$V$6,0)</f>
        <v>0</v>
      </c>
      <c r="G26" s="329">
        <f>VLOOKUP($A26,CTDD,'5.CT-DD'!$N$6,0)</f>
        <v>0</v>
      </c>
      <c r="H26" s="329">
        <f>VLOOKUP($A26,CTDD,'5.CT-DD'!$O$6,0)</f>
        <v>0</v>
      </c>
      <c r="I26" s="329">
        <f>VLOOKUP($A26,CTDD,'5.CT-DD'!$P$6,0)</f>
        <v>0</v>
      </c>
      <c r="J26" s="329">
        <f>VLOOKUP($A26,CTDD,'5.CT-DD'!$Q$6,0)</f>
        <v>0</v>
      </c>
      <c r="K26" s="329">
        <f>VLOOKUP($A26,CTDD,'5.CT-DD'!$R$6,0)</f>
        <v>0</v>
      </c>
      <c r="L26" s="329">
        <f>VLOOKUP($A26,CTDD,'5.CT-DD'!$S$6,0)</f>
        <v>0</v>
      </c>
      <c r="M26" s="329">
        <f t="shared" si="2"/>
        <v>0</v>
      </c>
      <c r="N26" s="329">
        <f t="shared" si="3"/>
        <v>0</v>
      </c>
      <c r="O26" s="329">
        <f t="shared" si="4"/>
        <v>0</v>
      </c>
      <c r="P26" s="329">
        <f t="shared" si="5"/>
        <v>0</v>
      </c>
      <c r="Q26" s="329">
        <f t="shared" si="6"/>
        <v>0</v>
      </c>
      <c r="R26" s="329">
        <f t="shared" si="7"/>
        <v>0</v>
      </c>
    </row>
    <row r="27" spans="1:18" hidden="1">
      <c r="A27" s="332" t="s">
        <v>1779</v>
      </c>
      <c r="B27" s="333">
        <f t="shared" si="0"/>
        <v>0</v>
      </c>
      <c r="C27" s="328">
        <f t="shared" si="8"/>
        <v>8</v>
      </c>
      <c r="D27" s="340" t="str">
        <f>VLOOKUP(A27,CTDD,'5.CT-DD'!$E$6,0)</f>
        <v>Tiếp địa lặp lại (trụ 10,5m)</v>
      </c>
      <c r="E27" s="341" t="str">
        <f>VLOOKUP(A27,CTDD,'5.CT-DD'!$F$6,0)</f>
        <v>Bộ</v>
      </c>
      <c r="F27" s="328">
        <f>VLOOKUP($A27,CTDD,'5.CT-DD'!$V$6,0)</f>
        <v>0</v>
      </c>
      <c r="G27" s="329">
        <f>VLOOKUP($A27,CTDD,'5.CT-DD'!$N$6,0)</f>
        <v>887309.44000000006</v>
      </c>
      <c r="H27" s="329">
        <f>VLOOKUP($A27,CTDD,'5.CT-DD'!$O$6,0)</f>
        <v>0</v>
      </c>
      <c r="I27" s="329">
        <f>VLOOKUP($A27,CTDD,'5.CT-DD'!$P$6,0)</f>
        <v>90246.45</v>
      </c>
      <c r="J27" s="329">
        <f>VLOOKUP($A27,CTDD,'5.CT-DD'!$Q$6,0)</f>
        <v>159756.16</v>
      </c>
      <c r="K27" s="329">
        <f>VLOOKUP($A27,CTDD,'5.CT-DD'!$R$6,0)</f>
        <v>3911.6</v>
      </c>
      <c r="L27" s="329">
        <f>VLOOKUP($A27,CTDD,'5.CT-DD'!$S$6,0)</f>
        <v>0</v>
      </c>
      <c r="M27" s="329">
        <f t="shared" si="2"/>
        <v>0</v>
      </c>
      <c r="N27" s="329">
        <f t="shared" si="3"/>
        <v>0</v>
      </c>
      <c r="O27" s="329">
        <f t="shared" si="4"/>
        <v>0</v>
      </c>
      <c r="P27" s="329">
        <f t="shared" si="5"/>
        <v>0</v>
      </c>
      <c r="Q27" s="329">
        <f t="shared" si="6"/>
        <v>0</v>
      </c>
      <c r="R27" s="329">
        <f t="shared" si="7"/>
        <v>0</v>
      </c>
    </row>
    <row r="28" spans="1:18">
      <c r="A28" s="332" t="s">
        <v>1766</v>
      </c>
      <c r="B28" s="333">
        <f t="shared" si="0"/>
        <v>1</v>
      </c>
      <c r="C28" s="328">
        <f t="shared" si="8"/>
        <v>9</v>
      </c>
      <c r="D28" s="525" t="str">
        <f>VLOOKUP(A28,CTDD,'5.CT-DD'!$E$6,0)</f>
        <v>Tiếp địa lặp lại (trụ 12m)</v>
      </c>
      <c r="E28" s="523" t="str">
        <f>VLOOKUP(A28,CTDD,'5.CT-DD'!$F$6,0)</f>
        <v>Bộ</v>
      </c>
      <c r="F28" s="328">
        <f>VLOOKUP($A28,CTDD,'5.CT-DD'!$V$6,0)</f>
        <v>27</v>
      </c>
      <c r="G28" s="329">
        <f>VLOOKUP($A28,CTDD,'5.CT-DD'!$N$6,0)</f>
        <v>952418.55999999994</v>
      </c>
      <c r="H28" s="329">
        <f>VLOOKUP($A28,CTDD,'5.CT-DD'!$O$6,0)</f>
        <v>0</v>
      </c>
      <c r="I28" s="329">
        <f>VLOOKUP($A28,CTDD,'5.CT-DD'!$P$6,0)</f>
        <v>90246.45</v>
      </c>
      <c r="J28" s="329">
        <f>VLOOKUP($A28,CTDD,'5.CT-DD'!$Q$6,0)</f>
        <v>160247.84</v>
      </c>
      <c r="K28" s="329">
        <f>VLOOKUP($A28,CTDD,'5.CT-DD'!$R$6,0)</f>
        <v>3911.6</v>
      </c>
      <c r="L28" s="329">
        <f>VLOOKUP($A28,CTDD,'5.CT-DD'!$S$6,0)</f>
        <v>0</v>
      </c>
      <c r="M28" s="329">
        <f t="shared" si="2"/>
        <v>25715301.119999997</v>
      </c>
      <c r="N28" s="329">
        <f t="shared" si="3"/>
        <v>0</v>
      </c>
      <c r="O28" s="329">
        <f t="shared" si="4"/>
        <v>2436654.15</v>
      </c>
      <c r="P28" s="329">
        <f t="shared" si="5"/>
        <v>4326691.68</v>
      </c>
      <c r="Q28" s="329">
        <f t="shared" si="6"/>
        <v>105613.2</v>
      </c>
      <c r="R28" s="329">
        <f t="shared" si="7"/>
        <v>0</v>
      </c>
    </row>
    <row r="29" spans="1:18" hidden="1">
      <c r="A29" s="332" t="s">
        <v>1780</v>
      </c>
      <c r="B29" s="333">
        <f t="shared" si="0"/>
        <v>0</v>
      </c>
      <c r="C29" s="328">
        <f t="shared" si="8"/>
        <v>9</v>
      </c>
      <c r="D29" s="340" t="str">
        <f>VLOOKUP(A29,CTDD,'5.CT-DD'!$E$6,0)</f>
        <v>Tiếp địa lặp lại (trụ 14m)</v>
      </c>
      <c r="E29" s="341" t="str">
        <f>VLOOKUP(A29,CTDD,'5.CT-DD'!$F$6,0)</f>
        <v>Bộ</v>
      </c>
      <c r="F29" s="328">
        <f>VLOOKUP($A29,CTDD,'5.CT-DD'!$V$6,0)</f>
        <v>0</v>
      </c>
      <c r="G29" s="329">
        <f>VLOOKUP($A29,CTDD,'5.CT-DD'!$N$6,0)</f>
        <v>671200.32000000007</v>
      </c>
      <c r="H29" s="329">
        <f>VLOOKUP($A29,CTDD,'5.CT-DD'!$O$6,0)</f>
        <v>0</v>
      </c>
      <c r="I29" s="329">
        <f>VLOOKUP($A29,CTDD,'5.CT-DD'!$P$6,0)</f>
        <v>12892.35</v>
      </c>
      <c r="J29" s="329">
        <f>VLOOKUP($A29,CTDD,'5.CT-DD'!$Q$6,0)</f>
        <v>82336.479999999996</v>
      </c>
      <c r="K29" s="329">
        <f>VLOOKUP($A29,CTDD,'5.CT-DD'!$R$6,0)</f>
        <v>558.80000000000007</v>
      </c>
      <c r="L29" s="329">
        <f>VLOOKUP($A29,CTDD,'5.CT-DD'!$S$6,0)</f>
        <v>0</v>
      </c>
      <c r="M29" s="329">
        <f t="shared" si="2"/>
        <v>0</v>
      </c>
      <c r="N29" s="329">
        <f t="shared" si="3"/>
        <v>0</v>
      </c>
      <c r="O29" s="329">
        <f t="shared" si="4"/>
        <v>0</v>
      </c>
      <c r="P29" s="329">
        <f t="shared" si="5"/>
        <v>0</v>
      </c>
      <c r="Q29" s="329">
        <f t="shared" si="6"/>
        <v>0</v>
      </c>
      <c r="R29" s="329">
        <f t="shared" si="7"/>
        <v>0</v>
      </c>
    </row>
    <row r="30" spans="1:18" hidden="1">
      <c r="A30" s="332" t="s">
        <v>1781</v>
      </c>
      <c r="B30" s="333">
        <f t="shared" si="0"/>
        <v>0</v>
      </c>
      <c r="C30" s="328">
        <f t="shared" si="8"/>
        <v>9</v>
      </c>
      <c r="D30" s="340" t="str">
        <f>VLOOKUP(A30,CTDD,'5.CT-DD'!$E$6,0)</f>
        <v>Tiếp địa lặp lại (trụ 20m)</v>
      </c>
      <c r="E30" s="341" t="str">
        <f>VLOOKUP(A30,CTDD,'5.CT-DD'!$F$6,0)</f>
        <v>Bộ</v>
      </c>
      <c r="F30" s="328">
        <f>VLOOKUP($A30,CTDD,'5.CT-DD'!$V$6,0)</f>
        <v>0</v>
      </c>
      <c r="G30" s="329">
        <f>VLOOKUP($A30,CTDD,'5.CT-DD'!$N$6,0)</f>
        <v>0</v>
      </c>
      <c r="H30" s="329">
        <f>VLOOKUP($A30,CTDD,'5.CT-DD'!$O$6,0)</f>
        <v>0</v>
      </c>
      <c r="I30" s="329">
        <f>VLOOKUP($A30,CTDD,'5.CT-DD'!$P$6,0)</f>
        <v>12892.35</v>
      </c>
      <c r="J30" s="329">
        <f>VLOOKUP($A30,CTDD,'5.CT-DD'!$Q$6,0)</f>
        <v>0</v>
      </c>
      <c r="K30" s="329">
        <f>VLOOKUP($A30,CTDD,'5.CT-DD'!$R$6,0)</f>
        <v>558.80000000000007</v>
      </c>
      <c r="L30" s="329">
        <f>VLOOKUP($A30,CTDD,'5.CT-DD'!$S$6,0)</f>
        <v>0</v>
      </c>
      <c r="M30" s="329">
        <f t="shared" si="2"/>
        <v>0</v>
      </c>
      <c r="N30" s="329">
        <f t="shared" si="3"/>
        <v>0</v>
      </c>
      <c r="O30" s="329">
        <f t="shared" si="4"/>
        <v>0</v>
      </c>
      <c r="P30" s="329">
        <f t="shared" si="5"/>
        <v>0</v>
      </c>
      <c r="Q30" s="329">
        <f t="shared" si="6"/>
        <v>0</v>
      </c>
      <c r="R30" s="329">
        <f t="shared" si="7"/>
        <v>0</v>
      </c>
    </row>
    <row r="31" spans="1:18">
      <c r="A31" s="332" t="s">
        <v>1782</v>
      </c>
      <c r="B31" s="333">
        <f t="shared" si="0"/>
        <v>1</v>
      </c>
      <c r="C31" s="328">
        <f t="shared" si="8"/>
        <v>10</v>
      </c>
      <c r="D31" s="525" t="str">
        <f>VLOOKUP(A31,CTDD,'5.CT-DD'!$E$6,0)</f>
        <v>Tiếp địa LA trụ 12m (3 pha)</v>
      </c>
      <c r="E31" s="523" t="str">
        <f>VLOOKUP(A31,CTDD,'5.CT-DD'!$F$6,0)</f>
        <v>Bộ</v>
      </c>
      <c r="F31" s="328">
        <f>VLOOKUP($A31,CTDD,'5.CT-DD'!$V$6,0)</f>
        <v>9</v>
      </c>
      <c r="G31" s="329">
        <f>VLOOKUP($A31,CTDD,'5.CT-DD'!$N$6,0)</f>
        <v>2391273.5999999996</v>
      </c>
      <c r="H31" s="329">
        <f>VLOOKUP($A31,CTDD,'5.CT-DD'!$O$6,0)</f>
        <v>0</v>
      </c>
      <c r="I31" s="329">
        <f>VLOOKUP($A31,CTDD,'5.CT-DD'!$P$6,0)</f>
        <v>399662.85</v>
      </c>
      <c r="J31" s="329">
        <f>VLOOKUP($A31,CTDD,'5.CT-DD'!$Q$6,0)</f>
        <v>476318.4</v>
      </c>
      <c r="K31" s="329">
        <f>VLOOKUP($A31,CTDD,'5.CT-DD'!$R$6,0)</f>
        <v>17322.8</v>
      </c>
      <c r="L31" s="329">
        <f>VLOOKUP($A31,CTDD,'5.CT-DD'!$S$6,0)</f>
        <v>0</v>
      </c>
      <c r="M31" s="329">
        <f t="shared" si="2"/>
        <v>21521462.399999999</v>
      </c>
      <c r="N31" s="329">
        <f t="shared" si="3"/>
        <v>0</v>
      </c>
      <c r="O31" s="329">
        <f t="shared" si="4"/>
        <v>3596965.65</v>
      </c>
      <c r="P31" s="329">
        <f t="shared" si="5"/>
        <v>4286865.6000000006</v>
      </c>
      <c r="Q31" s="329">
        <f t="shared" si="6"/>
        <v>155905.19999999998</v>
      </c>
      <c r="R31" s="329">
        <f t="shared" si="7"/>
        <v>0</v>
      </c>
    </row>
    <row r="32" spans="1:18">
      <c r="A32" s="332" t="s">
        <v>3516</v>
      </c>
      <c r="B32" s="333">
        <f>IF(F32&lt;&gt;0,1,)</f>
        <v>1</v>
      </c>
      <c r="C32" s="328">
        <f>IF(F32&lt;&gt;0,C31+1,C31)</f>
        <v>11</v>
      </c>
      <c r="D32" s="525" t="str">
        <f>VLOOKUP(A32,CTDD,'5.CT-DD'!$E$6,0)</f>
        <v>Tiếp địa LA trụ 12m (1 pha)</v>
      </c>
      <c r="E32" s="523" t="str">
        <f>VLOOKUP(A32,CTDD,'5.CT-DD'!$F$6,0)</f>
        <v>Bộ</v>
      </c>
      <c r="F32" s="328">
        <f>VLOOKUP($A32,CTDD,'5.CT-DD'!$V$6,0)</f>
        <v>3</v>
      </c>
      <c r="G32" s="329">
        <f>VLOOKUP($A32,CTDD,'5.CT-DD'!$N$6,0)</f>
        <v>2174837.12</v>
      </c>
      <c r="H32" s="329">
        <f>VLOOKUP($A32,CTDD,'5.CT-DD'!$O$6,0)</f>
        <v>0</v>
      </c>
      <c r="I32" s="329">
        <f>VLOOKUP($A32,CTDD,'5.CT-DD'!$P$6,0)</f>
        <v>399662.85</v>
      </c>
      <c r="J32" s="329">
        <f>VLOOKUP($A32,CTDD,'5.CT-DD'!$Q$6,0)</f>
        <v>474351.68</v>
      </c>
      <c r="K32" s="329">
        <f>VLOOKUP($A32,CTDD,'5.CT-DD'!$R$6,0)</f>
        <v>17322.8</v>
      </c>
      <c r="L32" s="329">
        <f>VLOOKUP($A32,CTDD,'5.CT-DD'!$S$6,0)</f>
        <v>0</v>
      </c>
      <c r="M32" s="329">
        <f t="shared" ref="M32:R32" si="11">$F32*G32</f>
        <v>6524511.3600000003</v>
      </c>
      <c r="N32" s="329">
        <f t="shared" si="11"/>
        <v>0</v>
      </c>
      <c r="O32" s="329">
        <f t="shared" si="11"/>
        <v>1198988.5499999998</v>
      </c>
      <c r="P32" s="329">
        <f t="shared" si="11"/>
        <v>1423055.04</v>
      </c>
      <c r="Q32" s="329">
        <f t="shared" si="11"/>
        <v>51968.399999999994</v>
      </c>
      <c r="R32" s="329">
        <f t="shared" si="11"/>
        <v>0</v>
      </c>
    </row>
    <row r="33" spans="1:18">
      <c r="B33" s="333">
        <f>IF(SUM(B34:B38)&lt;&gt;0,1,)</f>
        <v>1</v>
      </c>
      <c r="C33" s="326" t="s">
        <v>1663</v>
      </c>
      <c r="D33" s="327" t="s">
        <v>1664</v>
      </c>
      <c r="E33" s="326"/>
      <c r="F33" s="326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</row>
    <row r="34" spans="1:18" hidden="1">
      <c r="A34" s="332" t="s">
        <v>1478</v>
      </c>
      <c r="B34" s="333">
        <f>IF(F34&lt;&gt;0,1,)</f>
        <v>0</v>
      </c>
      <c r="C34" s="328">
        <f>IF(F34&lt;&gt;0,1,)</f>
        <v>0</v>
      </c>
      <c r="D34" s="340" t="str">
        <f>VLOOKUP(A34,CTDD,'5.CT-DD'!$E$6,0)</f>
        <v>Trụ bê tông ly tâm 10.5m</v>
      </c>
      <c r="E34" s="341" t="str">
        <f>VLOOKUP(A34,CTDD,'5.CT-DD'!$F$6,0)</f>
        <v>Trụ</v>
      </c>
      <c r="F34" s="328">
        <f>VLOOKUP($A34,CTDD,'5.CT-DD'!$V$6,0)</f>
        <v>0</v>
      </c>
      <c r="G34" s="329">
        <f>VLOOKUP($A34,CTDD,'5.CT-DD'!$N$6,0)</f>
        <v>3818182</v>
      </c>
      <c r="H34" s="329">
        <f>VLOOKUP($A34,CTDD,'5.CT-DD'!$O$6,0)</f>
        <v>0</v>
      </c>
      <c r="I34" s="329">
        <f>VLOOKUP($A34,CTDD,'5.CT-DD'!$P$6,0)</f>
        <v>0</v>
      </c>
      <c r="J34" s="329">
        <f>VLOOKUP($A34,CTDD,'5.CT-DD'!$Q$6,0)</f>
        <v>469141</v>
      </c>
      <c r="K34" s="329">
        <f>VLOOKUP($A34,CTDD,'5.CT-DD'!$R$6,0)</f>
        <v>0</v>
      </c>
      <c r="L34" s="329">
        <f>VLOOKUP($A34,CTDD,'5.CT-DD'!$S$6,0)</f>
        <v>135772</v>
      </c>
      <c r="M34" s="329">
        <f t="shared" ref="M34:R38" si="12">$F34*G34</f>
        <v>0</v>
      </c>
      <c r="N34" s="329">
        <f t="shared" si="12"/>
        <v>0</v>
      </c>
      <c r="O34" s="329">
        <f t="shared" si="12"/>
        <v>0</v>
      </c>
      <c r="P34" s="329">
        <f t="shared" si="12"/>
        <v>0</v>
      </c>
      <c r="Q34" s="329">
        <f t="shared" si="12"/>
        <v>0</v>
      </c>
      <c r="R34" s="329">
        <f t="shared" si="12"/>
        <v>0</v>
      </c>
    </row>
    <row r="35" spans="1:18" s="405" customFormat="1">
      <c r="A35" s="405" t="s">
        <v>1479</v>
      </c>
      <c r="B35" s="418">
        <f>IF(F35&lt;&gt;0,1,)</f>
        <v>1</v>
      </c>
      <c r="C35" s="523">
        <f>IF(F35&lt;&gt;0,C34+1,C34)</f>
        <v>1</v>
      </c>
      <c r="D35" s="525" t="str">
        <f>VLOOKUP(A35,CTDD,'5.CT-DD'!$E$6,0)</f>
        <v>Trụ bê tông ly tâm 12m trồng thủ công+cơ giới</v>
      </c>
      <c r="E35" s="523" t="str">
        <f>VLOOKUP(A35,CTDD,'5.CT-DD'!$F$6,0)</f>
        <v>Trụ</v>
      </c>
      <c r="F35" s="523">
        <f>VLOOKUP($A35,CTDD,'5.CT-DD'!$V$6,0)</f>
        <v>245</v>
      </c>
      <c r="G35" s="525">
        <f>VLOOKUP($A35,CTDD,'5.CT-DD'!$N$6,0)</f>
        <v>5511000</v>
      </c>
      <c r="H35" s="525">
        <f>VLOOKUP($A35,CTDD,'5.CT-DD'!$O$6,0)</f>
        <v>0</v>
      </c>
      <c r="I35" s="525">
        <f>VLOOKUP($A35,CTDD,'5.CT-DD'!$P$6,0)</f>
        <v>0</v>
      </c>
      <c r="J35" s="525">
        <f>VLOOKUP($A35,CTDD,'5.CT-DD'!$Q$6,0)</f>
        <v>502313</v>
      </c>
      <c r="K35" s="525">
        <f>VLOOKUP($A35,CTDD,'5.CT-DD'!$R$6,0)</f>
        <v>0</v>
      </c>
      <c r="L35" s="525">
        <f>VLOOKUP($A35,CTDD,'5.CT-DD'!$S$6,0)</f>
        <v>193960</v>
      </c>
      <c r="M35" s="525">
        <f t="shared" si="12"/>
        <v>1350195000</v>
      </c>
      <c r="N35" s="525">
        <f t="shared" si="12"/>
        <v>0</v>
      </c>
      <c r="O35" s="525">
        <f t="shared" si="12"/>
        <v>0</v>
      </c>
      <c r="P35" s="525">
        <f t="shared" si="12"/>
        <v>123066685</v>
      </c>
      <c r="Q35" s="525">
        <f t="shared" si="12"/>
        <v>0</v>
      </c>
      <c r="R35" s="525">
        <f t="shared" si="12"/>
        <v>47520200</v>
      </c>
    </row>
    <row r="36" spans="1:18" hidden="1">
      <c r="A36" s="332" t="s">
        <v>1784</v>
      </c>
      <c r="B36" s="333">
        <f>IF(F36&lt;&gt;0,1,)</f>
        <v>0</v>
      </c>
      <c r="C36" s="328">
        <f>IF(F36&lt;&gt;0,C35+1,C35)</f>
        <v>1</v>
      </c>
      <c r="D36" s="340" t="str">
        <f>VLOOKUP(A36,CTDD,'5.CT-DD'!$E$6,0)</f>
        <v>Trụ bê tông ly tâm 12m trồng thủ công</v>
      </c>
      <c r="E36" s="341" t="str">
        <f>VLOOKUP(A36,CTDD,'5.CT-DD'!$F$6,0)</f>
        <v>Trụ</v>
      </c>
      <c r="F36" s="328">
        <f>VLOOKUP($A36,CTDD,'5.CT-DD'!$V$6,0)</f>
        <v>0</v>
      </c>
      <c r="G36" s="329">
        <f>VLOOKUP($A36,CTDD,'5.CT-DD'!$N$6,0)</f>
        <v>5511000</v>
      </c>
      <c r="H36" s="329">
        <f>VLOOKUP($A36,CTDD,'5.CT-DD'!$O$6,0)</f>
        <v>0</v>
      </c>
      <c r="I36" s="329">
        <f>VLOOKUP($A36,CTDD,'5.CT-DD'!$P$6,0)</f>
        <v>0</v>
      </c>
      <c r="J36" s="329">
        <f>VLOOKUP($A36,CTDD,'5.CT-DD'!$Q$6,0)</f>
        <v>1258151</v>
      </c>
      <c r="K36" s="329">
        <f>VLOOKUP($A36,CTDD,'5.CT-DD'!$R$6,0)</f>
        <v>0</v>
      </c>
      <c r="L36" s="329">
        <f>VLOOKUP($A36,CTDD,'5.CT-DD'!$S$6,0)</f>
        <v>0</v>
      </c>
      <c r="M36" s="329">
        <f t="shared" si="12"/>
        <v>0</v>
      </c>
      <c r="N36" s="329">
        <f t="shared" si="12"/>
        <v>0</v>
      </c>
      <c r="O36" s="329">
        <f t="shared" si="12"/>
        <v>0</v>
      </c>
      <c r="P36" s="329">
        <f t="shared" si="12"/>
        <v>0</v>
      </c>
      <c r="Q36" s="329">
        <f t="shared" si="12"/>
        <v>0</v>
      </c>
      <c r="R36" s="329">
        <f t="shared" si="12"/>
        <v>0</v>
      </c>
    </row>
    <row r="37" spans="1:18" s="405" customFormat="1">
      <c r="A37" s="405" t="s">
        <v>1480</v>
      </c>
      <c r="B37" s="418">
        <f>IF(F37&lt;&gt;0,1,)</f>
        <v>1</v>
      </c>
      <c r="C37" s="523">
        <f>IF(F37&lt;&gt;0,C36+1,C36)</f>
        <v>2</v>
      </c>
      <c r="D37" s="525" t="str">
        <f>VLOOKUP(A37,CTDD,'5.CT-DD'!$E$6,0)</f>
        <v>Trụ bê tông ly tâm 14m</v>
      </c>
      <c r="E37" s="523" t="str">
        <f>VLOOKUP(A37,CTDD,'5.CT-DD'!$F$6,0)</f>
        <v>Trụ</v>
      </c>
      <c r="F37" s="523">
        <f>VLOOKUP($A37,CTDD,'5.CT-DD'!$V$6,0)</f>
        <v>9</v>
      </c>
      <c r="G37" s="525">
        <f>VLOOKUP($A37,CTDD,'5.CT-DD'!$N$6,0)</f>
        <v>7605000</v>
      </c>
      <c r="H37" s="525">
        <f>VLOOKUP($A37,CTDD,'5.CT-DD'!$O$6,0)</f>
        <v>0</v>
      </c>
      <c r="I37" s="525">
        <f>VLOOKUP($A37,CTDD,'5.CT-DD'!$P$6,0)</f>
        <v>0</v>
      </c>
      <c r="J37" s="525">
        <f>VLOOKUP($A37,CTDD,'5.CT-DD'!$Q$6,0)</f>
        <v>625522</v>
      </c>
      <c r="K37" s="525">
        <f>VLOOKUP($A37,CTDD,'5.CT-DD'!$R$6,0)</f>
        <v>0</v>
      </c>
      <c r="L37" s="525">
        <f>VLOOKUP($A37,CTDD,'5.CT-DD'!$S$6,0)</f>
        <v>193960</v>
      </c>
      <c r="M37" s="525">
        <f t="shared" si="12"/>
        <v>68445000</v>
      </c>
      <c r="N37" s="525">
        <f t="shared" si="12"/>
        <v>0</v>
      </c>
      <c r="O37" s="525">
        <f t="shared" si="12"/>
        <v>0</v>
      </c>
      <c r="P37" s="525">
        <f t="shared" si="12"/>
        <v>5629698</v>
      </c>
      <c r="Q37" s="525">
        <f t="shared" si="12"/>
        <v>0</v>
      </c>
      <c r="R37" s="525">
        <f t="shared" si="12"/>
        <v>1745640</v>
      </c>
    </row>
    <row r="38" spans="1:18" hidden="1">
      <c r="A38" s="332" t="s">
        <v>1481</v>
      </c>
      <c r="B38" s="333">
        <f>IF(F38&lt;&gt;0,1,)</f>
        <v>0</v>
      </c>
      <c r="C38" s="328">
        <f>IF(F38&lt;&gt;0,C37+1,C37)</f>
        <v>2</v>
      </c>
      <c r="D38" s="340" t="str">
        <f>VLOOKUP(A38,CTDD,'5.CT-DD'!$E$6,0)</f>
        <v>Trụ bê tông ly tâm 20m</v>
      </c>
      <c r="E38" s="341" t="str">
        <f>VLOOKUP(A38,CTDD,'5.CT-DD'!$F$6,0)</f>
        <v>Trụ</v>
      </c>
      <c r="F38" s="328">
        <f>VLOOKUP($A38,CTDD,'5.CT-DD'!$V$6,0)</f>
        <v>0</v>
      </c>
      <c r="G38" s="329">
        <f>VLOOKUP($A38,CTDD,'5.CT-DD'!$N$6,0)</f>
        <v>20800000</v>
      </c>
      <c r="H38" s="329">
        <f>VLOOKUP($A38,CTDD,'5.CT-DD'!$O$6,0)</f>
        <v>0</v>
      </c>
      <c r="I38" s="329">
        <f>VLOOKUP($A38,CTDD,'5.CT-DD'!$P$6,0)</f>
        <v>0</v>
      </c>
      <c r="J38" s="329">
        <f>VLOOKUP($A38,CTDD,'5.CT-DD'!$Q$6,0)</f>
        <v>0</v>
      </c>
      <c r="K38" s="329">
        <f>VLOOKUP($A38,CTDD,'5.CT-DD'!$R$6,0)</f>
        <v>0</v>
      </c>
      <c r="L38" s="329">
        <f>VLOOKUP($A38,CTDD,'5.CT-DD'!$S$6,0)</f>
        <v>0</v>
      </c>
      <c r="M38" s="329">
        <f t="shared" si="12"/>
        <v>0</v>
      </c>
      <c r="N38" s="329">
        <f t="shared" si="12"/>
        <v>0</v>
      </c>
      <c r="O38" s="329">
        <f t="shared" si="12"/>
        <v>0</v>
      </c>
      <c r="P38" s="329">
        <f t="shared" si="12"/>
        <v>0</v>
      </c>
      <c r="Q38" s="329">
        <f t="shared" si="12"/>
        <v>0</v>
      </c>
      <c r="R38" s="329">
        <f t="shared" si="12"/>
        <v>0</v>
      </c>
    </row>
    <row r="39" spans="1:18">
      <c r="B39" s="333">
        <f>IF(SUM(B40:B91)&lt;&gt;0,1,)</f>
        <v>1</v>
      </c>
      <c r="C39" s="326" t="s">
        <v>1673</v>
      </c>
      <c r="D39" s="327" t="s">
        <v>1674</v>
      </c>
      <c r="E39" s="326"/>
      <c r="F39" s="326"/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</row>
    <row r="40" spans="1:18">
      <c r="A40" s="332" t="s">
        <v>1675</v>
      </c>
      <c r="B40" s="333">
        <f t="shared" ref="B40:B95" si="13">IF(F40&lt;&gt;0,1,)</f>
        <v>1</v>
      </c>
      <c r="C40" s="328">
        <f>IF(F40&lt;&gt;0,1,)</f>
        <v>1</v>
      </c>
      <c r="D40" s="329" t="str">
        <f>VLOOKUP(A40,CTDD,'5.CT-DD'!$E$6,0)</f>
        <v>Bộ xà Composite bắt LA, FCO 1 pha</v>
      </c>
      <c r="E40" s="328" t="str">
        <f>VLOOKUP(A40,CTDD,'5.CT-DD'!$F$6,0)</f>
        <v>Bộ</v>
      </c>
      <c r="F40" s="328">
        <f>VLOOKUP($A40,CTDD,'5.CT-DD'!$V$6,0)</f>
        <v>7</v>
      </c>
      <c r="G40" s="329">
        <f>VLOOKUP($A40,CTDD,'5.CT-DD'!$N$6,0)</f>
        <v>738000</v>
      </c>
      <c r="H40" s="329">
        <f>VLOOKUP($A40,CTDD,'5.CT-DD'!$O$6,0)</f>
        <v>0</v>
      </c>
      <c r="I40" s="329">
        <f>VLOOKUP($A40,CTDD,'5.CT-DD'!$P$6,0)</f>
        <v>0</v>
      </c>
      <c r="J40" s="329">
        <f>VLOOKUP($A40,CTDD,'5.CT-DD'!$Q$6,0)</f>
        <v>134360</v>
      </c>
      <c r="K40" s="329">
        <f>VLOOKUP($A40,CTDD,'5.CT-DD'!$R$6,0)</f>
        <v>0</v>
      </c>
      <c r="L40" s="329">
        <f>VLOOKUP($A40,CTDD,'5.CT-DD'!$S$6,0)</f>
        <v>0</v>
      </c>
      <c r="M40" s="329">
        <f t="shared" ref="M40:R41" si="14">$F40*G40</f>
        <v>5166000</v>
      </c>
      <c r="N40" s="329">
        <f t="shared" si="14"/>
        <v>0</v>
      </c>
      <c r="O40" s="329">
        <f t="shared" si="14"/>
        <v>0</v>
      </c>
      <c r="P40" s="329">
        <f t="shared" si="14"/>
        <v>940520</v>
      </c>
      <c r="Q40" s="329">
        <f t="shared" si="14"/>
        <v>0</v>
      </c>
      <c r="R40" s="329">
        <f t="shared" si="14"/>
        <v>0</v>
      </c>
    </row>
    <row r="41" spans="1:18" hidden="1">
      <c r="A41" s="332" t="s">
        <v>3055</v>
      </c>
      <c r="B41" s="333">
        <f>IF(F41&lt;&gt;0,1,)</f>
        <v>0</v>
      </c>
      <c r="C41" s="328">
        <f>IF(F41&lt;&gt;0,C40+1,C40)</f>
        <v>1</v>
      </c>
      <c r="D41" s="340" t="str">
        <f>VLOOKUP(A41,CTDD,'5.CT-DD'!$E$6,0)</f>
        <v>Bộ xà Composite bắt LA, FCO 1 pha (Trụ ghép)</v>
      </c>
      <c r="E41" s="341" t="str">
        <f>VLOOKUP(A41,CTDD,'5.CT-DD'!$F$6,0)</f>
        <v>Bộ</v>
      </c>
      <c r="F41" s="328">
        <f>VLOOKUP($A41,CTDD,'5.CT-DD'!$V$6,0)</f>
        <v>0</v>
      </c>
      <c r="G41" s="329">
        <f>VLOOKUP($A41,CTDD,'5.CT-DD'!$N$6,0)</f>
        <v>772000</v>
      </c>
      <c r="H41" s="329">
        <f>VLOOKUP($A41,CTDD,'5.CT-DD'!$O$6,0)</f>
        <v>0</v>
      </c>
      <c r="I41" s="329">
        <f>VLOOKUP($A41,CTDD,'5.CT-DD'!$P$6,0)</f>
        <v>0</v>
      </c>
      <c r="J41" s="329">
        <f>VLOOKUP($A41,CTDD,'5.CT-DD'!$Q$6,0)</f>
        <v>134360</v>
      </c>
      <c r="K41" s="329">
        <f>VLOOKUP($A41,CTDD,'5.CT-DD'!$R$6,0)</f>
        <v>0</v>
      </c>
      <c r="L41" s="329">
        <f>VLOOKUP($A41,CTDD,'5.CT-DD'!$S$6,0)</f>
        <v>0</v>
      </c>
      <c r="M41" s="329">
        <f t="shared" si="14"/>
        <v>0</v>
      </c>
      <c r="N41" s="329">
        <f t="shared" si="14"/>
        <v>0</v>
      </c>
      <c r="O41" s="329">
        <f t="shared" si="14"/>
        <v>0</v>
      </c>
      <c r="P41" s="329">
        <f t="shared" si="14"/>
        <v>0</v>
      </c>
      <c r="Q41" s="329">
        <f t="shared" si="14"/>
        <v>0</v>
      </c>
      <c r="R41" s="329">
        <f t="shared" si="14"/>
        <v>0</v>
      </c>
    </row>
    <row r="42" spans="1:18">
      <c r="A42" s="332" t="s">
        <v>1678</v>
      </c>
      <c r="B42" s="333">
        <f t="shared" si="13"/>
        <v>1</v>
      </c>
      <c r="C42" s="328">
        <f>IF(F42&lt;&gt;0,C41+1,C41)</f>
        <v>2</v>
      </c>
      <c r="D42" s="329" t="str">
        <f>VLOOKUP(A42,CTDD,'5.CT-DD'!$E$6,0)</f>
        <v>Bộ xà Composite bắt LA, FCO 3 pha</v>
      </c>
      <c r="E42" s="328" t="str">
        <f>VLOOKUP(A42,CTDD,'5.CT-DD'!$F$6,0)</f>
        <v>Bộ</v>
      </c>
      <c r="F42" s="328">
        <f>VLOOKUP($A42,CTDD,'5.CT-DD'!$V$6,0)</f>
        <v>4</v>
      </c>
      <c r="G42" s="329">
        <f>VLOOKUP($A42,CTDD,'5.CT-DD'!$N$6,0)</f>
        <v>1242400</v>
      </c>
      <c r="H42" s="329">
        <f>VLOOKUP($A42,CTDD,'5.CT-DD'!$O$6,0)</f>
        <v>0</v>
      </c>
      <c r="I42" s="329">
        <f>VLOOKUP($A42,CTDD,'5.CT-DD'!$P$6,0)</f>
        <v>0</v>
      </c>
      <c r="J42" s="329">
        <f>VLOOKUP($A42,CTDD,'5.CT-DD'!$Q$6,0)</f>
        <v>134360</v>
      </c>
      <c r="K42" s="329">
        <f>VLOOKUP($A42,CTDD,'5.CT-DD'!$R$6,0)</f>
        <v>0</v>
      </c>
      <c r="L42" s="329">
        <f>VLOOKUP($A42,CTDD,'5.CT-DD'!$S$6,0)</f>
        <v>0</v>
      </c>
      <c r="M42" s="329">
        <f t="shared" ref="M42:M90" si="15">$F42*G42</f>
        <v>4969600</v>
      </c>
      <c r="N42" s="329">
        <f t="shared" ref="N42:N90" si="16">$F42*H42</f>
        <v>0</v>
      </c>
      <c r="O42" s="329">
        <f t="shared" ref="O42:O90" si="17">$F42*I42</f>
        <v>0</v>
      </c>
      <c r="P42" s="329">
        <f t="shared" ref="P42:P90" si="18">$F42*J42</f>
        <v>537440</v>
      </c>
      <c r="Q42" s="329">
        <f t="shared" ref="Q42:Q90" si="19">$F42*K42</f>
        <v>0</v>
      </c>
      <c r="R42" s="329">
        <f t="shared" ref="R42:R90" si="20">$F42*L42</f>
        <v>0</v>
      </c>
    </row>
    <row r="43" spans="1:18">
      <c r="A43" s="332" t="s">
        <v>3008</v>
      </c>
      <c r="B43" s="333">
        <f>IF(F43&lt;&gt;0,1,)</f>
        <v>1</v>
      </c>
      <c r="C43" s="328">
        <f>IF(F43&lt;&gt;0,C42+1,C42)</f>
        <v>3</v>
      </c>
      <c r="D43" s="329" t="str">
        <f>VLOOKUP(A43,CTDD,'5.CT-DD'!$E$6,0)</f>
        <v>Bộ xà Composite bắt LA, FCO 3 pha (Trụ ghép)</v>
      </c>
      <c r="E43" s="328" t="str">
        <f>VLOOKUP(A43,CTDD,'5.CT-DD'!$F$6,0)</f>
        <v>Bộ</v>
      </c>
      <c r="F43" s="328">
        <f>VLOOKUP($A43,CTDD,'5.CT-DD'!$V$6,0)</f>
        <v>8</v>
      </c>
      <c r="G43" s="329">
        <f>VLOOKUP($A43,CTDD,'5.CT-DD'!$N$6,0)</f>
        <v>1274400</v>
      </c>
      <c r="H43" s="329">
        <f>VLOOKUP($A43,CTDD,'5.CT-DD'!$O$6,0)</f>
        <v>0</v>
      </c>
      <c r="I43" s="329">
        <f>VLOOKUP($A43,CTDD,'5.CT-DD'!$P$6,0)</f>
        <v>0</v>
      </c>
      <c r="J43" s="329">
        <f>VLOOKUP($A43,CTDD,'5.CT-DD'!$Q$6,0)</f>
        <v>134360</v>
      </c>
      <c r="K43" s="329">
        <f>VLOOKUP($A43,CTDD,'5.CT-DD'!$R$6,0)</f>
        <v>0</v>
      </c>
      <c r="L43" s="329">
        <f>VLOOKUP($A43,CTDD,'5.CT-DD'!$S$6,0)</f>
        <v>0</v>
      </c>
      <c r="M43" s="329">
        <f t="shared" ref="M43:R43" si="21">$F43*G43</f>
        <v>10195200</v>
      </c>
      <c r="N43" s="329">
        <f t="shared" si="21"/>
        <v>0</v>
      </c>
      <c r="O43" s="329">
        <f t="shared" si="21"/>
        <v>0</v>
      </c>
      <c r="P43" s="329">
        <f t="shared" si="21"/>
        <v>1074880</v>
      </c>
      <c r="Q43" s="329">
        <f t="shared" si="21"/>
        <v>0</v>
      </c>
      <c r="R43" s="329">
        <f t="shared" si="21"/>
        <v>0</v>
      </c>
    </row>
    <row r="44" spans="1:18" hidden="1">
      <c r="A44" s="332" t="s">
        <v>1834</v>
      </c>
      <c r="B44" s="333">
        <f t="shared" si="13"/>
        <v>0</v>
      </c>
      <c r="C44" s="328">
        <f>IF(F44&lt;&gt;0,C43+1,C43)</f>
        <v>3</v>
      </c>
      <c r="D44" s="340" t="str">
        <f>VLOOKUP(A44,CTDD,'5.CT-DD'!$E$6,0)</f>
        <v>Bộ xà lệch đơn L75x75x8 dài 0,8m: X-8ĐL</v>
      </c>
      <c r="E44" s="341" t="str">
        <f>VLOOKUP(A44,CTDD,'5.CT-DD'!$F$6,0)</f>
        <v>Bộ</v>
      </c>
      <c r="F44" s="328">
        <f>VLOOKUP($A44,CTDD,'5.CT-DD'!$V$6,0)</f>
        <v>0</v>
      </c>
      <c r="G44" s="329">
        <f>VLOOKUP($A44,CTDD,'5.CT-DD'!$N$6,0)</f>
        <v>290000</v>
      </c>
      <c r="H44" s="329">
        <f>VLOOKUP($A44,CTDD,'5.CT-DD'!$O$6,0)</f>
        <v>0</v>
      </c>
      <c r="I44" s="329">
        <f>VLOOKUP($A44,CTDD,'5.CT-DD'!$P$6,0)</f>
        <v>0</v>
      </c>
      <c r="J44" s="329">
        <f>VLOOKUP($A44,CTDD,'5.CT-DD'!$Q$6,0)</f>
        <v>279916</v>
      </c>
      <c r="K44" s="329">
        <f>VLOOKUP($A44,CTDD,'5.CT-DD'!$R$6,0)</f>
        <v>0</v>
      </c>
      <c r="L44" s="329">
        <f>VLOOKUP($A44,CTDD,'5.CT-DD'!$S$6,0)</f>
        <v>0</v>
      </c>
      <c r="M44" s="329">
        <f t="shared" si="15"/>
        <v>0</v>
      </c>
      <c r="N44" s="329">
        <f t="shared" si="16"/>
        <v>0</v>
      </c>
      <c r="O44" s="329">
        <f t="shared" si="17"/>
        <v>0</v>
      </c>
      <c r="P44" s="329">
        <f t="shared" si="18"/>
        <v>0</v>
      </c>
      <c r="Q44" s="329">
        <f t="shared" si="19"/>
        <v>0</v>
      </c>
      <c r="R44" s="329">
        <f t="shared" si="20"/>
        <v>0</v>
      </c>
    </row>
    <row r="45" spans="1:18" hidden="1">
      <c r="A45" s="332" t="s">
        <v>1835</v>
      </c>
      <c r="B45" s="333">
        <f t="shared" si="13"/>
        <v>0</v>
      </c>
      <c r="C45" s="328">
        <f t="shared" ref="C45:C91" si="22">IF(F45&lt;&gt;0,C44+1,C44)</f>
        <v>3</v>
      </c>
      <c r="D45" s="340" t="str">
        <f>VLOOKUP(A45,CTDD,'5.CT-DD'!$E$6,0)</f>
        <v>Bộ xà lệch kép L75x75x8 dài 0,8m: X-8KL</v>
      </c>
      <c r="E45" s="341" t="str">
        <f>VLOOKUP(A45,CTDD,'5.CT-DD'!$F$6,0)</f>
        <v>Bộ</v>
      </c>
      <c r="F45" s="328">
        <f>VLOOKUP($A45,CTDD,'5.CT-DD'!$V$6,0)</f>
        <v>0</v>
      </c>
      <c r="G45" s="329">
        <f>VLOOKUP($A45,CTDD,'5.CT-DD'!$N$6,0)</f>
        <v>568000</v>
      </c>
      <c r="H45" s="329">
        <f>VLOOKUP($A45,CTDD,'5.CT-DD'!$O$6,0)</f>
        <v>0</v>
      </c>
      <c r="I45" s="329">
        <f>VLOOKUP($A45,CTDD,'5.CT-DD'!$P$6,0)</f>
        <v>0</v>
      </c>
      <c r="J45" s="329">
        <f>VLOOKUP($A45,CTDD,'5.CT-DD'!$Q$6,0)</f>
        <v>378710</v>
      </c>
      <c r="K45" s="329">
        <f>VLOOKUP($A45,CTDD,'5.CT-DD'!$R$6,0)</f>
        <v>0</v>
      </c>
      <c r="L45" s="329">
        <f>VLOOKUP($A45,CTDD,'5.CT-DD'!$S$6,0)</f>
        <v>0</v>
      </c>
      <c r="M45" s="329">
        <f t="shared" si="15"/>
        <v>0</v>
      </c>
      <c r="N45" s="329">
        <f t="shared" si="16"/>
        <v>0</v>
      </c>
      <c r="O45" s="329">
        <f t="shared" si="17"/>
        <v>0</v>
      </c>
      <c r="P45" s="329">
        <f t="shared" si="18"/>
        <v>0</v>
      </c>
      <c r="Q45" s="329">
        <f t="shared" si="19"/>
        <v>0</v>
      </c>
      <c r="R45" s="329">
        <f t="shared" si="20"/>
        <v>0</v>
      </c>
    </row>
    <row r="46" spans="1:18">
      <c r="A46" s="332" t="s">
        <v>1493</v>
      </c>
      <c r="B46" s="333">
        <f t="shared" si="13"/>
        <v>1</v>
      </c>
      <c r="C46" s="328">
        <f t="shared" si="22"/>
        <v>4</v>
      </c>
      <c r="D46" s="329" t="str">
        <f>VLOOKUP(A46,CTDD,'5.CT-DD'!$E$6,0)</f>
        <v>Bộ xà đơn L75x75x8 dài 1,66m</v>
      </c>
      <c r="E46" s="328" t="str">
        <f>VLOOKUP(A46,CTDD,'5.CT-DD'!$F$6,0)</f>
        <v>Bộ</v>
      </c>
      <c r="F46" s="328">
        <f>VLOOKUP($A46,CTDD,'5.CT-DD'!$V$6,0)</f>
        <v>24</v>
      </c>
      <c r="G46" s="329">
        <f>VLOOKUP($A46,CTDD,'5.CT-DD'!$N$6,0)</f>
        <v>739600</v>
      </c>
      <c r="H46" s="329">
        <f>VLOOKUP($A46,CTDD,'5.CT-DD'!$O$6,0)</f>
        <v>0</v>
      </c>
      <c r="I46" s="329">
        <f>VLOOKUP($A46,CTDD,'5.CT-DD'!$P$6,0)</f>
        <v>0</v>
      </c>
      <c r="J46" s="329">
        <f>VLOOKUP($A46,CTDD,'5.CT-DD'!$Q$6,0)</f>
        <v>286074</v>
      </c>
      <c r="K46" s="329">
        <f>VLOOKUP($A46,CTDD,'5.CT-DD'!$R$6,0)</f>
        <v>0</v>
      </c>
      <c r="L46" s="329">
        <f>VLOOKUP($A46,CTDD,'5.CT-DD'!$S$6,0)</f>
        <v>0</v>
      </c>
      <c r="M46" s="329">
        <f t="shared" si="15"/>
        <v>17750400</v>
      </c>
      <c r="N46" s="329">
        <f t="shared" si="16"/>
        <v>0</v>
      </c>
      <c r="O46" s="329">
        <f t="shared" si="17"/>
        <v>0</v>
      </c>
      <c r="P46" s="329">
        <f t="shared" si="18"/>
        <v>6865776</v>
      </c>
      <c r="Q46" s="329">
        <f t="shared" si="19"/>
        <v>0</v>
      </c>
      <c r="R46" s="329">
        <f t="shared" si="20"/>
        <v>0</v>
      </c>
    </row>
    <row r="47" spans="1:18" hidden="1">
      <c r="A47" s="332" t="s">
        <v>1494</v>
      </c>
      <c r="B47" s="333">
        <f t="shared" si="13"/>
        <v>0</v>
      </c>
      <c r="C47" s="328">
        <f t="shared" si="22"/>
        <v>4</v>
      </c>
      <c r="D47" s="340" t="str">
        <f>VLOOKUP(A47,CTDD,'5.CT-DD'!$E$6,0)</f>
        <v>Bộ xà kép L75x75x8 dài 1,66m:  X-1,66K</v>
      </c>
      <c r="E47" s="341" t="str">
        <f>VLOOKUP(A47,CTDD,'5.CT-DD'!$F$6,0)</f>
        <v>Bộ</v>
      </c>
      <c r="F47" s="328">
        <f>VLOOKUP($A47,CTDD,'5.CT-DD'!$V$6,0)</f>
        <v>0</v>
      </c>
      <c r="G47" s="329">
        <f>VLOOKUP($A47,CTDD,'5.CT-DD'!$N$6,0)</f>
        <v>1505200</v>
      </c>
      <c r="H47" s="329">
        <f>VLOOKUP($A47,CTDD,'5.CT-DD'!$O$6,0)</f>
        <v>0</v>
      </c>
      <c r="I47" s="329">
        <f>VLOOKUP($A47,CTDD,'5.CT-DD'!$P$6,0)</f>
        <v>0</v>
      </c>
      <c r="J47" s="329">
        <f>VLOOKUP($A47,CTDD,'5.CT-DD'!$Q$6,0)</f>
        <v>382876</v>
      </c>
      <c r="K47" s="329">
        <f>VLOOKUP($A47,CTDD,'5.CT-DD'!$R$6,0)</f>
        <v>0</v>
      </c>
      <c r="L47" s="329">
        <f>VLOOKUP($A47,CTDD,'5.CT-DD'!$S$6,0)</f>
        <v>0</v>
      </c>
      <c r="M47" s="329">
        <f t="shared" si="15"/>
        <v>0</v>
      </c>
      <c r="N47" s="329">
        <f t="shared" si="16"/>
        <v>0</v>
      </c>
      <c r="O47" s="329">
        <f t="shared" si="17"/>
        <v>0</v>
      </c>
      <c r="P47" s="329">
        <f t="shared" si="18"/>
        <v>0</v>
      </c>
      <c r="Q47" s="329">
        <f t="shared" si="19"/>
        <v>0</v>
      </c>
      <c r="R47" s="329">
        <f t="shared" si="20"/>
        <v>0</v>
      </c>
    </row>
    <row r="48" spans="1:18">
      <c r="A48" s="332" t="s">
        <v>1497</v>
      </c>
      <c r="B48" s="333">
        <f t="shared" si="13"/>
        <v>1</v>
      </c>
      <c r="C48" s="328">
        <f t="shared" si="22"/>
        <v>5</v>
      </c>
      <c r="D48" s="329" t="str">
        <f>VLOOKUP(A48,CTDD,'5.CT-DD'!$E$6,0)</f>
        <v>Bộ xà lệch đơn L75x75x8 dài 2m</v>
      </c>
      <c r="E48" s="328" t="str">
        <f>VLOOKUP(A48,CTDD,'5.CT-DD'!$F$6,0)</f>
        <v>Bộ</v>
      </c>
      <c r="F48" s="328">
        <f>VLOOKUP($A48,CTDD,'5.CT-DD'!$V$6,0)</f>
        <v>7</v>
      </c>
      <c r="G48" s="329">
        <f>VLOOKUP($A48,CTDD,'5.CT-DD'!$N$6,0)</f>
        <v>686700</v>
      </c>
      <c r="H48" s="329">
        <f>VLOOKUP($A48,CTDD,'5.CT-DD'!$O$6,0)</f>
        <v>0</v>
      </c>
      <c r="I48" s="329">
        <f>VLOOKUP($A48,CTDD,'5.CT-DD'!$P$6,0)</f>
        <v>0</v>
      </c>
      <c r="J48" s="329">
        <f>VLOOKUP($A48,CTDD,'5.CT-DD'!$Q$6,0)</f>
        <v>283835</v>
      </c>
      <c r="K48" s="329">
        <f>VLOOKUP($A48,CTDD,'5.CT-DD'!$R$6,0)</f>
        <v>0</v>
      </c>
      <c r="L48" s="329">
        <f>VLOOKUP($A48,CTDD,'5.CT-DD'!$S$6,0)</f>
        <v>0</v>
      </c>
      <c r="M48" s="329">
        <f t="shared" si="15"/>
        <v>4806900</v>
      </c>
      <c r="N48" s="329">
        <f t="shared" si="16"/>
        <v>0</v>
      </c>
      <c r="O48" s="329">
        <f t="shared" si="17"/>
        <v>0</v>
      </c>
      <c r="P48" s="329">
        <f t="shared" si="18"/>
        <v>1986845</v>
      </c>
      <c r="Q48" s="329">
        <f t="shared" si="19"/>
        <v>0</v>
      </c>
      <c r="R48" s="329">
        <f t="shared" si="20"/>
        <v>0</v>
      </c>
    </row>
    <row r="49" spans="1:18">
      <c r="A49" s="332" t="s">
        <v>1498</v>
      </c>
      <c r="B49" s="333">
        <f t="shared" si="13"/>
        <v>1</v>
      </c>
      <c r="C49" s="328">
        <f t="shared" si="22"/>
        <v>6</v>
      </c>
      <c r="D49" s="329" t="str">
        <f>VLOOKUP(A49,CTDD,'5.CT-DD'!$E$6,0)</f>
        <v>Bộ xà lệch kép L75x75x8 dài 2m</v>
      </c>
      <c r="E49" s="328" t="str">
        <f>VLOOKUP(A49,CTDD,'5.CT-DD'!$F$6,0)</f>
        <v>Bộ</v>
      </c>
      <c r="F49" s="328">
        <f>VLOOKUP($A49,CTDD,'5.CT-DD'!$V$6,0)</f>
        <v>13</v>
      </c>
      <c r="G49" s="329">
        <f>VLOOKUP($A49,CTDD,'5.CT-DD'!$N$6,0)</f>
        <v>1439400</v>
      </c>
      <c r="H49" s="329">
        <f>VLOOKUP($A49,CTDD,'5.CT-DD'!$O$6,0)</f>
        <v>0</v>
      </c>
      <c r="I49" s="329">
        <f>VLOOKUP($A49,CTDD,'5.CT-DD'!$P$6,0)</f>
        <v>0</v>
      </c>
      <c r="J49" s="329">
        <f>VLOOKUP($A49,CTDD,'5.CT-DD'!$Q$6,0)</f>
        <v>380603</v>
      </c>
      <c r="K49" s="329">
        <f>VLOOKUP($A49,CTDD,'5.CT-DD'!$R$6,0)</f>
        <v>0</v>
      </c>
      <c r="L49" s="329">
        <f>VLOOKUP($A49,CTDD,'5.CT-DD'!$S$6,0)</f>
        <v>0</v>
      </c>
      <c r="M49" s="329">
        <f t="shared" si="15"/>
        <v>18712200</v>
      </c>
      <c r="N49" s="329">
        <f t="shared" si="16"/>
        <v>0</v>
      </c>
      <c r="O49" s="329">
        <f t="shared" si="17"/>
        <v>0</v>
      </c>
      <c r="P49" s="329">
        <f t="shared" si="18"/>
        <v>4947839</v>
      </c>
      <c r="Q49" s="329">
        <f t="shared" si="19"/>
        <v>0</v>
      </c>
      <c r="R49" s="329">
        <f t="shared" si="20"/>
        <v>0</v>
      </c>
    </row>
    <row r="50" spans="1:18" hidden="1">
      <c r="A50" s="332" t="s">
        <v>1818</v>
      </c>
      <c r="B50" s="333">
        <f t="shared" si="13"/>
        <v>0</v>
      </c>
      <c r="C50" s="328">
        <f t="shared" si="22"/>
        <v>6</v>
      </c>
      <c r="D50" s="340" t="str">
        <f>VLOOKUP(A50,CTDD,'5.CT-DD'!$E$6,0)</f>
        <v>Bộ xà lệch đơn L75x75x8 dài 2m: X-20ĐL2/3 (Lắp đà tháp)</v>
      </c>
      <c r="E50" s="341" t="str">
        <f>VLOOKUP(A50,CTDD,'5.CT-DD'!$F$6,0)</f>
        <v>Bộ</v>
      </c>
      <c r="F50" s="328">
        <f>VLOOKUP($A50,CTDD,'5.CT-DD'!$V$6,0)</f>
        <v>0</v>
      </c>
      <c r="G50" s="329">
        <f>VLOOKUP($A50,CTDD,'5.CT-DD'!$N$6,0)</f>
        <v>664700</v>
      </c>
      <c r="H50" s="329">
        <f>VLOOKUP($A50,CTDD,'5.CT-DD'!$O$6,0)</f>
        <v>0</v>
      </c>
      <c r="I50" s="329">
        <f>VLOOKUP($A50,CTDD,'5.CT-DD'!$P$6,0)</f>
        <v>0</v>
      </c>
      <c r="J50" s="329">
        <f>VLOOKUP($A50,CTDD,'5.CT-DD'!$Q$6,0)</f>
        <v>283835</v>
      </c>
      <c r="K50" s="329">
        <f>VLOOKUP($A50,CTDD,'5.CT-DD'!$R$6,0)</f>
        <v>0</v>
      </c>
      <c r="L50" s="329">
        <f>VLOOKUP($A50,CTDD,'5.CT-DD'!$S$6,0)</f>
        <v>0</v>
      </c>
      <c r="M50" s="329">
        <f t="shared" si="15"/>
        <v>0</v>
      </c>
      <c r="N50" s="329">
        <f t="shared" si="16"/>
        <v>0</v>
      </c>
      <c r="O50" s="329">
        <f t="shared" si="17"/>
        <v>0</v>
      </c>
      <c r="P50" s="329">
        <f t="shared" si="18"/>
        <v>0</v>
      </c>
      <c r="Q50" s="329">
        <f t="shared" si="19"/>
        <v>0</v>
      </c>
      <c r="R50" s="329">
        <f t="shared" si="20"/>
        <v>0</v>
      </c>
    </row>
    <row r="51" spans="1:18" hidden="1">
      <c r="A51" s="332" t="s">
        <v>1819</v>
      </c>
      <c r="B51" s="333">
        <f t="shared" si="13"/>
        <v>0</v>
      </c>
      <c r="C51" s="328">
        <f t="shared" si="22"/>
        <v>6</v>
      </c>
      <c r="D51" s="340" t="str">
        <f>VLOOKUP(A51,CTDD,'5.CT-DD'!$E$6,0)</f>
        <v>Bộ xà lệch kép L75x75x8 dài 2m: X-20KL2/3 (Lắp đà tháp)</v>
      </c>
      <c r="E51" s="341" t="str">
        <f>VLOOKUP(A51,CTDD,'5.CT-DD'!$F$6,0)</f>
        <v>Bộ</v>
      </c>
      <c r="F51" s="328">
        <f>VLOOKUP($A51,CTDD,'5.CT-DD'!$V$6,0)</f>
        <v>0</v>
      </c>
      <c r="G51" s="329">
        <f>VLOOKUP($A51,CTDD,'5.CT-DD'!$N$6,0)</f>
        <v>1461400</v>
      </c>
      <c r="H51" s="329">
        <f>VLOOKUP($A51,CTDD,'5.CT-DD'!$O$6,0)</f>
        <v>0</v>
      </c>
      <c r="I51" s="329">
        <f>VLOOKUP($A51,CTDD,'5.CT-DD'!$P$6,0)</f>
        <v>0</v>
      </c>
      <c r="J51" s="329">
        <f>VLOOKUP($A51,CTDD,'5.CT-DD'!$Q$6,0)</f>
        <v>380603</v>
      </c>
      <c r="K51" s="329">
        <f>VLOOKUP($A51,CTDD,'5.CT-DD'!$R$6,0)</f>
        <v>0</v>
      </c>
      <c r="L51" s="329">
        <f>VLOOKUP($A51,CTDD,'5.CT-DD'!$S$6,0)</f>
        <v>0</v>
      </c>
      <c r="M51" s="329">
        <f t="shared" si="15"/>
        <v>0</v>
      </c>
      <c r="N51" s="329">
        <f t="shared" si="16"/>
        <v>0</v>
      </c>
      <c r="O51" s="329">
        <f t="shared" si="17"/>
        <v>0</v>
      </c>
      <c r="P51" s="329">
        <f t="shared" si="18"/>
        <v>0</v>
      </c>
      <c r="Q51" s="329">
        <f t="shared" si="19"/>
        <v>0</v>
      </c>
      <c r="R51" s="329">
        <f t="shared" si="20"/>
        <v>0</v>
      </c>
    </row>
    <row r="52" spans="1:18">
      <c r="A52" s="332" t="s">
        <v>1495</v>
      </c>
      <c r="B52" s="333">
        <f t="shared" si="13"/>
        <v>1</v>
      </c>
      <c r="C52" s="328">
        <f t="shared" si="22"/>
        <v>7</v>
      </c>
      <c r="D52" s="329" t="str">
        <f>VLOOKUP(A52,CTDD,'5.CT-DD'!$E$6,0)</f>
        <v>Bộ xà lệch đơn L75x75x8 dài 2,1m</v>
      </c>
      <c r="E52" s="328" t="str">
        <f>VLOOKUP(A52,CTDD,'5.CT-DD'!$F$6,0)</f>
        <v>Bộ</v>
      </c>
      <c r="F52" s="328">
        <f>VLOOKUP($A52,CTDD,'5.CT-DD'!$V$6,0)</f>
        <v>26</v>
      </c>
      <c r="G52" s="329">
        <f>VLOOKUP($A52,CTDD,'5.CT-DD'!$N$6,0)</f>
        <v>787700</v>
      </c>
      <c r="H52" s="329">
        <f>VLOOKUP($A52,CTDD,'5.CT-DD'!$O$6,0)</f>
        <v>0</v>
      </c>
      <c r="I52" s="329">
        <f>VLOOKUP($A52,CTDD,'5.CT-DD'!$P$6,0)</f>
        <v>0</v>
      </c>
      <c r="J52" s="329">
        <f>VLOOKUP($A52,CTDD,'5.CT-DD'!$Q$6,0)</f>
        <v>297271</v>
      </c>
      <c r="K52" s="329">
        <f>VLOOKUP($A52,CTDD,'5.CT-DD'!$R$6,0)</f>
        <v>0</v>
      </c>
      <c r="L52" s="329">
        <f>VLOOKUP($A52,CTDD,'5.CT-DD'!$S$6,0)</f>
        <v>0</v>
      </c>
      <c r="M52" s="329">
        <f t="shared" si="15"/>
        <v>20480200</v>
      </c>
      <c r="N52" s="329">
        <f t="shared" si="16"/>
        <v>0</v>
      </c>
      <c r="O52" s="329">
        <f t="shared" si="17"/>
        <v>0</v>
      </c>
      <c r="P52" s="329">
        <f t="shared" si="18"/>
        <v>7729046</v>
      </c>
      <c r="Q52" s="329">
        <f t="shared" si="19"/>
        <v>0</v>
      </c>
      <c r="R52" s="329">
        <f t="shared" si="20"/>
        <v>0</v>
      </c>
    </row>
    <row r="53" spans="1:18">
      <c r="A53" s="332" t="s">
        <v>1496</v>
      </c>
      <c r="B53" s="333">
        <f t="shared" si="13"/>
        <v>1</v>
      </c>
      <c r="C53" s="328">
        <f t="shared" si="22"/>
        <v>8</v>
      </c>
      <c r="D53" s="329" t="str">
        <f>VLOOKUP(A53,CTDD,'5.CT-DD'!$E$6,0)</f>
        <v>Bộ xà lệch kép L75x75x8 dài 2,1m</v>
      </c>
      <c r="E53" s="328" t="str">
        <f>VLOOKUP(A53,CTDD,'5.CT-DD'!$F$6,0)</f>
        <v>Bộ</v>
      </c>
      <c r="F53" s="328">
        <f>VLOOKUP($A53,CTDD,'5.CT-DD'!$V$6,0)</f>
        <v>16</v>
      </c>
      <c r="G53" s="329">
        <f>VLOOKUP($A53,CTDD,'5.CT-DD'!$N$6,0)</f>
        <v>1607400</v>
      </c>
      <c r="H53" s="329">
        <f>VLOOKUP($A53,CTDD,'5.CT-DD'!$O$6,0)</f>
        <v>0</v>
      </c>
      <c r="I53" s="329">
        <f>VLOOKUP($A53,CTDD,'5.CT-DD'!$P$6,0)</f>
        <v>0</v>
      </c>
      <c r="J53" s="329">
        <f>VLOOKUP($A53,CTDD,'5.CT-DD'!$Q$6,0)</f>
        <v>402190</v>
      </c>
      <c r="K53" s="329">
        <f>VLOOKUP($A53,CTDD,'5.CT-DD'!$R$6,0)</f>
        <v>0</v>
      </c>
      <c r="L53" s="329">
        <f>VLOOKUP($A53,CTDD,'5.CT-DD'!$S$6,0)</f>
        <v>0</v>
      </c>
      <c r="M53" s="329">
        <f t="shared" si="15"/>
        <v>25718400</v>
      </c>
      <c r="N53" s="329">
        <f t="shared" si="16"/>
        <v>0</v>
      </c>
      <c r="O53" s="329">
        <f t="shared" si="17"/>
        <v>0</v>
      </c>
      <c r="P53" s="329">
        <f t="shared" si="18"/>
        <v>6435040</v>
      </c>
      <c r="Q53" s="329">
        <f t="shared" si="19"/>
        <v>0</v>
      </c>
      <c r="R53" s="329">
        <f t="shared" si="20"/>
        <v>0</v>
      </c>
    </row>
    <row r="54" spans="1:18" hidden="1">
      <c r="A54" s="332" t="s">
        <v>1836</v>
      </c>
      <c r="B54" s="333">
        <f t="shared" si="13"/>
        <v>0</v>
      </c>
      <c r="C54" s="328">
        <f t="shared" si="22"/>
        <v>8</v>
      </c>
      <c r="D54" s="340" t="str">
        <f>VLOOKUP(A54,CTDD,'5.CT-DD'!$E$6,0)</f>
        <v>Bộ xà lệch đơn L75x75x8 dài 2,1m (Lắp đà tháp)</v>
      </c>
      <c r="E54" s="341" t="str">
        <f>VLOOKUP(A54,CTDD,'5.CT-DD'!$F$6,0)</f>
        <v>Bộ</v>
      </c>
      <c r="F54" s="328">
        <f>VLOOKUP($A54,CTDD,'5.CT-DD'!$V$6,0)</f>
        <v>0</v>
      </c>
      <c r="G54" s="329">
        <f>VLOOKUP($A54,CTDD,'5.CT-DD'!$N$6,0)</f>
        <v>817700</v>
      </c>
      <c r="H54" s="329">
        <f>VLOOKUP($A54,CTDD,'5.CT-DD'!$O$6,0)</f>
        <v>0</v>
      </c>
      <c r="I54" s="329">
        <f>VLOOKUP($A54,CTDD,'5.CT-DD'!$P$6,0)</f>
        <v>0</v>
      </c>
      <c r="J54" s="329">
        <f>VLOOKUP($A54,CTDD,'5.CT-DD'!$Q$6,0)</f>
        <v>297271</v>
      </c>
      <c r="K54" s="329">
        <f>VLOOKUP($A54,CTDD,'5.CT-DD'!$R$6,0)</f>
        <v>0</v>
      </c>
      <c r="L54" s="329">
        <f>VLOOKUP($A54,CTDD,'5.CT-DD'!$S$6,0)</f>
        <v>0</v>
      </c>
      <c r="M54" s="329">
        <f t="shared" si="15"/>
        <v>0</v>
      </c>
      <c r="N54" s="329">
        <f t="shared" si="16"/>
        <v>0</v>
      </c>
      <c r="O54" s="329">
        <f t="shared" si="17"/>
        <v>0</v>
      </c>
      <c r="P54" s="329">
        <f t="shared" si="18"/>
        <v>0</v>
      </c>
      <c r="Q54" s="329">
        <f t="shared" si="19"/>
        <v>0</v>
      </c>
      <c r="R54" s="329">
        <f t="shared" si="20"/>
        <v>0</v>
      </c>
    </row>
    <row r="55" spans="1:18" hidden="1">
      <c r="A55" s="332" t="s">
        <v>1837</v>
      </c>
      <c r="B55" s="333">
        <f t="shared" si="13"/>
        <v>0</v>
      </c>
      <c r="C55" s="328">
        <f t="shared" si="22"/>
        <v>8</v>
      </c>
      <c r="D55" s="340" t="str">
        <f>VLOOKUP(A55,CTDD,'5.CT-DD'!$E$6,0)</f>
        <v>Bộ xà lệch kép L75x75x8 dài 2,1m (Lắp đà tháp)</v>
      </c>
      <c r="E55" s="341" t="str">
        <f>VLOOKUP(A55,CTDD,'5.CT-DD'!$F$6,0)</f>
        <v>Bộ</v>
      </c>
      <c r="F55" s="328">
        <f>VLOOKUP($A55,CTDD,'5.CT-DD'!$V$6,0)</f>
        <v>0</v>
      </c>
      <c r="G55" s="329">
        <f>VLOOKUP($A55,CTDD,'5.CT-DD'!$N$6,0)</f>
        <v>1678400</v>
      </c>
      <c r="H55" s="329">
        <f>VLOOKUP($A55,CTDD,'5.CT-DD'!$O$6,0)</f>
        <v>0</v>
      </c>
      <c r="I55" s="329">
        <f>VLOOKUP($A55,CTDD,'5.CT-DD'!$P$6,0)</f>
        <v>0</v>
      </c>
      <c r="J55" s="329">
        <f>VLOOKUP($A55,CTDD,'5.CT-DD'!$Q$6,0)</f>
        <v>402190</v>
      </c>
      <c r="K55" s="329">
        <f>VLOOKUP($A55,CTDD,'5.CT-DD'!$R$6,0)</f>
        <v>0</v>
      </c>
      <c r="L55" s="329">
        <f>VLOOKUP($A55,CTDD,'5.CT-DD'!$S$6,0)</f>
        <v>0</v>
      </c>
      <c r="M55" s="329">
        <f t="shared" si="15"/>
        <v>0</v>
      </c>
      <c r="N55" s="329">
        <f t="shared" si="16"/>
        <v>0</v>
      </c>
      <c r="O55" s="329">
        <f t="shared" si="17"/>
        <v>0</v>
      </c>
      <c r="P55" s="329">
        <f t="shared" si="18"/>
        <v>0</v>
      </c>
      <c r="Q55" s="329">
        <f t="shared" si="19"/>
        <v>0</v>
      </c>
      <c r="R55" s="329">
        <f t="shared" si="20"/>
        <v>0</v>
      </c>
    </row>
    <row r="56" spans="1:18" hidden="1">
      <c r="A56" s="332" t="s">
        <v>1490</v>
      </c>
      <c r="B56" s="333">
        <f t="shared" si="13"/>
        <v>0</v>
      </c>
      <c r="C56" s="328">
        <f t="shared" si="22"/>
        <v>8</v>
      </c>
      <c r="D56" s="340" t="str">
        <f>VLOOKUP(A56,CTDD,'5.CT-DD'!$E$6,0)</f>
        <v>Bộ xà đơn L75x75x8 dài 2.2m</v>
      </c>
      <c r="E56" s="341" t="str">
        <f>VLOOKUP(A56,CTDD,'5.CT-DD'!$F$6,0)</f>
        <v>Bộ</v>
      </c>
      <c r="F56" s="328">
        <f>VLOOKUP($A56,CTDD,'5.CT-DD'!$V$6,0)</f>
        <v>0</v>
      </c>
      <c r="G56" s="329">
        <f>VLOOKUP($A56,CTDD,'5.CT-DD'!$N$6,0)</f>
        <v>800600</v>
      </c>
      <c r="H56" s="329">
        <f>VLOOKUP($A56,CTDD,'5.CT-DD'!$O$6,0)</f>
        <v>0</v>
      </c>
      <c r="I56" s="329">
        <f>VLOOKUP($A56,CTDD,'5.CT-DD'!$P$6,0)</f>
        <v>0</v>
      </c>
      <c r="J56" s="329">
        <f>VLOOKUP($A56,CTDD,'5.CT-DD'!$Q$6,0)</f>
        <v>298670</v>
      </c>
      <c r="K56" s="329">
        <f>VLOOKUP($A56,CTDD,'5.CT-DD'!$R$6,0)</f>
        <v>0</v>
      </c>
      <c r="L56" s="329">
        <f>VLOOKUP($A56,CTDD,'5.CT-DD'!$S$6,0)</f>
        <v>0</v>
      </c>
      <c r="M56" s="329">
        <f t="shared" si="15"/>
        <v>0</v>
      </c>
      <c r="N56" s="329">
        <f t="shared" si="16"/>
        <v>0</v>
      </c>
      <c r="O56" s="329">
        <f t="shared" si="17"/>
        <v>0</v>
      </c>
      <c r="P56" s="329">
        <f t="shared" si="18"/>
        <v>0</v>
      </c>
      <c r="Q56" s="329">
        <f t="shared" si="19"/>
        <v>0</v>
      </c>
      <c r="R56" s="329">
        <f t="shared" si="20"/>
        <v>0</v>
      </c>
    </row>
    <row r="57" spans="1:18">
      <c r="A57" s="332" t="s">
        <v>1491</v>
      </c>
      <c r="B57" s="333">
        <f t="shared" si="13"/>
        <v>1</v>
      </c>
      <c r="C57" s="328">
        <f t="shared" si="22"/>
        <v>9</v>
      </c>
      <c r="D57" s="329" t="str">
        <f>VLOOKUP(A57,CTDD,'5.CT-DD'!$E$6,0)</f>
        <v>Bộ xà kép L75x75x8 dài 2.2m</v>
      </c>
      <c r="E57" s="328" t="str">
        <f>VLOOKUP(A57,CTDD,'5.CT-DD'!$F$6,0)</f>
        <v>Bộ</v>
      </c>
      <c r="F57" s="328">
        <f>VLOOKUP($A57,CTDD,'5.CT-DD'!$V$6,0)</f>
        <v>13</v>
      </c>
      <c r="G57" s="329">
        <f>VLOOKUP($A57,CTDD,'5.CT-DD'!$N$6,0)</f>
        <v>1629200</v>
      </c>
      <c r="H57" s="329">
        <f>VLOOKUP($A57,CTDD,'5.CT-DD'!$O$6,0)</f>
        <v>0</v>
      </c>
      <c r="I57" s="329">
        <f>VLOOKUP($A57,CTDD,'5.CT-DD'!$P$6,0)</f>
        <v>0</v>
      </c>
      <c r="J57" s="329">
        <f>VLOOKUP($A57,CTDD,'5.CT-DD'!$Q$6,0)</f>
        <v>534080</v>
      </c>
      <c r="K57" s="329">
        <f>VLOOKUP($A57,CTDD,'5.CT-DD'!$R$6,0)</f>
        <v>0</v>
      </c>
      <c r="L57" s="329">
        <f>VLOOKUP($A57,CTDD,'5.CT-DD'!$S$6,0)</f>
        <v>0</v>
      </c>
      <c r="M57" s="329">
        <f t="shared" si="15"/>
        <v>21179600</v>
      </c>
      <c r="N57" s="329">
        <f t="shared" si="16"/>
        <v>0</v>
      </c>
      <c r="O57" s="329">
        <f t="shared" si="17"/>
        <v>0</v>
      </c>
      <c r="P57" s="329">
        <f t="shared" si="18"/>
        <v>6943040</v>
      </c>
      <c r="Q57" s="329">
        <f t="shared" si="19"/>
        <v>0</v>
      </c>
      <c r="R57" s="329">
        <f t="shared" si="20"/>
        <v>0</v>
      </c>
    </row>
    <row r="58" spans="1:18">
      <c r="A58" s="332" t="s">
        <v>1492</v>
      </c>
      <c r="B58" s="333">
        <f t="shared" si="13"/>
        <v>1</v>
      </c>
      <c r="C58" s="328">
        <f t="shared" si="22"/>
        <v>10</v>
      </c>
      <c r="D58" s="329" t="str">
        <f>VLOOKUP(A58,CTDD,'5.CT-DD'!$E$6,0)</f>
        <v>Bộ xà kép L75x75x8 dài 2.2m (hướng trụ ghép)</v>
      </c>
      <c r="E58" s="328" t="str">
        <f>VLOOKUP(A58,CTDD,'5.CT-DD'!$F$6,0)</f>
        <v>Bộ</v>
      </c>
      <c r="F58" s="328">
        <f>VLOOKUP($A58,CTDD,'5.CT-DD'!$V$6,0)</f>
        <v>37</v>
      </c>
      <c r="G58" s="329">
        <f>VLOOKUP($A58,CTDD,'5.CT-DD'!$N$6,0)</f>
        <v>1755200</v>
      </c>
      <c r="H58" s="329">
        <f>VLOOKUP($A58,CTDD,'5.CT-DD'!$O$6,0)</f>
        <v>0</v>
      </c>
      <c r="I58" s="329">
        <f>VLOOKUP($A58,CTDD,'5.CT-DD'!$P$6,0)</f>
        <v>0</v>
      </c>
      <c r="J58" s="329">
        <f>VLOOKUP($A58,CTDD,'5.CT-DD'!$Q$6,0)</f>
        <v>534080</v>
      </c>
      <c r="K58" s="329">
        <f>VLOOKUP($A58,CTDD,'5.CT-DD'!$R$6,0)</f>
        <v>0</v>
      </c>
      <c r="L58" s="329">
        <f>VLOOKUP($A58,CTDD,'5.CT-DD'!$S$6,0)</f>
        <v>0</v>
      </c>
      <c r="M58" s="329">
        <f t="shared" si="15"/>
        <v>64942400</v>
      </c>
      <c r="N58" s="329">
        <f t="shared" si="16"/>
        <v>0</v>
      </c>
      <c r="O58" s="329">
        <f t="shared" si="17"/>
        <v>0</v>
      </c>
      <c r="P58" s="329">
        <f t="shared" si="18"/>
        <v>19760960</v>
      </c>
      <c r="Q58" s="329">
        <f t="shared" si="19"/>
        <v>0</v>
      </c>
      <c r="R58" s="329">
        <f t="shared" si="20"/>
        <v>0</v>
      </c>
    </row>
    <row r="59" spans="1:18" hidden="1">
      <c r="A59" s="332" t="s">
        <v>1499</v>
      </c>
      <c r="B59" s="333">
        <f t="shared" si="13"/>
        <v>0</v>
      </c>
      <c r="C59" s="328">
        <f t="shared" si="22"/>
        <v>10</v>
      </c>
      <c r="D59" s="340" t="str">
        <f>VLOOKUP(A59,CTDD,'5.CT-DD'!$E$6,0)</f>
        <v>Bộ đà tháp đơn U160x68x5 dài 2,2m</v>
      </c>
      <c r="E59" s="341" t="str">
        <f>VLOOKUP(A59,CTDD,'5.CT-DD'!$F$6,0)</f>
        <v>Bộ</v>
      </c>
      <c r="F59" s="328">
        <f>VLOOKUP($A59,CTDD,'5.CT-DD'!$V$6,0)</f>
        <v>0</v>
      </c>
      <c r="G59" s="329">
        <f>VLOOKUP($A59,CTDD,'5.CT-DD'!$N$6,0)</f>
        <v>1066000</v>
      </c>
      <c r="H59" s="329">
        <f>VLOOKUP($A59,CTDD,'5.CT-DD'!$O$6,0)</f>
        <v>0</v>
      </c>
      <c r="I59" s="329">
        <f>VLOOKUP($A59,CTDD,'5.CT-DD'!$P$6,0)</f>
        <v>0</v>
      </c>
      <c r="J59" s="329">
        <f>VLOOKUP($A59,CTDD,'5.CT-DD'!$Q$6,0)</f>
        <v>279916</v>
      </c>
      <c r="K59" s="329">
        <f>VLOOKUP($A59,CTDD,'5.CT-DD'!$R$6,0)</f>
        <v>0</v>
      </c>
      <c r="L59" s="329">
        <f>VLOOKUP($A59,CTDD,'5.CT-DD'!$S$6,0)</f>
        <v>0</v>
      </c>
      <c r="M59" s="329">
        <f t="shared" si="15"/>
        <v>0</v>
      </c>
      <c r="N59" s="329">
        <f t="shared" si="16"/>
        <v>0</v>
      </c>
      <c r="O59" s="329">
        <f t="shared" si="17"/>
        <v>0</v>
      </c>
      <c r="P59" s="329">
        <f t="shared" si="18"/>
        <v>0</v>
      </c>
      <c r="Q59" s="329">
        <f t="shared" si="19"/>
        <v>0</v>
      </c>
      <c r="R59" s="329">
        <f t="shared" si="20"/>
        <v>0</v>
      </c>
    </row>
    <row r="60" spans="1:18">
      <c r="A60" s="332" t="s">
        <v>1500</v>
      </c>
      <c r="B60" s="333">
        <f t="shared" si="13"/>
        <v>1</v>
      </c>
      <c r="C60" s="328">
        <f t="shared" si="22"/>
        <v>11</v>
      </c>
      <c r="D60" s="329" t="str">
        <f>VLOOKUP(A60,CTDD,'5.CT-DD'!$E$6,0)</f>
        <v>Bộ đà tháp kép U160x68x5 dài 2,2m</v>
      </c>
      <c r="E60" s="328" t="str">
        <f>VLOOKUP(A60,CTDD,'5.CT-DD'!$F$6,0)</f>
        <v>Bộ</v>
      </c>
      <c r="F60" s="328">
        <f>VLOOKUP($A60,CTDD,'5.CT-DD'!$V$6,0)</f>
        <v>1</v>
      </c>
      <c r="G60" s="329">
        <f>VLOOKUP($A60,CTDD,'5.CT-DD'!$N$6,0)</f>
        <v>2227000</v>
      </c>
      <c r="H60" s="329">
        <f>VLOOKUP($A60,CTDD,'5.CT-DD'!$O$6,0)</f>
        <v>0</v>
      </c>
      <c r="I60" s="329">
        <f>VLOOKUP($A60,CTDD,'5.CT-DD'!$P$6,0)</f>
        <v>0</v>
      </c>
      <c r="J60" s="329">
        <f>VLOOKUP($A60,CTDD,'5.CT-DD'!$Q$6,0)</f>
        <v>449132</v>
      </c>
      <c r="K60" s="329">
        <f>VLOOKUP($A60,CTDD,'5.CT-DD'!$R$6,0)</f>
        <v>0</v>
      </c>
      <c r="L60" s="329">
        <f>VLOOKUP($A60,CTDD,'5.CT-DD'!$S$6,0)</f>
        <v>0</v>
      </c>
      <c r="M60" s="329">
        <f t="shared" si="15"/>
        <v>2227000</v>
      </c>
      <c r="N60" s="329">
        <f t="shared" si="16"/>
        <v>0</v>
      </c>
      <c r="O60" s="329">
        <f t="shared" si="17"/>
        <v>0</v>
      </c>
      <c r="P60" s="329">
        <f t="shared" si="18"/>
        <v>449132</v>
      </c>
      <c r="Q60" s="329">
        <f t="shared" si="19"/>
        <v>0</v>
      </c>
      <c r="R60" s="329">
        <f t="shared" si="20"/>
        <v>0</v>
      </c>
    </row>
    <row r="61" spans="1:18" hidden="1">
      <c r="A61" s="332" t="s">
        <v>1471</v>
      </c>
      <c r="B61" s="333">
        <f t="shared" si="13"/>
        <v>0</v>
      </c>
      <c r="C61" s="328">
        <f t="shared" si="22"/>
        <v>11</v>
      </c>
      <c r="D61" s="340" t="str">
        <f>VLOOKUP(A61,CTDD,'5.CT-DD'!$E$6,0)</f>
        <v>Bộ chằng xuống đơn cho trụ 10,5m</v>
      </c>
      <c r="E61" s="341" t="str">
        <f>VLOOKUP(A61,CTDD,'5.CT-DD'!$F$6,0)</f>
        <v>Bộ</v>
      </c>
      <c r="F61" s="328">
        <f>VLOOKUP($A61,CTDD,'5.CT-DD'!$V$6,0)</f>
        <v>0</v>
      </c>
      <c r="G61" s="329">
        <f>VLOOKUP($A61,CTDD,'5.CT-DD'!$N$6,0)</f>
        <v>788160</v>
      </c>
      <c r="H61" s="329">
        <f>VLOOKUP($A61,CTDD,'5.CT-DD'!$O$6,0)</f>
        <v>0</v>
      </c>
      <c r="I61" s="329">
        <f>VLOOKUP($A61,CTDD,'5.CT-DD'!$P$6,0)</f>
        <v>0</v>
      </c>
      <c r="J61" s="329">
        <f>VLOOKUP($A61,CTDD,'5.CT-DD'!$Q$6,0)</f>
        <v>106623</v>
      </c>
      <c r="K61" s="329">
        <f>VLOOKUP($A61,CTDD,'5.CT-DD'!$R$6,0)</f>
        <v>0</v>
      </c>
      <c r="L61" s="329">
        <f>VLOOKUP($A61,CTDD,'5.CT-DD'!$S$6,0)</f>
        <v>0</v>
      </c>
      <c r="M61" s="329">
        <f t="shared" si="15"/>
        <v>0</v>
      </c>
      <c r="N61" s="329">
        <f t="shared" si="16"/>
        <v>0</v>
      </c>
      <c r="O61" s="329">
        <f t="shared" si="17"/>
        <v>0</v>
      </c>
      <c r="P61" s="329">
        <f t="shared" si="18"/>
        <v>0</v>
      </c>
      <c r="Q61" s="329">
        <f t="shared" si="19"/>
        <v>0</v>
      </c>
      <c r="R61" s="329">
        <f t="shared" si="20"/>
        <v>0</v>
      </c>
    </row>
    <row r="62" spans="1:18" hidden="1">
      <c r="A62" s="332" t="s">
        <v>1472</v>
      </c>
      <c r="B62" s="333">
        <f t="shared" si="13"/>
        <v>0</v>
      </c>
      <c r="C62" s="328">
        <f t="shared" si="22"/>
        <v>11</v>
      </c>
      <c r="D62" s="340" t="str">
        <f>VLOOKUP(A62,CTDD,'5.CT-DD'!$E$6,0)</f>
        <v>Bộ chằng lệch đơn cho trụ 10,5m</v>
      </c>
      <c r="E62" s="341" t="str">
        <f>VLOOKUP(A62,CTDD,'5.CT-DD'!$F$6,0)</f>
        <v>Bộ</v>
      </c>
      <c r="F62" s="328">
        <f>VLOOKUP($A62,CTDD,'5.CT-DD'!$V$6,0)</f>
        <v>0</v>
      </c>
      <c r="G62" s="329">
        <f>VLOOKUP($A62,CTDD,'5.CT-DD'!$N$6,0)</f>
        <v>1126520</v>
      </c>
      <c r="H62" s="329">
        <f>VLOOKUP($A62,CTDD,'5.CT-DD'!$O$6,0)</f>
        <v>0</v>
      </c>
      <c r="I62" s="329">
        <f>VLOOKUP($A62,CTDD,'5.CT-DD'!$P$6,0)</f>
        <v>0</v>
      </c>
      <c r="J62" s="329">
        <f>VLOOKUP($A62,CTDD,'5.CT-DD'!$Q$6,0)</f>
        <v>274573</v>
      </c>
      <c r="K62" s="329">
        <f>VLOOKUP($A62,CTDD,'5.CT-DD'!$R$6,0)</f>
        <v>0</v>
      </c>
      <c r="L62" s="329">
        <f>VLOOKUP($A62,CTDD,'5.CT-DD'!$S$6,0)</f>
        <v>0</v>
      </c>
      <c r="M62" s="329">
        <f t="shared" si="15"/>
        <v>0</v>
      </c>
      <c r="N62" s="329">
        <f t="shared" si="16"/>
        <v>0</v>
      </c>
      <c r="O62" s="329">
        <f t="shared" si="17"/>
        <v>0</v>
      </c>
      <c r="P62" s="329">
        <f t="shared" si="18"/>
        <v>0</v>
      </c>
      <c r="Q62" s="329">
        <f t="shared" si="19"/>
        <v>0</v>
      </c>
      <c r="R62" s="329">
        <f t="shared" si="20"/>
        <v>0</v>
      </c>
    </row>
    <row r="63" spans="1:18">
      <c r="A63" s="332" t="s">
        <v>1473</v>
      </c>
      <c r="B63" s="333">
        <f t="shared" si="13"/>
        <v>1</v>
      </c>
      <c r="C63" s="328">
        <f t="shared" si="22"/>
        <v>12</v>
      </c>
      <c r="D63" s="329" t="str">
        <f>VLOOKUP(A63,CTDD,'5.CT-DD'!$E$6,0)</f>
        <v>Bộ chằng xuống đơn cho trụ 12m</v>
      </c>
      <c r="E63" s="328" t="str">
        <f>VLOOKUP(A63,CTDD,'5.CT-DD'!$F$6,0)</f>
        <v>Bộ</v>
      </c>
      <c r="F63" s="328">
        <f>VLOOKUP($A63,CTDD,'5.CT-DD'!$V$6,0)</f>
        <v>5</v>
      </c>
      <c r="G63" s="329">
        <f>VLOOKUP($A63,CTDD,'5.CT-DD'!$N$6,0)</f>
        <v>845250</v>
      </c>
      <c r="H63" s="329">
        <f>VLOOKUP($A63,CTDD,'5.CT-DD'!$O$6,0)</f>
        <v>0</v>
      </c>
      <c r="I63" s="329">
        <f>VLOOKUP($A63,CTDD,'5.CT-DD'!$P$6,0)</f>
        <v>0</v>
      </c>
      <c r="J63" s="329">
        <f>VLOOKUP($A63,CTDD,'5.CT-DD'!$Q$6,0)</f>
        <v>106623</v>
      </c>
      <c r="K63" s="329">
        <f>VLOOKUP($A63,CTDD,'5.CT-DD'!$R$6,0)</f>
        <v>0</v>
      </c>
      <c r="L63" s="329">
        <f>VLOOKUP($A63,CTDD,'5.CT-DD'!$S$6,0)</f>
        <v>0</v>
      </c>
      <c r="M63" s="329">
        <f t="shared" si="15"/>
        <v>4226250</v>
      </c>
      <c r="N63" s="329">
        <f t="shared" si="16"/>
        <v>0</v>
      </c>
      <c r="O63" s="329">
        <f t="shared" si="17"/>
        <v>0</v>
      </c>
      <c r="P63" s="329">
        <f t="shared" si="18"/>
        <v>533115</v>
      </c>
      <c r="Q63" s="329">
        <f t="shared" si="19"/>
        <v>0</v>
      </c>
      <c r="R63" s="329">
        <f t="shared" si="20"/>
        <v>0</v>
      </c>
    </row>
    <row r="64" spans="1:18" hidden="1">
      <c r="A64" s="332" t="s">
        <v>1474</v>
      </c>
      <c r="B64" s="333">
        <f t="shared" si="13"/>
        <v>0</v>
      </c>
      <c r="C64" s="328">
        <f t="shared" si="22"/>
        <v>12</v>
      </c>
      <c r="D64" s="329" t="str">
        <f>VLOOKUP(A64,CTDD,'5.CT-DD'!$E$6,0)</f>
        <v>Bộ chằng lệch đơn cho trụ 12m</v>
      </c>
      <c r="E64" s="328" t="str">
        <f>VLOOKUP(A64,CTDD,'5.CT-DD'!$F$6,0)</f>
        <v>Bộ</v>
      </c>
      <c r="F64" s="328">
        <f>VLOOKUP($A64,CTDD,'5.CT-DD'!$V$6,0)</f>
        <v>0</v>
      </c>
      <c r="G64" s="329">
        <f>VLOOKUP($A64,CTDD,'5.CT-DD'!$N$6,0)</f>
        <v>1179550</v>
      </c>
      <c r="H64" s="329">
        <f>VLOOKUP($A64,CTDD,'5.CT-DD'!$O$6,0)</f>
        <v>0</v>
      </c>
      <c r="I64" s="329">
        <f>VLOOKUP($A64,CTDD,'5.CT-DD'!$P$6,0)</f>
        <v>0</v>
      </c>
      <c r="J64" s="329">
        <f>VLOOKUP($A64,CTDD,'5.CT-DD'!$Q$6,0)</f>
        <v>274573</v>
      </c>
      <c r="K64" s="329">
        <f>VLOOKUP($A64,CTDD,'5.CT-DD'!$R$6,0)</f>
        <v>0</v>
      </c>
      <c r="L64" s="329">
        <f>VLOOKUP($A64,CTDD,'5.CT-DD'!$S$6,0)</f>
        <v>0</v>
      </c>
      <c r="M64" s="329">
        <f t="shared" si="15"/>
        <v>0</v>
      </c>
      <c r="N64" s="329">
        <f t="shared" si="16"/>
        <v>0</v>
      </c>
      <c r="O64" s="329">
        <f t="shared" si="17"/>
        <v>0</v>
      </c>
      <c r="P64" s="329">
        <f t="shared" si="18"/>
        <v>0</v>
      </c>
      <c r="Q64" s="329">
        <f t="shared" si="19"/>
        <v>0</v>
      </c>
      <c r="R64" s="329">
        <f t="shared" si="20"/>
        <v>0</v>
      </c>
    </row>
    <row r="65" spans="1:18" hidden="1">
      <c r="A65" s="332" t="s">
        <v>1475</v>
      </c>
      <c r="B65" s="333">
        <f t="shared" si="13"/>
        <v>0</v>
      </c>
      <c r="C65" s="328">
        <f t="shared" si="22"/>
        <v>12</v>
      </c>
      <c r="D65" s="340" t="str">
        <f>VLOOKUP(A65,CTDD,'5.CT-DD'!$E$6,0)</f>
        <v>Bộ chằng xuống đơn cho trụ 14m</v>
      </c>
      <c r="E65" s="341" t="str">
        <f>VLOOKUP(A65,CTDD,'5.CT-DD'!$F$6,0)</f>
        <v>Bộ</v>
      </c>
      <c r="F65" s="328">
        <f>VLOOKUP($A65,CTDD,'5.CT-DD'!$V$6,0)</f>
        <v>0</v>
      </c>
      <c r="G65" s="329">
        <f>VLOOKUP($A65,CTDD,'5.CT-DD'!$N$6,0)</f>
        <v>0</v>
      </c>
      <c r="H65" s="329">
        <f>VLOOKUP($A65,CTDD,'5.CT-DD'!$O$6,0)</f>
        <v>0</v>
      </c>
      <c r="I65" s="329">
        <f>VLOOKUP($A65,CTDD,'5.CT-DD'!$P$6,0)</f>
        <v>0</v>
      </c>
      <c r="J65" s="329">
        <f>VLOOKUP($A65,CTDD,'5.CT-DD'!$Q$6,0)</f>
        <v>0</v>
      </c>
      <c r="K65" s="329">
        <f>VLOOKUP($A65,CTDD,'5.CT-DD'!$R$6,0)</f>
        <v>0</v>
      </c>
      <c r="L65" s="329">
        <f>VLOOKUP($A65,CTDD,'5.CT-DD'!$S$6,0)</f>
        <v>0</v>
      </c>
      <c r="M65" s="329">
        <f t="shared" si="15"/>
        <v>0</v>
      </c>
      <c r="N65" s="329">
        <f t="shared" si="16"/>
        <v>0</v>
      </c>
      <c r="O65" s="329">
        <f t="shared" si="17"/>
        <v>0</v>
      </c>
      <c r="P65" s="329">
        <f t="shared" si="18"/>
        <v>0</v>
      </c>
      <c r="Q65" s="329">
        <f t="shared" si="19"/>
        <v>0</v>
      </c>
      <c r="R65" s="329">
        <f t="shared" si="20"/>
        <v>0</v>
      </c>
    </row>
    <row r="66" spans="1:18" hidden="1">
      <c r="A66" s="332" t="s">
        <v>1476</v>
      </c>
      <c r="B66" s="333">
        <f t="shared" si="13"/>
        <v>0</v>
      </c>
      <c r="C66" s="328">
        <f t="shared" si="22"/>
        <v>12</v>
      </c>
      <c r="D66" s="340" t="str">
        <f>VLOOKUP(A66,CTDD,'5.CT-DD'!$E$6,0)</f>
        <v>Bộ chằng lệch đơn cho trụ 14m</v>
      </c>
      <c r="E66" s="341" t="str">
        <f>VLOOKUP(A66,CTDD,'5.CT-DD'!$F$6,0)</f>
        <v>Bộ</v>
      </c>
      <c r="F66" s="328">
        <f>VLOOKUP($A66,CTDD,'5.CT-DD'!$V$6,0)</f>
        <v>0</v>
      </c>
      <c r="G66" s="329">
        <f>VLOOKUP($A66,CTDD,'5.CT-DD'!$N$6,0)</f>
        <v>0</v>
      </c>
      <c r="H66" s="329">
        <f>VLOOKUP($A66,CTDD,'5.CT-DD'!$O$6,0)</f>
        <v>0</v>
      </c>
      <c r="I66" s="329">
        <f>VLOOKUP($A66,CTDD,'5.CT-DD'!$P$6,0)</f>
        <v>0</v>
      </c>
      <c r="J66" s="329">
        <f>VLOOKUP($A66,CTDD,'5.CT-DD'!$Q$6,0)</f>
        <v>0</v>
      </c>
      <c r="K66" s="329">
        <f>VLOOKUP($A66,CTDD,'5.CT-DD'!$R$6,0)</f>
        <v>0</v>
      </c>
      <c r="L66" s="329">
        <f>VLOOKUP($A66,CTDD,'5.CT-DD'!$S$6,0)</f>
        <v>0</v>
      </c>
      <c r="M66" s="329">
        <f t="shared" si="15"/>
        <v>0</v>
      </c>
      <c r="N66" s="329">
        <f t="shared" si="16"/>
        <v>0</v>
      </c>
      <c r="O66" s="329">
        <f t="shared" si="17"/>
        <v>0</v>
      </c>
      <c r="P66" s="329">
        <f t="shared" si="18"/>
        <v>0</v>
      </c>
      <c r="Q66" s="329">
        <f t="shared" si="19"/>
        <v>0</v>
      </c>
      <c r="R66" s="329">
        <f t="shared" si="20"/>
        <v>0</v>
      </c>
    </row>
    <row r="67" spans="1:18" hidden="1">
      <c r="A67" s="332" t="s">
        <v>1489</v>
      </c>
      <c r="B67" s="333">
        <f t="shared" si="13"/>
        <v>0</v>
      </c>
      <c r="C67" s="328">
        <f t="shared" si="22"/>
        <v>12</v>
      </c>
      <c r="D67" s="329" t="str">
        <f>VLOOKUP(A67,CTDD,'5.CT-DD'!$E$6,0)</f>
        <v>Bộ chằng vượt đơn</v>
      </c>
      <c r="E67" s="328" t="str">
        <f>VLOOKUP(A67,CTDD,'5.CT-DD'!$F$6,0)</f>
        <v>Bộ</v>
      </c>
      <c r="F67" s="328">
        <f>VLOOKUP($A67,CTDD,'5.CT-DD'!$V$6,0)</f>
        <v>0</v>
      </c>
      <c r="G67" s="329">
        <f>VLOOKUP($A67,CTDD,'5.CT-DD'!$N$6,0)</f>
        <v>1584150</v>
      </c>
      <c r="H67" s="329">
        <f>VLOOKUP($A67,CTDD,'5.CT-DD'!$O$6,0)</f>
        <v>0</v>
      </c>
      <c r="I67" s="329">
        <f>VLOOKUP($A67,CTDD,'5.CT-DD'!$P$6,0)</f>
        <v>0</v>
      </c>
      <c r="J67" s="329">
        <f>VLOOKUP($A67,CTDD,'5.CT-DD'!$Q$6,0)</f>
        <v>213246</v>
      </c>
      <c r="K67" s="329">
        <f>VLOOKUP($A67,CTDD,'5.CT-DD'!$R$6,0)</f>
        <v>0</v>
      </c>
      <c r="L67" s="329">
        <f>VLOOKUP($A67,CTDD,'5.CT-DD'!$S$6,0)</f>
        <v>0</v>
      </c>
      <c r="M67" s="329">
        <f t="shared" si="15"/>
        <v>0</v>
      </c>
      <c r="N67" s="329">
        <f t="shared" si="16"/>
        <v>0</v>
      </c>
      <c r="O67" s="329">
        <f t="shared" si="17"/>
        <v>0</v>
      </c>
      <c r="P67" s="329">
        <f t="shared" si="18"/>
        <v>0</v>
      </c>
      <c r="Q67" s="329">
        <f t="shared" si="19"/>
        <v>0</v>
      </c>
      <c r="R67" s="329">
        <f t="shared" si="20"/>
        <v>0</v>
      </c>
    </row>
    <row r="68" spans="1:18">
      <c r="A68" s="332" t="s">
        <v>1392</v>
      </c>
      <c r="B68" s="333">
        <f t="shared" si="13"/>
        <v>1</v>
      </c>
      <c r="C68" s="328">
        <f t="shared" si="22"/>
        <v>13</v>
      </c>
      <c r="D68" s="329" t="str">
        <f>VLOOKUP(A68,CTDD,'5.CT-DD'!$E$6,0)</f>
        <v>Bộ móng neo xòe cho chằng xuống (TT)</v>
      </c>
      <c r="E68" s="328" t="str">
        <f>VLOOKUP(A68,CTDD,'5.CT-DD'!$F$6,0)</f>
        <v>Bộ</v>
      </c>
      <c r="F68" s="328">
        <f>VLOOKUP($A68,CTDD,'5.CT-DD'!$V$6,0)</f>
        <v>3</v>
      </c>
      <c r="G68" s="329">
        <f>VLOOKUP($A68,CTDD,'5.CT-DD'!$N$6,0)</f>
        <v>463000</v>
      </c>
      <c r="H68" s="329">
        <f>VLOOKUP($A68,CTDD,'5.CT-DD'!$O$6,0)</f>
        <v>0</v>
      </c>
      <c r="I68" s="329">
        <f>VLOOKUP($A68,CTDD,'5.CT-DD'!$P$6,0)</f>
        <v>196187.255</v>
      </c>
      <c r="J68" s="329">
        <f>VLOOKUP($A68,CTDD,'5.CT-DD'!$Q$6,0)</f>
        <v>0</v>
      </c>
      <c r="K68" s="329">
        <f>VLOOKUP($A68,CTDD,'5.CT-DD'!$R$6,0)</f>
        <v>5040.3760000000002</v>
      </c>
      <c r="L68" s="329">
        <f>VLOOKUP($A68,CTDD,'5.CT-DD'!$S$6,0)</f>
        <v>0</v>
      </c>
      <c r="M68" s="329">
        <f t="shared" si="15"/>
        <v>1389000</v>
      </c>
      <c r="N68" s="329">
        <f t="shared" si="16"/>
        <v>0</v>
      </c>
      <c r="O68" s="329">
        <f t="shared" si="17"/>
        <v>588561.76500000001</v>
      </c>
      <c r="P68" s="329">
        <f t="shared" si="18"/>
        <v>0</v>
      </c>
      <c r="Q68" s="329">
        <f t="shared" si="19"/>
        <v>15121.128000000001</v>
      </c>
      <c r="R68" s="329">
        <f t="shared" si="20"/>
        <v>0</v>
      </c>
    </row>
    <row r="69" spans="1:18" hidden="1">
      <c r="A69" s="332" t="s">
        <v>1393</v>
      </c>
      <c r="B69" s="333">
        <f t="shared" si="13"/>
        <v>0</v>
      </c>
      <c r="C69" s="328">
        <f t="shared" si="22"/>
        <v>13</v>
      </c>
      <c r="D69" s="329" t="str">
        <f>VLOOKUP(A69,CTDD,'5.CT-DD'!$E$6,0)</f>
        <v>Bộ móng neo xòe cho chằng lệch (TT)</v>
      </c>
      <c r="E69" s="328" t="str">
        <f>VLOOKUP(A69,CTDD,'5.CT-DD'!$F$6,0)</f>
        <v>Bộ</v>
      </c>
      <c r="F69" s="328">
        <f>VLOOKUP($A69,CTDD,'5.CT-DD'!$V$6,0)</f>
        <v>0</v>
      </c>
      <c r="G69" s="329">
        <f>VLOOKUP($A69,CTDD,'5.CT-DD'!$N$6,0)</f>
        <v>463000</v>
      </c>
      <c r="H69" s="329">
        <f>VLOOKUP($A69,CTDD,'5.CT-DD'!$O$6,0)</f>
        <v>0</v>
      </c>
      <c r="I69" s="329">
        <f>VLOOKUP($A69,CTDD,'5.CT-DD'!$P$6,0)</f>
        <v>109186.255</v>
      </c>
      <c r="J69" s="329">
        <f>VLOOKUP($A69,CTDD,'5.CT-DD'!$Q$6,0)</f>
        <v>0</v>
      </c>
      <c r="K69" s="329">
        <f>VLOOKUP($A69,CTDD,'5.CT-DD'!$R$6,0)</f>
        <v>0</v>
      </c>
      <c r="L69" s="329">
        <f>VLOOKUP($A69,CTDD,'5.CT-DD'!$S$6,0)</f>
        <v>2805.1759999999999</v>
      </c>
      <c r="M69" s="329">
        <f t="shared" si="15"/>
        <v>0</v>
      </c>
      <c r="N69" s="329">
        <f t="shared" si="16"/>
        <v>0</v>
      </c>
      <c r="O69" s="329">
        <f t="shared" si="17"/>
        <v>0</v>
      </c>
      <c r="P69" s="329">
        <f t="shared" si="18"/>
        <v>0</v>
      </c>
      <c r="Q69" s="329">
        <f t="shared" si="19"/>
        <v>0</v>
      </c>
      <c r="R69" s="329">
        <f t="shared" si="20"/>
        <v>0</v>
      </c>
    </row>
    <row r="70" spans="1:18">
      <c r="A70" s="332" t="s">
        <v>2592</v>
      </c>
      <c r="B70" s="333">
        <f>IF(F70&lt;&gt;0,1,)</f>
        <v>1</v>
      </c>
      <c r="C70" s="328">
        <f t="shared" si="22"/>
        <v>14</v>
      </c>
      <c r="D70" s="329" t="str">
        <f>VLOOKUP(A70,CTDD,'5.CT-DD'!$E$6,0)</f>
        <v>Bộ móng neo xòe cho chằng xuống (TT) - Lỗ đá</v>
      </c>
      <c r="E70" s="328" t="str">
        <f>VLOOKUP(A70,CTDD,'5.CT-DD'!$F$6,0)</f>
        <v>Bộ</v>
      </c>
      <c r="F70" s="328">
        <f>VLOOKUP($A70,CTDD,'5.CT-DD'!$V$6,0)</f>
        <v>2</v>
      </c>
      <c r="G70" s="329">
        <f>VLOOKUP($A70,CTDD,'5.CT-DD'!$N$6,0)</f>
        <v>463000</v>
      </c>
      <c r="H70" s="329">
        <f>VLOOKUP($A70,CTDD,'5.CT-DD'!$O$6,0)</f>
        <v>0</v>
      </c>
      <c r="I70" s="329">
        <f>VLOOKUP($A70,CTDD,'5.CT-DD'!$P$6,0)</f>
        <v>540613.79200000002</v>
      </c>
      <c r="J70" s="329">
        <f>VLOOKUP($A70,CTDD,'5.CT-DD'!$Q$6,0)</f>
        <v>0</v>
      </c>
      <c r="K70" s="329">
        <f>VLOOKUP($A70,CTDD,'5.CT-DD'!$R$6,0)</f>
        <v>18507.455999999998</v>
      </c>
      <c r="L70" s="329">
        <f>VLOOKUP($A70,CTDD,'5.CT-DD'!$S$6,0)</f>
        <v>596420.44799999997</v>
      </c>
      <c r="M70" s="329">
        <f t="shared" si="15"/>
        <v>926000</v>
      </c>
      <c r="N70" s="329">
        <f t="shared" si="16"/>
        <v>0</v>
      </c>
      <c r="O70" s="329">
        <f t="shared" si="17"/>
        <v>1081227.584</v>
      </c>
      <c r="P70" s="329">
        <f t="shared" si="18"/>
        <v>0</v>
      </c>
      <c r="Q70" s="329">
        <f t="shared" si="19"/>
        <v>37014.911999999997</v>
      </c>
      <c r="R70" s="329">
        <f t="shared" si="20"/>
        <v>1192840.8959999999</v>
      </c>
    </row>
    <row r="71" spans="1:18" hidden="1">
      <c r="A71" s="332" t="s">
        <v>2593</v>
      </c>
      <c r="B71" s="333">
        <f>IF(F71&lt;&gt;0,1,)</f>
        <v>0</v>
      </c>
      <c r="C71" s="328">
        <f t="shared" si="22"/>
        <v>14</v>
      </c>
      <c r="D71" s="340" t="str">
        <f>VLOOKUP(A71,CTDD,'5.CT-DD'!$E$6,0)</f>
        <v>Bộ móng neo xòe cho chằng lệch (TT) - Lỗ đá</v>
      </c>
      <c r="E71" s="341" t="str">
        <f>VLOOKUP(A71,CTDD,'5.CT-DD'!$F$6,0)</f>
        <v>Bộ</v>
      </c>
      <c r="F71" s="328">
        <f>VLOOKUP($A71,CTDD,'5.CT-DD'!$V$6,0)</f>
        <v>0</v>
      </c>
      <c r="G71" s="329">
        <f>VLOOKUP($A71,CTDD,'5.CT-DD'!$N$6,0)</f>
        <v>463000</v>
      </c>
      <c r="H71" s="329">
        <f>VLOOKUP($A71,CTDD,'5.CT-DD'!$O$6,0)</f>
        <v>0</v>
      </c>
      <c r="I71" s="329">
        <f>VLOOKUP($A71,CTDD,'5.CT-DD'!$P$6,0)</f>
        <v>467831.67999999993</v>
      </c>
      <c r="J71" s="329">
        <f>VLOOKUP($A71,CTDD,'5.CT-DD'!$Q$6,0)</f>
        <v>0</v>
      </c>
      <c r="K71" s="329">
        <f>VLOOKUP($A71,CTDD,'5.CT-DD'!$R$6,0)</f>
        <v>0</v>
      </c>
      <c r="L71" s="329">
        <f>VLOOKUP($A71,CTDD,'5.CT-DD'!$S$6,0)</f>
        <v>562112.15999999992</v>
      </c>
      <c r="M71" s="329">
        <f t="shared" si="15"/>
        <v>0</v>
      </c>
      <c r="N71" s="329">
        <f t="shared" si="16"/>
        <v>0</v>
      </c>
      <c r="O71" s="329">
        <f t="shared" si="17"/>
        <v>0</v>
      </c>
      <c r="P71" s="329">
        <f t="shared" si="18"/>
        <v>0</v>
      </c>
      <c r="Q71" s="329">
        <f t="shared" si="19"/>
        <v>0</v>
      </c>
      <c r="R71" s="329">
        <f t="shared" si="20"/>
        <v>0</v>
      </c>
    </row>
    <row r="72" spans="1:18">
      <c r="A72" s="332" t="s">
        <v>1503</v>
      </c>
      <c r="B72" s="333">
        <f t="shared" si="13"/>
        <v>1</v>
      </c>
      <c r="C72" s="328">
        <f t="shared" si="22"/>
        <v>15</v>
      </c>
      <c r="D72" s="329" t="str">
        <f>VLOOKUP(A72,CTDD,'5.CT-DD'!$E$6,0)</f>
        <v>Bộ Uclevis đỡ dây trung hòa (trụ đơn)</v>
      </c>
      <c r="E72" s="328" t="str">
        <f>VLOOKUP(A72,CTDD,'5.CT-DD'!$F$6,0)</f>
        <v>bộ</v>
      </c>
      <c r="F72" s="328">
        <f>VLOOKUP($A72,CTDD,'5.CT-DD'!$V$6,0)</f>
        <v>74</v>
      </c>
      <c r="G72" s="329">
        <f>VLOOKUP($A72,CTDD,'5.CT-DD'!$N$6,0)</f>
        <v>65000</v>
      </c>
      <c r="H72" s="329">
        <f>VLOOKUP($A72,CTDD,'5.CT-DD'!$O$6,0)</f>
        <v>0</v>
      </c>
      <c r="I72" s="329">
        <f>VLOOKUP($A72,CTDD,'5.CT-DD'!$P$6,0)</f>
        <v>0</v>
      </c>
      <c r="J72" s="329">
        <f>VLOOKUP($A72,CTDD,'5.CT-DD'!$Q$6,0)</f>
        <v>13173</v>
      </c>
      <c r="K72" s="329">
        <f>VLOOKUP($A72,CTDD,'5.CT-DD'!$R$6,0)</f>
        <v>0</v>
      </c>
      <c r="L72" s="329">
        <f>VLOOKUP($A72,CTDD,'5.CT-DD'!$S$6,0)</f>
        <v>0</v>
      </c>
      <c r="M72" s="329">
        <f t="shared" si="15"/>
        <v>4810000</v>
      </c>
      <c r="N72" s="329">
        <f t="shared" si="16"/>
        <v>0</v>
      </c>
      <c r="O72" s="329">
        <f t="shared" si="17"/>
        <v>0</v>
      </c>
      <c r="P72" s="329">
        <f t="shared" si="18"/>
        <v>974802</v>
      </c>
      <c r="Q72" s="329">
        <f t="shared" si="19"/>
        <v>0</v>
      </c>
      <c r="R72" s="329">
        <f t="shared" si="20"/>
        <v>0</v>
      </c>
    </row>
    <row r="73" spans="1:18">
      <c r="A73" s="332" t="s">
        <v>1504</v>
      </c>
      <c r="B73" s="333">
        <f t="shared" si="13"/>
        <v>1</v>
      </c>
      <c r="C73" s="328">
        <f t="shared" si="22"/>
        <v>16</v>
      </c>
      <c r="D73" s="329" t="str">
        <f>VLOOKUP(A73,CTDD,'5.CT-DD'!$E$6,0)</f>
        <v>Bộ Uclevis đỡ dây trung hòa trụ ghép</v>
      </c>
      <c r="E73" s="328" t="str">
        <f>VLOOKUP(A73,CTDD,'5.CT-DD'!$F$6,0)</f>
        <v>bộ</v>
      </c>
      <c r="F73" s="328">
        <f>VLOOKUP($A73,CTDD,'5.CT-DD'!$V$6,0)</f>
        <v>44</v>
      </c>
      <c r="G73" s="329">
        <f>VLOOKUP($A73,CTDD,'5.CT-DD'!$N$6,0)</f>
        <v>80000</v>
      </c>
      <c r="H73" s="329">
        <f>VLOOKUP($A73,CTDD,'5.CT-DD'!$O$6,0)</f>
        <v>0</v>
      </c>
      <c r="I73" s="329">
        <f>VLOOKUP($A73,CTDD,'5.CT-DD'!$P$6,0)</f>
        <v>0</v>
      </c>
      <c r="J73" s="329">
        <f>VLOOKUP($A73,CTDD,'5.CT-DD'!$Q$6,0)</f>
        <v>13173</v>
      </c>
      <c r="K73" s="329">
        <f>VLOOKUP($A73,CTDD,'5.CT-DD'!$R$6,0)</f>
        <v>0</v>
      </c>
      <c r="L73" s="329">
        <f>VLOOKUP($A73,CTDD,'5.CT-DD'!$S$6,0)</f>
        <v>0</v>
      </c>
      <c r="M73" s="329">
        <f t="shared" si="15"/>
        <v>3520000</v>
      </c>
      <c r="N73" s="329">
        <f t="shared" si="16"/>
        <v>0</v>
      </c>
      <c r="O73" s="329">
        <f t="shared" si="17"/>
        <v>0</v>
      </c>
      <c r="P73" s="329">
        <f t="shared" si="18"/>
        <v>579612</v>
      </c>
      <c r="Q73" s="329">
        <f t="shared" si="19"/>
        <v>0</v>
      </c>
      <c r="R73" s="329">
        <f t="shared" si="20"/>
        <v>0</v>
      </c>
    </row>
    <row r="74" spans="1:18" hidden="1">
      <c r="A74" s="332" t="s">
        <v>1791</v>
      </c>
      <c r="B74" s="333">
        <f t="shared" si="13"/>
        <v>0</v>
      </c>
      <c r="C74" s="328">
        <f t="shared" si="22"/>
        <v>16</v>
      </c>
      <c r="D74" s="340" t="str">
        <f>VLOOKUP(A74,CTDD,'5.CT-DD'!$E$6,0)</f>
        <v>Bộ Uclevis đỡ dây trung hòa vào xà</v>
      </c>
      <c r="E74" s="341" t="str">
        <f>VLOOKUP(A74,CTDD,'5.CT-DD'!$F$6,0)</f>
        <v>bộ</v>
      </c>
      <c r="F74" s="328">
        <f>VLOOKUP($A74,CTDD,'5.CT-DD'!$V$6,0)</f>
        <v>0</v>
      </c>
      <c r="G74" s="329">
        <f>VLOOKUP($A74,CTDD,'5.CT-DD'!$N$6,0)</f>
        <v>59000</v>
      </c>
      <c r="H74" s="329">
        <f>VLOOKUP($A74,CTDD,'5.CT-DD'!$O$6,0)</f>
        <v>0</v>
      </c>
      <c r="I74" s="329">
        <f>VLOOKUP($A74,CTDD,'5.CT-DD'!$P$6,0)</f>
        <v>0</v>
      </c>
      <c r="J74" s="329">
        <f>VLOOKUP($A74,CTDD,'5.CT-DD'!$Q$6,0)</f>
        <v>13173</v>
      </c>
      <c r="K74" s="329">
        <f>VLOOKUP($A74,CTDD,'5.CT-DD'!$R$6,0)</f>
        <v>0</v>
      </c>
      <c r="L74" s="329">
        <f>VLOOKUP($A74,CTDD,'5.CT-DD'!$S$6,0)</f>
        <v>0</v>
      </c>
      <c r="M74" s="329">
        <f t="shared" si="15"/>
        <v>0</v>
      </c>
      <c r="N74" s="329">
        <f t="shared" si="16"/>
        <v>0</v>
      </c>
      <c r="O74" s="329">
        <f t="shared" si="17"/>
        <v>0</v>
      </c>
      <c r="P74" s="329">
        <f t="shared" si="18"/>
        <v>0</v>
      </c>
      <c r="Q74" s="329">
        <f t="shared" si="19"/>
        <v>0</v>
      </c>
      <c r="R74" s="329">
        <f t="shared" si="20"/>
        <v>0</v>
      </c>
    </row>
    <row r="75" spans="1:18">
      <c r="A75" s="332" t="s">
        <v>345</v>
      </c>
      <c r="B75" s="333">
        <f t="shared" si="13"/>
        <v>1</v>
      </c>
      <c r="C75" s="328">
        <f t="shared" si="22"/>
        <v>17</v>
      </c>
      <c r="D75" s="329" t="str">
        <f>VLOOKUP(A75,CTDD,'5.CT-DD'!$E$6,0)</f>
        <v>Bộ khóa néo dây trung hòa vào trụ (cáp trần 50)</v>
      </c>
      <c r="E75" s="328" t="str">
        <f>VLOOKUP(A75,CTDD,'5.CT-DD'!$F$6,0)</f>
        <v>bộ</v>
      </c>
      <c r="F75" s="328">
        <f>VLOOKUP($A75,CTDD,'5.CT-DD'!$V$6,0)</f>
        <v>93</v>
      </c>
      <c r="G75" s="329">
        <f>VLOOKUP($A75,CTDD,'5.CT-DD'!$N$6,0)</f>
        <v>86000</v>
      </c>
      <c r="H75" s="329">
        <f>VLOOKUP($A75,CTDD,'5.CT-DD'!$O$6,0)</f>
        <v>0</v>
      </c>
      <c r="I75" s="329">
        <f>VLOOKUP($A75,CTDD,'5.CT-DD'!$P$6,0)</f>
        <v>0</v>
      </c>
      <c r="J75" s="329">
        <f>VLOOKUP($A75,CTDD,'5.CT-DD'!$Q$6,0)</f>
        <v>0</v>
      </c>
      <c r="K75" s="329">
        <f>VLOOKUP($A75,CTDD,'5.CT-DD'!$R$6,0)</f>
        <v>0</v>
      </c>
      <c r="L75" s="329">
        <f>VLOOKUP($A75,CTDD,'5.CT-DD'!$S$6,0)</f>
        <v>0</v>
      </c>
      <c r="M75" s="329">
        <f t="shared" si="15"/>
        <v>7998000</v>
      </c>
      <c r="N75" s="329">
        <f t="shared" si="16"/>
        <v>0</v>
      </c>
      <c r="O75" s="329">
        <f t="shared" si="17"/>
        <v>0</v>
      </c>
      <c r="P75" s="329">
        <f t="shared" si="18"/>
        <v>0</v>
      </c>
      <c r="Q75" s="329">
        <f t="shared" si="19"/>
        <v>0</v>
      </c>
      <c r="R75" s="329">
        <f t="shared" si="20"/>
        <v>0</v>
      </c>
    </row>
    <row r="76" spans="1:18" hidden="1">
      <c r="A76" s="332" t="s">
        <v>347</v>
      </c>
      <c r="B76" s="333">
        <f t="shared" si="13"/>
        <v>0</v>
      </c>
      <c r="C76" s="328">
        <f t="shared" si="22"/>
        <v>17</v>
      </c>
      <c r="D76" s="340" t="str">
        <f>VLOOKUP(A76,CTDD,'5.CT-DD'!$E$6,0)</f>
        <v>Bộ khóa néo dây trung hòa vào trụ (cáp trần 70)</v>
      </c>
      <c r="E76" s="341" t="str">
        <f>VLOOKUP(A76,CTDD,'5.CT-DD'!$F$6,0)</f>
        <v>bộ</v>
      </c>
      <c r="F76" s="328">
        <f>VLOOKUP($A76,CTDD,'5.CT-DD'!$V$6,0)</f>
        <v>0</v>
      </c>
      <c r="G76" s="329">
        <f>VLOOKUP($A76,CTDD,'5.CT-DD'!$N$6,0)</f>
        <v>86000</v>
      </c>
      <c r="H76" s="329">
        <f>VLOOKUP($A76,CTDD,'5.CT-DD'!$O$6,0)</f>
        <v>0</v>
      </c>
      <c r="I76" s="329">
        <f>VLOOKUP($A76,CTDD,'5.CT-DD'!$P$6,0)</f>
        <v>0</v>
      </c>
      <c r="J76" s="329">
        <f>VLOOKUP($A76,CTDD,'5.CT-DD'!$Q$6,0)</f>
        <v>0</v>
      </c>
      <c r="K76" s="329">
        <f>VLOOKUP($A76,CTDD,'5.CT-DD'!$R$6,0)</f>
        <v>0</v>
      </c>
      <c r="L76" s="329">
        <f>VLOOKUP($A76,CTDD,'5.CT-DD'!$S$6,0)</f>
        <v>0</v>
      </c>
      <c r="M76" s="329">
        <f t="shared" si="15"/>
        <v>0</v>
      </c>
      <c r="N76" s="329">
        <f t="shared" si="16"/>
        <v>0</v>
      </c>
      <c r="O76" s="329">
        <f t="shared" si="17"/>
        <v>0</v>
      </c>
      <c r="P76" s="329">
        <f t="shared" si="18"/>
        <v>0</v>
      </c>
      <c r="Q76" s="329">
        <f t="shared" si="19"/>
        <v>0</v>
      </c>
      <c r="R76" s="329">
        <f t="shared" si="20"/>
        <v>0</v>
      </c>
    </row>
    <row r="77" spans="1:18" hidden="1">
      <c r="A77" s="332" t="s">
        <v>348</v>
      </c>
      <c r="B77" s="333">
        <f t="shared" si="13"/>
        <v>0</v>
      </c>
      <c r="C77" s="328">
        <f t="shared" si="22"/>
        <v>17</v>
      </c>
      <c r="D77" s="340" t="str">
        <f>VLOOKUP(A77,CTDD,'5.CT-DD'!$E$6,0)</f>
        <v>Bộ khóa néo dây trung hòa vào trụ (cáp trần 95)</v>
      </c>
      <c r="E77" s="341" t="str">
        <f>VLOOKUP(A77,CTDD,'5.CT-DD'!$F$6,0)</f>
        <v>bộ</v>
      </c>
      <c r="F77" s="328">
        <f>VLOOKUP($A77,CTDD,'5.CT-DD'!$V$6,0)</f>
        <v>0</v>
      </c>
      <c r="G77" s="329">
        <f>VLOOKUP($A77,CTDD,'5.CT-DD'!$N$6,0)</f>
        <v>157000</v>
      </c>
      <c r="H77" s="329">
        <f>VLOOKUP($A77,CTDD,'5.CT-DD'!$O$6,0)</f>
        <v>0</v>
      </c>
      <c r="I77" s="329">
        <f>VLOOKUP($A77,CTDD,'5.CT-DD'!$P$6,0)</f>
        <v>0</v>
      </c>
      <c r="J77" s="329">
        <f>VLOOKUP($A77,CTDD,'5.CT-DD'!$Q$6,0)</f>
        <v>0</v>
      </c>
      <c r="K77" s="329">
        <f>VLOOKUP($A77,CTDD,'5.CT-DD'!$R$6,0)</f>
        <v>0</v>
      </c>
      <c r="L77" s="329">
        <f>VLOOKUP($A77,CTDD,'5.CT-DD'!$S$6,0)</f>
        <v>0</v>
      </c>
      <c r="M77" s="329">
        <f t="shared" si="15"/>
        <v>0</v>
      </c>
      <c r="N77" s="329">
        <f t="shared" si="16"/>
        <v>0</v>
      </c>
      <c r="O77" s="329">
        <f t="shared" si="17"/>
        <v>0</v>
      </c>
      <c r="P77" s="329">
        <f t="shared" si="18"/>
        <v>0</v>
      </c>
      <c r="Q77" s="329">
        <f t="shared" si="19"/>
        <v>0</v>
      </c>
      <c r="R77" s="329">
        <f t="shared" si="20"/>
        <v>0</v>
      </c>
    </row>
    <row r="78" spans="1:18" hidden="1">
      <c r="A78" s="332" t="s">
        <v>350</v>
      </c>
      <c r="B78" s="333">
        <f t="shared" si="13"/>
        <v>0</v>
      </c>
      <c r="C78" s="328">
        <f t="shared" si="22"/>
        <v>17</v>
      </c>
      <c r="D78" s="340" t="str">
        <f>VLOOKUP(A78,CTDD,'5.CT-DD'!$E$6,0)</f>
        <v>Bộ khóa néo dây trung hòa vào trụ (cáp trần 120)</v>
      </c>
      <c r="E78" s="341" t="str">
        <f>VLOOKUP(A78,CTDD,'5.CT-DD'!$F$6,0)</f>
        <v>bộ</v>
      </c>
      <c r="F78" s="328">
        <f>VLOOKUP($A78,CTDD,'5.CT-DD'!$V$6,0)</f>
        <v>0</v>
      </c>
      <c r="G78" s="329">
        <f>VLOOKUP($A78,CTDD,'5.CT-DD'!$N$6,0)</f>
        <v>157000</v>
      </c>
      <c r="H78" s="329">
        <f>VLOOKUP($A78,CTDD,'5.CT-DD'!$O$6,0)</f>
        <v>0</v>
      </c>
      <c r="I78" s="329">
        <f>VLOOKUP($A78,CTDD,'5.CT-DD'!$P$6,0)</f>
        <v>0</v>
      </c>
      <c r="J78" s="329">
        <f>VLOOKUP($A78,CTDD,'5.CT-DD'!$Q$6,0)</f>
        <v>0</v>
      </c>
      <c r="K78" s="329">
        <f>VLOOKUP($A78,CTDD,'5.CT-DD'!$R$6,0)</f>
        <v>0</v>
      </c>
      <c r="L78" s="329">
        <f>VLOOKUP($A78,CTDD,'5.CT-DD'!$S$6,0)</f>
        <v>0</v>
      </c>
      <c r="M78" s="329">
        <f t="shared" si="15"/>
        <v>0</v>
      </c>
      <c r="N78" s="329">
        <f t="shared" si="16"/>
        <v>0</v>
      </c>
      <c r="O78" s="329">
        <f t="shared" si="17"/>
        <v>0</v>
      </c>
      <c r="P78" s="329">
        <f t="shared" si="18"/>
        <v>0</v>
      </c>
      <c r="Q78" s="329">
        <f t="shared" si="19"/>
        <v>0</v>
      </c>
      <c r="R78" s="329">
        <f t="shared" si="20"/>
        <v>0</v>
      </c>
    </row>
    <row r="79" spans="1:18">
      <c r="A79" s="332" t="s">
        <v>404</v>
      </c>
      <c r="B79" s="333">
        <f t="shared" si="13"/>
        <v>1</v>
      </c>
      <c r="C79" s="328">
        <f t="shared" si="22"/>
        <v>18</v>
      </c>
      <c r="D79" s="329" t="str">
        <f>VLOOKUP(A79,CTDD,'5.CT-DD'!$E$6,0)</f>
        <v>Bộ cách điện đứng+ty sứ : SĐU</v>
      </c>
      <c r="E79" s="328" t="str">
        <f>VLOOKUP(A79,CTDD,'5.CT-DD'!$F$6,0)</f>
        <v>bộ</v>
      </c>
      <c r="F79" s="328">
        <f>VLOOKUP($A79,CTDD,'5.CT-DD'!$V$6,0)</f>
        <v>425</v>
      </c>
      <c r="G79" s="329">
        <f>VLOOKUP($A79,CTDD,'5.CT-DD'!$N$6,0)</f>
        <v>255000</v>
      </c>
      <c r="H79" s="329">
        <f>VLOOKUP($A79,CTDD,'5.CT-DD'!$O$6,0)</f>
        <v>0</v>
      </c>
      <c r="I79" s="329">
        <f>VLOOKUP($A79,CTDD,'5.CT-DD'!$P$6,0)</f>
        <v>0</v>
      </c>
      <c r="J79" s="329">
        <f>VLOOKUP($A79,CTDD,'5.CT-DD'!$Q$6,0)</f>
        <v>49616</v>
      </c>
      <c r="K79" s="329">
        <f>VLOOKUP($A79,CTDD,'5.CT-DD'!$R$6,0)</f>
        <v>0</v>
      </c>
      <c r="L79" s="329">
        <f>VLOOKUP($A79,CTDD,'5.CT-DD'!$S$6,0)</f>
        <v>0</v>
      </c>
      <c r="M79" s="329">
        <f t="shared" si="15"/>
        <v>108375000</v>
      </c>
      <c r="N79" s="329">
        <f t="shared" si="16"/>
        <v>0</v>
      </c>
      <c r="O79" s="329">
        <f t="shared" si="17"/>
        <v>0</v>
      </c>
      <c r="P79" s="329">
        <f t="shared" si="18"/>
        <v>21086800</v>
      </c>
      <c r="Q79" s="329">
        <f t="shared" si="19"/>
        <v>0</v>
      </c>
      <c r="R79" s="329">
        <f t="shared" si="20"/>
        <v>0</v>
      </c>
    </row>
    <row r="80" spans="1:18">
      <c r="A80" s="332" t="s">
        <v>1501</v>
      </c>
      <c r="B80" s="333">
        <f t="shared" si="13"/>
        <v>1</v>
      </c>
      <c r="C80" s="328">
        <f t="shared" si="22"/>
        <v>19</v>
      </c>
      <c r="D80" s="329" t="str">
        <f>VLOOKUP(A80,CTDD,'5.CT-DD'!$E$6,0)</f>
        <v>Bộ cách điện đỉnh+ty sứ đơn : SĐI</v>
      </c>
      <c r="E80" s="328" t="str">
        <f>VLOOKUP(A80,CTDD,'5.CT-DD'!$F$6,0)</f>
        <v>bộ</v>
      </c>
      <c r="F80" s="328">
        <f>VLOOKUP($A80,CTDD,'5.CT-DD'!$V$6,0)</f>
        <v>39</v>
      </c>
      <c r="G80" s="329">
        <f>VLOOKUP($A80,CTDD,'5.CT-DD'!$N$6,0)</f>
        <v>366000</v>
      </c>
      <c r="H80" s="329">
        <f>VLOOKUP($A80,CTDD,'5.CT-DD'!$O$6,0)</f>
        <v>0</v>
      </c>
      <c r="I80" s="329">
        <f>VLOOKUP($A80,CTDD,'5.CT-DD'!$P$6,0)</f>
        <v>0</v>
      </c>
      <c r="J80" s="329">
        <f>VLOOKUP($A80,CTDD,'5.CT-DD'!$Q$6,0)</f>
        <v>49616</v>
      </c>
      <c r="K80" s="329">
        <f>VLOOKUP($A80,CTDD,'5.CT-DD'!$R$6,0)</f>
        <v>0</v>
      </c>
      <c r="L80" s="329">
        <f>VLOOKUP($A80,CTDD,'5.CT-DD'!$S$6,0)</f>
        <v>0</v>
      </c>
      <c r="M80" s="329">
        <f t="shared" si="15"/>
        <v>14274000</v>
      </c>
      <c r="N80" s="329">
        <f t="shared" si="16"/>
        <v>0</v>
      </c>
      <c r="O80" s="329">
        <f t="shared" si="17"/>
        <v>0</v>
      </c>
      <c r="P80" s="329">
        <f t="shared" si="18"/>
        <v>1935024</v>
      </c>
      <c r="Q80" s="329">
        <f t="shared" si="19"/>
        <v>0</v>
      </c>
      <c r="R80" s="329">
        <f t="shared" si="20"/>
        <v>0</v>
      </c>
    </row>
    <row r="81" spans="1:18">
      <c r="A81" s="332" t="s">
        <v>1502</v>
      </c>
      <c r="B81" s="333">
        <f t="shared" si="13"/>
        <v>1</v>
      </c>
      <c r="C81" s="328">
        <f t="shared" si="22"/>
        <v>20</v>
      </c>
      <c r="D81" s="329" t="str">
        <f>VLOOKUP(A81,CTDD,'5.CT-DD'!$E$6,0)</f>
        <v>Bộ cách điện đỉnh góc + ty sứ đơn : SĐG</v>
      </c>
      <c r="E81" s="328" t="str">
        <f>VLOOKUP(A81,CTDD,'5.CT-DD'!$F$6,0)</f>
        <v>bộ</v>
      </c>
      <c r="F81" s="328">
        <f>VLOOKUP($A81,CTDD,'5.CT-DD'!$V$6,0)</f>
        <v>27</v>
      </c>
      <c r="G81" s="329">
        <f>VLOOKUP($A81,CTDD,'5.CT-DD'!$N$6,0)</f>
        <v>684000</v>
      </c>
      <c r="H81" s="329">
        <f>VLOOKUP($A81,CTDD,'5.CT-DD'!$O$6,0)</f>
        <v>0</v>
      </c>
      <c r="I81" s="329">
        <f>VLOOKUP($A81,CTDD,'5.CT-DD'!$P$6,0)</f>
        <v>0</v>
      </c>
      <c r="J81" s="329">
        <f>VLOOKUP($A81,CTDD,'5.CT-DD'!$Q$6,0)</f>
        <v>99232</v>
      </c>
      <c r="K81" s="329">
        <f>VLOOKUP($A81,CTDD,'5.CT-DD'!$R$6,0)</f>
        <v>0</v>
      </c>
      <c r="L81" s="329">
        <f>VLOOKUP($A81,CTDD,'5.CT-DD'!$S$6,0)</f>
        <v>0</v>
      </c>
      <c r="M81" s="329">
        <f t="shared" si="15"/>
        <v>18468000</v>
      </c>
      <c r="N81" s="329">
        <f t="shared" si="16"/>
        <v>0</v>
      </c>
      <c r="O81" s="329">
        <f t="shared" si="17"/>
        <v>0</v>
      </c>
      <c r="P81" s="329">
        <f t="shared" si="18"/>
        <v>2679264</v>
      </c>
      <c r="Q81" s="329">
        <f t="shared" si="19"/>
        <v>0</v>
      </c>
      <c r="R81" s="329">
        <f t="shared" si="20"/>
        <v>0</v>
      </c>
    </row>
    <row r="82" spans="1:18" s="851" customFormat="1">
      <c r="A82" s="851" t="s">
        <v>1803</v>
      </c>
      <c r="B82" s="852">
        <f t="shared" si="13"/>
        <v>1</v>
      </c>
      <c r="C82" s="662">
        <f t="shared" si="22"/>
        <v>21</v>
      </c>
      <c r="D82" s="664" t="str">
        <f>VLOOKUP(A82,CTDD,'5.CT-DD'!$E$6,0)</f>
        <v>Bộ sứ treo Polymer 25kV lắp vào xà (cáp bọc 50)</v>
      </c>
      <c r="E82" s="662" t="str">
        <f>VLOOKUP(A82,CTDD,'5.CT-DD'!$F$6,0)</f>
        <v>bộ</v>
      </c>
      <c r="F82" s="662">
        <f>VLOOKUP($A82,CTDD,'5.CT-DD'!$V$6,0)</f>
        <v>202</v>
      </c>
      <c r="G82" s="664">
        <f>VLOOKUP($A82,CTDD,'5.CT-DD'!$N$6,0)</f>
        <v>658250</v>
      </c>
      <c r="H82" s="664">
        <f>VLOOKUP($A82,CTDD,'5.CT-DD'!$O$6,0)</f>
        <v>0</v>
      </c>
      <c r="I82" s="664">
        <f>VLOOKUP($A82,CTDD,'5.CT-DD'!$P$6,0)</f>
        <v>0</v>
      </c>
      <c r="J82" s="664">
        <f>VLOOKUP($A82,CTDD,'5.CT-DD'!$Q$6,0)</f>
        <v>59709</v>
      </c>
      <c r="K82" s="664">
        <f>VLOOKUP($A82,CTDD,'5.CT-DD'!$R$6,0)</f>
        <v>0</v>
      </c>
      <c r="L82" s="664">
        <f>VLOOKUP($A82,CTDD,'5.CT-DD'!$S$6,0)</f>
        <v>0</v>
      </c>
      <c r="M82" s="664">
        <f t="shared" si="15"/>
        <v>132966500</v>
      </c>
      <c r="N82" s="664">
        <f t="shared" si="16"/>
        <v>0</v>
      </c>
      <c r="O82" s="664">
        <f t="shared" si="17"/>
        <v>0</v>
      </c>
      <c r="P82" s="664">
        <f t="shared" si="18"/>
        <v>12061218</v>
      </c>
      <c r="Q82" s="664">
        <f t="shared" si="19"/>
        <v>0</v>
      </c>
      <c r="R82" s="664">
        <f t="shared" si="20"/>
        <v>0</v>
      </c>
    </row>
    <row r="83" spans="1:18" hidden="1">
      <c r="A83" s="332" t="s">
        <v>1804</v>
      </c>
      <c r="B83" s="333">
        <f t="shared" si="13"/>
        <v>0</v>
      </c>
      <c r="C83" s="328">
        <f t="shared" si="22"/>
        <v>21</v>
      </c>
      <c r="D83" s="329" t="str">
        <f>VLOOKUP(A83,CTDD,'5.CT-DD'!$E$6,0)</f>
        <v>Bộ sứ treo Polymer 25kV lắp vào xà (cáp bọc 70)</v>
      </c>
      <c r="E83" s="328" t="str">
        <f>VLOOKUP(A83,CTDD,'5.CT-DD'!$F$6,0)</f>
        <v>bộ</v>
      </c>
      <c r="F83" s="328">
        <f>VLOOKUP($A83,CTDD,'5.CT-DD'!$V$6,0)</f>
        <v>0</v>
      </c>
      <c r="G83" s="329">
        <f>VLOOKUP($A83,CTDD,'5.CT-DD'!$N$6,0)</f>
        <v>687000</v>
      </c>
      <c r="H83" s="329">
        <f>VLOOKUP($A83,CTDD,'5.CT-DD'!$O$6,0)</f>
        <v>0</v>
      </c>
      <c r="I83" s="329">
        <f>VLOOKUP($A83,CTDD,'5.CT-DD'!$P$6,0)</f>
        <v>0</v>
      </c>
      <c r="J83" s="329">
        <f>VLOOKUP($A83,CTDD,'5.CT-DD'!$Q$6,0)</f>
        <v>59709</v>
      </c>
      <c r="K83" s="329">
        <f>VLOOKUP($A83,CTDD,'5.CT-DD'!$R$6,0)</f>
        <v>0</v>
      </c>
      <c r="L83" s="329">
        <f>VLOOKUP($A83,CTDD,'5.CT-DD'!$S$6,0)</f>
        <v>0</v>
      </c>
      <c r="M83" s="329">
        <f t="shared" si="15"/>
        <v>0</v>
      </c>
      <c r="N83" s="329">
        <f t="shared" si="16"/>
        <v>0</v>
      </c>
      <c r="O83" s="329">
        <f t="shared" si="17"/>
        <v>0</v>
      </c>
      <c r="P83" s="329">
        <f t="shared" si="18"/>
        <v>0</v>
      </c>
      <c r="Q83" s="329">
        <f t="shared" si="19"/>
        <v>0</v>
      </c>
      <c r="R83" s="329">
        <f t="shared" si="20"/>
        <v>0</v>
      </c>
    </row>
    <row r="84" spans="1:18" hidden="1">
      <c r="A84" s="332" t="s">
        <v>1805</v>
      </c>
      <c r="B84" s="333">
        <f t="shared" si="13"/>
        <v>0</v>
      </c>
      <c r="C84" s="328">
        <f t="shared" si="22"/>
        <v>21</v>
      </c>
      <c r="D84" s="340" t="str">
        <f>VLOOKUP(A84,CTDD,'5.CT-DD'!$E$6,0)</f>
        <v>Bộ sứ treo Polymer 25kV lắp vào xà (cáp bọc 95)</v>
      </c>
      <c r="E84" s="341" t="str">
        <f>VLOOKUP(A84,CTDD,'5.CT-DD'!$F$6,0)</f>
        <v>bộ</v>
      </c>
      <c r="F84" s="328">
        <f>VLOOKUP($A84,CTDD,'5.CT-DD'!$V$6,0)</f>
        <v>0</v>
      </c>
      <c r="G84" s="329">
        <f>VLOOKUP($A84,CTDD,'5.CT-DD'!$N$6,0)</f>
        <v>687000</v>
      </c>
      <c r="H84" s="329">
        <f>VLOOKUP($A84,CTDD,'5.CT-DD'!$O$6,0)</f>
        <v>0</v>
      </c>
      <c r="I84" s="329">
        <f>VLOOKUP($A84,CTDD,'5.CT-DD'!$P$6,0)</f>
        <v>0</v>
      </c>
      <c r="J84" s="329">
        <f>VLOOKUP($A84,CTDD,'5.CT-DD'!$Q$6,0)</f>
        <v>59709</v>
      </c>
      <c r="K84" s="329">
        <f>VLOOKUP($A84,CTDD,'5.CT-DD'!$R$6,0)</f>
        <v>0</v>
      </c>
      <c r="L84" s="329">
        <f>VLOOKUP($A84,CTDD,'5.CT-DD'!$S$6,0)</f>
        <v>0</v>
      </c>
      <c r="M84" s="329">
        <f t="shared" si="15"/>
        <v>0</v>
      </c>
      <c r="N84" s="329">
        <f t="shared" si="16"/>
        <v>0</v>
      </c>
      <c r="O84" s="329">
        <f t="shared" si="17"/>
        <v>0</v>
      </c>
      <c r="P84" s="329">
        <f t="shared" si="18"/>
        <v>0</v>
      </c>
      <c r="Q84" s="329">
        <f t="shared" si="19"/>
        <v>0</v>
      </c>
      <c r="R84" s="329">
        <f t="shared" si="20"/>
        <v>0</v>
      </c>
    </row>
    <row r="85" spans="1:18" hidden="1">
      <c r="A85" s="332" t="s">
        <v>1806</v>
      </c>
      <c r="B85" s="333">
        <f t="shared" si="13"/>
        <v>0</v>
      </c>
      <c r="C85" s="328">
        <f t="shared" si="22"/>
        <v>21</v>
      </c>
      <c r="D85" s="340" t="str">
        <f>VLOOKUP(A85,CTDD,'5.CT-DD'!$E$6,0)</f>
        <v>Bộ sứ treo Polymer 25kV lắp vào xà (cáp bọc 120)</v>
      </c>
      <c r="E85" s="341" t="str">
        <f>VLOOKUP(A85,CTDD,'5.CT-DD'!$F$6,0)</f>
        <v>bộ</v>
      </c>
      <c r="F85" s="328">
        <f>VLOOKUP($A85,CTDD,'5.CT-DD'!$V$6,0)</f>
        <v>0</v>
      </c>
      <c r="G85" s="329">
        <f>VLOOKUP($A85,CTDD,'5.CT-DD'!$N$6,0)</f>
        <v>588000</v>
      </c>
      <c r="H85" s="329">
        <f>VLOOKUP($A85,CTDD,'5.CT-DD'!$O$6,0)</f>
        <v>0</v>
      </c>
      <c r="I85" s="329">
        <f>VLOOKUP($A85,CTDD,'5.CT-DD'!$P$6,0)</f>
        <v>0</v>
      </c>
      <c r="J85" s="329">
        <f>VLOOKUP($A85,CTDD,'5.CT-DD'!$Q$6,0)</f>
        <v>59709</v>
      </c>
      <c r="K85" s="329">
        <f>VLOOKUP($A85,CTDD,'5.CT-DD'!$R$6,0)</f>
        <v>0</v>
      </c>
      <c r="L85" s="329">
        <f>VLOOKUP($A85,CTDD,'5.CT-DD'!$S$6,0)</f>
        <v>0</v>
      </c>
      <c r="M85" s="329">
        <f t="shared" si="15"/>
        <v>0</v>
      </c>
      <c r="N85" s="329">
        <f t="shared" si="16"/>
        <v>0</v>
      </c>
      <c r="O85" s="329">
        <f t="shared" si="17"/>
        <v>0</v>
      </c>
      <c r="P85" s="329">
        <f t="shared" si="18"/>
        <v>0</v>
      </c>
      <c r="Q85" s="329">
        <f t="shared" si="19"/>
        <v>0</v>
      </c>
      <c r="R85" s="329">
        <f t="shared" si="20"/>
        <v>0</v>
      </c>
    </row>
    <row r="86" spans="1:18" hidden="1">
      <c r="A86" s="332" t="s">
        <v>1807</v>
      </c>
      <c r="B86" s="333">
        <f t="shared" si="13"/>
        <v>0</v>
      </c>
      <c r="C86" s="328">
        <f t="shared" si="22"/>
        <v>21</v>
      </c>
      <c r="D86" s="340" t="str">
        <f>VLOOKUP(A86,CTDD,'5.CT-DD'!$E$6,0)</f>
        <v>Bộ sứ treo Polymer 25kV lắp vào xà (cáp bọc 150)</v>
      </c>
      <c r="E86" s="341" t="str">
        <f>VLOOKUP(A86,CTDD,'5.CT-DD'!$F$6,0)</f>
        <v>bộ</v>
      </c>
      <c r="F86" s="328">
        <f>VLOOKUP($A86,CTDD,'5.CT-DD'!$V$6,0)</f>
        <v>0</v>
      </c>
      <c r="G86" s="329">
        <f>VLOOKUP($A86,CTDD,'5.CT-DD'!$N$6,0)</f>
        <v>588000</v>
      </c>
      <c r="H86" s="329">
        <f>VLOOKUP($A86,CTDD,'5.CT-DD'!$O$6,0)</f>
        <v>0</v>
      </c>
      <c r="I86" s="329">
        <f>VLOOKUP($A86,CTDD,'5.CT-DD'!$P$6,0)</f>
        <v>0</v>
      </c>
      <c r="J86" s="329">
        <f>VLOOKUP($A86,CTDD,'5.CT-DD'!$Q$6,0)</f>
        <v>59709</v>
      </c>
      <c r="K86" s="329">
        <f>VLOOKUP($A86,CTDD,'5.CT-DD'!$R$6,0)</f>
        <v>0</v>
      </c>
      <c r="L86" s="329">
        <f>VLOOKUP($A86,CTDD,'5.CT-DD'!$S$6,0)</f>
        <v>0</v>
      </c>
      <c r="M86" s="329">
        <f t="shared" si="15"/>
        <v>0</v>
      </c>
      <c r="N86" s="329">
        <f t="shared" si="16"/>
        <v>0</v>
      </c>
      <c r="O86" s="329">
        <f t="shared" si="17"/>
        <v>0</v>
      </c>
      <c r="P86" s="329">
        <f t="shared" si="18"/>
        <v>0</v>
      </c>
      <c r="Q86" s="329">
        <f t="shared" si="19"/>
        <v>0</v>
      </c>
      <c r="R86" s="329">
        <f t="shared" si="20"/>
        <v>0</v>
      </c>
    </row>
    <row r="87" spans="1:18" hidden="1">
      <c r="A87" s="332" t="s">
        <v>1808</v>
      </c>
      <c r="B87" s="333">
        <f t="shared" si="13"/>
        <v>0</v>
      </c>
      <c r="C87" s="328">
        <f t="shared" si="22"/>
        <v>21</v>
      </c>
      <c r="D87" s="340" t="str">
        <f>VLOOKUP(A87,CTDD,'5.CT-DD'!$E$6,0)</f>
        <v>Bộ sứ treo Polymer 25kV lắp vào xà (cáp bọc 185)</v>
      </c>
      <c r="E87" s="341" t="str">
        <f>VLOOKUP(A87,CTDD,'5.CT-DD'!$F$6,0)</f>
        <v>bộ</v>
      </c>
      <c r="F87" s="328">
        <f>VLOOKUP($A87,CTDD,'5.CT-DD'!$V$6,0)</f>
        <v>0</v>
      </c>
      <c r="G87" s="329">
        <f>VLOOKUP($A87,CTDD,'5.CT-DD'!$N$6,0)</f>
        <v>588000</v>
      </c>
      <c r="H87" s="329">
        <f>VLOOKUP($A87,CTDD,'5.CT-DD'!$O$6,0)</f>
        <v>0</v>
      </c>
      <c r="I87" s="329">
        <f>VLOOKUP($A87,CTDD,'5.CT-DD'!$P$6,0)</f>
        <v>0</v>
      </c>
      <c r="J87" s="329">
        <f>VLOOKUP($A87,CTDD,'5.CT-DD'!$Q$6,0)</f>
        <v>59709</v>
      </c>
      <c r="K87" s="329">
        <f>VLOOKUP($A87,CTDD,'5.CT-DD'!$R$6,0)</f>
        <v>0</v>
      </c>
      <c r="L87" s="329">
        <f>VLOOKUP($A87,CTDD,'5.CT-DD'!$S$6,0)</f>
        <v>0</v>
      </c>
      <c r="M87" s="329">
        <f t="shared" si="15"/>
        <v>0</v>
      </c>
      <c r="N87" s="329">
        <f t="shared" si="16"/>
        <v>0</v>
      </c>
      <c r="O87" s="329">
        <f t="shared" si="17"/>
        <v>0</v>
      </c>
      <c r="P87" s="329">
        <f t="shared" si="18"/>
        <v>0</v>
      </c>
      <c r="Q87" s="329">
        <f t="shared" si="19"/>
        <v>0</v>
      </c>
      <c r="R87" s="329">
        <f t="shared" si="20"/>
        <v>0</v>
      </c>
    </row>
    <row r="88" spans="1:18" hidden="1">
      <c r="A88" s="332" t="s">
        <v>1809</v>
      </c>
      <c r="B88" s="333">
        <f t="shared" si="13"/>
        <v>0</v>
      </c>
      <c r="C88" s="328">
        <f t="shared" si="22"/>
        <v>21</v>
      </c>
      <c r="D88" s="340" t="str">
        <f>VLOOKUP(A88,CTDD,'5.CT-DD'!$E$6,0)</f>
        <v>Bộ sứ treo Polymer 25kV lắp vào xà (cáp bọc 240)</v>
      </c>
      <c r="E88" s="341" t="str">
        <f>VLOOKUP(A88,CTDD,'5.CT-DD'!$F$6,0)</f>
        <v>bộ</v>
      </c>
      <c r="F88" s="328">
        <f>VLOOKUP($A88,CTDD,'5.CT-DD'!$V$6,0)</f>
        <v>0</v>
      </c>
      <c r="G88" s="329">
        <f>VLOOKUP($A88,CTDD,'5.CT-DD'!$N$6,0)</f>
        <v>748000</v>
      </c>
      <c r="H88" s="329">
        <f>VLOOKUP($A88,CTDD,'5.CT-DD'!$O$6,0)</f>
        <v>0</v>
      </c>
      <c r="I88" s="329">
        <f>VLOOKUP($A88,CTDD,'5.CT-DD'!$P$6,0)</f>
        <v>0</v>
      </c>
      <c r="J88" s="329">
        <f>VLOOKUP($A88,CTDD,'5.CT-DD'!$Q$6,0)</f>
        <v>59709</v>
      </c>
      <c r="K88" s="329">
        <f>VLOOKUP($A88,CTDD,'5.CT-DD'!$R$6,0)</f>
        <v>0</v>
      </c>
      <c r="L88" s="329">
        <f>VLOOKUP($A88,CTDD,'5.CT-DD'!$S$6,0)</f>
        <v>0</v>
      </c>
      <c r="M88" s="329">
        <f t="shared" si="15"/>
        <v>0</v>
      </c>
      <c r="N88" s="329">
        <f t="shared" si="16"/>
        <v>0</v>
      </c>
      <c r="O88" s="329">
        <f t="shared" si="17"/>
        <v>0</v>
      </c>
      <c r="P88" s="329">
        <f t="shared" si="18"/>
        <v>0</v>
      </c>
      <c r="Q88" s="329">
        <f t="shared" si="19"/>
        <v>0</v>
      </c>
      <c r="R88" s="329">
        <f t="shared" si="20"/>
        <v>0</v>
      </c>
    </row>
    <row r="89" spans="1:18" s="851" customFormat="1">
      <c r="A89" s="851" t="s">
        <v>1810</v>
      </c>
      <c r="B89" s="852">
        <f t="shared" si="13"/>
        <v>1</v>
      </c>
      <c r="C89" s="662">
        <f t="shared" si="22"/>
        <v>22</v>
      </c>
      <c r="D89" s="664" t="str">
        <f>VLOOKUP(A89,CTDD,'5.CT-DD'!$E$6,0)</f>
        <v>Bộ sứ treo Polymer 25kV lắp vào trụ (cáp bọc 50)</v>
      </c>
      <c r="E89" s="662" t="str">
        <f>VLOOKUP(A89,CTDD,'5.CT-DD'!$F$6,0)</f>
        <v>bộ</v>
      </c>
      <c r="F89" s="662">
        <f>VLOOKUP($A89,CTDD,'5.CT-DD'!$V$6,0)</f>
        <v>30</v>
      </c>
      <c r="G89" s="664">
        <f>VLOOKUP($A89,CTDD,'5.CT-DD'!$N$6,0)</f>
        <v>687250</v>
      </c>
      <c r="H89" s="664">
        <f>VLOOKUP($A89,CTDD,'5.CT-DD'!$O$6,0)</f>
        <v>0</v>
      </c>
      <c r="I89" s="664">
        <f>VLOOKUP($A89,CTDD,'5.CT-DD'!$P$6,0)</f>
        <v>0</v>
      </c>
      <c r="J89" s="664">
        <f>VLOOKUP($A89,CTDD,'5.CT-DD'!$Q$6,0)</f>
        <v>59709</v>
      </c>
      <c r="K89" s="664">
        <f>VLOOKUP($A89,CTDD,'5.CT-DD'!$R$6,0)</f>
        <v>0</v>
      </c>
      <c r="L89" s="664">
        <f>VLOOKUP($A89,CTDD,'5.CT-DD'!$S$6,0)</f>
        <v>0</v>
      </c>
      <c r="M89" s="664">
        <f t="shared" si="15"/>
        <v>20617500</v>
      </c>
      <c r="N89" s="664">
        <f t="shared" si="16"/>
        <v>0</v>
      </c>
      <c r="O89" s="664">
        <f t="shared" si="17"/>
        <v>0</v>
      </c>
      <c r="P89" s="664">
        <f t="shared" si="18"/>
        <v>1791270</v>
      </c>
      <c r="Q89" s="664">
        <f t="shared" si="19"/>
        <v>0</v>
      </c>
      <c r="R89" s="664">
        <f t="shared" si="20"/>
        <v>0</v>
      </c>
    </row>
    <row r="90" spans="1:18" hidden="1">
      <c r="A90" s="332" t="s">
        <v>1811</v>
      </c>
      <c r="B90" s="333">
        <f t="shared" si="13"/>
        <v>0</v>
      </c>
      <c r="C90" s="328">
        <f t="shared" si="22"/>
        <v>22</v>
      </c>
      <c r="D90" s="329" t="str">
        <f>VLOOKUP(A90,CTDD,'5.CT-DD'!$E$6,0)</f>
        <v>Bộ sứ treo Polymer 25kV lắp vào trụ (cáp bọc 70)</v>
      </c>
      <c r="E90" s="328" t="str">
        <f>VLOOKUP(A90,CTDD,'5.CT-DD'!$F$6,0)</f>
        <v>bộ</v>
      </c>
      <c r="F90" s="328">
        <f>VLOOKUP($A90,CTDD,'5.CT-DD'!$V$6,0)</f>
        <v>0</v>
      </c>
      <c r="G90" s="329">
        <f>VLOOKUP($A90,CTDD,'5.CT-DD'!$N$6,0)</f>
        <v>1103000</v>
      </c>
      <c r="H90" s="329">
        <f>VLOOKUP($A90,CTDD,'5.CT-DD'!$O$6,0)</f>
        <v>0</v>
      </c>
      <c r="I90" s="329">
        <f>VLOOKUP($A90,CTDD,'5.CT-DD'!$P$6,0)</f>
        <v>0</v>
      </c>
      <c r="J90" s="329">
        <f>VLOOKUP($A90,CTDD,'5.CT-DD'!$Q$6,0)</f>
        <v>59709</v>
      </c>
      <c r="K90" s="329">
        <f>VLOOKUP($A90,CTDD,'5.CT-DD'!$R$6,0)</f>
        <v>0</v>
      </c>
      <c r="L90" s="329">
        <f>VLOOKUP($A90,CTDD,'5.CT-DD'!$S$6,0)</f>
        <v>0</v>
      </c>
      <c r="M90" s="329">
        <f t="shared" si="15"/>
        <v>0</v>
      </c>
      <c r="N90" s="329">
        <f t="shared" si="16"/>
        <v>0</v>
      </c>
      <c r="O90" s="329">
        <f t="shared" si="17"/>
        <v>0</v>
      </c>
      <c r="P90" s="329">
        <f t="shared" si="18"/>
        <v>0</v>
      </c>
      <c r="Q90" s="329">
        <f t="shared" si="19"/>
        <v>0</v>
      </c>
      <c r="R90" s="329">
        <f t="shared" si="20"/>
        <v>0</v>
      </c>
    </row>
    <row r="91" spans="1:18" hidden="1">
      <c r="B91" s="333">
        <f t="shared" si="13"/>
        <v>0</v>
      </c>
      <c r="C91" s="328">
        <f t="shared" si="22"/>
        <v>22</v>
      </c>
      <c r="D91" s="340"/>
      <c r="E91" s="341"/>
      <c r="F91" s="328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</row>
    <row r="92" spans="1:18">
      <c r="A92" s="332" t="s">
        <v>2043</v>
      </c>
      <c r="B92" s="333">
        <f t="shared" si="13"/>
        <v>1</v>
      </c>
      <c r="C92" s="326" t="s">
        <v>1717</v>
      </c>
      <c r="D92" s="327" t="s">
        <v>1718</v>
      </c>
      <c r="E92" s="326" t="s">
        <v>1719</v>
      </c>
      <c r="F92" s="326">
        <f>VLOOKUP($A92,CTDD,'5.CT-DD'!$V$6,0)</f>
        <v>1</v>
      </c>
      <c r="G92" s="327">
        <f>VLOOKUP($A92,CTDD,'5.CT-DD'!$N$6,0)</f>
        <v>856535754</v>
      </c>
      <c r="H92" s="327"/>
      <c r="I92" s="327">
        <f>VLOOKUP($A92,CTDD,'5.CT-DD'!$P$6,0)</f>
        <v>0</v>
      </c>
      <c r="J92" s="327">
        <f>VLOOKUP($A92,CTDD,'5.CT-DD'!$Q$6,0)</f>
        <v>46213394.611000001</v>
      </c>
      <c r="K92" s="327">
        <f>VLOOKUP($A92,CTDD,'5.CT-DD'!$R$6,0)</f>
        <v>0</v>
      </c>
      <c r="L92" s="327">
        <f>VLOOKUP($A92,CTDD,'5.CT-DD'!$S$6,0)</f>
        <v>2211691.7069999999</v>
      </c>
      <c r="M92" s="327">
        <f t="shared" ref="M92:R92" si="23">$F92*G92</f>
        <v>856535754</v>
      </c>
      <c r="N92" s="327">
        <f t="shared" si="23"/>
        <v>0</v>
      </c>
      <c r="O92" s="327">
        <f t="shared" si="23"/>
        <v>0</v>
      </c>
      <c r="P92" s="327">
        <f t="shared" si="23"/>
        <v>46213394.611000001</v>
      </c>
      <c r="Q92" s="327">
        <f t="shared" si="23"/>
        <v>0</v>
      </c>
      <c r="R92" s="327">
        <f t="shared" si="23"/>
        <v>2211691.7069999999</v>
      </c>
    </row>
    <row r="93" spans="1:18" hidden="1">
      <c r="A93" s="332" t="s">
        <v>1768</v>
      </c>
      <c r="B93" s="333">
        <f t="shared" si="13"/>
        <v>0</v>
      </c>
      <c r="C93" s="326" t="s">
        <v>1729</v>
      </c>
      <c r="D93" s="327" t="s">
        <v>1769</v>
      </c>
      <c r="E93" s="326" t="s">
        <v>1719</v>
      </c>
      <c r="F93" s="326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</row>
    <row r="94" spans="1:18" hidden="1">
      <c r="A94" s="332" t="s">
        <v>1770</v>
      </c>
      <c r="B94" s="333">
        <f t="shared" si="13"/>
        <v>0</v>
      </c>
      <c r="C94" s="326" t="s">
        <v>1771</v>
      </c>
      <c r="D94" s="327" t="s">
        <v>1772</v>
      </c>
      <c r="E94" s="326" t="s">
        <v>1719</v>
      </c>
      <c r="F94" s="326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</row>
    <row r="95" spans="1:18">
      <c r="A95" s="332" t="s">
        <v>2044</v>
      </c>
      <c r="B95" s="333">
        <f t="shared" si="13"/>
        <v>1</v>
      </c>
      <c r="C95" s="326" t="s">
        <v>1729</v>
      </c>
      <c r="D95" s="327" t="s">
        <v>1730</v>
      </c>
      <c r="E95" s="326" t="s">
        <v>1719</v>
      </c>
      <c r="F95" s="326">
        <f>VLOOKUP($A95,CTDD,'5.CT-DD'!$V$6,0)</f>
        <v>1</v>
      </c>
      <c r="G95" s="327">
        <f>VLOOKUP($A95,CTDD,'5.CT-DD'!$N$6,0)</f>
        <v>60005000</v>
      </c>
      <c r="H95" s="327"/>
      <c r="I95" s="327">
        <f>VLOOKUP($A95,CTDD,'5.CT-DD'!$P$6,0)</f>
        <v>0</v>
      </c>
      <c r="J95" s="327">
        <f>VLOOKUP($A95,CTDD,'5.CT-DD'!$Q$6,0)</f>
        <v>8363982</v>
      </c>
      <c r="K95" s="327">
        <f>VLOOKUP($A95,CTDD,'5.CT-DD'!$R$6,0)</f>
        <v>0</v>
      </c>
      <c r="L95" s="327">
        <f>VLOOKUP($A95,CTDD,'5.CT-DD'!$S$6,0)</f>
        <v>0</v>
      </c>
      <c r="M95" s="327">
        <f t="shared" ref="M95:R95" si="24">$F95*G95</f>
        <v>60005000</v>
      </c>
      <c r="N95" s="327">
        <f t="shared" si="24"/>
        <v>0</v>
      </c>
      <c r="O95" s="327">
        <f t="shared" si="24"/>
        <v>0</v>
      </c>
      <c r="P95" s="327">
        <f t="shared" si="24"/>
        <v>8363982</v>
      </c>
      <c r="Q95" s="327">
        <f t="shared" si="24"/>
        <v>0</v>
      </c>
      <c r="R95" s="327">
        <f t="shared" si="24"/>
        <v>0</v>
      </c>
    </row>
    <row r="96" spans="1:18">
      <c r="A96" s="332" t="s">
        <v>2049</v>
      </c>
      <c r="B96" s="333">
        <f>IF(SUM(M96:R96)&lt;&gt;0,1,)</f>
        <v>1</v>
      </c>
      <c r="C96" s="330"/>
      <c r="D96" s="330" t="s">
        <v>1773</v>
      </c>
      <c r="E96" s="330"/>
      <c r="F96" s="330"/>
      <c r="G96" s="331"/>
      <c r="H96" s="331"/>
      <c r="I96" s="331"/>
      <c r="J96" s="331"/>
      <c r="K96" s="331"/>
      <c r="L96" s="331" t="s">
        <v>2047</v>
      </c>
      <c r="M96" s="331">
        <f t="shared" ref="M96:R96" si="25">SUM(M9:M94)</f>
        <v>2855885178.8800001</v>
      </c>
      <c r="N96" s="331">
        <f t="shared" si="25"/>
        <v>154118028</v>
      </c>
      <c r="O96" s="331">
        <f t="shared" si="25"/>
        <v>146484594.877</v>
      </c>
      <c r="P96" s="331">
        <f t="shared" si="25"/>
        <v>284258012.93099999</v>
      </c>
      <c r="Q96" s="331">
        <f t="shared" si="25"/>
        <v>29296044.922999997</v>
      </c>
      <c r="R96" s="331">
        <f t="shared" si="25"/>
        <v>52670372.603</v>
      </c>
    </row>
    <row r="97" spans="1:18">
      <c r="A97" s="332" t="s">
        <v>2050</v>
      </c>
      <c r="B97" s="333">
        <f>IF(SUM(M97:R97)&lt;&gt;0,1,)</f>
        <v>1</v>
      </c>
      <c r="C97" s="330"/>
      <c r="D97" s="330"/>
      <c r="E97" s="330"/>
      <c r="F97" s="330"/>
      <c r="G97" s="331"/>
      <c r="H97" s="331"/>
      <c r="I97" s="331"/>
      <c r="J97" s="331"/>
      <c r="K97" s="331"/>
      <c r="L97" s="331" t="s">
        <v>2048</v>
      </c>
      <c r="M97" s="331">
        <f t="shared" ref="M97:R97" si="26">M95</f>
        <v>60005000</v>
      </c>
      <c r="N97" s="331">
        <f t="shared" si="26"/>
        <v>0</v>
      </c>
      <c r="O97" s="331">
        <f t="shared" si="26"/>
        <v>0</v>
      </c>
      <c r="P97" s="331">
        <f t="shared" si="26"/>
        <v>8363982</v>
      </c>
      <c r="Q97" s="331">
        <f t="shared" si="26"/>
        <v>0</v>
      </c>
      <c r="R97" s="331">
        <f t="shared" si="26"/>
        <v>0</v>
      </c>
    </row>
    <row r="98" spans="1:18">
      <c r="B98" s="333">
        <f>IF(SUM(B99:B127)&lt;&gt;0,1,)</f>
        <v>1</v>
      </c>
      <c r="C98" s="324" t="s">
        <v>1764</v>
      </c>
      <c r="D98" s="325" t="s">
        <v>2572</v>
      </c>
      <c r="E98" s="324"/>
      <c r="F98" s="324"/>
      <c r="G98" s="325"/>
      <c r="H98" s="325"/>
      <c r="I98" s="325"/>
      <c r="J98" s="325"/>
      <c r="K98" s="325"/>
      <c r="L98" s="325"/>
      <c r="M98" s="325"/>
      <c r="N98" s="325"/>
      <c r="O98" s="325"/>
      <c r="P98" s="325"/>
      <c r="Q98" s="325"/>
      <c r="R98" s="325"/>
    </row>
    <row r="99" spans="1:18">
      <c r="B99" s="333">
        <f>IF(SUM(B100:B112)&lt;&gt;0,1,)</f>
        <v>1</v>
      </c>
      <c r="C99" s="326" t="s">
        <v>1631</v>
      </c>
      <c r="D99" s="327" t="s">
        <v>1632</v>
      </c>
      <c r="E99" s="326"/>
      <c r="F99" s="326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</row>
    <row r="100" spans="1:18">
      <c r="A100" s="332" t="s">
        <v>1391</v>
      </c>
      <c r="B100" s="333">
        <f t="shared" ref="B100:B112" si="27">IF(F100&lt;&gt;0,1,)</f>
        <v>1</v>
      </c>
      <c r="C100" s="328">
        <f>IF(F100&lt;&gt;0,1,)</f>
        <v>1</v>
      </c>
      <c r="D100" s="329" t="str">
        <f>VLOOKUP(A100,CTDD,'5.CT-DD'!$E$6,0)</f>
        <v>Móng M8</v>
      </c>
      <c r="E100" s="328" t="str">
        <f>VLOOKUP(A100,CTDD,'5.CT-DD'!$F$6,0)</f>
        <v>Móng</v>
      </c>
      <c r="F100" s="328">
        <f>VLOOKUP($A100,CTDD,'5.CT-DD'!$AB$6,0)</f>
        <v>65</v>
      </c>
      <c r="G100" s="329">
        <f>VLOOKUP($A100,CTDD,'5.CT-DD'!$N$6,0)</f>
        <v>0</v>
      </c>
      <c r="H100" s="329">
        <f>VLOOKUP($A100,CTDD,'5.CT-DD'!$O$6,0)</f>
        <v>0</v>
      </c>
      <c r="I100" s="329">
        <f>VLOOKUP($A100,CTDD,'5.CT-DD'!$P$6,0)</f>
        <v>46110.53</v>
      </c>
      <c r="J100" s="329">
        <f>VLOOKUP($A100,CTDD,'5.CT-DD'!$Q$6,0)</f>
        <v>0</v>
      </c>
      <c r="K100" s="329">
        <f>VLOOKUP($A100,CTDD,'5.CT-DD'!$R$6,0)</f>
        <v>1184.6559999999999</v>
      </c>
      <c r="L100" s="329">
        <f>VLOOKUP($A100,CTDD,'5.CT-DD'!$S$6,0)</f>
        <v>0</v>
      </c>
      <c r="M100" s="329">
        <f t="shared" ref="M100:R101" si="28">$F100*G100</f>
        <v>0</v>
      </c>
      <c r="N100" s="329">
        <f t="shared" si="28"/>
        <v>0</v>
      </c>
      <c r="O100" s="329">
        <f t="shared" si="28"/>
        <v>2997184.4499999997</v>
      </c>
      <c r="P100" s="329">
        <f t="shared" si="28"/>
        <v>0</v>
      </c>
      <c r="Q100" s="329">
        <f t="shared" si="28"/>
        <v>77002.64</v>
      </c>
      <c r="R100" s="329">
        <f t="shared" si="28"/>
        <v>0</v>
      </c>
    </row>
    <row r="101" spans="1:18">
      <c r="A101" s="332" t="s">
        <v>3427</v>
      </c>
      <c r="B101" s="333">
        <f>IF(F101&lt;&gt;0,1,)</f>
        <v>1</v>
      </c>
      <c r="C101" s="328">
        <f t="shared" ref="C101:C111" si="29">IF(F101&lt;&gt;0,C100+1,C100)</f>
        <v>2</v>
      </c>
      <c r="D101" s="329" t="str">
        <f>VLOOKUP(A101,CTDD,'5.CT-DD'!$E$6,0)</f>
        <v>Móng M8 phá đá chân móng</v>
      </c>
      <c r="E101" s="328" t="str">
        <f>VLOOKUP(A101,CTDD,'5.CT-DD'!$F$6,0)</f>
        <v>Móng</v>
      </c>
      <c r="F101" s="328">
        <f>VLOOKUP($A101,CTDD,'5.CT-DD'!$AB$6,0)</f>
        <v>2</v>
      </c>
      <c r="G101" s="329">
        <f>VLOOKUP($A101,CTDD,'5.CT-DD'!$N$6,0)</f>
        <v>0</v>
      </c>
      <c r="H101" s="329">
        <f>VLOOKUP($A101,CTDD,'5.CT-DD'!$O$6,0)</f>
        <v>0</v>
      </c>
      <c r="I101" s="329">
        <f>VLOOKUP($A101,CTDD,'5.CT-DD'!$P$6,0)</f>
        <v>400262.97699999996</v>
      </c>
      <c r="J101" s="329">
        <f>VLOOKUP($A101,CTDD,'5.CT-DD'!$Q$6,0)</f>
        <v>0</v>
      </c>
      <c r="K101" s="329">
        <f>VLOOKUP($A101,CTDD,'5.CT-DD'!$R$6,0)</f>
        <v>447578.48</v>
      </c>
      <c r="L101" s="329">
        <f>VLOOKUP($A101,CTDD,'5.CT-DD'!$S$6,0)</f>
        <v>0</v>
      </c>
      <c r="M101" s="329">
        <f t="shared" si="28"/>
        <v>0</v>
      </c>
      <c r="N101" s="329">
        <f t="shared" si="28"/>
        <v>0</v>
      </c>
      <c r="O101" s="329">
        <f t="shared" si="28"/>
        <v>800525.95399999991</v>
      </c>
      <c r="P101" s="329">
        <f t="shared" si="28"/>
        <v>0</v>
      </c>
      <c r="Q101" s="329">
        <f t="shared" si="28"/>
        <v>895156.96</v>
      </c>
      <c r="R101" s="329">
        <f t="shared" si="28"/>
        <v>0</v>
      </c>
    </row>
    <row r="102" spans="1:18" hidden="1">
      <c r="A102" s="332" t="s">
        <v>1399</v>
      </c>
      <c r="B102" s="333">
        <f t="shared" si="27"/>
        <v>0</v>
      </c>
      <c r="C102" s="328">
        <f t="shared" si="29"/>
        <v>2</v>
      </c>
      <c r="D102" s="329" t="str">
        <f>VLOOKUP(A102,CTDD,'5.CT-DD'!$E$6,0)</f>
        <v>Móng M8a</v>
      </c>
      <c r="E102" s="328" t="str">
        <f>VLOOKUP(A102,CTDD,'5.CT-DD'!$F$6,0)</f>
        <v>Móng</v>
      </c>
      <c r="F102" s="328">
        <f>VLOOKUP($A102,CTDD,'5.CT-DD'!$AB$6,0)</f>
        <v>0</v>
      </c>
      <c r="G102" s="329">
        <f>VLOOKUP($A102,CTDD,'5.CT-DD'!$N$6,0)</f>
        <v>412400</v>
      </c>
      <c r="H102" s="329">
        <f>VLOOKUP($A102,CTDD,'5.CT-DD'!$O$6,0)</f>
        <v>0</v>
      </c>
      <c r="I102" s="329">
        <f>VLOOKUP($A102,CTDD,'5.CT-DD'!$P$6,0)</f>
        <v>185609.39200000002</v>
      </c>
      <c r="J102" s="329">
        <f>VLOOKUP($A102,CTDD,'5.CT-DD'!$Q$6,0)</f>
        <v>0</v>
      </c>
      <c r="K102" s="329">
        <f>VLOOKUP($A102,CTDD,'5.CT-DD'!$R$6,0)</f>
        <v>7465.5680000000002</v>
      </c>
      <c r="L102" s="329">
        <f>VLOOKUP($A102,CTDD,'5.CT-DD'!$S$6,0)</f>
        <v>0</v>
      </c>
      <c r="M102" s="329">
        <f t="shared" ref="M102:M112" si="30">$F102*G102</f>
        <v>0</v>
      </c>
      <c r="N102" s="329">
        <f t="shared" ref="N102:N112" si="31">$F102*H102</f>
        <v>0</v>
      </c>
      <c r="O102" s="329">
        <f t="shared" ref="O102:O112" si="32">$F102*I102</f>
        <v>0</v>
      </c>
      <c r="P102" s="329">
        <f t="shared" ref="P102:P112" si="33">$F102*J102</f>
        <v>0</v>
      </c>
      <c r="Q102" s="329">
        <f t="shared" ref="Q102:Q112" si="34">$F102*K102</f>
        <v>0</v>
      </c>
      <c r="R102" s="329">
        <f t="shared" ref="R102:R112" si="35">$F102*L102</f>
        <v>0</v>
      </c>
    </row>
    <row r="103" spans="1:18" hidden="1">
      <c r="A103" s="332" t="s">
        <v>1607</v>
      </c>
      <c r="B103" s="333">
        <f t="shared" si="27"/>
        <v>0</v>
      </c>
      <c r="C103" s="328">
        <f t="shared" si="29"/>
        <v>2</v>
      </c>
      <c r="D103" s="329" t="str">
        <f>VLOOKUP(A103,CTDD,'5.CT-DD'!$E$6,0)</f>
        <v>Móng bê tông trụ đơn 8,4m</v>
      </c>
      <c r="E103" s="328" t="str">
        <f>VLOOKUP(A103,CTDD,'5.CT-DD'!$F$6,0)</f>
        <v>Móng</v>
      </c>
      <c r="F103" s="328">
        <f>VLOOKUP($A103,CTDD,'5.CT-DD'!$AB$6,0)</f>
        <v>0</v>
      </c>
      <c r="G103" s="329">
        <f>VLOOKUP($A103,CTDD,'5.CT-DD'!$N$6,0)</f>
        <v>87700</v>
      </c>
      <c r="H103" s="329">
        <f>VLOOKUP($A103,CTDD,'5.CT-DD'!$O$6,0)</f>
        <v>282954</v>
      </c>
      <c r="I103" s="329">
        <f>VLOOKUP($A103,CTDD,'5.CT-DD'!$P$6,0)</f>
        <v>351312.24300000002</v>
      </c>
      <c r="J103" s="329">
        <f>VLOOKUP($A103,CTDD,'5.CT-DD'!$Q$6,0)</f>
        <v>0</v>
      </c>
      <c r="K103" s="329">
        <f>VLOOKUP($A103,CTDD,'5.CT-DD'!$R$6,0)</f>
        <v>13577.957999999999</v>
      </c>
      <c r="L103" s="329">
        <f>VLOOKUP($A103,CTDD,'5.CT-DD'!$S$6,0)</f>
        <v>0</v>
      </c>
      <c r="M103" s="329">
        <f t="shared" si="30"/>
        <v>0</v>
      </c>
      <c r="N103" s="329">
        <f t="shared" si="31"/>
        <v>0</v>
      </c>
      <c r="O103" s="329">
        <f t="shared" si="32"/>
        <v>0</v>
      </c>
      <c r="P103" s="329">
        <f t="shared" si="33"/>
        <v>0</v>
      </c>
      <c r="Q103" s="329">
        <f t="shared" si="34"/>
        <v>0</v>
      </c>
      <c r="R103" s="329">
        <f t="shared" si="35"/>
        <v>0</v>
      </c>
    </row>
    <row r="104" spans="1:18" hidden="1">
      <c r="A104" s="332" t="s">
        <v>3428</v>
      </c>
      <c r="B104" s="333">
        <f>IF(F104&lt;&gt;0,1,)</f>
        <v>0</v>
      </c>
      <c r="C104" s="328">
        <f t="shared" si="29"/>
        <v>2</v>
      </c>
      <c r="D104" s="329" t="str">
        <f>VLOOKUP(A104,CTDD,'5.CT-DD'!$E$6,0)</f>
        <v>Móng bê tông trụ đơn 8,5m (Vướng đá)</v>
      </c>
      <c r="E104" s="328" t="str">
        <f>VLOOKUP(A104,CTDD,'5.CT-DD'!$F$6,0)</f>
        <v>Móng</v>
      </c>
      <c r="F104" s="328">
        <f>VLOOKUP($A104,CTDD,'5.CT-DD'!$AB$6,0)</f>
        <v>0</v>
      </c>
      <c r="G104" s="329">
        <f>VLOOKUP($A104,CTDD,'5.CT-DD'!$N$6,0)</f>
        <v>108960</v>
      </c>
      <c r="H104" s="329">
        <f>VLOOKUP($A104,CTDD,'5.CT-DD'!$O$6,0)</f>
        <v>456488</v>
      </c>
      <c r="I104" s="329">
        <f>VLOOKUP($A104,CTDD,'5.CT-DD'!$P$6,0)</f>
        <v>647551.56900000002</v>
      </c>
      <c r="J104" s="329">
        <f>VLOOKUP($A104,CTDD,'5.CT-DD'!$Q$6,0)</f>
        <v>0</v>
      </c>
      <c r="K104" s="329">
        <f>VLOOKUP($A104,CTDD,'5.CT-DD'!$R$6,0)</f>
        <v>463469.32999999996</v>
      </c>
      <c r="L104" s="329">
        <f>VLOOKUP($A104,CTDD,'5.CT-DD'!$S$6,0)</f>
        <v>0</v>
      </c>
      <c r="M104" s="329">
        <f t="shared" ref="M104:R104" si="36">$F104*G104</f>
        <v>0</v>
      </c>
      <c r="N104" s="329">
        <f t="shared" si="36"/>
        <v>0</v>
      </c>
      <c r="O104" s="329">
        <f t="shared" si="36"/>
        <v>0</v>
      </c>
      <c r="P104" s="329">
        <f t="shared" si="36"/>
        <v>0</v>
      </c>
      <c r="Q104" s="329">
        <f t="shared" si="36"/>
        <v>0</v>
      </c>
      <c r="R104" s="329">
        <f t="shared" si="36"/>
        <v>0</v>
      </c>
    </row>
    <row r="105" spans="1:18">
      <c r="A105" s="332" t="s">
        <v>1608</v>
      </c>
      <c r="B105" s="333">
        <f t="shared" si="27"/>
        <v>1</v>
      </c>
      <c r="C105" s="328">
        <f t="shared" si="29"/>
        <v>3</v>
      </c>
      <c r="D105" s="329" t="str">
        <f>VLOOKUP(A105,CTDD,'5.CT-DD'!$E$6,0)</f>
        <v>Móng bê tông trụ đôi 8,4m</v>
      </c>
      <c r="E105" s="328" t="str">
        <f>VLOOKUP(A105,CTDD,'5.CT-DD'!$F$6,0)</f>
        <v>Móng</v>
      </c>
      <c r="F105" s="328">
        <f>VLOOKUP($A105,CTDD,'5.CT-DD'!$AB$6,0)</f>
        <v>60</v>
      </c>
      <c r="G105" s="329">
        <f>VLOOKUP($A105,CTDD,'5.CT-DD'!$N$6,0)</f>
        <v>121000</v>
      </c>
      <c r="H105" s="329">
        <f>VLOOKUP($A105,CTDD,'5.CT-DD'!$O$6,0)</f>
        <v>847104</v>
      </c>
      <c r="I105" s="329">
        <f>VLOOKUP($A105,CTDD,'5.CT-DD'!$P$6,0)</f>
        <v>654210.54599999997</v>
      </c>
      <c r="J105" s="329">
        <f>VLOOKUP($A105,CTDD,'5.CT-DD'!$Q$6,0)</f>
        <v>0</v>
      </c>
      <c r="K105" s="329">
        <f>VLOOKUP($A105,CTDD,'5.CT-DD'!$R$6,0)</f>
        <v>34118.131999999998</v>
      </c>
      <c r="L105" s="329">
        <f>VLOOKUP($A105,CTDD,'5.CT-DD'!$S$6,0)</f>
        <v>0</v>
      </c>
      <c r="M105" s="329">
        <f t="shared" si="30"/>
        <v>7260000</v>
      </c>
      <c r="N105" s="329">
        <f t="shared" si="31"/>
        <v>50826240</v>
      </c>
      <c r="O105" s="329">
        <f t="shared" si="32"/>
        <v>39252632.759999998</v>
      </c>
      <c r="P105" s="329">
        <f t="shared" si="33"/>
        <v>0</v>
      </c>
      <c r="Q105" s="329">
        <f t="shared" si="34"/>
        <v>2047087.92</v>
      </c>
      <c r="R105" s="329">
        <f t="shared" si="35"/>
        <v>0</v>
      </c>
    </row>
    <row r="106" spans="1:18">
      <c r="A106" s="332" t="s">
        <v>3429</v>
      </c>
      <c r="B106" s="333">
        <f>IF(F106&lt;&gt;0,1,)</f>
        <v>1</v>
      </c>
      <c r="C106" s="328">
        <f t="shared" si="29"/>
        <v>4</v>
      </c>
      <c r="D106" s="329" t="str">
        <f>VLOOKUP(A106,CTDD,'5.CT-DD'!$E$6,0)</f>
        <v>Móng bê tông trụ đôi 8,5m (Vướng đá)</v>
      </c>
      <c r="E106" s="328" t="str">
        <f>VLOOKUP(A106,CTDD,'5.CT-DD'!$F$6,0)</f>
        <v>Móng</v>
      </c>
      <c r="F106" s="328">
        <f>VLOOKUP($A106,CTDD,'5.CT-DD'!$AB$6,0)</f>
        <v>12</v>
      </c>
      <c r="G106" s="329">
        <f>VLOOKUP($A106,CTDD,'5.CT-DD'!$N$6,0)</f>
        <v>121000</v>
      </c>
      <c r="H106" s="329">
        <f>VLOOKUP($A106,CTDD,'5.CT-DD'!$O$6,0)</f>
        <v>702339.24600000004</v>
      </c>
      <c r="I106" s="329">
        <f>VLOOKUP($A106,CTDD,'5.CT-DD'!$P$6,0)</f>
        <v>758508.10499999998</v>
      </c>
      <c r="J106" s="329">
        <f>VLOOKUP($A106,CTDD,'5.CT-DD'!$Q$6,0)</f>
        <v>0</v>
      </c>
      <c r="K106" s="329">
        <f>VLOOKUP($A106,CTDD,'5.CT-DD'!$R$6,0)</f>
        <v>601664.00499999989</v>
      </c>
      <c r="L106" s="329">
        <f>VLOOKUP($A106,CTDD,'5.CT-DD'!$S$6,0)</f>
        <v>0</v>
      </c>
      <c r="M106" s="329">
        <f t="shared" ref="M106:R106" si="37">$F106*G106</f>
        <v>1452000</v>
      </c>
      <c r="N106" s="329">
        <f t="shared" si="37"/>
        <v>8428070.9519999996</v>
      </c>
      <c r="O106" s="329">
        <f t="shared" si="37"/>
        <v>9102097.2599999998</v>
      </c>
      <c r="P106" s="329">
        <f t="shared" si="37"/>
        <v>0</v>
      </c>
      <c r="Q106" s="329">
        <f t="shared" si="37"/>
        <v>7219968.0599999987</v>
      </c>
      <c r="R106" s="329">
        <f t="shared" si="37"/>
        <v>0</v>
      </c>
    </row>
    <row r="107" spans="1:18" hidden="1">
      <c r="A107" s="332" t="s">
        <v>1400</v>
      </c>
      <c r="B107" s="333">
        <f t="shared" si="27"/>
        <v>0</v>
      </c>
      <c r="C107" s="328">
        <f t="shared" si="29"/>
        <v>4</v>
      </c>
      <c r="D107" s="340" t="str">
        <f>VLOOKUP(A107,CTDD,'5.CT-DD'!$E$6,0)</f>
        <v>Móng M10</v>
      </c>
      <c r="E107" s="341" t="str">
        <f>VLOOKUP(A107,CTDD,'5.CT-DD'!$F$6,0)</f>
        <v>Móng</v>
      </c>
      <c r="F107" s="328">
        <f>VLOOKUP($A107,CTDD,'5.CT-DD'!$AB$6,0)</f>
        <v>0</v>
      </c>
      <c r="G107" s="329">
        <f>VLOOKUP($A107,CTDD,'5.CT-DD'!$N$6,0)</f>
        <v>0</v>
      </c>
      <c r="H107" s="329">
        <f>VLOOKUP($A107,CTDD,'5.CT-DD'!$O$6,0)</f>
        <v>0</v>
      </c>
      <c r="I107" s="329">
        <f>VLOOKUP($A107,CTDD,'5.CT-DD'!$P$6,0)</f>
        <v>98311.13</v>
      </c>
      <c r="J107" s="329">
        <f>VLOOKUP($A107,CTDD,'5.CT-DD'!$Q$6,0)</f>
        <v>0</v>
      </c>
      <c r="K107" s="329">
        <f>VLOOKUP($A107,CTDD,'5.CT-DD'!$R$6,0)</f>
        <v>2525.7760000000003</v>
      </c>
      <c r="L107" s="329">
        <f>VLOOKUP($A107,CTDD,'5.CT-DD'!$S$6,0)</f>
        <v>0</v>
      </c>
      <c r="M107" s="329">
        <f t="shared" si="30"/>
        <v>0</v>
      </c>
      <c r="N107" s="329">
        <f t="shared" si="31"/>
        <v>0</v>
      </c>
      <c r="O107" s="329">
        <f t="shared" si="32"/>
        <v>0</v>
      </c>
      <c r="P107" s="329">
        <f t="shared" si="33"/>
        <v>0</v>
      </c>
      <c r="Q107" s="329">
        <f t="shared" si="34"/>
        <v>0</v>
      </c>
      <c r="R107" s="329">
        <f t="shared" si="35"/>
        <v>0</v>
      </c>
    </row>
    <row r="108" spans="1:18" hidden="1">
      <c r="A108" s="332" t="s">
        <v>1401</v>
      </c>
      <c r="B108" s="333">
        <f t="shared" si="27"/>
        <v>0</v>
      </c>
      <c r="C108" s="328">
        <f t="shared" si="29"/>
        <v>4</v>
      </c>
      <c r="D108" s="340" t="str">
        <f>VLOOKUP(A108,CTDD,'5.CT-DD'!$E$6,0)</f>
        <v xml:space="preserve">Móng M10a </v>
      </c>
      <c r="E108" s="341" t="str">
        <f>VLOOKUP(A108,CTDD,'5.CT-DD'!$F$6,0)</f>
        <v>Móng</v>
      </c>
      <c r="F108" s="328">
        <f>VLOOKUP($A108,CTDD,'5.CT-DD'!$AB$6,0)</f>
        <v>0</v>
      </c>
      <c r="G108" s="329">
        <f>VLOOKUP($A108,CTDD,'5.CT-DD'!$N$6,0)</f>
        <v>412400</v>
      </c>
      <c r="H108" s="329">
        <f>VLOOKUP($A108,CTDD,'5.CT-DD'!$O$6,0)</f>
        <v>0</v>
      </c>
      <c r="I108" s="329">
        <f>VLOOKUP($A108,CTDD,'5.CT-DD'!$P$6,0)</f>
        <v>193240.861</v>
      </c>
      <c r="J108" s="329">
        <f>VLOOKUP($A108,CTDD,'5.CT-DD'!$Q$6,0)</f>
        <v>0</v>
      </c>
      <c r="K108" s="329">
        <f>VLOOKUP($A108,CTDD,'5.CT-DD'!$R$6,0)</f>
        <v>5811.52</v>
      </c>
      <c r="L108" s="329">
        <f>VLOOKUP($A108,CTDD,'5.CT-DD'!$S$6,0)</f>
        <v>0</v>
      </c>
      <c r="M108" s="329">
        <f t="shared" si="30"/>
        <v>0</v>
      </c>
      <c r="N108" s="329">
        <f t="shared" si="31"/>
        <v>0</v>
      </c>
      <c r="O108" s="329">
        <f t="shared" si="32"/>
        <v>0</v>
      </c>
      <c r="P108" s="329">
        <f t="shared" si="33"/>
        <v>0</v>
      </c>
      <c r="Q108" s="329">
        <f t="shared" si="34"/>
        <v>0</v>
      </c>
      <c r="R108" s="329">
        <f t="shared" si="35"/>
        <v>0</v>
      </c>
    </row>
    <row r="109" spans="1:18" hidden="1">
      <c r="A109" s="332" t="s">
        <v>1482</v>
      </c>
      <c r="B109" s="333">
        <f t="shared" si="27"/>
        <v>0</v>
      </c>
      <c r="C109" s="328">
        <f t="shared" si="29"/>
        <v>4</v>
      </c>
      <c r="D109" s="329" t="str">
        <f>VLOOKUP(A109,CTDD,'5.CT-DD'!$E$6,0)</f>
        <v>Móng bê tông trụ đơn 10.5m</v>
      </c>
      <c r="E109" s="328" t="str">
        <f>VLOOKUP(A109,CTDD,'5.CT-DD'!$F$6,0)</f>
        <v>Móng</v>
      </c>
      <c r="F109" s="328">
        <f>VLOOKUP($A109,CTDD,'5.CT-DD'!$AB$6,0)</f>
        <v>0</v>
      </c>
      <c r="G109" s="329">
        <f>VLOOKUP($A109,CTDD,'5.CT-DD'!$N$6,0)</f>
        <v>281700</v>
      </c>
      <c r="H109" s="329">
        <f>VLOOKUP($A109,CTDD,'5.CT-DD'!$O$6,0)</f>
        <v>1063106</v>
      </c>
      <c r="I109" s="329">
        <f>VLOOKUP($A109,CTDD,'5.CT-DD'!$P$6,0)</f>
        <v>865910.96900000004</v>
      </c>
      <c r="J109" s="329">
        <f>VLOOKUP($A109,CTDD,'5.CT-DD'!$Q$6,0)</f>
        <v>300392.06400000001</v>
      </c>
      <c r="K109" s="329">
        <f>VLOOKUP($A109,CTDD,'5.CT-DD'!$R$6,0)</f>
        <v>48768.839</v>
      </c>
      <c r="L109" s="329">
        <f>VLOOKUP($A109,CTDD,'5.CT-DD'!$S$6,0)</f>
        <v>0</v>
      </c>
      <c r="M109" s="329">
        <f t="shared" si="30"/>
        <v>0</v>
      </c>
      <c r="N109" s="329">
        <f t="shared" si="31"/>
        <v>0</v>
      </c>
      <c r="O109" s="329">
        <f t="shared" si="32"/>
        <v>0</v>
      </c>
      <c r="P109" s="329">
        <f t="shared" si="33"/>
        <v>0</v>
      </c>
      <c r="Q109" s="329">
        <f t="shared" si="34"/>
        <v>0</v>
      </c>
      <c r="R109" s="329">
        <f t="shared" si="35"/>
        <v>0</v>
      </c>
    </row>
    <row r="110" spans="1:18" hidden="1">
      <c r="A110" s="332" t="s">
        <v>1483</v>
      </c>
      <c r="B110" s="333">
        <f t="shared" si="27"/>
        <v>0</v>
      </c>
      <c r="C110" s="328">
        <f t="shared" si="29"/>
        <v>4</v>
      </c>
      <c r="D110" s="329" t="str">
        <f>VLOOKUP(A110,CTDD,'5.CT-DD'!$E$6,0)</f>
        <v>Móng M10BT đôi</v>
      </c>
      <c r="E110" s="328" t="str">
        <f>VLOOKUP(A110,CTDD,'5.CT-DD'!$F$6,0)</f>
        <v>Móng</v>
      </c>
      <c r="F110" s="328">
        <f>VLOOKUP($A110,CTDD,'5.CT-DD'!$AB$6,0)</f>
        <v>0</v>
      </c>
      <c r="G110" s="329">
        <f>VLOOKUP($A110,CTDD,'5.CT-DD'!$N$6,0)</f>
        <v>375370</v>
      </c>
      <c r="H110" s="329">
        <f>VLOOKUP($A110,CTDD,'5.CT-DD'!$O$6,0)</f>
        <v>1317888</v>
      </c>
      <c r="I110" s="329">
        <f>VLOOKUP($A110,CTDD,'5.CT-DD'!$P$6,0)</f>
        <v>1194068.9759999998</v>
      </c>
      <c r="J110" s="329">
        <f>VLOOKUP($A110,CTDD,'5.CT-DD'!$Q$6,0)</f>
        <v>0</v>
      </c>
      <c r="K110" s="329">
        <f>VLOOKUP($A110,CTDD,'5.CT-DD'!$R$6,0)</f>
        <v>63475.576000000008</v>
      </c>
      <c r="L110" s="329">
        <f>VLOOKUP($A110,CTDD,'5.CT-DD'!$S$6,0)</f>
        <v>0</v>
      </c>
      <c r="M110" s="329">
        <f t="shared" si="30"/>
        <v>0</v>
      </c>
      <c r="N110" s="329">
        <f t="shared" si="31"/>
        <v>0</v>
      </c>
      <c r="O110" s="329">
        <f t="shared" si="32"/>
        <v>0</v>
      </c>
      <c r="P110" s="329">
        <f t="shared" si="33"/>
        <v>0</v>
      </c>
      <c r="Q110" s="329">
        <f t="shared" si="34"/>
        <v>0</v>
      </c>
      <c r="R110" s="329">
        <f t="shared" si="35"/>
        <v>0</v>
      </c>
    </row>
    <row r="111" spans="1:18">
      <c r="A111" s="332" t="s">
        <v>1788</v>
      </c>
      <c r="B111" s="333">
        <f t="shared" si="27"/>
        <v>1</v>
      </c>
      <c r="C111" s="328">
        <f t="shared" si="29"/>
        <v>5</v>
      </c>
      <c r="D111" s="329" t="str">
        <f>VLOOKUP(A111,CTDD,'5.CT-DD'!$E$6,0)</f>
        <v>Tiếp địa lặp lại (trụ 8,5m)</v>
      </c>
      <c r="E111" s="328" t="str">
        <f>VLOOKUP(A111,CTDD,'5.CT-DD'!$F$6,0)</f>
        <v>Bộ</v>
      </c>
      <c r="F111" s="328">
        <f>VLOOKUP($A111,CTDD,'5.CT-DD'!$AB$6,0)</f>
        <v>97</v>
      </c>
      <c r="G111" s="329">
        <f>VLOOKUP($A111,CTDD,'5.CT-DD'!$N$6,0)</f>
        <v>864754.88</v>
      </c>
      <c r="H111" s="329">
        <f>VLOOKUP($A111,CTDD,'5.CT-DD'!$O$6,0)</f>
        <v>0</v>
      </c>
      <c r="I111" s="329">
        <f>VLOOKUP($A111,CTDD,'5.CT-DD'!$P$6,0)</f>
        <v>90246.45</v>
      </c>
      <c r="J111" s="329">
        <f>VLOOKUP($A111,CTDD,'5.CT-DD'!$Q$6,0)</f>
        <v>159510.32</v>
      </c>
      <c r="K111" s="329">
        <f>VLOOKUP($A111,CTDD,'5.CT-DD'!$R$6,0)</f>
        <v>3911.6</v>
      </c>
      <c r="L111" s="329">
        <f>VLOOKUP($A111,CTDD,'5.CT-DD'!$S$6,0)</f>
        <v>0</v>
      </c>
      <c r="M111" s="329">
        <f t="shared" si="30"/>
        <v>83881223.359999999</v>
      </c>
      <c r="N111" s="329">
        <f t="shared" si="31"/>
        <v>0</v>
      </c>
      <c r="O111" s="329">
        <f t="shared" si="32"/>
        <v>8753905.6500000004</v>
      </c>
      <c r="P111" s="329">
        <f t="shared" si="33"/>
        <v>15472501.040000001</v>
      </c>
      <c r="Q111" s="329">
        <f t="shared" si="34"/>
        <v>379425.2</v>
      </c>
      <c r="R111" s="329">
        <f t="shared" si="35"/>
        <v>0</v>
      </c>
    </row>
    <row r="112" spans="1:18" hidden="1">
      <c r="A112" s="332" t="s">
        <v>1779</v>
      </c>
      <c r="B112" s="333">
        <f t="shared" si="27"/>
        <v>0</v>
      </c>
      <c r="C112" s="328">
        <f>IF(F112&lt;&gt;0,C111+1,C111)</f>
        <v>5</v>
      </c>
      <c r="D112" s="329" t="str">
        <f>VLOOKUP(A112,CTDD,'5.CT-DD'!$E$6,0)</f>
        <v>Tiếp địa lặp lại (trụ 10,5m)</v>
      </c>
      <c r="E112" s="328" t="str">
        <f>VLOOKUP(A112,CTDD,'5.CT-DD'!$F$6,0)</f>
        <v>Bộ</v>
      </c>
      <c r="F112" s="328">
        <f>VLOOKUP($A112,CTDD,'5.CT-DD'!$AB$6,0)</f>
        <v>0</v>
      </c>
      <c r="G112" s="329">
        <f>VLOOKUP($A112,CTDD,'5.CT-DD'!$N$6,0)</f>
        <v>887309.44000000006</v>
      </c>
      <c r="H112" s="329">
        <f>VLOOKUP($A112,CTDD,'5.CT-DD'!$O$6,0)</f>
        <v>0</v>
      </c>
      <c r="I112" s="329">
        <f>VLOOKUP($A112,CTDD,'5.CT-DD'!$P$6,0)</f>
        <v>90246.45</v>
      </c>
      <c r="J112" s="329">
        <f>VLOOKUP($A112,CTDD,'5.CT-DD'!$Q$6,0)</f>
        <v>159756.16</v>
      </c>
      <c r="K112" s="329">
        <f>VLOOKUP($A112,CTDD,'5.CT-DD'!$R$6,0)</f>
        <v>3911.6</v>
      </c>
      <c r="L112" s="329">
        <f>VLOOKUP($A112,CTDD,'5.CT-DD'!$S$6,0)</f>
        <v>0</v>
      </c>
      <c r="M112" s="329">
        <f t="shared" si="30"/>
        <v>0</v>
      </c>
      <c r="N112" s="329">
        <f t="shared" si="31"/>
        <v>0</v>
      </c>
      <c r="O112" s="329">
        <f t="shared" si="32"/>
        <v>0</v>
      </c>
      <c r="P112" s="329">
        <f t="shared" si="33"/>
        <v>0</v>
      </c>
      <c r="Q112" s="329">
        <f t="shared" si="34"/>
        <v>0</v>
      </c>
      <c r="R112" s="329">
        <f t="shared" si="35"/>
        <v>0</v>
      </c>
    </row>
    <row r="113" spans="1:18">
      <c r="B113" s="333">
        <f>IF(SUM(B114:B121)&lt;&gt;0,1,)</f>
        <v>1</v>
      </c>
      <c r="C113" s="326" t="s">
        <v>1663</v>
      </c>
      <c r="D113" s="327" t="s">
        <v>1775</v>
      </c>
      <c r="E113" s="326"/>
      <c r="F113" s="326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</row>
    <row r="114" spans="1:18">
      <c r="A114" s="332" t="s">
        <v>1787</v>
      </c>
      <c r="B114" s="333">
        <f t="shared" ref="B114:B121" si="38">IF(F114&lt;&gt;0,1,)</f>
        <v>1</v>
      </c>
      <c r="C114" s="328">
        <f>IF(F114&lt;&gt;0,1,)</f>
        <v>1</v>
      </c>
      <c r="D114" s="329" t="str">
        <f>VLOOKUP(A114,CTDD,'5.CT-DD'!$E$6,0)</f>
        <v>Trụ bê tông ly tâm 8.5m</v>
      </c>
      <c r="E114" s="328" t="str">
        <f>VLOOKUP(A114,CTDD,'5.CT-DD'!$F$6,0)</f>
        <v>Trụ</v>
      </c>
      <c r="F114" s="328">
        <f>VLOOKUP($A114,CTDD,'5.CT-DD'!$AB$6,0)</f>
        <v>200</v>
      </c>
      <c r="G114" s="329">
        <f>VLOOKUP($A114,CTDD,'5.CT-DD'!$N$6,0)</f>
        <v>2599000</v>
      </c>
      <c r="H114" s="329">
        <f>VLOOKUP($A114,CTDD,'5.CT-DD'!$O$6,0)</f>
        <v>0</v>
      </c>
      <c r="I114" s="329">
        <f>VLOOKUP($A114,CTDD,'5.CT-DD'!$P$6,0)</f>
        <v>0</v>
      </c>
      <c r="J114" s="329">
        <f>VLOOKUP($A114,CTDD,'5.CT-DD'!$Q$6,0)</f>
        <v>438339</v>
      </c>
      <c r="K114" s="329">
        <f>VLOOKUP($A114,CTDD,'5.CT-DD'!$R$6,0)</f>
        <v>0</v>
      </c>
      <c r="L114" s="329">
        <f>VLOOKUP($A114,CTDD,'5.CT-DD'!$S$6,0)</f>
        <v>135772</v>
      </c>
      <c r="M114" s="329">
        <f t="shared" ref="M114:R114" si="39">$F114*G114</f>
        <v>519800000</v>
      </c>
      <c r="N114" s="329">
        <f t="shared" si="39"/>
        <v>0</v>
      </c>
      <c r="O114" s="329">
        <f t="shared" si="39"/>
        <v>0</v>
      </c>
      <c r="P114" s="329">
        <f t="shared" si="39"/>
        <v>87667800</v>
      </c>
      <c r="Q114" s="329">
        <f t="shared" si="39"/>
        <v>0</v>
      </c>
      <c r="R114" s="329">
        <f t="shared" si="39"/>
        <v>27154400</v>
      </c>
    </row>
    <row r="115" spans="1:18" hidden="1">
      <c r="A115" s="332" t="s">
        <v>1478</v>
      </c>
      <c r="B115" s="333">
        <f t="shared" si="38"/>
        <v>0</v>
      </c>
      <c r="C115" s="328">
        <f>IF(F115&lt;&gt;0,C114+1,C114)</f>
        <v>1</v>
      </c>
      <c r="D115" s="329" t="str">
        <f>VLOOKUP(A115,CTDD,'5.CT-DD'!$E$6,0)</f>
        <v>Trụ bê tông ly tâm 10.5m</v>
      </c>
      <c r="E115" s="328" t="str">
        <f>VLOOKUP(A115,CTDD,'5.CT-DD'!$F$6,0)</f>
        <v>Trụ</v>
      </c>
      <c r="F115" s="328">
        <f>VLOOKUP($A115,CTDD,'5.CT-DD'!$AB$6,0)</f>
        <v>0</v>
      </c>
      <c r="G115" s="329">
        <f>VLOOKUP($A115,CTDD,'5.CT-DD'!$N$6,0)</f>
        <v>3818182</v>
      </c>
      <c r="H115" s="329">
        <f>VLOOKUP($A115,CTDD,'5.CT-DD'!$O$6,0)</f>
        <v>0</v>
      </c>
      <c r="I115" s="329">
        <f>VLOOKUP($A115,CTDD,'5.CT-DD'!$P$6,0)</f>
        <v>0</v>
      </c>
      <c r="J115" s="329">
        <f>VLOOKUP($A115,CTDD,'5.CT-DD'!$Q$6,0)</f>
        <v>469141</v>
      </c>
      <c r="K115" s="329">
        <f>VLOOKUP($A115,CTDD,'5.CT-DD'!$R$6,0)</f>
        <v>0</v>
      </c>
      <c r="L115" s="329">
        <f>VLOOKUP($A115,CTDD,'5.CT-DD'!$S$6,0)</f>
        <v>135772</v>
      </c>
      <c r="M115" s="329">
        <f t="shared" ref="M115:M121" si="40">$F115*G115</f>
        <v>0</v>
      </c>
      <c r="N115" s="329">
        <f t="shared" ref="N115:N121" si="41">$F115*H115</f>
        <v>0</v>
      </c>
      <c r="O115" s="329">
        <f t="shared" ref="O115:O121" si="42">$F115*I115</f>
        <v>0</v>
      </c>
      <c r="P115" s="329">
        <f t="shared" ref="P115:P121" si="43">$F115*J115</f>
        <v>0</v>
      </c>
      <c r="Q115" s="329">
        <f t="shared" ref="Q115:Q121" si="44">$F115*K115</f>
        <v>0</v>
      </c>
      <c r="R115" s="329">
        <f t="shared" ref="R115:R121" si="45">$F115*L115</f>
        <v>0</v>
      </c>
    </row>
    <row r="116" spans="1:18">
      <c r="A116" s="332" t="s">
        <v>1609</v>
      </c>
      <c r="B116" s="333">
        <f t="shared" si="38"/>
        <v>1</v>
      </c>
      <c r="C116" s="328">
        <f t="shared" ref="C116:C123" si="46">IF(F116&lt;&gt;0,C115+1,C115)</f>
        <v>2</v>
      </c>
      <c r="D116" s="329" t="str">
        <f>VLOOKUP(A116,CTDD,'5.CT-DD'!$E$6,0)</f>
        <v>Bộ chằng xuống đơn cho trụ hạ thế</v>
      </c>
      <c r="E116" s="328" t="str">
        <f>VLOOKUP(A116,CTDD,'5.CT-DD'!$F$6,0)</f>
        <v>Bộ</v>
      </c>
      <c r="F116" s="328">
        <f>VLOOKUP($A116,CTDD,'5.CT-DD'!$AB$6,0)</f>
        <v>4</v>
      </c>
      <c r="G116" s="329">
        <f>VLOOKUP($A116,CTDD,'5.CT-DD'!$N$6,0)</f>
        <v>545520</v>
      </c>
      <c r="H116" s="329">
        <f>VLOOKUP($A116,CTDD,'5.CT-DD'!$O$6,0)</f>
        <v>0</v>
      </c>
      <c r="I116" s="329">
        <f>VLOOKUP($A116,CTDD,'5.CT-DD'!$P$6,0)</f>
        <v>0</v>
      </c>
      <c r="J116" s="329">
        <f>VLOOKUP($A116,CTDD,'5.CT-DD'!$Q$6,0)</f>
        <v>106623</v>
      </c>
      <c r="K116" s="329">
        <f>VLOOKUP($A116,CTDD,'5.CT-DD'!$R$6,0)</f>
        <v>0</v>
      </c>
      <c r="L116" s="329">
        <f>VLOOKUP($A116,CTDD,'5.CT-DD'!$S$6,0)</f>
        <v>0</v>
      </c>
      <c r="M116" s="329">
        <f t="shared" si="40"/>
        <v>2182080</v>
      </c>
      <c r="N116" s="329">
        <f t="shared" si="41"/>
        <v>0</v>
      </c>
      <c r="O116" s="329">
        <f t="shared" si="42"/>
        <v>0</v>
      </c>
      <c r="P116" s="329">
        <f t="shared" si="43"/>
        <v>426492</v>
      </c>
      <c r="Q116" s="329">
        <f t="shared" si="44"/>
        <v>0</v>
      </c>
      <c r="R116" s="329">
        <f t="shared" si="45"/>
        <v>0</v>
      </c>
    </row>
    <row r="117" spans="1:18" hidden="1">
      <c r="A117" s="332" t="s">
        <v>1610</v>
      </c>
      <c r="B117" s="333">
        <f t="shared" si="38"/>
        <v>0</v>
      </c>
      <c r="C117" s="328">
        <f t="shared" si="46"/>
        <v>2</v>
      </c>
      <c r="D117" s="329" t="str">
        <f>VLOOKUP(A117,CTDD,'5.CT-DD'!$E$6,0)</f>
        <v>Bộ chằng lệch đơn cho trụ hạ thế</v>
      </c>
      <c r="E117" s="328" t="str">
        <f>VLOOKUP(A117,CTDD,'5.CT-DD'!$F$6,0)</f>
        <v>Bộ</v>
      </c>
      <c r="F117" s="328">
        <f>VLOOKUP($A117,CTDD,'5.CT-DD'!$AB$6,0)</f>
        <v>0</v>
      </c>
      <c r="G117" s="329">
        <f>VLOOKUP($A117,CTDD,'5.CT-DD'!$N$6,0)</f>
        <v>838880</v>
      </c>
      <c r="H117" s="329">
        <f>VLOOKUP($A117,CTDD,'5.CT-DD'!$O$6,0)</f>
        <v>0</v>
      </c>
      <c r="I117" s="329">
        <f>VLOOKUP($A117,CTDD,'5.CT-DD'!$P$6,0)</f>
        <v>0</v>
      </c>
      <c r="J117" s="329">
        <f>VLOOKUP($A117,CTDD,'5.CT-DD'!$Q$6,0)</f>
        <v>274573</v>
      </c>
      <c r="K117" s="329">
        <f>VLOOKUP($A117,CTDD,'5.CT-DD'!$R$6,0)</f>
        <v>0</v>
      </c>
      <c r="L117" s="329">
        <f>VLOOKUP($A117,CTDD,'5.CT-DD'!$S$6,0)</f>
        <v>0</v>
      </c>
      <c r="M117" s="329">
        <f t="shared" si="40"/>
        <v>0</v>
      </c>
      <c r="N117" s="329">
        <f t="shared" si="41"/>
        <v>0</v>
      </c>
      <c r="O117" s="329">
        <f t="shared" si="42"/>
        <v>0</v>
      </c>
      <c r="P117" s="329">
        <f t="shared" si="43"/>
        <v>0</v>
      </c>
      <c r="Q117" s="329">
        <f t="shared" si="44"/>
        <v>0</v>
      </c>
      <c r="R117" s="329">
        <f t="shared" si="45"/>
        <v>0</v>
      </c>
    </row>
    <row r="118" spans="1:18" hidden="1">
      <c r="A118" s="332" t="s">
        <v>1471</v>
      </c>
      <c r="B118" s="333">
        <f t="shared" si="38"/>
        <v>0</v>
      </c>
      <c r="C118" s="328">
        <f t="shared" si="46"/>
        <v>2</v>
      </c>
      <c r="D118" s="340" t="str">
        <f>VLOOKUP(A118,CTDD,'5.CT-DD'!$E$6,0)</f>
        <v>Bộ chằng xuống đơn cho trụ 10,5m</v>
      </c>
      <c r="E118" s="341" t="str">
        <f>VLOOKUP(A118,CTDD,'5.CT-DD'!$F$6,0)</f>
        <v>Bộ</v>
      </c>
      <c r="F118" s="328">
        <f>VLOOKUP($A118,CTDD,'5.CT-DD'!$AB$6,0)</f>
        <v>0</v>
      </c>
      <c r="G118" s="329">
        <f>VLOOKUP($A118,CTDD,'5.CT-DD'!$N$6,0)</f>
        <v>788160</v>
      </c>
      <c r="H118" s="329">
        <f>VLOOKUP($A118,CTDD,'5.CT-DD'!$O$6,0)</f>
        <v>0</v>
      </c>
      <c r="I118" s="329">
        <f>VLOOKUP($A118,CTDD,'5.CT-DD'!$P$6,0)</f>
        <v>0</v>
      </c>
      <c r="J118" s="329">
        <f>VLOOKUP($A118,CTDD,'5.CT-DD'!$Q$6,0)</f>
        <v>106623</v>
      </c>
      <c r="K118" s="329">
        <f>VLOOKUP($A118,CTDD,'5.CT-DD'!$R$6,0)</f>
        <v>0</v>
      </c>
      <c r="L118" s="329">
        <f>VLOOKUP($A118,CTDD,'5.CT-DD'!$S$6,0)</f>
        <v>0</v>
      </c>
      <c r="M118" s="329">
        <f t="shared" si="40"/>
        <v>0</v>
      </c>
      <c r="N118" s="329">
        <f t="shared" si="41"/>
        <v>0</v>
      </c>
      <c r="O118" s="329">
        <f t="shared" si="42"/>
        <v>0</v>
      </c>
      <c r="P118" s="329">
        <f t="shared" si="43"/>
        <v>0</v>
      </c>
      <c r="Q118" s="329">
        <f t="shared" si="44"/>
        <v>0</v>
      </c>
      <c r="R118" s="329">
        <f t="shared" si="45"/>
        <v>0</v>
      </c>
    </row>
    <row r="119" spans="1:18" hidden="1">
      <c r="A119" s="332" t="s">
        <v>1472</v>
      </c>
      <c r="B119" s="333">
        <f t="shared" si="38"/>
        <v>0</v>
      </c>
      <c r="C119" s="328">
        <f t="shared" si="46"/>
        <v>2</v>
      </c>
      <c r="D119" s="340" t="str">
        <f>VLOOKUP(A119,CTDD,'5.CT-DD'!$E$6,0)</f>
        <v>Bộ chằng lệch đơn cho trụ 10,5m</v>
      </c>
      <c r="E119" s="341" t="str">
        <f>VLOOKUP(A119,CTDD,'5.CT-DD'!$F$6,0)</f>
        <v>Bộ</v>
      </c>
      <c r="F119" s="328">
        <f>VLOOKUP($A119,CTDD,'5.CT-DD'!$AB$6,0)</f>
        <v>0</v>
      </c>
      <c r="G119" s="329">
        <f>VLOOKUP($A119,CTDD,'5.CT-DD'!$N$6,0)</f>
        <v>1126520</v>
      </c>
      <c r="H119" s="329">
        <f>VLOOKUP($A119,CTDD,'5.CT-DD'!$O$6,0)</f>
        <v>0</v>
      </c>
      <c r="I119" s="329">
        <f>VLOOKUP($A119,CTDD,'5.CT-DD'!$P$6,0)</f>
        <v>0</v>
      </c>
      <c r="J119" s="329">
        <f>VLOOKUP($A119,CTDD,'5.CT-DD'!$Q$6,0)</f>
        <v>274573</v>
      </c>
      <c r="K119" s="329">
        <f>VLOOKUP($A119,CTDD,'5.CT-DD'!$R$6,0)</f>
        <v>0</v>
      </c>
      <c r="L119" s="329">
        <f>VLOOKUP($A119,CTDD,'5.CT-DD'!$S$6,0)</f>
        <v>0</v>
      </c>
      <c r="M119" s="329">
        <f t="shared" si="40"/>
        <v>0</v>
      </c>
      <c r="N119" s="329">
        <f t="shared" si="41"/>
        <v>0</v>
      </c>
      <c r="O119" s="329">
        <f t="shared" si="42"/>
        <v>0</v>
      </c>
      <c r="P119" s="329">
        <f t="shared" si="43"/>
        <v>0</v>
      </c>
      <c r="Q119" s="329">
        <f t="shared" si="44"/>
        <v>0</v>
      </c>
      <c r="R119" s="329">
        <f t="shared" si="45"/>
        <v>0</v>
      </c>
    </row>
    <row r="120" spans="1:18">
      <c r="A120" s="332" t="s">
        <v>1693</v>
      </c>
      <c r="B120" s="333">
        <f t="shared" si="38"/>
        <v>1</v>
      </c>
      <c r="C120" s="328">
        <f t="shared" si="46"/>
        <v>3</v>
      </c>
      <c r="D120" s="329" t="str">
        <f>VLOOKUP(A120,CTDD,'5.CT-DD'!$E$6,0)</f>
        <v>Bộ móng neo xòe cho chằng xuống (HT)</v>
      </c>
      <c r="E120" s="328" t="str">
        <f>VLOOKUP(A120,CTDD,'5.CT-DD'!$F$6,0)</f>
        <v>Bộ</v>
      </c>
      <c r="F120" s="328">
        <f>VLOOKUP($A120,CTDD,'5.CT-DD'!$AB$6,0)</f>
        <v>3</v>
      </c>
      <c r="G120" s="329">
        <f>VLOOKUP($A120,CTDD,'5.CT-DD'!$N$6,0)</f>
        <v>286000</v>
      </c>
      <c r="H120" s="329">
        <f>VLOOKUP($A120,CTDD,'5.CT-DD'!$O$6,0)</f>
        <v>0</v>
      </c>
      <c r="I120" s="329">
        <f>VLOOKUP($A120,CTDD,'5.CT-DD'!$P$6,0)</f>
        <v>109186.255</v>
      </c>
      <c r="J120" s="329">
        <f>VLOOKUP($A120,CTDD,'5.CT-DD'!$Q$6,0)</f>
        <v>0</v>
      </c>
      <c r="K120" s="329">
        <f>VLOOKUP($A120,CTDD,'5.CT-DD'!$R$6,0)</f>
        <v>2805.1759999999999</v>
      </c>
      <c r="L120" s="329">
        <f>VLOOKUP($A120,CTDD,'5.CT-DD'!$S$6,0)</f>
        <v>0</v>
      </c>
      <c r="M120" s="329">
        <f t="shared" si="40"/>
        <v>858000</v>
      </c>
      <c r="N120" s="329">
        <f t="shared" si="41"/>
        <v>0</v>
      </c>
      <c r="O120" s="329">
        <f t="shared" si="42"/>
        <v>327558.76500000001</v>
      </c>
      <c r="P120" s="329">
        <f t="shared" si="43"/>
        <v>0</v>
      </c>
      <c r="Q120" s="329">
        <f t="shared" si="44"/>
        <v>8415.5280000000002</v>
      </c>
      <c r="R120" s="329">
        <f t="shared" si="45"/>
        <v>0</v>
      </c>
    </row>
    <row r="121" spans="1:18" hidden="1">
      <c r="A121" s="332" t="s">
        <v>1694</v>
      </c>
      <c r="B121" s="333">
        <f t="shared" si="38"/>
        <v>0</v>
      </c>
      <c r="C121" s="328">
        <f t="shared" si="46"/>
        <v>3</v>
      </c>
      <c r="D121" s="329" t="str">
        <f>VLOOKUP(A121,CTDD,'5.CT-DD'!$E$6,0)</f>
        <v>Bộ móng neo xòe cho chằng lệch (HT)</v>
      </c>
      <c r="E121" s="328" t="str">
        <f>VLOOKUP(A121,CTDD,'5.CT-DD'!$F$6,0)</f>
        <v>Bộ</v>
      </c>
      <c r="F121" s="328">
        <f>VLOOKUP($A121,CTDD,'5.CT-DD'!$AB$6,0)</f>
        <v>0</v>
      </c>
      <c r="G121" s="329">
        <f>VLOOKUP($A121,CTDD,'5.CT-DD'!$N$6,0)</f>
        <v>286000</v>
      </c>
      <c r="H121" s="329">
        <f>VLOOKUP($A121,CTDD,'5.CT-DD'!$O$6,0)</f>
        <v>0</v>
      </c>
      <c r="I121" s="329">
        <f>VLOOKUP($A121,CTDD,'5.CT-DD'!$P$6,0)</f>
        <v>109186.255</v>
      </c>
      <c r="J121" s="329">
        <f>VLOOKUP($A121,CTDD,'5.CT-DD'!$Q$6,0)</f>
        <v>0</v>
      </c>
      <c r="K121" s="329">
        <f>VLOOKUP($A121,CTDD,'5.CT-DD'!$R$6,0)</f>
        <v>0</v>
      </c>
      <c r="L121" s="329">
        <f>VLOOKUP($A121,CTDD,'5.CT-DD'!$S$6,0)</f>
        <v>2805.1759999999999</v>
      </c>
      <c r="M121" s="329">
        <f t="shared" si="40"/>
        <v>0</v>
      </c>
      <c r="N121" s="329">
        <f t="shared" si="41"/>
        <v>0</v>
      </c>
      <c r="O121" s="329">
        <f t="shared" si="42"/>
        <v>0</v>
      </c>
      <c r="P121" s="329">
        <f t="shared" si="43"/>
        <v>0</v>
      </c>
      <c r="Q121" s="329">
        <f t="shared" si="44"/>
        <v>0</v>
      </c>
      <c r="R121" s="329">
        <f t="shared" si="45"/>
        <v>0</v>
      </c>
    </row>
    <row r="122" spans="1:18" hidden="1">
      <c r="A122" s="332" t="s">
        <v>3430</v>
      </c>
      <c r="B122" s="333">
        <f>IF(F122&lt;&gt;0,1,)</f>
        <v>0</v>
      </c>
      <c r="C122" s="328">
        <f t="shared" si="46"/>
        <v>3</v>
      </c>
      <c r="D122" s="329" t="str">
        <f>VLOOKUP(A122,CTDD,'5.CT-DD'!$E$6,0)</f>
        <v>Bộ móng neo xòe cho chằng xuống (HT) - Lỗ đá</v>
      </c>
      <c r="E122" s="328" t="str">
        <f>VLOOKUP(A122,CTDD,'5.CT-DD'!$F$6,0)</f>
        <v>Bộ</v>
      </c>
      <c r="F122" s="328">
        <f>VLOOKUP($A122,CTDD,'5.CT-DD'!$AB$6,0)</f>
        <v>0</v>
      </c>
      <c r="G122" s="329">
        <f>VLOOKUP($A122,CTDD,'5.CT-DD'!$N$6,0)</f>
        <v>286000</v>
      </c>
      <c r="H122" s="329">
        <f>VLOOKUP($A122,CTDD,'5.CT-DD'!$O$6,0)</f>
        <v>0</v>
      </c>
      <c r="I122" s="329">
        <f>VLOOKUP($A122,CTDD,'5.CT-DD'!$P$6,0)</f>
        <v>467831.67999999993</v>
      </c>
      <c r="J122" s="329">
        <f>VLOOKUP($A122,CTDD,'5.CT-DD'!$Q$6,0)</f>
        <v>0</v>
      </c>
      <c r="K122" s="329">
        <f>VLOOKUP($A122,CTDD,'5.CT-DD'!$R$6,0)</f>
        <v>16093.439999999999</v>
      </c>
      <c r="L122" s="329">
        <f>VLOOKUP($A122,CTDD,'5.CT-DD'!$S$6,0)</f>
        <v>546018.72</v>
      </c>
      <c r="M122" s="329">
        <f t="shared" ref="M122:R125" si="47">$F122*G122</f>
        <v>0</v>
      </c>
      <c r="N122" s="329">
        <f t="shared" si="47"/>
        <v>0</v>
      </c>
      <c r="O122" s="329">
        <f t="shared" si="47"/>
        <v>0</v>
      </c>
      <c r="P122" s="329">
        <f t="shared" si="47"/>
        <v>0</v>
      </c>
      <c r="Q122" s="329">
        <f t="shared" si="47"/>
        <v>0</v>
      </c>
      <c r="R122" s="329">
        <f t="shared" si="47"/>
        <v>0</v>
      </c>
    </row>
    <row r="123" spans="1:18" hidden="1">
      <c r="A123" s="332" t="s">
        <v>3431</v>
      </c>
      <c r="B123" s="333">
        <f>IF(F123&lt;&gt;0,1,)</f>
        <v>0</v>
      </c>
      <c r="C123" s="328">
        <f t="shared" si="46"/>
        <v>3</v>
      </c>
      <c r="D123" s="329" t="str">
        <f>VLOOKUP(A123,CTDD,'5.CT-DD'!$E$6,0)</f>
        <v>Bộ móng neo xòe cho chằng lệch (HT) - Lỗ đá</v>
      </c>
      <c r="E123" s="328" t="str">
        <f>VLOOKUP(A123,CTDD,'5.CT-DD'!$F$6,0)</f>
        <v>Bộ</v>
      </c>
      <c r="F123" s="328">
        <f>VLOOKUP($A123,CTDD,'5.CT-DD'!$AB$6,0)</f>
        <v>0</v>
      </c>
      <c r="G123" s="329">
        <f>VLOOKUP($A123,CTDD,'5.CT-DD'!$N$6,0)</f>
        <v>286000</v>
      </c>
      <c r="H123" s="329">
        <f>VLOOKUP($A123,CTDD,'5.CT-DD'!$O$6,0)</f>
        <v>0</v>
      </c>
      <c r="I123" s="329">
        <f>VLOOKUP($A123,CTDD,'5.CT-DD'!$P$6,0)</f>
        <v>467831.67999999993</v>
      </c>
      <c r="J123" s="329">
        <f>VLOOKUP($A123,CTDD,'5.CT-DD'!$Q$6,0)</f>
        <v>0</v>
      </c>
      <c r="K123" s="329">
        <f>VLOOKUP($A123,CTDD,'5.CT-DD'!$R$6,0)</f>
        <v>0</v>
      </c>
      <c r="L123" s="329">
        <f>VLOOKUP($A123,CTDD,'5.CT-DD'!$S$6,0)</f>
        <v>562112.15999999992</v>
      </c>
      <c r="M123" s="329">
        <f t="shared" si="47"/>
        <v>0</v>
      </c>
      <c r="N123" s="329">
        <f t="shared" si="47"/>
        <v>0</v>
      </c>
      <c r="O123" s="329">
        <f t="shared" si="47"/>
        <v>0</v>
      </c>
      <c r="P123" s="329">
        <f t="shared" si="47"/>
        <v>0</v>
      </c>
      <c r="Q123" s="329">
        <f t="shared" si="47"/>
        <v>0</v>
      </c>
      <c r="R123" s="329">
        <f t="shared" si="47"/>
        <v>0</v>
      </c>
    </row>
    <row r="124" spans="1:18">
      <c r="A124" s="332" t="s">
        <v>2045</v>
      </c>
      <c r="B124" s="333">
        <f>IF(F124&lt;&gt;0,1,)</f>
        <v>1</v>
      </c>
      <c r="C124" s="326" t="s">
        <v>1673</v>
      </c>
      <c r="D124" s="327" t="s">
        <v>1718</v>
      </c>
      <c r="E124" s="326" t="s">
        <v>1719</v>
      </c>
      <c r="F124" s="326">
        <f>VLOOKUP($A124,CTDD,'5.CT-DD'!$AB$6,0)</f>
        <v>1</v>
      </c>
      <c r="G124" s="327">
        <f>VLOOKUP($A124,CTDD,'5.CT-DD'!$N$6,0)</f>
        <v>2354657570</v>
      </c>
      <c r="H124" s="327"/>
      <c r="I124" s="327">
        <f>VLOOKUP($A124,CTDD,'5.CT-DD'!$P$6,0)</f>
        <v>0</v>
      </c>
      <c r="J124" s="327">
        <f>VLOOKUP($A124,CTDD,'5.CT-DD'!$Q$6,0)</f>
        <v>183262203.56620002</v>
      </c>
      <c r="K124" s="327">
        <f>VLOOKUP($A124,CTDD,'5.CT-DD'!$R$6,0)</f>
        <v>0</v>
      </c>
      <c r="L124" s="327">
        <f>VLOOKUP($A124,CTDD,'5.CT-DD'!$S$6,0)</f>
        <v>0</v>
      </c>
      <c r="M124" s="327">
        <f t="shared" si="47"/>
        <v>2354657570</v>
      </c>
      <c r="N124" s="327">
        <f t="shared" si="47"/>
        <v>0</v>
      </c>
      <c r="O124" s="327">
        <f t="shared" si="47"/>
        <v>0</v>
      </c>
      <c r="P124" s="327">
        <f t="shared" si="47"/>
        <v>183262203.56620002</v>
      </c>
      <c r="Q124" s="327">
        <f t="shared" si="47"/>
        <v>0</v>
      </c>
      <c r="R124" s="327">
        <f t="shared" si="47"/>
        <v>0</v>
      </c>
    </row>
    <row r="125" spans="1:18">
      <c r="A125" s="332" t="s">
        <v>2046</v>
      </c>
      <c r="B125" s="333">
        <f>IF(F125&lt;&gt;0,1,)</f>
        <v>1</v>
      </c>
      <c r="C125" s="326" t="s">
        <v>1717</v>
      </c>
      <c r="D125" s="327" t="s">
        <v>1767</v>
      </c>
      <c r="E125" s="326" t="s">
        <v>1719</v>
      </c>
      <c r="F125" s="326">
        <f>VLOOKUP($A125,CTDD,'5.CT-DD'!$AB$6,0)</f>
        <v>1</v>
      </c>
      <c r="G125" s="327">
        <f>VLOOKUP($A125,CTDD,'5.CT-DD'!$N$6,0)</f>
        <v>74880000</v>
      </c>
      <c r="H125" s="327"/>
      <c r="I125" s="327">
        <f>VLOOKUP($A125,CTDD,'5.CT-DD'!$P$6,0)</f>
        <v>0</v>
      </c>
      <c r="J125" s="327">
        <f>VLOOKUP($A125,CTDD,'5.CT-DD'!$Q$6,0)</f>
        <v>23978328</v>
      </c>
      <c r="K125" s="327">
        <f>VLOOKUP($A125,CTDD,'5.CT-DD'!$R$6,0)</f>
        <v>0</v>
      </c>
      <c r="L125" s="327">
        <f>VLOOKUP($A125,CTDD,'5.CT-DD'!$S$6,0)</f>
        <v>0</v>
      </c>
      <c r="M125" s="327">
        <f t="shared" si="47"/>
        <v>74880000</v>
      </c>
      <c r="N125" s="327">
        <f t="shared" si="47"/>
        <v>0</v>
      </c>
      <c r="O125" s="327">
        <f t="shared" si="47"/>
        <v>0</v>
      </c>
      <c r="P125" s="327">
        <f t="shared" si="47"/>
        <v>23978328</v>
      </c>
      <c r="Q125" s="327">
        <f t="shared" si="47"/>
        <v>0</v>
      </c>
      <c r="R125" s="327">
        <f t="shared" si="47"/>
        <v>0</v>
      </c>
    </row>
    <row r="126" spans="1:18">
      <c r="A126" s="332" t="s">
        <v>2051</v>
      </c>
      <c r="B126" s="333">
        <f>IF(SUM(M126:R126)&lt;&gt;0,1,)</f>
        <v>1</v>
      </c>
      <c r="C126" s="330"/>
      <c r="D126" s="330" t="s">
        <v>1777</v>
      </c>
      <c r="E126" s="330"/>
      <c r="F126" s="331"/>
      <c r="G126" s="331"/>
      <c r="H126" s="331"/>
      <c r="I126" s="331"/>
      <c r="J126" s="331"/>
      <c r="K126" s="331"/>
      <c r="L126" s="331" t="s">
        <v>2047</v>
      </c>
      <c r="M126" s="331">
        <f t="shared" ref="M126:R126" si="48">SUM(M99:M124)</f>
        <v>2970090873.3600001</v>
      </c>
      <c r="N126" s="331">
        <f t="shared" si="48"/>
        <v>59254310.952</v>
      </c>
      <c r="O126" s="331">
        <f t="shared" si="48"/>
        <v>61233904.838999994</v>
      </c>
      <c r="P126" s="331">
        <f t="shared" si="48"/>
        <v>286828996.60620004</v>
      </c>
      <c r="Q126" s="331">
        <f t="shared" si="48"/>
        <v>10627056.307999998</v>
      </c>
      <c r="R126" s="331">
        <f t="shared" si="48"/>
        <v>27154400</v>
      </c>
    </row>
    <row r="127" spans="1:18">
      <c r="A127" s="332" t="s">
        <v>2052</v>
      </c>
      <c r="B127" s="333">
        <f>IF(SUM(M127:R127)&lt;&gt;0,1,)</f>
        <v>1</v>
      </c>
      <c r="C127" s="330"/>
      <c r="D127" s="330"/>
      <c r="E127" s="330"/>
      <c r="F127" s="331"/>
      <c r="G127" s="331"/>
      <c r="H127" s="331"/>
      <c r="I127" s="331"/>
      <c r="J127" s="331"/>
      <c r="K127" s="331"/>
      <c r="L127" s="331" t="s">
        <v>2048</v>
      </c>
      <c r="M127" s="331">
        <f t="shared" ref="M127:R127" si="49">M125</f>
        <v>74880000</v>
      </c>
      <c r="N127" s="331">
        <f t="shared" si="49"/>
        <v>0</v>
      </c>
      <c r="O127" s="331">
        <f t="shared" si="49"/>
        <v>0</v>
      </c>
      <c r="P127" s="331">
        <f t="shared" si="49"/>
        <v>23978328</v>
      </c>
      <c r="Q127" s="331">
        <f t="shared" si="49"/>
        <v>0</v>
      </c>
      <c r="R127" s="331">
        <f t="shared" si="49"/>
        <v>0</v>
      </c>
    </row>
  </sheetData>
  <autoFilter ref="B6:B127" xr:uid="{00000000-0009-0000-0000-000005000000}">
    <filterColumn colId="0">
      <filters>
        <filter val="1"/>
      </filters>
    </filterColumn>
  </autoFilter>
  <mergeCells count="6">
    <mergeCell ref="C5:C6"/>
    <mergeCell ref="D5:D6"/>
    <mergeCell ref="G5:L5"/>
    <mergeCell ref="M5:R5"/>
    <mergeCell ref="E5:E6"/>
    <mergeCell ref="F5:F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960"/>
  <sheetViews>
    <sheetView showZeros="0" view="pageBreakPreview" topLeftCell="B4" zoomScale="70" zoomScaleNormal="70" zoomScaleSheetLayoutView="70" workbookViewId="0">
      <pane xSplit="5" ySplit="3" topLeftCell="Y249" activePane="bottomRight" state="frozen"/>
      <selection activeCell="F43" sqref="F43"/>
      <selection pane="topRight" activeCell="F43" sqref="F43"/>
      <selection pane="bottomLeft" activeCell="F43" sqref="F43"/>
      <selection pane="bottomRight" activeCell="U255" sqref="U255:AM255"/>
    </sheetView>
  </sheetViews>
  <sheetFormatPr defaultColWidth="9.109375" defaultRowHeight="15.6"/>
  <cols>
    <col min="1" max="1" width="13.6640625" style="405" customWidth="1"/>
    <col min="2" max="2" width="14.44140625" style="405" customWidth="1"/>
    <col min="3" max="3" width="9.5546875" style="418" bestFit="1" customWidth="1"/>
    <col min="4" max="4" width="11.44140625" style="405" customWidth="1"/>
    <col min="5" max="5" width="66.44140625" style="405" customWidth="1"/>
    <col min="6" max="7" width="9.5546875" style="405" bestFit="1" customWidth="1"/>
    <col min="8" max="13" width="12.44140625" style="405" customWidth="1"/>
    <col min="14" max="14" width="15.44140625" style="405" bestFit="1" customWidth="1"/>
    <col min="15" max="16" width="13" style="405" customWidth="1"/>
    <col min="17" max="17" width="13.5546875" style="405" bestFit="1" customWidth="1"/>
    <col min="18" max="19" width="13" style="405" customWidth="1"/>
    <col min="20" max="28" width="9.5546875" style="405" bestFit="1" customWidth="1"/>
    <col min="29" max="30" width="9.44140625" style="405" bestFit="1" customWidth="1"/>
    <col min="31" max="38" width="9.5546875" style="405" bestFit="1" customWidth="1"/>
    <col min="39" max="39" width="13.5546875" style="405" customWidth="1"/>
    <col min="40" max="16384" width="9.109375" style="405"/>
  </cols>
  <sheetData>
    <row r="1" spans="1:39">
      <c r="A1" s="405" t="s">
        <v>1623</v>
      </c>
    </row>
    <row r="2" spans="1:39" s="408" customFormat="1">
      <c r="C2" s="609"/>
      <c r="D2" s="610" t="s">
        <v>1624</v>
      </c>
      <c r="E2" s="610"/>
      <c r="F2" s="610"/>
      <c r="G2" s="610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W2" s="408" t="s">
        <v>2988</v>
      </c>
    </row>
    <row r="3" spans="1:39">
      <c r="U3" s="405">
        <f>PP3P!A361</f>
        <v>357</v>
      </c>
      <c r="V3" s="488">
        <f>PP3P!A361</f>
        <v>357</v>
      </c>
      <c r="W3" s="488"/>
      <c r="X3" s="488"/>
      <c r="Y3" s="488">
        <f>PP1P!A76</f>
        <v>73</v>
      </c>
      <c r="Z3" s="488"/>
      <c r="AA3" s="488"/>
      <c r="AB3" s="488">
        <f>PPHT!A700</f>
        <v>696</v>
      </c>
      <c r="AD3" s="418">
        <f>DG!$H$6</f>
        <v>8</v>
      </c>
      <c r="AF3" s="488"/>
      <c r="AG3" s="488"/>
      <c r="AH3" s="488"/>
      <c r="AI3" s="488"/>
      <c r="AJ3" s="488"/>
      <c r="AK3" s="488"/>
      <c r="AL3" s="488"/>
    </row>
    <row r="4" spans="1:39" s="613" customFormat="1" ht="15.75" customHeight="1">
      <c r="A4" s="611"/>
      <c r="B4" s="611" t="s">
        <v>1625</v>
      </c>
      <c r="C4" s="612" t="s">
        <v>1623</v>
      </c>
      <c r="D4" s="1024" t="s">
        <v>1746</v>
      </c>
      <c r="E4" s="1024" t="s">
        <v>1622</v>
      </c>
      <c r="F4" s="1024" t="s">
        <v>1747</v>
      </c>
      <c r="G4" s="1024" t="s">
        <v>1748</v>
      </c>
      <c r="H4" s="1021" t="s">
        <v>1626</v>
      </c>
      <c r="I4" s="1022"/>
      <c r="J4" s="1022"/>
      <c r="K4" s="1022"/>
      <c r="L4" s="1022"/>
      <c r="M4" s="1023"/>
      <c r="N4" s="1021" t="s">
        <v>1627</v>
      </c>
      <c r="O4" s="1022"/>
      <c r="P4" s="1022"/>
      <c r="Q4" s="1022"/>
      <c r="R4" s="1022"/>
      <c r="S4" s="1023"/>
      <c r="U4" s="614"/>
      <c r="V4" s="614"/>
      <c r="W4" s="614"/>
      <c r="X4" s="614"/>
      <c r="Y4" s="614"/>
      <c r="Z4" s="614"/>
      <c r="AA4" s="614"/>
      <c r="AB4" s="614"/>
      <c r="AD4" s="1020" t="s">
        <v>2550</v>
      </c>
      <c r="AE4" s="615" t="s">
        <v>1748</v>
      </c>
      <c r="AF4" s="616"/>
      <c r="AG4" s="616"/>
      <c r="AH4" s="616"/>
      <c r="AI4" s="616"/>
      <c r="AJ4" s="616"/>
      <c r="AK4" s="616"/>
      <c r="AL4" s="617"/>
    </row>
    <row r="5" spans="1:39" s="613" customFormat="1">
      <c r="A5" s="611"/>
      <c r="B5" s="611"/>
      <c r="C5" s="612" t="s">
        <v>1623</v>
      </c>
      <c r="D5" s="1025"/>
      <c r="E5" s="1025"/>
      <c r="F5" s="1025"/>
      <c r="G5" s="1025"/>
      <c r="H5" s="836" t="s">
        <v>1628</v>
      </c>
      <c r="I5" s="836" t="s">
        <v>1629</v>
      </c>
      <c r="J5" s="836" t="s">
        <v>2053</v>
      </c>
      <c r="K5" s="836" t="s">
        <v>2054</v>
      </c>
      <c r="L5" s="836" t="s">
        <v>2055</v>
      </c>
      <c r="M5" s="836" t="s">
        <v>2056</v>
      </c>
      <c r="N5" s="836" t="s">
        <v>1628</v>
      </c>
      <c r="O5" s="836" t="s">
        <v>1629</v>
      </c>
      <c r="P5" s="836" t="s">
        <v>2053</v>
      </c>
      <c r="Q5" s="836" t="s">
        <v>2054</v>
      </c>
      <c r="R5" s="836" t="s">
        <v>2055</v>
      </c>
      <c r="S5" s="836" t="s">
        <v>2056</v>
      </c>
      <c r="U5" s="836" t="s">
        <v>1431</v>
      </c>
      <c r="V5" s="836" t="s">
        <v>1743</v>
      </c>
      <c r="W5" s="836" t="s">
        <v>2580</v>
      </c>
      <c r="X5" s="836" t="s">
        <v>2581</v>
      </c>
      <c r="Y5" s="836" t="s">
        <v>1744</v>
      </c>
      <c r="Z5" s="836" t="s">
        <v>2582</v>
      </c>
      <c r="AA5" s="836" t="s">
        <v>2583</v>
      </c>
      <c r="AB5" s="836" t="s">
        <v>1745</v>
      </c>
      <c r="AD5" s="1020"/>
      <c r="AE5" s="836" t="s">
        <v>1431</v>
      </c>
      <c r="AF5" s="836" t="s">
        <v>1743</v>
      </c>
      <c r="AG5" s="836" t="s">
        <v>2580</v>
      </c>
      <c r="AH5" s="836" t="s">
        <v>2581</v>
      </c>
      <c r="AI5" s="836" t="s">
        <v>1744</v>
      </c>
      <c r="AJ5" s="836" t="s">
        <v>2582</v>
      </c>
      <c r="AK5" s="836" t="s">
        <v>2583</v>
      </c>
      <c r="AL5" s="836" t="s">
        <v>1745</v>
      </c>
    </row>
    <row r="6" spans="1:39" s="333" customFormat="1">
      <c r="A6" s="354">
        <v>1</v>
      </c>
      <c r="B6" s="354">
        <v>2</v>
      </c>
      <c r="C6" s="355">
        <v>3</v>
      </c>
      <c r="D6" s="328">
        <v>4</v>
      </c>
      <c r="E6" s="328">
        <v>5</v>
      </c>
      <c r="F6" s="328">
        <v>6</v>
      </c>
      <c r="G6" s="328">
        <v>7</v>
      </c>
      <c r="H6" s="328">
        <v>8</v>
      </c>
      <c r="I6" s="328">
        <v>9</v>
      </c>
      <c r="J6" s="328">
        <v>10</v>
      </c>
      <c r="K6" s="328">
        <v>11</v>
      </c>
      <c r="L6" s="328">
        <v>12</v>
      </c>
      <c r="M6" s="328">
        <v>13</v>
      </c>
      <c r="N6" s="328">
        <v>14</v>
      </c>
      <c r="O6" s="328">
        <v>15</v>
      </c>
      <c r="P6" s="328">
        <v>16</v>
      </c>
      <c r="Q6" s="328">
        <v>17</v>
      </c>
      <c r="R6" s="328">
        <v>18</v>
      </c>
      <c r="S6" s="328">
        <v>19</v>
      </c>
      <c r="T6" s="328">
        <v>20</v>
      </c>
      <c r="U6" s="328">
        <v>21</v>
      </c>
      <c r="V6" s="328">
        <v>22</v>
      </c>
      <c r="W6" s="328">
        <v>23</v>
      </c>
      <c r="X6" s="328">
        <v>24</v>
      </c>
      <c r="Y6" s="328">
        <v>25</v>
      </c>
      <c r="Z6" s="328">
        <v>26</v>
      </c>
      <c r="AA6" s="328">
        <v>27</v>
      </c>
      <c r="AB6" s="328">
        <v>28</v>
      </c>
      <c r="AC6" s="328">
        <v>25</v>
      </c>
      <c r="AD6" s="328">
        <v>26</v>
      </c>
      <c r="AE6" s="328">
        <v>27</v>
      </c>
      <c r="AF6" s="328">
        <v>28</v>
      </c>
      <c r="AG6" s="328">
        <v>28</v>
      </c>
      <c r="AH6" s="328">
        <v>28</v>
      </c>
      <c r="AI6" s="328">
        <v>29</v>
      </c>
      <c r="AJ6" s="328">
        <v>29</v>
      </c>
      <c r="AK6" s="328">
        <v>29</v>
      </c>
      <c r="AL6" s="328">
        <v>30</v>
      </c>
    </row>
    <row r="7" spans="1:39">
      <c r="A7" s="618"/>
      <c r="B7" s="618"/>
      <c r="C7" s="619">
        <f>IF(SUM(C8:C349)&lt;&gt;0,1,)</f>
        <v>1</v>
      </c>
      <c r="D7" s="620" t="s">
        <v>1631</v>
      </c>
      <c r="E7" s="732" t="s">
        <v>1632</v>
      </c>
      <c r="F7" s="620"/>
      <c r="G7" s="621"/>
      <c r="H7" s="621"/>
      <c r="I7" s="621"/>
      <c r="J7" s="621"/>
      <c r="K7" s="621"/>
      <c r="L7" s="621"/>
      <c r="M7" s="621"/>
      <c r="N7" s="621"/>
      <c r="O7" s="621"/>
      <c r="P7" s="621"/>
      <c r="Q7" s="621"/>
      <c r="R7" s="621"/>
      <c r="S7" s="621"/>
      <c r="U7" s="621"/>
      <c r="V7" s="621"/>
      <c r="W7" s="621"/>
      <c r="X7" s="621"/>
      <c r="Y7" s="621"/>
      <c r="Z7" s="621"/>
      <c r="AA7" s="621"/>
      <c r="AB7" s="621"/>
      <c r="AE7" s="621">
        <f t="shared" ref="AE7:AL7" si="0">SUM(AE9:AE960)-AE8</f>
        <v>499978.9655000004</v>
      </c>
      <c r="AF7" s="621">
        <f t="shared" si="0"/>
        <v>407474.69350000028</v>
      </c>
      <c r="AG7" s="621">
        <f t="shared" si="0"/>
        <v>0</v>
      </c>
      <c r="AH7" s="621">
        <f t="shared" si="0"/>
        <v>0</v>
      </c>
      <c r="AI7" s="621">
        <f t="shared" si="0"/>
        <v>0</v>
      </c>
      <c r="AJ7" s="621">
        <f t="shared" si="0"/>
        <v>0</v>
      </c>
      <c r="AK7" s="621">
        <f t="shared" si="0"/>
        <v>0</v>
      </c>
      <c r="AL7" s="621">
        <f t="shared" si="0"/>
        <v>129856.42499999987</v>
      </c>
      <c r="AM7" s="405" t="s">
        <v>2549</v>
      </c>
    </row>
    <row r="8" spans="1:39">
      <c r="A8" s="618" t="s">
        <v>1391</v>
      </c>
      <c r="B8" s="618"/>
      <c r="C8" s="619">
        <f>IF(G8&lt;&gt;0,1,)</f>
        <v>1</v>
      </c>
      <c r="D8" s="622"/>
      <c r="E8" s="733" t="s">
        <v>1636</v>
      </c>
      <c r="F8" s="622" t="s">
        <v>1633</v>
      </c>
      <c r="G8" s="622">
        <f>U8</f>
        <v>65</v>
      </c>
      <c r="H8" s="623"/>
      <c r="I8" s="623"/>
      <c r="J8" s="623"/>
      <c r="K8" s="623"/>
      <c r="L8" s="623"/>
      <c r="M8" s="623"/>
      <c r="N8" s="623">
        <f t="shared" ref="N8:S8" si="1">SUM(N10:N11)</f>
        <v>0</v>
      </c>
      <c r="O8" s="623">
        <f t="shared" si="1"/>
        <v>0</v>
      </c>
      <c r="P8" s="623">
        <f t="shared" si="1"/>
        <v>46110.53</v>
      </c>
      <c r="Q8" s="623">
        <f t="shared" si="1"/>
        <v>0</v>
      </c>
      <c r="R8" s="623">
        <f t="shared" si="1"/>
        <v>1184.6559999999999</v>
      </c>
      <c r="S8" s="623">
        <f t="shared" si="1"/>
        <v>0</v>
      </c>
      <c r="U8" s="623">
        <f>SUM(V8:AB8)</f>
        <v>65</v>
      </c>
      <c r="V8" s="623">
        <f>IFERROR(HLOOKUP($A8,BK3P,V$3,0),)</f>
        <v>0</v>
      </c>
      <c r="W8" s="623">
        <f>IFERROR(HLOOKUP($A8,BK3P,W$3,0),)</f>
        <v>0</v>
      </c>
      <c r="X8" s="623">
        <f>IFERROR(HLOOKUP($A8,BK3P,X$3,0),)</f>
        <v>0</v>
      </c>
      <c r="Y8" s="623">
        <f>IFERROR(HLOOKUP($A8,BK1P,Y$3,0),)</f>
        <v>0</v>
      </c>
      <c r="Z8" s="623">
        <f>IFERROR(HLOOKUP($A8,BK1P,Z$3,0),)</f>
        <v>0</v>
      </c>
      <c r="AA8" s="623">
        <f>IFERROR(HLOOKUP($A8,BK1P,AA$3,0),)</f>
        <v>0</v>
      </c>
      <c r="AB8" s="623">
        <f>IFERROR(HLOOKUP($A8,BKHT,AB$3,0),)</f>
        <v>65</v>
      </c>
      <c r="AE8" s="623">
        <f t="shared" ref="AE8:AL8" si="2">SUM(AE361:AE393)</f>
        <v>461260</v>
      </c>
      <c r="AF8" s="623">
        <f t="shared" si="2"/>
        <v>321260</v>
      </c>
      <c r="AG8" s="623">
        <f t="shared" si="2"/>
        <v>0</v>
      </c>
      <c r="AH8" s="623">
        <f t="shared" si="2"/>
        <v>0</v>
      </c>
      <c r="AI8" s="623">
        <f t="shared" si="2"/>
        <v>0</v>
      </c>
      <c r="AJ8" s="623">
        <f t="shared" si="2"/>
        <v>0</v>
      </c>
      <c r="AK8" s="623">
        <f t="shared" si="2"/>
        <v>0</v>
      </c>
      <c r="AL8" s="623">
        <f t="shared" si="2"/>
        <v>140000</v>
      </c>
      <c r="AM8" s="405" t="s">
        <v>2568</v>
      </c>
    </row>
    <row r="9" spans="1:39" s="542" customFormat="1">
      <c r="A9" s="624"/>
      <c r="B9" s="624"/>
      <c r="C9" s="625">
        <f>C8</f>
        <v>1</v>
      </c>
      <c r="D9" s="544"/>
      <c r="E9" s="734" t="s">
        <v>1644</v>
      </c>
      <c r="F9" s="544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U9" s="545"/>
      <c r="V9" s="545"/>
      <c r="W9" s="545"/>
      <c r="X9" s="545"/>
      <c r="Y9" s="545"/>
      <c r="Z9" s="545"/>
      <c r="AA9" s="545"/>
      <c r="AB9" s="545"/>
      <c r="AE9" s="545"/>
      <c r="AF9" s="545"/>
      <c r="AG9" s="545"/>
      <c r="AH9" s="545"/>
      <c r="AI9" s="545"/>
      <c r="AJ9" s="545"/>
      <c r="AK9" s="545"/>
      <c r="AL9" s="545"/>
    </row>
    <row r="10" spans="1:39">
      <c r="A10" s="618"/>
      <c r="B10" s="618" t="s">
        <v>499</v>
      </c>
      <c r="C10" s="619">
        <f>IF(G10&lt;&gt;0,$C$8,)</f>
        <v>1</v>
      </c>
      <c r="D10" s="523" t="str">
        <f>VLOOKUP(B10,DONGIA,DG!$B$6,0)</f>
        <v>AB.11423</v>
      </c>
      <c r="E10" s="666" t="str">
        <f>VLOOKUP(B10,DONGIA,DG!$C$6,0)</f>
        <v>Đào hố móng đất cấp 3 sâu &gt;1m (rộng ≤1m)</v>
      </c>
      <c r="F10" s="523" t="str">
        <f>VLOOKUP(B10,DONGIA,DG!$D$6,0)</f>
        <v>m3</v>
      </c>
      <c r="G10" s="626">
        <f>ROUND(0.15*0.15*1.5*3.14159,3)</f>
        <v>0.106</v>
      </c>
      <c r="H10" s="525"/>
      <c r="I10" s="525"/>
      <c r="J10" s="525">
        <f>VLOOKUP($B10,DONGIA,DG!$F$6,0)</f>
        <v>418738</v>
      </c>
      <c r="K10" s="525"/>
      <c r="L10" s="525">
        <f>VLOOKUP($B10,DONGIA,DG!$G$6,0)</f>
        <v>0</v>
      </c>
      <c r="M10" s="525"/>
      <c r="N10" s="525">
        <f>$G10*H10</f>
        <v>0</v>
      </c>
      <c r="O10" s="525">
        <f t="shared" ref="O10:S11" si="3">$G10*I10</f>
        <v>0</v>
      </c>
      <c r="P10" s="525">
        <f t="shared" si="3"/>
        <v>44386.227999999996</v>
      </c>
      <c r="Q10" s="525">
        <f t="shared" si="3"/>
        <v>0</v>
      </c>
      <c r="R10" s="525">
        <f t="shared" si="3"/>
        <v>0</v>
      </c>
      <c r="S10" s="525">
        <f t="shared" si="3"/>
        <v>0</v>
      </c>
      <c r="U10" s="525">
        <f>U$8*$G10</f>
        <v>6.89</v>
      </c>
      <c r="V10" s="525">
        <f t="shared" ref="V10:AB11" si="4">V$8*$G10</f>
        <v>0</v>
      </c>
      <c r="W10" s="525">
        <f t="shared" si="4"/>
        <v>0</v>
      </c>
      <c r="X10" s="525">
        <f t="shared" si="4"/>
        <v>0</v>
      </c>
      <c r="Y10" s="525">
        <f t="shared" si="4"/>
        <v>0</v>
      </c>
      <c r="Z10" s="525">
        <f t="shared" si="4"/>
        <v>0</v>
      </c>
      <c r="AA10" s="525">
        <f t="shared" si="4"/>
        <v>0</v>
      </c>
      <c r="AB10" s="525">
        <f t="shared" si="4"/>
        <v>6.89</v>
      </c>
      <c r="AD10" s="405">
        <f t="shared" ref="AD10:AD130" si="5">IFERROR(VLOOKUP(B10,DONGIA,$AD$3,0),0)</f>
        <v>0</v>
      </c>
      <c r="AE10" s="525">
        <f t="shared" ref="AE10:AE130" si="6">U10*$AD10</f>
        <v>0</v>
      </c>
      <c r="AF10" s="525">
        <f t="shared" ref="AF10:AH130" si="7">V10*$AD10</f>
        <v>0</v>
      </c>
      <c r="AG10" s="525">
        <f t="shared" si="7"/>
        <v>0</v>
      </c>
      <c r="AH10" s="525">
        <f t="shared" si="7"/>
        <v>0</v>
      </c>
      <c r="AI10" s="525">
        <f t="shared" ref="AI10:AK130" si="8">Y10*$AD10</f>
        <v>0</v>
      </c>
      <c r="AJ10" s="525">
        <f t="shared" si="8"/>
        <v>0</v>
      </c>
      <c r="AK10" s="525">
        <f t="shared" si="8"/>
        <v>0</v>
      </c>
      <c r="AL10" s="525">
        <f>AB10*$AD10</f>
        <v>0</v>
      </c>
    </row>
    <row r="11" spans="1:39">
      <c r="A11" s="618"/>
      <c r="B11" s="618" t="s">
        <v>510</v>
      </c>
      <c r="C11" s="619">
        <f>IF(G11&lt;&gt;0,$C$8,)</f>
        <v>1</v>
      </c>
      <c r="D11" s="523" t="str">
        <f>VLOOKUP(B11,DONGIA,DG!$B$6,0)</f>
        <v>AB.65110</v>
      </c>
      <c r="E11" s="666" t="str">
        <f>VLOOKUP(B11,DONGIA,DG!$C$6,0)</f>
        <v>Đắp đất hố móng (K=0,85)</v>
      </c>
      <c r="F11" s="523" t="str">
        <f>VLOOKUP(B11,DONGIA,DG!$D$6,0)</f>
        <v>m3</v>
      </c>
      <c r="G11" s="626">
        <f>G10</f>
        <v>0.106</v>
      </c>
      <c r="H11" s="525"/>
      <c r="I11" s="525"/>
      <c r="J11" s="525">
        <f>VLOOKUP($B11,DONGIA,DG!$F$6,0)</f>
        <v>16267</v>
      </c>
      <c r="K11" s="525"/>
      <c r="L11" s="525">
        <f>VLOOKUP($B11,DONGIA,DG!$G$6,0)</f>
        <v>11176</v>
      </c>
      <c r="M11" s="525"/>
      <c r="N11" s="525">
        <f>$G11*H11</f>
        <v>0</v>
      </c>
      <c r="O11" s="525">
        <f t="shared" si="3"/>
        <v>0</v>
      </c>
      <c r="P11" s="525">
        <f t="shared" si="3"/>
        <v>1724.3019999999999</v>
      </c>
      <c r="Q11" s="525">
        <f t="shared" si="3"/>
        <v>0</v>
      </c>
      <c r="R11" s="525">
        <f t="shared" si="3"/>
        <v>1184.6559999999999</v>
      </c>
      <c r="S11" s="525">
        <f t="shared" si="3"/>
        <v>0</v>
      </c>
      <c r="U11" s="525">
        <f>U$8*$G11</f>
        <v>6.89</v>
      </c>
      <c r="V11" s="525">
        <f t="shared" si="4"/>
        <v>0</v>
      </c>
      <c r="W11" s="525">
        <f t="shared" si="4"/>
        <v>0</v>
      </c>
      <c r="X11" s="525">
        <f t="shared" si="4"/>
        <v>0</v>
      </c>
      <c r="Y11" s="525">
        <f t="shared" si="4"/>
        <v>0</v>
      </c>
      <c r="Z11" s="525">
        <f t="shared" si="4"/>
        <v>0</v>
      </c>
      <c r="AA11" s="525">
        <f t="shared" si="4"/>
        <v>0</v>
      </c>
      <c r="AB11" s="525">
        <f t="shared" si="4"/>
        <v>6.89</v>
      </c>
      <c r="AD11" s="405">
        <f t="shared" si="5"/>
        <v>0</v>
      </c>
      <c r="AE11" s="525">
        <f t="shared" si="6"/>
        <v>0</v>
      </c>
      <c r="AF11" s="525">
        <f t="shared" si="7"/>
        <v>0</v>
      </c>
      <c r="AG11" s="525">
        <f t="shared" si="7"/>
        <v>0</v>
      </c>
      <c r="AH11" s="525">
        <f t="shared" si="7"/>
        <v>0</v>
      </c>
      <c r="AI11" s="525">
        <f t="shared" si="8"/>
        <v>0</v>
      </c>
      <c r="AJ11" s="525">
        <f t="shared" si="8"/>
        <v>0</v>
      </c>
      <c r="AK11" s="525">
        <f t="shared" si="8"/>
        <v>0</v>
      </c>
      <c r="AL11" s="525">
        <f t="shared" ref="AL11:AL131" si="9">AB11*$AD11</f>
        <v>0</v>
      </c>
    </row>
    <row r="12" spans="1:39">
      <c r="A12" s="618" t="s">
        <v>3427</v>
      </c>
      <c r="B12" s="618"/>
      <c r="C12" s="619">
        <f>IF(G12&lt;&gt;0,1,)</f>
        <v>1</v>
      </c>
      <c r="D12" s="622"/>
      <c r="E12" s="733" t="s">
        <v>3488</v>
      </c>
      <c r="F12" s="622" t="s">
        <v>1633</v>
      </c>
      <c r="G12" s="622">
        <f>U12</f>
        <v>2</v>
      </c>
      <c r="H12" s="623"/>
      <c r="I12" s="623"/>
      <c r="J12" s="623"/>
      <c r="K12" s="623"/>
      <c r="L12" s="623"/>
      <c r="M12" s="623"/>
      <c r="N12" s="623">
        <f t="shared" ref="N12:S12" si="10">SUM(N14:N16)</f>
        <v>0</v>
      </c>
      <c r="O12" s="623">
        <f t="shared" si="10"/>
        <v>0</v>
      </c>
      <c r="P12" s="623">
        <f t="shared" si="10"/>
        <v>400262.97699999996</v>
      </c>
      <c r="Q12" s="623">
        <f t="shared" si="10"/>
        <v>0</v>
      </c>
      <c r="R12" s="623">
        <f t="shared" si="10"/>
        <v>447578.48</v>
      </c>
      <c r="S12" s="623">
        <f t="shared" si="10"/>
        <v>0</v>
      </c>
      <c r="U12" s="623">
        <f>SUM(V12:AB12)</f>
        <v>2</v>
      </c>
      <c r="V12" s="623">
        <f>IFERROR(HLOOKUP($A12,BK3P,V$3,0),)</f>
        <v>0</v>
      </c>
      <c r="W12" s="623">
        <f>IFERROR(HLOOKUP($A12,BK3P,W$3,0),)</f>
        <v>0</v>
      </c>
      <c r="X12" s="623">
        <f>IFERROR(HLOOKUP($A12,BK3P,X$3,0),)</f>
        <v>0</v>
      </c>
      <c r="Y12" s="623">
        <f>IFERROR(HLOOKUP($A12,BK1P,Y$3,0),)</f>
        <v>0</v>
      </c>
      <c r="Z12" s="623">
        <f>IFERROR(HLOOKUP($A12,BK1P,Z$3,0),)</f>
        <v>0</v>
      </c>
      <c r="AA12" s="623">
        <f>IFERROR(HLOOKUP($A12,BK1P,AA$3,0),)</f>
        <v>0</v>
      </c>
      <c r="AB12" s="623">
        <f>IFERROR(HLOOKUP($A12,BKHT,AB$3,0),)</f>
        <v>2</v>
      </c>
      <c r="AD12" s="405">
        <f>IFERROR(VLOOKUP(B12,DONGIA,$AD$3,0),0)</f>
        <v>0</v>
      </c>
      <c r="AE12" s="525">
        <f t="shared" ref="AE12:AL16" si="11">U12*$AD12</f>
        <v>0</v>
      </c>
      <c r="AF12" s="525">
        <f t="shared" si="11"/>
        <v>0</v>
      </c>
      <c r="AG12" s="525">
        <f t="shared" si="11"/>
        <v>0</v>
      </c>
      <c r="AH12" s="525">
        <f t="shared" si="11"/>
        <v>0</v>
      </c>
      <c r="AI12" s="525">
        <f t="shared" si="11"/>
        <v>0</v>
      </c>
      <c r="AJ12" s="525">
        <f t="shared" si="11"/>
        <v>0</v>
      </c>
      <c r="AK12" s="525">
        <f t="shared" si="11"/>
        <v>0</v>
      </c>
      <c r="AL12" s="525">
        <f t="shared" si="11"/>
        <v>0</v>
      </c>
    </row>
    <row r="13" spans="1:39" s="542" customFormat="1">
      <c r="A13" s="624"/>
      <c r="B13" s="624"/>
      <c r="C13" s="625">
        <f>C12</f>
        <v>1</v>
      </c>
      <c r="D13" s="544"/>
      <c r="E13" s="734" t="s">
        <v>1644</v>
      </c>
      <c r="F13" s="544"/>
      <c r="G13" s="545"/>
      <c r="H13" s="545"/>
      <c r="I13" s="545"/>
      <c r="J13" s="545"/>
      <c r="K13" s="545"/>
      <c r="L13" s="545"/>
      <c r="M13" s="545"/>
      <c r="N13" s="545"/>
      <c r="O13" s="545"/>
      <c r="P13" s="545"/>
      <c r="Q13" s="545"/>
      <c r="R13" s="545"/>
      <c r="S13" s="545"/>
      <c r="U13" s="545"/>
      <c r="V13" s="545"/>
      <c r="W13" s="545"/>
      <c r="X13" s="545"/>
      <c r="Y13" s="545"/>
      <c r="Z13" s="545"/>
      <c r="AA13" s="545"/>
      <c r="AB13" s="545"/>
      <c r="AD13" s="405">
        <f>IFERROR(VLOOKUP(B13,DONGIA,$AD$3,0),0)</f>
        <v>0</v>
      </c>
      <c r="AE13" s="525">
        <f t="shared" si="11"/>
        <v>0</v>
      </c>
      <c r="AF13" s="525">
        <f t="shared" si="11"/>
        <v>0</v>
      </c>
      <c r="AG13" s="525">
        <f t="shared" si="11"/>
        <v>0</v>
      </c>
      <c r="AH13" s="525">
        <f t="shared" si="11"/>
        <v>0</v>
      </c>
      <c r="AI13" s="525">
        <f t="shared" si="11"/>
        <v>0</v>
      </c>
      <c r="AJ13" s="525">
        <f t="shared" si="11"/>
        <v>0</v>
      </c>
      <c r="AK13" s="525">
        <f t="shared" si="11"/>
        <v>0</v>
      </c>
      <c r="AL13" s="525">
        <f t="shared" si="11"/>
        <v>0</v>
      </c>
    </row>
    <row r="14" spans="1:39">
      <c r="A14" s="618"/>
      <c r="B14" s="618" t="s">
        <v>491</v>
      </c>
      <c r="C14" s="619">
        <f>IF(G14&lt;&gt;0,$C$127,)</f>
        <v>1</v>
      </c>
      <c r="D14" s="523" t="str">
        <f>VLOOKUP(B14,DONGIA,DG!$B$6,0)</f>
        <v>AB.11413</v>
      </c>
      <c r="E14" s="666" t="str">
        <f>VLOOKUP(B14,DONGIA,DG!$C$6,0)</f>
        <v>Đào hố móng đất cấp 3 sâu ≤1m (rộng ≤1m)</v>
      </c>
      <c r="F14" s="523" t="str">
        <f>VLOOKUP(B14,DONGIA,DG!$D$6,0)</f>
        <v>m3</v>
      </c>
      <c r="G14" s="626">
        <f>ROUND(1*1*0.4,3)</f>
        <v>0.4</v>
      </c>
      <c r="H14" s="525"/>
      <c r="I14" s="525"/>
      <c r="J14" s="525">
        <f>VLOOKUP($B14,DONGIA,DG!$F$6,0)</f>
        <v>340001</v>
      </c>
      <c r="K14" s="525"/>
      <c r="L14" s="525">
        <f>VLOOKUP($B14,DONGIA,DG!$G$6,0)</f>
        <v>0</v>
      </c>
      <c r="M14" s="525"/>
      <c r="N14" s="525">
        <f t="shared" ref="N14:S16" si="12">$G14*H14</f>
        <v>0</v>
      </c>
      <c r="O14" s="525">
        <f t="shared" si="12"/>
        <v>0</v>
      </c>
      <c r="P14" s="525">
        <f t="shared" si="12"/>
        <v>136000.4</v>
      </c>
      <c r="Q14" s="525">
        <f t="shared" si="12"/>
        <v>0</v>
      </c>
      <c r="R14" s="525">
        <f t="shared" si="12"/>
        <v>0</v>
      </c>
      <c r="S14" s="525">
        <f t="shared" si="12"/>
        <v>0</v>
      </c>
      <c r="U14" s="525">
        <f>U$127*$G14</f>
        <v>4.4000000000000004</v>
      </c>
      <c r="V14" s="525">
        <f t="shared" ref="V14:AB14" si="13">V$127*$G14</f>
        <v>4.4000000000000004</v>
      </c>
      <c r="W14" s="525">
        <f t="shared" si="13"/>
        <v>0</v>
      </c>
      <c r="X14" s="525">
        <f t="shared" si="13"/>
        <v>0</v>
      </c>
      <c r="Y14" s="525">
        <f t="shared" si="13"/>
        <v>0</v>
      </c>
      <c r="Z14" s="525">
        <f t="shared" si="13"/>
        <v>0</v>
      </c>
      <c r="AA14" s="525">
        <f t="shared" si="13"/>
        <v>0</v>
      </c>
      <c r="AB14" s="525">
        <f t="shared" si="13"/>
        <v>0</v>
      </c>
      <c r="AD14" s="405">
        <f>IFERROR(VLOOKUP(B14,DONGIA,$AD$3,0),0)</f>
        <v>0</v>
      </c>
      <c r="AE14" s="525">
        <f t="shared" si="11"/>
        <v>0</v>
      </c>
      <c r="AF14" s="525">
        <f t="shared" si="11"/>
        <v>0</v>
      </c>
      <c r="AG14" s="525">
        <f t="shared" si="11"/>
        <v>0</v>
      </c>
      <c r="AH14" s="525">
        <f t="shared" si="11"/>
        <v>0</v>
      </c>
      <c r="AI14" s="525">
        <f t="shared" si="11"/>
        <v>0</v>
      </c>
      <c r="AJ14" s="525">
        <f t="shared" si="11"/>
        <v>0</v>
      </c>
      <c r="AK14" s="525">
        <f t="shared" si="11"/>
        <v>0</v>
      </c>
      <c r="AL14" s="525">
        <f t="shared" si="11"/>
        <v>0</v>
      </c>
    </row>
    <row r="15" spans="1:39">
      <c r="A15" s="618"/>
      <c r="B15" s="618" t="s">
        <v>3823</v>
      </c>
      <c r="C15" s="619">
        <f>IF(G15&lt;&gt;0,$C$127,)</f>
        <v>1</v>
      </c>
      <c r="D15" s="523" t="str">
        <f>VLOOKUP(B15,DONGIA,DG!$B$6,0)</f>
        <v>AB.51613</v>
      </c>
      <c r="E15" s="666" t="str">
        <f>VLOOKUP(B15,DONGIA,DG!$C$6,0)</f>
        <v>Phá đá chân hố móng, đá cấp III (bằng búa căn)</v>
      </c>
      <c r="F15" s="523" t="str">
        <f>VLOOKUP(B15,DONGIA,DG!$D$6,0)</f>
        <v>m3</v>
      </c>
      <c r="G15" s="626">
        <v>0.82799999999999996</v>
      </c>
      <c r="H15" s="525"/>
      <c r="I15" s="525"/>
      <c r="J15" s="525">
        <f>VLOOKUP($B15,DONGIA,DG!$F$6,0)</f>
        <v>296545</v>
      </c>
      <c r="K15" s="525"/>
      <c r="L15" s="525">
        <f>VLOOKUP($B15,DONGIA,DG!$G$6,0)</f>
        <v>525018</v>
      </c>
      <c r="M15" s="525"/>
      <c r="N15" s="525">
        <f t="shared" si="12"/>
        <v>0</v>
      </c>
      <c r="O15" s="525">
        <f t="shared" si="12"/>
        <v>0</v>
      </c>
      <c r="P15" s="525">
        <f t="shared" si="12"/>
        <v>245539.25999999998</v>
      </c>
      <c r="Q15" s="525">
        <f t="shared" si="12"/>
        <v>0</v>
      </c>
      <c r="R15" s="525">
        <f t="shared" si="12"/>
        <v>434714.90399999998</v>
      </c>
      <c r="S15" s="525">
        <f t="shared" si="12"/>
        <v>0</v>
      </c>
      <c r="U15" s="525">
        <f>U$127*$G15</f>
        <v>9.1079999999999988</v>
      </c>
      <c r="V15" s="525">
        <f t="shared" ref="V15:AB16" si="14">V$127*$G15</f>
        <v>9.1079999999999988</v>
      </c>
      <c r="W15" s="525">
        <f t="shared" si="14"/>
        <v>0</v>
      </c>
      <c r="X15" s="525">
        <f t="shared" si="14"/>
        <v>0</v>
      </c>
      <c r="Y15" s="525">
        <f t="shared" si="14"/>
        <v>0</v>
      </c>
      <c r="Z15" s="525">
        <f t="shared" si="14"/>
        <v>0</v>
      </c>
      <c r="AA15" s="525">
        <f t="shared" si="14"/>
        <v>0</v>
      </c>
      <c r="AB15" s="525">
        <f t="shared" si="14"/>
        <v>0</v>
      </c>
      <c r="AD15" s="405">
        <f>IFERROR(VLOOKUP(B15,DONGIA,$AD$3,0),0)</f>
        <v>0</v>
      </c>
      <c r="AE15" s="525">
        <f t="shared" si="11"/>
        <v>0</v>
      </c>
      <c r="AF15" s="525">
        <f t="shared" si="11"/>
        <v>0</v>
      </c>
      <c r="AG15" s="525">
        <f t="shared" si="11"/>
        <v>0</v>
      </c>
      <c r="AH15" s="525">
        <f t="shared" si="11"/>
        <v>0</v>
      </c>
      <c r="AI15" s="525">
        <f t="shared" si="11"/>
        <v>0</v>
      </c>
      <c r="AJ15" s="525">
        <f t="shared" si="11"/>
        <v>0</v>
      </c>
      <c r="AK15" s="525">
        <f t="shared" si="11"/>
        <v>0</v>
      </c>
      <c r="AL15" s="525">
        <f t="shared" si="11"/>
        <v>0</v>
      </c>
    </row>
    <row r="16" spans="1:39">
      <c r="A16" s="618"/>
      <c r="B16" s="618" t="s">
        <v>510</v>
      </c>
      <c r="C16" s="619">
        <f>IF(G16&lt;&gt;0,$C$127,)</f>
        <v>1</v>
      </c>
      <c r="D16" s="523" t="str">
        <f>VLOOKUP(B16,DONGIA,DG!$B$6,0)</f>
        <v>AB.65110</v>
      </c>
      <c r="E16" s="666" t="str">
        <f>VLOOKUP(B16,DONGIA,DG!$C$6,0)</f>
        <v>Đắp đất hố móng (K=0,85)</v>
      </c>
      <c r="F16" s="523" t="str">
        <f>VLOOKUP(B16,DONGIA,DG!$D$6,0)</f>
        <v>m3</v>
      </c>
      <c r="G16" s="626">
        <v>1.151</v>
      </c>
      <c r="H16" s="525"/>
      <c r="I16" s="525"/>
      <c r="J16" s="525">
        <f>VLOOKUP($B16,DONGIA,DG!$F$6,0)</f>
        <v>16267</v>
      </c>
      <c r="K16" s="525"/>
      <c r="L16" s="525">
        <f>VLOOKUP($B16,DONGIA,DG!$G$6,0)</f>
        <v>11176</v>
      </c>
      <c r="M16" s="525"/>
      <c r="N16" s="525">
        <f t="shared" si="12"/>
        <v>0</v>
      </c>
      <c r="O16" s="525">
        <f t="shared" si="12"/>
        <v>0</v>
      </c>
      <c r="P16" s="525">
        <f t="shared" si="12"/>
        <v>18723.316999999999</v>
      </c>
      <c r="Q16" s="525">
        <f t="shared" si="12"/>
        <v>0</v>
      </c>
      <c r="R16" s="525">
        <f t="shared" si="12"/>
        <v>12863.576000000001</v>
      </c>
      <c r="S16" s="525">
        <f t="shared" si="12"/>
        <v>0</v>
      </c>
      <c r="U16" s="525">
        <f>U$127*$G16</f>
        <v>12.661</v>
      </c>
      <c r="V16" s="525">
        <f t="shared" si="14"/>
        <v>12.661</v>
      </c>
      <c r="W16" s="525">
        <f t="shared" si="14"/>
        <v>0</v>
      </c>
      <c r="X16" s="525">
        <f t="shared" si="14"/>
        <v>0</v>
      </c>
      <c r="Y16" s="525">
        <f t="shared" si="14"/>
        <v>0</v>
      </c>
      <c r="Z16" s="525">
        <f t="shared" si="14"/>
        <v>0</v>
      </c>
      <c r="AA16" s="525">
        <f t="shared" si="14"/>
        <v>0</v>
      </c>
      <c r="AB16" s="525">
        <f t="shared" si="14"/>
        <v>0</v>
      </c>
      <c r="AD16" s="405">
        <f>IFERROR(VLOOKUP(B16,DONGIA,$AD$3,0),0)</f>
        <v>0</v>
      </c>
      <c r="AE16" s="525">
        <f t="shared" si="11"/>
        <v>0</v>
      </c>
      <c r="AF16" s="525">
        <f t="shared" si="11"/>
        <v>0</v>
      </c>
      <c r="AG16" s="525">
        <f t="shared" si="11"/>
        <v>0</v>
      </c>
      <c r="AH16" s="525">
        <f t="shared" si="11"/>
        <v>0</v>
      </c>
      <c r="AI16" s="525">
        <f t="shared" si="11"/>
        <v>0</v>
      </c>
      <c r="AJ16" s="525">
        <f t="shared" si="11"/>
        <v>0</v>
      </c>
      <c r="AK16" s="525">
        <f t="shared" si="11"/>
        <v>0</v>
      </c>
      <c r="AL16" s="525">
        <f t="shared" si="11"/>
        <v>0</v>
      </c>
    </row>
    <row r="17" spans="1:38">
      <c r="A17" s="618" t="s">
        <v>1399</v>
      </c>
      <c r="B17" s="618"/>
      <c r="C17" s="619">
        <f>IF(G17&lt;&gt;0,1,)</f>
        <v>0</v>
      </c>
      <c r="D17" s="622"/>
      <c r="E17" s="623" t="s">
        <v>1637</v>
      </c>
      <c r="F17" s="622" t="s">
        <v>1633</v>
      </c>
      <c r="G17" s="622">
        <f>U17</f>
        <v>0</v>
      </c>
      <c r="H17" s="623"/>
      <c r="I17" s="623"/>
      <c r="J17" s="623"/>
      <c r="K17" s="623"/>
      <c r="L17" s="623"/>
      <c r="M17" s="623"/>
      <c r="N17" s="623">
        <f t="shared" ref="N17:S17" si="15">SUM(N19:N22)</f>
        <v>412400</v>
      </c>
      <c r="O17" s="623">
        <f t="shared" si="15"/>
        <v>0</v>
      </c>
      <c r="P17" s="623">
        <f t="shared" si="15"/>
        <v>185609.39200000002</v>
      </c>
      <c r="Q17" s="623">
        <f t="shared" si="15"/>
        <v>0</v>
      </c>
      <c r="R17" s="623">
        <f t="shared" si="15"/>
        <v>7465.5680000000002</v>
      </c>
      <c r="S17" s="623">
        <f t="shared" si="15"/>
        <v>0</v>
      </c>
      <c r="U17" s="623">
        <f>SUM(V17:AB17)</f>
        <v>0</v>
      </c>
      <c r="V17" s="623">
        <f>IFERROR(HLOOKUP($A17,BK3P,V$3,0),)</f>
        <v>0</v>
      </c>
      <c r="W17" s="623">
        <f>IFERROR(HLOOKUP($A17,BK3P,W$3,0),)</f>
        <v>0</v>
      </c>
      <c r="X17" s="623">
        <f>IFERROR(HLOOKUP($A17,BK3P,X$3,0),)</f>
        <v>0</v>
      </c>
      <c r="Y17" s="623">
        <f>IFERROR(HLOOKUP($A17,BK1P,Y$3,0),)</f>
        <v>0</v>
      </c>
      <c r="Z17" s="623">
        <f>IFERROR(HLOOKUP($A17,BK1P,Z$3,0),)</f>
        <v>0</v>
      </c>
      <c r="AA17" s="623">
        <f>IFERROR(HLOOKUP($A17,BK1P,AA$3,0),)</f>
        <v>0</v>
      </c>
      <c r="AB17" s="623">
        <f>IFERROR(HLOOKUP($A17,BKHT,AB$3,0),)</f>
        <v>0</v>
      </c>
      <c r="AD17" s="405">
        <f t="shared" si="5"/>
        <v>0</v>
      </c>
      <c r="AE17" s="525">
        <f t="shared" si="6"/>
        <v>0</v>
      </c>
      <c r="AF17" s="525">
        <f t="shared" si="7"/>
        <v>0</v>
      </c>
      <c r="AG17" s="525">
        <f t="shared" si="7"/>
        <v>0</v>
      </c>
      <c r="AH17" s="525">
        <f t="shared" si="7"/>
        <v>0</v>
      </c>
      <c r="AI17" s="525">
        <f t="shared" si="8"/>
        <v>0</v>
      </c>
      <c r="AJ17" s="525">
        <f t="shared" si="8"/>
        <v>0</v>
      </c>
      <c r="AK17" s="525">
        <f t="shared" si="8"/>
        <v>0</v>
      </c>
      <c r="AL17" s="525">
        <f t="shared" si="9"/>
        <v>0</v>
      </c>
    </row>
    <row r="18" spans="1:38" s="542" customFormat="1">
      <c r="A18" s="624"/>
      <c r="B18" s="624"/>
      <c r="C18" s="625">
        <f>C17</f>
        <v>0</v>
      </c>
      <c r="D18" s="544"/>
      <c r="E18" s="545" t="s">
        <v>1644</v>
      </c>
      <c r="F18" s="544"/>
      <c r="G18" s="545"/>
      <c r="H18" s="545"/>
      <c r="I18" s="545"/>
      <c r="J18" s="545"/>
      <c r="K18" s="545"/>
      <c r="L18" s="545"/>
      <c r="M18" s="545"/>
      <c r="N18" s="545"/>
      <c r="O18" s="545"/>
      <c r="P18" s="545"/>
      <c r="Q18" s="545"/>
      <c r="R18" s="545"/>
      <c r="S18" s="545"/>
      <c r="U18" s="545"/>
      <c r="V18" s="545"/>
      <c r="W18" s="545"/>
      <c r="X18" s="545"/>
      <c r="Y18" s="545"/>
      <c r="Z18" s="545"/>
      <c r="AA18" s="545"/>
      <c r="AB18" s="545"/>
      <c r="AD18" s="405">
        <f t="shared" si="5"/>
        <v>0</v>
      </c>
      <c r="AE18" s="525">
        <f t="shared" si="6"/>
        <v>0</v>
      </c>
      <c r="AF18" s="525">
        <f t="shared" si="7"/>
        <v>0</v>
      </c>
      <c r="AG18" s="525">
        <f t="shared" si="7"/>
        <v>0</v>
      </c>
      <c r="AH18" s="525">
        <f t="shared" si="7"/>
        <v>0</v>
      </c>
      <c r="AI18" s="525">
        <f t="shared" si="8"/>
        <v>0</v>
      </c>
      <c r="AJ18" s="525">
        <f t="shared" si="8"/>
        <v>0</v>
      </c>
      <c r="AK18" s="525">
        <f t="shared" si="8"/>
        <v>0</v>
      </c>
      <c r="AL18" s="525">
        <f t="shared" si="9"/>
        <v>0</v>
      </c>
    </row>
    <row r="19" spans="1:38">
      <c r="A19" s="618"/>
      <c r="B19" s="618" t="s">
        <v>1635</v>
      </c>
      <c r="C19" s="619">
        <f>IF(G19&lt;&gt;0,$C$17,)</f>
        <v>0</v>
      </c>
      <c r="D19" s="523" t="str">
        <f>VLOOKUP(B19,DONGIA,DG!$B$6,0)</f>
        <v>AG.42121</v>
      </c>
      <c r="E19" s="525" t="str">
        <f>VLOOKUP(B19,DONGIA,DG!$C$6,0)</f>
        <v>Đà cản BTCT 1,2m</v>
      </c>
      <c r="F19" s="523" t="str">
        <f>VLOOKUP(B19,DONGIA,DG!$D$6,0)</f>
        <v>cái</v>
      </c>
      <c r="G19" s="525">
        <v>1</v>
      </c>
      <c r="H19" s="525">
        <f>VLOOKUP($B19,DONGIA,DG!$E$6,0)</f>
        <v>320000</v>
      </c>
      <c r="I19" s="525"/>
      <c r="J19" s="525">
        <f>VLOOKUP($B19,DONGIA,DG!$F$6,0)</f>
        <v>52815</v>
      </c>
      <c r="K19" s="525"/>
      <c r="L19" s="525"/>
      <c r="M19" s="525">
        <f>VLOOKUP($B19,DONGIA,DG!$G$6,0)</f>
        <v>0</v>
      </c>
      <c r="N19" s="525">
        <f>$G19*H19</f>
        <v>320000</v>
      </c>
      <c r="O19" s="525">
        <f t="shared" ref="O19:S22" si="16">$G19*I19</f>
        <v>0</v>
      </c>
      <c r="P19" s="525">
        <f t="shared" si="16"/>
        <v>52815</v>
      </c>
      <c r="Q19" s="525">
        <f t="shared" si="16"/>
        <v>0</v>
      </c>
      <c r="R19" s="525">
        <f t="shared" si="16"/>
        <v>0</v>
      </c>
      <c r="S19" s="525">
        <f t="shared" si="16"/>
        <v>0</v>
      </c>
      <c r="U19" s="525">
        <f>U$17*$G19</f>
        <v>0</v>
      </c>
      <c r="V19" s="525">
        <f t="shared" ref="V19:AB19" si="17">V$17*$G19</f>
        <v>0</v>
      </c>
      <c r="W19" s="525">
        <f t="shared" si="17"/>
        <v>0</v>
      </c>
      <c r="X19" s="525">
        <f t="shared" si="17"/>
        <v>0</v>
      </c>
      <c r="Y19" s="525">
        <f t="shared" si="17"/>
        <v>0</v>
      </c>
      <c r="Z19" s="525">
        <f t="shared" si="17"/>
        <v>0</v>
      </c>
      <c r="AA19" s="525">
        <f t="shared" si="17"/>
        <v>0</v>
      </c>
      <c r="AB19" s="525">
        <f t="shared" si="17"/>
        <v>0</v>
      </c>
      <c r="AD19" s="405">
        <f t="shared" si="5"/>
        <v>80</v>
      </c>
      <c r="AE19" s="525">
        <f t="shared" si="6"/>
        <v>0</v>
      </c>
      <c r="AF19" s="525">
        <f t="shared" si="7"/>
        <v>0</v>
      </c>
      <c r="AG19" s="525">
        <f t="shared" si="7"/>
        <v>0</v>
      </c>
      <c r="AH19" s="525">
        <f t="shared" si="7"/>
        <v>0</v>
      </c>
      <c r="AI19" s="525">
        <f t="shared" si="8"/>
        <v>0</v>
      </c>
      <c r="AJ19" s="525">
        <f t="shared" si="8"/>
        <v>0</v>
      </c>
      <c r="AK19" s="525">
        <f t="shared" si="8"/>
        <v>0</v>
      </c>
      <c r="AL19" s="525">
        <f t="shared" si="9"/>
        <v>0</v>
      </c>
    </row>
    <row r="20" spans="1:38">
      <c r="A20" s="618"/>
      <c r="B20" s="618" t="s">
        <v>1645</v>
      </c>
      <c r="C20" s="619">
        <f>IF(G20&lt;&gt;0,$C$17,)</f>
        <v>0</v>
      </c>
      <c r="D20" s="523">
        <f>VLOOKUP(B20,DONGIA,DG!$B$6,0)</f>
        <v>0</v>
      </c>
      <c r="E20" s="525" t="str">
        <f>VLOOKUP(B20,DONGIA,DG!$C$6,0)</f>
        <v>Boulon 22x550VRS + 2 long đền vuông D24-60x60x6/Zn</v>
      </c>
      <c r="F20" s="523" t="str">
        <f>VLOOKUP(B20,DONGIA,DG!$D$6,0)</f>
        <v>bộ</v>
      </c>
      <c r="G20" s="525">
        <v>1</v>
      </c>
      <c r="H20" s="525">
        <f>VLOOKUP($B20,DONGIA,DG!$E$6,0)</f>
        <v>92400</v>
      </c>
      <c r="I20" s="525"/>
      <c r="J20" s="525"/>
      <c r="K20" s="525">
        <f>VLOOKUP($B20,DONGIA,DG!$F$6,0)</f>
        <v>0</v>
      </c>
      <c r="L20" s="525"/>
      <c r="M20" s="525">
        <f>VLOOKUP($B20,DONGIA,DG!$G$6,0)</f>
        <v>0</v>
      </c>
      <c r="N20" s="525">
        <f>$G20*H20</f>
        <v>92400</v>
      </c>
      <c r="O20" s="525">
        <f t="shared" si="16"/>
        <v>0</v>
      </c>
      <c r="P20" s="525">
        <f t="shared" si="16"/>
        <v>0</v>
      </c>
      <c r="Q20" s="525">
        <f t="shared" si="16"/>
        <v>0</v>
      </c>
      <c r="R20" s="525">
        <f t="shared" si="16"/>
        <v>0</v>
      </c>
      <c r="S20" s="525">
        <f t="shared" si="16"/>
        <v>0</v>
      </c>
      <c r="U20" s="525">
        <f t="shared" ref="U20:AB22" si="18">U$17*$G20</f>
        <v>0</v>
      </c>
      <c r="V20" s="525">
        <f t="shared" si="18"/>
        <v>0</v>
      </c>
      <c r="W20" s="525">
        <f t="shared" si="18"/>
        <v>0</v>
      </c>
      <c r="X20" s="525">
        <f t="shared" si="18"/>
        <v>0</v>
      </c>
      <c r="Y20" s="525">
        <f t="shared" si="18"/>
        <v>0</v>
      </c>
      <c r="Z20" s="525">
        <f t="shared" si="18"/>
        <v>0</v>
      </c>
      <c r="AA20" s="525">
        <f t="shared" si="18"/>
        <v>0</v>
      </c>
      <c r="AB20" s="525">
        <f t="shared" si="18"/>
        <v>0</v>
      </c>
      <c r="AD20" s="405">
        <f t="shared" si="5"/>
        <v>0.55000000000000004</v>
      </c>
      <c r="AE20" s="525">
        <f t="shared" si="6"/>
        <v>0</v>
      </c>
      <c r="AF20" s="525">
        <f t="shared" si="7"/>
        <v>0</v>
      </c>
      <c r="AG20" s="525">
        <f t="shared" si="7"/>
        <v>0</v>
      </c>
      <c r="AH20" s="525">
        <f t="shared" si="7"/>
        <v>0</v>
      </c>
      <c r="AI20" s="525">
        <f t="shared" si="8"/>
        <v>0</v>
      </c>
      <c r="AJ20" s="525">
        <f t="shared" si="8"/>
        <v>0</v>
      </c>
      <c r="AK20" s="525">
        <f t="shared" si="8"/>
        <v>0</v>
      </c>
      <c r="AL20" s="525">
        <f t="shared" si="9"/>
        <v>0</v>
      </c>
    </row>
    <row r="21" spans="1:38">
      <c r="A21" s="618"/>
      <c r="B21" s="618" t="s">
        <v>3348</v>
      </c>
      <c r="C21" s="619">
        <f>IF(G21&lt;&gt;0,$C$17,)</f>
        <v>0</v>
      </c>
      <c r="D21" s="523" t="str">
        <f>VLOOKUP(B21,DONGIA,DG!$B$6,0)</f>
        <v>AB.11363</v>
      </c>
      <c r="E21" s="525" t="str">
        <f>VLOOKUP(B21,DONGIA,DG!$C$6,0)</f>
        <v>Đào hố móng đà cản đất cấp 3</v>
      </c>
      <c r="F21" s="523" t="str">
        <f>VLOOKUP(B21,DONGIA,DG!$D$6,0)</f>
        <v>m3</v>
      </c>
      <c r="G21" s="626">
        <v>0.66800000000000004</v>
      </c>
      <c r="H21" s="525"/>
      <c r="I21" s="525"/>
      <c r="J21" s="525">
        <f>VLOOKUP($B21,DONGIA,DG!$F$6,0)</f>
        <v>182527</v>
      </c>
      <c r="K21" s="525"/>
      <c r="L21" s="525">
        <f>VLOOKUP($B21,DONGIA,DG!$G$6,0)</f>
        <v>0</v>
      </c>
      <c r="M21" s="525"/>
      <c r="N21" s="525">
        <f>$G21*H21</f>
        <v>0</v>
      </c>
      <c r="O21" s="525">
        <f t="shared" si="16"/>
        <v>0</v>
      </c>
      <c r="P21" s="525">
        <f t="shared" si="16"/>
        <v>121928.03600000001</v>
      </c>
      <c r="Q21" s="525">
        <f t="shared" si="16"/>
        <v>0</v>
      </c>
      <c r="R21" s="525">
        <f t="shared" si="16"/>
        <v>0</v>
      </c>
      <c r="S21" s="525">
        <f t="shared" si="16"/>
        <v>0</v>
      </c>
      <c r="U21" s="525">
        <f t="shared" si="18"/>
        <v>0</v>
      </c>
      <c r="V21" s="525">
        <f t="shared" si="18"/>
        <v>0</v>
      </c>
      <c r="W21" s="525">
        <f t="shared" si="18"/>
        <v>0</v>
      </c>
      <c r="X21" s="525">
        <f t="shared" si="18"/>
        <v>0</v>
      </c>
      <c r="Y21" s="525">
        <f t="shared" si="18"/>
        <v>0</v>
      </c>
      <c r="Z21" s="525">
        <f t="shared" si="18"/>
        <v>0</v>
      </c>
      <c r="AA21" s="525">
        <f t="shared" si="18"/>
        <v>0</v>
      </c>
      <c r="AB21" s="525">
        <f t="shared" si="18"/>
        <v>0</v>
      </c>
      <c r="AD21" s="405">
        <f t="shared" si="5"/>
        <v>0</v>
      </c>
      <c r="AE21" s="525">
        <f t="shared" si="6"/>
        <v>0</v>
      </c>
      <c r="AF21" s="525">
        <f t="shared" si="7"/>
        <v>0</v>
      </c>
      <c r="AG21" s="525">
        <f t="shared" si="7"/>
        <v>0</v>
      </c>
      <c r="AH21" s="525">
        <f t="shared" si="7"/>
        <v>0</v>
      </c>
      <c r="AI21" s="525">
        <f t="shared" si="8"/>
        <v>0</v>
      </c>
      <c r="AJ21" s="525">
        <f t="shared" si="8"/>
        <v>0</v>
      </c>
      <c r="AK21" s="525">
        <f t="shared" si="8"/>
        <v>0</v>
      </c>
      <c r="AL21" s="525">
        <f t="shared" si="9"/>
        <v>0</v>
      </c>
    </row>
    <row r="22" spans="1:38">
      <c r="A22" s="618"/>
      <c r="B22" s="618" t="s">
        <v>510</v>
      </c>
      <c r="C22" s="619">
        <f>IF(G22&lt;&gt;0,$C$17,)</f>
        <v>0</v>
      </c>
      <c r="D22" s="523" t="str">
        <f>VLOOKUP(B22,DONGIA,DG!$B$6,0)</f>
        <v>AB.65110</v>
      </c>
      <c r="E22" s="525" t="str">
        <f>VLOOKUP(B22,DONGIA,DG!$C$6,0)</f>
        <v>Đắp đất hố móng (K=0,85)</v>
      </c>
      <c r="F22" s="523" t="str">
        <f>VLOOKUP(B22,DONGIA,DG!$D$6,0)</f>
        <v>m3</v>
      </c>
      <c r="G22" s="626">
        <f>G21</f>
        <v>0.66800000000000004</v>
      </c>
      <c r="H22" s="525"/>
      <c r="I22" s="525"/>
      <c r="J22" s="525">
        <f>VLOOKUP($B22,DONGIA,DG!$F$6,0)</f>
        <v>16267</v>
      </c>
      <c r="K22" s="525"/>
      <c r="L22" s="525">
        <f>VLOOKUP($B22,DONGIA,DG!$G$6,0)</f>
        <v>11176</v>
      </c>
      <c r="M22" s="525"/>
      <c r="N22" s="525">
        <f>$G22*H22</f>
        <v>0</v>
      </c>
      <c r="O22" s="525">
        <f t="shared" si="16"/>
        <v>0</v>
      </c>
      <c r="P22" s="525">
        <f t="shared" si="16"/>
        <v>10866.356</v>
      </c>
      <c r="Q22" s="525">
        <f t="shared" si="16"/>
        <v>0</v>
      </c>
      <c r="R22" s="525">
        <f t="shared" si="16"/>
        <v>7465.5680000000002</v>
      </c>
      <c r="S22" s="525">
        <f t="shared" si="16"/>
        <v>0</v>
      </c>
      <c r="U22" s="525">
        <f t="shared" si="18"/>
        <v>0</v>
      </c>
      <c r="V22" s="525">
        <f t="shared" si="18"/>
        <v>0</v>
      </c>
      <c r="W22" s="525">
        <f t="shared" si="18"/>
        <v>0</v>
      </c>
      <c r="X22" s="525">
        <f t="shared" si="18"/>
        <v>0</v>
      </c>
      <c r="Y22" s="525">
        <f t="shared" si="18"/>
        <v>0</v>
      </c>
      <c r="Z22" s="525">
        <f t="shared" si="18"/>
        <v>0</v>
      </c>
      <c r="AA22" s="525">
        <f t="shared" si="18"/>
        <v>0</v>
      </c>
      <c r="AB22" s="525">
        <f t="shared" si="18"/>
        <v>0</v>
      </c>
      <c r="AD22" s="405">
        <f t="shared" si="5"/>
        <v>0</v>
      </c>
      <c r="AE22" s="525">
        <f t="shared" si="6"/>
        <v>0</v>
      </c>
      <c r="AF22" s="525">
        <f t="shared" si="7"/>
        <v>0</v>
      </c>
      <c r="AG22" s="525">
        <f t="shared" si="7"/>
        <v>0</v>
      </c>
      <c r="AH22" s="525">
        <f t="shared" si="7"/>
        <v>0</v>
      </c>
      <c r="AI22" s="525">
        <f t="shared" si="8"/>
        <v>0</v>
      </c>
      <c r="AJ22" s="525">
        <f t="shared" si="8"/>
        <v>0</v>
      </c>
      <c r="AK22" s="525">
        <f t="shared" si="8"/>
        <v>0</v>
      </c>
      <c r="AL22" s="525">
        <f t="shared" si="9"/>
        <v>0</v>
      </c>
    </row>
    <row r="23" spans="1:38">
      <c r="A23" s="618" t="s">
        <v>1607</v>
      </c>
      <c r="B23" s="618"/>
      <c r="C23" s="619">
        <f>IF(G23&lt;&gt;0,1,)</f>
        <v>0</v>
      </c>
      <c r="D23" s="622"/>
      <c r="E23" s="733" t="s">
        <v>1638</v>
      </c>
      <c r="F23" s="622" t="s">
        <v>1633</v>
      </c>
      <c r="G23" s="622">
        <f>U23</f>
        <v>0</v>
      </c>
      <c r="H23" s="623"/>
      <c r="I23" s="623"/>
      <c r="J23" s="623"/>
      <c r="K23" s="623"/>
      <c r="L23" s="623"/>
      <c r="M23" s="623"/>
      <c r="N23" s="623">
        <f t="shared" ref="N23:S23" si="19">SUM(N25:N35)</f>
        <v>87700</v>
      </c>
      <c r="O23" s="623">
        <f t="shared" si="19"/>
        <v>282954</v>
      </c>
      <c r="P23" s="623">
        <f t="shared" si="19"/>
        <v>351312.24300000002</v>
      </c>
      <c r="Q23" s="623">
        <f t="shared" si="19"/>
        <v>0</v>
      </c>
      <c r="R23" s="623">
        <f t="shared" si="19"/>
        <v>13577.957999999999</v>
      </c>
      <c r="S23" s="623">
        <f t="shared" si="19"/>
        <v>0</v>
      </c>
      <c r="U23" s="623">
        <f>SUM(V23:AB23)</f>
        <v>0</v>
      </c>
      <c r="V23" s="623">
        <f>IFERROR(HLOOKUP($A23,BK3P,V$3,0),)</f>
        <v>0</v>
      </c>
      <c r="W23" s="623">
        <f>IFERROR(HLOOKUP($A23,BK3P,W$3,0),)</f>
        <v>0</v>
      </c>
      <c r="X23" s="623">
        <f>IFERROR(HLOOKUP($A23,BK3P,X$3,0),)</f>
        <v>0</v>
      </c>
      <c r="Y23" s="623">
        <f>IFERROR(HLOOKUP($A23,BK1P,Y$3,0),)</f>
        <v>0</v>
      </c>
      <c r="Z23" s="623">
        <f>IFERROR(HLOOKUP($A23,BK1P,Z$3,0),)</f>
        <v>0</v>
      </c>
      <c r="AA23" s="623">
        <f>IFERROR(HLOOKUP($A23,BK1P,AA$3,0),)</f>
        <v>0</v>
      </c>
      <c r="AB23" s="623">
        <f>IFERROR(HLOOKUP($A23,BKHT,AB$3,0),)</f>
        <v>0</v>
      </c>
      <c r="AD23" s="405">
        <f t="shared" si="5"/>
        <v>0</v>
      </c>
      <c r="AE23" s="525">
        <f t="shared" si="6"/>
        <v>0</v>
      </c>
      <c r="AF23" s="525">
        <f t="shared" si="7"/>
        <v>0</v>
      </c>
      <c r="AG23" s="525">
        <f t="shared" si="7"/>
        <v>0</v>
      </c>
      <c r="AH23" s="525">
        <f t="shared" si="7"/>
        <v>0</v>
      </c>
      <c r="AI23" s="525">
        <f t="shared" si="8"/>
        <v>0</v>
      </c>
      <c r="AJ23" s="525">
        <f t="shared" si="8"/>
        <v>0</v>
      </c>
      <c r="AK23" s="525">
        <f t="shared" si="8"/>
        <v>0</v>
      </c>
      <c r="AL23" s="525">
        <f t="shared" si="9"/>
        <v>0</v>
      </c>
    </row>
    <row r="24" spans="1:38" s="542" customFormat="1">
      <c r="A24" s="624"/>
      <c r="B24" s="624"/>
      <c r="C24" s="625">
        <f>C23</f>
        <v>0</v>
      </c>
      <c r="D24" s="544"/>
      <c r="E24" s="734" t="s">
        <v>1644</v>
      </c>
      <c r="F24" s="544"/>
      <c r="G24" s="545"/>
      <c r="H24" s="628"/>
      <c r="I24" s="545"/>
      <c r="J24" s="545"/>
      <c r="K24" s="545"/>
      <c r="L24" s="545"/>
      <c r="M24" s="545"/>
      <c r="N24" s="545"/>
      <c r="O24" s="545"/>
      <c r="P24" s="545"/>
      <c r="Q24" s="545"/>
      <c r="R24" s="545"/>
      <c r="S24" s="545"/>
      <c r="U24" s="545"/>
      <c r="V24" s="545"/>
      <c r="W24" s="545"/>
      <c r="X24" s="545"/>
      <c r="Y24" s="545"/>
      <c r="Z24" s="545"/>
      <c r="AA24" s="545"/>
      <c r="AB24" s="545"/>
      <c r="AD24" s="405">
        <f t="shared" si="5"/>
        <v>0</v>
      </c>
      <c r="AE24" s="525">
        <f t="shared" si="6"/>
        <v>0</v>
      </c>
      <c r="AF24" s="525">
        <f t="shared" si="7"/>
        <v>0</v>
      </c>
      <c r="AG24" s="525">
        <f t="shared" si="7"/>
        <v>0</v>
      </c>
      <c r="AH24" s="525">
        <f t="shared" si="7"/>
        <v>0</v>
      </c>
      <c r="AI24" s="525">
        <f t="shared" si="8"/>
        <v>0</v>
      </c>
      <c r="AJ24" s="525">
        <f t="shared" si="8"/>
        <v>0</v>
      </c>
      <c r="AK24" s="525">
        <f t="shared" si="8"/>
        <v>0</v>
      </c>
      <c r="AL24" s="525">
        <f t="shared" si="9"/>
        <v>0</v>
      </c>
    </row>
    <row r="25" spans="1:38">
      <c r="A25" s="618"/>
      <c r="B25" s="618" t="s">
        <v>1639</v>
      </c>
      <c r="C25" s="619">
        <f>IF(G25&lt;&gt;0,$C$23,)</f>
        <v>0</v>
      </c>
      <c r="D25" s="523">
        <f>VLOOKUP(B25,DONGIA,DG!$B$6,0)</f>
        <v>0</v>
      </c>
      <c r="E25" s="666" t="str">
        <f>VLOOKUP(B25,DONGIA,DG!$C$6,0)</f>
        <v>Xi măng</v>
      </c>
      <c r="F25" s="523" t="str">
        <f>VLOOKUP(B25,DONGIA,DG!$D$6,0)</f>
        <v>kg</v>
      </c>
      <c r="G25" s="483">
        <f>ROUND(G35*281,1)</f>
        <v>82.6</v>
      </c>
      <c r="H25" s="525"/>
      <c r="I25" s="525">
        <f>VLOOKUP($B25,DONGIA,DG!$E$6,0)</f>
        <v>1760</v>
      </c>
      <c r="J25" s="525">
        <f>VLOOKUP($B25,DONGIA,DG!$F$6,0)</f>
        <v>0</v>
      </c>
      <c r="K25" s="525"/>
      <c r="L25" s="525">
        <f>VLOOKUP($B25,DONGIA,DG!$G$6,0)</f>
        <v>0</v>
      </c>
      <c r="M25" s="525"/>
      <c r="N25" s="525">
        <f>$G25*H25</f>
        <v>0</v>
      </c>
      <c r="O25" s="525">
        <f t="shared" ref="O25:S35" si="20">$G25*I25</f>
        <v>145376</v>
      </c>
      <c r="P25" s="525">
        <f t="shared" si="20"/>
        <v>0</v>
      </c>
      <c r="Q25" s="525">
        <f t="shared" si="20"/>
        <v>0</v>
      </c>
      <c r="R25" s="525">
        <f t="shared" si="20"/>
        <v>0</v>
      </c>
      <c r="S25" s="525">
        <f t="shared" si="20"/>
        <v>0</v>
      </c>
      <c r="U25" s="525">
        <f>U$23*$G25</f>
        <v>0</v>
      </c>
      <c r="V25" s="525">
        <f t="shared" ref="V25:AB25" si="21">V$23*$G25</f>
        <v>0</v>
      </c>
      <c r="W25" s="525">
        <f t="shared" si="21"/>
        <v>0</v>
      </c>
      <c r="X25" s="525">
        <f t="shared" si="21"/>
        <v>0</v>
      </c>
      <c r="Y25" s="525">
        <f t="shared" si="21"/>
        <v>0</v>
      </c>
      <c r="Z25" s="525">
        <f t="shared" si="21"/>
        <v>0</v>
      </c>
      <c r="AA25" s="525">
        <f t="shared" si="21"/>
        <v>0</v>
      </c>
      <c r="AB25" s="525">
        <f t="shared" si="21"/>
        <v>0</v>
      </c>
      <c r="AD25" s="405">
        <f t="shared" si="5"/>
        <v>1</v>
      </c>
      <c r="AE25" s="525">
        <f t="shared" si="6"/>
        <v>0</v>
      </c>
      <c r="AF25" s="525">
        <f t="shared" si="7"/>
        <v>0</v>
      </c>
      <c r="AG25" s="525">
        <f t="shared" si="7"/>
        <v>0</v>
      </c>
      <c r="AH25" s="525">
        <f t="shared" si="7"/>
        <v>0</v>
      </c>
      <c r="AI25" s="525">
        <f t="shared" si="8"/>
        <v>0</v>
      </c>
      <c r="AJ25" s="525">
        <f t="shared" si="8"/>
        <v>0</v>
      </c>
      <c r="AK25" s="525">
        <f t="shared" si="8"/>
        <v>0</v>
      </c>
      <c r="AL25" s="525">
        <f t="shared" si="9"/>
        <v>0</v>
      </c>
    </row>
    <row r="26" spans="1:38">
      <c r="A26" s="618"/>
      <c r="B26" s="618" t="s">
        <v>471</v>
      </c>
      <c r="C26" s="619">
        <f t="shared" ref="C26:C33" si="22">IF(G26&lt;&gt;0,$C$23,)</f>
        <v>0</v>
      </c>
      <c r="D26" s="523">
        <f>VLOOKUP(B26,DONGIA,DG!$B$6,0)</f>
        <v>0</v>
      </c>
      <c r="E26" s="666" t="str">
        <f>VLOOKUP(B26,DONGIA,DG!$C$6,0)</f>
        <v>Cát vàng</v>
      </c>
      <c r="F26" s="523" t="str">
        <f>VLOOKUP(B26,DONGIA,DG!$D$6,0)</f>
        <v>m3</v>
      </c>
      <c r="G26" s="53">
        <f>ROUND(G35*0.477,3)</f>
        <v>0.14000000000000001</v>
      </c>
      <c r="H26" s="525"/>
      <c r="I26" s="525">
        <f>VLOOKUP($B26,DONGIA,DG!$E$6,0)</f>
        <v>350000</v>
      </c>
      <c r="J26" s="525">
        <f>VLOOKUP($B26,DONGIA,DG!$F$6,0)</f>
        <v>0</v>
      </c>
      <c r="K26" s="525"/>
      <c r="L26" s="525">
        <f>VLOOKUP($B26,DONGIA,DG!$G$6,0)</f>
        <v>0</v>
      </c>
      <c r="M26" s="525"/>
      <c r="N26" s="525">
        <f t="shared" ref="N26:N35" si="23">$G26*H26</f>
        <v>0</v>
      </c>
      <c r="O26" s="525">
        <f t="shared" si="20"/>
        <v>49000.000000000007</v>
      </c>
      <c r="P26" s="525">
        <f t="shared" si="20"/>
        <v>0</v>
      </c>
      <c r="Q26" s="525">
        <f t="shared" si="20"/>
        <v>0</v>
      </c>
      <c r="R26" s="525">
        <f t="shared" si="20"/>
        <v>0</v>
      </c>
      <c r="S26" s="525">
        <f t="shared" si="20"/>
        <v>0</v>
      </c>
      <c r="U26" s="525">
        <f t="shared" ref="U26:AB35" si="24">U$23*$G26</f>
        <v>0</v>
      </c>
      <c r="V26" s="525">
        <f t="shared" si="24"/>
        <v>0</v>
      </c>
      <c r="W26" s="525">
        <f t="shared" si="24"/>
        <v>0</v>
      </c>
      <c r="X26" s="525">
        <f t="shared" si="24"/>
        <v>0</v>
      </c>
      <c r="Y26" s="525">
        <f t="shared" si="24"/>
        <v>0</v>
      </c>
      <c r="Z26" s="525">
        <f t="shared" si="24"/>
        <v>0</v>
      </c>
      <c r="AA26" s="525">
        <f t="shared" si="24"/>
        <v>0</v>
      </c>
      <c r="AB26" s="525">
        <f t="shared" si="24"/>
        <v>0</v>
      </c>
      <c r="AD26" s="405">
        <f t="shared" si="5"/>
        <v>1500</v>
      </c>
      <c r="AE26" s="525">
        <f t="shared" si="6"/>
        <v>0</v>
      </c>
      <c r="AF26" s="525">
        <f t="shared" si="7"/>
        <v>0</v>
      </c>
      <c r="AG26" s="525">
        <f t="shared" si="7"/>
        <v>0</v>
      </c>
      <c r="AH26" s="525">
        <f t="shared" si="7"/>
        <v>0</v>
      </c>
      <c r="AI26" s="525">
        <f t="shared" si="8"/>
        <v>0</v>
      </c>
      <c r="AJ26" s="525">
        <f t="shared" si="8"/>
        <v>0</v>
      </c>
      <c r="AK26" s="525">
        <f t="shared" si="8"/>
        <v>0</v>
      </c>
      <c r="AL26" s="525">
        <f t="shared" si="9"/>
        <v>0</v>
      </c>
    </row>
    <row r="27" spans="1:38">
      <c r="A27" s="618" t="s">
        <v>85</v>
      </c>
      <c r="B27" s="618" t="s">
        <v>1640</v>
      </c>
      <c r="C27" s="619">
        <f t="shared" si="22"/>
        <v>0</v>
      </c>
      <c r="D27" s="523">
        <f>VLOOKUP(B27,DONGIA,DG!$B$6,0)</f>
        <v>0</v>
      </c>
      <c r="E27" s="666" t="str">
        <f>VLOOKUP(B27,DONGIA,DG!$C$6,0)</f>
        <v>Đá 1x2</v>
      </c>
      <c r="F27" s="523" t="str">
        <f>VLOOKUP(B27,DONGIA,DG!$D$6,0)</f>
        <v>m3</v>
      </c>
      <c r="G27" s="53">
        <f>ROUND(G35*0.882,3)</f>
        <v>0.25900000000000001</v>
      </c>
      <c r="H27" s="525"/>
      <c r="I27" s="525">
        <f>VLOOKUP($B27,DONGIA,DG!$E$6,0)</f>
        <v>342000</v>
      </c>
      <c r="J27" s="525">
        <f>VLOOKUP($B27,DONGIA,DG!$F$6,0)</f>
        <v>0</v>
      </c>
      <c r="K27" s="525"/>
      <c r="L27" s="525">
        <f>VLOOKUP($B27,DONGIA,DG!$G$6,0)</f>
        <v>0</v>
      </c>
      <c r="M27" s="525"/>
      <c r="N27" s="525">
        <f t="shared" si="23"/>
        <v>0</v>
      </c>
      <c r="O27" s="525">
        <f t="shared" si="20"/>
        <v>88578</v>
      </c>
      <c r="P27" s="525">
        <f t="shared" si="20"/>
        <v>0</v>
      </c>
      <c r="Q27" s="525">
        <f t="shared" si="20"/>
        <v>0</v>
      </c>
      <c r="R27" s="525">
        <f t="shared" si="20"/>
        <v>0</v>
      </c>
      <c r="S27" s="525">
        <f t="shared" si="20"/>
        <v>0</v>
      </c>
      <c r="U27" s="525">
        <f t="shared" si="24"/>
        <v>0</v>
      </c>
      <c r="V27" s="525">
        <f t="shared" si="24"/>
        <v>0</v>
      </c>
      <c r="W27" s="525">
        <f t="shared" si="24"/>
        <v>0</v>
      </c>
      <c r="X27" s="525">
        <f t="shared" si="24"/>
        <v>0</v>
      </c>
      <c r="Y27" s="525">
        <f t="shared" si="24"/>
        <v>0</v>
      </c>
      <c r="Z27" s="525">
        <f t="shared" si="24"/>
        <v>0</v>
      </c>
      <c r="AA27" s="525">
        <f t="shared" si="24"/>
        <v>0</v>
      </c>
      <c r="AB27" s="525">
        <f t="shared" si="24"/>
        <v>0</v>
      </c>
      <c r="AD27" s="405">
        <f t="shared" si="5"/>
        <v>1500</v>
      </c>
      <c r="AE27" s="525">
        <f t="shared" si="6"/>
        <v>0</v>
      </c>
      <c r="AF27" s="525">
        <f t="shared" si="7"/>
        <v>0</v>
      </c>
      <c r="AG27" s="525">
        <f t="shared" si="7"/>
        <v>0</v>
      </c>
      <c r="AH27" s="525">
        <f t="shared" si="7"/>
        <v>0</v>
      </c>
      <c r="AI27" s="525">
        <f t="shared" si="8"/>
        <v>0</v>
      </c>
      <c r="AJ27" s="525">
        <f t="shared" si="8"/>
        <v>0</v>
      </c>
      <c r="AK27" s="525">
        <f t="shared" si="8"/>
        <v>0</v>
      </c>
      <c r="AL27" s="525">
        <f t="shared" si="9"/>
        <v>0</v>
      </c>
    </row>
    <row r="28" spans="1:38">
      <c r="A28" s="618"/>
      <c r="B28" s="618" t="s">
        <v>3509</v>
      </c>
      <c r="C28" s="619">
        <f t="shared" si="22"/>
        <v>0</v>
      </c>
      <c r="D28" s="523">
        <f>VLOOKUP(B28,DONGIA,DG!$B$6,0)</f>
        <v>0</v>
      </c>
      <c r="E28" s="666" t="str">
        <f>VLOOKUP(B28,DONGIA,DG!$C$6,0)</f>
        <v>Đinh: 15kg/100m2 ván khuôn</v>
      </c>
      <c r="F28" s="523" t="str">
        <f>VLOOKUP(B28,DONGIA,DG!$D$6,0)</f>
        <v>kg</v>
      </c>
      <c r="G28" s="53">
        <f>ROUND(G32*15/100,2)</f>
        <v>0.24</v>
      </c>
      <c r="H28" s="525">
        <f>VLOOKUP($B28,DONGIA,DG!$E$6,0)</f>
        <v>25000</v>
      </c>
      <c r="I28" s="525"/>
      <c r="J28" s="525"/>
      <c r="K28" s="525">
        <f>VLOOKUP($B28,DONGIA,DG!$F$6,0)</f>
        <v>0</v>
      </c>
      <c r="L28" s="525"/>
      <c r="M28" s="525">
        <f>VLOOKUP($B28,DONGIA,DG!$G$6,0)</f>
        <v>0</v>
      </c>
      <c r="N28" s="525">
        <f t="shared" si="23"/>
        <v>6000</v>
      </c>
      <c r="O28" s="525">
        <f t="shared" si="20"/>
        <v>0</v>
      </c>
      <c r="P28" s="525">
        <f t="shared" si="20"/>
        <v>0</v>
      </c>
      <c r="Q28" s="525">
        <f t="shared" si="20"/>
        <v>0</v>
      </c>
      <c r="R28" s="525">
        <f t="shared" si="20"/>
        <v>0</v>
      </c>
      <c r="S28" s="525">
        <f t="shared" si="20"/>
        <v>0</v>
      </c>
      <c r="U28" s="404"/>
      <c r="V28" s="404"/>
      <c r="W28" s="404"/>
      <c r="X28" s="404"/>
      <c r="Y28" s="404"/>
      <c r="Z28" s="404"/>
      <c r="AA28" s="404"/>
      <c r="AB28" s="404"/>
      <c r="AE28" s="404"/>
      <c r="AF28" s="404"/>
      <c r="AG28" s="404"/>
      <c r="AH28" s="404"/>
      <c r="AI28" s="404"/>
      <c r="AJ28" s="404"/>
      <c r="AK28" s="404"/>
      <c r="AL28" s="404"/>
    </row>
    <row r="29" spans="1:38">
      <c r="A29" s="618"/>
      <c r="B29" s="618" t="s">
        <v>3505</v>
      </c>
      <c r="C29" s="619">
        <f t="shared" si="22"/>
        <v>0</v>
      </c>
      <c r="D29" s="523">
        <f>VLOOKUP(B29,DONGIA,DG!$B$6,0)</f>
        <v>0</v>
      </c>
      <c r="E29" s="666" t="str">
        <f>VLOOKUP(B29,DONGIA,DG!$C$6,0)</f>
        <v>Gỗ chống: 0,335 m3/100m2 ván khuôn</v>
      </c>
      <c r="F29" s="523" t="str">
        <f>VLOOKUP(B29,DONGIA,DG!$D$6,0)</f>
        <v>m3</v>
      </c>
      <c r="G29" s="738">
        <f>ROUND(G32*0.335/100,4)</f>
        <v>5.4000000000000003E-3</v>
      </c>
      <c r="H29" s="525">
        <f>VLOOKUP($B29,DONGIA,DG!$E$6,0)</f>
        <v>3800000</v>
      </c>
      <c r="I29" s="525"/>
      <c r="J29" s="525"/>
      <c r="K29" s="525">
        <f>VLOOKUP($B29,DONGIA,DG!$F$6,0)</f>
        <v>0</v>
      </c>
      <c r="L29" s="525"/>
      <c r="M29" s="525">
        <f>VLOOKUP($B29,DONGIA,DG!$G$6,0)</f>
        <v>0</v>
      </c>
      <c r="N29" s="525">
        <f t="shared" si="23"/>
        <v>20520</v>
      </c>
      <c r="O29" s="525">
        <f t="shared" si="20"/>
        <v>0</v>
      </c>
      <c r="P29" s="525">
        <f t="shared" si="20"/>
        <v>0</v>
      </c>
      <c r="Q29" s="525">
        <f t="shared" si="20"/>
        <v>0</v>
      </c>
      <c r="R29" s="525">
        <f t="shared" si="20"/>
        <v>0</v>
      </c>
      <c r="S29" s="525">
        <f t="shared" si="20"/>
        <v>0</v>
      </c>
      <c r="U29" s="404"/>
      <c r="V29" s="404"/>
      <c r="W29" s="404"/>
      <c r="X29" s="404"/>
      <c r="Y29" s="404"/>
      <c r="Z29" s="404"/>
      <c r="AA29" s="404"/>
      <c r="AB29" s="404"/>
      <c r="AE29" s="404"/>
      <c r="AF29" s="404"/>
      <c r="AG29" s="404"/>
      <c r="AH29" s="404"/>
      <c r="AI29" s="404"/>
      <c r="AJ29" s="404"/>
      <c r="AK29" s="404"/>
      <c r="AL29" s="404"/>
    </row>
    <row r="30" spans="1:38">
      <c r="A30" s="618"/>
      <c r="B30" s="618" t="s">
        <v>3507</v>
      </c>
      <c r="C30" s="619">
        <f t="shared" si="22"/>
        <v>0</v>
      </c>
      <c r="D30" s="523">
        <f>VLOOKUP(B30,DONGIA,DG!$B$6,0)</f>
        <v>0</v>
      </c>
      <c r="E30" s="666" t="str">
        <f>VLOOKUP(B30,DONGIA,DG!$C$6,0)</f>
        <v>Gỗ đà nẹp: 0,21 m3/100m2 ván khuôn</v>
      </c>
      <c r="F30" s="523" t="str">
        <f>VLOOKUP(B30,DONGIA,DG!$D$6,0)</f>
        <v>m3</v>
      </c>
      <c r="G30" s="738">
        <f>ROUND(G32*0.21/100,4)</f>
        <v>3.3999999999999998E-3</v>
      </c>
      <c r="H30" s="525">
        <f>VLOOKUP($B30,DONGIA,DG!$E$6,0)</f>
        <v>3800000</v>
      </c>
      <c r="I30" s="525"/>
      <c r="J30" s="525"/>
      <c r="K30" s="525">
        <f>VLOOKUP($B30,DONGIA,DG!$F$6,0)</f>
        <v>0</v>
      </c>
      <c r="L30" s="525"/>
      <c r="M30" s="525">
        <f>VLOOKUP($B30,DONGIA,DG!$G$6,0)</f>
        <v>0</v>
      </c>
      <c r="N30" s="525">
        <f t="shared" si="23"/>
        <v>12920</v>
      </c>
      <c r="O30" s="525">
        <f t="shared" si="20"/>
        <v>0</v>
      </c>
      <c r="P30" s="525">
        <f t="shared" si="20"/>
        <v>0</v>
      </c>
      <c r="Q30" s="525">
        <f t="shared" si="20"/>
        <v>0</v>
      </c>
      <c r="R30" s="525">
        <f t="shared" si="20"/>
        <v>0</v>
      </c>
      <c r="S30" s="525">
        <f t="shared" si="20"/>
        <v>0</v>
      </c>
      <c r="U30" s="404"/>
      <c r="V30" s="404"/>
      <c r="W30" s="404"/>
      <c r="X30" s="404"/>
      <c r="Y30" s="404"/>
      <c r="Z30" s="404"/>
      <c r="AA30" s="404"/>
      <c r="AB30" s="404"/>
      <c r="AE30" s="404"/>
      <c r="AF30" s="404"/>
      <c r="AG30" s="404"/>
      <c r="AH30" s="404"/>
      <c r="AI30" s="404"/>
      <c r="AJ30" s="404"/>
      <c r="AK30" s="404"/>
      <c r="AL30" s="404"/>
    </row>
    <row r="31" spans="1:38">
      <c r="A31" s="618"/>
      <c r="B31" s="618" t="s">
        <v>3503</v>
      </c>
      <c r="C31" s="619">
        <f t="shared" si="22"/>
        <v>0</v>
      </c>
      <c r="D31" s="523">
        <f>VLOOKUP(B31,DONGIA,DG!$B$6,0)</f>
        <v>0</v>
      </c>
      <c r="E31" s="666" t="str">
        <f>VLOOKUP(B31,DONGIA,DG!$C$6,0)</f>
        <v>Gỗ ván (cả nẹp): 0,792 m3/100m2 ván khuôn</v>
      </c>
      <c r="F31" s="523" t="str">
        <f>VLOOKUP(B31,DONGIA,DG!$D$6,0)</f>
        <v>m3</v>
      </c>
      <c r="G31" s="738">
        <f>ROUND(G32*0.792/100,4)</f>
        <v>1.2699999999999999E-2</v>
      </c>
      <c r="H31" s="525">
        <f>VLOOKUP($B31,DONGIA,DG!$E$6,0)</f>
        <v>3800000</v>
      </c>
      <c r="I31" s="525"/>
      <c r="J31" s="525"/>
      <c r="K31" s="525">
        <f>VLOOKUP($B31,DONGIA,DG!$F$6,0)</f>
        <v>0</v>
      </c>
      <c r="L31" s="525"/>
      <c r="M31" s="525">
        <f>VLOOKUP($B31,DONGIA,DG!$G$6,0)</f>
        <v>0</v>
      </c>
      <c r="N31" s="525">
        <f t="shared" si="23"/>
        <v>48260</v>
      </c>
      <c r="O31" s="525">
        <f t="shared" si="20"/>
        <v>0</v>
      </c>
      <c r="P31" s="525">
        <f t="shared" si="20"/>
        <v>0</v>
      </c>
      <c r="Q31" s="525">
        <f t="shared" si="20"/>
        <v>0</v>
      </c>
      <c r="R31" s="525">
        <f t="shared" si="20"/>
        <v>0</v>
      </c>
      <c r="S31" s="525">
        <f t="shared" si="20"/>
        <v>0</v>
      </c>
      <c r="U31" s="404"/>
      <c r="V31" s="404"/>
      <c r="W31" s="404"/>
      <c r="X31" s="404"/>
      <c r="Y31" s="404"/>
      <c r="Z31" s="404"/>
      <c r="AA31" s="404"/>
      <c r="AB31" s="404"/>
      <c r="AE31" s="404"/>
      <c r="AF31" s="404"/>
      <c r="AG31" s="404"/>
      <c r="AH31" s="404"/>
      <c r="AI31" s="404"/>
      <c r="AJ31" s="404"/>
      <c r="AK31" s="404"/>
      <c r="AL31" s="404"/>
    </row>
    <row r="32" spans="1:38">
      <c r="A32" s="618"/>
      <c r="B32" s="618" t="s">
        <v>3511</v>
      </c>
      <c r="C32" s="619">
        <f t="shared" si="22"/>
        <v>0</v>
      </c>
      <c r="D32" s="523" t="str">
        <f>VLOOKUP(B32,DONGIA,DG!$B$6,0)</f>
        <v>AF.81122</v>
      </c>
      <c r="E32" s="666" t="str">
        <f>VLOOKUP(B32,DONGIA,DG!$C$6,0)</f>
        <v>Lắp ván khuôn gỗ móng - móng vuông, chữ nhật</v>
      </c>
      <c r="F32" s="523" t="str">
        <f>VLOOKUP(B32,DONGIA,DG!$D$6,0)</f>
        <v>m2</v>
      </c>
      <c r="G32" s="53">
        <f>ROUND(0.8*0.5*4,3)</f>
        <v>1.6</v>
      </c>
      <c r="H32" s="525">
        <f>VLOOKUP($B32,DONGIA,DG!$E$6,0)</f>
        <v>0</v>
      </c>
      <c r="I32" s="525"/>
      <c r="J32" s="525">
        <f>VLOOKUP($B32,DONGIA,DG!$F$6,0)</f>
        <v>57946</v>
      </c>
      <c r="K32" s="525"/>
      <c r="L32" s="525"/>
      <c r="M32" s="525">
        <f>VLOOKUP($B32,DONGIA,DG!$G$6,0)</f>
        <v>0</v>
      </c>
      <c r="N32" s="525">
        <f t="shared" si="23"/>
        <v>0</v>
      </c>
      <c r="O32" s="525">
        <f t="shared" si="20"/>
        <v>0</v>
      </c>
      <c r="P32" s="525">
        <f t="shared" si="20"/>
        <v>92713.600000000006</v>
      </c>
      <c r="Q32" s="525">
        <f t="shared" si="20"/>
        <v>0</v>
      </c>
      <c r="R32" s="525">
        <f t="shared" si="20"/>
        <v>0</v>
      </c>
      <c r="S32" s="525">
        <f t="shared" si="20"/>
        <v>0</v>
      </c>
      <c r="U32" s="404"/>
      <c r="V32" s="404"/>
      <c r="W32" s="404"/>
      <c r="X32" s="404"/>
      <c r="Y32" s="404"/>
      <c r="Z32" s="404"/>
      <c r="AA32" s="404"/>
      <c r="AB32" s="404"/>
      <c r="AE32" s="404"/>
      <c r="AF32" s="404"/>
      <c r="AG32" s="404"/>
      <c r="AH32" s="404"/>
      <c r="AI32" s="404"/>
      <c r="AJ32" s="404"/>
      <c r="AK32" s="404"/>
      <c r="AL32" s="404"/>
    </row>
    <row r="33" spans="1:38">
      <c r="A33" s="618"/>
      <c r="B33" s="618" t="s">
        <v>499</v>
      </c>
      <c r="C33" s="619">
        <f t="shared" si="22"/>
        <v>0</v>
      </c>
      <c r="D33" s="523" t="str">
        <f>VLOOKUP(B33,DONGIA,DG!$B$6,0)</f>
        <v>AB.11423</v>
      </c>
      <c r="E33" s="666" t="str">
        <f>VLOOKUP(B33,DONGIA,DG!$C$6,0)</f>
        <v>Đào hố móng đất cấp 3 sâu &gt;1m (rộng ≤1m)</v>
      </c>
      <c r="F33" s="523" t="str">
        <f>VLOOKUP(B33,DONGIA,DG!$D$6,0)</f>
        <v>m3</v>
      </c>
      <c r="G33" s="53">
        <v>0.41</v>
      </c>
      <c r="H33" s="525"/>
      <c r="I33" s="525"/>
      <c r="J33" s="525">
        <f>VLOOKUP($B33,DONGIA,DG!$F$6,0)</f>
        <v>418738</v>
      </c>
      <c r="K33" s="525"/>
      <c r="L33" s="525">
        <f>VLOOKUP($B33,DONGIA,DG!$G$6,0)</f>
        <v>0</v>
      </c>
      <c r="M33" s="525"/>
      <c r="N33" s="525">
        <f t="shared" si="23"/>
        <v>0</v>
      </c>
      <c r="O33" s="525">
        <f t="shared" si="20"/>
        <v>0</v>
      </c>
      <c r="P33" s="525">
        <f t="shared" si="20"/>
        <v>171682.58</v>
      </c>
      <c r="Q33" s="525">
        <f t="shared" si="20"/>
        <v>0</v>
      </c>
      <c r="R33" s="525">
        <f t="shared" si="20"/>
        <v>0</v>
      </c>
      <c r="S33" s="525">
        <f t="shared" si="20"/>
        <v>0</v>
      </c>
      <c r="U33" s="525">
        <f t="shared" si="24"/>
        <v>0</v>
      </c>
      <c r="V33" s="525">
        <f t="shared" si="24"/>
        <v>0</v>
      </c>
      <c r="W33" s="525">
        <f t="shared" si="24"/>
        <v>0</v>
      </c>
      <c r="X33" s="525">
        <f t="shared" si="24"/>
        <v>0</v>
      </c>
      <c r="Y33" s="525">
        <f t="shared" si="24"/>
        <v>0</v>
      </c>
      <c r="Z33" s="525">
        <f t="shared" si="24"/>
        <v>0</v>
      </c>
      <c r="AA33" s="525">
        <f t="shared" si="24"/>
        <v>0</v>
      </c>
      <c r="AB33" s="525">
        <f t="shared" si="24"/>
        <v>0</v>
      </c>
      <c r="AD33" s="405">
        <f t="shared" si="5"/>
        <v>0</v>
      </c>
      <c r="AE33" s="525">
        <f t="shared" si="6"/>
        <v>0</v>
      </c>
      <c r="AF33" s="525">
        <f t="shared" si="7"/>
        <v>0</v>
      </c>
      <c r="AG33" s="525">
        <f t="shared" si="7"/>
        <v>0</v>
      </c>
      <c r="AH33" s="525">
        <f t="shared" si="7"/>
        <v>0</v>
      </c>
      <c r="AI33" s="525">
        <f t="shared" si="8"/>
        <v>0</v>
      </c>
      <c r="AJ33" s="525">
        <f t="shared" si="8"/>
        <v>0</v>
      </c>
      <c r="AK33" s="525">
        <f t="shared" si="8"/>
        <v>0</v>
      </c>
      <c r="AL33" s="525">
        <f t="shared" si="9"/>
        <v>0</v>
      </c>
    </row>
    <row r="34" spans="1:38">
      <c r="A34" s="618"/>
      <c r="B34" s="618" t="s">
        <v>510</v>
      </c>
      <c r="C34" s="619">
        <f>IF(G34&lt;&gt;0,$C$23,)</f>
        <v>0</v>
      </c>
      <c r="D34" s="523" t="str">
        <f>VLOOKUP(B34,DONGIA,DG!$B$6,0)</f>
        <v>AB.65110</v>
      </c>
      <c r="E34" s="666" t="str">
        <f>VLOOKUP(B34,DONGIA,DG!$C$6,0)</f>
        <v>Đắp đất hố móng (K=0,85)</v>
      </c>
      <c r="F34" s="523" t="str">
        <f>VLOOKUP(B34,DONGIA,DG!$D$6,0)</f>
        <v>m3</v>
      </c>
      <c r="G34" s="53">
        <v>3.9E-2</v>
      </c>
      <c r="H34" s="525"/>
      <c r="I34" s="525"/>
      <c r="J34" s="525">
        <f>VLOOKUP($B34,DONGIA,DG!$F$6,0)</f>
        <v>16267</v>
      </c>
      <c r="K34" s="525"/>
      <c r="L34" s="525">
        <f>VLOOKUP($B34,DONGIA,DG!$G$6,0)</f>
        <v>11176</v>
      </c>
      <c r="M34" s="525"/>
      <c r="N34" s="525">
        <f t="shared" si="23"/>
        <v>0</v>
      </c>
      <c r="O34" s="525">
        <f t="shared" si="20"/>
        <v>0</v>
      </c>
      <c r="P34" s="525">
        <f t="shared" si="20"/>
        <v>634.41300000000001</v>
      </c>
      <c r="Q34" s="525">
        <f t="shared" si="20"/>
        <v>0</v>
      </c>
      <c r="R34" s="525">
        <f t="shared" si="20"/>
        <v>435.86399999999998</v>
      </c>
      <c r="S34" s="525">
        <f t="shared" si="20"/>
        <v>0</v>
      </c>
      <c r="U34" s="525">
        <f t="shared" si="24"/>
        <v>0</v>
      </c>
      <c r="V34" s="525">
        <f t="shared" si="24"/>
        <v>0</v>
      </c>
      <c r="W34" s="525">
        <f t="shared" si="24"/>
        <v>0</v>
      </c>
      <c r="X34" s="525">
        <f t="shared" si="24"/>
        <v>0</v>
      </c>
      <c r="Y34" s="525">
        <f t="shared" si="24"/>
        <v>0</v>
      </c>
      <c r="Z34" s="525">
        <f t="shared" si="24"/>
        <v>0</v>
      </c>
      <c r="AA34" s="525">
        <f t="shared" si="24"/>
        <v>0</v>
      </c>
      <c r="AB34" s="525">
        <f t="shared" si="24"/>
        <v>0</v>
      </c>
      <c r="AD34" s="405">
        <f t="shared" si="5"/>
        <v>0</v>
      </c>
      <c r="AE34" s="525">
        <f t="shared" si="6"/>
        <v>0</v>
      </c>
      <c r="AF34" s="525">
        <f t="shared" si="7"/>
        <v>0</v>
      </c>
      <c r="AG34" s="525">
        <f t="shared" si="7"/>
        <v>0</v>
      </c>
      <c r="AH34" s="525">
        <f t="shared" si="7"/>
        <v>0</v>
      </c>
      <c r="AI34" s="525">
        <f t="shared" si="8"/>
        <v>0</v>
      </c>
      <c r="AJ34" s="525">
        <f t="shared" si="8"/>
        <v>0</v>
      </c>
      <c r="AK34" s="525">
        <f t="shared" si="8"/>
        <v>0</v>
      </c>
      <c r="AL34" s="525">
        <f t="shared" si="9"/>
        <v>0</v>
      </c>
    </row>
    <row r="35" spans="1:38">
      <c r="A35" s="618"/>
      <c r="B35" s="618" t="s">
        <v>713</v>
      </c>
      <c r="C35" s="619">
        <f>IF(G35&lt;&gt;0,$C$23,)</f>
        <v>0</v>
      </c>
      <c r="D35" s="523" t="str">
        <f>VLOOKUP(B35,DONGIA,DG!$B$6,0)</f>
        <v>AF.11210</v>
      </c>
      <c r="E35" s="666" t="str">
        <f>VLOOKUP(B35,DONGIA,DG!$C$6,0)</f>
        <v>Đổ bê tông mác M200 đá 1x2</v>
      </c>
      <c r="F35" s="523" t="str">
        <f>VLOOKUP(B35,DONGIA,DG!$D$6,0)</f>
        <v>m3</v>
      </c>
      <c r="G35" s="53">
        <v>0.29399999999999998</v>
      </c>
      <c r="H35" s="525"/>
      <c r="I35" s="525"/>
      <c r="J35" s="525">
        <f>VLOOKUP($B35,DONGIA,DG!$F$6,0)</f>
        <v>293475</v>
      </c>
      <c r="K35" s="525"/>
      <c r="L35" s="525">
        <f>VLOOKUP($B35,DONGIA,DG!$G$6,0)</f>
        <v>44701</v>
      </c>
      <c r="M35" s="525"/>
      <c r="N35" s="525">
        <f t="shared" si="23"/>
        <v>0</v>
      </c>
      <c r="O35" s="525">
        <f t="shared" si="20"/>
        <v>0</v>
      </c>
      <c r="P35" s="525">
        <f t="shared" si="20"/>
        <v>86281.65</v>
      </c>
      <c r="Q35" s="525">
        <f t="shared" si="20"/>
        <v>0</v>
      </c>
      <c r="R35" s="525">
        <f t="shared" si="20"/>
        <v>13142.093999999999</v>
      </c>
      <c r="S35" s="525">
        <f t="shared" si="20"/>
        <v>0</v>
      </c>
      <c r="U35" s="525">
        <f t="shared" si="24"/>
        <v>0</v>
      </c>
      <c r="V35" s="525">
        <f t="shared" si="24"/>
        <v>0</v>
      </c>
      <c r="W35" s="525">
        <f t="shared" si="24"/>
        <v>0</v>
      </c>
      <c r="X35" s="525">
        <f t="shared" si="24"/>
        <v>0</v>
      </c>
      <c r="Y35" s="525">
        <f t="shared" si="24"/>
        <v>0</v>
      </c>
      <c r="Z35" s="525">
        <f t="shared" si="24"/>
        <v>0</v>
      </c>
      <c r="AA35" s="525">
        <f t="shared" si="24"/>
        <v>0</v>
      </c>
      <c r="AB35" s="525">
        <f t="shared" si="24"/>
        <v>0</v>
      </c>
      <c r="AD35" s="405">
        <f t="shared" si="5"/>
        <v>0</v>
      </c>
      <c r="AE35" s="525">
        <f t="shared" si="6"/>
        <v>0</v>
      </c>
      <c r="AF35" s="525">
        <f t="shared" si="7"/>
        <v>0</v>
      </c>
      <c r="AG35" s="525">
        <f t="shared" si="7"/>
        <v>0</v>
      </c>
      <c r="AH35" s="525">
        <f t="shared" si="7"/>
        <v>0</v>
      </c>
      <c r="AI35" s="525">
        <f t="shared" si="8"/>
        <v>0</v>
      </c>
      <c r="AJ35" s="525">
        <f t="shared" si="8"/>
        <v>0</v>
      </c>
      <c r="AK35" s="525">
        <f t="shared" si="8"/>
        <v>0</v>
      </c>
      <c r="AL35" s="525">
        <f t="shared" si="9"/>
        <v>0</v>
      </c>
    </row>
    <row r="36" spans="1:38">
      <c r="A36" s="618" t="s">
        <v>3428</v>
      </c>
      <c r="B36" s="618"/>
      <c r="C36" s="619">
        <f>IF(G36&lt;&gt;0,1,)</f>
        <v>0</v>
      </c>
      <c r="D36" s="622"/>
      <c r="E36" s="733" t="s">
        <v>3501</v>
      </c>
      <c r="F36" s="622" t="s">
        <v>1633</v>
      </c>
      <c r="G36" s="622">
        <f>U36</f>
        <v>0</v>
      </c>
      <c r="H36" s="623"/>
      <c r="I36" s="623"/>
      <c r="J36" s="623"/>
      <c r="K36" s="623"/>
      <c r="L36" s="623"/>
      <c r="M36" s="623"/>
      <c r="N36" s="623">
        <f t="shared" ref="N36:S36" si="25">SUM(N38:N49)</f>
        <v>108960</v>
      </c>
      <c r="O36" s="623">
        <f t="shared" si="25"/>
        <v>456488</v>
      </c>
      <c r="P36" s="623">
        <f t="shared" si="25"/>
        <v>647551.56900000002</v>
      </c>
      <c r="Q36" s="623">
        <f t="shared" si="25"/>
        <v>0</v>
      </c>
      <c r="R36" s="623">
        <f t="shared" si="25"/>
        <v>463469.32999999996</v>
      </c>
      <c r="S36" s="623">
        <f t="shared" si="25"/>
        <v>0</v>
      </c>
      <c r="U36" s="623">
        <f>SUM(V36:AB36)</f>
        <v>0</v>
      </c>
      <c r="V36" s="623">
        <f>IFERROR(HLOOKUP($A36,BK3P,V$3,0),)</f>
        <v>0</v>
      </c>
      <c r="W36" s="623">
        <f>IFERROR(HLOOKUP($A36,BK3P,W$3,0),)</f>
        <v>0</v>
      </c>
      <c r="X36" s="623">
        <f>IFERROR(HLOOKUP($A36,BK3P,X$3,0),)</f>
        <v>0</v>
      </c>
      <c r="Y36" s="623">
        <f>IFERROR(HLOOKUP($A36,BK1P,Y$3,0),)</f>
        <v>0</v>
      </c>
      <c r="Z36" s="623">
        <f>IFERROR(HLOOKUP($A36,BK1P,Z$3,0),)</f>
        <v>0</v>
      </c>
      <c r="AA36" s="623">
        <f>IFERROR(HLOOKUP($A36,BK1P,AA$3,0),)</f>
        <v>0</v>
      </c>
      <c r="AB36" s="623">
        <f>IFERROR(HLOOKUP($A36,BKHT,AB$3,0),)</f>
        <v>0</v>
      </c>
      <c r="AD36" s="405">
        <f t="shared" si="5"/>
        <v>0</v>
      </c>
      <c r="AE36" s="525">
        <f t="shared" si="6"/>
        <v>0</v>
      </c>
      <c r="AF36" s="525">
        <f t="shared" si="7"/>
        <v>0</v>
      </c>
      <c r="AG36" s="525">
        <f t="shared" si="7"/>
        <v>0</v>
      </c>
      <c r="AH36" s="525">
        <f t="shared" si="7"/>
        <v>0</v>
      </c>
      <c r="AI36" s="525">
        <f t="shared" si="8"/>
        <v>0</v>
      </c>
      <c r="AJ36" s="525">
        <f t="shared" si="8"/>
        <v>0</v>
      </c>
      <c r="AK36" s="525">
        <f t="shared" si="8"/>
        <v>0</v>
      </c>
      <c r="AL36" s="525">
        <f t="shared" si="9"/>
        <v>0</v>
      </c>
    </row>
    <row r="37" spans="1:38" s="542" customFormat="1">
      <c r="A37" s="624"/>
      <c r="B37" s="624"/>
      <c r="C37" s="625">
        <f>C36</f>
        <v>0</v>
      </c>
      <c r="D37" s="544"/>
      <c r="E37" s="734" t="s">
        <v>1644</v>
      </c>
      <c r="F37" s="544"/>
      <c r="G37" s="545"/>
      <c r="H37" s="545"/>
      <c r="I37" s="545"/>
      <c r="J37" s="545"/>
      <c r="K37" s="545"/>
      <c r="L37" s="545"/>
      <c r="M37" s="545"/>
      <c r="N37" s="545"/>
      <c r="O37" s="545"/>
      <c r="P37" s="545"/>
      <c r="Q37" s="545"/>
      <c r="R37" s="545"/>
      <c r="S37" s="545"/>
      <c r="U37" s="545"/>
      <c r="V37" s="545"/>
      <c r="W37" s="545"/>
      <c r="X37" s="545"/>
      <c r="Y37" s="545"/>
      <c r="Z37" s="545"/>
      <c r="AA37" s="545"/>
      <c r="AB37" s="545"/>
      <c r="AD37" s="405">
        <f t="shared" si="5"/>
        <v>0</v>
      </c>
      <c r="AE37" s="525">
        <f t="shared" si="6"/>
        <v>0</v>
      </c>
      <c r="AF37" s="525">
        <f t="shared" si="7"/>
        <v>0</v>
      </c>
      <c r="AG37" s="525">
        <f t="shared" si="7"/>
        <v>0</v>
      </c>
      <c r="AH37" s="525">
        <f t="shared" si="7"/>
        <v>0</v>
      </c>
      <c r="AI37" s="525">
        <f t="shared" si="8"/>
        <v>0</v>
      </c>
      <c r="AJ37" s="525">
        <f t="shared" si="8"/>
        <v>0</v>
      </c>
      <c r="AK37" s="525">
        <f t="shared" si="8"/>
        <v>0</v>
      </c>
      <c r="AL37" s="525">
        <f t="shared" si="9"/>
        <v>0</v>
      </c>
    </row>
    <row r="38" spans="1:38">
      <c r="A38" s="618"/>
      <c r="B38" s="618" t="s">
        <v>1639</v>
      </c>
      <c r="C38" s="619">
        <f>IF(G38&lt;&gt;0,$C$36,)</f>
        <v>0</v>
      </c>
      <c r="D38" s="523">
        <f>VLOOKUP(B38,DONGIA,DG!$B$6,0)</f>
        <v>0</v>
      </c>
      <c r="E38" s="666" t="str">
        <f>VLOOKUP(B38,DONGIA,DG!$C$6,0)</f>
        <v>Xi măng</v>
      </c>
      <c r="F38" s="523" t="str">
        <f>VLOOKUP(B38,DONGIA,DG!$D$6,0)</f>
        <v>kg</v>
      </c>
      <c r="G38" s="457">
        <f>ROUND(G49*281,1)</f>
        <v>133.19999999999999</v>
      </c>
      <c r="H38" s="525"/>
      <c r="I38" s="525">
        <f>VLOOKUP($B38,DONGIA,DG!$E$6,0)</f>
        <v>1760</v>
      </c>
      <c r="J38" s="525">
        <f>VLOOKUP($B38,DONGIA,DG!$F$6,0)</f>
        <v>0</v>
      </c>
      <c r="K38" s="525"/>
      <c r="L38" s="525">
        <f>VLOOKUP($B38,DONGIA,DG!$G$6,0)</f>
        <v>0</v>
      </c>
      <c r="M38" s="525">
        <f>VLOOKUP($B38,DONGIA,DG!$G$6,0)</f>
        <v>0</v>
      </c>
      <c r="N38" s="525">
        <f>$G38*H38</f>
        <v>0</v>
      </c>
      <c r="O38" s="525">
        <f t="shared" ref="O38:O49" si="26">$G38*I38</f>
        <v>234431.99999999997</v>
      </c>
      <c r="P38" s="525">
        <f t="shared" ref="P38:P49" si="27">$G38*J38</f>
        <v>0</v>
      </c>
      <c r="Q38" s="525">
        <f t="shared" ref="Q38:Q49" si="28">$G38*K38</f>
        <v>0</v>
      </c>
      <c r="R38" s="525">
        <f t="shared" ref="R38:R49" si="29">$G38*L38</f>
        <v>0</v>
      </c>
      <c r="S38" s="525">
        <f t="shared" ref="S38:S49" si="30">$G38*M38</f>
        <v>0</v>
      </c>
      <c r="U38" s="525">
        <f>U$164*$G38</f>
        <v>133.19999999999999</v>
      </c>
      <c r="V38" s="525">
        <f t="shared" ref="V38:AB38" si="31">V$164*$G38</f>
        <v>133.19999999999999</v>
      </c>
      <c r="W38" s="525">
        <f t="shared" si="31"/>
        <v>0</v>
      </c>
      <c r="X38" s="525">
        <f t="shared" si="31"/>
        <v>0</v>
      </c>
      <c r="Y38" s="525">
        <f t="shared" si="31"/>
        <v>0</v>
      </c>
      <c r="Z38" s="525">
        <f t="shared" si="31"/>
        <v>0</v>
      </c>
      <c r="AA38" s="525">
        <f t="shared" si="31"/>
        <v>0</v>
      </c>
      <c r="AB38" s="525">
        <f t="shared" si="31"/>
        <v>0</v>
      </c>
      <c r="AD38" s="405">
        <f t="shared" si="5"/>
        <v>1</v>
      </c>
      <c r="AE38" s="525">
        <f t="shared" si="6"/>
        <v>133.19999999999999</v>
      </c>
      <c r="AF38" s="525">
        <f t="shared" si="7"/>
        <v>133.19999999999999</v>
      </c>
      <c r="AG38" s="525">
        <f t="shared" si="7"/>
        <v>0</v>
      </c>
      <c r="AH38" s="525">
        <f t="shared" si="7"/>
        <v>0</v>
      </c>
      <c r="AI38" s="525">
        <f t="shared" si="8"/>
        <v>0</v>
      </c>
      <c r="AJ38" s="525">
        <f t="shared" si="8"/>
        <v>0</v>
      </c>
      <c r="AK38" s="525">
        <f t="shared" si="8"/>
        <v>0</v>
      </c>
      <c r="AL38" s="525">
        <f t="shared" si="9"/>
        <v>0</v>
      </c>
    </row>
    <row r="39" spans="1:38">
      <c r="A39" s="618"/>
      <c r="B39" s="618" t="s">
        <v>471</v>
      </c>
      <c r="C39" s="619">
        <f t="shared" ref="C39:C49" si="32">IF(G39&lt;&gt;0,$C$36,)</f>
        <v>0</v>
      </c>
      <c r="D39" s="523">
        <f>VLOOKUP(B39,DONGIA,DG!$B$6,0)</f>
        <v>0</v>
      </c>
      <c r="E39" s="666" t="str">
        <f>VLOOKUP(B39,DONGIA,DG!$C$6,0)</f>
        <v>Cát vàng</v>
      </c>
      <c r="F39" s="523" t="str">
        <f>VLOOKUP(B39,DONGIA,DG!$D$6,0)</f>
        <v>m3</v>
      </c>
      <c r="G39" s="53">
        <f>ROUND(G49*0.477,3)</f>
        <v>0.22600000000000001</v>
      </c>
      <c r="H39" s="525"/>
      <c r="I39" s="525">
        <f>VLOOKUP($B39,DONGIA,DG!$E$6,0)</f>
        <v>350000</v>
      </c>
      <c r="J39" s="525">
        <f>VLOOKUP($B39,DONGIA,DG!$F$6,0)</f>
        <v>0</v>
      </c>
      <c r="K39" s="525"/>
      <c r="L39" s="525">
        <f>VLOOKUP($B39,DONGIA,DG!$G$6,0)</f>
        <v>0</v>
      </c>
      <c r="M39" s="525"/>
      <c r="N39" s="525">
        <f t="shared" ref="N39:N49" si="33">$G39*H39</f>
        <v>0</v>
      </c>
      <c r="O39" s="525">
        <f t="shared" si="26"/>
        <v>79100</v>
      </c>
      <c r="P39" s="525">
        <f t="shared" si="27"/>
        <v>0</v>
      </c>
      <c r="Q39" s="525">
        <f t="shared" si="28"/>
        <v>0</v>
      </c>
      <c r="R39" s="525">
        <f t="shared" si="29"/>
        <v>0</v>
      </c>
      <c r="S39" s="525">
        <f t="shared" si="30"/>
        <v>0</v>
      </c>
      <c r="U39" s="525">
        <f>U$164*$G39</f>
        <v>0.22600000000000001</v>
      </c>
      <c r="V39" s="525">
        <f t="shared" ref="V39:AB40" si="34">V$164*$G39</f>
        <v>0.22600000000000001</v>
      </c>
      <c r="W39" s="525">
        <f t="shared" si="34"/>
        <v>0</v>
      </c>
      <c r="X39" s="525">
        <f t="shared" si="34"/>
        <v>0</v>
      </c>
      <c r="Y39" s="525">
        <f t="shared" si="34"/>
        <v>0</v>
      </c>
      <c r="Z39" s="525">
        <f t="shared" si="34"/>
        <v>0</v>
      </c>
      <c r="AA39" s="525">
        <f t="shared" si="34"/>
        <v>0</v>
      </c>
      <c r="AB39" s="525">
        <f t="shared" si="34"/>
        <v>0</v>
      </c>
      <c r="AD39" s="405">
        <f t="shared" si="5"/>
        <v>1500</v>
      </c>
      <c r="AE39" s="525">
        <f t="shared" si="6"/>
        <v>339</v>
      </c>
      <c r="AF39" s="525">
        <f t="shared" si="7"/>
        <v>339</v>
      </c>
      <c r="AG39" s="525">
        <f t="shared" si="7"/>
        <v>0</v>
      </c>
      <c r="AH39" s="525">
        <f t="shared" si="7"/>
        <v>0</v>
      </c>
      <c r="AI39" s="525">
        <f t="shared" si="8"/>
        <v>0</v>
      </c>
      <c r="AJ39" s="525">
        <f t="shared" si="8"/>
        <v>0</v>
      </c>
      <c r="AK39" s="525">
        <f t="shared" si="8"/>
        <v>0</v>
      </c>
      <c r="AL39" s="525">
        <f t="shared" si="9"/>
        <v>0</v>
      </c>
    </row>
    <row r="40" spans="1:38">
      <c r="A40" s="618" t="s">
        <v>85</v>
      </c>
      <c r="B40" s="618" t="s">
        <v>1640</v>
      </c>
      <c r="C40" s="619">
        <f t="shared" si="32"/>
        <v>0</v>
      </c>
      <c r="D40" s="523">
        <f>VLOOKUP(B40,DONGIA,DG!$B$6,0)</f>
        <v>0</v>
      </c>
      <c r="E40" s="666" t="str">
        <f>VLOOKUP(B40,DONGIA,DG!$C$6,0)</f>
        <v>Đá 1x2</v>
      </c>
      <c r="F40" s="523" t="str">
        <f>VLOOKUP(B40,DONGIA,DG!$D$6,0)</f>
        <v>m3</v>
      </c>
      <c r="G40" s="53">
        <f>ROUND(G49*0.882,3)</f>
        <v>0.41799999999999998</v>
      </c>
      <c r="H40" s="525"/>
      <c r="I40" s="525">
        <f>VLOOKUP($B40,DONGIA,DG!$E$6,0)</f>
        <v>342000</v>
      </c>
      <c r="J40" s="525">
        <f>VLOOKUP($B40,DONGIA,DG!$F$6,0)</f>
        <v>0</v>
      </c>
      <c r="K40" s="525"/>
      <c r="L40" s="525">
        <f>VLOOKUP($B40,DONGIA,DG!$G$6,0)</f>
        <v>0</v>
      </c>
      <c r="M40" s="525"/>
      <c r="N40" s="525">
        <f t="shared" si="33"/>
        <v>0</v>
      </c>
      <c r="O40" s="525">
        <f t="shared" si="26"/>
        <v>142956</v>
      </c>
      <c r="P40" s="525">
        <f t="shared" si="27"/>
        <v>0</v>
      </c>
      <c r="Q40" s="525">
        <f t="shared" si="28"/>
        <v>0</v>
      </c>
      <c r="R40" s="525">
        <f t="shared" si="29"/>
        <v>0</v>
      </c>
      <c r="S40" s="525">
        <f t="shared" si="30"/>
        <v>0</v>
      </c>
      <c r="U40" s="525">
        <f>U$164*$G40</f>
        <v>0.41799999999999998</v>
      </c>
      <c r="V40" s="525">
        <f t="shared" si="34"/>
        <v>0.41799999999999998</v>
      </c>
      <c r="W40" s="525">
        <f t="shared" si="34"/>
        <v>0</v>
      </c>
      <c r="X40" s="525">
        <f t="shared" si="34"/>
        <v>0</v>
      </c>
      <c r="Y40" s="525">
        <f t="shared" si="34"/>
        <v>0</v>
      </c>
      <c r="Z40" s="525">
        <f t="shared" si="34"/>
        <v>0</v>
      </c>
      <c r="AA40" s="525">
        <f t="shared" si="34"/>
        <v>0</v>
      </c>
      <c r="AB40" s="525">
        <f t="shared" si="34"/>
        <v>0</v>
      </c>
      <c r="AD40" s="405">
        <f t="shared" si="5"/>
        <v>1500</v>
      </c>
      <c r="AE40" s="525">
        <f t="shared" si="6"/>
        <v>627</v>
      </c>
      <c r="AF40" s="525">
        <f t="shared" si="7"/>
        <v>627</v>
      </c>
      <c r="AG40" s="525">
        <f t="shared" si="7"/>
        <v>0</v>
      </c>
      <c r="AH40" s="525">
        <f t="shared" si="7"/>
        <v>0</v>
      </c>
      <c r="AI40" s="525">
        <f t="shared" si="8"/>
        <v>0</v>
      </c>
      <c r="AJ40" s="525">
        <f t="shared" si="8"/>
        <v>0</v>
      </c>
      <c r="AK40" s="525">
        <f t="shared" si="8"/>
        <v>0</v>
      </c>
      <c r="AL40" s="525">
        <f t="shared" si="9"/>
        <v>0</v>
      </c>
    </row>
    <row r="41" spans="1:38">
      <c r="A41" s="618"/>
      <c r="B41" s="618" t="s">
        <v>3509</v>
      </c>
      <c r="C41" s="619">
        <f t="shared" si="32"/>
        <v>0</v>
      </c>
      <c r="D41" s="523">
        <f>VLOOKUP(B41,DONGIA,DG!$B$6,0)</f>
        <v>0</v>
      </c>
      <c r="E41" s="666" t="str">
        <f>VLOOKUP(B41,DONGIA,DG!$C$6,0)</f>
        <v>Đinh: 15kg/100m2 ván khuôn</v>
      </c>
      <c r="F41" s="523" t="str">
        <f>VLOOKUP(B41,DONGIA,DG!$D$6,0)</f>
        <v>kg</v>
      </c>
      <c r="G41" s="53">
        <f>ROUND(G45*15/100,2)</f>
        <v>0.3</v>
      </c>
      <c r="H41" s="525">
        <f>VLOOKUP($B41,DONGIA,DG!$E$6,0)</f>
        <v>25000</v>
      </c>
      <c r="I41" s="525"/>
      <c r="J41" s="525"/>
      <c r="K41" s="525">
        <f>VLOOKUP($B41,DONGIA,DG!$F$6,0)</f>
        <v>0</v>
      </c>
      <c r="L41" s="525"/>
      <c r="M41" s="525">
        <f>VLOOKUP($B41,DONGIA,DG!$G$6,0)</f>
        <v>0</v>
      </c>
      <c r="N41" s="525">
        <f t="shared" si="33"/>
        <v>7500</v>
      </c>
      <c r="O41" s="525">
        <f t="shared" si="26"/>
        <v>0</v>
      </c>
      <c r="P41" s="525">
        <f t="shared" si="27"/>
        <v>0</v>
      </c>
      <c r="Q41" s="525">
        <f t="shared" si="28"/>
        <v>0</v>
      </c>
      <c r="R41" s="525">
        <f t="shared" si="29"/>
        <v>0</v>
      </c>
      <c r="S41" s="525">
        <f t="shared" si="30"/>
        <v>0</v>
      </c>
      <c r="U41" s="404"/>
      <c r="V41" s="404"/>
      <c r="W41" s="404"/>
      <c r="X41" s="404"/>
      <c r="Y41" s="404"/>
      <c r="Z41" s="404"/>
      <c r="AA41" s="404"/>
      <c r="AB41" s="404"/>
      <c r="AE41" s="404"/>
      <c r="AF41" s="404"/>
      <c r="AG41" s="404"/>
      <c r="AH41" s="404"/>
      <c r="AI41" s="404"/>
      <c r="AJ41" s="404"/>
      <c r="AK41" s="404"/>
      <c r="AL41" s="404"/>
    </row>
    <row r="42" spans="1:38">
      <c r="A42" s="618"/>
      <c r="B42" s="618" t="s">
        <v>3505</v>
      </c>
      <c r="C42" s="619">
        <f t="shared" si="32"/>
        <v>0</v>
      </c>
      <c r="D42" s="523">
        <f>VLOOKUP(B42,DONGIA,DG!$B$6,0)</f>
        <v>0</v>
      </c>
      <c r="E42" s="666" t="str">
        <f>VLOOKUP(B42,DONGIA,DG!$C$6,0)</f>
        <v>Gỗ chống: 0,335 m3/100m2 ván khuôn</v>
      </c>
      <c r="F42" s="523" t="str">
        <f>VLOOKUP(B42,DONGIA,DG!$D$6,0)</f>
        <v>m3</v>
      </c>
      <c r="G42" s="738">
        <f>ROUND(G45*0.335/100,4)</f>
        <v>6.7000000000000002E-3</v>
      </c>
      <c r="H42" s="525">
        <f>VLOOKUP($B42,DONGIA,DG!$E$6,0)</f>
        <v>3800000</v>
      </c>
      <c r="I42" s="525"/>
      <c r="J42" s="525"/>
      <c r="K42" s="525">
        <f>VLOOKUP($B42,DONGIA,DG!$F$6,0)</f>
        <v>0</v>
      </c>
      <c r="L42" s="525"/>
      <c r="M42" s="525">
        <f>VLOOKUP($B42,DONGIA,DG!$G$6,0)</f>
        <v>0</v>
      </c>
      <c r="N42" s="525">
        <f t="shared" si="33"/>
        <v>25460</v>
      </c>
      <c r="O42" s="525">
        <f t="shared" si="26"/>
        <v>0</v>
      </c>
      <c r="P42" s="525">
        <f t="shared" si="27"/>
        <v>0</v>
      </c>
      <c r="Q42" s="525">
        <f t="shared" si="28"/>
        <v>0</v>
      </c>
      <c r="R42" s="525">
        <f t="shared" si="29"/>
        <v>0</v>
      </c>
      <c r="S42" s="525">
        <f t="shared" si="30"/>
        <v>0</v>
      </c>
      <c r="U42" s="404"/>
      <c r="V42" s="404"/>
      <c r="W42" s="404"/>
      <c r="X42" s="404"/>
      <c r="Y42" s="404"/>
      <c r="Z42" s="404"/>
      <c r="AA42" s="404"/>
      <c r="AB42" s="404"/>
      <c r="AE42" s="404"/>
      <c r="AF42" s="404"/>
      <c r="AG42" s="404"/>
      <c r="AH42" s="404"/>
      <c r="AI42" s="404"/>
      <c r="AJ42" s="404"/>
      <c r="AK42" s="404"/>
      <c r="AL42" s="404"/>
    </row>
    <row r="43" spans="1:38">
      <c r="A43" s="618"/>
      <c r="B43" s="618" t="s">
        <v>3507</v>
      </c>
      <c r="C43" s="619">
        <f t="shared" si="32"/>
        <v>0</v>
      </c>
      <c r="D43" s="523">
        <f>VLOOKUP(B43,DONGIA,DG!$B$6,0)</f>
        <v>0</v>
      </c>
      <c r="E43" s="666" t="str">
        <f>VLOOKUP(B43,DONGIA,DG!$C$6,0)</f>
        <v>Gỗ đà nẹp: 0,21 m3/100m2 ván khuôn</v>
      </c>
      <c r="F43" s="523" t="str">
        <f>VLOOKUP(B43,DONGIA,DG!$D$6,0)</f>
        <v>m3</v>
      </c>
      <c r="G43" s="738">
        <f>ROUND(G45*0.21/100,4)</f>
        <v>4.1999999999999997E-3</v>
      </c>
      <c r="H43" s="525">
        <f>VLOOKUP($B43,DONGIA,DG!$E$6,0)</f>
        <v>3800000</v>
      </c>
      <c r="I43" s="525"/>
      <c r="J43" s="525"/>
      <c r="K43" s="525">
        <f>VLOOKUP($B43,DONGIA,DG!$F$6,0)</f>
        <v>0</v>
      </c>
      <c r="L43" s="525"/>
      <c r="M43" s="525">
        <f>VLOOKUP($B43,DONGIA,DG!$G$6,0)</f>
        <v>0</v>
      </c>
      <c r="N43" s="525">
        <f t="shared" si="33"/>
        <v>15959.999999999998</v>
      </c>
      <c r="O43" s="525">
        <f t="shared" si="26"/>
        <v>0</v>
      </c>
      <c r="P43" s="525">
        <f t="shared" si="27"/>
        <v>0</v>
      </c>
      <c r="Q43" s="525">
        <f t="shared" si="28"/>
        <v>0</v>
      </c>
      <c r="R43" s="525">
        <f t="shared" si="29"/>
        <v>0</v>
      </c>
      <c r="S43" s="525">
        <f t="shared" si="30"/>
        <v>0</v>
      </c>
      <c r="U43" s="404"/>
      <c r="V43" s="404"/>
      <c r="W43" s="404"/>
      <c r="X43" s="404"/>
      <c r="Y43" s="404"/>
      <c r="Z43" s="404"/>
      <c r="AA43" s="404"/>
      <c r="AB43" s="404"/>
      <c r="AE43" s="404"/>
      <c r="AF43" s="404"/>
      <c r="AG43" s="404"/>
      <c r="AH43" s="404"/>
      <c r="AI43" s="404"/>
      <c r="AJ43" s="404"/>
      <c r="AK43" s="404"/>
      <c r="AL43" s="404"/>
    </row>
    <row r="44" spans="1:38">
      <c r="A44" s="618"/>
      <c r="B44" s="618" t="s">
        <v>3503</v>
      </c>
      <c r="C44" s="619">
        <f t="shared" si="32"/>
        <v>0</v>
      </c>
      <c r="D44" s="523">
        <f>VLOOKUP(B44,DONGIA,DG!$B$6,0)</f>
        <v>0</v>
      </c>
      <c r="E44" s="666" t="str">
        <f>VLOOKUP(B44,DONGIA,DG!$C$6,0)</f>
        <v>Gỗ ván (cả nẹp): 0,792 m3/100m2 ván khuôn</v>
      </c>
      <c r="F44" s="523" t="str">
        <f>VLOOKUP(B44,DONGIA,DG!$D$6,0)</f>
        <v>m3</v>
      </c>
      <c r="G44" s="738">
        <f>ROUND(G45*0.792/100,4)</f>
        <v>1.5800000000000002E-2</v>
      </c>
      <c r="H44" s="525">
        <f>VLOOKUP($B44,DONGIA,DG!$E$6,0)</f>
        <v>3800000</v>
      </c>
      <c r="I44" s="525"/>
      <c r="J44" s="525"/>
      <c r="K44" s="525">
        <f>VLOOKUP($B44,DONGIA,DG!$F$6,0)</f>
        <v>0</v>
      </c>
      <c r="L44" s="525"/>
      <c r="M44" s="525">
        <f>VLOOKUP($B44,DONGIA,DG!$G$6,0)</f>
        <v>0</v>
      </c>
      <c r="N44" s="525">
        <f t="shared" si="33"/>
        <v>60040.000000000007</v>
      </c>
      <c r="O44" s="525">
        <f t="shared" si="26"/>
        <v>0</v>
      </c>
      <c r="P44" s="525">
        <f t="shared" si="27"/>
        <v>0</v>
      </c>
      <c r="Q44" s="525">
        <f t="shared" si="28"/>
        <v>0</v>
      </c>
      <c r="R44" s="525">
        <f t="shared" si="29"/>
        <v>0</v>
      </c>
      <c r="S44" s="525">
        <f t="shared" si="30"/>
        <v>0</v>
      </c>
      <c r="U44" s="404"/>
      <c r="V44" s="404"/>
      <c r="W44" s="404"/>
      <c r="X44" s="404"/>
      <c r="Y44" s="404"/>
      <c r="Z44" s="404"/>
      <c r="AA44" s="404"/>
      <c r="AB44" s="404"/>
      <c r="AE44" s="404"/>
      <c r="AF44" s="404"/>
      <c r="AG44" s="404"/>
      <c r="AH44" s="404"/>
      <c r="AI44" s="404"/>
      <c r="AJ44" s="404"/>
      <c r="AK44" s="404"/>
      <c r="AL44" s="404"/>
    </row>
    <row r="45" spans="1:38">
      <c r="A45" s="618"/>
      <c r="B45" s="618" t="s">
        <v>3511</v>
      </c>
      <c r="C45" s="619">
        <f t="shared" si="32"/>
        <v>0</v>
      </c>
      <c r="D45" s="523" t="str">
        <f>VLOOKUP(B45,DONGIA,DG!$B$6,0)</f>
        <v>AF.81122</v>
      </c>
      <c r="E45" s="666" t="str">
        <f>VLOOKUP(B45,DONGIA,DG!$C$6,0)</f>
        <v>Lắp ván khuôn gỗ móng - móng vuông, chữ nhật</v>
      </c>
      <c r="F45" s="523" t="str">
        <f>VLOOKUP(B45,DONGIA,DG!$D$6,0)</f>
        <v>m2</v>
      </c>
      <c r="G45" s="53">
        <f>ROUND(1*0.5*4,3)</f>
        <v>2</v>
      </c>
      <c r="H45" s="525">
        <f>VLOOKUP($B45,DONGIA,DG!$E$6,0)</f>
        <v>0</v>
      </c>
      <c r="I45" s="525"/>
      <c r="J45" s="525">
        <f>VLOOKUP($B45,DONGIA,DG!$F$6,0)</f>
        <v>57946</v>
      </c>
      <c r="K45" s="525"/>
      <c r="L45" s="525"/>
      <c r="M45" s="525">
        <f>VLOOKUP($B45,DONGIA,DG!$G$6,0)</f>
        <v>0</v>
      </c>
      <c r="N45" s="525">
        <f t="shared" si="33"/>
        <v>0</v>
      </c>
      <c r="O45" s="525">
        <f t="shared" si="26"/>
        <v>0</v>
      </c>
      <c r="P45" s="525">
        <f t="shared" si="27"/>
        <v>115892</v>
      </c>
      <c r="Q45" s="525">
        <f t="shared" si="28"/>
        <v>0</v>
      </c>
      <c r="R45" s="525">
        <f t="shared" si="29"/>
        <v>0</v>
      </c>
      <c r="S45" s="525">
        <f t="shared" si="30"/>
        <v>0</v>
      </c>
      <c r="U45" s="404"/>
      <c r="V45" s="404"/>
      <c r="W45" s="404"/>
      <c r="X45" s="404"/>
      <c r="Y45" s="404"/>
      <c r="Z45" s="404"/>
      <c r="AA45" s="404"/>
      <c r="AB45" s="404"/>
      <c r="AE45" s="404"/>
      <c r="AF45" s="404"/>
      <c r="AG45" s="404"/>
      <c r="AH45" s="404"/>
      <c r="AI45" s="404"/>
      <c r="AJ45" s="404"/>
      <c r="AK45" s="404"/>
      <c r="AL45" s="404"/>
    </row>
    <row r="46" spans="1:38">
      <c r="A46" s="618"/>
      <c r="B46" s="618" t="s">
        <v>491</v>
      </c>
      <c r="C46" s="619">
        <f t="shared" si="32"/>
        <v>0</v>
      </c>
      <c r="D46" s="523" t="str">
        <f>VLOOKUP(B46,DONGIA,DG!$B$6,0)</f>
        <v>AB.11413</v>
      </c>
      <c r="E46" s="666" t="str">
        <f>VLOOKUP(B46,DONGIA,DG!$C$6,0)</f>
        <v>Đào hố móng đất cấp 3 sâu ≤1m (rộng ≤1m)</v>
      </c>
      <c r="F46" s="523" t="str">
        <f>VLOOKUP(B46,DONGIA,DG!$D$6,0)</f>
        <v>m3</v>
      </c>
      <c r="G46" s="53">
        <v>0.4</v>
      </c>
      <c r="H46" s="525"/>
      <c r="I46" s="525"/>
      <c r="J46" s="525">
        <f>VLOOKUP($B46,DONGIA,DG!$F$6,0)</f>
        <v>340001</v>
      </c>
      <c r="K46" s="525"/>
      <c r="L46" s="525">
        <f>VLOOKUP($B46,DONGIA,DG!$G$6,0)</f>
        <v>0</v>
      </c>
      <c r="M46" s="525"/>
      <c r="N46" s="525">
        <f t="shared" si="33"/>
        <v>0</v>
      </c>
      <c r="O46" s="525">
        <f t="shared" si="26"/>
        <v>0</v>
      </c>
      <c r="P46" s="525">
        <f t="shared" si="27"/>
        <v>136000.4</v>
      </c>
      <c r="Q46" s="525">
        <f t="shared" si="28"/>
        <v>0</v>
      </c>
      <c r="R46" s="525">
        <f t="shared" si="29"/>
        <v>0</v>
      </c>
      <c r="S46" s="525">
        <f t="shared" si="30"/>
        <v>0</v>
      </c>
      <c r="U46" s="525"/>
      <c r="V46" s="525"/>
      <c r="W46" s="525"/>
      <c r="X46" s="525"/>
      <c r="Y46" s="525"/>
      <c r="Z46" s="525"/>
      <c r="AA46" s="525"/>
      <c r="AB46" s="525">
        <f>AB$164*$G46</f>
        <v>0</v>
      </c>
      <c r="AD46" s="405">
        <f t="shared" si="5"/>
        <v>0</v>
      </c>
      <c r="AE46" s="525">
        <f t="shared" si="6"/>
        <v>0</v>
      </c>
      <c r="AF46" s="525">
        <f t="shared" si="7"/>
        <v>0</v>
      </c>
      <c r="AG46" s="525">
        <f t="shared" si="7"/>
        <v>0</v>
      </c>
      <c r="AH46" s="525">
        <f t="shared" si="7"/>
        <v>0</v>
      </c>
      <c r="AI46" s="525">
        <f t="shared" si="8"/>
        <v>0</v>
      </c>
      <c r="AJ46" s="525">
        <f t="shared" si="8"/>
        <v>0</v>
      </c>
      <c r="AK46" s="525">
        <f t="shared" si="8"/>
        <v>0</v>
      </c>
      <c r="AL46" s="525">
        <f t="shared" si="9"/>
        <v>0</v>
      </c>
    </row>
    <row r="47" spans="1:38">
      <c r="A47" s="618"/>
      <c r="B47" s="618" t="s">
        <v>3823</v>
      </c>
      <c r="C47" s="619">
        <f t="shared" si="32"/>
        <v>0</v>
      </c>
      <c r="D47" s="523" t="str">
        <f>VLOOKUP(B47,DONGIA,DG!$B$6,0)</f>
        <v>AB.51613</v>
      </c>
      <c r="E47" s="666" t="str">
        <f>VLOOKUP(B47,DONGIA,DG!$C$6,0)</f>
        <v>Phá đá chân hố móng, đá cấp III (bằng búa căn)</v>
      </c>
      <c r="F47" s="523" t="str">
        <f>VLOOKUP(B47,DONGIA,DG!$D$6,0)</f>
        <v>m3</v>
      </c>
      <c r="G47" s="53">
        <v>0.82799999999999996</v>
      </c>
      <c r="H47" s="525"/>
      <c r="I47" s="525"/>
      <c r="J47" s="525">
        <f>VLOOKUP($B47,DONGIA,DG!$F$6,0)</f>
        <v>296545</v>
      </c>
      <c r="K47" s="525"/>
      <c r="L47" s="525">
        <f>VLOOKUP($B47,DONGIA,DG!$G$6,0)</f>
        <v>525018</v>
      </c>
      <c r="M47" s="525"/>
      <c r="N47" s="525">
        <f t="shared" si="33"/>
        <v>0</v>
      </c>
      <c r="O47" s="525">
        <f t="shared" si="26"/>
        <v>0</v>
      </c>
      <c r="P47" s="525">
        <f t="shared" si="27"/>
        <v>245539.25999999998</v>
      </c>
      <c r="Q47" s="525">
        <f t="shared" si="28"/>
        <v>0</v>
      </c>
      <c r="R47" s="525">
        <f t="shared" si="29"/>
        <v>434714.90399999998</v>
      </c>
      <c r="S47" s="525">
        <f t="shared" si="30"/>
        <v>0</v>
      </c>
      <c r="U47" s="525"/>
      <c r="V47" s="525"/>
      <c r="W47" s="525"/>
      <c r="X47" s="525"/>
      <c r="Y47" s="525"/>
      <c r="Z47" s="525"/>
      <c r="AA47" s="525"/>
      <c r="AB47" s="525">
        <f>AB$164*$G47</f>
        <v>0</v>
      </c>
      <c r="AD47" s="405">
        <f t="shared" si="5"/>
        <v>0</v>
      </c>
      <c r="AE47" s="525">
        <f t="shared" si="6"/>
        <v>0</v>
      </c>
      <c r="AF47" s="525">
        <f t="shared" si="7"/>
        <v>0</v>
      </c>
      <c r="AG47" s="525">
        <f t="shared" si="7"/>
        <v>0</v>
      </c>
      <c r="AH47" s="525">
        <f t="shared" si="7"/>
        <v>0</v>
      </c>
      <c r="AI47" s="525">
        <f t="shared" si="8"/>
        <v>0</v>
      </c>
      <c r="AJ47" s="525">
        <f t="shared" si="8"/>
        <v>0</v>
      </c>
      <c r="AK47" s="525">
        <f t="shared" si="8"/>
        <v>0</v>
      </c>
      <c r="AL47" s="525">
        <f t="shared" si="9"/>
        <v>0</v>
      </c>
    </row>
    <row r="48" spans="1:38">
      <c r="A48" s="618"/>
      <c r="B48" s="618" t="s">
        <v>510</v>
      </c>
      <c r="C48" s="619">
        <f t="shared" si="32"/>
        <v>0</v>
      </c>
      <c r="D48" s="523" t="str">
        <f>VLOOKUP(B48,DONGIA,DG!$B$6,0)</f>
        <v>AB.65110</v>
      </c>
      <c r="E48" s="666" t="str">
        <f>VLOOKUP(B48,DONGIA,DG!$C$6,0)</f>
        <v>Đắp đất hố móng (K=0,85)</v>
      </c>
      <c r="F48" s="523" t="str">
        <f>VLOOKUP(B48,DONGIA,DG!$D$6,0)</f>
        <v>m3</v>
      </c>
      <c r="G48" s="53">
        <v>0.67700000000000005</v>
      </c>
      <c r="H48" s="525"/>
      <c r="I48" s="525"/>
      <c r="J48" s="525">
        <f>VLOOKUP($B48,DONGIA,DG!$F$6,0)</f>
        <v>16267</v>
      </c>
      <c r="K48" s="525"/>
      <c r="L48" s="525">
        <f>VLOOKUP($B48,DONGIA,DG!$G$6,0)</f>
        <v>11176</v>
      </c>
      <c r="M48" s="525"/>
      <c r="N48" s="525">
        <f t="shared" si="33"/>
        <v>0</v>
      </c>
      <c r="O48" s="525">
        <f t="shared" si="26"/>
        <v>0</v>
      </c>
      <c r="P48" s="525">
        <f t="shared" si="27"/>
        <v>11012.759</v>
      </c>
      <c r="Q48" s="525">
        <f t="shared" si="28"/>
        <v>0</v>
      </c>
      <c r="R48" s="525">
        <f t="shared" si="29"/>
        <v>7566.152000000001</v>
      </c>
      <c r="S48" s="525">
        <f t="shared" si="30"/>
        <v>0</v>
      </c>
      <c r="U48" s="525"/>
      <c r="V48" s="525"/>
      <c r="W48" s="525"/>
      <c r="X48" s="525"/>
      <c r="Y48" s="525"/>
      <c r="Z48" s="525"/>
      <c r="AA48" s="525"/>
      <c r="AB48" s="525">
        <f>AB$164*$G48</f>
        <v>0</v>
      </c>
      <c r="AD48" s="405">
        <f t="shared" si="5"/>
        <v>0</v>
      </c>
      <c r="AE48" s="525">
        <f t="shared" si="6"/>
        <v>0</v>
      </c>
      <c r="AF48" s="525">
        <f t="shared" si="7"/>
        <v>0</v>
      </c>
      <c r="AG48" s="525">
        <f t="shared" si="7"/>
        <v>0</v>
      </c>
      <c r="AH48" s="525">
        <f t="shared" si="7"/>
        <v>0</v>
      </c>
      <c r="AI48" s="525">
        <f t="shared" si="8"/>
        <v>0</v>
      </c>
      <c r="AJ48" s="525">
        <f t="shared" si="8"/>
        <v>0</v>
      </c>
      <c r="AK48" s="525">
        <f t="shared" si="8"/>
        <v>0</v>
      </c>
      <c r="AL48" s="525">
        <f t="shared" si="9"/>
        <v>0</v>
      </c>
    </row>
    <row r="49" spans="1:38">
      <c r="A49" s="618"/>
      <c r="B49" s="618" t="s">
        <v>713</v>
      </c>
      <c r="C49" s="619">
        <f t="shared" si="32"/>
        <v>0</v>
      </c>
      <c r="D49" s="523" t="str">
        <f>VLOOKUP(B49,DONGIA,DG!$B$6,0)</f>
        <v>AF.11210</v>
      </c>
      <c r="E49" s="666" t="str">
        <f>VLOOKUP(B49,DONGIA,DG!$C$6,0)</f>
        <v>Đổ bê tông mác M200 đá 1x2</v>
      </c>
      <c r="F49" s="523" t="str">
        <f>VLOOKUP(B49,DONGIA,DG!$D$6,0)</f>
        <v>m3</v>
      </c>
      <c r="G49" s="53">
        <v>0.47399999999999998</v>
      </c>
      <c r="H49" s="525"/>
      <c r="I49" s="525"/>
      <c r="J49" s="525">
        <f>VLOOKUP($B49,DONGIA,DG!$F$6,0)</f>
        <v>293475</v>
      </c>
      <c r="K49" s="525"/>
      <c r="L49" s="525">
        <f>VLOOKUP($B49,DONGIA,DG!$G$6,0)</f>
        <v>44701</v>
      </c>
      <c r="M49" s="525"/>
      <c r="N49" s="525">
        <f t="shared" si="33"/>
        <v>0</v>
      </c>
      <c r="O49" s="525">
        <f t="shared" si="26"/>
        <v>0</v>
      </c>
      <c r="P49" s="525">
        <f t="shared" si="27"/>
        <v>139107.15</v>
      </c>
      <c r="Q49" s="525">
        <f t="shared" si="28"/>
        <v>0</v>
      </c>
      <c r="R49" s="525">
        <f t="shared" si="29"/>
        <v>21188.273999999998</v>
      </c>
      <c r="S49" s="525">
        <f t="shared" si="30"/>
        <v>0</v>
      </c>
      <c r="U49" s="525"/>
      <c r="V49" s="525"/>
      <c r="W49" s="525"/>
      <c r="X49" s="525"/>
      <c r="Y49" s="525"/>
      <c r="Z49" s="525"/>
      <c r="AA49" s="525"/>
      <c r="AB49" s="525"/>
      <c r="AD49" s="405">
        <f t="shared" si="5"/>
        <v>0</v>
      </c>
      <c r="AE49" s="525">
        <f t="shared" si="6"/>
        <v>0</v>
      </c>
      <c r="AF49" s="525">
        <f t="shared" si="7"/>
        <v>0</v>
      </c>
      <c r="AG49" s="525">
        <f t="shared" si="7"/>
        <v>0</v>
      </c>
      <c r="AH49" s="525">
        <f t="shared" si="7"/>
        <v>0</v>
      </c>
      <c r="AI49" s="525">
        <f t="shared" si="8"/>
        <v>0</v>
      </c>
      <c r="AJ49" s="525">
        <f t="shared" si="8"/>
        <v>0</v>
      </c>
      <c r="AK49" s="525">
        <f t="shared" si="8"/>
        <v>0</v>
      </c>
      <c r="AL49" s="525">
        <f t="shared" si="9"/>
        <v>0</v>
      </c>
    </row>
    <row r="50" spans="1:38">
      <c r="A50" s="618" t="s">
        <v>1608</v>
      </c>
      <c r="B50" s="618"/>
      <c r="C50" s="619">
        <f>IF(G50&lt;&gt;0,1,)</f>
        <v>1</v>
      </c>
      <c r="D50" s="622"/>
      <c r="E50" s="733" t="s">
        <v>1641</v>
      </c>
      <c r="F50" s="622" t="s">
        <v>1633</v>
      </c>
      <c r="G50" s="622">
        <f>U50</f>
        <v>60</v>
      </c>
      <c r="H50" s="623"/>
      <c r="I50" s="623"/>
      <c r="J50" s="623"/>
      <c r="K50" s="623"/>
      <c r="L50" s="623"/>
      <c r="M50" s="623"/>
      <c r="N50" s="623">
        <f t="shared" ref="N50:S50" si="35">SUM(N52:N65)</f>
        <v>121000</v>
      </c>
      <c r="O50" s="623">
        <f t="shared" si="35"/>
        <v>847104</v>
      </c>
      <c r="P50" s="623">
        <f t="shared" si="35"/>
        <v>654210.54599999997</v>
      </c>
      <c r="Q50" s="623">
        <f t="shared" si="35"/>
        <v>0</v>
      </c>
      <c r="R50" s="623">
        <f t="shared" si="35"/>
        <v>34118.131999999998</v>
      </c>
      <c r="S50" s="623">
        <f t="shared" si="35"/>
        <v>0</v>
      </c>
      <c r="U50" s="623">
        <f>SUM(V50:AB50)</f>
        <v>60</v>
      </c>
      <c r="V50" s="623">
        <f>IFERROR(HLOOKUP($A50,BK3P,V$3,0),)</f>
        <v>0</v>
      </c>
      <c r="W50" s="623">
        <f>IFERROR(HLOOKUP($A50,BK3P,W$3,0),)</f>
        <v>0</v>
      </c>
      <c r="X50" s="623">
        <f>IFERROR(HLOOKUP($A50,BK3P,X$3,0),)</f>
        <v>0</v>
      </c>
      <c r="Y50" s="623">
        <f>IFERROR(HLOOKUP($A50,BK1P,Y$3,0),)</f>
        <v>0</v>
      </c>
      <c r="Z50" s="623">
        <f>IFERROR(HLOOKUP($A50,BK1P,Z$3,0),)</f>
        <v>0</v>
      </c>
      <c r="AA50" s="623">
        <f>IFERROR(HLOOKUP($A50,BK1P,AA$3,0),)</f>
        <v>0</v>
      </c>
      <c r="AB50" s="623">
        <f>IFERROR(HLOOKUP($A50,BKHT,AB$3,0),)</f>
        <v>60</v>
      </c>
      <c r="AD50" s="405">
        <f t="shared" si="5"/>
        <v>0</v>
      </c>
      <c r="AE50" s="525">
        <f t="shared" si="6"/>
        <v>0</v>
      </c>
      <c r="AF50" s="525">
        <f t="shared" si="7"/>
        <v>0</v>
      </c>
      <c r="AG50" s="525">
        <f t="shared" si="7"/>
        <v>0</v>
      </c>
      <c r="AH50" s="525">
        <f t="shared" si="7"/>
        <v>0</v>
      </c>
      <c r="AI50" s="525">
        <f t="shared" si="8"/>
        <v>0</v>
      </c>
      <c r="AJ50" s="525">
        <f t="shared" si="8"/>
        <v>0</v>
      </c>
      <c r="AK50" s="525">
        <f t="shared" si="8"/>
        <v>0</v>
      </c>
      <c r="AL50" s="525">
        <f t="shared" si="9"/>
        <v>0</v>
      </c>
    </row>
    <row r="51" spans="1:38" s="542" customFormat="1">
      <c r="A51" s="624"/>
      <c r="B51" s="624"/>
      <c r="C51" s="625">
        <f>C50</f>
        <v>1</v>
      </c>
      <c r="D51" s="544"/>
      <c r="E51" s="734" t="s">
        <v>1644</v>
      </c>
      <c r="F51" s="544"/>
      <c r="G51" s="545"/>
      <c r="H51" s="545"/>
      <c r="I51" s="545"/>
      <c r="J51" s="545"/>
      <c r="K51" s="545"/>
      <c r="L51" s="545"/>
      <c r="M51" s="545"/>
      <c r="N51" s="545"/>
      <c r="O51" s="545"/>
      <c r="P51" s="545"/>
      <c r="Q51" s="545"/>
      <c r="R51" s="545"/>
      <c r="S51" s="545"/>
      <c r="U51" s="545"/>
      <c r="V51" s="545"/>
      <c r="W51" s="545"/>
      <c r="X51" s="545"/>
      <c r="Y51" s="545"/>
      <c r="Z51" s="545"/>
      <c r="AA51" s="545"/>
      <c r="AB51" s="545"/>
      <c r="AD51" s="405">
        <f t="shared" si="5"/>
        <v>0</v>
      </c>
      <c r="AE51" s="525">
        <f t="shared" si="6"/>
        <v>0</v>
      </c>
      <c r="AF51" s="525">
        <f t="shared" si="7"/>
        <v>0</v>
      </c>
      <c r="AG51" s="525">
        <f t="shared" si="7"/>
        <v>0</v>
      </c>
      <c r="AH51" s="525">
        <f t="shared" si="7"/>
        <v>0</v>
      </c>
      <c r="AI51" s="525">
        <f t="shared" si="8"/>
        <v>0</v>
      </c>
      <c r="AJ51" s="525">
        <f t="shared" si="8"/>
        <v>0</v>
      </c>
      <c r="AK51" s="525">
        <f t="shared" si="8"/>
        <v>0</v>
      </c>
      <c r="AL51" s="525">
        <f t="shared" si="9"/>
        <v>0</v>
      </c>
    </row>
    <row r="52" spans="1:38">
      <c r="A52" s="618"/>
      <c r="B52" s="618" t="s">
        <v>1639</v>
      </c>
      <c r="C52" s="619">
        <f>IF(G52&lt;&gt;0,$C$50,)</f>
        <v>1</v>
      </c>
      <c r="D52" s="523">
        <f>VLOOKUP(B52,DONGIA,DG!$B$6,0)</f>
        <v>0</v>
      </c>
      <c r="E52" s="666" t="str">
        <f>VLOOKUP(B52,DONGIA,DG!$C$6,0)</f>
        <v>Xi măng</v>
      </c>
      <c r="F52" s="523" t="str">
        <f>VLOOKUP(B52,DONGIA,DG!$D$6,0)</f>
        <v>kg</v>
      </c>
      <c r="G52" s="554">
        <f>ROUND(G65*281,1)</f>
        <v>205.7</v>
      </c>
      <c r="H52" s="525"/>
      <c r="I52" s="525">
        <f>VLOOKUP($B52,DONGIA,DG!$E$6,0)</f>
        <v>1760</v>
      </c>
      <c r="J52" s="525">
        <f>VLOOKUP($B52,DONGIA,DG!$F$6,0)</f>
        <v>0</v>
      </c>
      <c r="K52" s="525"/>
      <c r="L52" s="525">
        <f>VLOOKUP($B52,DONGIA,DG!$G$6,0)</f>
        <v>0</v>
      </c>
      <c r="M52" s="525"/>
      <c r="N52" s="525">
        <f>$G52*H52</f>
        <v>0</v>
      </c>
      <c r="O52" s="525">
        <f t="shared" ref="O52:S65" si="36">$G52*I52</f>
        <v>362032</v>
      </c>
      <c r="P52" s="525">
        <f t="shared" si="36"/>
        <v>0</v>
      </c>
      <c r="Q52" s="525">
        <f t="shared" si="36"/>
        <v>0</v>
      </c>
      <c r="R52" s="525">
        <f t="shared" si="36"/>
        <v>0</v>
      </c>
      <c r="S52" s="525">
        <f t="shared" si="36"/>
        <v>0</v>
      </c>
      <c r="U52" s="525">
        <f>U$50*$G52</f>
        <v>12342</v>
      </c>
      <c r="V52" s="525">
        <f t="shared" ref="V52:AB52" si="37">V$50*$G52</f>
        <v>0</v>
      </c>
      <c r="W52" s="525">
        <f t="shared" si="37"/>
        <v>0</v>
      </c>
      <c r="X52" s="525">
        <f t="shared" si="37"/>
        <v>0</v>
      </c>
      <c r="Y52" s="525">
        <f t="shared" si="37"/>
        <v>0</v>
      </c>
      <c r="Z52" s="525">
        <f t="shared" si="37"/>
        <v>0</v>
      </c>
      <c r="AA52" s="525">
        <f t="shared" si="37"/>
        <v>0</v>
      </c>
      <c r="AB52" s="525">
        <f t="shared" si="37"/>
        <v>12342</v>
      </c>
      <c r="AD52" s="405">
        <f t="shared" si="5"/>
        <v>1</v>
      </c>
      <c r="AE52" s="525">
        <f t="shared" si="6"/>
        <v>12342</v>
      </c>
      <c r="AF52" s="525">
        <f t="shared" si="7"/>
        <v>0</v>
      </c>
      <c r="AG52" s="525">
        <f t="shared" si="7"/>
        <v>0</v>
      </c>
      <c r="AH52" s="525">
        <f t="shared" si="7"/>
        <v>0</v>
      </c>
      <c r="AI52" s="525">
        <f t="shared" si="8"/>
        <v>0</v>
      </c>
      <c r="AJ52" s="525">
        <f t="shared" si="8"/>
        <v>0</v>
      </c>
      <c r="AK52" s="525">
        <f t="shared" si="8"/>
        <v>0</v>
      </c>
      <c r="AL52" s="525">
        <f t="shared" si="9"/>
        <v>12342</v>
      </c>
    </row>
    <row r="53" spans="1:38">
      <c r="A53" s="618"/>
      <c r="B53" s="618" t="s">
        <v>471</v>
      </c>
      <c r="C53" s="619">
        <f t="shared" ref="C53:C65" si="38">IF(G53&lt;&gt;0,$C$50,)</f>
        <v>1</v>
      </c>
      <c r="D53" s="523">
        <f>VLOOKUP(B53,DONGIA,DG!$B$6,0)</f>
        <v>0</v>
      </c>
      <c r="E53" s="666" t="str">
        <f>VLOOKUP(B53,DONGIA,DG!$C$6,0)</f>
        <v>Cát vàng</v>
      </c>
      <c r="F53" s="523" t="str">
        <f>VLOOKUP(B53,DONGIA,DG!$D$6,0)</f>
        <v>m3</v>
      </c>
      <c r="G53" s="626">
        <f>ROUND(G65*0.477,3)</f>
        <v>0.34899999999999998</v>
      </c>
      <c r="H53" s="525"/>
      <c r="I53" s="525">
        <f>VLOOKUP($B53,DONGIA,DG!$E$6,0)</f>
        <v>350000</v>
      </c>
      <c r="J53" s="525">
        <f>VLOOKUP($B53,DONGIA,DG!$F$6,0)</f>
        <v>0</v>
      </c>
      <c r="K53" s="525"/>
      <c r="L53" s="525">
        <f>VLOOKUP($B53,DONGIA,DG!$G$6,0)</f>
        <v>0</v>
      </c>
      <c r="M53" s="525"/>
      <c r="N53" s="525">
        <f t="shared" ref="N53:N65" si="39">$G53*H53</f>
        <v>0</v>
      </c>
      <c r="O53" s="525">
        <f t="shared" si="36"/>
        <v>122149.99999999999</v>
      </c>
      <c r="P53" s="525">
        <f t="shared" si="36"/>
        <v>0</v>
      </c>
      <c r="Q53" s="525">
        <f t="shared" si="36"/>
        <v>0</v>
      </c>
      <c r="R53" s="525">
        <f t="shared" si="36"/>
        <v>0</v>
      </c>
      <c r="S53" s="525">
        <f t="shared" si="36"/>
        <v>0</v>
      </c>
      <c r="U53" s="525">
        <f t="shared" ref="U53:AB65" si="40">U$50*$G53</f>
        <v>20.939999999999998</v>
      </c>
      <c r="V53" s="525">
        <f t="shared" si="40"/>
        <v>0</v>
      </c>
      <c r="W53" s="525">
        <f t="shared" si="40"/>
        <v>0</v>
      </c>
      <c r="X53" s="525">
        <f t="shared" si="40"/>
        <v>0</v>
      </c>
      <c r="Y53" s="525">
        <f t="shared" si="40"/>
        <v>0</v>
      </c>
      <c r="Z53" s="525">
        <f t="shared" si="40"/>
        <v>0</v>
      </c>
      <c r="AA53" s="525">
        <f t="shared" si="40"/>
        <v>0</v>
      </c>
      <c r="AB53" s="525">
        <f t="shared" si="40"/>
        <v>20.939999999999998</v>
      </c>
      <c r="AD53" s="405">
        <f t="shared" si="5"/>
        <v>1500</v>
      </c>
      <c r="AE53" s="525">
        <f t="shared" si="6"/>
        <v>31409.999999999996</v>
      </c>
      <c r="AF53" s="525">
        <f t="shared" si="7"/>
        <v>0</v>
      </c>
      <c r="AG53" s="525">
        <f t="shared" si="7"/>
        <v>0</v>
      </c>
      <c r="AH53" s="525">
        <f t="shared" si="7"/>
        <v>0</v>
      </c>
      <c r="AI53" s="525">
        <f t="shared" si="8"/>
        <v>0</v>
      </c>
      <c r="AJ53" s="525">
        <f t="shared" si="8"/>
        <v>0</v>
      </c>
      <c r="AK53" s="525">
        <f t="shared" si="8"/>
        <v>0</v>
      </c>
      <c r="AL53" s="525">
        <f t="shared" si="9"/>
        <v>31409.999999999996</v>
      </c>
    </row>
    <row r="54" spans="1:38">
      <c r="A54" s="618" t="s">
        <v>85</v>
      </c>
      <c r="B54" s="618" t="s">
        <v>1640</v>
      </c>
      <c r="C54" s="619">
        <f t="shared" si="38"/>
        <v>1</v>
      </c>
      <c r="D54" s="523">
        <f>VLOOKUP(B54,DONGIA,DG!$B$6,0)</f>
        <v>0</v>
      </c>
      <c r="E54" s="666" t="str">
        <f>VLOOKUP(B54,DONGIA,DG!$C$6,0)</f>
        <v>Đá 1x2</v>
      </c>
      <c r="F54" s="523" t="str">
        <f>VLOOKUP(B54,DONGIA,DG!$D$6,0)</f>
        <v>m3</v>
      </c>
      <c r="G54" s="626">
        <f>ROUND(G65*0.882,3)</f>
        <v>0.64600000000000002</v>
      </c>
      <c r="H54" s="525"/>
      <c r="I54" s="525">
        <f>VLOOKUP($B54,DONGIA,DG!$E$6,0)</f>
        <v>342000</v>
      </c>
      <c r="J54" s="525">
        <f>VLOOKUP($B54,DONGIA,DG!$F$6,0)</f>
        <v>0</v>
      </c>
      <c r="K54" s="525"/>
      <c r="L54" s="525">
        <f>VLOOKUP($B54,DONGIA,DG!$G$6,0)</f>
        <v>0</v>
      </c>
      <c r="M54" s="525"/>
      <c r="N54" s="525">
        <f t="shared" si="39"/>
        <v>0</v>
      </c>
      <c r="O54" s="525">
        <f t="shared" si="36"/>
        <v>220932</v>
      </c>
      <c r="P54" s="525">
        <f t="shared" si="36"/>
        <v>0</v>
      </c>
      <c r="Q54" s="525">
        <f t="shared" si="36"/>
        <v>0</v>
      </c>
      <c r="R54" s="525">
        <f t="shared" si="36"/>
        <v>0</v>
      </c>
      <c r="S54" s="525">
        <f t="shared" si="36"/>
        <v>0</v>
      </c>
      <c r="U54" s="525">
        <f t="shared" si="40"/>
        <v>38.76</v>
      </c>
      <c r="V54" s="525">
        <f t="shared" si="40"/>
        <v>0</v>
      </c>
      <c r="W54" s="525">
        <f t="shared" si="40"/>
        <v>0</v>
      </c>
      <c r="X54" s="525">
        <f t="shared" si="40"/>
        <v>0</v>
      </c>
      <c r="Y54" s="525">
        <f t="shared" si="40"/>
        <v>0</v>
      </c>
      <c r="Z54" s="525">
        <f t="shared" si="40"/>
        <v>0</v>
      </c>
      <c r="AA54" s="525">
        <f t="shared" si="40"/>
        <v>0</v>
      </c>
      <c r="AB54" s="525">
        <f t="shared" si="40"/>
        <v>38.76</v>
      </c>
      <c r="AD54" s="405">
        <f t="shared" si="5"/>
        <v>1500</v>
      </c>
      <c r="AE54" s="525">
        <f t="shared" si="6"/>
        <v>58140</v>
      </c>
      <c r="AF54" s="525">
        <f t="shared" si="7"/>
        <v>0</v>
      </c>
      <c r="AG54" s="525">
        <f t="shared" si="7"/>
        <v>0</v>
      </c>
      <c r="AH54" s="525">
        <f t="shared" si="7"/>
        <v>0</v>
      </c>
      <c r="AI54" s="525">
        <f t="shared" si="8"/>
        <v>0</v>
      </c>
      <c r="AJ54" s="525">
        <f t="shared" si="8"/>
        <v>0</v>
      </c>
      <c r="AK54" s="525">
        <f t="shared" si="8"/>
        <v>0</v>
      </c>
      <c r="AL54" s="525">
        <f t="shared" si="9"/>
        <v>58140</v>
      </c>
    </row>
    <row r="55" spans="1:38">
      <c r="A55" s="618"/>
      <c r="B55" s="618" t="s">
        <v>2013</v>
      </c>
      <c r="C55" s="619">
        <f t="shared" si="38"/>
        <v>1</v>
      </c>
      <c r="D55" s="523">
        <f>VLOOKUP(B55,DONGIA,DG!$B$6,0)</f>
        <v>0</v>
      </c>
      <c r="E55" s="666" t="str">
        <f>VLOOKUP(B55,DONGIA,DG!$C$6,0)</f>
        <v>Boulon 16x400VRS + 2 long đền vuông D18-50x50x3/Zn</v>
      </c>
      <c r="F55" s="523" t="str">
        <f>VLOOKUP(B55,DONGIA,DG!$D$6,0)</f>
        <v>bộ</v>
      </c>
      <c r="G55" s="525">
        <v>1</v>
      </c>
      <c r="H55" s="525">
        <f>VLOOKUP($B55,DONGIA,DG!$E$6,0)</f>
        <v>37000</v>
      </c>
      <c r="I55" s="525"/>
      <c r="J55" s="525"/>
      <c r="K55" s="525">
        <f>VLOOKUP($B55,DONGIA,DG!$F$6,0)</f>
        <v>0</v>
      </c>
      <c r="L55" s="525"/>
      <c r="M55" s="525">
        <f>VLOOKUP($B55,DONGIA,DG!$G$6,0)</f>
        <v>0</v>
      </c>
      <c r="N55" s="525">
        <f t="shared" si="39"/>
        <v>37000</v>
      </c>
      <c r="O55" s="525">
        <f t="shared" si="36"/>
        <v>0</v>
      </c>
      <c r="P55" s="525">
        <f t="shared" si="36"/>
        <v>0</v>
      </c>
      <c r="Q55" s="525">
        <f t="shared" si="36"/>
        <v>0</v>
      </c>
      <c r="R55" s="525">
        <f t="shared" si="36"/>
        <v>0</v>
      </c>
      <c r="S55" s="525">
        <f t="shared" si="36"/>
        <v>0</v>
      </c>
      <c r="U55" s="525">
        <f t="shared" si="40"/>
        <v>60</v>
      </c>
      <c r="V55" s="525">
        <f t="shared" si="40"/>
        <v>0</v>
      </c>
      <c r="W55" s="525">
        <f t="shared" si="40"/>
        <v>0</v>
      </c>
      <c r="X55" s="525">
        <f t="shared" si="40"/>
        <v>0</v>
      </c>
      <c r="Y55" s="525">
        <f t="shared" si="40"/>
        <v>0</v>
      </c>
      <c r="Z55" s="525">
        <f t="shared" si="40"/>
        <v>0</v>
      </c>
      <c r="AA55" s="525">
        <f t="shared" si="40"/>
        <v>0</v>
      </c>
      <c r="AB55" s="525">
        <f t="shared" si="40"/>
        <v>60</v>
      </c>
      <c r="AD55" s="405">
        <f t="shared" si="5"/>
        <v>0.80000000000000016</v>
      </c>
      <c r="AE55" s="525">
        <f t="shared" si="6"/>
        <v>48.000000000000007</v>
      </c>
      <c r="AF55" s="525">
        <f t="shared" si="7"/>
        <v>0</v>
      </c>
      <c r="AG55" s="525">
        <f t="shared" si="7"/>
        <v>0</v>
      </c>
      <c r="AH55" s="525">
        <f t="shared" si="7"/>
        <v>0</v>
      </c>
      <c r="AI55" s="525">
        <f t="shared" si="8"/>
        <v>0</v>
      </c>
      <c r="AJ55" s="525">
        <f t="shared" si="8"/>
        <v>0</v>
      </c>
      <c r="AK55" s="525">
        <f t="shared" si="8"/>
        <v>0</v>
      </c>
      <c r="AL55" s="525">
        <f t="shared" si="9"/>
        <v>48.000000000000007</v>
      </c>
    </row>
    <row r="56" spans="1:38">
      <c r="A56" s="618"/>
      <c r="B56" s="618" t="s">
        <v>2014</v>
      </c>
      <c r="C56" s="619">
        <f t="shared" si="38"/>
        <v>1</v>
      </c>
      <c r="D56" s="523">
        <f>VLOOKUP(B56,DONGIA,DG!$B$6,0)</f>
        <v>0</v>
      </c>
      <c r="E56" s="666" t="str">
        <f>VLOOKUP(B56,DONGIA,DG!$C$6,0)</f>
        <v>Boulon 16x500VRS + 2 long đền vuông D18-50x50x3/Zn</v>
      </c>
      <c r="F56" s="523" t="str">
        <f>VLOOKUP(B56,DONGIA,DG!$D$6,0)</f>
        <v>bộ</v>
      </c>
      <c r="G56" s="525">
        <v>1</v>
      </c>
      <c r="H56" s="525">
        <f>VLOOKUP($B56,DONGIA,DG!$E$6,0)</f>
        <v>41000</v>
      </c>
      <c r="I56" s="525"/>
      <c r="J56" s="525"/>
      <c r="K56" s="525">
        <f>VLOOKUP($B56,DONGIA,DG!$F$6,0)</f>
        <v>0</v>
      </c>
      <c r="L56" s="525"/>
      <c r="M56" s="525">
        <f>VLOOKUP($B56,DONGIA,DG!$G$6,0)</f>
        <v>0</v>
      </c>
      <c r="N56" s="525">
        <f t="shared" si="39"/>
        <v>41000</v>
      </c>
      <c r="O56" s="525">
        <f t="shared" si="36"/>
        <v>0</v>
      </c>
      <c r="P56" s="525">
        <f t="shared" si="36"/>
        <v>0</v>
      </c>
      <c r="Q56" s="525">
        <f t="shared" si="36"/>
        <v>0</v>
      </c>
      <c r="R56" s="525">
        <f t="shared" si="36"/>
        <v>0</v>
      </c>
      <c r="S56" s="525">
        <f t="shared" si="36"/>
        <v>0</v>
      </c>
      <c r="U56" s="525">
        <f t="shared" si="40"/>
        <v>60</v>
      </c>
      <c r="V56" s="525">
        <f t="shared" si="40"/>
        <v>0</v>
      </c>
      <c r="W56" s="525">
        <f t="shared" si="40"/>
        <v>0</v>
      </c>
      <c r="X56" s="525">
        <f t="shared" si="40"/>
        <v>0</v>
      </c>
      <c r="Y56" s="525">
        <f t="shared" si="40"/>
        <v>0</v>
      </c>
      <c r="Z56" s="525">
        <f t="shared" si="40"/>
        <v>0</v>
      </c>
      <c r="AA56" s="525">
        <f t="shared" si="40"/>
        <v>0</v>
      </c>
      <c r="AB56" s="525">
        <f t="shared" si="40"/>
        <v>60</v>
      </c>
      <c r="AD56" s="405">
        <f t="shared" si="5"/>
        <v>0.90000000000000024</v>
      </c>
      <c r="AE56" s="525">
        <f t="shared" si="6"/>
        <v>54.000000000000014</v>
      </c>
      <c r="AF56" s="525">
        <f t="shared" si="7"/>
        <v>0</v>
      </c>
      <c r="AG56" s="525">
        <f t="shared" si="7"/>
        <v>0</v>
      </c>
      <c r="AH56" s="525">
        <f t="shared" si="7"/>
        <v>0</v>
      </c>
      <c r="AI56" s="525">
        <f t="shared" si="8"/>
        <v>0</v>
      </c>
      <c r="AJ56" s="525">
        <f t="shared" si="8"/>
        <v>0</v>
      </c>
      <c r="AK56" s="525">
        <f t="shared" si="8"/>
        <v>0</v>
      </c>
      <c r="AL56" s="525">
        <f t="shared" si="9"/>
        <v>54.000000000000014</v>
      </c>
    </row>
    <row r="57" spans="1:38">
      <c r="A57" s="618" t="s">
        <v>85</v>
      </c>
      <c r="B57" s="618" t="s">
        <v>2015</v>
      </c>
      <c r="C57" s="619">
        <f t="shared" si="38"/>
        <v>1</v>
      </c>
      <c r="D57" s="523">
        <f>VLOOKUP(B57,DONGIA,DG!$B$6,0)</f>
        <v>0</v>
      </c>
      <c r="E57" s="666" t="str">
        <f>VLOOKUP(B57,DONGIA,DG!$C$6,0)</f>
        <v>Boulon 16x550VRS + 2 long đền vuông D18-50x50x3/Zn</v>
      </c>
      <c r="F57" s="523" t="str">
        <f>VLOOKUP(B57,DONGIA,DG!$D$6,0)</f>
        <v>bộ</v>
      </c>
      <c r="G57" s="525">
        <v>1</v>
      </c>
      <c r="H57" s="525">
        <f>VLOOKUP($B57,DONGIA,DG!$E$6,0)</f>
        <v>43000</v>
      </c>
      <c r="I57" s="525"/>
      <c r="J57" s="525"/>
      <c r="K57" s="525">
        <f>VLOOKUP($B57,DONGIA,DG!$F$6,0)</f>
        <v>0</v>
      </c>
      <c r="L57" s="525"/>
      <c r="M57" s="525">
        <f>VLOOKUP($B57,DONGIA,DG!$G$6,0)</f>
        <v>0</v>
      </c>
      <c r="N57" s="525">
        <f t="shared" si="39"/>
        <v>43000</v>
      </c>
      <c r="O57" s="525">
        <f t="shared" si="36"/>
        <v>0</v>
      </c>
      <c r="P57" s="525">
        <f t="shared" si="36"/>
        <v>0</v>
      </c>
      <c r="Q57" s="525">
        <f t="shared" si="36"/>
        <v>0</v>
      </c>
      <c r="R57" s="525">
        <f t="shared" si="36"/>
        <v>0</v>
      </c>
      <c r="S57" s="525">
        <f t="shared" si="36"/>
        <v>0</v>
      </c>
      <c r="U57" s="525">
        <f t="shared" si="40"/>
        <v>60</v>
      </c>
      <c r="V57" s="525">
        <f t="shared" si="40"/>
        <v>0</v>
      </c>
      <c r="W57" s="525">
        <f t="shared" si="40"/>
        <v>0</v>
      </c>
      <c r="X57" s="525">
        <f t="shared" si="40"/>
        <v>0</v>
      </c>
      <c r="Y57" s="525">
        <f t="shared" si="40"/>
        <v>0</v>
      </c>
      <c r="Z57" s="525">
        <f t="shared" si="40"/>
        <v>0</v>
      </c>
      <c r="AA57" s="525">
        <f t="shared" si="40"/>
        <v>0</v>
      </c>
      <c r="AB57" s="525">
        <f t="shared" si="40"/>
        <v>60</v>
      </c>
      <c r="AD57" s="405">
        <f t="shared" si="5"/>
        <v>0.95000000000000029</v>
      </c>
      <c r="AE57" s="525">
        <f t="shared" si="6"/>
        <v>57.000000000000014</v>
      </c>
      <c r="AF57" s="525">
        <f t="shared" si="7"/>
        <v>0</v>
      </c>
      <c r="AG57" s="525">
        <f t="shared" si="7"/>
        <v>0</v>
      </c>
      <c r="AH57" s="525">
        <f t="shared" si="7"/>
        <v>0</v>
      </c>
      <c r="AI57" s="525">
        <f t="shared" si="8"/>
        <v>0</v>
      </c>
      <c r="AJ57" s="525">
        <f t="shared" si="8"/>
        <v>0</v>
      </c>
      <c r="AK57" s="525">
        <f t="shared" si="8"/>
        <v>0</v>
      </c>
      <c r="AL57" s="525">
        <f t="shared" si="9"/>
        <v>57.000000000000014</v>
      </c>
    </row>
    <row r="58" spans="1:38">
      <c r="A58" s="618"/>
      <c r="B58" s="618" t="s">
        <v>3509</v>
      </c>
      <c r="C58" s="619">
        <f t="shared" si="38"/>
        <v>1</v>
      </c>
      <c r="D58" s="523">
        <f>VLOOKUP(B58,DONGIA,DG!$B$6,0)</f>
        <v>0</v>
      </c>
      <c r="E58" s="666" t="str">
        <f>VLOOKUP(B58,DONGIA,DG!$C$6,0)</f>
        <v>Đinh: 15kg/100m2 ván khuôn</v>
      </c>
      <c r="F58" s="523" t="str">
        <f>VLOOKUP(B58,DONGIA,DG!$D$6,0)</f>
        <v>kg</v>
      </c>
      <c r="G58" s="626">
        <f>ROUND(G62*15/100,2)</f>
        <v>0.39</v>
      </c>
      <c r="H58" s="525"/>
      <c r="I58" s="525">
        <f>VLOOKUP($B58,DONGIA,DG!$E$6,0)</f>
        <v>25000</v>
      </c>
      <c r="J58" s="525"/>
      <c r="K58" s="525">
        <f>VLOOKUP($B58,DONGIA,DG!$F$6,0)</f>
        <v>0</v>
      </c>
      <c r="L58" s="525"/>
      <c r="M58" s="525">
        <f>VLOOKUP($B58,DONGIA,DG!$G$6,0)</f>
        <v>0</v>
      </c>
      <c r="N58" s="525">
        <f t="shared" si="39"/>
        <v>0</v>
      </c>
      <c r="O58" s="525">
        <f t="shared" si="36"/>
        <v>9750</v>
      </c>
      <c r="P58" s="525">
        <f t="shared" si="36"/>
        <v>0</v>
      </c>
      <c r="Q58" s="525">
        <f t="shared" si="36"/>
        <v>0</v>
      </c>
      <c r="R58" s="525">
        <f t="shared" si="36"/>
        <v>0</v>
      </c>
      <c r="S58" s="525">
        <f t="shared" si="36"/>
        <v>0</v>
      </c>
      <c r="U58" s="404"/>
      <c r="V58" s="404"/>
      <c r="W58" s="404"/>
      <c r="X58" s="404"/>
      <c r="Y58" s="404"/>
      <c r="Z58" s="404"/>
      <c r="AA58" s="404"/>
      <c r="AB58" s="404"/>
      <c r="AE58" s="404"/>
      <c r="AF58" s="404"/>
      <c r="AG58" s="404"/>
      <c r="AH58" s="404"/>
      <c r="AI58" s="404"/>
      <c r="AJ58" s="404"/>
      <c r="AK58" s="404"/>
      <c r="AL58" s="404"/>
    </row>
    <row r="59" spans="1:38">
      <c r="A59" s="618"/>
      <c r="B59" s="618" t="s">
        <v>3505</v>
      </c>
      <c r="C59" s="619">
        <f t="shared" si="38"/>
        <v>1</v>
      </c>
      <c r="D59" s="523">
        <f>VLOOKUP(B59,DONGIA,DG!$B$6,0)</f>
        <v>0</v>
      </c>
      <c r="E59" s="666" t="str">
        <f>VLOOKUP(B59,DONGIA,DG!$C$6,0)</f>
        <v>Gỗ chống: 0,335 m3/100m2 ván khuôn</v>
      </c>
      <c r="F59" s="523" t="str">
        <f>VLOOKUP(B59,DONGIA,DG!$D$6,0)</f>
        <v>m3</v>
      </c>
      <c r="G59" s="845">
        <f>ROUND(G62*0.335/100,4)</f>
        <v>8.6999999999999994E-3</v>
      </c>
      <c r="H59" s="525"/>
      <c r="I59" s="525">
        <f>VLOOKUP($B59,DONGIA,DG!$E$6,0)</f>
        <v>3800000</v>
      </c>
      <c r="J59" s="525"/>
      <c r="K59" s="525">
        <f>VLOOKUP($B59,DONGIA,DG!$F$6,0)</f>
        <v>0</v>
      </c>
      <c r="L59" s="525"/>
      <c r="M59" s="525">
        <f>VLOOKUP($B59,DONGIA,DG!$G$6,0)</f>
        <v>0</v>
      </c>
      <c r="N59" s="525">
        <f t="shared" si="39"/>
        <v>0</v>
      </c>
      <c r="O59" s="525">
        <f t="shared" si="36"/>
        <v>33060</v>
      </c>
      <c r="P59" s="525">
        <f t="shared" si="36"/>
        <v>0</v>
      </c>
      <c r="Q59" s="525">
        <f t="shared" si="36"/>
        <v>0</v>
      </c>
      <c r="R59" s="525">
        <f t="shared" si="36"/>
        <v>0</v>
      </c>
      <c r="S59" s="525">
        <f t="shared" si="36"/>
        <v>0</v>
      </c>
      <c r="U59" s="404"/>
      <c r="V59" s="404"/>
      <c r="W59" s="404"/>
      <c r="X59" s="404"/>
      <c r="Y59" s="404"/>
      <c r="Z59" s="404"/>
      <c r="AA59" s="404"/>
      <c r="AB59" s="404"/>
      <c r="AE59" s="404"/>
      <c r="AF59" s="404"/>
      <c r="AG59" s="404"/>
      <c r="AH59" s="404"/>
      <c r="AI59" s="404"/>
      <c r="AJ59" s="404"/>
      <c r="AK59" s="404"/>
      <c r="AL59" s="404"/>
    </row>
    <row r="60" spans="1:38">
      <c r="A60" s="618"/>
      <c r="B60" s="618" t="s">
        <v>3507</v>
      </c>
      <c r="C60" s="619">
        <f t="shared" si="38"/>
        <v>1</v>
      </c>
      <c r="D60" s="523">
        <f>VLOOKUP(B60,DONGIA,DG!$B$6,0)</f>
        <v>0</v>
      </c>
      <c r="E60" s="666" t="str">
        <f>VLOOKUP(B60,DONGIA,DG!$C$6,0)</f>
        <v>Gỗ đà nẹp: 0,21 m3/100m2 ván khuôn</v>
      </c>
      <c r="F60" s="523" t="str">
        <f>VLOOKUP(B60,DONGIA,DG!$D$6,0)</f>
        <v>m3</v>
      </c>
      <c r="G60" s="845">
        <f>ROUND(G62*0.21/100,4)</f>
        <v>5.4999999999999997E-3</v>
      </c>
      <c r="H60" s="525"/>
      <c r="I60" s="525">
        <f>VLOOKUP($B60,DONGIA,DG!$E$6,0)</f>
        <v>3800000</v>
      </c>
      <c r="J60" s="525"/>
      <c r="K60" s="525">
        <f>VLOOKUP($B60,DONGIA,DG!$F$6,0)</f>
        <v>0</v>
      </c>
      <c r="L60" s="525"/>
      <c r="M60" s="525">
        <f>VLOOKUP($B60,DONGIA,DG!$G$6,0)</f>
        <v>0</v>
      </c>
      <c r="N60" s="525">
        <f t="shared" si="39"/>
        <v>0</v>
      </c>
      <c r="O60" s="525">
        <f t="shared" si="36"/>
        <v>20900</v>
      </c>
      <c r="P60" s="525">
        <f t="shared" si="36"/>
        <v>0</v>
      </c>
      <c r="Q60" s="525">
        <f t="shared" si="36"/>
        <v>0</v>
      </c>
      <c r="R60" s="525">
        <f t="shared" si="36"/>
        <v>0</v>
      </c>
      <c r="S60" s="525">
        <f t="shared" si="36"/>
        <v>0</v>
      </c>
      <c r="U60" s="404"/>
      <c r="V60" s="404"/>
      <c r="W60" s="404"/>
      <c r="X60" s="404"/>
      <c r="Y60" s="404"/>
      <c r="Z60" s="404"/>
      <c r="AA60" s="404"/>
      <c r="AB60" s="404"/>
      <c r="AE60" s="404"/>
      <c r="AF60" s="404"/>
      <c r="AG60" s="404"/>
      <c r="AH60" s="404"/>
      <c r="AI60" s="404"/>
      <c r="AJ60" s="404"/>
      <c r="AK60" s="404"/>
      <c r="AL60" s="404"/>
    </row>
    <row r="61" spans="1:38">
      <c r="A61" s="618"/>
      <c r="B61" s="618" t="s">
        <v>3503</v>
      </c>
      <c r="C61" s="619">
        <f t="shared" si="38"/>
        <v>1</v>
      </c>
      <c r="D61" s="523">
        <f>VLOOKUP(B61,DONGIA,DG!$B$6,0)</f>
        <v>0</v>
      </c>
      <c r="E61" s="666" t="str">
        <f>VLOOKUP(B61,DONGIA,DG!$C$6,0)</f>
        <v>Gỗ ván (cả nẹp): 0,792 m3/100m2 ván khuôn</v>
      </c>
      <c r="F61" s="523" t="str">
        <f>VLOOKUP(B61,DONGIA,DG!$D$6,0)</f>
        <v>m3</v>
      </c>
      <c r="G61" s="845">
        <f>ROUND(G62*0.792/100,4)</f>
        <v>2.06E-2</v>
      </c>
      <c r="H61" s="525"/>
      <c r="I61" s="525">
        <f>VLOOKUP($B61,DONGIA,DG!$E$6,0)</f>
        <v>3800000</v>
      </c>
      <c r="J61" s="525"/>
      <c r="K61" s="525">
        <f>VLOOKUP($B61,DONGIA,DG!$F$6,0)</f>
        <v>0</v>
      </c>
      <c r="L61" s="525"/>
      <c r="M61" s="525">
        <f>VLOOKUP($B61,DONGIA,DG!$G$6,0)</f>
        <v>0</v>
      </c>
      <c r="N61" s="525">
        <f t="shared" si="39"/>
        <v>0</v>
      </c>
      <c r="O61" s="525">
        <f t="shared" si="36"/>
        <v>78280</v>
      </c>
      <c r="P61" s="525">
        <f t="shared" si="36"/>
        <v>0</v>
      </c>
      <c r="Q61" s="525">
        <f t="shared" si="36"/>
        <v>0</v>
      </c>
      <c r="R61" s="525">
        <f t="shared" si="36"/>
        <v>0</v>
      </c>
      <c r="S61" s="525">
        <f t="shared" si="36"/>
        <v>0</v>
      </c>
      <c r="U61" s="404"/>
      <c r="V61" s="404"/>
      <c r="W61" s="404"/>
      <c r="X61" s="404"/>
      <c r="Y61" s="404"/>
      <c r="Z61" s="404"/>
      <c r="AA61" s="404"/>
      <c r="AB61" s="404"/>
      <c r="AE61" s="404"/>
      <c r="AF61" s="404"/>
      <c r="AG61" s="404"/>
      <c r="AH61" s="404"/>
      <c r="AI61" s="404"/>
      <c r="AJ61" s="404"/>
      <c r="AK61" s="404"/>
      <c r="AL61" s="404"/>
    </row>
    <row r="62" spans="1:38">
      <c r="A62" s="618"/>
      <c r="B62" s="618" t="s">
        <v>3511</v>
      </c>
      <c r="C62" s="619">
        <f t="shared" si="38"/>
        <v>1</v>
      </c>
      <c r="D62" s="523" t="str">
        <f>VLOOKUP(B62,DONGIA,DG!$B$6,0)</f>
        <v>AF.81122</v>
      </c>
      <c r="E62" s="666" t="str">
        <f>VLOOKUP(B62,DONGIA,DG!$C$6,0)</f>
        <v>Lắp ván khuôn gỗ móng - móng vuông, chữ nhật</v>
      </c>
      <c r="F62" s="523" t="str">
        <f>VLOOKUP(B62,DONGIA,DG!$D$6,0)</f>
        <v>m2</v>
      </c>
      <c r="G62" s="626">
        <f>ROUND(1.45*0.5*2+1.15*0.5*2,3)</f>
        <v>2.6</v>
      </c>
      <c r="H62" s="525">
        <f>VLOOKUP($B62,DONGIA,DG!$E$6,0)</f>
        <v>0</v>
      </c>
      <c r="I62" s="525"/>
      <c r="J62" s="525">
        <f>VLOOKUP($B62,DONGIA,DG!$F$6,0)</f>
        <v>57946</v>
      </c>
      <c r="K62" s="525"/>
      <c r="L62" s="525"/>
      <c r="M62" s="525">
        <f>VLOOKUP($B62,DONGIA,DG!$G$6,0)</f>
        <v>0</v>
      </c>
      <c r="N62" s="525">
        <f t="shared" si="39"/>
        <v>0</v>
      </c>
      <c r="O62" s="525">
        <f t="shared" si="36"/>
        <v>0</v>
      </c>
      <c r="P62" s="525">
        <f t="shared" si="36"/>
        <v>150659.6</v>
      </c>
      <c r="Q62" s="525">
        <f t="shared" si="36"/>
        <v>0</v>
      </c>
      <c r="R62" s="525">
        <f t="shared" si="36"/>
        <v>0</v>
      </c>
      <c r="S62" s="525">
        <f t="shared" si="36"/>
        <v>0</v>
      </c>
      <c r="U62" s="404"/>
      <c r="V62" s="404"/>
      <c r="W62" s="404"/>
      <c r="X62" s="404"/>
      <c r="Y62" s="404"/>
      <c r="Z62" s="404"/>
      <c r="AA62" s="404"/>
      <c r="AB62" s="404"/>
      <c r="AE62" s="404"/>
      <c r="AF62" s="404"/>
      <c r="AG62" s="404"/>
      <c r="AH62" s="404"/>
      <c r="AI62" s="404"/>
      <c r="AJ62" s="404"/>
      <c r="AK62" s="404"/>
      <c r="AL62" s="404"/>
    </row>
    <row r="63" spans="1:38">
      <c r="A63" s="618"/>
      <c r="B63" s="618" t="s">
        <v>3572</v>
      </c>
      <c r="C63" s="619">
        <f t="shared" si="38"/>
        <v>1</v>
      </c>
      <c r="D63" s="523" t="str">
        <f>VLOOKUP(B63,DONGIA,DG!$B$6,0)</f>
        <v>AB.11443</v>
      </c>
      <c r="E63" s="666" t="str">
        <f>VLOOKUP(B63,DONGIA,DG!$C$6,0)</f>
        <v>Đào hố móng đất cấp 3 sâu &gt;1m (rộng &gt;1m)</v>
      </c>
      <c r="F63" s="523" t="str">
        <f>VLOOKUP(B63,DONGIA,DG!$D$6,0)</f>
        <v>m3</v>
      </c>
      <c r="G63" s="626">
        <v>1.0609999999999999</v>
      </c>
      <c r="H63" s="525"/>
      <c r="I63" s="525"/>
      <c r="J63" s="525">
        <f>VLOOKUP($B63,DONGIA,DG!$F$6,0)</f>
        <v>270211</v>
      </c>
      <c r="K63" s="525"/>
      <c r="L63" s="525">
        <f>VLOOKUP($B63,DONGIA,DG!$G$6,0)</f>
        <v>0</v>
      </c>
      <c r="M63" s="525"/>
      <c r="N63" s="525">
        <f t="shared" si="39"/>
        <v>0</v>
      </c>
      <c r="O63" s="525">
        <f t="shared" si="36"/>
        <v>0</v>
      </c>
      <c r="P63" s="525">
        <f t="shared" si="36"/>
        <v>286693.87099999998</v>
      </c>
      <c r="Q63" s="525">
        <f t="shared" si="36"/>
        <v>0</v>
      </c>
      <c r="R63" s="525">
        <f t="shared" si="36"/>
        <v>0</v>
      </c>
      <c r="S63" s="525">
        <f t="shared" si="36"/>
        <v>0</v>
      </c>
      <c r="U63" s="525">
        <f t="shared" si="40"/>
        <v>63.66</v>
      </c>
      <c r="V63" s="525">
        <f t="shared" si="40"/>
        <v>0</v>
      </c>
      <c r="W63" s="525">
        <f t="shared" si="40"/>
        <v>0</v>
      </c>
      <c r="X63" s="525">
        <f t="shared" si="40"/>
        <v>0</v>
      </c>
      <c r="Y63" s="525">
        <f t="shared" si="40"/>
        <v>0</v>
      </c>
      <c r="Z63" s="525">
        <f t="shared" si="40"/>
        <v>0</v>
      </c>
      <c r="AA63" s="525">
        <f t="shared" si="40"/>
        <v>0</v>
      </c>
      <c r="AB63" s="525">
        <f t="shared" si="40"/>
        <v>63.66</v>
      </c>
      <c r="AD63" s="405">
        <f t="shared" si="5"/>
        <v>0</v>
      </c>
      <c r="AE63" s="525">
        <f t="shared" si="6"/>
        <v>0</v>
      </c>
      <c r="AF63" s="525">
        <f t="shared" si="7"/>
        <v>0</v>
      </c>
      <c r="AG63" s="525">
        <f t="shared" si="7"/>
        <v>0</v>
      </c>
      <c r="AH63" s="525">
        <f t="shared" si="7"/>
        <v>0</v>
      </c>
      <c r="AI63" s="525">
        <f t="shared" si="8"/>
        <v>0</v>
      </c>
      <c r="AJ63" s="525">
        <f t="shared" si="8"/>
        <v>0</v>
      </c>
      <c r="AK63" s="525">
        <f t="shared" si="8"/>
        <v>0</v>
      </c>
      <c r="AL63" s="525">
        <f t="shared" si="9"/>
        <v>0</v>
      </c>
    </row>
    <row r="64" spans="1:38">
      <c r="A64" s="618"/>
      <c r="B64" s="618" t="s">
        <v>510</v>
      </c>
      <c r="C64" s="619">
        <f t="shared" si="38"/>
        <v>1</v>
      </c>
      <c r="D64" s="523" t="str">
        <f>VLOOKUP(B64,DONGIA,DG!$B$6,0)</f>
        <v>AB.65110</v>
      </c>
      <c r="E64" s="666" t="str">
        <f>VLOOKUP(B64,DONGIA,DG!$C$6,0)</f>
        <v>Đắp đất hố móng (K=0,85)</v>
      </c>
      <c r="F64" s="523" t="str">
        <f>VLOOKUP(B64,DONGIA,DG!$D$6,0)</f>
        <v>m3</v>
      </c>
      <c r="G64" s="626">
        <v>0.125</v>
      </c>
      <c r="H64" s="525"/>
      <c r="I64" s="525"/>
      <c r="J64" s="525">
        <f>VLOOKUP($B64,DONGIA,DG!$F$6,0)</f>
        <v>16267</v>
      </c>
      <c r="K64" s="525"/>
      <c r="L64" s="525">
        <f>VLOOKUP($B64,DONGIA,DG!$G$6,0)</f>
        <v>11176</v>
      </c>
      <c r="M64" s="525"/>
      <c r="N64" s="525">
        <f t="shared" si="39"/>
        <v>0</v>
      </c>
      <c r="O64" s="525">
        <f t="shared" si="36"/>
        <v>0</v>
      </c>
      <c r="P64" s="525">
        <f t="shared" si="36"/>
        <v>2033.375</v>
      </c>
      <c r="Q64" s="525">
        <f t="shared" si="36"/>
        <v>0</v>
      </c>
      <c r="R64" s="525">
        <f t="shared" si="36"/>
        <v>1397</v>
      </c>
      <c r="S64" s="525">
        <f t="shared" si="36"/>
        <v>0</v>
      </c>
      <c r="U64" s="525">
        <f t="shared" si="40"/>
        <v>7.5</v>
      </c>
      <c r="V64" s="525">
        <f t="shared" si="40"/>
        <v>0</v>
      </c>
      <c r="W64" s="525">
        <f t="shared" si="40"/>
        <v>0</v>
      </c>
      <c r="X64" s="525">
        <f t="shared" si="40"/>
        <v>0</v>
      </c>
      <c r="Y64" s="525">
        <f t="shared" si="40"/>
        <v>0</v>
      </c>
      <c r="Z64" s="525">
        <f t="shared" si="40"/>
        <v>0</v>
      </c>
      <c r="AA64" s="525">
        <f t="shared" si="40"/>
        <v>0</v>
      </c>
      <c r="AB64" s="525">
        <f t="shared" si="40"/>
        <v>7.5</v>
      </c>
      <c r="AD64" s="405">
        <f t="shared" si="5"/>
        <v>0</v>
      </c>
      <c r="AE64" s="525">
        <f t="shared" si="6"/>
        <v>0</v>
      </c>
      <c r="AF64" s="525">
        <f t="shared" si="7"/>
        <v>0</v>
      </c>
      <c r="AG64" s="525">
        <f t="shared" si="7"/>
        <v>0</v>
      </c>
      <c r="AH64" s="525">
        <f t="shared" si="7"/>
        <v>0</v>
      </c>
      <c r="AI64" s="525">
        <f t="shared" si="8"/>
        <v>0</v>
      </c>
      <c r="AJ64" s="525">
        <f t="shared" si="8"/>
        <v>0</v>
      </c>
      <c r="AK64" s="525">
        <f t="shared" si="8"/>
        <v>0</v>
      </c>
      <c r="AL64" s="525">
        <f t="shared" si="9"/>
        <v>0</v>
      </c>
    </row>
    <row r="65" spans="1:38">
      <c r="A65" s="618"/>
      <c r="B65" s="618" t="s">
        <v>713</v>
      </c>
      <c r="C65" s="619">
        <f t="shared" si="38"/>
        <v>1</v>
      </c>
      <c r="D65" s="523" t="str">
        <f>VLOOKUP(B65,DONGIA,DG!$B$6,0)</f>
        <v>AF.11210</v>
      </c>
      <c r="E65" s="666" t="str">
        <f>VLOOKUP(B65,DONGIA,DG!$C$6,0)</f>
        <v>Đổ bê tông mác M200 đá 1x2</v>
      </c>
      <c r="F65" s="523" t="str">
        <f>VLOOKUP(B65,DONGIA,DG!$D$6,0)</f>
        <v>m3</v>
      </c>
      <c r="G65" s="626">
        <v>0.73199999999999998</v>
      </c>
      <c r="H65" s="525"/>
      <c r="I65" s="525"/>
      <c r="J65" s="525">
        <f>VLOOKUP($B65,DONGIA,DG!$F$6,0)</f>
        <v>293475</v>
      </c>
      <c r="K65" s="525"/>
      <c r="L65" s="525">
        <f>VLOOKUP($B65,DONGIA,DG!$G$6,0)</f>
        <v>44701</v>
      </c>
      <c r="M65" s="525"/>
      <c r="N65" s="525">
        <f t="shared" si="39"/>
        <v>0</v>
      </c>
      <c r="O65" s="525">
        <f t="shared" si="36"/>
        <v>0</v>
      </c>
      <c r="P65" s="525">
        <f t="shared" si="36"/>
        <v>214823.69999999998</v>
      </c>
      <c r="Q65" s="525">
        <f t="shared" si="36"/>
        <v>0</v>
      </c>
      <c r="R65" s="525">
        <f t="shared" si="36"/>
        <v>32721.131999999998</v>
      </c>
      <c r="S65" s="525">
        <f t="shared" si="36"/>
        <v>0</v>
      </c>
      <c r="U65" s="525">
        <f t="shared" si="40"/>
        <v>43.92</v>
      </c>
      <c r="V65" s="525">
        <f t="shared" si="40"/>
        <v>0</v>
      </c>
      <c r="W65" s="525">
        <f t="shared" si="40"/>
        <v>0</v>
      </c>
      <c r="X65" s="525">
        <f t="shared" si="40"/>
        <v>0</v>
      </c>
      <c r="Y65" s="525">
        <f t="shared" si="40"/>
        <v>0</v>
      </c>
      <c r="Z65" s="525">
        <f t="shared" si="40"/>
        <v>0</v>
      </c>
      <c r="AA65" s="525">
        <f t="shared" si="40"/>
        <v>0</v>
      </c>
      <c r="AB65" s="525">
        <f t="shared" si="40"/>
        <v>43.92</v>
      </c>
      <c r="AD65" s="405">
        <f t="shared" si="5"/>
        <v>0</v>
      </c>
      <c r="AE65" s="525">
        <f t="shared" si="6"/>
        <v>0</v>
      </c>
      <c r="AF65" s="525">
        <f t="shared" si="7"/>
        <v>0</v>
      </c>
      <c r="AG65" s="525">
        <f t="shared" si="7"/>
        <v>0</v>
      </c>
      <c r="AH65" s="525">
        <f t="shared" si="7"/>
        <v>0</v>
      </c>
      <c r="AI65" s="525">
        <f t="shared" si="8"/>
        <v>0</v>
      </c>
      <c r="AJ65" s="525">
        <f t="shared" si="8"/>
        <v>0</v>
      </c>
      <c r="AK65" s="525">
        <f t="shared" si="8"/>
        <v>0</v>
      </c>
      <c r="AL65" s="525">
        <f t="shared" si="9"/>
        <v>0</v>
      </c>
    </row>
    <row r="66" spans="1:38">
      <c r="A66" s="618" t="s">
        <v>3429</v>
      </c>
      <c r="B66" s="618"/>
      <c r="C66" s="619">
        <f>IF(G66&lt;&gt;0,1,)</f>
        <v>1</v>
      </c>
      <c r="D66" s="622"/>
      <c r="E66" s="733" t="s">
        <v>3502</v>
      </c>
      <c r="F66" s="622" t="s">
        <v>1633</v>
      </c>
      <c r="G66" s="622">
        <f>U66</f>
        <v>12</v>
      </c>
      <c r="H66" s="623"/>
      <c r="I66" s="623"/>
      <c r="J66" s="623"/>
      <c r="K66" s="623"/>
      <c r="L66" s="623"/>
      <c r="M66" s="623"/>
      <c r="N66" s="623">
        <f t="shared" ref="N66:S66" si="41">SUM(N68:N83)</f>
        <v>121000</v>
      </c>
      <c r="O66" s="623">
        <f>SUM(O68:O83)</f>
        <v>702339.24600000004</v>
      </c>
      <c r="P66" s="623">
        <f>SUM(P68:P83)</f>
        <v>758508.10499999998</v>
      </c>
      <c r="Q66" s="623">
        <f t="shared" si="41"/>
        <v>0</v>
      </c>
      <c r="R66" s="623">
        <f>SUM(R68:R83)</f>
        <v>601664.00499999989</v>
      </c>
      <c r="S66" s="623">
        <f t="shared" si="41"/>
        <v>0</v>
      </c>
      <c r="U66" s="623">
        <f>SUM(V66:AB66)</f>
        <v>12</v>
      </c>
      <c r="V66" s="623">
        <f>IFERROR(HLOOKUP($A66,BK3P,V$3,0),)</f>
        <v>0</v>
      </c>
      <c r="W66" s="623">
        <f>IFERROR(HLOOKUP($A66,BK3P,W$3,0),)</f>
        <v>0</v>
      </c>
      <c r="X66" s="623">
        <f>IFERROR(HLOOKUP($A66,BK3P,X$3,0),)</f>
        <v>0</v>
      </c>
      <c r="Y66" s="623">
        <f>IFERROR(HLOOKUP($A66,BK1P,Y$3,0),)</f>
        <v>0</v>
      </c>
      <c r="Z66" s="623">
        <f>IFERROR(HLOOKUP($A66,BK1P,Z$3,0),)</f>
        <v>0</v>
      </c>
      <c r="AA66" s="623">
        <f>IFERROR(HLOOKUP($A66,BK1P,AA$3,0),)</f>
        <v>0</v>
      </c>
      <c r="AB66" s="623">
        <f>IFERROR(HLOOKUP($A66,BKHT,AB$3,0),)</f>
        <v>12</v>
      </c>
      <c r="AD66" s="405">
        <f t="shared" si="5"/>
        <v>0</v>
      </c>
      <c r="AE66" s="525">
        <f t="shared" si="6"/>
        <v>0</v>
      </c>
      <c r="AF66" s="525">
        <f t="shared" si="7"/>
        <v>0</v>
      </c>
      <c r="AG66" s="525">
        <f t="shared" si="7"/>
        <v>0</v>
      </c>
      <c r="AH66" s="525">
        <f t="shared" si="7"/>
        <v>0</v>
      </c>
      <c r="AI66" s="525">
        <f t="shared" si="8"/>
        <v>0</v>
      </c>
      <c r="AJ66" s="525">
        <f t="shared" si="8"/>
        <v>0</v>
      </c>
      <c r="AK66" s="525">
        <f t="shared" si="8"/>
        <v>0</v>
      </c>
      <c r="AL66" s="525">
        <f t="shared" si="9"/>
        <v>0</v>
      </c>
    </row>
    <row r="67" spans="1:38" s="542" customFormat="1">
      <c r="A67" s="624"/>
      <c r="B67" s="624"/>
      <c r="C67" s="625">
        <f>C66</f>
        <v>1</v>
      </c>
      <c r="D67" s="544"/>
      <c r="E67" s="734" t="s">
        <v>1644</v>
      </c>
      <c r="F67" s="544"/>
      <c r="G67" s="545"/>
      <c r="H67" s="545"/>
      <c r="I67" s="545"/>
      <c r="J67" s="545"/>
      <c r="K67" s="545"/>
      <c r="L67" s="545"/>
      <c r="M67" s="545"/>
      <c r="N67" s="545"/>
      <c r="O67" s="545"/>
      <c r="P67" s="545"/>
      <c r="Q67" s="545"/>
      <c r="R67" s="545"/>
      <c r="S67" s="545"/>
      <c r="U67" s="545"/>
      <c r="V67" s="545"/>
      <c r="W67" s="545"/>
      <c r="X67" s="545"/>
      <c r="Y67" s="545"/>
      <c r="Z67" s="545"/>
      <c r="AA67" s="545"/>
      <c r="AB67" s="545"/>
      <c r="AD67" s="405">
        <f t="shared" si="5"/>
        <v>0</v>
      </c>
      <c r="AE67" s="525">
        <f t="shared" si="6"/>
        <v>0</v>
      </c>
      <c r="AF67" s="525">
        <f t="shared" si="7"/>
        <v>0</v>
      </c>
      <c r="AG67" s="525">
        <f t="shared" si="7"/>
        <v>0</v>
      </c>
      <c r="AH67" s="525">
        <f t="shared" si="7"/>
        <v>0</v>
      </c>
      <c r="AI67" s="525">
        <f t="shared" si="8"/>
        <v>0</v>
      </c>
      <c r="AJ67" s="525">
        <f t="shared" si="8"/>
        <v>0</v>
      </c>
      <c r="AK67" s="525">
        <f t="shared" si="8"/>
        <v>0</v>
      </c>
      <c r="AL67" s="525">
        <f t="shared" si="9"/>
        <v>0</v>
      </c>
    </row>
    <row r="68" spans="1:38">
      <c r="A68" s="618"/>
      <c r="B68" s="618" t="s">
        <v>1639</v>
      </c>
      <c r="C68" s="619">
        <f t="shared" ref="C68:C83" si="42">IF(G68&lt;&gt;0,$C$178,)</f>
        <v>1</v>
      </c>
      <c r="D68" s="523">
        <f>VLOOKUP(B68,DONGIA,DG!$B$6,0)</f>
        <v>0</v>
      </c>
      <c r="E68" s="666" t="str">
        <f>VLOOKUP(B68,DONGIA,DG!$C$6,0)</f>
        <v>Xi măng</v>
      </c>
      <c r="F68" s="523" t="str">
        <f>VLOOKUP(B68,DONGIA,DG!$D$6,0)</f>
        <v>kg</v>
      </c>
      <c r="G68" s="549">
        <f>G83*281</f>
        <v>168.31899999999999</v>
      </c>
      <c r="H68" s="525"/>
      <c r="I68" s="525">
        <f>VLOOKUP($B68,DONGIA,DG!$E$6,0)</f>
        <v>1760</v>
      </c>
      <c r="J68" s="525">
        <f>VLOOKUP($B68,DONGIA,DG!$F$6,0)</f>
        <v>0</v>
      </c>
      <c r="K68" s="525"/>
      <c r="L68" s="525">
        <f>VLOOKUP($B68,DONGIA,DG!$G$6,0)</f>
        <v>0</v>
      </c>
      <c r="M68" s="525"/>
      <c r="N68" s="525">
        <f>$G68*H68</f>
        <v>0</v>
      </c>
      <c r="O68" s="525">
        <f t="shared" ref="O68:O83" si="43">$G68*I68</f>
        <v>296241.44</v>
      </c>
      <c r="P68" s="525">
        <f t="shared" ref="P68:P83" si="44">$G68*J68</f>
        <v>0</v>
      </c>
      <c r="Q68" s="525">
        <f t="shared" ref="Q68:Q83" si="45">$G68*K68</f>
        <v>0</v>
      </c>
      <c r="R68" s="525">
        <f t="shared" ref="R68:R83" si="46">$G68*L68</f>
        <v>0</v>
      </c>
      <c r="S68" s="525">
        <f t="shared" ref="S68:S83" si="47">$G68*M68</f>
        <v>0</v>
      </c>
      <c r="U68" s="525">
        <f t="shared" ref="U68:AB70" si="48">U$195*$G68</f>
        <v>2524.7849999999999</v>
      </c>
      <c r="V68" s="525">
        <f t="shared" si="48"/>
        <v>2524.7849999999999</v>
      </c>
      <c r="W68" s="525">
        <f t="shared" si="48"/>
        <v>0</v>
      </c>
      <c r="X68" s="525">
        <f t="shared" si="48"/>
        <v>0</v>
      </c>
      <c r="Y68" s="525">
        <f t="shared" si="48"/>
        <v>0</v>
      </c>
      <c r="Z68" s="525">
        <f t="shared" si="48"/>
        <v>0</v>
      </c>
      <c r="AA68" s="525">
        <f t="shared" si="48"/>
        <v>0</v>
      </c>
      <c r="AB68" s="525">
        <f t="shared" si="48"/>
        <v>0</v>
      </c>
      <c r="AD68" s="405">
        <f t="shared" si="5"/>
        <v>1</v>
      </c>
      <c r="AE68" s="525">
        <f t="shared" si="6"/>
        <v>2524.7849999999999</v>
      </c>
      <c r="AF68" s="525">
        <f t="shared" si="7"/>
        <v>2524.7849999999999</v>
      </c>
      <c r="AG68" s="525">
        <f t="shared" si="7"/>
        <v>0</v>
      </c>
      <c r="AH68" s="525">
        <f t="shared" si="7"/>
        <v>0</v>
      </c>
      <c r="AI68" s="525">
        <f t="shared" si="8"/>
        <v>0</v>
      </c>
      <c r="AJ68" s="525">
        <f t="shared" si="8"/>
        <v>0</v>
      </c>
      <c r="AK68" s="525">
        <f t="shared" si="8"/>
        <v>0</v>
      </c>
      <c r="AL68" s="525">
        <f t="shared" si="9"/>
        <v>0</v>
      </c>
    </row>
    <row r="69" spans="1:38">
      <c r="A69" s="618"/>
      <c r="B69" s="618" t="s">
        <v>471</v>
      </c>
      <c r="C69" s="619">
        <f t="shared" si="42"/>
        <v>1</v>
      </c>
      <c r="D69" s="523">
        <f>VLOOKUP(B69,DONGIA,DG!$B$6,0)</f>
        <v>0</v>
      </c>
      <c r="E69" s="666" t="str">
        <f>VLOOKUP(B69,DONGIA,DG!$C$6,0)</f>
        <v>Cát vàng</v>
      </c>
      <c r="F69" s="523" t="str">
        <f>VLOOKUP(B69,DONGIA,DG!$D$6,0)</f>
        <v>m3</v>
      </c>
      <c r="G69" s="626">
        <f>G83*0.477</f>
        <v>0.28572299999999995</v>
      </c>
      <c r="H69" s="525"/>
      <c r="I69" s="525">
        <f>VLOOKUP($B69,DONGIA,DG!$E$6,0)</f>
        <v>350000</v>
      </c>
      <c r="J69" s="525">
        <f>VLOOKUP($B69,DONGIA,DG!$F$6,0)</f>
        <v>0</v>
      </c>
      <c r="K69" s="525"/>
      <c r="L69" s="525">
        <f>VLOOKUP($B69,DONGIA,DG!$G$6,0)</f>
        <v>0</v>
      </c>
      <c r="M69" s="525"/>
      <c r="N69" s="525">
        <f t="shared" ref="N69:N83" si="49">$G69*H69</f>
        <v>0</v>
      </c>
      <c r="O69" s="525">
        <f t="shared" si="43"/>
        <v>100003.04999999999</v>
      </c>
      <c r="P69" s="525">
        <f t="shared" si="44"/>
        <v>0</v>
      </c>
      <c r="Q69" s="525">
        <f t="shared" si="45"/>
        <v>0</v>
      </c>
      <c r="R69" s="525">
        <f t="shared" si="46"/>
        <v>0</v>
      </c>
      <c r="S69" s="525">
        <f t="shared" si="47"/>
        <v>0</v>
      </c>
      <c r="U69" s="525">
        <f t="shared" si="48"/>
        <v>4.2858449999999992</v>
      </c>
      <c r="V69" s="525">
        <f t="shared" si="48"/>
        <v>4.2858449999999992</v>
      </c>
      <c r="W69" s="525">
        <f t="shared" si="48"/>
        <v>0</v>
      </c>
      <c r="X69" s="525">
        <f t="shared" si="48"/>
        <v>0</v>
      </c>
      <c r="Y69" s="525">
        <f t="shared" si="48"/>
        <v>0</v>
      </c>
      <c r="Z69" s="525">
        <f t="shared" si="48"/>
        <v>0</v>
      </c>
      <c r="AA69" s="525">
        <f t="shared" si="48"/>
        <v>0</v>
      </c>
      <c r="AB69" s="525">
        <f t="shared" si="48"/>
        <v>0</v>
      </c>
      <c r="AD69" s="405">
        <f t="shared" si="5"/>
        <v>1500</v>
      </c>
      <c r="AE69" s="525">
        <f t="shared" si="6"/>
        <v>6428.767499999999</v>
      </c>
      <c r="AF69" s="525">
        <f t="shared" si="7"/>
        <v>6428.767499999999</v>
      </c>
      <c r="AG69" s="525">
        <f t="shared" si="7"/>
        <v>0</v>
      </c>
      <c r="AH69" s="525">
        <f t="shared" si="7"/>
        <v>0</v>
      </c>
      <c r="AI69" s="525">
        <f t="shared" si="8"/>
        <v>0</v>
      </c>
      <c r="AJ69" s="525">
        <f t="shared" si="8"/>
        <v>0</v>
      </c>
      <c r="AK69" s="525">
        <f t="shared" si="8"/>
        <v>0</v>
      </c>
      <c r="AL69" s="525">
        <f t="shared" si="9"/>
        <v>0</v>
      </c>
    </row>
    <row r="70" spans="1:38">
      <c r="A70" s="618"/>
      <c r="B70" s="618" t="s">
        <v>1640</v>
      </c>
      <c r="C70" s="619">
        <f t="shared" si="42"/>
        <v>1</v>
      </c>
      <c r="D70" s="523">
        <f>VLOOKUP(B70,DONGIA,DG!$B$6,0)</f>
        <v>0</v>
      </c>
      <c r="E70" s="666" t="str">
        <f>VLOOKUP(B70,DONGIA,DG!$C$6,0)</f>
        <v>Đá 1x2</v>
      </c>
      <c r="F70" s="523" t="str">
        <f>VLOOKUP(B70,DONGIA,DG!$D$6,0)</f>
        <v>m3</v>
      </c>
      <c r="G70" s="626">
        <f>G83*0.882</f>
        <v>0.52831799999999995</v>
      </c>
      <c r="H70" s="525"/>
      <c r="I70" s="525">
        <f>VLOOKUP($B70,DONGIA,DG!$E$6,0)</f>
        <v>342000</v>
      </c>
      <c r="J70" s="525">
        <f>VLOOKUP($B70,DONGIA,DG!$F$6,0)</f>
        <v>0</v>
      </c>
      <c r="K70" s="525"/>
      <c r="L70" s="525">
        <f>VLOOKUP($B70,DONGIA,DG!$G$6,0)</f>
        <v>0</v>
      </c>
      <c r="M70" s="525"/>
      <c r="N70" s="525">
        <f t="shared" si="49"/>
        <v>0</v>
      </c>
      <c r="O70" s="525">
        <f t="shared" si="43"/>
        <v>180684.75599999999</v>
      </c>
      <c r="P70" s="525">
        <f t="shared" si="44"/>
        <v>0</v>
      </c>
      <c r="Q70" s="525">
        <f t="shared" si="45"/>
        <v>0</v>
      </c>
      <c r="R70" s="525">
        <f t="shared" si="46"/>
        <v>0</v>
      </c>
      <c r="S70" s="525">
        <f t="shared" si="47"/>
        <v>0</v>
      </c>
      <c r="U70" s="525">
        <f t="shared" si="48"/>
        <v>7.9247699999999996</v>
      </c>
      <c r="V70" s="525">
        <f t="shared" si="48"/>
        <v>7.9247699999999996</v>
      </c>
      <c r="W70" s="525">
        <f t="shared" si="48"/>
        <v>0</v>
      </c>
      <c r="X70" s="525">
        <f t="shared" si="48"/>
        <v>0</v>
      </c>
      <c r="Y70" s="525">
        <f t="shared" si="48"/>
        <v>0</v>
      </c>
      <c r="Z70" s="525">
        <f t="shared" si="48"/>
        <v>0</v>
      </c>
      <c r="AA70" s="525">
        <f t="shared" si="48"/>
        <v>0</v>
      </c>
      <c r="AB70" s="525">
        <f t="shared" si="48"/>
        <v>0</v>
      </c>
      <c r="AD70" s="405">
        <f t="shared" si="5"/>
        <v>1500</v>
      </c>
      <c r="AE70" s="525">
        <f t="shared" si="6"/>
        <v>11887.154999999999</v>
      </c>
      <c r="AF70" s="525">
        <f t="shared" si="7"/>
        <v>11887.154999999999</v>
      </c>
      <c r="AG70" s="525">
        <f t="shared" si="7"/>
        <v>0</v>
      </c>
      <c r="AH70" s="525">
        <f t="shared" si="7"/>
        <v>0</v>
      </c>
      <c r="AI70" s="525">
        <f t="shared" si="8"/>
        <v>0</v>
      </c>
      <c r="AJ70" s="525">
        <f t="shared" si="8"/>
        <v>0</v>
      </c>
      <c r="AK70" s="525">
        <f t="shared" si="8"/>
        <v>0</v>
      </c>
      <c r="AL70" s="525">
        <f t="shared" si="9"/>
        <v>0</v>
      </c>
    </row>
    <row r="71" spans="1:38">
      <c r="A71" s="618"/>
      <c r="B71" s="618" t="s">
        <v>2013</v>
      </c>
      <c r="C71" s="619">
        <f t="shared" si="42"/>
        <v>1</v>
      </c>
      <c r="D71" s="523">
        <f>VLOOKUP(B71,DONGIA,DG!$B$6,0)</f>
        <v>0</v>
      </c>
      <c r="E71" s="666" t="str">
        <f>VLOOKUP(B71,DONGIA,DG!$C$6,0)</f>
        <v>Boulon 16x400VRS + 2 long đền vuông D18-50x50x3/Zn</v>
      </c>
      <c r="F71" s="523" t="str">
        <f>VLOOKUP(B71,DONGIA,DG!$D$6,0)</f>
        <v>bộ</v>
      </c>
      <c r="G71" s="525">
        <v>1</v>
      </c>
      <c r="H71" s="525">
        <f>VLOOKUP($B71,DONGIA,DG!$E$6,0)</f>
        <v>37000</v>
      </c>
      <c r="I71" s="525"/>
      <c r="J71" s="525"/>
      <c r="K71" s="525">
        <f>VLOOKUP($B71,DONGIA,DG!$F$6,0)</f>
        <v>0</v>
      </c>
      <c r="L71" s="525"/>
      <c r="M71" s="525">
        <f>VLOOKUP($B71,DONGIA,DG!$G$6,0)</f>
        <v>0</v>
      </c>
      <c r="N71" s="525">
        <f t="shared" si="49"/>
        <v>37000</v>
      </c>
      <c r="O71" s="525">
        <f t="shared" si="43"/>
        <v>0</v>
      </c>
      <c r="P71" s="525">
        <f t="shared" si="44"/>
        <v>0</v>
      </c>
      <c r="Q71" s="525">
        <f t="shared" si="45"/>
        <v>0</v>
      </c>
      <c r="R71" s="525">
        <f t="shared" si="46"/>
        <v>0</v>
      </c>
      <c r="S71" s="525">
        <f t="shared" si="47"/>
        <v>0</v>
      </c>
      <c r="U71" s="525">
        <f t="shared" ref="U71:AB71" si="50">U$178*$G71</f>
        <v>71</v>
      </c>
      <c r="V71" s="525">
        <f t="shared" si="50"/>
        <v>71</v>
      </c>
      <c r="W71" s="525">
        <f t="shared" si="50"/>
        <v>0</v>
      </c>
      <c r="X71" s="525">
        <f t="shared" si="50"/>
        <v>0</v>
      </c>
      <c r="Y71" s="525">
        <f t="shared" si="50"/>
        <v>0</v>
      </c>
      <c r="Z71" s="525">
        <f t="shared" si="50"/>
        <v>0</v>
      </c>
      <c r="AA71" s="525">
        <f t="shared" si="50"/>
        <v>0</v>
      </c>
      <c r="AB71" s="525">
        <f t="shared" si="50"/>
        <v>0</v>
      </c>
      <c r="AD71" s="405">
        <f t="shared" si="5"/>
        <v>0.80000000000000016</v>
      </c>
      <c r="AE71" s="525">
        <f t="shared" si="6"/>
        <v>56.800000000000011</v>
      </c>
      <c r="AF71" s="525">
        <f t="shared" si="7"/>
        <v>56.800000000000011</v>
      </c>
      <c r="AG71" s="525">
        <f t="shared" si="7"/>
        <v>0</v>
      </c>
      <c r="AH71" s="525">
        <f t="shared" si="7"/>
        <v>0</v>
      </c>
      <c r="AI71" s="525">
        <f t="shared" si="8"/>
        <v>0</v>
      </c>
      <c r="AJ71" s="525">
        <f t="shared" si="8"/>
        <v>0</v>
      </c>
      <c r="AK71" s="525">
        <f t="shared" si="8"/>
        <v>0</v>
      </c>
      <c r="AL71" s="525">
        <f t="shared" si="9"/>
        <v>0</v>
      </c>
    </row>
    <row r="72" spans="1:38">
      <c r="A72" s="618"/>
      <c r="B72" s="618" t="s">
        <v>2014</v>
      </c>
      <c r="C72" s="619">
        <f t="shared" si="42"/>
        <v>1</v>
      </c>
      <c r="D72" s="523">
        <f>VLOOKUP(B72,DONGIA,DG!$B$6,0)</f>
        <v>0</v>
      </c>
      <c r="E72" s="666" t="str">
        <f>VLOOKUP(B72,DONGIA,DG!$C$6,0)</f>
        <v>Boulon 16x500VRS + 2 long đền vuông D18-50x50x3/Zn</v>
      </c>
      <c r="F72" s="523" t="str">
        <f>VLOOKUP(B72,DONGIA,DG!$D$6,0)</f>
        <v>bộ</v>
      </c>
      <c r="G72" s="525">
        <v>1</v>
      </c>
      <c r="H72" s="525">
        <f>VLOOKUP($B72,DONGIA,DG!$E$6,0)</f>
        <v>41000</v>
      </c>
      <c r="I72" s="525"/>
      <c r="J72" s="525"/>
      <c r="K72" s="525">
        <f>VLOOKUP($B72,DONGIA,DG!$F$6,0)</f>
        <v>0</v>
      </c>
      <c r="L72" s="525"/>
      <c r="M72" s="525">
        <f>VLOOKUP($B72,DONGIA,DG!$G$6,0)</f>
        <v>0</v>
      </c>
      <c r="N72" s="525">
        <f t="shared" si="49"/>
        <v>41000</v>
      </c>
      <c r="O72" s="525">
        <f t="shared" si="43"/>
        <v>0</v>
      </c>
      <c r="P72" s="525">
        <f t="shared" si="44"/>
        <v>0</v>
      </c>
      <c r="Q72" s="525">
        <f t="shared" si="45"/>
        <v>0</v>
      </c>
      <c r="R72" s="525">
        <f t="shared" si="46"/>
        <v>0</v>
      </c>
      <c r="S72" s="525">
        <f t="shared" si="47"/>
        <v>0</v>
      </c>
      <c r="U72" s="525">
        <f t="shared" ref="U72:AB74" si="51">U$195*$G72</f>
        <v>15</v>
      </c>
      <c r="V72" s="525">
        <f t="shared" si="51"/>
        <v>15</v>
      </c>
      <c r="W72" s="525">
        <f t="shared" si="51"/>
        <v>0</v>
      </c>
      <c r="X72" s="525">
        <f t="shared" si="51"/>
        <v>0</v>
      </c>
      <c r="Y72" s="525">
        <f t="shared" si="51"/>
        <v>0</v>
      </c>
      <c r="Z72" s="525">
        <f t="shared" si="51"/>
        <v>0</v>
      </c>
      <c r="AA72" s="525">
        <f t="shared" si="51"/>
        <v>0</v>
      </c>
      <c r="AB72" s="525">
        <f t="shared" si="51"/>
        <v>0</v>
      </c>
      <c r="AD72" s="405">
        <f t="shared" si="5"/>
        <v>0.90000000000000024</v>
      </c>
      <c r="AE72" s="525">
        <f t="shared" si="6"/>
        <v>13.500000000000004</v>
      </c>
      <c r="AF72" s="525">
        <f t="shared" si="7"/>
        <v>13.500000000000004</v>
      </c>
      <c r="AG72" s="525">
        <f t="shared" si="7"/>
        <v>0</v>
      </c>
      <c r="AH72" s="525">
        <f t="shared" si="7"/>
        <v>0</v>
      </c>
      <c r="AI72" s="525">
        <f t="shared" si="8"/>
        <v>0</v>
      </c>
      <c r="AJ72" s="525">
        <f t="shared" si="8"/>
        <v>0</v>
      </c>
      <c r="AK72" s="525">
        <f t="shared" si="8"/>
        <v>0</v>
      </c>
      <c r="AL72" s="525">
        <f t="shared" si="9"/>
        <v>0</v>
      </c>
    </row>
    <row r="73" spans="1:38">
      <c r="A73" s="618"/>
      <c r="B73" s="618" t="s">
        <v>2015</v>
      </c>
      <c r="C73" s="619">
        <f t="shared" si="42"/>
        <v>1</v>
      </c>
      <c r="D73" s="523">
        <f>VLOOKUP(B73,DONGIA,DG!$B$6,0)</f>
        <v>0</v>
      </c>
      <c r="E73" s="666" t="str">
        <f>VLOOKUP(B73,DONGIA,DG!$C$6,0)</f>
        <v>Boulon 16x550VRS + 2 long đền vuông D18-50x50x3/Zn</v>
      </c>
      <c r="F73" s="523" t="str">
        <f>VLOOKUP(B73,DONGIA,DG!$D$6,0)</f>
        <v>bộ</v>
      </c>
      <c r="G73" s="525">
        <v>1</v>
      </c>
      <c r="H73" s="525">
        <f>VLOOKUP($B73,DONGIA,DG!$E$6,0)</f>
        <v>43000</v>
      </c>
      <c r="I73" s="525"/>
      <c r="J73" s="525"/>
      <c r="K73" s="525">
        <f>VLOOKUP($B73,DONGIA,DG!$F$6,0)</f>
        <v>0</v>
      </c>
      <c r="L73" s="525"/>
      <c r="M73" s="525">
        <f>VLOOKUP($B73,DONGIA,DG!$G$6,0)</f>
        <v>0</v>
      </c>
      <c r="N73" s="525">
        <f t="shared" si="49"/>
        <v>43000</v>
      </c>
      <c r="O73" s="525">
        <f t="shared" si="43"/>
        <v>0</v>
      </c>
      <c r="P73" s="525">
        <f t="shared" si="44"/>
        <v>0</v>
      </c>
      <c r="Q73" s="525">
        <f t="shared" si="45"/>
        <v>0</v>
      </c>
      <c r="R73" s="525">
        <f t="shared" si="46"/>
        <v>0</v>
      </c>
      <c r="S73" s="525">
        <f t="shared" si="47"/>
        <v>0</v>
      </c>
      <c r="U73" s="525">
        <f t="shared" si="51"/>
        <v>15</v>
      </c>
      <c r="V73" s="525">
        <f t="shared" si="51"/>
        <v>15</v>
      </c>
      <c r="W73" s="525">
        <f t="shared" si="51"/>
        <v>0</v>
      </c>
      <c r="X73" s="525">
        <f t="shared" si="51"/>
        <v>0</v>
      </c>
      <c r="Y73" s="525">
        <f t="shared" si="51"/>
        <v>0</v>
      </c>
      <c r="Z73" s="525">
        <f t="shared" si="51"/>
        <v>0</v>
      </c>
      <c r="AA73" s="525">
        <f t="shared" si="51"/>
        <v>0</v>
      </c>
      <c r="AB73" s="525">
        <f t="shared" si="51"/>
        <v>0</v>
      </c>
      <c r="AD73" s="405">
        <f t="shared" si="5"/>
        <v>0.95000000000000029</v>
      </c>
      <c r="AE73" s="525">
        <f t="shared" si="6"/>
        <v>14.250000000000004</v>
      </c>
      <c r="AF73" s="525">
        <f t="shared" si="7"/>
        <v>14.250000000000004</v>
      </c>
      <c r="AG73" s="525">
        <f t="shared" si="7"/>
        <v>0</v>
      </c>
      <c r="AH73" s="525">
        <f t="shared" si="7"/>
        <v>0</v>
      </c>
      <c r="AI73" s="525">
        <f t="shared" si="8"/>
        <v>0</v>
      </c>
      <c r="AJ73" s="525">
        <f t="shared" si="8"/>
        <v>0</v>
      </c>
      <c r="AK73" s="525">
        <f t="shared" si="8"/>
        <v>0</v>
      </c>
      <c r="AL73" s="525">
        <f t="shared" si="9"/>
        <v>0</v>
      </c>
    </row>
    <row r="74" spans="1:38">
      <c r="A74" s="618"/>
      <c r="B74" s="618" t="s">
        <v>2017</v>
      </c>
      <c r="C74" s="619">
        <f t="shared" si="42"/>
        <v>0</v>
      </c>
      <c r="D74" s="523">
        <f>VLOOKUP(B74,DONGIA,DG!$B$6,0)</f>
        <v>0</v>
      </c>
      <c r="E74" s="525" t="str">
        <f>VLOOKUP(B74,DONGIA,DG!$C$6,0)</f>
        <v>Boulon 16x650VRS + 2 long đền vuông D18-50x50x3/Zn</v>
      </c>
      <c r="F74" s="523" t="str">
        <f>VLOOKUP(B74,DONGIA,DG!$D$6,0)</f>
        <v>bộ</v>
      </c>
      <c r="G74" s="340"/>
      <c r="H74" s="525">
        <f>VLOOKUP($B74,DONGIA,DG!$E$6,0)</f>
        <v>49000</v>
      </c>
      <c r="I74" s="525"/>
      <c r="J74" s="525"/>
      <c r="K74" s="525">
        <f>VLOOKUP($B74,DONGIA,DG!$F$6,0)</f>
        <v>0</v>
      </c>
      <c r="L74" s="525"/>
      <c r="M74" s="525">
        <f>VLOOKUP($B74,DONGIA,DG!$G$6,0)</f>
        <v>0</v>
      </c>
      <c r="N74" s="525">
        <f t="shared" si="49"/>
        <v>0</v>
      </c>
      <c r="O74" s="525">
        <f t="shared" si="43"/>
        <v>0</v>
      </c>
      <c r="P74" s="525">
        <f t="shared" si="44"/>
        <v>0</v>
      </c>
      <c r="Q74" s="525">
        <f t="shared" si="45"/>
        <v>0</v>
      </c>
      <c r="R74" s="525">
        <f t="shared" si="46"/>
        <v>0</v>
      </c>
      <c r="S74" s="525">
        <f t="shared" si="47"/>
        <v>0</v>
      </c>
      <c r="U74" s="525">
        <f t="shared" si="51"/>
        <v>0</v>
      </c>
      <c r="V74" s="525">
        <f t="shared" si="51"/>
        <v>0</v>
      </c>
      <c r="W74" s="525">
        <f t="shared" si="51"/>
        <v>0</v>
      </c>
      <c r="X74" s="525">
        <f t="shared" si="51"/>
        <v>0</v>
      </c>
      <c r="Y74" s="525">
        <f t="shared" si="51"/>
        <v>0</v>
      </c>
      <c r="Z74" s="525">
        <f t="shared" si="51"/>
        <v>0</v>
      </c>
      <c r="AA74" s="525">
        <f t="shared" si="51"/>
        <v>0</v>
      </c>
      <c r="AB74" s="525">
        <f t="shared" si="51"/>
        <v>0</v>
      </c>
      <c r="AD74" s="405">
        <f t="shared" si="5"/>
        <v>1.0500000000000003</v>
      </c>
      <c r="AE74" s="525">
        <f t="shared" si="6"/>
        <v>0</v>
      </c>
      <c r="AF74" s="525">
        <f t="shared" si="7"/>
        <v>0</v>
      </c>
      <c r="AG74" s="525">
        <f t="shared" si="7"/>
        <v>0</v>
      </c>
      <c r="AH74" s="525">
        <f t="shared" si="7"/>
        <v>0</v>
      </c>
      <c r="AI74" s="525">
        <f t="shared" si="8"/>
        <v>0</v>
      </c>
      <c r="AJ74" s="525">
        <f t="shared" si="8"/>
        <v>0</v>
      </c>
      <c r="AK74" s="525">
        <f t="shared" si="8"/>
        <v>0</v>
      </c>
      <c r="AL74" s="525">
        <f t="shared" si="9"/>
        <v>0</v>
      </c>
    </row>
    <row r="75" spans="1:38">
      <c r="A75" s="618"/>
      <c r="B75" s="618" t="s">
        <v>3509</v>
      </c>
      <c r="C75" s="619">
        <f t="shared" si="42"/>
        <v>1</v>
      </c>
      <c r="D75" s="523">
        <f>VLOOKUP(B75,DONGIA,DG!$B$6,0)</f>
        <v>0</v>
      </c>
      <c r="E75" s="666" t="str">
        <f>VLOOKUP(B75,DONGIA,DG!$C$6,0)</f>
        <v>Đinh: 15kg/100m2 ván khuôn</v>
      </c>
      <c r="F75" s="523" t="str">
        <f>VLOOKUP(B75,DONGIA,DG!$D$6,0)</f>
        <v>kg</v>
      </c>
      <c r="G75" s="626">
        <f>ROUND(G79*15/100,2)</f>
        <v>0.35</v>
      </c>
      <c r="H75" s="525"/>
      <c r="I75" s="525">
        <f>VLOOKUP($B75,DONGIA,DG!$E$6,0)</f>
        <v>25000</v>
      </c>
      <c r="J75" s="525"/>
      <c r="K75" s="525">
        <f>VLOOKUP($B75,DONGIA,DG!$F$6,0)</f>
        <v>0</v>
      </c>
      <c r="L75" s="525"/>
      <c r="M75" s="525">
        <f>VLOOKUP($B75,DONGIA,DG!$G$6,0)</f>
        <v>0</v>
      </c>
      <c r="N75" s="525">
        <f t="shared" si="49"/>
        <v>0</v>
      </c>
      <c r="O75" s="525">
        <f t="shared" si="43"/>
        <v>8750</v>
      </c>
      <c r="P75" s="525">
        <f t="shared" si="44"/>
        <v>0</v>
      </c>
      <c r="Q75" s="525">
        <f t="shared" si="45"/>
        <v>0</v>
      </c>
      <c r="R75" s="525">
        <f t="shared" si="46"/>
        <v>0</v>
      </c>
      <c r="S75" s="525">
        <f t="shared" si="47"/>
        <v>0</v>
      </c>
      <c r="U75" s="404"/>
      <c r="V75" s="404"/>
      <c r="W75" s="404"/>
      <c r="X75" s="404"/>
      <c r="Y75" s="404"/>
      <c r="Z75" s="404"/>
      <c r="AA75" s="404"/>
      <c r="AB75" s="404"/>
      <c r="AE75" s="404"/>
      <c r="AF75" s="404"/>
      <c r="AG75" s="404"/>
      <c r="AH75" s="404"/>
      <c r="AI75" s="404"/>
      <c r="AJ75" s="404"/>
      <c r="AK75" s="404"/>
      <c r="AL75" s="404"/>
    </row>
    <row r="76" spans="1:38">
      <c r="A76" s="618"/>
      <c r="B76" s="618" t="s">
        <v>3505</v>
      </c>
      <c r="C76" s="619">
        <f t="shared" si="42"/>
        <v>1</v>
      </c>
      <c r="D76" s="523">
        <f>VLOOKUP(B76,DONGIA,DG!$B$6,0)</f>
        <v>0</v>
      </c>
      <c r="E76" s="666" t="str">
        <f>VLOOKUP(B76,DONGIA,DG!$C$6,0)</f>
        <v>Gỗ chống: 0,335 m3/100m2 ván khuôn</v>
      </c>
      <c r="F76" s="523" t="str">
        <f>VLOOKUP(B76,DONGIA,DG!$D$6,0)</f>
        <v>m3</v>
      </c>
      <c r="G76" s="845">
        <f>ROUND(G79*0.335/100,4)</f>
        <v>7.7000000000000002E-3</v>
      </c>
      <c r="H76" s="525"/>
      <c r="I76" s="525">
        <f>VLOOKUP($B76,DONGIA,DG!$E$6,0)</f>
        <v>3800000</v>
      </c>
      <c r="J76" s="525"/>
      <c r="K76" s="525">
        <f>VLOOKUP($B76,DONGIA,DG!$F$6,0)</f>
        <v>0</v>
      </c>
      <c r="L76" s="525"/>
      <c r="M76" s="525">
        <f>VLOOKUP($B76,DONGIA,DG!$G$6,0)</f>
        <v>0</v>
      </c>
      <c r="N76" s="525">
        <f t="shared" si="49"/>
        <v>0</v>
      </c>
      <c r="O76" s="525">
        <f t="shared" si="43"/>
        <v>29260</v>
      </c>
      <c r="P76" s="525">
        <f t="shared" si="44"/>
        <v>0</v>
      </c>
      <c r="Q76" s="525">
        <f t="shared" si="45"/>
        <v>0</v>
      </c>
      <c r="R76" s="525">
        <f t="shared" si="46"/>
        <v>0</v>
      </c>
      <c r="S76" s="525">
        <f t="shared" si="47"/>
        <v>0</v>
      </c>
      <c r="U76" s="404"/>
      <c r="V76" s="404"/>
      <c r="W76" s="404"/>
      <c r="X76" s="404"/>
      <c r="Y76" s="404"/>
      <c r="Z76" s="404"/>
      <c r="AA76" s="404"/>
      <c r="AB76" s="404"/>
      <c r="AE76" s="404"/>
      <c r="AF76" s="404"/>
      <c r="AG76" s="404"/>
      <c r="AH76" s="404"/>
      <c r="AI76" s="404"/>
      <c r="AJ76" s="404"/>
      <c r="AK76" s="404"/>
      <c r="AL76" s="404"/>
    </row>
    <row r="77" spans="1:38">
      <c r="A77" s="618"/>
      <c r="B77" s="618" t="s">
        <v>3507</v>
      </c>
      <c r="C77" s="619">
        <f t="shared" si="42"/>
        <v>1</v>
      </c>
      <c r="D77" s="523">
        <f>VLOOKUP(B77,DONGIA,DG!$B$6,0)</f>
        <v>0</v>
      </c>
      <c r="E77" s="666" t="str">
        <f>VLOOKUP(B77,DONGIA,DG!$C$6,0)</f>
        <v>Gỗ đà nẹp: 0,21 m3/100m2 ván khuôn</v>
      </c>
      <c r="F77" s="523" t="str">
        <f>VLOOKUP(B77,DONGIA,DG!$D$6,0)</f>
        <v>m3</v>
      </c>
      <c r="G77" s="845">
        <f>ROUND(G79*0.21/100,4)</f>
        <v>4.7999999999999996E-3</v>
      </c>
      <c r="H77" s="525"/>
      <c r="I77" s="525">
        <f>VLOOKUP($B77,DONGIA,DG!$E$6,0)</f>
        <v>3800000</v>
      </c>
      <c r="J77" s="525"/>
      <c r="K77" s="525">
        <f>VLOOKUP($B77,DONGIA,DG!$F$6,0)</f>
        <v>0</v>
      </c>
      <c r="L77" s="525"/>
      <c r="M77" s="525">
        <f>VLOOKUP($B77,DONGIA,DG!$G$6,0)</f>
        <v>0</v>
      </c>
      <c r="N77" s="525">
        <f t="shared" si="49"/>
        <v>0</v>
      </c>
      <c r="O77" s="525">
        <f t="shared" si="43"/>
        <v>18240</v>
      </c>
      <c r="P77" s="525">
        <f t="shared" si="44"/>
        <v>0</v>
      </c>
      <c r="Q77" s="525">
        <f t="shared" si="45"/>
        <v>0</v>
      </c>
      <c r="R77" s="525">
        <f t="shared" si="46"/>
        <v>0</v>
      </c>
      <c r="S77" s="525">
        <f t="shared" si="47"/>
        <v>0</v>
      </c>
      <c r="U77" s="404"/>
      <c r="V77" s="404"/>
      <c r="W77" s="404"/>
      <c r="X77" s="404"/>
      <c r="Y77" s="404"/>
      <c r="Z77" s="404"/>
      <c r="AA77" s="404"/>
      <c r="AB77" s="404"/>
      <c r="AE77" s="404"/>
      <c r="AF77" s="404"/>
      <c r="AG77" s="404"/>
      <c r="AH77" s="404"/>
      <c r="AI77" s="404"/>
      <c r="AJ77" s="404"/>
      <c r="AK77" s="404"/>
      <c r="AL77" s="404"/>
    </row>
    <row r="78" spans="1:38">
      <c r="A78" s="618"/>
      <c r="B78" s="618" t="s">
        <v>3503</v>
      </c>
      <c r="C78" s="619">
        <f t="shared" si="42"/>
        <v>1</v>
      </c>
      <c r="D78" s="523">
        <f>VLOOKUP(B78,DONGIA,DG!$B$6,0)</f>
        <v>0</v>
      </c>
      <c r="E78" s="666" t="str">
        <f>VLOOKUP(B78,DONGIA,DG!$C$6,0)</f>
        <v>Gỗ ván (cả nẹp): 0,792 m3/100m2 ván khuôn</v>
      </c>
      <c r="F78" s="523" t="str">
        <f>VLOOKUP(B78,DONGIA,DG!$D$6,0)</f>
        <v>m3</v>
      </c>
      <c r="G78" s="845">
        <f>ROUND(G79*0.792/100,4)</f>
        <v>1.8200000000000001E-2</v>
      </c>
      <c r="H78" s="525"/>
      <c r="I78" s="525">
        <f>VLOOKUP($B78,DONGIA,DG!$E$6,0)</f>
        <v>3800000</v>
      </c>
      <c r="J78" s="525"/>
      <c r="K78" s="525">
        <f>VLOOKUP($B78,DONGIA,DG!$F$6,0)</f>
        <v>0</v>
      </c>
      <c r="L78" s="525"/>
      <c r="M78" s="525">
        <f>VLOOKUP($B78,DONGIA,DG!$G$6,0)</f>
        <v>0</v>
      </c>
      <c r="N78" s="525">
        <f t="shared" si="49"/>
        <v>0</v>
      </c>
      <c r="O78" s="525">
        <f t="shared" si="43"/>
        <v>69160</v>
      </c>
      <c r="P78" s="525">
        <f t="shared" si="44"/>
        <v>0</v>
      </c>
      <c r="Q78" s="525">
        <f t="shared" si="45"/>
        <v>0</v>
      </c>
      <c r="R78" s="525">
        <f t="shared" si="46"/>
        <v>0</v>
      </c>
      <c r="S78" s="525">
        <f t="shared" si="47"/>
        <v>0</v>
      </c>
      <c r="U78" s="404"/>
      <c r="V78" s="404"/>
      <c r="W78" s="404"/>
      <c r="X78" s="404"/>
      <c r="Y78" s="404"/>
      <c r="Z78" s="404"/>
      <c r="AA78" s="404"/>
      <c r="AB78" s="404"/>
      <c r="AE78" s="404"/>
      <c r="AF78" s="404"/>
      <c r="AG78" s="404"/>
      <c r="AH78" s="404"/>
      <c r="AI78" s="404"/>
      <c r="AJ78" s="404"/>
      <c r="AK78" s="404"/>
      <c r="AL78" s="404"/>
    </row>
    <row r="79" spans="1:38">
      <c r="A79" s="618"/>
      <c r="B79" s="618" t="s">
        <v>3511</v>
      </c>
      <c r="C79" s="619">
        <f t="shared" si="42"/>
        <v>1</v>
      </c>
      <c r="D79" s="523" t="str">
        <f>VLOOKUP(B79,DONGIA,DG!$B$6,0)</f>
        <v>AF.81122</v>
      </c>
      <c r="E79" s="666" t="str">
        <f>VLOOKUP(B79,DONGIA,DG!$C$6,0)</f>
        <v>Lắp ván khuôn gỗ móng - móng vuông, chữ nhật</v>
      </c>
      <c r="F79" s="523" t="str">
        <f>VLOOKUP(B79,DONGIA,DG!$D$6,0)</f>
        <v>m2</v>
      </c>
      <c r="G79" s="626">
        <f>ROUND(1.3*0.5*2+1*0.5*2,3)</f>
        <v>2.2999999999999998</v>
      </c>
      <c r="H79" s="525">
        <f>VLOOKUP($B79,DONGIA,DG!$E$6,0)</f>
        <v>0</v>
      </c>
      <c r="I79" s="525"/>
      <c r="J79" s="525">
        <f>VLOOKUP($B79,DONGIA,DG!$F$6,0)</f>
        <v>57946</v>
      </c>
      <c r="K79" s="525"/>
      <c r="L79" s="525"/>
      <c r="M79" s="525">
        <f>VLOOKUP($B79,DONGIA,DG!$G$6,0)</f>
        <v>0</v>
      </c>
      <c r="N79" s="525">
        <f t="shared" si="49"/>
        <v>0</v>
      </c>
      <c r="O79" s="525">
        <f t="shared" si="43"/>
        <v>0</v>
      </c>
      <c r="P79" s="525">
        <f t="shared" si="44"/>
        <v>133275.79999999999</v>
      </c>
      <c r="Q79" s="525">
        <f t="shared" si="45"/>
        <v>0</v>
      </c>
      <c r="R79" s="525">
        <f t="shared" si="46"/>
        <v>0</v>
      </c>
      <c r="S79" s="525">
        <f t="shared" si="47"/>
        <v>0</v>
      </c>
      <c r="U79" s="404"/>
      <c r="V79" s="404"/>
      <c r="W79" s="404"/>
      <c r="X79" s="404"/>
      <c r="Y79" s="404"/>
      <c r="Z79" s="404"/>
      <c r="AA79" s="404"/>
      <c r="AB79" s="404"/>
      <c r="AE79" s="404"/>
      <c r="AF79" s="404"/>
      <c r="AG79" s="404"/>
      <c r="AH79" s="404"/>
      <c r="AI79" s="404"/>
      <c r="AJ79" s="404"/>
      <c r="AK79" s="404"/>
      <c r="AL79" s="404"/>
    </row>
    <row r="80" spans="1:38">
      <c r="A80" s="618"/>
      <c r="B80" s="618" t="s">
        <v>3568</v>
      </c>
      <c r="C80" s="619">
        <f t="shared" si="42"/>
        <v>1</v>
      </c>
      <c r="D80" s="523" t="str">
        <f>VLOOKUP(B80,DONGIA,DG!$B$6,0)</f>
        <v>AB.11433</v>
      </c>
      <c r="E80" s="666" t="str">
        <f>VLOOKUP(B80,DONGIA,DG!$C$6,0)</f>
        <v>Đào hố móng đất cấp 3 sâu ≤1m (rộng &gt;1m)</v>
      </c>
      <c r="F80" s="523" t="str">
        <f>VLOOKUP(B80,DONGIA,DG!$D$6,0)</f>
        <v>m3</v>
      </c>
      <c r="G80" s="626">
        <v>0.52</v>
      </c>
      <c r="H80" s="525"/>
      <c r="I80" s="525"/>
      <c r="J80" s="525">
        <f>VLOOKUP($B80,DONGIA,DG!$F$6,0)</f>
        <v>223685</v>
      </c>
      <c r="K80" s="525"/>
      <c r="L80" s="525">
        <f>VLOOKUP($B80,DONGIA,DG!$G$6,0)</f>
        <v>0</v>
      </c>
      <c r="M80" s="525"/>
      <c r="N80" s="525">
        <f t="shared" si="49"/>
        <v>0</v>
      </c>
      <c r="O80" s="525">
        <f t="shared" si="43"/>
        <v>0</v>
      </c>
      <c r="P80" s="525">
        <f t="shared" si="44"/>
        <v>116316.2</v>
      </c>
      <c r="Q80" s="525">
        <f t="shared" si="45"/>
        <v>0</v>
      </c>
      <c r="R80" s="525">
        <f t="shared" si="46"/>
        <v>0</v>
      </c>
      <c r="S80" s="525">
        <f t="shared" si="47"/>
        <v>0</v>
      </c>
      <c r="U80" s="525">
        <f t="shared" ref="U80:AB82" si="52">U$195*$G80</f>
        <v>7.8000000000000007</v>
      </c>
      <c r="V80" s="525">
        <f t="shared" si="52"/>
        <v>7.8000000000000007</v>
      </c>
      <c r="W80" s="525">
        <f t="shared" si="52"/>
        <v>0</v>
      </c>
      <c r="X80" s="525">
        <f t="shared" si="52"/>
        <v>0</v>
      </c>
      <c r="Y80" s="525">
        <f t="shared" si="52"/>
        <v>0</v>
      </c>
      <c r="Z80" s="525">
        <f t="shared" si="52"/>
        <v>0</v>
      </c>
      <c r="AA80" s="525">
        <f t="shared" si="52"/>
        <v>0</v>
      </c>
      <c r="AB80" s="525">
        <f t="shared" si="52"/>
        <v>0</v>
      </c>
      <c r="AD80" s="405">
        <f t="shared" si="5"/>
        <v>0</v>
      </c>
      <c r="AE80" s="525">
        <f t="shared" si="6"/>
        <v>0</v>
      </c>
      <c r="AF80" s="525">
        <f t="shared" si="7"/>
        <v>0</v>
      </c>
      <c r="AG80" s="525">
        <f t="shared" si="7"/>
        <v>0</v>
      </c>
      <c r="AH80" s="525">
        <f t="shared" si="7"/>
        <v>0</v>
      </c>
      <c r="AI80" s="525">
        <f t="shared" si="8"/>
        <v>0</v>
      </c>
      <c r="AJ80" s="525">
        <f t="shared" si="8"/>
        <v>0</v>
      </c>
      <c r="AK80" s="525">
        <f t="shared" si="8"/>
        <v>0</v>
      </c>
      <c r="AL80" s="525">
        <f t="shared" si="9"/>
        <v>0</v>
      </c>
    </row>
    <row r="81" spans="1:38">
      <c r="A81" s="618"/>
      <c r="B81" s="618" t="s">
        <v>3823</v>
      </c>
      <c r="C81" s="619">
        <f t="shared" si="42"/>
        <v>1</v>
      </c>
      <c r="D81" s="523" t="str">
        <f>VLOOKUP(B81,DONGIA,DG!$B$6,0)</f>
        <v>AB.51613</v>
      </c>
      <c r="E81" s="666" t="str">
        <f>VLOOKUP(B81,DONGIA,DG!$C$6,0)</f>
        <v>Phá đá chân hố móng, đá cấp III (bằng búa căn)</v>
      </c>
      <c r="F81" s="523" t="str">
        <f>VLOOKUP(B81,DONGIA,DG!$D$6,0)</f>
        <v>m3</v>
      </c>
      <c r="G81" s="626">
        <v>1.077</v>
      </c>
      <c r="H81" s="525"/>
      <c r="I81" s="525"/>
      <c r="J81" s="525">
        <f>VLOOKUP($B81,DONGIA,DG!$F$6,0)</f>
        <v>296545</v>
      </c>
      <c r="K81" s="525"/>
      <c r="L81" s="525">
        <f>VLOOKUP($B81,DONGIA,DG!$G$6,0)</f>
        <v>525018</v>
      </c>
      <c r="M81" s="525"/>
      <c r="N81" s="525">
        <f t="shared" si="49"/>
        <v>0</v>
      </c>
      <c r="O81" s="525">
        <f t="shared" si="43"/>
        <v>0</v>
      </c>
      <c r="P81" s="525">
        <f t="shared" si="44"/>
        <v>319378.96499999997</v>
      </c>
      <c r="Q81" s="525">
        <f t="shared" si="45"/>
        <v>0</v>
      </c>
      <c r="R81" s="525">
        <f t="shared" si="46"/>
        <v>565444.38599999994</v>
      </c>
      <c r="S81" s="525">
        <f t="shared" si="47"/>
        <v>0</v>
      </c>
      <c r="U81" s="525">
        <f t="shared" si="52"/>
        <v>16.155000000000001</v>
      </c>
      <c r="V81" s="525">
        <f t="shared" si="52"/>
        <v>16.155000000000001</v>
      </c>
      <c r="W81" s="525">
        <f t="shared" si="52"/>
        <v>0</v>
      </c>
      <c r="X81" s="525">
        <f t="shared" si="52"/>
        <v>0</v>
      </c>
      <c r="Y81" s="525">
        <f t="shared" si="52"/>
        <v>0</v>
      </c>
      <c r="Z81" s="525">
        <f t="shared" si="52"/>
        <v>0</v>
      </c>
      <c r="AA81" s="525">
        <f t="shared" si="52"/>
        <v>0</v>
      </c>
      <c r="AB81" s="525">
        <f t="shared" si="52"/>
        <v>0</v>
      </c>
      <c r="AD81" s="405">
        <f t="shared" si="5"/>
        <v>0</v>
      </c>
      <c r="AE81" s="525">
        <f t="shared" si="6"/>
        <v>0</v>
      </c>
      <c r="AF81" s="525">
        <f t="shared" si="7"/>
        <v>0</v>
      </c>
      <c r="AG81" s="525">
        <f t="shared" si="7"/>
        <v>0</v>
      </c>
      <c r="AH81" s="525">
        <f t="shared" si="7"/>
        <v>0</v>
      </c>
      <c r="AI81" s="525">
        <f t="shared" si="8"/>
        <v>0</v>
      </c>
      <c r="AJ81" s="525">
        <f t="shared" si="8"/>
        <v>0</v>
      </c>
      <c r="AK81" s="525">
        <f t="shared" si="8"/>
        <v>0</v>
      </c>
      <c r="AL81" s="525">
        <f t="shared" si="9"/>
        <v>0</v>
      </c>
    </row>
    <row r="82" spans="1:38">
      <c r="A82" s="618"/>
      <c r="B82" s="618" t="s">
        <v>510</v>
      </c>
      <c r="C82" s="619">
        <f t="shared" si="42"/>
        <v>1</v>
      </c>
      <c r="D82" s="523" t="str">
        <f>VLOOKUP(B82,DONGIA,DG!$B$6,0)</f>
        <v>AB.65110</v>
      </c>
      <c r="E82" s="666" t="str">
        <f>VLOOKUP(B82,DONGIA,DG!$C$6,0)</f>
        <v>Đắp đất hố móng (K=0,85)</v>
      </c>
      <c r="F82" s="523" t="str">
        <f>VLOOKUP(B82,DONGIA,DG!$D$6,0)</f>
        <v>m3</v>
      </c>
      <c r="G82" s="626">
        <v>0.84499999999999997</v>
      </c>
      <c r="H82" s="525"/>
      <c r="I82" s="525"/>
      <c r="J82" s="525">
        <f>VLOOKUP($B82,DONGIA,DG!$F$6,0)</f>
        <v>16267</v>
      </c>
      <c r="K82" s="525"/>
      <c r="L82" s="525">
        <f>VLOOKUP($B82,DONGIA,DG!$G$6,0)</f>
        <v>11176</v>
      </c>
      <c r="M82" s="525"/>
      <c r="N82" s="525">
        <f t="shared" si="49"/>
        <v>0</v>
      </c>
      <c r="O82" s="525">
        <f t="shared" si="43"/>
        <v>0</v>
      </c>
      <c r="P82" s="525">
        <f t="shared" si="44"/>
        <v>13745.615</v>
      </c>
      <c r="Q82" s="525">
        <f t="shared" si="45"/>
        <v>0</v>
      </c>
      <c r="R82" s="525">
        <f t="shared" si="46"/>
        <v>9443.7199999999993</v>
      </c>
      <c r="S82" s="525">
        <f t="shared" si="47"/>
        <v>0</v>
      </c>
      <c r="U82" s="525">
        <f t="shared" si="52"/>
        <v>12.674999999999999</v>
      </c>
      <c r="V82" s="525">
        <f t="shared" si="52"/>
        <v>12.674999999999999</v>
      </c>
      <c r="W82" s="525">
        <f t="shared" si="52"/>
        <v>0</v>
      </c>
      <c r="X82" s="525">
        <f t="shared" si="52"/>
        <v>0</v>
      </c>
      <c r="Y82" s="525">
        <f t="shared" si="52"/>
        <v>0</v>
      </c>
      <c r="Z82" s="525">
        <f t="shared" si="52"/>
        <v>0</v>
      </c>
      <c r="AA82" s="525">
        <f t="shared" si="52"/>
        <v>0</v>
      </c>
      <c r="AB82" s="525">
        <f t="shared" si="52"/>
        <v>0</v>
      </c>
      <c r="AD82" s="405">
        <f t="shared" si="5"/>
        <v>0</v>
      </c>
      <c r="AE82" s="525">
        <f t="shared" si="6"/>
        <v>0</v>
      </c>
      <c r="AF82" s="525">
        <f t="shared" si="7"/>
        <v>0</v>
      </c>
      <c r="AG82" s="525">
        <f t="shared" si="7"/>
        <v>0</v>
      </c>
      <c r="AH82" s="525">
        <f t="shared" si="7"/>
        <v>0</v>
      </c>
      <c r="AI82" s="525">
        <f t="shared" si="8"/>
        <v>0</v>
      </c>
      <c r="AJ82" s="525">
        <f t="shared" si="8"/>
        <v>0</v>
      </c>
      <c r="AK82" s="525">
        <f t="shared" si="8"/>
        <v>0</v>
      </c>
      <c r="AL82" s="525">
        <f t="shared" si="9"/>
        <v>0</v>
      </c>
    </row>
    <row r="83" spans="1:38">
      <c r="A83" s="618"/>
      <c r="B83" s="618" t="s">
        <v>713</v>
      </c>
      <c r="C83" s="619">
        <f t="shared" si="42"/>
        <v>1</v>
      </c>
      <c r="D83" s="523" t="str">
        <f>VLOOKUP(B83,DONGIA,DG!$B$6,0)</f>
        <v>AF.11210</v>
      </c>
      <c r="E83" s="666" t="str">
        <f>VLOOKUP(B83,DONGIA,DG!$C$6,0)</f>
        <v>Đổ bê tông mác M200 đá 1x2</v>
      </c>
      <c r="F83" s="523" t="str">
        <f>VLOOKUP(B83,DONGIA,DG!$D$6,0)</f>
        <v>m3</v>
      </c>
      <c r="G83" s="626">
        <v>0.59899999999999998</v>
      </c>
      <c r="H83" s="525"/>
      <c r="I83" s="525"/>
      <c r="J83" s="525">
        <f>VLOOKUP($B83,DONGIA,DG!$F$6,0)</f>
        <v>293475</v>
      </c>
      <c r="K83" s="525"/>
      <c r="L83" s="525">
        <f>VLOOKUP($B83,DONGIA,DG!$G$6,0)</f>
        <v>44701</v>
      </c>
      <c r="M83" s="525"/>
      <c r="N83" s="525">
        <f t="shared" si="49"/>
        <v>0</v>
      </c>
      <c r="O83" s="525">
        <f t="shared" si="43"/>
        <v>0</v>
      </c>
      <c r="P83" s="525">
        <f t="shared" si="44"/>
        <v>175791.52499999999</v>
      </c>
      <c r="Q83" s="525">
        <f t="shared" si="45"/>
        <v>0</v>
      </c>
      <c r="R83" s="525">
        <f t="shared" si="46"/>
        <v>26775.898999999998</v>
      </c>
      <c r="S83" s="525">
        <f t="shared" si="47"/>
        <v>0</v>
      </c>
      <c r="U83" s="525"/>
      <c r="V83" s="525"/>
      <c r="W83" s="525"/>
      <c r="X83" s="525"/>
      <c r="Y83" s="525"/>
      <c r="Z83" s="525"/>
      <c r="AA83" s="525"/>
      <c r="AB83" s="525"/>
      <c r="AD83" s="405">
        <f t="shared" si="5"/>
        <v>0</v>
      </c>
      <c r="AE83" s="525">
        <f t="shared" si="6"/>
        <v>0</v>
      </c>
      <c r="AF83" s="525">
        <f t="shared" ref="AF83:AK83" si="53">V83*$AD83</f>
        <v>0</v>
      </c>
      <c r="AG83" s="525">
        <f t="shared" si="53"/>
        <v>0</v>
      </c>
      <c r="AH83" s="525">
        <f t="shared" si="53"/>
        <v>0</v>
      </c>
      <c r="AI83" s="525">
        <f t="shared" si="53"/>
        <v>0</v>
      </c>
      <c r="AJ83" s="525">
        <f t="shared" si="53"/>
        <v>0</v>
      </c>
      <c r="AK83" s="525">
        <f t="shared" si="53"/>
        <v>0</v>
      </c>
      <c r="AL83" s="525">
        <f t="shared" si="9"/>
        <v>0</v>
      </c>
    </row>
    <row r="84" spans="1:38" s="332" customFormat="1">
      <c r="A84" s="356" t="s">
        <v>1400</v>
      </c>
      <c r="B84" s="356"/>
      <c r="C84" s="355">
        <f>IF(G84&lt;&gt;0,1,)</f>
        <v>0</v>
      </c>
      <c r="D84" s="357"/>
      <c r="E84" s="736" t="s">
        <v>1642</v>
      </c>
      <c r="F84" s="357" t="s">
        <v>1633</v>
      </c>
      <c r="G84" s="357">
        <f>U84</f>
        <v>0</v>
      </c>
      <c r="H84" s="358"/>
      <c r="I84" s="358"/>
      <c r="J84" s="358"/>
      <c r="K84" s="358"/>
      <c r="L84" s="358"/>
      <c r="M84" s="358"/>
      <c r="N84" s="358">
        <f t="shared" ref="N84:S84" si="54">SUM(N86:N87)</f>
        <v>0</v>
      </c>
      <c r="O84" s="358">
        <f t="shared" si="54"/>
        <v>0</v>
      </c>
      <c r="P84" s="358">
        <f t="shared" si="54"/>
        <v>98311.13</v>
      </c>
      <c r="Q84" s="358">
        <f t="shared" si="54"/>
        <v>0</v>
      </c>
      <c r="R84" s="358">
        <f t="shared" si="54"/>
        <v>2525.7760000000003</v>
      </c>
      <c r="S84" s="358">
        <f t="shared" si="54"/>
        <v>0</v>
      </c>
      <c r="U84" s="358">
        <f>SUM(V84:AB84)</f>
        <v>0</v>
      </c>
      <c r="V84" s="358">
        <f>IFERROR(HLOOKUP($A84,BK3P,V$3,0),)</f>
        <v>0</v>
      </c>
      <c r="W84" s="358">
        <f>IFERROR(HLOOKUP($A84,BK3P,W$3,0),)</f>
        <v>0</v>
      </c>
      <c r="X84" s="358">
        <f>IFERROR(HLOOKUP($A84,BK3P,X$3,0),)</f>
        <v>0</v>
      </c>
      <c r="Y84" s="358">
        <f>IFERROR(HLOOKUP($A84,BK1P,Y$3,0),)</f>
        <v>0</v>
      </c>
      <c r="Z84" s="358">
        <f>IFERROR(HLOOKUP($A84,BK1P,Z$3,0),)</f>
        <v>0</v>
      </c>
      <c r="AA84" s="358">
        <f>IFERROR(HLOOKUP($A84,BK1P,AA$3,0),)</f>
        <v>0</v>
      </c>
      <c r="AB84" s="358">
        <f>IFERROR(HLOOKUP($A84,BKHT,AB$3,0),)</f>
        <v>0</v>
      </c>
      <c r="AD84" s="332">
        <f t="shared" si="5"/>
        <v>0</v>
      </c>
      <c r="AE84" s="329">
        <f t="shared" si="6"/>
        <v>0</v>
      </c>
      <c r="AF84" s="329">
        <f t="shared" si="7"/>
        <v>0</v>
      </c>
      <c r="AG84" s="329">
        <f t="shared" si="7"/>
        <v>0</v>
      </c>
      <c r="AH84" s="329">
        <f t="shared" si="7"/>
        <v>0</v>
      </c>
      <c r="AI84" s="329">
        <f t="shared" si="8"/>
        <v>0</v>
      </c>
      <c r="AJ84" s="329">
        <f t="shared" si="8"/>
        <v>0</v>
      </c>
      <c r="AK84" s="329">
        <f t="shared" si="8"/>
        <v>0</v>
      </c>
      <c r="AL84" s="329">
        <f t="shared" si="9"/>
        <v>0</v>
      </c>
    </row>
    <row r="85" spans="1:38" s="361" customFormat="1">
      <c r="A85" s="359"/>
      <c r="B85" s="359"/>
      <c r="C85" s="360">
        <f>C84</f>
        <v>0</v>
      </c>
      <c r="D85" s="350"/>
      <c r="E85" s="737" t="s">
        <v>1644</v>
      </c>
      <c r="F85" s="350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U85" s="351"/>
      <c r="V85" s="351"/>
      <c r="W85" s="351"/>
      <c r="X85" s="351"/>
      <c r="Y85" s="351"/>
      <c r="Z85" s="351"/>
      <c r="AA85" s="351"/>
      <c r="AB85" s="351"/>
      <c r="AD85" s="332">
        <f t="shared" si="5"/>
        <v>0</v>
      </c>
      <c r="AE85" s="329">
        <f t="shared" si="6"/>
        <v>0</v>
      </c>
      <c r="AF85" s="329">
        <f t="shared" si="7"/>
        <v>0</v>
      </c>
      <c r="AG85" s="329">
        <f t="shared" si="7"/>
        <v>0</v>
      </c>
      <c r="AH85" s="329">
        <f t="shared" si="7"/>
        <v>0</v>
      </c>
      <c r="AI85" s="329">
        <f t="shared" si="8"/>
        <v>0</v>
      </c>
      <c r="AJ85" s="329">
        <f t="shared" si="8"/>
        <v>0</v>
      </c>
      <c r="AK85" s="329">
        <f t="shared" si="8"/>
        <v>0</v>
      </c>
      <c r="AL85" s="329">
        <f t="shared" si="9"/>
        <v>0</v>
      </c>
    </row>
    <row r="86" spans="1:38" s="332" customFormat="1">
      <c r="A86" s="356"/>
      <c r="B86" s="356" t="s">
        <v>499</v>
      </c>
      <c r="C86" s="355">
        <f>IF(G86&lt;&gt;0,$C$84,)</f>
        <v>0</v>
      </c>
      <c r="D86" s="341" t="str">
        <f>VLOOKUP(B86,DONGIA,DG!$B$6,0)</f>
        <v>AB.11423</v>
      </c>
      <c r="E86" s="735" t="str">
        <f>VLOOKUP(B86,DONGIA,DG!$C$6,0)</f>
        <v>Đào hố móng đất cấp 3 sâu &gt;1m (rộng ≤1m)</v>
      </c>
      <c r="F86" s="341" t="str">
        <f>VLOOKUP(B86,DONGIA,DG!$D$6,0)</f>
        <v>m3</v>
      </c>
      <c r="G86" s="443">
        <f>ROUND(0.2*0.2*PI()*1.8,3)</f>
        <v>0.22600000000000001</v>
      </c>
      <c r="H86" s="329"/>
      <c r="I86" s="329"/>
      <c r="J86" s="329">
        <f>VLOOKUP($B86,DONGIA,DG!$F$6,0)</f>
        <v>418738</v>
      </c>
      <c r="K86" s="329"/>
      <c r="L86" s="329">
        <f>VLOOKUP($B86,DONGIA,DG!$G$6,0)</f>
        <v>0</v>
      </c>
      <c r="M86" s="329"/>
      <c r="N86" s="329">
        <f>$G86*H86</f>
        <v>0</v>
      </c>
      <c r="O86" s="329">
        <f t="shared" ref="O86:S87" si="55">$G86*I86</f>
        <v>0</v>
      </c>
      <c r="P86" s="329">
        <f t="shared" si="55"/>
        <v>94634.788</v>
      </c>
      <c r="Q86" s="329">
        <f t="shared" si="55"/>
        <v>0</v>
      </c>
      <c r="R86" s="329">
        <f t="shared" si="55"/>
        <v>0</v>
      </c>
      <c r="S86" s="329">
        <f t="shared" si="55"/>
        <v>0</v>
      </c>
      <c r="U86" s="329">
        <f>U$84*$G86</f>
        <v>0</v>
      </c>
      <c r="V86" s="329">
        <f t="shared" ref="V86:AB87" si="56">V$84*$G86</f>
        <v>0</v>
      </c>
      <c r="W86" s="329">
        <f t="shared" si="56"/>
        <v>0</v>
      </c>
      <c r="X86" s="329">
        <f t="shared" si="56"/>
        <v>0</v>
      </c>
      <c r="Y86" s="329">
        <f t="shared" si="56"/>
        <v>0</v>
      </c>
      <c r="Z86" s="329">
        <f t="shared" si="56"/>
        <v>0</v>
      </c>
      <c r="AA86" s="329">
        <f t="shared" si="56"/>
        <v>0</v>
      </c>
      <c r="AB86" s="329">
        <f t="shared" si="56"/>
        <v>0</v>
      </c>
      <c r="AD86" s="332">
        <f t="shared" si="5"/>
        <v>0</v>
      </c>
      <c r="AE86" s="329">
        <f t="shared" si="6"/>
        <v>0</v>
      </c>
      <c r="AF86" s="329">
        <f t="shared" si="7"/>
        <v>0</v>
      </c>
      <c r="AG86" s="329">
        <f t="shared" si="7"/>
        <v>0</v>
      </c>
      <c r="AH86" s="329">
        <f t="shared" si="7"/>
        <v>0</v>
      </c>
      <c r="AI86" s="329">
        <f t="shared" si="8"/>
        <v>0</v>
      </c>
      <c r="AJ86" s="329">
        <f t="shared" si="8"/>
        <v>0</v>
      </c>
      <c r="AK86" s="329">
        <f t="shared" si="8"/>
        <v>0</v>
      </c>
      <c r="AL86" s="329">
        <f t="shared" si="9"/>
        <v>0</v>
      </c>
    </row>
    <row r="87" spans="1:38" s="332" customFormat="1">
      <c r="A87" s="356"/>
      <c r="B87" s="356" t="s">
        <v>510</v>
      </c>
      <c r="C87" s="355">
        <f>IF(G87&lt;&gt;0,$C$84,)</f>
        <v>0</v>
      </c>
      <c r="D87" s="341" t="str">
        <f>VLOOKUP(B87,DONGIA,DG!$B$6,0)</f>
        <v>AB.65110</v>
      </c>
      <c r="E87" s="735" t="str">
        <f>VLOOKUP(B87,DONGIA,DG!$C$6,0)</f>
        <v>Đắp đất hố móng (K=0,85)</v>
      </c>
      <c r="F87" s="341" t="str">
        <f>VLOOKUP(B87,DONGIA,DG!$D$6,0)</f>
        <v>m3</v>
      </c>
      <c r="G87" s="443">
        <f>G86</f>
        <v>0.22600000000000001</v>
      </c>
      <c r="H87" s="329"/>
      <c r="I87" s="329"/>
      <c r="J87" s="515">
        <f>VLOOKUP($B87,DONGIA,DG!$F$6,0)</f>
        <v>16267</v>
      </c>
      <c r="K87" s="329"/>
      <c r="L87" s="329">
        <f>VLOOKUP($B87,DONGIA,DG!$G$6,0)</f>
        <v>11176</v>
      </c>
      <c r="M87" s="329"/>
      <c r="N87" s="329">
        <f>$G87*H87</f>
        <v>0</v>
      </c>
      <c r="O87" s="329">
        <f t="shared" si="55"/>
        <v>0</v>
      </c>
      <c r="P87" s="329">
        <f t="shared" si="55"/>
        <v>3676.3420000000001</v>
      </c>
      <c r="Q87" s="329">
        <f t="shared" si="55"/>
        <v>0</v>
      </c>
      <c r="R87" s="329">
        <f t="shared" si="55"/>
        <v>2525.7760000000003</v>
      </c>
      <c r="S87" s="329">
        <f t="shared" si="55"/>
        <v>0</v>
      </c>
      <c r="U87" s="329">
        <f>U$84*$G87</f>
        <v>0</v>
      </c>
      <c r="V87" s="329">
        <f t="shared" si="56"/>
        <v>0</v>
      </c>
      <c r="W87" s="329">
        <f t="shared" si="56"/>
        <v>0</v>
      </c>
      <c r="X87" s="329">
        <f t="shared" si="56"/>
        <v>0</v>
      </c>
      <c r="Y87" s="329">
        <f t="shared" si="56"/>
        <v>0</v>
      </c>
      <c r="Z87" s="329">
        <f t="shared" si="56"/>
        <v>0</v>
      </c>
      <c r="AA87" s="329">
        <f t="shared" si="56"/>
        <v>0</v>
      </c>
      <c r="AB87" s="329">
        <f t="shared" si="56"/>
        <v>0</v>
      </c>
      <c r="AD87" s="332">
        <f t="shared" si="5"/>
        <v>0</v>
      </c>
      <c r="AE87" s="329">
        <f t="shared" si="6"/>
        <v>0</v>
      </c>
      <c r="AF87" s="329">
        <f t="shared" si="7"/>
        <v>0</v>
      </c>
      <c r="AG87" s="329">
        <f t="shared" si="7"/>
        <v>0</v>
      </c>
      <c r="AH87" s="329">
        <f t="shared" si="7"/>
        <v>0</v>
      </c>
      <c r="AI87" s="329">
        <f t="shared" si="8"/>
        <v>0</v>
      </c>
      <c r="AJ87" s="329">
        <f t="shared" si="8"/>
        <v>0</v>
      </c>
      <c r="AK87" s="329">
        <f t="shared" si="8"/>
        <v>0</v>
      </c>
      <c r="AL87" s="329">
        <f t="shared" si="9"/>
        <v>0</v>
      </c>
    </row>
    <row r="88" spans="1:38" s="332" customFormat="1">
      <c r="A88" s="356" t="s">
        <v>1401</v>
      </c>
      <c r="B88" s="356"/>
      <c r="C88" s="355">
        <f>IF(G88&lt;&gt;0,1,)</f>
        <v>0</v>
      </c>
      <c r="D88" s="357"/>
      <c r="E88" s="358" t="s">
        <v>1643</v>
      </c>
      <c r="F88" s="357" t="s">
        <v>1633</v>
      </c>
      <c r="G88" s="357">
        <f>U88</f>
        <v>0</v>
      </c>
      <c r="H88" s="358"/>
      <c r="I88" s="358"/>
      <c r="J88" s="358"/>
      <c r="K88" s="358"/>
      <c r="L88" s="358"/>
      <c r="M88" s="358"/>
      <c r="N88" s="358">
        <f t="shared" ref="N88:S88" si="57">SUM(N90:N93)</f>
        <v>412400</v>
      </c>
      <c r="O88" s="358">
        <f t="shared" si="57"/>
        <v>0</v>
      </c>
      <c r="P88" s="358">
        <f t="shared" si="57"/>
        <v>193240.861</v>
      </c>
      <c r="Q88" s="358">
        <f t="shared" si="57"/>
        <v>0</v>
      </c>
      <c r="R88" s="358">
        <f t="shared" si="57"/>
        <v>5811.52</v>
      </c>
      <c r="S88" s="358">
        <f t="shared" si="57"/>
        <v>0</v>
      </c>
      <c r="U88" s="358">
        <f>SUM(V88:AB88)</f>
        <v>0</v>
      </c>
      <c r="V88" s="358">
        <f>IFERROR(HLOOKUP($A88,BK3P,V$3,0),)</f>
        <v>0</v>
      </c>
      <c r="W88" s="358">
        <f>IFERROR(HLOOKUP($A88,BK3P,W$3,0),)</f>
        <v>0</v>
      </c>
      <c r="X88" s="358">
        <f>IFERROR(HLOOKUP($A88,BK3P,X$3,0),)</f>
        <v>0</v>
      </c>
      <c r="Y88" s="358">
        <f>IFERROR(HLOOKUP($A88,BK1P,Y$3,0),)</f>
        <v>0</v>
      </c>
      <c r="Z88" s="358">
        <f>IFERROR(HLOOKUP($A88,BK1P,Z$3,0),)</f>
        <v>0</v>
      </c>
      <c r="AA88" s="358">
        <f>IFERROR(HLOOKUP($A88,BK1P,AA$3,0),)</f>
        <v>0</v>
      </c>
      <c r="AB88" s="358">
        <f>IFERROR(HLOOKUP($A88,BKHT,AB$3,0),)</f>
        <v>0</v>
      </c>
      <c r="AD88" s="332">
        <f t="shared" si="5"/>
        <v>0</v>
      </c>
      <c r="AE88" s="329">
        <f t="shared" si="6"/>
        <v>0</v>
      </c>
      <c r="AF88" s="329">
        <f t="shared" si="7"/>
        <v>0</v>
      </c>
      <c r="AG88" s="329">
        <f t="shared" si="7"/>
        <v>0</v>
      </c>
      <c r="AH88" s="329">
        <f t="shared" si="7"/>
        <v>0</v>
      </c>
      <c r="AI88" s="329">
        <f t="shared" si="8"/>
        <v>0</v>
      </c>
      <c r="AJ88" s="329">
        <f t="shared" si="8"/>
        <v>0</v>
      </c>
      <c r="AK88" s="329">
        <f t="shared" si="8"/>
        <v>0</v>
      </c>
      <c r="AL88" s="329">
        <f t="shared" si="9"/>
        <v>0</v>
      </c>
    </row>
    <row r="89" spans="1:38" s="361" customFormat="1">
      <c r="A89" s="359"/>
      <c r="B89" s="359"/>
      <c r="C89" s="360">
        <f>C88</f>
        <v>0</v>
      </c>
      <c r="D89" s="350"/>
      <c r="E89" s="351" t="s">
        <v>1644</v>
      </c>
      <c r="F89" s="350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U89" s="351"/>
      <c r="V89" s="351"/>
      <c r="W89" s="351"/>
      <c r="X89" s="351"/>
      <c r="Y89" s="351"/>
      <c r="Z89" s="351"/>
      <c r="AA89" s="351"/>
      <c r="AB89" s="351"/>
      <c r="AD89" s="332">
        <f t="shared" si="5"/>
        <v>0</v>
      </c>
      <c r="AE89" s="329">
        <f t="shared" si="6"/>
        <v>0</v>
      </c>
      <c r="AF89" s="329">
        <f t="shared" si="7"/>
        <v>0</v>
      </c>
      <c r="AG89" s="329">
        <f t="shared" si="7"/>
        <v>0</v>
      </c>
      <c r="AH89" s="329">
        <f t="shared" si="7"/>
        <v>0</v>
      </c>
      <c r="AI89" s="329">
        <f t="shared" si="8"/>
        <v>0</v>
      </c>
      <c r="AJ89" s="329">
        <f t="shared" si="8"/>
        <v>0</v>
      </c>
      <c r="AK89" s="329">
        <f t="shared" si="8"/>
        <v>0</v>
      </c>
      <c r="AL89" s="329">
        <f t="shared" si="9"/>
        <v>0</v>
      </c>
    </row>
    <row r="90" spans="1:38" s="332" customFormat="1">
      <c r="A90" s="356"/>
      <c r="B90" s="356" t="s">
        <v>1635</v>
      </c>
      <c r="C90" s="355">
        <f>IF(G90&lt;&gt;0,$C$88,)</f>
        <v>0</v>
      </c>
      <c r="D90" s="341" t="str">
        <f>VLOOKUP(B90,DONGIA,DG!$B$6,0)</f>
        <v>AG.42121</v>
      </c>
      <c r="E90" s="340" t="str">
        <f>VLOOKUP(B90,DONGIA,DG!$C$6,0)</f>
        <v>Đà cản BTCT 1,2m</v>
      </c>
      <c r="F90" s="341" t="str">
        <f>VLOOKUP(B90,DONGIA,DG!$D$6,0)</f>
        <v>cái</v>
      </c>
      <c r="G90" s="329">
        <v>1</v>
      </c>
      <c r="H90" s="329">
        <f>VLOOKUP($B90,DONGIA,DG!$E$6,0)</f>
        <v>320000</v>
      </c>
      <c r="I90" s="329"/>
      <c r="J90" s="515">
        <f>VLOOKUP($B90,DONGIA,DG!$F$6,0)</f>
        <v>52815</v>
      </c>
      <c r="K90" s="329"/>
      <c r="L90" s="329"/>
      <c r="M90" s="329">
        <f>VLOOKUP($B90,DONGIA,DG!$G$6,0)</f>
        <v>0</v>
      </c>
      <c r="N90" s="329">
        <f>$G90*H90</f>
        <v>320000</v>
      </c>
      <c r="O90" s="329">
        <f t="shared" ref="O90:S93" si="58">$G90*I90</f>
        <v>0</v>
      </c>
      <c r="P90" s="329">
        <f t="shared" si="58"/>
        <v>52815</v>
      </c>
      <c r="Q90" s="329">
        <f t="shared" si="58"/>
        <v>0</v>
      </c>
      <c r="R90" s="329">
        <f t="shared" si="58"/>
        <v>0</v>
      </c>
      <c r="S90" s="329">
        <f t="shared" si="58"/>
        <v>0</v>
      </c>
      <c r="U90" s="329">
        <f>U$88*$G90</f>
        <v>0</v>
      </c>
      <c r="V90" s="329">
        <f t="shared" ref="V90:AB93" si="59">V$88*$G90</f>
        <v>0</v>
      </c>
      <c r="W90" s="329">
        <f t="shared" si="59"/>
        <v>0</v>
      </c>
      <c r="X90" s="329">
        <f t="shared" si="59"/>
        <v>0</v>
      </c>
      <c r="Y90" s="329">
        <f t="shared" si="59"/>
        <v>0</v>
      </c>
      <c r="Z90" s="329">
        <f t="shared" si="59"/>
        <v>0</v>
      </c>
      <c r="AA90" s="329">
        <f t="shared" si="59"/>
        <v>0</v>
      </c>
      <c r="AB90" s="329">
        <f t="shared" si="59"/>
        <v>0</v>
      </c>
      <c r="AD90" s="332">
        <f t="shared" si="5"/>
        <v>80</v>
      </c>
      <c r="AE90" s="329">
        <f t="shared" si="6"/>
        <v>0</v>
      </c>
      <c r="AF90" s="329">
        <f t="shared" si="7"/>
        <v>0</v>
      </c>
      <c r="AG90" s="329">
        <f t="shared" si="7"/>
        <v>0</v>
      </c>
      <c r="AH90" s="329">
        <f t="shared" si="7"/>
        <v>0</v>
      </c>
      <c r="AI90" s="329">
        <f t="shared" si="8"/>
        <v>0</v>
      </c>
      <c r="AJ90" s="329">
        <f t="shared" si="8"/>
        <v>0</v>
      </c>
      <c r="AK90" s="329">
        <f t="shared" si="8"/>
        <v>0</v>
      </c>
      <c r="AL90" s="329">
        <f t="shared" si="9"/>
        <v>0</v>
      </c>
    </row>
    <row r="91" spans="1:38" s="332" customFormat="1">
      <c r="A91" s="356"/>
      <c r="B91" s="356" t="s">
        <v>1645</v>
      </c>
      <c r="C91" s="355">
        <f>IF(G91&lt;&gt;0,$C$88,)</f>
        <v>0</v>
      </c>
      <c r="D91" s="341">
        <f>VLOOKUP(B91,DONGIA,DG!$B$6,0)</f>
        <v>0</v>
      </c>
      <c r="E91" s="340" t="str">
        <f>VLOOKUP(B91,DONGIA,DG!$C$6,0)</f>
        <v>Boulon 22x550VRS + 2 long đền vuông D24-60x60x6/Zn</v>
      </c>
      <c r="F91" s="341" t="str">
        <f>VLOOKUP(B91,DONGIA,DG!$D$6,0)</f>
        <v>bộ</v>
      </c>
      <c r="G91" s="329">
        <v>1</v>
      </c>
      <c r="H91" s="329">
        <f>VLOOKUP($B91,DONGIA,DG!$E$6,0)</f>
        <v>92400</v>
      </c>
      <c r="I91" s="329"/>
      <c r="J91" s="329"/>
      <c r="K91" s="329">
        <f>VLOOKUP($B91,DONGIA,DG!$F$6,0)</f>
        <v>0</v>
      </c>
      <c r="L91" s="329"/>
      <c r="M91" s="329">
        <f>VLOOKUP($B91,DONGIA,DG!$G$6,0)</f>
        <v>0</v>
      </c>
      <c r="N91" s="329">
        <f>$G91*H91</f>
        <v>92400</v>
      </c>
      <c r="O91" s="329">
        <f t="shared" si="58"/>
        <v>0</v>
      </c>
      <c r="P91" s="329">
        <f t="shared" si="58"/>
        <v>0</v>
      </c>
      <c r="Q91" s="329">
        <f t="shared" si="58"/>
        <v>0</v>
      </c>
      <c r="R91" s="329">
        <f t="shared" si="58"/>
        <v>0</v>
      </c>
      <c r="S91" s="329">
        <f t="shared" si="58"/>
        <v>0</v>
      </c>
      <c r="U91" s="329">
        <f>U$88*$G91</f>
        <v>0</v>
      </c>
      <c r="V91" s="329">
        <f t="shared" si="59"/>
        <v>0</v>
      </c>
      <c r="W91" s="329">
        <f t="shared" si="59"/>
        <v>0</v>
      </c>
      <c r="X91" s="329">
        <f t="shared" si="59"/>
        <v>0</v>
      </c>
      <c r="Y91" s="329">
        <f t="shared" si="59"/>
        <v>0</v>
      </c>
      <c r="Z91" s="329">
        <f t="shared" si="59"/>
        <v>0</v>
      </c>
      <c r="AA91" s="329">
        <f t="shared" si="59"/>
        <v>0</v>
      </c>
      <c r="AB91" s="329">
        <f t="shared" si="59"/>
        <v>0</v>
      </c>
      <c r="AD91" s="332">
        <f t="shared" si="5"/>
        <v>0.55000000000000004</v>
      </c>
      <c r="AE91" s="329">
        <f t="shared" si="6"/>
        <v>0</v>
      </c>
      <c r="AF91" s="329">
        <f t="shared" si="7"/>
        <v>0</v>
      </c>
      <c r="AG91" s="329">
        <f t="shared" si="7"/>
        <v>0</v>
      </c>
      <c r="AH91" s="329">
        <f t="shared" si="7"/>
        <v>0</v>
      </c>
      <c r="AI91" s="329">
        <f t="shared" si="8"/>
        <v>0</v>
      </c>
      <c r="AJ91" s="329">
        <f t="shared" si="8"/>
        <v>0</v>
      </c>
      <c r="AK91" s="329">
        <f t="shared" si="8"/>
        <v>0</v>
      </c>
      <c r="AL91" s="329">
        <f t="shared" si="9"/>
        <v>0</v>
      </c>
    </row>
    <row r="92" spans="1:38" s="332" customFormat="1">
      <c r="A92" s="356"/>
      <c r="B92" s="356" t="s">
        <v>3348</v>
      </c>
      <c r="C92" s="355">
        <f>IF(G92&lt;&gt;0,$C$88,)</f>
        <v>0</v>
      </c>
      <c r="D92" s="341" t="str">
        <f>VLOOKUP(B92,DONGIA,DG!$B$6,0)</f>
        <v>AB.11363</v>
      </c>
      <c r="E92" s="340" t="str">
        <f>VLOOKUP(B92,DONGIA,DG!$C$6,0)</f>
        <v>Đào hố móng đà cản đất cấp 3</v>
      </c>
      <c r="F92" s="341" t="str">
        <f>VLOOKUP(B92,DONGIA,DG!$D$6,0)</f>
        <v>m3</v>
      </c>
      <c r="G92" s="52">
        <v>0.72299999999999998</v>
      </c>
      <c r="H92" s="329"/>
      <c r="I92" s="329"/>
      <c r="J92" s="329">
        <f>VLOOKUP($B92,DONGIA,DG!$F$6,0)</f>
        <v>182527</v>
      </c>
      <c r="K92" s="329"/>
      <c r="L92" s="329">
        <f>VLOOKUP($B92,DONGIA,DG!$G$6,0)</f>
        <v>0</v>
      </c>
      <c r="M92" s="329"/>
      <c r="N92" s="329">
        <f>$G92*H92</f>
        <v>0</v>
      </c>
      <c r="O92" s="329">
        <f t="shared" si="58"/>
        <v>0</v>
      </c>
      <c r="P92" s="329">
        <f t="shared" si="58"/>
        <v>131967.02100000001</v>
      </c>
      <c r="Q92" s="329">
        <f t="shared" si="58"/>
        <v>0</v>
      </c>
      <c r="R92" s="329">
        <f t="shared" si="58"/>
        <v>0</v>
      </c>
      <c r="S92" s="329">
        <f t="shared" si="58"/>
        <v>0</v>
      </c>
      <c r="U92" s="329">
        <f>U$88*$G92</f>
        <v>0</v>
      </c>
      <c r="V92" s="329">
        <f t="shared" si="59"/>
        <v>0</v>
      </c>
      <c r="W92" s="329">
        <f t="shared" si="59"/>
        <v>0</v>
      </c>
      <c r="X92" s="329">
        <f t="shared" si="59"/>
        <v>0</v>
      </c>
      <c r="Y92" s="329">
        <f t="shared" si="59"/>
        <v>0</v>
      </c>
      <c r="Z92" s="329">
        <f t="shared" si="59"/>
        <v>0</v>
      </c>
      <c r="AA92" s="329">
        <f t="shared" si="59"/>
        <v>0</v>
      </c>
      <c r="AB92" s="329">
        <f t="shared" si="59"/>
        <v>0</v>
      </c>
      <c r="AD92" s="332">
        <f t="shared" si="5"/>
        <v>0</v>
      </c>
      <c r="AE92" s="329">
        <f t="shared" si="6"/>
        <v>0</v>
      </c>
      <c r="AF92" s="329">
        <f t="shared" si="7"/>
        <v>0</v>
      </c>
      <c r="AG92" s="329">
        <f t="shared" si="7"/>
        <v>0</v>
      </c>
      <c r="AH92" s="329">
        <f t="shared" si="7"/>
        <v>0</v>
      </c>
      <c r="AI92" s="329">
        <f t="shared" si="8"/>
        <v>0</v>
      </c>
      <c r="AJ92" s="329">
        <f t="shared" si="8"/>
        <v>0</v>
      </c>
      <c r="AK92" s="329">
        <f t="shared" si="8"/>
        <v>0</v>
      </c>
      <c r="AL92" s="329">
        <f t="shared" si="9"/>
        <v>0</v>
      </c>
    </row>
    <row r="93" spans="1:38" s="332" customFormat="1">
      <c r="A93" s="356"/>
      <c r="B93" s="356" t="s">
        <v>510</v>
      </c>
      <c r="C93" s="355">
        <f>IF(G93&lt;&gt;0,$C$88,)</f>
        <v>0</v>
      </c>
      <c r="D93" s="341" t="str">
        <f>VLOOKUP(B93,DONGIA,DG!$B$6,0)</f>
        <v>AB.65110</v>
      </c>
      <c r="E93" s="340" t="str">
        <f>VLOOKUP(B93,DONGIA,DG!$C$6,0)</f>
        <v>Đắp đất hố móng (K=0,85)</v>
      </c>
      <c r="F93" s="341" t="str">
        <f>VLOOKUP(B93,DONGIA,DG!$D$6,0)</f>
        <v>m3</v>
      </c>
      <c r="G93" s="52">
        <v>0.52</v>
      </c>
      <c r="H93" s="329"/>
      <c r="I93" s="329"/>
      <c r="J93" s="329">
        <f>VLOOKUP($B93,DONGIA,DG!$F$6,0)</f>
        <v>16267</v>
      </c>
      <c r="K93" s="329"/>
      <c r="L93" s="329">
        <f>VLOOKUP($B93,DONGIA,DG!$G$6,0)</f>
        <v>11176</v>
      </c>
      <c r="M93" s="329"/>
      <c r="N93" s="329">
        <f>$G93*H93</f>
        <v>0</v>
      </c>
      <c r="O93" s="329">
        <f t="shared" si="58"/>
        <v>0</v>
      </c>
      <c r="P93" s="329">
        <f t="shared" si="58"/>
        <v>8458.84</v>
      </c>
      <c r="Q93" s="329">
        <f t="shared" si="58"/>
        <v>0</v>
      </c>
      <c r="R93" s="329">
        <f t="shared" si="58"/>
        <v>5811.52</v>
      </c>
      <c r="S93" s="329">
        <f t="shared" si="58"/>
        <v>0</v>
      </c>
      <c r="U93" s="329">
        <f>U$88*$G93</f>
        <v>0</v>
      </c>
      <c r="V93" s="329">
        <f t="shared" si="59"/>
        <v>0</v>
      </c>
      <c r="W93" s="329">
        <f t="shared" si="59"/>
        <v>0</v>
      </c>
      <c r="X93" s="329">
        <f t="shared" si="59"/>
        <v>0</v>
      </c>
      <c r="Y93" s="329">
        <f t="shared" si="59"/>
        <v>0</v>
      </c>
      <c r="Z93" s="329">
        <f t="shared" si="59"/>
        <v>0</v>
      </c>
      <c r="AA93" s="329">
        <f t="shared" si="59"/>
        <v>0</v>
      </c>
      <c r="AB93" s="329">
        <f t="shared" si="59"/>
        <v>0</v>
      </c>
      <c r="AD93" s="332">
        <f t="shared" si="5"/>
        <v>0</v>
      </c>
      <c r="AE93" s="329">
        <f t="shared" si="6"/>
        <v>0</v>
      </c>
      <c r="AF93" s="329">
        <f t="shared" si="7"/>
        <v>0</v>
      </c>
      <c r="AG93" s="329">
        <f t="shared" si="7"/>
        <v>0</v>
      </c>
      <c r="AH93" s="329">
        <f t="shared" si="7"/>
        <v>0</v>
      </c>
      <c r="AI93" s="329">
        <f t="shared" si="8"/>
        <v>0</v>
      </c>
      <c r="AJ93" s="329">
        <f t="shared" si="8"/>
        <v>0</v>
      </c>
      <c r="AK93" s="329">
        <f t="shared" si="8"/>
        <v>0</v>
      </c>
      <c r="AL93" s="329">
        <f t="shared" si="9"/>
        <v>0</v>
      </c>
    </row>
    <row r="94" spans="1:38">
      <c r="A94" s="618" t="s">
        <v>1482</v>
      </c>
      <c r="B94" s="618"/>
      <c r="C94" s="619">
        <f>IF(G94&lt;&gt;0,1,)</f>
        <v>0</v>
      </c>
      <c r="D94" s="622"/>
      <c r="E94" s="623" t="s">
        <v>1647</v>
      </c>
      <c r="F94" s="622" t="s">
        <v>1633</v>
      </c>
      <c r="G94" s="622">
        <f>U94</f>
        <v>0</v>
      </c>
      <c r="H94" s="623"/>
      <c r="I94" s="623"/>
      <c r="J94" s="623"/>
      <c r="K94" s="623"/>
      <c r="L94" s="623"/>
      <c r="M94" s="623"/>
      <c r="N94" s="623">
        <f t="shared" ref="N94:S94" si="60">SUM(N96:N106)</f>
        <v>281700</v>
      </c>
      <c r="O94" s="623">
        <f t="shared" si="60"/>
        <v>1063106</v>
      </c>
      <c r="P94" s="623">
        <f t="shared" si="60"/>
        <v>865910.96900000004</v>
      </c>
      <c r="Q94" s="623">
        <f t="shared" si="60"/>
        <v>300392.06400000001</v>
      </c>
      <c r="R94" s="623">
        <f t="shared" si="60"/>
        <v>48768.839</v>
      </c>
      <c r="S94" s="623">
        <f t="shared" si="60"/>
        <v>0</v>
      </c>
      <c r="U94" s="623">
        <f>SUM(V94:AB94)</f>
        <v>0</v>
      </c>
      <c r="V94" s="623">
        <f>IFERROR(HLOOKUP($A94,BK3P,V$3,0),)</f>
        <v>0</v>
      </c>
      <c r="W94" s="623">
        <f>IFERROR(HLOOKUP($A94,BK3P,W$3,0),)</f>
        <v>0</v>
      </c>
      <c r="X94" s="623">
        <f>IFERROR(HLOOKUP($A94,BK3P,X$3,0),)</f>
        <v>0</v>
      </c>
      <c r="Y94" s="623">
        <f>IFERROR(HLOOKUP($A94,BK1P,Y$3,0),)</f>
        <v>0</v>
      </c>
      <c r="Z94" s="623">
        <f>IFERROR(HLOOKUP($A94,BK1P,Z$3,0),)</f>
        <v>0</v>
      </c>
      <c r="AA94" s="623">
        <f>IFERROR(HLOOKUP($A94,BK1P,AA$3,0),)</f>
        <v>0</v>
      </c>
      <c r="AB94" s="623">
        <f>IFERROR(HLOOKUP($A94,BKHT,AB$3,0),)</f>
        <v>0</v>
      </c>
      <c r="AD94" s="405">
        <f t="shared" si="5"/>
        <v>0</v>
      </c>
      <c r="AE94" s="525">
        <f t="shared" si="6"/>
        <v>0</v>
      </c>
      <c r="AF94" s="525">
        <f t="shared" si="7"/>
        <v>0</v>
      </c>
      <c r="AG94" s="525">
        <f t="shared" si="7"/>
        <v>0</v>
      </c>
      <c r="AH94" s="525">
        <f t="shared" si="7"/>
        <v>0</v>
      </c>
      <c r="AI94" s="525">
        <f t="shared" si="8"/>
        <v>0</v>
      </c>
      <c r="AJ94" s="525">
        <f t="shared" si="8"/>
        <v>0</v>
      </c>
      <c r="AK94" s="525">
        <f t="shared" si="8"/>
        <v>0</v>
      </c>
      <c r="AL94" s="525">
        <f t="shared" si="9"/>
        <v>0</v>
      </c>
    </row>
    <row r="95" spans="1:38" s="542" customFormat="1">
      <c r="A95" s="624"/>
      <c r="B95" s="624"/>
      <c r="C95" s="625">
        <f>C94</f>
        <v>0</v>
      </c>
      <c r="D95" s="544"/>
      <c r="E95" s="545" t="s">
        <v>1644</v>
      </c>
      <c r="F95" s="544"/>
      <c r="G95" s="545"/>
      <c r="H95" s="545"/>
      <c r="I95" s="545"/>
      <c r="J95" s="545"/>
      <c r="K95" s="545"/>
      <c r="L95" s="545"/>
      <c r="M95" s="545"/>
      <c r="N95" s="545"/>
      <c r="O95" s="545"/>
      <c r="P95" s="545"/>
      <c r="Q95" s="545"/>
      <c r="R95" s="545"/>
      <c r="S95" s="545"/>
      <c r="U95" s="545"/>
      <c r="V95" s="545"/>
      <c r="W95" s="545"/>
      <c r="X95" s="545"/>
      <c r="Y95" s="545"/>
      <c r="Z95" s="545"/>
      <c r="AA95" s="545"/>
      <c r="AB95" s="545"/>
      <c r="AD95" s="405">
        <f t="shared" si="5"/>
        <v>0</v>
      </c>
      <c r="AE95" s="525">
        <f t="shared" si="6"/>
        <v>0</v>
      </c>
      <c r="AF95" s="525">
        <f t="shared" si="7"/>
        <v>0</v>
      </c>
      <c r="AG95" s="525">
        <f t="shared" si="7"/>
        <v>0</v>
      </c>
      <c r="AH95" s="525">
        <f t="shared" si="7"/>
        <v>0</v>
      </c>
      <c r="AI95" s="525">
        <f t="shared" si="8"/>
        <v>0</v>
      </c>
      <c r="AJ95" s="525">
        <f t="shared" si="8"/>
        <v>0</v>
      </c>
      <c r="AK95" s="525">
        <f t="shared" si="8"/>
        <v>0</v>
      </c>
      <c r="AL95" s="525">
        <f t="shared" si="9"/>
        <v>0</v>
      </c>
    </row>
    <row r="96" spans="1:38">
      <c r="A96" s="618"/>
      <c r="B96" s="618" t="s">
        <v>1639</v>
      </c>
      <c r="C96" s="619">
        <f>IF(G96&lt;&gt;0,$C$94,)</f>
        <v>0</v>
      </c>
      <c r="D96" s="523">
        <f>VLOOKUP(B96,DONGIA,DG!$B$6,0)</f>
        <v>0</v>
      </c>
      <c r="E96" s="525" t="str">
        <f>VLOOKUP(B96,DONGIA,DG!$C$6,0)</f>
        <v>Xi măng</v>
      </c>
      <c r="F96" s="523" t="str">
        <f>VLOOKUP(B96,DONGIA,DG!$D$6,0)</f>
        <v>kg</v>
      </c>
      <c r="G96" s="467">
        <f>ROUND(G106*296,1)</f>
        <v>318.2</v>
      </c>
      <c r="H96" s="525"/>
      <c r="I96" s="525">
        <f>VLOOKUP($B96,DONGIA,DG!$E$6,0)</f>
        <v>1760</v>
      </c>
      <c r="J96" s="525">
        <f>VLOOKUP($B96,DONGIA,DG!$F$6,0)</f>
        <v>0</v>
      </c>
      <c r="K96" s="525"/>
      <c r="L96" s="525">
        <f>VLOOKUP($B96,DONGIA,DG!$G$6,0)</f>
        <v>0</v>
      </c>
      <c r="M96" s="525"/>
      <c r="N96" s="525">
        <f>$G96*H96</f>
        <v>0</v>
      </c>
      <c r="O96" s="525">
        <f t="shared" ref="O96:S106" si="61">$G96*I96</f>
        <v>560032</v>
      </c>
      <c r="P96" s="525">
        <f t="shared" si="61"/>
        <v>0</v>
      </c>
      <c r="Q96" s="525">
        <f t="shared" si="61"/>
        <v>0</v>
      </c>
      <c r="R96" s="525">
        <f t="shared" si="61"/>
        <v>0</v>
      </c>
      <c r="S96" s="525">
        <f t="shared" si="61"/>
        <v>0</v>
      </c>
      <c r="U96" s="525">
        <f>U$94*$G96</f>
        <v>0</v>
      </c>
      <c r="V96" s="525">
        <f t="shared" ref="V96:AB96" si="62">V$94*$G96</f>
        <v>0</v>
      </c>
      <c r="W96" s="525">
        <f t="shared" si="62"/>
        <v>0</v>
      </c>
      <c r="X96" s="525">
        <f t="shared" si="62"/>
        <v>0</v>
      </c>
      <c r="Y96" s="525">
        <f t="shared" si="62"/>
        <v>0</v>
      </c>
      <c r="Z96" s="525">
        <f t="shared" si="62"/>
        <v>0</v>
      </c>
      <c r="AA96" s="525">
        <f t="shared" si="62"/>
        <v>0</v>
      </c>
      <c r="AB96" s="525">
        <f t="shared" si="62"/>
        <v>0</v>
      </c>
      <c r="AD96" s="405">
        <f t="shared" si="5"/>
        <v>1</v>
      </c>
      <c r="AE96" s="525">
        <f t="shared" si="6"/>
        <v>0</v>
      </c>
      <c r="AF96" s="525">
        <f t="shared" si="7"/>
        <v>0</v>
      </c>
      <c r="AG96" s="525">
        <f t="shared" si="7"/>
        <v>0</v>
      </c>
      <c r="AH96" s="525">
        <f t="shared" si="7"/>
        <v>0</v>
      </c>
      <c r="AI96" s="525">
        <f t="shared" si="8"/>
        <v>0</v>
      </c>
      <c r="AJ96" s="525">
        <f t="shared" si="8"/>
        <v>0</v>
      </c>
      <c r="AK96" s="525">
        <f t="shared" si="8"/>
        <v>0</v>
      </c>
      <c r="AL96" s="525">
        <f t="shared" si="9"/>
        <v>0</v>
      </c>
    </row>
    <row r="97" spans="1:38">
      <c r="A97" s="618"/>
      <c r="B97" s="618" t="s">
        <v>471</v>
      </c>
      <c r="C97" s="619">
        <f t="shared" ref="C97:C105" si="63">IF(G97&lt;&gt;0,$C$94,)</f>
        <v>0</v>
      </c>
      <c r="D97" s="523">
        <f>VLOOKUP(B97,DONGIA,DG!$B$6,0)</f>
        <v>0</v>
      </c>
      <c r="E97" s="525" t="str">
        <f>VLOOKUP(B97,DONGIA,DG!$C$6,0)</f>
        <v>Cát vàng</v>
      </c>
      <c r="F97" s="523" t="str">
        <f>VLOOKUP(B97,DONGIA,DG!$D$6,0)</f>
        <v>m3</v>
      </c>
      <c r="G97" s="443">
        <f>ROUND(G106*0.476,3)</f>
        <v>0.51200000000000001</v>
      </c>
      <c r="H97" s="525"/>
      <c r="I97" s="525">
        <f>VLOOKUP($B97,DONGIA,DG!$E$6,0)</f>
        <v>350000</v>
      </c>
      <c r="J97" s="525">
        <f>VLOOKUP($B97,DONGIA,DG!$F$6,0)</f>
        <v>0</v>
      </c>
      <c r="K97" s="525"/>
      <c r="L97" s="525">
        <f>VLOOKUP($B97,DONGIA,DG!$G$6,0)</f>
        <v>0</v>
      </c>
      <c r="M97" s="525"/>
      <c r="N97" s="525">
        <f t="shared" ref="N97:N106" si="64">$G97*H97</f>
        <v>0</v>
      </c>
      <c r="O97" s="525">
        <f t="shared" si="61"/>
        <v>179200</v>
      </c>
      <c r="P97" s="525">
        <f t="shared" si="61"/>
        <v>0</v>
      </c>
      <c r="Q97" s="525">
        <f t="shared" si="61"/>
        <v>0</v>
      </c>
      <c r="R97" s="525">
        <f t="shared" si="61"/>
        <v>0</v>
      </c>
      <c r="S97" s="525">
        <f t="shared" si="61"/>
        <v>0</v>
      </c>
      <c r="U97" s="525">
        <f t="shared" ref="U97:AB106" si="65">U$94*$G97</f>
        <v>0</v>
      </c>
      <c r="V97" s="525">
        <f t="shared" si="65"/>
        <v>0</v>
      </c>
      <c r="W97" s="525">
        <f t="shared" si="65"/>
        <v>0</v>
      </c>
      <c r="X97" s="525">
        <f t="shared" si="65"/>
        <v>0</v>
      </c>
      <c r="Y97" s="525">
        <f t="shared" si="65"/>
        <v>0</v>
      </c>
      <c r="Z97" s="525">
        <f t="shared" si="65"/>
        <v>0</v>
      </c>
      <c r="AA97" s="525">
        <f t="shared" si="65"/>
        <v>0</v>
      </c>
      <c r="AB97" s="525">
        <f t="shared" si="65"/>
        <v>0</v>
      </c>
      <c r="AD97" s="405">
        <f t="shared" si="5"/>
        <v>1500</v>
      </c>
      <c r="AE97" s="525">
        <f t="shared" si="6"/>
        <v>0</v>
      </c>
      <c r="AF97" s="525">
        <f t="shared" si="7"/>
        <v>0</v>
      </c>
      <c r="AG97" s="525">
        <f t="shared" si="7"/>
        <v>0</v>
      </c>
      <c r="AH97" s="525">
        <f t="shared" si="7"/>
        <v>0</v>
      </c>
      <c r="AI97" s="525">
        <f t="shared" si="8"/>
        <v>0</v>
      </c>
      <c r="AJ97" s="525">
        <f t="shared" si="8"/>
        <v>0</v>
      </c>
      <c r="AK97" s="525">
        <f t="shared" si="8"/>
        <v>0</v>
      </c>
      <c r="AL97" s="525">
        <f t="shared" si="9"/>
        <v>0</v>
      </c>
    </row>
    <row r="98" spans="1:38">
      <c r="A98" s="618" t="s">
        <v>85</v>
      </c>
      <c r="B98" s="618" t="s">
        <v>1640</v>
      </c>
      <c r="C98" s="619">
        <f t="shared" si="63"/>
        <v>0</v>
      </c>
      <c r="D98" s="523">
        <f>VLOOKUP(B98,DONGIA,DG!$B$6,0)</f>
        <v>0</v>
      </c>
      <c r="E98" s="525" t="str">
        <f>VLOOKUP(B98,DONGIA,DG!$C$6,0)</f>
        <v>Đá 1x2</v>
      </c>
      <c r="F98" s="523" t="str">
        <f>VLOOKUP(B98,DONGIA,DG!$D$6,0)</f>
        <v>m3</v>
      </c>
      <c r="G98" s="443">
        <f>ROUND(G106*0.881,3)</f>
        <v>0.94699999999999995</v>
      </c>
      <c r="H98" s="525"/>
      <c r="I98" s="525">
        <f>VLOOKUP($B98,DONGIA,DG!$E$6,0)</f>
        <v>342000</v>
      </c>
      <c r="J98" s="525">
        <f>VLOOKUP($B98,DONGIA,DG!$F$6,0)</f>
        <v>0</v>
      </c>
      <c r="K98" s="525"/>
      <c r="L98" s="525">
        <f>VLOOKUP($B98,DONGIA,DG!$G$6,0)</f>
        <v>0</v>
      </c>
      <c r="M98" s="525"/>
      <c r="N98" s="525">
        <f t="shared" si="64"/>
        <v>0</v>
      </c>
      <c r="O98" s="525">
        <f t="shared" si="61"/>
        <v>323874</v>
      </c>
      <c r="P98" s="525">
        <f t="shared" si="61"/>
        <v>0</v>
      </c>
      <c r="Q98" s="525">
        <f t="shared" si="61"/>
        <v>0</v>
      </c>
      <c r="R98" s="525">
        <f t="shared" si="61"/>
        <v>0</v>
      </c>
      <c r="S98" s="525">
        <f t="shared" si="61"/>
        <v>0</v>
      </c>
      <c r="U98" s="525">
        <f t="shared" si="65"/>
        <v>0</v>
      </c>
      <c r="V98" s="525">
        <f t="shared" si="65"/>
        <v>0</v>
      </c>
      <c r="W98" s="525">
        <f t="shared" si="65"/>
        <v>0</v>
      </c>
      <c r="X98" s="525">
        <f t="shared" si="65"/>
        <v>0</v>
      </c>
      <c r="Y98" s="525">
        <f t="shared" si="65"/>
        <v>0</v>
      </c>
      <c r="Z98" s="525">
        <f t="shared" si="65"/>
        <v>0</v>
      </c>
      <c r="AA98" s="525">
        <f t="shared" si="65"/>
        <v>0</v>
      </c>
      <c r="AB98" s="525">
        <f t="shared" si="65"/>
        <v>0</v>
      </c>
      <c r="AD98" s="405">
        <f t="shared" si="5"/>
        <v>1500</v>
      </c>
      <c r="AE98" s="525">
        <f t="shared" si="6"/>
        <v>0</v>
      </c>
      <c r="AF98" s="525">
        <f t="shared" si="7"/>
        <v>0</v>
      </c>
      <c r="AG98" s="525">
        <f t="shared" si="7"/>
        <v>0</v>
      </c>
      <c r="AH98" s="525">
        <f t="shared" si="7"/>
        <v>0</v>
      </c>
      <c r="AI98" s="525">
        <f t="shared" si="8"/>
        <v>0</v>
      </c>
      <c r="AJ98" s="525">
        <f t="shared" si="8"/>
        <v>0</v>
      </c>
      <c r="AK98" s="525">
        <f t="shared" si="8"/>
        <v>0</v>
      </c>
      <c r="AL98" s="525">
        <f t="shared" si="9"/>
        <v>0</v>
      </c>
    </row>
    <row r="99" spans="1:38">
      <c r="A99" s="618"/>
      <c r="B99" s="618" t="s">
        <v>3509</v>
      </c>
      <c r="C99" s="619">
        <f t="shared" si="63"/>
        <v>0</v>
      </c>
      <c r="D99" s="523">
        <f>VLOOKUP(B99,DONGIA,DG!$B$6,0)</f>
        <v>0</v>
      </c>
      <c r="E99" s="525" t="str">
        <f>VLOOKUP(B99,DONGIA,DG!$C$6,0)</f>
        <v>Đinh: 15kg/100m2 ván khuôn</v>
      </c>
      <c r="F99" s="523" t="str">
        <f>VLOOKUP(B99,DONGIA,DG!$D$6,0)</f>
        <v>kg</v>
      </c>
      <c r="G99" s="443">
        <f>ROUND(G103*15/100,2)</f>
        <v>0.78</v>
      </c>
      <c r="H99" s="525">
        <f>VLOOKUP($B99,DONGIA,DG!$E$6,0)</f>
        <v>25000</v>
      </c>
      <c r="I99" s="525"/>
      <c r="J99" s="525"/>
      <c r="K99" s="525">
        <f>VLOOKUP($B99,DONGIA,DG!$F$6,0)</f>
        <v>0</v>
      </c>
      <c r="L99" s="525"/>
      <c r="M99" s="525">
        <f>VLOOKUP($B99,DONGIA,DG!$G$6,0)</f>
        <v>0</v>
      </c>
      <c r="N99" s="525">
        <f t="shared" si="64"/>
        <v>19500</v>
      </c>
      <c r="O99" s="525">
        <f t="shared" si="61"/>
        <v>0</v>
      </c>
      <c r="P99" s="525">
        <f t="shared" si="61"/>
        <v>0</v>
      </c>
      <c r="Q99" s="525">
        <f t="shared" si="61"/>
        <v>0</v>
      </c>
      <c r="R99" s="525">
        <f t="shared" si="61"/>
        <v>0</v>
      </c>
      <c r="S99" s="525">
        <f t="shared" si="61"/>
        <v>0</v>
      </c>
      <c r="U99" s="404"/>
      <c r="V99" s="404"/>
      <c r="W99" s="404"/>
      <c r="X99" s="404"/>
      <c r="Y99" s="404"/>
      <c r="Z99" s="404"/>
      <c r="AA99" s="404"/>
      <c r="AB99" s="404"/>
      <c r="AE99" s="404"/>
      <c r="AF99" s="404"/>
      <c r="AG99" s="404"/>
      <c r="AH99" s="404"/>
      <c r="AI99" s="404"/>
      <c r="AJ99" s="404"/>
      <c r="AK99" s="404"/>
      <c r="AL99" s="404"/>
    </row>
    <row r="100" spans="1:38">
      <c r="A100" s="618"/>
      <c r="B100" s="618" t="s">
        <v>3505</v>
      </c>
      <c r="C100" s="619">
        <f t="shared" si="63"/>
        <v>0</v>
      </c>
      <c r="D100" s="523">
        <f>VLOOKUP(B100,DONGIA,DG!$B$6,0)</f>
        <v>0</v>
      </c>
      <c r="E100" s="525" t="str">
        <f>VLOOKUP(B100,DONGIA,DG!$C$6,0)</f>
        <v>Gỗ chống: 0,335 m3/100m2 ván khuôn</v>
      </c>
      <c r="F100" s="523" t="str">
        <f>VLOOKUP(B100,DONGIA,DG!$D$6,0)</f>
        <v>m3</v>
      </c>
      <c r="G100" s="443">
        <f>ROUND(G103*0.335/100,3)</f>
        <v>1.7000000000000001E-2</v>
      </c>
      <c r="H100" s="525">
        <f>VLOOKUP($B100,DONGIA,DG!$E$6,0)</f>
        <v>3800000</v>
      </c>
      <c r="I100" s="525"/>
      <c r="J100" s="525"/>
      <c r="K100" s="525">
        <f>VLOOKUP($B100,DONGIA,DG!$F$6,0)</f>
        <v>0</v>
      </c>
      <c r="L100" s="525"/>
      <c r="M100" s="525">
        <f>VLOOKUP($B100,DONGIA,DG!$G$6,0)</f>
        <v>0</v>
      </c>
      <c r="N100" s="525">
        <f t="shared" si="64"/>
        <v>64600.000000000007</v>
      </c>
      <c r="O100" s="525">
        <f t="shared" si="61"/>
        <v>0</v>
      </c>
      <c r="P100" s="525">
        <f t="shared" si="61"/>
        <v>0</v>
      </c>
      <c r="Q100" s="525">
        <f t="shared" si="61"/>
        <v>0</v>
      </c>
      <c r="R100" s="525">
        <f t="shared" si="61"/>
        <v>0</v>
      </c>
      <c r="S100" s="525">
        <f t="shared" si="61"/>
        <v>0</v>
      </c>
      <c r="U100" s="404"/>
      <c r="V100" s="404"/>
      <c r="W100" s="404"/>
      <c r="X100" s="404"/>
      <c r="Y100" s="404"/>
      <c r="Z100" s="404"/>
      <c r="AA100" s="404"/>
      <c r="AB100" s="404"/>
      <c r="AE100" s="404"/>
      <c r="AF100" s="404"/>
      <c r="AG100" s="404"/>
      <c r="AH100" s="404"/>
      <c r="AI100" s="404"/>
      <c r="AJ100" s="404"/>
      <c r="AK100" s="404"/>
      <c r="AL100" s="404"/>
    </row>
    <row r="101" spans="1:38">
      <c r="A101" s="618"/>
      <c r="B101" s="618" t="s">
        <v>3507</v>
      </c>
      <c r="C101" s="619">
        <f t="shared" si="63"/>
        <v>0</v>
      </c>
      <c r="D101" s="523">
        <f>VLOOKUP(B101,DONGIA,DG!$B$6,0)</f>
        <v>0</v>
      </c>
      <c r="E101" s="525" t="str">
        <f>VLOOKUP(B101,DONGIA,DG!$C$6,0)</f>
        <v>Gỗ đà nẹp: 0,21 m3/100m2 ván khuôn</v>
      </c>
      <c r="F101" s="523" t="str">
        <f>VLOOKUP(B101,DONGIA,DG!$D$6,0)</f>
        <v>m3</v>
      </c>
      <c r="G101" s="443">
        <f>ROUND(G103*0.21/100,3)</f>
        <v>1.0999999999999999E-2</v>
      </c>
      <c r="H101" s="525">
        <f>VLOOKUP($B101,DONGIA,DG!$E$6,0)</f>
        <v>3800000</v>
      </c>
      <c r="I101" s="525"/>
      <c r="J101" s="525"/>
      <c r="K101" s="525">
        <f>VLOOKUP($B101,DONGIA,DG!$F$6,0)</f>
        <v>0</v>
      </c>
      <c r="L101" s="525"/>
      <c r="M101" s="525">
        <f>VLOOKUP($B101,DONGIA,DG!$G$6,0)</f>
        <v>0</v>
      </c>
      <c r="N101" s="525">
        <f t="shared" si="64"/>
        <v>41800</v>
      </c>
      <c r="O101" s="525">
        <f t="shared" si="61"/>
        <v>0</v>
      </c>
      <c r="P101" s="525">
        <f t="shared" si="61"/>
        <v>0</v>
      </c>
      <c r="Q101" s="525">
        <f t="shared" si="61"/>
        <v>0</v>
      </c>
      <c r="R101" s="525">
        <f t="shared" si="61"/>
        <v>0</v>
      </c>
      <c r="S101" s="525">
        <f t="shared" si="61"/>
        <v>0</v>
      </c>
      <c r="U101" s="404"/>
      <c r="V101" s="404"/>
      <c r="W101" s="404"/>
      <c r="X101" s="404"/>
      <c r="Y101" s="404"/>
      <c r="Z101" s="404"/>
      <c r="AA101" s="404"/>
      <c r="AB101" s="404"/>
      <c r="AE101" s="404"/>
      <c r="AF101" s="404"/>
      <c r="AG101" s="404"/>
      <c r="AH101" s="404"/>
      <c r="AI101" s="404"/>
      <c r="AJ101" s="404"/>
      <c r="AK101" s="404"/>
      <c r="AL101" s="404"/>
    </row>
    <row r="102" spans="1:38">
      <c r="A102" s="618"/>
      <c r="B102" s="618" t="s">
        <v>3503</v>
      </c>
      <c r="C102" s="619">
        <f t="shared" si="63"/>
        <v>0</v>
      </c>
      <c r="D102" s="523">
        <f>VLOOKUP(B102,DONGIA,DG!$B$6,0)</f>
        <v>0</v>
      </c>
      <c r="E102" s="525" t="str">
        <f>VLOOKUP(B102,DONGIA,DG!$C$6,0)</f>
        <v>Gỗ ván (cả nẹp): 0,792 m3/100m2 ván khuôn</v>
      </c>
      <c r="F102" s="523" t="str">
        <f>VLOOKUP(B102,DONGIA,DG!$D$6,0)</f>
        <v>m3</v>
      </c>
      <c r="G102" s="443">
        <f>ROUND(G103*0.792/100,3)</f>
        <v>4.1000000000000002E-2</v>
      </c>
      <c r="H102" s="525">
        <f>VLOOKUP($B102,DONGIA,DG!$E$6,0)</f>
        <v>3800000</v>
      </c>
      <c r="I102" s="525"/>
      <c r="J102" s="525"/>
      <c r="K102" s="525">
        <f>VLOOKUP($B102,DONGIA,DG!$F$6,0)</f>
        <v>0</v>
      </c>
      <c r="L102" s="525"/>
      <c r="M102" s="525">
        <f>VLOOKUP($B102,DONGIA,DG!$G$6,0)</f>
        <v>0</v>
      </c>
      <c r="N102" s="525">
        <f t="shared" si="64"/>
        <v>155800</v>
      </c>
      <c r="O102" s="525">
        <f t="shared" si="61"/>
        <v>0</v>
      </c>
      <c r="P102" s="525">
        <f t="shared" si="61"/>
        <v>0</v>
      </c>
      <c r="Q102" s="525">
        <f t="shared" si="61"/>
        <v>0</v>
      </c>
      <c r="R102" s="525">
        <f t="shared" si="61"/>
        <v>0</v>
      </c>
      <c r="S102" s="525">
        <f t="shared" si="61"/>
        <v>0</v>
      </c>
      <c r="U102" s="404"/>
      <c r="V102" s="404"/>
      <c r="W102" s="404"/>
      <c r="X102" s="404"/>
      <c r="Y102" s="404"/>
      <c r="Z102" s="404"/>
      <c r="AA102" s="404"/>
      <c r="AB102" s="404"/>
      <c r="AE102" s="404"/>
      <c r="AF102" s="404"/>
      <c r="AG102" s="404"/>
      <c r="AH102" s="404"/>
      <c r="AI102" s="404"/>
      <c r="AJ102" s="404"/>
      <c r="AK102" s="404"/>
      <c r="AL102" s="404"/>
    </row>
    <row r="103" spans="1:38">
      <c r="A103" s="618"/>
      <c r="B103" s="618" t="s">
        <v>3511</v>
      </c>
      <c r="C103" s="619">
        <f t="shared" si="63"/>
        <v>0</v>
      </c>
      <c r="D103" s="523" t="str">
        <f>VLOOKUP(B103,DONGIA,DG!$B$6,0)</f>
        <v>AF.81122</v>
      </c>
      <c r="E103" s="525" t="str">
        <f>VLOOKUP(B103,DONGIA,DG!$C$6,0)</f>
        <v>Lắp ván khuôn gỗ móng - móng vuông, chữ nhật</v>
      </c>
      <c r="F103" s="523" t="str">
        <f>VLOOKUP(B103,DONGIA,DG!$D$6,0)</f>
        <v>m2</v>
      </c>
      <c r="G103" s="443">
        <v>5.1840000000000002</v>
      </c>
      <c r="H103" s="525">
        <f>VLOOKUP($B103,DONGIA,DG!$E$6,0)</f>
        <v>0</v>
      </c>
      <c r="I103" s="525"/>
      <c r="J103" s="525"/>
      <c r="K103" s="525">
        <f>VLOOKUP($B103,DONGIA,DG!$F$6,0)</f>
        <v>57946</v>
      </c>
      <c r="L103" s="525"/>
      <c r="M103" s="525">
        <f>VLOOKUP($B103,DONGIA,DG!$G$6,0)</f>
        <v>0</v>
      </c>
      <c r="N103" s="525">
        <f t="shared" si="64"/>
        <v>0</v>
      </c>
      <c r="O103" s="525">
        <f t="shared" si="61"/>
        <v>0</v>
      </c>
      <c r="P103" s="525">
        <f t="shared" si="61"/>
        <v>0</v>
      </c>
      <c r="Q103" s="525">
        <f t="shared" si="61"/>
        <v>300392.06400000001</v>
      </c>
      <c r="R103" s="525">
        <f t="shared" si="61"/>
        <v>0</v>
      </c>
      <c r="S103" s="525">
        <f t="shared" si="61"/>
        <v>0</v>
      </c>
      <c r="U103" s="404"/>
      <c r="V103" s="404"/>
      <c r="W103" s="404"/>
      <c r="X103" s="404"/>
      <c r="Y103" s="404"/>
      <c r="Z103" s="404"/>
      <c r="AA103" s="404"/>
      <c r="AB103" s="404"/>
      <c r="AE103" s="404"/>
      <c r="AF103" s="404"/>
      <c r="AG103" s="404"/>
      <c r="AH103" s="404"/>
      <c r="AI103" s="404"/>
      <c r="AJ103" s="404"/>
      <c r="AK103" s="404"/>
      <c r="AL103" s="404"/>
    </row>
    <row r="104" spans="1:38">
      <c r="A104" s="618"/>
      <c r="B104" s="618" t="s">
        <v>499</v>
      </c>
      <c r="C104" s="619">
        <f t="shared" si="63"/>
        <v>0</v>
      </c>
      <c r="D104" s="523" t="str">
        <f>VLOOKUP(B104,DONGIA,DG!$B$6,0)</f>
        <v>AB.11423</v>
      </c>
      <c r="E104" s="525" t="str">
        <f>VLOOKUP(B104,DONGIA,DG!$C$6,0)</f>
        <v>Đào hố móng đất cấp 3 sâu &gt;1m (rộng ≤1m)</v>
      </c>
      <c r="F104" s="523" t="str">
        <f>VLOOKUP(B104,DONGIA,DG!$D$6,0)</f>
        <v>m3</v>
      </c>
      <c r="G104" s="443">
        <v>1.3120000000000001</v>
      </c>
      <c r="H104" s="525"/>
      <c r="I104" s="525"/>
      <c r="J104" s="525">
        <f>VLOOKUP($B104,DONGIA,DG!$F$6,0)</f>
        <v>418738</v>
      </c>
      <c r="K104" s="525"/>
      <c r="L104" s="525">
        <f>VLOOKUP($B104,DONGIA,DG!$G$6,0)</f>
        <v>0</v>
      </c>
      <c r="M104" s="525"/>
      <c r="N104" s="525">
        <f t="shared" si="64"/>
        <v>0</v>
      </c>
      <c r="O104" s="525">
        <f t="shared" si="61"/>
        <v>0</v>
      </c>
      <c r="P104" s="525">
        <f t="shared" si="61"/>
        <v>549384.25600000005</v>
      </c>
      <c r="Q104" s="525">
        <f t="shared" si="61"/>
        <v>0</v>
      </c>
      <c r="R104" s="525">
        <f t="shared" si="61"/>
        <v>0</v>
      </c>
      <c r="S104" s="525">
        <f t="shared" si="61"/>
        <v>0</v>
      </c>
      <c r="U104" s="525">
        <f t="shared" si="65"/>
        <v>0</v>
      </c>
      <c r="V104" s="525">
        <f t="shared" si="65"/>
        <v>0</v>
      </c>
      <c r="W104" s="525">
        <f t="shared" si="65"/>
        <v>0</v>
      </c>
      <c r="X104" s="525">
        <f t="shared" si="65"/>
        <v>0</v>
      </c>
      <c r="Y104" s="525">
        <f t="shared" si="65"/>
        <v>0</v>
      </c>
      <c r="Z104" s="525">
        <f t="shared" si="65"/>
        <v>0</v>
      </c>
      <c r="AA104" s="525">
        <f t="shared" si="65"/>
        <v>0</v>
      </c>
      <c r="AB104" s="525">
        <f t="shared" si="65"/>
        <v>0</v>
      </c>
      <c r="AD104" s="405">
        <f t="shared" si="5"/>
        <v>0</v>
      </c>
      <c r="AE104" s="525">
        <f t="shared" si="6"/>
        <v>0</v>
      </c>
      <c r="AF104" s="525">
        <f t="shared" si="7"/>
        <v>0</v>
      </c>
      <c r="AG104" s="525">
        <f t="shared" si="7"/>
        <v>0</v>
      </c>
      <c r="AH104" s="525">
        <f t="shared" si="7"/>
        <v>0</v>
      </c>
      <c r="AI104" s="525">
        <f t="shared" si="8"/>
        <v>0</v>
      </c>
      <c r="AJ104" s="525">
        <f t="shared" si="8"/>
        <v>0</v>
      </c>
      <c r="AK104" s="525">
        <f t="shared" si="8"/>
        <v>0</v>
      </c>
      <c r="AL104" s="525">
        <f t="shared" si="9"/>
        <v>0</v>
      </c>
    </row>
    <row r="105" spans="1:38">
      <c r="A105" s="618"/>
      <c r="B105" s="618" t="s">
        <v>510</v>
      </c>
      <c r="C105" s="619">
        <f t="shared" si="63"/>
        <v>0</v>
      </c>
      <c r="D105" s="523" t="str">
        <f>VLOOKUP(B105,DONGIA,DG!$B$6,0)</f>
        <v>AB.65110</v>
      </c>
      <c r="E105" s="525" t="str">
        <f>VLOOKUP(B105,DONGIA,DG!$C$6,0)</f>
        <v>Đắp đất hố móng (K=0,85)</v>
      </c>
      <c r="F105" s="523" t="str">
        <f>VLOOKUP(B105,DONGIA,DG!$D$6,0)</f>
        <v>m3</v>
      </c>
      <c r="G105" s="443">
        <v>6.4000000000000001E-2</v>
      </c>
      <c r="H105" s="525"/>
      <c r="I105" s="525"/>
      <c r="J105" s="525">
        <f>VLOOKUP($B105,DONGIA,DG!$F$6,0)</f>
        <v>16267</v>
      </c>
      <c r="K105" s="525"/>
      <c r="L105" s="525">
        <f>VLOOKUP($B105,DONGIA,DG!$G$6,0)</f>
        <v>11176</v>
      </c>
      <c r="M105" s="525"/>
      <c r="N105" s="525">
        <f t="shared" si="64"/>
        <v>0</v>
      </c>
      <c r="O105" s="525">
        <f t="shared" si="61"/>
        <v>0</v>
      </c>
      <c r="P105" s="525">
        <f t="shared" si="61"/>
        <v>1041.088</v>
      </c>
      <c r="Q105" s="525">
        <f t="shared" si="61"/>
        <v>0</v>
      </c>
      <c r="R105" s="525">
        <f t="shared" si="61"/>
        <v>715.26400000000001</v>
      </c>
      <c r="S105" s="525">
        <f t="shared" si="61"/>
        <v>0</v>
      </c>
      <c r="U105" s="525">
        <f t="shared" si="65"/>
        <v>0</v>
      </c>
      <c r="V105" s="525">
        <f t="shared" si="65"/>
        <v>0</v>
      </c>
      <c r="W105" s="525">
        <f t="shared" si="65"/>
        <v>0</v>
      </c>
      <c r="X105" s="525">
        <f t="shared" si="65"/>
        <v>0</v>
      </c>
      <c r="Y105" s="525">
        <f t="shared" si="65"/>
        <v>0</v>
      </c>
      <c r="Z105" s="525">
        <f t="shared" si="65"/>
        <v>0</v>
      </c>
      <c r="AA105" s="525">
        <f t="shared" si="65"/>
        <v>0</v>
      </c>
      <c r="AB105" s="525">
        <f t="shared" si="65"/>
        <v>0</v>
      </c>
      <c r="AD105" s="405">
        <f t="shared" si="5"/>
        <v>0</v>
      </c>
      <c r="AE105" s="525">
        <f t="shared" si="6"/>
        <v>0</v>
      </c>
      <c r="AF105" s="525">
        <f t="shared" si="7"/>
        <v>0</v>
      </c>
      <c r="AG105" s="525">
        <f t="shared" si="7"/>
        <v>0</v>
      </c>
      <c r="AH105" s="525">
        <f t="shared" si="7"/>
        <v>0</v>
      </c>
      <c r="AI105" s="525">
        <f t="shared" si="8"/>
        <v>0</v>
      </c>
      <c r="AJ105" s="525">
        <f t="shared" si="8"/>
        <v>0</v>
      </c>
      <c r="AK105" s="525">
        <f t="shared" si="8"/>
        <v>0</v>
      </c>
      <c r="AL105" s="525">
        <f t="shared" si="9"/>
        <v>0</v>
      </c>
    </row>
    <row r="106" spans="1:38">
      <c r="A106" s="618"/>
      <c r="B106" s="618" t="s">
        <v>713</v>
      </c>
      <c r="C106" s="619">
        <f>IF(G106&lt;&gt;0,$C$94,)</f>
        <v>0</v>
      </c>
      <c r="D106" s="523" t="str">
        <f>VLOOKUP(B106,DONGIA,DG!$B$6,0)</f>
        <v>AF.11210</v>
      </c>
      <c r="E106" s="525" t="str">
        <f>VLOOKUP(B106,DONGIA,DG!$C$6,0)</f>
        <v>Đổ bê tông mác M200 đá 1x2</v>
      </c>
      <c r="F106" s="523" t="str">
        <f>VLOOKUP(B106,DONGIA,DG!$D$6,0)</f>
        <v>m3</v>
      </c>
      <c r="G106" s="443">
        <v>1.075</v>
      </c>
      <c r="H106" s="525"/>
      <c r="I106" s="525"/>
      <c r="J106" s="525">
        <f>VLOOKUP($B106,DONGIA,DG!$F$6,0)</f>
        <v>293475</v>
      </c>
      <c r="K106" s="525"/>
      <c r="L106" s="525">
        <f>VLOOKUP($B106,DONGIA,DG!$G$6,0)</f>
        <v>44701</v>
      </c>
      <c r="M106" s="525"/>
      <c r="N106" s="525">
        <f t="shared" si="64"/>
        <v>0</v>
      </c>
      <c r="O106" s="525">
        <f t="shared" si="61"/>
        <v>0</v>
      </c>
      <c r="P106" s="525">
        <f t="shared" si="61"/>
        <v>315485.625</v>
      </c>
      <c r="Q106" s="525">
        <f t="shared" si="61"/>
        <v>0</v>
      </c>
      <c r="R106" s="525">
        <f t="shared" si="61"/>
        <v>48053.574999999997</v>
      </c>
      <c r="S106" s="525">
        <f t="shared" si="61"/>
        <v>0</v>
      </c>
      <c r="U106" s="525">
        <f t="shared" si="65"/>
        <v>0</v>
      </c>
      <c r="V106" s="525">
        <f t="shared" si="65"/>
        <v>0</v>
      </c>
      <c r="W106" s="525">
        <f t="shared" si="65"/>
        <v>0</v>
      </c>
      <c r="X106" s="525">
        <f t="shared" si="65"/>
        <v>0</v>
      </c>
      <c r="Y106" s="525">
        <f t="shared" si="65"/>
        <v>0</v>
      </c>
      <c r="Z106" s="525">
        <f t="shared" si="65"/>
        <v>0</v>
      </c>
      <c r="AA106" s="525">
        <f t="shared" si="65"/>
        <v>0</v>
      </c>
      <c r="AB106" s="525">
        <f t="shared" si="65"/>
        <v>0</v>
      </c>
      <c r="AD106" s="405">
        <f t="shared" si="5"/>
        <v>0</v>
      </c>
      <c r="AE106" s="525">
        <f t="shared" si="6"/>
        <v>0</v>
      </c>
      <c r="AF106" s="525">
        <f t="shared" si="7"/>
        <v>0</v>
      </c>
      <c r="AG106" s="525">
        <f t="shared" si="7"/>
        <v>0</v>
      </c>
      <c r="AH106" s="525">
        <f t="shared" si="7"/>
        <v>0</v>
      </c>
      <c r="AI106" s="525">
        <f t="shared" si="8"/>
        <v>0</v>
      </c>
      <c r="AJ106" s="525">
        <f t="shared" si="8"/>
        <v>0</v>
      </c>
      <c r="AK106" s="525">
        <f t="shared" si="8"/>
        <v>0</v>
      </c>
      <c r="AL106" s="525">
        <f t="shared" si="9"/>
        <v>0</v>
      </c>
    </row>
    <row r="107" spans="1:38">
      <c r="A107" s="618" t="s">
        <v>1483</v>
      </c>
      <c r="B107" s="618"/>
      <c r="C107" s="619">
        <f>IF(G107&lt;&gt;0,1,)</f>
        <v>0</v>
      </c>
      <c r="D107" s="622"/>
      <c r="E107" s="733" t="s">
        <v>1648</v>
      </c>
      <c r="F107" s="622" t="s">
        <v>1633</v>
      </c>
      <c r="G107" s="622">
        <f>U107</f>
        <v>0</v>
      </c>
      <c r="H107" s="623"/>
      <c r="I107" s="623"/>
      <c r="J107" s="623"/>
      <c r="K107" s="623"/>
      <c r="L107" s="623"/>
      <c r="M107" s="623"/>
      <c r="N107" s="623">
        <f t="shared" ref="N107:S107" si="66">SUM(N109:N122)</f>
        <v>375370</v>
      </c>
      <c r="O107" s="623">
        <f t="shared" si="66"/>
        <v>1317888</v>
      </c>
      <c r="P107" s="623">
        <f t="shared" si="66"/>
        <v>1194068.9759999998</v>
      </c>
      <c r="Q107" s="623">
        <f t="shared" si="66"/>
        <v>0</v>
      </c>
      <c r="R107" s="623">
        <f t="shared" si="66"/>
        <v>63475.576000000008</v>
      </c>
      <c r="S107" s="623">
        <f t="shared" si="66"/>
        <v>0</v>
      </c>
      <c r="U107" s="623">
        <f>SUM(V107:AB107)</f>
        <v>0</v>
      </c>
      <c r="V107" s="623">
        <f>IFERROR(HLOOKUP($A107,BK3P,V$3,0),)</f>
        <v>0</v>
      </c>
      <c r="W107" s="623">
        <f>IFERROR(HLOOKUP($A107,BK3P,W$3,0),)</f>
        <v>0</v>
      </c>
      <c r="X107" s="623">
        <f>IFERROR(HLOOKUP($A107,BK3P,X$3,0),)</f>
        <v>0</v>
      </c>
      <c r="Y107" s="623">
        <f>IFERROR(HLOOKUP($A107,BK1P,Y$3,0),)</f>
        <v>0</v>
      </c>
      <c r="Z107" s="623">
        <f>IFERROR(HLOOKUP($A107,BK1P,Z$3,0),)</f>
        <v>0</v>
      </c>
      <c r="AA107" s="623">
        <f>IFERROR(HLOOKUP($A107,BK1P,AA$3,0),)</f>
        <v>0</v>
      </c>
      <c r="AB107" s="623">
        <f>IFERROR(HLOOKUP($A107,BKHT,AB$3,0),)</f>
        <v>0</v>
      </c>
      <c r="AD107" s="405">
        <f t="shared" si="5"/>
        <v>0</v>
      </c>
      <c r="AE107" s="525">
        <f t="shared" si="6"/>
        <v>0</v>
      </c>
      <c r="AF107" s="525">
        <f t="shared" si="7"/>
        <v>0</v>
      </c>
      <c r="AG107" s="525">
        <f t="shared" si="7"/>
        <v>0</v>
      </c>
      <c r="AH107" s="525">
        <f t="shared" si="7"/>
        <v>0</v>
      </c>
      <c r="AI107" s="525">
        <f t="shared" si="8"/>
        <v>0</v>
      </c>
      <c r="AJ107" s="525">
        <f t="shared" si="8"/>
        <v>0</v>
      </c>
      <c r="AK107" s="525">
        <f t="shared" si="8"/>
        <v>0</v>
      </c>
      <c r="AL107" s="525">
        <f t="shared" si="9"/>
        <v>0</v>
      </c>
    </row>
    <row r="108" spans="1:38" s="542" customFormat="1">
      <c r="A108" s="624"/>
      <c r="B108" s="624"/>
      <c r="C108" s="625">
        <f>C107</f>
        <v>0</v>
      </c>
      <c r="D108" s="544"/>
      <c r="E108" s="734" t="s">
        <v>1644</v>
      </c>
      <c r="F108" s="544"/>
      <c r="G108" s="545"/>
      <c r="H108" s="545"/>
      <c r="I108" s="545"/>
      <c r="J108" s="545"/>
      <c r="K108" s="545"/>
      <c r="L108" s="545"/>
      <c r="M108" s="545"/>
      <c r="N108" s="545"/>
      <c r="O108" s="545"/>
      <c r="P108" s="545"/>
      <c r="Q108" s="545"/>
      <c r="R108" s="545"/>
      <c r="S108" s="545"/>
      <c r="U108" s="545"/>
      <c r="V108" s="545"/>
      <c r="W108" s="545"/>
      <c r="X108" s="545"/>
      <c r="Y108" s="545"/>
      <c r="Z108" s="545"/>
      <c r="AA108" s="545"/>
      <c r="AB108" s="545"/>
      <c r="AD108" s="405">
        <f t="shared" si="5"/>
        <v>0</v>
      </c>
      <c r="AE108" s="525">
        <f t="shared" si="6"/>
        <v>0</v>
      </c>
      <c r="AF108" s="525">
        <f t="shared" si="7"/>
        <v>0</v>
      </c>
      <c r="AG108" s="525">
        <f t="shared" si="7"/>
        <v>0</v>
      </c>
      <c r="AH108" s="525">
        <f t="shared" si="7"/>
        <v>0</v>
      </c>
      <c r="AI108" s="525">
        <f t="shared" si="8"/>
        <v>0</v>
      </c>
      <c r="AJ108" s="525">
        <f t="shared" si="8"/>
        <v>0</v>
      </c>
      <c r="AK108" s="525">
        <f t="shared" si="8"/>
        <v>0</v>
      </c>
      <c r="AL108" s="525">
        <f t="shared" si="9"/>
        <v>0</v>
      </c>
    </row>
    <row r="109" spans="1:38">
      <c r="A109" s="618"/>
      <c r="B109" s="618" t="s">
        <v>1639</v>
      </c>
      <c r="C109" s="619">
        <f>IF(G109&lt;&gt;0,$C$107,)</f>
        <v>0</v>
      </c>
      <c r="D109" s="523">
        <f>VLOOKUP(B109,DONGIA,DG!$B$6,0)</f>
        <v>0</v>
      </c>
      <c r="E109" s="666" t="str">
        <f>VLOOKUP(B109,DONGIA,DG!$C$6,0)</f>
        <v>Xi măng</v>
      </c>
      <c r="F109" s="523" t="str">
        <f>VLOOKUP(B109,DONGIA,DG!$D$6,0)</f>
        <v>kg</v>
      </c>
      <c r="G109" s="457">
        <f>ROUND(G122*281,1)</f>
        <v>384.4</v>
      </c>
      <c r="H109" s="525"/>
      <c r="I109" s="525">
        <f>VLOOKUP($B109,DONGIA,DG!$E$6,0)</f>
        <v>1760</v>
      </c>
      <c r="J109" s="525">
        <f>VLOOKUP($B109,DONGIA,DG!$F$6,0)</f>
        <v>0</v>
      </c>
      <c r="K109" s="525"/>
      <c r="L109" s="525">
        <f>VLOOKUP($B109,DONGIA,DG!$G$6,0)</f>
        <v>0</v>
      </c>
      <c r="M109" s="525"/>
      <c r="N109" s="525">
        <f>$G109*H109</f>
        <v>0</v>
      </c>
      <c r="O109" s="525">
        <f t="shared" ref="O109:S122" si="67">$G109*I109</f>
        <v>676544</v>
      </c>
      <c r="P109" s="525">
        <f t="shared" si="67"/>
        <v>0</v>
      </c>
      <c r="Q109" s="525">
        <f t="shared" si="67"/>
        <v>0</v>
      </c>
      <c r="R109" s="525">
        <f t="shared" si="67"/>
        <v>0</v>
      </c>
      <c r="S109" s="525">
        <f t="shared" si="67"/>
        <v>0</v>
      </c>
      <c r="U109" s="525">
        <f>U$107*$G109</f>
        <v>0</v>
      </c>
      <c r="V109" s="525">
        <f t="shared" ref="V109:AB109" si="68">V$107*$G109</f>
        <v>0</v>
      </c>
      <c r="W109" s="525">
        <f t="shared" si="68"/>
        <v>0</v>
      </c>
      <c r="X109" s="525">
        <f t="shared" si="68"/>
        <v>0</v>
      </c>
      <c r="Y109" s="525">
        <f t="shared" si="68"/>
        <v>0</v>
      </c>
      <c r="Z109" s="525">
        <f t="shared" si="68"/>
        <v>0</v>
      </c>
      <c r="AA109" s="525">
        <f t="shared" si="68"/>
        <v>0</v>
      </c>
      <c r="AB109" s="525">
        <f t="shared" si="68"/>
        <v>0</v>
      </c>
      <c r="AD109" s="405">
        <f t="shared" si="5"/>
        <v>1</v>
      </c>
      <c r="AE109" s="525">
        <f t="shared" si="6"/>
        <v>0</v>
      </c>
      <c r="AF109" s="525">
        <f t="shared" si="7"/>
        <v>0</v>
      </c>
      <c r="AG109" s="525">
        <f t="shared" si="7"/>
        <v>0</v>
      </c>
      <c r="AH109" s="525">
        <f t="shared" si="7"/>
        <v>0</v>
      </c>
      <c r="AI109" s="525">
        <f t="shared" si="8"/>
        <v>0</v>
      </c>
      <c r="AJ109" s="525">
        <f t="shared" si="8"/>
        <v>0</v>
      </c>
      <c r="AK109" s="525">
        <f t="shared" si="8"/>
        <v>0</v>
      </c>
      <c r="AL109" s="525">
        <f t="shared" si="9"/>
        <v>0</v>
      </c>
    </row>
    <row r="110" spans="1:38">
      <c r="A110" s="618"/>
      <c r="B110" s="618" t="s">
        <v>471</v>
      </c>
      <c r="C110" s="619">
        <f t="shared" ref="C110:C122" si="69">IF(G110&lt;&gt;0,$C$107,)</f>
        <v>0</v>
      </c>
      <c r="D110" s="523">
        <f>VLOOKUP(B110,DONGIA,DG!$B$6,0)</f>
        <v>0</v>
      </c>
      <c r="E110" s="666" t="str">
        <f>VLOOKUP(B110,DONGIA,DG!$C$6,0)</f>
        <v>Cát vàng</v>
      </c>
      <c r="F110" s="523" t="str">
        <f>VLOOKUP(B110,DONGIA,DG!$D$6,0)</f>
        <v>m3</v>
      </c>
      <c r="G110" s="53">
        <f>ROUND(G122*0.477,3)</f>
        <v>0.65300000000000002</v>
      </c>
      <c r="H110" s="525"/>
      <c r="I110" s="525">
        <f>VLOOKUP($B110,DONGIA,DG!$E$6,0)</f>
        <v>350000</v>
      </c>
      <c r="J110" s="525">
        <f>VLOOKUP($B110,DONGIA,DG!$F$6,0)</f>
        <v>0</v>
      </c>
      <c r="K110" s="525"/>
      <c r="L110" s="525">
        <f>VLOOKUP($B110,DONGIA,DG!$G$6,0)</f>
        <v>0</v>
      </c>
      <c r="M110" s="525"/>
      <c r="N110" s="525">
        <f t="shared" ref="N110:N122" si="70">$G110*H110</f>
        <v>0</v>
      </c>
      <c r="O110" s="525">
        <f t="shared" si="67"/>
        <v>228550</v>
      </c>
      <c r="P110" s="525">
        <f t="shared" si="67"/>
        <v>0</v>
      </c>
      <c r="Q110" s="525">
        <f t="shared" si="67"/>
        <v>0</v>
      </c>
      <c r="R110" s="525">
        <f t="shared" si="67"/>
        <v>0</v>
      </c>
      <c r="S110" s="525">
        <f t="shared" si="67"/>
        <v>0</v>
      </c>
      <c r="U110" s="525">
        <f t="shared" ref="U110:AB122" si="71">U$107*$G110</f>
        <v>0</v>
      </c>
      <c r="V110" s="525">
        <f t="shared" si="71"/>
        <v>0</v>
      </c>
      <c r="W110" s="525">
        <f t="shared" si="71"/>
        <v>0</v>
      </c>
      <c r="X110" s="525">
        <f t="shared" si="71"/>
        <v>0</v>
      </c>
      <c r="Y110" s="525">
        <f t="shared" si="71"/>
        <v>0</v>
      </c>
      <c r="Z110" s="525">
        <f t="shared" si="71"/>
        <v>0</v>
      </c>
      <c r="AA110" s="525">
        <f t="shared" si="71"/>
        <v>0</v>
      </c>
      <c r="AB110" s="525">
        <f t="shared" si="71"/>
        <v>0</v>
      </c>
      <c r="AD110" s="405">
        <f t="shared" si="5"/>
        <v>1500</v>
      </c>
      <c r="AE110" s="525">
        <f t="shared" si="6"/>
        <v>0</v>
      </c>
      <c r="AF110" s="525">
        <f t="shared" si="7"/>
        <v>0</v>
      </c>
      <c r="AG110" s="525">
        <f t="shared" si="7"/>
        <v>0</v>
      </c>
      <c r="AH110" s="525">
        <f t="shared" si="7"/>
        <v>0</v>
      </c>
      <c r="AI110" s="525">
        <f t="shared" si="8"/>
        <v>0</v>
      </c>
      <c r="AJ110" s="525">
        <f t="shared" si="8"/>
        <v>0</v>
      </c>
      <c r="AK110" s="525">
        <f t="shared" si="8"/>
        <v>0</v>
      </c>
      <c r="AL110" s="525">
        <f t="shared" si="9"/>
        <v>0</v>
      </c>
    </row>
    <row r="111" spans="1:38">
      <c r="A111" s="618"/>
      <c r="B111" s="618" t="s">
        <v>1640</v>
      </c>
      <c r="C111" s="619">
        <f t="shared" si="69"/>
        <v>0</v>
      </c>
      <c r="D111" s="523">
        <f>VLOOKUP(B111,DONGIA,DG!$B$6,0)</f>
        <v>0</v>
      </c>
      <c r="E111" s="666" t="str">
        <f>VLOOKUP(B111,DONGIA,DG!$C$6,0)</f>
        <v>Đá 1x2</v>
      </c>
      <c r="F111" s="523" t="str">
        <f>VLOOKUP(B111,DONGIA,DG!$D$6,0)</f>
        <v>m3</v>
      </c>
      <c r="G111" s="53">
        <f>ROUND(G122*0.882,3)</f>
        <v>1.2070000000000001</v>
      </c>
      <c r="H111" s="525"/>
      <c r="I111" s="525">
        <f>VLOOKUP($B111,DONGIA,DG!$E$6,0)</f>
        <v>342000</v>
      </c>
      <c r="J111" s="525">
        <f>VLOOKUP($B111,DONGIA,DG!$F$6,0)</f>
        <v>0</v>
      </c>
      <c r="K111" s="525"/>
      <c r="L111" s="525">
        <f>VLOOKUP($B111,DONGIA,DG!$G$6,0)</f>
        <v>0</v>
      </c>
      <c r="M111" s="525"/>
      <c r="N111" s="525">
        <f t="shared" si="70"/>
        <v>0</v>
      </c>
      <c r="O111" s="525">
        <f t="shared" si="67"/>
        <v>412794</v>
      </c>
      <c r="P111" s="525">
        <f t="shared" si="67"/>
        <v>0</v>
      </c>
      <c r="Q111" s="525">
        <f t="shared" si="67"/>
        <v>0</v>
      </c>
      <c r="R111" s="525">
        <f t="shared" si="67"/>
        <v>0</v>
      </c>
      <c r="S111" s="525">
        <f t="shared" si="67"/>
        <v>0</v>
      </c>
      <c r="U111" s="525">
        <f t="shared" si="71"/>
        <v>0</v>
      </c>
      <c r="V111" s="525">
        <f t="shared" si="71"/>
        <v>0</v>
      </c>
      <c r="W111" s="525">
        <f t="shared" si="71"/>
        <v>0</v>
      </c>
      <c r="X111" s="525">
        <f t="shared" si="71"/>
        <v>0</v>
      </c>
      <c r="Y111" s="525">
        <f t="shared" si="71"/>
        <v>0</v>
      </c>
      <c r="Z111" s="525">
        <f t="shared" si="71"/>
        <v>0</v>
      </c>
      <c r="AA111" s="525">
        <f t="shared" si="71"/>
        <v>0</v>
      </c>
      <c r="AB111" s="525">
        <f t="shared" si="71"/>
        <v>0</v>
      </c>
      <c r="AD111" s="405">
        <f t="shared" si="5"/>
        <v>1500</v>
      </c>
      <c r="AE111" s="525">
        <f t="shared" si="6"/>
        <v>0</v>
      </c>
      <c r="AF111" s="525">
        <f t="shared" si="7"/>
        <v>0</v>
      </c>
      <c r="AG111" s="525">
        <f t="shared" si="7"/>
        <v>0</v>
      </c>
      <c r="AH111" s="525">
        <f t="shared" si="7"/>
        <v>0</v>
      </c>
      <c r="AI111" s="525">
        <f t="shared" si="8"/>
        <v>0</v>
      </c>
      <c r="AJ111" s="525">
        <f t="shared" si="8"/>
        <v>0</v>
      </c>
      <c r="AK111" s="525">
        <f t="shared" si="8"/>
        <v>0</v>
      </c>
      <c r="AL111" s="525">
        <f t="shared" si="9"/>
        <v>0</v>
      </c>
    </row>
    <row r="112" spans="1:38">
      <c r="A112" s="618"/>
      <c r="B112" s="618" t="s">
        <v>2016</v>
      </c>
      <c r="C112" s="619">
        <f t="shared" si="69"/>
        <v>0</v>
      </c>
      <c r="D112" s="523">
        <f>VLOOKUP(B112,DONGIA,DG!$B$6,0)</f>
        <v>0</v>
      </c>
      <c r="E112" s="666" t="str">
        <f>VLOOKUP(B112,DONGIA,DG!$C$6,0)</f>
        <v>Boulon 16x450VRS + 2 long đền vuông D18-50x50x3/Zn</v>
      </c>
      <c r="F112" s="523" t="str">
        <f>VLOOKUP(B112,DONGIA,DG!$D$6,0)</f>
        <v>bộ</v>
      </c>
      <c r="G112" s="362">
        <v>1</v>
      </c>
      <c r="H112" s="525">
        <f>VLOOKUP($B112,DONGIA,DG!$E$6,0)</f>
        <v>39000</v>
      </c>
      <c r="I112" s="525"/>
      <c r="J112" s="525"/>
      <c r="K112" s="525">
        <f>VLOOKUP($B112,DONGIA,DG!$F$6,0)</f>
        <v>0</v>
      </c>
      <c r="L112" s="525"/>
      <c r="M112" s="525">
        <f>VLOOKUP($B112,DONGIA,DG!$G$6,0)</f>
        <v>0</v>
      </c>
      <c r="N112" s="525">
        <f t="shared" si="70"/>
        <v>39000</v>
      </c>
      <c r="O112" s="525">
        <f t="shared" si="67"/>
        <v>0</v>
      </c>
      <c r="P112" s="525">
        <f t="shared" si="67"/>
        <v>0</v>
      </c>
      <c r="Q112" s="525">
        <f t="shared" si="67"/>
        <v>0</v>
      </c>
      <c r="R112" s="525">
        <f t="shared" si="67"/>
        <v>0</v>
      </c>
      <c r="S112" s="525">
        <f t="shared" si="67"/>
        <v>0</v>
      </c>
      <c r="U112" s="525">
        <f t="shared" si="71"/>
        <v>0</v>
      </c>
      <c r="V112" s="525">
        <f t="shared" si="71"/>
        <v>0</v>
      </c>
      <c r="W112" s="525">
        <f t="shared" si="71"/>
        <v>0</v>
      </c>
      <c r="X112" s="525">
        <f t="shared" si="71"/>
        <v>0</v>
      </c>
      <c r="Y112" s="525">
        <f t="shared" si="71"/>
        <v>0</v>
      </c>
      <c r="Z112" s="525">
        <f t="shared" si="71"/>
        <v>0</v>
      </c>
      <c r="AA112" s="525">
        <f t="shared" si="71"/>
        <v>0</v>
      </c>
      <c r="AB112" s="525">
        <f t="shared" si="71"/>
        <v>0</v>
      </c>
      <c r="AD112" s="405">
        <f t="shared" si="5"/>
        <v>0.8500000000000002</v>
      </c>
      <c r="AE112" s="525">
        <f t="shared" si="6"/>
        <v>0</v>
      </c>
      <c r="AF112" s="525">
        <f t="shared" si="7"/>
        <v>0</v>
      </c>
      <c r="AG112" s="525">
        <f t="shared" si="7"/>
        <v>0</v>
      </c>
      <c r="AH112" s="525">
        <f t="shared" si="7"/>
        <v>0</v>
      </c>
      <c r="AI112" s="525">
        <f t="shared" si="8"/>
        <v>0</v>
      </c>
      <c r="AJ112" s="525">
        <f t="shared" si="8"/>
        <v>0</v>
      </c>
      <c r="AK112" s="525">
        <f t="shared" si="8"/>
        <v>0</v>
      </c>
      <c r="AL112" s="525">
        <f t="shared" si="9"/>
        <v>0</v>
      </c>
    </row>
    <row r="113" spans="1:38">
      <c r="A113" s="618"/>
      <c r="B113" s="618" t="s">
        <v>2015</v>
      </c>
      <c r="C113" s="619">
        <f t="shared" si="69"/>
        <v>0</v>
      </c>
      <c r="D113" s="523">
        <f>VLOOKUP(B113,DONGIA,DG!$B$6,0)</f>
        <v>0</v>
      </c>
      <c r="E113" s="666" t="str">
        <f>VLOOKUP(B113,DONGIA,DG!$C$6,0)</f>
        <v>Boulon 16x550VRS + 2 long đền vuông D18-50x50x3/Zn</v>
      </c>
      <c r="F113" s="523" t="str">
        <f>VLOOKUP(B113,DONGIA,DG!$D$6,0)</f>
        <v>bộ</v>
      </c>
      <c r="G113" s="362">
        <v>1</v>
      </c>
      <c r="H113" s="525">
        <f>VLOOKUP($B113,DONGIA,DG!$E$6,0)</f>
        <v>43000</v>
      </c>
      <c r="I113" s="525"/>
      <c r="J113" s="525"/>
      <c r="K113" s="525">
        <f>VLOOKUP($B113,DONGIA,DG!$F$6,0)</f>
        <v>0</v>
      </c>
      <c r="L113" s="525"/>
      <c r="M113" s="525">
        <f>VLOOKUP($B113,DONGIA,DG!$G$6,0)</f>
        <v>0</v>
      </c>
      <c r="N113" s="525">
        <f t="shared" si="70"/>
        <v>43000</v>
      </c>
      <c r="O113" s="525">
        <f t="shared" si="67"/>
        <v>0</v>
      </c>
      <c r="P113" s="525">
        <f t="shared" si="67"/>
        <v>0</v>
      </c>
      <c r="Q113" s="525">
        <f t="shared" si="67"/>
        <v>0</v>
      </c>
      <c r="R113" s="525">
        <f t="shared" si="67"/>
        <v>0</v>
      </c>
      <c r="S113" s="525">
        <f t="shared" si="67"/>
        <v>0</v>
      </c>
      <c r="U113" s="525">
        <f t="shared" si="71"/>
        <v>0</v>
      </c>
      <c r="V113" s="525">
        <f t="shared" si="71"/>
        <v>0</v>
      </c>
      <c r="W113" s="525">
        <f t="shared" si="71"/>
        <v>0</v>
      </c>
      <c r="X113" s="525">
        <f t="shared" si="71"/>
        <v>0</v>
      </c>
      <c r="Y113" s="525">
        <f t="shared" si="71"/>
        <v>0</v>
      </c>
      <c r="Z113" s="525">
        <f t="shared" si="71"/>
        <v>0</v>
      </c>
      <c r="AA113" s="525">
        <f t="shared" si="71"/>
        <v>0</v>
      </c>
      <c r="AB113" s="525">
        <f t="shared" si="71"/>
        <v>0</v>
      </c>
      <c r="AD113" s="405">
        <f t="shared" si="5"/>
        <v>0.95000000000000029</v>
      </c>
      <c r="AE113" s="525">
        <f t="shared" si="6"/>
        <v>0</v>
      </c>
      <c r="AF113" s="525">
        <f t="shared" si="7"/>
        <v>0</v>
      </c>
      <c r="AG113" s="525">
        <f t="shared" si="7"/>
        <v>0</v>
      </c>
      <c r="AH113" s="525">
        <f t="shared" si="7"/>
        <v>0</v>
      </c>
      <c r="AI113" s="525">
        <f t="shared" si="8"/>
        <v>0</v>
      </c>
      <c r="AJ113" s="525">
        <f t="shared" si="8"/>
        <v>0</v>
      </c>
      <c r="AK113" s="525">
        <f t="shared" si="8"/>
        <v>0</v>
      </c>
      <c r="AL113" s="525">
        <f t="shared" si="9"/>
        <v>0</v>
      </c>
    </row>
    <row r="114" spans="1:38">
      <c r="A114" s="618"/>
      <c r="B114" s="618" t="s">
        <v>2017</v>
      </c>
      <c r="C114" s="619">
        <f t="shared" si="69"/>
        <v>0</v>
      </c>
      <c r="D114" s="523">
        <f>VLOOKUP(B114,DONGIA,DG!$B$6,0)</f>
        <v>0</v>
      </c>
      <c r="E114" s="666" t="str">
        <f>VLOOKUP(B114,DONGIA,DG!$C$6,0)</f>
        <v>Boulon 16x650VRS + 2 long đền vuông D18-50x50x3/Zn</v>
      </c>
      <c r="F114" s="523" t="str">
        <f>VLOOKUP(B114,DONGIA,DG!$D$6,0)</f>
        <v>bộ</v>
      </c>
      <c r="G114" s="362">
        <v>1</v>
      </c>
      <c r="H114" s="525">
        <f>VLOOKUP($B114,DONGIA,DG!$E$6,0)</f>
        <v>49000</v>
      </c>
      <c r="I114" s="525"/>
      <c r="J114" s="525"/>
      <c r="K114" s="525">
        <f>VLOOKUP($B114,DONGIA,DG!$F$6,0)</f>
        <v>0</v>
      </c>
      <c r="L114" s="525"/>
      <c r="M114" s="525">
        <f>VLOOKUP($B114,DONGIA,DG!$G$6,0)</f>
        <v>0</v>
      </c>
      <c r="N114" s="525">
        <f t="shared" si="70"/>
        <v>49000</v>
      </c>
      <c r="O114" s="525">
        <f t="shared" si="67"/>
        <v>0</v>
      </c>
      <c r="P114" s="525">
        <f t="shared" si="67"/>
        <v>0</v>
      </c>
      <c r="Q114" s="525">
        <f t="shared" si="67"/>
        <v>0</v>
      </c>
      <c r="R114" s="525">
        <f t="shared" si="67"/>
        <v>0</v>
      </c>
      <c r="S114" s="525">
        <f t="shared" si="67"/>
        <v>0</v>
      </c>
      <c r="U114" s="525">
        <f t="shared" si="71"/>
        <v>0</v>
      </c>
      <c r="V114" s="525">
        <f t="shared" si="71"/>
        <v>0</v>
      </c>
      <c r="W114" s="525">
        <f t="shared" si="71"/>
        <v>0</v>
      </c>
      <c r="X114" s="525">
        <f t="shared" si="71"/>
        <v>0</v>
      </c>
      <c r="Y114" s="525">
        <f t="shared" si="71"/>
        <v>0</v>
      </c>
      <c r="Z114" s="525">
        <f t="shared" si="71"/>
        <v>0</v>
      </c>
      <c r="AA114" s="525">
        <f t="shared" si="71"/>
        <v>0</v>
      </c>
      <c r="AB114" s="525">
        <f t="shared" si="71"/>
        <v>0</v>
      </c>
      <c r="AD114" s="405">
        <f t="shared" si="5"/>
        <v>1.0500000000000003</v>
      </c>
      <c r="AE114" s="525">
        <f t="shared" si="6"/>
        <v>0</v>
      </c>
      <c r="AF114" s="525">
        <f t="shared" si="7"/>
        <v>0</v>
      </c>
      <c r="AG114" s="525">
        <f t="shared" si="7"/>
        <v>0</v>
      </c>
      <c r="AH114" s="525">
        <f t="shared" si="7"/>
        <v>0</v>
      </c>
      <c r="AI114" s="525">
        <f t="shared" si="8"/>
        <v>0</v>
      </c>
      <c r="AJ114" s="525">
        <f t="shared" si="8"/>
        <v>0</v>
      </c>
      <c r="AK114" s="525">
        <f t="shared" si="8"/>
        <v>0</v>
      </c>
      <c r="AL114" s="525">
        <f t="shared" si="9"/>
        <v>0</v>
      </c>
    </row>
    <row r="115" spans="1:38">
      <c r="A115" s="618"/>
      <c r="B115" s="618" t="s">
        <v>3509</v>
      </c>
      <c r="C115" s="619">
        <f t="shared" si="69"/>
        <v>0</v>
      </c>
      <c r="D115" s="523">
        <f>VLOOKUP(B115,DONGIA,DG!$B$6,0)</f>
        <v>0</v>
      </c>
      <c r="E115" s="666" t="str">
        <f>VLOOKUP(B115,DONGIA,DG!$C$6,0)</f>
        <v>Đinh: 15kg/100m2 ván khuôn</v>
      </c>
      <c r="F115" s="523" t="str">
        <f>VLOOKUP(B115,DONGIA,DG!$D$6,0)</f>
        <v>kg</v>
      </c>
      <c r="G115" s="53">
        <f>ROUND(G119*15/100,2)</f>
        <v>0.67</v>
      </c>
      <c r="H115" s="525">
        <f>VLOOKUP($B115,DONGIA,DG!$E$6,0)</f>
        <v>25000</v>
      </c>
      <c r="I115" s="525"/>
      <c r="J115" s="525"/>
      <c r="K115" s="525">
        <f>VLOOKUP($B115,DONGIA,DG!$F$6,0)</f>
        <v>0</v>
      </c>
      <c r="L115" s="525"/>
      <c r="M115" s="525">
        <f>VLOOKUP($B115,DONGIA,DG!$G$6,0)</f>
        <v>0</v>
      </c>
      <c r="N115" s="525">
        <f t="shared" si="70"/>
        <v>16750</v>
      </c>
      <c r="O115" s="525">
        <f t="shared" si="67"/>
        <v>0</v>
      </c>
      <c r="P115" s="525">
        <f t="shared" si="67"/>
        <v>0</v>
      </c>
      <c r="Q115" s="525">
        <f t="shared" si="67"/>
        <v>0</v>
      </c>
      <c r="R115" s="525">
        <f t="shared" si="67"/>
        <v>0</v>
      </c>
      <c r="S115" s="525">
        <f t="shared" si="67"/>
        <v>0</v>
      </c>
      <c r="U115" s="404"/>
      <c r="V115" s="404"/>
      <c r="W115" s="404"/>
      <c r="X115" s="404"/>
      <c r="Y115" s="404"/>
      <c r="Z115" s="404"/>
      <c r="AA115" s="404"/>
      <c r="AB115" s="404"/>
      <c r="AE115" s="404"/>
      <c r="AF115" s="404"/>
      <c r="AG115" s="404"/>
      <c r="AH115" s="404"/>
      <c r="AI115" s="404"/>
      <c r="AJ115" s="404"/>
      <c r="AK115" s="404"/>
      <c r="AL115" s="404"/>
    </row>
    <row r="116" spans="1:38">
      <c r="A116" s="618"/>
      <c r="B116" s="618" t="s">
        <v>3505</v>
      </c>
      <c r="C116" s="619">
        <f t="shared" si="69"/>
        <v>0</v>
      </c>
      <c r="D116" s="523">
        <f>VLOOKUP(B116,DONGIA,DG!$B$6,0)</f>
        <v>0</v>
      </c>
      <c r="E116" s="666" t="str">
        <f>VLOOKUP(B116,DONGIA,DG!$C$6,0)</f>
        <v>Gỗ chống: 0,335 m3/100m2 ván khuôn</v>
      </c>
      <c r="F116" s="523" t="str">
        <f>VLOOKUP(B116,DONGIA,DG!$D$6,0)</f>
        <v>m3</v>
      </c>
      <c r="G116" s="738">
        <f>ROUND(G119*0.335/100,4)</f>
        <v>1.4999999999999999E-2</v>
      </c>
      <c r="H116" s="525">
        <f>VLOOKUP($B116,DONGIA,DG!$E$6,0)</f>
        <v>3800000</v>
      </c>
      <c r="I116" s="525"/>
      <c r="J116" s="525"/>
      <c r="K116" s="525">
        <f>VLOOKUP($B116,DONGIA,DG!$F$6,0)</f>
        <v>0</v>
      </c>
      <c r="L116" s="525"/>
      <c r="M116" s="525">
        <f>VLOOKUP($B116,DONGIA,DG!$G$6,0)</f>
        <v>0</v>
      </c>
      <c r="N116" s="525">
        <f t="shared" si="70"/>
        <v>57000</v>
      </c>
      <c r="O116" s="525">
        <f t="shared" si="67"/>
        <v>0</v>
      </c>
      <c r="P116" s="525">
        <f t="shared" si="67"/>
        <v>0</v>
      </c>
      <c r="Q116" s="525">
        <f t="shared" si="67"/>
        <v>0</v>
      </c>
      <c r="R116" s="525">
        <f t="shared" si="67"/>
        <v>0</v>
      </c>
      <c r="S116" s="525">
        <f t="shared" si="67"/>
        <v>0</v>
      </c>
      <c r="U116" s="404"/>
      <c r="V116" s="404"/>
      <c r="W116" s="404"/>
      <c r="X116" s="404"/>
      <c r="Y116" s="404"/>
      <c r="Z116" s="404"/>
      <c r="AA116" s="404"/>
      <c r="AB116" s="404"/>
      <c r="AE116" s="404"/>
      <c r="AF116" s="404"/>
      <c r="AG116" s="404"/>
      <c r="AH116" s="404"/>
      <c r="AI116" s="404"/>
      <c r="AJ116" s="404"/>
      <c r="AK116" s="404"/>
      <c r="AL116" s="404"/>
    </row>
    <row r="117" spans="1:38">
      <c r="A117" s="618"/>
      <c r="B117" s="618" t="s">
        <v>3507</v>
      </c>
      <c r="C117" s="619">
        <f t="shared" si="69"/>
        <v>0</v>
      </c>
      <c r="D117" s="523">
        <f>VLOOKUP(B117,DONGIA,DG!$B$6,0)</f>
        <v>0</v>
      </c>
      <c r="E117" s="666" t="str">
        <f>VLOOKUP(B117,DONGIA,DG!$C$6,0)</f>
        <v>Gỗ đà nẹp: 0,21 m3/100m2 ván khuôn</v>
      </c>
      <c r="F117" s="523" t="str">
        <f>VLOOKUP(B117,DONGIA,DG!$D$6,0)</f>
        <v>m3</v>
      </c>
      <c r="G117" s="738">
        <f>ROUND(G119*0.21/100,4)</f>
        <v>9.4000000000000004E-3</v>
      </c>
      <c r="H117" s="525">
        <f>VLOOKUP($B117,DONGIA,DG!$E$6,0)</f>
        <v>3800000</v>
      </c>
      <c r="I117" s="525"/>
      <c r="J117" s="525"/>
      <c r="K117" s="525">
        <f>VLOOKUP($B117,DONGIA,DG!$F$6,0)</f>
        <v>0</v>
      </c>
      <c r="L117" s="525"/>
      <c r="M117" s="525">
        <f>VLOOKUP($B117,DONGIA,DG!$G$6,0)</f>
        <v>0</v>
      </c>
      <c r="N117" s="525">
        <f t="shared" si="70"/>
        <v>35720</v>
      </c>
      <c r="O117" s="525">
        <f t="shared" si="67"/>
        <v>0</v>
      </c>
      <c r="P117" s="525">
        <f t="shared" si="67"/>
        <v>0</v>
      </c>
      <c r="Q117" s="525">
        <f t="shared" si="67"/>
        <v>0</v>
      </c>
      <c r="R117" s="525">
        <f t="shared" si="67"/>
        <v>0</v>
      </c>
      <c r="S117" s="525">
        <f t="shared" si="67"/>
        <v>0</v>
      </c>
      <c r="U117" s="404"/>
      <c r="V117" s="404"/>
      <c r="W117" s="404"/>
      <c r="X117" s="404"/>
      <c r="Y117" s="404"/>
      <c r="Z117" s="404"/>
      <c r="AA117" s="404"/>
      <c r="AB117" s="404"/>
      <c r="AE117" s="404"/>
      <c r="AF117" s="404"/>
      <c r="AG117" s="404"/>
      <c r="AH117" s="404"/>
      <c r="AI117" s="404"/>
      <c r="AJ117" s="404"/>
      <c r="AK117" s="404"/>
      <c r="AL117" s="404"/>
    </row>
    <row r="118" spans="1:38">
      <c r="A118" s="618"/>
      <c r="B118" s="618" t="s">
        <v>3503</v>
      </c>
      <c r="C118" s="619">
        <f t="shared" si="69"/>
        <v>0</v>
      </c>
      <c r="D118" s="523">
        <f>VLOOKUP(B118,DONGIA,DG!$B$6,0)</f>
        <v>0</v>
      </c>
      <c r="E118" s="666" t="str">
        <f>VLOOKUP(B118,DONGIA,DG!$C$6,0)</f>
        <v>Gỗ ván (cả nẹp): 0,792 m3/100m2 ván khuôn</v>
      </c>
      <c r="F118" s="523" t="str">
        <f>VLOOKUP(B118,DONGIA,DG!$D$6,0)</f>
        <v>m3</v>
      </c>
      <c r="G118" s="738">
        <f>ROUND(G119*0.792/100,4)</f>
        <v>3.5499999999999997E-2</v>
      </c>
      <c r="H118" s="525">
        <f>VLOOKUP($B118,DONGIA,DG!$E$6,0)</f>
        <v>3800000</v>
      </c>
      <c r="I118" s="525"/>
      <c r="J118" s="525"/>
      <c r="K118" s="525">
        <f>VLOOKUP($B118,DONGIA,DG!$F$6,0)</f>
        <v>0</v>
      </c>
      <c r="L118" s="525"/>
      <c r="M118" s="525">
        <f>VLOOKUP($B118,DONGIA,DG!$G$6,0)</f>
        <v>0</v>
      </c>
      <c r="N118" s="525">
        <f t="shared" si="70"/>
        <v>134900</v>
      </c>
      <c r="O118" s="525">
        <f t="shared" si="67"/>
        <v>0</v>
      </c>
      <c r="P118" s="525">
        <f t="shared" si="67"/>
        <v>0</v>
      </c>
      <c r="Q118" s="525">
        <f t="shared" si="67"/>
        <v>0</v>
      </c>
      <c r="R118" s="525">
        <f t="shared" si="67"/>
        <v>0</v>
      </c>
      <c r="S118" s="525">
        <f t="shared" si="67"/>
        <v>0</v>
      </c>
      <c r="U118" s="404"/>
      <c r="V118" s="404"/>
      <c r="W118" s="404"/>
      <c r="X118" s="404"/>
      <c r="Y118" s="404"/>
      <c r="Z118" s="404"/>
      <c r="AA118" s="404"/>
      <c r="AB118" s="404"/>
      <c r="AE118" s="404"/>
      <c r="AF118" s="404"/>
      <c r="AG118" s="404"/>
      <c r="AH118" s="404"/>
      <c r="AI118" s="404"/>
      <c r="AJ118" s="404"/>
      <c r="AK118" s="404"/>
      <c r="AL118" s="404"/>
    </row>
    <row r="119" spans="1:38">
      <c r="A119" s="618"/>
      <c r="B119" s="618" t="s">
        <v>3511</v>
      </c>
      <c r="C119" s="619">
        <f t="shared" si="69"/>
        <v>0</v>
      </c>
      <c r="D119" s="523" t="str">
        <f>VLOOKUP(B119,DONGIA,DG!$B$6,0)</f>
        <v>AF.81122</v>
      </c>
      <c r="E119" s="666" t="str">
        <f>VLOOKUP(B119,DONGIA,DG!$C$6,0)</f>
        <v>Lắp ván khuôn gỗ móng - móng vuông, chữ nhật</v>
      </c>
      <c r="F119" s="523" t="str">
        <f>VLOOKUP(B119,DONGIA,DG!$D$6,0)</f>
        <v>m2</v>
      </c>
      <c r="G119" s="53">
        <f>ROUND(1.5*0.8*2+1.3*0.8*2,3)</f>
        <v>4.4800000000000004</v>
      </c>
      <c r="H119" s="525">
        <f>VLOOKUP($B119,DONGIA,DG!$E$6,0)</f>
        <v>0</v>
      </c>
      <c r="I119" s="525"/>
      <c r="J119" s="525">
        <f>VLOOKUP($B119,DONGIA,DG!$F$6,0)</f>
        <v>57946</v>
      </c>
      <c r="K119" s="525"/>
      <c r="L119" s="525"/>
      <c r="M119" s="525">
        <f>VLOOKUP($B119,DONGIA,DG!$G$6,0)</f>
        <v>0</v>
      </c>
      <c r="N119" s="525">
        <f t="shared" si="70"/>
        <v>0</v>
      </c>
      <c r="O119" s="525">
        <f t="shared" si="67"/>
        <v>0</v>
      </c>
      <c r="P119" s="525">
        <f t="shared" si="67"/>
        <v>259598.08000000002</v>
      </c>
      <c r="Q119" s="525">
        <f t="shared" si="67"/>
        <v>0</v>
      </c>
      <c r="R119" s="525">
        <f t="shared" si="67"/>
        <v>0</v>
      </c>
      <c r="S119" s="525">
        <f t="shared" si="67"/>
        <v>0</v>
      </c>
      <c r="U119" s="404"/>
      <c r="V119" s="404"/>
      <c r="W119" s="404"/>
      <c r="X119" s="404"/>
      <c r="Y119" s="404"/>
      <c r="Z119" s="404"/>
      <c r="AA119" s="404"/>
      <c r="AB119" s="404"/>
      <c r="AE119" s="404"/>
      <c r="AF119" s="404"/>
      <c r="AG119" s="404"/>
      <c r="AH119" s="404"/>
      <c r="AI119" s="404"/>
      <c r="AJ119" s="404"/>
      <c r="AK119" s="404"/>
      <c r="AL119" s="404"/>
    </row>
    <row r="120" spans="1:38">
      <c r="A120" s="618"/>
      <c r="B120" s="618" t="s">
        <v>3572</v>
      </c>
      <c r="C120" s="619">
        <f t="shared" si="69"/>
        <v>0</v>
      </c>
      <c r="D120" s="523" t="str">
        <f>VLOOKUP(B120,DONGIA,DG!$B$6,0)</f>
        <v>AB.11443</v>
      </c>
      <c r="E120" s="666" t="str">
        <f>VLOOKUP(B120,DONGIA,DG!$C$6,0)</f>
        <v>Đào hố móng đất cấp 3 sâu &gt;1m (rộng &gt;1m)</v>
      </c>
      <c r="F120" s="523" t="str">
        <f>VLOOKUP(B120,DONGIA,DG!$D$6,0)</f>
        <v>m3</v>
      </c>
      <c r="G120" s="53">
        <v>1.96</v>
      </c>
      <c r="H120" s="525"/>
      <c r="I120" s="525"/>
      <c r="J120" s="525">
        <f>VLOOKUP($B120,DONGIA,DG!$F$6,0)</f>
        <v>270211</v>
      </c>
      <c r="K120" s="525"/>
      <c r="L120" s="525">
        <f>VLOOKUP($B120,DONGIA,DG!$G$6,0)</f>
        <v>0</v>
      </c>
      <c r="M120" s="525"/>
      <c r="N120" s="525">
        <f t="shared" si="70"/>
        <v>0</v>
      </c>
      <c r="O120" s="525">
        <f t="shared" si="67"/>
        <v>0</v>
      </c>
      <c r="P120" s="525">
        <f t="shared" si="67"/>
        <v>529613.55999999994</v>
      </c>
      <c r="Q120" s="525">
        <f t="shared" si="67"/>
        <v>0</v>
      </c>
      <c r="R120" s="525">
        <f t="shared" si="67"/>
        <v>0</v>
      </c>
      <c r="S120" s="525">
        <f t="shared" si="67"/>
        <v>0</v>
      </c>
      <c r="U120" s="525">
        <f t="shared" si="71"/>
        <v>0</v>
      </c>
      <c r="V120" s="525">
        <f t="shared" si="71"/>
        <v>0</v>
      </c>
      <c r="W120" s="525">
        <f t="shared" si="71"/>
        <v>0</v>
      </c>
      <c r="X120" s="525">
        <f t="shared" si="71"/>
        <v>0</v>
      </c>
      <c r="Y120" s="525">
        <f t="shared" si="71"/>
        <v>0</v>
      </c>
      <c r="Z120" s="525">
        <f t="shared" si="71"/>
        <v>0</v>
      </c>
      <c r="AA120" s="525">
        <f t="shared" si="71"/>
        <v>0</v>
      </c>
      <c r="AB120" s="525">
        <f t="shared" si="71"/>
        <v>0</v>
      </c>
      <c r="AD120" s="405">
        <f t="shared" si="5"/>
        <v>0</v>
      </c>
      <c r="AE120" s="525">
        <f t="shared" si="6"/>
        <v>0</v>
      </c>
      <c r="AF120" s="525">
        <f t="shared" si="7"/>
        <v>0</v>
      </c>
      <c r="AG120" s="525">
        <f t="shared" si="7"/>
        <v>0</v>
      </c>
      <c r="AH120" s="525">
        <f t="shared" si="7"/>
        <v>0</v>
      </c>
      <c r="AI120" s="525">
        <f t="shared" si="8"/>
        <v>0</v>
      </c>
      <c r="AJ120" s="525">
        <f t="shared" si="8"/>
        <v>0</v>
      </c>
      <c r="AK120" s="525">
        <f t="shared" si="8"/>
        <v>0</v>
      </c>
      <c r="AL120" s="525">
        <f t="shared" si="9"/>
        <v>0</v>
      </c>
    </row>
    <row r="121" spans="1:38">
      <c r="A121" s="618"/>
      <c r="B121" s="618" t="s">
        <v>510</v>
      </c>
      <c r="C121" s="619">
        <f t="shared" si="69"/>
        <v>0</v>
      </c>
      <c r="D121" s="523" t="str">
        <f>VLOOKUP(B121,DONGIA,DG!$B$6,0)</f>
        <v>AB.65110</v>
      </c>
      <c r="E121" s="666" t="str">
        <f>VLOOKUP(B121,DONGIA,DG!$C$6,0)</f>
        <v>Đắp đất hố móng (K=0,85)</v>
      </c>
      <c r="F121" s="523" t="str">
        <f>VLOOKUP(B121,DONGIA,DG!$D$6,0)</f>
        <v>m3</v>
      </c>
      <c r="G121" s="53">
        <v>0.20799999999999999</v>
      </c>
      <c r="H121" s="525"/>
      <c r="I121" s="525"/>
      <c r="J121" s="525">
        <f>VLOOKUP($B121,DONGIA,DG!$F$6,0)</f>
        <v>16267</v>
      </c>
      <c r="K121" s="525"/>
      <c r="L121" s="525">
        <f>VLOOKUP($B121,DONGIA,DG!$G$6,0)</f>
        <v>11176</v>
      </c>
      <c r="M121" s="525"/>
      <c r="N121" s="525">
        <f t="shared" si="70"/>
        <v>0</v>
      </c>
      <c r="O121" s="525">
        <f t="shared" si="67"/>
        <v>0</v>
      </c>
      <c r="P121" s="525">
        <f t="shared" si="67"/>
        <v>3383.5360000000001</v>
      </c>
      <c r="Q121" s="525">
        <f t="shared" si="67"/>
        <v>0</v>
      </c>
      <c r="R121" s="525">
        <f t="shared" si="67"/>
        <v>2324.6079999999997</v>
      </c>
      <c r="S121" s="525">
        <f t="shared" si="67"/>
        <v>0</v>
      </c>
      <c r="U121" s="525">
        <f t="shared" si="71"/>
        <v>0</v>
      </c>
      <c r="V121" s="525">
        <f t="shared" si="71"/>
        <v>0</v>
      </c>
      <c r="W121" s="525">
        <f t="shared" si="71"/>
        <v>0</v>
      </c>
      <c r="X121" s="525">
        <f t="shared" si="71"/>
        <v>0</v>
      </c>
      <c r="Y121" s="525">
        <f t="shared" si="71"/>
        <v>0</v>
      </c>
      <c r="Z121" s="525">
        <f t="shared" si="71"/>
        <v>0</v>
      </c>
      <c r="AA121" s="525">
        <f t="shared" si="71"/>
        <v>0</v>
      </c>
      <c r="AB121" s="525">
        <f t="shared" si="71"/>
        <v>0</v>
      </c>
      <c r="AD121" s="405">
        <f t="shared" si="5"/>
        <v>0</v>
      </c>
      <c r="AE121" s="525">
        <f t="shared" si="6"/>
        <v>0</v>
      </c>
      <c r="AF121" s="525">
        <f t="shared" si="7"/>
        <v>0</v>
      </c>
      <c r="AG121" s="525">
        <f t="shared" si="7"/>
        <v>0</v>
      </c>
      <c r="AH121" s="525">
        <f t="shared" si="7"/>
        <v>0</v>
      </c>
      <c r="AI121" s="525">
        <f t="shared" si="8"/>
        <v>0</v>
      </c>
      <c r="AJ121" s="525">
        <f t="shared" si="8"/>
        <v>0</v>
      </c>
      <c r="AK121" s="525">
        <f t="shared" si="8"/>
        <v>0</v>
      </c>
      <c r="AL121" s="525">
        <f t="shared" si="9"/>
        <v>0</v>
      </c>
    </row>
    <row r="122" spans="1:38">
      <c r="A122" s="618"/>
      <c r="B122" s="618" t="s">
        <v>713</v>
      </c>
      <c r="C122" s="619">
        <f t="shared" si="69"/>
        <v>0</v>
      </c>
      <c r="D122" s="523" t="str">
        <f>VLOOKUP(B122,DONGIA,DG!$B$6,0)</f>
        <v>AF.11210</v>
      </c>
      <c r="E122" s="666" t="str">
        <f>VLOOKUP(B122,DONGIA,DG!$C$6,0)</f>
        <v>Đổ bê tông mác M200 đá 1x2</v>
      </c>
      <c r="F122" s="523" t="str">
        <f>VLOOKUP(B122,DONGIA,DG!$D$6,0)</f>
        <v>m3</v>
      </c>
      <c r="G122" s="53">
        <v>1.3680000000000001</v>
      </c>
      <c r="H122" s="525"/>
      <c r="I122" s="525"/>
      <c r="J122" s="525">
        <f>VLOOKUP($B122,DONGIA,DG!$F$6,0)</f>
        <v>293475</v>
      </c>
      <c r="K122" s="525"/>
      <c r="L122" s="525">
        <f>VLOOKUP($B122,DONGIA,DG!$G$6,0)</f>
        <v>44701</v>
      </c>
      <c r="M122" s="525"/>
      <c r="N122" s="525">
        <f t="shared" si="70"/>
        <v>0</v>
      </c>
      <c r="O122" s="525">
        <f t="shared" si="67"/>
        <v>0</v>
      </c>
      <c r="P122" s="525">
        <f t="shared" si="67"/>
        <v>401473.80000000005</v>
      </c>
      <c r="Q122" s="525">
        <f t="shared" si="67"/>
        <v>0</v>
      </c>
      <c r="R122" s="525">
        <f t="shared" si="67"/>
        <v>61150.968000000008</v>
      </c>
      <c r="S122" s="525">
        <f t="shared" si="67"/>
        <v>0</v>
      </c>
      <c r="U122" s="525">
        <f t="shared" si="71"/>
        <v>0</v>
      </c>
      <c r="V122" s="525">
        <f t="shared" si="71"/>
        <v>0</v>
      </c>
      <c r="W122" s="525">
        <f t="shared" si="71"/>
        <v>0</v>
      </c>
      <c r="X122" s="525">
        <f t="shared" si="71"/>
        <v>0</v>
      </c>
      <c r="Y122" s="525">
        <f t="shared" si="71"/>
        <v>0</v>
      </c>
      <c r="Z122" s="525">
        <f t="shared" si="71"/>
        <v>0</v>
      </c>
      <c r="AA122" s="525">
        <f t="shared" si="71"/>
        <v>0</v>
      </c>
      <c r="AB122" s="525">
        <f t="shared" si="71"/>
        <v>0</v>
      </c>
      <c r="AD122" s="405">
        <f t="shared" si="5"/>
        <v>0</v>
      </c>
      <c r="AE122" s="525">
        <f t="shared" si="6"/>
        <v>0</v>
      </c>
      <c r="AF122" s="525">
        <f t="shared" si="7"/>
        <v>0</v>
      </c>
      <c r="AG122" s="525">
        <f t="shared" si="7"/>
        <v>0</v>
      </c>
      <c r="AH122" s="525">
        <f t="shared" si="7"/>
        <v>0</v>
      </c>
      <c r="AI122" s="525">
        <f t="shared" si="8"/>
        <v>0</v>
      </c>
      <c r="AJ122" s="525">
        <f t="shared" si="8"/>
        <v>0</v>
      </c>
      <c r="AK122" s="525">
        <f t="shared" si="8"/>
        <v>0</v>
      </c>
      <c r="AL122" s="525">
        <f t="shared" si="9"/>
        <v>0</v>
      </c>
    </row>
    <row r="123" spans="1:38">
      <c r="A123" s="618" t="s">
        <v>558</v>
      </c>
      <c r="B123" s="618"/>
      <c r="C123" s="619">
        <f>IF(G123&lt;&gt;0,1,)</f>
        <v>1</v>
      </c>
      <c r="D123" s="622"/>
      <c r="E123" s="733" t="s">
        <v>1649</v>
      </c>
      <c r="F123" s="622" t="s">
        <v>1633</v>
      </c>
      <c r="G123" s="622">
        <f>U123</f>
        <v>57</v>
      </c>
      <c r="H123" s="623"/>
      <c r="I123" s="623"/>
      <c r="J123" s="623"/>
      <c r="K123" s="623"/>
      <c r="L123" s="623"/>
      <c r="M123" s="623"/>
      <c r="N123" s="623">
        <f t="shared" ref="N123:S123" si="72">SUM(N125:N126)</f>
        <v>0</v>
      </c>
      <c r="O123" s="623">
        <f t="shared" si="72"/>
        <v>0</v>
      </c>
      <c r="P123" s="623">
        <f>SUM(P125:P126)</f>
        <v>109186.255</v>
      </c>
      <c r="Q123" s="623">
        <f t="shared" si="72"/>
        <v>0</v>
      </c>
      <c r="R123" s="623">
        <f>SUM(R125:R126)</f>
        <v>2805.1759999999999</v>
      </c>
      <c r="S123" s="623">
        <f t="shared" si="72"/>
        <v>0</v>
      </c>
      <c r="U123" s="623">
        <f>SUM(V123:AB123)</f>
        <v>57</v>
      </c>
      <c r="V123" s="623">
        <f>IFERROR(HLOOKUP($A123,BK3P,V$3,0),)</f>
        <v>57</v>
      </c>
      <c r="W123" s="623">
        <f>IFERROR(HLOOKUP($A123,BK3P,W$3,0),)</f>
        <v>0</v>
      </c>
      <c r="X123" s="623">
        <f>IFERROR(HLOOKUP($A123,BK3P,X$3,0),)</f>
        <v>0</v>
      </c>
      <c r="Y123" s="623">
        <f>IFERROR(HLOOKUP($A123,BK1P,Y$3,0),)</f>
        <v>0</v>
      </c>
      <c r="Z123" s="623">
        <f>IFERROR(HLOOKUP($A123,BK1P,Z$3,0),)</f>
        <v>0</v>
      </c>
      <c r="AA123" s="623">
        <f>IFERROR(HLOOKUP($A123,BK1P,AA$3,0),)</f>
        <v>0</v>
      </c>
      <c r="AB123" s="623">
        <f>IFERROR(HLOOKUP($A123,BKHT,AB$3,0),)</f>
        <v>0</v>
      </c>
      <c r="AD123" s="405">
        <f t="shared" si="5"/>
        <v>0</v>
      </c>
      <c r="AE123" s="525">
        <f t="shared" si="6"/>
        <v>0</v>
      </c>
      <c r="AF123" s="525">
        <f t="shared" si="7"/>
        <v>0</v>
      </c>
      <c r="AG123" s="525">
        <f t="shared" si="7"/>
        <v>0</v>
      </c>
      <c r="AH123" s="525">
        <f t="shared" si="7"/>
        <v>0</v>
      </c>
      <c r="AI123" s="525">
        <f t="shared" si="8"/>
        <v>0</v>
      </c>
      <c r="AJ123" s="525">
        <f t="shared" si="8"/>
        <v>0</v>
      </c>
      <c r="AK123" s="525">
        <f t="shared" si="8"/>
        <v>0</v>
      </c>
      <c r="AL123" s="525">
        <f t="shared" si="9"/>
        <v>0</v>
      </c>
    </row>
    <row r="124" spans="1:38" s="542" customFormat="1">
      <c r="A124" s="624"/>
      <c r="B124" s="624"/>
      <c r="C124" s="625">
        <f>C123</f>
        <v>1</v>
      </c>
      <c r="D124" s="544"/>
      <c r="E124" s="734" t="s">
        <v>1644</v>
      </c>
      <c r="F124" s="544"/>
      <c r="G124" s="545"/>
      <c r="H124" s="545"/>
      <c r="I124" s="545"/>
      <c r="J124" s="545"/>
      <c r="K124" s="545"/>
      <c r="L124" s="545"/>
      <c r="M124" s="545"/>
      <c r="N124" s="545"/>
      <c r="O124" s="545"/>
      <c r="P124" s="545"/>
      <c r="Q124" s="545"/>
      <c r="R124" s="545"/>
      <c r="S124" s="545"/>
      <c r="U124" s="545"/>
      <c r="V124" s="545"/>
      <c r="W124" s="545"/>
      <c r="X124" s="545"/>
      <c r="Y124" s="545"/>
      <c r="Z124" s="545"/>
      <c r="AA124" s="545"/>
      <c r="AB124" s="545"/>
      <c r="AD124" s="405">
        <f t="shared" si="5"/>
        <v>0</v>
      </c>
      <c r="AE124" s="525">
        <f t="shared" si="6"/>
        <v>0</v>
      </c>
      <c r="AF124" s="525">
        <f t="shared" si="7"/>
        <v>0</v>
      </c>
      <c r="AG124" s="525">
        <f t="shared" si="7"/>
        <v>0</v>
      </c>
      <c r="AH124" s="525">
        <f t="shared" si="7"/>
        <v>0</v>
      </c>
      <c r="AI124" s="525">
        <f t="shared" si="8"/>
        <v>0</v>
      </c>
      <c r="AJ124" s="525">
        <f t="shared" si="8"/>
        <v>0</v>
      </c>
      <c r="AK124" s="525">
        <f t="shared" si="8"/>
        <v>0</v>
      </c>
      <c r="AL124" s="525">
        <f t="shared" si="9"/>
        <v>0</v>
      </c>
    </row>
    <row r="125" spans="1:38">
      <c r="A125" s="618"/>
      <c r="B125" s="618" t="s">
        <v>499</v>
      </c>
      <c r="C125" s="619">
        <f>IF(G125&lt;&gt;0,$C$123,)</f>
        <v>1</v>
      </c>
      <c r="D125" s="523" t="str">
        <f>VLOOKUP(B125,DONGIA,DG!$B$6,0)</f>
        <v>AB.11423</v>
      </c>
      <c r="E125" s="666" t="str">
        <f>VLOOKUP(B125,DONGIA,DG!$C$6,0)</f>
        <v>Đào hố móng đất cấp 3 sâu &gt;1m (rộng ≤1m)</v>
      </c>
      <c r="F125" s="523" t="str">
        <f>VLOOKUP(B125,DONGIA,DG!$D$6,0)</f>
        <v>m3</v>
      </c>
      <c r="G125" s="626">
        <f>ROUND(0.2*0.2*PI()*2,3)</f>
        <v>0.251</v>
      </c>
      <c r="H125" s="525"/>
      <c r="I125" s="525"/>
      <c r="J125" s="525">
        <f>VLOOKUP($B125,DONGIA,DG!$F$6,0)</f>
        <v>418738</v>
      </c>
      <c r="K125" s="525"/>
      <c r="L125" s="525">
        <f>VLOOKUP($B125,DONGIA,DG!$G$6,0)</f>
        <v>0</v>
      </c>
      <c r="M125" s="525"/>
      <c r="N125" s="525">
        <f>$G125*H125</f>
        <v>0</v>
      </c>
      <c r="O125" s="525">
        <f t="shared" ref="O125:S126" si="73">$G125*I125</f>
        <v>0</v>
      </c>
      <c r="P125" s="525">
        <f t="shared" si="73"/>
        <v>105103.238</v>
      </c>
      <c r="Q125" s="525">
        <f t="shared" si="73"/>
        <v>0</v>
      </c>
      <c r="R125" s="525">
        <f t="shared" si="73"/>
        <v>0</v>
      </c>
      <c r="S125" s="525">
        <f t="shared" si="73"/>
        <v>0</v>
      </c>
      <c r="U125" s="525">
        <f>U$123*$G125</f>
        <v>14.307</v>
      </c>
      <c r="V125" s="525">
        <f t="shared" ref="V125:AB126" si="74">V$123*$G125</f>
        <v>14.307</v>
      </c>
      <c r="W125" s="525">
        <f t="shared" si="74"/>
        <v>0</v>
      </c>
      <c r="X125" s="525">
        <f t="shared" si="74"/>
        <v>0</v>
      </c>
      <c r="Y125" s="525">
        <f t="shared" si="74"/>
        <v>0</v>
      </c>
      <c r="Z125" s="525">
        <f t="shared" si="74"/>
        <v>0</v>
      </c>
      <c r="AA125" s="525">
        <f t="shared" si="74"/>
        <v>0</v>
      </c>
      <c r="AB125" s="525">
        <f t="shared" si="74"/>
        <v>0</v>
      </c>
      <c r="AD125" s="405">
        <f t="shared" si="5"/>
        <v>0</v>
      </c>
      <c r="AE125" s="525">
        <f t="shared" si="6"/>
        <v>0</v>
      </c>
      <c r="AF125" s="525">
        <f t="shared" si="7"/>
        <v>0</v>
      </c>
      <c r="AG125" s="525">
        <f t="shared" si="7"/>
        <v>0</v>
      </c>
      <c r="AH125" s="525">
        <f t="shared" si="7"/>
        <v>0</v>
      </c>
      <c r="AI125" s="525">
        <f t="shared" si="8"/>
        <v>0</v>
      </c>
      <c r="AJ125" s="525">
        <f t="shared" si="8"/>
        <v>0</v>
      </c>
      <c r="AK125" s="525">
        <f t="shared" si="8"/>
        <v>0</v>
      </c>
      <c r="AL125" s="525">
        <f t="shared" si="9"/>
        <v>0</v>
      </c>
    </row>
    <row r="126" spans="1:38">
      <c r="A126" s="618"/>
      <c r="B126" s="618" t="s">
        <v>510</v>
      </c>
      <c r="C126" s="619">
        <f>IF(G126&lt;&gt;0,$C$123,)</f>
        <v>1</v>
      </c>
      <c r="D126" s="523" t="str">
        <f>VLOOKUP(B126,DONGIA,DG!$B$6,0)</f>
        <v>AB.65110</v>
      </c>
      <c r="E126" s="666" t="str">
        <f>VLOOKUP(B126,DONGIA,DG!$C$6,0)</f>
        <v>Đắp đất hố móng (K=0,85)</v>
      </c>
      <c r="F126" s="523" t="str">
        <f>VLOOKUP(B126,DONGIA,DG!$D$6,0)</f>
        <v>m3</v>
      </c>
      <c r="G126" s="626">
        <f>G125</f>
        <v>0.251</v>
      </c>
      <c r="H126" s="525"/>
      <c r="I126" s="525"/>
      <c r="J126" s="525">
        <f>VLOOKUP($B126,DONGIA,DG!$F$6,0)</f>
        <v>16267</v>
      </c>
      <c r="K126" s="525"/>
      <c r="L126" s="525">
        <f>VLOOKUP($B126,DONGIA,DG!$G$6,0)</f>
        <v>11176</v>
      </c>
      <c r="M126" s="525"/>
      <c r="N126" s="525">
        <f>$G126*H126</f>
        <v>0</v>
      </c>
      <c r="O126" s="525">
        <f t="shared" si="73"/>
        <v>0</v>
      </c>
      <c r="P126" s="525">
        <f t="shared" si="73"/>
        <v>4083.0169999999998</v>
      </c>
      <c r="Q126" s="525">
        <f t="shared" si="73"/>
        <v>0</v>
      </c>
      <c r="R126" s="525">
        <f t="shared" si="73"/>
        <v>2805.1759999999999</v>
      </c>
      <c r="S126" s="525">
        <f t="shared" si="73"/>
        <v>0</v>
      </c>
      <c r="U126" s="525">
        <f>U$123*$G126</f>
        <v>14.307</v>
      </c>
      <c r="V126" s="525">
        <f t="shared" si="74"/>
        <v>14.307</v>
      </c>
      <c r="W126" s="525">
        <f t="shared" si="74"/>
        <v>0</v>
      </c>
      <c r="X126" s="525">
        <f t="shared" si="74"/>
        <v>0</v>
      </c>
      <c r="Y126" s="525">
        <f t="shared" si="74"/>
        <v>0</v>
      </c>
      <c r="Z126" s="525">
        <f t="shared" si="74"/>
        <v>0</v>
      </c>
      <c r="AA126" s="525">
        <f t="shared" si="74"/>
        <v>0</v>
      </c>
      <c r="AB126" s="525">
        <f t="shared" si="74"/>
        <v>0</v>
      </c>
      <c r="AD126" s="405">
        <f t="shared" si="5"/>
        <v>0</v>
      </c>
      <c r="AE126" s="525">
        <f t="shared" si="6"/>
        <v>0</v>
      </c>
      <c r="AF126" s="525">
        <f t="shared" si="7"/>
        <v>0</v>
      </c>
      <c r="AG126" s="525">
        <f t="shared" si="7"/>
        <v>0</v>
      </c>
      <c r="AH126" s="525">
        <f t="shared" si="7"/>
        <v>0</v>
      </c>
      <c r="AI126" s="525">
        <f t="shared" si="8"/>
        <v>0</v>
      </c>
      <c r="AJ126" s="525">
        <f t="shared" si="8"/>
        <v>0</v>
      </c>
      <c r="AK126" s="525">
        <f t="shared" si="8"/>
        <v>0</v>
      </c>
      <c r="AL126" s="525">
        <f t="shared" si="9"/>
        <v>0</v>
      </c>
    </row>
    <row r="127" spans="1:38">
      <c r="A127" s="618" t="s">
        <v>1484</v>
      </c>
      <c r="B127" s="618"/>
      <c r="C127" s="619">
        <f>IF(G127&lt;&gt;0,1,)</f>
        <v>1</v>
      </c>
      <c r="D127" s="622"/>
      <c r="E127" s="733" t="s">
        <v>1650</v>
      </c>
      <c r="F127" s="622" t="s">
        <v>1633</v>
      </c>
      <c r="G127" s="622">
        <f>U127</f>
        <v>11</v>
      </c>
      <c r="H127" s="623"/>
      <c r="I127" s="623"/>
      <c r="J127" s="623"/>
      <c r="K127" s="623"/>
      <c r="L127" s="623"/>
      <c r="M127" s="623"/>
      <c r="N127" s="623">
        <f t="shared" ref="N127:S127" si="75">SUM(N129:N131)</f>
        <v>0</v>
      </c>
      <c r="O127" s="623">
        <f t="shared" si="75"/>
        <v>0</v>
      </c>
      <c r="P127" s="623">
        <f t="shared" si="75"/>
        <v>465017.48899999994</v>
      </c>
      <c r="Q127" s="623">
        <f t="shared" si="75"/>
        <v>0</v>
      </c>
      <c r="R127" s="623">
        <f t="shared" si="75"/>
        <v>560178.71199999994</v>
      </c>
      <c r="S127" s="623">
        <f t="shared" si="75"/>
        <v>0</v>
      </c>
      <c r="U127" s="623">
        <f>SUM(V127:AB127)</f>
        <v>11</v>
      </c>
      <c r="V127" s="623">
        <f>IFERROR(HLOOKUP($A127,BK3P,V$3,0),)</f>
        <v>11</v>
      </c>
      <c r="W127" s="623">
        <f>IFERROR(HLOOKUP($A127,BK3P,W$3,0),)</f>
        <v>0</v>
      </c>
      <c r="X127" s="623">
        <f>IFERROR(HLOOKUP($A127,BK3P,X$3,0),)</f>
        <v>0</v>
      </c>
      <c r="Y127" s="623">
        <f>IFERROR(HLOOKUP($A127,BK1P,Y$3,0),)</f>
        <v>0</v>
      </c>
      <c r="Z127" s="623">
        <f>IFERROR(HLOOKUP($A127,BK1P,Z$3,0),)</f>
        <v>0</v>
      </c>
      <c r="AA127" s="623">
        <f>IFERROR(HLOOKUP($A127,BK1P,AA$3,0),)</f>
        <v>0</v>
      </c>
      <c r="AB127" s="623">
        <f>IFERROR(HLOOKUP($A127,BKHT,AB$3,0),)</f>
        <v>0</v>
      </c>
      <c r="AD127" s="405">
        <f t="shared" si="5"/>
        <v>0</v>
      </c>
      <c r="AE127" s="525">
        <f t="shared" si="6"/>
        <v>0</v>
      </c>
      <c r="AF127" s="525">
        <f t="shared" si="7"/>
        <v>0</v>
      </c>
      <c r="AG127" s="525">
        <f t="shared" si="7"/>
        <v>0</v>
      </c>
      <c r="AH127" s="525">
        <f t="shared" si="7"/>
        <v>0</v>
      </c>
      <c r="AI127" s="525">
        <f t="shared" si="8"/>
        <v>0</v>
      </c>
      <c r="AJ127" s="525">
        <f t="shared" si="8"/>
        <v>0</v>
      </c>
      <c r="AK127" s="525">
        <f t="shared" si="8"/>
        <v>0</v>
      </c>
      <c r="AL127" s="525">
        <f t="shared" si="9"/>
        <v>0</v>
      </c>
    </row>
    <row r="128" spans="1:38" s="542" customFormat="1">
      <c r="A128" s="624"/>
      <c r="B128" s="624"/>
      <c r="C128" s="625">
        <f>C127</f>
        <v>1</v>
      </c>
      <c r="D128" s="544"/>
      <c r="E128" s="734" t="s">
        <v>1644</v>
      </c>
      <c r="F128" s="544"/>
      <c r="G128" s="545"/>
      <c r="H128" s="545"/>
      <c r="I128" s="545"/>
      <c r="J128" s="545"/>
      <c r="K128" s="545"/>
      <c r="L128" s="545"/>
      <c r="M128" s="545"/>
      <c r="N128" s="545"/>
      <c r="O128" s="545"/>
      <c r="P128" s="545"/>
      <c r="Q128" s="545"/>
      <c r="R128" s="545"/>
      <c r="S128" s="545"/>
      <c r="U128" s="545"/>
      <c r="V128" s="545"/>
      <c r="W128" s="545"/>
      <c r="X128" s="545"/>
      <c r="Y128" s="545"/>
      <c r="Z128" s="545"/>
      <c r="AA128" s="545"/>
      <c r="AB128" s="545"/>
      <c r="AD128" s="405">
        <f t="shared" si="5"/>
        <v>0</v>
      </c>
      <c r="AE128" s="525">
        <f t="shared" si="6"/>
        <v>0</v>
      </c>
      <c r="AF128" s="525">
        <f t="shared" si="7"/>
        <v>0</v>
      </c>
      <c r="AG128" s="525">
        <f t="shared" si="7"/>
        <v>0</v>
      </c>
      <c r="AH128" s="525">
        <f t="shared" si="7"/>
        <v>0</v>
      </c>
      <c r="AI128" s="525">
        <f t="shared" si="8"/>
        <v>0</v>
      </c>
      <c r="AJ128" s="525">
        <f t="shared" si="8"/>
        <v>0</v>
      </c>
      <c r="AK128" s="525">
        <f t="shared" si="8"/>
        <v>0</v>
      </c>
      <c r="AL128" s="525">
        <f t="shared" si="9"/>
        <v>0</v>
      </c>
    </row>
    <row r="129" spans="1:38">
      <c r="A129" s="618"/>
      <c r="B129" s="618" t="s">
        <v>491</v>
      </c>
      <c r="C129" s="619">
        <f>IF(G129&lt;&gt;0,$C$127,)</f>
        <v>1</v>
      </c>
      <c r="D129" s="523" t="str">
        <f>VLOOKUP(B129,DONGIA,DG!$B$6,0)</f>
        <v>AB.11413</v>
      </c>
      <c r="E129" s="666" t="str">
        <f>VLOOKUP(B129,DONGIA,DG!$C$6,0)</f>
        <v>Đào hố móng đất cấp 3 sâu ≤1m (rộng ≤1m)</v>
      </c>
      <c r="F129" s="523" t="str">
        <f>VLOOKUP(B129,DONGIA,DG!$D$6,0)</f>
        <v>m3</v>
      </c>
      <c r="G129" s="626">
        <f>ROUND(1*1*0.4,3)</f>
        <v>0.4</v>
      </c>
      <c r="H129" s="525"/>
      <c r="I129" s="525"/>
      <c r="J129" s="525">
        <f>VLOOKUP($B129,DONGIA,DG!$F$6,0)</f>
        <v>340001</v>
      </c>
      <c r="K129" s="525"/>
      <c r="L129" s="525">
        <f>VLOOKUP($B129,DONGIA,DG!$G$6,0)</f>
        <v>0</v>
      </c>
      <c r="M129" s="525"/>
      <c r="N129" s="525">
        <f>$G129*H129</f>
        <v>0</v>
      </c>
      <c r="O129" s="525">
        <f t="shared" ref="O129:S131" si="76">$G129*I129</f>
        <v>0</v>
      </c>
      <c r="P129" s="525">
        <f t="shared" si="76"/>
        <v>136000.4</v>
      </c>
      <c r="Q129" s="525">
        <f t="shared" si="76"/>
        <v>0</v>
      </c>
      <c r="R129" s="525">
        <f t="shared" si="76"/>
        <v>0</v>
      </c>
      <c r="S129" s="525">
        <f t="shared" si="76"/>
        <v>0</v>
      </c>
      <c r="U129" s="525">
        <f>U$127*$G129</f>
        <v>4.4000000000000004</v>
      </c>
      <c r="V129" s="525">
        <f t="shared" ref="V129:AB129" si="77">V$127*$G129</f>
        <v>4.4000000000000004</v>
      </c>
      <c r="W129" s="525">
        <f t="shared" si="77"/>
        <v>0</v>
      </c>
      <c r="X129" s="525">
        <f t="shared" si="77"/>
        <v>0</v>
      </c>
      <c r="Y129" s="525">
        <f t="shared" si="77"/>
        <v>0</v>
      </c>
      <c r="Z129" s="525">
        <f t="shared" si="77"/>
        <v>0</v>
      </c>
      <c r="AA129" s="525">
        <f t="shared" si="77"/>
        <v>0</v>
      </c>
      <c r="AB129" s="525">
        <f t="shared" si="77"/>
        <v>0</v>
      </c>
      <c r="AD129" s="405">
        <f t="shared" si="5"/>
        <v>0</v>
      </c>
      <c r="AE129" s="525">
        <f t="shared" si="6"/>
        <v>0</v>
      </c>
      <c r="AF129" s="525">
        <f t="shared" si="7"/>
        <v>0</v>
      </c>
      <c r="AG129" s="525">
        <f t="shared" si="7"/>
        <v>0</v>
      </c>
      <c r="AH129" s="525">
        <f t="shared" si="7"/>
        <v>0</v>
      </c>
      <c r="AI129" s="525">
        <f t="shared" si="8"/>
        <v>0</v>
      </c>
      <c r="AJ129" s="525">
        <f t="shared" si="8"/>
        <v>0</v>
      </c>
      <c r="AK129" s="525">
        <f t="shared" si="8"/>
        <v>0</v>
      </c>
      <c r="AL129" s="525">
        <f t="shared" si="9"/>
        <v>0</v>
      </c>
    </row>
    <row r="130" spans="1:38">
      <c r="A130" s="618"/>
      <c r="B130" s="618" t="s">
        <v>3823</v>
      </c>
      <c r="C130" s="619">
        <f>IF(G130&lt;&gt;0,$C$127,)</f>
        <v>1</v>
      </c>
      <c r="D130" s="523" t="str">
        <f>VLOOKUP(B130,DONGIA,DG!$B$6,0)</f>
        <v>AB.51613</v>
      </c>
      <c r="E130" s="666" t="str">
        <f>VLOOKUP(B130,DONGIA,DG!$C$6,0)</f>
        <v>Phá đá chân hố móng, đá cấp III (bằng búa căn)</v>
      </c>
      <c r="F130" s="523" t="str">
        <f>VLOOKUP(B130,DONGIA,DG!$D$6,0)</f>
        <v>m3</v>
      </c>
      <c r="G130" s="626">
        <v>1.04</v>
      </c>
      <c r="H130" s="525"/>
      <c r="I130" s="525"/>
      <c r="J130" s="525">
        <f>VLOOKUP($B130,DONGIA,DG!$F$6,0)</f>
        <v>296545</v>
      </c>
      <c r="K130" s="525"/>
      <c r="L130" s="525">
        <f>VLOOKUP($B130,DONGIA,DG!$G$6,0)</f>
        <v>525018</v>
      </c>
      <c r="M130" s="525"/>
      <c r="N130" s="525">
        <f>$G130*H130</f>
        <v>0</v>
      </c>
      <c r="O130" s="525">
        <f t="shared" si="76"/>
        <v>0</v>
      </c>
      <c r="P130" s="525">
        <f t="shared" si="76"/>
        <v>308406.8</v>
      </c>
      <c r="Q130" s="525">
        <f t="shared" si="76"/>
        <v>0</v>
      </c>
      <c r="R130" s="525">
        <f t="shared" si="76"/>
        <v>546018.72</v>
      </c>
      <c r="S130" s="525">
        <f t="shared" si="76"/>
        <v>0</v>
      </c>
      <c r="U130" s="525">
        <f t="shared" ref="U130:AB131" si="78">U$127*$G130</f>
        <v>11.440000000000001</v>
      </c>
      <c r="V130" s="525">
        <f t="shared" si="78"/>
        <v>11.440000000000001</v>
      </c>
      <c r="W130" s="525">
        <f t="shared" si="78"/>
        <v>0</v>
      </c>
      <c r="X130" s="525">
        <f t="shared" si="78"/>
        <v>0</v>
      </c>
      <c r="Y130" s="525">
        <f t="shared" si="78"/>
        <v>0</v>
      </c>
      <c r="Z130" s="525">
        <f t="shared" si="78"/>
        <v>0</v>
      </c>
      <c r="AA130" s="525">
        <f t="shared" si="78"/>
        <v>0</v>
      </c>
      <c r="AB130" s="525">
        <f t="shared" si="78"/>
        <v>0</v>
      </c>
      <c r="AD130" s="405">
        <f t="shared" si="5"/>
        <v>0</v>
      </c>
      <c r="AE130" s="525">
        <f t="shared" si="6"/>
        <v>0</v>
      </c>
      <c r="AF130" s="525">
        <f t="shared" si="7"/>
        <v>0</v>
      </c>
      <c r="AG130" s="525">
        <f t="shared" si="7"/>
        <v>0</v>
      </c>
      <c r="AH130" s="525">
        <f t="shared" si="7"/>
        <v>0</v>
      </c>
      <c r="AI130" s="525">
        <f t="shared" si="8"/>
        <v>0</v>
      </c>
      <c r="AJ130" s="525">
        <f t="shared" si="8"/>
        <v>0</v>
      </c>
      <c r="AK130" s="525">
        <f t="shared" si="8"/>
        <v>0</v>
      </c>
      <c r="AL130" s="525">
        <f t="shared" si="9"/>
        <v>0</v>
      </c>
    </row>
    <row r="131" spans="1:38">
      <c r="A131" s="618"/>
      <c r="B131" s="618" t="s">
        <v>510</v>
      </c>
      <c r="C131" s="619">
        <f>IF(G131&lt;&gt;0,$C$127,)</f>
        <v>1</v>
      </c>
      <c r="D131" s="523" t="str">
        <f>VLOOKUP(B131,DONGIA,DG!$B$6,0)</f>
        <v>AB.65110</v>
      </c>
      <c r="E131" s="666" t="str">
        <f>VLOOKUP(B131,DONGIA,DG!$C$6,0)</f>
        <v>Đắp đất hố móng (K=0,85)</v>
      </c>
      <c r="F131" s="523" t="str">
        <f>VLOOKUP(B131,DONGIA,DG!$D$6,0)</f>
        <v>m3</v>
      </c>
      <c r="G131" s="626">
        <v>1.2669999999999999</v>
      </c>
      <c r="H131" s="525"/>
      <c r="I131" s="525"/>
      <c r="J131" s="525">
        <f>VLOOKUP($B131,DONGIA,DG!$F$6,0)</f>
        <v>16267</v>
      </c>
      <c r="K131" s="525"/>
      <c r="L131" s="525">
        <f>VLOOKUP($B131,DONGIA,DG!$G$6,0)</f>
        <v>11176</v>
      </c>
      <c r="M131" s="525"/>
      <c r="N131" s="525">
        <f>$G131*H131</f>
        <v>0</v>
      </c>
      <c r="O131" s="525">
        <f t="shared" si="76"/>
        <v>0</v>
      </c>
      <c r="P131" s="525">
        <f t="shared" si="76"/>
        <v>20610.288999999997</v>
      </c>
      <c r="Q131" s="525">
        <f t="shared" si="76"/>
        <v>0</v>
      </c>
      <c r="R131" s="525">
        <f t="shared" si="76"/>
        <v>14159.991999999998</v>
      </c>
      <c r="S131" s="525">
        <f t="shared" si="76"/>
        <v>0</v>
      </c>
      <c r="U131" s="525">
        <f t="shared" si="78"/>
        <v>13.936999999999999</v>
      </c>
      <c r="V131" s="525">
        <f t="shared" si="78"/>
        <v>13.936999999999999</v>
      </c>
      <c r="W131" s="525">
        <f t="shared" si="78"/>
        <v>0</v>
      </c>
      <c r="X131" s="525">
        <f t="shared" si="78"/>
        <v>0</v>
      </c>
      <c r="Y131" s="525">
        <f t="shared" si="78"/>
        <v>0</v>
      </c>
      <c r="Z131" s="525">
        <f t="shared" si="78"/>
        <v>0</v>
      </c>
      <c r="AA131" s="525">
        <f t="shared" si="78"/>
        <v>0</v>
      </c>
      <c r="AB131" s="525">
        <f t="shared" si="78"/>
        <v>0</v>
      </c>
      <c r="AD131" s="405">
        <f t="shared" ref="AD131:AD142" si="79">IFERROR(VLOOKUP(B131,DONGIA,$AD$3,0),0)</f>
        <v>0</v>
      </c>
      <c r="AE131" s="525">
        <f t="shared" ref="AE131:AE142" si="80">U131*$AD131</f>
        <v>0</v>
      </c>
      <c r="AF131" s="525">
        <f t="shared" ref="AF131:AF142" si="81">V131*$AD131</f>
        <v>0</v>
      </c>
      <c r="AG131" s="525">
        <f t="shared" ref="AG131:AG142" si="82">W131*$AD131</f>
        <v>0</v>
      </c>
      <c r="AH131" s="525">
        <f t="shared" ref="AH131:AH142" si="83">X131*$AD131</f>
        <v>0</v>
      </c>
      <c r="AI131" s="525">
        <f t="shared" ref="AI131:AI142" si="84">Y131*$AD131</f>
        <v>0</v>
      </c>
      <c r="AJ131" s="525">
        <f t="shared" ref="AJ131:AJ142" si="85">Z131*$AD131</f>
        <v>0</v>
      </c>
      <c r="AK131" s="525">
        <f t="shared" ref="AK131:AK142" si="86">AA131*$AD131</f>
        <v>0</v>
      </c>
      <c r="AL131" s="525">
        <f t="shared" si="9"/>
        <v>0</v>
      </c>
    </row>
    <row r="132" spans="1:38" s="332" customFormat="1">
      <c r="A132" s="356" t="s">
        <v>1402</v>
      </c>
      <c r="B132" s="356"/>
      <c r="C132" s="355">
        <f>IF(G132&lt;&gt;0,1,)</f>
        <v>0</v>
      </c>
      <c r="D132" s="357"/>
      <c r="E132" s="358" t="s">
        <v>1651</v>
      </c>
      <c r="F132" s="357" t="s">
        <v>1633</v>
      </c>
      <c r="G132" s="357">
        <f>U132</f>
        <v>0</v>
      </c>
      <c r="H132" s="358"/>
      <c r="I132" s="358"/>
      <c r="J132" s="358"/>
      <c r="K132" s="358"/>
      <c r="L132" s="358"/>
      <c r="M132" s="358"/>
      <c r="N132" s="358">
        <f t="shared" ref="N132:S132" si="87">SUM(N134:N137)</f>
        <v>412400</v>
      </c>
      <c r="O132" s="358">
        <f t="shared" si="87"/>
        <v>0</v>
      </c>
      <c r="P132" s="358">
        <f t="shared" si="87"/>
        <v>199524.97200000001</v>
      </c>
      <c r="Q132" s="358">
        <f t="shared" si="87"/>
        <v>0</v>
      </c>
      <c r="R132" s="358">
        <f t="shared" si="87"/>
        <v>8247.887999999999</v>
      </c>
      <c r="S132" s="358">
        <f t="shared" si="87"/>
        <v>0</v>
      </c>
      <c r="U132" s="358">
        <f>SUM(V132:AB132)</f>
        <v>0</v>
      </c>
      <c r="V132" s="358">
        <f>IFERROR(HLOOKUP($A132,BK3P,V$3,0),)</f>
        <v>0</v>
      </c>
      <c r="W132" s="358">
        <f>IFERROR(HLOOKUP($A132,BK3P,W$3,0),)</f>
        <v>0</v>
      </c>
      <c r="X132" s="358">
        <f>IFERROR(HLOOKUP($A132,BK3P,X$3,0),)</f>
        <v>0</v>
      </c>
      <c r="Y132" s="358">
        <f>IFERROR(HLOOKUP($A132,BK1P,Y$3,0),)</f>
        <v>0</v>
      </c>
      <c r="Z132" s="358">
        <f>IFERROR(HLOOKUP($A132,BK1P,Z$3,0),)</f>
        <v>0</v>
      </c>
      <c r="AA132" s="358">
        <f>IFERROR(HLOOKUP($A132,BK1P,AA$3,0),)</f>
        <v>0</v>
      </c>
      <c r="AB132" s="358">
        <f>IFERROR(HLOOKUP($A132,BKHT,AB$3,0),)</f>
        <v>0</v>
      </c>
      <c r="AD132" s="332">
        <f t="shared" si="79"/>
        <v>0</v>
      </c>
      <c r="AE132" s="329">
        <f t="shared" si="80"/>
        <v>0</v>
      </c>
      <c r="AF132" s="329">
        <f t="shared" si="81"/>
        <v>0</v>
      </c>
      <c r="AG132" s="329">
        <f t="shared" si="82"/>
        <v>0</v>
      </c>
      <c r="AH132" s="329">
        <f t="shared" si="83"/>
        <v>0</v>
      </c>
      <c r="AI132" s="329">
        <f t="shared" si="84"/>
        <v>0</v>
      </c>
      <c r="AJ132" s="329">
        <f t="shared" si="85"/>
        <v>0</v>
      </c>
      <c r="AK132" s="329">
        <f t="shared" si="86"/>
        <v>0</v>
      </c>
      <c r="AL132" s="329">
        <f t="shared" ref="AL132:AL142" si="88">AB132*$AD132</f>
        <v>0</v>
      </c>
    </row>
    <row r="133" spans="1:38" s="332" customFormat="1">
      <c r="A133" s="356"/>
      <c r="B133" s="356"/>
      <c r="C133" s="360">
        <f>C132</f>
        <v>0</v>
      </c>
      <c r="D133" s="328"/>
      <c r="E133" s="329" t="s">
        <v>1644</v>
      </c>
      <c r="F133" s="328"/>
      <c r="G133" s="329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U133" s="329"/>
      <c r="V133" s="329"/>
      <c r="W133" s="329"/>
      <c r="X133" s="329"/>
      <c r="Y133" s="329"/>
      <c r="Z133" s="329"/>
      <c r="AA133" s="329"/>
      <c r="AB133" s="329"/>
      <c r="AD133" s="332">
        <f t="shared" si="79"/>
        <v>0</v>
      </c>
      <c r="AE133" s="329">
        <f t="shared" si="80"/>
        <v>0</v>
      </c>
      <c r="AF133" s="329">
        <f t="shared" si="81"/>
        <v>0</v>
      </c>
      <c r="AG133" s="329">
        <f t="shared" si="82"/>
        <v>0</v>
      </c>
      <c r="AH133" s="329">
        <f t="shared" si="83"/>
        <v>0</v>
      </c>
      <c r="AI133" s="329">
        <f t="shared" si="84"/>
        <v>0</v>
      </c>
      <c r="AJ133" s="329">
        <f t="shared" si="85"/>
        <v>0</v>
      </c>
      <c r="AK133" s="329">
        <f t="shared" si="86"/>
        <v>0</v>
      </c>
      <c r="AL133" s="329">
        <f t="shared" si="88"/>
        <v>0</v>
      </c>
    </row>
    <row r="134" spans="1:38" s="332" customFormat="1">
      <c r="A134" s="356"/>
      <c r="B134" s="356" t="s">
        <v>1635</v>
      </c>
      <c r="C134" s="355">
        <f>IF(G134&lt;&gt;0,$C$132,)</f>
        <v>0</v>
      </c>
      <c r="D134" s="341" t="str">
        <f>VLOOKUP(B134,DONGIA,DG!$B$6,0)</f>
        <v>AG.42121</v>
      </c>
      <c r="E134" s="340" t="str">
        <f>VLOOKUP(B134,DONGIA,DG!$C$6,0)</f>
        <v>Đà cản BTCT 1,2m</v>
      </c>
      <c r="F134" s="341" t="str">
        <f>VLOOKUP(B134,DONGIA,DG!$D$6,0)</f>
        <v>cái</v>
      </c>
      <c r="G134" s="329">
        <v>1</v>
      </c>
      <c r="H134" s="329">
        <f>VLOOKUP($B134,DONGIA,DG!$E$6,0)</f>
        <v>320000</v>
      </c>
      <c r="I134" s="329"/>
      <c r="J134" s="329">
        <f>VLOOKUP($B134,DONGIA,DG!$F$6,0)</f>
        <v>52815</v>
      </c>
      <c r="K134" s="329"/>
      <c r="L134" s="329"/>
      <c r="M134" s="329">
        <f>VLOOKUP($B134,DONGIA,DG!$G$6,0)</f>
        <v>0</v>
      </c>
      <c r="N134" s="329">
        <f>$G134*H134</f>
        <v>320000</v>
      </c>
      <c r="O134" s="329">
        <f t="shared" ref="O134:S137" si="89">$G134*I134</f>
        <v>0</v>
      </c>
      <c r="P134" s="329">
        <f t="shared" si="89"/>
        <v>52815</v>
      </c>
      <c r="Q134" s="329">
        <f t="shared" si="89"/>
        <v>0</v>
      </c>
      <c r="R134" s="329">
        <f t="shared" si="89"/>
        <v>0</v>
      </c>
      <c r="S134" s="329">
        <f t="shared" si="89"/>
        <v>0</v>
      </c>
      <c r="U134" s="329">
        <f>U$132*$G134</f>
        <v>0</v>
      </c>
      <c r="V134" s="329">
        <f t="shared" ref="V134:AB137" si="90">V$132*$G134</f>
        <v>0</v>
      </c>
      <c r="W134" s="329">
        <f t="shared" si="90"/>
        <v>0</v>
      </c>
      <c r="X134" s="329">
        <f t="shared" si="90"/>
        <v>0</v>
      </c>
      <c r="Y134" s="329">
        <f t="shared" si="90"/>
        <v>0</v>
      </c>
      <c r="Z134" s="329">
        <f t="shared" si="90"/>
        <v>0</v>
      </c>
      <c r="AA134" s="329">
        <f t="shared" si="90"/>
        <v>0</v>
      </c>
      <c r="AB134" s="329">
        <f t="shared" si="90"/>
        <v>0</v>
      </c>
      <c r="AD134" s="332">
        <f t="shared" si="79"/>
        <v>80</v>
      </c>
      <c r="AE134" s="329">
        <f t="shared" si="80"/>
        <v>0</v>
      </c>
      <c r="AF134" s="329">
        <f t="shared" si="81"/>
        <v>0</v>
      </c>
      <c r="AG134" s="329">
        <f t="shared" si="82"/>
        <v>0</v>
      </c>
      <c r="AH134" s="329">
        <f t="shared" si="83"/>
        <v>0</v>
      </c>
      <c r="AI134" s="329">
        <f t="shared" si="84"/>
        <v>0</v>
      </c>
      <c r="AJ134" s="329">
        <f t="shared" si="85"/>
        <v>0</v>
      </c>
      <c r="AK134" s="329">
        <f t="shared" si="86"/>
        <v>0</v>
      </c>
      <c r="AL134" s="329">
        <f t="shared" si="88"/>
        <v>0</v>
      </c>
    </row>
    <row r="135" spans="1:38" s="332" customFormat="1">
      <c r="A135" s="356"/>
      <c r="B135" s="356" t="s">
        <v>1652</v>
      </c>
      <c r="C135" s="355">
        <f>IF(G135&lt;&gt;0,$C$132,)</f>
        <v>0</v>
      </c>
      <c r="D135" s="341">
        <f>VLOOKUP(B135,DONGIA,DG!$B$6,0)</f>
        <v>0</v>
      </c>
      <c r="E135" s="340" t="str">
        <f>VLOOKUP(B135,DONGIA,DG!$C$6,0)</f>
        <v>Boulon 22x550VRS + 2 long đền vuông D24-60x60x6/Zn</v>
      </c>
      <c r="F135" s="341" t="str">
        <f>VLOOKUP(B135,DONGIA,DG!$D$6,0)</f>
        <v>bộ</v>
      </c>
      <c r="G135" s="329">
        <v>1</v>
      </c>
      <c r="H135" s="329">
        <f>VLOOKUP($B135,DONGIA,DG!$E$6,0)</f>
        <v>92400</v>
      </c>
      <c r="I135" s="329"/>
      <c r="J135" s="329"/>
      <c r="K135" s="329">
        <f>VLOOKUP($B135,DONGIA,DG!$F$6,0)</f>
        <v>0</v>
      </c>
      <c r="L135" s="329"/>
      <c r="M135" s="329">
        <f>VLOOKUP($B135,DONGIA,DG!$G$6,0)</f>
        <v>0</v>
      </c>
      <c r="N135" s="329">
        <f>$G135*H135</f>
        <v>92400</v>
      </c>
      <c r="O135" s="329">
        <f t="shared" si="89"/>
        <v>0</v>
      </c>
      <c r="P135" s="329">
        <f t="shared" si="89"/>
        <v>0</v>
      </c>
      <c r="Q135" s="329">
        <f t="shared" si="89"/>
        <v>0</v>
      </c>
      <c r="R135" s="329">
        <f t="shared" si="89"/>
        <v>0</v>
      </c>
      <c r="S135" s="329">
        <f t="shared" si="89"/>
        <v>0</v>
      </c>
      <c r="U135" s="329">
        <f>U$132*$G135</f>
        <v>0</v>
      </c>
      <c r="V135" s="329">
        <f t="shared" si="90"/>
        <v>0</v>
      </c>
      <c r="W135" s="329">
        <f t="shared" si="90"/>
        <v>0</v>
      </c>
      <c r="X135" s="329">
        <f t="shared" si="90"/>
        <v>0</v>
      </c>
      <c r="Y135" s="329">
        <f t="shared" si="90"/>
        <v>0</v>
      </c>
      <c r="Z135" s="329">
        <f t="shared" si="90"/>
        <v>0</v>
      </c>
      <c r="AA135" s="329">
        <f t="shared" si="90"/>
        <v>0</v>
      </c>
      <c r="AB135" s="329">
        <f t="shared" si="90"/>
        <v>0</v>
      </c>
      <c r="AD135" s="332">
        <f t="shared" si="79"/>
        <v>0.55000000000000004</v>
      </c>
      <c r="AE135" s="329">
        <f t="shared" si="80"/>
        <v>0</v>
      </c>
      <c r="AF135" s="329">
        <f t="shared" si="81"/>
        <v>0</v>
      </c>
      <c r="AG135" s="329">
        <f t="shared" si="82"/>
        <v>0</v>
      </c>
      <c r="AH135" s="329">
        <f t="shared" si="83"/>
        <v>0</v>
      </c>
      <c r="AI135" s="329">
        <f t="shared" si="84"/>
        <v>0</v>
      </c>
      <c r="AJ135" s="329">
        <f t="shared" si="85"/>
        <v>0</v>
      </c>
      <c r="AK135" s="329">
        <f t="shared" si="86"/>
        <v>0</v>
      </c>
      <c r="AL135" s="329">
        <f t="shared" si="88"/>
        <v>0</v>
      </c>
    </row>
    <row r="136" spans="1:38" s="332" customFormat="1">
      <c r="A136" s="356"/>
      <c r="B136" s="356" t="s">
        <v>3348</v>
      </c>
      <c r="C136" s="355">
        <f>IF(G136&lt;&gt;0,$C$132,)</f>
        <v>0</v>
      </c>
      <c r="D136" s="341" t="str">
        <f>VLOOKUP(B136,DONGIA,DG!$B$6,0)</f>
        <v>AB.11363</v>
      </c>
      <c r="E136" s="340" t="str">
        <f>VLOOKUP(B136,DONGIA,DG!$C$6,0)</f>
        <v>Đào hố móng đà cản đất cấp 3</v>
      </c>
      <c r="F136" s="341" t="str">
        <f>VLOOKUP(B136,DONGIA,DG!$D$6,0)</f>
        <v>m3</v>
      </c>
      <c r="G136" s="52">
        <v>0.73799999999999999</v>
      </c>
      <c r="H136" s="329"/>
      <c r="I136" s="329"/>
      <c r="J136" s="329">
        <f>VLOOKUP($B136,DONGIA,DG!$F$6,0)</f>
        <v>182527</v>
      </c>
      <c r="K136" s="329"/>
      <c r="L136" s="329">
        <f>VLOOKUP($B136,DONGIA,DG!$G$6,0)</f>
        <v>0</v>
      </c>
      <c r="M136" s="329"/>
      <c r="N136" s="329">
        <f>$G136*H136</f>
        <v>0</v>
      </c>
      <c r="O136" s="329">
        <f t="shared" si="89"/>
        <v>0</v>
      </c>
      <c r="P136" s="329">
        <f t="shared" si="89"/>
        <v>134704.92600000001</v>
      </c>
      <c r="Q136" s="329">
        <f t="shared" si="89"/>
        <v>0</v>
      </c>
      <c r="R136" s="329">
        <f t="shared" si="89"/>
        <v>0</v>
      </c>
      <c r="S136" s="329">
        <f t="shared" si="89"/>
        <v>0</v>
      </c>
      <c r="U136" s="329">
        <f>U$132*$G136</f>
        <v>0</v>
      </c>
      <c r="V136" s="329">
        <f t="shared" si="90"/>
        <v>0</v>
      </c>
      <c r="W136" s="329">
        <f t="shared" si="90"/>
        <v>0</v>
      </c>
      <c r="X136" s="329">
        <f t="shared" si="90"/>
        <v>0</v>
      </c>
      <c r="Y136" s="329">
        <f t="shared" si="90"/>
        <v>0</v>
      </c>
      <c r="Z136" s="329">
        <f t="shared" si="90"/>
        <v>0</v>
      </c>
      <c r="AA136" s="329">
        <f t="shared" si="90"/>
        <v>0</v>
      </c>
      <c r="AB136" s="329">
        <f t="shared" si="90"/>
        <v>0</v>
      </c>
      <c r="AD136" s="332">
        <f t="shared" si="79"/>
        <v>0</v>
      </c>
      <c r="AE136" s="329">
        <f t="shared" si="80"/>
        <v>0</v>
      </c>
      <c r="AF136" s="329">
        <f t="shared" si="81"/>
        <v>0</v>
      </c>
      <c r="AG136" s="329">
        <f t="shared" si="82"/>
        <v>0</v>
      </c>
      <c r="AH136" s="329">
        <f t="shared" si="83"/>
        <v>0</v>
      </c>
      <c r="AI136" s="329">
        <f t="shared" si="84"/>
        <v>0</v>
      </c>
      <c r="AJ136" s="329">
        <f t="shared" si="85"/>
        <v>0</v>
      </c>
      <c r="AK136" s="329">
        <f t="shared" si="86"/>
        <v>0</v>
      </c>
      <c r="AL136" s="329">
        <f t="shared" si="88"/>
        <v>0</v>
      </c>
    </row>
    <row r="137" spans="1:38" s="332" customFormat="1">
      <c r="A137" s="356"/>
      <c r="B137" s="356" t="s">
        <v>510</v>
      </c>
      <c r="C137" s="355">
        <f>IF(G137&lt;&gt;0,$C$132,)</f>
        <v>0</v>
      </c>
      <c r="D137" s="341" t="str">
        <f>VLOOKUP(B137,DONGIA,DG!$B$6,0)</f>
        <v>AB.65110</v>
      </c>
      <c r="E137" s="340" t="str">
        <f>VLOOKUP(B137,DONGIA,DG!$C$6,0)</f>
        <v>Đắp đất hố móng (K=0,85)</v>
      </c>
      <c r="F137" s="341" t="str">
        <f>VLOOKUP(B137,DONGIA,DG!$D$6,0)</f>
        <v>m3</v>
      </c>
      <c r="G137" s="52">
        <v>0.73799999999999999</v>
      </c>
      <c r="H137" s="329"/>
      <c r="I137" s="329"/>
      <c r="J137" s="329">
        <f>VLOOKUP($B137,DONGIA,DG!$F$6,0)</f>
        <v>16267</v>
      </c>
      <c r="K137" s="329"/>
      <c r="L137" s="329">
        <f>VLOOKUP($B137,DONGIA,DG!$G$6,0)</f>
        <v>11176</v>
      </c>
      <c r="M137" s="329"/>
      <c r="N137" s="329">
        <f>$G137*H137</f>
        <v>0</v>
      </c>
      <c r="O137" s="329">
        <f t="shared" si="89"/>
        <v>0</v>
      </c>
      <c r="P137" s="329">
        <f t="shared" si="89"/>
        <v>12005.046</v>
      </c>
      <c r="Q137" s="329">
        <f t="shared" si="89"/>
        <v>0</v>
      </c>
      <c r="R137" s="329">
        <f t="shared" si="89"/>
        <v>8247.887999999999</v>
      </c>
      <c r="S137" s="329">
        <f t="shared" si="89"/>
        <v>0</v>
      </c>
      <c r="U137" s="329">
        <f>U$132*$G137</f>
        <v>0</v>
      </c>
      <c r="V137" s="329">
        <f t="shared" si="90"/>
        <v>0</v>
      </c>
      <c r="W137" s="329">
        <f t="shared" si="90"/>
        <v>0</v>
      </c>
      <c r="X137" s="329">
        <f t="shared" si="90"/>
        <v>0</v>
      </c>
      <c r="Y137" s="329">
        <f t="shared" si="90"/>
        <v>0</v>
      </c>
      <c r="Z137" s="329">
        <f t="shared" si="90"/>
        <v>0</v>
      </c>
      <c r="AA137" s="329">
        <f t="shared" si="90"/>
        <v>0</v>
      </c>
      <c r="AB137" s="329">
        <f t="shared" si="90"/>
        <v>0</v>
      </c>
      <c r="AD137" s="332">
        <f t="shared" si="79"/>
        <v>0</v>
      </c>
      <c r="AE137" s="329">
        <f t="shared" si="80"/>
        <v>0</v>
      </c>
      <c r="AF137" s="329">
        <f t="shared" si="81"/>
        <v>0</v>
      </c>
      <c r="AG137" s="329">
        <f t="shared" si="82"/>
        <v>0</v>
      </c>
      <c r="AH137" s="329">
        <f t="shared" si="83"/>
        <v>0</v>
      </c>
      <c r="AI137" s="329">
        <f t="shared" si="84"/>
        <v>0</v>
      </c>
      <c r="AJ137" s="329">
        <f t="shared" si="85"/>
        <v>0</v>
      </c>
      <c r="AK137" s="329">
        <f t="shared" si="86"/>
        <v>0</v>
      </c>
      <c r="AL137" s="329">
        <f t="shared" si="88"/>
        <v>0</v>
      </c>
    </row>
    <row r="138" spans="1:38">
      <c r="A138" s="618" t="s">
        <v>1485</v>
      </c>
      <c r="B138" s="618"/>
      <c r="C138" s="619">
        <f>IF(G138&lt;&gt;0,1,)</f>
        <v>1</v>
      </c>
      <c r="D138" s="622"/>
      <c r="E138" s="733" t="s">
        <v>1653</v>
      </c>
      <c r="F138" s="622" t="s">
        <v>1633</v>
      </c>
      <c r="G138" s="622">
        <f>U138</f>
        <v>6</v>
      </c>
      <c r="H138" s="623"/>
      <c r="I138" s="623"/>
      <c r="J138" s="623"/>
      <c r="K138" s="623"/>
      <c r="L138" s="623"/>
      <c r="M138" s="623"/>
      <c r="N138" s="623">
        <f t="shared" ref="N138:S138" si="91">SUM(N140:N150)</f>
        <v>0</v>
      </c>
      <c r="O138" s="623">
        <f t="shared" si="91"/>
        <v>1245282</v>
      </c>
      <c r="P138" s="623">
        <f t="shared" si="91"/>
        <v>902398.14100000006</v>
      </c>
      <c r="Q138" s="623">
        <f t="shared" si="91"/>
        <v>0</v>
      </c>
      <c r="R138" s="623">
        <f t="shared" si="91"/>
        <v>48902.950999999994</v>
      </c>
      <c r="S138" s="623">
        <f t="shared" si="91"/>
        <v>0</v>
      </c>
      <c r="U138" s="623">
        <f>SUM(V138:AB138)</f>
        <v>6</v>
      </c>
      <c r="V138" s="623">
        <f>IFERROR(HLOOKUP($A138,BK3P,V$3,0),)</f>
        <v>6</v>
      </c>
      <c r="W138" s="623">
        <f>IFERROR(HLOOKUP($A138,BK3P,W$3,0),)</f>
        <v>0</v>
      </c>
      <c r="X138" s="623">
        <f>IFERROR(HLOOKUP($A138,BK3P,X$3,0),)</f>
        <v>0</v>
      </c>
      <c r="Y138" s="623">
        <f>IFERROR(HLOOKUP($A138,BK1P,Y$3,0),)</f>
        <v>0</v>
      </c>
      <c r="Z138" s="623">
        <f>IFERROR(HLOOKUP($A138,BK1P,Z$3,0),)</f>
        <v>0</v>
      </c>
      <c r="AA138" s="623">
        <f>IFERROR(HLOOKUP($A138,BK1P,AA$3,0),)</f>
        <v>0</v>
      </c>
      <c r="AB138" s="623">
        <f>IFERROR(HLOOKUP($A138,BKHT,AB$3,0),)</f>
        <v>0</v>
      </c>
      <c r="AD138" s="405">
        <f t="shared" si="79"/>
        <v>0</v>
      </c>
      <c r="AE138" s="525">
        <f t="shared" si="80"/>
        <v>0</v>
      </c>
      <c r="AF138" s="525">
        <f t="shared" si="81"/>
        <v>0</v>
      </c>
      <c r="AG138" s="525">
        <f t="shared" si="82"/>
        <v>0</v>
      </c>
      <c r="AH138" s="525">
        <f t="shared" si="83"/>
        <v>0</v>
      </c>
      <c r="AI138" s="525">
        <f t="shared" si="84"/>
        <v>0</v>
      </c>
      <c r="AJ138" s="525">
        <f t="shared" si="85"/>
        <v>0</v>
      </c>
      <c r="AK138" s="525">
        <f t="shared" si="86"/>
        <v>0</v>
      </c>
      <c r="AL138" s="525">
        <f t="shared" si="88"/>
        <v>0</v>
      </c>
    </row>
    <row r="139" spans="1:38" s="542" customFormat="1">
      <c r="A139" s="624"/>
      <c r="B139" s="624"/>
      <c r="C139" s="625">
        <f>C138</f>
        <v>1</v>
      </c>
      <c r="D139" s="544"/>
      <c r="E139" s="734" t="s">
        <v>1644</v>
      </c>
      <c r="F139" s="544"/>
      <c r="G139" s="545"/>
      <c r="H139" s="545"/>
      <c r="I139" s="545"/>
      <c r="J139" s="545"/>
      <c r="K139" s="545"/>
      <c r="L139" s="545"/>
      <c r="M139" s="545"/>
      <c r="N139" s="545"/>
      <c r="O139" s="545"/>
      <c r="P139" s="545"/>
      <c r="Q139" s="545"/>
      <c r="R139" s="545"/>
      <c r="S139" s="545"/>
      <c r="U139" s="545"/>
      <c r="V139" s="545"/>
      <c r="W139" s="545"/>
      <c r="X139" s="545"/>
      <c r="Y139" s="545"/>
      <c r="Z139" s="545"/>
      <c r="AA139" s="545"/>
      <c r="AB139" s="545"/>
      <c r="AD139" s="405">
        <f t="shared" si="79"/>
        <v>0</v>
      </c>
      <c r="AE139" s="525">
        <f t="shared" si="80"/>
        <v>0</v>
      </c>
      <c r="AF139" s="525">
        <f t="shared" si="81"/>
        <v>0</v>
      </c>
      <c r="AG139" s="525">
        <f t="shared" si="82"/>
        <v>0</v>
      </c>
      <c r="AH139" s="525">
        <f t="shared" si="83"/>
        <v>0</v>
      </c>
      <c r="AI139" s="525">
        <f t="shared" si="84"/>
        <v>0</v>
      </c>
      <c r="AJ139" s="525">
        <f t="shared" si="85"/>
        <v>0</v>
      </c>
      <c r="AK139" s="525">
        <f t="shared" si="86"/>
        <v>0</v>
      </c>
      <c r="AL139" s="525">
        <f t="shared" si="88"/>
        <v>0</v>
      </c>
    </row>
    <row r="140" spans="1:38">
      <c r="A140" s="618"/>
      <c r="B140" s="618" t="s">
        <v>1639</v>
      </c>
      <c r="C140" s="619">
        <f>IF(G140&lt;&gt;0,$C$138,)</f>
        <v>1</v>
      </c>
      <c r="D140" s="523">
        <f>VLOOKUP(B140,DONGIA,DG!$B$6,0)</f>
        <v>0</v>
      </c>
      <c r="E140" s="666" t="str">
        <f>VLOOKUP(B140,DONGIA,DG!$C$6,0)</f>
        <v>Xi măng</v>
      </c>
      <c r="F140" s="523" t="str">
        <f>VLOOKUP(B140,DONGIA,DG!$D$6,0)</f>
        <v>kg</v>
      </c>
      <c r="G140" s="549">
        <f>ROUND(G150*281,1)</f>
        <v>302.10000000000002</v>
      </c>
      <c r="H140" s="525"/>
      <c r="I140" s="525">
        <f>VLOOKUP($B140,DONGIA,DG!$E$6,0)</f>
        <v>1760</v>
      </c>
      <c r="J140" s="525">
        <f>VLOOKUP($B140,DONGIA,DG!$F$6,0)</f>
        <v>0</v>
      </c>
      <c r="K140" s="525"/>
      <c r="L140" s="525">
        <f>VLOOKUP($B140,DONGIA,DG!$G$6,0)</f>
        <v>0</v>
      </c>
      <c r="M140" s="525">
        <f>VLOOKUP($B140,DONGIA,DG!$G$6,0)</f>
        <v>0</v>
      </c>
      <c r="N140" s="525">
        <f>$G140*H140</f>
        <v>0</v>
      </c>
      <c r="O140" s="525">
        <f t="shared" ref="O140:S150" si="92">$G140*I140</f>
        <v>531696</v>
      </c>
      <c r="P140" s="525">
        <f t="shared" si="92"/>
        <v>0</v>
      </c>
      <c r="Q140" s="525">
        <f t="shared" si="92"/>
        <v>0</v>
      </c>
      <c r="R140" s="525">
        <f t="shared" si="92"/>
        <v>0</v>
      </c>
      <c r="S140" s="525">
        <f t="shared" si="92"/>
        <v>0</v>
      </c>
      <c r="U140" s="525">
        <f>U$138*$G140</f>
        <v>1812.6000000000001</v>
      </c>
      <c r="V140" s="525">
        <f t="shared" ref="V140:AB140" si="93">V$138*$G140</f>
        <v>1812.6000000000001</v>
      </c>
      <c r="W140" s="525">
        <f t="shared" si="93"/>
        <v>0</v>
      </c>
      <c r="X140" s="525">
        <f t="shared" si="93"/>
        <v>0</v>
      </c>
      <c r="Y140" s="525">
        <f t="shared" si="93"/>
        <v>0</v>
      </c>
      <c r="Z140" s="525">
        <f t="shared" si="93"/>
        <v>0</v>
      </c>
      <c r="AA140" s="525">
        <f t="shared" si="93"/>
        <v>0</v>
      </c>
      <c r="AB140" s="525">
        <f t="shared" si="93"/>
        <v>0</v>
      </c>
      <c r="AD140" s="405">
        <f t="shared" si="79"/>
        <v>1</v>
      </c>
      <c r="AE140" s="525">
        <f t="shared" si="80"/>
        <v>1812.6000000000001</v>
      </c>
      <c r="AF140" s="525">
        <f t="shared" si="81"/>
        <v>1812.6000000000001</v>
      </c>
      <c r="AG140" s="525">
        <f t="shared" si="82"/>
        <v>0</v>
      </c>
      <c r="AH140" s="525">
        <f t="shared" si="83"/>
        <v>0</v>
      </c>
      <c r="AI140" s="525">
        <f t="shared" si="84"/>
        <v>0</v>
      </c>
      <c r="AJ140" s="525">
        <f t="shared" si="85"/>
        <v>0</v>
      </c>
      <c r="AK140" s="525">
        <f t="shared" si="86"/>
        <v>0</v>
      </c>
      <c r="AL140" s="525">
        <f t="shared" si="88"/>
        <v>0</v>
      </c>
    </row>
    <row r="141" spans="1:38">
      <c r="A141" s="618"/>
      <c r="B141" s="618" t="s">
        <v>471</v>
      </c>
      <c r="C141" s="619">
        <f t="shared" ref="C141:C150" si="94">IF(G141&lt;&gt;0,$C$138,)</f>
        <v>1</v>
      </c>
      <c r="D141" s="523">
        <f>VLOOKUP(B141,DONGIA,DG!$B$6,0)</f>
        <v>0</v>
      </c>
      <c r="E141" s="666" t="str">
        <f>VLOOKUP(B141,DONGIA,DG!$C$6,0)</f>
        <v>Cát vàng</v>
      </c>
      <c r="F141" s="523" t="str">
        <f>VLOOKUP(B141,DONGIA,DG!$D$6,0)</f>
        <v>m3</v>
      </c>
      <c r="G141" s="626">
        <f>ROUND(G150*0.477,3)</f>
        <v>0.51300000000000001</v>
      </c>
      <c r="H141" s="525"/>
      <c r="I141" s="525">
        <f>VLOOKUP($B141,DONGIA,DG!$E$6,0)</f>
        <v>350000</v>
      </c>
      <c r="J141" s="525">
        <f>VLOOKUP($B141,DONGIA,DG!$F$6,0)</f>
        <v>0</v>
      </c>
      <c r="K141" s="525"/>
      <c r="L141" s="525">
        <f>VLOOKUP($B141,DONGIA,DG!$G$6,0)</f>
        <v>0</v>
      </c>
      <c r="M141" s="525"/>
      <c r="N141" s="525">
        <f t="shared" ref="N141:N150" si="95">$G141*H141</f>
        <v>0</v>
      </c>
      <c r="O141" s="525">
        <f t="shared" si="92"/>
        <v>179550</v>
      </c>
      <c r="P141" s="525">
        <f t="shared" si="92"/>
        <v>0</v>
      </c>
      <c r="Q141" s="525">
        <f t="shared" si="92"/>
        <v>0</v>
      </c>
      <c r="R141" s="525">
        <f t="shared" si="92"/>
        <v>0</v>
      </c>
      <c r="S141" s="525">
        <f t="shared" si="92"/>
        <v>0</v>
      </c>
      <c r="U141" s="525">
        <f>U$138*$G141</f>
        <v>3.0780000000000003</v>
      </c>
      <c r="V141" s="525">
        <f t="shared" ref="V141:AB142" si="96">V$138*$G141</f>
        <v>3.0780000000000003</v>
      </c>
      <c r="W141" s="525">
        <f t="shared" si="96"/>
        <v>0</v>
      </c>
      <c r="X141" s="525">
        <f t="shared" si="96"/>
        <v>0</v>
      </c>
      <c r="Y141" s="525">
        <f t="shared" si="96"/>
        <v>0</v>
      </c>
      <c r="Z141" s="525">
        <f t="shared" si="96"/>
        <v>0</v>
      </c>
      <c r="AA141" s="525">
        <f t="shared" si="96"/>
        <v>0</v>
      </c>
      <c r="AB141" s="525">
        <f t="shared" si="96"/>
        <v>0</v>
      </c>
      <c r="AD141" s="405">
        <f t="shared" si="79"/>
        <v>1500</v>
      </c>
      <c r="AE141" s="525">
        <f t="shared" si="80"/>
        <v>4617</v>
      </c>
      <c r="AF141" s="525">
        <f t="shared" si="81"/>
        <v>4617</v>
      </c>
      <c r="AG141" s="525">
        <f t="shared" si="82"/>
        <v>0</v>
      </c>
      <c r="AH141" s="525">
        <f t="shared" si="83"/>
        <v>0</v>
      </c>
      <c r="AI141" s="525">
        <f t="shared" si="84"/>
        <v>0</v>
      </c>
      <c r="AJ141" s="525">
        <f t="shared" si="85"/>
        <v>0</v>
      </c>
      <c r="AK141" s="525">
        <f t="shared" si="86"/>
        <v>0</v>
      </c>
      <c r="AL141" s="525">
        <f t="shared" si="88"/>
        <v>0</v>
      </c>
    </row>
    <row r="142" spans="1:38">
      <c r="A142" s="618" t="s">
        <v>85</v>
      </c>
      <c r="B142" s="618" t="s">
        <v>1640</v>
      </c>
      <c r="C142" s="619">
        <f t="shared" si="94"/>
        <v>1</v>
      </c>
      <c r="D142" s="523">
        <f>VLOOKUP(B142,DONGIA,DG!$B$6,0)</f>
        <v>0</v>
      </c>
      <c r="E142" s="666" t="str">
        <f>VLOOKUP(B142,DONGIA,DG!$C$6,0)</f>
        <v>Đá 1x2</v>
      </c>
      <c r="F142" s="523" t="str">
        <f>VLOOKUP(B142,DONGIA,DG!$D$6,0)</f>
        <v>m3</v>
      </c>
      <c r="G142" s="626">
        <f>ROUND(G150*0.882,3)</f>
        <v>0.94799999999999995</v>
      </c>
      <c r="H142" s="525"/>
      <c r="I142" s="525">
        <f>VLOOKUP($B142,DONGIA,DG!$E$6,0)</f>
        <v>342000</v>
      </c>
      <c r="J142" s="525">
        <f>VLOOKUP($B142,DONGIA,DG!$F$6,0)</f>
        <v>0</v>
      </c>
      <c r="K142" s="525"/>
      <c r="L142" s="525">
        <f>VLOOKUP($B142,DONGIA,DG!$G$6,0)</f>
        <v>0</v>
      </c>
      <c r="M142" s="525"/>
      <c r="N142" s="525">
        <f t="shared" si="95"/>
        <v>0</v>
      </c>
      <c r="O142" s="525">
        <f t="shared" si="92"/>
        <v>324216</v>
      </c>
      <c r="P142" s="525">
        <f t="shared" si="92"/>
        <v>0</v>
      </c>
      <c r="Q142" s="525">
        <f t="shared" si="92"/>
        <v>0</v>
      </c>
      <c r="R142" s="525">
        <f t="shared" si="92"/>
        <v>0</v>
      </c>
      <c r="S142" s="525">
        <f t="shared" si="92"/>
        <v>0</v>
      </c>
      <c r="U142" s="525">
        <f>U$138*$G142</f>
        <v>5.6879999999999997</v>
      </c>
      <c r="V142" s="525">
        <f t="shared" si="96"/>
        <v>5.6879999999999997</v>
      </c>
      <c r="W142" s="525">
        <f t="shared" si="96"/>
        <v>0</v>
      </c>
      <c r="X142" s="525">
        <f t="shared" si="96"/>
        <v>0</v>
      </c>
      <c r="Y142" s="525">
        <f t="shared" si="96"/>
        <v>0</v>
      </c>
      <c r="Z142" s="525">
        <f t="shared" si="96"/>
        <v>0</v>
      </c>
      <c r="AA142" s="525">
        <f t="shared" si="96"/>
        <v>0</v>
      </c>
      <c r="AB142" s="525">
        <f t="shared" si="96"/>
        <v>0</v>
      </c>
      <c r="AD142" s="405">
        <f t="shared" si="79"/>
        <v>1500</v>
      </c>
      <c r="AE142" s="525">
        <f t="shared" si="80"/>
        <v>8532</v>
      </c>
      <c r="AF142" s="525">
        <f t="shared" si="81"/>
        <v>8532</v>
      </c>
      <c r="AG142" s="525">
        <f t="shared" si="82"/>
        <v>0</v>
      </c>
      <c r="AH142" s="525">
        <f t="shared" si="83"/>
        <v>0</v>
      </c>
      <c r="AI142" s="525">
        <f t="shared" si="84"/>
        <v>0</v>
      </c>
      <c r="AJ142" s="525">
        <f t="shared" si="85"/>
        <v>0</v>
      </c>
      <c r="AK142" s="525">
        <f t="shared" si="86"/>
        <v>0</v>
      </c>
      <c r="AL142" s="525">
        <f t="shared" si="88"/>
        <v>0</v>
      </c>
    </row>
    <row r="143" spans="1:38">
      <c r="A143" s="618"/>
      <c r="B143" s="618" t="s">
        <v>3509</v>
      </c>
      <c r="C143" s="619">
        <f t="shared" si="94"/>
        <v>1</v>
      </c>
      <c r="D143" s="523">
        <f>VLOOKUP(B143,DONGIA,DG!$B$6,0)</f>
        <v>0</v>
      </c>
      <c r="E143" s="666" t="str">
        <f>VLOOKUP(B143,DONGIA,DG!$C$6,0)</f>
        <v>Đinh: 15kg/100m2 ván khuôn</v>
      </c>
      <c r="F143" s="523" t="str">
        <f>VLOOKUP(B143,DONGIA,DG!$D$6,0)</f>
        <v>kg</v>
      </c>
      <c r="G143" s="626">
        <f>ROUND(G147*15/100,2)</f>
        <v>0.57999999999999996</v>
      </c>
      <c r="H143" s="525"/>
      <c r="I143" s="525">
        <f>VLOOKUP($B143,DONGIA,DG!$E$6,0)</f>
        <v>25000</v>
      </c>
      <c r="J143" s="525"/>
      <c r="K143" s="525">
        <f>VLOOKUP($B143,DONGIA,DG!$F$6,0)</f>
        <v>0</v>
      </c>
      <c r="L143" s="525"/>
      <c r="M143" s="525">
        <f>VLOOKUP($B143,DONGIA,DG!$G$6,0)</f>
        <v>0</v>
      </c>
      <c r="N143" s="525">
        <f t="shared" si="95"/>
        <v>0</v>
      </c>
      <c r="O143" s="525">
        <f t="shared" si="92"/>
        <v>14499.999999999998</v>
      </c>
      <c r="P143" s="525">
        <f t="shared" si="92"/>
        <v>0</v>
      </c>
      <c r="Q143" s="525">
        <f t="shared" si="92"/>
        <v>0</v>
      </c>
      <c r="R143" s="525">
        <f t="shared" si="92"/>
        <v>0</v>
      </c>
      <c r="S143" s="525">
        <f t="shared" si="92"/>
        <v>0</v>
      </c>
      <c r="U143" s="404"/>
      <c r="V143" s="404"/>
      <c r="W143" s="404"/>
      <c r="X143" s="404"/>
      <c r="Y143" s="404"/>
      <c r="Z143" s="404"/>
      <c r="AA143" s="404"/>
      <c r="AB143" s="404"/>
      <c r="AE143" s="404"/>
      <c r="AF143" s="404"/>
      <c r="AG143" s="404"/>
      <c r="AH143" s="404"/>
      <c r="AI143" s="404"/>
      <c r="AJ143" s="404"/>
      <c r="AK143" s="404"/>
      <c r="AL143" s="404"/>
    </row>
    <row r="144" spans="1:38">
      <c r="A144" s="618"/>
      <c r="B144" s="618" t="s">
        <v>3505</v>
      </c>
      <c r="C144" s="619">
        <f t="shared" si="94"/>
        <v>1</v>
      </c>
      <c r="D144" s="523">
        <f>VLOOKUP(B144,DONGIA,DG!$B$6,0)</f>
        <v>0</v>
      </c>
      <c r="E144" s="666" t="str">
        <f>VLOOKUP(B144,DONGIA,DG!$C$6,0)</f>
        <v>Gỗ chống: 0,335 m3/100m2 ván khuôn</v>
      </c>
      <c r="F144" s="523" t="str">
        <f>VLOOKUP(B144,DONGIA,DG!$D$6,0)</f>
        <v>m3</v>
      </c>
      <c r="G144" s="845">
        <f>ROUND(G147*0.335/100,4)</f>
        <v>1.29E-2</v>
      </c>
      <c r="H144" s="525"/>
      <c r="I144" s="525">
        <f>VLOOKUP($B144,DONGIA,DG!$E$6,0)</f>
        <v>3800000</v>
      </c>
      <c r="J144" s="525"/>
      <c r="K144" s="525">
        <f>VLOOKUP($B144,DONGIA,DG!$F$6,0)</f>
        <v>0</v>
      </c>
      <c r="L144" s="525"/>
      <c r="M144" s="525">
        <f>VLOOKUP($B144,DONGIA,DG!$G$6,0)</f>
        <v>0</v>
      </c>
      <c r="N144" s="525">
        <f t="shared" si="95"/>
        <v>0</v>
      </c>
      <c r="O144" s="525">
        <f>$G144*I144</f>
        <v>49020</v>
      </c>
      <c r="P144" s="525">
        <f t="shared" si="92"/>
        <v>0</v>
      </c>
      <c r="Q144" s="525">
        <f t="shared" si="92"/>
        <v>0</v>
      </c>
      <c r="R144" s="525">
        <f t="shared" si="92"/>
        <v>0</v>
      </c>
      <c r="S144" s="525">
        <f t="shared" si="92"/>
        <v>0</v>
      </c>
      <c r="U144" s="404"/>
      <c r="V144" s="404"/>
      <c r="W144" s="404"/>
      <c r="X144" s="404"/>
      <c r="Y144" s="404"/>
      <c r="Z144" s="404"/>
      <c r="AA144" s="404"/>
      <c r="AB144" s="404"/>
      <c r="AE144" s="404"/>
      <c r="AF144" s="404"/>
      <c r="AG144" s="404"/>
      <c r="AH144" s="404"/>
      <c r="AI144" s="404"/>
      <c r="AJ144" s="404"/>
      <c r="AK144" s="404"/>
      <c r="AL144" s="404"/>
    </row>
    <row r="145" spans="1:38">
      <c r="A145" s="618"/>
      <c r="B145" s="618" t="s">
        <v>3507</v>
      </c>
      <c r="C145" s="619">
        <f t="shared" si="94"/>
        <v>1</v>
      </c>
      <c r="D145" s="523">
        <f>VLOOKUP(B145,DONGIA,DG!$B$6,0)</f>
        <v>0</v>
      </c>
      <c r="E145" s="666" t="str">
        <f>VLOOKUP(B145,DONGIA,DG!$C$6,0)</f>
        <v>Gỗ đà nẹp: 0,21 m3/100m2 ván khuôn</v>
      </c>
      <c r="F145" s="523" t="str">
        <f>VLOOKUP(B145,DONGIA,DG!$D$6,0)</f>
        <v>m3</v>
      </c>
      <c r="G145" s="845">
        <f>ROUND(G147*0.21/100,4)</f>
        <v>8.0999999999999996E-3</v>
      </c>
      <c r="H145" s="525"/>
      <c r="I145" s="525">
        <f>VLOOKUP($B145,DONGIA,DG!$E$6,0)</f>
        <v>3800000</v>
      </c>
      <c r="J145" s="525"/>
      <c r="K145" s="525">
        <f>VLOOKUP($B145,DONGIA,DG!$F$6,0)</f>
        <v>0</v>
      </c>
      <c r="L145" s="525"/>
      <c r="M145" s="525">
        <f>VLOOKUP($B145,DONGIA,DG!$G$6,0)</f>
        <v>0</v>
      </c>
      <c r="N145" s="525">
        <f t="shared" si="95"/>
        <v>0</v>
      </c>
      <c r="O145" s="525">
        <f t="shared" si="92"/>
        <v>30780</v>
      </c>
      <c r="P145" s="525">
        <f t="shared" si="92"/>
        <v>0</v>
      </c>
      <c r="Q145" s="525">
        <f t="shared" si="92"/>
        <v>0</v>
      </c>
      <c r="R145" s="525">
        <f t="shared" si="92"/>
        <v>0</v>
      </c>
      <c r="S145" s="525">
        <f t="shared" si="92"/>
        <v>0</v>
      </c>
      <c r="U145" s="404"/>
      <c r="V145" s="404"/>
      <c r="W145" s="404"/>
      <c r="X145" s="404"/>
      <c r="Y145" s="404"/>
      <c r="Z145" s="404"/>
      <c r="AA145" s="404"/>
      <c r="AB145" s="404"/>
      <c r="AE145" s="404"/>
      <c r="AF145" s="404"/>
      <c r="AG145" s="404"/>
      <c r="AH145" s="404"/>
      <c r="AI145" s="404"/>
      <c r="AJ145" s="404"/>
      <c r="AK145" s="404"/>
      <c r="AL145" s="404"/>
    </row>
    <row r="146" spans="1:38">
      <c r="A146" s="618"/>
      <c r="B146" s="618" t="s">
        <v>3503</v>
      </c>
      <c r="C146" s="619">
        <f t="shared" si="94"/>
        <v>1</v>
      </c>
      <c r="D146" s="523">
        <f>VLOOKUP(B146,DONGIA,DG!$B$6,0)</f>
        <v>0</v>
      </c>
      <c r="E146" s="666" t="str">
        <f>VLOOKUP(B146,DONGIA,DG!$C$6,0)</f>
        <v>Gỗ ván (cả nẹp): 0,792 m3/100m2 ván khuôn</v>
      </c>
      <c r="F146" s="523" t="str">
        <f>VLOOKUP(B146,DONGIA,DG!$D$6,0)</f>
        <v>m3</v>
      </c>
      <c r="G146" s="845">
        <f>ROUND(G147*0.792/100,4)</f>
        <v>3.04E-2</v>
      </c>
      <c r="H146" s="525"/>
      <c r="I146" s="525">
        <f>VLOOKUP($B146,DONGIA,DG!$E$6,0)</f>
        <v>3800000</v>
      </c>
      <c r="J146" s="525"/>
      <c r="K146" s="525">
        <f>VLOOKUP($B146,DONGIA,DG!$F$6,0)</f>
        <v>0</v>
      </c>
      <c r="L146" s="525"/>
      <c r="M146" s="525">
        <f>VLOOKUP($B146,DONGIA,DG!$G$6,0)</f>
        <v>0</v>
      </c>
      <c r="N146" s="525">
        <f t="shared" si="95"/>
        <v>0</v>
      </c>
      <c r="O146" s="525">
        <f t="shared" si="92"/>
        <v>115520</v>
      </c>
      <c r="P146" s="525">
        <f t="shared" si="92"/>
        <v>0</v>
      </c>
      <c r="Q146" s="525">
        <f t="shared" si="92"/>
        <v>0</v>
      </c>
      <c r="R146" s="525">
        <f t="shared" si="92"/>
        <v>0</v>
      </c>
      <c r="S146" s="525">
        <f t="shared" si="92"/>
        <v>0</v>
      </c>
      <c r="U146" s="404"/>
      <c r="V146" s="404"/>
      <c r="W146" s="404"/>
      <c r="X146" s="404"/>
      <c r="Y146" s="404"/>
      <c r="Z146" s="404"/>
      <c r="AA146" s="404"/>
      <c r="AB146" s="404"/>
      <c r="AE146" s="404"/>
      <c r="AF146" s="404"/>
      <c r="AG146" s="404"/>
      <c r="AH146" s="404"/>
      <c r="AI146" s="404"/>
      <c r="AJ146" s="404"/>
      <c r="AK146" s="404"/>
      <c r="AL146" s="404"/>
    </row>
    <row r="147" spans="1:38">
      <c r="A147" s="618"/>
      <c r="B147" s="618" t="s">
        <v>3511</v>
      </c>
      <c r="C147" s="619">
        <f t="shared" si="94"/>
        <v>1</v>
      </c>
      <c r="D147" s="523" t="str">
        <f>VLOOKUP(B147,DONGIA,DG!$B$6,0)</f>
        <v>AF.81122</v>
      </c>
      <c r="E147" s="666" t="str">
        <f>VLOOKUP(B147,DONGIA,DG!$C$6,0)</f>
        <v>Lắp ván khuôn gỗ móng - móng vuông, chữ nhật</v>
      </c>
      <c r="F147" s="523" t="str">
        <f>VLOOKUP(B147,DONGIA,DG!$D$6,0)</f>
        <v>m2</v>
      </c>
      <c r="G147" s="626">
        <f>ROUND(1.2*0.8*4,3)</f>
        <v>3.84</v>
      </c>
      <c r="H147" s="525">
        <f>VLOOKUP($B147,DONGIA,DG!$E$6,0)</f>
        <v>0</v>
      </c>
      <c r="I147" s="525"/>
      <c r="J147" s="525">
        <f>VLOOKUP($B147,DONGIA,DG!$F$6,0)</f>
        <v>57946</v>
      </c>
      <c r="K147" s="525"/>
      <c r="L147" s="525"/>
      <c r="M147" s="525">
        <f>VLOOKUP($B147,DONGIA,DG!$G$6,0)</f>
        <v>0</v>
      </c>
      <c r="N147" s="525">
        <f t="shared" si="95"/>
        <v>0</v>
      </c>
      <c r="O147" s="525">
        <f t="shared" si="92"/>
        <v>0</v>
      </c>
      <c r="P147" s="525">
        <f>$G147*J147</f>
        <v>222512.63999999998</v>
      </c>
      <c r="Q147" s="525">
        <f t="shared" si="92"/>
        <v>0</v>
      </c>
      <c r="R147" s="525">
        <f t="shared" si="92"/>
        <v>0</v>
      </c>
      <c r="S147" s="525">
        <f t="shared" si="92"/>
        <v>0</v>
      </c>
      <c r="U147" s="404"/>
      <c r="V147" s="404"/>
      <c r="W147" s="404"/>
      <c r="X147" s="404"/>
      <c r="Y147" s="404"/>
      <c r="Z147" s="404"/>
      <c r="AA147" s="404"/>
      <c r="AB147" s="404"/>
      <c r="AE147" s="404"/>
      <c r="AF147" s="404"/>
      <c r="AG147" s="404"/>
      <c r="AH147" s="404"/>
      <c r="AI147" s="404"/>
      <c r="AJ147" s="404"/>
      <c r="AK147" s="404"/>
      <c r="AL147" s="404"/>
    </row>
    <row r="148" spans="1:38">
      <c r="A148" s="618"/>
      <c r="B148" s="618" t="s">
        <v>3572</v>
      </c>
      <c r="C148" s="619">
        <f t="shared" si="94"/>
        <v>1</v>
      </c>
      <c r="D148" s="523" t="str">
        <f>VLOOKUP(B148,DONGIA,DG!$B$6,0)</f>
        <v>AB.11443</v>
      </c>
      <c r="E148" s="666" t="str">
        <f>VLOOKUP(B148,DONGIA,DG!$C$6,0)</f>
        <v>Đào hố móng đất cấp 3 sâu &gt;1m (rộng &gt;1m)</v>
      </c>
      <c r="F148" s="523" t="str">
        <f>VLOOKUP(B148,DONGIA,DG!$D$6,0)</f>
        <v>m3</v>
      </c>
      <c r="G148" s="626">
        <v>1.3440000000000001</v>
      </c>
      <c r="H148" s="525"/>
      <c r="I148" s="525"/>
      <c r="J148" s="525">
        <f>VLOOKUP($B148,DONGIA,DG!$F$6,0)</f>
        <v>270211</v>
      </c>
      <c r="K148" s="525"/>
      <c r="L148" s="525">
        <f>VLOOKUP($B148,DONGIA,DG!$G$6,0)</f>
        <v>0</v>
      </c>
      <c r="M148" s="525"/>
      <c r="N148" s="525">
        <f t="shared" si="95"/>
        <v>0</v>
      </c>
      <c r="O148" s="525">
        <f t="shared" si="92"/>
        <v>0</v>
      </c>
      <c r="P148" s="525">
        <f t="shared" si="92"/>
        <v>363163.58400000003</v>
      </c>
      <c r="Q148" s="525">
        <f t="shared" si="92"/>
        <v>0</v>
      </c>
      <c r="R148" s="525">
        <f t="shared" si="92"/>
        <v>0</v>
      </c>
      <c r="S148" s="525">
        <f t="shared" si="92"/>
        <v>0</v>
      </c>
      <c r="U148" s="525">
        <f t="shared" ref="U148:AB149" si="97">U$138*$G148</f>
        <v>8.0640000000000001</v>
      </c>
      <c r="V148" s="525">
        <f t="shared" si="97"/>
        <v>8.0640000000000001</v>
      </c>
      <c r="W148" s="525">
        <f t="shared" si="97"/>
        <v>0</v>
      </c>
      <c r="X148" s="525">
        <f t="shared" si="97"/>
        <v>0</v>
      </c>
      <c r="Y148" s="525">
        <f t="shared" si="97"/>
        <v>0</v>
      </c>
      <c r="Z148" s="525">
        <f t="shared" si="97"/>
        <v>0</v>
      </c>
      <c r="AA148" s="525">
        <f t="shared" si="97"/>
        <v>0</v>
      </c>
      <c r="AB148" s="525">
        <f t="shared" si="97"/>
        <v>0</v>
      </c>
      <c r="AD148" s="405">
        <f t="shared" ref="AD148:AD155" si="98">IFERROR(VLOOKUP(B148,DONGIA,$AD$3,0),0)</f>
        <v>0</v>
      </c>
      <c r="AE148" s="525">
        <f t="shared" ref="AE148:AL155" si="99">U148*$AD148</f>
        <v>0</v>
      </c>
      <c r="AF148" s="525">
        <f t="shared" si="99"/>
        <v>0</v>
      </c>
      <c r="AG148" s="525">
        <f t="shared" si="99"/>
        <v>0</v>
      </c>
      <c r="AH148" s="525">
        <f t="shared" si="99"/>
        <v>0</v>
      </c>
      <c r="AI148" s="525">
        <f t="shared" si="99"/>
        <v>0</v>
      </c>
      <c r="AJ148" s="525">
        <f t="shared" si="99"/>
        <v>0</v>
      </c>
      <c r="AK148" s="525">
        <f t="shared" si="99"/>
        <v>0</v>
      </c>
      <c r="AL148" s="525">
        <f t="shared" si="99"/>
        <v>0</v>
      </c>
    </row>
    <row r="149" spans="1:38">
      <c r="A149" s="618"/>
      <c r="B149" s="618" t="s">
        <v>510</v>
      </c>
      <c r="C149" s="619">
        <f t="shared" si="94"/>
        <v>1</v>
      </c>
      <c r="D149" s="523" t="str">
        <f>VLOOKUP(B149,DONGIA,DG!$B$6,0)</f>
        <v>AB.65110</v>
      </c>
      <c r="E149" s="666" t="str">
        <f>VLOOKUP(B149,DONGIA,DG!$C$6,0)</f>
        <v>Đắp đất hố móng (K=0,85)</v>
      </c>
      <c r="F149" s="523" t="str">
        <f>VLOOKUP(B149,DONGIA,DG!$D$6,0)</f>
        <v>m3</v>
      </c>
      <c r="G149" s="626">
        <v>7.5999999999999998E-2</v>
      </c>
      <c r="H149" s="525"/>
      <c r="I149" s="525"/>
      <c r="J149" s="525">
        <f>VLOOKUP($B149,DONGIA,DG!$F$6,0)</f>
        <v>16267</v>
      </c>
      <c r="K149" s="525"/>
      <c r="L149" s="525">
        <f>VLOOKUP($B149,DONGIA,DG!$G$6,0)</f>
        <v>11176</v>
      </c>
      <c r="M149" s="525"/>
      <c r="N149" s="525">
        <f t="shared" si="95"/>
        <v>0</v>
      </c>
      <c r="O149" s="525">
        <f t="shared" si="92"/>
        <v>0</v>
      </c>
      <c r="P149" s="525">
        <f t="shared" si="92"/>
        <v>1236.2919999999999</v>
      </c>
      <c r="Q149" s="525">
        <f t="shared" si="92"/>
        <v>0</v>
      </c>
      <c r="R149" s="525">
        <f t="shared" si="92"/>
        <v>849.37599999999998</v>
      </c>
      <c r="S149" s="525">
        <f t="shared" si="92"/>
        <v>0</v>
      </c>
      <c r="U149" s="525">
        <f t="shared" si="97"/>
        <v>0.45599999999999996</v>
      </c>
      <c r="V149" s="525">
        <f t="shared" si="97"/>
        <v>0.45599999999999996</v>
      </c>
      <c r="W149" s="525">
        <f t="shared" si="97"/>
        <v>0</v>
      </c>
      <c r="X149" s="525">
        <f t="shared" si="97"/>
        <v>0</v>
      </c>
      <c r="Y149" s="525">
        <f t="shared" si="97"/>
        <v>0</v>
      </c>
      <c r="Z149" s="525">
        <f t="shared" si="97"/>
        <v>0</v>
      </c>
      <c r="AA149" s="525">
        <f t="shared" si="97"/>
        <v>0</v>
      </c>
      <c r="AB149" s="525">
        <f t="shared" si="97"/>
        <v>0</v>
      </c>
      <c r="AD149" s="405">
        <f t="shared" si="98"/>
        <v>0</v>
      </c>
      <c r="AE149" s="525">
        <f t="shared" si="99"/>
        <v>0</v>
      </c>
      <c r="AF149" s="525">
        <f t="shared" si="99"/>
        <v>0</v>
      </c>
      <c r="AG149" s="525">
        <f t="shared" si="99"/>
        <v>0</v>
      </c>
      <c r="AH149" s="525">
        <f t="shared" si="99"/>
        <v>0</v>
      </c>
      <c r="AI149" s="525">
        <f t="shared" si="99"/>
        <v>0</v>
      </c>
      <c r="AJ149" s="525">
        <f t="shared" si="99"/>
        <v>0</v>
      </c>
      <c r="AK149" s="525">
        <f t="shared" si="99"/>
        <v>0</v>
      </c>
      <c r="AL149" s="525">
        <f t="shared" si="99"/>
        <v>0</v>
      </c>
    </row>
    <row r="150" spans="1:38">
      <c r="A150" s="618"/>
      <c r="B150" s="618" t="s">
        <v>713</v>
      </c>
      <c r="C150" s="619">
        <f t="shared" si="94"/>
        <v>1</v>
      </c>
      <c r="D150" s="523" t="str">
        <f>VLOOKUP(B150,DONGIA,DG!$B$6,0)</f>
        <v>AF.11210</v>
      </c>
      <c r="E150" s="666" t="str">
        <f>VLOOKUP(B150,DONGIA,DG!$C$6,0)</f>
        <v>Đổ bê tông mác M200 đá 1x2</v>
      </c>
      <c r="F150" s="523" t="str">
        <f>VLOOKUP(B150,DONGIA,DG!$D$6,0)</f>
        <v>m3</v>
      </c>
      <c r="G150" s="626">
        <f>ROUND(1.2*1.2*0.8-0.35*0.35*0.25*0.8*PI(),3)</f>
        <v>1.075</v>
      </c>
      <c r="H150" s="525"/>
      <c r="I150" s="525"/>
      <c r="J150" s="525">
        <f>VLOOKUP($B150,DONGIA,DG!$F$6,0)</f>
        <v>293475</v>
      </c>
      <c r="K150" s="525"/>
      <c r="L150" s="525">
        <f>VLOOKUP($B150,DONGIA,DG!$G$6,0)</f>
        <v>44701</v>
      </c>
      <c r="M150" s="525"/>
      <c r="N150" s="525">
        <f t="shared" si="95"/>
        <v>0</v>
      </c>
      <c r="O150" s="525">
        <f t="shared" si="92"/>
        <v>0</v>
      </c>
      <c r="P150" s="525">
        <f t="shared" si="92"/>
        <v>315485.625</v>
      </c>
      <c r="Q150" s="525">
        <f t="shared" si="92"/>
        <v>0</v>
      </c>
      <c r="R150" s="525">
        <f t="shared" si="92"/>
        <v>48053.574999999997</v>
      </c>
      <c r="S150" s="525">
        <f t="shared" si="92"/>
        <v>0</v>
      </c>
      <c r="U150" s="525"/>
      <c r="V150" s="525"/>
      <c r="W150" s="525"/>
      <c r="X150" s="525"/>
      <c r="Y150" s="525"/>
      <c r="Z150" s="525"/>
      <c r="AA150" s="525"/>
      <c r="AB150" s="525"/>
      <c r="AD150" s="405">
        <f t="shared" si="98"/>
        <v>0</v>
      </c>
      <c r="AE150" s="525">
        <f t="shared" si="99"/>
        <v>0</v>
      </c>
      <c r="AF150" s="525">
        <f t="shared" si="99"/>
        <v>0</v>
      </c>
      <c r="AG150" s="525">
        <f t="shared" si="99"/>
        <v>0</v>
      </c>
      <c r="AH150" s="525">
        <f t="shared" si="99"/>
        <v>0</v>
      </c>
      <c r="AI150" s="525">
        <f t="shared" si="99"/>
        <v>0</v>
      </c>
      <c r="AJ150" s="525">
        <f t="shared" si="99"/>
        <v>0</v>
      </c>
      <c r="AK150" s="525">
        <f t="shared" si="99"/>
        <v>0</v>
      </c>
      <c r="AL150" s="525">
        <f t="shared" si="99"/>
        <v>0</v>
      </c>
    </row>
    <row r="151" spans="1:38">
      <c r="A151" s="618" t="s">
        <v>3585</v>
      </c>
      <c r="B151" s="618"/>
      <c r="C151" s="619">
        <f>IF(G151&lt;&gt;0,1,)</f>
        <v>0</v>
      </c>
      <c r="D151" s="622"/>
      <c r="E151" s="733" t="s">
        <v>3587</v>
      </c>
      <c r="F151" s="622" t="s">
        <v>1633</v>
      </c>
      <c r="G151" s="622">
        <f>U151</f>
        <v>0</v>
      </c>
      <c r="H151" s="623"/>
      <c r="I151" s="623"/>
      <c r="J151" s="623"/>
      <c r="K151" s="623"/>
      <c r="L151" s="623"/>
      <c r="M151" s="623"/>
      <c r="N151" s="623">
        <f t="shared" ref="N151:S151" si="100">SUM(N153:N163)</f>
        <v>209820</v>
      </c>
      <c r="O151" s="623">
        <f t="shared" si="100"/>
        <v>1035462</v>
      </c>
      <c r="P151" s="623">
        <f t="shared" si="100"/>
        <v>778459.64</v>
      </c>
      <c r="Q151" s="623">
        <f t="shared" si="100"/>
        <v>0</v>
      </c>
      <c r="R151" s="623">
        <f t="shared" si="100"/>
        <v>48053.574999999997</v>
      </c>
      <c r="S151" s="623">
        <f t="shared" si="100"/>
        <v>0</v>
      </c>
      <c r="U151" s="623">
        <f>SUM(V151:AB151)</f>
        <v>0</v>
      </c>
      <c r="V151" s="623">
        <f>IFERROR(HLOOKUP($A151,BK3P,V$3,0),)</f>
        <v>0</v>
      </c>
      <c r="W151" s="623">
        <f>IFERROR(HLOOKUP($A151,BK3P,W$3,0),)</f>
        <v>0</v>
      </c>
      <c r="X151" s="623">
        <f>IFERROR(HLOOKUP($A151,BK3P,X$3,0),)</f>
        <v>0</v>
      </c>
      <c r="Y151" s="623">
        <f>IFERROR(HLOOKUP($A151,BK1P,Y$3,0),)</f>
        <v>0</v>
      </c>
      <c r="Z151" s="623">
        <f>IFERROR(HLOOKUP($A151,BK1P,Z$3,0),)</f>
        <v>0</v>
      </c>
      <c r="AA151" s="623">
        <f>IFERROR(HLOOKUP($A151,BK1P,AA$3,0),)</f>
        <v>0</v>
      </c>
      <c r="AB151" s="623">
        <f>IFERROR(HLOOKUP($A151,BKHT,AB$3,0),)</f>
        <v>0</v>
      </c>
      <c r="AD151" s="405">
        <f t="shared" si="98"/>
        <v>0</v>
      </c>
      <c r="AE151" s="525">
        <f t="shared" si="99"/>
        <v>0</v>
      </c>
      <c r="AF151" s="525">
        <f t="shared" si="99"/>
        <v>0</v>
      </c>
      <c r="AG151" s="525">
        <f t="shared" si="99"/>
        <v>0</v>
      </c>
      <c r="AH151" s="525">
        <f t="shared" si="99"/>
        <v>0</v>
      </c>
      <c r="AI151" s="525">
        <f t="shared" si="99"/>
        <v>0</v>
      </c>
      <c r="AJ151" s="525">
        <f t="shared" si="99"/>
        <v>0</v>
      </c>
      <c r="AK151" s="525">
        <f t="shared" si="99"/>
        <v>0</v>
      </c>
      <c r="AL151" s="525">
        <f t="shared" si="99"/>
        <v>0</v>
      </c>
    </row>
    <row r="152" spans="1:38" s="542" customFormat="1">
      <c r="A152" s="624"/>
      <c r="B152" s="624"/>
      <c r="C152" s="625">
        <f>C151</f>
        <v>0</v>
      </c>
      <c r="D152" s="544"/>
      <c r="E152" s="734" t="s">
        <v>1644</v>
      </c>
      <c r="F152" s="544"/>
      <c r="G152" s="545"/>
      <c r="H152" s="545"/>
      <c r="I152" s="545"/>
      <c r="J152" s="545"/>
      <c r="K152" s="545"/>
      <c r="L152" s="545"/>
      <c r="M152" s="545"/>
      <c r="N152" s="545"/>
      <c r="O152" s="545"/>
      <c r="P152" s="545"/>
      <c r="Q152" s="545"/>
      <c r="R152" s="545"/>
      <c r="S152" s="545"/>
      <c r="U152" s="545"/>
      <c r="V152" s="545"/>
      <c r="W152" s="545"/>
      <c r="X152" s="545"/>
      <c r="Y152" s="545"/>
      <c r="Z152" s="545"/>
      <c r="AA152" s="545"/>
      <c r="AB152" s="545"/>
      <c r="AD152" s="405">
        <f t="shared" si="98"/>
        <v>0</v>
      </c>
      <c r="AE152" s="525">
        <f t="shared" si="99"/>
        <v>0</v>
      </c>
      <c r="AF152" s="525">
        <f t="shared" si="99"/>
        <v>0</v>
      </c>
      <c r="AG152" s="525">
        <f t="shared" si="99"/>
        <v>0</v>
      </c>
      <c r="AH152" s="525">
        <f t="shared" si="99"/>
        <v>0</v>
      </c>
      <c r="AI152" s="525">
        <f t="shared" si="99"/>
        <v>0</v>
      </c>
      <c r="AJ152" s="525">
        <f t="shared" si="99"/>
        <v>0</v>
      </c>
      <c r="AK152" s="525">
        <f t="shared" si="99"/>
        <v>0</v>
      </c>
      <c r="AL152" s="525">
        <f t="shared" si="99"/>
        <v>0</v>
      </c>
    </row>
    <row r="153" spans="1:38">
      <c r="A153" s="618"/>
      <c r="B153" s="618" t="s">
        <v>1639</v>
      </c>
      <c r="C153" s="619">
        <f>IF(G153&lt;&gt;0,$C$151,)</f>
        <v>0</v>
      </c>
      <c r="D153" s="523">
        <f>VLOOKUP(B153,DONGIA,DG!$B$6,0)</f>
        <v>0</v>
      </c>
      <c r="E153" s="666" t="str">
        <f>VLOOKUP(B153,DONGIA,DG!$C$6,0)</f>
        <v>Xi măng</v>
      </c>
      <c r="F153" s="523" t="str">
        <f>VLOOKUP(B153,DONGIA,DG!$D$6,0)</f>
        <v>kg</v>
      </c>
      <c r="G153" s="457">
        <f>ROUND(G163*281,1)</f>
        <v>302.10000000000002</v>
      </c>
      <c r="H153" s="525"/>
      <c r="I153" s="525">
        <f>VLOOKUP($B153,DONGIA,DG!$E$6,0)</f>
        <v>1760</v>
      </c>
      <c r="J153" s="525">
        <f>VLOOKUP($B153,DONGIA,DG!$F$6,0)</f>
        <v>0</v>
      </c>
      <c r="K153" s="525"/>
      <c r="L153" s="525">
        <f>VLOOKUP($B153,DONGIA,DG!$G$6,0)</f>
        <v>0</v>
      </c>
      <c r="M153" s="525">
        <f>VLOOKUP($B153,DONGIA,DG!$G$6,0)</f>
        <v>0</v>
      </c>
      <c r="N153" s="525">
        <f>$G153*H153</f>
        <v>0</v>
      </c>
      <c r="O153" s="525">
        <f t="shared" ref="O153:O163" si="101">$G153*I153</f>
        <v>531696</v>
      </c>
      <c r="P153" s="525">
        <f t="shared" ref="P153:P163" si="102">$G153*J153</f>
        <v>0</v>
      </c>
      <c r="Q153" s="525">
        <f t="shared" ref="Q153:Q163" si="103">$G153*K153</f>
        <v>0</v>
      </c>
      <c r="R153" s="525">
        <f t="shared" ref="R153:R163" si="104">$G153*L153</f>
        <v>0</v>
      </c>
      <c r="S153" s="525">
        <f t="shared" ref="S153:S163" si="105">$G153*M153</f>
        <v>0</v>
      </c>
      <c r="U153" s="525">
        <f>U$138*$G153</f>
        <v>1812.6000000000001</v>
      </c>
      <c r="V153" s="525">
        <f t="shared" ref="V153:AB153" si="106">V$138*$G153</f>
        <v>1812.6000000000001</v>
      </c>
      <c r="W153" s="525">
        <f t="shared" si="106"/>
        <v>0</v>
      </c>
      <c r="X153" s="525">
        <f t="shared" si="106"/>
        <v>0</v>
      </c>
      <c r="Y153" s="525">
        <f t="shared" si="106"/>
        <v>0</v>
      </c>
      <c r="Z153" s="525">
        <f t="shared" si="106"/>
        <v>0</v>
      </c>
      <c r="AA153" s="525">
        <f t="shared" si="106"/>
        <v>0</v>
      </c>
      <c r="AB153" s="525">
        <f t="shared" si="106"/>
        <v>0</v>
      </c>
      <c r="AD153" s="405">
        <f t="shared" si="98"/>
        <v>1</v>
      </c>
      <c r="AE153" s="525">
        <f t="shared" si="99"/>
        <v>1812.6000000000001</v>
      </c>
      <c r="AF153" s="525">
        <f t="shared" si="99"/>
        <v>1812.6000000000001</v>
      </c>
      <c r="AG153" s="525">
        <f t="shared" si="99"/>
        <v>0</v>
      </c>
      <c r="AH153" s="525">
        <f t="shared" si="99"/>
        <v>0</v>
      </c>
      <c r="AI153" s="525">
        <f t="shared" si="99"/>
        <v>0</v>
      </c>
      <c r="AJ153" s="525">
        <f t="shared" si="99"/>
        <v>0</v>
      </c>
      <c r="AK153" s="525">
        <f t="shared" si="99"/>
        <v>0</v>
      </c>
      <c r="AL153" s="525">
        <f t="shared" si="99"/>
        <v>0</v>
      </c>
    </row>
    <row r="154" spans="1:38">
      <c r="A154" s="618"/>
      <c r="B154" s="618" t="s">
        <v>471</v>
      </c>
      <c r="C154" s="619">
        <f t="shared" ref="C154:C163" si="107">IF(G154&lt;&gt;0,$C$151,)</f>
        <v>0</v>
      </c>
      <c r="D154" s="523">
        <f>VLOOKUP(B154,DONGIA,DG!$B$6,0)</f>
        <v>0</v>
      </c>
      <c r="E154" s="666" t="str">
        <f>VLOOKUP(B154,DONGIA,DG!$C$6,0)</f>
        <v>Cát vàng</v>
      </c>
      <c r="F154" s="523" t="str">
        <f>VLOOKUP(B154,DONGIA,DG!$D$6,0)</f>
        <v>m3</v>
      </c>
      <c r="G154" s="53">
        <f>ROUND(G163*0.477,3)</f>
        <v>0.51300000000000001</v>
      </c>
      <c r="H154" s="525"/>
      <c r="I154" s="525">
        <f>VLOOKUP($B154,DONGIA,DG!$E$6,0)</f>
        <v>350000</v>
      </c>
      <c r="J154" s="525">
        <f>VLOOKUP($B154,DONGIA,DG!$F$6,0)</f>
        <v>0</v>
      </c>
      <c r="K154" s="525"/>
      <c r="L154" s="525">
        <f>VLOOKUP($B154,DONGIA,DG!$G$6,0)</f>
        <v>0</v>
      </c>
      <c r="M154" s="525"/>
      <c r="N154" s="525">
        <f t="shared" ref="N154:N163" si="108">$G154*H154</f>
        <v>0</v>
      </c>
      <c r="O154" s="525">
        <f t="shared" si="101"/>
        <v>179550</v>
      </c>
      <c r="P154" s="525">
        <f t="shared" si="102"/>
        <v>0</v>
      </c>
      <c r="Q154" s="525">
        <f t="shared" si="103"/>
        <v>0</v>
      </c>
      <c r="R154" s="525">
        <f t="shared" si="104"/>
        <v>0</v>
      </c>
      <c r="S154" s="525">
        <f t="shared" si="105"/>
        <v>0</v>
      </c>
      <c r="U154" s="525">
        <f>U$138*$G154</f>
        <v>3.0780000000000003</v>
      </c>
      <c r="V154" s="525">
        <f t="shared" ref="V154:AB155" si="109">V$138*$G154</f>
        <v>3.0780000000000003</v>
      </c>
      <c r="W154" s="525">
        <f t="shared" si="109"/>
        <v>0</v>
      </c>
      <c r="X154" s="525">
        <f t="shared" si="109"/>
        <v>0</v>
      </c>
      <c r="Y154" s="525">
        <f t="shared" si="109"/>
        <v>0</v>
      </c>
      <c r="Z154" s="525">
        <f t="shared" si="109"/>
        <v>0</v>
      </c>
      <c r="AA154" s="525">
        <f t="shared" si="109"/>
        <v>0</v>
      </c>
      <c r="AB154" s="525">
        <f t="shared" si="109"/>
        <v>0</v>
      </c>
      <c r="AD154" s="405">
        <f t="shared" si="98"/>
        <v>1500</v>
      </c>
      <c r="AE154" s="525">
        <f t="shared" si="99"/>
        <v>4617</v>
      </c>
      <c r="AF154" s="525">
        <f t="shared" si="99"/>
        <v>4617</v>
      </c>
      <c r="AG154" s="525">
        <f t="shared" si="99"/>
        <v>0</v>
      </c>
      <c r="AH154" s="525">
        <f t="shared" si="99"/>
        <v>0</v>
      </c>
      <c r="AI154" s="525">
        <f t="shared" si="99"/>
        <v>0</v>
      </c>
      <c r="AJ154" s="525">
        <f t="shared" si="99"/>
        <v>0</v>
      </c>
      <c r="AK154" s="525">
        <f t="shared" si="99"/>
        <v>0</v>
      </c>
      <c r="AL154" s="525">
        <f t="shared" si="99"/>
        <v>0</v>
      </c>
    </row>
    <row r="155" spans="1:38">
      <c r="A155" s="618" t="s">
        <v>85</v>
      </c>
      <c r="B155" s="618" t="s">
        <v>1640</v>
      </c>
      <c r="C155" s="619">
        <f t="shared" si="107"/>
        <v>0</v>
      </c>
      <c r="D155" s="523">
        <f>VLOOKUP(B155,DONGIA,DG!$B$6,0)</f>
        <v>0</v>
      </c>
      <c r="E155" s="666" t="str">
        <f>VLOOKUP(B155,DONGIA,DG!$C$6,0)</f>
        <v>Đá 1x2</v>
      </c>
      <c r="F155" s="523" t="str">
        <f>VLOOKUP(B155,DONGIA,DG!$D$6,0)</f>
        <v>m3</v>
      </c>
      <c r="G155" s="53">
        <f>ROUND(G163*0.882,3)</f>
        <v>0.94799999999999995</v>
      </c>
      <c r="H155" s="525"/>
      <c r="I155" s="525">
        <f>VLOOKUP($B155,DONGIA,DG!$E$6,0)</f>
        <v>342000</v>
      </c>
      <c r="J155" s="525">
        <f>VLOOKUP($B155,DONGIA,DG!$F$6,0)</f>
        <v>0</v>
      </c>
      <c r="K155" s="525"/>
      <c r="L155" s="525">
        <f>VLOOKUP($B155,DONGIA,DG!$G$6,0)</f>
        <v>0</v>
      </c>
      <c r="M155" s="525"/>
      <c r="N155" s="525">
        <f t="shared" si="108"/>
        <v>0</v>
      </c>
      <c r="O155" s="525">
        <f t="shared" si="101"/>
        <v>324216</v>
      </c>
      <c r="P155" s="525">
        <f t="shared" si="102"/>
        <v>0</v>
      </c>
      <c r="Q155" s="525">
        <f t="shared" si="103"/>
        <v>0</v>
      </c>
      <c r="R155" s="525">
        <f t="shared" si="104"/>
        <v>0</v>
      </c>
      <c r="S155" s="525">
        <f t="shared" si="105"/>
        <v>0</v>
      </c>
      <c r="U155" s="525">
        <f>U$138*$G155</f>
        <v>5.6879999999999997</v>
      </c>
      <c r="V155" s="525">
        <f t="shared" si="109"/>
        <v>5.6879999999999997</v>
      </c>
      <c r="W155" s="525">
        <f t="shared" si="109"/>
        <v>0</v>
      </c>
      <c r="X155" s="525">
        <f t="shared" si="109"/>
        <v>0</v>
      </c>
      <c r="Y155" s="525">
        <f t="shared" si="109"/>
        <v>0</v>
      </c>
      <c r="Z155" s="525">
        <f t="shared" si="109"/>
        <v>0</v>
      </c>
      <c r="AA155" s="525">
        <f t="shared" si="109"/>
        <v>0</v>
      </c>
      <c r="AB155" s="525">
        <f t="shared" si="109"/>
        <v>0</v>
      </c>
      <c r="AD155" s="405">
        <f t="shared" si="98"/>
        <v>1500</v>
      </c>
      <c r="AE155" s="525">
        <f t="shared" si="99"/>
        <v>8532</v>
      </c>
      <c r="AF155" s="525">
        <f t="shared" si="99"/>
        <v>8532</v>
      </c>
      <c r="AG155" s="525">
        <f t="shared" si="99"/>
        <v>0</v>
      </c>
      <c r="AH155" s="525">
        <f t="shared" si="99"/>
        <v>0</v>
      </c>
      <c r="AI155" s="525">
        <f t="shared" si="99"/>
        <v>0</v>
      </c>
      <c r="AJ155" s="525">
        <f t="shared" si="99"/>
        <v>0</v>
      </c>
      <c r="AK155" s="525">
        <f t="shared" si="99"/>
        <v>0</v>
      </c>
      <c r="AL155" s="525">
        <f t="shared" si="99"/>
        <v>0</v>
      </c>
    </row>
    <row r="156" spans="1:38">
      <c r="A156" s="618"/>
      <c r="B156" s="618" t="s">
        <v>3509</v>
      </c>
      <c r="C156" s="619">
        <f t="shared" si="107"/>
        <v>0</v>
      </c>
      <c r="D156" s="523">
        <f>VLOOKUP(B156,DONGIA,DG!$B$6,0)</f>
        <v>0</v>
      </c>
      <c r="E156" s="666" t="str">
        <f>VLOOKUP(B156,DONGIA,DG!$C$6,0)</f>
        <v>Đinh: 15kg/100m2 ván khuôn</v>
      </c>
      <c r="F156" s="523" t="str">
        <f>VLOOKUP(B156,DONGIA,DG!$D$6,0)</f>
        <v>kg</v>
      </c>
      <c r="G156" s="53">
        <f>ROUND(G160*15/100,2)</f>
        <v>0.57999999999999996</v>
      </c>
      <c r="H156" s="525">
        <f>VLOOKUP($B156,DONGIA,DG!$E$6,0)</f>
        <v>25000</v>
      </c>
      <c r="I156" s="525"/>
      <c r="J156" s="525"/>
      <c r="K156" s="525">
        <f>VLOOKUP($B156,DONGIA,DG!$F$6,0)</f>
        <v>0</v>
      </c>
      <c r="L156" s="525"/>
      <c r="M156" s="525">
        <f>VLOOKUP($B156,DONGIA,DG!$G$6,0)</f>
        <v>0</v>
      </c>
      <c r="N156" s="525">
        <f t="shared" si="108"/>
        <v>14499.999999999998</v>
      </c>
      <c r="O156" s="525">
        <f t="shared" si="101"/>
        <v>0</v>
      </c>
      <c r="P156" s="525">
        <f t="shared" si="102"/>
        <v>0</v>
      </c>
      <c r="Q156" s="525">
        <f t="shared" si="103"/>
        <v>0</v>
      </c>
      <c r="R156" s="525">
        <f t="shared" si="104"/>
        <v>0</v>
      </c>
      <c r="S156" s="525">
        <f t="shared" si="105"/>
        <v>0</v>
      </c>
      <c r="U156" s="404"/>
      <c r="V156" s="404"/>
      <c r="W156" s="404"/>
      <c r="X156" s="404"/>
      <c r="Y156" s="404"/>
      <c r="Z156" s="404"/>
      <c r="AA156" s="404"/>
      <c r="AB156" s="404"/>
      <c r="AE156" s="404"/>
      <c r="AF156" s="404"/>
      <c r="AG156" s="404"/>
      <c r="AH156" s="404"/>
      <c r="AI156" s="404"/>
      <c r="AJ156" s="404"/>
      <c r="AK156" s="404"/>
      <c r="AL156" s="404"/>
    </row>
    <row r="157" spans="1:38">
      <c r="A157" s="618"/>
      <c r="B157" s="618" t="s">
        <v>3505</v>
      </c>
      <c r="C157" s="619">
        <f t="shared" si="107"/>
        <v>0</v>
      </c>
      <c r="D157" s="523">
        <f>VLOOKUP(B157,DONGIA,DG!$B$6,0)</f>
        <v>0</v>
      </c>
      <c r="E157" s="666" t="str">
        <f>VLOOKUP(B157,DONGIA,DG!$C$6,0)</f>
        <v>Gỗ chống: 0,335 m3/100m2 ván khuôn</v>
      </c>
      <c r="F157" s="523" t="str">
        <f>VLOOKUP(B157,DONGIA,DG!$D$6,0)</f>
        <v>m3</v>
      </c>
      <c r="G157" s="738">
        <f>ROUND(G160*0.335/100,4)</f>
        <v>1.29E-2</v>
      </c>
      <c r="H157" s="525">
        <f>VLOOKUP($B157,DONGIA,DG!$E$6,0)</f>
        <v>3800000</v>
      </c>
      <c r="I157" s="525"/>
      <c r="J157" s="525"/>
      <c r="K157" s="525">
        <f>VLOOKUP($B157,DONGIA,DG!$F$6,0)</f>
        <v>0</v>
      </c>
      <c r="L157" s="525"/>
      <c r="M157" s="525">
        <f>VLOOKUP($B157,DONGIA,DG!$G$6,0)</f>
        <v>0</v>
      </c>
      <c r="N157" s="525">
        <f t="shared" si="108"/>
        <v>49020</v>
      </c>
      <c r="O157" s="525">
        <f t="shared" si="101"/>
        <v>0</v>
      </c>
      <c r="P157" s="525">
        <f t="shared" si="102"/>
        <v>0</v>
      </c>
      <c r="Q157" s="525">
        <f t="shared" si="103"/>
        <v>0</v>
      </c>
      <c r="R157" s="525">
        <f t="shared" si="104"/>
        <v>0</v>
      </c>
      <c r="S157" s="525">
        <f t="shared" si="105"/>
        <v>0</v>
      </c>
      <c r="U157" s="404"/>
      <c r="V157" s="404"/>
      <c r="W157" s="404"/>
      <c r="X157" s="404"/>
      <c r="Y157" s="404"/>
      <c r="Z157" s="404"/>
      <c r="AA157" s="404"/>
      <c r="AB157" s="404"/>
      <c r="AE157" s="404"/>
      <c r="AF157" s="404"/>
      <c r="AG157" s="404"/>
      <c r="AH157" s="404"/>
      <c r="AI157" s="404"/>
      <c r="AJ157" s="404"/>
      <c r="AK157" s="404"/>
      <c r="AL157" s="404"/>
    </row>
    <row r="158" spans="1:38">
      <c r="A158" s="618"/>
      <c r="B158" s="618" t="s">
        <v>3507</v>
      </c>
      <c r="C158" s="619">
        <f t="shared" si="107"/>
        <v>0</v>
      </c>
      <c r="D158" s="523">
        <f>VLOOKUP(B158,DONGIA,DG!$B$6,0)</f>
        <v>0</v>
      </c>
      <c r="E158" s="666" t="str">
        <f>VLOOKUP(B158,DONGIA,DG!$C$6,0)</f>
        <v>Gỗ đà nẹp: 0,21 m3/100m2 ván khuôn</v>
      </c>
      <c r="F158" s="523" t="str">
        <f>VLOOKUP(B158,DONGIA,DG!$D$6,0)</f>
        <v>m3</v>
      </c>
      <c r="G158" s="738">
        <f>ROUND(G160*0.21/100,4)</f>
        <v>8.0999999999999996E-3</v>
      </c>
      <c r="H158" s="525">
        <f>VLOOKUP($B158,DONGIA,DG!$E$6,0)</f>
        <v>3800000</v>
      </c>
      <c r="I158" s="525"/>
      <c r="J158" s="525"/>
      <c r="K158" s="525">
        <f>VLOOKUP($B158,DONGIA,DG!$F$6,0)</f>
        <v>0</v>
      </c>
      <c r="L158" s="525"/>
      <c r="M158" s="525">
        <f>VLOOKUP($B158,DONGIA,DG!$G$6,0)</f>
        <v>0</v>
      </c>
      <c r="N158" s="525">
        <f t="shared" si="108"/>
        <v>30780</v>
      </c>
      <c r="O158" s="525">
        <f t="shared" si="101"/>
        <v>0</v>
      </c>
      <c r="P158" s="525">
        <f t="shared" si="102"/>
        <v>0</v>
      </c>
      <c r="Q158" s="525">
        <f t="shared" si="103"/>
        <v>0</v>
      </c>
      <c r="R158" s="525">
        <f t="shared" si="104"/>
        <v>0</v>
      </c>
      <c r="S158" s="525">
        <f t="shared" si="105"/>
        <v>0</v>
      </c>
      <c r="U158" s="404"/>
      <c r="V158" s="404"/>
      <c r="W158" s="404"/>
      <c r="X158" s="404"/>
      <c r="Y158" s="404"/>
      <c r="Z158" s="404"/>
      <c r="AA158" s="404"/>
      <c r="AB158" s="404"/>
      <c r="AE158" s="404"/>
      <c r="AF158" s="404"/>
      <c r="AG158" s="404"/>
      <c r="AH158" s="404"/>
      <c r="AI158" s="404"/>
      <c r="AJ158" s="404"/>
      <c r="AK158" s="404"/>
      <c r="AL158" s="404"/>
    </row>
    <row r="159" spans="1:38">
      <c r="A159" s="618"/>
      <c r="B159" s="618" t="s">
        <v>3503</v>
      </c>
      <c r="C159" s="619">
        <f t="shared" si="107"/>
        <v>0</v>
      </c>
      <c r="D159" s="523">
        <f>VLOOKUP(B159,DONGIA,DG!$B$6,0)</f>
        <v>0</v>
      </c>
      <c r="E159" s="666" t="str">
        <f>VLOOKUP(B159,DONGIA,DG!$C$6,0)</f>
        <v>Gỗ ván (cả nẹp): 0,792 m3/100m2 ván khuôn</v>
      </c>
      <c r="F159" s="523" t="str">
        <f>VLOOKUP(B159,DONGIA,DG!$D$6,0)</f>
        <v>m3</v>
      </c>
      <c r="G159" s="738">
        <f>ROUND(G160*0.792/100,4)</f>
        <v>3.04E-2</v>
      </c>
      <c r="H159" s="525">
        <f>VLOOKUP($B159,DONGIA,DG!$E$6,0)</f>
        <v>3800000</v>
      </c>
      <c r="I159" s="525"/>
      <c r="J159" s="525"/>
      <c r="K159" s="525">
        <f>VLOOKUP($B159,DONGIA,DG!$F$6,0)</f>
        <v>0</v>
      </c>
      <c r="L159" s="525"/>
      <c r="M159" s="525">
        <f>VLOOKUP($B159,DONGIA,DG!$G$6,0)</f>
        <v>0</v>
      </c>
      <c r="N159" s="525">
        <f t="shared" si="108"/>
        <v>115520</v>
      </c>
      <c r="O159" s="525">
        <f t="shared" si="101"/>
        <v>0</v>
      </c>
      <c r="P159" s="525">
        <f t="shared" si="102"/>
        <v>0</v>
      </c>
      <c r="Q159" s="525">
        <f t="shared" si="103"/>
        <v>0</v>
      </c>
      <c r="R159" s="525">
        <f t="shared" si="104"/>
        <v>0</v>
      </c>
      <c r="S159" s="525">
        <f t="shared" si="105"/>
        <v>0</v>
      </c>
      <c r="U159" s="404"/>
      <c r="V159" s="404"/>
      <c r="W159" s="404"/>
      <c r="X159" s="404"/>
      <c r="Y159" s="404"/>
      <c r="Z159" s="404"/>
      <c r="AA159" s="404"/>
      <c r="AB159" s="404"/>
      <c r="AE159" s="404"/>
      <c r="AF159" s="404"/>
      <c r="AG159" s="404"/>
      <c r="AH159" s="404"/>
      <c r="AI159" s="404"/>
      <c r="AJ159" s="404"/>
      <c r="AK159" s="404"/>
      <c r="AL159" s="404"/>
    </row>
    <row r="160" spans="1:38">
      <c r="A160" s="618"/>
      <c r="B160" s="618" t="s">
        <v>3511</v>
      </c>
      <c r="C160" s="619">
        <f t="shared" si="107"/>
        <v>0</v>
      </c>
      <c r="D160" s="523" t="str">
        <f>VLOOKUP(B160,DONGIA,DG!$B$6,0)</f>
        <v>AF.81122</v>
      </c>
      <c r="E160" s="666" t="str">
        <f>VLOOKUP(B160,DONGIA,DG!$C$6,0)</f>
        <v>Lắp ván khuôn gỗ móng - móng vuông, chữ nhật</v>
      </c>
      <c r="F160" s="523" t="str">
        <f>VLOOKUP(B160,DONGIA,DG!$D$6,0)</f>
        <v>m2</v>
      </c>
      <c r="G160" s="53">
        <f>ROUND(1.2*0.8*4,3)</f>
        <v>3.84</v>
      </c>
      <c r="H160" s="525">
        <f>VLOOKUP($B160,DONGIA,DG!$E$6,0)</f>
        <v>0</v>
      </c>
      <c r="I160" s="525"/>
      <c r="J160" s="525">
        <f>VLOOKUP($B160,DONGIA,DG!$F$6,0)</f>
        <v>57946</v>
      </c>
      <c r="K160" s="525"/>
      <c r="L160" s="525"/>
      <c r="M160" s="525">
        <f>VLOOKUP($B160,DONGIA,DG!$G$6,0)</f>
        <v>0</v>
      </c>
      <c r="N160" s="525">
        <f t="shared" si="108"/>
        <v>0</v>
      </c>
      <c r="O160" s="525">
        <f t="shared" si="101"/>
        <v>0</v>
      </c>
      <c r="P160" s="525">
        <f t="shared" si="102"/>
        <v>222512.63999999998</v>
      </c>
      <c r="Q160" s="525">
        <f t="shared" si="103"/>
        <v>0</v>
      </c>
      <c r="R160" s="525">
        <f t="shared" si="104"/>
        <v>0</v>
      </c>
      <c r="S160" s="525">
        <f t="shared" si="105"/>
        <v>0</v>
      </c>
      <c r="U160" s="404"/>
      <c r="V160" s="404"/>
      <c r="W160" s="404"/>
      <c r="X160" s="404"/>
      <c r="Y160" s="404"/>
      <c r="Z160" s="404"/>
      <c r="AA160" s="404"/>
      <c r="AB160" s="404"/>
      <c r="AE160" s="404"/>
      <c r="AF160" s="404"/>
      <c r="AG160" s="404"/>
      <c r="AH160" s="404"/>
      <c r="AI160" s="404"/>
      <c r="AJ160" s="404"/>
      <c r="AK160" s="404"/>
      <c r="AL160" s="404"/>
    </row>
    <row r="161" spans="1:38">
      <c r="A161" s="618"/>
      <c r="B161" s="618" t="s">
        <v>3568</v>
      </c>
      <c r="C161" s="619">
        <f t="shared" si="107"/>
        <v>0</v>
      </c>
      <c r="D161" s="523" t="str">
        <f>VLOOKUP(B161,DONGIA,DG!$B$6,0)</f>
        <v>AB.11433</v>
      </c>
      <c r="E161" s="666" t="str">
        <f>VLOOKUP(B161,DONGIA,DG!$C$6,0)</f>
        <v>Đào hố móng đất cấp 3 sâu ≤1m (rộng &gt;1m)</v>
      </c>
      <c r="F161" s="523" t="str">
        <f>VLOOKUP(B161,DONGIA,DG!$D$6,0)</f>
        <v>m3</v>
      </c>
      <c r="G161" s="53">
        <v>1.075</v>
      </c>
      <c r="H161" s="525"/>
      <c r="I161" s="525"/>
      <c r="J161" s="525">
        <f>VLOOKUP($B161,DONGIA,DG!$F$6,0)</f>
        <v>223685</v>
      </c>
      <c r="K161" s="525"/>
      <c r="L161" s="525">
        <f>VLOOKUP($B161,DONGIA,DG!$G$6,0)</f>
        <v>0</v>
      </c>
      <c r="M161" s="525"/>
      <c r="N161" s="525">
        <f t="shared" si="108"/>
        <v>0</v>
      </c>
      <c r="O161" s="525">
        <f t="shared" si="101"/>
        <v>0</v>
      </c>
      <c r="P161" s="525">
        <f t="shared" si="102"/>
        <v>240461.375</v>
      </c>
      <c r="Q161" s="525">
        <f t="shared" si="103"/>
        <v>0</v>
      </c>
      <c r="R161" s="525">
        <f t="shared" si="104"/>
        <v>0</v>
      </c>
      <c r="S161" s="525">
        <f t="shared" si="105"/>
        <v>0</v>
      </c>
      <c r="U161" s="525">
        <f t="shared" ref="U161:AB162" si="110">U$138*$G161</f>
        <v>6.4499999999999993</v>
      </c>
      <c r="V161" s="525">
        <f t="shared" si="110"/>
        <v>6.4499999999999993</v>
      </c>
      <c r="W161" s="525">
        <f t="shared" si="110"/>
        <v>0</v>
      </c>
      <c r="X161" s="525">
        <f t="shared" si="110"/>
        <v>0</v>
      </c>
      <c r="Y161" s="525">
        <f t="shared" si="110"/>
        <v>0</v>
      </c>
      <c r="Z161" s="525">
        <f t="shared" si="110"/>
        <v>0</v>
      </c>
      <c r="AA161" s="525">
        <f t="shared" si="110"/>
        <v>0</v>
      </c>
      <c r="AB161" s="525">
        <f t="shared" si="110"/>
        <v>0</v>
      </c>
      <c r="AD161" s="405">
        <f>IFERROR(VLOOKUP(B161,DONGIA,$AD$3,0),0)</f>
        <v>0</v>
      </c>
      <c r="AE161" s="525">
        <f t="shared" ref="AE161:AL163" si="111">U161*$AD161</f>
        <v>0</v>
      </c>
      <c r="AF161" s="525">
        <f t="shared" si="111"/>
        <v>0</v>
      </c>
      <c r="AG161" s="525">
        <f t="shared" si="111"/>
        <v>0</v>
      </c>
      <c r="AH161" s="525">
        <f t="shared" si="111"/>
        <v>0</v>
      </c>
      <c r="AI161" s="525">
        <f t="shared" si="111"/>
        <v>0</v>
      </c>
      <c r="AJ161" s="525">
        <f t="shared" si="111"/>
        <v>0</v>
      </c>
      <c r="AK161" s="525">
        <f t="shared" si="111"/>
        <v>0</v>
      </c>
      <c r="AL161" s="525">
        <f t="shared" si="111"/>
        <v>0</v>
      </c>
    </row>
    <row r="162" spans="1:38">
      <c r="A162" s="618"/>
      <c r="B162" s="618" t="s">
        <v>510</v>
      </c>
      <c r="C162" s="619">
        <f t="shared" si="107"/>
        <v>0</v>
      </c>
      <c r="D162" s="523" t="str">
        <f>VLOOKUP(B162,DONGIA,DG!$B$6,0)</f>
        <v>AB.65110</v>
      </c>
      <c r="E162" s="525" t="str">
        <f>VLOOKUP(B162,DONGIA,DG!$C$6,0)</f>
        <v>Đắp đất hố móng (K=0,85)</v>
      </c>
      <c r="F162" s="523" t="str">
        <f>VLOOKUP(B162,DONGIA,DG!$D$6,0)</f>
        <v>m3</v>
      </c>
      <c r="G162" s="443">
        <v>0</v>
      </c>
      <c r="H162" s="525"/>
      <c r="I162" s="525"/>
      <c r="J162" s="525">
        <f>VLOOKUP($B162,DONGIA,DG!$F$6,0)</f>
        <v>16267</v>
      </c>
      <c r="K162" s="525"/>
      <c r="L162" s="525">
        <f>VLOOKUP($B162,DONGIA,DG!$G$6,0)</f>
        <v>11176</v>
      </c>
      <c r="M162" s="525"/>
      <c r="N162" s="525">
        <f t="shared" si="108"/>
        <v>0</v>
      </c>
      <c r="O162" s="525">
        <f t="shared" si="101"/>
        <v>0</v>
      </c>
      <c r="P162" s="525">
        <f t="shared" si="102"/>
        <v>0</v>
      </c>
      <c r="Q162" s="525">
        <f t="shared" si="103"/>
        <v>0</v>
      </c>
      <c r="R162" s="525">
        <f t="shared" si="104"/>
        <v>0</v>
      </c>
      <c r="S162" s="525">
        <f t="shared" si="105"/>
        <v>0</v>
      </c>
      <c r="U162" s="525">
        <f t="shared" si="110"/>
        <v>0</v>
      </c>
      <c r="V162" s="525">
        <f t="shared" si="110"/>
        <v>0</v>
      </c>
      <c r="W162" s="525">
        <f t="shared" si="110"/>
        <v>0</v>
      </c>
      <c r="X162" s="525">
        <f t="shared" si="110"/>
        <v>0</v>
      </c>
      <c r="Y162" s="525">
        <f t="shared" si="110"/>
        <v>0</v>
      </c>
      <c r="Z162" s="525">
        <f t="shared" si="110"/>
        <v>0</v>
      </c>
      <c r="AA162" s="525">
        <f t="shared" si="110"/>
        <v>0</v>
      </c>
      <c r="AB162" s="525">
        <f t="shared" si="110"/>
        <v>0</v>
      </c>
      <c r="AD162" s="405">
        <f>IFERROR(VLOOKUP(B162,DONGIA,$AD$3,0),0)</f>
        <v>0</v>
      </c>
      <c r="AE162" s="525">
        <f t="shared" si="111"/>
        <v>0</v>
      </c>
      <c r="AF162" s="525">
        <f t="shared" si="111"/>
        <v>0</v>
      </c>
      <c r="AG162" s="525">
        <f t="shared" si="111"/>
        <v>0</v>
      </c>
      <c r="AH162" s="525">
        <f t="shared" si="111"/>
        <v>0</v>
      </c>
      <c r="AI162" s="525">
        <f t="shared" si="111"/>
        <v>0</v>
      </c>
      <c r="AJ162" s="525">
        <f t="shared" si="111"/>
        <v>0</v>
      </c>
      <c r="AK162" s="525">
        <f t="shared" si="111"/>
        <v>0</v>
      </c>
      <c r="AL162" s="525">
        <f t="shared" si="111"/>
        <v>0</v>
      </c>
    </row>
    <row r="163" spans="1:38">
      <c r="A163" s="618"/>
      <c r="B163" s="618" t="s">
        <v>713</v>
      </c>
      <c r="C163" s="619">
        <f t="shared" si="107"/>
        <v>0</v>
      </c>
      <c r="D163" s="523" t="str">
        <f>VLOOKUP(B163,DONGIA,DG!$B$6,0)</f>
        <v>AF.11210</v>
      </c>
      <c r="E163" s="666" t="str">
        <f>VLOOKUP(B163,DONGIA,DG!$C$6,0)</f>
        <v>Đổ bê tông mác M200 đá 1x2</v>
      </c>
      <c r="F163" s="523" t="str">
        <f>VLOOKUP(B163,DONGIA,DG!$D$6,0)</f>
        <v>m3</v>
      </c>
      <c r="G163" s="53">
        <f>ROUND(1.2*1.2*0.8-0.35*0.35*0.25*0.8*PI(),3)</f>
        <v>1.075</v>
      </c>
      <c r="H163" s="525"/>
      <c r="I163" s="525"/>
      <c r="J163" s="525">
        <f>VLOOKUP($B163,DONGIA,DG!$F$6,0)</f>
        <v>293475</v>
      </c>
      <c r="K163" s="525"/>
      <c r="L163" s="525">
        <f>VLOOKUP($B163,DONGIA,DG!$G$6,0)</f>
        <v>44701</v>
      </c>
      <c r="M163" s="525"/>
      <c r="N163" s="525">
        <f t="shared" si="108"/>
        <v>0</v>
      </c>
      <c r="O163" s="525">
        <f t="shared" si="101"/>
        <v>0</v>
      </c>
      <c r="P163" s="525">
        <f t="shared" si="102"/>
        <v>315485.625</v>
      </c>
      <c r="Q163" s="525">
        <f t="shared" si="103"/>
        <v>0</v>
      </c>
      <c r="R163" s="525">
        <f t="shared" si="104"/>
        <v>48053.574999999997</v>
      </c>
      <c r="S163" s="525">
        <f t="shared" si="105"/>
        <v>0</v>
      </c>
      <c r="U163" s="525"/>
      <c r="V163" s="525"/>
      <c r="W163" s="525"/>
      <c r="X163" s="525"/>
      <c r="Y163" s="525"/>
      <c r="Z163" s="525"/>
      <c r="AA163" s="525"/>
      <c r="AB163" s="525"/>
      <c r="AD163" s="405">
        <f>IFERROR(VLOOKUP(B163,DONGIA,$AD$3,0),0)</f>
        <v>0</v>
      </c>
      <c r="AE163" s="525">
        <f t="shared" si="111"/>
        <v>0</v>
      </c>
      <c r="AF163" s="525">
        <f t="shared" si="111"/>
        <v>0</v>
      </c>
      <c r="AG163" s="525">
        <f t="shared" si="111"/>
        <v>0</v>
      </c>
      <c r="AH163" s="525">
        <f t="shared" si="111"/>
        <v>0</v>
      </c>
      <c r="AI163" s="525">
        <f t="shared" si="111"/>
        <v>0</v>
      </c>
      <c r="AJ163" s="525">
        <f t="shared" si="111"/>
        <v>0</v>
      </c>
      <c r="AK163" s="525">
        <f t="shared" si="111"/>
        <v>0</v>
      </c>
      <c r="AL163" s="525">
        <f t="shared" si="111"/>
        <v>0</v>
      </c>
    </row>
    <row r="164" spans="1:38">
      <c r="A164" s="618" t="s">
        <v>2596</v>
      </c>
      <c r="B164" s="618"/>
      <c r="C164" s="619">
        <f>IF(G164&lt;&gt;0,1,)</f>
        <v>1</v>
      </c>
      <c r="D164" s="622"/>
      <c r="E164" s="733" t="s">
        <v>2594</v>
      </c>
      <c r="F164" s="622" t="s">
        <v>1633</v>
      </c>
      <c r="G164" s="622">
        <f>U164</f>
        <v>1</v>
      </c>
      <c r="H164" s="623"/>
      <c r="I164" s="623"/>
      <c r="J164" s="623"/>
      <c r="K164" s="623"/>
      <c r="L164" s="623"/>
      <c r="M164" s="623"/>
      <c r="N164" s="623">
        <f t="shared" ref="N164:S164" si="112">SUM(N166:N177)</f>
        <v>0</v>
      </c>
      <c r="O164" s="623">
        <f>SUM(O166:O177)</f>
        <v>870838</v>
      </c>
      <c r="P164" s="623">
        <f>SUM(P166:P177)</f>
        <v>850866.07299999986</v>
      </c>
      <c r="Q164" s="623">
        <f t="shared" si="112"/>
        <v>0</v>
      </c>
      <c r="R164" s="623">
        <f>SUM(R166:R177)</f>
        <v>584417.28699999989</v>
      </c>
      <c r="S164" s="623">
        <f t="shared" si="112"/>
        <v>0</v>
      </c>
      <c r="U164" s="623">
        <f>SUM(V164:AB164)</f>
        <v>1</v>
      </c>
      <c r="V164" s="623">
        <f>IFERROR(HLOOKUP($A164,BK3P,V$3,0),)</f>
        <v>1</v>
      </c>
      <c r="W164" s="623">
        <f>IFERROR(HLOOKUP($A164,BK3P,W$3,0),)</f>
        <v>0</v>
      </c>
      <c r="X164" s="623">
        <f>IFERROR(HLOOKUP($A164,BK3P,X$3,0),)</f>
        <v>0</v>
      </c>
      <c r="Y164" s="623">
        <f>IFERROR(HLOOKUP($A164,BK1P,Y$3,0),)</f>
        <v>0</v>
      </c>
      <c r="Z164" s="623">
        <f>IFERROR(HLOOKUP($A164,BK1P,Z$3,0),)</f>
        <v>0</v>
      </c>
      <c r="AA164" s="623">
        <f>IFERROR(HLOOKUP($A164,BK1P,AA$3,0),)</f>
        <v>0</v>
      </c>
      <c r="AB164" s="623">
        <f>IFERROR(HLOOKUP($A164,BKHT,AB$3,0),)</f>
        <v>0</v>
      </c>
      <c r="AD164" s="405">
        <f t="shared" ref="AD164:AD177" si="113">IFERROR(VLOOKUP(B164,DONGIA,$AD$3,0),0)</f>
        <v>0</v>
      </c>
      <c r="AE164" s="525">
        <f t="shared" ref="AE164:AE177" si="114">U164*$AD164</f>
        <v>0</v>
      </c>
      <c r="AF164" s="525">
        <f t="shared" ref="AF164:AF177" si="115">V164*$AD164</f>
        <v>0</v>
      </c>
      <c r="AG164" s="525">
        <f t="shared" ref="AG164:AG177" si="116">W164*$AD164</f>
        <v>0</v>
      </c>
      <c r="AH164" s="525">
        <f t="shared" ref="AH164:AH177" si="117">X164*$AD164</f>
        <v>0</v>
      </c>
      <c r="AI164" s="525">
        <f t="shared" ref="AI164:AI177" si="118">Y164*$AD164</f>
        <v>0</v>
      </c>
      <c r="AJ164" s="525">
        <f t="shared" ref="AJ164:AJ177" si="119">Z164*$AD164</f>
        <v>0</v>
      </c>
      <c r="AK164" s="525">
        <f t="shared" ref="AK164:AK177" si="120">AA164*$AD164</f>
        <v>0</v>
      </c>
      <c r="AL164" s="525">
        <f t="shared" ref="AL164:AL177" si="121">AB164*$AD164</f>
        <v>0</v>
      </c>
    </row>
    <row r="165" spans="1:38" s="542" customFormat="1">
      <c r="A165" s="624"/>
      <c r="B165" s="624"/>
      <c r="C165" s="625">
        <f>C164</f>
        <v>1</v>
      </c>
      <c r="D165" s="544"/>
      <c r="E165" s="734" t="s">
        <v>1644</v>
      </c>
      <c r="F165" s="544"/>
      <c r="G165" s="545"/>
      <c r="H165" s="545"/>
      <c r="I165" s="545"/>
      <c r="J165" s="545"/>
      <c r="K165" s="545"/>
      <c r="L165" s="545"/>
      <c r="M165" s="545"/>
      <c r="N165" s="545"/>
      <c r="O165" s="545"/>
      <c r="P165" s="545"/>
      <c r="Q165" s="545"/>
      <c r="R165" s="545"/>
      <c r="S165" s="545"/>
      <c r="U165" s="545"/>
      <c r="V165" s="545"/>
      <c r="W165" s="545"/>
      <c r="X165" s="545"/>
      <c r="Y165" s="545"/>
      <c r="Z165" s="545"/>
      <c r="AA165" s="545"/>
      <c r="AB165" s="545"/>
      <c r="AD165" s="405">
        <f t="shared" si="113"/>
        <v>0</v>
      </c>
      <c r="AE165" s="525">
        <f t="shared" si="114"/>
        <v>0</v>
      </c>
      <c r="AF165" s="525">
        <f t="shared" si="115"/>
        <v>0</v>
      </c>
      <c r="AG165" s="525">
        <f t="shared" si="116"/>
        <v>0</v>
      </c>
      <c r="AH165" s="525">
        <f t="shared" si="117"/>
        <v>0</v>
      </c>
      <c r="AI165" s="525">
        <f t="shared" si="118"/>
        <v>0</v>
      </c>
      <c r="AJ165" s="525">
        <f t="shared" si="119"/>
        <v>0</v>
      </c>
      <c r="AK165" s="525">
        <f t="shared" si="120"/>
        <v>0</v>
      </c>
      <c r="AL165" s="525">
        <f t="shared" si="121"/>
        <v>0</v>
      </c>
    </row>
    <row r="166" spans="1:38">
      <c r="A166" s="618"/>
      <c r="B166" s="618" t="s">
        <v>1639</v>
      </c>
      <c r="C166" s="619">
        <f>IF(G166&lt;&gt;0,$C$164,)</f>
        <v>1</v>
      </c>
      <c r="D166" s="523">
        <f>VLOOKUP(B166,DONGIA,DG!$B$6,0)</f>
        <v>0</v>
      </c>
      <c r="E166" s="666" t="str">
        <f>VLOOKUP(B166,DONGIA,DG!$C$6,0)</f>
        <v>Xi măng</v>
      </c>
      <c r="F166" s="523" t="str">
        <f>VLOOKUP(B166,DONGIA,DG!$D$6,0)</f>
        <v>kg</v>
      </c>
      <c r="G166" s="549">
        <f>ROUND(G177*281,1)</f>
        <v>203.2</v>
      </c>
      <c r="H166" s="525"/>
      <c r="I166" s="525">
        <f>VLOOKUP($B166,DONGIA,DG!$E$6,0)</f>
        <v>1760</v>
      </c>
      <c r="J166" s="525">
        <f>VLOOKUP($B166,DONGIA,DG!$F$6,0)</f>
        <v>0</v>
      </c>
      <c r="K166" s="525"/>
      <c r="L166" s="525">
        <f>VLOOKUP($B166,DONGIA,DG!$G$6,0)</f>
        <v>0</v>
      </c>
      <c r="M166" s="525">
        <f>VLOOKUP($B166,DONGIA,DG!$G$6,0)</f>
        <v>0</v>
      </c>
      <c r="N166" s="525">
        <f>$G166*H166</f>
        <v>0</v>
      </c>
      <c r="O166" s="525">
        <f t="shared" ref="O166:O177" si="122">$G166*I166</f>
        <v>357632</v>
      </c>
      <c r="P166" s="525">
        <f t="shared" ref="P166:P176" si="123">$G166*J166</f>
        <v>0</v>
      </c>
      <c r="Q166" s="525">
        <f t="shared" ref="Q166:Q177" si="124">$G166*K166</f>
        <v>0</v>
      </c>
      <c r="R166" s="525">
        <f t="shared" ref="R166:R176" si="125">$G166*L166</f>
        <v>0</v>
      </c>
      <c r="S166" s="525">
        <f t="shared" ref="S166:S177" si="126">$G166*M166</f>
        <v>0</v>
      </c>
      <c r="U166" s="525">
        <f>U$164*$G166</f>
        <v>203.2</v>
      </c>
      <c r="V166" s="525">
        <f t="shared" ref="V166:AB166" si="127">V$164*$G166</f>
        <v>203.2</v>
      </c>
      <c r="W166" s="525">
        <f t="shared" si="127"/>
        <v>0</v>
      </c>
      <c r="X166" s="525">
        <f t="shared" si="127"/>
        <v>0</v>
      </c>
      <c r="Y166" s="525">
        <f t="shared" si="127"/>
        <v>0</v>
      </c>
      <c r="Z166" s="525">
        <f t="shared" si="127"/>
        <v>0</v>
      </c>
      <c r="AA166" s="525">
        <f t="shared" si="127"/>
        <v>0</v>
      </c>
      <c r="AB166" s="525">
        <f t="shared" si="127"/>
        <v>0</v>
      </c>
      <c r="AD166" s="405">
        <f t="shared" si="113"/>
        <v>1</v>
      </c>
      <c r="AE166" s="525">
        <f t="shared" si="114"/>
        <v>203.2</v>
      </c>
      <c r="AF166" s="525">
        <f t="shared" si="115"/>
        <v>203.2</v>
      </c>
      <c r="AG166" s="525">
        <f t="shared" si="116"/>
        <v>0</v>
      </c>
      <c r="AH166" s="525">
        <f t="shared" si="117"/>
        <v>0</v>
      </c>
      <c r="AI166" s="525">
        <f t="shared" si="118"/>
        <v>0</v>
      </c>
      <c r="AJ166" s="525">
        <f t="shared" si="119"/>
        <v>0</v>
      </c>
      <c r="AK166" s="525">
        <f t="shared" si="120"/>
        <v>0</v>
      </c>
      <c r="AL166" s="525">
        <f t="shared" si="121"/>
        <v>0</v>
      </c>
    </row>
    <row r="167" spans="1:38">
      <c r="A167" s="618"/>
      <c r="B167" s="618" t="s">
        <v>471</v>
      </c>
      <c r="C167" s="619">
        <f t="shared" ref="C167:C177" si="128">IF(G167&lt;&gt;0,$C$164,)</f>
        <v>1</v>
      </c>
      <c r="D167" s="523">
        <f>VLOOKUP(B167,DONGIA,DG!$B$6,0)</f>
        <v>0</v>
      </c>
      <c r="E167" s="666" t="str">
        <f>VLOOKUP(B167,DONGIA,DG!$C$6,0)</f>
        <v>Cát vàng</v>
      </c>
      <c r="F167" s="523" t="str">
        <f>VLOOKUP(B167,DONGIA,DG!$D$6,0)</f>
        <v>m3</v>
      </c>
      <c r="G167" s="626">
        <f>ROUND(G177*0.477,3)</f>
        <v>0.34499999999999997</v>
      </c>
      <c r="H167" s="525"/>
      <c r="I167" s="525">
        <f>VLOOKUP($B167,DONGIA,DG!$E$6,0)</f>
        <v>350000</v>
      </c>
      <c r="J167" s="525">
        <f>VLOOKUP($B167,DONGIA,DG!$F$6,0)</f>
        <v>0</v>
      </c>
      <c r="K167" s="525"/>
      <c r="L167" s="525">
        <f>VLOOKUP($B167,DONGIA,DG!$G$6,0)</f>
        <v>0</v>
      </c>
      <c r="M167" s="525"/>
      <c r="N167" s="525">
        <f t="shared" ref="N167:N177" si="129">$G167*H167</f>
        <v>0</v>
      </c>
      <c r="O167" s="525">
        <f t="shared" si="122"/>
        <v>120749.99999999999</v>
      </c>
      <c r="P167" s="525">
        <f t="shared" si="123"/>
        <v>0</v>
      </c>
      <c r="Q167" s="525">
        <f t="shared" si="124"/>
        <v>0</v>
      </c>
      <c r="R167" s="525">
        <f t="shared" si="125"/>
        <v>0</v>
      </c>
      <c r="S167" s="525">
        <f t="shared" si="126"/>
        <v>0</v>
      </c>
      <c r="U167" s="525">
        <f>U$164*$G167</f>
        <v>0.34499999999999997</v>
      </c>
      <c r="V167" s="525">
        <f t="shared" ref="V167:AB168" si="130">V$164*$G167</f>
        <v>0.34499999999999997</v>
      </c>
      <c r="W167" s="525">
        <f t="shared" si="130"/>
        <v>0</v>
      </c>
      <c r="X167" s="525">
        <f t="shared" si="130"/>
        <v>0</v>
      </c>
      <c r="Y167" s="525">
        <f t="shared" si="130"/>
        <v>0</v>
      </c>
      <c r="Z167" s="525">
        <f t="shared" si="130"/>
        <v>0</v>
      </c>
      <c r="AA167" s="525">
        <f t="shared" si="130"/>
        <v>0</v>
      </c>
      <c r="AB167" s="525">
        <f t="shared" si="130"/>
        <v>0</v>
      </c>
      <c r="AD167" s="405">
        <f t="shared" si="113"/>
        <v>1500</v>
      </c>
      <c r="AE167" s="525">
        <f t="shared" si="114"/>
        <v>517.5</v>
      </c>
      <c r="AF167" s="525">
        <f t="shared" si="115"/>
        <v>517.5</v>
      </c>
      <c r="AG167" s="525">
        <f t="shared" si="116"/>
        <v>0</v>
      </c>
      <c r="AH167" s="525">
        <f t="shared" si="117"/>
        <v>0</v>
      </c>
      <c r="AI167" s="525">
        <f t="shared" si="118"/>
        <v>0</v>
      </c>
      <c r="AJ167" s="525">
        <f t="shared" si="119"/>
        <v>0</v>
      </c>
      <c r="AK167" s="525">
        <f t="shared" si="120"/>
        <v>0</v>
      </c>
      <c r="AL167" s="525">
        <f t="shared" si="121"/>
        <v>0</v>
      </c>
    </row>
    <row r="168" spans="1:38">
      <c r="A168" s="618" t="s">
        <v>85</v>
      </c>
      <c r="B168" s="618" t="s">
        <v>1640</v>
      </c>
      <c r="C168" s="619">
        <f t="shared" si="128"/>
        <v>1</v>
      </c>
      <c r="D168" s="523">
        <f>VLOOKUP(B168,DONGIA,DG!$B$6,0)</f>
        <v>0</v>
      </c>
      <c r="E168" s="666" t="str">
        <f>VLOOKUP(B168,DONGIA,DG!$C$6,0)</f>
        <v>Đá 1x2</v>
      </c>
      <c r="F168" s="523" t="str">
        <f>VLOOKUP(B168,DONGIA,DG!$D$6,0)</f>
        <v>m3</v>
      </c>
      <c r="G168" s="626">
        <f>ROUND(G177*0.882,3)</f>
        <v>0.63800000000000001</v>
      </c>
      <c r="H168" s="525"/>
      <c r="I168" s="525">
        <f>VLOOKUP($B168,DONGIA,DG!$E$6,0)</f>
        <v>342000</v>
      </c>
      <c r="J168" s="525">
        <f>VLOOKUP($B168,DONGIA,DG!$F$6,0)</f>
        <v>0</v>
      </c>
      <c r="K168" s="525"/>
      <c r="L168" s="525">
        <f>VLOOKUP($B168,DONGIA,DG!$G$6,0)</f>
        <v>0</v>
      </c>
      <c r="M168" s="525"/>
      <c r="N168" s="525">
        <f t="shared" si="129"/>
        <v>0</v>
      </c>
      <c r="O168" s="525">
        <f t="shared" si="122"/>
        <v>218196</v>
      </c>
      <c r="P168" s="525">
        <f t="shared" si="123"/>
        <v>0</v>
      </c>
      <c r="Q168" s="525">
        <f t="shared" si="124"/>
        <v>0</v>
      </c>
      <c r="R168" s="525">
        <f t="shared" si="125"/>
        <v>0</v>
      </c>
      <c r="S168" s="525">
        <f t="shared" si="126"/>
        <v>0</v>
      </c>
      <c r="U168" s="525">
        <f>U$164*$G168</f>
        <v>0.63800000000000001</v>
      </c>
      <c r="V168" s="525">
        <f t="shared" si="130"/>
        <v>0.63800000000000001</v>
      </c>
      <c r="W168" s="525">
        <f t="shared" si="130"/>
        <v>0</v>
      </c>
      <c r="X168" s="525">
        <f t="shared" si="130"/>
        <v>0</v>
      </c>
      <c r="Y168" s="525">
        <f t="shared" si="130"/>
        <v>0</v>
      </c>
      <c r="Z168" s="525">
        <f t="shared" si="130"/>
        <v>0</v>
      </c>
      <c r="AA168" s="525">
        <f t="shared" si="130"/>
        <v>0</v>
      </c>
      <c r="AB168" s="525">
        <f t="shared" si="130"/>
        <v>0</v>
      </c>
      <c r="AD168" s="405">
        <f t="shared" si="113"/>
        <v>1500</v>
      </c>
      <c r="AE168" s="525">
        <f t="shared" si="114"/>
        <v>957</v>
      </c>
      <c r="AF168" s="525">
        <f t="shared" si="115"/>
        <v>957</v>
      </c>
      <c r="AG168" s="525">
        <f t="shared" si="116"/>
        <v>0</v>
      </c>
      <c r="AH168" s="525">
        <f t="shared" si="117"/>
        <v>0</v>
      </c>
      <c r="AI168" s="525">
        <f t="shared" si="118"/>
        <v>0</v>
      </c>
      <c r="AJ168" s="525">
        <f t="shared" si="119"/>
        <v>0</v>
      </c>
      <c r="AK168" s="525">
        <f t="shared" si="120"/>
        <v>0</v>
      </c>
      <c r="AL168" s="525">
        <f t="shared" si="121"/>
        <v>0</v>
      </c>
    </row>
    <row r="169" spans="1:38">
      <c r="A169" s="618"/>
      <c r="B169" s="618" t="s">
        <v>3509</v>
      </c>
      <c r="C169" s="619">
        <f t="shared" si="128"/>
        <v>1</v>
      </c>
      <c r="D169" s="523">
        <f>VLOOKUP(B169,DONGIA,DG!$B$6,0)</f>
        <v>0</v>
      </c>
      <c r="E169" s="666" t="str">
        <f>VLOOKUP(B169,DONGIA,DG!$C$6,0)</f>
        <v>Đinh: 15kg/100m2 ván khuôn</v>
      </c>
      <c r="F169" s="523" t="str">
        <f>VLOOKUP(B169,DONGIA,DG!$D$6,0)</f>
        <v>kg</v>
      </c>
      <c r="G169" s="626">
        <f>ROUND(G173*15/100,2)</f>
        <v>0.48</v>
      </c>
      <c r="H169" s="525"/>
      <c r="I169" s="525">
        <f>VLOOKUP($B169,DONGIA,DG!$E$6,0)</f>
        <v>25000</v>
      </c>
      <c r="J169" s="525"/>
      <c r="K169" s="525">
        <f>VLOOKUP($B169,DONGIA,DG!$F$6,0)</f>
        <v>0</v>
      </c>
      <c r="L169" s="525"/>
      <c r="M169" s="525">
        <f>VLOOKUP($B169,DONGIA,DG!$G$6,0)</f>
        <v>0</v>
      </c>
      <c r="N169" s="525">
        <f t="shared" si="129"/>
        <v>0</v>
      </c>
      <c r="O169" s="525">
        <f t="shared" si="122"/>
        <v>12000</v>
      </c>
      <c r="P169" s="525">
        <f t="shared" si="123"/>
        <v>0</v>
      </c>
      <c r="Q169" s="525">
        <f t="shared" si="124"/>
        <v>0</v>
      </c>
      <c r="R169" s="525">
        <f t="shared" si="125"/>
        <v>0</v>
      </c>
      <c r="S169" s="525">
        <f t="shared" si="126"/>
        <v>0</v>
      </c>
      <c r="U169" s="404"/>
      <c r="V169" s="404"/>
      <c r="W169" s="404"/>
      <c r="X169" s="404"/>
      <c r="Y169" s="404"/>
      <c r="Z169" s="404"/>
      <c r="AA169" s="404"/>
      <c r="AB169" s="404"/>
      <c r="AE169" s="404"/>
      <c r="AF169" s="404"/>
      <c r="AG169" s="404"/>
      <c r="AH169" s="404"/>
      <c r="AI169" s="404"/>
      <c r="AJ169" s="404"/>
      <c r="AK169" s="404"/>
      <c r="AL169" s="404"/>
    </row>
    <row r="170" spans="1:38">
      <c r="A170" s="618"/>
      <c r="B170" s="618" t="s">
        <v>3505</v>
      </c>
      <c r="C170" s="619">
        <f t="shared" si="128"/>
        <v>1</v>
      </c>
      <c r="D170" s="523">
        <f>VLOOKUP(B170,DONGIA,DG!$B$6,0)</f>
        <v>0</v>
      </c>
      <c r="E170" s="666" t="str">
        <f>VLOOKUP(B170,DONGIA,DG!$C$6,0)</f>
        <v>Gỗ chống: 0,335 m3/100m2 ván khuôn</v>
      </c>
      <c r="F170" s="523" t="str">
        <f>VLOOKUP(B170,DONGIA,DG!$D$6,0)</f>
        <v>m3</v>
      </c>
      <c r="G170" s="845">
        <f>ROUND(G173*0.335/100,4)</f>
        <v>1.0699999999999999E-2</v>
      </c>
      <c r="H170" s="525"/>
      <c r="I170" s="525">
        <f>VLOOKUP($B170,DONGIA,DG!$E$6,0)</f>
        <v>3800000</v>
      </c>
      <c r="J170" s="525"/>
      <c r="K170" s="525">
        <f>VLOOKUP($B170,DONGIA,DG!$F$6,0)</f>
        <v>0</v>
      </c>
      <c r="L170" s="525"/>
      <c r="M170" s="525">
        <f>VLOOKUP($B170,DONGIA,DG!$G$6,0)</f>
        <v>0</v>
      </c>
      <c r="N170" s="525">
        <f t="shared" si="129"/>
        <v>0</v>
      </c>
      <c r="O170" s="525">
        <f t="shared" si="122"/>
        <v>40660</v>
      </c>
      <c r="P170" s="525">
        <f t="shared" si="123"/>
        <v>0</v>
      </c>
      <c r="Q170" s="525">
        <f t="shared" si="124"/>
        <v>0</v>
      </c>
      <c r="R170" s="525">
        <f t="shared" si="125"/>
        <v>0</v>
      </c>
      <c r="S170" s="525">
        <f t="shared" si="126"/>
        <v>0</v>
      </c>
      <c r="U170" s="404"/>
      <c r="V170" s="404"/>
      <c r="W170" s="404"/>
      <c r="X170" s="404"/>
      <c r="Y170" s="404"/>
      <c r="Z170" s="404"/>
      <c r="AA170" s="404"/>
      <c r="AB170" s="404"/>
      <c r="AE170" s="404"/>
      <c r="AF170" s="404"/>
      <c r="AG170" s="404"/>
      <c r="AH170" s="404"/>
      <c r="AI170" s="404"/>
      <c r="AJ170" s="404"/>
      <c r="AK170" s="404"/>
      <c r="AL170" s="404"/>
    </row>
    <row r="171" spans="1:38">
      <c r="A171" s="618"/>
      <c r="B171" s="618" t="s">
        <v>3507</v>
      </c>
      <c r="C171" s="619">
        <f t="shared" si="128"/>
        <v>1</v>
      </c>
      <c r="D171" s="523">
        <f>VLOOKUP(B171,DONGIA,DG!$B$6,0)</f>
        <v>0</v>
      </c>
      <c r="E171" s="666" t="str">
        <f>VLOOKUP(B171,DONGIA,DG!$C$6,0)</f>
        <v>Gỗ đà nẹp: 0,21 m3/100m2 ván khuôn</v>
      </c>
      <c r="F171" s="523" t="str">
        <f>VLOOKUP(B171,DONGIA,DG!$D$6,0)</f>
        <v>m3</v>
      </c>
      <c r="G171" s="845">
        <f>ROUND(G173*0.21/100,4)</f>
        <v>6.7000000000000002E-3</v>
      </c>
      <c r="H171" s="525"/>
      <c r="I171" s="525">
        <f>VLOOKUP($B171,DONGIA,DG!$E$6,0)</f>
        <v>3800000</v>
      </c>
      <c r="J171" s="525"/>
      <c r="K171" s="525">
        <f>VLOOKUP($B171,DONGIA,DG!$F$6,0)</f>
        <v>0</v>
      </c>
      <c r="L171" s="525"/>
      <c r="M171" s="525">
        <f>VLOOKUP($B171,DONGIA,DG!$G$6,0)</f>
        <v>0</v>
      </c>
      <c r="N171" s="525">
        <f t="shared" si="129"/>
        <v>0</v>
      </c>
      <c r="O171" s="525">
        <f t="shared" si="122"/>
        <v>25460</v>
      </c>
      <c r="P171" s="525">
        <f t="shared" si="123"/>
        <v>0</v>
      </c>
      <c r="Q171" s="525">
        <f t="shared" si="124"/>
        <v>0</v>
      </c>
      <c r="R171" s="525">
        <f t="shared" si="125"/>
        <v>0</v>
      </c>
      <c r="S171" s="525">
        <f t="shared" si="126"/>
        <v>0</v>
      </c>
      <c r="U171" s="404"/>
      <c r="V171" s="404"/>
      <c r="W171" s="404"/>
      <c r="X171" s="404"/>
      <c r="Y171" s="404"/>
      <c r="Z171" s="404"/>
      <c r="AA171" s="404"/>
      <c r="AB171" s="404"/>
      <c r="AE171" s="404"/>
      <c r="AF171" s="404"/>
      <c r="AG171" s="404"/>
      <c r="AH171" s="404"/>
      <c r="AI171" s="404"/>
      <c r="AJ171" s="404"/>
      <c r="AK171" s="404"/>
      <c r="AL171" s="404"/>
    </row>
    <row r="172" spans="1:38">
      <c r="A172" s="618"/>
      <c r="B172" s="618" t="s">
        <v>3503</v>
      </c>
      <c r="C172" s="619">
        <f t="shared" si="128"/>
        <v>1</v>
      </c>
      <c r="D172" s="523">
        <f>VLOOKUP(B172,DONGIA,DG!$B$6,0)</f>
        <v>0</v>
      </c>
      <c r="E172" s="666" t="str">
        <f>VLOOKUP(B172,DONGIA,DG!$C$6,0)</f>
        <v>Gỗ ván (cả nẹp): 0,792 m3/100m2 ván khuôn</v>
      </c>
      <c r="F172" s="523" t="str">
        <f>VLOOKUP(B172,DONGIA,DG!$D$6,0)</f>
        <v>m3</v>
      </c>
      <c r="G172" s="845">
        <f>ROUND(G173*0.792/100,4)</f>
        <v>2.53E-2</v>
      </c>
      <c r="H172" s="525"/>
      <c r="I172" s="525">
        <f>VLOOKUP($B172,DONGIA,DG!$E$6,0)</f>
        <v>3800000</v>
      </c>
      <c r="J172" s="525"/>
      <c r="K172" s="525">
        <f>VLOOKUP($B172,DONGIA,DG!$F$6,0)</f>
        <v>0</v>
      </c>
      <c r="L172" s="525"/>
      <c r="M172" s="525">
        <f>VLOOKUP($B172,DONGIA,DG!$G$6,0)</f>
        <v>0</v>
      </c>
      <c r="N172" s="525">
        <f t="shared" si="129"/>
        <v>0</v>
      </c>
      <c r="O172" s="525">
        <f t="shared" si="122"/>
        <v>96140</v>
      </c>
      <c r="P172" s="525">
        <f t="shared" si="123"/>
        <v>0</v>
      </c>
      <c r="Q172" s="525">
        <f t="shared" si="124"/>
        <v>0</v>
      </c>
      <c r="R172" s="525">
        <f t="shared" si="125"/>
        <v>0</v>
      </c>
      <c r="S172" s="525">
        <f t="shared" si="126"/>
        <v>0</v>
      </c>
      <c r="U172" s="404"/>
      <c r="V172" s="404"/>
      <c r="W172" s="404"/>
      <c r="X172" s="404"/>
      <c r="Y172" s="404"/>
      <c r="Z172" s="404"/>
      <c r="AA172" s="404"/>
      <c r="AB172" s="404"/>
      <c r="AE172" s="404"/>
      <c r="AF172" s="404"/>
      <c r="AG172" s="404"/>
      <c r="AH172" s="404"/>
      <c r="AI172" s="404"/>
      <c r="AJ172" s="404"/>
      <c r="AK172" s="404"/>
      <c r="AL172" s="404"/>
    </row>
    <row r="173" spans="1:38">
      <c r="A173" s="618"/>
      <c r="B173" s="618" t="s">
        <v>3511</v>
      </c>
      <c r="C173" s="619">
        <f t="shared" si="128"/>
        <v>1</v>
      </c>
      <c r="D173" s="523" t="str">
        <f>VLOOKUP(B173,DONGIA,DG!$B$6,0)</f>
        <v>AF.81122</v>
      </c>
      <c r="E173" s="666" t="str">
        <f>VLOOKUP(B173,DONGIA,DG!$C$6,0)</f>
        <v>Lắp ván khuôn gỗ móng - móng vuông, chữ nhật</v>
      </c>
      <c r="F173" s="523" t="str">
        <f>VLOOKUP(B173,DONGIA,DG!$D$6,0)</f>
        <v>m2</v>
      </c>
      <c r="G173" s="626">
        <f>ROUND(1*0.8*4,3)</f>
        <v>3.2</v>
      </c>
      <c r="H173" s="525">
        <f>VLOOKUP($B173,DONGIA,DG!$E$6,0)</f>
        <v>0</v>
      </c>
      <c r="I173" s="525"/>
      <c r="J173" s="525">
        <f>VLOOKUP($B173,DONGIA,DG!$F$6,0)</f>
        <v>57946</v>
      </c>
      <c r="K173" s="525"/>
      <c r="L173" s="525"/>
      <c r="M173" s="525">
        <f>VLOOKUP($B173,DONGIA,DG!$G$6,0)</f>
        <v>0</v>
      </c>
      <c r="N173" s="525">
        <f t="shared" si="129"/>
        <v>0</v>
      </c>
      <c r="O173" s="525">
        <f t="shared" si="122"/>
        <v>0</v>
      </c>
      <c r="P173" s="525">
        <f t="shared" si="123"/>
        <v>185427.20000000001</v>
      </c>
      <c r="Q173" s="525">
        <f t="shared" si="124"/>
        <v>0</v>
      </c>
      <c r="R173" s="525">
        <f t="shared" si="125"/>
        <v>0</v>
      </c>
      <c r="S173" s="525">
        <f t="shared" si="126"/>
        <v>0</v>
      </c>
      <c r="U173" s="404"/>
      <c r="V173" s="404"/>
      <c r="W173" s="404"/>
      <c r="X173" s="404"/>
      <c r="Y173" s="404"/>
      <c r="Z173" s="404"/>
      <c r="AA173" s="404"/>
      <c r="AB173" s="404"/>
      <c r="AE173" s="404"/>
      <c r="AF173" s="404"/>
      <c r="AG173" s="404"/>
      <c r="AH173" s="404"/>
      <c r="AI173" s="404"/>
      <c r="AJ173" s="404"/>
      <c r="AK173" s="404"/>
      <c r="AL173" s="404"/>
    </row>
    <row r="174" spans="1:38">
      <c r="A174" s="618"/>
      <c r="B174" s="618" t="s">
        <v>491</v>
      </c>
      <c r="C174" s="619">
        <f t="shared" si="128"/>
        <v>1</v>
      </c>
      <c r="D174" s="523" t="str">
        <f>VLOOKUP(B174,DONGIA,DG!$B$6,0)</f>
        <v>AB.11413</v>
      </c>
      <c r="E174" s="666" t="str">
        <f>VLOOKUP(B174,DONGIA,DG!$C$6,0)</f>
        <v>Đào hố móng đất cấp 3 sâu ≤1m (rộng ≤1m)</v>
      </c>
      <c r="F174" s="523" t="str">
        <f>VLOOKUP(B174,DONGIA,DG!$D$6,0)</f>
        <v>m3</v>
      </c>
      <c r="G174" s="626">
        <v>0.4</v>
      </c>
      <c r="H174" s="525"/>
      <c r="I174" s="525"/>
      <c r="J174" s="525">
        <f>VLOOKUP($B174,DONGIA,DG!$F$6,0)</f>
        <v>340001</v>
      </c>
      <c r="K174" s="525"/>
      <c r="L174" s="525">
        <f>VLOOKUP($B174,DONGIA,DG!$G$6,0)</f>
        <v>0</v>
      </c>
      <c r="M174" s="525"/>
      <c r="N174" s="525">
        <f t="shared" si="129"/>
        <v>0</v>
      </c>
      <c r="O174" s="525">
        <f t="shared" si="122"/>
        <v>0</v>
      </c>
      <c r="P174" s="525">
        <f>$G174*J174</f>
        <v>136000.4</v>
      </c>
      <c r="Q174" s="525">
        <f t="shared" si="124"/>
        <v>0</v>
      </c>
      <c r="R174" s="525">
        <f t="shared" si="125"/>
        <v>0</v>
      </c>
      <c r="S174" s="525">
        <f t="shared" si="126"/>
        <v>0</v>
      </c>
      <c r="U174" s="525"/>
      <c r="V174" s="525"/>
      <c r="W174" s="525"/>
      <c r="X174" s="525"/>
      <c r="Y174" s="525"/>
      <c r="Z174" s="525"/>
      <c r="AA174" s="525"/>
      <c r="AB174" s="525">
        <f>AB$164*$G174</f>
        <v>0</v>
      </c>
      <c r="AD174" s="405">
        <f t="shared" si="113"/>
        <v>0</v>
      </c>
      <c r="AE174" s="525">
        <f t="shared" si="114"/>
        <v>0</v>
      </c>
      <c r="AF174" s="525">
        <f t="shared" si="115"/>
        <v>0</v>
      </c>
      <c r="AG174" s="525">
        <f t="shared" si="116"/>
        <v>0</v>
      </c>
      <c r="AH174" s="525">
        <f t="shared" si="117"/>
        <v>0</v>
      </c>
      <c r="AI174" s="525">
        <f t="shared" si="118"/>
        <v>0</v>
      </c>
      <c r="AJ174" s="525">
        <f t="shared" si="119"/>
        <v>0</v>
      </c>
      <c r="AK174" s="525">
        <f t="shared" si="120"/>
        <v>0</v>
      </c>
      <c r="AL174" s="525">
        <f t="shared" si="121"/>
        <v>0</v>
      </c>
    </row>
    <row r="175" spans="1:38">
      <c r="A175" s="618"/>
      <c r="B175" s="618" t="s">
        <v>3823</v>
      </c>
      <c r="C175" s="619">
        <f t="shared" si="128"/>
        <v>1</v>
      </c>
      <c r="D175" s="523" t="str">
        <f>VLOOKUP(B175,DONGIA,DG!$B$6,0)</f>
        <v>AB.51613</v>
      </c>
      <c r="E175" s="666" t="str">
        <f>VLOOKUP(B175,DONGIA,DG!$C$6,0)</f>
        <v>Phá đá chân hố móng, đá cấp III (bằng búa căn)</v>
      </c>
      <c r="F175" s="523" t="str">
        <f>VLOOKUP(B175,DONGIA,DG!$D$6,0)</f>
        <v>m3</v>
      </c>
      <c r="G175" s="626">
        <v>1.04</v>
      </c>
      <c r="H175" s="525"/>
      <c r="I175" s="525"/>
      <c r="J175" s="525">
        <f>VLOOKUP($B175,DONGIA,DG!$F$6,0)</f>
        <v>296545</v>
      </c>
      <c r="K175" s="525"/>
      <c r="L175" s="525">
        <f>VLOOKUP($B175,DONGIA,DG!$G$6,0)</f>
        <v>525018</v>
      </c>
      <c r="M175" s="525"/>
      <c r="N175" s="525">
        <f t="shared" ref="N175:S175" si="131">$G175*H175</f>
        <v>0</v>
      </c>
      <c r="O175" s="525">
        <f t="shared" si="131"/>
        <v>0</v>
      </c>
      <c r="P175" s="525">
        <f t="shared" si="131"/>
        <v>308406.8</v>
      </c>
      <c r="Q175" s="525">
        <f t="shared" si="131"/>
        <v>0</v>
      </c>
      <c r="R175" s="525">
        <f t="shared" si="131"/>
        <v>546018.72</v>
      </c>
      <c r="S175" s="525">
        <f t="shared" si="131"/>
        <v>0</v>
      </c>
      <c r="U175" s="525"/>
      <c r="V175" s="525"/>
      <c r="W175" s="525"/>
      <c r="X175" s="525"/>
      <c r="Y175" s="525"/>
      <c r="Z175" s="525"/>
      <c r="AA175" s="525"/>
      <c r="AB175" s="525">
        <f>AB$164*$G175</f>
        <v>0</v>
      </c>
      <c r="AD175" s="405">
        <f>IFERROR(VLOOKUP(B175,DONGIA,$AD$3,0),0)</f>
        <v>0</v>
      </c>
      <c r="AE175" s="525">
        <f t="shared" ref="AE175:AL175" si="132">U175*$AD175</f>
        <v>0</v>
      </c>
      <c r="AF175" s="525">
        <f t="shared" si="132"/>
        <v>0</v>
      </c>
      <c r="AG175" s="525">
        <f t="shared" si="132"/>
        <v>0</v>
      </c>
      <c r="AH175" s="525">
        <f t="shared" si="132"/>
        <v>0</v>
      </c>
      <c r="AI175" s="525">
        <f t="shared" si="132"/>
        <v>0</v>
      </c>
      <c r="AJ175" s="525">
        <f t="shared" si="132"/>
        <v>0</v>
      </c>
      <c r="AK175" s="525">
        <f t="shared" si="132"/>
        <v>0</v>
      </c>
      <c r="AL175" s="525">
        <f t="shared" si="132"/>
        <v>0</v>
      </c>
    </row>
    <row r="176" spans="1:38">
      <c r="A176" s="618"/>
      <c r="B176" s="618" t="s">
        <v>510</v>
      </c>
      <c r="C176" s="619">
        <f t="shared" si="128"/>
        <v>1</v>
      </c>
      <c r="D176" s="523" t="str">
        <f>VLOOKUP(B176,DONGIA,DG!$B$6,0)</f>
        <v>AB.65110</v>
      </c>
      <c r="E176" s="666" t="str">
        <f>VLOOKUP(B176,DONGIA,DG!$C$6,0)</f>
        <v>Đắp đất hố móng (K=0,85)</v>
      </c>
      <c r="F176" s="523" t="str">
        <f>VLOOKUP(B176,DONGIA,DG!$D$6,0)</f>
        <v>m3</v>
      </c>
      <c r="G176" s="626">
        <v>0.54400000000000004</v>
      </c>
      <c r="H176" s="525"/>
      <c r="I176" s="525"/>
      <c r="J176" s="525">
        <f>VLOOKUP($B176,DONGIA,DG!$F$6,0)</f>
        <v>16267</v>
      </c>
      <c r="K176" s="525"/>
      <c r="L176" s="525">
        <f>VLOOKUP($B176,DONGIA,DG!$G$6,0)</f>
        <v>11176</v>
      </c>
      <c r="M176" s="525"/>
      <c r="N176" s="525">
        <f t="shared" si="129"/>
        <v>0</v>
      </c>
      <c r="O176" s="525">
        <f t="shared" si="122"/>
        <v>0</v>
      </c>
      <c r="P176" s="525">
        <f t="shared" si="123"/>
        <v>8849.2480000000014</v>
      </c>
      <c r="Q176" s="525">
        <f t="shared" si="124"/>
        <v>0</v>
      </c>
      <c r="R176" s="525">
        <f t="shared" si="125"/>
        <v>6079.7440000000006</v>
      </c>
      <c r="S176" s="525">
        <f t="shared" si="126"/>
        <v>0</v>
      </c>
      <c r="U176" s="525"/>
      <c r="V176" s="525"/>
      <c r="W176" s="525"/>
      <c r="X176" s="525"/>
      <c r="Y176" s="525"/>
      <c r="Z176" s="525"/>
      <c r="AA176" s="525"/>
      <c r="AB176" s="525">
        <f>AB$164*$G176</f>
        <v>0</v>
      </c>
      <c r="AD176" s="405">
        <f t="shared" si="113"/>
        <v>0</v>
      </c>
      <c r="AE176" s="525">
        <f t="shared" si="114"/>
        <v>0</v>
      </c>
      <c r="AF176" s="525">
        <f t="shared" si="115"/>
        <v>0</v>
      </c>
      <c r="AG176" s="525">
        <f t="shared" si="116"/>
        <v>0</v>
      </c>
      <c r="AH176" s="525">
        <f t="shared" si="117"/>
        <v>0</v>
      </c>
      <c r="AI176" s="525">
        <f t="shared" si="118"/>
        <v>0</v>
      </c>
      <c r="AJ176" s="525">
        <f t="shared" si="119"/>
        <v>0</v>
      </c>
      <c r="AK176" s="525">
        <f t="shared" si="120"/>
        <v>0</v>
      </c>
      <c r="AL176" s="525">
        <f t="shared" si="121"/>
        <v>0</v>
      </c>
    </row>
    <row r="177" spans="1:38">
      <c r="A177" s="618"/>
      <c r="B177" s="618" t="s">
        <v>713</v>
      </c>
      <c r="C177" s="619">
        <f t="shared" si="128"/>
        <v>1</v>
      </c>
      <c r="D177" s="523" t="str">
        <f>VLOOKUP(B177,DONGIA,DG!$B$6,0)</f>
        <v>AF.11210</v>
      </c>
      <c r="E177" s="666" t="str">
        <f>VLOOKUP(B177,DONGIA,DG!$C$6,0)</f>
        <v>Đổ bê tông mác M200 đá 1x2</v>
      </c>
      <c r="F177" s="523" t="str">
        <f>VLOOKUP(B177,DONGIA,DG!$D$6,0)</f>
        <v>m3</v>
      </c>
      <c r="G177" s="626">
        <v>0.72299999999999998</v>
      </c>
      <c r="H177" s="525"/>
      <c r="I177" s="525"/>
      <c r="J177" s="525">
        <f>VLOOKUP($B177,DONGIA,DG!$F$6,0)</f>
        <v>293475</v>
      </c>
      <c r="K177" s="525"/>
      <c r="L177" s="525">
        <f>VLOOKUP($B177,DONGIA,DG!$G$6,0)</f>
        <v>44701</v>
      </c>
      <c r="M177" s="525"/>
      <c r="N177" s="525">
        <f t="shared" si="129"/>
        <v>0</v>
      </c>
      <c r="O177" s="525">
        <f t="shared" si="122"/>
        <v>0</v>
      </c>
      <c r="P177" s="525">
        <f>$G177*J177</f>
        <v>212182.42499999999</v>
      </c>
      <c r="Q177" s="525">
        <f t="shared" si="124"/>
        <v>0</v>
      </c>
      <c r="R177" s="525">
        <f>$G177*L177</f>
        <v>32318.823</v>
      </c>
      <c r="S177" s="525">
        <f t="shared" si="126"/>
        <v>0</v>
      </c>
      <c r="U177" s="525"/>
      <c r="V177" s="525"/>
      <c r="W177" s="525"/>
      <c r="X177" s="525"/>
      <c r="Y177" s="525"/>
      <c r="Z177" s="525"/>
      <c r="AA177" s="525"/>
      <c r="AB177" s="525"/>
      <c r="AD177" s="405">
        <f t="shared" si="113"/>
        <v>0</v>
      </c>
      <c r="AE177" s="525">
        <f t="shared" si="114"/>
        <v>0</v>
      </c>
      <c r="AF177" s="525">
        <f t="shared" si="115"/>
        <v>0</v>
      </c>
      <c r="AG177" s="525">
        <f t="shared" si="116"/>
        <v>0</v>
      </c>
      <c r="AH177" s="525">
        <f t="shared" si="117"/>
        <v>0</v>
      </c>
      <c r="AI177" s="525">
        <f t="shared" si="118"/>
        <v>0</v>
      </c>
      <c r="AJ177" s="525">
        <f t="shared" si="119"/>
        <v>0</v>
      </c>
      <c r="AK177" s="525">
        <f t="shared" si="120"/>
        <v>0</v>
      </c>
      <c r="AL177" s="525">
        <f t="shared" si="121"/>
        <v>0</v>
      </c>
    </row>
    <row r="178" spans="1:38">
      <c r="A178" s="618" t="s">
        <v>1486</v>
      </c>
      <c r="B178" s="618"/>
      <c r="C178" s="619">
        <f>IF(G178&lt;&gt;0,1,)</f>
        <v>1</v>
      </c>
      <c r="D178" s="622"/>
      <c r="E178" s="733" t="s">
        <v>1654</v>
      </c>
      <c r="F178" s="622" t="s">
        <v>1633</v>
      </c>
      <c r="G178" s="622">
        <f>U178</f>
        <v>71</v>
      </c>
      <c r="H178" s="623"/>
      <c r="I178" s="623"/>
      <c r="J178" s="623"/>
      <c r="K178" s="623"/>
      <c r="L178" s="623"/>
      <c r="M178" s="623"/>
      <c r="N178" s="623">
        <f t="shared" ref="N178:S178" si="133">SUM(N180:N194)</f>
        <v>147000</v>
      </c>
      <c r="O178" s="623">
        <f t="shared" si="133"/>
        <v>1562258</v>
      </c>
      <c r="P178" s="623">
        <f t="shared" si="133"/>
        <v>1267918.8429999999</v>
      </c>
      <c r="Q178" s="623">
        <f t="shared" si="133"/>
        <v>0</v>
      </c>
      <c r="R178" s="623">
        <f t="shared" si="133"/>
        <v>65945.472000000009</v>
      </c>
      <c r="S178" s="623">
        <f t="shared" si="133"/>
        <v>0</v>
      </c>
      <c r="U178" s="623">
        <f>SUM(V178:AB178)</f>
        <v>71</v>
      </c>
      <c r="V178" s="623">
        <f>IFERROR(HLOOKUP($A178,BK3P,V$3,0),)</f>
        <v>71</v>
      </c>
      <c r="W178" s="623">
        <f>IFERROR(HLOOKUP($A178,BK3P,W$3,0),)</f>
        <v>0</v>
      </c>
      <c r="X178" s="623">
        <f>IFERROR(HLOOKUP($A178,BK3P,X$3,0),)</f>
        <v>0</v>
      </c>
      <c r="Y178" s="623">
        <f>IFERROR(HLOOKUP($A178,BK1P,Y$3,0),)</f>
        <v>0</v>
      </c>
      <c r="Z178" s="623">
        <f>IFERROR(HLOOKUP($A178,BK1P,Z$3,0),)</f>
        <v>0</v>
      </c>
      <c r="AA178" s="623">
        <f>IFERROR(HLOOKUP($A178,BK1P,AA$3,0),)</f>
        <v>0</v>
      </c>
      <c r="AB178" s="623">
        <f>IFERROR(HLOOKUP($A178,BKHT,AB$3,0),)</f>
        <v>0</v>
      </c>
      <c r="AD178" s="405">
        <f t="shared" ref="AD178:AD186" si="134">IFERROR(VLOOKUP(B178,DONGIA,$AD$3,0),0)</f>
        <v>0</v>
      </c>
      <c r="AE178" s="525">
        <f t="shared" ref="AE178:AE186" si="135">U178*$AD178</f>
        <v>0</v>
      </c>
      <c r="AF178" s="525">
        <f t="shared" ref="AF178:AF186" si="136">V178*$AD178</f>
        <v>0</v>
      </c>
      <c r="AG178" s="525">
        <f t="shared" ref="AG178:AG186" si="137">W178*$AD178</f>
        <v>0</v>
      </c>
      <c r="AH178" s="525">
        <f t="shared" ref="AH178:AH186" si="138">X178*$AD178</f>
        <v>0</v>
      </c>
      <c r="AI178" s="525">
        <f t="shared" ref="AI178:AI186" si="139">Y178*$AD178</f>
        <v>0</v>
      </c>
      <c r="AJ178" s="525">
        <f t="shared" ref="AJ178:AJ186" si="140">Z178*$AD178</f>
        <v>0</v>
      </c>
      <c r="AK178" s="525">
        <f t="shared" ref="AK178:AK186" si="141">AA178*$AD178</f>
        <v>0</v>
      </c>
      <c r="AL178" s="525">
        <f t="shared" ref="AL178:AL186" si="142">AB178*$AD178</f>
        <v>0</v>
      </c>
    </row>
    <row r="179" spans="1:38" s="542" customFormat="1">
      <c r="A179" s="624"/>
      <c r="B179" s="624"/>
      <c r="C179" s="625">
        <f>C178</f>
        <v>1</v>
      </c>
      <c r="D179" s="544"/>
      <c r="E179" s="734" t="s">
        <v>1644</v>
      </c>
      <c r="F179" s="544"/>
      <c r="G179" s="545"/>
      <c r="H179" s="545"/>
      <c r="I179" s="545"/>
      <c r="J179" s="545"/>
      <c r="K179" s="545"/>
      <c r="L179" s="545"/>
      <c r="M179" s="545"/>
      <c r="N179" s="545"/>
      <c r="O179" s="545"/>
      <c r="P179" s="545"/>
      <c r="Q179" s="545"/>
      <c r="R179" s="545"/>
      <c r="S179" s="545"/>
      <c r="U179" s="545"/>
      <c r="V179" s="545"/>
      <c r="W179" s="545"/>
      <c r="X179" s="545"/>
      <c r="Y179" s="545"/>
      <c r="Z179" s="545"/>
      <c r="AA179" s="545"/>
      <c r="AB179" s="545"/>
      <c r="AD179" s="405">
        <f t="shared" si="134"/>
        <v>0</v>
      </c>
      <c r="AE179" s="525">
        <f t="shared" si="135"/>
        <v>0</v>
      </c>
      <c r="AF179" s="525">
        <f t="shared" si="136"/>
        <v>0</v>
      </c>
      <c r="AG179" s="525">
        <f t="shared" si="137"/>
        <v>0</v>
      </c>
      <c r="AH179" s="525">
        <f t="shared" si="138"/>
        <v>0</v>
      </c>
      <c r="AI179" s="525">
        <f t="shared" si="139"/>
        <v>0</v>
      </c>
      <c r="AJ179" s="525">
        <f t="shared" si="140"/>
        <v>0</v>
      </c>
      <c r="AK179" s="525">
        <f t="shared" si="141"/>
        <v>0</v>
      </c>
      <c r="AL179" s="525">
        <f t="shared" si="142"/>
        <v>0</v>
      </c>
    </row>
    <row r="180" spans="1:38">
      <c r="A180" s="618"/>
      <c r="B180" s="618" t="s">
        <v>1639</v>
      </c>
      <c r="C180" s="619">
        <f>IF(G180&lt;&gt;0,$C$178,)</f>
        <v>1</v>
      </c>
      <c r="D180" s="523">
        <f>VLOOKUP(B180,DONGIA,DG!$B$6,0)</f>
        <v>0</v>
      </c>
      <c r="E180" s="666" t="str">
        <f>VLOOKUP(B180,DONGIA,DG!$C$6,0)</f>
        <v>Xi măng</v>
      </c>
      <c r="F180" s="523" t="str">
        <f>VLOOKUP(B180,DONGIA,DG!$D$6,0)</f>
        <v>kg</v>
      </c>
      <c r="G180" s="549">
        <f>ROUND(G194*281,1)</f>
        <v>384.4</v>
      </c>
      <c r="H180" s="525"/>
      <c r="I180" s="525">
        <f>VLOOKUP($B180,DONGIA,DG!$E$6,0)</f>
        <v>1760</v>
      </c>
      <c r="J180" s="525">
        <f>VLOOKUP($B180,DONGIA,DG!$F$6,0)</f>
        <v>0</v>
      </c>
      <c r="K180" s="525"/>
      <c r="L180" s="525">
        <f>VLOOKUP($B180,DONGIA,DG!$G$6,0)</f>
        <v>0</v>
      </c>
      <c r="M180" s="525"/>
      <c r="N180" s="525">
        <f>$G180*H180</f>
        <v>0</v>
      </c>
      <c r="O180" s="525">
        <f t="shared" ref="O180:S194" si="143">$G180*I180</f>
        <v>676544</v>
      </c>
      <c r="P180" s="525">
        <f t="shared" si="143"/>
        <v>0</v>
      </c>
      <c r="Q180" s="525">
        <f t="shared" si="143"/>
        <v>0</v>
      </c>
      <c r="R180" s="525">
        <f t="shared" si="143"/>
        <v>0</v>
      </c>
      <c r="S180" s="525">
        <f t="shared" si="143"/>
        <v>0</v>
      </c>
      <c r="U180" s="525">
        <f>U$178*$G180</f>
        <v>27292.399999999998</v>
      </c>
      <c r="V180" s="525">
        <f t="shared" ref="V180:AB180" si="144">V$178*$G180</f>
        <v>27292.399999999998</v>
      </c>
      <c r="W180" s="525">
        <f t="shared" si="144"/>
        <v>0</v>
      </c>
      <c r="X180" s="525">
        <f t="shared" si="144"/>
        <v>0</v>
      </c>
      <c r="Y180" s="525">
        <f t="shared" si="144"/>
        <v>0</v>
      </c>
      <c r="Z180" s="525">
        <f t="shared" si="144"/>
        <v>0</v>
      </c>
      <c r="AA180" s="525">
        <f t="shared" si="144"/>
        <v>0</v>
      </c>
      <c r="AB180" s="525">
        <f t="shared" si="144"/>
        <v>0</v>
      </c>
      <c r="AD180" s="405">
        <f t="shared" si="134"/>
        <v>1</v>
      </c>
      <c r="AE180" s="525">
        <f t="shared" si="135"/>
        <v>27292.399999999998</v>
      </c>
      <c r="AF180" s="525">
        <f t="shared" si="136"/>
        <v>27292.399999999998</v>
      </c>
      <c r="AG180" s="525">
        <f t="shared" si="137"/>
        <v>0</v>
      </c>
      <c r="AH180" s="525">
        <f t="shared" si="138"/>
        <v>0</v>
      </c>
      <c r="AI180" s="525">
        <f t="shared" si="139"/>
        <v>0</v>
      </c>
      <c r="AJ180" s="525">
        <f t="shared" si="140"/>
        <v>0</v>
      </c>
      <c r="AK180" s="525">
        <f t="shared" si="141"/>
        <v>0</v>
      </c>
      <c r="AL180" s="525">
        <f t="shared" si="142"/>
        <v>0</v>
      </c>
    </row>
    <row r="181" spans="1:38">
      <c r="A181" s="618"/>
      <c r="B181" s="618" t="s">
        <v>471</v>
      </c>
      <c r="C181" s="619">
        <f t="shared" ref="C181:C192" si="145">IF(G181&lt;&gt;0,$C$178,)</f>
        <v>1</v>
      </c>
      <c r="D181" s="523">
        <f>VLOOKUP(B181,DONGIA,DG!$B$6,0)</f>
        <v>0</v>
      </c>
      <c r="E181" s="666" t="str">
        <f>VLOOKUP(B181,DONGIA,DG!$C$6,0)</f>
        <v>Cát vàng</v>
      </c>
      <c r="F181" s="523" t="str">
        <f>VLOOKUP(B181,DONGIA,DG!$D$6,0)</f>
        <v>m3</v>
      </c>
      <c r="G181" s="626">
        <f>ROUND(G194*0.477,3)</f>
        <v>0.65300000000000002</v>
      </c>
      <c r="H181" s="525"/>
      <c r="I181" s="525">
        <f>VLOOKUP($B181,DONGIA,DG!$E$6,0)</f>
        <v>350000</v>
      </c>
      <c r="J181" s="525">
        <f>VLOOKUP($B181,DONGIA,DG!$F$6,0)</f>
        <v>0</v>
      </c>
      <c r="K181" s="525"/>
      <c r="L181" s="525">
        <f>VLOOKUP($B181,DONGIA,DG!$G$6,0)</f>
        <v>0</v>
      </c>
      <c r="M181" s="525"/>
      <c r="N181" s="525">
        <f t="shared" ref="N181:N194" si="146">$G181*H181</f>
        <v>0</v>
      </c>
      <c r="O181" s="525">
        <f t="shared" si="143"/>
        <v>228550</v>
      </c>
      <c r="P181" s="525">
        <f t="shared" si="143"/>
        <v>0</v>
      </c>
      <c r="Q181" s="525">
        <f t="shared" si="143"/>
        <v>0</v>
      </c>
      <c r="R181" s="525">
        <f t="shared" si="143"/>
        <v>0</v>
      </c>
      <c r="S181" s="525">
        <f t="shared" si="143"/>
        <v>0</v>
      </c>
      <c r="U181" s="525">
        <f t="shared" ref="U181:AB193" si="147">U$178*$G181</f>
        <v>46.363</v>
      </c>
      <c r="V181" s="525">
        <f t="shared" si="147"/>
        <v>46.363</v>
      </c>
      <c r="W181" s="525">
        <f t="shared" si="147"/>
        <v>0</v>
      </c>
      <c r="X181" s="525">
        <f t="shared" si="147"/>
        <v>0</v>
      </c>
      <c r="Y181" s="525">
        <f t="shared" si="147"/>
        <v>0</v>
      </c>
      <c r="Z181" s="525">
        <f t="shared" si="147"/>
        <v>0</v>
      </c>
      <c r="AA181" s="525">
        <f t="shared" si="147"/>
        <v>0</v>
      </c>
      <c r="AB181" s="525">
        <f t="shared" si="147"/>
        <v>0</v>
      </c>
      <c r="AD181" s="405">
        <f t="shared" si="134"/>
        <v>1500</v>
      </c>
      <c r="AE181" s="525">
        <f t="shared" si="135"/>
        <v>69544.5</v>
      </c>
      <c r="AF181" s="525">
        <f t="shared" si="136"/>
        <v>69544.5</v>
      </c>
      <c r="AG181" s="525">
        <f t="shared" si="137"/>
        <v>0</v>
      </c>
      <c r="AH181" s="525">
        <f t="shared" si="138"/>
        <v>0</v>
      </c>
      <c r="AI181" s="525">
        <f t="shared" si="139"/>
        <v>0</v>
      </c>
      <c r="AJ181" s="525">
        <f t="shared" si="140"/>
        <v>0</v>
      </c>
      <c r="AK181" s="525">
        <f t="shared" si="141"/>
        <v>0</v>
      </c>
      <c r="AL181" s="525">
        <f t="shared" si="142"/>
        <v>0</v>
      </c>
    </row>
    <row r="182" spans="1:38">
      <c r="A182" s="618"/>
      <c r="B182" s="618" t="s">
        <v>1640</v>
      </c>
      <c r="C182" s="619">
        <f t="shared" si="145"/>
        <v>1</v>
      </c>
      <c r="D182" s="523">
        <f>VLOOKUP(B182,DONGIA,DG!$B$6,0)</f>
        <v>0</v>
      </c>
      <c r="E182" s="666" t="str">
        <f>VLOOKUP(B182,DONGIA,DG!$C$6,0)</f>
        <v>Đá 1x2</v>
      </c>
      <c r="F182" s="523" t="str">
        <f>VLOOKUP(B182,DONGIA,DG!$D$6,0)</f>
        <v>m3</v>
      </c>
      <c r="G182" s="626">
        <f>ROUND(G194*0.882,3)</f>
        <v>1.2070000000000001</v>
      </c>
      <c r="H182" s="525"/>
      <c r="I182" s="525">
        <f>VLOOKUP($B182,DONGIA,DG!$E$6,0)</f>
        <v>342000</v>
      </c>
      <c r="J182" s="525">
        <f>VLOOKUP($B182,DONGIA,DG!$F$6,0)</f>
        <v>0</v>
      </c>
      <c r="K182" s="525"/>
      <c r="L182" s="525">
        <f>VLOOKUP($B182,DONGIA,DG!$G$6,0)</f>
        <v>0</v>
      </c>
      <c r="M182" s="525"/>
      <c r="N182" s="525">
        <f t="shared" si="146"/>
        <v>0</v>
      </c>
      <c r="O182" s="525">
        <f t="shared" si="143"/>
        <v>412794</v>
      </c>
      <c r="P182" s="525">
        <f t="shared" si="143"/>
        <v>0</v>
      </c>
      <c r="Q182" s="525">
        <f t="shared" si="143"/>
        <v>0</v>
      </c>
      <c r="R182" s="525">
        <f t="shared" si="143"/>
        <v>0</v>
      </c>
      <c r="S182" s="525">
        <f t="shared" si="143"/>
        <v>0</v>
      </c>
      <c r="U182" s="525">
        <f t="shared" si="147"/>
        <v>85.697000000000003</v>
      </c>
      <c r="V182" s="525">
        <f t="shared" si="147"/>
        <v>85.697000000000003</v>
      </c>
      <c r="W182" s="525">
        <f t="shared" si="147"/>
        <v>0</v>
      </c>
      <c r="X182" s="525">
        <f t="shared" si="147"/>
        <v>0</v>
      </c>
      <c r="Y182" s="525">
        <f t="shared" si="147"/>
        <v>0</v>
      </c>
      <c r="Z182" s="525">
        <f t="shared" si="147"/>
        <v>0</v>
      </c>
      <c r="AA182" s="525">
        <f t="shared" si="147"/>
        <v>0</v>
      </c>
      <c r="AB182" s="525">
        <f t="shared" si="147"/>
        <v>0</v>
      </c>
      <c r="AD182" s="405">
        <f t="shared" si="134"/>
        <v>1500</v>
      </c>
      <c r="AE182" s="525">
        <f t="shared" si="135"/>
        <v>128545.5</v>
      </c>
      <c r="AF182" s="525">
        <f t="shared" si="136"/>
        <v>128545.5</v>
      </c>
      <c r="AG182" s="525">
        <f t="shared" si="137"/>
        <v>0</v>
      </c>
      <c r="AH182" s="525">
        <f t="shared" si="138"/>
        <v>0</v>
      </c>
      <c r="AI182" s="525">
        <f t="shared" si="139"/>
        <v>0</v>
      </c>
      <c r="AJ182" s="525">
        <f t="shared" si="140"/>
        <v>0</v>
      </c>
      <c r="AK182" s="525">
        <f t="shared" si="141"/>
        <v>0</v>
      </c>
      <c r="AL182" s="525">
        <f t="shared" si="142"/>
        <v>0</v>
      </c>
    </row>
    <row r="183" spans="1:38" s="332" customFormat="1">
      <c r="A183" s="356"/>
      <c r="B183" s="356" t="s">
        <v>2014</v>
      </c>
      <c r="C183" s="619">
        <f t="shared" si="145"/>
        <v>0</v>
      </c>
      <c r="D183" s="341">
        <f>VLOOKUP(B183,DONGIA,DG!$B$6,0)</f>
        <v>0</v>
      </c>
      <c r="E183" s="340" t="str">
        <f>VLOOKUP(B183,DONGIA,DG!$C$6,0)</f>
        <v>Boulon 16x500VRS + 2 long đền vuông D18-50x50x3/Zn</v>
      </c>
      <c r="F183" s="341" t="str">
        <f>VLOOKUP(B183,DONGIA,DG!$D$6,0)</f>
        <v>bộ</v>
      </c>
      <c r="G183" s="340"/>
      <c r="H183" s="329">
        <f>VLOOKUP($B183,DONGIA,DG!$E$6,0)</f>
        <v>41000</v>
      </c>
      <c r="I183" s="329"/>
      <c r="J183" s="329"/>
      <c r="K183" s="329">
        <f>VLOOKUP($B183,DONGIA,DG!$F$6,0)</f>
        <v>0</v>
      </c>
      <c r="L183" s="329"/>
      <c r="M183" s="329">
        <f>VLOOKUP($B183,DONGIA,DG!$G$6,0)</f>
        <v>0</v>
      </c>
      <c r="N183" s="329">
        <f t="shared" si="146"/>
        <v>0</v>
      </c>
      <c r="O183" s="329">
        <f t="shared" si="143"/>
        <v>0</v>
      </c>
      <c r="P183" s="329">
        <f t="shared" si="143"/>
        <v>0</v>
      </c>
      <c r="Q183" s="329">
        <f t="shared" si="143"/>
        <v>0</v>
      </c>
      <c r="R183" s="329">
        <f t="shared" si="143"/>
        <v>0</v>
      </c>
      <c r="S183" s="329">
        <f t="shared" si="143"/>
        <v>0</v>
      </c>
      <c r="U183" s="329">
        <f t="shared" si="147"/>
        <v>0</v>
      </c>
      <c r="V183" s="329">
        <f t="shared" si="147"/>
        <v>0</v>
      </c>
      <c r="W183" s="329">
        <f t="shared" si="147"/>
        <v>0</v>
      </c>
      <c r="X183" s="329">
        <f t="shared" si="147"/>
        <v>0</v>
      </c>
      <c r="Y183" s="329">
        <f t="shared" si="147"/>
        <v>0</v>
      </c>
      <c r="Z183" s="329">
        <f t="shared" si="147"/>
        <v>0</v>
      </c>
      <c r="AA183" s="329">
        <f t="shared" si="147"/>
        <v>0</v>
      </c>
      <c r="AB183" s="329">
        <f t="shared" si="147"/>
        <v>0</v>
      </c>
      <c r="AD183" s="332">
        <f t="shared" si="134"/>
        <v>0.90000000000000024</v>
      </c>
      <c r="AE183" s="329">
        <f t="shared" si="135"/>
        <v>0</v>
      </c>
      <c r="AF183" s="329">
        <f t="shared" si="136"/>
        <v>0</v>
      </c>
      <c r="AG183" s="329">
        <f t="shared" si="137"/>
        <v>0</v>
      </c>
      <c r="AH183" s="329">
        <f t="shared" si="138"/>
        <v>0</v>
      </c>
      <c r="AI183" s="329">
        <f t="shared" si="139"/>
        <v>0</v>
      </c>
      <c r="AJ183" s="329">
        <f t="shared" si="140"/>
        <v>0</v>
      </c>
      <c r="AK183" s="329">
        <f t="shared" si="141"/>
        <v>0</v>
      </c>
      <c r="AL183" s="329">
        <f t="shared" si="142"/>
        <v>0</v>
      </c>
    </row>
    <row r="184" spans="1:38">
      <c r="A184" s="618"/>
      <c r="B184" s="618" t="s">
        <v>2015</v>
      </c>
      <c r="C184" s="619">
        <f t="shared" si="145"/>
        <v>1</v>
      </c>
      <c r="D184" s="523">
        <f>VLOOKUP(B184,DONGIA,DG!$B$6,0)</f>
        <v>0</v>
      </c>
      <c r="E184" s="666" t="str">
        <f>VLOOKUP(B184,DONGIA,DG!$C$6,0)</f>
        <v>Boulon 16x550VRS + 2 long đền vuông D18-50x50x3/Zn</v>
      </c>
      <c r="F184" s="523" t="str">
        <f>VLOOKUP(B184,DONGIA,DG!$D$6,0)</f>
        <v>bộ</v>
      </c>
      <c r="G184" s="525">
        <v>1</v>
      </c>
      <c r="H184" s="525">
        <f>VLOOKUP($B184,DONGIA,DG!$E$6,0)</f>
        <v>43000</v>
      </c>
      <c r="I184" s="525"/>
      <c r="J184" s="525"/>
      <c r="K184" s="525">
        <f>VLOOKUP($B184,DONGIA,DG!$F$6,0)</f>
        <v>0</v>
      </c>
      <c r="L184" s="525"/>
      <c r="M184" s="525">
        <f>VLOOKUP($B184,DONGIA,DG!$G$6,0)</f>
        <v>0</v>
      </c>
      <c r="N184" s="525">
        <f t="shared" si="146"/>
        <v>43000</v>
      </c>
      <c r="O184" s="525">
        <f t="shared" si="143"/>
        <v>0</v>
      </c>
      <c r="P184" s="525">
        <f t="shared" si="143"/>
        <v>0</v>
      </c>
      <c r="Q184" s="525">
        <f t="shared" si="143"/>
        <v>0</v>
      </c>
      <c r="R184" s="525">
        <f t="shared" si="143"/>
        <v>0</v>
      </c>
      <c r="S184" s="525">
        <f t="shared" si="143"/>
        <v>0</v>
      </c>
      <c r="U184" s="525">
        <f t="shared" si="147"/>
        <v>71</v>
      </c>
      <c r="V184" s="525">
        <f t="shared" si="147"/>
        <v>71</v>
      </c>
      <c r="W184" s="525">
        <f t="shared" si="147"/>
        <v>0</v>
      </c>
      <c r="X184" s="525">
        <f t="shared" si="147"/>
        <v>0</v>
      </c>
      <c r="Y184" s="525">
        <f t="shared" si="147"/>
        <v>0</v>
      </c>
      <c r="Z184" s="525">
        <f t="shared" si="147"/>
        <v>0</v>
      </c>
      <c r="AA184" s="525">
        <f t="shared" si="147"/>
        <v>0</v>
      </c>
      <c r="AB184" s="525">
        <f t="shared" si="147"/>
        <v>0</v>
      </c>
      <c r="AD184" s="405">
        <f t="shared" si="134"/>
        <v>0.95000000000000029</v>
      </c>
      <c r="AE184" s="525">
        <f t="shared" si="135"/>
        <v>67.450000000000017</v>
      </c>
      <c r="AF184" s="525">
        <f t="shared" si="136"/>
        <v>67.450000000000017</v>
      </c>
      <c r="AG184" s="525">
        <f t="shared" si="137"/>
        <v>0</v>
      </c>
      <c r="AH184" s="525">
        <f t="shared" si="138"/>
        <v>0</v>
      </c>
      <c r="AI184" s="525">
        <f t="shared" si="139"/>
        <v>0</v>
      </c>
      <c r="AJ184" s="525">
        <f t="shared" si="140"/>
        <v>0</v>
      </c>
      <c r="AK184" s="525">
        <f t="shared" si="141"/>
        <v>0</v>
      </c>
      <c r="AL184" s="525">
        <f t="shared" si="142"/>
        <v>0</v>
      </c>
    </row>
    <row r="185" spans="1:38">
      <c r="A185" s="618"/>
      <c r="B185" s="618" t="s">
        <v>2017</v>
      </c>
      <c r="C185" s="619">
        <f t="shared" si="145"/>
        <v>1</v>
      </c>
      <c r="D185" s="523">
        <f>VLOOKUP(B185,DONGIA,DG!$B$6,0)</f>
        <v>0</v>
      </c>
      <c r="E185" s="666" t="str">
        <f>VLOOKUP(B185,DONGIA,DG!$C$6,0)</f>
        <v>Boulon 16x650VRS + 2 long đền vuông D18-50x50x3/Zn</v>
      </c>
      <c r="F185" s="523" t="str">
        <f>VLOOKUP(B185,DONGIA,DG!$D$6,0)</f>
        <v>bộ</v>
      </c>
      <c r="G185" s="525">
        <v>1</v>
      </c>
      <c r="H185" s="525">
        <f>VLOOKUP($B185,DONGIA,DG!$E$6,0)</f>
        <v>49000</v>
      </c>
      <c r="I185" s="525"/>
      <c r="J185" s="525"/>
      <c r="K185" s="525">
        <f>VLOOKUP($B185,DONGIA,DG!$F$6,0)</f>
        <v>0</v>
      </c>
      <c r="L185" s="525"/>
      <c r="M185" s="525">
        <f>VLOOKUP($B185,DONGIA,DG!$G$6,0)</f>
        <v>0</v>
      </c>
      <c r="N185" s="525">
        <f t="shared" si="146"/>
        <v>49000</v>
      </c>
      <c r="O185" s="525">
        <f t="shared" si="143"/>
        <v>0</v>
      </c>
      <c r="P185" s="525">
        <f t="shared" si="143"/>
        <v>0</v>
      </c>
      <c r="Q185" s="525">
        <f t="shared" si="143"/>
        <v>0</v>
      </c>
      <c r="R185" s="525">
        <f t="shared" si="143"/>
        <v>0</v>
      </c>
      <c r="S185" s="525">
        <f t="shared" si="143"/>
        <v>0</v>
      </c>
      <c r="U185" s="525">
        <f t="shared" si="147"/>
        <v>71</v>
      </c>
      <c r="V185" s="525">
        <f t="shared" si="147"/>
        <v>71</v>
      </c>
      <c r="W185" s="525">
        <f t="shared" si="147"/>
        <v>0</v>
      </c>
      <c r="X185" s="525">
        <f t="shared" si="147"/>
        <v>0</v>
      </c>
      <c r="Y185" s="525">
        <f t="shared" si="147"/>
        <v>0</v>
      </c>
      <c r="Z185" s="525">
        <f t="shared" si="147"/>
        <v>0</v>
      </c>
      <c r="AA185" s="525">
        <f t="shared" si="147"/>
        <v>0</v>
      </c>
      <c r="AB185" s="525">
        <f t="shared" si="147"/>
        <v>0</v>
      </c>
      <c r="AD185" s="405">
        <f t="shared" si="134"/>
        <v>1.0500000000000003</v>
      </c>
      <c r="AE185" s="525">
        <f t="shared" si="135"/>
        <v>74.550000000000026</v>
      </c>
      <c r="AF185" s="525">
        <f t="shared" si="136"/>
        <v>74.550000000000026</v>
      </c>
      <c r="AG185" s="525">
        <f t="shared" si="137"/>
        <v>0</v>
      </c>
      <c r="AH185" s="525">
        <f t="shared" si="138"/>
        <v>0</v>
      </c>
      <c r="AI185" s="525">
        <f t="shared" si="139"/>
        <v>0</v>
      </c>
      <c r="AJ185" s="525">
        <f t="shared" si="140"/>
        <v>0</v>
      </c>
      <c r="AK185" s="525">
        <f t="shared" si="141"/>
        <v>0</v>
      </c>
      <c r="AL185" s="525">
        <f t="shared" si="142"/>
        <v>0</v>
      </c>
    </row>
    <row r="186" spans="1:38">
      <c r="A186" s="618"/>
      <c r="B186" s="618" t="s">
        <v>2057</v>
      </c>
      <c r="C186" s="619">
        <f t="shared" si="145"/>
        <v>1</v>
      </c>
      <c r="D186" s="523">
        <f>VLOOKUP(B186,DONGIA,DG!$B$6,0)</f>
        <v>0</v>
      </c>
      <c r="E186" s="666" t="str">
        <f>VLOOKUP(B186,DONGIA,DG!$C$6,0)</f>
        <v>Boulon 16x750VRS + 2 long đền vuông D18-50x50x3/Zn</v>
      </c>
      <c r="F186" s="523" t="str">
        <f>VLOOKUP(B186,DONGIA,DG!$D$6,0)</f>
        <v>bộ</v>
      </c>
      <c r="G186" s="525">
        <v>1</v>
      </c>
      <c r="H186" s="525">
        <f>VLOOKUP($B186,DONGIA,DG!$E$6,0)</f>
        <v>55000</v>
      </c>
      <c r="I186" s="525"/>
      <c r="J186" s="525"/>
      <c r="K186" s="525">
        <f>VLOOKUP($B186,DONGIA,DG!$F$6,0)</f>
        <v>0</v>
      </c>
      <c r="L186" s="525"/>
      <c r="M186" s="525">
        <f>VLOOKUP($B186,DONGIA,DG!$G$6,0)</f>
        <v>0</v>
      </c>
      <c r="N186" s="525">
        <f t="shared" si="146"/>
        <v>55000</v>
      </c>
      <c r="O186" s="525">
        <f t="shared" si="143"/>
        <v>0</v>
      </c>
      <c r="P186" s="525">
        <f t="shared" si="143"/>
        <v>0</v>
      </c>
      <c r="Q186" s="525">
        <f t="shared" si="143"/>
        <v>0</v>
      </c>
      <c r="R186" s="525">
        <f t="shared" si="143"/>
        <v>0</v>
      </c>
      <c r="S186" s="525">
        <f t="shared" si="143"/>
        <v>0</v>
      </c>
      <c r="U186" s="525">
        <f t="shared" si="147"/>
        <v>71</v>
      </c>
      <c r="V186" s="525">
        <f t="shared" si="147"/>
        <v>71</v>
      </c>
      <c r="W186" s="525">
        <f t="shared" si="147"/>
        <v>0</v>
      </c>
      <c r="X186" s="525">
        <f t="shared" si="147"/>
        <v>0</v>
      </c>
      <c r="Y186" s="525">
        <f t="shared" si="147"/>
        <v>0</v>
      </c>
      <c r="Z186" s="525">
        <f t="shared" si="147"/>
        <v>0</v>
      </c>
      <c r="AA186" s="525">
        <f t="shared" si="147"/>
        <v>0</v>
      </c>
      <c r="AB186" s="525">
        <f t="shared" si="147"/>
        <v>0</v>
      </c>
      <c r="AD186" s="405">
        <f t="shared" si="134"/>
        <v>1.1500000000000004</v>
      </c>
      <c r="AE186" s="525">
        <f t="shared" si="135"/>
        <v>81.65000000000002</v>
      </c>
      <c r="AF186" s="525">
        <f t="shared" si="136"/>
        <v>81.65000000000002</v>
      </c>
      <c r="AG186" s="525">
        <f t="shared" si="137"/>
        <v>0</v>
      </c>
      <c r="AH186" s="525">
        <f t="shared" si="138"/>
        <v>0</v>
      </c>
      <c r="AI186" s="525">
        <f t="shared" si="139"/>
        <v>0</v>
      </c>
      <c r="AJ186" s="525">
        <f t="shared" si="140"/>
        <v>0</v>
      </c>
      <c r="AK186" s="525">
        <f t="shared" si="141"/>
        <v>0</v>
      </c>
      <c r="AL186" s="525">
        <f t="shared" si="142"/>
        <v>0</v>
      </c>
    </row>
    <row r="187" spans="1:38">
      <c r="A187" s="618"/>
      <c r="B187" s="618" t="s">
        <v>3509</v>
      </c>
      <c r="C187" s="619">
        <f t="shared" si="145"/>
        <v>1</v>
      </c>
      <c r="D187" s="523">
        <f>VLOOKUP(B187,DONGIA,DG!$B$6,0)</f>
        <v>0</v>
      </c>
      <c r="E187" s="666" t="str">
        <f>VLOOKUP(B187,DONGIA,DG!$C$6,0)</f>
        <v>Đinh: 15kg/100m2 ván khuôn</v>
      </c>
      <c r="F187" s="523" t="str">
        <f>VLOOKUP(B187,DONGIA,DG!$D$6,0)</f>
        <v>kg</v>
      </c>
      <c r="G187" s="626">
        <f>ROUND(G191*15/100,2)</f>
        <v>0.67</v>
      </c>
      <c r="H187" s="525"/>
      <c r="I187" s="525">
        <f>VLOOKUP($B187,DONGIA,DG!$E$6,0)</f>
        <v>25000</v>
      </c>
      <c r="J187" s="525"/>
      <c r="K187" s="525">
        <f>VLOOKUP($B187,DONGIA,DG!$F$6,0)</f>
        <v>0</v>
      </c>
      <c r="L187" s="525"/>
      <c r="M187" s="525">
        <f>VLOOKUP($B187,DONGIA,DG!$G$6,0)</f>
        <v>0</v>
      </c>
      <c r="N187" s="525">
        <f t="shared" si="146"/>
        <v>0</v>
      </c>
      <c r="O187" s="525">
        <f t="shared" si="143"/>
        <v>16750</v>
      </c>
      <c r="P187" s="525">
        <f t="shared" si="143"/>
        <v>0</v>
      </c>
      <c r="Q187" s="525">
        <f t="shared" si="143"/>
        <v>0</v>
      </c>
      <c r="R187" s="525">
        <f t="shared" si="143"/>
        <v>0</v>
      </c>
      <c r="S187" s="525">
        <f t="shared" si="143"/>
        <v>0</v>
      </c>
      <c r="U187" s="404"/>
      <c r="V187" s="404"/>
      <c r="W187" s="404"/>
      <c r="X187" s="404"/>
      <c r="Y187" s="404"/>
      <c r="Z187" s="404"/>
      <c r="AA187" s="404"/>
      <c r="AB187" s="404"/>
      <c r="AE187" s="404"/>
      <c r="AF187" s="404"/>
      <c r="AG187" s="404"/>
      <c r="AH187" s="404"/>
      <c r="AI187" s="404"/>
      <c r="AJ187" s="404"/>
      <c r="AK187" s="404"/>
      <c r="AL187" s="404"/>
    </row>
    <row r="188" spans="1:38">
      <c r="A188" s="618"/>
      <c r="B188" s="618" t="s">
        <v>3505</v>
      </c>
      <c r="C188" s="619">
        <f t="shared" si="145"/>
        <v>1</v>
      </c>
      <c r="D188" s="523">
        <f>VLOOKUP(B188,DONGIA,DG!$B$6,0)</f>
        <v>0</v>
      </c>
      <c r="E188" s="666" t="str">
        <f>VLOOKUP(B188,DONGIA,DG!$C$6,0)</f>
        <v>Gỗ chống: 0,335 m3/100m2 ván khuôn</v>
      </c>
      <c r="F188" s="523" t="str">
        <f>VLOOKUP(B188,DONGIA,DG!$D$6,0)</f>
        <v>m3</v>
      </c>
      <c r="G188" s="845">
        <f>ROUND(G191*0.335/100,4)</f>
        <v>1.4999999999999999E-2</v>
      </c>
      <c r="H188" s="525"/>
      <c r="I188" s="525">
        <f>VLOOKUP($B188,DONGIA,DG!$E$6,0)</f>
        <v>3800000</v>
      </c>
      <c r="J188" s="525"/>
      <c r="K188" s="525">
        <f>VLOOKUP($B188,DONGIA,DG!$F$6,0)</f>
        <v>0</v>
      </c>
      <c r="L188" s="525"/>
      <c r="M188" s="525">
        <f>VLOOKUP($B188,DONGIA,DG!$G$6,0)</f>
        <v>0</v>
      </c>
      <c r="N188" s="525">
        <f t="shared" si="146"/>
        <v>0</v>
      </c>
      <c r="O188" s="525">
        <f t="shared" si="143"/>
        <v>57000</v>
      </c>
      <c r="P188" s="525">
        <f t="shared" si="143"/>
        <v>0</v>
      </c>
      <c r="Q188" s="525">
        <f t="shared" si="143"/>
        <v>0</v>
      </c>
      <c r="R188" s="525">
        <f t="shared" si="143"/>
        <v>0</v>
      </c>
      <c r="S188" s="525">
        <f t="shared" si="143"/>
        <v>0</v>
      </c>
      <c r="U188" s="404"/>
      <c r="V188" s="404"/>
      <c r="W188" s="404"/>
      <c r="X188" s="404"/>
      <c r="Y188" s="404"/>
      <c r="Z188" s="404"/>
      <c r="AA188" s="404"/>
      <c r="AB188" s="404"/>
      <c r="AE188" s="404"/>
      <c r="AF188" s="404"/>
      <c r="AG188" s="404"/>
      <c r="AH188" s="404"/>
      <c r="AI188" s="404"/>
      <c r="AJ188" s="404"/>
      <c r="AK188" s="404"/>
      <c r="AL188" s="404"/>
    </row>
    <row r="189" spans="1:38">
      <c r="A189" s="618"/>
      <c r="B189" s="618" t="s">
        <v>3507</v>
      </c>
      <c r="C189" s="619">
        <f t="shared" si="145"/>
        <v>1</v>
      </c>
      <c r="D189" s="523">
        <f>VLOOKUP(B189,DONGIA,DG!$B$6,0)</f>
        <v>0</v>
      </c>
      <c r="E189" s="666" t="str">
        <f>VLOOKUP(B189,DONGIA,DG!$C$6,0)</f>
        <v>Gỗ đà nẹp: 0,21 m3/100m2 ván khuôn</v>
      </c>
      <c r="F189" s="523" t="str">
        <f>VLOOKUP(B189,DONGIA,DG!$D$6,0)</f>
        <v>m3</v>
      </c>
      <c r="G189" s="845">
        <f>ROUND(G191*0.21/100,4)</f>
        <v>9.4000000000000004E-3</v>
      </c>
      <c r="H189" s="525"/>
      <c r="I189" s="525">
        <f>VLOOKUP($B189,DONGIA,DG!$E$6,0)</f>
        <v>3800000</v>
      </c>
      <c r="J189" s="525"/>
      <c r="K189" s="525">
        <f>VLOOKUP($B189,DONGIA,DG!$F$6,0)</f>
        <v>0</v>
      </c>
      <c r="L189" s="525"/>
      <c r="M189" s="525">
        <f>VLOOKUP($B189,DONGIA,DG!$G$6,0)</f>
        <v>0</v>
      </c>
      <c r="N189" s="525">
        <f t="shared" si="146"/>
        <v>0</v>
      </c>
      <c r="O189" s="525">
        <f t="shared" si="143"/>
        <v>35720</v>
      </c>
      <c r="P189" s="525">
        <f t="shared" si="143"/>
        <v>0</v>
      </c>
      <c r="Q189" s="525">
        <f t="shared" si="143"/>
        <v>0</v>
      </c>
      <c r="R189" s="525">
        <f t="shared" si="143"/>
        <v>0</v>
      </c>
      <c r="S189" s="525">
        <f t="shared" si="143"/>
        <v>0</v>
      </c>
      <c r="U189" s="404"/>
      <c r="V189" s="404"/>
      <c r="W189" s="404"/>
      <c r="X189" s="404"/>
      <c r="Y189" s="404"/>
      <c r="Z189" s="404"/>
      <c r="AA189" s="404"/>
      <c r="AB189" s="404"/>
      <c r="AE189" s="404"/>
      <c r="AF189" s="404"/>
      <c r="AG189" s="404"/>
      <c r="AH189" s="404"/>
      <c r="AI189" s="404"/>
      <c r="AJ189" s="404"/>
      <c r="AK189" s="404"/>
      <c r="AL189" s="404"/>
    </row>
    <row r="190" spans="1:38">
      <c r="A190" s="618"/>
      <c r="B190" s="618" t="s">
        <v>3503</v>
      </c>
      <c r="C190" s="619">
        <f t="shared" si="145"/>
        <v>1</v>
      </c>
      <c r="D190" s="523">
        <f>VLOOKUP(B190,DONGIA,DG!$B$6,0)</f>
        <v>0</v>
      </c>
      <c r="E190" s="666" t="str">
        <f>VLOOKUP(B190,DONGIA,DG!$C$6,0)</f>
        <v>Gỗ ván (cả nẹp): 0,792 m3/100m2 ván khuôn</v>
      </c>
      <c r="F190" s="523" t="str">
        <f>VLOOKUP(B190,DONGIA,DG!$D$6,0)</f>
        <v>m3</v>
      </c>
      <c r="G190" s="845">
        <f>ROUND(G191*0.792/100,4)</f>
        <v>3.5499999999999997E-2</v>
      </c>
      <c r="H190" s="525"/>
      <c r="I190" s="525">
        <f>VLOOKUP($B190,DONGIA,DG!$E$6,0)</f>
        <v>3800000</v>
      </c>
      <c r="J190" s="525"/>
      <c r="K190" s="525">
        <f>VLOOKUP($B190,DONGIA,DG!$F$6,0)</f>
        <v>0</v>
      </c>
      <c r="L190" s="525"/>
      <c r="M190" s="525">
        <f>VLOOKUP($B190,DONGIA,DG!$G$6,0)</f>
        <v>0</v>
      </c>
      <c r="N190" s="525">
        <f t="shared" si="146"/>
        <v>0</v>
      </c>
      <c r="O190" s="525">
        <f t="shared" si="143"/>
        <v>134900</v>
      </c>
      <c r="P190" s="525">
        <f t="shared" si="143"/>
        <v>0</v>
      </c>
      <c r="Q190" s="525">
        <f t="shared" si="143"/>
        <v>0</v>
      </c>
      <c r="R190" s="525">
        <f t="shared" si="143"/>
        <v>0</v>
      </c>
      <c r="S190" s="525">
        <f t="shared" si="143"/>
        <v>0</v>
      </c>
      <c r="U190" s="404"/>
      <c r="V190" s="404"/>
      <c r="W190" s="404"/>
      <c r="X190" s="404"/>
      <c r="Y190" s="404"/>
      <c r="Z190" s="404"/>
      <c r="AA190" s="404"/>
      <c r="AB190" s="404"/>
      <c r="AE190" s="404"/>
      <c r="AF190" s="404"/>
      <c r="AG190" s="404"/>
      <c r="AH190" s="404"/>
      <c r="AI190" s="404"/>
      <c r="AJ190" s="404"/>
      <c r="AK190" s="404"/>
      <c r="AL190" s="404"/>
    </row>
    <row r="191" spans="1:38">
      <c r="A191" s="618"/>
      <c r="B191" s="618" t="s">
        <v>3511</v>
      </c>
      <c r="C191" s="619">
        <f t="shared" si="145"/>
        <v>1</v>
      </c>
      <c r="D191" s="523" t="str">
        <f>VLOOKUP(B191,DONGIA,DG!$B$6,0)</f>
        <v>AF.81122</v>
      </c>
      <c r="E191" s="666" t="str">
        <f>VLOOKUP(B191,DONGIA,DG!$C$6,0)</f>
        <v>Lắp ván khuôn gỗ móng - móng vuông, chữ nhật</v>
      </c>
      <c r="F191" s="523" t="str">
        <f>VLOOKUP(B191,DONGIA,DG!$D$6,0)</f>
        <v>m2</v>
      </c>
      <c r="G191" s="626">
        <f>ROUND(1.5*0.8*2+1.3*0.8*2,3)</f>
        <v>4.4800000000000004</v>
      </c>
      <c r="H191" s="525">
        <f>VLOOKUP($B191,DONGIA,DG!$E$6,0)</f>
        <v>0</v>
      </c>
      <c r="I191" s="525"/>
      <c r="J191" s="525">
        <f>VLOOKUP($B191,DONGIA,DG!$F$6,0)</f>
        <v>57946</v>
      </c>
      <c r="K191" s="525"/>
      <c r="L191" s="525"/>
      <c r="M191" s="525">
        <f>VLOOKUP($B191,DONGIA,DG!$G$6,0)</f>
        <v>0</v>
      </c>
      <c r="N191" s="525">
        <f t="shared" si="146"/>
        <v>0</v>
      </c>
      <c r="O191" s="525">
        <f t="shared" si="143"/>
        <v>0</v>
      </c>
      <c r="P191" s="525">
        <f t="shared" si="143"/>
        <v>259598.08000000002</v>
      </c>
      <c r="Q191" s="525">
        <f t="shared" si="143"/>
        <v>0</v>
      </c>
      <c r="R191" s="525">
        <f t="shared" si="143"/>
        <v>0</v>
      </c>
      <c r="S191" s="525">
        <f t="shared" si="143"/>
        <v>0</v>
      </c>
      <c r="U191" s="404"/>
      <c r="V191" s="404"/>
      <c r="W191" s="404"/>
      <c r="X191" s="404"/>
      <c r="Y191" s="404"/>
      <c r="Z191" s="404"/>
      <c r="AA191" s="404"/>
      <c r="AB191" s="404"/>
      <c r="AE191" s="404"/>
      <c r="AF191" s="404"/>
      <c r="AG191" s="404"/>
      <c r="AH191" s="404"/>
      <c r="AI191" s="404"/>
      <c r="AJ191" s="404"/>
      <c r="AK191" s="404"/>
      <c r="AL191" s="404"/>
    </row>
    <row r="192" spans="1:38">
      <c r="A192" s="618"/>
      <c r="B192" s="618" t="s">
        <v>3572</v>
      </c>
      <c r="C192" s="619">
        <f t="shared" si="145"/>
        <v>1</v>
      </c>
      <c r="D192" s="523" t="str">
        <f>VLOOKUP(B192,DONGIA,DG!$B$6,0)</f>
        <v>AB.11443</v>
      </c>
      <c r="E192" s="666" t="str">
        <f>VLOOKUP(B192,DONGIA,DG!$C$6,0)</f>
        <v>Đào hố móng đất cấp 3 sâu &gt;1m (rộng &gt;1m)</v>
      </c>
      <c r="F192" s="523" t="str">
        <f>VLOOKUP(B192,DONGIA,DG!$D$6,0)</f>
        <v>m3</v>
      </c>
      <c r="G192" s="626">
        <v>2.2200000000000002</v>
      </c>
      <c r="H192" s="525"/>
      <c r="I192" s="525"/>
      <c r="J192" s="525">
        <f>VLOOKUP($B192,DONGIA,DG!$F$6,0)</f>
        <v>270211</v>
      </c>
      <c r="K192" s="525"/>
      <c r="L192" s="525">
        <f>VLOOKUP($B192,DONGIA,DG!$G$6,0)</f>
        <v>0</v>
      </c>
      <c r="M192" s="525"/>
      <c r="N192" s="525">
        <f t="shared" si="146"/>
        <v>0</v>
      </c>
      <c r="O192" s="525">
        <f t="shared" si="143"/>
        <v>0</v>
      </c>
      <c r="P192" s="525">
        <f>$G192*J192</f>
        <v>599868.42000000004</v>
      </c>
      <c r="Q192" s="525">
        <f t="shared" si="143"/>
        <v>0</v>
      </c>
      <c r="R192" s="525">
        <f t="shared" si="143"/>
        <v>0</v>
      </c>
      <c r="S192" s="525">
        <f t="shared" si="143"/>
        <v>0</v>
      </c>
      <c r="U192" s="525">
        <f t="shared" si="147"/>
        <v>157.62</v>
      </c>
      <c r="V192" s="525">
        <f t="shared" si="147"/>
        <v>157.62</v>
      </c>
      <c r="W192" s="525">
        <f t="shared" si="147"/>
        <v>0</v>
      </c>
      <c r="X192" s="525">
        <f t="shared" si="147"/>
        <v>0</v>
      </c>
      <c r="Y192" s="525">
        <f t="shared" si="147"/>
        <v>0</v>
      </c>
      <c r="Z192" s="525">
        <f t="shared" si="147"/>
        <v>0</v>
      </c>
      <c r="AA192" s="525">
        <f t="shared" si="147"/>
        <v>0</v>
      </c>
      <c r="AB192" s="525">
        <f t="shared" si="147"/>
        <v>0</v>
      </c>
      <c r="AD192" s="405">
        <f>IFERROR(VLOOKUP(B192,DONGIA,$AD$3,0),0)</f>
        <v>0</v>
      </c>
      <c r="AE192" s="525">
        <f t="shared" ref="AE192:AL194" si="148">U192*$AD192</f>
        <v>0</v>
      </c>
      <c r="AF192" s="525">
        <f t="shared" si="148"/>
        <v>0</v>
      </c>
      <c r="AG192" s="525">
        <f t="shared" si="148"/>
        <v>0</v>
      </c>
      <c r="AH192" s="525">
        <f t="shared" si="148"/>
        <v>0</v>
      </c>
      <c r="AI192" s="525">
        <f t="shared" si="148"/>
        <v>0</v>
      </c>
      <c r="AJ192" s="525">
        <f t="shared" si="148"/>
        <v>0</v>
      </c>
      <c r="AK192" s="525">
        <f t="shared" si="148"/>
        <v>0</v>
      </c>
      <c r="AL192" s="525">
        <f t="shared" si="148"/>
        <v>0</v>
      </c>
    </row>
    <row r="193" spans="1:38">
      <c r="A193" s="618"/>
      <c r="B193" s="618" t="s">
        <v>510</v>
      </c>
      <c r="C193" s="619">
        <f>IF(G193&lt;&gt;0,$C$178,)</f>
        <v>1</v>
      </c>
      <c r="D193" s="523" t="str">
        <f>VLOOKUP(B193,DONGIA,DG!$B$6,0)</f>
        <v>AB.65110</v>
      </c>
      <c r="E193" s="666" t="str">
        <f>VLOOKUP(B193,DONGIA,DG!$C$6,0)</f>
        <v>Đắp đất hố móng (K=0,85)</v>
      </c>
      <c r="F193" s="523" t="str">
        <f>VLOOKUP(B193,DONGIA,DG!$D$6,0)</f>
        <v>m3</v>
      </c>
      <c r="G193" s="626">
        <v>0.42899999999999999</v>
      </c>
      <c r="H193" s="525"/>
      <c r="I193" s="525"/>
      <c r="J193" s="525">
        <f>VLOOKUP($B193,DONGIA,DG!$F$6,0)</f>
        <v>16267</v>
      </c>
      <c r="K193" s="525"/>
      <c r="L193" s="525">
        <f>VLOOKUP($B193,DONGIA,DG!$G$6,0)</f>
        <v>11176</v>
      </c>
      <c r="M193" s="525"/>
      <c r="N193" s="525">
        <f t="shared" si="146"/>
        <v>0</v>
      </c>
      <c r="O193" s="525">
        <f t="shared" si="143"/>
        <v>0</v>
      </c>
      <c r="P193" s="525">
        <f t="shared" si="143"/>
        <v>6978.5429999999997</v>
      </c>
      <c r="Q193" s="525">
        <f t="shared" si="143"/>
        <v>0</v>
      </c>
      <c r="R193" s="525">
        <f t="shared" si="143"/>
        <v>4794.5039999999999</v>
      </c>
      <c r="S193" s="525">
        <f t="shared" si="143"/>
        <v>0</v>
      </c>
      <c r="U193" s="525">
        <f t="shared" si="147"/>
        <v>30.459</v>
      </c>
      <c r="V193" s="525">
        <f t="shared" si="147"/>
        <v>30.459</v>
      </c>
      <c r="W193" s="525">
        <f t="shared" si="147"/>
        <v>0</v>
      </c>
      <c r="X193" s="525">
        <f t="shared" si="147"/>
        <v>0</v>
      </c>
      <c r="Y193" s="525">
        <f t="shared" si="147"/>
        <v>0</v>
      </c>
      <c r="Z193" s="525">
        <f t="shared" si="147"/>
        <v>0</v>
      </c>
      <c r="AA193" s="525">
        <f t="shared" si="147"/>
        <v>0</v>
      </c>
      <c r="AB193" s="525">
        <f t="shared" si="147"/>
        <v>0</v>
      </c>
      <c r="AD193" s="405">
        <f>IFERROR(VLOOKUP(B193,DONGIA,$AD$3,0),0)</f>
        <v>0</v>
      </c>
      <c r="AE193" s="525">
        <f t="shared" si="148"/>
        <v>0</v>
      </c>
      <c r="AF193" s="525">
        <f t="shared" si="148"/>
        <v>0</v>
      </c>
      <c r="AG193" s="525">
        <f t="shared" si="148"/>
        <v>0</v>
      </c>
      <c r="AH193" s="525">
        <f t="shared" si="148"/>
        <v>0</v>
      </c>
      <c r="AI193" s="525">
        <f t="shared" si="148"/>
        <v>0</v>
      </c>
      <c r="AJ193" s="525">
        <f t="shared" si="148"/>
        <v>0</v>
      </c>
      <c r="AK193" s="525">
        <f t="shared" si="148"/>
        <v>0</v>
      </c>
      <c r="AL193" s="525">
        <f t="shared" si="148"/>
        <v>0</v>
      </c>
    </row>
    <row r="194" spans="1:38">
      <c r="A194" s="618"/>
      <c r="B194" s="618" t="s">
        <v>713</v>
      </c>
      <c r="C194" s="619">
        <f>IF(G194&lt;&gt;0,$C$178,)</f>
        <v>1</v>
      </c>
      <c r="D194" s="523" t="str">
        <f>VLOOKUP(B194,DONGIA,DG!$B$6,0)</f>
        <v>AF.11210</v>
      </c>
      <c r="E194" s="666" t="str">
        <f>VLOOKUP(B194,DONGIA,DG!$C$6,0)</f>
        <v>Đổ bê tông mác M200 đá 1x2</v>
      </c>
      <c r="F194" s="523" t="str">
        <f>VLOOKUP(B194,DONGIA,DG!$D$6,0)</f>
        <v>m3</v>
      </c>
      <c r="G194" s="846">
        <v>1.3680000000000001</v>
      </c>
      <c r="H194" s="525"/>
      <c r="I194" s="525"/>
      <c r="J194" s="525">
        <f>VLOOKUP($B194,DONGIA,DG!$F$6,0)</f>
        <v>293475</v>
      </c>
      <c r="K194" s="525"/>
      <c r="L194" s="525">
        <f>VLOOKUP($B194,DONGIA,DG!$G$6,0)</f>
        <v>44701</v>
      </c>
      <c r="M194" s="525"/>
      <c r="N194" s="525">
        <f t="shared" si="146"/>
        <v>0</v>
      </c>
      <c r="O194" s="525">
        <f t="shared" si="143"/>
        <v>0</v>
      </c>
      <c r="P194" s="525">
        <f t="shared" si="143"/>
        <v>401473.80000000005</v>
      </c>
      <c r="Q194" s="525">
        <f t="shared" si="143"/>
        <v>0</v>
      </c>
      <c r="R194" s="525">
        <f t="shared" si="143"/>
        <v>61150.968000000008</v>
      </c>
      <c r="S194" s="525">
        <f t="shared" si="143"/>
        <v>0</v>
      </c>
      <c r="U194" s="525"/>
      <c r="V194" s="525"/>
      <c r="W194" s="525"/>
      <c r="X194" s="525"/>
      <c r="Y194" s="525"/>
      <c r="Z194" s="525"/>
      <c r="AA194" s="525"/>
      <c r="AB194" s="525"/>
      <c r="AD194" s="405">
        <f>IFERROR(VLOOKUP(B194,DONGIA,$AD$3,0),0)</f>
        <v>0</v>
      </c>
      <c r="AE194" s="525">
        <f t="shared" si="148"/>
        <v>0</v>
      </c>
      <c r="AF194" s="525">
        <f t="shared" si="148"/>
        <v>0</v>
      </c>
      <c r="AG194" s="525">
        <f t="shared" si="148"/>
        <v>0</v>
      </c>
      <c r="AH194" s="525">
        <f t="shared" si="148"/>
        <v>0</v>
      </c>
      <c r="AI194" s="525">
        <f t="shared" si="148"/>
        <v>0</v>
      </c>
      <c r="AJ194" s="525">
        <f t="shared" si="148"/>
        <v>0</v>
      </c>
      <c r="AK194" s="525">
        <f t="shared" si="148"/>
        <v>0</v>
      </c>
      <c r="AL194" s="525">
        <f t="shared" si="148"/>
        <v>0</v>
      </c>
    </row>
    <row r="195" spans="1:38">
      <c r="A195" s="618" t="s">
        <v>2595</v>
      </c>
      <c r="B195" s="618"/>
      <c r="C195" s="619">
        <f>IF(G195&lt;&gt;0,1,)</f>
        <v>1</v>
      </c>
      <c r="D195" s="622"/>
      <c r="E195" s="733" t="s">
        <v>2597</v>
      </c>
      <c r="F195" s="622" t="s">
        <v>1633</v>
      </c>
      <c r="G195" s="622">
        <f>U195</f>
        <v>15</v>
      </c>
      <c r="H195" s="623"/>
      <c r="I195" s="623"/>
      <c r="J195" s="623"/>
      <c r="K195" s="623"/>
      <c r="L195" s="623"/>
      <c r="M195" s="623"/>
      <c r="N195" s="623">
        <f t="shared" ref="N195:S195" si="149">SUM(N197:N212)</f>
        <v>147000</v>
      </c>
      <c r="O195" s="623">
        <f>SUM(O197:O212)</f>
        <v>1372844</v>
      </c>
      <c r="P195" s="623">
        <f>SUM(P197:P212)</f>
        <v>1342865.7390000001</v>
      </c>
      <c r="Q195" s="623">
        <f t="shared" si="149"/>
        <v>0</v>
      </c>
      <c r="R195" s="623">
        <f>SUM(R197:R212)</f>
        <v>1099248.486</v>
      </c>
      <c r="S195" s="623">
        <f t="shared" si="149"/>
        <v>0</v>
      </c>
      <c r="U195" s="623">
        <f>SUM(V195:AB195)</f>
        <v>15</v>
      </c>
      <c r="V195" s="623">
        <f>IFERROR(HLOOKUP($A195,BK3P,V$3,0),)</f>
        <v>15</v>
      </c>
      <c r="W195" s="623">
        <f>IFERROR(HLOOKUP($A195,BK3P,W$3,0),)</f>
        <v>0</v>
      </c>
      <c r="X195" s="623">
        <f>IFERROR(HLOOKUP($A195,BK3P,X$3,0),)</f>
        <v>0</v>
      </c>
      <c r="Y195" s="623">
        <f>IFERROR(HLOOKUP($A195,BK1P,Y$3,0),)</f>
        <v>0</v>
      </c>
      <c r="Z195" s="623">
        <f>IFERROR(HLOOKUP($A195,BK1P,Z$3,0),)</f>
        <v>0</v>
      </c>
      <c r="AA195" s="623">
        <f>IFERROR(HLOOKUP($A195,BK1P,AA$3,0),)</f>
        <v>0</v>
      </c>
      <c r="AB195" s="623">
        <f>IFERROR(HLOOKUP($A195,BKHT,AB$3,0),)</f>
        <v>0</v>
      </c>
      <c r="AD195" s="405">
        <f t="shared" ref="AD195:AD212" si="150">IFERROR(VLOOKUP(B195,DONGIA,$AD$3,0),0)</f>
        <v>0</v>
      </c>
      <c r="AE195" s="525">
        <f t="shared" ref="AE195:AE212" si="151">U195*$AD195</f>
        <v>0</v>
      </c>
      <c r="AF195" s="525">
        <f t="shared" ref="AF195:AF212" si="152">V195*$AD195</f>
        <v>0</v>
      </c>
      <c r="AG195" s="525">
        <f t="shared" ref="AG195:AG212" si="153">W195*$AD195</f>
        <v>0</v>
      </c>
      <c r="AH195" s="525">
        <f t="shared" ref="AH195:AH212" si="154">X195*$AD195</f>
        <v>0</v>
      </c>
      <c r="AI195" s="525">
        <f t="shared" ref="AI195:AI212" si="155">Y195*$AD195</f>
        <v>0</v>
      </c>
      <c r="AJ195" s="525">
        <f t="shared" ref="AJ195:AJ212" si="156">Z195*$AD195</f>
        <v>0</v>
      </c>
      <c r="AK195" s="525">
        <f t="shared" ref="AK195:AK212" si="157">AA195*$AD195</f>
        <v>0</v>
      </c>
      <c r="AL195" s="525">
        <f t="shared" ref="AL195:AL212" si="158">AB195*$AD195</f>
        <v>0</v>
      </c>
    </row>
    <row r="196" spans="1:38" s="542" customFormat="1">
      <c r="A196" s="624"/>
      <c r="B196" s="624"/>
      <c r="C196" s="625">
        <f>C195</f>
        <v>1</v>
      </c>
      <c r="D196" s="544"/>
      <c r="E196" s="734" t="s">
        <v>1644</v>
      </c>
      <c r="F196" s="544"/>
      <c r="G196" s="545"/>
      <c r="H196" s="545"/>
      <c r="I196" s="545"/>
      <c r="J196" s="545"/>
      <c r="K196" s="545"/>
      <c r="L196" s="545"/>
      <c r="M196" s="545"/>
      <c r="N196" s="545"/>
      <c r="O196" s="545"/>
      <c r="P196" s="545"/>
      <c r="Q196" s="545"/>
      <c r="R196" s="545"/>
      <c r="S196" s="545"/>
      <c r="U196" s="545"/>
      <c r="V196" s="545"/>
      <c r="W196" s="545"/>
      <c r="X196" s="545"/>
      <c r="Y196" s="545"/>
      <c r="Z196" s="545"/>
      <c r="AA196" s="545"/>
      <c r="AB196" s="545"/>
      <c r="AD196" s="405">
        <f t="shared" si="150"/>
        <v>0</v>
      </c>
      <c r="AE196" s="525">
        <f t="shared" si="151"/>
        <v>0</v>
      </c>
      <c r="AF196" s="525">
        <f t="shared" si="152"/>
        <v>0</v>
      </c>
      <c r="AG196" s="525">
        <f t="shared" si="153"/>
        <v>0</v>
      </c>
      <c r="AH196" s="525">
        <f t="shared" si="154"/>
        <v>0</v>
      </c>
      <c r="AI196" s="525">
        <f t="shared" si="155"/>
        <v>0</v>
      </c>
      <c r="AJ196" s="525">
        <f t="shared" si="156"/>
        <v>0</v>
      </c>
      <c r="AK196" s="525">
        <f t="shared" si="157"/>
        <v>0</v>
      </c>
      <c r="AL196" s="525">
        <f t="shared" si="158"/>
        <v>0</v>
      </c>
    </row>
    <row r="197" spans="1:38">
      <c r="A197" s="618"/>
      <c r="B197" s="618" t="s">
        <v>1639</v>
      </c>
      <c r="C197" s="619">
        <f>IF(G197&lt;&gt;0,$C$178,)</f>
        <v>1</v>
      </c>
      <c r="D197" s="523">
        <f>VLOOKUP(B197,DONGIA,DG!$B$6,0)</f>
        <v>0</v>
      </c>
      <c r="E197" s="666" t="str">
        <f>VLOOKUP(B197,DONGIA,DG!$C$6,0)</f>
        <v>Xi măng</v>
      </c>
      <c r="F197" s="523" t="str">
        <f>VLOOKUP(B197,DONGIA,DG!$D$6,0)</f>
        <v>kg</v>
      </c>
      <c r="G197" s="549">
        <f>ROUND(G212*281,1)</f>
        <v>334.4</v>
      </c>
      <c r="H197" s="525"/>
      <c r="I197" s="525">
        <f>VLOOKUP($B197,DONGIA,DG!$E$6,0)</f>
        <v>1760</v>
      </c>
      <c r="J197" s="525">
        <f>VLOOKUP($B197,DONGIA,DG!$F$6,0)</f>
        <v>0</v>
      </c>
      <c r="K197" s="525"/>
      <c r="L197" s="525">
        <f>VLOOKUP($B197,DONGIA,DG!$G$6,0)</f>
        <v>0</v>
      </c>
      <c r="M197" s="525"/>
      <c r="N197" s="525">
        <f>$G197*H197</f>
        <v>0</v>
      </c>
      <c r="O197" s="525">
        <f t="shared" ref="O197:O212" si="159">$G197*I197</f>
        <v>588544</v>
      </c>
      <c r="P197" s="525">
        <f t="shared" ref="P197:P212" si="160">$G197*J197</f>
        <v>0</v>
      </c>
      <c r="Q197" s="525">
        <f t="shared" ref="Q197:Q212" si="161">$G197*K197</f>
        <v>0</v>
      </c>
      <c r="R197" s="525">
        <f t="shared" ref="R197:R212" si="162">$G197*L197</f>
        <v>0</v>
      </c>
      <c r="S197" s="525">
        <f t="shared" ref="S197:S212" si="163">$G197*M197</f>
        <v>0</v>
      </c>
      <c r="U197" s="525">
        <f>U$195*$G197</f>
        <v>5016</v>
      </c>
      <c r="V197" s="525">
        <f t="shared" ref="V197:AB197" si="164">V$195*$G197</f>
        <v>5016</v>
      </c>
      <c r="W197" s="525">
        <f t="shared" si="164"/>
        <v>0</v>
      </c>
      <c r="X197" s="525">
        <f t="shared" si="164"/>
        <v>0</v>
      </c>
      <c r="Y197" s="525">
        <f t="shared" si="164"/>
        <v>0</v>
      </c>
      <c r="Z197" s="525">
        <f t="shared" si="164"/>
        <v>0</v>
      </c>
      <c r="AA197" s="525">
        <f t="shared" si="164"/>
        <v>0</v>
      </c>
      <c r="AB197" s="525">
        <f t="shared" si="164"/>
        <v>0</v>
      </c>
      <c r="AD197" s="405">
        <f t="shared" si="150"/>
        <v>1</v>
      </c>
      <c r="AE197" s="525">
        <f t="shared" si="151"/>
        <v>5016</v>
      </c>
      <c r="AF197" s="525">
        <f t="shared" si="152"/>
        <v>5016</v>
      </c>
      <c r="AG197" s="525">
        <f t="shared" si="153"/>
        <v>0</v>
      </c>
      <c r="AH197" s="525">
        <f t="shared" si="154"/>
        <v>0</v>
      </c>
      <c r="AI197" s="525">
        <f t="shared" si="155"/>
        <v>0</v>
      </c>
      <c r="AJ197" s="525">
        <f t="shared" si="156"/>
        <v>0</v>
      </c>
      <c r="AK197" s="525">
        <f t="shared" si="157"/>
        <v>0</v>
      </c>
      <c r="AL197" s="525">
        <f t="shared" si="158"/>
        <v>0</v>
      </c>
    </row>
    <row r="198" spans="1:38">
      <c r="A198" s="618"/>
      <c r="B198" s="618" t="s">
        <v>471</v>
      </c>
      <c r="C198" s="619">
        <f t="shared" ref="C198:C209" si="165">IF(G198&lt;&gt;0,$C$178,)</f>
        <v>1</v>
      </c>
      <c r="D198" s="523">
        <f>VLOOKUP(B198,DONGIA,DG!$B$6,0)</f>
        <v>0</v>
      </c>
      <c r="E198" s="666" t="str">
        <f>VLOOKUP(B198,DONGIA,DG!$C$6,0)</f>
        <v>Cát vàng</v>
      </c>
      <c r="F198" s="523" t="str">
        <f>VLOOKUP(B198,DONGIA,DG!$D$6,0)</f>
        <v>m3</v>
      </c>
      <c r="G198" s="626">
        <f>ROUND(G212*0.477,3)</f>
        <v>0.56799999999999995</v>
      </c>
      <c r="H198" s="525"/>
      <c r="I198" s="525">
        <f>VLOOKUP($B198,DONGIA,DG!$E$6,0)</f>
        <v>350000</v>
      </c>
      <c r="J198" s="525">
        <f>VLOOKUP($B198,DONGIA,DG!$F$6,0)</f>
        <v>0</v>
      </c>
      <c r="K198" s="525"/>
      <c r="L198" s="525">
        <f>VLOOKUP($B198,DONGIA,DG!$G$6,0)</f>
        <v>0</v>
      </c>
      <c r="M198" s="525"/>
      <c r="N198" s="525">
        <f t="shared" ref="N198:N212" si="166">$G198*H198</f>
        <v>0</v>
      </c>
      <c r="O198" s="525">
        <f t="shared" si="159"/>
        <v>198799.99999999997</v>
      </c>
      <c r="P198" s="525">
        <f t="shared" si="160"/>
        <v>0</v>
      </c>
      <c r="Q198" s="525">
        <f t="shared" si="161"/>
        <v>0</v>
      </c>
      <c r="R198" s="525">
        <f t="shared" si="162"/>
        <v>0</v>
      </c>
      <c r="S198" s="525">
        <f t="shared" si="163"/>
        <v>0</v>
      </c>
      <c r="U198" s="525">
        <f>U$195*$G198</f>
        <v>8.52</v>
      </c>
      <c r="V198" s="525">
        <f t="shared" ref="U198:AB199" si="167">V$195*$G198</f>
        <v>8.52</v>
      </c>
      <c r="W198" s="525">
        <f t="shared" si="167"/>
        <v>0</v>
      </c>
      <c r="X198" s="525">
        <f t="shared" si="167"/>
        <v>0</v>
      </c>
      <c r="Y198" s="525">
        <f t="shared" si="167"/>
        <v>0</v>
      </c>
      <c r="Z198" s="525">
        <f t="shared" si="167"/>
        <v>0</v>
      </c>
      <c r="AA198" s="525">
        <f t="shared" si="167"/>
        <v>0</v>
      </c>
      <c r="AB198" s="525">
        <f t="shared" si="167"/>
        <v>0</v>
      </c>
      <c r="AD198" s="405">
        <f t="shared" si="150"/>
        <v>1500</v>
      </c>
      <c r="AE198" s="525">
        <f t="shared" si="151"/>
        <v>12780</v>
      </c>
      <c r="AF198" s="525">
        <f t="shared" si="152"/>
        <v>12780</v>
      </c>
      <c r="AG198" s="525">
        <f t="shared" si="153"/>
        <v>0</v>
      </c>
      <c r="AH198" s="525">
        <f t="shared" si="154"/>
        <v>0</v>
      </c>
      <c r="AI198" s="525">
        <f t="shared" si="155"/>
        <v>0</v>
      </c>
      <c r="AJ198" s="525">
        <f t="shared" si="156"/>
        <v>0</v>
      </c>
      <c r="AK198" s="525">
        <f t="shared" si="157"/>
        <v>0</v>
      </c>
      <c r="AL198" s="525">
        <f t="shared" si="158"/>
        <v>0</v>
      </c>
    </row>
    <row r="199" spans="1:38">
      <c r="A199" s="618"/>
      <c r="B199" s="618" t="s">
        <v>1640</v>
      </c>
      <c r="C199" s="619">
        <f t="shared" si="165"/>
        <v>1</v>
      </c>
      <c r="D199" s="523">
        <f>VLOOKUP(B199,DONGIA,DG!$B$6,0)</f>
        <v>0</v>
      </c>
      <c r="E199" s="666" t="str">
        <f>VLOOKUP(B199,DONGIA,DG!$C$6,0)</f>
        <v>Đá 1x2</v>
      </c>
      <c r="F199" s="523" t="str">
        <f>VLOOKUP(B199,DONGIA,DG!$D$6,0)</f>
        <v>m3</v>
      </c>
      <c r="G199" s="626">
        <f>ROUND(G212*0.882,3)</f>
        <v>1.05</v>
      </c>
      <c r="H199" s="525"/>
      <c r="I199" s="525">
        <f>VLOOKUP($B199,DONGIA,DG!$E$6,0)</f>
        <v>342000</v>
      </c>
      <c r="J199" s="525">
        <f>VLOOKUP($B199,DONGIA,DG!$F$6,0)</f>
        <v>0</v>
      </c>
      <c r="K199" s="525"/>
      <c r="L199" s="525">
        <f>VLOOKUP($B199,DONGIA,DG!$G$6,0)</f>
        <v>0</v>
      </c>
      <c r="M199" s="525"/>
      <c r="N199" s="525">
        <f t="shared" si="166"/>
        <v>0</v>
      </c>
      <c r="O199" s="525">
        <f t="shared" si="159"/>
        <v>359100</v>
      </c>
      <c r="P199" s="525">
        <f t="shared" si="160"/>
        <v>0</v>
      </c>
      <c r="Q199" s="525">
        <f t="shared" si="161"/>
        <v>0</v>
      </c>
      <c r="R199" s="525">
        <f t="shared" si="162"/>
        <v>0</v>
      </c>
      <c r="S199" s="525">
        <f t="shared" si="163"/>
        <v>0</v>
      </c>
      <c r="U199" s="525">
        <f t="shared" si="167"/>
        <v>15.75</v>
      </c>
      <c r="V199" s="525">
        <f t="shared" si="167"/>
        <v>15.75</v>
      </c>
      <c r="W199" s="525">
        <f t="shared" si="167"/>
        <v>0</v>
      </c>
      <c r="X199" s="525">
        <f t="shared" si="167"/>
        <v>0</v>
      </c>
      <c r="Y199" s="525">
        <f t="shared" si="167"/>
        <v>0</v>
      </c>
      <c r="Z199" s="525">
        <f t="shared" si="167"/>
        <v>0</v>
      </c>
      <c r="AA199" s="525">
        <f t="shared" si="167"/>
        <v>0</v>
      </c>
      <c r="AB199" s="525">
        <f t="shared" si="167"/>
        <v>0</v>
      </c>
      <c r="AD199" s="405">
        <f t="shared" si="150"/>
        <v>1500</v>
      </c>
      <c r="AE199" s="525">
        <f t="shared" si="151"/>
        <v>23625</v>
      </c>
      <c r="AF199" s="525">
        <f t="shared" si="152"/>
        <v>23625</v>
      </c>
      <c r="AG199" s="525">
        <f t="shared" si="153"/>
        <v>0</v>
      </c>
      <c r="AH199" s="525">
        <f t="shared" si="154"/>
        <v>0</v>
      </c>
      <c r="AI199" s="525">
        <f t="shared" si="155"/>
        <v>0</v>
      </c>
      <c r="AJ199" s="525">
        <f t="shared" si="156"/>
        <v>0</v>
      </c>
      <c r="AK199" s="525">
        <f t="shared" si="157"/>
        <v>0</v>
      </c>
      <c r="AL199" s="525">
        <f t="shared" si="158"/>
        <v>0</v>
      </c>
    </row>
    <row r="200" spans="1:38" s="332" customFormat="1">
      <c r="A200" s="356"/>
      <c r="B200" s="356" t="s">
        <v>2014</v>
      </c>
      <c r="C200" s="619">
        <f t="shared" si="165"/>
        <v>0</v>
      </c>
      <c r="D200" s="341">
        <f>VLOOKUP(B200,DONGIA,DG!$B$6,0)</f>
        <v>0</v>
      </c>
      <c r="E200" s="340" t="str">
        <f>VLOOKUP(B200,DONGIA,DG!$C$6,0)</f>
        <v>Boulon 16x500VRS + 2 long đền vuông D18-50x50x3/Zn</v>
      </c>
      <c r="F200" s="341" t="str">
        <f>VLOOKUP(B200,DONGIA,DG!$D$6,0)</f>
        <v>bộ</v>
      </c>
      <c r="G200" s="340"/>
      <c r="H200" s="329">
        <f>VLOOKUP($B200,DONGIA,DG!$E$6,0)</f>
        <v>41000</v>
      </c>
      <c r="I200" s="329"/>
      <c r="J200" s="329"/>
      <c r="K200" s="329">
        <f>VLOOKUP($B200,DONGIA,DG!$F$6,0)</f>
        <v>0</v>
      </c>
      <c r="L200" s="329"/>
      <c r="M200" s="329">
        <f>VLOOKUP($B200,DONGIA,DG!$G$6,0)</f>
        <v>0</v>
      </c>
      <c r="N200" s="329">
        <f t="shared" si="166"/>
        <v>0</v>
      </c>
      <c r="O200" s="329">
        <f t="shared" si="159"/>
        <v>0</v>
      </c>
      <c r="P200" s="329">
        <f t="shared" si="160"/>
        <v>0</v>
      </c>
      <c r="Q200" s="329">
        <f t="shared" si="161"/>
        <v>0</v>
      </c>
      <c r="R200" s="329">
        <f t="shared" si="162"/>
        <v>0</v>
      </c>
      <c r="S200" s="329">
        <f t="shared" si="163"/>
        <v>0</v>
      </c>
      <c r="U200" s="329">
        <f t="shared" ref="U200:AB200" si="168">U$178*$G200</f>
        <v>0</v>
      </c>
      <c r="V200" s="329">
        <f t="shared" si="168"/>
        <v>0</v>
      </c>
      <c r="W200" s="329">
        <f t="shared" si="168"/>
        <v>0</v>
      </c>
      <c r="X200" s="329">
        <f t="shared" si="168"/>
        <v>0</v>
      </c>
      <c r="Y200" s="329">
        <f t="shared" si="168"/>
        <v>0</v>
      </c>
      <c r="Z200" s="329">
        <f t="shared" si="168"/>
        <v>0</v>
      </c>
      <c r="AA200" s="329">
        <f t="shared" si="168"/>
        <v>0</v>
      </c>
      <c r="AB200" s="329">
        <f t="shared" si="168"/>
        <v>0</v>
      </c>
      <c r="AD200" s="332">
        <f t="shared" si="150"/>
        <v>0.90000000000000024</v>
      </c>
      <c r="AE200" s="329">
        <f t="shared" si="151"/>
        <v>0</v>
      </c>
      <c r="AF200" s="329">
        <f t="shared" si="152"/>
        <v>0</v>
      </c>
      <c r="AG200" s="329">
        <f t="shared" si="153"/>
        <v>0</v>
      </c>
      <c r="AH200" s="329">
        <f t="shared" si="154"/>
        <v>0</v>
      </c>
      <c r="AI200" s="329">
        <f t="shared" si="155"/>
        <v>0</v>
      </c>
      <c r="AJ200" s="329">
        <f t="shared" si="156"/>
        <v>0</v>
      </c>
      <c r="AK200" s="329">
        <f t="shared" si="157"/>
        <v>0</v>
      </c>
      <c r="AL200" s="329">
        <f t="shared" si="158"/>
        <v>0</v>
      </c>
    </row>
    <row r="201" spans="1:38">
      <c r="A201" s="618"/>
      <c r="B201" s="618" t="s">
        <v>2015</v>
      </c>
      <c r="C201" s="619">
        <f t="shared" si="165"/>
        <v>1</v>
      </c>
      <c r="D201" s="523">
        <f>VLOOKUP(B201,DONGIA,DG!$B$6,0)</f>
        <v>0</v>
      </c>
      <c r="E201" s="666" t="str">
        <f>VLOOKUP(B201,DONGIA,DG!$C$6,0)</f>
        <v>Boulon 16x550VRS + 2 long đền vuông D18-50x50x3/Zn</v>
      </c>
      <c r="F201" s="523" t="str">
        <f>VLOOKUP(B201,DONGIA,DG!$D$6,0)</f>
        <v>bộ</v>
      </c>
      <c r="G201" s="525">
        <v>1</v>
      </c>
      <c r="H201" s="525">
        <f>VLOOKUP($B201,DONGIA,DG!$E$6,0)</f>
        <v>43000</v>
      </c>
      <c r="I201" s="525"/>
      <c r="J201" s="525"/>
      <c r="K201" s="525">
        <f>VLOOKUP($B201,DONGIA,DG!$F$6,0)</f>
        <v>0</v>
      </c>
      <c r="L201" s="525"/>
      <c r="M201" s="525">
        <f>VLOOKUP($B201,DONGIA,DG!$G$6,0)</f>
        <v>0</v>
      </c>
      <c r="N201" s="525">
        <f t="shared" si="166"/>
        <v>43000</v>
      </c>
      <c r="O201" s="525">
        <f t="shared" si="159"/>
        <v>0</v>
      </c>
      <c r="P201" s="525">
        <f t="shared" si="160"/>
        <v>0</v>
      </c>
      <c r="Q201" s="525">
        <f t="shared" si="161"/>
        <v>0</v>
      </c>
      <c r="R201" s="525">
        <f t="shared" si="162"/>
        <v>0</v>
      </c>
      <c r="S201" s="525">
        <f t="shared" si="163"/>
        <v>0</v>
      </c>
      <c r="U201" s="525">
        <f t="shared" ref="U201:AB211" si="169">U$195*$G201</f>
        <v>15</v>
      </c>
      <c r="V201" s="525">
        <f t="shared" si="169"/>
        <v>15</v>
      </c>
      <c r="W201" s="525">
        <f t="shared" si="169"/>
        <v>0</v>
      </c>
      <c r="X201" s="525">
        <f t="shared" si="169"/>
        <v>0</v>
      </c>
      <c r="Y201" s="525">
        <f t="shared" si="169"/>
        <v>0</v>
      </c>
      <c r="Z201" s="525">
        <f t="shared" si="169"/>
        <v>0</v>
      </c>
      <c r="AA201" s="525">
        <f t="shared" si="169"/>
        <v>0</v>
      </c>
      <c r="AB201" s="525">
        <f t="shared" si="169"/>
        <v>0</v>
      </c>
      <c r="AD201" s="405">
        <f t="shared" si="150"/>
        <v>0.95000000000000029</v>
      </c>
      <c r="AE201" s="525">
        <f t="shared" si="151"/>
        <v>14.250000000000004</v>
      </c>
      <c r="AF201" s="525">
        <f t="shared" si="152"/>
        <v>14.250000000000004</v>
      </c>
      <c r="AG201" s="525">
        <f t="shared" si="153"/>
        <v>0</v>
      </c>
      <c r="AH201" s="525">
        <f t="shared" si="154"/>
        <v>0</v>
      </c>
      <c r="AI201" s="525">
        <f t="shared" si="155"/>
        <v>0</v>
      </c>
      <c r="AJ201" s="525">
        <f t="shared" si="156"/>
        <v>0</v>
      </c>
      <c r="AK201" s="525">
        <f t="shared" si="157"/>
        <v>0</v>
      </c>
      <c r="AL201" s="525">
        <f t="shared" si="158"/>
        <v>0</v>
      </c>
    </row>
    <row r="202" spans="1:38">
      <c r="A202" s="618"/>
      <c r="B202" s="618" t="s">
        <v>2017</v>
      </c>
      <c r="C202" s="619">
        <f t="shared" si="165"/>
        <v>1</v>
      </c>
      <c r="D202" s="523">
        <f>VLOOKUP(B202,DONGIA,DG!$B$6,0)</f>
        <v>0</v>
      </c>
      <c r="E202" s="666" t="str">
        <f>VLOOKUP(B202,DONGIA,DG!$C$6,0)</f>
        <v>Boulon 16x650VRS + 2 long đền vuông D18-50x50x3/Zn</v>
      </c>
      <c r="F202" s="523" t="str">
        <f>VLOOKUP(B202,DONGIA,DG!$D$6,0)</f>
        <v>bộ</v>
      </c>
      <c r="G202" s="525">
        <v>1</v>
      </c>
      <c r="H202" s="525">
        <f>VLOOKUP($B202,DONGIA,DG!$E$6,0)</f>
        <v>49000</v>
      </c>
      <c r="I202" s="525"/>
      <c r="J202" s="525"/>
      <c r="K202" s="525">
        <f>VLOOKUP($B202,DONGIA,DG!$F$6,0)</f>
        <v>0</v>
      </c>
      <c r="L202" s="525"/>
      <c r="M202" s="525">
        <f>VLOOKUP($B202,DONGIA,DG!$G$6,0)</f>
        <v>0</v>
      </c>
      <c r="N202" s="525">
        <f t="shared" si="166"/>
        <v>49000</v>
      </c>
      <c r="O202" s="525">
        <f t="shared" si="159"/>
        <v>0</v>
      </c>
      <c r="P202" s="525">
        <f t="shared" si="160"/>
        <v>0</v>
      </c>
      <c r="Q202" s="525">
        <f t="shared" si="161"/>
        <v>0</v>
      </c>
      <c r="R202" s="525">
        <f t="shared" si="162"/>
        <v>0</v>
      </c>
      <c r="S202" s="525">
        <f t="shared" si="163"/>
        <v>0</v>
      </c>
      <c r="U202" s="525">
        <f t="shared" si="169"/>
        <v>15</v>
      </c>
      <c r="V202" s="525">
        <f t="shared" si="169"/>
        <v>15</v>
      </c>
      <c r="W202" s="525">
        <f t="shared" si="169"/>
        <v>0</v>
      </c>
      <c r="X202" s="525">
        <f t="shared" si="169"/>
        <v>0</v>
      </c>
      <c r="Y202" s="525">
        <f t="shared" si="169"/>
        <v>0</v>
      </c>
      <c r="Z202" s="525">
        <f t="shared" si="169"/>
        <v>0</v>
      </c>
      <c r="AA202" s="525">
        <f t="shared" si="169"/>
        <v>0</v>
      </c>
      <c r="AB202" s="525">
        <f t="shared" si="169"/>
        <v>0</v>
      </c>
      <c r="AD202" s="405">
        <f t="shared" si="150"/>
        <v>1.0500000000000003</v>
      </c>
      <c r="AE202" s="525">
        <f t="shared" si="151"/>
        <v>15.750000000000004</v>
      </c>
      <c r="AF202" s="525">
        <f t="shared" si="152"/>
        <v>15.750000000000004</v>
      </c>
      <c r="AG202" s="525">
        <f t="shared" si="153"/>
        <v>0</v>
      </c>
      <c r="AH202" s="525">
        <f t="shared" si="154"/>
        <v>0</v>
      </c>
      <c r="AI202" s="525">
        <f t="shared" si="155"/>
        <v>0</v>
      </c>
      <c r="AJ202" s="525">
        <f t="shared" si="156"/>
        <v>0</v>
      </c>
      <c r="AK202" s="525">
        <f t="shared" si="157"/>
        <v>0</v>
      </c>
      <c r="AL202" s="525">
        <f t="shared" si="158"/>
        <v>0</v>
      </c>
    </row>
    <row r="203" spans="1:38">
      <c r="A203" s="618"/>
      <c r="B203" s="618" t="s">
        <v>2057</v>
      </c>
      <c r="C203" s="619">
        <f t="shared" si="165"/>
        <v>1</v>
      </c>
      <c r="D203" s="523">
        <f>VLOOKUP(B203,DONGIA,DG!$B$6,0)</f>
        <v>0</v>
      </c>
      <c r="E203" s="666" t="str">
        <f>VLOOKUP(B203,DONGIA,DG!$C$6,0)</f>
        <v>Boulon 16x750VRS + 2 long đền vuông D18-50x50x3/Zn</v>
      </c>
      <c r="F203" s="523" t="str">
        <f>VLOOKUP(B203,DONGIA,DG!$D$6,0)</f>
        <v>bộ</v>
      </c>
      <c r="G203" s="525">
        <v>1</v>
      </c>
      <c r="H203" s="525">
        <f>VLOOKUP($B203,DONGIA,DG!$E$6,0)</f>
        <v>55000</v>
      </c>
      <c r="I203" s="525"/>
      <c r="J203" s="525"/>
      <c r="K203" s="525">
        <f>VLOOKUP($B203,DONGIA,DG!$F$6,0)</f>
        <v>0</v>
      </c>
      <c r="L203" s="525"/>
      <c r="M203" s="525">
        <f>VLOOKUP($B203,DONGIA,DG!$G$6,0)</f>
        <v>0</v>
      </c>
      <c r="N203" s="525">
        <f t="shared" si="166"/>
        <v>55000</v>
      </c>
      <c r="O203" s="525">
        <f t="shared" si="159"/>
        <v>0</v>
      </c>
      <c r="P203" s="525">
        <f t="shared" si="160"/>
        <v>0</v>
      </c>
      <c r="Q203" s="525">
        <f t="shared" si="161"/>
        <v>0</v>
      </c>
      <c r="R203" s="525">
        <f t="shared" si="162"/>
        <v>0</v>
      </c>
      <c r="S203" s="525">
        <f t="shared" si="163"/>
        <v>0</v>
      </c>
      <c r="U203" s="525">
        <f t="shared" si="169"/>
        <v>15</v>
      </c>
      <c r="V203" s="525">
        <f t="shared" si="169"/>
        <v>15</v>
      </c>
      <c r="W203" s="525">
        <f t="shared" si="169"/>
        <v>0</v>
      </c>
      <c r="X203" s="525">
        <f t="shared" si="169"/>
        <v>0</v>
      </c>
      <c r="Y203" s="525">
        <f t="shared" si="169"/>
        <v>0</v>
      </c>
      <c r="Z203" s="525">
        <f t="shared" si="169"/>
        <v>0</v>
      </c>
      <c r="AA203" s="525">
        <f t="shared" si="169"/>
        <v>0</v>
      </c>
      <c r="AB203" s="525">
        <f t="shared" si="169"/>
        <v>0</v>
      </c>
      <c r="AD203" s="405">
        <f t="shared" si="150"/>
        <v>1.1500000000000004</v>
      </c>
      <c r="AE203" s="525">
        <f t="shared" si="151"/>
        <v>17.250000000000007</v>
      </c>
      <c r="AF203" s="525">
        <f t="shared" si="152"/>
        <v>17.250000000000007</v>
      </c>
      <c r="AG203" s="525">
        <f t="shared" si="153"/>
        <v>0</v>
      </c>
      <c r="AH203" s="525">
        <f t="shared" si="154"/>
        <v>0</v>
      </c>
      <c r="AI203" s="525">
        <f t="shared" si="155"/>
        <v>0</v>
      </c>
      <c r="AJ203" s="525">
        <f t="shared" si="156"/>
        <v>0</v>
      </c>
      <c r="AK203" s="525">
        <f t="shared" si="157"/>
        <v>0</v>
      </c>
      <c r="AL203" s="525">
        <f t="shared" si="158"/>
        <v>0</v>
      </c>
    </row>
    <row r="204" spans="1:38">
      <c r="A204" s="618"/>
      <c r="B204" s="618" t="s">
        <v>3509</v>
      </c>
      <c r="C204" s="619">
        <f t="shared" si="165"/>
        <v>1</v>
      </c>
      <c r="D204" s="523">
        <f>VLOOKUP(B204,DONGIA,DG!$B$6,0)</f>
        <v>0</v>
      </c>
      <c r="E204" s="666" t="str">
        <f>VLOOKUP(B204,DONGIA,DG!$C$6,0)</f>
        <v>Đinh: 15kg/100m2 ván khuôn</v>
      </c>
      <c r="F204" s="523" t="str">
        <f>VLOOKUP(B204,DONGIA,DG!$D$6,0)</f>
        <v>kg</v>
      </c>
      <c r="G204" s="626">
        <f>ROUND(G208*15/100,2)</f>
        <v>0.62</v>
      </c>
      <c r="H204" s="525"/>
      <c r="I204" s="525">
        <f>VLOOKUP($B204,DONGIA,DG!$E$6,0)</f>
        <v>25000</v>
      </c>
      <c r="J204" s="525"/>
      <c r="K204" s="525">
        <f>VLOOKUP($B204,DONGIA,DG!$F$6,0)</f>
        <v>0</v>
      </c>
      <c r="L204" s="525"/>
      <c r="M204" s="525">
        <f>VLOOKUP($B204,DONGIA,DG!$G$6,0)</f>
        <v>0</v>
      </c>
      <c r="N204" s="525">
        <f t="shared" ref="N204:S208" si="170">$G204*H204</f>
        <v>0</v>
      </c>
      <c r="O204" s="525">
        <f t="shared" si="170"/>
        <v>15500</v>
      </c>
      <c r="P204" s="525">
        <f t="shared" si="170"/>
        <v>0</v>
      </c>
      <c r="Q204" s="525">
        <f t="shared" si="170"/>
        <v>0</v>
      </c>
      <c r="R204" s="525">
        <f t="shared" si="170"/>
        <v>0</v>
      </c>
      <c r="S204" s="525">
        <f t="shared" si="170"/>
        <v>0</v>
      </c>
      <c r="U204" s="404"/>
      <c r="V204" s="404"/>
      <c r="W204" s="404"/>
      <c r="X204" s="404"/>
      <c r="Y204" s="404"/>
      <c r="Z204" s="404"/>
      <c r="AA204" s="404"/>
      <c r="AB204" s="404"/>
      <c r="AE204" s="404"/>
      <c r="AF204" s="404"/>
      <c r="AG204" s="404"/>
      <c r="AH204" s="404"/>
      <c r="AI204" s="404"/>
      <c r="AJ204" s="404"/>
      <c r="AK204" s="404"/>
      <c r="AL204" s="404"/>
    </row>
    <row r="205" spans="1:38">
      <c r="A205" s="618"/>
      <c r="B205" s="618" t="s">
        <v>3505</v>
      </c>
      <c r="C205" s="619">
        <f t="shared" si="165"/>
        <v>1</v>
      </c>
      <c r="D205" s="523">
        <f>VLOOKUP(B205,DONGIA,DG!$B$6,0)</f>
        <v>0</v>
      </c>
      <c r="E205" s="666" t="str">
        <f>VLOOKUP(B205,DONGIA,DG!$C$6,0)</f>
        <v>Gỗ chống: 0,335 m3/100m2 ván khuôn</v>
      </c>
      <c r="F205" s="523" t="str">
        <f>VLOOKUP(B205,DONGIA,DG!$D$6,0)</f>
        <v>m3</v>
      </c>
      <c r="G205" s="845">
        <f>ROUND(G208*0.335/100,4)</f>
        <v>1.3899999999999999E-2</v>
      </c>
      <c r="H205" s="525"/>
      <c r="I205" s="525">
        <f>VLOOKUP($B205,DONGIA,DG!$E$6,0)</f>
        <v>3800000</v>
      </c>
      <c r="J205" s="525"/>
      <c r="K205" s="525">
        <f>VLOOKUP($B205,DONGIA,DG!$F$6,0)</f>
        <v>0</v>
      </c>
      <c r="L205" s="525"/>
      <c r="M205" s="525">
        <f>VLOOKUP($B205,DONGIA,DG!$G$6,0)</f>
        <v>0</v>
      </c>
      <c r="N205" s="525">
        <f t="shared" si="170"/>
        <v>0</v>
      </c>
      <c r="O205" s="525">
        <f t="shared" si="170"/>
        <v>52820</v>
      </c>
      <c r="P205" s="525">
        <f t="shared" si="170"/>
        <v>0</v>
      </c>
      <c r="Q205" s="525">
        <f t="shared" si="170"/>
        <v>0</v>
      </c>
      <c r="R205" s="525">
        <f t="shared" si="170"/>
        <v>0</v>
      </c>
      <c r="S205" s="525">
        <f t="shared" si="170"/>
        <v>0</v>
      </c>
      <c r="U205" s="404"/>
      <c r="V205" s="404"/>
      <c r="W205" s="404"/>
      <c r="X205" s="404"/>
      <c r="Y205" s="404"/>
      <c r="Z205" s="404"/>
      <c r="AA205" s="404"/>
      <c r="AB205" s="404"/>
      <c r="AE205" s="404"/>
      <c r="AF205" s="404"/>
      <c r="AG205" s="404"/>
      <c r="AH205" s="404"/>
      <c r="AI205" s="404"/>
      <c r="AJ205" s="404"/>
      <c r="AK205" s="404"/>
      <c r="AL205" s="404"/>
    </row>
    <row r="206" spans="1:38">
      <c r="A206" s="618"/>
      <c r="B206" s="618" t="s">
        <v>3507</v>
      </c>
      <c r="C206" s="619">
        <f t="shared" si="165"/>
        <v>1</v>
      </c>
      <c r="D206" s="523">
        <f>VLOOKUP(B206,DONGIA,DG!$B$6,0)</f>
        <v>0</v>
      </c>
      <c r="E206" s="666" t="str">
        <f>VLOOKUP(B206,DONGIA,DG!$C$6,0)</f>
        <v>Gỗ đà nẹp: 0,21 m3/100m2 ván khuôn</v>
      </c>
      <c r="F206" s="523" t="str">
        <f>VLOOKUP(B206,DONGIA,DG!$D$6,0)</f>
        <v>m3</v>
      </c>
      <c r="G206" s="845">
        <f>ROUND(G208*0.21/100,4)</f>
        <v>8.6999999999999994E-3</v>
      </c>
      <c r="H206" s="525"/>
      <c r="I206" s="525">
        <f>VLOOKUP($B206,DONGIA,DG!$E$6,0)</f>
        <v>3800000</v>
      </c>
      <c r="J206" s="525"/>
      <c r="K206" s="525">
        <f>VLOOKUP($B206,DONGIA,DG!$F$6,0)</f>
        <v>0</v>
      </c>
      <c r="L206" s="525"/>
      <c r="M206" s="525">
        <f>VLOOKUP($B206,DONGIA,DG!$G$6,0)</f>
        <v>0</v>
      </c>
      <c r="N206" s="525">
        <f t="shared" si="170"/>
        <v>0</v>
      </c>
      <c r="O206" s="525">
        <f t="shared" si="170"/>
        <v>33060</v>
      </c>
      <c r="P206" s="525">
        <f t="shared" si="170"/>
        <v>0</v>
      </c>
      <c r="Q206" s="525">
        <f t="shared" si="170"/>
        <v>0</v>
      </c>
      <c r="R206" s="525">
        <f t="shared" si="170"/>
        <v>0</v>
      </c>
      <c r="S206" s="525">
        <f t="shared" si="170"/>
        <v>0</v>
      </c>
      <c r="U206" s="404"/>
      <c r="V206" s="404"/>
      <c r="W206" s="404"/>
      <c r="X206" s="404"/>
      <c r="Y206" s="404"/>
      <c r="Z206" s="404"/>
      <c r="AA206" s="404"/>
      <c r="AB206" s="404"/>
      <c r="AE206" s="404"/>
      <c r="AF206" s="404"/>
      <c r="AG206" s="404"/>
      <c r="AH206" s="404"/>
      <c r="AI206" s="404"/>
      <c r="AJ206" s="404"/>
      <c r="AK206" s="404"/>
      <c r="AL206" s="404"/>
    </row>
    <row r="207" spans="1:38">
      <c r="A207" s="618"/>
      <c r="B207" s="618" t="s">
        <v>3503</v>
      </c>
      <c r="C207" s="619">
        <f t="shared" si="165"/>
        <v>1</v>
      </c>
      <c r="D207" s="523">
        <f>VLOOKUP(B207,DONGIA,DG!$B$6,0)</f>
        <v>0</v>
      </c>
      <c r="E207" s="666" t="str">
        <f>VLOOKUP(B207,DONGIA,DG!$C$6,0)</f>
        <v>Gỗ ván (cả nẹp): 0,792 m3/100m2 ván khuôn</v>
      </c>
      <c r="F207" s="523" t="str">
        <f>VLOOKUP(B207,DONGIA,DG!$D$6,0)</f>
        <v>m3</v>
      </c>
      <c r="G207" s="845">
        <f>ROUND(G208*0.792/100,4)</f>
        <v>3.2899999999999999E-2</v>
      </c>
      <c r="H207" s="525"/>
      <c r="I207" s="525">
        <f>VLOOKUP($B207,DONGIA,DG!$E$6,0)</f>
        <v>3800000</v>
      </c>
      <c r="J207" s="525"/>
      <c r="K207" s="525">
        <f>VLOOKUP($B207,DONGIA,DG!$F$6,0)</f>
        <v>0</v>
      </c>
      <c r="L207" s="525"/>
      <c r="M207" s="525">
        <f>VLOOKUP($B207,DONGIA,DG!$G$6,0)</f>
        <v>0</v>
      </c>
      <c r="N207" s="525">
        <f t="shared" si="170"/>
        <v>0</v>
      </c>
      <c r="O207" s="525">
        <f t="shared" si="170"/>
        <v>125020</v>
      </c>
      <c r="P207" s="525">
        <f t="shared" si="170"/>
        <v>0</v>
      </c>
      <c r="Q207" s="525">
        <f t="shared" si="170"/>
        <v>0</v>
      </c>
      <c r="R207" s="525">
        <f t="shared" si="170"/>
        <v>0</v>
      </c>
      <c r="S207" s="525">
        <f t="shared" si="170"/>
        <v>0</v>
      </c>
      <c r="U207" s="404"/>
      <c r="V207" s="404"/>
      <c r="W207" s="404"/>
      <c r="X207" s="404"/>
      <c r="Y207" s="404"/>
      <c r="Z207" s="404"/>
      <c r="AA207" s="404"/>
      <c r="AB207" s="404"/>
      <c r="AE207" s="404"/>
      <c r="AF207" s="404"/>
      <c r="AG207" s="404"/>
      <c r="AH207" s="404"/>
      <c r="AI207" s="404"/>
      <c r="AJ207" s="404"/>
      <c r="AK207" s="404"/>
      <c r="AL207" s="404"/>
    </row>
    <row r="208" spans="1:38">
      <c r="A208" s="618"/>
      <c r="B208" s="618" t="s">
        <v>3511</v>
      </c>
      <c r="C208" s="619">
        <f t="shared" si="165"/>
        <v>1</v>
      </c>
      <c r="D208" s="523" t="str">
        <f>VLOOKUP(B208,DONGIA,DG!$B$6,0)</f>
        <v>AF.81122</v>
      </c>
      <c r="E208" s="666" t="str">
        <f>VLOOKUP(B208,DONGIA,DG!$C$6,0)</f>
        <v>Lắp ván khuôn gỗ móng - móng vuông, chữ nhật</v>
      </c>
      <c r="F208" s="523" t="str">
        <f>VLOOKUP(B208,DONGIA,DG!$D$6,0)</f>
        <v>m2</v>
      </c>
      <c r="G208" s="626">
        <f>ROUND(1.2*0.8*2+1.4*0.8*2,3)</f>
        <v>4.16</v>
      </c>
      <c r="H208" s="525">
        <f>VLOOKUP($B208,DONGIA,DG!$E$6,0)</f>
        <v>0</v>
      </c>
      <c r="I208" s="525"/>
      <c r="J208" s="525">
        <f>VLOOKUP($B208,DONGIA,DG!$F$6,0)</f>
        <v>57946</v>
      </c>
      <c r="K208" s="525"/>
      <c r="L208" s="525"/>
      <c r="M208" s="525">
        <f>VLOOKUP($B208,DONGIA,DG!$G$6,0)</f>
        <v>0</v>
      </c>
      <c r="N208" s="525">
        <f t="shared" si="170"/>
        <v>0</v>
      </c>
      <c r="O208" s="525">
        <f t="shared" si="170"/>
        <v>0</v>
      </c>
      <c r="P208" s="525">
        <f t="shared" si="170"/>
        <v>241055.36000000002</v>
      </c>
      <c r="Q208" s="525">
        <f t="shared" si="170"/>
        <v>0</v>
      </c>
      <c r="R208" s="525">
        <f t="shared" si="170"/>
        <v>0</v>
      </c>
      <c r="S208" s="525">
        <f t="shared" si="170"/>
        <v>0</v>
      </c>
      <c r="U208" s="404"/>
      <c r="V208" s="404"/>
      <c r="W208" s="404"/>
      <c r="X208" s="404"/>
      <c r="Y208" s="404"/>
      <c r="Z208" s="404"/>
      <c r="AA208" s="404"/>
      <c r="AB208" s="404"/>
      <c r="AE208" s="404"/>
      <c r="AF208" s="404"/>
      <c r="AG208" s="404"/>
      <c r="AH208" s="404"/>
      <c r="AI208" s="404"/>
      <c r="AJ208" s="404"/>
      <c r="AK208" s="404"/>
      <c r="AL208" s="404"/>
    </row>
    <row r="209" spans="1:38">
      <c r="A209" s="618"/>
      <c r="B209" s="618" t="s">
        <v>3568</v>
      </c>
      <c r="C209" s="619">
        <f t="shared" si="165"/>
        <v>1</v>
      </c>
      <c r="D209" s="523" t="str">
        <f>VLOOKUP(B209,DONGIA,DG!$B$6,0)</f>
        <v>AB.11433</v>
      </c>
      <c r="E209" s="666" t="str">
        <f>VLOOKUP(B209,DONGIA,DG!$C$6,0)</f>
        <v>Đào hố móng đất cấp 3 sâu ≤1m (rộng &gt;1m)</v>
      </c>
      <c r="F209" s="523" t="str">
        <f>VLOOKUP(B209,DONGIA,DG!$D$6,0)</f>
        <v>m3</v>
      </c>
      <c r="G209" s="626">
        <v>0.67200000000000004</v>
      </c>
      <c r="H209" s="525"/>
      <c r="I209" s="525"/>
      <c r="J209" s="525">
        <f>VLOOKUP($B209,DONGIA,DG!$F$6,0)</f>
        <v>223685</v>
      </c>
      <c r="K209" s="525"/>
      <c r="L209" s="525">
        <f>VLOOKUP($B209,DONGIA,DG!$G$6,0)</f>
        <v>0</v>
      </c>
      <c r="M209" s="525"/>
      <c r="N209" s="525">
        <f t="shared" si="166"/>
        <v>0</v>
      </c>
      <c r="O209" s="525">
        <f t="shared" si="159"/>
        <v>0</v>
      </c>
      <c r="P209" s="525">
        <f t="shared" si="160"/>
        <v>150316.32</v>
      </c>
      <c r="Q209" s="525">
        <f t="shared" si="161"/>
        <v>0</v>
      </c>
      <c r="R209" s="525">
        <f t="shared" si="162"/>
        <v>0</v>
      </c>
      <c r="S209" s="525">
        <f t="shared" si="163"/>
        <v>0</v>
      </c>
      <c r="U209" s="525">
        <f t="shared" si="169"/>
        <v>10.08</v>
      </c>
      <c r="V209" s="525">
        <f t="shared" si="169"/>
        <v>10.08</v>
      </c>
      <c r="W209" s="525">
        <f t="shared" si="169"/>
        <v>0</v>
      </c>
      <c r="X209" s="525">
        <f t="shared" si="169"/>
        <v>0</v>
      </c>
      <c r="Y209" s="525">
        <f t="shared" si="169"/>
        <v>0</v>
      </c>
      <c r="Z209" s="525">
        <f t="shared" si="169"/>
        <v>0</v>
      </c>
      <c r="AA209" s="525">
        <f t="shared" si="169"/>
        <v>0</v>
      </c>
      <c r="AB209" s="525">
        <f t="shared" si="169"/>
        <v>0</v>
      </c>
      <c r="AD209" s="405">
        <f t="shared" si="150"/>
        <v>0</v>
      </c>
      <c r="AE209" s="525">
        <f t="shared" si="151"/>
        <v>0</v>
      </c>
      <c r="AF209" s="525">
        <f t="shared" si="152"/>
        <v>0</v>
      </c>
      <c r="AG209" s="525">
        <f t="shared" si="153"/>
        <v>0</v>
      </c>
      <c r="AH209" s="525">
        <f t="shared" si="154"/>
        <v>0</v>
      </c>
      <c r="AI209" s="525">
        <f t="shared" si="155"/>
        <v>0</v>
      </c>
      <c r="AJ209" s="525">
        <f t="shared" si="156"/>
        <v>0</v>
      </c>
      <c r="AK209" s="525">
        <f t="shared" si="157"/>
        <v>0</v>
      </c>
      <c r="AL209" s="525">
        <f t="shared" si="158"/>
        <v>0</v>
      </c>
    </row>
    <row r="210" spans="1:38">
      <c r="A210" s="618"/>
      <c r="B210" s="618" t="s">
        <v>3823</v>
      </c>
      <c r="C210" s="619">
        <f>IF(G210&lt;&gt;0,$C$178,)</f>
        <v>1</v>
      </c>
      <c r="D210" s="523" t="str">
        <f>VLOOKUP(B210,DONGIA,DG!$B$6,0)</f>
        <v>AB.51613</v>
      </c>
      <c r="E210" s="666" t="str">
        <f>VLOOKUP(B210,DONGIA,DG!$C$6,0)</f>
        <v>Phá đá chân hố móng, đá cấp III (bằng búa căn)</v>
      </c>
      <c r="F210" s="523" t="str">
        <f>VLOOKUP(B210,DONGIA,DG!$D$6,0)</f>
        <v>m3</v>
      </c>
      <c r="G210" s="626">
        <v>1.968</v>
      </c>
      <c r="H210" s="525"/>
      <c r="I210" s="525"/>
      <c r="J210" s="525">
        <f>VLOOKUP($B210,DONGIA,DG!$F$6,0)</f>
        <v>296545</v>
      </c>
      <c r="K210" s="525"/>
      <c r="L210" s="525">
        <f>VLOOKUP($B210,DONGIA,DG!$G$6,0)</f>
        <v>525018</v>
      </c>
      <c r="M210" s="525"/>
      <c r="N210" s="525">
        <f t="shared" ref="N210:S210" si="171">$G210*H210</f>
        <v>0</v>
      </c>
      <c r="O210" s="525">
        <f t="shared" si="171"/>
        <v>0</v>
      </c>
      <c r="P210" s="525">
        <f t="shared" si="171"/>
        <v>583600.55999999994</v>
      </c>
      <c r="Q210" s="525">
        <f t="shared" si="171"/>
        <v>0</v>
      </c>
      <c r="R210" s="525">
        <f>$G210*L210</f>
        <v>1033235.424</v>
      </c>
      <c r="S210" s="525">
        <f t="shared" si="171"/>
        <v>0</v>
      </c>
      <c r="U210" s="525">
        <f t="shared" si="169"/>
        <v>29.52</v>
      </c>
      <c r="V210" s="525">
        <f t="shared" si="169"/>
        <v>29.52</v>
      </c>
      <c r="W210" s="525">
        <f t="shared" si="169"/>
        <v>0</v>
      </c>
      <c r="X210" s="525">
        <f t="shared" si="169"/>
        <v>0</v>
      </c>
      <c r="Y210" s="525">
        <f t="shared" si="169"/>
        <v>0</v>
      </c>
      <c r="Z210" s="525">
        <f t="shared" si="169"/>
        <v>0</v>
      </c>
      <c r="AA210" s="525">
        <f t="shared" si="169"/>
        <v>0</v>
      </c>
      <c r="AB210" s="525">
        <f t="shared" si="169"/>
        <v>0</v>
      </c>
      <c r="AD210" s="405">
        <f>IFERROR(VLOOKUP(B210,DONGIA,$AD$3,0),0)</f>
        <v>0</v>
      </c>
      <c r="AE210" s="525">
        <f t="shared" ref="AE210:AL210" si="172">U210*$AD210</f>
        <v>0</v>
      </c>
      <c r="AF210" s="525">
        <f t="shared" si="172"/>
        <v>0</v>
      </c>
      <c r="AG210" s="525">
        <f t="shared" si="172"/>
        <v>0</v>
      </c>
      <c r="AH210" s="525">
        <f t="shared" si="172"/>
        <v>0</v>
      </c>
      <c r="AI210" s="525">
        <f t="shared" si="172"/>
        <v>0</v>
      </c>
      <c r="AJ210" s="525">
        <f t="shared" si="172"/>
        <v>0</v>
      </c>
      <c r="AK210" s="525">
        <f t="shared" si="172"/>
        <v>0</v>
      </c>
      <c r="AL210" s="525">
        <f t="shared" si="172"/>
        <v>0</v>
      </c>
    </row>
    <row r="211" spans="1:38">
      <c r="A211" s="618"/>
      <c r="B211" s="618" t="s">
        <v>510</v>
      </c>
      <c r="C211" s="619">
        <f>IF(G211&lt;&gt;0,$C$178,)</f>
        <v>1</v>
      </c>
      <c r="D211" s="523" t="str">
        <f>VLOOKUP(B211,DONGIA,DG!$B$6,0)</f>
        <v>AB.65110</v>
      </c>
      <c r="E211" s="666" t="str">
        <f>VLOOKUP(B211,DONGIA,DG!$C$6,0)</f>
        <v>Đắp đất hố móng (K=0,85)</v>
      </c>
      <c r="F211" s="523" t="str">
        <f>VLOOKUP(B211,DONGIA,DG!$D$6,0)</f>
        <v>m3</v>
      </c>
      <c r="G211" s="626">
        <v>1.147</v>
      </c>
      <c r="H211" s="525"/>
      <c r="I211" s="525"/>
      <c r="J211" s="525">
        <f>VLOOKUP($B211,DONGIA,DG!$F$6,0)</f>
        <v>16267</v>
      </c>
      <c r="K211" s="525"/>
      <c r="L211" s="525">
        <f>VLOOKUP($B211,DONGIA,DG!$G$6,0)</f>
        <v>11176</v>
      </c>
      <c r="M211" s="525"/>
      <c r="N211" s="525">
        <f t="shared" si="166"/>
        <v>0</v>
      </c>
      <c r="O211" s="525">
        <f t="shared" si="159"/>
        <v>0</v>
      </c>
      <c r="P211" s="525">
        <f t="shared" si="160"/>
        <v>18658.249</v>
      </c>
      <c r="Q211" s="525">
        <f t="shared" si="161"/>
        <v>0</v>
      </c>
      <c r="R211" s="525">
        <f t="shared" si="162"/>
        <v>12818.871999999999</v>
      </c>
      <c r="S211" s="525">
        <f t="shared" si="163"/>
        <v>0</v>
      </c>
      <c r="U211" s="525">
        <f t="shared" si="169"/>
        <v>17.205000000000002</v>
      </c>
      <c r="V211" s="525">
        <f t="shared" si="169"/>
        <v>17.205000000000002</v>
      </c>
      <c r="W211" s="525">
        <f t="shared" si="169"/>
        <v>0</v>
      </c>
      <c r="X211" s="525">
        <f t="shared" si="169"/>
        <v>0</v>
      </c>
      <c r="Y211" s="525">
        <f t="shared" si="169"/>
        <v>0</v>
      </c>
      <c r="Z211" s="525">
        <f t="shared" si="169"/>
        <v>0</v>
      </c>
      <c r="AA211" s="525">
        <f t="shared" si="169"/>
        <v>0</v>
      </c>
      <c r="AB211" s="525">
        <f t="shared" si="169"/>
        <v>0</v>
      </c>
      <c r="AD211" s="405">
        <f t="shared" si="150"/>
        <v>0</v>
      </c>
      <c r="AE211" s="525">
        <f t="shared" si="151"/>
        <v>0</v>
      </c>
      <c r="AF211" s="525">
        <f t="shared" si="152"/>
        <v>0</v>
      </c>
      <c r="AG211" s="525">
        <f t="shared" si="153"/>
        <v>0</v>
      </c>
      <c r="AH211" s="525">
        <f t="shared" si="154"/>
        <v>0</v>
      </c>
      <c r="AI211" s="525">
        <f t="shared" si="155"/>
        <v>0</v>
      </c>
      <c r="AJ211" s="525">
        <f t="shared" si="156"/>
        <v>0</v>
      </c>
      <c r="AK211" s="525">
        <f t="shared" si="157"/>
        <v>0</v>
      </c>
      <c r="AL211" s="525">
        <f t="shared" si="158"/>
        <v>0</v>
      </c>
    </row>
    <row r="212" spans="1:38">
      <c r="A212" s="618"/>
      <c r="B212" s="618" t="s">
        <v>713</v>
      </c>
      <c r="C212" s="619">
        <f>IF(G212&lt;&gt;0,$C$178,)</f>
        <v>1</v>
      </c>
      <c r="D212" s="523" t="str">
        <f>VLOOKUP(B212,DONGIA,DG!$B$6,0)</f>
        <v>AF.11210</v>
      </c>
      <c r="E212" s="666" t="str">
        <f>VLOOKUP(B212,DONGIA,DG!$C$6,0)</f>
        <v>Đổ bê tông mác M200 đá 1x2</v>
      </c>
      <c r="F212" s="523" t="str">
        <f>VLOOKUP(B212,DONGIA,DG!$D$6,0)</f>
        <v>m3</v>
      </c>
      <c r="G212" s="626">
        <v>1.19</v>
      </c>
      <c r="H212" s="525"/>
      <c r="I212" s="525"/>
      <c r="J212" s="525">
        <f>VLOOKUP($B212,DONGIA,DG!$F$6,0)</f>
        <v>293475</v>
      </c>
      <c r="K212" s="525"/>
      <c r="L212" s="525">
        <f>VLOOKUP($B212,DONGIA,DG!$G$6,0)</f>
        <v>44701</v>
      </c>
      <c r="M212" s="525"/>
      <c r="N212" s="525">
        <f t="shared" si="166"/>
        <v>0</v>
      </c>
      <c r="O212" s="525">
        <f t="shared" si="159"/>
        <v>0</v>
      </c>
      <c r="P212" s="525">
        <f t="shared" si="160"/>
        <v>349235.25</v>
      </c>
      <c r="Q212" s="525">
        <f t="shared" si="161"/>
        <v>0</v>
      </c>
      <c r="R212" s="525">
        <f t="shared" si="162"/>
        <v>53194.189999999995</v>
      </c>
      <c r="S212" s="525">
        <f t="shared" si="163"/>
        <v>0</v>
      </c>
      <c r="U212" s="525"/>
      <c r="V212" s="525"/>
      <c r="W212" s="525"/>
      <c r="X212" s="525"/>
      <c r="Y212" s="525"/>
      <c r="Z212" s="525"/>
      <c r="AA212" s="525"/>
      <c r="AB212" s="525"/>
      <c r="AD212" s="405">
        <f t="shared" si="150"/>
        <v>0</v>
      </c>
      <c r="AE212" s="525">
        <f t="shared" si="151"/>
        <v>0</v>
      </c>
      <c r="AF212" s="525">
        <f t="shared" si="152"/>
        <v>0</v>
      </c>
      <c r="AG212" s="525">
        <f t="shared" si="153"/>
        <v>0</v>
      </c>
      <c r="AH212" s="525">
        <f t="shared" si="154"/>
        <v>0</v>
      </c>
      <c r="AI212" s="525">
        <f t="shared" si="155"/>
        <v>0</v>
      </c>
      <c r="AJ212" s="525">
        <f t="shared" si="156"/>
        <v>0</v>
      </c>
      <c r="AK212" s="525">
        <f t="shared" si="157"/>
        <v>0</v>
      </c>
      <c r="AL212" s="525">
        <f t="shared" si="158"/>
        <v>0</v>
      </c>
    </row>
    <row r="213" spans="1:38">
      <c r="A213" s="618" t="s">
        <v>1448</v>
      </c>
      <c r="B213" s="618"/>
      <c r="C213" s="619">
        <f>IF(G213&lt;&gt;0,1,)</f>
        <v>1</v>
      </c>
      <c r="D213" s="622"/>
      <c r="E213" s="623" t="s">
        <v>1655</v>
      </c>
      <c r="F213" s="622" t="s">
        <v>1633</v>
      </c>
      <c r="G213" s="622">
        <f>U213</f>
        <v>1</v>
      </c>
      <c r="H213" s="623"/>
      <c r="I213" s="623"/>
      <c r="J213" s="623"/>
      <c r="K213" s="623"/>
      <c r="L213" s="623"/>
      <c r="M213" s="623"/>
      <c r="N213" s="623">
        <f t="shared" ref="N213:S213" si="173">SUM(N215:N216)</f>
        <v>0</v>
      </c>
      <c r="O213" s="623">
        <f t="shared" si="173"/>
        <v>0</v>
      </c>
      <c r="P213" s="623">
        <f t="shared" si="173"/>
        <v>157906.815</v>
      </c>
      <c r="Q213" s="623">
        <f t="shared" si="173"/>
        <v>0</v>
      </c>
      <c r="R213" s="623">
        <f t="shared" si="173"/>
        <v>4056.8879999999999</v>
      </c>
      <c r="S213" s="623">
        <f t="shared" si="173"/>
        <v>0</v>
      </c>
      <c r="U213" s="623">
        <f>SUM(V213:AB213)</f>
        <v>1</v>
      </c>
      <c r="V213" s="623">
        <f>IFERROR(HLOOKUP($A213,BK3P,V$3,0),)</f>
        <v>1</v>
      </c>
      <c r="W213" s="623">
        <f>IFERROR(HLOOKUP($A213,BK3P,W$3,0),)</f>
        <v>0</v>
      </c>
      <c r="X213" s="623">
        <f>IFERROR(HLOOKUP($A213,BK3P,X$3,0),)</f>
        <v>0</v>
      </c>
      <c r="Y213" s="623">
        <f>IFERROR(HLOOKUP($A213,BK1P,Y$3,0),)</f>
        <v>0</v>
      </c>
      <c r="Z213" s="623">
        <f>IFERROR(HLOOKUP($A213,BK1P,Z$3,0),)</f>
        <v>0</v>
      </c>
      <c r="AA213" s="623">
        <f>IFERROR(HLOOKUP($A213,BK1P,AA$3,0),)</f>
        <v>0</v>
      </c>
      <c r="AB213" s="623">
        <f>IFERROR(HLOOKUP($A213,BKHT,AB$3,0),)</f>
        <v>0</v>
      </c>
      <c r="AD213" s="405">
        <f t="shared" ref="AD213:AD227" si="174">IFERROR(VLOOKUP(B213,DONGIA,$AD$3,0),0)</f>
        <v>0</v>
      </c>
      <c r="AE213" s="525">
        <f t="shared" ref="AE213:AE227" si="175">U213*$AD213</f>
        <v>0</v>
      </c>
      <c r="AF213" s="525">
        <f t="shared" ref="AF213:AF227" si="176">V213*$AD213</f>
        <v>0</v>
      </c>
      <c r="AG213" s="525">
        <f t="shared" ref="AG213:AG227" si="177">W213*$AD213</f>
        <v>0</v>
      </c>
      <c r="AH213" s="525">
        <f t="shared" ref="AH213:AH227" si="178">X213*$AD213</f>
        <v>0</v>
      </c>
      <c r="AI213" s="525">
        <f t="shared" ref="AI213:AI227" si="179">Y213*$AD213</f>
        <v>0</v>
      </c>
      <c r="AJ213" s="525">
        <f t="shared" ref="AJ213:AJ227" si="180">Z213*$AD213</f>
        <v>0</v>
      </c>
      <c r="AK213" s="525">
        <f t="shared" ref="AK213:AK227" si="181">AA213*$AD213</f>
        <v>0</v>
      </c>
      <c r="AL213" s="525">
        <f t="shared" ref="AL213:AL227" si="182">AB213*$AD213</f>
        <v>0</v>
      </c>
    </row>
    <row r="214" spans="1:38" s="542" customFormat="1">
      <c r="A214" s="624"/>
      <c r="B214" s="624"/>
      <c r="C214" s="625">
        <f>C213</f>
        <v>1</v>
      </c>
      <c r="D214" s="544"/>
      <c r="E214" s="545" t="s">
        <v>1644</v>
      </c>
      <c r="F214" s="544"/>
      <c r="G214" s="545"/>
      <c r="H214" s="545"/>
      <c r="I214" s="545"/>
      <c r="J214" s="545"/>
      <c r="K214" s="545"/>
      <c r="L214" s="545"/>
      <c r="M214" s="545"/>
      <c r="N214" s="545"/>
      <c r="O214" s="545"/>
      <c r="P214" s="545"/>
      <c r="Q214" s="545"/>
      <c r="R214" s="545"/>
      <c r="S214" s="545"/>
      <c r="U214" s="545"/>
      <c r="V214" s="545"/>
      <c r="W214" s="545"/>
      <c r="X214" s="545"/>
      <c r="Y214" s="545"/>
      <c r="Z214" s="545"/>
      <c r="AA214" s="545"/>
      <c r="AB214" s="545"/>
      <c r="AD214" s="405">
        <f t="shared" si="174"/>
        <v>0</v>
      </c>
      <c r="AE214" s="525">
        <f t="shared" si="175"/>
        <v>0</v>
      </c>
      <c r="AF214" s="525">
        <f t="shared" si="176"/>
        <v>0</v>
      </c>
      <c r="AG214" s="525">
        <f t="shared" si="177"/>
        <v>0</v>
      </c>
      <c r="AH214" s="525">
        <f t="shared" si="178"/>
        <v>0</v>
      </c>
      <c r="AI214" s="525">
        <f t="shared" si="179"/>
        <v>0</v>
      </c>
      <c r="AJ214" s="525">
        <f t="shared" si="180"/>
        <v>0</v>
      </c>
      <c r="AK214" s="525">
        <f t="shared" si="181"/>
        <v>0</v>
      </c>
      <c r="AL214" s="525">
        <f t="shared" si="182"/>
        <v>0</v>
      </c>
    </row>
    <row r="215" spans="1:38">
      <c r="A215" s="618"/>
      <c r="B215" s="618" t="s">
        <v>499</v>
      </c>
      <c r="C215" s="619">
        <f>IF(G215&lt;&gt;0,$C$213,)</f>
        <v>1</v>
      </c>
      <c r="D215" s="523" t="str">
        <f>VLOOKUP(B215,DONGIA,DG!$B$6,0)</f>
        <v>AB.11423</v>
      </c>
      <c r="E215" s="525" t="str">
        <f>VLOOKUP(B215,DONGIA,DG!$C$6,0)</f>
        <v>Đào hố móng đất cấp 3 sâu &gt;1m (rộng ≤1m)</v>
      </c>
      <c r="F215" s="523" t="str">
        <f>VLOOKUP(B215,DONGIA,DG!$D$6,0)</f>
        <v>m3</v>
      </c>
      <c r="G215" s="626">
        <v>0.36299999999999999</v>
      </c>
      <c r="H215" s="525"/>
      <c r="I215" s="525"/>
      <c r="J215" s="525">
        <f>VLOOKUP($B215,DONGIA,DG!$F$6,0)</f>
        <v>418738</v>
      </c>
      <c r="K215" s="525"/>
      <c r="L215" s="525">
        <f>VLOOKUP($B215,DONGIA,DG!$G$6,0)</f>
        <v>0</v>
      </c>
      <c r="M215" s="525"/>
      <c r="N215" s="525">
        <f>$G215*H215</f>
        <v>0</v>
      </c>
      <c r="O215" s="525">
        <f t="shared" ref="O215:S216" si="183">$G215*I215</f>
        <v>0</v>
      </c>
      <c r="P215" s="525">
        <f t="shared" si="183"/>
        <v>152001.894</v>
      </c>
      <c r="Q215" s="525">
        <f t="shared" si="183"/>
        <v>0</v>
      </c>
      <c r="R215" s="525">
        <f t="shared" si="183"/>
        <v>0</v>
      </c>
      <c r="S215" s="525">
        <f t="shared" si="183"/>
        <v>0</v>
      </c>
      <c r="U215" s="525">
        <f>U$213*$G215</f>
        <v>0.36299999999999999</v>
      </c>
      <c r="V215" s="525">
        <f t="shared" ref="V215:AB216" si="184">V$213*$G215</f>
        <v>0.36299999999999999</v>
      </c>
      <c r="W215" s="525">
        <f t="shared" si="184"/>
        <v>0</v>
      </c>
      <c r="X215" s="525">
        <f t="shared" si="184"/>
        <v>0</v>
      </c>
      <c r="Y215" s="525">
        <f t="shared" si="184"/>
        <v>0</v>
      </c>
      <c r="Z215" s="525">
        <f t="shared" si="184"/>
        <v>0</v>
      </c>
      <c r="AA215" s="525">
        <f t="shared" si="184"/>
        <v>0</v>
      </c>
      <c r="AB215" s="525">
        <f t="shared" si="184"/>
        <v>0</v>
      </c>
      <c r="AD215" s="405">
        <f t="shared" si="174"/>
        <v>0</v>
      </c>
      <c r="AE215" s="525">
        <f t="shared" si="175"/>
        <v>0</v>
      </c>
      <c r="AF215" s="525">
        <f t="shared" si="176"/>
        <v>0</v>
      </c>
      <c r="AG215" s="525">
        <f t="shared" si="177"/>
        <v>0</v>
      </c>
      <c r="AH215" s="525">
        <f t="shared" si="178"/>
        <v>0</v>
      </c>
      <c r="AI215" s="525">
        <f t="shared" si="179"/>
        <v>0</v>
      </c>
      <c r="AJ215" s="525">
        <f t="shared" si="180"/>
        <v>0</v>
      </c>
      <c r="AK215" s="525">
        <f t="shared" si="181"/>
        <v>0</v>
      </c>
      <c r="AL215" s="525">
        <f t="shared" si="182"/>
        <v>0</v>
      </c>
    </row>
    <row r="216" spans="1:38">
      <c r="A216" s="618"/>
      <c r="B216" s="618" t="s">
        <v>510</v>
      </c>
      <c r="C216" s="619">
        <f>IF(G216&lt;&gt;0,$C$213,)</f>
        <v>1</v>
      </c>
      <c r="D216" s="523" t="str">
        <f>VLOOKUP(B216,DONGIA,DG!$B$6,0)</f>
        <v>AB.65110</v>
      </c>
      <c r="E216" s="525" t="str">
        <f>VLOOKUP(B216,DONGIA,DG!$C$6,0)</f>
        <v>Đắp đất hố móng (K=0,85)</v>
      </c>
      <c r="F216" s="523" t="str">
        <f>VLOOKUP(B216,DONGIA,DG!$D$6,0)</f>
        <v>m3</v>
      </c>
      <c r="G216" s="626">
        <f>G215</f>
        <v>0.36299999999999999</v>
      </c>
      <c r="H216" s="525"/>
      <c r="I216" s="525"/>
      <c r="J216" s="525">
        <f>VLOOKUP($B216,DONGIA,DG!$F$6,0)</f>
        <v>16267</v>
      </c>
      <c r="K216" s="525"/>
      <c r="L216" s="525">
        <f>VLOOKUP($B216,DONGIA,DG!$G$6,0)</f>
        <v>11176</v>
      </c>
      <c r="M216" s="525"/>
      <c r="N216" s="525">
        <f>$G216*H216</f>
        <v>0</v>
      </c>
      <c r="O216" s="525">
        <f t="shared" si="183"/>
        <v>0</v>
      </c>
      <c r="P216" s="525">
        <f t="shared" si="183"/>
        <v>5904.9210000000003</v>
      </c>
      <c r="Q216" s="525">
        <f t="shared" si="183"/>
        <v>0</v>
      </c>
      <c r="R216" s="525">
        <f t="shared" si="183"/>
        <v>4056.8879999999999</v>
      </c>
      <c r="S216" s="525">
        <f t="shared" si="183"/>
        <v>0</v>
      </c>
      <c r="U216" s="525">
        <f>U$213*$G216</f>
        <v>0.36299999999999999</v>
      </c>
      <c r="V216" s="525">
        <f t="shared" si="184"/>
        <v>0.36299999999999999</v>
      </c>
      <c r="W216" s="525">
        <f t="shared" si="184"/>
        <v>0</v>
      </c>
      <c r="X216" s="525">
        <f t="shared" si="184"/>
        <v>0</v>
      </c>
      <c r="Y216" s="525">
        <f t="shared" si="184"/>
        <v>0</v>
      </c>
      <c r="Z216" s="525">
        <f t="shared" si="184"/>
        <v>0</v>
      </c>
      <c r="AA216" s="525">
        <f t="shared" si="184"/>
        <v>0</v>
      </c>
      <c r="AB216" s="525">
        <f t="shared" si="184"/>
        <v>0</v>
      </c>
      <c r="AD216" s="405">
        <f t="shared" si="174"/>
        <v>0</v>
      </c>
      <c r="AE216" s="525">
        <f t="shared" si="175"/>
        <v>0</v>
      </c>
      <c r="AF216" s="525">
        <f t="shared" si="176"/>
        <v>0</v>
      </c>
      <c r="AG216" s="525">
        <f t="shared" si="177"/>
        <v>0</v>
      </c>
      <c r="AH216" s="525">
        <f t="shared" si="178"/>
        <v>0</v>
      </c>
      <c r="AI216" s="525">
        <f t="shared" si="179"/>
        <v>0</v>
      </c>
      <c r="AJ216" s="525">
        <f t="shared" si="180"/>
        <v>0</v>
      </c>
      <c r="AK216" s="525">
        <f t="shared" si="181"/>
        <v>0</v>
      </c>
      <c r="AL216" s="525">
        <f t="shared" si="182"/>
        <v>0</v>
      </c>
    </row>
    <row r="217" spans="1:38" s="332" customFormat="1">
      <c r="A217" s="356" t="s">
        <v>1427</v>
      </c>
      <c r="B217" s="356"/>
      <c r="C217" s="355">
        <f>IF(G217&lt;&gt;0,1,)</f>
        <v>0</v>
      </c>
      <c r="D217" s="357"/>
      <c r="E217" s="358" t="s">
        <v>1656</v>
      </c>
      <c r="F217" s="357" t="s">
        <v>1633</v>
      </c>
      <c r="G217" s="357">
        <f>U217</f>
        <v>0</v>
      </c>
      <c r="H217" s="358"/>
      <c r="I217" s="358"/>
      <c r="J217" s="358"/>
      <c r="K217" s="358"/>
      <c r="L217" s="358"/>
      <c r="M217" s="358"/>
      <c r="N217" s="358">
        <f t="shared" ref="N217:S217" si="185">SUM(N219:N222)</f>
        <v>0</v>
      </c>
      <c r="O217" s="358">
        <f t="shared" si="185"/>
        <v>0</v>
      </c>
      <c r="P217" s="358">
        <f t="shared" si="185"/>
        <v>0</v>
      </c>
      <c r="Q217" s="358">
        <f t="shared" si="185"/>
        <v>0</v>
      </c>
      <c r="R217" s="358">
        <f t="shared" si="185"/>
        <v>0</v>
      </c>
      <c r="S217" s="358">
        <f t="shared" si="185"/>
        <v>0</v>
      </c>
      <c r="U217" s="358">
        <f>SUM(V217:AB217)</f>
        <v>0</v>
      </c>
      <c r="V217" s="358">
        <f>IFERROR(HLOOKUP($A217,BK3P,V$3,0),)</f>
        <v>0</v>
      </c>
      <c r="W217" s="358">
        <f>IFERROR(HLOOKUP($A217,BK3P,W$3,0),)</f>
        <v>0</v>
      </c>
      <c r="X217" s="358">
        <f>IFERROR(HLOOKUP($A217,BK3P,X$3,0),)</f>
        <v>0</v>
      </c>
      <c r="Y217" s="358">
        <f>IFERROR(HLOOKUP($A217,BK1P,Y$3,0),)</f>
        <v>0</v>
      </c>
      <c r="Z217" s="358">
        <f>IFERROR(HLOOKUP($A217,BK1P,Z$3,0),)</f>
        <v>0</v>
      </c>
      <c r="AA217" s="358">
        <f>IFERROR(HLOOKUP($A217,BK1P,AA$3,0),)</f>
        <v>0</v>
      </c>
      <c r="AB217" s="358">
        <f>IFERROR(HLOOKUP($A217,BKHT,AB$3,0),)</f>
        <v>0</v>
      </c>
      <c r="AD217" s="332">
        <f t="shared" si="174"/>
        <v>0</v>
      </c>
      <c r="AE217" s="329">
        <f t="shared" si="175"/>
        <v>0</v>
      </c>
      <c r="AF217" s="329">
        <f t="shared" si="176"/>
        <v>0</v>
      </c>
      <c r="AG217" s="329">
        <f t="shared" si="177"/>
        <v>0</v>
      </c>
      <c r="AH217" s="329">
        <f t="shared" si="178"/>
        <v>0</v>
      </c>
      <c r="AI217" s="329">
        <f t="shared" si="179"/>
        <v>0</v>
      </c>
      <c r="AJ217" s="329">
        <f t="shared" si="180"/>
        <v>0</v>
      </c>
      <c r="AK217" s="329">
        <f t="shared" si="181"/>
        <v>0</v>
      </c>
      <c r="AL217" s="329">
        <f t="shared" si="182"/>
        <v>0</v>
      </c>
    </row>
    <row r="218" spans="1:38" s="361" customFormat="1">
      <c r="A218" s="359"/>
      <c r="B218" s="359"/>
      <c r="C218" s="360">
        <f>C217</f>
        <v>0</v>
      </c>
      <c r="D218" s="350"/>
      <c r="E218" s="351" t="s">
        <v>1644</v>
      </c>
      <c r="F218" s="350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U218" s="351"/>
      <c r="V218" s="351"/>
      <c r="W218" s="351"/>
      <c r="X218" s="351"/>
      <c r="Y218" s="351"/>
      <c r="Z218" s="351"/>
      <c r="AA218" s="351"/>
      <c r="AB218" s="351"/>
      <c r="AD218" s="332">
        <f t="shared" si="174"/>
        <v>0</v>
      </c>
      <c r="AE218" s="329">
        <f t="shared" si="175"/>
        <v>0</v>
      </c>
      <c r="AF218" s="329">
        <f t="shared" si="176"/>
        <v>0</v>
      </c>
      <c r="AG218" s="329">
        <f t="shared" si="177"/>
        <v>0</v>
      </c>
      <c r="AH218" s="329">
        <f t="shared" si="178"/>
        <v>0</v>
      </c>
      <c r="AI218" s="329">
        <f t="shared" si="179"/>
        <v>0</v>
      </c>
      <c r="AJ218" s="329">
        <f t="shared" si="180"/>
        <v>0</v>
      </c>
      <c r="AK218" s="329">
        <f t="shared" si="181"/>
        <v>0</v>
      </c>
      <c r="AL218" s="329">
        <f t="shared" si="182"/>
        <v>0</v>
      </c>
    </row>
    <row r="219" spans="1:38" s="332" customFormat="1">
      <c r="A219" s="356"/>
      <c r="B219" s="356" t="s">
        <v>9</v>
      </c>
      <c r="C219" s="355">
        <f>IF(G219&lt;&gt;0,$C$217,)</f>
        <v>0</v>
      </c>
      <c r="D219" s="341" t="str">
        <f>VLOOKUP(B219,DONGIA,DG!$B$6,0)</f>
        <v>AG.42121</v>
      </c>
      <c r="E219" s="340" t="str">
        <f>VLOOKUP(B219,DONGIA,DG!$C$6,0)</f>
        <v>Đà cản BTCT 1,2m</v>
      </c>
      <c r="F219" s="341" t="str">
        <f>VLOOKUP(B219,DONGIA,DG!$D$6,0)</f>
        <v>cái</v>
      </c>
      <c r="G219" s="329"/>
      <c r="H219" s="329">
        <f>VLOOKUP($B219,DONGIA,DG!$E$6,0)</f>
        <v>320000</v>
      </c>
      <c r="I219" s="329"/>
      <c r="J219" s="329">
        <f>VLOOKUP($B219,DONGIA,DG!$F$6,0)</f>
        <v>52815</v>
      </c>
      <c r="K219" s="329"/>
      <c r="L219" s="329"/>
      <c r="M219" s="329">
        <f>VLOOKUP($B219,DONGIA,DG!$G$6,0)</f>
        <v>0</v>
      </c>
      <c r="N219" s="329">
        <f>$G219*H219</f>
        <v>0</v>
      </c>
      <c r="O219" s="329">
        <f t="shared" ref="O219:S222" si="186">$G219*I219</f>
        <v>0</v>
      </c>
      <c r="P219" s="329">
        <f t="shared" si="186"/>
        <v>0</v>
      </c>
      <c r="Q219" s="329">
        <f t="shared" si="186"/>
        <v>0</v>
      </c>
      <c r="R219" s="329">
        <f t="shared" si="186"/>
        <v>0</v>
      </c>
      <c r="S219" s="329">
        <f t="shared" si="186"/>
        <v>0</v>
      </c>
      <c r="U219" s="329">
        <f>U$217*$G219</f>
        <v>0</v>
      </c>
      <c r="V219" s="329">
        <f t="shared" ref="V219:AB222" si="187">V$217*$G219</f>
        <v>0</v>
      </c>
      <c r="W219" s="329">
        <f t="shared" si="187"/>
        <v>0</v>
      </c>
      <c r="X219" s="329">
        <f t="shared" si="187"/>
        <v>0</v>
      </c>
      <c r="Y219" s="329">
        <f t="shared" si="187"/>
        <v>0</v>
      </c>
      <c r="Z219" s="329">
        <f t="shared" si="187"/>
        <v>0</v>
      </c>
      <c r="AA219" s="329">
        <f t="shared" si="187"/>
        <v>0</v>
      </c>
      <c r="AB219" s="329">
        <f t="shared" si="187"/>
        <v>0</v>
      </c>
      <c r="AD219" s="332">
        <f t="shared" si="174"/>
        <v>80</v>
      </c>
      <c r="AE219" s="329">
        <f t="shared" si="175"/>
        <v>0</v>
      </c>
      <c r="AF219" s="329">
        <f t="shared" si="176"/>
        <v>0</v>
      </c>
      <c r="AG219" s="329">
        <f t="shared" si="177"/>
        <v>0</v>
      </c>
      <c r="AH219" s="329">
        <f t="shared" si="178"/>
        <v>0</v>
      </c>
      <c r="AI219" s="329">
        <f t="shared" si="179"/>
        <v>0</v>
      </c>
      <c r="AJ219" s="329">
        <f t="shared" si="180"/>
        <v>0</v>
      </c>
      <c r="AK219" s="329">
        <f t="shared" si="181"/>
        <v>0</v>
      </c>
      <c r="AL219" s="329">
        <f t="shared" si="182"/>
        <v>0</v>
      </c>
    </row>
    <row r="220" spans="1:38" s="332" customFormat="1">
      <c r="A220" s="356"/>
      <c r="B220" s="356" t="s">
        <v>1646</v>
      </c>
      <c r="C220" s="355">
        <f>IF(G220&lt;&gt;0,$C$217,)</f>
        <v>0</v>
      </c>
      <c r="D220" s="341">
        <f>VLOOKUP(B220,DONGIA,DG!$B$6,0)</f>
        <v>0</v>
      </c>
      <c r="E220" s="340" t="str">
        <f>VLOOKUP(B220,DONGIA,DG!$C$6,0)</f>
        <v>Boulon 22x650+ 2 long đền vuông D24-50x50x3/Zn</v>
      </c>
      <c r="F220" s="341" t="str">
        <f>VLOOKUP(B220,DONGIA,DG!$D$6,0)</f>
        <v>bộ</v>
      </c>
      <c r="G220" s="329"/>
      <c r="H220" s="329">
        <f>VLOOKUP($B220,DONGIA,DG!$E$6,0)</f>
        <v>0</v>
      </c>
      <c r="I220" s="329"/>
      <c r="J220" s="329"/>
      <c r="K220" s="329">
        <f>VLOOKUP($B220,DONGIA,DG!$F$6,0)</f>
        <v>0</v>
      </c>
      <c r="L220" s="329"/>
      <c r="M220" s="329">
        <f>VLOOKUP($B220,DONGIA,DG!$G$6,0)</f>
        <v>0</v>
      </c>
      <c r="N220" s="329">
        <f>$G220*H220</f>
        <v>0</v>
      </c>
      <c r="O220" s="329">
        <f t="shared" si="186"/>
        <v>0</v>
      </c>
      <c r="P220" s="329">
        <f t="shared" si="186"/>
        <v>0</v>
      </c>
      <c r="Q220" s="329">
        <f t="shared" si="186"/>
        <v>0</v>
      </c>
      <c r="R220" s="329">
        <f t="shared" si="186"/>
        <v>0</v>
      </c>
      <c r="S220" s="329">
        <f t="shared" si="186"/>
        <v>0</v>
      </c>
      <c r="U220" s="329">
        <f>U$217*$G220</f>
        <v>0</v>
      </c>
      <c r="V220" s="329">
        <f t="shared" si="187"/>
        <v>0</v>
      </c>
      <c r="W220" s="329">
        <f t="shared" si="187"/>
        <v>0</v>
      </c>
      <c r="X220" s="329">
        <f t="shared" si="187"/>
        <v>0</v>
      </c>
      <c r="Y220" s="329">
        <f t="shared" si="187"/>
        <v>0</v>
      </c>
      <c r="Z220" s="329">
        <f t="shared" si="187"/>
        <v>0</v>
      </c>
      <c r="AA220" s="329">
        <f t="shared" si="187"/>
        <v>0</v>
      </c>
      <c r="AB220" s="329">
        <f t="shared" si="187"/>
        <v>0</v>
      </c>
      <c r="AD220" s="332">
        <f t="shared" si="174"/>
        <v>0.6</v>
      </c>
      <c r="AE220" s="329">
        <f t="shared" si="175"/>
        <v>0</v>
      </c>
      <c r="AF220" s="329">
        <f t="shared" si="176"/>
        <v>0</v>
      </c>
      <c r="AG220" s="329">
        <f t="shared" si="177"/>
        <v>0</v>
      </c>
      <c r="AH220" s="329">
        <f t="shared" si="178"/>
        <v>0</v>
      </c>
      <c r="AI220" s="329">
        <f t="shared" si="179"/>
        <v>0</v>
      </c>
      <c r="AJ220" s="329">
        <f t="shared" si="180"/>
        <v>0</v>
      </c>
      <c r="AK220" s="329">
        <f t="shared" si="181"/>
        <v>0</v>
      </c>
      <c r="AL220" s="329">
        <f t="shared" si="182"/>
        <v>0</v>
      </c>
    </row>
    <row r="221" spans="1:38" s="332" customFormat="1">
      <c r="A221" s="356"/>
      <c r="B221" s="356" t="s">
        <v>3348</v>
      </c>
      <c r="C221" s="355">
        <f>IF(G221&lt;&gt;0,$C$217,)</f>
        <v>0</v>
      </c>
      <c r="D221" s="341" t="str">
        <f>VLOOKUP(B221,DONGIA,DG!$B$6,0)</f>
        <v>AB.11363</v>
      </c>
      <c r="E221" s="340" t="str">
        <f>VLOOKUP(B221,DONGIA,DG!$C$6,0)</f>
        <v>Đào hố móng đà cản đất cấp 3</v>
      </c>
      <c r="F221" s="341" t="str">
        <f>VLOOKUP(B221,DONGIA,DG!$D$6,0)</f>
        <v>m3</v>
      </c>
      <c r="G221" s="329"/>
      <c r="H221" s="329"/>
      <c r="I221" s="329"/>
      <c r="J221" s="329">
        <f>VLOOKUP($B221,DONGIA,DG!$F$6,0)</f>
        <v>182527</v>
      </c>
      <c r="K221" s="329"/>
      <c r="L221" s="329">
        <f>VLOOKUP($B221,DONGIA,DG!$G$6,0)</f>
        <v>0</v>
      </c>
      <c r="M221" s="329"/>
      <c r="N221" s="329">
        <f>$G221*H221</f>
        <v>0</v>
      </c>
      <c r="O221" s="329">
        <f t="shared" si="186"/>
        <v>0</v>
      </c>
      <c r="P221" s="329">
        <f t="shared" si="186"/>
        <v>0</v>
      </c>
      <c r="Q221" s="329">
        <f t="shared" si="186"/>
        <v>0</v>
      </c>
      <c r="R221" s="329">
        <f t="shared" si="186"/>
        <v>0</v>
      </c>
      <c r="S221" s="329">
        <f t="shared" si="186"/>
        <v>0</v>
      </c>
      <c r="U221" s="329">
        <f>U$217*$G221</f>
        <v>0</v>
      </c>
      <c r="V221" s="329">
        <f t="shared" si="187"/>
        <v>0</v>
      </c>
      <c r="W221" s="329">
        <f t="shared" si="187"/>
        <v>0</v>
      </c>
      <c r="X221" s="329">
        <f t="shared" si="187"/>
        <v>0</v>
      </c>
      <c r="Y221" s="329">
        <f t="shared" si="187"/>
        <v>0</v>
      </c>
      <c r="Z221" s="329">
        <f t="shared" si="187"/>
        <v>0</v>
      </c>
      <c r="AA221" s="329">
        <f t="shared" si="187"/>
        <v>0</v>
      </c>
      <c r="AB221" s="329">
        <f t="shared" si="187"/>
        <v>0</v>
      </c>
      <c r="AD221" s="332">
        <f t="shared" si="174"/>
        <v>0</v>
      </c>
      <c r="AE221" s="329">
        <f t="shared" si="175"/>
        <v>0</v>
      </c>
      <c r="AF221" s="329">
        <f t="shared" si="176"/>
        <v>0</v>
      </c>
      <c r="AG221" s="329">
        <f t="shared" si="177"/>
        <v>0</v>
      </c>
      <c r="AH221" s="329">
        <f t="shared" si="178"/>
        <v>0</v>
      </c>
      <c r="AI221" s="329">
        <f t="shared" si="179"/>
        <v>0</v>
      </c>
      <c r="AJ221" s="329">
        <f t="shared" si="180"/>
        <v>0</v>
      </c>
      <c r="AK221" s="329">
        <f t="shared" si="181"/>
        <v>0</v>
      </c>
      <c r="AL221" s="329">
        <f t="shared" si="182"/>
        <v>0</v>
      </c>
    </row>
    <row r="222" spans="1:38" s="332" customFormat="1">
      <c r="A222" s="356"/>
      <c r="B222" s="356" t="s">
        <v>510</v>
      </c>
      <c r="C222" s="355">
        <f>IF(G222&lt;&gt;0,$C$217,)</f>
        <v>0</v>
      </c>
      <c r="D222" s="341" t="str">
        <f>VLOOKUP(B222,DONGIA,DG!$B$6,0)</f>
        <v>AB.65110</v>
      </c>
      <c r="E222" s="340" t="str">
        <f>VLOOKUP(B222,DONGIA,DG!$C$6,0)</f>
        <v>Đắp đất hố móng (K=0,85)</v>
      </c>
      <c r="F222" s="341" t="str">
        <f>VLOOKUP(B222,DONGIA,DG!$D$6,0)</f>
        <v>m3</v>
      </c>
      <c r="G222" s="329"/>
      <c r="H222" s="329"/>
      <c r="I222" s="329"/>
      <c r="J222" s="329">
        <f>VLOOKUP($B222,DONGIA,DG!$F$6,0)</f>
        <v>16267</v>
      </c>
      <c r="K222" s="329"/>
      <c r="L222" s="329">
        <f>VLOOKUP($B222,DONGIA,DG!$G$6,0)</f>
        <v>11176</v>
      </c>
      <c r="M222" s="329"/>
      <c r="N222" s="329">
        <f>$G222*H222</f>
        <v>0</v>
      </c>
      <c r="O222" s="329">
        <f t="shared" si="186"/>
        <v>0</v>
      </c>
      <c r="P222" s="329">
        <f t="shared" si="186"/>
        <v>0</v>
      </c>
      <c r="Q222" s="329">
        <f t="shared" si="186"/>
        <v>0</v>
      </c>
      <c r="R222" s="329">
        <f t="shared" si="186"/>
        <v>0</v>
      </c>
      <c r="S222" s="329">
        <f t="shared" si="186"/>
        <v>0</v>
      </c>
      <c r="U222" s="329">
        <f>U$217*$G222</f>
        <v>0</v>
      </c>
      <c r="V222" s="329">
        <f t="shared" si="187"/>
        <v>0</v>
      </c>
      <c r="W222" s="329">
        <f t="shared" si="187"/>
        <v>0</v>
      </c>
      <c r="X222" s="329">
        <f t="shared" si="187"/>
        <v>0</v>
      </c>
      <c r="Y222" s="329">
        <f t="shared" si="187"/>
        <v>0</v>
      </c>
      <c r="Z222" s="329">
        <f t="shared" si="187"/>
        <v>0</v>
      </c>
      <c r="AA222" s="329">
        <f t="shared" si="187"/>
        <v>0</v>
      </c>
      <c r="AB222" s="329">
        <f t="shared" si="187"/>
        <v>0</v>
      </c>
      <c r="AD222" s="332">
        <f t="shared" si="174"/>
        <v>0</v>
      </c>
      <c r="AE222" s="329">
        <f t="shared" si="175"/>
        <v>0</v>
      </c>
      <c r="AF222" s="329">
        <f t="shared" si="176"/>
        <v>0</v>
      </c>
      <c r="AG222" s="329">
        <f t="shared" si="177"/>
        <v>0</v>
      </c>
      <c r="AH222" s="329">
        <f t="shared" si="178"/>
        <v>0</v>
      </c>
      <c r="AI222" s="329">
        <f t="shared" si="179"/>
        <v>0</v>
      </c>
      <c r="AJ222" s="329">
        <f t="shared" si="180"/>
        <v>0</v>
      </c>
      <c r="AK222" s="329">
        <f t="shared" si="181"/>
        <v>0</v>
      </c>
      <c r="AL222" s="329">
        <f t="shared" si="182"/>
        <v>0</v>
      </c>
    </row>
    <row r="223" spans="1:38" s="332" customFormat="1">
      <c r="A223" s="356" t="s">
        <v>1487</v>
      </c>
      <c r="B223" s="356"/>
      <c r="C223" s="355">
        <f>IF(G223&lt;&gt;0,1,)</f>
        <v>0</v>
      </c>
      <c r="D223" s="357"/>
      <c r="E223" s="358" t="s">
        <v>1657</v>
      </c>
      <c r="F223" s="357" t="s">
        <v>1633</v>
      </c>
      <c r="G223" s="357">
        <f>U223</f>
        <v>0</v>
      </c>
      <c r="H223" s="358"/>
      <c r="I223" s="358"/>
      <c r="J223" s="358"/>
      <c r="K223" s="358"/>
      <c r="L223" s="358"/>
      <c r="M223" s="358"/>
      <c r="N223" s="358">
        <f t="shared" ref="N223:S223" si="188">SUM(N225:N235)</f>
        <v>306000</v>
      </c>
      <c r="O223" s="358">
        <f t="shared" si="188"/>
        <v>1795286</v>
      </c>
      <c r="P223" s="358">
        <f t="shared" si="188"/>
        <v>1477737.5759999999</v>
      </c>
      <c r="Q223" s="358">
        <f t="shared" si="188"/>
        <v>0</v>
      </c>
      <c r="R223" s="358">
        <f t="shared" si="188"/>
        <v>84518.495999999999</v>
      </c>
      <c r="S223" s="358">
        <f t="shared" si="188"/>
        <v>0</v>
      </c>
      <c r="U223" s="358">
        <f>SUM(V223:AB223)</f>
        <v>0</v>
      </c>
      <c r="V223" s="358">
        <f>IFERROR(HLOOKUP($A223,BK3P,V$3,0),)</f>
        <v>0</v>
      </c>
      <c r="W223" s="358">
        <f>IFERROR(HLOOKUP($A223,BK3P,W$3,0),)</f>
        <v>0</v>
      </c>
      <c r="X223" s="358">
        <f>IFERROR(HLOOKUP($A223,BK3P,X$3,0),)</f>
        <v>0</v>
      </c>
      <c r="Y223" s="358">
        <f>IFERROR(HLOOKUP($A223,BK1P,Y$3,0),)</f>
        <v>0</v>
      </c>
      <c r="Z223" s="358">
        <f>IFERROR(HLOOKUP($A223,BK1P,Z$3,0),)</f>
        <v>0</v>
      </c>
      <c r="AA223" s="358">
        <f>IFERROR(HLOOKUP($A223,BK1P,AA$3,0),)</f>
        <v>0</v>
      </c>
      <c r="AB223" s="358">
        <f>IFERROR(HLOOKUP($A223,BKHT,AB$3,0),)</f>
        <v>0</v>
      </c>
      <c r="AD223" s="332">
        <f t="shared" si="174"/>
        <v>0</v>
      </c>
      <c r="AE223" s="329">
        <f t="shared" si="175"/>
        <v>0</v>
      </c>
      <c r="AF223" s="329">
        <f t="shared" si="176"/>
        <v>0</v>
      </c>
      <c r="AG223" s="329">
        <f t="shared" si="177"/>
        <v>0</v>
      </c>
      <c r="AH223" s="329">
        <f t="shared" si="178"/>
        <v>0</v>
      </c>
      <c r="AI223" s="329">
        <f t="shared" si="179"/>
        <v>0</v>
      </c>
      <c r="AJ223" s="329">
        <f t="shared" si="180"/>
        <v>0</v>
      </c>
      <c r="AK223" s="329">
        <f t="shared" si="181"/>
        <v>0</v>
      </c>
      <c r="AL223" s="329">
        <f t="shared" si="182"/>
        <v>0</v>
      </c>
    </row>
    <row r="224" spans="1:38" s="361" customFormat="1">
      <c r="A224" s="359"/>
      <c r="B224" s="359"/>
      <c r="C224" s="360">
        <f>C223</f>
        <v>0</v>
      </c>
      <c r="D224" s="350"/>
      <c r="E224" s="351" t="s">
        <v>1644</v>
      </c>
      <c r="F224" s="350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U224" s="351"/>
      <c r="V224" s="351"/>
      <c r="W224" s="351"/>
      <c r="X224" s="351"/>
      <c r="Y224" s="351"/>
      <c r="Z224" s="351"/>
      <c r="AA224" s="351"/>
      <c r="AB224" s="351"/>
      <c r="AD224" s="332">
        <f t="shared" si="174"/>
        <v>0</v>
      </c>
      <c r="AE224" s="329">
        <f t="shared" si="175"/>
        <v>0</v>
      </c>
      <c r="AF224" s="329">
        <f t="shared" si="176"/>
        <v>0</v>
      </c>
      <c r="AG224" s="329">
        <f t="shared" si="177"/>
        <v>0</v>
      </c>
      <c r="AH224" s="329">
        <f t="shared" si="178"/>
        <v>0</v>
      </c>
      <c r="AI224" s="329">
        <f t="shared" si="179"/>
        <v>0</v>
      </c>
      <c r="AJ224" s="329">
        <f t="shared" si="180"/>
        <v>0</v>
      </c>
      <c r="AK224" s="329">
        <f t="shared" si="181"/>
        <v>0</v>
      </c>
      <c r="AL224" s="329">
        <f t="shared" si="182"/>
        <v>0</v>
      </c>
    </row>
    <row r="225" spans="1:38" s="332" customFormat="1">
      <c r="A225" s="356"/>
      <c r="B225" s="356" t="s">
        <v>1639</v>
      </c>
      <c r="C225" s="355">
        <f>IF(G225&lt;&gt;0,$C$223,)</f>
        <v>0</v>
      </c>
      <c r="D225" s="341">
        <f>VLOOKUP(B225,DONGIA,DG!$B$6,0)</f>
        <v>0</v>
      </c>
      <c r="E225" s="340" t="str">
        <f>VLOOKUP(B225,DONGIA,DG!$C$6,0)</f>
        <v>Xi măng</v>
      </c>
      <c r="F225" s="341" t="str">
        <f>VLOOKUP(B225,DONGIA,DG!$D$6,0)</f>
        <v>kg</v>
      </c>
      <c r="G225" s="739">
        <f>ROUND(G235*281,1)</f>
        <v>523.79999999999995</v>
      </c>
      <c r="H225" s="329"/>
      <c r="I225" s="329">
        <f>VLOOKUP($B225,DONGIA,DG!$E$6,0)</f>
        <v>1760</v>
      </c>
      <c r="J225" s="329">
        <f>VLOOKUP($B225,DONGIA,DG!$F$6,0)</f>
        <v>0</v>
      </c>
      <c r="K225" s="329"/>
      <c r="L225" s="329">
        <f>VLOOKUP($B225,DONGIA,DG!$G$6,0)</f>
        <v>0</v>
      </c>
      <c r="M225" s="329">
        <f>VLOOKUP($B225,DONGIA,DG!$G$6,0)</f>
        <v>0</v>
      </c>
      <c r="N225" s="329">
        <f>$G225*H225</f>
        <v>0</v>
      </c>
      <c r="O225" s="329">
        <f t="shared" ref="O225:S235" si="189">$G225*I225</f>
        <v>921887.99999999988</v>
      </c>
      <c r="P225" s="329">
        <f t="shared" si="189"/>
        <v>0</v>
      </c>
      <c r="Q225" s="329">
        <f t="shared" si="189"/>
        <v>0</v>
      </c>
      <c r="R225" s="329">
        <f t="shared" si="189"/>
        <v>0</v>
      </c>
      <c r="S225" s="329">
        <f t="shared" si="189"/>
        <v>0</v>
      </c>
      <c r="U225" s="329">
        <f>U$223*$G225</f>
        <v>0</v>
      </c>
      <c r="V225" s="329">
        <f t="shared" ref="V225:AB225" si="190">V$223*$G225</f>
        <v>0</v>
      </c>
      <c r="W225" s="329">
        <f t="shared" si="190"/>
        <v>0</v>
      </c>
      <c r="X225" s="329">
        <f t="shared" si="190"/>
        <v>0</v>
      </c>
      <c r="Y225" s="329">
        <f t="shared" si="190"/>
        <v>0</v>
      </c>
      <c r="Z225" s="329">
        <f t="shared" si="190"/>
        <v>0</v>
      </c>
      <c r="AA225" s="329">
        <f t="shared" si="190"/>
        <v>0</v>
      </c>
      <c r="AB225" s="329">
        <f t="shared" si="190"/>
        <v>0</v>
      </c>
      <c r="AD225" s="332">
        <f t="shared" si="174"/>
        <v>1</v>
      </c>
      <c r="AE225" s="329">
        <f t="shared" si="175"/>
        <v>0</v>
      </c>
      <c r="AF225" s="329">
        <f t="shared" si="176"/>
        <v>0</v>
      </c>
      <c r="AG225" s="329">
        <f t="shared" si="177"/>
        <v>0</v>
      </c>
      <c r="AH225" s="329">
        <f t="shared" si="178"/>
        <v>0</v>
      </c>
      <c r="AI225" s="329">
        <f t="shared" si="179"/>
        <v>0</v>
      </c>
      <c r="AJ225" s="329">
        <f t="shared" si="180"/>
        <v>0</v>
      </c>
      <c r="AK225" s="329">
        <f t="shared" si="181"/>
        <v>0</v>
      </c>
      <c r="AL225" s="329">
        <f t="shared" si="182"/>
        <v>0</v>
      </c>
    </row>
    <row r="226" spans="1:38" s="332" customFormat="1">
      <c r="A226" s="356"/>
      <c r="B226" s="356" t="s">
        <v>471</v>
      </c>
      <c r="C226" s="355">
        <f t="shared" ref="C226:C235" si="191">IF(G226&lt;&gt;0,$C$223,)</f>
        <v>0</v>
      </c>
      <c r="D226" s="341">
        <f>VLOOKUP(B226,DONGIA,DG!$B$6,0)</f>
        <v>0</v>
      </c>
      <c r="E226" s="340" t="str">
        <f>VLOOKUP(B226,DONGIA,DG!$C$6,0)</f>
        <v>Cát vàng</v>
      </c>
      <c r="F226" s="341" t="str">
        <f>VLOOKUP(B226,DONGIA,DG!$D$6,0)</f>
        <v>m3</v>
      </c>
      <c r="G226" s="468">
        <f>ROUND(G235*0.477,3)</f>
        <v>0.88900000000000001</v>
      </c>
      <c r="H226" s="329"/>
      <c r="I226" s="329">
        <f>VLOOKUP($B226,DONGIA,DG!$E$6,0)</f>
        <v>350000</v>
      </c>
      <c r="J226" s="329">
        <f>VLOOKUP($B226,DONGIA,DG!$F$6,0)</f>
        <v>0</v>
      </c>
      <c r="K226" s="329"/>
      <c r="L226" s="329">
        <f>VLOOKUP($B226,DONGIA,DG!$G$6,0)</f>
        <v>0</v>
      </c>
      <c r="M226" s="329"/>
      <c r="N226" s="329">
        <f t="shared" ref="N226:N235" si="192">$G226*H226</f>
        <v>0</v>
      </c>
      <c r="O226" s="329">
        <f t="shared" si="189"/>
        <v>311150</v>
      </c>
      <c r="P226" s="329">
        <f t="shared" si="189"/>
        <v>0</v>
      </c>
      <c r="Q226" s="329">
        <f t="shared" si="189"/>
        <v>0</v>
      </c>
      <c r="R226" s="329">
        <f t="shared" si="189"/>
        <v>0</v>
      </c>
      <c r="S226" s="329">
        <f t="shared" si="189"/>
        <v>0</v>
      </c>
      <c r="U226" s="329">
        <f t="shared" ref="U226:AB227" si="193">U$223*$G226</f>
        <v>0</v>
      </c>
      <c r="V226" s="329">
        <f t="shared" si="193"/>
        <v>0</v>
      </c>
      <c r="W226" s="329">
        <f t="shared" si="193"/>
        <v>0</v>
      </c>
      <c r="X226" s="329">
        <f t="shared" si="193"/>
        <v>0</v>
      </c>
      <c r="Y226" s="329">
        <f t="shared" si="193"/>
        <v>0</v>
      </c>
      <c r="Z226" s="329">
        <f t="shared" si="193"/>
        <v>0</v>
      </c>
      <c r="AA226" s="329">
        <f t="shared" si="193"/>
        <v>0</v>
      </c>
      <c r="AB226" s="329">
        <f t="shared" si="193"/>
        <v>0</v>
      </c>
      <c r="AD226" s="332">
        <f t="shared" si="174"/>
        <v>1500</v>
      </c>
      <c r="AE226" s="329">
        <f t="shared" si="175"/>
        <v>0</v>
      </c>
      <c r="AF226" s="329">
        <f t="shared" si="176"/>
        <v>0</v>
      </c>
      <c r="AG226" s="329">
        <f t="shared" si="177"/>
        <v>0</v>
      </c>
      <c r="AH226" s="329">
        <f t="shared" si="178"/>
        <v>0</v>
      </c>
      <c r="AI226" s="329">
        <f t="shared" si="179"/>
        <v>0</v>
      </c>
      <c r="AJ226" s="329">
        <f t="shared" si="180"/>
        <v>0</v>
      </c>
      <c r="AK226" s="329">
        <f t="shared" si="181"/>
        <v>0</v>
      </c>
      <c r="AL226" s="329">
        <f t="shared" si="182"/>
        <v>0</v>
      </c>
    </row>
    <row r="227" spans="1:38" s="332" customFormat="1">
      <c r="A227" s="356" t="s">
        <v>85</v>
      </c>
      <c r="B227" s="356" t="s">
        <v>1640</v>
      </c>
      <c r="C227" s="355">
        <f t="shared" si="191"/>
        <v>0</v>
      </c>
      <c r="D227" s="341">
        <f>VLOOKUP(B227,DONGIA,DG!$B$6,0)</f>
        <v>0</v>
      </c>
      <c r="E227" s="340" t="str">
        <f>VLOOKUP(B227,DONGIA,DG!$C$6,0)</f>
        <v>Đá 1x2</v>
      </c>
      <c r="F227" s="341" t="str">
        <f>VLOOKUP(B227,DONGIA,DG!$D$6,0)</f>
        <v>m3</v>
      </c>
      <c r="G227" s="468">
        <f>ROUND(G235*0.882,3)</f>
        <v>1.6439999999999999</v>
      </c>
      <c r="H227" s="329"/>
      <c r="I227" s="329">
        <f>VLOOKUP($B227,DONGIA,DG!$E$6,0)</f>
        <v>342000</v>
      </c>
      <c r="J227" s="329">
        <f>VLOOKUP($B227,DONGIA,DG!$F$6,0)</f>
        <v>0</v>
      </c>
      <c r="K227" s="329"/>
      <c r="L227" s="329">
        <f>VLOOKUP($B227,DONGIA,DG!$G$6,0)</f>
        <v>0</v>
      </c>
      <c r="M227" s="329"/>
      <c r="N227" s="329">
        <f t="shared" si="192"/>
        <v>0</v>
      </c>
      <c r="O227" s="329">
        <f t="shared" si="189"/>
        <v>562248</v>
      </c>
      <c r="P227" s="329">
        <f t="shared" si="189"/>
        <v>0</v>
      </c>
      <c r="Q227" s="329">
        <f t="shared" si="189"/>
        <v>0</v>
      </c>
      <c r="R227" s="329">
        <f t="shared" si="189"/>
        <v>0</v>
      </c>
      <c r="S227" s="329">
        <f t="shared" si="189"/>
        <v>0</v>
      </c>
      <c r="U227" s="329">
        <f t="shared" si="193"/>
        <v>0</v>
      </c>
      <c r="V227" s="329">
        <f t="shared" si="193"/>
        <v>0</v>
      </c>
      <c r="W227" s="329">
        <f t="shared" si="193"/>
        <v>0</v>
      </c>
      <c r="X227" s="329">
        <f t="shared" si="193"/>
        <v>0</v>
      </c>
      <c r="Y227" s="329">
        <f t="shared" si="193"/>
        <v>0</v>
      </c>
      <c r="Z227" s="329">
        <f t="shared" si="193"/>
        <v>0</v>
      </c>
      <c r="AA227" s="329">
        <f t="shared" si="193"/>
        <v>0</v>
      </c>
      <c r="AB227" s="329">
        <f t="shared" si="193"/>
        <v>0</v>
      </c>
      <c r="AD227" s="332">
        <f t="shared" si="174"/>
        <v>1500</v>
      </c>
      <c r="AE227" s="329">
        <f t="shared" si="175"/>
        <v>0</v>
      </c>
      <c r="AF227" s="329">
        <f t="shared" si="176"/>
        <v>0</v>
      </c>
      <c r="AG227" s="329">
        <f t="shared" si="177"/>
        <v>0</v>
      </c>
      <c r="AH227" s="329">
        <f t="shared" si="178"/>
        <v>0</v>
      </c>
      <c r="AI227" s="329">
        <f t="shared" si="179"/>
        <v>0</v>
      </c>
      <c r="AJ227" s="329">
        <f t="shared" si="180"/>
        <v>0</v>
      </c>
      <c r="AK227" s="329">
        <f t="shared" si="181"/>
        <v>0</v>
      </c>
      <c r="AL227" s="329">
        <f t="shared" si="182"/>
        <v>0</v>
      </c>
    </row>
    <row r="228" spans="1:38">
      <c r="A228" s="618"/>
      <c r="B228" s="618" t="s">
        <v>3509</v>
      </c>
      <c r="C228" s="355">
        <f t="shared" si="191"/>
        <v>0</v>
      </c>
      <c r="D228" s="523">
        <f>VLOOKUP(B228,DONGIA,DG!$B$6,0)</f>
        <v>0</v>
      </c>
      <c r="E228" s="666" t="str">
        <f>VLOOKUP(B228,DONGIA,DG!$C$6,0)</f>
        <v>Đinh: 15kg/100m2 ván khuôn</v>
      </c>
      <c r="F228" s="523" t="str">
        <f>VLOOKUP(B228,DONGIA,DG!$D$6,0)</f>
        <v>kg</v>
      </c>
      <c r="G228" s="740">
        <f>ROUND(G232*15/100,3)</f>
        <v>0.84</v>
      </c>
      <c r="H228" s="525">
        <f>VLOOKUP($B228,DONGIA,DG!$E$6,0)</f>
        <v>25000</v>
      </c>
      <c r="I228" s="525"/>
      <c r="J228" s="525"/>
      <c r="K228" s="525">
        <f>VLOOKUP($B228,DONGIA,DG!$F$6,0)</f>
        <v>0</v>
      </c>
      <c r="L228" s="525"/>
      <c r="M228" s="525">
        <f>VLOOKUP($B228,DONGIA,DG!$G$6,0)</f>
        <v>0</v>
      </c>
      <c r="N228" s="525">
        <f t="shared" si="192"/>
        <v>21000</v>
      </c>
      <c r="O228" s="525">
        <f t="shared" si="189"/>
        <v>0</v>
      </c>
      <c r="P228" s="525">
        <f t="shared" si="189"/>
        <v>0</v>
      </c>
      <c r="Q228" s="525">
        <f t="shared" si="189"/>
        <v>0</v>
      </c>
      <c r="R228" s="525">
        <f t="shared" si="189"/>
        <v>0</v>
      </c>
      <c r="S228" s="525">
        <f t="shared" si="189"/>
        <v>0</v>
      </c>
      <c r="U228" s="404"/>
      <c r="V228" s="404"/>
      <c r="W228" s="404"/>
      <c r="X228" s="404"/>
      <c r="Y228" s="404"/>
      <c r="Z228" s="404"/>
      <c r="AA228" s="404"/>
      <c r="AB228" s="404"/>
      <c r="AE228" s="404"/>
      <c r="AF228" s="404"/>
      <c r="AG228" s="404"/>
      <c r="AH228" s="404"/>
      <c r="AI228" s="404"/>
      <c r="AJ228" s="404"/>
      <c r="AK228" s="404"/>
      <c r="AL228" s="404"/>
    </row>
    <row r="229" spans="1:38">
      <c r="A229" s="618"/>
      <c r="B229" s="618" t="s">
        <v>3505</v>
      </c>
      <c r="C229" s="355">
        <f t="shared" si="191"/>
        <v>0</v>
      </c>
      <c r="D229" s="523">
        <f>VLOOKUP(B229,DONGIA,DG!$B$6,0)</f>
        <v>0</v>
      </c>
      <c r="E229" s="666" t="str">
        <f>VLOOKUP(B229,DONGIA,DG!$C$6,0)</f>
        <v>Gỗ chống: 0,335 m3/100m2 ván khuôn</v>
      </c>
      <c r="F229" s="523" t="str">
        <f>VLOOKUP(B229,DONGIA,DG!$D$6,0)</f>
        <v>m3</v>
      </c>
      <c r="G229" s="741">
        <f>ROUND(G232*0.335/100,4)</f>
        <v>1.8800000000000001E-2</v>
      </c>
      <c r="H229" s="525">
        <f>VLOOKUP($B229,DONGIA,DG!$E$6,0)</f>
        <v>3800000</v>
      </c>
      <c r="I229" s="525"/>
      <c r="J229" s="525"/>
      <c r="K229" s="525">
        <f>VLOOKUP($B229,DONGIA,DG!$F$6,0)</f>
        <v>0</v>
      </c>
      <c r="L229" s="525"/>
      <c r="M229" s="525">
        <f>VLOOKUP($B229,DONGIA,DG!$G$6,0)</f>
        <v>0</v>
      </c>
      <c r="N229" s="525">
        <f t="shared" si="192"/>
        <v>71440</v>
      </c>
      <c r="O229" s="525">
        <f t="shared" si="189"/>
        <v>0</v>
      </c>
      <c r="P229" s="525">
        <f t="shared" si="189"/>
        <v>0</v>
      </c>
      <c r="Q229" s="525">
        <f t="shared" si="189"/>
        <v>0</v>
      </c>
      <c r="R229" s="525">
        <f t="shared" si="189"/>
        <v>0</v>
      </c>
      <c r="S229" s="525">
        <f t="shared" si="189"/>
        <v>0</v>
      </c>
      <c r="U229" s="404"/>
      <c r="V229" s="404"/>
      <c r="W229" s="404"/>
      <c r="X229" s="404"/>
      <c r="Y229" s="404"/>
      <c r="Z229" s="404"/>
      <c r="AA229" s="404"/>
      <c r="AB229" s="404"/>
      <c r="AE229" s="404"/>
      <c r="AF229" s="404"/>
      <c r="AG229" s="404"/>
      <c r="AH229" s="404"/>
      <c r="AI229" s="404"/>
      <c r="AJ229" s="404"/>
      <c r="AK229" s="404"/>
      <c r="AL229" s="404"/>
    </row>
    <row r="230" spans="1:38">
      <c r="A230" s="618"/>
      <c r="B230" s="618" t="s">
        <v>3507</v>
      </c>
      <c r="C230" s="355">
        <f t="shared" si="191"/>
        <v>0</v>
      </c>
      <c r="D230" s="523">
        <f>VLOOKUP(B230,DONGIA,DG!$B$6,0)</f>
        <v>0</v>
      </c>
      <c r="E230" s="666" t="str">
        <f>VLOOKUP(B230,DONGIA,DG!$C$6,0)</f>
        <v>Gỗ đà nẹp: 0,21 m3/100m2 ván khuôn</v>
      </c>
      <c r="F230" s="523" t="str">
        <f>VLOOKUP(B230,DONGIA,DG!$D$6,0)</f>
        <v>m3</v>
      </c>
      <c r="G230" s="741">
        <f>ROUND(G232*0.21/100,4)</f>
        <v>1.18E-2</v>
      </c>
      <c r="H230" s="525">
        <f>VLOOKUP($B230,DONGIA,DG!$E$6,0)</f>
        <v>3800000</v>
      </c>
      <c r="I230" s="525"/>
      <c r="J230" s="525"/>
      <c r="K230" s="525">
        <f>VLOOKUP($B230,DONGIA,DG!$F$6,0)</f>
        <v>0</v>
      </c>
      <c r="L230" s="525"/>
      <c r="M230" s="525">
        <f>VLOOKUP($B230,DONGIA,DG!$G$6,0)</f>
        <v>0</v>
      </c>
      <c r="N230" s="525">
        <f t="shared" si="192"/>
        <v>44840</v>
      </c>
      <c r="O230" s="525">
        <f t="shared" si="189"/>
        <v>0</v>
      </c>
      <c r="P230" s="525">
        <f t="shared" si="189"/>
        <v>0</v>
      </c>
      <c r="Q230" s="525">
        <f t="shared" si="189"/>
        <v>0</v>
      </c>
      <c r="R230" s="525">
        <f t="shared" si="189"/>
        <v>0</v>
      </c>
      <c r="S230" s="525">
        <f t="shared" si="189"/>
        <v>0</v>
      </c>
      <c r="U230" s="404"/>
      <c r="V230" s="404"/>
      <c r="W230" s="404"/>
      <c r="X230" s="404"/>
      <c r="Y230" s="404"/>
      <c r="Z230" s="404"/>
      <c r="AA230" s="404"/>
      <c r="AB230" s="404"/>
      <c r="AE230" s="404"/>
      <c r="AF230" s="404"/>
      <c r="AG230" s="404"/>
      <c r="AH230" s="404"/>
      <c r="AI230" s="404"/>
      <c r="AJ230" s="404"/>
      <c r="AK230" s="404"/>
      <c r="AL230" s="404"/>
    </row>
    <row r="231" spans="1:38">
      <c r="A231" s="618"/>
      <c r="B231" s="618" t="s">
        <v>3503</v>
      </c>
      <c r="C231" s="355">
        <f t="shared" si="191"/>
        <v>0</v>
      </c>
      <c r="D231" s="523">
        <f>VLOOKUP(B231,DONGIA,DG!$B$6,0)</f>
        <v>0</v>
      </c>
      <c r="E231" s="666" t="str">
        <f>VLOOKUP(B231,DONGIA,DG!$C$6,0)</f>
        <v>Gỗ ván (cả nẹp): 0,792 m3/100m2 ván khuôn</v>
      </c>
      <c r="F231" s="523" t="str">
        <f>VLOOKUP(B231,DONGIA,DG!$D$6,0)</f>
        <v>m3</v>
      </c>
      <c r="G231" s="741">
        <f>ROUND(G232*0.792/100,4)</f>
        <v>4.4400000000000002E-2</v>
      </c>
      <c r="H231" s="525">
        <f>VLOOKUP($B231,DONGIA,DG!$E$6,0)</f>
        <v>3800000</v>
      </c>
      <c r="I231" s="525"/>
      <c r="J231" s="525"/>
      <c r="K231" s="525">
        <f>VLOOKUP($B231,DONGIA,DG!$F$6,0)</f>
        <v>0</v>
      </c>
      <c r="L231" s="525"/>
      <c r="M231" s="525">
        <f>VLOOKUP($B231,DONGIA,DG!$G$6,0)</f>
        <v>0</v>
      </c>
      <c r="N231" s="525">
        <f t="shared" si="192"/>
        <v>168720</v>
      </c>
      <c r="O231" s="525">
        <f t="shared" si="189"/>
        <v>0</v>
      </c>
      <c r="P231" s="525">
        <f t="shared" si="189"/>
        <v>0</v>
      </c>
      <c r="Q231" s="525">
        <f t="shared" si="189"/>
        <v>0</v>
      </c>
      <c r="R231" s="525">
        <f t="shared" si="189"/>
        <v>0</v>
      </c>
      <c r="S231" s="525">
        <f t="shared" si="189"/>
        <v>0</v>
      </c>
      <c r="U231" s="404"/>
      <c r="V231" s="404"/>
      <c r="W231" s="404"/>
      <c r="X231" s="404"/>
      <c r="Y231" s="404"/>
      <c r="Z231" s="404"/>
      <c r="AA231" s="404"/>
      <c r="AB231" s="404"/>
      <c r="AE231" s="404"/>
      <c r="AF231" s="404"/>
      <c r="AG231" s="404"/>
      <c r="AH231" s="404"/>
      <c r="AI231" s="404"/>
      <c r="AJ231" s="404"/>
      <c r="AK231" s="404"/>
      <c r="AL231" s="404"/>
    </row>
    <row r="232" spans="1:38">
      <c r="A232" s="618"/>
      <c r="B232" s="618" t="s">
        <v>3511</v>
      </c>
      <c r="C232" s="355">
        <f t="shared" si="191"/>
        <v>0</v>
      </c>
      <c r="D232" s="523" t="str">
        <f>VLOOKUP(B232,DONGIA,DG!$B$6,0)</f>
        <v>AF.81122</v>
      </c>
      <c r="E232" s="666" t="str">
        <f>VLOOKUP(B232,DONGIA,DG!$C$6,0)</f>
        <v>Lắp ván khuôn gỗ móng - móng vuông, chữ nhật</v>
      </c>
      <c r="F232" s="523" t="str">
        <f>VLOOKUP(B232,DONGIA,DG!$D$6,0)</f>
        <v>m2</v>
      </c>
      <c r="G232" s="740">
        <f>ROUND(1.4*1*4,3)</f>
        <v>5.6</v>
      </c>
      <c r="H232" s="525">
        <f>VLOOKUP($B232,DONGIA,DG!$E$6,0)</f>
        <v>0</v>
      </c>
      <c r="I232" s="525"/>
      <c r="J232" s="525">
        <f>VLOOKUP($B232,DONGIA,DG!$F$6,0)</f>
        <v>57946</v>
      </c>
      <c r="K232" s="525"/>
      <c r="L232" s="525"/>
      <c r="M232" s="525">
        <f>VLOOKUP($B232,DONGIA,DG!$G$6,0)</f>
        <v>0</v>
      </c>
      <c r="N232" s="525">
        <f t="shared" si="192"/>
        <v>0</v>
      </c>
      <c r="O232" s="525">
        <f t="shared" si="189"/>
        <v>0</v>
      </c>
      <c r="P232" s="525">
        <f t="shared" si="189"/>
        <v>324497.59999999998</v>
      </c>
      <c r="Q232" s="525">
        <f t="shared" si="189"/>
        <v>0</v>
      </c>
      <c r="R232" s="525">
        <f t="shared" si="189"/>
        <v>0</v>
      </c>
      <c r="S232" s="525">
        <f t="shared" si="189"/>
        <v>0</v>
      </c>
      <c r="U232" s="404"/>
      <c r="V232" s="404"/>
      <c r="W232" s="404"/>
      <c r="X232" s="404"/>
      <c r="Y232" s="404"/>
      <c r="Z232" s="404"/>
      <c r="AA232" s="404"/>
      <c r="AB232" s="404"/>
      <c r="AE232" s="404"/>
      <c r="AF232" s="404"/>
      <c r="AG232" s="404"/>
      <c r="AH232" s="404"/>
      <c r="AI232" s="404"/>
      <c r="AJ232" s="404"/>
      <c r="AK232" s="404"/>
      <c r="AL232" s="404"/>
    </row>
    <row r="233" spans="1:38">
      <c r="A233" s="618"/>
      <c r="B233" s="618" t="s">
        <v>3572</v>
      </c>
      <c r="C233" s="355">
        <f t="shared" si="191"/>
        <v>0</v>
      </c>
      <c r="D233" s="523" t="str">
        <f>VLOOKUP(B233,DONGIA,DG!$B$6,0)</f>
        <v>AB.11443</v>
      </c>
      <c r="E233" s="666" t="str">
        <f>VLOOKUP(B233,DONGIA,DG!$C$6,0)</f>
        <v>Đào hố móng đất cấp 3 sâu &gt;1m (rộng &gt;1m)</v>
      </c>
      <c r="F233" s="523" t="str">
        <f>VLOOKUP(B233,DONGIA,DG!$D$6,0)</f>
        <v>m3</v>
      </c>
      <c r="G233" s="740">
        <v>2.2370000000000001</v>
      </c>
      <c r="H233" s="525"/>
      <c r="I233" s="525"/>
      <c r="J233" s="525">
        <f>VLOOKUP($B233,DONGIA,DG!$F$6,0)</f>
        <v>270211</v>
      </c>
      <c r="K233" s="525"/>
      <c r="L233" s="525">
        <f>VLOOKUP($B233,DONGIA,DG!$G$6,0)</f>
        <v>0</v>
      </c>
      <c r="M233" s="525"/>
      <c r="N233" s="525">
        <f t="shared" si="192"/>
        <v>0</v>
      </c>
      <c r="O233" s="525">
        <f t="shared" si="189"/>
        <v>0</v>
      </c>
      <c r="P233" s="525">
        <f t="shared" si="189"/>
        <v>604462.00699999998</v>
      </c>
      <c r="Q233" s="525">
        <f t="shared" si="189"/>
        <v>0</v>
      </c>
      <c r="R233" s="525">
        <f t="shared" si="189"/>
        <v>0</v>
      </c>
      <c r="S233" s="525">
        <f t="shared" si="189"/>
        <v>0</v>
      </c>
      <c r="U233" s="525">
        <f t="shared" ref="U233:AB234" si="194">U$195*$G233</f>
        <v>33.555</v>
      </c>
      <c r="V233" s="525">
        <f t="shared" si="194"/>
        <v>33.555</v>
      </c>
      <c r="W233" s="525">
        <f t="shared" si="194"/>
        <v>0</v>
      </c>
      <c r="X233" s="525">
        <f t="shared" si="194"/>
        <v>0</v>
      </c>
      <c r="Y233" s="525">
        <f t="shared" si="194"/>
        <v>0</v>
      </c>
      <c r="Z233" s="525">
        <f t="shared" si="194"/>
        <v>0</v>
      </c>
      <c r="AA233" s="525">
        <f t="shared" si="194"/>
        <v>0</v>
      </c>
      <c r="AB233" s="525">
        <f t="shared" si="194"/>
        <v>0</v>
      </c>
      <c r="AD233" s="405">
        <f>IFERROR(VLOOKUP(B233,DONGIA,$AD$3,0),0)</f>
        <v>0</v>
      </c>
      <c r="AE233" s="525">
        <f t="shared" ref="AE233:AE240" si="195">U233*$AD233</f>
        <v>0</v>
      </c>
      <c r="AF233" s="525">
        <f t="shared" ref="AF233:AH240" si="196">V233*$AD233</f>
        <v>0</v>
      </c>
      <c r="AG233" s="525">
        <f t="shared" ref="AG233:AH235" si="197">W233*$AD233</f>
        <v>0</v>
      </c>
      <c r="AH233" s="525">
        <f t="shared" si="197"/>
        <v>0</v>
      </c>
      <c r="AI233" s="525">
        <f t="shared" ref="AI233:AK240" si="198">Y233*$AD233</f>
        <v>0</v>
      </c>
      <c r="AJ233" s="525">
        <f t="shared" ref="AJ233:AK235" si="199">Z233*$AD233</f>
        <v>0</v>
      </c>
      <c r="AK233" s="525">
        <f t="shared" si="199"/>
        <v>0</v>
      </c>
      <c r="AL233" s="525">
        <f t="shared" ref="AL233:AL275" si="200">AB233*$AD233</f>
        <v>0</v>
      </c>
    </row>
    <row r="234" spans="1:38">
      <c r="A234" s="618"/>
      <c r="B234" s="618" t="s">
        <v>510</v>
      </c>
      <c r="C234" s="355">
        <f t="shared" si="191"/>
        <v>0</v>
      </c>
      <c r="D234" s="523" t="str">
        <f>VLOOKUP(B234,DONGIA,DG!$B$6,0)</f>
        <v>AB.65110</v>
      </c>
      <c r="E234" s="666" t="str">
        <f>VLOOKUP(B234,DONGIA,DG!$C$6,0)</f>
        <v>Đắp đất hố móng (K=0,85)</v>
      </c>
      <c r="F234" s="523" t="str">
        <f>VLOOKUP(B234,DONGIA,DG!$D$6,0)</f>
        <v>m3</v>
      </c>
      <c r="G234" s="740">
        <v>0.107</v>
      </c>
      <c r="H234" s="525"/>
      <c r="I234" s="525"/>
      <c r="J234" s="525">
        <f>VLOOKUP($B234,DONGIA,DG!$F$6,0)</f>
        <v>16267</v>
      </c>
      <c r="K234" s="525"/>
      <c r="L234" s="525">
        <f>VLOOKUP($B234,DONGIA,DG!$G$6,0)</f>
        <v>11176</v>
      </c>
      <c r="M234" s="525"/>
      <c r="N234" s="525">
        <f t="shared" si="192"/>
        <v>0</v>
      </c>
      <c r="O234" s="525">
        <f t="shared" si="189"/>
        <v>0</v>
      </c>
      <c r="P234" s="525">
        <f t="shared" si="189"/>
        <v>1740.569</v>
      </c>
      <c r="Q234" s="525">
        <f t="shared" si="189"/>
        <v>0</v>
      </c>
      <c r="R234" s="525">
        <f t="shared" si="189"/>
        <v>1195.8319999999999</v>
      </c>
      <c r="S234" s="525">
        <f t="shared" si="189"/>
        <v>0</v>
      </c>
      <c r="U234" s="525">
        <f t="shared" si="194"/>
        <v>1.605</v>
      </c>
      <c r="V234" s="525">
        <f t="shared" si="194"/>
        <v>1.605</v>
      </c>
      <c r="W234" s="525">
        <f t="shared" si="194"/>
        <v>0</v>
      </c>
      <c r="X234" s="525">
        <f t="shared" si="194"/>
        <v>0</v>
      </c>
      <c r="Y234" s="525">
        <f t="shared" si="194"/>
        <v>0</v>
      </c>
      <c r="Z234" s="525">
        <f t="shared" si="194"/>
        <v>0</v>
      </c>
      <c r="AA234" s="525">
        <f t="shared" si="194"/>
        <v>0</v>
      </c>
      <c r="AB234" s="525">
        <f t="shared" si="194"/>
        <v>0</v>
      </c>
      <c r="AD234" s="405">
        <f>IFERROR(VLOOKUP(B234,DONGIA,$AD$3,0),0)</f>
        <v>0</v>
      </c>
      <c r="AE234" s="525">
        <f t="shared" si="195"/>
        <v>0</v>
      </c>
      <c r="AF234" s="525">
        <f t="shared" si="196"/>
        <v>0</v>
      </c>
      <c r="AG234" s="525">
        <f t="shared" si="197"/>
        <v>0</v>
      </c>
      <c r="AH234" s="525">
        <f t="shared" si="197"/>
        <v>0</v>
      </c>
      <c r="AI234" s="525">
        <f t="shared" si="198"/>
        <v>0</v>
      </c>
      <c r="AJ234" s="525">
        <f t="shared" si="199"/>
        <v>0</v>
      </c>
      <c r="AK234" s="525">
        <f t="shared" si="199"/>
        <v>0</v>
      </c>
      <c r="AL234" s="525">
        <f t="shared" si="200"/>
        <v>0</v>
      </c>
    </row>
    <row r="235" spans="1:38">
      <c r="A235" s="618"/>
      <c r="B235" s="618" t="s">
        <v>713</v>
      </c>
      <c r="C235" s="355">
        <f t="shared" si="191"/>
        <v>0</v>
      </c>
      <c r="D235" s="523" t="str">
        <f>VLOOKUP(B235,DONGIA,DG!$B$6,0)</f>
        <v>AF.11210</v>
      </c>
      <c r="E235" s="666" t="str">
        <f>VLOOKUP(B235,DONGIA,DG!$C$6,0)</f>
        <v>Đổ bê tông mác M200 đá 1x2</v>
      </c>
      <c r="F235" s="523" t="str">
        <f>VLOOKUP(B235,DONGIA,DG!$D$6,0)</f>
        <v>m3</v>
      </c>
      <c r="G235" s="740">
        <v>1.8640000000000001</v>
      </c>
      <c r="H235" s="525"/>
      <c r="I235" s="525"/>
      <c r="J235" s="525">
        <f>VLOOKUP($B235,DONGIA,DG!$F$6,0)</f>
        <v>293475</v>
      </c>
      <c r="K235" s="525"/>
      <c r="L235" s="525">
        <f>VLOOKUP($B235,DONGIA,DG!$G$6,0)</f>
        <v>44701</v>
      </c>
      <c r="M235" s="525"/>
      <c r="N235" s="525">
        <f t="shared" si="192"/>
        <v>0</v>
      </c>
      <c r="O235" s="525">
        <f t="shared" si="189"/>
        <v>0</v>
      </c>
      <c r="P235" s="525">
        <f t="shared" si="189"/>
        <v>547037.4</v>
      </c>
      <c r="Q235" s="525">
        <f t="shared" si="189"/>
        <v>0</v>
      </c>
      <c r="R235" s="525">
        <f t="shared" si="189"/>
        <v>83322.664000000004</v>
      </c>
      <c r="S235" s="525">
        <f t="shared" si="189"/>
        <v>0</v>
      </c>
      <c r="U235" s="525"/>
      <c r="V235" s="525"/>
      <c r="W235" s="525"/>
      <c r="X235" s="525"/>
      <c r="Y235" s="525"/>
      <c r="Z235" s="525"/>
      <c r="AA235" s="525"/>
      <c r="AB235" s="525"/>
      <c r="AD235" s="405">
        <f>IFERROR(VLOOKUP(B235,DONGIA,$AD$3,0),0)</f>
        <v>0</v>
      </c>
      <c r="AE235" s="525">
        <f t="shared" si="195"/>
        <v>0</v>
      </c>
      <c r="AF235" s="525">
        <f t="shared" si="196"/>
        <v>0</v>
      </c>
      <c r="AG235" s="525">
        <f t="shared" si="197"/>
        <v>0</v>
      </c>
      <c r="AH235" s="525">
        <f t="shared" si="197"/>
        <v>0</v>
      </c>
      <c r="AI235" s="525">
        <f t="shared" si="198"/>
        <v>0</v>
      </c>
      <c r="AJ235" s="525">
        <f t="shared" si="199"/>
        <v>0</v>
      </c>
      <c r="AK235" s="525">
        <f t="shared" si="199"/>
        <v>0</v>
      </c>
      <c r="AL235" s="525">
        <f t="shared" si="200"/>
        <v>0</v>
      </c>
    </row>
    <row r="236" spans="1:38">
      <c r="A236" s="618" t="s">
        <v>3831</v>
      </c>
      <c r="B236" s="618"/>
      <c r="C236" s="619">
        <f>IF(G236&lt;&gt;0,1,)</f>
        <v>0</v>
      </c>
      <c r="D236" s="745"/>
      <c r="E236" s="746" t="s">
        <v>3832</v>
      </c>
      <c r="F236" s="745" t="s">
        <v>1633</v>
      </c>
      <c r="G236" s="745">
        <f>U236</f>
        <v>0</v>
      </c>
      <c r="H236" s="746"/>
      <c r="I236" s="746"/>
      <c r="J236" s="746"/>
      <c r="K236" s="746"/>
      <c r="L236" s="746"/>
      <c r="M236" s="746"/>
      <c r="N236" s="746">
        <f t="shared" ref="N236:S236" si="201">SUM(N238:N249)</f>
        <v>261200</v>
      </c>
      <c r="O236" s="746">
        <f t="shared" si="201"/>
        <v>1241170</v>
      </c>
      <c r="P236" s="746">
        <f t="shared" si="201"/>
        <v>2055413.0879999998</v>
      </c>
      <c r="Q236" s="746">
        <f t="shared" si="201"/>
        <v>278140.79999999999</v>
      </c>
      <c r="R236" s="746">
        <f t="shared" si="201"/>
        <v>62358.516000000003</v>
      </c>
      <c r="S236" s="746">
        <f t="shared" si="201"/>
        <v>0</v>
      </c>
      <c r="U236" s="746">
        <f>SUM(V236:AB236)</f>
        <v>0</v>
      </c>
      <c r="V236" s="746">
        <f>IFERROR(HLOOKUP($A236,BK3P,V$3,0),)</f>
        <v>0</v>
      </c>
      <c r="W236" s="746">
        <f>IFERROR(HLOOKUP($A236,BK3P,W$3,0),)</f>
        <v>0</v>
      </c>
      <c r="X236" s="746">
        <f>IFERROR(HLOOKUP($A236,BK3P,X$3,0),)</f>
        <v>0</v>
      </c>
      <c r="Y236" s="746">
        <f>IFERROR(HLOOKUP($A236,BK1P,Y$3,0),)</f>
        <v>0</v>
      </c>
      <c r="Z236" s="746">
        <f>IFERROR(HLOOKUP($A236,BK1P,Z$3,0),)</f>
        <v>0</v>
      </c>
      <c r="AA236" s="746">
        <f>IFERROR(HLOOKUP($A236,BK1P,AA$3,0),)</f>
        <v>0</v>
      </c>
      <c r="AB236" s="746">
        <f>IFERROR(HLOOKUP($A236,BKHT,AB$3,0),)</f>
        <v>0</v>
      </c>
      <c r="AD236" s="405">
        <f t="shared" ref="AD236:AD275" si="202">IFERROR(VLOOKUP(B236,DONGIA,$AD$3,0),0)</f>
        <v>0</v>
      </c>
      <c r="AE236" s="404">
        <f t="shared" si="195"/>
        <v>0</v>
      </c>
      <c r="AF236" s="404">
        <f t="shared" si="196"/>
        <v>0</v>
      </c>
      <c r="AG236" s="404">
        <f t="shared" si="196"/>
        <v>0</v>
      </c>
      <c r="AH236" s="404">
        <f t="shared" si="196"/>
        <v>0</v>
      </c>
      <c r="AI236" s="404">
        <f t="shared" si="198"/>
        <v>0</v>
      </c>
      <c r="AJ236" s="404">
        <f t="shared" si="198"/>
        <v>0</v>
      </c>
      <c r="AK236" s="404">
        <f t="shared" si="198"/>
        <v>0</v>
      </c>
      <c r="AL236" s="404">
        <f t="shared" si="200"/>
        <v>0</v>
      </c>
    </row>
    <row r="237" spans="1:38" s="542" customFormat="1">
      <c r="A237" s="624"/>
      <c r="B237" s="624"/>
      <c r="C237" s="625">
        <f>C236</f>
        <v>0</v>
      </c>
      <c r="D237" s="747"/>
      <c r="E237" s="748" t="s">
        <v>1644</v>
      </c>
      <c r="F237" s="747"/>
      <c r="G237" s="748"/>
      <c r="H237" s="748"/>
      <c r="I237" s="748"/>
      <c r="J237" s="748"/>
      <c r="K237" s="748"/>
      <c r="L237" s="748"/>
      <c r="M237" s="748"/>
      <c r="N237" s="748"/>
      <c r="O237" s="748"/>
      <c r="P237" s="748"/>
      <c r="Q237" s="748"/>
      <c r="R237" s="748"/>
      <c r="S237" s="748"/>
      <c r="U237" s="748"/>
      <c r="V237" s="748"/>
      <c r="W237" s="748"/>
      <c r="X237" s="748"/>
      <c r="Y237" s="748"/>
      <c r="Z237" s="748"/>
      <c r="AA237" s="748"/>
      <c r="AB237" s="748"/>
      <c r="AD237" s="405">
        <f t="shared" si="202"/>
        <v>0</v>
      </c>
      <c r="AE237" s="404">
        <f t="shared" si="195"/>
        <v>0</v>
      </c>
      <c r="AF237" s="404">
        <f t="shared" si="196"/>
        <v>0</v>
      </c>
      <c r="AG237" s="404">
        <f t="shared" si="196"/>
        <v>0</v>
      </c>
      <c r="AH237" s="404">
        <f t="shared" si="196"/>
        <v>0</v>
      </c>
      <c r="AI237" s="404">
        <f t="shared" si="198"/>
        <v>0</v>
      </c>
      <c r="AJ237" s="404">
        <f t="shared" si="198"/>
        <v>0</v>
      </c>
      <c r="AK237" s="404">
        <f t="shared" si="198"/>
        <v>0</v>
      </c>
      <c r="AL237" s="404">
        <f t="shared" si="200"/>
        <v>0</v>
      </c>
    </row>
    <row r="238" spans="1:38">
      <c r="A238" s="618"/>
      <c r="B238" s="618" t="s">
        <v>1639</v>
      </c>
      <c r="C238" s="619">
        <f>IF(G238&lt;&gt;0,$C$236,)</f>
        <v>0</v>
      </c>
      <c r="D238" s="744">
        <v>0</v>
      </c>
      <c r="E238" s="404" t="s">
        <v>1750</v>
      </c>
      <c r="F238" s="744" t="s">
        <v>143</v>
      </c>
      <c r="G238" s="739">
        <f>ROUND(G249*281,1)</f>
        <v>333.8</v>
      </c>
      <c r="H238" s="404"/>
      <c r="I238" s="404">
        <v>1800</v>
      </c>
      <c r="J238" s="404">
        <v>0</v>
      </c>
      <c r="K238" s="404"/>
      <c r="L238" s="404">
        <v>0</v>
      </c>
      <c r="M238" s="404">
        <v>0</v>
      </c>
      <c r="N238" s="404">
        <f>$G238*H238</f>
        <v>0</v>
      </c>
      <c r="O238" s="404">
        <f t="shared" ref="O238:S249" si="203">$G238*I238</f>
        <v>600840</v>
      </c>
      <c r="P238" s="404">
        <f t="shared" si="203"/>
        <v>0</v>
      </c>
      <c r="Q238" s="404">
        <f t="shared" si="203"/>
        <v>0</v>
      </c>
      <c r="R238" s="404">
        <f t="shared" si="203"/>
        <v>0</v>
      </c>
      <c r="S238" s="404">
        <f t="shared" si="203"/>
        <v>0</v>
      </c>
      <c r="U238" s="404">
        <f>U$164*$G238</f>
        <v>333.8</v>
      </c>
      <c r="V238" s="404">
        <f t="shared" ref="V238:AB238" si="204">V$164*$G238</f>
        <v>333.8</v>
      </c>
      <c r="W238" s="404">
        <f t="shared" si="204"/>
        <v>0</v>
      </c>
      <c r="X238" s="404">
        <f t="shared" si="204"/>
        <v>0</v>
      </c>
      <c r="Y238" s="404">
        <f t="shared" si="204"/>
        <v>0</v>
      </c>
      <c r="Z238" s="404">
        <f t="shared" si="204"/>
        <v>0</v>
      </c>
      <c r="AA238" s="404">
        <f t="shared" si="204"/>
        <v>0</v>
      </c>
      <c r="AB238" s="404">
        <f t="shared" si="204"/>
        <v>0</v>
      </c>
      <c r="AD238" s="405">
        <f t="shared" si="202"/>
        <v>1</v>
      </c>
      <c r="AE238" s="404">
        <f t="shared" si="195"/>
        <v>333.8</v>
      </c>
      <c r="AF238" s="404">
        <f t="shared" si="196"/>
        <v>333.8</v>
      </c>
      <c r="AG238" s="404">
        <f t="shared" si="196"/>
        <v>0</v>
      </c>
      <c r="AH238" s="404">
        <f t="shared" si="196"/>
        <v>0</v>
      </c>
      <c r="AI238" s="404">
        <f t="shared" si="198"/>
        <v>0</v>
      </c>
      <c r="AJ238" s="404">
        <f t="shared" si="198"/>
        <v>0</v>
      </c>
      <c r="AK238" s="404">
        <f t="shared" si="198"/>
        <v>0</v>
      </c>
      <c r="AL238" s="404">
        <f t="shared" si="200"/>
        <v>0</v>
      </c>
    </row>
    <row r="239" spans="1:38">
      <c r="A239" s="618"/>
      <c r="B239" s="618" t="s">
        <v>471</v>
      </c>
      <c r="C239" s="619">
        <f t="shared" ref="C239:C249" si="205">IF(G239&lt;&gt;0,$C$236,)</f>
        <v>0</v>
      </c>
      <c r="D239" s="744">
        <v>0</v>
      </c>
      <c r="E239" s="404" t="s">
        <v>472</v>
      </c>
      <c r="F239" s="744" t="s">
        <v>308</v>
      </c>
      <c r="G239" s="468">
        <f>ROUND(G249*0.477,3)</f>
        <v>0.56699999999999995</v>
      </c>
      <c r="H239" s="404"/>
      <c r="I239" s="404">
        <v>390000</v>
      </c>
      <c r="J239" s="404">
        <v>0</v>
      </c>
      <c r="K239" s="404"/>
      <c r="L239" s="404">
        <v>0</v>
      </c>
      <c r="M239" s="404"/>
      <c r="N239" s="404">
        <f t="shared" ref="N239:N249" si="206">$G239*H239</f>
        <v>0</v>
      </c>
      <c r="O239" s="404">
        <f t="shared" si="203"/>
        <v>221129.99999999997</v>
      </c>
      <c r="P239" s="404">
        <f t="shared" si="203"/>
        <v>0</v>
      </c>
      <c r="Q239" s="404">
        <f t="shared" si="203"/>
        <v>0</v>
      </c>
      <c r="R239" s="404">
        <f t="shared" si="203"/>
        <v>0</v>
      </c>
      <c r="S239" s="404">
        <f t="shared" si="203"/>
        <v>0</v>
      </c>
      <c r="U239" s="404">
        <f>U$164*$G239</f>
        <v>0.56699999999999995</v>
      </c>
      <c r="V239" s="404">
        <f t="shared" ref="V239:AB240" si="207">V$164*$G239</f>
        <v>0.56699999999999995</v>
      </c>
      <c r="W239" s="404">
        <f t="shared" si="207"/>
        <v>0</v>
      </c>
      <c r="X239" s="404">
        <f t="shared" si="207"/>
        <v>0</v>
      </c>
      <c r="Y239" s="404">
        <f t="shared" si="207"/>
        <v>0</v>
      </c>
      <c r="Z239" s="404">
        <f t="shared" si="207"/>
        <v>0</v>
      </c>
      <c r="AA239" s="404">
        <f t="shared" si="207"/>
        <v>0</v>
      </c>
      <c r="AB239" s="404">
        <f t="shared" si="207"/>
        <v>0</v>
      </c>
      <c r="AD239" s="405">
        <f t="shared" si="202"/>
        <v>1500</v>
      </c>
      <c r="AE239" s="404">
        <f t="shared" si="195"/>
        <v>850.49999999999989</v>
      </c>
      <c r="AF239" s="404">
        <f t="shared" si="196"/>
        <v>850.49999999999989</v>
      </c>
      <c r="AG239" s="404">
        <f t="shared" si="196"/>
        <v>0</v>
      </c>
      <c r="AH239" s="404">
        <f t="shared" si="196"/>
        <v>0</v>
      </c>
      <c r="AI239" s="404">
        <f t="shared" si="198"/>
        <v>0</v>
      </c>
      <c r="AJ239" s="404">
        <f t="shared" si="198"/>
        <v>0</v>
      </c>
      <c r="AK239" s="404">
        <f t="shared" si="198"/>
        <v>0</v>
      </c>
      <c r="AL239" s="404">
        <f t="shared" si="200"/>
        <v>0</v>
      </c>
    </row>
    <row r="240" spans="1:38">
      <c r="A240" s="618" t="s">
        <v>85</v>
      </c>
      <c r="B240" s="618" t="s">
        <v>1640</v>
      </c>
      <c r="C240" s="619">
        <f t="shared" si="205"/>
        <v>0</v>
      </c>
      <c r="D240" s="744">
        <v>0</v>
      </c>
      <c r="E240" s="404" t="s">
        <v>470</v>
      </c>
      <c r="F240" s="744" t="s">
        <v>308</v>
      </c>
      <c r="G240" s="468">
        <f>ROUND(G249*0.882,3)</f>
        <v>1.048</v>
      </c>
      <c r="H240" s="404"/>
      <c r="I240" s="404">
        <v>400000</v>
      </c>
      <c r="J240" s="404">
        <v>0</v>
      </c>
      <c r="K240" s="404"/>
      <c r="L240" s="404">
        <v>0</v>
      </c>
      <c r="M240" s="404"/>
      <c r="N240" s="404">
        <f t="shared" si="206"/>
        <v>0</v>
      </c>
      <c r="O240" s="404">
        <f t="shared" si="203"/>
        <v>419200</v>
      </c>
      <c r="P240" s="404">
        <f t="shared" si="203"/>
        <v>0</v>
      </c>
      <c r="Q240" s="404">
        <f t="shared" si="203"/>
        <v>0</v>
      </c>
      <c r="R240" s="404">
        <f t="shared" si="203"/>
        <v>0</v>
      </c>
      <c r="S240" s="404">
        <f t="shared" si="203"/>
        <v>0</v>
      </c>
      <c r="U240" s="404">
        <f>U$164*$G240</f>
        <v>1.048</v>
      </c>
      <c r="V240" s="404">
        <f t="shared" si="207"/>
        <v>1.048</v>
      </c>
      <c r="W240" s="404">
        <f t="shared" si="207"/>
        <v>0</v>
      </c>
      <c r="X240" s="404">
        <f t="shared" si="207"/>
        <v>0</v>
      </c>
      <c r="Y240" s="404">
        <f t="shared" si="207"/>
        <v>0</v>
      </c>
      <c r="Z240" s="404">
        <f t="shared" si="207"/>
        <v>0</v>
      </c>
      <c r="AA240" s="404">
        <f t="shared" si="207"/>
        <v>0</v>
      </c>
      <c r="AB240" s="404">
        <f t="shared" si="207"/>
        <v>0</v>
      </c>
      <c r="AD240" s="405">
        <f t="shared" si="202"/>
        <v>1500</v>
      </c>
      <c r="AE240" s="404">
        <f t="shared" si="195"/>
        <v>1572</v>
      </c>
      <c r="AF240" s="404">
        <f t="shared" si="196"/>
        <v>1572</v>
      </c>
      <c r="AG240" s="404">
        <f t="shared" si="196"/>
        <v>0</v>
      </c>
      <c r="AH240" s="404">
        <f t="shared" si="196"/>
        <v>0</v>
      </c>
      <c r="AI240" s="404">
        <f t="shared" si="198"/>
        <v>0</v>
      </c>
      <c r="AJ240" s="404">
        <f t="shared" si="198"/>
        <v>0</v>
      </c>
      <c r="AK240" s="404">
        <f t="shared" si="198"/>
        <v>0</v>
      </c>
      <c r="AL240" s="404">
        <f t="shared" si="200"/>
        <v>0</v>
      </c>
    </row>
    <row r="241" spans="1:38">
      <c r="A241" s="618"/>
      <c r="B241" s="618" t="s">
        <v>3509</v>
      </c>
      <c r="C241" s="619">
        <f t="shared" si="205"/>
        <v>0</v>
      </c>
      <c r="D241" s="744">
        <v>0</v>
      </c>
      <c r="E241" s="404" t="s">
        <v>3510</v>
      </c>
      <c r="F241" s="744" t="s">
        <v>143</v>
      </c>
      <c r="G241" s="468">
        <f>ROUND(G245*15/100,2)</f>
        <v>0.72</v>
      </c>
      <c r="H241" s="404">
        <v>25000</v>
      </c>
      <c r="I241" s="404"/>
      <c r="J241" s="404"/>
      <c r="K241" s="404">
        <v>0</v>
      </c>
      <c r="L241" s="404"/>
      <c r="M241" s="404">
        <v>0</v>
      </c>
      <c r="N241" s="404">
        <f t="shared" si="206"/>
        <v>18000</v>
      </c>
      <c r="O241" s="404">
        <f t="shared" si="203"/>
        <v>0</v>
      </c>
      <c r="P241" s="404">
        <f t="shared" si="203"/>
        <v>0</v>
      </c>
      <c r="Q241" s="404">
        <f t="shared" si="203"/>
        <v>0</v>
      </c>
      <c r="R241" s="404">
        <f t="shared" si="203"/>
        <v>0</v>
      </c>
      <c r="S241" s="404">
        <f t="shared" si="203"/>
        <v>0</v>
      </c>
      <c r="U241" s="404"/>
      <c r="V241" s="404"/>
      <c r="W241" s="404"/>
      <c r="X241" s="404"/>
      <c r="Y241" s="404"/>
      <c r="Z241" s="404"/>
      <c r="AA241" s="404"/>
      <c r="AB241" s="404"/>
      <c r="AE241" s="404"/>
      <c r="AF241" s="404"/>
      <c r="AG241" s="404"/>
      <c r="AH241" s="404"/>
      <c r="AI241" s="404"/>
      <c r="AJ241" s="404"/>
      <c r="AK241" s="404"/>
      <c r="AL241" s="404"/>
    </row>
    <row r="242" spans="1:38">
      <c r="A242" s="618"/>
      <c r="B242" s="618" t="s">
        <v>3505</v>
      </c>
      <c r="C242" s="619">
        <f t="shared" si="205"/>
        <v>0</v>
      </c>
      <c r="D242" s="744">
        <v>0</v>
      </c>
      <c r="E242" s="404" t="s">
        <v>3506</v>
      </c>
      <c r="F242" s="744" t="s">
        <v>308</v>
      </c>
      <c r="G242" s="468">
        <f>ROUND(G245*0.335/100,3)</f>
        <v>1.6E-2</v>
      </c>
      <c r="H242" s="404">
        <v>3800000</v>
      </c>
      <c r="I242" s="404"/>
      <c r="J242" s="404"/>
      <c r="K242" s="404">
        <v>0</v>
      </c>
      <c r="L242" s="404"/>
      <c r="M242" s="404">
        <v>0</v>
      </c>
      <c r="N242" s="404">
        <f t="shared" si="206"/>
        <v>60800</v>
      </c>
      <c r="O242" s="404">
        <f t="shared" si="203"/>
        <v>0</v>
      </c>
      <c r="P242" s="404">
        <f t="shared" si="203"/>
        <v>0</v>
      </c>
      <c r="Q242" s="404">
        <f t="shared" si="203"/>
        <v>0</v>
      </c>
      <c r="R242" s="404">
        <f t="shared" si="203"/>
        <v>0</v>
      </c>
      <c r="S242" s="404">
        <f t="shared" si="203"/>
        <v>0</v>
      </c>
      <c r="U242" s="404"/>
      <c r="V242" s="404"/>
      <c r="W242" s="404"/>
      <c r="X242" s="404"/>
      <c r="Y242" s="404"/>
      <c r="Z242" s="404"/>
      <c r="AA242" s="404"/>
      <c r="AB242" s="404"/>
      <c r="AE242" s="404"/>
      <c r="AF242" s="404"/>
      <c r="AG242" s="404"/>
      <c r="AH242" s="404"/>
      <c r="AI242" s="404"/>
      <c r="AJ242" s="404"/>
      <c r="AK242" s="404"/>
      <c r="AL242" s="404"/>
    </row>
    <row r="243" spans="1:38">
      <c r="A243" s="618"/>
      <c r="B243" s="618" t="s">
        <v>3507</v>
      </c>
      <c r="C243" s="619">
        <f t="shared" si="205"/>
        <v>0</v>
      </c>
      <c r="D243" s="744">
        <v>0</v>
      </c>
      <c r="E243" s="404" t="s">
        <v>3508</v>
      </c>
      <c r="F243" s="744" t="s">
        <v>308</v>
      </c>
      <c r="G243" s="468">
        <f>ROUND(G245*0.21/100,3)</f>
        <v>0.01</v>
      </c>
      <c r="H243" s="404">
        <v>3800000</v>
      </c>
      <c r="I243" s="404"/>
      <c r="J243" s="404"/>
      <c r="K243" s="404">
        <v>0</v>
      </c>
      <c r="L243" s="404"/>
      <c r="M243" s="404">
        <v>0</v>
      </c>
      <c r="N243" s="404">
        <f t="shared" si="206"/>
        <v>38000</v>
      </c>
      <c r="O243" s="404">
        <f t="shared" si="203"/>
        <v>0</v>
      </c>
      <c r="P243" s="404">
        <f t="shared" si="203"/>
        <v>0</v>
      </c>
      <c r="Q243" s="404">
        <f t="shared" si="203"/>
        <v>0</v>
      </c>
      <c r="R243" s="404">
        <f t="shared" si="203"/>
        <v>0</v>
      </c>
      <c r="S243" s="404">
        <f t="shared" si="203"/>
        <v>0</v>
      </c>
      <c r="U243" s="404"/>
      <c r="V243" s="404"/>
      <c r="W243" s="404"/>
      <c r="X243" s="404"/>
      <c r="Y243" s="404"/>
      <c r="Z243" s="404"/>
      <c r="AA243" s="404"/>
      <c r="AB243" s="404"/>
      <c r="AE243" s="404"/>
      <c r="AF243" s="404"/>
      <c r="AG243" s="404"/>
      <c r="AH243" s="404"/>
      <c r="AI243" s="404"/>
      <c r="AJ243" s="404"/>
      <c r="AK243" s="404"/>
      <c r="AL243" s="404"/>
    </row>
    <row r="244" spans="1:38">
      <c r="A244" s="618"/>
      <c r="B244" s="618" t="s">
        <v>3503</v>
      </c>
      <c r="C244" s="619">
        <f t="shared" si="205"/>
        <v>0</v>
      </c>
      <c r="D244" s="744">
        <v>0</v>
      </c>
      <c r="E244" s="404" t="s">
        <v>3504</v>
      </c>
      <c r="F244" s="744" t="s">
        <v>308</v>
      </c>
      <c r="G244" s="468">
        <f>ROUND(G245*0.792/100,3)</f>
        <v>3.7999999999999999E-2</v>
      </c>
      <c r="H244" s="404">
        <v>3800000</v>
      </c>
      <c r="I244" s="404"/>
      <c r="J244" s="404"/>
      <c r="K244" s="404">
        <v>0</v>
      </c>
      <c r="L244" s="404"/>
      <c r="M244" s="404">
        <v>0</v>
      </c>
      <c r="N244" s="404">
        <f t="shared" si="206"/>
        <v>144400</v>
      </c>
      <c r="O244" s="404">
        <f t="shared" si="203"/>
        <v>0</v>
      </c>
      <c r="P244" s="404">
        <f t="shared" si="203"/>
        <v>0</v>
      </c>
      <c r="Q244" s="404">
        <f t="shared" si="203"/>
        <v>0</v>
      </c>
      <c r="R244" s="404">
        <f t="shared" si="203"/>
        <v>0</v>
      </c>
      <c r="S244" s="404">
        <f t="shared" si="203"/>
        <v>0</v>
      </c>
      <c r="U244" s="404"/>
      <c r="V244" s="404"/>
      <c r="W244" s="404"/>
      <c r="X244" s="404"/>
      <c r="Y244" s="404"/>
      <c r="Z244" s="404"/>
      <c r="AA244" s="404"/>
      <c r="AB244" s="404"/>
      <c r="AE244" s="404"/>
      <c r="AF244" s="404"/>
      <c r="AG244" s="404"/>
      <c r="AH244" s="404"/>
      <c r="AI244" s="404"/>
      <c r="AJ244" s="404"/>
      <c r="AK244" s="404"/>
      <c r="AL244" s="404"/>
    </row>
    <row r="245" spans="1:38">
      <c r="A245" s="618"/>
      <c r="B245" s="618" t="s">
        <v>3511</v>
      </c>
      <c r="C245" s="619">
        <f t="shared" si="205"/>
        <v>0</v>
      </c>
      <c r="D245" s="744" t="s">
        <v>3512</v>
      </c>
      <c r="E245" s="404" t="s">
        <v>3513</v>
      </c>
      <c r="F245" s="744" t="s">
        <v>309</v>
      </c>
      <c r="G245" s="468">
        <f>ROUND(1.2*4,3)</f>
        <v>4.8</v>
      </c>
      <c r="H245" s="404">
        <v>0</v>
      </c>
      <c r="I245" s="404"/>
      <c r="J245" s="404"/>
      <c r="K245" s="404">
        <v>57946</v>
      </c>
      <c r="L245" s="404"/>
      <c r="M245" s="404">
        <v>0</v>
      </c>
      <c r="N245" s="404">
        <f t="shared" si="206"/>
        <v>0</v>
      </c>
      <c r="O245" s="404">
        <f t="shared" si="203"/>
        <v>0</v>
      </c>
      <c r="P245" s="404">
        <f t="shared" si="203"/>
        <v>0</v>
      </c>
      <c r="Q245" s="404">
        <f t="shared" si="203"/>
        <v>278140.79999999999</v>
      </c>
      <c r="R245" s="404">
        <f t="shared" si="203"/>
        <v>0</v>
      </c>
      <c r="S245" s="404">
        <f t="shared" si="203"/>
        <v>0</v>
      </c>
      <c r="U245" s="404"/>
      <c r="V245" s="404"/>
      <c r="W245" s="404"/>
      <c r="X245" s="404"/>
      <c r="Y245" s="404"/>
      <c r="Z245" s="404"/>
      <c r="AA245" s="404"/>
      <c r="AB245" s="404"/>
      <c r="AE245" s="404"/>
      <c r="AF245" s="404"/>
      <c r="AG245" s="404"/>
      <c r="AH245" s="404"/>
      <c r="AI245" s="404"/>
      <c r="AJ245" s="404"/>
      <c r="AK245" s="404"/>
      <c r="AL245" s="404"/>
    </row>
    <row r="246" spans="1:38">
      <c r="A246" s="618"/>
      <c r="B246" s="618" t="s">
        <v>491</v>
      </c>
      <c r="C246" s="619">
        <f t="shared" si="205"/>
        <v>0</v>
      </c>
      <c r="D246" s="744" t="s">
        <v>2788</v>
      </c>
      <c r="E246" s="404" t="s">
        <v>3567</v>
      </c>
      <c r="F246" s="744" t="s">
        <v>308</v>
      </c>
      <c r="G246" s="468">
        <v>0.57599999999999996</v>
      </c>
      <c r="H246" s="404"/>
      <c r="I246" s="404"/>
      <c r="J246" s="404">
        <v>340001</v>
      </c>
      <c r="K246" s="404"/>
      <c r="L246" s="404">
        <v>0</v>
      </c>
      <c r="M246" s="404"/>
      <c r="N246" s="404">
        <f t="shared" si="206"/>
        <v>0</v>
      </c>
      <c r="O246" s="404">
        <f t="shared" si="203"/>
        <v>0</v>
      </c>
      <c r="P246" s="404">
        <f t="shared" si="203"/>
        <v>195840.57599999997</v>
      </c>
      <c r="Q246" s="404">
        <f t="shared" si="203"/>
        <v>0</v>
      </c>
      <c r="R246" s="404">
        <f t="shared" si="203"/>
        <v>0</v>
      </c>
      <c r="S246" s="404">
        <f t="shared" si="203"/>
        <v>0</v>
      </c>
      <c r="U246" s="404"/>
      <c r="V246" s="404"/>
      <c r="W246" s="404"/>
      <c r="X246" s="404"/>
      <c r="Y246" s="404"/>
      <c r="Z246" s="404"/>
      <c r="AA246" s="404"/>
      <c r="AB246" s="404">
        <f>AB$164*$G246</f>
        <v>0</v>
      </c>
      <c r="AD246" s="405">
        <f>IFERROR(VLOOKUP(B246,DONGIA,$AD$3,0),0)</f>
        <v>0</v>
      </c>
      <c r="AE246" s="404">
        <f t="shared" ref="AE246:AL258" si="208">U246*$AD246</f>
        <v>0</v>
      </c>
      <c r="AF246" s="404">
        <f t="shared" si="208"/>
        <v>0</v>
      </c>
      <c r="AG246" s="404">
        <f t="shared" si="208"/>
        <v>0</v>
      </c>
      <c r="AH246" s="404">
        <f t="shared" si="208"/>
        <v>0</v>
      </c>
      <c r="AI246" s="404">
        <f t="shared" si="208"/>
        <v>0</v>
      </c>
      <c r="AJ246" s="404">
        <f t="shared" si="208"/>
        <v>0</v>
      </c>
      <c r="AK246" s="404">
        <f t="shared" si="208"/>
        <v>0</v>
      </c>
      <c r="AL246" s="404">
        <f t="shared" si="208"/>
        <v>0</v>
      </c>
    </row>
    <row r="247" spans="1:38">
      <c r="A247" s="618"/>
      <c r="B247" s="618" t="s">
        <v>484</v>
      </c>
      <c r="C247" s="619">
        <f t="shared" si="205"/>
        <v>0</v>
      </c>
      <c r="D247" s="744" t="s">
        <v>3373</v>
      </c>
      <c r="E247" s="404" t="s">
        <v>3822</v>
      </c>
      <c r="F247" s="744" t="s">
        <v>308</v>
      </c>
      <c r="G247" s="468">
        <v>1.968</v>
      </c>
      <c r="H247" s="404"/>
      <c r="I247" s="404"/>
      <c r="J247" s="404">
        <v>760902</v>
      </c>
      <c r="K247" s="404"/>
      <c r="L247" s="404">
        <v>0</v>
      </c>
      <c r="M247" s="404"/>
      <c r="N247" s="404">
        <f t="shared" si="206"/>
        <v>0</v>
      </c>
      <c r="O247" s="404">
        <f t="shared" si="203"/>
        <v>0</v>
      </c>
      <c r="P247" s="404">
        <f t="shared" si="203"/>
        <v>1497455.1359999999</v>
      </c>
      <c r="Q247" s="404">
        <f t="shared" si="203"/>
        <v>0</v>
      </c>
      <c r="R247" s="404">
        <f t="shared" si="203"/>
        <v>0</v>
      </c>
      <c r="S247" s="404">
        <f t="shared" si="203"/>
        <v>0</v>
      </c>
      <c r="U247" s="404"/>
      <c r="V247" s="404"/>
      <c r="W247" s="404"/>
      <c r="X247" s="404"/>
      <c r="Y247" s="404"/>
      <c r="Z247" s="404"/>
      <c r="AA247" s="404"/>
      <c r="AB247" s="404">
        <f>AB$164*$G247</f>
        <v>0</v>
      </c>
      <c r="AD247" s="405">
        <f>IFERROR(VLOOKUP(B247,DONGIA,$AD$3,0),0)</f>
        <v>0</v>
      </c>
      <c r="AE247" s="404">
        <f t="shared" si="208"/>
        <v>0</v>
      </c>
      <c r="AF247" s="404">
        <f t="shared" si="208"/>
        <v>0</v>
      </c>
      <c r="AG247" s="404">
        <f t="shared" si="208"/>
        <v>0</v>
      </c>
      <c r="AH247" s="404">
        <f t="shared" si="208"/>
        <v>0</v>
      </c>
      <c r="AI247" s="404">
        <f t="shared" si="208"/>
        <v>0</v>
      </c>
      <c r="AJ247" s="404">
        <f t="shared" si="208"/>
        <v>0</v>
      </c>
      <c r="AK247" s="404">
        <f t="shared" si="208"/>
        <v>0</v>
      </c>
      <c r="AL247" s="404">
        <f t="shared" si="208"/>
        <v>0</v>
      </c>
    </row>
    <row r="248" spans="1:38">
      <c r="A248" s="618"/>
      <c r="B248" s="618" t="s">
        <v>510</v>
      </c>
      <c r="C248" s="619">
        <f t="shared" si="205"/>
        <v>0</v>
      </c>
      <c r="D248" s="744" t="s">
        <v>3575</v>
      </c>
      <c r="E248" s="404" t="s">
        <v>3576</v>
      </c>
      <c r="F248" s="744" t="s">
        <v>308</v>
      </c>
      <c r="G248" s="468">
        <v>0.82799999999999996</v>
      </c>
      <c r="H248" s="404"/>
      <c r="I248" s="404"/>
      <c r="J248" s="404">
        <v>16267</v>
      </c>
      <c r="K248" s="404"/>
      <c r="L248" s="404">
        <v>11176</v>
      </c>
      <c r="M248" s="404"/>
      <c r="N248" s="404">
        <f t="shared" si="206"/>
        <v>0</v>
      </c>
      <c r="O248" s="404">
        <f t="shared" si="203"/>
        <v>0</v>
      </c>
      <c r="P248" s="404">
        <f t="shared" si="203"/>
        <v>13469.075999999999</v>
      </c>
      <c r="Q248" s="404">
        <f t="shared" si="203"/>
        <v>0</v>
      </c>
      <c r="R248" s="404">
        <f t="shared" si="203"/>
        <v>9253.7279999999992</v>
      </c>
      <c r="S248" s="404">
        <f t="shared" si="203"/>
        <v>0</v>
      </c>
      <c r="U248" s="404"/>
      <c r="V248" s="404"/>
      <c r="W248" s="404"/>
      <c r="X248" s="404"/>
      <c r="Y248" s="404"/>
      <c r="Z248" s="404"/>
      <c r="AA248" s="404"/>
      <c r="AB248" s="404">
        <f>AB$164*$G248</f>
        <v>0</v>
      </c>
      <c r="AD248" s="405">
        <f>IFERROR(VLOOKUP(B248,DONGIA,$AD$3,0),0)</f>
        <v>0</v>
      </c>
      <c r="AE248" s="404">
        <f t="shared" si="208"/>
        <v>0</v>
      </c>
      <c r="AF248" s="404">
        <f t="shared" si="208"/>
        <v>0</v>
      </c>
      <c r="AG248" s="404">
        <f t="shared" si="208"/>
        <v>0</v>
      </c>
      <c r="AH248" s="404">
        <f t="shared" si="208"/>
        <v>0</v>
      </c>
      <c r="AI248" s="404">
        <f t="shared" si="208"/>
        <v>0</v>
      </c>
      <c r="AJ248" s="404">
        <f t="shared" si="208"/>
        <v>0</v>
      </c>
      <c r="AK248" s="404">
        <f t="shared" si="208"/>
        <v>0</v>
      </c>
      <c r="AL248" s="404">
        <f t="shared" si="208"/>
        <v>0</v>
      </c>
    </row>
    <row r="249" spans="1:38">
      <c r="A249" s="618"/>
      <c r="B249" s="618" t="s">
        <v>713</v>
      </c>
      <c r="C249" s="619">
        <f t="shared" si="205"/>
        <v>0</v>
      </c>
      <c r="D249" s="744" t="s">
        <v>711</v>
      </c>
      <c r="E249" s="404" t="s">
        <v>714</v>
      </c>
      <c r="F249" s="744" t="s">
        <v>308</v>
      </c>
      <c r="G249" s="468">
        <v>1.1879999999999999</v>
      </c>
      <c r="H249" s="404"/>
      <c r="I249" s="404"/>
      <c r="J249" s="404">
        <v>293475</v>
      </c>
      <c r="K249" s="404"/>
      <c r="L249" s="404">
        <v>44701</v>
      </c>
      <c r="M249" s="404"/>
      <c r="N249" s="404">
        <f t="shared" si="206"/>
        <v>0</v>
      </c>
      <c r="O249" s="404">
        <f t="shared" si="203"/>
        <v>0</v>
      </c>
      <c r="P249" s="404">
        <f t="shared" si="203"/>
        <v>348648.3</v>
      </c>
      <c r="Q249" s="404">
        <f t="shared" si="203"/>
        <v>0</v>
      </c>
      <c r="R249" s="404">
        <f t="shared" si="203"/>
        <v>53104.788</v>
      </c>
      <c r="S249" s="404">
        <f t="shared" si="203"/>
        <v>0</v>
      </c>
      <c r="U249" s="404"/>
      <c r="V249" s="404"/>
      <c r="W249" s="404"/>
      <c r="X249" s="404"/>
      <c r="Y249" s="404"/>
      <c r="Z249" s="404"/>
      <c r="AA249" s="404"/>
      <c r="AB249" s="404"/>
      <c r="AD249" s="405">
        <f>IFERROR(VLOOKUP(B249,DONGIA,$AD$3,0),0)</f>
        <v>0</v>
      </c>
      <c r="AE249" s="404">
        <f t="shared" si="208"/>
        <v>0</v>
      </c>
      <c r="AF249" s="404">
        <f t="shared" si="208"/>
        <v>0</v>
      </c>
      <c r="AG249" s="404">
        <f t="shared" si="208"/>
        <v>0</v>
      </c>
      <c r="AH249" s="404">
        <f t="shared" si="208"/>
        <v>0</v>
      </c>
      <c r="AI249" s="404">
        <f t="shared" si="208"/>
        <v>0</v>
      </c>
      <c r="AJ249" s="404">
        <f t="shared" si="208"/>
        <v>0</v>
      </c>
      <c r="AK249" s="404">
        <f t="shared" si="208"/>
        <v>0</v>
      </c>
      <c r="AL249" s="404">
        <f t="shared" si="208"/>
        <v>0</v>
      </c>
    </row>
    <row r="250" spans="1:38">
      <c r="A250" s="618" t="s">
        <v>1488</v>
      </c>
      <c r="B250" s="618"/>
      <c r="C250" s="619">
        <f>IF(G250&lt;&gt;0,1,)</f>
        <v>1</v>
      </c>
      <c r="D250" s="745"/>
      <c r="E250" s="746" t="s">
        <v>1785</v>
      </c>
      <c r="F250" s="745" t="s">
        <v>1633</v>
      </c>
      <c r="G250" s="745">
        <f>U250</f>
        <v>4</v>
      </c>
      <c r="H250" s="746"/>
      <c r="I250" s="746"/>
      <c r="J250" s="746"/>
      <c r="K250" s="746"/>
      <c r="L250" s="746"/>
      <c r="M250" s="746"/>
      <c r="N250" s="746">
        <f t="shared" ref="N250:S250" si="209">SUM(N252:N266)</f>
        <v>147000</v>
      </c>
      <c r="O250" s="746">
        <f>SUM(O252:O266)</f>
        <v>3565630</v>
      </c>
      <c r="P250" s="746">
        <f t="shared" si="209"/>
        <v>2413750.648</v>
      </c>
      <c r="Q250" s="746">
        <f t="shared" si="209"/>
        <v>0</v>
      </c>
      <c r="R250" s="746">
        <f t="shared" si="209"/>
        <v>138953.38399999999</v>
      </c>
      <c r="S250" s="746">
        <f t="shared" si="209"/>
        <v>0</v>
      </c>
      <c r="U250" s="746">
        <f>SUM(V250:AB250)</f>
        <v>4</v>
      </c>
      <c r="V250" s="746">
        <f>IFERROR(HLOOKUP($A250,BK3P,V$3,0),)</f>
        <v>4</v>
      </c>
      <c r="W250" s="746">
        <f>IFERROR(HLOOKUP($A250,BK3P,W$3,0),)</f>
        <v>0</v>
      </c>
      <c r="X250" s="746">
        <f>IFERROR(HLOOKUP($A250,BK3P,X$3,0),)</f>
        <v>0</v>
      </c>
      <c r="Y250" s="746">
        <f>IFERROR(HLOOKUP($A250,BK1P,Y$3,0),)</f>
        <v>0</v>
      </c>
      <c r="Z250" s="746">
        <f>IFERROR(HLOOKUP($A250,BK1P,Z$3,0),)</f>
        <v>0</v>
      </c>
      <c r="AA250" s="746">
        <f>IFERROR(HLOOKUP($A250,BK1P,AA$3,0),)</f>
        <v>0</v>
      </c>
      <c r="AB250" s="746">
        <f>IFERROR(HLOOKUP($A250,BKHT,AB$3,0),)</f>
        <v>0</v>
      </c>
      <c r="AD250" s="405">
        <f t="shared" si="202"/>
        <v>0</v>
      </c>
      <c r="AE250" s="404">
        <f t="shared" ref="AE250:AE258" si="210">U250*$AD250</f>
        <v>0</v>
      </c>
      <c r="AF250" s="404">
        <f t="shared" si="208"/>
        <v>0</v>
      </c>
      <c r="AG250" s="404">
        <f t="shared" si="208"/>
        <v>0</v>
      </c>
      <c r="AH250" s="404">
        <f t="shared" si="208"/>
        <v>0</v>
      </c>
      <c r="AI250" s="404">
        <f t="shared" si="208"/>
        <v>0</v>
      </c>
      <c r="AJ250" s="404">
        <f t="shared" si="208"/>
        <v>0</v>
      </c>
      <c r="AK250" s="404">
        <f t="shared" si="208"/>
        <v>0</v>
      </c>
      <c r="AL250" s="404">
        <f t="shared" si="200"/>
        <v>0</v>
      </c>
    </row>
    <row r="251" spans="1:38">
      <c r="A251" s="618"/>
      <c r="B251" s="618"/>
      <c r="C251" s="625">
        <f>C250</f>
        <v>1</v>
      </c>
      <c r="D251" s="744"/>
      <c r="E251" s="404" t="s">
        <v>1644</v>
      </c>
      <c r="F251" s="744"/>
      <c r="G251" s="404"/>
      <c r="H251" s="404"/>
      <c r="I251" s="404"/>
      <c r="J251" s="404"/>
      <c r="K251" s="404"/>
      <c r="L251" s="404"/>
      <c r="M251" s="404"/>
      <c r="N251" s="404"/>
      <c r="O251" s="404"/>
      <c r="P251" s="404"/>
      <c r="Q251" s="404"/>
      <c r="R251" s="404"/>
      <c r="S251" s="404"/>
      <c r="U251" s="404"/>
      <c r="V251" s="404"/>
      <c r="W251" s="404"/>
      <c r="X251" s="404"/>
      <c r="Y251" s="404"/>
      <c r="Z251" s="404"/>
      <c r="AA251" s="404"/>
      <c r="AB251" s="404"/>
      <c r="AD251" s="405">
        <f t="shared" si="202"/>
        <v>0</v>
      </c>
      <c r="AE251" s="404">
        <f t="shared" si="210"/>
        <v>0</v>
      </c>
      <c r="AF251" s="404">
        <f t="shared" si="208"/>
        <v>0</v>
      </c>
      <c r="AG251" s="404">
        <f t="shared" si="208"/>
        <v>0</v>
      </c>
      <c r="AH251" s="404">
        <f t="shared" si="208"/>
        <v>0</v>
      </c>
      <c r="AI251" s="404">
        <f t="shared" si="208"/>
        <v>0</v>
      </c>
      <c r="AJ251" s="404">
        <f t="shared" si="208"/>
        <v>0</v>
      </c>
      <c r="AK251" s="404">
        <f t="shared" si="208"/>
        <v>0</v>
      </c>
      <c r="AL251" s="404">
        <f t="shared" si="200"/>
        <v>0</v>
      </c>
    </row>
    <row r="252" spans="1:38">
      <c r="A252" s="618"/>
      <c r="B252" s="618" t="s">
        <v>1639</v>
      </c>
      <c r="C252" s="619">
        <f>IF(G252&lt;&gt;0,$C$250,)</f>
        <v>1</v>
      </c>
      <c r="D252" s="744">
        <v>0</v>
      </c>
      <c r="E252" s="404" t="s">
        <v>1750</v>
      </c>
      <c r="F252" s="744" t="s">
        <v>143</v>
      </c>
      <c r="G252" s="847">
        <f>ROUND(G266*281,1)</f>
        <v>843</v>
      </c>
      <c r="H252" s="404"/>
      <c r="I252" s="404">
        <v>1800</v>
      </c>
      <c r="J252" s="404">
        <v>0</v>
      </c>
      <c r="K252" s="404"/>
      <c r="L252" s="404">
        <v>0</v>
      </c>
      <c r="M252" s="404"/>
      <c r="N252" s="404">
        <f>$G252*H252</f>
        <v>0</v>
      </c>
      <c r="O252" s="404">
        <f>$G252*I252</f>
        <v>1517400</v>
      </c>
      <c r="P252" s="404">
        <f t="shared" ref="O252:S266" si="211">$G252*J252</f>
        <v>0</v>
      </c>
      <c r="Q252" s="404">
        <f t="shared" si="211"/>
        <v>0</v>
      </c>
      <c r="R252" s="404">
        <f t="shared" si="211"/>
        <v>0</v>
      </c>
      <c r="S252" s="404">
        <f t="shared" si="211"/>
        <v>0</v>
      </c>
      <c r="U252" s="404">
        <f>U$255*$G252</f>
        <v>0</v>
      </c>
      <c r="V252" s="404">
        <f t="shared" ref="V252:AB252" si="212">V$255*$G252</f>
        <v>0</v>
      </c>
      <c r="W252" s="404">
        <f t="shared" si="212"/>
        <v>0</v>
      </c>
      <c r="X252" s="404">
        <f t="shared" si="212"/>
        <v>0</v>
      </c>
      <c r="Y252" s="404">
        <f t="shared" si="212"/>
        <v>0</v>
      </c>
      <c r="Z252" s="404">
        <f t="shared" si="212"/>
        <v>0</v>
      </c>
      <c r="AA252" s="404">
        <f t="shared" si="212"/>
        <v>0</v>
      </c>
      <c r="AB252" s="404">
        <f t="shared" si="212"/>
        <v>0</v>
      </c>
      <c r="AD252" s="405">
        <f t="shared" si="202"/>
        <v>1</v>
      </c>
      <c r="AE252" s="404">
        <f t="shared" si="210"/>
        <v>0</v>
      </c>
      <c r="AF252" s="404">
        <f t="shared" si="208"/>
        <v>0</v>
      </c>
      <c r="AG252" s="404">
        <f t="shared" si="208"/>
        <v>0</v>
      </c>
      <c r="AH252" s="404">
        <f t="shared" si="208"/>
        <v>0</v>
      </c>
      <c r="AI252" s="404">
        <f t="shared" si="208"/>
        <v>0</v>
      </c>
      <c r="AJ252" s="404">
        <f t="shared" si="208"/>
        <v>0</v>
      </c>
      <c r="AK252" s="404">
        <f t="shared" si="208"/>
        <v>0</v>
      </c>
      <c r="AL252" s="404">
        <f t="shared" si="200"/>
        <v>0</v>
      </c>
    </row>
    <row r="253" spans="1:38">
      <c r="A253" s="618"/>
      <c r="B253" s="618" t="s">
        <v>471</v>
      </c>
      <c r="C253" s="619">
        <f t="shared" ref="C253:C266" si="213">IF(G253&lt;&gt;0,$C$250,)</f>
        <v>1</v>
      </c>
      <c r="D253" s="744">
        <v>0</v>
      </c>
      <c r="E253" s="404" t="s">
        <v>472</v>
      </c>
      <c r="F253" s="744" t="s">
        <v>308</v>
      </c>
      <c r="G253" s="660">
        <f>ROUND(G266*0.477,3)</f>
        <v>1.431</v>
      </c>
      <c r="H253" s="404"/>
      <c r="I253" s="404">
        <v>390000</v>
      </c>
      <c r="J253" s="404">
        <v>0</v>
      </c>
      <c r="K253" s="404"/>
      <c r="L253" s="404">
        <v>0</v>
      </c>
      <c r="M253" s="404"/>
      <c r="N253" s="404">
        <f t="shared" ref="N253:N266" si="214">$G253*H253</f>
        <v>0</v>
      </c>
      <c r="O253" s="404">
        <f>$G253*I253</f>
        <v>558090</v>
      </c>
      <c r="P253" s="404">
        <f t="shared" si="211"/>
        <v>0</v>
      </c>
      <c r="Q253" s="404">
        <f t="shared" si="211"/>
        <v>0</v>
      </c>
      <c r="R253" s="404">
        <f t="shared" si="211"/>
        <v>0</v>
      </c>
      <c r="S253" s="404">
        <f t="shared" si="211"/>
        <v>0</v>
      </c>
      <c r="U253" s="404">
        <f t="shared" ref="U253:AB266" si="215">U$255*$G253</f>
        <v>0</v>
      </c>
      <c r="V253" s="404">
        <f t="shared" si="215"/>
        <v>0</v>
      </c>
      <c r="W253" s="404">
        <f t="shared" si="215"/>
        <v>0</v>
      </c>
      <c r="X253" s="404">
        <f t="shared" si="215"/>
        <v>0</v>
      </c>
      <c r="Y253" s="404">
        <f t="shared" si="215"/>
        <v>0</v>
      </c>
      <c r="Z253" s="404">
        <f t="shared" si="215"/>
        <v>0</v>
      </c>
      <c r="AA253" s="404">
        <f t="shared" si="215"/>
        <v>0</v>
      </c>
      <c r="AB253" s="404">
        <f t="shared" si="215"/>
        <v>0</v>
      </c>
      <c r="AD253" s="405">
        <f t="shared" si="202"/>
        <v>1500</v>
      </c>
      <c r="AE253" s="404">
        <f t="shared" si="210"/>
        <v>0</v>
      </c>
      <c r="AF253" s="404">
        <f t="shared" si="208"/>
        <v>0</v>
      </c>
      <c r="AG253" s="404">
        <f t="shared" si="208"/>
        <v>0</v>
      </c>
      <c r="AH253" s="404">
        <f t="shared" si="208"/>
        <v>0</v>
      </c>
      <c r="AI253" s="404">
        <f t="shared" si="208"/>
        <v>0</v>
      </c>
      <c r="AJ253" s="404">
        <f t="shared" si="208"/>
        <v>0</v>
      </c>
      <c r="AK253" s="404">
        <f t="shared" si="208"/>
        <v>0</v>
      </c>
      <c r="AL253" s="404">
        <f t="shared" si="200"/>
        <v>0</v>
      </c>
    </row>
    <row r="254" spans="1:38">
      <c r="A254" s="618"/>
      <c r="B254" s="618" t="s">
        <v>1640</v>
      </c>
      <c r="C254" s="619">
        <f t="shared" si="213"/>
        <v>1</v>
      </c>
      <c r="D254" s="744">
        <v>0</v>
      </c>
      <c r="E254" s="404" t="s">
        <v>470</v>
      </c>
      <c r="F254" s="744" t="s">
        <v>308</v>
      </c>
      <c r="G254" s="660">
        <f>ROUND(G266*0.882,3)</f>
        <v>2.6459999999999999</v>
      </c>
      <c r="H254" s="404"/>
      <c r="I254" s="404">
        <v>400000</v>
      </c>
      <c r="J254" s="404">
        <v>0</v>
      </c>
      <c r="K254" s="404"/>
      <c r="L254" s="404">
        <v>0</v>
      </c>
      <c r="M254" s="404"/>
      <c r="N254" s="404">
        <f t="shared" si="214"/>
        <v>0</v>
      </c>
      <c r="O254" s="404">
        <f t="shared" si="211"/>
        <v>1058400</v>
      </c>
      <c r="P254" s="404">
        <f t="shared" si="211"/>
        <v>0</v>
      </c>
      <c r="Q254" s="404">
        <f t="shared" si="211"/>
        <v>0</v>
      </c>
      <c r="R254" s="404">
        <f t="shared" si="211"/>
        <v>0</v>
      </c>
      <c r="S254" s="404">
        <f t="shared" si="211"/>
        <v>0</v>
      </c>
      <c r="U254" s="404">
        <f t="shared" si="215"/>
        <v>0</v>
      </c>
      <c r="V254" s="404">
        <f t="shared" si="215"/>
        <v>0</v>
      </c>
      <c r="W254" s="404">
        <f t="shared" si="215"/>
        <v>0</v>
      </c>
      <c r="X254" s="404">
        <f t="shared" si="215"/>
        <v>0</v>
      </c>
      <c r="Y254" s="404">
        <f t="shared" si="215"/>
        <v>0</v>
      </c>
      <c r="Z254" s="404">
        <f t="shared" si="215"/>
        <v>0</v>
      </c>
      <c r="AA254" s="404">
        <f t="shared" si="215"/>
        <v>0</v>
      </c>
      <c r="AB254" s="404">
        <f t="shared" si="215"/>
        <v>0</v>
      </c>
      <c r="AD254" s="405">
        <f t="shared" si="202"/>
        <v>1500</v>
      </c>
      <c r="AE254" s="404">
        <f t="shared" si="210"/>
        <v>0</v>
      </c>
      <c r="AF254" s="404">
        <f t="shared" si="208"/>
        <v>0</v>
      </c>
      <c r="AG254" s="404">
        <f t="shared" si="208"/>
        <v>0</v>
      </c>
      <c r="AH254" s="404">
        <f t="shared" si="208"/>
        <v>0</v>
      </c>
      <c r="AI254" s="404">
        <f t="shared" si="208"/>
        <v>0</v>
      </c>
      <c r="AJ254" s="404">
        <f t="shared" si="208"/>
        <v>0</v>
      </c>
      <c r="AK254" s="404">
        <f t="shared" si="208"/>
        <v>0</v>
      </c>
      <c r="AL254" s="404">
        <f t="shared" si="200"/>
        <v>0</v>
      </c>
    </row>
    <row r="255" spans="1:38" s="332" customFormat="1">
      <c r="A255" s="356"/>
      <c r="B255" s="356" t="s">
        <v>2014</v>
      </c>
      <c r="C255" s="355">
        <f t="shared" si="213"/>
        <v>0</v>
      </c>
      <c r="D255" s="744">
        <v>0</v>
      </c>
      <c r="E255" s="404" t="s">
        <v>57</v>
      </c>
      <c r="F255" s="744" t="s">
        <v>24</v>
      </c>
      <c r="G255" s="749"/>
      <c r="H255" s="394">
        <v>41000</v>
      </c>
      <c r="I255" s="394"/>
      <c r="J255" s="394"/>
      <c r="K255" s="394">
        <v>0</v>
      </c>
      <c r="L255" s="394"/>
      <c r="M255" s="394">
        <v>0</v>
      </c>
      <c r="N255" s="394">
        <f t="shared" si="214"/>
        <v>0</v>
      </c>
      <c r="O255" s="394">
        <f t="shared" si="211"/>
        <v>0</v>
      </c>
      <c r="P255" s="394">
        <f t="shared" si="211"/>
        <v>0</v>
      </c>
      <c r="Q255" s="394">
        <f t="shared" si="211"/>
        <v>0</v>
      </c>
      <c r="R255" s="394">
        <f t="shared" si="211"/>
        <v>0</v>
      </c>
      <c r="S255" s="394">
        <f t="shared" si="211"/>
        <v>0</v>
      </c>
      <c r="U255" s="394">
        <v>0</v>
      </c>
      <c r="V255" s="394"/>
      <c r="W255" s="394">
        <v>0</v>
      </c>
      <c r="X255" s="394">
        <v>0</v>
      </c>
      <c r="Y255" s="394"/>
      <c r="Z255" s="394">
        <v>0</v>
      </c>
      <c r="AA255" s="394"/>
      <c r="AB255" s="394"/>
      <c r="AD255" s="332">
        <v>0.90000000000000024</v>
      </c>
      <c r="AE255" s="394">
        <v>0</v>
      </c>
      <c r="AF255" s="394">
        <v>0</v>
      </c>
      <c r="AG255" s="394"/>
      <c r="AH255" s="394">
        <v>0</v>
      </c>
      <c r="AI255" s="394">
        <v>0</v>
      </c>
      <c r="AJ255" s="394">
        <v>0</v>
      </c>
      <c r="AK255" s="394">
        <v>0</v>
      </c>
      <c r="AL255" s="394">
        <v>0</v>
      </c>
    </row>
    <row r="256" spans="1:38">
      <c r="A256" s="618"/>
      <c r="B256" s="618" t="s">
        <v>2015</v>
      </c>
      <c r="C256" s="619">
        <f t="shared" si="213"/>
        <v>1</v>
      </c>
      <c r="D256" s="744">
        <v>0</v>
      </c>
      <c r="E256" s="404" t="s">
        <v>59</v>
      </c>
      <c r="F256" s="744" t="s">
        <v>24</v>
      </c>
      <c r="G256" s="848">
        <v>1</v>
      </c>
      <c r="H256" s="404">
        <v>43000</v>
      </c>
      <c r="I256" s="404"/>
      <c r="J256" s="404"/>
      <c r="K256" s="404">
        <v>0</v>
      </c>
      <c r="L256" s="404"/>
      <c r="M256" s="404">
        <v>0</v>
      </c>
      <c r="N256" s="404">
        <f t="shared" si="214"/>
        <v>43000</v>
      </c>
      <c r="O256" s="404">
        <f t="shared" si="211"/>
        <v>0</v>
      </c>
      <c r="P256" s="404">
        <f t="shared" si="211"/>
        <v>0</v>
      </c>
      <c r="Q256" s="404">
        <f t="shared" si="211"/>
        <v>0</v>
      </c>
      <c r="R256" s="404">
        <f t="shared" si="211"/>
        <v>0</v>
      </c>
      <c r="S256" s="404">
        <f t="shared" si="211"/>
        <v>0</v>
      </c>
      <c r="U256" s="404">
        <f t="shared" si="215"/>
        <v>0</v>
      </c>
      <c r="V256" s="404">
        <f t="shared" si="215"/>
        <v>0</v>
      </c>
      <c r="W256" s="404">
        <f t="shared" si="215"/>
        <v>0</v>
      </c>
      <c r="X256" s="404">
        <f t="shared" si="215"/>
        <v>0</v>
      </c>
      <c r="Y256" s="404">
        <f t="shared" si="215"/>
        <v>0</v>
      </c>
      <c r="Z256" s="404">
        <f t="shared" si="215"/>
        <v>0</v>
      </c>
      <c r="AA256" s="404">
        <f t="shared" si="215"/>
        <v>0</v>
      </c>
      <c r="AB256" s="404">
        <f t="shared" si="215"/>
        <v>0</v>
      </c>
      <c r="AD256" s="405">
        <f t="shared" si="202"/>
        <v>0.95000000000000029</v>
      </c>
      <c r="AE256" s="404">
        <f t="shared" si="210"/>
        <v>0</v>
      </c>
      <c r="AF256" s="404">
        <f t="shared" si="208"/>
        <v>0</v>
      </c>
      <c r="AG256" s="404">
        <f t="shared" si="208"/>
        <v>0</v>
      </c>
      <c r="AH256" s="404">
        <f t="shared" si="208"/>
        <v>0</v>
      </c>
      <c r="AI256" s="404">
        <f t="shared" si="208"/>
        <v>0</v>
      </c>
      <c r="AJ256" s="404">
        <f t="shared" si="208"/>
        <v>0</v>
      </c>
      <c r="AK256" s="404">
        <f t="shared" si="208"/>
        <v>0</v>
      </c>
      <c r="AL256" s="404">
        <f t="shared" si="200"/>
        <v>0</v>
      </c>
    </row>
    <row r="257" spans="1:38">
      <c r="A257" s="618"/>
      <c r="B257" s="618" t="s">
        <v>2017</v>
      </c>
      <c r="C257" s="619">
        <f t="shared" si="213"/>
        <v>1</v>
      </c>
      <c r="D257" s="744">
        <v>0</v>
      </c>
      <c r="E257" s="404" t="s">
        <v>63</v>
      </c>
      <c r="F257" s="744" t="s">
        <v>24</v>
      </c>
      <c r="G257" s="848">
        <v>1</v>
      </c>
      <c r="H257" s="404">
        <v>49000</v>
      </c>
      <c r="I257" s="404"/>
      <c r="J257" s="404"/>
      <c r="K257" s="404">
        <v>0</v>
      </c>
      <c r="L257" s="404"/>
      <c r="M257" s="404">
        <v>0</v>
      </c>
      <c r="N257" s="404">
        <f t="shared" si="214"/>
        <v>49000</v>
      </c>
      <c r="O257" s="404">
        <f t="shared" si="211"/>
        <v>0</v>
      </c>
      <c r="P257" s="404">
        <f t="shared" si="211"/>
        <v>0</v>
      </c>
      <c r="Q257" s="404">
        <f t="shared" si="211"/>
        <v>0</v>
      </c>
      <c r="R257" s="404">
        <f t="shared" si="211"/>
        <v>0</v>
      </c>
      <c r="S257" s="404">
        <f t="shared" si="211"/>
        <v>0</v>
      </c>
      <c r="U257" s="404">
        <f t="shared" si="215"/>
        <v>0</v>
      </c>
      <c r="V257" s="404">
        <f t="shared" si="215"/>
        <v>0</v>
      </c>
      <c r="W257" s="404">
        <f t="shared" si="215"/>
        <v>0</v>
      </c>
      <c r="X257" s="404">
        <f t="shared" si="215"/>
        <v>0</v>
      </c>
      <c r="Y257" s="404">
        <f t="shared" si="215"/>
        <v>0</v>
      </c>
      <c r="Z257" s="404">
        <f t="shared" si="215"/>
        <v>0</v>
      </c>
      <c r="AA257" s="404">
        <f t="shared" si="215"/>
        <v>0</v>
      </c>
      <c r="AB257" s="404">
        <f t="shared" si="215"/>
        <v>0</v>
      </c>
      <c r="AD257" s="405">
        <f t="shared" si="202"/>
        <v>1.0500000000000003</v>
      </c>
      <c r="AE257" s="404">
        <f t="shared" si="210"/>
        <v>0</v>
      </c>
      <c r="AF257" s="404">
        <f t="shared" si="208"/>
        <v>0</v>
      </c>
      <c r="AG257" s="404">
        <f t="shared" si="208"/>
        <v>0</v>
      </c>
      <c r="AH257" s="404">
        <f t="shared" si="208"/>
        <v>0</v>
      </c>
      <c r="AI257" s="404">
        <f t="shared" si="208"/>
        <v>0</v>
      </c>
      <c r="AJ257" s="404">
        <f t="shared" si="208"/>
        <v>0</v>
      </c>
      <c r="AK257" s="404">
        <f t="shared" si="208"/>
        <v>0</v>
      </c>
      <c r="AL257" s="404">
        <f t="shared" si="200"/>
        <v>0</v>
      </c>
    </row>
    <row r="258" spans="1:38">
      <c r="A258" s="618"/>
      <c r="B258" s="618" t="s">
        <v>2057</v>
      </c>
      <c r="C258" s="619">
        <f t="shared" si="213"/>
        <v>1</v>
      </c>
      <c r="D258" s="744">
        <v>0</v>
      </c>
      <c r="E258" s="404" t="s">
        <v>67</v>
      </c>
      <c r="F258" s="744" t="s">
        <v>24</v>
      </c>
      <c r="G258" s="848">
        <v>1</v>
      </c>
      <c r="H258" s="404">
        <v>55000</v>
      </c>
      <c r="I258" s="404"/>
      <c r="J258" s="404"/>
      <c r="K258" s="404">
        <v>0</v>
      </c>
      <c r="L258" s="404"/>
      <c r="M258" s="404">
        <v>0</v>
      </c>
      <c r="N258" s="404">
        <f t="shared" si="214"/>
        <v>55000</v>
      </c>
      <c r="O258" s="404">
        <f t="shared" si="211"/>
        <v>0</v>
      </c>
      <c r="P258" s="404">
        <f t="shared" si="211"/>
        <v>0</v>
      </c>
      <c r="Q258" s="404">
        <f t="shared" si="211"/>
        <v>0</v>
      </c>
      <c r="R258" s="404">
        <f t="shared" si="211"/>
        <v>0</v>
      </c>
      <c r="S258" s="404">
        <f t="shared" si="211"/>
        <v>0</v>
      </c>
      <c r="U258" s="404">
        <f t="shared" si="215"/>
        <v>0</v>
      </c>
      <c r="V258" s="404">
        <f t="shared" si="215"/>
        <v>0</v>
      </c>
      <c r="W258" s="404">
        <f t="shared" si="215"/>
        <v>0</v>
      </c>
      <c r="X258" s="404">
        <f t="shared" si="215"/>
        <v>0</v>
      </c>
      <c r="Y258" s="404">
        <f t="shared" si="215"/>
        <v>0</v>
      </c>
      <c r="Z258" s="404">
        <f t="shared" si="215"/>
        <v>0</v>
      </c>
      <c r="AA258" s="404">
        <f t="shared" si="215"/>
        <v>0</v>
      </c>
      <c r="AB258" s="404">
        <f t="shared" si="215"/>
        <v>0</v>
      </c>
      <c r="AD258" s="405">
        <f t="shared" si="202"/>
        <v>1.1500000000000004</v>
      </c>
      <c r="AE258" s="404">
        <f t="shared" si="210"/>
        <v>0</v>
      </c>
      <c r="AF258" s="404">
        <f t="shared" si="208"/>
        <v>0</v>
      </c>
      <c r="AG258" s="404">
        <f t="shared" si="208"/>
        <v>0</v>
      </c>
      <c r="AH258" s="404">
        <f t="shared" si="208"/>
        <v>0</v>
      </c>
      <c r="AI258" s="404">
        <f t="shared" si="208"/>
        <v>0</v>
      </c>
      <c r="AJ258" s="404">
        <f t="shared" si="208"/>
        <v>0</v>
      </c>
      <c r="AK258" s="404">
        <f t="shared" si="208"/>
        <v>0</v>
      </c>
      <c r="AL258" s="404">
        <f t="shared" si="200"/>
        <v>0</v>
      </c>
    </row>
    <row r="259" spans="1:38">
      <c r="A259" s="618"/>
      <c r="B259" s="618" t="s">
        <v>3509</v>
      </c>
      <c r="C259" s="619">
        <f t="shared" si="213"/>
        <v>1</v>
      </c>
      <c r="D259" s="744">
        <v>0</v>
      </c>
      <c r="E259" s="404" t="s">
        <v>3510</v>
      </c>
      <c r="F259" s="744" t="s">
        <v>143</v>
      </c>
      <c r="G259" s="849">
        <f>ROUND(G263*15/100,4)</f>
        <v>1.1879999999999999</v>
      </c>
      <c r="H259" s="404"/>
      <c r="I259" s="404">
        <v>25000</v>
      </c>
      <c r="J259" s="404"/>
      <c r="K259" s="404">
        <v>0</v>
      </c>
      <c r="L259" s="404"/>
      <c r="M259" s="404">
        <v>0</v>
      </c>
      <c r="N259" s="404">
        <f t="shared" si="214"/>
        <v>0</v>
      </c>
      <c r="O259" s="404">
        <f t="shared" si="211"/>
        <v>29700</v>
      </c>
      <c r="P259" s="404">
        <f t="shared" si="211"/>
        <v>0</v>
      </c>
      <c r="Q259" s="404">
        <f t="shared" si="211"/>
        <v>0</v>
      </c>
      <c r="R259" s="404">
        <f t="shared" si="211"/>
        <v>0</v>
      </c>
      <c r="S259" s="404">
        <f t="shared" si="211"/>
        <v>0</v>
      </c>
      <c r="U259" s="404"/>
      <c r="V259" s="404"/>
      <c r="W259" s="404"/>
      <c r="X259" s="404"/>
      <c r="Y259" s="404"/>
      <c r="Z259" s="404"/>
      <c r="AA259" s="404"/>
      <c r="AB259" s="404"/>
      <c r="AE259" s="404"/>
      <c r="AF259" s="404"/>
      <c r="AG259" s="404"/>
      <c r="AH259" s="404"/>
      <c r="AI259" s="404"/>
      <c r="AJ259" s="404"/>
      <c r="AK259" s="404"/>
      <c r="AL259" s="404"/>
    </row>
    <row r="260" spans="1:38">
      <c r="A260" s="618"/>
      <c r="B260" s="618" t="s">
        <v>3505</v>
      </c>
      <c r="C260" s="619">
        <f t="shared" si="213"/>
        <v>1</v>
      </c>
      <c r="D260" s="744">
        <v>0</v>
      </c>
      <c r="E260" s="404" t="s">
        <v>3506</v>
      </c>
      <c r="F260" s="744" t="s">
        <v>308</v>
      </c>
      <c r="G260" s="849">
        <f>ROUND(G263*0.335/100,4)</f>
        <v>2.6499999999999999E-2</v>
      </c>
      <c r="H260" s="404"/>
      <c r="I260" s="404">
        <v>3800000</v>
      </c>
      <c r="J260" s="404"/>
      <c r="K260" s="404">
        <v>0</v>
      </c>
      <c r="L260" s="404"/>
      <c r="M260" s="404">
        <v>0</v>
      </c>
      <c r="N260" s="404">
        <f t="shared" si="214"/>
        <v>0</v>
      </c>
      <c r="O260" s="404">
        <f t="shared" si="211"/>
        <v>100700</v>
      </c>
      <c r="P260" s="404">
        <f t="shared" si="211"/>
        <v>0</v>
      </c>
      <c r="Q260" s="404">
        <f t="shared" si="211"/>
        <v>0</v>
      </c>
      <c r="R260" s="404">
        <f t="shared" si="211"/>
        <v>0</v>
      </c>
      <c r="S260" s="404">
        <f t="shared" si="211"/>
        <v>0</v>
      </c>
      <c r="U260" s="404"/>
      <c r="V260" s="404"/>
      <c r="W260" s="404"/>
      <c r="X260" s="404"/>
      <c r="Y260" s="404"/>
      <c r="Z260" s="404"/>
      <c r="AA260" s="404"/>
      <c r="AB260" s="404"/>
      <c r="AE260" s="404"/>
      <c r="AF260" s="404"/>
      <c r="AG260" s="404"/>
      <c r="AH260" s="404"/>
      <c r="AI260" s="404"/>
      <c r="AJ260" s="404"/>
      <c r="AK260" s="404"/>
      <c r="AL260" s="404"/>
    </row>
    <row r="261" spans="1:38">
      <c r="A261" s="618"/>
      <c r="B261" s="618" t="s">
        <v>3507</v>
      </c>
      <c r="C261" s="619">
        <f t="shared" si="213"/>
        <v>1</v>
      </c>
      <c r="D261" s="744">
        <v>0</v>
      </c>
      <c r="E261" s="404" t="s">
        <v>3508</v>
      </c>
      <c r="F261" s="744" t="s">
        <v>308</v>
      </c>
      <c r="G261" s="849">
        <f>ROUND(G263*0.21/100,4)</f>
        <v>1.66E-2</v>
      </c>
      <c r="H261" s="404"/>
      <c r="I261" s="404">
        <v>3800000</v>
      </c>
      <c r="J261" s="404"/>
      <c r="K261" s="404">
        <v>0</v>
      </c>
      <c r="L261" s="404"/>
      <c r="M261" s="404">
        <v>0</v>
      </c>
      <c r="N261" s="404">
        <f t="shared" si="214"/>
        <v>0</v>
      </c>
      <c r="O261" s="404">
        <f t="shared" si="211"/>
        <v>63080</v>
      </c>
      <c r="P261" s="404">
        <f t="shared" si="211"/>
        <v>0</v>
      </c>
      <c r="Q261" s="404">
        <f t="shared" si="211"/>
        <v>0</v>
      </c>
      <c r="R261" s="404">
        <f t="shared" si="211"/>
        <v>0</v>
      </c>
      <c r="S261" s="404">
        <f t="shared" si="211"/>
        <v>0</v>
      </c>
      <c r="U261" s="404"/>
      <c r="V261" s="404"/>
      <c r="W261" s="404"/>
      <c r="X261" s="404"/>
      <c r="Y261" s="404"/>
      <c r="Z261" s="404"/>
      <c r="AA261" s="404"/>
      <c r="AB261" s="404"/>
      <c r="AE261" s="404"/>
      <c r="AF261" s="404"/>
      <c r="AG261" s="404"/>
      <c r="AH261" s="404"/>
      <c r="AI261" s="404"/>
      <c r="AJ261" s="404"/>
      <c r="AK261" s="404"/>
      <c r="AL261" s="404"/>
    </row>
    <row r="262" spans="1:38">
      <c r="A262" s="618"/>
      <c r="B262" s="618" t="s">
        <v>3503</v>
      </c>
      <c r="C262" s="619">
        <f t="shared" si="213"/>
        <v>1</v>
      </c>
      <c r="D262" s="744">
        <v>0</v>
      </c>
      <c r="E262" s="404" t="s">
        <v>3504</v>
      </c>
      <c r="F262" s="744" t="s">
        <v>308</v>
      </c>
      <c r="G262" s="849">
        <f>ROUND(G263*0.792/100,4)</f>
        <v>6.2700000000000006E-2</v>
      </c>
      <c r="H262" s="404"/>
      <c r="I262" s="404">
        <v>3800000</v>
      </c>
      <c r="J262" s="404"/>
      <c r="K262" s="404">
        <v>0</v>
      </c>
      <c r="L262" s="404"/>
      <c r="M262" s="404">
        <v>0</v>
      </c>
      <c r="N262" s="404">
        <f t="shared" si="214"/>
        <v>0</v>
      </c>
      <c r="O262" s="404">
        <f t="shared" si="211"/>
        <v>238260.00000000003</v>
      </c>
      <c r="P262" s="404">
        <f t="shared" si="211"/>
        <v>0</v>
      </c>
      <c r="Q262" s="404">
        <f t="shared" si="211"/>
        <v>0</v>
      </c>
      <c r="R262" s="404">
        <f t="shared" si="211"/>
        <v>0</v>
      </c>
      <c r="S262" s="404">
        <f t="shared" si="211"/>
        <v>0</v>
      </c>
      <c r="U262" s="404"/>
      <c r="V262" s="404"/>
      <c r="W262" s="404"/>
      <c r="X262" s="404"/>
      <c r="Y262" s="404"/>
      <c r="Z262" s="404"/>
      <c r="AA262" s="404"/>
      <c r="AB262" s="404"/>
      <c r="AE262" s="404"/>
      <c r="AF262" s="404"/>
      <c r="AG262" s="404"/>
      <c r="AH262" s="404"/>
      <c r="AI262" s="404"/>
      <c r="AJ262" s="404"/>
      <c r="AK262" s="404"/>
      <c r="AL262" s="404"/>
    </row>
    <row r="263" spans="1:38">
      <c r="A263" s="618"/>
      <c r="B263" s="618" t="s">
        <v>3511</v>
      </c>
      <c r="C263" s="619">
        <f t="shared" si="213"/>
        <v>1</v>
      </c>
      <c r="D263" s="744" t="s">
        <v>3512</v>
      </c>
      <c r="E263" s="404" t="s">
        <v>3513</v>
      </c>
      <c r="F263" s="744" t="s">
        <v>309</v>
      </c>
      <c r="G263" s="850">
        <f>ROUND(1.8*1.2*2+1.5*1.2*2,3)</f>
        <v>7.92</v>
      </c>
      <c r="H263" s="404">
        <v>0</v>
      </c>
      <c r="I263" s="404"/>
      <c r="J263" s="404">
        <v>57946</v>
      </c>
      <c r="K263" s="404"/>
      <c r="L263" s="404"/>
      <c r="M263" s="404">
        <v>0</v>
      </c>
      <c r="N263" s="404">
        <f t="shared" si="214"/>
        <v>0</v>
      </c>
      <c r="O263" s="404">
        <f t="shared" si="211"/>
        <v>0</v>
      </c>
      <c r="P263" s="404">
        <f t="shared" si="211"/>
        <v>458932.32</v>
      </c>
      <c r="Q263" s="404">
        <f t="shared" si="211"/>
        <v>0</v>
      </c>
      <c r="R263" s="404">
        <f t="shared" si="211"/>
        <v>0</v>
      </c>
      <c r="S263" s="404">
        <f t="shared" si="211"/>
        <v>0</v>
      </c>
      <c r="U263" s="404"/>
      <c r="V263" s="404"/>
      <c r="W263" s="404"/>
      <c r="X263" s="404"/>
      <c r="Y263" s="404"/>
      <c r="Z263" s="404"/>
      <c r="AA263" s="404"/>
      <c r="AB263" s="404"/>
      <c r="AE263" s="404"/>
      <c r="AF263" s="404"/>
      <c r="AG263" s="404"/>
      <c r="AH263" s="404"/>
      <c r="AI263" s="404"/>
      <c r="AJ263" s="404"/>
      <c r="AK263" s="404"/>
      <c r="AL263" s="404"/>
    </row>
    <row r="264" spans="1:38">
      <c r="A264" s="618"/>
      <c r="B264" s="618" t="s">
        <v>3572</v>
      </c>
      <c r="C264" s="619">
        <f t="shared" si="213"/>
        <v>1</v>
      </c>
      <c r="D264" s="744" t="s">
        <v>3573</v>
      </c>
      <c r="E264" s="404" t="s">
        <v>3574</v>
      </c>
      <c r="F264" s="744" t="s">
        <v>308</v>
      </c>
      <c r="G264" s="850">
        <v>3.95</v>
      </c>
      <c r="H264" s="404"/>
      <c r="I264" s="404"/>
      <c r="J264" s="404">
        <v>270211</v>
      </c>
      <c r="K264" s="404"/>
      <c r="L264" s="404">
        <v>0</v>
      </c>
      <c r="M264" s="404"/>
      <c r="N264" s="404">
        <f t="shared" si="214"/>
        <v>0</v>
      </c>
      <c r="O264" s="404">
        <f t="shared" si="211"/>
        <v>0</v>
      </c>
      <c r="P264" s="404">
        <f t="shared" si="211"/>
        <v>1067333.45</v>
      </c>
      <c r="Q264" s="404">
        <f t="shared" si="211"/>
        <v>0</v>
      </c>
      <c r="R264" s="404">
        <f t="shared" si="211"/>
        <v>0</v>
      </c>
      <c r="S264" s="404">
        <f t="shared" si="211"/>
        <v>0</v>
      </c>
      <c r="U264" s="404">
        <f t="shared" si="215"/>
        <v>0</v>
      </c>
      <c r="V264" s="404">
        <f t="shared" si="215"/>
        <v>0</v>
      </c>
      <c r="W264" s="404">
        <f t="shared" si="215"/>
        <v>0</v>
      </c>
      <c r="X264" s="404">
        <f t="shared" si="215"/>
        <v>0</v>
      </c>
      <c r="Y264" s="404">
        <f t="shared" si="215"/>
        <v>0</v>
      </c>
      <c r="Z264" s="404">
        <f t="shared" si="215"/>
        <v>0</v>
      </c>
      <c r="AA264" s="404">
        <f t="shared" si="215"/>
        <v>0</v>
      </c>
      <c r="AB264" s="404">
        <f t="shared" si="215"/>
        <v>0</v>
      </c>
      <c r="AD264" s="405">
        <f t="shared" si="202"/>
        <v>0</v>
      </c>
      <c r="AE264" s="404">
        <f t="shared" ref="AE264:AK264" si="216">U264*$AD264</f>
        <v>0</v>
      </c>
      <c r="AF264" s="404">
        <f t="shared" si="216"/>
        <v>0</v>
      </c>
      <c r="AG264" s="404">
        <f t="shared" si="216"/>
        <v>0</v>
      </c>
      <c r="AH264" s="404">
        <f t="shared" si="216"/>
        <v>0</v>
      </c>
      <c r="AI264" s="404">
        <f t="shared" si="216"/>
        <v>0</v>
      </c>
      <c r="AJ264" s="404">
        <f t="shared" si="216"/>
        <v>0</v>
      </c>
      <c r="AK264" s="404">
        <f t="shared" si="216"/>
        <v>0</v>
      </c>
      <c r="AL264" s="404">
        <f t="shared" si="200"/>
        <v>0</v>
      </c>
    </row>
    <row r="265" spans="1:38">
      <c r="A265" s="618"/>
      <c r="B265" s="618" t="s">
        <v>510</v>
      </c>
      <c r="C265" s="619">
        <f t="shared" si="213"/>
        <v>1</v>
      </c>
      <c r="D265" s="744" t="s">
        <v>3575</v>
      </c>
      <c r="E265" s="404" t="s">
        <v>3576</v>
      </c>
      <c r="F265" s="744" t="s">
        <v>308</v>
      </c>
      <c r="G265" s="850">
        <v>0.434</v>
      </c>
      <c r="H265" s="404"/>
      <c r="I265" s="404"/>
      <c r="J265" s="404">
        <v>16267</v>
      </c>
      <c r="K265" s="404"/>
      <c r="L265" s="404">
        <v>11176</v>
      </c>
      <c r="M265" s="404"/>
      <c r="N265" s="404">
        <f t="shared" si="214"/>
        <v>0</v>
      </c>
      <c r="O265" s="404">
        <f t="shared" si="211"/>
        <v>0</v>
      </c>
      <c r="P265" s="404">
        <f t="shared" si="211"/>
        <v>7059.8779999999997</v>
      </c>
      <c r="Q265" s="404">
        <f t="shared" si="211"/>
        <v>0</v>
      </c>
      <c r="R265" s="404">
        <f t="shared" si="211"/>
        <v>4850.384</v>
      </c>
      <c r="S265" s="404">
        <f t="shared" si="211"/>
        <v>0</v>
      </c>
      <c r="U265" s="404">
        <f t="shared" si="215"/>
        <v>0</v>
      </c>
      <c r="V265" s="404">
        <f t="shared" si="215"/>
        <v>0</v>
      </c>
      <c r="W265" s="404">
        <f t="shared" si="215"/>
        <v>0</v>
      </c>
      <c r="X265" s="404">
        <f t="shared" si="215"/>
        <v>0</v>
      </c>
      <c r="Y265" s="404">
        <f t="shared" si="215"/>
        <v>0</v>
      </c>
      <c r="Z265" s="404">
        <f t="shared" si="215"/>
        <v>0</v>
      </c>
      <c r="AA265" s="404">
        <f t="shared" si="215"/>
        <v>0</v>
      </c>
      <c r="AB265" s="404">
        <f t="shared" si="215"/>
        <v>0</v>
      </c>
      <c r="AD265" s="405">
        <f t="shared" si="202"/>
        <v>0</v>
      </c>
      <c r="AE265" s="404">
        <f t="shared" ref="AE265:AK275" si="217">U265*$AD265</f>
        <v>0</v>
      </c>
      <c r="AF265" s="404">
        <f t="shared" si="217"/>
        <v>0</v>
      </c>
      <c r="AG265" s="404">
        <f t="shared" si="217"/>
        <v>0</v>
      </c>
      <c r="AH265" s="404">
        <f t="shared" si="217"/>
        <v>0</v>
      </c>
      <c r="AI265" s="404">
        <f t="shared" si="217"/>
        <v>0</v>
      </c>
      <c r="AJ265" s="404">
        <f t="shared" si="217"/>
        <v>0</v>
      </c>
      <c r="AK265" s="404">
        <f t="shared" si="217"/>
        <v>0</v>
      </c>
      <c r="AL265" s="404">
        <f t="shared" si="200"/>
        <v>0</v>
      </c>
    </row>
    <row r="266" spans="1:38">
      <c r="A266" s="618"/>
      <c r="B266" s="618" t="s">
        <v>713</v>
      </c>
      <c r="C266" s="619">
        <f t="shared" si="213"/>
        <v>1</v>
      </c>
      <c r="D266" s="744" t="s">
        <v>711</v>
      </c>
      <c r="E266" s="404" t="s">
        <v>714</v>
      </c>
      <c r="F266" s="744" t="s">
        <v>308</v>
      </c>
      <c r="G266" s="850">
        <v>3</v>
      </c>
      <c r="H266" s="404"/>
      <c r="I266" s="404"/>
      <c r="J266" s="404">
        <v>293475</v>
      </c>
      <c r="K266" s="404"/>
      <c r="L266" s="404">
        <v>44701</v>
      </c>
      <c r="M266" s="404"/>
      <c r="N266" s="404">
        <f t="shared" si="214"/>
        <v>0</v>
      </c>
      <c r="O266" s="404">
        <f t="shared" si="211"/>
        <v>0</v>
      </c>
      <c r="P266" s="404">
        <f t="shared" si="211"/>
        <v>880425</v>
      </c>
      <c r="Q266" s="404">
        <f t="shared" si="211"/>
        <v>0</v>
      </c>
      <c r="R266" s="404">
        <f t="shared" si="211"/>
        <v>134103</v>
      </c>
      <c r="S266" s="404">
        <f t="shared" si="211"/>
        <v>0</v>
      </c>
      <c r="U266" s="404">
        <f t="shared" si="215"/>
        <v>0</v>
      </c>
      <c r="V266" s="404">
        <f t="shared" si="215"/>
        <v>0</v>
      </c>
      <c r="W266" s="404">
        <f t="shared" si="215"/>
        <v>0</v>
      </c>
      <c r="X266" s="404">
        <f t="shared" si="215"/>
        <v>0</v>
      </c>
      <c r="Y266" s="404">
        <f t="shared" si="215"/>
        <v>0</v>
      </c>
      <c r="Z266" s="404">
        <f t="shared" si="215"/>
        <v>0</v>
      </c>
      <c r="AA266" s="404">
        <f t="shared" si="215"/>
        <v>0</v>
      </c>
      <c r="AB266" s="404">
        <f t="shared" si="215"/>
        <v>0</v>
      </c>
      <c r="AD266" s="405">
        <f t="shared" si="202"/>
        <v>0</v>
      </c>
      <c r="AE266" s="404">
        <f t="shared" si="217"/>
        <v>0</v>
      </c>
      <c r="AF266" s="404">
        <f t="shared" si="217"/>
        <v>0</v>
      </c>
      <c r="AG266" s="404">
        <f t="shared" si="217"/>
        <v>0</v>
      </c>
      <c r="AH266" s="404">
        <f t="shared" si="217"/>
        <v>0</v>
      </c>
      <c r="AI266" s="404">
        <f t="shared" si="217"/>
        <v>0</v>
      </c>
      <c r="AJ266" s="404">
        <f t="shared" si="217"/>
        <v>0</v>
      </c>
      <c r="AK266" s="404">
        <f t="shared" si="217"/>
        <v>0</v>
      </c>
      <c r="AL266" s="404">
        <f t="shared" si="200"/>
        <v>0</v>
      </c>
    </row>
    <row r="267" spans="1:38">
      <c r="A267" s="618" t="s">
        <v>2689</v>
      </c>
      <c r="B267" s="618"/>
      <c r="C267" s="619">
        <f>IF(G267&lt;&gt;0,1,)</f>
        <v>0</v>
      </c>
      <c r="D267" s="745"/>
      <c r="E267" s="746" t="s">
        <v>3833</v>
      </c>
      <c r="F267" s="745" t="s">
        <v>1633</v>
      </c>
      <c r="G267" s="745">
        <f>U267</f>
        <v>0</v>
      </c>
      <c r="H267" s="746"/>
      <c r="I267" s="746"/>
      <c r="J267" s="746"/>
      <c r="K267" s="746"/>
      <c r="L267" s="746"/>
      <c r="M267" s="746"/>
      <c r="N267" s="746">
        <f t="shared" ref="N267:S267" si="218">SUM(N269:N284)</f>
        <v>453000</v>
      </c>
      <c r="O267" s="746">
        <f t="shared" si="218"/>
        <v>1773880</v>
      </c>
      <c r="P267" s="746">
        <f t="shared" si="218"/>
        <v>3169256.5259999996</v>
      </c>
      <c r="Q267" s="746">
        <f t="shared" si="218"/>
        <v>0</v>
      </c>
      <c r="R267" s="746">
        <f t="shared" si="218"/>
        <v>91302.826000000001</v>
      </c>
      <c r="S267" s="746">
        <f t="shared" si="218"/>
        <v>0</v>
      </c>
      <c r="U267" s="746">
        <f>SUM(V267:AB267)</f>
        <v>0</v>
      </c>
      <c r="V267" s="746">
        <f>IFERROR(HLOOKUP($A267,BK3P,V$3,0),)</f>
        <v>0</v>
      </c>
      <c r="W267" s="746">
        <f>IFERROR(HLOOKUP($A267,BK3P,W$3,0),)</f>
        <v>0</v>
      </c>
      <c r="X267" s="746">
        <f>IFERROR(HLOOKUP($A267,BK3P,X$3,0),)</f>
        <v>0</v>
      </c>
      <c r="Y267" s="746">
        <f>IFERROR(HLOOKUP($A267,BK1P,Y$3,0),)</f>
        <v>0</v>
      </c>
      <c r="Z267" s="746">
        <f>IFERROR(HLOOKUP($A267,BK1P,Z$3,0),)</f>
        <v>0</v>
      </c>
      <c r="AA267" s="746">
        <f>IFERROR(HLOOKUP($A267,BK1P,AA$3,0),)</f>
        <v>0</v>
      </c>
      <c r="AB267" s="746">
        <f>IFERROR(HLOOKUP($A267,BKHT,AB$3,0),)</f>
        <v>0</v>
      </c>
      <c r="AD267" s="405">
        <f t="shared" si="202"/>
        <v>0</v>
      </c>
      <c r="AE267" s="404">
        <f t="shared" si="217"/>
        <v>0</v>
      </c>
      <c r="AF267" s="404">
        <f t="shared" si="217"/>
        <v>0</v>
      </c>
      <c r="AG267" s="404">
        <f t="shared" si="217"/>
        <v>0</v>
      </c>
      <c r="AH267" s="404">
        <f t="shared" si="217"/>
        <v>0</v>
      </c>
      <c r="AI267" s="404">
        <f t="shared" si="217"/>
        <v>0</v>
      </c>
      <c r="AJ267" s="404">
        <f t="shared" si="217"/>
        <v>0</v>
      </c>
      <c r="AK267" s="404">
        <f t="shared" si="217"/>
        <v>0</v>
      </c>
      <c r="AL267" s="404">
        <f t="shared" si="200"/>
        <v>0</v>
      </c>
    </row>
    <row r="268" spans="1:38" s="542" customFormat="1">
      <c r="A268" s="624"/>
      <c r="B268" s="624"/>
      <c r="C268" s="625">
        <f>C267</f>
        <v>0</v>
      </c>
      <c r="D268" s="747"/>
      <c r="E268" s="748" t="s">
        <v>1644</v>
      </c>
      <c r="F268" s="747"/>
      <c r="G268" s="748"/>
      <c r="H268" s="748"/>
      <c r="I268" s="748"/>
      <c r="J268" s="748"/>
      <c r="K268" s="748"/>
      <c r="L268" s="748"/>
      <c r="M268" s="748"/>
      <c r="N268" s="748"/>
      <c r="O268" s="748"/>
      <c r="P268" s="748"/>
      <c r="Q268" s="748"/>
      <c r="R268" s="748"/>
      <c r="S268" s="748"/>
      <c r="U268" s="748"/>
      <c r="V268" s="748"/>
      <c r="W268" s="748"/>
      <c r="X268" s="748"/>
      <c r="Y268" s="748"/>
      <c r="Z268" s="748"/>
      <c r="AA268" s="748"/>
      <c r="AB268" s="748"/>
      <c r="AD268" s="405">
        <f t="shared" si="202"/>
        <v>0</v>
      </c>
      <c r="AE268" s="404">
        <f t="shared" si="217"/>
        <v>0</v>
      </c>
      <c r="AF268" s="404">
        <f t="shared" si="217"/>
        <v>0</v>
      </c>
      <c r="AG268" s="404">
        <f t="shared" si="217"/>
        <v>0</v>
      </c>
      <c r="AH268" s="404">
        <f t="shared" si="217"/>
        <v>0</v>
      </c>
      <c r="AI268" s="404">
        <f t="shared" si="217"/>
        <v>0</v>
      </c>
      <c r="AJ268" s="404">
        <f t="shared" si="217"/>
        <v>0</v>
      </c>
      <c r="AK268" s="404">
        <f t="shared" si="217"/>
        <v>0</v>
      </c>
      <c r="AL268" s="404">
        <f t="shared" si="200"/>
        <v>0</v>
      </c>
    </row>
    <row r="269" spans="1:38">
      <c r="A269" s="618"/>
      <c r="B269" s="618" t="s">
        <v>1639</v>
      </c>
      <c r="C269" s="619">
        <f>IF(G269&lt;&gt;0,$C$267,)</f>
        <v>0</v>
      </c>
      <c r="D269" s="744">
        <v>0</v>
      </c>
      <c r="E269" s="404" t="s">
        <v>1750</v>
      </c>
      <c r="F269" s="744" t="s">
        <v>143</v>
      </c>
      <c r="G269" s="739">
        <f>ROUND(G284*281,1)</f>
        <v>477.1</v>
      </c>
      <c r="H269" s="404"/>
      <c r="I269" s="404">
        <v>1800</v>
      </c>
      <c r="J269" s="404">
        <v>0</v>
      </c>
      <c r="K269" s="404"/>
      <c r="L269" s="404">
        <v>0</v>
      </c>
      <c r="M269" s="404"/>
      <c r="N269" s="404">
        <f>$G269*H269</f>
        <v>0</v>
      </c>
      <c r="O269" s="404">
        <f t="shared" ref="O269:S284" si="219">$G269*I269</f>
        <v>858780</v>
      </c>
      <c r="P269" s="404">
        <f t="shared" si="219"/>
        <v>0</v>
      </c>
      <c r="Q269" s="404">
        <f t="shared" si="219"/>
        <v>0</v>
      </c>
      <c r="R269" s="404">
        <f t="shared" si="219"/>
        <v>0</v>
      </c>
      <c r="S269" s="404">
        <f t="shared" si="219"/>
        <v>0</v>
      </c>
      <c r="U269" s="404">
        <f>U$195*$G269</f>
        <v>7156.5</v>
      </c>
      <c r="V269" s="404">
        <f t="shared" ref="U269:AB271" si="220">V$195*$G269</f>
        <v>7156.5</v>
      </c>
      <c r="W269" s="404">
        <f t="shared" si="220"/>
        <v>0</v>
      </c>
      <c r="X269" s="404">
        <f t="shared" si="220"/>
        <v>0</v>
      </c>
      <c r="Y269" s="404">
        <f t="shared" si="220"/>
        <v>0</v>
      </c>
      <c r="Z269" s="404">
        <f t="shared" si="220"/>
        <v>0</v>
      </c>
      <c r="AA269" s="404">
        <f t="shared" si="220"/>
        <v>0</v>
      </c>
      <c r="AB269" s="404">
        <f t="shared" si="220"/>
        <v>0</v>
      </c>
      <c r="AD269" s="405">
        <f t="shared" si="202"/>
        <v>1</v>
      </c>
      <c r="AE269" s="404">
        <f t="shared" si="217"/>
        <v>7156.5</v>
      </c>
      <c r="AF269" s="404">
        <f t="shared" si="217"/>
        <v>7156.5</v>
      </c>
      <c r="AG269" s="404">
        <f t="shared" si="217"/>
        <v>0</v>
      </c>
      <c r="AH269" s="404">
        <f t="shared" si="217"/>
        <v>0</v>
      </c>
      <c r="AI269" s="404">
        <f t="shared" si="217"/>
        <v>0</v>
      </c>
      <c r="AJ269" s="404">
        <f t="shared" si="217"/>
        <v>0</v>
      </c>
      <c r="AK269" s="404">
        <f t="shared" si="217"/>
        <v>0</v>
      </c>
      <c r="AL269" s="404">
        <f t="shared" si="200"/>
        <v>0</v>
      </c>
    </row>
    <row r="270" spans="1:38">
      <c r="A270" s="618"/>
      <c r="B270" s="618" t="s">
        <v>471</v>
      </c>
      <c r="C270" s="619">
        <f t="shared" ref="C270:C284" si="221">IF(G270&lt;&gt;0,$C$267,)</f>
        <v>0</v>
      </c>
      <c r="D270" s="744">
        <v>0</v>
      </c>
      <c r="E270" s="404" t="s">
        <v>472</v>
      </c>
      <c r="F270" s="744" t="s">
        <v>308</v>
      </c>
      <c r="G270" s="468">
        <f>ROUND(G284*0.477,3)</f>
        <v>0.81</v>
      </c>
      <c r="H270" s="404"/>
      <c r="I270" s="404">
        <v>390000</v>
      </c>
      <c r="J270" s="404">
        <v>0</v>
      </c>
      <c r="K270" s="404"/>
      <c r="L270" s="404">
        <v>0</v>
      </c>
      <c r="M270" s="404"/>
      <c r="N270" s="404">
        <f t="shared" ref="N270:N284" si="222">$G270*H270</f>
        <v>0</v>
      </c>
      <c r="O270" s="404">
        <f t="shared" si="219"/>
        <v>315900</v>
      </c>
      <c r="P270" s="404">
        <f t="shared" si="219"/>
        <v>0</v>
      </c>
      <c r="Q270" s="404">
        <f t="shared" si="219"/>
        <v>0</v>
      </c>
      <c r="R270" s="404">
        <f t="shared" si="219"/>
        <v>0</v>
      </c>
      <c r="S270" s="404">
        <f t="shared" si="219"/>
        <v>0</v>
      </c>
      <c r="U270" s="404">
        <f>U$195*$G270</f>
        <v>12.15</v>
      </c>
      <c r="V270" s="404">
        <f t="shared" si="220"/>
        <v>12.15</v>
      </c>
      <c r="W270" s="404">
        <f t="shared" si="220"/>
        <v>0</v>
      </c>
      <c r="X270" s="404">
        <f t="shared" si="220"/>
        <v>0</v>
      </c>
      <c r="Y270" s="404">
        <f t="shared" si="220"/>
        <v>0</v>
      </c>
      <c r="Z270" s="404">
        <f t="shared" si="220"/>
        <v>0</v>
      </c>
      <c r="AA270" s="404">
        <f t="shared" si="220"/>
        <v>0</v>
      </c>
      <c r="AB270" s="404">
        <f t="shared" si="220"/>
        <v>0</v>
      </c>
      <c r="AD270" s="405">
        <f t="shared" si="202"/>
        <v>1500</v>
      </c>
      <c r="AE270" s="404">
        <f t="shared" si="217"/>
        <v>18225</v>
      </c>
      <c r="AF270" s="404">
        <f t="shared" si="217"/>
        <v>18225</v>
      </c>
      <c r="AG270" s="404">
        <f t="shared" si="217"/>
        <v>0</v>
      </c>
      <c r="AH270" s="404">
        <f t="shared" si="217"/>
        <v>0</v>
      </c>
      <c r="AI270" s="404">
        <f t="shared" si="217"/>
        <v>0</v>
      </c>
      <c r="AJ270" s="404">
        <f t="shared" si="217"/>
        <v>0</v>
      </c>
      <c r="AK270" s="404">
        <f t="shared" si="217"/>
        <v>0</v>
      </c>
      <c r="AL270" s="404">
        <f t="shared" si="200"/>
        <v>0</v>
      </c>
    </row>
    <row r="271" spans="1:38">
      <c r="A271" s="618"/>
      <c r="B271" s="618" t="s">
        <v>1640</v>
      </c>
      <c r="C271" s="619">
        <f t="shared" si="221"/>
        <v>0</v>
      </c>
      <c r="D271" s="744">
        <v>0</v>
      </c>
      <c r="E271" s="404" t="s">
        <v>470</v>
      </c>
      <c r="F271" s="744" t="s">
        <v>308</v>
      </c>
      <c r="G271" s="468">
        <f>ROUND(G284*0.882,3)</f>
        <v>1.498</v>
      </c>
      <c r="H271" s="404"/>
      <c r="I271" s="404">
        <v>400000</v>
      </c>
      <c r="J271" s="404">
        <v>0</v>
      </c>
      <c r="K271" s="404"/>
      <c r="L271" s="404">
        <v>0</v>
      </c>
      <c r="M271" s="404"/>
      <c r="N271" s="404">
        <f t="shared" si="222"/>
        <v>0</v>
      </c>
      <c r="O271" s="404">
        <f t="shared" si="219"/>
        <v>599200</v>
      </c>
      <c r="P271" s="404">
        <f t="shared" si="219"/>
        <v>0</v>
      </c>
      <c r="Q271" s="404">
        <f t="shared" si="219"/>
        <v>0</v>
      </c>
      <c r="R271" s="404">
        <f t="shared" si="219"/>
        <v>0</v>
      </c>
      <c r="S271" s="404">
        <f t="shared" si="219"/>
        <v>0</v>
      </c>
      <c r="U271" s="404">
        <f t="shared" si="220"/>
        <v>22.47</v>
      </c>
      <c r="V271" s="404">
        <f t="shared" si="220"/>
        <v>22.47</v>
      </c>
      <c r="W271" s="404">
        <f t="shared" si="220"/>
        <v>0</v>
      </c>
      <c r="X271" s="404">
        <f t="shared" si="220"/>
        <v>0</v>
      </c>
      <c r="Y271" s="404">
        <f t="shared" si="220"/>
        <v>0</v>
      </c>
      <c r="Z271" s="404">
        <f t="shared" si="220"/>
        <v>0</v>
      </c>
      <c r="AA271" s="404">
        <f t="shared" si="220"/>
        <v>0</v>
      </c>
      <c r="AB271" s="404">
        <f t="shared" si="220"/>
        <v>0</v>
      </c>
      <c r="AD271" s="405">
        <f t="shared" si="202"/>
        <v>1500</v>
      </c>
      <c r="AE271" s="404">
        <f t="shared" si="217"/>
        <v>33705</v>
      </c>
      <c r="AF271" s="404">
        <f t="shared" si="217"/>
        <v>33705</v>
      </c>
      <c r="AG271" s="404">
        <f t="shared" si="217"/>
        <v>0</v>
      </c>
      <c r="AH271" s="404">
        <f t="shared" si="217"/>
        <v>0</v>
      </c>
      <c r="AI271" s="404">
        <f t="shared" si="217"/>
        <v>0</v>
      </c>
      <c r="AJ271" s="404">
        <f t="shared" si="217"/>
        <v>0</v>
      </c>
      <c r="AK271" s="404">
        <f t="shared" si="217"/>
        <v>0</v>
      </c>
      <c r="AL271" s="404">
        <f t="shared" si="200"/>
        <v>0</v>
      </c>
    </row>
    <row r="272" spans="1:38" s="332" customFormat="1">
      <c r="A272" s="356"/>
      <c r="B272" s="356" t="s">
        <v>2014</v>
      </c>
      <c r="C272" s="619">
        <f t="shared" si="221"/>
        <v>0</v>
      </c>
      <c r="D272" s="742">
        <v>0</v>
      </c>
      <c r="E272" s="743" t="s">
        <v>57</v>
      </c>
      <c r="F272" s="742" t="s">
        <v>24</v>
      </c>
      <c r="G272" s="471"/>
      <c r="H272" s="394">
        <v>41000</v>
      </c>
      <c r="I272" s="394"/>
      <c r="J272" s="394"/>
      <c r="K272" s="394">
        <v>0</v>
      </c>
      <c r="L272" s="394"/>
      <c r="M272" s="394">
        <v>0</v>
      </c>
      <c r="N272" s="394">
        <f t="shared" si="222"/>
        <v>0</v>
      </c>
      <c r="O272" s="394">
        <f t="shared" si="219"/>
        <v>0</v>
      </c>
      <c r="P272" s="394">
        <f t="shared" si="219"/>
        <v>0</v>
      </c>
      <c r="Q272" s="394">
        <f t="shared" si="219"/>
        <v>0</v>
      </c>
      <c r="R272" s="394">
        <f t="shared" si="219"/>
        <v>0</v>
      </c>
      <c r="S272" s="394">
        <f t="shared" si="219"/>
        <v>0</v>
      </c>
      <c r="U272" s="394">
        <f t="shared" ref="U272:AB272" si="223">U$178*$G272</f>
        <v>0</v>
      </c>
      <c r="V272" s="394">
        <f t="shared" si="223"/>
        <v>0</v>
      </c>
      <c r="W272" s="394">
        <f t="shared" si="223"/>
        <v>0</v>
      </c>
      <c r="X272" s="394">
        <f t="shared" si="223"/>
        <v>0</v>
      </c>
      <c r="Y272" s="394">
        <f t="shared" si="223"/>
        <v>0</v>
      </c>
      <c r="Z272" s="394">
        <f t="shared" si="223"/>
        <v>0</v>
      </c>
      <c r="AA272" s="394">
        <f t="shared" si="223"/>
        <v>0</v>
      </c>
      <c r="AB272" s="394">
        <f t="shared" si="223"/>
        <v>0</v>
      </c>
      <c r="AD272" s="332">
        <f t="shared" si="202"/>
        <v>0.90000000000000024</v>
      </c>
      <c r="AE272" s="394">
        <f t="shared" si="217"/>
        <v>0</v>
      </c>
      <c r="AF272" s="394">
        <f t="shared" si="217"/>
        <v>0</v>
      </c>
      <c r="AG272" s="394">
        <f t="shared" si="217"/>
        <v>0</v>
      </c>
      <c r="AH272" s="394">
        <f t="shared" si="217"/>
        <v>0</v>
      </c>
      <c r="AI272" s="394">
        <f t="shared" si="217"/>
        <v>0</v>
      </c>
      <c r="AJ272" s="394">
        <f t="shared" si="217"/>
        <v>0</v>
      </c>
      <c r="AK272" s="394">
        <f t="shared" si="217"/>
        <v>0</v>
      </c>
      <c r="AL272" s="394">
        <f t="shared" si="200"/>
        <v>0</v>
      </c>
    </row>
    <row r="273" spans="1:38">
      <c r="A273" s="618"/>
      <c r="B273" s="618" t="s">
        <v>2015</v>
      </c>
      <c r="C273" s="619">
        <f t="shared" si="221"/>
        <v>0</v>
      </c>
      <c r="D273" s="744">
        <v>0</v>
      </c>
      <c r="E273" s="404" t="s">
        <v>59</v>
      </c>
      <c r="F273" s="744" t="s">
        <v>24</v>
      </c>
      <c r="G273" s="471">
        <v>1</v>
      </c>
      <c r="H273" s="404">
        <v>43000</v>
      </c>
      <c r="I273" s="404"/>
      <c r="J273" s="404"/>
      <c r="K273" s="404">
        <v>0</v>
      </c>
      <c r="L273" s="404"/>
      <c r="M273" s="404">
        <v>0</v>
      </c>
      <c r="N273" s="404">
        <f t="shared" si="222"/>
        <v>43000</v>
      </c>
      <c r="O273" s="404">
        <f t="shared" si="219"/>
        <v>0</v>
      </c>
      <c r="P273" s="404">
        <f t="shared" si="219"/>
        <v>0</v>
      </c>
      <c r="Q273" s="404">
        <f t="shared" si="219"/>
        <v>0</v>
      </c>
      <c r="R273" s="404">
        <f t="shared" si="219"/>
        <v>0</v>
      </c>
      <c r="S273" s="404">
        <f t="shared" si="219"/>
        <v>0</v>
      </c>
      <c r="U273" s="404">
        <f t="shared" ref="U273:AB283" si="224">U$195*$G273</f>
        <v>15</v>
      </c>
      <c r="V273" s="404">
        <f t="shared" si="224"/>
        <v>15</v>
      </c>
      <c r="W273" s="404">
        <f t="shared" si="224"/>
        <v>0</v>
      </c>
      <c r="X273" s="404">
        <f t="shared" si="224"/>
        <v>0</v>
      </c>
      <c r="Y273" s="404">
        <f t="shared" si="224"/>
        <v>0</v>
      </c>
      <c r="Z273" s="404">
        <f t="shared" si="224"/>
        <v>0</v>
      </c>
      <c r="AA273" s="404">
        <f t="shared" si="224"/>
        <v>0</v>
      </c>
      <c r="AB273" s="404">
        <f t="shared" si="224"/>
        <v>0</v>
      </c>
      <c r="AD273" s="405">
        <f t="shared" si="202"/>
        <v>0.95000000000000029</v>
      </c>
      <c r="AE273" s="404">
        <f t="shared" si="217"/>
        <v>14.250000000000004</v>
      </c>
      <c r="AF273" s="404">
        <f t="shared" si="217"/>
        <v>14.250000000000004</v>
      </c>
      <c r="AG273" s="404">
        <f t="shared" si="217"/>
        <v>0</v>
      </c>
      <c r="AH273" s="404">
        <f t="shared" si="217"/>
        <v>0</v>
      </c>
      <c r="AI273" s="404">
        <f t="shared" si="217"/>
        <v>0</v>
      </c>
      <c r="AJ273" s="404">
        <f t="shared" si="217"/>
        <v>0</v>
      </c>
      <c r="AK273" s="404">
        <f t="shared" si="217"/>
        <v>0</v>
      </c>
      <c r="AL273" s="404">
        <f t="shared" si="200"/>
        <v>0</v>
      </c>
    </row>
    <row r="274" spans="1:38">
      <c r="A274" s="618"/>
      <c r="B274" s="618" t="s">
        <v>2017</v>
      </c>
      <c r="C274" s="619">
        <f t="shared" si="221"/>
        <v>0</v>
      </c>
      <c r="D274" s="744">
        <v>0</v>
      </c>
      <c r="E274" s="404" t="s">
        <v>63</v>
      </c>
      <c r="F274" s="744" t="s">
        <v>24</v>
      </c>
      <c r="G274" s="471">
        <v>1</v>
      </c>
      <c r="H274" s="404">
        <v>49000</v>
      </c>
      <c r="I274" s="404"/>
      <c r="J274" s="404"/>
      <c r="K274" s="404">
        <v>0</v>
      </c>
      <c r="L274" s="404"/>
      <c r="M274" s="404">
        <v>0</v>
      </c>
      <c r="N274" s="404">
        <f t="shared" si="222"/>
        <v>49000</v>
      </c>
      <c r="O274" s="404">
        <f t="shared" si="219"/>
        <v>0</v>
      </c>
      <c r="P274" s="404">
        <f t="shared" si="219"/>
        <v>0</v>
      </c>
      <c r="Q274" s="404">
        <f t="shared" si="219"/>
        <v>0</v>
      </c>
      <c r="R274" s="404">
        <f t="shared" si="219"/>
        <v>0</v>
      </c>
      <c r="S274" s="404">
        <f t="shared" si="219"/>
        <v>0</v>
      </c>
      <c r="U274" s="404">
        <f t="shared" si="224"/>
        <v>15</v>
      </c>
      <c r="V274" s="404">
        <f t="shared" si="224"/>
        <v>15</v>
      </c>
      <c r="W274" s="404">
        <f t="shared" si="224"/>
        <v>0</v>
      </c>
      <c r="X274" s="404">
        <f t="shared" si="224"/>
        <v>0</v>
      </c>
      <c r="Y274" s="404">
        <f t="shared" si="224"/>
        <v>0</v>
      </c>
      <c r="Z274" s="404">
        <f t="shared" si="224"/>
        <v>0</v>
      </c>
      <c r="AA274" s="404">
        <f t="shared" si="224"/>
        <v>0</v>
      </c>
      <c r="AB274" s="404">
        <f t="shared" si="224"/>
        <v>0</v>
      </c>
      <c r="AD274" s="405">
        <f t="shared" si="202"/>
        <v>1.0500000000000003</v>
      </c>
      <c r="AE274" s="404">
        <f t="shared" si="217"/>
        <v>15.750000000000004</v>
      </c>
      <c r="AF274" s="404">
        <f t="shared" si="217"/>
        <v>15.750000000000004</v>
      </c>
      <c r="AG274" s="404">
        <f t="shared" si="217"/>
        <v>0</v>
      </c>
      <c r="AH274" s="404">
        <f t="shared" si="217"/>
        <v>0</v>
      </c>
      <c r="AI274" s="404">
        <f t="shared" si="217"/>
        <v>0</v>
      </c>
      <c r="AJ274" s="404">
        <f t="shared" si="217"/>
        <v>0</v>
      </c>
      <c r="AK274" s="404">
        <f t="shared" si="217"/>
        <v>0</v>
      </c>
      <c r="AL274" s="404">
        <f t="shared" si="200"/>
        <v>0</v>
      </c>
    </row>
    <row r="275" spans="1:38">
      <c r="A275" s="618"/>
      <c r="B275" s="618" t="s">
        <v>2057</v>
      </c>
      <c r="C275" s="619">
        <f t="shared" si="221"/>
        <v>0</v>
      </c>
      <c r="D275" s="744">
        <v>0</v>
      </c>
      <c r="E275" s="404" t="s">
        <v>67</v>
      </c>
      <c r="F275" s="744" t="s">
        <v>24</v>
      </c>
      <c r="G275" s="471">
        <v>1</v>
      </c>
      <c r="H275" s="404">
        <v>55000</v>
      </c>
      <c r="I275" s="404"/>
      <c r="J275" s="404"/>
      <c r="K275" s="404">
        <v>0</v>
      </c>
      <c r="L275" s="404"/>
      <c r="M275" s="404">
        <v>0</v>
      </c>
      <c r="N275" s="404">
        <f t="shared" si="222"/>
        <v>55000</v>
      </c>
      <c r="O275" s="404">
        <f t="shared" si="219"/>
        <v>0</v>
      </c>
      <c r="P275" s="404">
        <f t="shared" si="219"/>
        <v>0</v>
      </c>
      <c r="Q275" s="404">
        <f t="shared" si="219"/>
        <v>0</v>
      </c>
      <c r="R275" s="404">
        <f t="shared" si="219"/>
        <v>0</v>
      </c>
      <c r="S275" s="404">
        <f t="shared" si="219"/>
        <v>0</v>
      </c>
      <c r="U275" s="404">
        <f t="shared" si="224"/>
        <v>15</v>
      </c>
      <c r="V275" s="404">
        <f t="shared" si="224"/>
        <v>15</v>
      </c>
      <c r="W275" s="404">
        <f t="shared" si="224"/>
        <v>0</v>
      </c>
      <c r="X275" s="404">
        <f t="shared" si="224"/>
        <v>0</v>
      </c>
      <c r="Y275" s="404">
        <f t="shared" si="224"/>
        <v>0</v>
      </c>
      <c r="Z275" s="404">
        <f t="shared" si="224"/>
        <v>0</v>
      </c>
      <c r="AA275" s="404">
        <f t="shared" si="224"/>
        <v>0</v>
      </c>
      <c r="AB275" s="404">
        <f t="shared" si="224"/>
        <v>0</v>
      </c>
      <c r="AD275" s="405">
        <f t="shared" si="202"/>
        <v>1.1500000000000004</v>
      </c>
      <c r="AE275" s="404">
        <f t="shared" si="217"/>
        <v>17.250000000000007</v>
      </c>
      <c r="AF275" s="404">
        <f t="shared" si="217"/>
        <v>17.250000000000007</v>
      </c>
      <c r="AG275" s="404">
        <f t="shared" si="217"/>
        <v>0</v>
      </c>
      <c r="AH275" s="404">
        <f t="shared" si="217"/>
        <v>0</v>
      </c>
      <c r="AI275" s="404">
        <f t="shared" si="217"/>
        <v>0</v>
      </c>
      <c r="AJ275" s="404">
        <f t="shared" si="217"/>
        <v>0</v>
      </c>
      <c r="AK275" s="404">
        <f t="shared" si="217"/>
        <v>0</v>
      </c>
      <c r="AL275" s="404">
        <f t="shared" si="200"/>
        <v>0</v>
      </c>
    </row>
    <row r="276" spans="1:38">
      <c r="A276" s="618"/>
      <c r="B276" s="618" t="s">
        <v>3509</v>
      </c>
      <c r="C276" s="619">
        <f t="shared" si="221"/>
        <v>0</v>
      </c>
      <c r="D276" s="744">
        <v>0</v>
      </c>
      <c r="E276" s="404" t="s">
        <v>3510</v>
      </c>
      <c r="F276" s="744" t="s">
        <v>143</v>
      </c>
      <c r="G276" s="750">
        <f>ROUND(G280*15/100,3)</f>
        <v>0.84</v>
      </c>
      <c r="H276" s="404">
        <v>25000</v>
      </c>
      <c r="I276" s="404"/>
      <c r="J276" s="404"/>
      <c r="K276" s="404">
        <v>0</v>
      </c>
      <c r="L276" s="404"/>
      <c r="M276" s="404">
        <v>0</v>
      </c>
      <c r="N276" s="404">
        <f t="shared" si="222"/>
        <v>21000</v>
      </c>
      <c r="O276" s="404">
        <f t="shared" si="219"/>
        <v>0</v>
      </c>
      <c r="P276" s="404">
        <f t="shared" si="219"/>
        <v>0</v>
      </c>
      <c r="Q276" s="404">
        <f t="shared" si="219"/>
        <v>0</v>
      </c>
      <c r="R276" s="404">
        <f t="shared" si="219"/>
        <v>0</v>
      </c>
      <c r="S276" s="404">
        <f t="shared" si="219"/>
        <v>0</v>
      </c>
      <c r="U276" s="404"/>
      <c r="V276" s="404"/>
      <c r="W276" s="404"/>
      <c r="X276" s="404"/>
      <c r="Y276" s="404"/>
      <c r="Z276" s="404"/>
      <c r="AA276" s="404"/>
      <c r="AB276" s="404"/>
      <c r="AE276" s="404"/>
      <c r="AF276" s="404"/>
      <c r="AG276" s="404"/>
      <c r="AH276" s="404"/>
      <c r="AI276" s="404"/>
      <c r="AJ276" s="404"/>
      <c r="AK276" s="404"/>
      <c r="AL276" s="404"/>
    </row>
    <row r="277" spans="1:38">
      <c r="A277" s="618"/>
      <c r="B277" s="618" t="s">
        <v>3505</v>
      </c>
      <c r="C277" s="619">
        <f t="shared" si="221"/>
        <v>0</v>
      </c>
      <c r="D277" s="744">
        <v>0</v>
      </c>
      <c r="E277" s="404" t="s">
        <v>3506</v>
      </c>
      <c r="F277" s="744" t="s">
        <v>308</v>
      </c>
      <c r="G277" s="750">
        <f>ROUND(G280*0.335/100,4)</f>
        <v>1.8800000000000001E-2</v>
      </c>
      <c r="H277" s="404">
        <v>3800000</v>
      </c>
      <c r="I277" s="404"/>
      <c r="J277" s="404"/>
      <c r="K277" s="404">
        <v>0</v>
      </c>
      <c r="L277" s="404"/>
      <c r="M277" s="404">
        <v>0</v>
      </c>
      <c r="N277" s="404">
        <f t="shared" si="222"/>
        <v>71440</v>
      </c>
      <c r="O277" s="404">
        <f t="shared" si="219"/>
        <v>0</v>
      </c>
      <c r="P277" s="404">
        <f t="shared" si="219"/>
        <v>0</v>
      </c>
      <c r="Q277" s="404">
        <f t="shared" si="219"/>
        <v>0</v>
      </c>
      <c r="R277" s="404">
        <f t="shared" si="219"/>
        <v>0</v>
      </c>
      <c r="S277" s="404">
        <f t="shared" si="219"/>
        <v>0</v>
      </c>
      <c r="U277" s="404"/>
      <c r="V277" s="404"/>
      <c r="W277" s="404"/>
      <c r="X277" s="404"/>
      <c r="Y277" s="404"/>
      <c r="Z277" s="404"/>
      <c r="AA277" s="404"/>
      <c r="AB277" s="404"/>
      <c r="AE277" s="404"/>
      <c r="AF277" s="404"/>
      <c r="AG277" s="404"/>
      <c r="AH277" s="404"/>
      <c r="AI277" s="404"/>
      <c r="AJ277" s="404"/>
      <c r="AK277" s="404"/>
      <c r="AL277" s="404"/>
    </row>
    <row r="278" spans="1:38">
      <c r="A278" s="618"/>
      <c r="B278" s="618" t="s">
        <v>3507</v>
      </c>
      <c r="C278" s="619">
        <f t="shared" si="221"/>
        <v>0</v>
      </c>
      <c r="D278" s="744">
        <v>0</v>
      </c>
      <c r="E278" s="404" t="s">
        <v>3508</v>
      </c>
      <c r="F278" s="744" t="s">
        <v>308</v>
      </c>
      <c r="G278" s="750">
        <f>ROUND(G280*0.21/100,4)</f>
        <v>1.18E-2</v>
      </c>
      <c r="H278" s="404">
        <v>3800000</v>
      </c>
      <c r="I278" s="404"/>
      <c r="J278" s="404"/>
      <c r="K278" s="404">
        <v>0</v>
      </c>
      <c r="L278" s="404"/>
      <c r="M278" s="404">
        <v>0</v>
      </c>
      <c r="N278" s="404">
        <f t="shared" si="222"/>
        <v>44840</v>
      </c>
      <c r="O278" s="404">
        <f t="shared" si="219"/>
        <v>0</v>
      </c>
      <c r="P278" s="404">
        <f t="shared" si="219"/>
        <v>0</v>
      </c>
      <c r="Q278" s="404">
        <f t="shared" si="219"/>
        <v>0</v>
      </c>
      <c r="R278" s="404">
        <f t="shared" si="219"/>
        <v>0</v>
      </c>
      <c r="S278" s="404">
        <f t="shared" si="219"/>
        <v>0</v>
      </c>
      <c r="U278" s="404"/>
      <c r="V278" s="404"/>
      <c r="W278" s="404"/>
      <c r="X278" s="404"/>
      <c r="Y278" s="404"/>
      <c r="Z278" s="404"/>
      <c r="AA278" s="404"/>
      <c r="AB278" s="404"/>
      <c r="AE278" s="404"/>
      <c r="AF278" s="404"/>
      <c r="AG278" s="404"/>
      <c r="AH278" s="404"/>
      <c r="AI278" s="404"/>
      <c r="AJ278" s="404"/>
      <c r="AK278" s="404"/>
      <c r="AL278" s="404"/>
    </row>
    <row r="279" spans="1:38">
      <c r="A279" s="618"/>
      <c r="B279" s="618" t="s">
        <v>3503</v>
      </c>
      <c r="C279" s="619">
        <f t="shared" si="221"/>
        <v>0</v>
      </c>
      <c r="D279" s="744">
        <v>0</v>
      </c>
      <c r="E279" s="404" t="s">
        <v>3504</v>
      </c>
      <c r="F279" s="744" t="s">
        <v>308</v>
      </c>
      <c r="G279" s="750">
        <f>ROUND(G280*0.792/100,4)</f>
        <v>4.4400000000000002E-2</v>
      </c>
      <c r="H279" s="404">
        <v>3800000</v>
      </c>
      <c r="I279" s="404"/>
      <c r="J279" s="404"/>
      <c r="K279" s="404">
        <v>0</v>
      </c>
      <c r="L279" s="404"/>
      <c r="M279" s="404">
        <v>0</v>
      </c>
      <c r="N279" s="404">
        <f t="shared" si="222"/>
        <v>168720</v>
      </c>
      <c r="O279" s="404">
        <f t="shared" si="219"/>
        <v>0</v>
      </c>
      <c r="P279" s="404">
        <f t="shared" si="219"/>
        <v>0</v>
      </c>
      <c r="Q279" s="404">
        <f t="shared" si="219"/>
        <v>0</v>
      </c>
      <c r="R279" s="404">
        <f t="shared" si="219"/>
        <v>0</v>
      </c>
      <c r="S279" s="404">
        <f t="shared" si="219"/>
        <v>0</v>
      </c>
      <c r="U279" s="404"/>
      <c r="V279" s="404"/>
      <c r="W279" s="404"/>
      <c r="X279" s="404"/>
      <c r="Y279" s="404"/>
      <c r="Z279" s="404"/>
      <c r="AA279" s="404"/>
      <c r="AB279" s="404"/>
      <c r="AE279" s="404"/>
      <c r="AF279" s="404"/>
      <c r="AG279" s="404"/>
      <c r="AH279" s="404"/>
      <c r="AI279" s="404"/>
      <c r="AJ279" s="404"/>
      <c r="AK279" s="404"/>
      <c r="AL279" s="404"/>
    </row>
    <row r="280" spans="1:38">
      <c r="A280" s="618"/>
      <c r="B280" s="618" t="s">
        <v>3511</v>
      </c>
      <c r="C280" s="619">
        <f t="shared" si="221"/>
        <v>0</v>
      </c>
      <c r="D280" s="744" t="s">
        <v>3512</v>
      </c>
      <c r="E280" s="404" t="s">
        <v>3513</v>
      </c>
      <c r="F280" s="744" t="s">
        <v>309</v>
      </c>
      <c r="G280" s="468">
        <f>ROUND(1.5*1*2+1.3*2,3)</f>
        <v>5.6</v>
      </c>
      <c r="H280" s="404">
        <v>0</v>
      </c>
      <c r="I280" s="404"/>
      <c r="J280" s="404">
        <v>57946</v>
      </c>
      <c r="K280" s="404"/>
      <c r="L280" s="404"/>
      <c r="M280" s="404">
        <v>0</v>
      </c>
      <c r="N280" s="404">
        <f t="shared" si="222"/>
        <v>0</v>
      </c>
      <c r="O280" s="404">
        <f t="shared" si="219"/>
        <v>0</v>
      </c>
      <c r="P280" s="404">
        <f t="shared" si="219"/>
        <v>324497.59999999998</v>
      </c>
      <c r="Q280" s="404">
        <f t="shared" si="219"/>
        <v>0</v>
      </c>
      <c r="R280" s="404">
        <f t="shared" si="219"/>
        <v>0</v>
      </c>
      <c r="S280" s="404">
        <f t="shared" si="219"/>
        <v>0</v>
      </c>
      <c r="U280" s="404"/>
      <c r="V280" s="404"/>
      <c r="W280" s="404"/>
      <c r="X280" s="404"/>
      <c r="Y280" s="404"/>
      <c r="Z280" s="404"/>
      <c r="AA280" s="404"/>
      <c r="AB280" s="404"/>
      <c r="AE280" s="404"/>
      <c r="AF280" s="404"/>
      <c r="AG280" s="404"/>
      <c r="AH280" s="404"/>
      <c r="AI280" s="404"/>
      <c r="AJ280" s="404"/>
      <c r="AK280" s="404"/>
      <c r="AL280" s="404"/>
    </row>
    <row r="281" spans="1:38">
      <c r="A281" s="618"/>
      <c r="B281" s="618" t="s">
        <v>3568</v>
      </c>
      <c r="C281" s="619">
        <f t="shared" si="221"/>
        <v>0</v>
      </c>
      <c r="D281" s="744" t="s">
        <v>3569</v>
      </c>
      <c r="E281" s="404" t="s">
        <v>3570</v>
      </c>
      <c r="F281" s="744" t="s">
        <v>308</v>
      </c>
      <c r="G281" s="468">
        <v>0.78</v>
      </c>
      <c r="H281" s="404"/>
      <c r="I281" s="404"/>
      <c r="J281" s="404">
        <v>223685</v>
      </c>
      <c r="K281" s="404"/>
      <c r="L281" s="404">
        <v>0</v>
      </c>
      <c r="M281" s="404"/>
      <c r="N281" s="404">
        <f t="shared" si="222"/>
        <v>0</v>
      </c>
      <c r="O281" s="404">
        <f t="shared" si="219"/>
        <v>0</v>
      </c>
      <c r="P281" s="404">
        <f t="shared" si="219"/>
        <v>174474.30000000002</v>
      </c>
      <c r="Q281" s="404">
        <f t="shared" si="219"/>
        <v>0</v>
      </c>
      <c r="R281" s="404">
        <f t="shared" si="219"/>
        <v>0</v>
      </c>
      <c r="S281" s="404">
        <f t="shared" si="219"/>
        <v>0</v>
      </c>
      <c r="U281" s="404">
        <f t="shared" si="224"/>
        <v>11.700000000000001</v>
      </c>
      <c r="V281" s="404">
        <f t="shared" si="224"/>
        <v>11.700000000000001</v>
      </c>
      <c r="W281" s="404">
        <f t="shared" si="224"/>
        <v>0</v>
      </c>
      <c r="X281" s="404">
        <f t="shared" si="224"/>
        <v>0</v>
      </c>
      <c r="Y281" s="404">
        <f t="shared" si="224"/>
        <v>0</v>
      </c>
      <c r="Z281" s="404">
        <f t="shared" si="224"/>
        <v>0</v>
      </c>
      <c r="AA281" s="404">
        <f t="shared" si="224"/>
        <v>0</v>
      </c>
      <c r="AB281" s="404">
        <f t="shared" si="224"/>
        <v>0</v>
      </c>
      <c r="AD281" s="405">
        <f t="shared" ref="AD281:AD291" si="225">IFERROR(VLOOKUP(B281,DONGIA,$AD$3,0),0)</f>
        <v>0</v>
      </c>
      <c r="AE281" s="404">
        <f t="shared" ref="AE281:AL284" si="226">U281*$AD281</f>
        <v>0</v>
      </c>
      <c r="AF281" s="404">
        <f t="shared" si="226"/>
        <v>0</v>
      </c>
      <c r="AG281" s="404">
        <f t="shared" si="226"/>
        <v>0</v>
      </c>
      <c r="AH281" s="404">
        <f t="shared" si="226"/>
        <v>0</v>
      </c>
      <c r="AI281" s="404">
        <f t="shared" si="226"/>
        <v>0</v>
      </c>
      <c r="AJ281" s="404">
        <f t="shared" si="226"/>
        <v>0</v>
      </c>
      <c r="AK281" s="404">
        <f t="shared" si="226"/>
        <v>0</v>
      </c>
      <c r="AL281" s="404">
        <f t="shared" si="226"/>
        <v>0</v>
      </c>
    </row>
    <row r="282" spans="1:38">
      <c r="A282" s="618"/>
      <c r="B282" s="618" t="s">
        <v>484</v>
      </c>
      <c r="C282" s="619">
        <f t="shared" si="221"/>
        <v>0</v>
      </c>
      <c r="D282" s="744" t="s">
        <v>3373</v>
      </c>
      <c r="E282" s="404" t="s">
        <v>3822</v>
      </c>
      <c r="F282" s="744" t="s">
        <v>308</v>
      </c>
      <c r="G282" s="468">
        <v>2.8250000000000002</v>
      </c>
      <c r="H282" s="404"/>
      <c r="I282" s="404"/>
      <c r="J282" s="404">
        <v>760902</v>
      </c>
      <c r="K282" s="404"/>
      <c r="L282" s="404">
        <v>0</v>
      </c>
      <c r="M282" s="404"/>
      <c r="N282" s="404">
        <f t="shared" si="222"/>
        <v>0</v>
      </c>
      <c r="O282" s="404">
        <f t="shared" si="219"/>
        <v>0</v>
      </c>
      <c r="P282" s="404">
        <f t="shared" si="219"/>
        <v>2149548.15</v>
      </c>
      <c r="Q282" s="404">
        <f t="shared" si="219"/>
        <v>0</v>
      </c>
      <c r="R282" s="404">
        <f t="shared" si="219"/>
        <v>0</v>
      </c>
      <c r="S282" s="404">
        <f t="shared" si="219"/>
        <v>0</v>
      </c>
      <c r="U282" s="404">
        <f t="shared" si="224"/>
        <v>42.375</v>
      </c>
      <c r="V282" s="404">
        <f t="shared" si="224"/>
        <v>42.375</v>
      </c>
      <c r="W282" s="404">
        <f t="shared" si="224"/>
        <v>0</v>
      </c>
      <c r="X282" s="404">
        <f t="shared" si="224"/>
        <v>0</v>
      </c>
      <c r="Y282" s="404">
        <f t="shared" si="224"/>
        <v>0</v>
      </c>
      <c r="Z282" s="404">
        <f t="shared" si="224"/>
        <v>0</v>
      </c>
      <c r="AA282" s="404">
        <f t="shared" si="224"/>
        <v>0</v>
      </c>
      <c r="AB282" s="404">
        <f t="shared" si="224"/>
        <v>0</v>
      </c>
      <c r="AD282" s="405">
        <f t="shared" si="225"/>
        <v>0</v>
      </c>
      <c r="AE282" s="404">
        <f t="shared" si="226"/>
        <v>0</v>
      </c>
      <c r="AF282" s="404">
        <f t="shared" si="226"/>
        <v>0</v>
      </c>
      <c r="AG282" s="404">
        <f t="shared" si="226"/>
        <v>0</v>
      </c>
      <c r="AH282" s="404">
        <f t="shared" si="226"/>
        <v>0</v>
      </c>
      <c r="AI282" s="404">
        <f t="shared" si="226"/>
        <v>0</v>
      </c>
      <c r="AJ282" s="404">
        <f t="shared" si="226"/>
        <v>0</v>
      </c>
      <c r="AK282" s="404">
        <f t="shared" si="226"/>
        <v>0</v>
      </c>
      <c r="AL282" s="404">
        <f t="shared" si="226"/>
        <v>0</v>
      </c>
    </row>
    <row r="283" spans="1:38">
      <c r="A283" s="618"/>
      <c r="B283" s="618" t="s">
        <v>510</v>
      </c>
      <c r="C283" s="619">
        <f t="shared" si="221"/>
        <v>0</v>
      </c>
      <c r="D283" s="744" t="s">
        <v>3575</v>
      </c>
      <c r="E283" s="404" t="s">
        <v>3576</v>
      </c>
      <c r="F283" s="744" t="s">
        <v>308</v>
      </c>
      <c r="G283" s="468">
        <v>1.3779999999999999</v>
      </c>
      <c r="H283" s="404"/>
      <c r="I283" s="404"/>
      <c r="J283" s="404">
        <v>16267</v>
      </c>
      <c r="K283" s="404"/>
      <c r="L283" s="404">
        <v>11176</v>
      </c>
      <c r="M283" s="404"/>
      <c r="N283" s="404">
        <f t="shared" si="222"/>
        <v>0</v>
      </c>
      <c r="O283" s="404">
        <f t="shared" si="219"/>
        <v>0</v>
      </c>
      <c r="P283" s="404">
        <f t="shared" si="219"/>
        <v>22415.925999999999</v>
      </c>
      <c r="Q283" s="404">
        <f t="shared" si="219"/>
        <v>0</v>
      </c>
      <c r="R283" s="404">
        <f t="shared" si="219"/>
        <v>15400.527999999998</v>
      </c>
      <c r="S283" s="404">
        <f t="shared" si="219"/>
        <v>0</v>
      </c>
      <c r="U283" s="404">
        <f t="shared" si="224"/>
        <v>20.669999999999998</v>
      </c>
      <c r="V283" s="404">
        <f t="shared" si="224"/>
        <v>20.669999999999998</v>
      </c>
      <c r="W283" s="404">
        <f t="shared" si="224"/>
        <v>0</v>
      </c>
      <c r="X283" s="404">
        <f t="shared" si="224"/>
        <v>0</v>
      </c>
      <c r="Y283" s="404">
        <f t="shared" si="224"/>
        <v>0</v>
      </c>
      <c r="Z283" s="404">
        <f t="shared" si="224"/>
        <v>0</v>
      </c>
      <c r="AA283" s="404">
        <f t="shared" si="224"/>
        <v>0</v>
      </c>
      <c r="AB283" s="404">
        <f t="shared" si="224"/>
        <v>0</v>
      </c>
      <c r="AD283" s="405">
        <f t="shared" si="225"/>
        <v>0</v>
      </c>
      <c r="AE283" s="404">
        <f t="shared" si="226"/>
        <v>0</v>
      </c>
      <c r="AF283" s="404">
        <f t="shared" si="226"/>
        <v>0</v>
      </c>
      <c r="AG283" s="404">
        <f t="shared" si="226"/>
        <v>0</v>
      </c>
      <c r="AH283" s="404">
        <f t="shared" si="226"/>
        <v>0</v>
      </c>
      <c r="AI283" s="404">
        <f t="shared" si="226"/>
        <v>0</v>
      </c>
      <c r="AJ283" s="404">
        <f t="shared" si="226"/>
        <v>0</v>
      </c>
      <c r="AK283" s="404">
        <f t="shared" si="226"/>
        <v>0</v>
      </c>
      <c r="AL283" s="404">
        <f t="shared" si="226"/>
        <v>0</v>
      </c>
    </row>
    <row r="284" spans="1:38">
      <c r="A284" s="618"/>
      <c r="B284" s="618" t="s">
        <v>713</v>
      </c>
      <c r="C284" s="619">
        <f t="shared" si="221"/>
        <v>0</v>
      </c>
      <c r="D284" s="744" t="s">
        <v>711</v>
      </c>
      <c r="E284" s="404" t="s">
        <v>714</v>
      </c>
      <c r="F284" s="744" t="s">
        <v>308</v>
      </c>
      <c r="G284" s="468">
        <v>1.698</v>
      </c>
      <c r="H284" s="404"/>
      <c r="I284" s="404"/>
      <c r="J284" s="404">
        <v>293475</v>
      </c>
      <c r="K284" s="404"/>
      <c r="L284" s="404">
        <v>44701</v>
      </c>
      <c r="M284" s="404"/>
      <c r="N284" s="404">
        <f t="shared" si="222"/>
        <v>0</v>
      </c>
      <c r="O284" s="404">
        <f t="shared" si="219"/>
        <v>0</v>
      </c>
      <c r="P284" s="404">
        <f t="shared" si="219"/>
        <v>498320.55</v>
      </c>
      <c r="Q284" s="404">
        <f t="shared" si="219"/>
        <v>0</v>
      </c>
      <c r="R284" s="404">
        <f t="shared" si="219"/>
        <v>75902.297999999995</v>
      </c>
      <c r="S284" s="404">
        <f t="shared" si="219"/>
        <v>0</v>
      </c>
      <c r="U284" s="404"/>
      <c r="V284" s="404"/>
      <c r="W284" s="404"/>
      <c r="X284" s="404"/>
      <c r="Y284" s="404"/>
      <c r="Z284" s="404"/>
      <c r="AA284" s="404"/>
      <c r="AB284" s="404"/>
      <c r="AD284" s="405">
        <f t="shared" si="225"/>
        <v>0</v>
      </c>
      <c r="AE284" s="404">
        <f t="shared" si="226"/>
        <v>0</v>
      </c>
      <c r="AF284" s="404">
        <f t="shared" si="226"/>
        <v>0</v>
      </c>
      <c r="AG284" s="404">
        <f t="shared" si="226"/>
        <v>0</v>
      </c>
      <c r="AH284" s="404">
        <f t="shared" si="226"/>
        <v>0</v>
      </c>
      <c r="AI284" s="404">
        <f t="shared" si="226"/>
        <v>0</v>
      </c>
      <c r="AJ284" s="404">
        <f t="shared" si="226"/>
        <v>0</v>
      </c>
      <c r="AK284" s="404">
        <f t="shared" si="226"/>
        <v>0</v>
      </c>
      <c r="AL284" s="404">
        <f t="shared" si="226"/>
        <v>0</v>
      </c>
    </row>
    <row r="285" spans="1:38" s="332" customFormat="1">
      <c r="A285" s="356" t="s">
        <v>1778</v>
      </c>
      <c r="B285" s="356"/>
      <c r="C285" s="355">
        <f>IF(G285&lt;&gt;0,1,)</f>
        <v>0</v>
      </c>
      <c r="D285" s="357"/>
      <c r="E285" s="358" t="s">
        <v>1786</v>
      </c>
      <c r="F285" s="357" t="s">
        <v>1633</v>
      </c>
      <c r="G285" s="357">
        <f>U285</f>
        <v>0</v>
      </c>
      <c r="H285" s="358"/>
      <c r="I285" s="358"/>
      <c r="J285" s="358"/>
      <c r="K285" s="358"/>
      <c r="L285" s="358"/>
      <c r="M285" s="358"/>
      <c r="N285" s="358">
        <f t="shared" ref="N285:S285" si="227">SUM(N287:N288)</f>
        <v>0</v>
      </c>
      <c r="O285" s="358">
        <f t="shared" si="227"/>
        <v>0</v>
      </c>
      <c r="P285" s="358">
        <f t="shared" si="227"/>
        <v>0</v>
      </c>
      <c r="Q285" s="358">
        <f t="shared" si="227"/>
        <v>0</v>
      </c>
      <c r="R285" s="358">
        <f t="shared" si="227"/>
        <v>0</v>
      </c>
      <c r="S285" s="358">
        <f t="shared" si="227"/>
        <v>0</v>
      </c>
      <c r="U285" s="358">
        <f>SUM(V285:AB285)</f>
        <v>0</v>
      </c>
      <c r="V285" s="358">
        <f>IFERROR(HLOOKUP($A285,BK3P,V$3,0),)</f>
        <v>0</v>
      </c>
      <c r="W285" s="358">
        <f>IFERROR(HLOOKUP($A285,BK3P,W$3,0),)</f>
        <v>0</v>
      </c>
      <c r="X285" s="358">
        <f>IFERROR(HLOOKUP($A285,BK3P,X$3,0),)</f>
        <v>0</v>
      </c>
      <c r="Y285" s="358">
        <f>IFERROR(HLOOKUP($A285,BK1P,Y$3,0),)</f>
        <v>0</v>
      </c>
      <c r="Z285" s="358">
        <f>IFERROR(HLOOKUP($A285,BK1P,Z$3,0),)</f>
        <v>0</v>
      </c>
      <c r="AA285" s="358">
        <f>IFERROR(HLOOKUP($A285,BK1P,AA$3,0),)</f>
        <v>0</v>
      </c>
      <c r="AB285" s="358">
        <f>IFERROR(HLOOKUP($A285,BKHT,AB$3,0),)</f>
        <v>0</v>
      </c>
      <c r="AD285" s="332">
        <f t="shared" si="225"/>
        <v>0</v>
      </c>
      <c r="AE285" s="329">
        <f t="shared" ref="AE285:AL291" si="228">U285*$AD285</f>
        <v>0</v>
      </c>
      <c r="AF285" s="329">
        <f t="shared" si="228"/>
        <v>0</v>
      </c>
      <c r="AG285" s="329">
        <f t="shared" si="228"/>
        <v>0</v>
      </c>
      <c r="AH285" s="329">
        <f t="shared" si="228"/>
        <v>0</v>
      </c>
      <c r="AI285" s="329">
        <f t="shared" si="228"/>
        <v>0</v>
      </c>
      <c r="AJ285" s="329">
        <f t="shared" si="228"/>
        <v>0</v>
      </c>
      <c r="AK285" s="329">
        <f t="shared" si="228"/>
        <v>0</v>
      </c>
      <c r="AL285" s="329">
        <f t="shared" si="228"/>
        <v>0</v>
      </c>
    </row>
    <row r="286" spans="1:38" s="361" customFormat="1">
      <c r="A286" s="359"/>
      <c r="B286" s="359"/>
      <c r="C286" s="360">
        <f>C285</f>
        <v>0</v>
      </c>
      <c r="D286" s="350"/>
      <c r="E286" s="351" t="s">
        <v>1644</v>
      </c>
      <c r="F286" s="350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U286" s="351"/>
      <c r="V286" s="351"/>
      <c r="W286" s="351"/>
      <c r="X286" s="351"/>
      <c r="Y286" s="351"/>
      <c r="Z286" s="351"/>
      <c r="AA286" s="351"/>
      <c r="AB286" s="351"/>
      <c r="AD286" s="332">
        <f t="shared" si="225"/>
        <v>0</v>
      </c>
      <c r="AE286" s="329">
        <f t="shared" si="228"/>
        <v>0</v>
      </c>
      <c r="AF286" s="329">
        <f t="shared" si="228"/>
        <v>0</v>
      </c>
      <c r="AG286" s="329">
        <f t="shared" si="228"/>
        <v>0</v>
      </c>
      <c r="AH286" s="329">
        <f t="shared" si="228"/>
        <v>0</v>
      </c>
      <c r="AI286" s="329">
        <f t="shared" si="228"/>
        <v>0</v>
      </c>
      <c r="AJ286" s="329">
        <f t="shared" si="228"/>
        <v>0</v>
      </c>
      <c r="AK286" s="329">
        <f t="shared" si="228"/>
        <v>0</v>
      </c>
      <c r="AL286" s="329">
        <f t="shared" si="228"/>
        <v>0</v>
      </c>
    </row>
    <row r="287" spans="1:38" s="332" customFormat="1">
      <c r="A287" s="356"/>
      <c r="B287" s="356" t="s">
        <v>499</v>
      </c>
      <c r="C287" s="355">
        <f>IF(G287&lt;&gt;0,$C$285,)</f>
        <v>0</v>
      </c>
      <c r="D287" s="341" t="str">
        <f>VLOOKUP(B287,DONGIA,DG!$B$6,0)</f>
        <v>AB.11423</v>
      </c>
      <c r="E287" s="340" t="str">
        <f>VLOOKUP(B287,DONGIA,DG!$C$6,0)</f>
        <v>Đào hố móng đất cấp 3 sâu &gt;1m (rộng ≤1m)</v>
      </c>
      <c r="F287" s="341" t="str">
        <f>VLOOKUP(B287,DONGIA,DG!$D$6,0)</f>
        <v>m3</v>
      </c>
      <c r="G287" s="329"/>
      <c r="H287" s="329"/>
      <c r="I287" s="329"/>
      <c r="J287" s="329">
        <f>VLOOKUP($B287,DONGIA,DG!$F$6,0)</f>
        <v>418738</v>
      </c>
      <c r="K287" s="329"/>
      <c r="L287" s="329">
        <f>VLOOKUP($B287,DONGIA,DG!$G$6,0)</f>
        <v>0</v>
      </c>
      <c r="M287" s="329"/>
      <c r="N287" s="329">
        <f>$G287*H287</f>
        <v>0</v>
      </c>
      <c r="O287" s="329">
        <f t="shared" ref="O287:S288" si="229">$G287*I287</f>
        <v>0</v>
      </c>
      <c r="P287" s="329">
        <f t="shared" si="229"/>
        <v>0</v>
      </c>
      <c r="Q287" s="329">
        <f t="shared" si="229"/>
        <v>0</v>
      </c>
      <c r="R287" s="329">
        <f t="shared" si="229"/>
        <v>0</v>
      </c>
      <c r="S287" s="329">
        <f t="shared" si="229"/>
        <v>0</v>
      </c>
      <c r="U287" s="329">
        <f>U$285*$G287</f>
        <v>0</v>
      </c>
      <c r="V287" s="329">
        <f t="shared" ref="V287:AB288" si="230">V$285*$G287</f>
        <v>0</v>
      </c>
      <c r="W287" s="329">
        <f t="shared" si="230"/>
        <v>0</v>
      </c>
      <c r="X287" s="329">
        <f t="shared" si="230"/>
        <v>0</v>
      </c>
      <c r="Y287" s="329">
        <f t="shared" si="230"/>
        <v>0</v>
      </c>
      <c r="Z287" s="329">
        <f t="shared" si="230"/>
        <v>0</v>
      </c>
      <c r="AA287" s="329">
        <f t="shared" si="230"/>
        <v>0</v>
      </c>
      <c r="AB287" s="329">
        <f t="shared" si="230"/>
        <v>0</v>
      </c>
      <c r="AD287" s="332">
        <f t="shared" si="225"/>
        <v>0</v>
      </c>
      <c r="AE287" s="329">
        <f t="shared" si="228"/>
        <v>0</v>
      </c>
      <c r="AF287" s="329">
        <f t="shared" si="228"/>
        <v>0</v>
      </c>
      <c r="AG287" s="329">
        <f t="shared" si="228"/>
        <v>0</v>
      </c>
      <c r="AH287" s="329">
        <f t="shared" si="228"/>
        <v>0</v>
      </c>
      <c r="AI287" s="329">
        <f t="shared" si="228"/>
        <v>0</v>
      </c>
      <c r="AJ287" s="329">
        <f t="shared" si="228"/>
        <v>0</v>
      </c>
      <c r="AK287" s="329">
        <f t="shared" si="228"/>
        <v>0</v>
      </c>
      <c r="AL287" s="329">
        <f t="shared" si="228"/>
        <v>0</v>
      </c>
    </row>
    <row r="288" spans="1:38" s="332" customFormat="1">
      <c r="A288" s="356"/>
      <c r="B288" s="356" t="s">
        <v>510</v>
      </c>
      <c r="C288" s="355">
        <f>IF(G288&lt;&gt;0,$C$285,)</f>
        <v>0</v>
      </c>
      <c r="D288" s="341" t="str">
        <f>VLOOKUP(B288,DONGIA,DG!$B$6,0)</f>
        <v>AB.65110</v>
      </c>
      <c r="E288" s="340" t="str">
        <f>VLOOKUP(B288,DONGIA,DG!$C$6,0)</f>
        <v>Đắp đất hố móng (K=0,85)</v>
      </c>
      <c r="F288" s="341" t="str">
        <f>VLOOKUP(B288,DONGIA,DG!$D$6,0)</f>
        <v>m3</v>
      </c>
      <c r="G288" s="329"/>
      <c r="H288" s="329"/>
      <c r="I288" s="329"/>
      <c r="J288" s="329">
        <f>VLOOKUP($B288,DONGIA,DG!$F$6,0)</f>
        <v>16267</v>
      </c>
      <c r="K288" s="329"/>
      <c r="L288" s="329">
        <f>VLOOKUP($B288,DONGIA,DG!$G$6,0)</f>
        <v>11176</v>
      </c>
      <c r="M288" s="329"/>
      <c r="N288" s="329">
        <f>$G288*H288</f>
        <v>0</v>
      </c>
      <c r="O288" s="329">
        <f t="shared" si="229"/>
        <v>0</v>
      </c>
      <c r="P288" s="329">
        <f t="shared" si="229"/>
        <v>0</v>
      </c>
      <c r="Q288" s="329">
        <f t="shared" si="229"/>
        <v>0</v>
      </c>
      <c r="R288" s="329">
        <f t="shared" si="229"/>
        <v>0</v>
      </c>
      <c r="S288" s="329">
        <f t="shared" si="229"/>
        <v>0</v>
      </c>
      <c r="U288" s="329">
        <f>U$285*$G288</f>
        <v>0</v>
      </c>
      <c r="V288" s="329">
        <f t="shared" si="230"/>
        <v>0</v>
      </c>
      <c r="W288" s="329">
        <f t="shared" si="230"/>
        <v>0</v>
      </c>
      <c r="X288" s="329">
        <f t="shared" si="230"/>
        <v>0</v>
      </c>
      <c r="Y288" s="329">
        <f t="shared" si="230"/>
        <v>0</v>
      </c>
      <c r="Z288" s="329">
        <f t="shared" si="230"/>
        <v>0</v>
      </c>
      <c r="AA288" s="329">
        <f t="shared" si="230"/>
        <v>0</v>
      </c>
      <c r="AB288" s="329">
        <f t="shared" si="230"/>
        <v>0</v>
      </c>
      <c r="AD288" s="332">
        <f t="shared" si="225"/>
        <v>0</v>
      </c>
      <c r="AE288" s="329">
        <f t="shared" si="228"/>
        <v>0</v>
      </c>
      <c r="AF288" s="329">
        <f t="shared" si="228"/>
        <v>0</v>
      </c>
      <c r="AG288" s="329">
        <f t="shared" si="228"/>
        <v>0</v>
      </c>
      <c r="AH288" s="329">
        <f t="shared" si="228"/>
        <v>0</v>
      </c>
      <c r="AI288" s="329">
        <f t="shared" si="228"/>
        <v>0</v>
      </c>
      <c r="AJ288" s="329">
        <f t="shared" si="228"/>
        <v>0</v>
      </c>
      <c r="AK288" s="329">
        <f t="shared" si="228"/>
        <v>0</v>
      </c>
      <c r="AL288" s="329">
        <f t="shared" si="228"/>
        <v>0</v>
      </c>
    </row>
    <row r="289" spans="1:38">
      <c r="A289" s="618" t="s">
        <v>1788</v>
      </c>
      <c r="B289" s="618"/>
      <c r="C289" s="619">
        <f>IF(G289&lt;&gt;0,1,)</f>
        <v>1</v>
      </c>
      <c r="D289" s="622"/>
      <c r="E289" s="733" t="s">
        <v>1789</v>
      </c>
      <c r="F289" s="622" t="s">
        <v>138</v>
      </c>
      <c r="G289" s="622">
        <f>U289</f>
        <v>97</v>
      </c>
      <c r="H289" s="623"/>
      <c r="I289" s="623"/>
      <c r="J289" s="623"/>
      <c r="K289" s="623"/>
      <c r="L289" s="623"/>
      <c r="M289" s="623"/>
      <c r="N289" s="623">
        <f t="shared" ref="N289:S289" si="231">SUM(N291:N298)</f>
        <v>864754.88</v>
      </c>
      <c r="O289" s="623">
        <f t="shared" si="231"/>
        <v>0</v>
      </c>
      <c r="P289" s="623">
        <f t="shared" si="231"/>
        <v>90246.45</v>
      </c>
      <c r="Q289" s="623">
        <f t="shared" si="231"/>
        <v>159510.32</v>
      </c>
      <c r="R289" s="623">
        <f t="shared" si="231"/>
        <v>3911.6</v>
      </c>
      <c r="S289" s="623">
        <f t="shared" si="231"/>
        <v>0</v>
      </c>
      <c r="U289" s="623">
        <f>SUM(V289:AB289)</f>
        <v>97</v>
      </c>
      <c r="V289" s="623">
        <f>IFERROR(HLOOKUP($A289,BK3P,V$3,0),)</f>
        <v>0</v>
      </c>
      <c r="W289" s="623">
        <f>IFERROR(HLOOKUP($A289,BK3P,W$3,0),)</f>
        <v>0</v>
      </c>
      <c r="X289" s="623">
        <f>IFERROR(HLOOKUP($A289,BK3P,X$3,0),)</f>
        <v>0</v>
      </c>
      <c r="Y289" s="623">
        <f>IFERROR(HLOOKUP($A289,BK1P,Y$3,0),)</f>
        <v>0</v>
      </c>
      <c r="Z289" s="623">
        <f>IFERROR(HLOOKUP($A289,BK1P,Z$3,0),)</f>
        <v>0</v>
      </c>
      <c r="AA289" s="623">
        <f>IFERROR(HLOOKUP($A289,BK1P,AA$3,0),)</f>
        <v>0</v>
      </c>
      <c r="AB289" s="623">
        <f>IFERROR(HLOOKUP($A289,BKHT,AB$3,0),)</f>
        <v>97</v>
      </c>
      <c r="AD289" s="405">
        <f t="shared" si="225"/>
        <v>0</v>
      </c>
      <c r="AE289" s="525">
        <f t="shared" si="228"/>
        <v>0</v>
      </c>
      <c r="AF289" s="525">
        <f t="shared" si="228"/>
        <v>0</v>
      </c>
      <c r="AG289" s="525">
        <f t="shared" si="228"/>
        <v>0</v>
      </c>
      <c r="AH289" s="525">
        <f t="shared" si="228"/>
        <v>0</v>
      </c>
      <c r="AI289" s="525">
        <f t="shared" si="228"/>
        <v>0</v>
      </c>
      <c r="AJ289" s="525">
        <f t="shared" si="228"/>
        <v>0</v>
      </c>
      <c r="AK289" s="525">
        <f t="shared" si="228"/>
        <v>0</v>
      </c>
      <c r="AL289" s="525">
        <f t="shared" si="228"/>
        <v>0</v>
      </c>
    </row>
    <row r="290" spans="1:38" s="542" customFormat="1">
      <c r="A290" s="624"/>
      <c r="B290" s="624"/>
      <c r="C290" s="625">
        <f>C289</f>
        <v>1</v>
      </c>
      <c r="D290" s="544"/>
      <c r="E290" s="734" t="s">
        <v>1659</v>
      </c>
      <c r="F290" s="544"/>
      <c r="G290" s="545"/>
      <c r="H290" s="545"/>
      <c r="I290" s="545"/>
      <c r="J290" s="545"/>
      <c r="K290" s="545"/>
      <c r="L290" s="545"/>
      <c r="M290" s="545"/>
      <c r="N290" s="545"/>
      <c r="O290" s="545"/>
      <c r="P290" s="545"/>
      <c r="Q290" s="545"/>
      <c r="R290" s="545"/>
      <c r="S290" s="545"/>
      <c r="U290" s="545"/>
      <c r="V290" s="545"/>
      <c r="W290" s="545"/>
      <c r="X290" s="545"/>
      <c r="Y290" s="545"/>
      <c r="Z290" s="545"/>
      <c r="AA290" s="545"/>
      <c r="AB290" s="545"/>
      <c r="AD290" s="405">
        <f t="shared" si="225"/>
        <v>0</v>
      </c>
      <c r="AE290" s="525">
        <f t="shared" si="228"/>
        <v>0</v>
      </c>
      <c r="AF290" s="525">
        <f t="shared" si="228"/>
        <v>0</v>
      </c>
      <c r="AG290" s="525">
        <f t="shared" si="228"/>
        <v>0</v>
      </c>
      <c r="AH290" s="525">
        <f t="shared" si="228"/>
        <v>0</v>
      </c>
      <c r="AI290" s="525">
        <f t="shared" si="228"/>
        <v>0</v>
      </c>
      <c r="AJ290" s="525">
        <f t="shared" si="228"/>
        <v>0</v>
      </c>
      <c r="AK290" s="525">
        <f t="shared" si="228"/>
        <v>0</v>
      </c>
      <c r="AL290" s="525">
        <f t="shared" si="228"/>
        <v>0</v>
      </c>
    </row>
    <row r="291" spans="1:38">
      <c r="A291" s="618"/>
      <c r="B291" s="618" t="s">
        <v>1658</v>
      </c>
      <c r="C291" s="619">
        <f>IF(G291&lt;&gt;0,$C$289,)</f>
        <v>1</v>
      </c>
      <c r="D291" s="523">
        <f>VLOOKUP(B291,DONGIA,DG!$B$6,0)</f>
        <v>0</v>
      </c>
      <c r="E291" s="666" t="str">
        <f>VLOOKUP(B291,DONGIA,DG!$C$6,0)&amp;" (11,5m/bộ)"</f>
        <v>Cáp đồng trần M25mm2 (11,5m/bộ)</v>
      </c>
      <c r="F291" s="523" t="str">
        <f>VLOOKUP(B291,DONGIA,DG!$D$6,0)</f>
        <v>kg</v>
      </c>
      <c r="G291" s="626">
        <f>ROUND((8.5+3)*0.224,3)</f>
        <v>2.5760000000000001</v>
      </c>
      <c r="H291" s="525">
        <f>VLOOKUP($B291,DONGIA,DG!$E$6,0)</f>
        <v>201380</v>
      </c>
      <c r="I291" s="525"/>
      <c r="J291" s="525"/>
      <c r="K291" s="525">
        <f>VLOOKUP($B291,DONGIA,DG!$F$6,0)</f>
        <v>0</v>
      </c>
      <c r="L291" s="525"/>
      <c r="M291" s="525">
        <f>VLOOKUP($B291,DONGIA,DG!$G$6,0)</f>
        <v>0</v>
      </c>
      <c r="N291" s="525">
        <f>$G291*H291</f>
        <v>518754.88</v>
      </c>
      <c r="O291" s="525">
        <f t="shared" ref="O291:S298" si="232">$G291*I291</f>
        <v>0</v>
      </c>
      <c r="P291" s="525">
        <f t="shared" si="232"/>
        <v>0</v>
      </c>
      <c r="Q291" s="525">
        <f t="shared" si="232"/>
        <v>0</v>
      </c>
      <c r="R291" s="525">
        <f t="shared" si="232"/>
        <v>0</v>
      </c>
      <c r="S291" s="525">
        <f t="shared" si="232"/>
        <v>0</v>
      </c>
      <c r="U291" s="525">
        <f>U$289*$G291</f>
        <v>249.87200000000001</v>
      </c>
      <c r="V291" s="525">
        <f t="shared" ref="V291:AB291" si="233">V$289*$G291</f>
        <v>0</v>
      </c>
      <c r="W291" s="525">
        <f t="shared" si="233"/>
        <v>0</v>
      </c>
      <c r="X291" s="525">
        <f t="shared" si="233"/>
        <v>0</v>
      </c>
      <c r="Y291" s="525">
        <f t="shared" si="233"/>
        <v>0</v>
      </c>
      <c r="Z291" s="525">
        <f t="shared" si="233"/>
        <v>0</v>
      </c>
      <c r="AA291" s="525">
        <f t="shared" si="233"/>
        <v>0</v>
      </c>
      <c r="AB291" s="525">
        <f t="shared" si="233"/>
        <v>249.87200000000001</v>
      </c>
      <c r="AD291" s="405">
        <f t="shared" si="225"/>
        <v>1</v>
      </c>
      <c r="AE291" s="525">
        <f t="shared" si="228"/>
        <v>249.87200000000001</v>
      </c>
      <c r="AF291" s="525">
        <f t="shared" si="228"/>
        <v>0</v>
      </c>
      <c r="AG291" s="525">
        <f t="shared" si="228"/>
        <v>0</v>
      </c>
      <c r="AH291" s="525">
        <f t="shared" si="228"/>
        <v>0</v>
      </c>
      <c r="AI291" s="525">
        <f t="shared" si="228"/>
        <v>0</v>
      </c>
      <c r="AJ291" s="525">
        <f t="shared" si="228"/>
        <v>0</v>
      </c>
      <c r="AK291" s="525">
        <f t="shared" si="228"/>
        <v>0</v>
      </c>
      <c r="AL291" s="525">
        <f t="shared" si="228"/>
        <v>249.87200000000001</v>
      </c>
    </row>
    <row r="292" spans="1:38">
      <c r="A292" s="618"/>
      <c r="B292" s="618" t="s">
        <v>278</v>
      </c>
      <c r="C292" s="619">
        <f t="shared" ref="C292:C298" si="234">IF(G292&lt;&gt;0,$C$289,)</f>
        <v>1</v>
      </c>
      <c r="D292" s="523">
        <f>VLOOKUP(B292,DONGIA,DG!$B$6,0)</f>
        <v>0</v>
      </c>
      <c r="E292" s="666" t="str">
        <f>VLOOKUP(B292,DONGIA,DG!$C$6,0)</f>
        <v>Cọc tiếp đất φ16 - 2,4m (mạ đồng 16µm)</v>
      </c>
      <c r="F292" s="523" t="str">
        <f>VLOOKUP(B292,DONGIA,DG!$D$6,0)</f>
        <v>cọc</v>
      </c>
      <c r="G292" s="525">
        <v>2</v>
      </c>
      <c r="H292" s="525">
        <f>VLOOKUP($B292,DONGIA,DG!$E$6,0)</f>
        <v>130000</v>
      </c>
      <c r="I292" s="525"/>
      <c r="J292" s="525"/>
      <c r="K292" s="525">
        <f>VLOOKUP($B292,DONGIA,DG!$F$6,0)</f>
        <v>0</v>
      </c>
      <c r="L292" s="525"/>
      <c r="M292" s="525">
        <f>VLOOKUP($B292,DONGIA,DG!$G$6,0)</f>
        <v>0</v>
      </c>
      <c r="N292" s="525">
        <f t="shared" ref="N292:N298" si="235">$G292*H292</f>
        <v>260000</v>
      </c>
      <c r="O292" s="525">
        <f t="shared" si="232"/>
        <v>0</v>
      </c>
      <c r="P292" s="525">
        <f t="shared" si="232"/>
        <v>0</v>
      </c>
      <c r="Q292" s="525">
        <f t="shared" si="232"/>
        <v>0</v>
      </c>
      <c r="R292" s="525">
        <f t="shared" si="232"/>
        <v>0</v>
      </c>
      <c r="S292" s="525">
        <f t="shared" si="232"/>
        <v>0</v>
      </c>
      <c r="U292" s="525">
        <f t="shared" ref="U292:AB297" si="236">U$289*$G292</f>
        <v>194</v>
      </c>
      <c r="V292" s="525">
        <f t="shared" si="236"/>
        <v>0</v>
      </c>
      <c r="W292" s="525">
        <f t="shared" si="236"/>
        <v>0</v>
      </c>
      <c r="X292" s="525">
        <f t="shared" si="236"/>
        <v>0</v>
      </c>
      <c r="Y292" s="525">
        <f t="shared" si="236"/>
        <v>0</v>
      </c>
      <c r="Z292" s="525">
        <f t="shared" si="236"/>
        <v>0</v>
      </c>
      <c r="AA292" s="525">
        <f t="shared" si="236"/>
        <v>0</v>
      </c>
      <c r="AB292" s="525">
        <f t="shared" si="236"/>
        <v>194</v>
      </c>
      <c r="AD292" s="405">
        <f t="shared" ref="AD292:AD392" si="237">IFERROR(VLOOKUP(B292,DONGIA,$AD$3,0),0)</f>
        <v>5.3</v>
      </c>
      <c r="AE292" s="525">
        <f t="shared" ref="AE292:AE392" si="238">U292*$AD292</f>
        <v>1028.2</v>
      </c>
      <c r="AF292" s="525">
        <f t="shared" ref="AF292:AH392" si="239">V292*$AD292</f>
        <v>0</v>
      </c>
      <c r="AG292" s="525">
        <f t="shared" si="239"/>
        <v>0</v>
      </c>
      <c r="AH292" s="525">
        <f t="shared" si="239"/>
        <v>0</v>
      </c>
      <c r="AI292" s="525">
        <f t="shared" ref="AI292:AK392" si="240">Y292*$AD292</f>
        <v>0</v>
      </c>
      <c r="AJ292" s="525">
        <f t="shared" si="240"/>
        <v>0</v>
      </c>
      <c r="AK292" s="525">
        <f t="shared" si="240"/>
        <v>0</v>
      </c>
      <c r="AL292" s="525">
        <f>AB292*$AD292</f>
        <v>1028.2</v>
      </c>
    </row>
    <row r="293" spans="1:38">
      <c r="A293" s="618"/>
      <c r="B293" s="618" t="s">
        <v>280</v>
      </c>
      <c r="C293" s="619">
        <f t="shared" si="234"/>
        <v>1</v>
      </c>
      <c r="D293" s="523">
        <f>VLOOKUP(B293,DONGIA,DG!$B$6,0)</f>
        <v>0</v>
      </c>
      <c r="E293" s="666" t="str">
        <f>VLOOKUP(B293,DONGIA,DG!$C$6,0)</f>
        <v>Kẹp cọc tiếp địa</v>
      </c>
      <c r="F293" s="523" t="str">
        <f>VLOOKUP(B293,DONGIA,DG!$D$6,0)</f>
        <v>bộ</v>
      </c>
      <c r="G293" s="525">
        <f>G292</f>
        <v>2</v>
      </c>
      <c r="H293" s="525">
        <f>VLOOKUP($B293,DONGIA,DG!$E$6,0)</f>
        <v>25000</v>
      </c>
      <c r="I293" s="525"/>
      <c r="J293" s="525"/>
      <c r="K293" s="525">
        <f>VLOOKUP($B293,DONGIA,DG!$F$6,0)</f>
        <v>0</v>
      </c>
      <c r="L293" s="525"/>
      <c r="M293" s="525">
        <f>VLOOKUP($B293,DONGIA,DG!$G$6,0)</f>
        <v>0</v>
      </c>
      <c r="N293" s="525">
        <f t="shared" si="235"/>
        <v>50000</v>
      </c>
      <c r="O293" s="525">
        <f t="shared" si="232"/>
        <v>0</v>
      </c>
      <c r="P293" s="525">
        <f t="shared" si="232"/>
        <v>0</v>
      </c>
      <c r="Q293" s="525">
        <f t="shared" si="232"/>
        <v>0</v>
      </c>
      <c r="R293" s="525">
        <f t="shared" si="232"/>
        <v>0</v>
      </c>
      <c r="S293" s="525">
        <f t="shared" si="232"/>
        <v>0</v>
      </c>
      <c r="U293" s="525">
        <f t="shared" si="236"/>
        <v>194</v>
      </c>
      <c r="V293" s="525">
        <f t="shared" si="236"/>
        <v>0</v>
      </c>
      <c r="W293" s="525">
        <f t="shared" si="236"/>
        <v>0</v>
      </c>
      <c r="X293" s="525">
        <f t="shared" si="236"/>
        <v>0</v>
      </c>
      <c r="Y293" s="525">
        <f t="shared" si="236"/>
        <v>0</v>
      </c>
      <c r="Z293" s="525">
        <f t="shared" si="236"/>
        <v>0</v>
      </c>
      <c r="AA293" s="525">
        <f t="shared" si="236"/>
        <v>0</v>
      </c>
      <c r="AB293" s="525">
        <f t="shared" si="236"/>
        <v>194</v>
      </c>
      <c r="AD293" s="405">
        <f t="shared" si="237"/>
        <v>0.05</v>
      </c>
      <c r="AE293" s="525">
        <f t="shared" si="238"/>
        <v>9.7000000000000011</v>
      </c>
      <c r="AF293" s="525">
        <f t="shared" si="239"/>
        <v>0</v>
      </c>
      <c r="AG293" s="525">
        <f t="shared" si="239"/>
        <v>0</v>
      </c>
      <c r="AH293" s="525">
        <f t="shared" si="239"/>
        <v>0</v>
      </c>
      <c r="AI293" s="525">
        <f t="shared" si="240"/>
        <v>0</v>
      </c>
      <c r="AJ293" s="525">
        <f t="shared" si="240"/>
        <v>0</v>
      </c>
      <c r="AK293" s="525">
        <f t="shared" si="240"/>
        <v>0</v>
      </c>
      <c r="AL293" s="525">
        <f t="shared" ref="AL293:AL393" si="241">AB293*$AD293</f>
        <v>9.7000000000000011</v>
      </c>
    </row>
    <row r="294" spans="1:38">
      <c r="A294" s="618"/>
      <c r="B294" s="618" t="s">
        <v>1217</v>
      </c>
      <c r="C294" s="619">
        <f t="shared" si="234"/>
        <v>1</v>
      </c>
      <c r="D294" s="523">
        <f>VLOOKUP(B294,DONGIA,DG!$B$6,0)</f>
        <v>0</v>
      </c>
      <c r="E294" s="666" t="str">
        <f>VLOOKUP(B294,DONGIA,DG!$C$6,0)</f>
        <v xml:space="preserve">Ốc xiết cáp cỡ 38mm2 </v>
      </c>
      <c r="F294" s="523" t="str">
        <f>VLOOKUP(B294,DONGIA,DG!$D$6,0)</f>
        <v>cái</v>
      </c>
      <c r="G294" s="525">
        <v>2</v>
      </c>
      <c r="H294" s="525">
        <f>VLOOKUP($B294,DONGIA,DG!$E$6,0)</f>
        <v>18000</v>
      </c>
      <c r="I294" s="525"/>
      <c r="J294" s="525"/>
      <c r="K294" s="525">
        <f>VLOOKUP($B294,DONGIA,DG!$F$6,0)</f>
        <v>0</v>
      </c>
      <c r="L294" s="525"/>
      <c r="M294" s="525">
        <f>VLOOKUP($B294,DONGIA,DG!$G$6,0)</f>
        <v>0</v>
      </c>
      <c r="N294" s="525">
        <f t="shared" si="235"/>
        <v>36000</v>
      </c>
      <c r="O294" s="525">
        <f t="shared" si="232"/>
        <v>0</v>
      </c>
      <c r="P294" s="525">
        <f t="shared" si="232"/>
        <v>0</v>
      </c>
      <c r="Q294" s="525">
        <f t="shared" si="232"/>
        <v>0</v>
      </c>
      <c r="R294" s="525">
        <f t="shared" si="232"/>
        <v>0</v>
      </c>
      <c r="S294" s="525">
        <f t="shared" si="232"/>
        <v>0</v>
      </c>
      <c r="U294" s="525">
        <f>U$310*$G294</f>
        <v>54</v>
      </c>
      <c r="V294" s="525">
        <f t="shared" si="236"/>
        <v>0</v>
      </c>
      <c r="W294" s="525">
        <f t="shared" si="236"/>
        <v>0</v>
      </c>
      <c r="X294" s="525">
        <f t="shared" si="236"/>
        <v>0</v>
      </c>
      <c r="Y294" s="525">
        <f t="shared" si="236"/>
        <v>0</v>
      </c>
      <c r="Z294" s="525">
        <f t="shared" si="236"/>
        <v>0</v>
      </c>
      <c r="AA294" s="525">
        <f t="shared" si="236"/>
        <v>0</v>
      </c>
      <c r="AB294" s="525">
        <f t="shared" si="236"/>
        <v>194</v>
      </c>
      <c r="AD294" s="405">
        <f t="shared" si="237"/>
        <v>0</v>
      </c>
      <c r="AE294" s="525">
        <f t="shared" si="238"/>
        <v>0</v>
      </c>
      <c r="AF294" s="525">
        <f t="shared" si="239"/>
        <v>0</v>
      </c>
      <c r="AG294" s="525">
        <f t="shared" si="239"/>
        <v>0</v>
      </c>
      <c r="AH294" s="525">
        <f t="shared" si="239"/>
        <v>0</v>
      </c>
      <c r="AI294" s="525">
        <f t="shared" si="240"/>
        <v>0</v>
      </c>
      <c r="AJ294" s="525">
        <f t="shared" si="240"/>
        <v>0</v>
      </c>
      <c r="AK294" s="525">
        <f t="shared" si="240"/>
        <v>0</v>
      </c>
      <c r="AL294" s="525">
        <f t="shared" si="241"/>
        <v>0</v>
      </c>
    </row>
    <row r="295" spans="1:38">
      <c r="A295" s="618"/>
      <c r="B295" s="618" t="s">
        <v>540</v>
      </c>
      <c r="C295" s="619">
        <f t="shared" si="234"/>
        <v>1</v>
      </c>
      <c r="D295" s="523" t="str">
        <f>VLOOKUP(B295,DONGIA,DG!$B$6,0)</f>
        <v>AB.11513</v>
      </c>
      <c r="E295" s="666" t="str">
        <f>VLOOKUP(B295,DONGIA,DG!$C$6,0)</f>
        <v>Đào rãnh tiếp địa đất cấp 3</v>
      </c>
      <c r="F295" s="523" t="str">
        <f>VLOOKUP(B295,DONGIA,DG!$D$6,0)</f>
        <v>m3</v>
      </c>
      <c r="G295" s="626">
        <v>0.35</v>
      </c>
      <c r="H295" s="525"/>
      <c r="I295" s="525"/>
      <c r="J295" s="525">
        <f>VLOOKUP($B295,DONGIA,DG!$F$6,0)</f>
        <v>241580</v>
      </c>
      <c r="K295" s="525"/>
      <c r="L295" s="525">
        <f>VLOOKUP($B295,DONGIA,DG!$G$6,0)</f>
        <v>0</v>
      </c>
      <c r="M295" s="525"/>
      <c r="N295" s="525">
        <f t="shared" si="235"/>
        <v>0</v>
      </c>
      <c r="O295" s="525">
        <f t="shared" si="232"/>
        <v>0</v>
      </c>
      <c r="P295" s="525">
        <f t="shared" si="232"/>
        <v>84553</v>
      </c>
      <c r="Q295" s="525">
        <f t="shared" si="232"/>
        <v>0</v>
      </c>
      <c r="R295" s="525">
        <f t="shared" si="232"/>
        <v>0</v>
      </c>
      <c r="S295" s="525">
        <f t="shared" si="232"/>
        <v>0</v>
      </c>
      <c r="U295" s="525">
        <f>U$310*$G295</f>
        <v>9.4499999999999993</v>
      </c>
      <c r="V295" s="525">
        <f t="shared" si="236"/>
        <v>0</v>
      </c>
      <c r="W295" s="525">
        <f t="shared" si="236"/>
        <v>0</v>
      </c>
      <c r="X295" s="525">
        <f t="shared" si="236"/>
        <v>0</v>
      </c>
      <c r="Y295" s="525">
        <f t="shared" si="236"/>
        <v>0</v>
      </c>
      <c r="Z295" s="525">
        <f t="shared" si="236"/>
        <v>0</v>
      </c>
      <c r="AA295" s="525">
        <f t="shared" si="236"/>
        <v>0</v>
      </c>
      <c r="AB295" s="525">
        <f t="shared" si="236"/>
        <v>33.949999999999996</v>
      </c>
      <c r="AD295" s="405">
        <f t="shared" si="237"/>
        <v>0</v>
      </c>
      <c r="AE295" s="525">
        <f t="shared" si="238"/>
        <v>0</v>
      </c>
      <c r="AF295" s="525">
        <f t="shared" si="239"/>
        <v>0</v>
      </c>
      <c r="AG295" s="525">
        <f t="shared" si="239"/>
        <v>0</v>
      </c>
      <c r="AH295" s="525">
        <f t="shared" si="239"/>
        <v>0</v>
      </c>
      <c r="AI295" s="525">
        <f t="shared" si="240"/>
        <v>0</v>
      </c>
      <c r="AJ295" s="525">
        <f t="shared" si="240"/>
        <v>0</v>
      </c>
      <c r="AK295" s="525">
        <f t="shared" si="240"/>
        <v>0</v>
      </c>
      <c r="AL295" s="525">
        <f t="shared" si="241"/>
        <v>0</v>
      </c>
    </row>
    <row r="296" spans="1:38">
      <c r="A296" s="618"/>
      <c r="B296" s="618" t="s">
        <v>547</v>
      </c>
      <c r="C296" s="619">
        <f t="shared" si="234"/>
        <v>1</v>
      </c>
      <c r="D296" s="523" t="str">
        <f>VLOOKUP(B296,DONGIA,DG!$B$6,0)</f>
        <v>AB.65110</v>
      </c>
      <c r="E296" s="666" t="str">
        <f>VLOOKUP(B296,DONGIA,DG!$C$6,0)</f>
        <v>Đắp đất rãnh tiếp địa (K=0,85)</v>
      </c>
      <c r="F296" s="523" t="str">
        <f>VLOOKUP(B296,DONGIA,DG!$D$6,0)</f>
        <v>m3</v>
      </c>
      <c r="G296" s="626">
        <f>G295</f>
        <v>0.35</v>
      </c>
      <c r="H296" s="525"/>
      <c r="I296" s="525"/>
      <c r="J296" s="525">
        <f>VLOOKUP($B296,DONGIA,DG!$F$6,0)</f>
        <v>16267</v>
      </c>
      <c r="K296" s="525"/>
      <c r="L296" s="525">
        <f>VLOOKUP($B296,DONGIA,DG!$G$6,0)</f>
        <v>11176</v>
      </c>
      <c r="M296" s="525"/>
      <c r="N296" s="525">
        <f t="shared" si="235"/>
        <v>0</v>
      </c>
      <c r="O296" s="525">
        <f t="shared" si="232"/>
        <v>0</v>
      </c>
      <c r="P296" s="525">
        <f t="shared" si="232"/>
        <v>5693.45</v>
      </c>
      <c r="Q296" s="525">
        <f t="shared" si="232"/>
        <v>0</v>
      </c>
      <c r="R296" s="525">
        <f t="shared" si="232"/>
        <v>3911.6</v>
      </c>
      <c r="S296" s="525">
        <f t="shared" si="232"/>
        <v>0</v>
      </c>
      <c r="U296" s="525">
        <f>U$310*$G296</f>
        <v>9.4499999999999993</v>
      </c>
      <c r="V296" s="525">
        <f t="shared" si="236"/>
        <v>0</v>
      </c>
      <c r="W296" s="525">
        <f t="shared" si="236"/>
        <v>0</v>
      </c>
      <c r="X296" s="525">
        <f t="shared" si="236"/>
        <v>0</v>
      </c>
      <c r="Y296" s="525">
        <f t="shared" si="236"/>
        <v>0</v>
      </c>
      <c r="Z296" s="525">
        <f t="shared" si="236"/>
        <v>0</v>
      </c>
      <c r="AA296" s="525">
        <f t="shared" si="236"/>
        <v>0</v>
      </c>
      <c r="AB296" s="525">
        <f t="shared" si="236"/>
        <v>33.949999999999996</v>
      </c>
      <c r="AD296" s="405">
        <f t="shared" si="237"/>
        <v>0</v>
      </c>
      <c r="AE296" s="525">
        <f t="shared" si="238"/>
        <v>0</v>
      </c>
      <c r="AF296" s="525">
        <f t="shared" si="239"/>
        <v>0</v>
      </c>
      <c r="AG296" s="525">
        <f t="shared" si="239"/>
        <v>0</v>
      </c>
      <c r="AH296" s="525">
        <f t="shared" si="239"/>
        <v>0</v>
      </c>
      <c r="AI296" s="525">
        <f t="shared" si="240"/>
        <v>0</v>
      </c>
      <c r="AJ296" s="525">
        <f t="shared" si="240"/>
        <v>0</v>
      </c>
      <c r="AK296" s="525">
        <f t="shared" si="240"/>
        <v>0</v>
      </c>
      <c r="AL296" s="525">
        <f t="shared" si="241"/>
        <v>0</v>
      </c>
    </row>
    <row r="297" spans="1:38">
      <c r="A297" s="618"/>
      <c r="B297" s="618" t="s">
        <v>570</v>
      </c>
      <c r="C297" s="619">
        <f t="shared" si="234"/>
        <v>1</v>
      </c>
      <c r="D297" s="523" t="str">
        <f>VLOOKUP(B297,DONGIA,DG!$B$6,0)</f>
        <v>D2.7001</v>
      </c>
      <c r="E297" s="666" t="str">
        <f>VLOOKUP(B297,DONGIA,DG!$C$6,0)</f>
        <v xml:space="preserve">Kéo dây tiếp địa </v>
      </c>
      <c r="F297" s="523" t="str">
        <f>VLOOKUP(B297,DONGIA,DG!$D$6,0)</f>
        <v>kg</v>
      </c>
      <c r="G297" s="626">
        <f>G291</f>
        <v>2.5760000000000001</v>
      </c>
      <c r="H297" s="525"/>
      <c r="I297" s="525"/>
      <c r="J297" s="525"/>
      <c r="K297" s="525">
        <f>VLOOKUP($B297,DONGIA,DG!$F$6,0)</f>
        <v>2195</v>
      </c>
      <c r="L297" s="525"/>
      <c r="M297" s="525">
        <f>VLOOKUP($B297,DONGIA,DG!$G$6,0)</f>
        <v>0</v>
      </c>
      <c r="N297" s="525">
        <f t="shared" si="235"/>
        <v>0</v>
      </c>
      <c r="O297" s="525">
        <f t="shared" si="232"/>
        <v>0</v>
      </c>
      <c r="P297" s="525">
        <f t="shared" si="232"/>
        <v>0</v>
      </c>
      <c r="Q297" s="525">
        <f t="shared" si="232"/>
        <v>5654.32</v>
      </c>
      <c r="R297" s="525">
        <f t="shared" si="232"/>
        <v>0</v>
      </c>
      <c r="S297" s="525">
        <f t="shared" si="232"/>
        <v>0</v>
      </c>
      <c r="U297" s="525">
        <f t="shared" si="236"/>
        <v>249.87200000000001</v>
      </c>
      <c r="V297" s="525">
        <f t="shared" si="236"/>
        <v>0</v>
      </c>
      <c r="W297" s="525">
        <f t="shared" si="236"/>
        <v>0</v>
      </c>
      <c r="X297" s="525">
        <f t="shared" si="236"/>
        <v>0</v>
      </c>
      <c r="Y297" s="525">
        <f t="shared" si="236"/>
        <v>0</v>
      </c>
      <c r="Z297" s="525">
        <f t="shared" si="236"/>
        <v>0</v>
      </c>
      <c r="AA297" s="525">
        <f t="shared" si="236"/>
        <v>0</v>
      </c>
      <c r="AB297" s="525">
        <f t="shared" si="236"/>
        <v>249.87200000000001</v>
      </c>
      <c r="AD297" s="405">
        <f t="shared" si="237"/>
        <v>0</v>
      </c>
      <c r="AE297" s="525">
        <f t="shared" si="238"/>
        <v>0</v>
      </c>
      <c r="AF297" s="525">
        <f t="shared" si="239"/>
        <v>0</v>
      </c>
      <c r="AG297" s="525">
        <f t="shared" si="239"/>
        <v>0</v>
      </c>
      <c r="AH297" s="525">
        <f t="shared" si="239"/>
        <v>0</v>
      </c>
      <c r="AI297" s="525">
        <f t="shared" si="240"/>
        <v>0</v>
      </c>
      <c r="AJ297" s="525">
        <f t="shared" si="240"/>
        <v>0</v>
      </c>
      <c r="AK297" s="525">
        <f t="shared" si="240"/>
        <v>0</v>
      </c>
      <c r="AL297" s="525">
        <f t="shared" si="241"/>
        <v>0</v>
      </c>
    </row>
    <row r="298" spans="1:38">
      <c r="A298" s="618"/>
      <c r="B298" s="618" t="s">
        <v>575</v>
      </c>
      <c r="C298" s="619">
        <f t="shared" si="234"/>
        <v>1</v>
      </c>
      <c r="D298" s="523" t="str">
        <f>VLOOKUP(B298,DONGIA,DG!$B$6,0)</f>
        <v>D2.8103</v>
      </c>
      <c r="E298" s="666" t="str">
        <f>VLOOKUP(B298,DONGIA,DG!$C$6,0)</f>
        <v>Đóng cọc tiếp địa đất cấp 3</v>
      </c>
      <c r="F298" s="523" t="str">
        <f>VLOOKUP(B298,DONGIA,DG!$D$6,0)</f>
        <v>cọc</v>
      </c>
      <c r="G298" s="525">
        <f>G292</f>
        <v>2</v>
      </c>
      <c r="H298" s="525"/>
      <c r="I298" s="525"/>
      <c r="J298" s="525"/>
      <c r="K298" s="525">
        <f>VLOOKUP($B298,DONGIA,DG!$F$6,0)</f>
        <v>76928</v>
      </c>
      <c r="L298" s="525"/>
      <c r="M298" s="525">
        <f>VLOOKUP($B298,DONGIA,DG!$G$6,0)</f>
        <v>0</v>
      </c>
      <c r="N298" s="525">
        <f t="shared" si="235"/>
        <v>0</v>
      </c>
      <c r="O298" s="525">
        <f t="shared" si="232"/>
        <v>0</v>
      </c>
      <c r="P298" s="525">
        <f t="shared" si="232"/>
        <v>0</v>
      </c>
      <c r="Q298" s="525">
        <f t="shared" si="232"/>
        <v>153856</v>
      </c>
      <c r="R298" s="525">
        <f t="shared" si="232"/>
        <v>0</v>
      </c>
      <c r="S298" s="525">
        <f t="shared" si="232"/>
        <v>0</v>
      </c>
      <c r="U298" s="525"/>
      <c r="V298" s="525"/>
      <c r="W298" s="525"/>
      <c r="X298" s="525"/>
      <c r="Y298" s="525"/>
      <c r="Z298" s="525"/>
      <c r="AA298" s="525"/>
      <c r="AB298" s="525"/>
      <c r="AD298" s="405">
        <f t="shared" si="237"/>
        <v>0</v>
      </c>
      <c r="AE298" s="525">
        <f t="shared" si="238"/>
        <v>0</v>
      </c>
      <c r="AF298" s="525">
        <f t="shared" si="239"/>
        <v>0</v>
      </c>
      <c r="AG298" s="525">
        <f t="shared" si="239"/>
        <v>0</v>
      </c>
      <c r="AH298" s="525">
        <f t="shared" si="239"/>
        <v>0</v>
      </c>
      <c r="AI298" s="525">
        <f t="shared" si="240"/>
        <v>0</v>
      </c>
      <c r="AJ298" s="525">
        <f t="shared" si="240"/>
        <v>0</v>
      </c>
      <c r="AK298" s="525">
        <f t="shared" si="240"/>
        <v>0</v>
      </c>
      <c r="AL298" s="525">
        <f t="shared" si="241"/>
        <v>0</v>
      </c>
    </row>
    <row r="299" spans="1:38">
      <c r="A299" s="618" t="s">
        <v>1779</v>
      </c>
      <c r="B299" s="618"/>
      <c r="C299" s="619">
        <f>IF(G299&lt;&gt;0,1,)</f>
        <v>0</v>
      </c>
      <c r="D299" s="622"/>
      <c r="E299" s="733" t="s">
        <v>1790</v>
      </c>
      <c r="F299" s="622" t="s">
        <v>138</v>
      </c>
      <c r="G299" s="622">
        <f>U299</f>
        <v>0</v>
      </c>
      <c r="H299" s="623"/>
      <c r="I299" s="623"/>
      <c r="J299" s="623"/>
      <c r="K299" s="623"/>
      <c r="L299" s="623"/>
      <c r="M299" s="623"/>
      <c r="N299" s="623">
        <f t="shared" ref="N299:S299" si="242">SUM(N301:N309)</f>
        <v>887309.44000000006</v>
      </c>
      <c r="O299" s="623">
        <f t="shared" si="242"/>
        <v>0</v>
      </c>
      <c r="P299" s="623">
        <f t="shared" si="242"/>
        <v>90246.45</v>
      </c>
      <c r="Q299" s="623">
        <f t="shared" si="242"/>
        <v>159756.16</v>
      </c>
      <c r="R299" s="623">
        <f t="shared" si="242"/>
        <v>3911.6</v>
      </c>
      <c r="S299" s="623">
        <f t="shared" si="242"/>
        <v>0</v>
      </c>
      <c r="U299" s="623">
        <f>SUM(V299:AB299)</f>
        <v>0</v>
      </c>
      <c r="V299" s="623">
        <f>IFERROR(HLOOKUP($A299,BK3P,V$3,0),)</f>
        <v>0</v>
      </c>
      <c r="W299" s="623">
        <f>IFERROR(HLOOKUP($A299,BK3P,W$3,0),)</f>
        <v>0</v>
      </c>
      <c r="X299" s="623">
        <f>IFERROR(HLOOKUP($A299,BK3P,X$3,0),)</f>
        <v>0</v>
      </c>
      <c r="Y299" s="623">
        <f>IFERROR(HLOOKUP($A299,BK1P,Y$3,0),)</f>
        <v>0</v>
      </c>
      <c r="Z299" s="623">
        <f>IFERROR(HLOOKUP($A299,BK1P,Z$3,0),)</f>
        <v>0</v>
      </c>
      <c r="AA299" s="623">
        <f>IFERROR(HLOOKUP($A299,BK1P,AA$3,0),)</f>
        <v>0</v>
      </c>
      <c r="AB299" s="623">
        <f>IFERROR(HLOOKUP($A299,BKHT,AB$3,0),)</f>
        <v>0</v>
      </c>
      <c r="AD299" s="405">
        <f t="shared" si="237"/>
        <v>0</v>
      </c>
      <c r="AE299" s="525">
        <f t="shared" si="238"/>
        <v>0</v>
      </c>
      <c r="AF299" s="525">
        <f t="shared" si="239"/>
        <v>0</v>
      </c>
      <c r="AG299" s="525">
        <f t="shared" si="239"/>
        <v>0</v>
      </c>
      <c r="AH299" s="525">
        <f t="shared" si="239"/>
        <v>0</v>
      </c>
      <c r="AI299" s="525">
        <f t="shared" si="240"/>
        <v>0</v>
      </c>
      <c r="AJ299" s="525">
        <f t="shared" si="240"/>
        <v>0</v>
      </c>
      <c r="AK299" s="525">
        <f t="shared" si="240"/>
        <v>0</v>
      </c>
      <c r="AL299" s="525">
        <f t="shared" si="241"/>
        <v>0</v>
      </c>
    </row>
    <row r="300" spans="1:38" s="542" customFormat="1">
      <c r="A300" s="624"/>
      <c r="B300" s="624"/>
      <c r="C300" s="625">
        <f>C299</f>
        <v>0</v>
      </c>
      <c r="D300" s="544"/>
      <c r="E300" s="734" t="s">
        <v>1659</v>
      </c>
      <c r="F300" s="544"/>
      <c r="G300" s="545"/>
      <c r="H300" s="545"/>
      <c r="I300" s="545"/>
      <c r="J300" s="545"/>
      <c r="K300" s="545"/>
      <c r="L300" s="545"/>
      <c r="M300" s="545"/>
      <c r="N300" s="545"/>
      <c r="O300" s="545"/>
      <c r="P300" s="545"/>
      <c r="Q300" s="545"/>
      <c r="R300" s="545"/>
      <c r="S300" s="545"/>
      <c r="U300" s="545"/>
      <c r="V300" s="545"/>
      <c r="W300" s="545"/>
      <c r="X300" s="545"/>
      <c r="Y300" s="545"/>
      <c r="Z300" s="545"/>
      <c r="AA300" s="545"/>
      <c r="AB300" s="545"/>
      <c r="AD300" s="405">
        <f t="shared" si="237"/>
        <v>0</v>
      </c>
      <c r="AE300" s="525">
        <f t="shared" si="238"/>
        <v>0</v>
      </c>
      <c r="AF300" s="525">
        <f t="shared" si="239"/>
        <v>0</v>
      </c>
      <c r="AG300" s="525">
        <f t="shared" si="239"/>
        <v>0</v>
      </c>
      <c r="AH300" s="525">
        <f t="shared" si="239"/>
        <v>0</v>
      </c>
      <c r="AI300" s="525">
        <f t="shared" si="240"/>
        <v>0</v>
      </c>
      <c r="AJ300" s="525">
        <f t="shared" si="240"/>
        <v>0</v>
      </c>
      <c r="AK300" s="525">
        <f t="shared" si="240"/>
        <v>0</v>
      </c>
      <c r="AL300" s="525">
        <f t="shared" si="241"/>
        <v>0</v>
      </c>
    </row>
    <row r="301" spans="1:38">
      <c r="A301" s="618"/>
      <c r="B301" s="618" t="s">
        <v>1658</v>
      </c>
      <c r="C301" s="619">
        <f>IF(G301&lt;&gt;0,$C$299,)</f>
        <v>0</v>
      </c>
      <c r="D301" s="523">
        <f>VLOOKUP(B301,DONGIA,DG!$B$6,0)</f>
        <v>0</v>
      </c>
      <c r="E301" s="666" t="str">
        <f>VLOOKUP(B301,DONGIA,DG!$C$6,0)&amp;" (12,0m/bộ)"</f>
        <v>Cáp đồng trần M25mm2 (12,0m/bộ)</v>
      </c>
      <c r="F301" s="523" t="str">
        <f>VLOOKUP(B301,DONGIA,DG!$D$6,0)</f>
        <v>kg</v>
      </c>
      <c r="G301" s="443">
        <f>ROUND((9+3)*0.224,3)</f>
        <v>2.6880000000000002</v>
      </c>
      <c r="H301" s="525">
        <f>VLOOKUP($B301,DONGIA,DG!$E$6,0)</f>
        <v>201380</v>
      </c>
      <c r="I301" s="525"/>
      <c r="J301" s="525"/>
      <c r="K301" s="525">
        <f>VLOOKUP($B301,DONGIA,DG!$F$6,0)</f>
        <v>0</v>
      </c>
      <c r="L301" s="525"/>
      <c r="M301" s="525">
        <f>VLOOKUP($B301,DONGIA,DG!$G$6,0)</f>
        <v>0</v>
      </c>
      <c r="N301" s="525">
        <f>$G301*H301</f>
        <v>541309.44000000006</v>
      </c>
      <c r="O301" s="525">
        <f t="shared" ref="O301:S309" si="243">$G301*I301</f>
        <v>0</v>
      </c>
      <c r="P301" s="525">
        <f t="shared" si="243"/>
        <v>0</v>
      </c>
      <c r="Q301" s="525">
        <f t="shared" si="243"/>
        <v>0</v>
      </c>
      <c r="R301" s="525">
        <f t="shared" si="243"/>
        <v>0</v>
      </c>
      <c r="S301" s="525">
        <f t="shared" si="243"/>
        <v>0</v>
      </c>
      <c r="U301" s="525">
        <f>U$299*$G301</f>
        <v>0</v>
      </c>
      <c r="V301" s="525">
        <f t="shared" ref="V301:AB301" si="244">V$299*$G301</f>
        <v>0</v>
      </c>
      <c r="W301" s="525">
        <f t="shared" si="244"/>
        <v>0</v>
      </c>
      <c r="X301" s="525">
        <f t="shared" si="244"/>
        <v>0</v>
      </c>
      <c r="Y301" s="525">
        <f t="shared" si="244"/>
        <v>0</v>
      </c>
      <c r="Z301" s="525">
        <f t="shared" si="244"/>
        <v>0</v>
      </c>
      <c r="AA301" s="525">
        <f t="shared" si="244"/>
        <v>0</v>
      </c>
      <c r="AB301" s="525">
        <f t="shared" si="244"/>
        <v>0</v>
      </c>
      <c r="AD301" s="405">
        <f t="shared" si="237"/>
        <v>1</v>
      </c>
      <c r="AE301" s="525">
        <f t="shared" si="238"/>
        <v>0</v>
      </c>
      <c r="AF301" s="525">
        <f t="shared" si="239"/>
        <v>0</v>
      </c>
      <c r="AG301" s="525">
        <f t="shared" si="239"/>
        <v>0</v>
      </c>
      <c r="AH301" s="525">
        <f t="shared" si="239"/>
        <v>0</v>
      </c>
      <c r="AI301" s="525">
        <f t="shared" si="240"/>
        <v>0</v>
      </c>
      <c r="AJ301" s="525">
        <f t="shared" si="240"/>
        <v>0</v>
      </c>
      <c r="AK301" s="525">
        <f t="shared" si="240"/>
        <v>0</v>
      </c>
      <c r="AL301" s="525">
        <f t="shared" si="241"/>
        <v>0</v>
      </c>
    </row>
    <row r="302" spans="1:38">
      <c r="A302" s="618"/>
      <c r="B302" s="618" t="s">
        <v>278</v>
      </c>
      <c r="C302" s="619">
        <f>IF(G302&lt;&gt;0,$C$299,)</f>
        <v>0</v>
      </c>
      <c r="D302" s="523">
        <f>VLOOKUP(B302,DONGIA,DG!$B$6,0)</f>
        <v>0</v>
      </c>
      <c r="E302" s="666" t="str">
        <f>VLOOKUP(B302,DONGIA,DG!$C$6,0)</f>
        <v>Cọc tiếp đất φ16 - 2,4m (mạ đồng 16µm)</v>
      </c>
      <c r="F302" s="523" t="str">
        <f>VLOOKUP(B302,DONGIA,DG!$D$6,0)</f>
        <v>cọc</v>
      </c>
      <c r="G302" s="340">
        <v>2</v>
      </c>
      <c r="H302" s="525">
        <f>VLOOKUP($B302,DONGIA,DG!$E$6,0)</f>
        <v>130000</v>
      </c>
      <c r="I302" s="525"/>
      <c r="J302" s="525"/>
      <c r="K302" s="525">
        <f>VLOOKUP($B302,DONGIA,DG!$F$6,0)</f>
        <v>0</v>
      </c>
      <c r="L302" s="525"/>
      <c r="M302" s="525">
        <f>VLOOKUP($B302,DONGIA,DG!$G$6,0)</f>
        <v>0</v>
      </c>
      <c r="N302" s="525">
        <f t="shared" ref="N302:N309" si="245">$G302*H302</f>
        <v>260000</v>
      </c>
      <c r="O302" s="525">
        <f t="shared" si="243"/>
        <v>0</v>
      </c>
      <c r="P302" s="525">
        <f t="shared" si="243"/>
        <v>0</v>
      </c>
      <c r="Q302" s="525">
        <f t="shared" si="243"/>
        <v>0</v>
      </c>
      <c r="R302" s="525">
        <f t="shared" si="243"/>
        <v>0</v>
      </c>
      <c r="S302" s="525">
        <f t="shared" si="243"/>
        <v>0</v>
      </c>
      <c r="U302" s="525">
        <f t="shared" ref="U302:AB309" si="246">U$299*$G302</f>
        <v>0</v>
      </c>
      <c r="V302" s="525">
        <f t="shared" si="246"/>
        <v>0</v>
      </c>
      <c r="W302" s="525">
        <f t="shared" si="246"/>
        <v>0</v>
      </c>
      <c r="X302" s="525">
        <f t="shared" si="246"/>
        <v>0</v>
      </c>
      <c r="Y302" s="525">
        <f t="shared" si="246"/>
        <v>0</v>
      </c>
      <c r="Z302" s="525">
        <f t="shared" si="246"/>
        <v>0</v>
      </c>
      <c r="AA302" s="525">
        <f t="shared" si="246"/>
        <v>0</v>
      </c>
      <c r="AB302" s="525">
        <f t="shared" si="246"/>
        <v>0</v>
      </c>
      <c r="AD302" s="405">
        <f t="shared" si="237"/>
        <v>5.3</v>
      </c>
      <c r="AE302" s="525">
        <f t="shared" si="238"/>
        <v>0</v>
      </c>
      <c r="AF302" s="525">
        <f t="shared" si="239"/>
        <v>0</v>
      </c>
      <c r="AG302" s="525">
        <f t="shared" si="239"/>
        <v>0</v>
      </c>
      <c r="AH302" s="525">
        <f t="shared" si="239"/>
        <v>0</v>
      </c>
      <c r="AI302" s="525">
        <f t="shared" si="240"/>
        <v>0</v>
      </c>
      <c r="AJ302" s="525">
        <f t="shared" si="240"/>
        <v>0</v>
      </c>
      <c r="AK302" s="525">
        <f t="shared" si="240"/>
        <v>0</v>
      </c>
      <c r="AL302" s="525">
        <f t="shared" si="241"/>
        <v>0</v>
      </c>
    </row>
    <row r="303" spans="1:38">
      <c r="A303" s="618"/>
      <c r="B303" s="618" t="s">
        <v>280</v>
      </c>
      <c r="C303" s="619">
        <f>IF(G303&lt;&gt;0,$C$299,)</f>
        <v>0</v>
      </c>
      <c r="D303" s="523">
        <f>VLOOKUP(B303,DONGIA,DG!$B$6,0)</f>
        <v>0</v>
      </c>
      <c r="E303" s="666" t="str">
        <f>VLOOKUP(B303,DONGIA,DG!$C$6,0)</f>
        <v>Kẹp cọc tiếp địa</v>
      </c>
      <c r="F303" s="523" t="str">
        <f>VLOOKUP(B303,DONGIA,DG!$D$6,0)</f>
        <v>bộ</v>
      </c>
      <c r="G303" s="340">
        <f>G302</f>
        <v>2</v>
      </c>
      <c r="H303" s="525">
        <f>VLOOKUP($B303,DONGIA,DG!$E$6,0)</f>
        <v>25000</v>
      </c>
      <c r="I303" s="525"/>
      <c r="J303" s="525"/>
      <c r="K303" s="525">
        <f>VLOOKUP($B303,DONGIA,DG!$F$6,0)</f>
        <v>0</v>
      </c>
      <c r="L303" s="525"/>
      <c r="M303" s="525">
        <f>VLOOKUP($B303,DONGIA,DG!$G$6,0)</f>
        <v>0</v>
      </c>
      <c r="N303" s="525">
        <f t="shared" si="245"/>
        <v>50000</v>
      </c>
      <c r="O303" s="525">
        <f t="shared" si="243"/>
        <v>0</v>
      </c>
      <c r="P303" s="525">
        <f t="shared" si="243"/>
        <v>0</v>
      </c>
      <c r="Q303" s="525">
        <f t="shared" si="243"/>
        <v>0</v>
      </c>
      <c r="R303" s="525">
        <f t="shared" si="243"/>
        <v>0</v>
      </c>
      <c r="S303" s="525">
        <f t="shared" si="243"/>
        <v>0</v>
      </c>
      <c r="U303" s="525">
        <f t="shared" si="246"/>
        <v>0</v>
      </c>
      <c r="V303" s="525">
        <f t="shared" si="246"/>
        <v>0</v>
      </c>
      <c r="W303" s="525">
        <f t="shared" si="246"/>
        <v>0</v>
      </c>
      <c r="X303" s="525">
        <f t="shared" si="246"/>
        <v>0</v>
      </c>
      <c r="Y303" s="525">
        <f t="shared" ref="Y303:AA307" si="247">Y$299*$G303</f>
        <v>0</v>
      </c>
      <c r="Z303" s="525">
        <f t="shared" si="247"/>
        <v>0</v>
      </c>
      <c r="AA303" s="525">
        <f t="shared" si="247"/>
        <v>0</v>
      </c>
      <c r="AB303" s="525">
        <f t="shared" si="246"/>
        <v>0</v>
      </c>
      <c r="AD303" s="405">
        <f t="shared" si="237"/>
        <v>0.05</v>
      </c>
      <c r="AE303" s="525">
        <f t="shared" si="238"/>
        <v>0</v>
      </c>
      <c r="AF303" s="525">
        <f t="shared" si="239"/>
        <v>0</v>
      </c>
      <c r="AG303" s="525">
        <f t="shared" si="239"/>
        <v>0</v>
      </c>
      <c r="AH303" s="525">
        <f t="shared" si="239"/>
        <v>0</v>
      </c>
      <c r="AI303" s="525">
        <f t="shared" si="240"/>
        <v>0</v>
      </c>
      <c r="AJ303" s="525">
        <f t="shared" si="240"/>
        <v>0</v>
      </c>
      <c r="AK303" s="525">
        <f t="shared" si="240"/>
        <v>0</v>
      </c>
      <c r="AL303" s="525">
        <f t="shared" si="241"/>
        <v>0</v>
      </c>
    </row>
    <row r="304" spans="1:38">
      <c r="A304" s="618"/>
      <c r="B304" s="618" t="s">
        <v>323</v>
      </c>
      <c r="C304" s="619">
        <f>IF(G304&lt;&gt;0,$C$299,)</f>
        <v>0</v>
      </c>
      <c r="D304" s="523">
        <f>VLOOKUP(B304,DONGIA,DG!$B$6,0)</f>
        <v>0</v>
      </c>
      <c r="E304" s="525" t="str">
        <f>VLOOKUP(B304,DONGIA,DG!$C$6,0)</f>
        <v>Kẹp ép WR cỡ dây 50mm2</v>
      </c>
      <c r="F304" s="523" t="str">
        <f>VLOOKUP(B304,DONGIA,DG!$D$6,0)</f>
        <v>cái</v>
      </c>
      <c r="G304" s="340"/>
      <c r="H304" s="525">
        <f>VLOOKUP($B304,DONGIA,DG!$E$6,0)</f>
        <v>10000</v>
      </c>
      <c r="I304" s="525"/>
      <c r="J304" s="525"/>
      <c r="K304" s="525">
        <f>VLOOKUP($B304,DONGIA,DG!$F$6,0)</f>
        <v>0</v>
      </c>
      <c r="L304" s="525"/>
      <c r="M304" s="525">
        <f>VLOOKUP($B304,DONGIA,DG!$G$6,0)</f>
        <v>0</v>
      </c>
      <c r="N304" s="525">
        <f t="shared" ref="N304:S307" si="248">$G304*H304</f>
        <v>0</v>
      </c>
      <c r="O304" s="525">
        <f t="shared" si="248"/>
        <v>0</v>
      </c>
      <c r="P304" s="525">
        <f t="shared" si="248"/>
        <v>0</v>
      </c>
      <c r="Q304" s="525">
        <f t="shared" si="248"/>
        <v>0</v>
      </c>
      <c r="R304" s="525">
        <f t="shared" si="248"/>
        <v>0</v>
      </c>
      <c r="S304" s="525">
        <f t="shared" si="248"/>
        <v>0</v>
      </c>
      <c r="U304" s="525">
        <f t="shared" si="246"/>
        <v>0</v>
      </c>
      <c r="V304" s="525">
        <f t="shared" si="246"/>
        <v>0</v>
      </c>
      <c r="W304" s="525">
        <f t="shared" si="246"/>
        <v>0</v>
      </c>
      <c r="X304" s="525">
        <f t="shared" si="246"/>
        <v>0</v>
      </c>
      <c r="Y304" s="525">
        <f t="shared" si="247"/>
        <v>0</v>
      </c>
      <c r="Z304" s="525">
        <f t="shared" si="247"/>
        <v>0</v>
      </c>
      <c r="AA304" s="525">
        <f t="shared" si="247"/>
        <v>0</v>
      </c>
      <c r="AB304" s="525">
        <f t="shared" si="246"/>
        <v>0</v>
      </c>
      <c r="AD304" s="405">
        <f>IFERROR(VLOOKUP(B304,DONGIA,$AD$3,0),0)</f>
        <v>0.2</v>
      </c>
      <c r="AE304" s="525">
        <f t="shared" ref="AE304:AL307" si="249">U304*$AD304</f>
        <v>0</v>
      </c>
      <c r="AF304" s="525">
        <f t="shared" si="249"/>
        <v>0</v>
      </c>
      <c r="AG304" s="525">
        <f t="shared" si="249"/>
        <v>0</v>
      </c>
      <c r="AH304" s="525">
        <f t="shared" si="249"/>
        <v>0</v>
      </c>
      <c r="AI304" s="525">
        <f t="shared" si="249"/>
        <v>0</v>
      </c>
      <c r="AJ304" s="525">
        <f t="shared" si="249"/>
        <v>0</v>
      </c>
      <c r="AK304" s="525">
        <f t="shared" si="249"/>
        <v>0</v>
      </c>
      <c r="AL304" s="525">
        <f t="shared" si="249"/>
        <v>0</v>
      </c>
    </row>
    <row r="305" spans="1:38">
      <c r="A305" s="618"/>
      <c r="B305" s="618" t="s">
        <v>1217</v>
      </c>
      <c r="C305" s="619">
        <f t="shared" ref="C305:C307" si="250">IF(G305&lt;&gt;0,$C$299,)</f>
        <v>0</v>
      </c>
      <c r="D305" s="523">
        <f>VLOOKUP(B305,DONGIA,DG!$B$6,0)</f>
        <v>0</v>
      </c>
      <c r="E305" s="666" t="str">
        <f>VLOOKUP(B305,DONGIA,DG!$C$6,0)</f>
        <v xml:space="preserve">Ốc xiết cáp cỡ 38mm2 </v>
      </c>
      <c r="F305" s="523" t="str">
        <f>VLOOKUP(B305,DONGIA,DG!$D$6,0)</f>
        <v>cái</v>
      </c>
      <c r="G305" s="340">
        <v>2</v>
      </c>
      <c r="H305" s="525">
        <f>VLOOKUP($B305,DONGIA,DG!$E$6,0)</f>
        <v>18000</v>
      </c>
      <c r="I305" s="525"/>
      <c r="J305" s="525"/>
      <c r="K305" s="525">
        <f>VLOOKUP($B305,DONGIA,DG!$F$6,0)</f>
        <v>0</v>
      </c>
      <c r="L305" s="525"/>
      <c r="M305" s="525">
        <f>VLOOKUP($B305,DONGIA,DG!$G$6,0)</f>
        <v>0</v>
      </c>
      <c r="N305" s="525">
        <f t="shared" si="248"/>
        <v>36000</v>
      </c>
      <c r="O305" s="525">
        <f t="shared" si="248"/>
        <v>0</v>
      </c>
      <c r="P305" s="525">
        <f t="shared" si="248"/>
        <v>0</v>
      </c>
      <c r="Q305" s="525">
        <f t="shared" si="248"/>
        <v>0</v>
      </c>
      <c r="R305" s="525">
        <f t="shared" si="248"/>
        <v>0</v>
      </c>
      <c r="S305" s="525">
        <f t="shared" si="248"/>
        <v>0</v>
      </c>
      <c r="U305" s="525">
        <f t="shared" si="246"/>
        <v>0</v>
      </c>
      <c r="V305" s="525">
        <f t="shared" si="246"/>
        <v>0</v>
      </c>
      <c r="W305" s="525">
        <f t="shared" si="246"/>
        <v>0</v>
      </c>
      <c r="X305" s="525">
        <f t="shared" si="246"/>
        <v>0</v>
      </c>
      <c r="Y305" s="525">
        <f t="shared" si="247"/>
        <v>0</v>
      </c>
      <c r="Z305" s="525">
        <f t="shared" si="247"/>
        <v>0</v>
      </c>
      <c r="AA305" s="525">
        <f t="shared" si="247"/>
        <v>0</v>
      </c>
      <c r="AB305" s="525">
        <f t="shared" si="246"/>
        <v>0</v>
      </c>
      <c r="AD305" s="405">
        <f>IFERROR(VLOOKUP(B305,DONGIA,$AD$3,0),0)</f>
        <v>0</v>
      </c>
      <c r="AE305" s="525">
        <f t="shared" si="249"/>
        <v>0</v>
      </c>
      <c r="AF305" s="525">
        <f t="shared" si="249"/>
        <v>0</v>
      </c>
      <c r="AG305" s="525">
        <f t="shared" si="249"/>
        <v>0</v>
      </c>
      <c r="AH305" s="525">
        <f t="shared" si="249"/>
        <v>0</v>
      </c>
      <c r="AI305" s="525">
        <f t="shared" si="249"/>
        <v>0</v>
      </c>
      <c r="AJ305" s="525">
        <f t="shared" si="249"/>
        <v>0</v>
      </c>
      <c r="AK305" s="525">
        <f t="shared" si="249"/>
        <v>0</v>
      </c>
      <c r="AL305" s="525">
        <f t="shared" si="249"/>
        <v>0</v>
      </c>
    </row>
    <row r="306" spans="1:38">
      <c r="A306" s="618"/>
      <c r="B306" s="618" t="s">
        <v>540</v>
      </c>
      <c r="C306" s="619">
        <f t="shared" si="250"/>
        <v>0</v>
      </c>
      <c r="D306" s="523" t="str">
        <f>VLOOKUP(B306,DONGIA,DG!$B$6,0)</f>
        <v>AB.11513</v>
      </c>
      <c r="E306" s="666" t="str">
        <f>VLOOKUP(B306,DONGIA,DG!$C$6,0)</f>
        <v>Đào rãnh tiếp địa đất cấp 3</v>
      </c>
      <c r="F306" s="523" t="str">
        <f>VLOOKUP(B306,DONGIA,DG!$D$6,0)</f>
        <v>m3</v>
      </c>
      <c r="G306" s="443">
        <v>0.35</v>
      </c>
      <c r="H306" s="525"/>
      <c r="I306" s="525"/>
      <c r="J306" s="525">
        <f>VLOOKUP($B306,DONGIA,DG!$F$6,0)</f>
        <v>241580</v>
      </c>
      <c r="K306" s="525"/>
      <c r="L306" s="525">
        <f>VLOOKUP($B306,DONGIA,DG!$G$6,0)</f>
        <v>0</v>
      </c>
      <c r="M306" s="525"/>
      <c r="N306" s="525">
        <f t="shared" si="248"/>
        <v>0</v>
      </c>
      <c r="O306" s="525">
        <f t="shared" si="248"/>
        <v>0</v>
      </c>
      <c r="P306" s="525">
        <f t="shared" si="248"/>
        <v>84553</v>
      </c>
      <c r="Q306" s="525">
        <f t="shared" si="248"/>
        <v>0</v>
      </c>
      <c r="R306" s="525">
        <f t="shared" si="248"/>
        <v>0</v>
      </c>
      <c r="S306" s="525">
        <f t="shared" si="248"/>
        <v>0</v>
      </c>
      <c r="U306" s="525">
        <f t="shared" si="246"/>
        <v>0</v>
      </c>
      <c r="V306" s="525">
        <f t="shared" si="246"/>
        <v>0</v>
      </c>
      <c r="W306" s="525">
        <f t="shared" si="246"/>
        <v>0</v>
      </c>
      <c r="X306" s="525">
        <f t="shared" si="246"/>
        <v>0</v>
      </c>
      <c r="Y306" s="525">
        <f t="shared" si="247"/>
        <v>0</v>
      </c>
      <c r="Z306" s="525">
        <f t="shared" si="247"/>
        <v>0</v>
      </c>
      <c r="AA306" s="525">
        <f t="shared" si="247"/>
        <v>0</v>
      </c>
      <c r="AB306" s="525">
        <f t="shared" si="246"/>
        <v>0</v>
      </c>
      <c r="AD306" s="405">
        <f>IFERROR(VLOOKUP(B306,DONGIA,$AD$3,0),0)</f>
        <v>0</v>
      </c>
      <c r="AE306" s="525">
        <f t="shared" si="249"/>
        <v>0</v>
      </c>
      <c r="AF306" s="525">
        <f t="shared" si="249"/>
        <v>0</v>
      </c>
      <c r="AG306" s="525">
        <f t="shared" si="249"/>
        <v>0</v>
      </c>
      <c r="AH306" s="525">
        <f t="shared" si="249"/>
        <v>0</v>
      </c>
      <c r="AI306" s="525">
        <f t="shared" si="249"/>
        <v>0</v>
      </c>
      <c r="AJ306" s="525">
        <f t="shared" si="249"/>
        <v>0</v>
      </c>
      <c r="AK306" s="525">
        <f t="shared" si="249"/>
        <v>0</v>
      </c>
      <c r="AL306" s="525">
        <f t="shared" si="249"/>
        <v>0</v>
      </c>
    </row>
    <row r="307" spans="1:38">
      <c r="A307" s="618"/>
      <c r="B307" s="618" t="s">
        <v>547</v>
      </c>
      <c r="C307" s="619">
        <f t="shared" si="250"/>
        <v>0</v>
      </c>
      <c r="D307" s="523" t="str">
        <f>VLOOKUP(B307,DONGIA,DG!$B$6,0)</f>
        <v>AB.65110</v>
      </c>
      <c r="E307" s="666" t="str">
        <f>VLOOKUP(B307,DONGIA,DG!$C$6,0)</f>
        <v>Đắp đất rãnh tiếp địa (K=0,85)</v>
      </c>
      <c r="F307" s="523" t="str">
        <f>VLOOKUP(B307,DONGIA,DG!$D$6,0)</f>
        <v>m3</v>
      </c>
      <c r="G307" s="443">
        <f>G306</f>
        <v>0.35</v>
      </c>
      <c r="H307" s="525"/>
      <c r="I307" s="525"/>
      <c r="J307" s="525">
        <f>VLOOKUP($B307,DONGIA,DG!$F$6,0)</f>
        <v>16267</v>
      </c>
      <c r="K307" s="525"/>
      <c r="L307" s="525">
        <f>VLOOKUP($B307,DONGIA,DG!$G$6,0)</f>
        <v>11176</v>
      </c>
      <c r="M307" s="525"/>
      <c r="N307" s="525">
        <f t="shared" si="248"/>
        <v>0</v>
      </c>
      <c r="O307" s="525">
        <f t="shared" si="248"/>
        <v>0</v>
      </c>
      <c r="P307" s="525">
        <f t="shared" si="248"/>
        <v>5693.45</v>
      </c>
      <c r="Q307" s="525">
        <f t="shared" si="248"/>
        <v>0</v>
      </c>
      <c r="R307" s="525">
        <f t="shared" si="248"/>
        <v>3911.6</v>
      </c>
      <c r="S307" s="525">
        <f t="shared" si="248"/>
        <v>0</v>
      </c>
      <c r="U307" s="525">
        <f t="shared" si="246"/>
        <v>0</v>
      </c>
      <c r="V307" s="525">
        <f t="shared" si="246"/>
        <v>0</v>
      </c>
      <c r="W307" s="525">
        <f t="shared" si="246"/>
        <v>0</v>
      </c>
      <c r="X307" s="525">
        <f t="shared" si="246"/>
        <v>0</v>
      </c>
      <c r="Y307" s="525">
        <f t="shared" si="247"/>
        <v>0</v>
      </c>
      <c r="Z307" s="525">
        <f t="shared" si="247"/>
        <v>0</v>
      </c>
      <c r="AA307" s="525">
        <f t="shared" si="247"/>
        <v>0</v>
      </c>
      <c r="AB307" s="525">
        <f t="shared" si="246"/>
        <v>0</v>
      </c>
      <c r="AD307" s="405">
        <f>IFERROR(VLOOKUP(B307,DONGIA,$AD$3,0),0)</f>
        <v>0</v>
      </c>
      <c r="AE307" s="525">
        <f t="shared" si="249"/>
        <v>0</v>
      </c>
      <c r="AF307" s="525">
        <f t="shared" si="249"/>
        <v>0</v>
      </c>
      <c r="AG307" s="525">
        <f t="shared" si="249"/>
        <v>0</v>
      </c>
      <c r="AH307" s="525">
        <f t="shared" si="249"/>
        <v>0</v>
      </c>
      <c r="AI307" s="525">
        <f t="shared" si="249"/>
        <v>0</v>
      </c>
      <c r="AJ307" s="525">
        <f t="shared" si="249"/>
        <v>0</v>
      </c>
      <c r="AK307" s="525">
        <f t="shared" si="249"/>
        <v>0</v>
      </c>
      <c r="AL307" s="525">
        <f t="shared" si="249"/>
        <v>0</v>
      </c>
    </row>
    <row r="308" spans="1:38">
      <c r="A308" s="618"/>
      <c r="B308" s="618" t="s">
        <v>570</v>
      </c>
      <c r="C308" s="619">
        <f>IF(G308&lt;&gt;0,$C$299,)</f>
        <v>0</v>
      </c>
      <c r="D308" s="523" t="str">
        <f>VLOOKUP(B308,DONGIA,DG!$B$6,0)</f>
        <v>D2.7001</v>
      </c>
      <c r="E308" s="666" t="str">
        <f>VLOOKUP(B308,DONGIA,DG!$C$6,0)</f>
        <v xml:space="preserve">Kéo dây tiếp địa </v>
      </c>
      <c r="F308" s="523" t="str">
        <f>VLOOKUP(B308,DONGIA,DG!$D$6,0)</f>
        <v>kg</v>
      </c>
      <c r="G308" s="443">
        <f>G301</f>
        <v>2.6880000000000002</v>
      </c>
      <c r="H308" s="525"/>
      <c r="I308" s="525"/>
      <c r="J308" s="525"/>
      <c r="K308" s="525">
        <f>VLOOKUP($B308,DONGIA,DG!$F$6,0)</f>
        <v>2195</v>
      </c>
      <c r="L308" s="525"/>
      <c r="M308" s="525">
        <f>VLOOKUP($B308,DONGIA,DG!$G$6,0)</f>
        <v>0</v>
      </c>
      <c r="N308" s="525">
        <f t="shared" si="245"/>
        <v>0</v>
      </c>
      <c r="O308" s="525">
        <f t="shared" si="243"/>
        <v>0</v>
      </c>
      <c r="P308" s="525">
        <f t="shared" si="243"/>
        <v>0</v>
      </c>
      <c r="Q308" s="525">
        <f t="shared" si="243"/>
        <v>5900.1600000000008</v>
      </c>
      <c r="R308" s="525">
        <f t="shared" si="243"/>
        <v>0</v>
      </c>
      <c r="S308" s="525">
        <f t="shared" si="243"/>
        <v>0</v>
      </c>
      <c r="U308" s="525">
        <f t="shared" si="246"/>
        <v>0</v>
      </c>
      <c r="V308" s="525">
        <f t="shared" si="246"/>
        <v>0</v>
      </c>
      <c r="W308" s="525">
        <f t="shared" si="246"/>
        <v>0</v>
      </c>
      <c r="X308" s="525">
        <f t="shared" si="246"/>
        <v>0</v>
      </c>
      <c r="Y308" s="525">
        <f t="shared" si="246"/>
        <v>0</v>
      </c>
      <c r="Z308" s="525">
        <f t="shared" si="246"/>
        <v>0</v>
      </c>
      <c r="AA308" s="525">
        <f t="shared" si="246"/>
        <v>0</v>
      </c>
      <c r="AB308" s="525">
        <f t="shared" si="246"/>
        <v>0</v>
      </c>
      <c r="AD308" s="405">
        <f t="shared" si="237"/>
        <v>0</v>
      </c>
      <c r="AE308" s="525">
        <f t="shared" si="238"/>
        <v>0</v>
      </c>
      <c r="AF308" s="525">
        <f t="shared" si="239"/>
        <v>0</v>
      </c>
      <c r="AG308" s="525">
        <f t="shared" si="239"/>
        <v>0</v>
      </c>
      <c r="AH308" s="525">
        <f t="shared" si="239"/>
        <v>0</v>
      </c>
      <c r="AI308" s="525">
        <f t="shared" si="240"/>
        <v>0</v>
      </c>
      <c r="AJ308" s="525">
        <f t="shared" si="240"/>
        <v>0</v>
      </c>
      <c r="AK308" s="525">
        <f t="shared" si="240"/>
        <v>0</v>
      </c>
      <c r="AL308" s="525">
        <f t="shared" si="241"/>
        <v>0</v>
      </c>
    </row>
    <row r="309" spans="1:38">
      <c r="A309" s="618"/>
      <c r="B309" s="618" t="s">
        <v>575</v>
      </c>
      <c r="C309" s="619">
        <f>IF(G309&lt;&gt;0,$C$299,)</f>
        <v>0</v>
      </c>
      <c r="D309" s="523" t="str">
        <f>VLOOKUP(B309,DONGIA,DG!$B$6,0)</f>
        <v>D2.8103</v>
      </c>
      <c r="E309" s="666" t="str">
        <f>VLOOKUP(B309,DONGIA,DG!$C$6,0)</f>
        <v>Đóng cọc tiếp địa đất cấp 3</v>
      </c>
      <c r="F309" s="523" t="str">
        <f>VLOOKUP(B309,DONGIA,DG!$D$6,0)</f>
        <v>cọc</v>
      </c>
      <c r="G309" s="340">
        <f>G302</f>
        <v>2</v>
      </c>
      <c r="H309" s="525"/>
      <c r="I309" s="525"/>
      <c r="J309" s="525"/>
      <c r="K309" s="525">
        <f>VLOOKUP($B309,DONGIA,DG!$F$6,0)</f>
        <v>76928</v>
      </c>
      <c r="L309" s="525"/>
      <c r="M309" s="525">
        <f>VLOOKUP($B309,DONGIA,DG!$G$6,0)</f>
        <v>0</v>
      </c>
      <c r="N309" s="525">
        <f t="shared" si="245"/>
        <v>0</v>
      </c>
      <c r="O309" s="525">
        <f t="shared" si="243"/>
        <v>0</v>
      </c>
      <c r="P309" s="525">
        <f t="shared" si="243"/>
        <v>0</v>
      </c>
      <c r="Q309" s="525">
        <f t="shared" si="243"/>
        <v>153856</v>
      </c>
      <c r="R309" s="525">
        <f t="shared" si="243"/>
        <v>0</v>
      </c>
      <c r="S309" s="525">
        <f t="shared" si="243"/>
        <v>0</v>
      </c>
      <c r="U309" s="525">
        <f t="shared" si="246"/>
        <v>0</v>
      </c>
      <c r="V309" s="525">
        <f t="shared" si="246"/>
        <v>0</v>
      </c>
      <c r="W309" s="525">
        <f t="shared" si="246"/>
        <v>0</v>
      </c>
      <c r="X309" s="525">
        <f t="shared" si="246"/>
        <v>0</v>
      </c>
      <c r="Y309" s="525">
        <f t="shared" si="246"/>
        <v>0</v>
      </c>
      <c r="Z309" s="525">
        <f t="shared" si="246"/>
        <v>0</v>
      </c>
      <c r="AA309" s="525">
        <f t="shared" si="246"/>
        <v>0</v>
      </c>
      <c r="AB309" s="525">
        <f t="shared" si="246"/>
        <v>0</v>
      </c>
      <c r="AD309" s="405">
        <f t="shared" si="237"/>
        <v>0</v>
      </c>
      <c r="AE309" s="525">
        <f t="shared" si="238"/>
        <v>0</v>
      </c>
      <c r="AF309" s="525">
        <f t="shared" si="239"/>
        <v>0</v>
      </c>
      <c r="AG309" s="525">
        <f t="shared" si="239"/>
        <v>0</v>
      </c>
      <c r="AH309" s="525">
        <f t="shared" si="239"/>
        <v>0</v>
      </c>
      <c r="AI309" s="525">
        <f t="shared" si="240"/>
        <v>0</v>
      </c>
      <c r="AJ309" s="525">
        <f t="shared" si="240"/>
        <v>0</v>
      </c>
      <c r="AK309" s="525">
        <f t="shared" si="240"/>
        <v>0</v>
      </c>
      <c r="AL309" s="525">
        <f t="shared" si="241"/>
        <v>0</v>
      </c>
    </row>
    <row r="310" spans="1:38">
      <c r="A310" s="618" t="s">
        <v>1766</v>
      </c>
      <c r="B310" s="618"/>
      <c r="C310" s="619">
        <f>IF(G310&lt;&gt;0,1,)</f>
        <v>1</v>
      </c>
      <c r="D310" s="622"/>
      <c r="E310" s="733" t="s">
        <v>1660</v>
      </c>
      <c r="F310" s="622" t="s">
        <v>138</v>
      </c>
      <c r="G310" s="622">
        <f>U310</f>
        <v>27</v>
      </c>
      <c r="H310" s="623"/>
      <c r="I310" s="623"/>
      <c r="J310" s="623"/>
      <c r="K310" s="623"/>
      <c r="L310" s="623"/>
      <c r="M310" s="623"/>
      <c r="N310" s="623">
        <f t="shared" ref="N310:S310" si="251">SUM(N312:N320)</f>
        <v>952418.55999999994</v>
      </c>
      <c r="O310" s="623">
        <f t="shared" si="251"/>
        <v>0</v>
      </c>
      <c r="P310" s="623">
        <f t="shared" si="251"/>
        <v>90246.45</v>
      </c>
      <c r="Q310" s="623">
        <f t="shared" si="251"/>
        <v>160247.84</v>
      </c>
      <c r="R310" s="623">
        <f t="shared" si="251"/>
        <v>3911.6</v>
      </c>
      <c r="S310" s="623">
        <f t="shared" si="251"/>
        <v>0</v>
      </c>
      <c r="U310" s="623">
        <f>SUM(V310:AB310)</f>
        <v>27</v>
      </c>
      <c r="V310" s="623">
        <f>IFERROR(HLOOKUP($A310,BK3P,V$3,0),)</f>
        <v>27</v>
      </c>
      <c r="W310" s="623">
        <f>IFERROR(HLOOKUP($A310,BK3P,W$3,0),)</f>
        <v>0</v>
      </c>
      <c r="X310" s="623">
        <f>IFERROR(HLOOKUP($A310,BK3P,X$3,0),)</f>
        <v>0</v>
      </c>
      <c r="Y310" s="623">
        <f>IFERROR(HLOOKUP($A310,BK1P,Y$3,0),)</f>
        <v>0</v>
      </c>
      <c r="Z310" s="623">
        <f>IFERROR(HLOOKUP($A310,BK1P,Z$3,0),)</f>
        <v>0</v>
      </c>
      <c r="AA310" s="623">
        <f>IFERROR(HLOOKUP($A310,BK1P,AA$3,0),)</f>
        <v>0</v>
      </c>
      <c r="AB310" s="623">
        <f>IFERROR(HLOOKUP($A310,BKHT,AB$3,0),)</f>
        <v>0</v>
      </c>
      <c r="AD310" s="405">
        <f t="shared" si="237"/>
        <v>0</v>
      </c>
      <c r="AE310" s="525">
        <f t="shared" si="238"/>
        <v>0</v>
      </c>
      <c r="AF310" s="525">
        <f t="shared" si="239"/>
        <v>0</v>
      </c>
      <c r="AG310" s="525">
        <f t="shared" si="239"/>
        <v>0</v>
      </c>
      <c r="AH310" s="525">
        <f t="shared" si="239"/>
        <v>0</v>
      </c>
      <c r="AI310" s="525">
        <f t="shared" si="240"/>
        <v>0</v>
      </c>
      <c r="AJ310" s="525">
        <f t="shared" si="240"/>
        <v>0</v>
      </c>
      <c r="AK310" s="525">
        <f t="shared" si="240"/>
        <v>0</v>
      </c>
      <c r="AL310" s="525">
        <f t="shared" si="241"/>
        <v>0</v>
      </c>
    </row>
    <row r="311" spans="1:38" s="542" customFormat="1">
      <c r="A311" s="624"/>
      <c r="B311" s="624"/>
      <c r="C311" s="625">
        <f>C310</f>
        <v>1</v>
      </c>
      <c r="D311" s="544"/>
      <c r="E311" s="734" t="s">
        <v>1659</v>
      </c>
      <c r="F311" s="544"/>
      <c r="G311" s="545"/>
      <c r="H311" s="545"/>
      <c r="I311" s="545"/>
      <c r="J311" s="545"/>
      <c r="K311" s="545"/>
      <c r="L311" s="545"/>
      <c r="M311" s="545"/>
      <c r="N311" s="545"/>
      <c r="O311" s="545"/>
      <c r="P311" s="545"/>
      <c r="Q311" s="545"/>
      <c r="R311" s="545"/>
      <c r="S311" s="545"/>
      <c r="U311" s="545"/>
      <c r="V311" s="545"/>
      <c r="W311" s="545"/>
      <c r="X311" s="545"/>
      <c r="Y311" s="545"/>
      <c r="Z311" s="545"/>
      <c r="AA311" s="545"/>
      <c r="AB311" s="545"/>
      <c r="AD311" s="405">
        <f t="shared" si="237"/>
        <v>0</v>
      </c>
      <c r="AE311" s="525">
        <f t="shared" si="238"/>
        <v>0</v>
      </c>
      <c r="AF311" s="525">
        <f t="shared" si="239"/>
        <v>0</v>
      </c>
      <c r="AG311" s="525">
        <f t="shared" si="239"/>
        <v>0</v>
      </c>
      <c r="AH311" s="525">
        <f t="shared" si="239"/>
        <v>0</v>
      </c>
      <c r="AI311" s="525">
        <f t="shared" si="240"/>
        <v>0</v>
      </c>
      <c r="AJ311" s="525">
        <f t="shared" si="240"/>
        <v>0</v>
      </c>
      <c r="AK311" s="525">
        <f t="shared" si="240"/>
        <v>0</v>
      </c>
      <c r="AL311" s="525">
        <f t="shared" si="241"/>
        <v>0</v>
      </c>
    </row>
    <row r="312" spans="1:38">
      <c r="A312" s="618"/>
      <c r="B312" s="618" t="s">
        <v>1658</v>
      </c>
      <c r="C312" s="619">
        <f>IF(G312&lt;&gt;0,$C$310,)</f>
        <v>1</v>
      </c>
      <c r="D312" s="523">
        <f>VLOOKUP(B312,DONGIA,DG!$B$6,0)</f>
        <v>0</v>
      </c>
      <c r="E312" s="666" t="str">
        <f>VLOOKUP(B312,DONGIA,DG!$C$6,0)&amp;" (13,0m/bộ)"</f>
        <v>Cáp đồng trần M25mm2 (13,0m/bộ)</v>
      </c>
      <c r="F312" s="523" t="str">
        <f>VLOOKUP(B312,DONGIA,DG!$D$6,0)</f>
        <v>kg</v>
      </c>
      <c r="G312" s="626">
        <f>ROUND((10+3)*0.224,3)</f>
        <v>2.9119999999999999</v>
      </c>
      <c r="H312" s="525">
        <f>VLOOKUP($B312,DONGIA,DG!$E$6,0)</f>
        <v>201380</v>
      </c>
      <c r="I312" s="525"/>
      <c r="J312" s="525"/>
      <c r="K312" s="525">
        <f>VLOOKUP($B312,DONGIA,DG!$F$6,0)</f>
        <v>0</v>
      </c>
      <c r="L312" s="525"/>
      <c r="M312" s="525">
        <f>VLOOKUP($B312,DONGIA,DG!$G$6,0)</f>
        <v>0</v>
      </c>
      <c r="N312" s="525">
        <f>$G312*H312</f>
        <v>586418.55999999994</v>
      </c>
      <c r="O312" s="525">
        <f t="shared" ref="O312:S320" si="252">$G312*I312</f>
        <v>0</v>
      </c>
      <c r="P312" s="525">
        <f t="shared" si="252"/>
        <v>0</v>
      </c>
      <c r="Q312" s="525">
        <f t="shared" si="252"/>
        <v>0</v>
      </c>
      <c r="R312" s="525">
        <f t="shared" si="252"/>
        <v>0</v>
      </c>
      <c r="S312" s="525">
        <f t="shared" si="252"/>
        <v>0</v>
      </c>
      <c r="U312" s="525">
        <f>U$310*$G312</f>
        <v>78.623999999999995</v>
      </c>
      <c r="V312" s="525">
        <f t="shared" ref="V312:AB312" si="253">V$310*$G312</f>
        <v>78.623999999999995</v>
      </c>
      <c r="W312" s="525">
        <f t="shared" si="253"/>
        <v>0</v>
      </c>
      <c r="X312" s="525">
        <f t="shared" si="253"/>
        <v>0</v>
      </c>
      <c r="Y312" s="525">
        <f t="shared" si="253"/>
        <v>0</v>
      </c>
      <c r="Z312" s="525">
        <f t="shared" si="253"/>
        <v>0</v>
      </c>
      <c r="AA312" s="525">
        <f t="shared" si="253"/>
        <v>0</v>
      </c>
      <c r="AB312" s="525">
        <f t="shared" si="253"/>
        <v>0</v>
      </c>
      <c r="AD312" s="405">
        <f t="shared" si="237"/>
        <v>1</v>
      </c>
      <c r="AE312" s="525">
        <f t="shared" si="238"/>
        <v>78.623999999999995</v>
      </c>
      <c r="AF312" s="525">
        <f t="shared" si="239"/>
        <v>78.623999999999995</v>
      </c>
      <c r="AG312" s="525">
        <f t="shared" si="239"/>
        <v>0</v>
      </c>
      <c r="AH312" s="525">
        <f t="shared" si="239"/>
        <v>0</v>
      </c>
      <c r="AI312" s="525">
        <f t="shared" si="240"/>
        <v>0</v>
      </c>
      <c r="AJ312" s="525">
        <f t="shared" si="240"/>
        <v>0</v>
      </c>
      <c r="AK312" s="525">
        <f t="shared" si="240"/>
        <v>0</v>
      </c>
      <c r="AL312" s="525">
        <f t="shared" si="241"/>
        <v>0</v>
      </c>
    </row>
    <row r="313" spans="1:38">
      <c r="A313" s="618"/>
      <c r="B313" s="618" t="s">
        <v>278</v>
      </c>
      <c r="C313" s="619">
        <f t="shared" ref="C313:C320" si="254">IF(G313&lt;&gt;0,$C$310,)</f>
        <v>1</v>
      </c>
      <c r="D313" s="523">
        <f>VLOOKUP(B313,DONGIA,DG!$B$6,0)</f>
        <v>0</v>
      </c>
      <c r="E313" s="666" t="str">
        <f>VLOOKUP(B313,DONGIA,DG!$C$6,0)</f>
        <v>Cọc tiếp đất φ16 - 2,4m (mạ đồng 16µm)</v>
      </c>
      <c r="F313" s="523" t="str">
        <f>VLOOKUP(B313,DONGIA,DG!$D$6,0)</f>
        <v>cọc</v>
      </c>
      <c r="G313" s="525">
        <v>2</v>
      </c>
      <c r="H313" s="525">
        <f>VLOOKUP($B313,DONGIA,DG!$E$6,0)</f>
        <v>130000</v>
      </c>
      <c r="I313" s="525"/>
      <c r="J313" s="525"/>
      <c r="K313" s="525">
        <f>VLOOKUP($B313,DONGIA,DG!$F$6,0)</f>
        <v>0</v>
      </c>
      <c r="L313" s="525"/>
      <c r="M313" s="525">
        <f>VLOOKUP($B313,DONGIA,DG!$G$6,0)</f>
        <v>0</v>
      </c>
      <c r="N313" s="525">
        <f t="shared" ref="N313:N320" si="255">$G313*H313</f>
        <v>260000</v>
      </c>
      <c r="O313" s="525">
        <f t="shared" si="252"/>
        <v>0</v>
      </c>
      <c r="P313" s="525">
        <f t="shared" si="252"/>
        <v>0</v>
      </c>
      <c r="Q313" s="525">
        <f t="shared" si="252"/>
        <v>0</v>
      </c>
      <c r="R313" s="525">
        <f t="shared" si="252"/>
        <v>0</v>
      </c>
      <c r="S313" s="525">
        <f t="shared" si="252"/>
        <v>0</v>
      </c>
      <c r="U313" s="525">
        <f t="shared" ref="U313:AB320" si="256">U$310*$G313</f>
        <v>54</v>
      </c>
      <c r="V313" s="525">
        <f t="shared" si="256"/>
        <v>54</v>
      </c>
      <c r="W313" s="525">
        <f t="shared" si="256"/>
        <v>0</v>
      </c>
      <c r="X313" s="525">
        <f t="shared" si="256"/>
        <v>0</v>
      </c>
      <c r="Y313" s="525">
        <f t="shared" si="256"/>
        <v>0</v>
      </c>
      <c r="Z313" s="525">
        <f t="shared" si="256"/>
        <v>0</v>
      </c>
      <c r="AA313" s="525">
        <f t="shared" si="256"/>
        <v>0</v>
      </c>
      <c r="AB313" s="525">
        <f t="shared" si="256"/>
        <v>0</v>
      </c>
      <c r="AD313" s="405">
        <f t="shared" si="237"/>
        <v>5.3</v>
      </c>
      <c r="AE313" s="525">
        <f t="shared" si="238"/>
        <v>286.2</v>
      </c>
      <c r="AF313" s="525">
        <f t="shared" si="239"/>
        <v>286.2</v>
      </c>
      <c r="AG313" s="525">
        <f t="shared" si="239"/>
        <v>0</v>
      </c>
      <c r="AH313" s="525">
        <f t="shared" si="239"/>
        <v>0</v>
      </c>
      <c r="AI313" s="525">
        <f t="shared" si="240"/>
        <v>0</v>
      </c>
      <c r="AJ313" s="525">
        <f t="shared" si="240"/>
        <v>0</v>
      </c>
      <c r="AK313" s="525">
        <f t="shared" si="240"/>
        <v>0</v>
      </c>
      <c r="AL313" s="525">
        <f t="shared" si="241"/>
        <v>0</v>
      </c>
    </row>
    <row r="314" spans="1:38">
      <c r="A314" s="618"/>
      <c r="B314" s="618" t="s">
        <v>280</v>
      </c>
      <c r="C314" s="619">
        <f t="shared" si="254"/>
        <v>1</v>
      </c>
      <c r="D314" s="523">
        <f>VLOOKUP(B314,DONGIA,DG!$B$6,0)</f>
        <v>0</v>
      </c>
      <c r="E314" s="666" t="str">
        <f>VLOOKUP(B314,DONGIA,DG!$C$6,0)</f>
        <v>Kẹp cọc tiếp địa</v>
      </c>
      <c r="F314" s="523" t="str">
        <f>VLOOKUP(B314,DONGIA,DG!$D$6,0)</f>
        <v>bộ</v>
      </c>
      <c r="G314" s="525">
        <f>G313</f>
        <v>2</v>
      </c>
      <c r="H314" s="525">
        <f>VLOOKUP($B314,DONGIA,DG!$E$6,0)</f>
        <v>25000</v>
      </c>
      <c r="I314" s="525"/>
      <c r="J314" s="525"/>
      <c r="K314" s="525">
        <f>VLOOKUP($B314,DONGIA,DG!$F$6,0)</f>
        <v>0</v>
      </c>
      <c r="L314" s="525"/>
      <c r="M314" s="525">
        <f>VLOOKUP($B314,DONGIA,DG!$G$6,0)</f>
        <v>0</v>
      </c>
      <c r="N314" s="525">
        <f t="shared" si="255"/>
        <v>50000</v>
      </c>
      <c r="O314" s="525">
        <f t="shared" si="252"/>
        <v>0</v>
      </c>
      <c r="P314" s="525">
        <f t="shared" si="252"/>
        <v>0</v>
      </c>
      <c r="Q314" s="525">
        <f t="shared" si="252"/>
        <v>0</v>
      </c>
      <c r="R314" s="525">
        <f t="shared" si="252"/>
        <v>0</v>
      </c>
      <c r="S314" s="525">
        <f t="shared" si="252"/>
        <v>0</v>
      </c>
      <c r="U314" s="525">
        <f t="shared" si="256"/>
        <v>54</v>
      </c>
      <c r="V314" s="525">
        <f t="shared" si="256"/>
        <v>54</v>
      </c>
      <c r="W314" s="525">
        <f t="shared" si="256"/>
        <v>0</v>
      </c>
      <c r="X314" s="525">
        <f t="shared" si="256"/>
        <v>0</v>
      </c>
      <c r="Y314" s="525">
        <f t="shared" si="256"/>
        <v>0</v>
      </c>
      <c r="Z314" s="525">
        <f t="shared" si="256"/>
        <v>0</v>
      </c>
      <c r="AA314" s="525">
        <f t="shared" si="256"/>
        <v>0</v>
      </c>
      <c r="AB314" s="525">
        <f t="shared" si="256"/>
        <v>0</v>
      </c>
      <c r="AD314" s="405">
        <f t="shared" si="237"/>
        <v>0.05</v>
      </c>
      <c r="AE314" s="525">
        <f t="shared" si="238"/>
        <v>2.7</v>
      </c>
      <c r="AF314" s="525">
        <f t="shared" si="239"/>
        <v>2.7</v>
      </c>
      <c r="AG314" s="525">
        <f t="shared" si="239"/>
        <v>0</v>
      </c>
      <c r="AH314" s="525">
        <f t="shared" si="239"/>
        <v>0</v>
      </c>
      <c r="AI314" s="525">
        <f t="shared" si="240"/>
        <v>0</v>
      </c>
      <c r="AJ314" s="525">
        <f t="shared" si="240"/>
        <v>0</v>
      </c>
      <c r="AK314" s="525">
        <f t="shared" si="240"/>
        <v>0</v>
      </c>
      <c r="AL314" s="525">
        <f t="shared" si="241"/>
        <v>0</v>
      </c>
    </row>
    <row r="315" spans="1:38">
      <c r="A315" s="618"/>
      <c r="B315" s="618" t="s">
        <v>323</v>
      </c>
      <c r="C315" s="619">
        <f>IF(G315&lt;&gt;0,$C$310,)</f>
        <v>1</v>
      </c>
      <c r="D315" s="523">
        <f>VLOOKUP(B315,DONGIA,DG!$B$6,0)</f>
        <v>0</v>
      </c>
      <c r="E315" s="666" t="str">
        <f>VLOOKUP(B315,DONGIA,DG!$C$6,0)</f>
        <v>Kẹp ép WR cỡ dây 50mm2</v>
      </c>
      <c r="F315" s="523" t="str">
        <f>VLOOKUP(B315,DONGIA,DG!$D$6,0)</f>
        <v>cái</v>
      </c>
      <c r="G315" s="525">
        <v>2</v>
      </c>
      <c r="H315" s="525">
        <f>VLOOKUP($B315,DONGIA,DG!$E$6,0)</f>
        <v>10000</v>
      </c>
      <c r="I315" s="525"/>
      <c r="J315" s="525"/>
      <c r="K315" s="525">
        <f>VLOOKUP($B315,DONGIA,DG!$F$6,0)</f>
        <v>0</v>
      </c>
      <c r="L315" s="525"/>
      <c r="M315" s="525">
        <f>VLOOKUP($B315,DONGIA,DG!$G$6,0)</f>
        <v>0</v>
      </c>
      <c r="N315" s="525">
        <f t="shared" ref="N315:S318" si="257">$G315*H315</f>
        <v>20000</v>
      </c>
      <c r="O315" s="525">
        <f t="shared" si="257"/>
        <v>0</v>
      </c>
      <c r="P315" s="525">
        <f t="shared" si="257"/>
        <v>0</v>
      </c>
      <c r="Q315" s="525">
        <f t="shared" si="257"/>
        <v>0</v>
      </c>
      <c r="R315" s="525">
        <f t="shared" si="257"/>
        <v>0</v>
      </c>
      <c r="S315" s="525">
        <f t="shared" si="257"/>
        <v>0</v>
      </c>
      <c r="U315" s="525">
        <f t="shared" si="256"/>
        <v>54</v>
      </c>
      <c r="V315" s="525">
        <f t="shared" si="256"/>
        <v>54</v>
      </c>
      <c r="W315" s="525">
        <f t="shared" si="256"/>
        <v>0</v>
      </c>
      <c r="X315" s="525">
        <f t="shared" si="256"/>
        <v>0</v>
      </c>
      <c r="Y315" s="525">
        <f t="shared" si="256"/>
        <v>0</v>
      </c>
      <c r="Z315" s="525">
        <f t="shared" si="256"/>
        <v>0</v>
      </c>
      <c r="AA315" s="525">
        <f t="shared" si="256"/>
        <v>0</v>
      </c>
      <c r="AB315" s="525">
        <f t="shared" si="256"/>
        <v>0</v>
      </c>
      <c r="AD315" s="405">
        <f>IFERROR(VLOOKUP(B315,DONGIA,$AD$3,0),0)</f>
        <v>0.2</v>
      </c>
      <c r="AE315" s="525">
        <f t="shared" ref="AE315:AL318" si="258">U315*$AD315</f>
        <v>10.8</v>
      </c>
      <c r="AF315" s="525">
        <f t="shared" si="258"/>
        <v>10.8</v>
      </c>
      <c r="AG315" s="525">
        <f t="shared" si="258"/>
        <v>0</v>
      </c>
      <c r="AH315" s="525">
        <f t="shared" si="258"/>
        <v>0</v>
      </c>
      <c r="AI315" s="525">
        <f t="shared" si="258"/>
        <v>0</v>
      </c>
      <c r="AJ315" s="525">
        <f t="shared" si="258"/>
        <v>0</v>
      </c>
      <c r="AK315" s="525">
        <f t="shared" si="258"/>
        <v>0</v>
      </c>
      <c r="AL315" s="525">
        <f t="shared" si="258"/>
        <v>0</v>
      </c>
    </row>
    <row r="316" spans="1:38">
      <c r="A316" s="618"/>
      <c r="B316" s="618" t="s">
        <v>1217</v>
      </c>
      <c r="C316" s="619">
        <f>IF(G316&lt;&gt;0,$C$310,)</f>
        <v>1</v>
      </c>
      <c r="D316" s="523">
        <f>VLOOKUP(B316,DONGIA,DG!$B$6,0)</f>
        <v>0</v>
      </c>
      <c r="E316" s="666" t="str">
        <f>VLOOKUP(B316,DONGIA,DG!$C$6,0)</f>
        <v xml:space="preserve">Ốc xiết cáp cỡ 38mm2 </v>
      </c>
      <c r="F316" s="523" t="str">
        <f>VLOOKUP(B316,DONGIA,DG!$D$6,0)</f>
        <v>cái</v>
      </c>
      <c r="G316" s="525">
        <v>2</v>
      </c>
      <c r="H316" s="525">
        <f>VLOOKUP($B316,DONGIA,DG!$E$6,0)</f>
        <v>18000</v>
      </c>
      <c r="I316" s="525"/>
      <c r="J316" s="525"/>
      <c r="K316" s="525">
        <f>VLOOKUP($B316,DONGIA,DG!$F$6,0)</f>
        <v>0</v>
      </c>
      <c r="L316" s="525"/>
      <c r="M316" s="525">
        <f>VLOOKUP($B316,DONGIA,DG!$G$6,0)</f>
        <v>0</v>
      </c>
      <c r="N316" s="525">
        <f t="shared" si="257"/>
        <v>36000</v>
      </c>
      <c r="O316" s="525">
        <f t="shared" si="257"/>
        <v>0</v>
      </c>
      <c r="P316" s="525">
        <f t="shared" si="257"/>
        <v>0</v>
      </c>
      <c r="Q316" s="525">
        <f t="shared" si="257"/>
        <v>0</v>
      </c>
      <c r="R316" s="525">
        <f t="shared" si="257"/>
        <v>0</v>
      </c>
      <c r="S316" s="525">
        <f t="shared" si="257"/>
        <v>0</v>
      </c>
      <c r="U316" s="525">
        <f t="shared" si="256"/>
        <v>54</v>
      </c>
      <c r="V316" s="525">
        <f t="shared" si="256"/>
        <v>54</v>
      </c>
      <c r="W316" s="525">
        <f t="shared" si="256"/>
        <v>0</v>
      </c>
      <c r="X316" s="525">
        <f t="shared" si="256"/>
        <v>0</v>
      </c>
      <c r="Y316" s="525">
        <f t="shared" si="256"/>
        <v>0</v>
      </c>
      <c r="Z316" s="525">
        <f t="shared" si="256"/>
        <v>0</v>
      </c>
      <c r="AA316" s="525">
        <f t="shared" si="256"/>
        <v>0</v>
      </c>
      <c r="AB316" s="525">
        <f t="shared" si="256"/>
        <v>0</v>
      </c>
      <c r="AD316" s="405">
        <f>IFERROR(VLOOKUP(B316,DONGIA,$AD$3,0),0)</f>
        <v>0</v>
      </c>
      <c r="AE316" s="525">
        <f t="shared" si="258"/>
        <v>0</v>
      </c>
      <c r="AF316" s="525">
        <f t="shared" si="258"/>
        <v>0</v>
      </c>
      <c r="AG316" s="525">
        <f t="shared" si="258"/>
        <v>0</v>
      </c>
      <c r="AH316" s="525">
        <f t="shared" si="258"/>
        <v>0</v>
      </c>
      <c r="AI316" s="525">
        <f t="shared" si="258"/>
        <v>0</v>
      </c>
      <c r="AJ316" s="525">
        <f t="shared" si="258"/>
        <v>0</v>
      </c>
      <c r="AK316" s="525">
        <f t="shared" si="258"/>
        <v>0</v>
      </c>
      <c r="AL316" s="525">
        <f t="shared" si="258"/>
        <v>0</v>
      </c>
    </row>
    <row r="317" spans="1:38">
      <c r="A317" s="618"/>
      <c r="B317" s="618" t="s">
        <v>540</v>
      </c>
      <c r="C317" s="619">
        <f>IF(G317&lt;&gt;0,$C$310,)</f>
        <v>1</v>
      </c>
      <c r="D317" s="523" t="str">
        <f>VLOOKUP(B317,DONGIA,DG!$B$6,0)</f>
        <v>AB.11513</v>
      </c>
      <c r="E317" s="666" t="str">
        <f>VLOOKUP(B317,DONGIA,DG!$C$6,0)</f>
        <v>Đào rãnh tiếp địa đất cấp 3</v>
      </c>
      <c r="F317" s="523" t="str">
        <f>VLOOKUP(B317,DONGIA,DG!$D$6,0)</f>
        <v>m3</v>
      </c>
      <c r="G317" s="626">
        <v>0.35</v>
      </c>
      <c r="H317" s="525"/>
      <c r="I317" s="525"/>
      <c r="J317" s="525">
        <f>VLOOKUP($B317,DONGIA,DG!$F$6,0)</f>
        <v>241580</v>
      </c>
      <c r="K317" s="525"/>
      <c r="L317" s="525">
        <f>VLOOKUP($B317,DONGIA,DG!$G$6,0)</f>
        <v>0</v>
      </c>
      <c r="M317" s="525"/>
      <c r="N317" s="525">
        <f t="shared" si="257"/>
        <v>0</v>
      </c>
      <c r="O317" s="525">
        <f t="shared" si="257"/>
        <v>0</v>
      </c>
      <c r="P317" s="525">
        <f t="shared" si="257"/>
        <v>84553</v>
      </c>
      <c r="Q317" s="525">
        <f t="shared" si="257"/>
        <v>0</v>
      </c>
      <c r="R317" s="525">
        <f t="shared" si="257"/>
        <v>0</v>
      </c>
      <c r="S317" s="525">
        <f t="shared" si="257"/>
        <v>0</v>
      </c>
      <c r="U317" s="525">
        <f t="shared" si="256"/>
        <v>9.4499999999999993</v>
      </c>
      <c r="V317" s="525">
        <f t="shared" si="256"/>
        <v>9.4499999999999993</v>
      </c>
      <c r="W317" s="525">
        <f t="shared" si="256"/>
        <v>0</v>
      </c>
      <c r="X317" s="525">
        <f t="shared" si="256"/>
        <v>0</v>
      </c>
      <c r="Y317" s="525">
        <f t="shared" si="256"/>
        <v>0</v>
      </c>
      <c r="Z317" s="525">
        <f t="shared" si="256"/>
        <v>0</v>
      </c>
      <c r="AA317" s="525">
        <f t="shared" si="256"/>
        <v>0</v>
      </c>
      <c r="AB317" s="525">
        <f t="shared" si="256"/>
        <v>0</v>
      </c>
      <c r="AD317" s="405">
        <f>IFERROR(VLOOKUP(B317,DONGIA,$AD$3,0),0)</f>
        <v>0</v>
      </c>
      <c r="AE317" s="525">
        <f t="shared" si="258"/>
        <v>0</v>
      </c>
      <c r="AF317" s="525">
        <f t="shared" si="258"/>
        <v>0</v>
      </c>
      <c r="AG317" s="525">
        <f t="shared" si="258"/>
        <v>0</v>
      </c>
      <c r="AH317" s="525">
        <f t="shared" si="258"/>
        <v>0</v>
      </c>
      <c r="AI317" s="525">
        <f t="shared" si="258"/>
        <v>0</v>
      </c>
      <c r="AJ317" s="525">
        <f t="shared" si="258"/>
        <v>0</v>
      </c>
      <c r="AK317" s="525">
        <f t="shared" si="258"/>
        <v>0</v>
      </c>
      <c r="AL317" s="525">
        <f t="shared" si="258"/>
        <v>0</v>
      </c>
    </row>
    <row r="318" spans="1:38">
      <c r="A318" s="618"/>
      <c r="B318" s="618" t="s">
        <v>547</v>
      </c>
      <c r="C318" s="619">
        <f>IF(G318&lt;&gt;0,$C$310,)</f>
        <v>1</v>
      </c>
      <c r="D318" s="523" t="str">
        <f>VLOOKUP(B318,DONGIA,DG!$B$6,0)</f>
        <v>AB.65110</v>
      </c>
      <c r="E318" s="666" t="str">
        <f>VLOOKUP(B318,DONGIA,DG!$C$6,0)</f>
        <v>Đắp đất rãnh tiếp địa (K=0,85)</v>
      </c>
      <c r="F318" s="523" t="str">
        <f>VLOOKUP(B318,DONGIA,DG!$D$6,0)</f>
        <v>m3</v>
      </c>
      <c r="G318" s="626">
        <f>G317</f>
        <v>0.35</v>
      </c>
      <c r="H318" s="525"/>
      <c r="I318" s="525"/>
      <c r="J318" s="525">
        <f>VLOOKUP($B318,DONGIA,DG!$F$6,0)</f>
        <v>16267</v>
      </c>
      <c r="K318" s="525"/>
      <c r="L318" s="525">
        <f>VLOOKUP($B318,DONGIA,DG!$G$6,0)</f>
        <v>11176</v>
      </c>
      <c r="M318" s="525"/>
      <c r="N318" s="525">
        <f t="shared" si="257"/>
        <v>0</v>
      </c>
      <c r="O318" s="525">
        <f t="shared" si="257"/>
        <v>0</v>
      </c>
      <c r="P318" s="525">
        <f t="shared" si="257"/>
        <v>5693.45</v>
      </c>
      <c r="Q318" s="525">
        <f t="shared" si="257"/>
        <v>0</v>
      </c>
      <c r="R318" s="525">
        <f t="shared" si="257"/>
        <v>3911.6</v>
      </c>
      <c r="S318" s="525">
        <f t="shared" si="257"/>
        <v>0</v>
      </c>
      <c r="U318" s="525">
        <f t="shared" si="256"/>
        <v>9.4499999999999993</v>
      </c>
      <c r="V318" s="525">
        <f t="shared" si="256"/>
        <v>9.4499999999999993</v>
      </c>
      <c r="W318" s="525">
        <f t="shared" si="256"/>
        <v>0</v>
      </c>
      <c r="X318" s="525">
        <f t="shared" si="256"/>
        <v>0</v>
      </c>
      <c r="Y318" s="525">
        <f t="shared" si="256"/>
        <v>0</v>
      </c>
      <c r="Z318" s="525">
        <f t="shared" si="256"/>
        <v>0</v>
      </c>
      <c r="AA318" s="525">
        <f t="shared" si="256"/>
        <v>0</v>
      </c>
      <c r="AB318" s="525">
        <f t="shared" si="256"/>
        <v>0</v>
      </c>
      <c r="AD318" s="405">
        <f>IFERROR(VLOOKUP(B318,DONGIA,$AD$3,0),0)</f>
        <v>0</v>
      </c>
      <c r="AE318" s="525">
        <f t="shared" si="258"/>
        <v>0</v>
      </c>
      <c r="AF318" s="525">
        <f t="shared" si="258"/>
        <v>0</v>
      </c>
      <c r="AG318" s="525">
        <f t="shared" si="258"/>
        <v>0</v>
      </c>
      <c r="AH318" s="525">
        <f t="shared" si="258"/>
        <v>0</v>
      </c>
      <c r="AI318" s="525">
        <f t="shared" si="258"/>
        <v>0</v>
      </c>
      <c r="AJ318" s="525">
        <f t="shared" si="258"/>
        <v>0</v>
      </c>
      <c r="AK318" s="525">
        <f t="shared" si="258"/>
        <v>0</v>
      </c>
      <c r="AL318" s="525">
        <f t="shared" si="258"/>
        <v>0</v>
      </c>
    </row>
    <row r="319" spans="1:38">
      <c r="A319" s="618"/>
      <c r="B319" s="618" t="s">
        <v>570</v>
      </c>
      <c r="C319" s="619">
        <f t="shared" si="254"/>
        <v>1</v>
      </c>
      <c r="D319" s="523" t="str">
        <f>VLOOKUP(B319,DONGIA,DG!$B$6,0)</f>
        <v>D2.7001</v>
      </c>
      <c r="E319" s="666" t="str">
        <f>VLOOKUP(B319,DONGIA,DG!$C$6,0)</f>
        <v xml:space="preserve">Kéo dây tiếp địa </v>
      </c>
      <c r="F319" s="523" t="str">
        <f>VLOOKUP(B319,DONGIA,DG!$D$6,0)</f>
        <v>kg</v>
      </c>
      <c r="G319" s="626">
        <f>G312</f>
        <v>2.9119999999999999</v>
      </c>
      <c r="H319" s="525"/>
      <c r="I319" s="525"/>
      <c r="J319" s="525"/>
      <c r="K319" s="525">
        <f>VLOOKUP($B319,DONGIA,DG!$F$6,0)</f>
        <v>2195</v>
      </c>
      <c r="L319" s="525"/>
      <c r="M319" s="525">
        <f>VLOOKUP($B319,DONGIA,DG!$G$6,0)</f>
        <v>0</v>
      </c>
      <c r="N319" s="525">
        <f t="shared" si="255"/>
        <v>0</v>
      </c>
      <c r="O319" s="525">
        <f t="shared" si="252"/>
        <v>0</v>
      </c>
      <c r="P319" s="525">
        <f t="shared" si="252"/>
        <v>0</v>
      </c>
      <c r="Q319" s="525">
        <f>$G319*K319</f>
        <v>6391.84</v>
      </c>
      <c r="R319" s="525">
        <f t="shared" si="252"/>
        <v>0</v>
      </c>
      <c r="S319" s="525">
        <f t="shared" si="252"/>
        <v>0</v>
      </c>
      <c r="U319" s="525">
        <f t="shared" si="256"/>
        <v>78.623999999999995</v>
      </c>
      <c r="V319" s="525">
        <f t="shared" si="256"/>
        <v>78.623999999999995</v>
      </c>
      <c r="W319" s="525">
        <f t="shared" si="256"/>
        <v>0</v>
      </c>
      <c r="X319" s="525">
        <f t="shared" si="256"/>
        <v>0</v>
      </c>
      <c r="Y319" s="525">
        <f t="shared" si="256"/>
        <v>0</v>
      </c>
      <c r="Z319" s="525">
        <f t="shared" si="256"/>
        <v>0</v>
      </c>
      <c r="AA319" s="525">
        <f t="shared" si="256"/>
        <v>0</v>
      </c>
      <c r="AB319" s="525">
        <f t="shared" si="256"/>
        <v>0</v>
      </c>
      <c r="AD319" s="405">
        <f t="shared" si="237"/>
        <v>0</v>
      </c>
      <c r="AE319" s="525">
        <f t="shared" si="238"/>
        <v>0</v>
      </c>
      <c r="AF319" s="525">
        <f t="shared" si="239"/>
        <v>0</v>
      </c>
      <c r="AG319" s="525">
        <f t="shared" si="239"/>
        <v>0</v>
      </c>
      <c r="AH319" s="525">
        <f t="shared" si="239"/>
        <v>0</v>
      </c>
      <c r="AI319" s="525">
        <f t="shared" si="240"/>
        <v>0</v>
      </c>
      <c r="AJ319" s="525">
        <f t="shared" si="240"/>
        <v>0</v>
      </c>
      <c r="AK319" s="525">
        <f t="shared" si="240"/>
        <v>0</v>
      </c>
      <c r="AL319" s="525">
        <f t="shared" si="241"/>
        <v>0</v>
      </c>
    </row>
    <row r="320" spans="1:38">
      <c r="A320" s="618"/>
      <c r="B320" s="618" t="s">
        <v>575</v>
      </c>
      <c r="C320" s="619">
        <f t="shared" si="254"/>
        <v>1</v>
      </c>
      <c r="D320" s="523" t="str">
        <f>VLOOKUP(B320,DONGIA,DG!$B$6,0)</f>
        <v>D2.8103</v>
      </c>
      <c r="E320" s="666" t="str">
        <f>VLOOKUP(B320,DONGIA,DG!$C$6,0)</f>
        <v>Đóng cọc tiếp địa đất cấp 3</v>
      </c>
      <c r="F320" s="523" t="str">
        <f>VLOOKUP(B320,DONGIA,DG!$D$6,0)</f>
        <v>cọc</v>
      </c>
      <c r="G320" s="525">
        <f>G313</f>
        <v>2</v>
      </c>
      <c r="H320" s="525"/>
      <c r="I320" s="525"/>
      <c r="J320" s="525"/>
      <c r="K320" s="525">
        <f>VLOOKUP($B320,DONGIA,DG!$F$6,0)</f>
        <v>76928</v>
      </c>
      <c r="L320" s="525"/>
      <c r="M320" s="525">
        <f>VLOOKUP($B320,DONGIA,DG!$G$6,0)</f>
        <v>0</v>
      </c>
      <c r="N320" s="525">
        <f t="shared" si="255"/>
        <v>0</v>
      </c>
      <c r="O320" s="525">
        <f t="shared" si="252"/>
        <v>0</v>
      </c>
      <c r="P320" s="525">
        <f t="shared" si="252"/>
        <v>0</v>
      </c>
      <c r="Q320" s="525">
        <f>$G320*K320</f>
        <v>153856</v>
      </c>
      <c r="R320" s="525">
        <f t="shared" si="252"/>
        <v>0</v>
      </c>
      <c r="S320" s="525">
        <f t="shared" si="252"/>
        <v>0</v>
      </c>
      <c r="U320" s="525">
        <f t="shared" si="256"/>
        <v>54</v>
      </c>
      <c r="V320" s="525">
        <f t="shared" si="256"/>
        <v>54</v>
      </c>
      <c r="W320" s="525">
        <f t="shared" si="256"/>
        <v>0</v>
      </c>
      <c r="X320" s="525">
        <f t="shared" si="256"/>
        <v>0</v>
      </c>
      <c r="Y320" s="525">
        <f t="shared" si="256"/>
        <v>0</v>
      </c>
      <c r="Z320" s="525">
        <f t="shared" si="256"/>
        <v>0</v>
      </c>
      <c r="AA320" s="525">
        <f t="shared" si="256"/>
        <v>0</v>
      </c>
      <c r="AB320" s="525">
        <f t="shared" si="256"/>
        <v>0</v>
      </c>
      <c r="AD320" s="405">
        <f t="shared" si="237"/>
        <v>0</v>
      </c>
      <c r="AE320" s="525">
        <f t="shared" si="238"/>
        <v>0</v>
      </c>
      <c r="AF320" s="525">
        <f t="shared" si="239"/>
        <v>0</v>
      </c>
      <c r="AG320" s="525">
        <f t="shared" si="239"/>
        <v>0</v>
      </c>
      <c r="AH320" s="525">
        <f t="shared" si="239"/>
        <v>0</v>
      </c>
      <c r="AI320" s="525">
        <f t="shared" si="240"/>
        <v>0</v>
      </c>
      <c r="AJ320" s="525">
        <f t="shared" si="240"/>
        <v>0</v>
      </c>
      <c r="AK320" s="525">
        <f t="shared" si="240"/>
        <v>0</v>
      </c>
      <c r="AL320" s="525">
        <f t="shared" si="241"/>
        <v>0</v>
      </c>
    </row>
    <row r="321" spans="1:38" s="332" customFormat="1">
      <c r="A321" s="356" t="s">
        <v>1780</v>
      </c>
      <c r="B321" s="356"/>
      <c r="C321" s="355">
        <f>IF(G321&lt;&gt;0,1,)</f>
        <v>0</v>
      </c>
      <c r="D321" s="357"/>
      <c r="E321" s="358" t="s">
        <v>1424</v>
      </c>
      <c r="F321" s="357" t="s">
        <v>138</v>
      </c>
      <c r="G321" s="357">
        <f>U321</f>
        <v>0</v>
      </c>
      <c r="H321" s="358"/>
      <c r="I321" s="358"/>
      <c r="J321" s="358"/>
      <c r="K321" s="358"/>
      <c r="L321" s="358"/>
      <c r="M321" s="358"/>
      <c r="N321" s="358">
        <f t="shared" ref="N321:S321" si="259">SUM(N323:N330)</f>
        <v>671200.32000000007</v>
      </c>
      <c r="O321" s="358">
        <f t="shared" si="259"/>
        <v>0</v>
      </c>
      <c r="P321" s="358">
        <f t="shared" si="259"/>
        <v>12892.35</v>
      </c>
      <c r="Q321" s="358">
        <f t="shared" si="259"/>
        <v>82336.479999999996</v>
      </c>
      <c r="R321" s="358">
        <f t="shared" si="259"/>
        <v>558.80000000000007</v>
      </c>
      <c r="S321" s="358">
        <f t="shared" si="259"/>
        <v>0</v>
      </c>
      <c r="U321" s="358">
        <f>SUM(V321:AB321)</f>
        <v>0</v>
      </c>
      <c r="V321" s="358">
        <f>IFERROR(HLOOKUP($A321,BK3P,V$3,0),)</f>
        <v>0</v>
      </c>
      <c r="W321" s="358">
        <f>IFERROR(HLOOKUP($A321,BK3P,W$3,0),)</f>
        <v>0</v>
      </c>
      <c r="X321" s="358">
        <f>IFERROR(HLOOKUP($A321,BK3P,X$3,0),)</f>
        <v>0</v>
      </c>
      <c r="Y321" s="358">
        <f>IFERROR(HLOOKUP($A321,BK1P,Y$3,0),)</f>
        <v>0</v>
      </c>
      <c r="Z321" s="358">
        <f>IFERROR(HLOOKUP($A321,BK1P,Z$3,0),)</f>
        <v>0</v>
      </c>
      <c r="AA321" s="358">
        <f>IFERROR(HLOOKUP($A321,BK1P,AA$3,0),)</f>
        <v>0</v>
      </c>
      <c r="AB321" s="358">
        <f>IFERROR(HLOOKUP($A321,BKHT,AB$3,0),)</f>
        <v>0</v>
      </c>
      <c r="AD321" s="332">
        <f t="shared" si="237"/>
        <v>0</v>
      </c>
      <c r="AE321" s="329">
        <f t="shared" si="238"/>
        <v>0</v>
      </c>
      <c r="AF321" s="329">
        <f t="shared" si="239"/>
        <v>0</v>
      </c>
      <c r="AG321" s="329">
        <f t="shared" si="239"/>
        <v>0</v>
      </c>
      <c r="AH321" s="329">
        <f t="shared" si="239"/>
        <v>0</v>
      </c>
      <c r="AI321" s="329">
        <f t="shared" si="240"/>
        <v>0</v>
      </c>
      <c r="AJ321" s="329">
        <f t="shared" si="240"/>
        <v>0</v>
      </c>
      <c r="AK321" s="329">
        <f t="shared" si="240"/>
        <v>0</v>
      </c>
      <c r="AL321" s="329">
        <f t="shared" si="241"/>
        <v>0</v>
      </c>
    </row>
    <row r="322" spans="1:38" s="361" customFormat="1">
      <c r="A322" s="359"/>
      <c r="B322" s="359"/>
      <c r="C322" s="360">
        <f>C321</f>
        <v>0</v>
      </c>
      <c r="D322" s="350"/>
      <c r="E322" s="351" t="s">
        <v>1659</v>
      </c>
      <c r="F322" s="350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U322" s="351"/>
      <c r="V322" s="351"/>
      <c r="W322" s="351"/>
      <c r="X322" s="351"/>
      <c r="Y322" s="351"/>
      <c r="Z322" s="351"/>
      <c r="AA322" s="351"/>
      <c r="AB322" s="351"/>
      <c r="AD322" s="332">
        <f t="shared" si="237"/>
        <v>0</v>
      </c>
      <c r="AE322" s="329">
        <f t="shared" si="238"/>
        <v>0</v>
      </c>
      <c r="AF322" s="329">
        <f t="shared" si="239"/>
        <v>0</v>
      </c>
      <c r="AG322" s="329">
        <f t="shared" si="239"/>
        <v>0</v>
      </c>
      <c r="AH322" s="329">
        <f t="shared" si="239"/>
        <v>0</v>
      </c>
      <c r="AI322" s="329">
        <f t="shared" si="240"/>
        <v>0</v>
      </c>
      <c r="AJ322" s="329">
        <f t="shared" si="240"/>
        <v>0</v>
      </c>
      <c r="AK322" s="329">
        <f t="shared" si="240"/>
        <v>0</v>
      </c>
      <c r="AL322" s="329">
        <f t="shared" si="241"/>
        <v>0</v>
      </c>
    </row>
    <row r="323" spans="1:38" s="332" customFormat="1">
      <c r="A323" s="356"/>
      <c r="B323" s="356" t="s">
        <v>1658</v>
      </c>
      <c r="C323" s="355">
        <f>IF(G323&lt;&gt;0,$C$321,)</f>
        <v>0</v>
      </c>
      <c r="D323" s="341">
        <f>VLOOKUP(B323,DONGIA,DG!$B$6,0)</f>
        <v>0</v>
      </c>
      <c r="E323" s="340" t="str">
        <f>VLOOKUP(B323,DONGIA,DG!$C$6,0)</f>
        <v>Cáp đồng trần M25mm2</v>
      </c>
      <c r="F323" s="341" t="str">
        <f>VLOOKUP(B323,DONGIA,DG!$D$6,0)</f>
        <v>kg</v>
      </c>
      <c r="G323" s="52">
        <f>11*0.224</f>
        <v>2.464</v>
      </c>
      <c r="H323" s="329">
        <f>VLOOKUP($B323,DONGIA,DG!$E$6,0)</f>
        <v>201380</v>
      </c>
      <c r="I323" s="329"/>
      <c r="J323" s="329"/>
      <c r="K323" s="329">
        <f>VLOOKUP($B323,DONGIA,DG!$F$6,0)</f>
        <v>0</v>
      </c>
      <c r="L323" s="329"/>
      <c r="M323" s="329">
        <f>VLOOKUP($B323,DONGIA,DG!$G$6,0)</f>
        <v>0</v>
      </c>
      <c r="N323" s="329">
        <f>$G323*H323</f>
        <v>496200.32</v>
      </c>
      <c r="O323" s="329">
        <f t="shared" ref="O323:S330" si="260">$G323*I323</f>
        <v>0</v>
      </c>
      <c r="P323" s="329">
        <f t="shared" si="260"/>
        <v>0</v>
      </c>
      <c r="Q323" s="329">
        <f t="shared" si="260"/>
        <v>0</v>
      </c>
      <c r="R323" s="329">
        <f t="shared" si="260"/>
        <v>0</v>
      </c>
      <c r="S323" s="329">
        <f t="shared" si="260"/>
        <v>0</v>
      </c>
      <c r="U323" s="329">
        <f>U$321*$G323</f>
        <v>0</v>
      </c>
      <c r="V323" s="329">
        <f t="shared" ref="V323:AB323" si="261">V$321*$G323</f>
        <v>0</v>
      </c>
      <c r="W323" s="329">
        <f t="shared" si="261"/>
        <v>0</v>
      </c>
      <c r="X323" s="329">
        <f t="shared" si="261"/>
        <v>0</v>
      </c>
      <c r="Y323" s="329">
        <f t="shared" si="261"/>
        <v>0</v>
      </c>
      <c r="Z323" s="329">
        <f t="shared" si="261"/>
        <v>0</v>
      </c>
      <c r="AA323" s="329">
        <f t="shared" si="261"/>
        <v>0</v>
      </c>
      <c r="AB323" s="329">
        <f t="shared" si="261"/>
        <v>0</v>
      </c>
      <c r="AD323" s="332">
        <f t="shared" si="237"/>
        <v>1</v>
      </c>
      <c r="AE323" s="329">
        <f t="shared" si="238"/>
        <v>0</v>
      </c>
      <c r="AF323" s="329">
        <f t="shared" si="239"/>
        <v>0</v>
      </c>
      <c r="AG323" s="329">
        <f t="shared" si="239"/>
        <v>0</v>
      </c>
      <c r="AH323" s="329">
        <f t="shared" si="239"/>
        <v>0</v>
      </c>
      <c r="AI323" s="329">
        <f t="shared" si="240"/>
        <v>0</v>
      </c>
      <c r="AJ323" s="329">
        <f t="shared" si="240"/>
        <v>0</v>
      </c>
      <c r="AK323" s="329">
        <f t="shared" si="240"/>
        <v>0</v>
      </c>
      <c r="AL323" s="329">
        <f t="shared" si="241"/>
        <v>0</v>
      </c>
    </row>
    <row r="324" spans="1:38" s="332" customFormat="1">
      <c r="A324" s="356"/>
      <c r="B324" s="356" t="s">
        <v>278</v>
      </c>
      <c r="C324" s="355">
        <f t="shared" ref="C324:C330" si="262">IF(G324&lt;&gt;0,$C$321,)</f>
        <v>0</v>
      </c>
      <c r="D324" s="341">
        <f>VLOOKUP(B324,DONGIA,DG!$B$6,0)</f>
        <v>0</v>
      </c>
      <c r="E324" s="340" t="str">
        <f>VLOOKUP(B324,DONGIA,DG!$C$6,0)</f>
        <v>Cọc tiếp đất φ16 - 2,4m (mạ đồng 16µm)</v>
      </c>
      <c r="F324" s="341" t="str">
        <f>VLOOKUP(B324,DONGIA,DG!$D$6,0)</f>
        <v>cọc</v>
      </c>
      <c r="G324" s="329">
        <v>1</v>
      </c>
      <c r="H324" s="329">
        <f>VLOOKUP($B324,DONGIA,DG!$E$6,0)</f>
        <v>130000</v>
      </c>
      <c r="I324" s="329"/>
      <c r="J324" s="329"/>
      <c r="K324" s="329">
        <f>VLOOKUP($B324,DONGIA,DG!$F$6,0)</f>
        <v>0</v>
      </c>
      <c r="L324" s="329"/>
      <c r="M324" s="329">
        <f>VLOOKUP($B324,DONGIA,DG!$G$6,0)</f>
        <v>0</v>
      </c>
      <c r="N324" s="329">
        <f t="shared" ref="N324:N330" si="263">$G324*H324</f>
        <v>130000</v>
      </c>
      <c r="O324" s="329">
        <f t="shared" si="260"/>
        <v>0</v>
      </c>
      <c r="P324" s="329">
        <f t="shared" si="260"/>
        <v>0</v>
      </c>
      <c r="Q324" s="329">
        <f t="shared" si="260"/>
        <v>0</v>
      </c>
      <c r="R324" s="329">
        <f t="shared" si="260"/>
        <v>0</v>
      </c>
      <c r="S324" s="329">
        <f t="shared" si="260"/>
        <v>0</v>
      </c>
      <c r="U324" s="329">
        <f t="shared" ref="U324:AB330" si="264">U$321*$G324</f>
        <v>0</v>
      </c>
      <c r="V324" s="329">
        <f t="shared" si="264"/>
        <v>0</v>
      </c>
      <c r="W324" s="329">
        <f t="shared" si="264"/>
        <v>0</v>
      </c>
      <c r="X324" s="329">
        <f t="shared" si="264"/>
        <v>0</v>
      </c>
      <c r="Y324" s="329">
        <f t="shared" si="264"/>
        <v>0</v>
      </c>
      <c r="Z324" s="329">
        <f t="shared" si="264"/>
        <v>0</v>
      </c>
      <c r="AA324" s="329">
        <f t="shared" si="264"/>
        <v>0</v>
      </c>
      <c r="AB324" s="329">
        <f t="shared" si="264"/>
        <v>0</v>
      </c>
      <c r="AD324" s="332">
        <f t="shared" si="237"/>
        <v>5.3</v>
      </c>
      <c r="AE324" s="329">
        <f t="shared" si="238"/>
        <v>0</v>
      </c>
      <c r="AF324" s="329">
        <f t="shared" si="239"/>
        <v>0</v>
      </c>
      <c r="AG324" s="329">
        <f t="shared" si="239"/>
        <v>0</v>
      </c>
      <c r="AH324" s="329">
        <f t="shared" si="239"/>
        <v>0</v>
      </c>
      <c r="AI324" s="329">
        <f t="shared" si="240"/>
        <v>0</v>
      </c>
      <c r="AJ324" s="329">
        <f t="shared" si="240"/>
        <v>0</v>
      </c>
      <c r="AK324" s="329">
        <f t="shared" si="240"/>
        <v>0</v>
      </c>
      <c r="AL324" s="329">
        <f t="shared" si="241"/>
        <v>0</v>
      </c>
    </row>
    <row r="325" spans="1:38" s="332" customFormat="1">
      <c r="A325" s="356"/>
      <c r="B325" s="356" t="s">
        <v>280</v>
      </c>
      <c r="C325" s="355">
        <f t="shared" si="262"/>
        <v>0</v>
      </c>
      <c r="D325" s="341">
        <f>VLOOKUP(B325,DONGIA,DG!$B$6,0)</f>
        <v>0</v>
      </c>
      <c r="E325" s="340" t="str">
        <f>VLOOKUP(B325,DONGIA,DG!$C$6,0)</f>
        <v>Kẹp cọc tiếp địa</v>
      </c>
      <c r="F325" s="341" t="str">
        <f>VLOOKUP(B325,DONGIA,DG!$D$6,0)</f>
        <v>bộ</v>
      </c>
      <c r="G325" s="329">
        <f>G324</f>
        <v>1</v>
      </c>
      <c r="H325" s="329">
        <f>VLOOKUP($B325,DONGIA,DG!$E$6,0)</f>
        <v>25000</v>
      </c>
      <c r="I325" s="329"/>
      <c r="J325" s="329"/>
      <c r="K325" s="329">
        <f>VLOOKUP($B325,DONGIA,DG!$F$6,0)</f>
        <v>0</v>
      </c>
      <c r="L325" s="329"/>
      <c r="M325" s="329">
        <f>VLOOKUP($B325,DONGIA,DG!$G$6,0)</f>
        <v>0</v>
      </c>
      <c r="N325" s="329">
        <f t="shared" si="263"/>
        <v>25000</v>
      </c>
      <c r="O325" s="329">
        <f t="shared" si="260"/>
        <v>0</v>
      </c>
      <c r="P325" s="329">
        <f t="shared" si="260"/>
        <v>0</v>
      </c>
      <c r="Q325" s="329">
        <f t="shared" si="260"/>
        <v>0</v>
      </c>
      <c r="R325" s="329">
        <f t="shared" si="260"/>
        <v>0</v>
      </c>
      <c r="S325" s="329">
        <f t="shared" si="260"/>
        <v>0</v>
      </c>
      <c r="U325" s="329">
        <f t="shared" si="264"/>
        <v>0</v>
      </c>
      <c r="V325" s="329">
        <f t="shared" si="264"/>
        <v>0</v>
      </c>
      <c r="W325" s="329">
        <f t="shared" si="264"/>
        <v>0</v>
      </c>
      <c r="X325" s="329">
        <f t="shared" si="264"/>
        <v>0</v>
      </c>
      <c r="Y325" s="329">
        <f t="shared" si="264"/>
        <v>0</v>
      </c>
      <c r="Z325" s="329">
        <f t="shared" si="264"/>
        <v>0</v>
      </c>
      <c r="AA325" s="329">
        <f t="shared" si="264"/>
        <v>0</v>
      </c>
      <c r="AB325" s="329">
        <f t="shared" si="264"/>
        <v>0</v>
      </c>
      <c r="AD325" s="332">
        <f t="shared" si="237"/>
        <v>0.05</v>
      </c>
      <c r="AE325" s="329">
        <f t="shared" si="238"/>
        <v>0</v>
      </c>
      <c r="AF325" s="329">
        <f t="shared" si="239"/>
        <v>0</v>
      </c>
      <c r="AG325" s="329">
        <f t="shared" si="239"/>
        <v>0</v>
      </c>
      <c r="AH325" s="329">
        <f t="shared" si="239"/>
        <v>0</v>
      </c>
      <c r="AI325" s="329">
        <f t="shared" si="240"/>
        <v>0</v>
      </c>
      <c r="AJ325" s="329">
        <f t="shared" si="240"/>
        <v>0</v>
      </c>
      <c r="AK325" s="329">
        <f t="shared" si="240"/>
        <v>0</v>
      </c>
      <c r="AL325" s="329">
        <f t="shared" si="241"/>
        <v>0</v>
      </c>
    </row>
    <row r="326" spans="1:38" s="332" customFormat="1">
      <c r="A326" s="356"/>
      <c r="B326" s="356" t="s">
        <v>323</v>
      </c>
      <c r="C326" s="355">
        <f t="shared" si="262"/>
        <v>0</v>
      </c>
      <c r="D326" s="341">
        <f>VLOOKUP(B326,DONGIA,DG!$B$6,0)</f>
        <v>0</v>
      </c>
      <c r="E326" s="340" t="str">
        <f>VLOOKUP(B326,DONGIA,DG!$C$6,0)</f>
        <v>Kẹp ép WR cỡ dây 50mm2</v>
      </c>
      <c r="F326" s="341" t="str">
        <f>VLOOKUP(B326,DONGIA,DG!$D$6,0)</f>
        <v>cái</v>
      </c>
      <c r="G326" s="329">
        <v>2</v>
      </c>
      <c r="H326" s="329">
        <f>VLOOKUP($B326,DONGIA,DG!$E$6,0)</f>
        <v>10000</v>
      </c>
      <c r="I326" s="329"/>
      <c r="J326" s="329"/>
      <c r="K326" s="329">
        <f>VLOOKUP($B326,DONGIA,DG!$F$6,0)</f>
        <v>0</v>
      </c>
      <c r="L326" s="329"/>
      <c r="M326" s="329">
        <f>VLOOKUP($B326,DONGIA,DG!$G$6,0)</f>
        <v>0</v>
      </c>
      <c r="N326" s="329">
        <f t="shared" ref="N326:S328" si="265">$G326*H326</f>
        <v>20000</v>
      </c>
      <c r="O326" s="329">
        <f t="shared" si="265"/>
        <v>0</v>
      </c>
      <c r="P326" s="329">
        <f t="shared" si="265"/>
        <v>0</v>
      </c>
      <c r="Q326" s="329">
        <f t="shared" si="265"/>
        <v>0</v>
      </c>
      <c r="R326" s="329">
        <f t="shared" si="265"/>
        <v>0</v>
      </c>
      <c r="S326" s="329">
        <f t="shared" si="265"/>
        <v>0</v>
      </c>
      <c r="U326" s="329">
        <f t="shared" si="264"/>
        <v>0</v>
      </c>
      <c r="V326" s="329">
        <f t="shared" si="264"/>
        <v>0</v>
      </c>
      <c r="W326" s="329">
        <f t="shared" si="264"/>
        <v>0</v>
      </c>
      <c r="X326" s="329">
        <f t="shared" si="264"/>
        <v>0</v>
      </c>
      <c r="Y326" s="329">
        <f t="shared" si="264"/>
        <v>0</v>
      </c>
      <c r="Z326" s="329">
        <f t="shared" si="264"/>
        <v>0</v>
      </c>
      <c r="AA326" s="329">
        <f t="shared" si="264"/>
        <v>0</v>
      </c>
      <c r="AB326" s="329">
        <f t="shared" si="264"/>
        <v>0</v>
      </c>
      <c r="AD326" s="332">
        <f>IFERROR(VLOOKUP(B326,DONGIA,$AD$3,0),0)</f>
        <v>0.2</v>
      </c>
      <c r="AE326" s="329">
        <f t="shared" ref="AE326:AL328" si="266">U326*$AD326</f>
        <v>0</v>
      </c>
      <c r="AF326" s="329">
        <f t="shared" si="266"/>
        <v>0</v>
      </c>
      <c r="AG326" s="329">
        <f t="shared" si="266"/>
        <v>0</v>
      </c>
      <c r="AH326" s="329">
        <f t="shared" si="266"/>
        <v>0</v>
      </c>
      <c r="AI326" s="329">
        <f t="shared" si="266"/>
        <v>0</v>
      </c>
      <c r="AJ326" s="329">
        <f t="shared" si="266"/>
        <v>0</v>
      </c>
      <c r="AK326" s="329">
        <f t="shared" si="266"/>
        <v>0</v>
      </c>
      <c r="AL326" s="329">
        <f t="shared" si="266"/>
        <v>0</v>
      </c>
    </row>
    <row r="327" spans="1:38" s="332" customFormat="1">
      <c r="A327" s="356"/>
      <c r="B327" s="356" t="s">
        <v>540</v>
      </c>
      <c r="C327" s="355">
        <f t="shared" si="262"/>
        <v>0</v>
      </c>
      <c r="D327" s="341" t="str">
        <f>VLOOKUP(B327,DONGIA,DG!$B$6,0)</f>
        <v>AB.11513</v>
      </c>
      <c r="E327" s="340" t="str">
        <f>VLOOKUP(B327,DONGIA,DG!$C$6,0)</f>
        <v>Đào rãnh tiếp địa đất cấp 3</v>
      </c>
      <c r="F327" s="341" t="str">
        <f>VLOOKUP(B327,DONGIA,DG!$D$6,0)</f>
        <v>m3</v>
      </c>
      <c r="G327" s="443">
        <f>ROUND(0.5*0.2*0.5,3)</f>
        <v>0.05</v>
      </c>
      <c r="H327" s="329"/>
      <c r="I327" s="329"/>
      <c r="J327" s="329">
        <f>VLOOKUP($B327,DONGIA,DG!$F$6,0)</f>
        <v>241580</v>
      </c>
      <c r="K327" s="329"/>
      <c r="L327" s="329">
        <f>VLOOKUP($B327,DONGIA,DG!$G$6,0)</f>
        <v>0</v>
      </c>
      <c r="M327" s="329"/>
      <c r="N327" s="329">
        <f t="shared" si="265"/>
        <v>0</v>
      </c>
      <c r="O327" s="329">
        <f t="shared" si="265"/>
        <v>0</v>
      </c>
      <c r="P327" s="329">
        <f t="shared" si="265"/>
        <v>12079</v>
      </c>
      <c r="Q327" s="329">
        <f t="shared" si="265"/>
        <v>0</v>
      </c>
      <c r="R327" s="329">
        <f t="shared" si="265"/>
        <v>0</v>
      </c>
      <c r="S327" s="329">
        <f t="shared" si="265"/>
        <v>0</v>
      </c>
      <c r="U327" s="329">
        <f t="shared" si="264"/>
        <v>0</v>
      </c>
      <c r="V327" s="329">
        <f t="shared" si="264"/>
        <v>0</v>
      </c>
      <c r="W327" s="329">
        <f t="shared" si="264"/>
        <v>0</v>
      </c>
      <c r="X327" s="329">
        <f t="shared" si="264"/>
        <v>0</v>
      </c>
      <c r="Y327" s="329">
        <f t="shared" si="264"/>
        <v>0</v>
      </c>
      <c r="Z327" s="329">
        <f t="shared" si="264"/>
        <v>0</v>
      </c>
      <c r="AA327" s="329">
        <f t="shared" si="264"/>
        <v>0</v>
      </c>
      <c r="AB327" s="329">
        <f t="shared" si="264"/>
        <v>0</v>
      </c>
      <c r="AD327" s="332">
        <f>IFERROR(VLOOKUP(B327,DONGIA,$AD$3,0),0)</f>
        <v>0</v>
      </c>
      <c r="AE327" s="329">
        <f t="shared" si="266"/>
        <v>0</v>
      </c>
      <c r="AF327" s="329">
        <f t="shared" si="266"/>
        <v>0</v>
      </c>
      <c r="AG327" s="329">
        <f t="shared" si="266"/>
        <v>0</v>
      </c>
      <c r="AH327" s="329">
        <f t="shared" si="266"/>
        <v>0</v>
      </c>
      <c r="AI327" s="329">
        <f t="shared" si="266"/>
        <v>0</v>
      </c>
      <c r="AJ327" s="329">
        <f t="shared" si="266"/>
        <v>0</v>
      </c>
      <c r="AK327" s="329">
        <f t="shared" si="266"/>
        <v>0</v>
      </c>
      <c r="AL327" s="329">
        <f t="shared" si="266"/>
        <v>0</v>
      </c>
    </row>
    <row r="328" spans="1:38" s="332" customFormat="1">
      <c r="A328" s="356"/>
      <c r="B328" s="356" t="s">
        <v>547</v>
      </c>
      <c r="C328" s="355">
        <f t="shared" si="262"/>
        <v>0</v>
      </c>
      <c r="D328" s="341" t="str">
        <f>VLOOKUP(B328,DONGIA,DG!$B$6,0)</f>
        <v>AB.65110</v>
      </c>
      <c r="E328" s="340" t="str">
        <f>VLOOKUP(B328,DONGIA,DG!$C$6,0)</f>
        <v>Đắp đất rãnh tiếp địa (K=0,85)</v>
      </c>
      <c r="F328" s="341" t="str">
        <f>VLOOKUP(B328,DONGIA,DG!$D$6,0)</f>
        <v>m3</v>
      </c>
      <c r="G328" s="443">
        <f>G327</f>
        <v>0.05</v>
      </c>
      <c r="H328" s="329"/>
      <c r="I328" s="329"/>
      <c r="J328" s="329">
        <f>VLOOKUP($B328,DONGIA,DG!$F$6,0)</f>
        <v>16267</v>
      </c>
      <c r="K328" s="329"/>
      <c r="L328" s="329">
        <f>VLOOKUP($B328,DONGIA,DG!$G$6,0)</f>
        <v>11176</v>
      </c>
      <c r="M328" s="329"/>
      <c r="N328" s="329">
        <f t="shared" si="265"/>
        <v>0</v>
      </c>
      <c r="O328" s="329">
        <f t="shared" si="265"/>
        <v>0</v>
      </c>
      <c r="P328" s="329">
        <f t="shared" si="265"/>
        <v>813.35</v>
      </c>
      <c r="Q328" s="329">
        <f t="shared" si="265"/>
        <v>0</v>
      </c>
      <c r="R328" s="329">
        <f t="shared" si="265"/>
        <v>558.80000000000007</v>
      </c>
      <c r="S328" s="329">
        <f t="shared" si="265"/>
        <v>0</v>
      </c>
      <c r="U328" s="329">
        <f t="shared" si="264"/>
        <v>0</v>
      </c>
      <c r="V328" s="329">
        <f t="shared" si="264"/>
        <v>0</v>
      </c>
      <c r="W328" s="329">
        <f t="shared" si="264"/>
        <v>0</v>
      </c>
      <c r="X328" s="329">
        <f t="shared" si="264"/>
        <v>0</v>
      </c>
      <c r="Y328" s="329">
        <f t="shared" si="264"/>
        <v>0</v>
      </c>
      <c r="Z328" s="329">
        <f t="shared" si="264"/>
        <v>0</v>
      </c>
      <c r="AA328" s="329">
        <f t="shared" si="264"/>
        <v>0</v>
      </c>
      <c r="AB328" s="329">
        <f t="shared" si="264"/>
        <v>0</v>
      </c>
      <c r="AD328" s="332">
        <f>IFERROR(VLOOKUP(B328,DONGIA,$AD$3,0),0)</f>
        <v>0</v>
      </c>
      <c r="AE328" s="329">
        <f t="shared" si="266"/>
        <v>0</v>
      </c>
      <c r="AF328" s="329">
        <f t="shared" si="266"/>
        <v>0</v>
      </c>
      <c r="AG328" s="329">
        <f t="shared" si="266"/>
        <v>0</v>
      </c>
      <c r="AH328" s="329">
        <f t="shared" si="266"/>
        <v>0</v>
      </c>
      <c r="AI328" s="329">
        <f t="shared" si="266"/>
        <v>0</v>
      </c>
      <c r="AJ328" s="329">
        <f t="shared" si="266"/>
        <v>0</v>
      </c>
      <c r="AK328" s="329">
        <f t="shared" si="266"/>
        <v>0</v>
      </c>
      <c r="AL328" s="329">
        <f t="shared" si="266"/>
        <v>0</v>
      </c>
    </row>
    <row r="329" spans="1:38" s="332" customFormat="1">
      <c r="A329" s="356"/>
      <c r="B329" s="356" t="s">
        <v>570</v>
      </c>
      <c r="C329" s="355">
        <f t="shared" si="262"/>
        <v>0</v>
      </c>
      <c r="D329" s="341" t="str">
        <f>VLOOKUP(B329,DONGIA,DG!$B$6,0)</f>
        <v>D2.7001</v>
      </c>
      <c r="E329" s="340" t="str">
        <f>VLOOKUP(B329,DONGIA,DG!$C$6,0)</f>
        <v xml:space="preserve">Kéo dây tiếp địa </v>
      </c>
      <c r="F329" s="341" t="str">
        <f>VLOOKUP(B329,DONGIA,DG!$D$6,0)</f>
        <v>kg</v>
      </c>
      <c r="G329" s="329">
        <f>G323</f>
        <v>2.464</v>
      </c>
      <c r="H329" s="329">
        <f>VLOOKUP($B329,DONGIA,DG!$E$6,0)</f>
        <v>0</v>
      </c>
      <c r="I329" s="329"/>
      <c r="J329" s="329"/>
      <c r="K329" s="329">
        <f>VLOOKUP($B329,DONGIA,DG!$F$6,0)</f>
        <v>2195</v>
      </c>
      <c r="L329" s="329"/>
      <c r="M329" s="329">
        <f>VLOOKUP($B329,DONGIA,DG!$G$6,0)</f>
        <v>0</v>
      </c>
      <c r="N329" s="329">
        <f t="shared" si="263"/>
        <v>0</v>
      </c>
      <c r="O329" s="329">
        <f t="shared" si="260"/>
        <v>0</v>
      </c>
      <c r="P329" s="329">
        <f t="shared" si="260"/>
        <v>0</v>
      </c>
      <c r="Q329" s="329">
        <f t="shared" si="260"/>
        <v>5408.48</v>
      </c>
      <c r="R329" s="329">
        <f t="shared" si="260"/>
        <v>0</v>
      </c>
      <c r="S329" s="329">
        <f t="shared" si="260"/>
        <v>0</v>
      </c>
      <c r="U329" s="329">
        <f t="shared" si="264"/>
        <v>0</v>
      </c>
      <c r="V329" s="329">
        <f t="shared" si="264"/>
        <v>0</v>
      </c>
      <c r="W329" s="329">
        <f t="shared" si="264"/>
        <v>0</v>
      </c>
      <c r="X329" s="329">
        <f t="shared" si="264"/>
        <v>0</v>
      </c>
      <c r="Y329" s="329">
        <f t="shared" si="264"/>
        <v>0</v>
      </c>
      <c r="Z329" s="329">
        <f t="shared" si="264"/>
        <v>0</v>
      </c>
      <c r="AA329" s="329">
        <f t="shared" si="264"/>
        <v>0</v>
      </c>
      <c r="AB329" s="329">
        <f t="shared" si="264"/>
        <v>0</v>
      </c>
      <c r="AD329" s="332">
        <f t="shared" si="237"/>
        <v>0</v>
      </c>
      <c r="AE329" s="329">
        <f t="shared" si="238"/>
        <v>0</v>
      </c>
      <c r="AF329" s="329">
        <f t="shared" si="239"/>
        <v>0</v>
      </c>
      <c r="AG329" s="329">
        <f t="shared" si="239"/>
        <v>0</v>
      </c>
      <c r="AH329" s="329">
        <f t="shared" si="239"/>
        <v>0</v>
      </c>
      <c r="AI329" s="329">
        <f t="shared" si="240"/>
        <v>0</v>
      </c>
      <c r="AJ329" s="329">
        <f t="shared" si="240"/>
        <v>0</v>
      </c>
      <c r="AK329" s="329">
        <f t="shared" si="240"/>
        <v>0</v>
      </c>
      <c r="AL329" s="329">
        <f t="shared" si="241"/>
        <v>0</v>
      </c>
    </row>
    <row r="330" spans="1:38" s="332" customFormat="1">
      <c r="A330" s="356"/>
      <c r="B330" s="356" t="s">
        <v>575</v>
      </c>
      <c r="C330" s="355">
        <f t="shared" si="262"/>
        <v>0</v>
      </c>
      <c r="D330" s="341" t="str">
        <f>VLOOKUP(B330,DONGIA,DG!$B$6,0)</f>
        <v>D2.8103</v>
      </c>
      <c r="E330" s="340" t="str">
        <f>VLOOKUP(B330,DONGIA,DG!$C$6,0)</f>
        <v>Đóng cọc tiếp địa đất cấp 3</v>
      </c>
      <c r="F330" s="341" t="str">
        <f>VLOOKUP(B330,DONGIA,DG!$D$6,0)</f>
        <v>cọc</v>
      </c>
      <c r="G330" s="329">
        <f>G324</f>
        <v>1</v>
      </c>
      <c r="H330" s="329">
        <f>VLOOKUP($B330,DONGIA,DG!$E$6,0)</f>
        <v>0</v>
      </c>
      <c r="I330" s="329"/>
      <c r="J330" s="329"/>
      <c r="K330" s="329">
        <f>VLOOKUP($B330,DONGIA,DG!$F$6,0)</f>
        <v>76928</v>
      </c>
      <c r="L330" s="329"/>
      <c r="M330" s="329">
        <f>VLOOKUP($B330,DONGIA,DG!$G$6,0)</f>
        <v>0</v>
      </c>
      <c r="N330" s="329">
        <f t="shared" si="263"/>
        <v>0</v>
      </c>
      <c r="O330" s="329">
        <f t="shared" si="260"/>
        <v>0</v>
      </c>
      <c r="P330" s="329">
        <f t="shared" si="260"/>
        <v>0</v>
      </c>
      <c r="Q330" s="329">
        <f t="shared" si="260"/>
        <v>76928</v>
      </c>
      <c r="R330" s="329">
        <f t="shared" si="260"/>
        <v>0</v>
      </c>
      <c r="S330" s="329">
        <f t="shared" si="260"/>
        <v>0</v>
      </c>
      <c r="U330" s="329">
        <f t="shared" si="264"/>
        <v>0</v>
      </c>
      <c r="V330" s="329">
        <f t="shared" si="264"/>
        <v>0</v>
      </c>
      <c r="W330" s="329">
        <f t="shared" si="264"/>
        <v>0</v>
      </c>
      <c r="X330" s="329">
        <f t="shared" si="264"/>
        <v>0</v>
      </c>
      <c r="Y330" s="329">
        <f t="shared" si="264"/>
        <v>0</v>
      </c>
      <c r="Z330" s="329">
        <f t="shared" si="264"/>
        <v>0</v>
      </c>
      <c r="AA330" s="329">
        <f t="shared" si="264"/>
        <v>0</v>
      </c>
      <c r="AB330" s="329">
        <f t="shared" si="264"/>
        <v>0</v>
      </c>
      <c r="AD330" s="332">
        <f t="shared" si="237"/>
        <v>0</v>
      </c>
      <c r="AE330" s="329">
        <f t="shared" si="238"/>
        <v>0</v>
      </c>
      <c r="AF330" s="329">
        <f t="shared" si="239"/>
        <v>0</v>
      </c>
      <c r="AG330" s="329">
        <f t="shared" si="239"/>
        <v>0</v>
      </c>
      <c r="AH330" s="329">
        <f t="shared" si="239"/>
        <v>0</v>
      </c>
      <c r="AI330" s="329">
        <f t="shared" si="240"/>
        <v>0</v>
      </c>
      <c r="AJ330" s="329">
        <f t="shared" si="240"/>
        <v>0</v>
      </c>
      <c r="AK330" s="329">
        <f t="shared" si="240"/>
        <v>0</v>
      </c>
      <c r="AL330" s="329">
        <f t="shared" si="241"/>
        <v>0</v>
      </c>
    </row>
    <row r="331" spans="1:38" s="332" customFormat="1">
      <c r="A331" s="356" t="s">
        <v>1781</v>
      </c>
      <c r="B331" s="356"/>
      <c r="C331" s="355">
        <f>IF(G331&lt;&gt;0,1,)</f>
        <v>0</v>
      </c>
      <c r="D331" s="357"/>
      <c r="E331" s="358" t="s">
        <v>1661</v>
      </c>
      <c r="F331" s="357" t="s">
        <v>138</v>
      </c>
      <c r="G331" s="357">
        <f>U331</f>
        <v>0</v>
      </c>
      <c r="H331" s="358"/>
      <c r="I331" s="358"/>
      <c r="J331" s="358"/>
      <c r="K331" s="358"/>
      <c r="L331" s="358"/>
      <c r="M331" s="358"/>
      <c r="N331" s="358">
        <f t="shared" ref="N331:S331" si="267">SUM(N333:N339)</f>
        <v>0</v>
      </c>
      <c r="O331" s="358">
        <f t="shared" si="267"/>
        <v>0</v>
      </c>
      <c r="P331" s="358">
        <f t="shared" si="267"/>
        <v>12892.35</v>
      </c>
      <c r="Q331" s="358">
        <f t="shared" si="267"/>
        <v>0</v>
      </c>
      <c r="R331" s="358">
        <f t="shared" si="267"/>
        <v>558.80000000000007</v>
      </c>
      <c r="S331" s="358">
        <f t="shared" si="267"/>
        <v>0</v>
      </c>
      <c r="U331" s="358">
        <f>SUM(V331:AB331)</f>
        <v>0</v>
      </c>
      <c r="V331" s="358">
        <f>IFERROR(HLOOKUP($A331,BK3P,V$3,0),)</f>
        <v>0</v>
      </c>
      <c r="W331" s="358">
        <f>IFERROR(HLOOKUP($A331,BK3P,W$3,0),)</f>
        <v>0</v>
      </c>
      <c r="X331" s="358">
        <f>IFERROR(HLOOKUP($A331,BK3P,X$3,0),)</f>
        <v>0</v>
      </c>
      <c r="Y331" s="358">
        <f>IFERROR(HLOOKUP($A331,BK1P,Y$3,0),)</f>
        <v>0</v>
      </c>
      <c r="Z331" s="358">
        <f>IFERROR(HLOOKUP($A331,BK1P,Z$3,0),)</f>
        <v>0</v>
      </c>
      <c r="AA331" s="358">
        <f>IFERROR(HLOOKUP($A331,BK1P,AA$3,0),)</f>
        <v>0</v>
      </c>
      <c r="AB331" s="358">
        <f>IFERROR(HLOOKUP($A331,BKHT,AB$3,0),)</f>
        <v>0</v>
      </c>
      <c r="AD331" s="332">
        <f t="shared" si="237"/>
        <v>0</v>
      </c>
      <c r="AE331" s="329">
        <f t="shared" si="238"/>
        <v>0</v>
      </c>
      <c r="AF331" s="329">
        <f t="shared" si="239"/>
        <v>0</v>
      </c>
      <c r="AG331" s="329">
        <f t="shared" si="239"/>
        <v>0</v>
      </c>
      <c r="AH331" s="329">
        <f t="shared" si="239"/>
        <v>0</v>
      </c>
      <c r="AI331" s="329">
        <f t="shared" si="240"/>
        <v>0</v>
      </c>
      <c r="AJ331" s="329">
        <f t="shared" si="240"/>
        <v>0</v>
      </c>
      <c r="AK331" s="329">
        <f t="shared" si="240"/>
        <v>0</v>
      </c>
      <c r="AL331" s="329">
        <f t="shared" si="241"/>
        <v>0</v>
      </c>
    </row>
    <row r="332" spans="1:38" s="361" customFormat="1">
      <c r="A332" s="359"/>
      <c r="B332" s="359"/>
      <c r="C332" s="360">
        <f>C331</f>
        <v>0</v>
      </c>
      <c r="D332" s="350"/>
      <c r="E332" s="351" t="s">
        <v>1659</v>
      </c>
      <c r="F332" s="350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U332" s="351"/>
      <c r="V332" s="351"/>
      <c r="W332" s="351"/>
      <c r="X332" s="351"/>
      <c r="Y332" s="351"/>
      <c r="Z332" s="351"/>
      <c r="AA332" s="351"/>
      <c r="AB332" s="351"/>
      <c r="AD332" s="332">
        <f t="shared" si="237"/>
        <v>0</v>
      </c>
      <c r="AE332" s="329">
        <f t="shared" si="238"/>
        <v>0</v>
      </c>
      <c r="AF332" s="329">
        <f t="shared" si="239"/>
        <v>0</v>
      </c>
      <c r="AG332" s="329">
        <f t="shared" si="239"/>
        <v>0</v>
      </c>
      <c r="AH332" s="329">
        <f t="shared" si="239"/>
        <v>0</v>
      </c>
      <c r="AI332" s="329">
        <f t="shared" si="240"/>
        <v>0</v>
      </c>
      <c r="AJ332" s="329">
        <f t="shared" si="240"/>
        <v>0</v>
      </c>
      <c r="AK332" s="329">
        <f t="shared" si="240"/>
        <v>0</v>
      </c>
      <c r="AL332" s="329">
        <f t="shared" si="241"/>
        <v>0</v>
      </c>
    </row>
    <row r="333" spans="1:38" s="332" customFormat="1">
      <c r="A333" s="356"/>
      <c r="B333" s="356" t="s">
        <v>1658</v>
      </c>
      <c r="C333" s="355">
        <f>IF(G333&lt;&gt;0,$C$331,)</f>
        <v>0</v>
      </c>
      <c r="D333" s="341">
        <f>VLOOKUP(B333,DONGIA,DG!$B$6,0)</f>
        <v>0</v>
      </c>
      <c r="E333" s="340" t="str">
        <f>VLOOKUP(B333,DONGIA,DG!$C$6,0)</f>
        <v>Cáp đồng trần M25mm2</v>
      </c>
      <c r="F333" s="341" t="str">
        <f>VLOOKUP(B333,DONGIA,DG!$D$6,0)</f>
        <v>kg</v>
      </c>
      <c r="G333" s="329"/>
      <c r="H333" s="329">
        <f>VLOOKUP($B333,DONGIA,DG!$E$6,0)</f>
        <v>201380</v>
      </c>
      <c r="I333" s="329"/>
      <c r="J333" s="329"/>
      <c r="K333" s="329">
        <f>VLOOKUP($B333,DONGIA,DG!$F$6,0)</f>
        <v>0</v>
      </c>
      <c r="L333" s="329"/>
      <c r="M333" s="329">
        <f>VLOOKUP($B333,DONGIA,DG!$G$6,0)</f>
        <v>0</v>
      </c>
      <c r="N333" s="329">
        <f>$G333*H333</f>
        <v>0</v>
      </c>
      <c r="O333" s="329">
        <f t="shared" ref="O333:S339" si="268">$G333*I333</f>
        <v>0</v>
      </c>
      <c r="P333" s="329">
        <f t="shared" si="268"/>
        <v>0</v>
      </c>
      <c r="Q333" s="329">
        <f t="shared" si="268"/>
        <v>0</v>
      </c>
      <c r="R333" s="329">
        <f t="shared" si="268"/>
        <v>0</v>
      </c>
      <c r="S333" s="329">
        <f t="shared" si="268"/>
        <v>0</v>
      </c>
      <c r="U333" s="329">
        <f>U$331*$G333</f>
        <v>0</v>
      </c>
      <c r="V333" s="329">
        <f t="shared" ref="V333:AA333" si="269">V$331*$G333</f>
        <v>0</v>
      </c>
      <c r="W333" s="329">
        <f t="shared" si="269"/>
        <v>0</v>
      </c>
      <c r="X333" s="329">
        <f t="shared" si="269"/>
        <v>0</v>
      </c>
      <c r="Y333" s="329">
        <f t="shared" si="269"/>
        <v>0</v>
      </c>
      <c r="Z333" s="329">
        <f t="shared" si="269"/>
        <v>0</v>
      </c>
      <c r="AA333" s="329">
        <f t="shared" si="269"/>
        <v>0</v>
      </c>
      <c r="AB333" s="329">
        <f>AB$331*$G333</f>
        <v>0</v>
      </c>
      <c r="AD333" s="332">
        <f t="shared" si="237"/>
        <v>1</v>
      </c>
      <c r="AE333" s="329">
        <f t="shared" si="238"/>
        <v>0</v>
      </c>
      <c r="AF333" s="329">
        <f t="shared" si="239"/>
        <v>0</v>
      </c>
      <c r="AG333" s="329">
        <f t="shared" si="239"/>
        <v>0</v>
      </c>
      <c r="AH333" s="329">
        <f t="shared" si="239"/>
        <v>0</v>
      </c>
      <c r="AI333" s="329">
        <f t="shared" si="240"/>
        <v>0</v>
      </c>
      <c r="AJ333" s="329">
        <f t="shared" si="240"/>
        <v>0</v>
      </c>
      <c r="AK333" s="329">
        <f t="shared" si="240"/>
        <v>0</v>
      </c>
      <c r="AL333" s="329">
        <f t="shared" si="241"/>
        <v>0</v>
      </c>
    </row>
    <row r="334" spans="1:38" s="332" customFormat="1">
      <c r="A334" s="356"/>
      <c r="B334" s="356" t="s">
        <v>278</v>
      </c>
      <c r="C334" s="355">
        <f t="shared" ref="C334:C339" si="270">IF(G334&lt;&gt;0,$C$331,)</f>
        <v>0</v>
      </c>
      <c r="D334" s="341">
        <f>VLOOKUP(B334,DONGIA,DG!$B$6,0)</f>
        <v>0</v>
      </c>
      <c r="E334" s="340" t="str">
        <f>VLOOKUP(B334,DONGIA,DG!$C$6,0)</f>
        <v>Cọc tiếp đất φ16 - 2,4m (mạ đồng 16µm)</v>
      </c>
      <c r="F334" s="341" t="str">
        <f>VLOOKUP(B334,DONGIA,DG!$D$6,0)</f>
        <v>cọc</v>
      </c>
      <c r="G334" s="329"/>
      <c r="H334" s="329">
        <f>VLOOKUP($B334,DONGIA,DG!$E$6,0)</f>
        <v>130000</v>
      </c>
      <c r="I334" s="329"/>
      <c r="J334" s="329"/>
      <c r="K334" s="329">
        <f>VLOOKUP($B334,DONGIA,DG!$F$6,0)</f>
        <v>0</v>
      </c>
      <c r="L334" s="329"/>
      <c r="M334" s="329">
        <f>VLOOKUP($B334,DONGIA,DG!$G$6,0)</f>
        <v>0</v>
      </c>
      <c r="N334" s="329">
        <f t="shared" ref="N334:N339" si="271">$G334*H334</f>
        <v>0</v>
      </c>
      <c r="O334" s="329">
        <f t="shared" si="268"/>
        <v>0</v>
      </c>
      <c r="P334" s="329">
        <f t="shared" si="268"/>
        <v>0</v>
      </c>
      <c r="Q334" s="329">
        <f t="shared" si="268"/>
        <v>0</v>
      </c>
      <c r="R334" s="329">
        <f t="shared" si="268"/>
        <v>0</v>
      </c>
      <c r="S334" s="329">
        <f t="shared" si="268"/>
        <v>0</v>
      </c>
      <c r="U334" s="329">
        <f t="shared" ref="U334:AB339" si="272">U$331*$G334</f>
        <v>0</v>
      </c>
      <c r="V334" s="329">
        <f t="shared" si="272"/>
        <v>0</v>
      </c>
      <c r="W334" s="329">
        <f t="shared" si="272"/>
        <v>0</v>
      </c>
      <c r="X334" s="329">
        <f t="shared" si="272"/>
        <v>0</v>
      </c>
      <c r="Y334" s="329">
        <f t="shared" si="272"/>
        <v>0</v>
      </c>
      <c r="Z334" s="329">
        <f t="shared" si="272"/>
        <v>0</v>
      </c>
      <c r="AA334" s="329">
        <f t="shared" si="272"/>
        <v>0</v>
      </c>
      <c r="AB334" s="329">
        <f t="shared" si="272"/>
        <v>0</v>
      </c>
      <c r="AD334" s="332">
        <f t="shared" si="237"/>
        <v>5.3</v>
      </c>
      <c r="AE334" s="329">
        <f t="shared" si="238"/>
        <v>0</v>
      </c>
      <c r="AF334" s="329">
        <f t="shared" si="239"/>
        <v>0</v>
      </c>
      <c r="AG334" s="329">
        <f t="shared" si="239"/>
        <v>0</v>
      </c>
      <c r="AH334" s="329">
        <f t="shared" si="239"/>
        <v>0</v>
      </c>
      <c r="AI334" s="329">
        <f t="shared" si="240"/>
        <v>0</v>
      </c>
      <c r="AJ334" s="329">
        <f t="shared" si="240"/>
        <v>0</v>
      </c>
      <c r="AK334" s="329">
        <f t="shared" si="240"/>
        <v>0</v>
      </c>
      <c r="AL334" s="329">
        <f t="shared" si="241"/>
        <v>0</v>
      </c>
    </row>
    <row r="335" spans="1:38" s="332" customFormat="1">
      <c r="A335" s="356"/>
      <c r="B335" s="356" t="s">
        <v>280</v>
      </c>
      <c r="C335" s="355">
        <f t="shared" si="270"/>
        <v>0</v>
      </c>
      <c r="D335" s="341">
        <f>VLOOKUP(B335,DONGIA,DG!$B$6,0)</f>
        <v>0</v>
      </c>
      <c r="E335" s="340" t="str">
        <f>VLOOKUP(B335,DONGIA,DG!$C$6,0)</f>
        <v>Kẹp cọc tiếp địa</v>
      </c>
      <c r="F335" s="341" t="str">
        <f>VLOOKUP(B335,DONGIA,DG!$D$6,0)</f>
        <v>bộ</v>
      </c>
      <c r="G335" s="329"/>
      <c r="H335" s="329">
        <f>VLOOKUP($B335,DONGIA,DG!$E$6,0)</f>
        <v>25000</v>
      </c>
      <c r="I335" s="329"/>
      <c r="J335" s="329"/>
      <c r="K335" s="329">
        <f>VLOOKUP($B335,DONGIA,DG!$F$6,0)</f>
        <v>0</v>
      </c>
      <c r="L335" s="329"/>
      <c r="M335" s="329">
        <f>VLOOKUP($B335,DONGIA,DG!$G$6,0)</f>
        <v>0</v>
      </c>
      <c r="N335" s="329">
        <f t="shared" si="271"/>
        <v>0</v>
      </c>
      <c r="O335" s="329">
        <f t="shared" si="268"/>
        <v>0</v>
      </c>
      <c r="P335" s="329">
        <f t="shared" si="268"/>
        <v>0</v>
      </c>
      <c r="Q335" s="329">
        <f t="shared" si="268"/>
        <v>0</v>
      </c>
      <c r="R335" s="329">
        <f t="shared" si="268"/>
        <v>0</v>
      </c>
      <c r="S335" s="329">
        <f t="shared" si="268"/>
        <v>0</v>
      </c>
      <c r="U335" s="329">
        <f t="shared" si="272"/>
        <v>0</v>
      </c>
      <c r="V335" s="329">
        <f t="shared" si="272"/>
        <v>0</v>
      </c>
      <c r="W335" s="329">
        <f t="shared" si="272"/>
        <v>0</v>
      </c>
      <c r="X335" s="329">
        <f t="shared" si="272"/>
        <v>0</v>
      </c>
      <c r="Y335" s="329">
        <f t="shared" si="272"/>
        <v>0</v>
      </c>
      <c r="Z335" s="329">
        <f t="shared" si="272"/>
        <v>0</v>
      </c>
      <c r="AA335" s="329">
        <f t="shared" si="272"/>
        <v>0</v>
      </c>
      <c r="AB335" s="329">
        <f t="shared" si="272"/>
        <v>0</v>
      </c>
      <c r="AD335" s="332">
        <f t="shared" si="237"/>
        <v>0.05</v>
      </c>
      <c r="AE335" s="329">
        <f t="shared" si="238"/>
        <v>0</v>
      </c>
      <c r="AF335" s="329">
        <f t="shared" si="239"/>
        <v>0</v>
      </c>
      <c r="AG335" s="329">
        <f t="shared" si="239"/>
        <v>0</v>
      </c>
      <c r="AH335" s="329">
        <f t="shared" si="239"/>
        <v>0</v>
      </c>
      <c r="AI335" s="329">
        <f t="shared" si="240"/>
        <v>0</v>
      </c>
      <c r="AJ335" s="329">
        <f t="shared" si="240"/>
        <v>0</v>
      </c>
      <c r="AK335" s="329">
        <f t="shared" si="240"/>
        <v>0</v>
      </c>
      <c r="AL335" s="329">
        <f t="shared" si="241"/>
        <v>0</v>
      </c>
    </row>
    <row r="336" spans="1:38" s="332" customFormat="1">
      <c r="A336" s="356"/>
      <c r="B336" s="356" t="s">
        <v>540</v>
      </c>
      <c r="C336" s="355">
        <f t="shared" si="270"/>
        <v>0</v>
      </c>
      <c r="D336" s="341" t="str">
        <f>VLOOKUP(B336,DONGIA,DG!$B$6,0)</f>
        <v>AB.11513</v>
      </c>
      <c r="E336" s="340" t="str">
        <f>VLOOKUP(B336,DONGIA,DG!$C$6,0)</f>
        <v>Đào rãnh tiếp địa đất cấp 3</v>
      </c>
      <c r="F336" s="341" t="str">
        <f>VLOOKUP(B336,DONGIA,DG!$D$6,0)</f>
        <v>m3</v>
      </c>
      <c r="G336" s="443">
        <f>ROUND(0.5*0.2*0.5,3)</f>
        <v>0.05</v>
      </c>
      <c r="H336" s="329"/>
      <c r="I336" s="329"/>
      <c r="J336" s="329">
        <f>VLOOKUP($B336,DONGIA,DG!$F$6,0)</f>
        <v>241580</v>
      </c>
      <c r="K336" s="329"/>
      <c r="L336" s="329">
        <f>VLOOKUP($B336,DONGIA,DG!$G$6,0)</f>
        <v>0</v>
      </c>
      <c r="M336" s="329"/>
      <c r="N336" s="329">
        <f t="shared" si="271"/>
        <v>0</v>
      </c>
      <c r="O336" s="329">
        <f t="shared" si="268"/>
        <v>0</v>
      </c>
      <c r="P336" s="329">
        <f t="shared" si="268"/>
        <v>12079</v>
      </c>
      <c r="Q336" s="329">
        <f t="shared" si="268"/>
        <v>0</v>
      </c>
      <c r="R336" s="329">
        <f t="shared" si="268"/>
        <v>0</v>
      </c>
      <c r="S336" s="329">
        <f t="shared" si="268"/>
        <v>0</v>
      </c>
      <c r="U336" s="329">
        <f t="shared" si="272"/>
        <v>0</v>
      </c>
      <c r="V336" s="329">
        <f t="shared" si="272"/>
        <v>0</v>
      </c>
      <c r="W336" s="329">
        <f t="shared" si="272"/>
        <v>0</v>
      </c>
      <c r="X336" s="329">
        <f t="shared" si="272"/>
        <v>0</v>
      </c>
      <c r="Y336" s="329">
        <f t="shared" si="272"/>
        <v>0</v>
      </c>
      <c r="Z336" s="329">
        <f t="shared" si="272"/>
        <v>0</v>
      </c>
      <c r="AA336" s="329">
        <f t="shared" si="272"/>
        <v>0</v>
      </c>
      <c r="AB336" s="329">
        <f t="shared" si="272"/>
        <v>0</v>
      </c>
      <c r="AD336" s="332">
        <f t="shared" si="237"/>
        <v>0</v>
      </c>
      <c r="AE336" s="329">
        <f t="shared" si="238"/>
        <v>0</v>
      </c>
      <c r="AF336" s="329">
        <f t="shared" si="239"/>
        <v>0</v>
      </c>
      <c r="AG336" s="329">
        <f t="shared" si="239"/>
        <v>0</v>
      </c>
      <c r="AH336" s="329">
        <f t="shared" si="239"/>
        <v>0</v>
      </c>
      <c r="AI336" s="329">
        <f t="shared" si="240"/>
        <v>0</v>
      </c>
      <c r="AJ336" s="329">
        <f t="shared" si="240"/>
        <v>0</v>
      </c>
      <c r="AK336" s="329">
        <f t="shared" si="240"/>
        <v>0</v>
      </c>
      <c r="AL336" s="329">
        <f t="shared" si="241"/>
        <v>0</v>
      </c>
    </row>
    <row r="337" spans="1:38" s="332" customFormat="1">
      <c r="A337" s="356"/>
      <c r="B337" s="356" t="s">
        <v>547</v>
      </c>
      <c r="C337" s="355">
        <f t="shared" si="270"/>
        <v>0</v>
      </c>
      <c r="D337" s="341" t="str">
        <f>VLOOKUP(B337,DONGIA,DG!$B$6,0)</f>
        <v>AB.65110</v>
      </c>
      <c r="E337" s="340" t="str">
        <f>VLOOKUP(B337,DONGIA,DG!$C$6,0)</f>
        <v>Đắp đất rãnh tiếp địa (K=0,85)</v>
      </c>
      <c r="F337" s="341" t="str">
        <f>VLOOKUP(B337,DONGIA,DG!$D$6,0)</f>
        <v>m3</v>
      </c>
      <c r="G337" s="443">
        <f>G336</f>
        <v>0.05</v>
      </c>
      <c r="H337" s="329"/>
      <c r="I337" s="329"/>
      <c r="J337" s="329">
        <f>VLOOKUP($B337,DONGIA,DG!$F$6,0)</f>
        <v>16267</v>
      </c>
      <c r="K337" s="329"/>
      <c r="L337" s="329">
        <f>VLOOKUP($B337,DONGIA,DG!$G$6,0)</f>
        <v>11176</v>
      </c>
      <c r="M337" s="329"/>
      <c r="N337" s="329">
        <f t="shared" si="271"/>
        <v>0</v>
      </c>
      <c r="O337" s="329">
        <f t="shared" si="268"/>
        <v>0</v>
      </c>
      <c r="P337" s="329">
        <f t="shared" si="268"/>
        <v>813.35</v>
      </c>
      <c r="Q337" s="329">
        <f t="shared" si="268"/>
        <v>0</v>
      </c>
      <c r="R337" s="329">
        <f t="shared" si="268"/>
        <v>558.80000000000007</v>
      </c>
      <c r="S337" s="329">
        <f t="shared" si="268"/>
        <v>0</v>
      </c>
      <c r="U337" s="329">
        <f t="shared" si="272"/>
        <v>0</v>
      </c>
      <c r="V337" s="329">
        <f t="shared" si="272"/>
        <v>0</v>
      </c>
      <c r="W337" s="329">
        <f t="shared" si="272"/>
        <v>0</v>
      </c>
      <c r="X337" s="329">
        <f t="shared" si="272"/>
        <v>0</v>
      </c>
      <c r="Y337" s="329">
        <f t="shared" si="272"/>
        <v>0</v>
      </c>
      <c r="Z337" s="329">
        <f t="shared" si="272"/>
        <v>0</v>
      </c>
      <c r="AA337" s="329">
        <f t="shared" si="272"/>
        <v>0</v>
      </c>
      <c r="AB337" s="329">
        <f t="shared" si="272"/>
        <v>0</v>
      </c>
      <c r="AD337" s="332">
        <f t="shared" si="237"/>
        <v>0</v>
      </c>
      <c r="AE337" s="329">
        <f t="shared" si="238"/>
        <v>0</v>
      </c>
      <c r="AF337" s="329">
        <f t="shared" si="239"/>
        <v>0</v>
      </c>
      <c r="AG337" s="329">
        <f t="shared" si="239"/>
        <v>0</v>
      </c>
      <c r="AH337" s="329">
        <f t="shared" si="239"/>
        <v>0</v>
      </c>
      <c r="AI337" s="329">
        <f t="shared" si="240"/>
        <v>0</v>
      </c>
      <c r="AJ337" s="329">
        <f t="shared" si="240"/>
        <v>0</v>
      </c>
      <c r="AK337" s="329">
        <f t="shared" si="240"/>
        <v>0</v>
      </c>
      <c r="AL337" s="329">
        <f t="shared" si="241"/>
        <v>0</v>
      </c>
    </row>
    <row r="338" spans="1:38" s="332" customFormat="1">
      <c r="A338" s="356"/>
      <c r="B338" s="356" t="s">
        <v>570</v>
      </c>
      <c r="C338" s="355">
        <f t="shared" si="270"/>
        <v>0</v>
      </c>
      <c r="D338" s="341" t="str">
        <f>VLOOKUP(B338,DONGIA,DG!$B$6,0)</f>
        <v>D2.7001</v>
      </c>
      <c r="E338" s="340" t="str">
        <f>VLOOKUP(B338,DONGIA,DG!$C$6,0)</f>
        <v xml:space="preserve">Kéo dây tiếp địa </v>
      </c>
      <c r="F338" s="341" t="str">
        <f>VLOOKUP(B338,DONGIA,DG!$D$6,0)</f>
        <v>kg</v>
      </c>
      <c r="G338" s="329"/>
      <c r="H338" s="329"/>
      <c r="I338" s="329"/>
      <c r="J338" s="329"/>
      <c r="K338" s="329">
        <f>VLOOKUP($B338,DONGIA,DG!$F$6,0)</f>
        <v>2195</v>
      </c>
      <c r="L338" s="329"/>
      <c r="M338" s="329">
        <f>VLOOKUP($B338,DONGIA,DG!$G$6,0)</f>
        <v>0</v>
      </c>
      <c r="N338" s="329">
        <f t="shared" si="271"/>
        <v>0</v>
      </c>
      <c r="O338" s="329">
        <f t="shared" si="268"/>
        <v>0</v>
      </c>
      <c r="P338" s="329">
        <f t="shared" si="268"/>
        <v>0</v>
      </c>
      <c r="Q338" s="329">
        <f t="shared" si="268"/>
        <v>0</v>
      </c>
      <c r="R338" s="329">
        <f t="shared" si="268"/>
        <v>0</v>
      </c>
      <c r="S338" s="329">
        <f t="shared" si="268"/>
        <v>0</v>
      </c>
      <c r="U338" s="329">
        <f t="shared" si="272"/>
        <v>0</v>
      </c>
      <c r="V338" s="329">
        <f t="shared" si="272"/>
        <v>0</v>
      </c>
      <c r="W338" s="329">
        <f t="shared" si="272"/>
        <v>0</v>
      </c>
      <c r="X338" s="329">
        <f t="shared" si="272"/>
        <v>0</v>
      </c>
      <c r="Y338" s="329">
        <f t="shared" si="272"/>
        <v>0</v>
      </c>
      <c r="Z338" s="329">
        <f t="shared" si="272"/>
        <v>0</v>
      </c>
      <c r="AA338" s="329">
        <f t="shared" si="272"/>
        <v>0</v>
      </c>
      <c r="AB338" s="329">
        <f t="shared" si="272"/>
        <v>0</v>
      </c>
      <c r="AD338" s="332">
        <f t="shared" si="237"/>
        <v>0</v>
      </c>
      <c r="AE338" s="329">
        <f t="shared" si="238"/>
        <v>0</v>
      </c>
      <c r="AF338" s="329">
        <f t="shared" si="239"/>
        <v>0</v>
      </c>
      <c r="AG338" s="329">
        <f t="shared" si="239"/>
        <v>0</v>
      </c>
      <c r="AH338" s="329">
        <f t="shared" si="239"/>
        <v>0</v>
      </c>
      <c r="AI338" s="329">
        <f t="shared" si="240"/>
        <v>0</v>
      </c>
      <c r="AJ338" s="329">
        <f t="shared" si="240"/>
        <v>0</v>
      </c>
      <c r="AK338" s="329">
        <f t="shared" si="240"/>
        <v>0</v>
      </c>
      <c r="AL338" s="329">
        <f t="shared" si="241"/>
        <v>0</v>
      </c>
    </row>
    <row r="339" spans="1:38" s="332" customFormat="1">
      <c r="A339" s="356"/>
      <c r="B339" s="356" t="s">
        <v>575</v>
      </c>
      <c r="C339" s="355">
        <f t="shared" si="270"/>
        <v>0</v>
      </c>
      <c r="D339" s="341" t="str">
        <f>VLOOKUP(B339,DONGIA,DG!$B$6,0)</f>
        <v>D2.8103</v>
      </c>
      <c r="E339" s="340" t="str">
        <f>VLOOKUP(B339,DONGIA,DG!$C$6,0)</f>
        <v>Đóng cọc tiếp địa đất cấp 3</v>
      </c>
      <c r="F339" s="341" t="str">
        <f>VLOOKUP(B339,DONGIA,DG!$D$6,0)</f>
        <v>cọc</v>
      </c>
      <c r="G339" s="329"/>
      <c r="H339" s="329"/>
      <c r="I339" s="329"/>
      <c r="J339" s="329"/>
      <c r="K339" s="329">
        <f>VLOOKUP($B339,DONGIA,DG!$F$6,0)</f>
        <v>76928</v>
      </c>
      <c r="L339" s="329"/>
      <c r="M339" s="329">
        <f>VLOOKUP($B339,DONGIA,DG!$G$6,0)</f>
        <v>0</v>
      </c>
      <c r="N339" s="329">
        <f t="shared" si="271"/>
        <v>0</v>
      </c>
      <c r="O339" s="329">
        <f t="shared" si="268"/>
        <v>0</v>
      </c>
      <c r="P339" s="329">
        <f t="shared" si="268"/>
        <v>0</v>
      </c>
      <c r="Q339" s="329">
        <f t="shared" si="268"/>
        <v>0</v>
      </c>
      <c r="R339" s="329">
        <f t="shared" si="268"/>
        <v>0</v>
      </c>
      <c r="S339" s="329">
        <f t="shared" si="268"/>
        <v>0</v>
      </c>
      <c r="U339" s="329">
        <f t="shared" si="272"/>
        <v>0</v>
      </c>
      <c r="V339" s="329">
        <f t="shared" si="272"/>
        <v>0</v>
      </c>
      <c r="W339" s="329">
        <f t="shared" si="272"/>
        <v>0</v>
      </c>
      <c r="X339" s="329">
        <f t="shared" si="272"/>
        <v>0</v>
      </c>
      <c r="Y339" s="329">
        <f t="shared" si="272"/>
        <v>0</v>
      </c>
      <c r="Z339" s="329">
        <f t="shared" si="272"/>
        <v>0</v>
      </c>
      <c r="AA339" s="329">
        <f t="shared" si="272"/>
        <v>0</v>
      </c>
      <c r="AB339" s="329">
        <f t="shared" si="272"/>
        <v>0</v>
      </c>
      <c r="AD339" s="332">
        <f t="shared" si="237"/>
        <v>0</v>
      </c>
      <c r="AE339" s="329">
        <f t="shared" si="238"/>
        <v>0</v>
      </c>
      <c r="AF339" s="329">
        <f t="shared" si="239"/>
        <v>0</v>
      </c>
      <c r="AG339" s="329">
        <f t="shared" si="239"/>
        <v>0</v>
      </c>
      <c r="AH339" s="329">
        <f t="shared" si="239"/>
        <v>0</v>
      </c>
      <c r="AI339" s="329">
        <f t="shared" si="240"/>
        <v>0</v>
      </c>
      <c r="AJ339" s="329">
        <f t="shared" si="240"/>
        <v>0</v>
      </c>
      <c r="AK339" s="329">
        <f t="shared" si="240"/>
        <v>0</v>
      </c>
      <c r="AL339" s="329">
        <f t="shared" si="241"/>
        <v>0</v>
      </c>
    </row>
    <row r="340" spans="1:38">
      <c r="A340" s="618" t="s">
        <v>1782</v>
      </c>
      <c r="B340" s="618"/>
      <c r="C340" s="619">
        <f>IF(G340&lt;&gt;0,1,)</f>
        <v>1</v>
      </c>
      <c r="D340" s="622"/>
      <c r="E340" s="733" t="s">
        <v>3517</v>
      </c>
      <c r="F340" s="622" t="s">
        <v>138</v>
      </c>
      <c r="G340" s="622">
        <f>U340</f>
        <v>9</v>
      </c>
      <c r="H340" s="623"/>
      <c r="I340" s="623"/>
      <c r="J340" s="623"/>
      <c r="K340" s="623"/>
      <c r="L340" s="623"/>
      <c r="M340" s="623"/>
      <c r="N340" s="623">
        <f t="shared" ref="N340:S340" si="273">SUM(N342:N349)</f>
        <v>2391273.5999999996</v>
      </c>
      <c r="O340" s="623">
        <f t="shared" si="273"/>
        <v>0</v>
      </c>
      <c r="P340" s="623">
        <f t="shared" si="273"/>
        <v>399662.85</v>
      </c>
      <c r="Q340" s="623">
        <f t="shared" si="273"/>
        <v>476318.4</v>
      </c>
      <c r="R340" s="623">
        <f t="shared" si="273"/>
        <v>17322.8</v>
      </c>
      <c r="S340" s="623">
        <f t="shared" si="273"/>
        <v>0</v>
      </c>
      <c r="U340" s="623">
        <f>SUM(V340:AB340)</f>
        <v>9</v>
      </c>
      <c r="V340" s="623">
        <f>IFERROR(HLOOKUP($A340,BK3P,V$3,0),)</f>
        <v>9</v>
      </c>
      <c r="W340" s="623">
        <f>IFERROR(HLOOKUP($A340,BK3P,W$3,0),)</f>
        <v>0</v>
      </c>
      <c r="X340" s="623">
        <f>IFERROR(HLOOKUP($A340,BK3P,X$3,0),)</f>
        <v>0</v>
      </c>
      <c r="Y340" s="623">
        <f>IFERROR(HLOOKUP($A340,BK1P,Y$3,0),)</f>
        <v>0</v>
      </c>
      <c r="Z340" s="623">
        <f>IFERROR(HLOOKUP($A340,BK1P,Z$3,0),)</f>
        <v>0</v>
      </c>
      <c r="AA340" s="623">
        <f>IFERROR(HLOOKUP($A340,BK1P,AA$3,0),)</f>
        <v>0</v>
      </c>
      <c r="AB340" s="623">
        <f>IFERROR(HLOOKUP($A340,BKHT,AB$3,0),)</f>
        <v>0</v>
      </c>
      <c r="AD340" s="405">
        <f t="shared" si="237"/>
        <v>0</v>
      </c>
      <c r="AE340" s="525">
        <f t="shared" si="238"/>
        <v>0</v>
      </c>
      <c r="AF340" s="525">
        <f t="shared" si="239"/>
        <v>0</v>
      </c>
      <c r="AG340" s="525">
        <f t="shared" si="239"/>
        <v>0</v>
      </c>
      <c r="AH340" s="525">
        <f t="shared" si="239"/>
        <v>0</v>
      </c>
      <c r="AI340" s="525">
        <f t="shared" si="240"/>
        <v>0</v>
      </c>
      <c r="AJ340" s="525">
        <f t="shared" si="240"/>
        <v>0</v>
      </c>
      <c r="AK340" s="525">
        <f t="shared" si="240"/>
        <v>0</v>
      </c>
      <c r="AL340" s="525">
        <f t="shared" si="241"/>
        <v>0</v>
      </c>
    </row>
    <row r="341" spans="1:38" s="542" customFormat="1">
      <c r="A341" s="624"/>
      <c r="B341" s="624"/>
      <c r="C341" s="625">
        <f>C340</f>
        <v>1</v>
      </c>
      <c r="D341" s="544"/>
      <c r="E341" s="734" t="s">
        <v>1659</v>
      </c>
      <c r="F341" s="544"/>
      <c r="G341" s="545"/>
      <c r="H341" s="545"/>
      <c r="I341" s="545"/>
      <c r="J341" s="545"/>
      <c r="K341" s="545"/>
      <c r="L341" s="545"/>
      <c r="M341" s="545"/>
      <c r="N341" s="545"/>
      <c r="O341" s="545"/>
      <c r="P341" s="545"/>
      <c r="Q341" s="545"/>
      <c r="R341" s="545"/>
      <c r="S341" s="545"/>
      <c r="U341" s="545"/>
      <c r="V341" s="545"/>
      <c r="W341" s="545"/>
      <c r="X341" s="545"/>
      <c r="Y341" s="545"/>
      <c r="Z341" s="545"/>
      <c r="AA341" s="545"/>
      <c r="AB341" s="545"/>
      <c r="AD341" s="405">
        <f t="shared" si="237"/>
        <v>0</v>
      </c>
      <c r="AE341" s="525">
        <f t="shared" si="238"/>
        <v>0</v>
      </c>
      <c r="AF341" s="525">
        <f t="shared" si="239"/>
        <v>0</v>
      </c>
      <c r="AG341" s="525">
        <f t="shared" si="239"/>
        <v>0</v>
      </c>
      <c r="AH341" s="525">
        <f t="shared" si="239"/>
        <v>0</v>
      </c>
      <c r="AI341" s="525">
        <f t="shared" si="240"/>
        <v>0</v>
      </c>
      <c r="AJ341" s="525">
        <f t="shared" si="240"/>
        <v>0</v>
      </c>
      <c r="AK341" s="525">
        <f t="shared" si="240"/>
        <v>0</v>
      </c>
      <c r="AL341" s="525">
        <f t="shared" si="241"/>
        <v>0</v>
      </c>
    </row>
    <row r="342" spans="1:38">
      <c r="A342" s="618"/>
      <c r="B342" s="618" t="s">
        <v>1658</v>
      </c>
      <c r="C342" s="619">
        <f>IF(G342&lt;&gt;0,$C$340,)</f>
        <v>1</v>
      </c>
      <c r="D342" s="523">
        <f>VLOOKUP(B342,DONGIA,DG!$B$6,0)</f>
        <v>0</v>
      </c>
      <c r="E342" s="666" t="str">
        <f>VLOOKUP(B342,DONGIA,DG!$C$6,0)</f>
        <v>Cáp đồng trần M25mm2</v>
      </c>
      <c r="F342" s="523" t="str">
        <f>VLOOKUP(B342,DONGIA,DG!$D$6,0)</f>
        <v>kg</v>
      </c>
      <c r="G342" s="626">
        <f>ROUND(30*0.224,3)</f>
        <v>6.72</v>
      </c>
      <c r="H342" s="525">
        <f>VLOOKUP($B342,DONGIA,DG!$E$6,0)</f>
        <v>201380</v>
      </c>
      <c r="I342" s="525"/>
      <c r="J342" s="525"/>
      <c r="K342" s="525">
        <f>VLOOKUP($B342,DONGIA,DG!$F$6,0)</f>
        <v>0</v>
      </c>
      <c r="L342" s="525"/>
      <c r="M342" s="525">
        <f>VLOOKUP($B342,DONGIA,DG!$G$6,0)</f>
        <v>0</v>
      </c>
      <c r="N342" s="525">
        <f>$G342*H342</f>
        <v>1353273.5999999999</v>
      </c>
      <c r="O342" s="525">
        <f t="shared" ref="O342:S349" si="274">$G342*I342</f>
        <v>0</v>
      </c>
      <c r="P342" s="525">
        <f t="shared" si="274"/>
        <v>0</v>
      </c>
      <c r="Q342" s="525">
        <f t="shared" si="274"/>
        <v>0</v>
      </c>
      <c r="R342" s="525">
        <f t="shared" si="274"/>
        <v>0</v>
      </c>
      <c r="S342" s="525">
        <f t="shared" si="274"/>
        <v>0</v>
      </c>
      <c r="U342" s="525">
        <f>U$340*$G342</f>
        <v>60.48</v>
      </c>
      <c r="V342" s="525">
        <f t="shared" ref="V342:AB342" si="275">V$340*$G342</f>
        <v>60.48</v>
      </c>
      <c r="W342" s="525">
        <f t="shared" si="275"/>
        <v>0</v>
      </c>
      <c r="X342" s="525">
        <f t="shared" si="275"/>
        <v>0</v>
      </c>
      <c r="Y342" s="525">
        <f t="shared" si="275"/>
        <v>0</v>
      </c>
      <c r="Z342" s="525">
        <f t="shared" si="275"/>
        <v>0</v>
      </c>
      <c r="AA342" s="525">
        <f t="shared" si="275"/>
        <v>0</v>
      </c>
      <c r="AB342" s="525">
        <f t="shared" si="275"/>
        <v>0</v>
      </c>
      <c r="AD342" s="405">
        <f t="shared" si="237"/>
        <v>1</v>
      </c>
      <c r="AE342" s="525">
        <f t="shared" si="238"/>
        <v>60.48</v>
      </c>
      <c r="AF342" s="525">
        <f t="shared" si="239"/>
        <v>60.48</v>
      </c>
      <c r="AG342" s="525">
        <f t="shared" si="239"/>
        <v>0</v>
      </c>
      <c r="AH342" s="525">
        <f t="shared" si="239"/>
        <v>0</v>
      </c>
      <c r="AI342" s="525">
        <f t="shared" si="240"/>
        <v>0</v>
      </c>
      <c r="AJ342" s="525">
        <f t="shared" si="240"/>
        <v>0</v>
      </c>
      <c r="AK342" s="525">
        <f t="shared" si="240"/>
        <v>0</v>
      </c>
      <c r="AL342" s="525">
        <f t="shared" si="241"/>
        <v>0</v>
      </c>
    </row>
    <row r="343" spans="1:38">
      <c r="A343" s="618"/>
      <c r="B343" s="618" t="s">
        <v>278</v>
      </c>
      <c r="C343" s="619">
        <f t="shared" ref="C343:C349" si="276">IF(G343&lt;&gt;0,$C$340,)</f>
        <v>1</v>
      </c>
      <c r="D343" s="523">
        <f>VLOOKUP(B343,DONGIA,DG!$B$6,0)</f>
        <v>0</v>
      </c>
      <c r="E343" s="666" t="str">
        <f>VLOOKUP(B343,DONGIA,DG!$C$6,0)</f>
        <v>Cọc tiếp đất φ16 - 2,4m (mạ đồng 16µm)</v>
      </c>
      <c r="F343" s="523" t="str">
        <f>VLOOKUP(B343,DONGIA,DG!$D$6,0)</f>
        <v>cọc</v>
      </c>
      <c r="G343" s="525">
        <f>6</f>
        <v>6</v>
      </c>
      <c r="H343" s="525">
        <f>VLOOKUP($B343,DONGIA,DG!$E$6,0)</f>
        <v>130000</v>
      </c>
      <c r="I343" s="525"/>
      <c r="J343" s="525"/>
      <c r="K343" s="525">
        <f>VLOOKUP($B343,DONGIA,DG!$F$6,0)</f>
        <v>0</v>
      </c>
      <c r="L343" s="525"/>
      <c r="M343" s="525">
        <f>VLOOKUP($B343,DONGIA,DG!$G$6,0)</f>
        <v>0</v>
      </c>
      <c r="N343" s="525">
        <f t="shared" ref="N343:N349" si="277">$G343*H343</f>
        <v>780000</v>
      </c>
      <c r="O343" s="525">
        <f t="shared" si="274"/>
        <v>0</v>
      </c>
      <c r="P343" s="525">
        <f t="shared" si="274"/>
        <v>0</v>
      </c>
      <c r="Q343" s="525">
        <f t="shared" si="274"/>
        <v>0</v>
      </c>
      <c r="R343" s="525">
        <f t="shared" si="274"/>
        <v>0</v>
      </c>
      <c r="S343" s="525">
        <f t="shared" si="274"/>
        <v>0</v>
      </c>
      <c r="U343" s="525">
        <f t="shared" ref="U343:AB349" si="278">U$340*$G343</f>
        <v>54</v>
      </c>
      <c r="V343" s="525">
        <f t="shared" si="278"/>
        <v>54</v>
      </c>
      <c r="W343" s="525">
        <f t="shared" si="278"/>
        <v>0</v>
      </c>
      <c r="X343" s="525">
        <f t="shared" si="278"/>
        <v>0</v>
      </c>
      <c r="Y343" s="525">
        <f t="shared" si="278"/>
        <v>0</v>
      </c>
      <c r="Z343" s="525">
        <f t="shared" si="278"/>
        <v>0</v>
      </c>
      <c r="AA343" s="525">
        <f t="shared" si="278"/>
        <v>0</v>
      </c>
      <c r="AB343" s="525">
        <f t="shared" si="278"/>
        <v>0</v>
      </c>
      <c r="AD343" s="405">
        <f t="shared" si="237"/>
        <v>5.3</v>
      </c>
      <c r="AE343" s="525">
        <f t="shared" si="238"/>
        <v>286.2</v>
      </c>
      <c r="AF343" s="525">
        <f t="shared" si="239"/>
        <v>286.2</v>
      </c>
      <c r="AG343" s="525">
        <f t="shared" si="239"/>
        <v>0</v>
      </c>
      <c r="AH343" s="525">
        <f t="shared" si="239"/>
        <v>0</v>
      </c>
      <c r="AI343" s="525">
        <f t="shared" si="240"/>
        <v>0</v>
      </c>
      <c r="AJ343" s="525">
        <f t="shared" si="240"/>
        <v>0</v>
      </c>
      <c r="AK343" s="525">
        <f t="shared" si="240"/>
        <v>0</v>
      </c>
      <c r="AL343" s="525">
        <f t="shared" si="241"/>
        <v>0</v>
      </c>
    </row>
    <row r="344" spans="1:38">
      <c r="A344" s="618"/>
      <c r="B344" s="618" t="s">
        <v>280</v>
      </c>
      <c r="C344" s="619">
        <f t="shared" si="276"/>
        <v>1</v>
      </c>
      <c r="D344" s="523">
        <f>VLOOKUP(B344,DONGIA,DG!$B$6,0)</f>
        <v>0</v>
      </c>
      <c r="E344" s="666" t="str">
        <f>VLOOKUP(B344,DONGIA,DG!$C$6,0)</f>
        <v>Kẹp cọc tiếp địa</v>
      </c>
      <c r="F344" s="523" t="str">
        <f>VLOOKUP(B344,DONGIA,DG!$D$6,0)</f>
        <v>bộ</v>
      </c>
      <c r="G344" s="525">
        <f>G343</f>
        <v>6</v>
      </c>
      <c r="H344" s="525">
        <f>VLOOKUP($B344,DONGIA,DG!$E$6,0)</f>
        <v>25000</v>
      </c>
      <c r="I344" s="525"/>
      <c r="J344" s="525"/>
      <c r="K344" s="525">
        <f>VLOOKUP($B344,DONGIA,DG!$F$6,0)</f>
        <v>0</v>
      </c>
      <c r="L344" s="525"/>
      <c r="M344" s="525">
        <f>VLOOKUP($B344,DONGIA,DG!$G$6,0)</f>
        <v>0</v>
      </c>
      <c r="N344" s="525">
        <f t="shared" si="277"/>
        <v>150000</v>
      </c>
      <c r="O344" s="525">
        <f t="shared" si="274"/>
        <v>0</v>
      </c>
      <c r="P344" s="525">
        <f t="shared" si="274"/>
        <v>0</v>
      </c>
      <c r="Q344" s="525">
        <f t="shared" si="274"/>
        <v>0</v>
      </c>
      <c r="R344" s="525">
        <f t="shared" si="274"/>
        <v>0</v>
      </c>
      <c r="S344" s="525">
        <f t="shared" si="274"/>
        <v>0</v>
      </c>
      <c r="U344" s="525">
        <f t="shared" si="278"/>
        <v>54</v>
      </c>
      <c r="V344" s="525">
        <f t="shared" si="278"/>
        <v>54</v>
      </c>
      <c r="W344" s="525">
        <f t="shared" si="278"/>
        <v>0</v>
      </c>
      <c r="X344" s="525">
        <f t="shared" si="278"/>
        <v>0</v>
      </c>
      <c r="Y344" s="525">
        <f t="shared" si="278"/>
        <v>0</v>
      </c>
      <c r="Z344" s="525">
        <f t="shared" si="278"/>
        <v>0</v>
      </c>
      <c r="AA344" s="525">
        <f t="shared" si="278"/>
        <v>0</v>
      </c>
      <c r="AB344" s="525">
        <f t="shared" si="278"/>
        <v>0</v>
      </c>
      <c r="AD344" s="405">
        <f t="shared" si="237"/>
        <v>0.05</v>
      </c>
      <c r="AE344" s="525">
        <f t="shared" si="238"/>
        <v>2.7</v>
      </c>
      <c r="AF344" s="525">
        <f t="shared" si="239"/>
        <v>2.7</v>
      </c>
      <c r="AG344" s="525">
        <f t="shared" si="239"/>
        <v>0</v>
      </c>
      <c r="AH344" s="525">
        <f t="shared" si="239"/>
        <v>0</v>
      </c>
      <c r="AI344" s="525">
        <f t="shared" si="240"/>
        <v>0</v>
      </c>
      <c r="AJ344" s="525">
        <f t="shared" si="240"/>
        <v>0</v>
      </c>
      <c r="AK344" s="525">
        <f t="shared" si="240"/>
        <v>0</v>
      </c>
      <c r="AL344" s="525">
        <f t="shared" si="241"/>
        <v>0</v>
      </c>
    </row>
    <row r="345" spans="1:38">
      <c r="A345" s="618"/>
      <c r="B345" s="618" t="s">
        <v>1217</v>
      </c>
      <c r="C345" s="619">
        <f t="shared" si="276"/>
        <v>1</v>
      </c>
      <c r="D345" s="523">
        <f>VLOOKUP(B345,DONGIA,DG!$B$6,0)</f>
        <v>0</v>
      </c>
      <c r="E345" s="666" t="str">
        <f>VLOOKUP(B345,DONGIA,DG!$C$6,0)</f>
        <v xml:space="preserve">Ốc xiết cáp cỡ 38mm2 </v>
      </c>
      <c r="F345" s="523" t="str">
        <f>VLOOKUP(B345,DONGIA,DG!$D$6,0)</f>
        <v>cái</v>
      </c>
      <c r="G345" s="525">
        <v>6</v>
      </c>
      <c r="H345" s="525">
        <f>VLOOKUP($B345,DONGIA,DG!$E$6,0)</f>
        <v>18000</v>
      </c>
      <c r="I345" s="525"/>
      <c r="J345" s="525"/>
      <c r="K345" s="525">
        <f>VLOOKUP($B345,DONGIA,DG!$F$6,0)</f>
        <v>0</v>
      </c>
      <c r="L345" s="525"/>
      <c r="M345" s="525">
        <f>VLOOKUP($B345,DONGIA,DG!$G$6,0)</f>
        <v>0</v>
      </c>
      <c r="N345" s="525">
        <f t="shared" si="277"/>
        <v>108000</v>
      </c>
      <c r="O345" s="525">
        <f t="shared" si="274"/>
        <v>0</v>
      </c>
      <c r="P345" s="525">
        <f t="shared" si="274"/>
        <v>0</v>
      </c>
      <c r="Q345" s="525">
        <f t="shared" si="274"/>
        <v>0</v>
      </c>
      <c r="R345" s="525">
        <f t="shared" si="274"/>
        <v>0</v>
      </c>
      <c r="S345" s="525">
        <f t="shared" si="274"/>
        <v>0</v>
      </c>
      <c r="U345" s="525">
        <f t="shared" ref="U345:AB347" si="279">U$310*$G345</f>
        <v>162</v>
      </c>
      <c r="V345" s="525">
        <f t="shared" si="279"/>
        <v>162</v>
      </c>
      <c r="W345" s="525">
        <f t="shared" si="279"/>
        <v>0</v>
      </c>
      <c r="X345" s="525">
        <f t="shared" si="279"/>
        <v>0</v>
      </c>
      <c r="Y345" s="525">
        <f t="shared" si="279"/>
        <v>0</v>
      </c>
      <c r="Z345" s="525">
        <f t="shared" si="279"/>
        <v>0</v>
      </c>
      <c r="AA345" s="525">
        <f t="shared" si="279"/>
        <v>0</v>
      </c>
      <c r="AB345" s="525">
        <f t="shared" si="279"/>
        <v>0</v>
      </c>
      <c r="AD345" s="405">
        <f t="shared" si="237"/>
        <v>0</v>
      </c>
      <c r="AE345" s="525">
        <f t="shared" si="238"/>
        <v>0</v>
      </c>
      <c r="AF345" s="525">
        <f t="shared" si="239"/>
        <v>0</v>
      </c>
      <c r="AG345" s="525">
        <f t="shared" si="239"/>
        <v>0</v>
      </c>
      <c r="AH345" s="525">
        <f t="shared" si="239"/>
        <v>0</v>
      </c>
      <c r="AI345" s="525">
        <f t="shared" si="240"/>
        <v>0</v>
      </c>
      <c r="AJ345" s="525">
        <f t="shared" si="240"/>
        <v>0</v>
      </c>
      <c r="AK345" s="525">
        <f t="shared" si="240"/>
        <v>0</v>
      </c>
      <c r="AL345" s="525">
        <f t="shared" si="241"/>
        <v>0</v>
      </c>
    </row>
    <row r="346" spans="1:38">
      <c r="A346" s="618"/>
      <c r="B346" s="618" t="s">
        <v>540</v>
      </c>
      <c r="C346" s="619">
        <f t="shared" si="276"/>
        <v>1</v>
      </c>
      <c r="D346" s="523" t="str">
        <f>VLOOKUP(B346,DONGIA,DG!$B$6,0)</f>
        <v>AB.11513</v>
      </c>
      <c r="E346" s="666" t="str">
        <f>VLOOKUP(B346,DONGIA,DG!$C$6,0)</f>
        <v>Đào rãnh tiếp địa đất cấp 3</v>
      </c>
      <c r="F346" s="523" t="str">
        <f>VLOOKUP(B346,DONGIA,DG!$D$6,0)</f>
        <v>m3</v>
      </c>
      <c r="G346" s="626">
        <f>ROUND(0.5*0.2*15.5,3)</f>
        <v>1.55</v>
      </c>
      <c r="H346" s="525"/>
      <c r="I346" s="525"/>
      <c r="J346" s="525">
        <f>VLOOKUP($B346,DONGIA,DG!$F$6,0)</f>
        <v>241580</v>
      </c>
      <c r="K346" s="525"/>
      <c r="L346" s="525">
        <f>VLOOKUP($B346,DONGIA,DG!$G$6,0)</f>
        <v>0</v>
      </c>
      <c r="M346" s="525"/>
      <c r="N346" s="525">
        <f t="shared" si="277"/>
        <v>0</v>
      </c>
      <c r="O346" s="525">
        <f t="shared" si="274"/>
        <v>0</v>
      </c>
      <c r="P346" s="525">
        <f t="shared" si="274"/>
        <v>374449</v>
      </c>
      <c r="Q346" s="525">
        <f t="shared" si="274"/>
        <v>0</v>
      </c>
      <c r="R346" s="525">
        <f t="shared" si="274"/>
        <v>0</v>
      </c>
      <c r="S346" s="525">
        <f t="shared" si="274"/>
        <v>0</v>
      </c>
      <c r="U346" s="525">
        <f t="shared" si="279"/>
        <v>41.85</v>
      </c>
      <c r="V346" s="525">
        <f t="shared" si="279"/>
        <v>41.85</v>
      </c>
      <c r="W346" s="525">
        <f t="shared" si="279"/>
        <v>0</v>
      </c>
      <c r="X346" s="525">
        <f t="shared" si="279"/>
        <v>0</v>
      </c>
      <c r="Y346" s="525">
        <f t="shared" si="279"/>
        <v>0</v>
      </c>
      <c r="Z346" s="525">
        <f t="shared" si="279"/>
        <v>0</v>
      </c>
      <c r="AA346" s="525">
        <f t="shared" si="279"/>
        <v>0</v>
      </c>
      <c r="AB346" s="525">
        <f t="shared" si="279"/>
        <v>0</v>
      </c>
      <c r="AD346" s="405">
        <f>IFERROR(VLOOKUP(B346,DONGIA,$AD$3,0),0)</f>
        <v>0</v>
      </c>
      <c r="AE346" s="525">
        <f t="shared" ref="AE346:AL347" si="280">U346*$AD346</f>
        <v>0</v>
      </c>
      <c r="AF346" s="525">
        <f t="shared" si="280"/>
        <v>0</v>
      </c>
      <c r="AG346" s="525">
        <f t="shared" si="280"/>
        <v>0</v>
      </c>
      <c r="AH346" s="525">
        <f t="shared" si="280"/>
        <v>0</v>
      </c>
      <c r="AI346" s="525">
        <f t="shared" si="280"/>
        <v>0</v>
      </c>
      <c r="AJ346" s="525">
        <f t="shared" si="280"/>
        <v>0</v>
      </c>
      <c r="AK346" s="525">
        <f t="shared" si="280"/>
        <v>0</v>
      </c>
      <c r="AL346" s="525">
        <f t="shared" si="280"/>
        <v>0</v>
      </c>
    </row>
    <row r="347" spans="1:38">
      <c r="A347" s="618"/>
      <c r="B347" s="618" t="s">
        <v>547</v>
      </c>
      <c r="C347" s="619">
        <f t="shared" si="276"/>
        <v>1</v>
      </c>
      <c r="D347" s="523" t="str">
        <f>VLOOKUP(B347,DONGIA,DG!$B$6,0)</f>
        <v>AB.65110</v>
      </c>
      <c r="E347" s="666" t="str">
        <f>VLOOKUP(B347,DONGIA,DG!$C$6,0)</f>
        <v>Đắp đất rãnh tiếp địa (K=0,85)</v>
      </c>
      <c r="F347" s="523" t="str">
        <f>VLOOKUP(B347,DONGIA,DG!$D$6,0)</f>
        <v>m3</v>
      </c>
      <c r="G347" s="626">
        <f>G346</f>
        <v>1.55</v>
      </c>
      <c r="H347" s="525"/>
      <c r="I347" s="525"/>
      <c r="J347" s="525">
        <f>VLOOKUP($B347,DONGIA,DG!$F$6,0)</f>
        <v>16267</v>
      </c>
      <c r="K347" s="525"/>
      <c r="L347" s="525">
        <f>VLOOKUP($B347,DONGIA,DG!$G$6,0)</f>
        <v>11176</v>
      </c>
      <c r="M347" s="525"/>
      <c r="N347" s="525">
        <f t="shared" si="277"/>
        <v>0</v>
      </c>
      <c r="O347" s="525">
        <f t="shared" si="274"/>
        <v>0</v>
      </c>
      <c r="P347" s="525">
        <f t="shared" si="274"/>
        <v>25213.850000000002</v>
      </c>
      <c r="Q347" s="525">
        <f t="shared" si="274"/>
        <v>0</v>
      </c>
      <c r="R347" s="525">
        <f t="shared" si="274"/>
        <v>17322.8</v>
      </c>
      <c r="S347" s="525">
        <f t="shared" si="274"/>
        <v>0</v>
      </c>
      <c r="U347" s="525">
        <f t="shared" si="279"/>
        <v>41.85</v>
      </c>
      <c r="V347" s="525">
        <f t="shared" si="279"/>
        <v>41.85</v>
      </c>
      <c r="W347" s="525">
        <f t="shared" si="279"/>
        <v>0</v>
      </c>
      <c r="X347" s="525">
        <f t="shared" si="279"/>
        <v>0</v>
      </c>
      <c r="Y347" s="525">
        <f t="shared" si="279"/>
        <v>0</v>
      </c>
      <c r="Z347" s="525">
        <f t="shared" si="279"/>
        <v>0</v>
      </c>
      <c r="AA347" s="525">
        <f t="shared" si="279"/>
        <v>0</v>
      </c>
      <c r="AB347" s="525">
        <f t="shared" si="279"/>
        <v>0</v>
      </c>
      <c r="AD347" s="405">
        <f>IFERROR(VLOOKUP(B347,DONGIA,$AD$3,0),0)</f>
        <v>0</v>
      </c>
      <c r="AE347" s="525">
        <f t="shared" si="280"/>
        <v>0</v>
      </c>
      <c r="AF347" s="525">
        <f t="shared" si="280"/>
        <v>0</v>
      </c>
      <c r="AG347" s="525">
        <f t="shared" si="280"/>
        <v>0</v>
      </c>
      <c r="AH347" s="525">
        <f t="shared" si="280"/>
        <v>0</v>
      </c>
      <c r="AI347" s="525">
        <f t="shared" si="280"/>
        <v>0</v>
      </c>
      <c r="AJ347" s="525">
        <f t="shared" si="280"/>
        <v>0</v>
      </c>
      <c r="AK347" s="525">
        <f t="shared" si="280"/>
        <v>0</v>
      </c>
      <c r="AL347" s="525">
        <f t="shared" si="280"/>
        <v>0</v>
      </c>
    </row>
    <row r="348" spans="1:38">
      <c r="A348" s="618"/>
      <c r="B348" s="618" t="s">
        <v>570</v>
      </c>
      <c r="C348" s="619">
        <f t="shared" si="276"/>
        <v>1</v>
      </c>
      <c r="D348" s="523" t="str">
        <f>VLOOKUP(B348,DONGIA,DG!$B$6,0)</f>
        <v>D2.7001</v>
      </c>
      <c r="E348" s="666" t="str">
        <f>VLOOKUP(B348,DONGIA,DG!$C$6,0)</f>
        <v xml:space="preserve">Kéo dây tiếp địa </v>
      </c>
      <c r="F348" s="523" t="str">
        <f>VLOOKUP(B348,DONGIA,DG!$D$6,0)</f>
        <v>kg</v>
      </c>
      <c r="G348" s="626">
        <f>G342</f>
        <v>6.72</v>
      </c>
      <c r="H348" s="525"/>
      <c r="I348" s="525"/>
      <c r="J348" s="525"/>
      <c r="K348" s="525">
        <f>VLOOKUP($B348,DONGIA,DG!$F$6,0)</f>
        <v>2195</v>
      </c>
      <c r="L348" s="525"/>
      <c r="M348" s="525">
        <f>VLOOKUP($B348,DONGIA,DG!$G$6,0)</f>
        <v>0</v>
      </c>
      <c r="N348" s="525">
        <f t="shared" si="277"/>
        <v>0</v>
      </c>
      <c r="O348" s="525">
        <f t="shared" si="274"/>
        <v>0</v>
      </c>
      <c r="P348" s="525">
        <f t="shared" si="274"/>
        <v>0</v>
      </c>
      <c r="Q348" s="525">
        <f t="shared" si="274"/>
        <v>14750.4</v>
      </c>
      <c r="R348" s="525">
        <f t="shared" si="274"/>
        <v>0</v>
      </c>
      <c r="S348" s="525">
        <f t="shared" si="274"/>
        <v>0</v>
      </c>
      <c r="U348" s="525">
        <f t="shared" si="278"/>
        <v>60.48</v>
      </c>
      <c r="V348" s="525">
        <f t="shared" si="278"/>
        <v>60.48</v>
      </c>
      <c r="W348" s="525">
        <f t="shared" si="278"/>
        <v>0</v>
      </c>
      <c r="X348" s="525">
        <f t="shared" si="278"/>
        <v>0</v>
      </c>
      <c r="Y348" s="525">
        <f t="shared" si="278"/>
        <v>0</v>
      </c>
      <c r="Z348" s="525">
        <f t="shared" si="278"/>
        <v>0</v>
      </c>
      <c r="AA348" s="525">
        <f t="shared" si="278"/>
        <v>0</v>
      </c>
      <c r="AB348" s="525">
        <f t="shared" si="278"/>
        <v>0</v>
      </c>
      <c r="AD348" s="405">
        <f t="shared" si="237"/>
        <v>0</v>
      </c>
      <c r="AE348" s="525">
        <f t="shared" si="238"/>
        <v>0</v>
      </c>
      <c r="AF348" s="525">
        <f t="shared" si="239"/>
        <v>0</v>
      </c>
      <c r="AG348" s="525">
        <f t="shared" si="239"/>
        <v>0</v>
      </c>
      <c r="AH348" s="525">
        <f t="shared" si="239"/>
        <v>0</v>
      </c>
      <c r="AI348" s="525">
        <f t="shared" si="240"/>
        <v>0</v>
      </c>
      <c r="AJ348" s="525">
        <f t="shared" si="240"/>
        <v>0</v>
      </c>
      <c r="AK348" s="525">
        <f t="shared" si="240"/>
        <v>0</v>
      </c>
      <c r="AL348" s="525">
        <f t="shared" si="241"/>
        <v>0</v>
      </c>
    </row>
    <row r="349" spans="1:38">
      <c r="A349" s="618"/>
      <c r="B349" s="618" t="s">
        <v>575</v>
      </c>
      <c r="C349" s="619">
        <f t="shared" si="276"/>
        <v>1</v>
      </c>
      <c r="D349" s="523" t="str">
        <f>VLOOKUP(B349,DONGIA,DG!$B$6,0)</f>
        <v>D2.8103</v>
      </c>
      <c r="E349" s="666" t="str">
        <f>VLOOKUP(B349,DONGIA,DG!$C$6,0)</f>
        <v>Đóng cọc tiếp địa đất cấp 3</v>
      </c>
      <c r="F349" s="523" t="str">
        <f>VLOOKUP(B349,DONGIA,DG!$D$6,0)</f>
        <v>cọc</v>
      </c>
      <c r="G349" s="525">
        <f>G343</f>
        <v>6</v>
      </c>
      <c r="H349" s="525"/>
      <c r="I349" s="525"/>
      <c r="J349" s="525"/>
      <c r="K349" s="525">
        <f>VLOOKUP($B349,DONGIA,DG!$F$6,0)</f>
        <v>76928</v>
      </c>
      <c r="L349" s="525"/>
      <c r="M349" s="525">
        <f>VLOOKUP($B349,DONGIA,DG!$G$6,0)</f>
        <v>0</v>
      </c>
      <c r="N349" s="525">
        <f t="shared" si="277"/>
        <v>0</v>
      </c>
      <c r="O349" s="525">
        <f t="shared" si="274"/>
        <v>0</v>
      </c>
      <c r="P349" s="525">
        <f t="shared" si="274"/>
        <v>0</v>
      </c>
      <c r="Q349" s="525">
        <f t="shared" si="274"/>
        <v>461568</v>
      </c>
      <c r="R349" s="525">
        <f t="shared" si="274"/>
        <v>0</v>
      </c>
      <c r="S349" s="525">
        <f t="shared" si="274"/>
        <v>0</v>
      </c>
      <c r="U349" s="525">
        <f t="shared" si="278"/>
        <v>54</v>
      </c>
      <c r="V349" s="525">
        <f t="shared" si="278"/>
        <v>54</v>
      </c>
      <c r="W349" s="525">
        <f t="shared" si="278"/>
        <v>0</v>
      </c>
      <c r="X349" s="525">
        <f t="shared" si="278"/>
        <v>0</v>
      </c>
      <c r="Y349" s="525">
        <f t="shared" si="278"/>
        <v>0</v>
      </c>
      <c r="Z349" s="525">
        <f t="shared" si="278"/>
        <v>0</v>
      </c>
      <c r="AA349" s="525">
        <f t="shared" si="278"/>
        <v>0</v>
      </c>
      <c r="AB349" s="525">
        <f t="shared" si="278"/>
        <v>0</v>
      </c>
      <c r="AD349" s="405">
        <f t="shared" si="237"/>
        <v>0</v>
      </c>
      <c r="AE349" s="525">
        <f t="shared" si="238"/>
        <v>0</v>
      </c>
      <c r="AF349" s="525">
        <f t="shared" si="239"/>
        <v>0</v>
      </c>
      <c r="AG349" s="525">
        <f t="shared" si="239"/>
        <v>0</v>
      </c>
      <c r="AH349" s="525">
        <f t="shared" si="239"/>
        <v>0</v>
      </c>
      <c r="AI349" s="525">
        <f t="shared" si="240"/>
        <v>0</v>
      </c>
      <c r="AJ349" s="525">
        <f t="shared" si="240"/>
        <v>0</v>
      </c>
      <c r="AK349" s="525">
        <f t="shared" si="240"/>
        <v>0</v>
      </c>
      <c r="AL349" s="525">
        <f t="shared" si="241"/>
        <v>0</v>
      </c>
    </row>
    <row r="350" spans="1:38">
      <c r="A350" s="618" t="s">
        <v>3516</v>
      </c>
      <c r="B350" s="618"/>
      <c r="C350" s="619">
        <f>IF(G350&lt;&gt;0,1,)</f>
        <v>1</v>
      </c>
      <c r="D350" s="622"/>
      <c r="E350" s="733" t="s">
        <v>3518</v>
      </c>
      <c r="F350" s="622" t="s">
        <v>138</v>
      </c>
      <c r="G350" s="622">
        <f>U350</f>
        <v>3</v>
      </c>
      <c r="H350" s="623"/>
      <c r="I350" s="623"/>
      <c r="J350" s="623"/>
      <c r="K350" s="623"/>
      <c r="L350" s="623"/>
      <c r="M350" s="623"/>
      <c r="N350" s="623">
        <f t="shared" ref="N350:S350" si="281">SUM(N352:N359)</f>
        <v>2174837.12</v>
      </c>
      <c r="O350" s="623">
        <f t="shared" si="281"/>
        <v>0</v>
      </c>
      <c r="P350" s="623">
        <f t="shared" si="281"/>
        <v>399662.85</v>
      </c>
      <c r="Q350" s="623">
        <f t="shared" si="281"/>
        <v>474351.68</v>
      </c>
      <c r="R350" s="623">
        <f t="shared" si="281"/>
        <v>17322.8</v>
      </c>
      <c r="S350" s="623">
        <f t="shared" si="281"/>
        <v>0</v>
      </c>
      <c r="U350" s="623">
        <f>SUM(V350:AB350)</f>
        <v>3</v>
      </c>
      <c r="V350" s="623">
        <f>IFERROR(HLOOKUP($A350,BK3P,V$3,0),)</f>
        <v>3</v>
      </c>
      <c r="W350" s="623">
        <f>IFERROR(HLOOKUP($A350,BK3P,W$3,0),)</f>
        <v>0</v>
      </c>
      <c r="X350" s="623">
        <f>IFERROR(HLOOKUP($A350,BK3P,X$3,0),)</f>
        <v>0</v>
      </c>
      <c r="Y350" s="623">
        <f>IFERROR(HLOOKUP($A350,BK1P,Y$3,0),)</f>
        <v>0</v>
      </c>
      <c r="Z350" s="623">
        <f>IFERROR(HLOOKUP($A350,BK1P,Z$3,0),)</f>
        <v>0</v>
      </c>
      <c r="AA350" s="623">
        <f>IFERROR(HLOOKUP($A350,BK1P,AA$3,0),)</f>
        <v>0</v>
      </c>
      <c r="AB350" s="623">
        <f>IFERROR(HLOOKUP($A350,BKHT,AB$3,0),)</f>
        <v>0</v>
      </c>
      <c r="AD350" s="405">
        <f t="shared" ref="AD350:AD359" si="282">IFERROR(VLOOKUP(B350,DONGIA,$AD$3,0),0)</f>
        <v>0</v>
      </c>
      <c r="AE350" s="525">
        <f t="shared" ref="AE350:AE359" si="283">U350*$AD350</f>
        <v>0</v>
      </c>
      <c r="AF350" s="525">
        <f t="shared" ref="AF350:AF359" si="284">V350*$AD350</f>
        <v>0</v>
      </c>
      <c r="AG350" s="525">
        <f t="shared" ref="AG350:AG359" si="285">W350*$AD350</f>
        <v>0</v>
      </c>
      <c r="AH350" s="525">
        <f t="shared" ref="AH350:AH359" si="286">X350*$AD350</f>
        <v>0</v>
      </c>
      <c r="AI350" s="525">
        <f t="shared" ref="AI350:AI359" si="287">Y350*$AD350</f>
        <v>0</v>
      </c>
      <c r="AJ350" s="525">
        <f t="shared" ref="AJ350:AJ359" si="288">Z350*$AD350</f>
        <v>0</v>
      </c>
      <c r="AK350" s="525">
        <f t="shared" ref="AK350:AK359" si="289">AA350*$AD350</f>
        <v>0</v>
      </c>
      <c r="AL350" s="525">
        <f t="shared" ref="AL350:AL359" si="290">AB350*$AD350</f>
        <v>0</v>
      </c>
    </row>
    <row r="351" spans="1:38" s="542" customFormat="1">
      <c r="A351" s="624"/>
      <c r="B351" s="624"/>
      <c r="C351" s="625">
        <f>C350</f>
        <v>1</v>
      </c>
      <c r="D351" s="544"/>
      <c r="E351" s="734" t="s">
        <v>1659</v>
      </c>
      <c r="F351" s="544"/>
      <c r="G351" s="545"/>
      <c r="H351" s="545"/>
      <c r="I351" s="545"/>
      <c r="J351" s="545"/>
      <c r="K351" s="545"/>
      <c r="L351" s="545"/>
      <c r="M351" s="545"/>
      <c r="N351" s="545"/>
      <c r="O351" s="545"/>
      <c r="P351" s="545"/>
      <c r="Q351" s="545"/>
      <c r="R351" s="545"/>
      <c r="S351" s="545"/>
      <c r="U351" s="545"/>
      <c r="V351" s="545"/>
      <c r="W351" s="545"/>
      <c r="X351" s="545"/>
      <c r="Y351" s="545"/>
      <c r="Z351" s="545"/>
      <c r="AA351" s="545"/>
      <c r="AB351" s="545"/>
      <c r="AD351" s="405">
        <f t="shared" si="282"/>
        <v>0</v>
      </c>
      <c r="AE351" s="525">
        <f t="shared" si="283"/>
        <v>0</v>
      </c>
      <c r="AF351" s="525">
        <f t="shared" si="284"/>
        <v>0</v>
      </c>
      <c r="AG351" s="525">
        <f t="shared" si="285"/>
        <v>0</v>
      </c>
      <c r="AH351" s="525">
        <f t="shared" si="286"/>
        <v>0</v>
      </c>
      <c r="AI351" s="525">
        <f t="shared" si="287"/>
        <v>0</v>
      </c>
      <c r="AJ351" s="525">
        <f t="shared" si="288"/>
        <v>0</v>
      </c>
      <c r="AK351" s="525">
        <f t="shared" si="289"/>
        <v>0</v>
      </c>
      <c r="AL351" s="525">
        <f t="shared" si="290"/>
        <v>0</v>
      </c>
    </row>
    <row r="352" spans="1:38">
      <c r="A352" s="618"/>
      <c r="B352" s="618" t="s">
        <v>1658</v>
      </c>
      <c r="C352" s="619">
        <f>IF(G352&lt;&gt;0,$C$340,)</f>
        <v>1</v>
      </c>
      <c r="D352" s="523">
        <f>VLOOKUP(B352,DONGIA,DG!$B$6,0)</f>
        <v>0</v>
      </c>
      <c r="E352" s="666" t="str">
        <f>VLOOKUP(B352,DONGIA,DG!$C$6,0)</f>
        <v>Cáp đồng trần M25mm2</v>
      </c>
      <c r="F352" s="523" t="str">
        <f>VLOOKUP(B352,DONGIA,DG!$D$6,0)</f>
        <v>kg</v>
      </c>
      <c r="G352" s="626">
        <f>ROUND(26*0.224,3)</f>
        <v>5.8239999999999998</v>
      </c>
      <c r="H352" s="525">
        <f>VLOOKUP($B352,DONGIA,DG!$E$6,0)</f>
        <v>201380</v>
      </c>
      <c r="I352" s="525"/>
      <c r="J352" s="525"/>
      <c r="K352" s="525">
        <f>VLOOKUP($B352,DONGIA,DG!$F$6,0)</f>
        <v>0</v>
      </c>
      <c r="L352" s="525"/>
      <c r="M352" s="525">
        <f>VLOOKUP($B352,DONGIA,DG!$G$6,0)</f>
        <v>0</v>
      </c>
      <c r="N352" s="525">
        <f>$G352*H352</f>
        <v>1172837.1199999999</v>
      </c>
      <c r="O352" s="525">
        <f t="shared" ref="O352:O359" si="291">$G352*I352</f>
        <v>0</v>
      </c>
      <c r="P352" s="525">
        <f t="shared" ref="P352:P359" si="292">$G352*J352</f>
        <v>0</v>
      </c>
      <c r="Q352" s="525">
        <f t="shared" ref="Q352:Q359" si="293">$G352*K352</f>
        <v>0</v>
      </c>
      <c r="R352" s="525">
        <f t="shared" ref="R352:R359" si="294">$G352*L352</f>
        <v>0</v>
      </c>
      <c r="S352" s="525">
        <f t="shared" ref="S352:S359" si="295">$G352*M352</f>
        <v>0</v>
      </c>
      <c r="U352" s="525">
        <f>U$350*$G352</f>
        <v>17.472000000000001</v>
      </c>
      <c r="V352" s="525">
        <f t="shared" ref="V352:AB359" si="296">V$350*$G352</f>
        <v>17.472000000000001</v>
      </c>
      <c r="W352" s="525">
        <f t="shared" si="296"/>
        <v>0</v>
      </c>
      <c r="X352" s="525">
        <f t="shared" si="296"/>
        <v>0</v>
      </c>
      <c r="Y352" s="525">
        <f t="shared" si="296"/>
        <v>0</v>
      </c>
      <c r="Z352" s="525">
        <f t="shared" si="296"/>
        <v>0</v>
      </c>
      <c r="AA352" s="525">
        <f t="shared" si="296"/>
        <v>0</v>
      </c>
      <c r="AB352" s="525">
        <f t="shared" si="296"/>
        <v>0</v>
      </c>
      <c r="AD352" s="405">
        <f t="shared" si="282"/>
        <v>1</v>
      </c>
      <c r="AE352" s="525">
        <f t="shared" si="283"/>
        <v>17.472000000000001</v>
      </c>
      <c r="AF352" s="525">
        <f t="shared" si="284"/>
        <v>17.472000000000001</v>
      </c>
      <c r="AG352" s="525">
        <f t="shared" si="285"/>
        <v>0</v>
      </c>
      <c r="AH352" s="525">
        <f t="shared" si="286"/>
        <v>0</v>
      </c>
      <c r="AI352" s="525">
        <f t="shared" si="287"/>
        <v>0</v>
      </c>
      <c r="AJ352" s="525">
        <f t="shared" si="288"/>
        <v>0</v>
      </c>
      <c r="AK352" s="525">
        <f t="shared" si="289"/>
        <v>0</v>
      </c>
      <c r="AL352" s="525">
        <f t="shared" si="290"/>
        <v>0</v>
      </c>
    </row>
    <row r="353" spans="1:38">
      <c r="A353" s="618"/>
      <c r="B353" s="618" t="s">
        <v>278</v>
      </c>
      <c r="C353" s="619">
        <f t="shared" ref="C353:C359" si="297">IF(G353&lt;&gt;0,$C$340,)</f>
        <v>1</v>
      </c>
      <c r="D353" s="523">
        <f>VLOOKUP(B353,DONGIA,DG!$B$6,0)</f>
        <v>0</v>
      </c>
      <c r="E353" s="666" t="str">
        <f>VLOOKUP(B353,DONGIA,DG!$C$6,0)</f>
        <v>Cọc tiếp đất φ16 - 2,4m (mạ đồng 16µm)</v>
      </c>
      <c r="F353" s="523" t="str">
        <f>VLOOKUP(B353,DONGIA,DG!$D$6,0)</f>
        <v>cọc</v>
      </c>
      <c r="G353" s="525">
        <f>6</f>
        <v>6</v>
      </c>
      <c r="H353" s="525">
        <f>VLOOKUP($B353,DONGIA,DG!$E$6,0)</f>
        <v>130000</v>
      </c>
      <c r="I353" s="525"/>
      <c r="J353" s="525"/>
      <c r="K353" s="525">
        <f>VLOOKUP($B353,DONGIA,DG!$F$6,0)</f>
        <v>0</v>
      </c>
      <c r="L353" s="525"/>
      <c r="M353" s="525">
        <f>VLOOKUP($B353,DONGIA,DG!$G$6,0)</f>
        <v>0</v>
      </c>
      <c r="N353" s="525">
        <f t="shared" ref="N353:N359" si="298">$G353*H353</f>
        <v>780000</v>
      </c>
      <c r="O353" s="525">
        <f t="shared" si="291"/>
        <v>0</v>
      </c>
      <c r="P353" s="525">
        <f t="shared" si="292"/>
        <v>0</v>
      </c>
      <c r="Q353" s="525">
        <f t="shared" si="293"/>
        <v>0</v>
      </c>
      <c r="R353" s="525">
        <f t="shared" si="294"/>
        <v>0</v>
      </c>
      <c r="S353" s="525">
        <f t="shared" si="295"/>
        <v>0</v>
      </c>
      <c r="U353" s="525">
        <f t="shared" ref="U353:U359" si="299">U$350*$G353</f>
        <v>18</v>
      </c>
      <c r="V353" s="525">
        <f t="shared" si="296"/>
        <v>18</v>
      </c>
      <c r="W353" s="525">
        <f t="shared" si="296"/>
        <v>0</v>
      </c>
      <c r="X353" s="525">
        <f t="shared" si="296"/>
        <v>0</v>
      </c>
      <c r="Y353" s="525">
        <f t="shared" si="296"/>
        <v>0</v>
      </c>
      <c r="Z353" s="525">
        <f t="shared" si="296"/>
        <v>0</v>
      </c>
      <c r="AA353" s="525">
        <f t="shared" si="296"/>
        <v>0</v>
      </c>
      <c r="AB353" s="525">
        <f t="shared" si="296"/>
        <v>0</v>
      </c>
      <c r="AD353" s="405">
        <f t="shared" si="282"/>
        <v>5.3</v>
      </c>
      <c r="AE353" s="525">
        <f t="shared" si="283"/>
        <v>95.399999999999991</v>
      </c>
      <c r="AF353" s="525">
        <f t="shared" si="284"/>
        <v>95.399999999999991</v>
      </c>
      <c r="AG353" s="525">
        <f t="shared" si="285"/>
        <v>0</v>
      </c>
      <c r="AH353" s="525">
        <f t="shared" si="286"/>
        <v>0</v>
      </c>
      <c r="AI353" s="525">
        <f t="shared" si="287"/>
        <v>0</v>
      </c>
      <c r="AJ353" s="525">
        <f t="shared" si="288"/>
        <v>0</v>
      </c>
      <c r="AK353" s="525">
        <f t="shared" si="289"/>
        <v>0</v>
      </c>
      <c r="AL353" s="525">
        <f t="shared" si="290"/>
        <v>0</v>
      </c>
    </row>
    <row r="354" spans="1:38">
      <c r="A354" s="618"/>
      <c r="B354" s="618" t="s">
        <v>280</v>
      </c>
      <c r="C354" s="619">
        <f t="shared" si="297"/>
        <v>1</v>
      </c>
      <c r="D354" s="523">
        <f>VLOOKUP(B354,DONGIA,DG!$B$6,0)</f>
        <v>0</v>
      </c>
      <c r="E354" s="666" t="str">
        <f>VLOOKUP(B354,DONGIA,DG!$C$6,0)</f>
        <v>Kẹp cọc tiếp địa</v>
      </c>
      <c r="F354" s="523" t="str">
        <f>VLOOKUP(B354,DONGIA,DG!$D$6,0)</f>
        <v>bộ</v>
      </c>
      <c r="G354" s="525">
        <f>G353</f>
        <v>6</v>
      </c>
      <c r="H354" s="525">
        <f>VLOOKUP($B354,DONGIA,DG!$E$6,0)</f>
        <v>25000</v>
      </c>
      <c r="I354" s="525"/>
      <c r="J354" s="525"/>
      <c r="K354" s="525">
        <f>VLOOKUP($B354,DONGIA,DG!$F$6,0)</f>
        <v>0</v>
      </c>
      <c r="L354" s="525"/>
      <c r="M354" s="525">
        <f>VLOOKUP($B354,DONGIA,DG!$G$6,0)</f>
        <v>0</v>
      </c>
      <c r="N354" s="525">
        <f t="shared" si="298"/>
        <v>150000</v>
      </c>
      <c r="O354" s="525">
        <f t="shared" si="291"/>
        <v>0</v>
      </c>
      <c r="P354" s="525">
        <f t="shared" si="292"/>
        <v>0</v>
      </c>
      <c r="Q354" s="525">
        <f t="shared" si="293"/>
        <v>0</v>
      </c>
      <c r="R354" s="525">
        <f t="shared" si="294"/>
        <v>0</v>
      </c>
      <c r="S354" s="525">
        <f t="shared" si="295"/>
        <v>0</v>
      </c>
      <c r="U354" s="525">
        <f t="shared" si="299"/>
        <v>18</v>
      </c>
      <c r="V354" s="525">
        <f t="shared" si="296"/>
        <v>18</v>
      </c>
      <c r="W354" s="525">
        <f t="shared" si="296"/>
        <v>0</v>
      </c>
      <c r="X354" s="525">
        <f t="shared" si="296"/>
        <v>0</v>
      </c>
      <c r="Y354" s="525">
        <f t="shared" si="296"/>
        <v>0</v>
      </c>
      <c r="Z354" s="525">
        <f t="shared" si="296"/>
        <v>0</v>
      </c>
      <c r="AA354" s="525">
        <f t="shared" si="296"/>
        <v>0</v>
      </c>
      <c r="AB354" s="525">
        <f t="shared" si="296"/>
        <v>0</v>
      </c>
      <c r="AD354" s="405">
        <f t="shared" si="282"/>
        <v>0.05</v>
      </c>
      <c r="AE354" s="525">
        <f t="shared" si="283"/>
        <v>0.9</v>
      </c>
      <c r="AF354" s="525">
        <f t="shared" si="284"/>
        <v>0.9</v>
      </c>
      <c r="AG354" s="525">
        <f t="shared" si="285"/>
        <v>0</v>
      </c>
      <c r="AH354" s="525">
        <f t="shared" si="286"/>
        <v>0</v>
      </c>
      <c r="AI354" s="525">
        <f t="shared" si="287"/>
        <v>0</v>
      </c>
      <c r="AJ354" s="525">
        <f t="shared" si="288"/>
        <v>0</v>
      </c>
      <c r="AK354" s="525">
        <f t="shared" si="289"/>
        <v>0</v>
      </c>
      <c r="AL354" s="525">
        <f t="shared" si="290"/>
        <v>0</v>
      </c>
    </row>
    <row r="355" spans="1:38">
      <c r="A355" s="618"/>
      <c r="B355" s="618" t="s">
        <v>1217</v>
      </c>
      <c r="C355" s="619">
        <f t="shared" si="297"/>
        <v>1</v>
      </c>
      <c r="D355" s="523">
        <f>VLOOKUP(B355,DONGIA,DG!$B$6,0)</f>
        <v>0</v>
      </c>
      <c r="E355" s="666" t="str">
        <f>VLOOKUP(B355,DONGIA,DG!$C$6,0)</f>
        <v xml:space="preserve">Ốc xiết cáp cỡ 38mm2 </v>
      </c>
      <c r="F355" s="523" t="str">
        <f>VLOOKUP(B355,DONGIA,DG!$D$6,0)</f>
        <v>cái</v>
      </c>
      <c r="G355" s="525">
        <v>4</v>
      </c>
      <c r="H355" s="525">
        <f>VLOOKUP($B355,DONGIA,DG!$E$6,0)</f>
        <v>18000</v>
      </c>
      <c r="I355" s="525"/>
      <c r="J355" s="525"/>
      <c r="K355" s="525">
        <f>VLOOKUP($B355,DONGIA,DG!$F$6,0)</f>
        <v>0</v>
      </c>
      <c r="L355" s="525"/>
      <c r="M355" s="525">
        <f>VLOOKUP($B355,DONGIA,DG!$G$6,0)</f>
        <v>0</v>
      </c>
      <c r="N355" s="525">
        <f t="shared" si="298"/>
        <v>72000</v>
      </c>
      <c r="O355" s="525">
        <f t="shared" si="291"/>
        <v>0</v>
      </c>
      <c r="P355" s="525">
        <f t="shared" si="292"/>
        <v>0</v>
      </c>
      <c r="Q355" s="525">
        <f t="shared" si="293"/>
        <v>0</v>
      </c>
      <c r="R355" s="525">
        <f t="shared" si="294"/>
        <v>0</v>
      </c>
      <c r="S355" s="525">
        <f t="shared" si="295"/>
        <v>0</v>
      </c>
      <c r="U355" s="525">
        <f t="shared" si="299"/>
        <v>12</v>
      </c>
      <c r="V355" s="525">
        <f t="shared" si="296"/>
        <v>12</v>
      </c>
      <c r="W355" s="525">
        <f t="shared" si="296"/>
        <v>0</v>
      </c>
      <c r="X355" s="525">
        <f t="shared" si="296"/>
        <v>0</v>
      </c>
      <c r="Y355" s="525">
        <f t="shared" si="296"/>
        <v>0</v>
      </c>
      <c r="Z355" s="525">
        <f t="shared" si="296"/>
        <v>0</v>
      </c>
      <c r="AA355" s="525">
        <f t="shared" si="296"/>
        <v>0</v>
      </c>
      <c r="AB355" s="525">
        <f t="shared" si="296"/>
        <v>0</v>
      </c>
      <c r="AD355" s="405">
        <f t="shared" si="282"/>
        <v>0</v>
      </c>
      <c r="AE355" s="525">
        <f t="shared" si="283"/>
        <v>0</v>
      </c>
      <c r="AF355" s="525">
        <f t="shared" si="284"/>
        <v>0</v>
      </c>
      <c r="AG355" s="525">
        <f t="shared" si="285"/>
        <v>0</v>
      </c>
      <c r="AH355" s="525">
        <f t="shared" si="286"/>
        <v>0</v>
      </c>
      <c r="AI355" s="525">
        <f t="shared" si="287"/>
        <v>0</v>
      </c>
      <c r="AJ355" s="525">
        <f t="shared" si="288"/>
        <v>0</v>
      </c>
      <c r="AK355" s="525">
        <f t="shared" si="289"/>
        <v>0</v>
      </c>
      <c r="AL355" s="525">
        <f t="shared" si="290"/>
        <v>0</v>
      </c>
    </row>
    <row r="356" spans="1:38">
      <c r="A356" s="618"/>
      <c r="B356" s="618" t="s">
        <v>540</v>
      </c>
      <c r="C356" s="619">
        <f t="shared" si="297"/>
        <v>1</v>
      </c>
      <c r="D356" s="523" t="str">
        <f>VLOOKUP(B356,DONGIA,DG!$B$6,0)</f>
        <v>AB.11513</v>
      </c>
      <c r="E356" s="666" t="str">
        <f>VLOOKUP(B356,DONGIA,DG!$C$6,0)</f>
        <v>Đào rãnh tiếp địa đất cấp 3</v>
      </c>
      <c r="F356" s="523" t="str">
        <f>VLOOKUP(B356,DONGIA,DG!$D$6,0)</f>
        <v>m3</v>
      </c>
      <c r="G356" s="626">
        <f>ROUND(0.5*0.2*15.5,3)</f>
        <v>1.55</v>
      </c>
      <c r="H356" s="525"/>
      <c r="I356" s="525"/>
      <c r="J356" s="525">
        <f>VLOOKUP($B356,DONGIA,DG!$F$6,0)</f>
        <v>241580</v>
      </c>
      <c r="K356" s="525"/>
      <c r="L356" s="525">
        <f>VLOOKUP($B356,DONGIA,DG!$G$6,0)</f>
        <v>0</v>
      </c>
      <c r="M356" s="525"/>
      <c r="N356" s="525">
        <f t="shared" si="298"/>
        <v>0</v>
      </c>
      <c r="O356" s="525">
        <f t="shared" si="291"/>
        <v>0</v>
      </c>
      <c r="P356" s="525">
        <f t="shared" si="292"/>
        <v>374449</v>
      </c>
      <c r="Q356" s="525">
        <f t="shared" si="293"/>
        <v>0</v>
      </c>
      <c r="R356" s="525">
        <f t="shared" si="294"/>
        <v>0</v>
      </c>
      <c r="S356" s="525">
        <f t="shared" si="295"/>
        <v>0</v>
      </c>
      <c r="U356" s="525">
        <f t="shared" si="299"/>
        <v>4.6500000000000004</v>
      </c>
      <c r="V356" s="525">
        <f t="shared" si="296"/>
        <v>4.6500000000000004</v>
      </c>
      <c r="W356" s="525">
        <f t="shared" si="296"/>
        <v>0</v>
      </c>
      <c r="X356" s="525">
        <f t="shared" si="296"/>
        <v>0</v>
      </c>
      <c r="Y356" s="525">
        <f t="shared" si="296"/>
        <v>0</v>
      </c>
      <c r="Z356" s="525">
        <f t="shared" si="296"/>
        <v>0</v>
      </c>
      <c r="AA356" s="525">
        <f t="shared" si="296"/>
        <v>0</v>
      </c>
      <c r="AB356" s="525">
        <f t="shared" si="296"/>
        <v>0</v>
      </c>
      <c r="AD356" s="405">
        <f t="shared" si="282"/>
        <v>0</v>
      </c>
      <c r="AE356" s="525">
        <f t="shared" si="283"/>
        <v>0</v>
      </c>
      <c r="AF356" s="525">
        <f t="shared" si="284"/>
        <v>0</v>
      </c>
      <c r="AG356" s="525">
        <f t="shared" si="285"/>
        <v>0</v>
      </c>
      <c r="AH356" s="525">
        <f t="shared" si="286"/>
        <v>0</v>
      </c>
      <c r="AI356" s="525">
        <f t="shared" si="287"/>
        <v>0</v>
      </c>
      <c r="AJ356" s="525">
        <f t="shared" si="288"/>
        <v>0</v>
      </c>
      <c r="AK356" s="525">
        <f t="shared" si="289"/>
        <v>0</v>
      </c>
      <c r="AL356" s="525">
        <f t="shared" si="290"/>
        <v>0</v>
      </c>
    </row>
    <row r="357" spans="1:38">
      <c r="A357" s="618"/>
      <c r="B357" s="618" t="s">
        <v>547</v>
      </c>
      <c r="C357" s="619">
        <f t="shared" si="297"/>
        <v>1</v>
      </c>
      <c r="D357" s="523" t="str">
        <f>VLOOKUP(B357,DONGIA,DG!$B$6,0)</f>
        <v>AB.65110</v>
      </c>
      <c r="E357" s="666" t="str">
        <f>VLOOKUP(B357,DONGIA,DG!$C$6,0)</f>
        <v>Đắp đất rãnh tiếp địa (K=0,85)</v>
      </c>
      <c r="F357" s="523" t="str">
        <f>VLOOKUP(B357,DONGIA,DG!$D$6,0)</f>
        <v>m3</v>
      </c>
      <c r="G357" s="626">
        <f>G356</f>
        <v>1.55</v>
      </c>
      <c r="H357" s="525"/>
      <c r="I357" s="525"/>
      <c r="J357" s="525">
        <f>VLOOKUP($B357,DONGIA,DG!$F$6,0)</f>
        <v>16267</v>
      </c>
      <c r="K357" s="525"/>
      <c r="L357" s="525">
        <f>VLOOKUP($B357,DONGIA,DG!$G$6,0)</f>
        <v>11176</v>
      </c>
      <c r="M357" s="525"/>
      <c r="N357" s="525">
        <f t="shared" si="298"/>
        <v>0</v>
      </c>
      <c r="O357" s="525">
        <f t="shared" si="291"/>
        <v>0</v>
      </c>
      <c r="P357" s="525">
        <f t="shared" si="292"/>
        <v>25213.850000000002</v>
      </c>
      <c r="Q357" s="525">
        <f t="shared" si="293"/>
        <v>0</v>
      </c>
      <c r="R357" s="525">
        <f t="shared" si="294"/>
        <v>17322.8</v>
      </c>
      <c r="S357" s="525">
        <f t="shared" si="295"/>
        <v>0</v>
      </c>
      <c r="U357" s="525">
        <f t="shared" si="299"/>
        <v>4.6500000000000004</v>
      </c>
      <c r="V357" s="525">
        <f t="shared" si="296"/>
        <v>4.6500000000000004</v>
      </c>
      <c r="W357" s="525">
        <f t="shared" si="296"/>
        <v>0</v>
      </c>
      <c r="X357" s="525">
        <f t="shared" si="296"/>
        <v>0</v>
      </c>
      <c r="Y357" s="525">
        <f t="shared" si="296"/>
        <v>0</v>
      </c>
      <c r="Z357" s="525">
        <f t="shared" si="296"/>
        <v>0</v>
      </c>
      <c r="AA357" s="525">
        <f t="shared" si="296"/>
        <v>0</v>
      </c>
      <c r="AB357" s="525">
        <f t="shared" si="296"/>
        <v>0</v>
      </c>
      <c r="AD357" s="405">
        <f t="shared" si="282"/>
        <v>0</v>
      </c>
      <c r="AE357" s="525">
        <f t="shared" si="283"/>
        <v>0</v>
      </c>
      <c r="AF357" s="525">
        <f t="shared" si="284"/>
        <v>0</v>
      </c>
      <c r="AG357" s="525">
        <f t="shared" si="285"/>
        <v>0</v>
      </c>
      <c r="AH357" s="525">
        <f t="shared" si="286"/>
        <v>0</v>
      </c>
      <c r="AI357" s="525">
        <f t="shared" si="287"/>
        <v>0</v>
      </c>
      <c r="AJ357" s="525">
        <f t="shared" si="288"/>
        <v>0</v>
      </c>
      <c r="AK357" s="525">
        <f t="shared" si="289"/>
        <v>0</v>
      </c>
      <c r="AL357" s="525">
        <f t="shared" si="290"/>
        <v>0</v>
      </c>
    </row>
    <row r="358" spans="1:38">
      <c r="A358" s="618"/>
      <c r="B358" s="618" t="s">
        <v>570</v>
      </c>
      <c r="C358" s="619">
        <f t="shared" si="297"/>
        <v>1</v>
      </c>
      <c r="D358" s="523" t="str">
        <f>VLOOKUP(B358,DONGIA,DG!$B$6,0)</f>
        <v>D2.7001</v>
      </c>
      <c r="E358" s="666" t="str">
        <f>VLOOKUP(B358,DONGIA,DG!$C$6,0)</f>
        <v xml:space="preserve">Kéo dây tiếp địa </v>
      </c>
      <c r="F358" s="523" t="str">
        <f>VLOOKUP(B358,DONGIA,DG!$D$6,0)</f>
        <v>kg</v>
      </c>
      <c r="G358" s="626">
        <f>G352</f>
        <v>5.8239999999999998</v>
      </c>
      <c r="H358" s="525"/>
      <c r="I358" s="525"/>
      <c r="J358" s="525"/>
      <c r="K358" s="525">
        <f>VLOOKUP($B358,DONGIA,DG!$F$6,0)</f>
        <v>2195</v>
      </c>
      <c r="L358" s="525"/>
      <c r="M358" s="525">
        <f>VLOOKUP($B358,DONGIA,DG!$G$6,0)</f>
        <v>0</v>
      </c>
      <c r="N358" s="525">
        <f t="shared" si="298"/>
        <v>0</v>
      </c>
      <c r="O358" s="525">
        <f t="shared" si="291"/>
        <v>0</v>
      </c>
      <c r="P358" s="525">
        <f t="shared" si="292"/>
        <v>0</v>
      </c>
      <c r="Q358" s="525">
        <f t="shared" si="293"/>
        <v>12783.68</v>
      </c>
      <c r="R358" s="525">
        <f t="shared" si="294"/>
        <v>0</v>
      </c>
      <c r="S358" s="525">
        <f t="shared" si="295"/>
        <v>0</v>
      </c>
      <c r="U358" s="525">
        <f t="shared" si="299"/>
        <v>17.472000000000001</v>
      </c>
      <c r="V358" s="525">
        <f t="shared" si="296"/>
        <v>17.472000000000001</v>
      </c>
      <c r="W358" s="525">
        <f t="shared" si="296"/>
        <v>0</v>
      </c>
      <c r="X358" s="525">
        <f t="shared" si="296"/>
        <v>0</v>
      </c>
      <c r="Y358" s="525">
        <f t="shared" si="296"/>
        <v>0</v>
      </c>
      <c r="Z358" s="525">
        <f t="shared" si="296"/>
        <v>0</v>
      </c>
      <c r="AA358" s="525">
        <f t="shared" si="296"/>
        <v>0</v>
      </c>
      <c r="AB358" s="525">
        <f t="shared" si="296"/>
        <v>0</v>
      </c>
      <c r="AD358" s="405">
        <f t="shared" si="282"/>
        <v>0</v>
      </c>
      <c r="AE358" s="525">
        <f t="shared" si="283"/>
        <v>0</v>
      </c>
      <c r="AF358" s="525">
        <f t="shared" si="284"/>
        <v>0</v>
      </c>
      <c r="AG358" s="525">
        <f t="shared" si="285"/>
        <v>0</v>
      </c>
      <c r="AH358" s="525">
        <f t="shared" si="286"/>
        <v>0</v>
      </c>
      <c r="AI358" s="525">
        <f t="shared" si="287"/>
        <v>0</v>
      </c>
      <c r="AJ358" s="525">
        <f t="shared" si="288"/>
        <v>0</v>
      </c>
      <c r="AK358" s="525">
        <f t="shared" si="289"/>
        <v>0</v>
      </c>
      <c r="AL358" s="525">
        <f t="shared" si="290"/>
        <v>0</v>
      </c>
    </row>
    <row r="359" spans="1:38">
      <c r="A359" s="618"/>
      <c r="B359" s="618" t="s">
        <v>575</v>
      </c>
      <c r="C359" s="619">
        <f t="shared" si="297"/>
        <v>1</v>
      </c>
      <c r="D359" s="523" t="str">
        <f>VLOOKUP(B359,DONGIA,DG!$B$6,0)</f>
        <v>D2.8103</v>
      </c>
      <c r="E359" s="666" t="str">
        <f>VLOOKUP(B359,DONGIA,DG!$C$6,0)</f>
        <v>Đóng cọc tiếp địa đất cấp 3</v>
      </c>
      <c r="F359" s="523" t="str">
        <f>VLOOKUP(B359,DONGIA,DG!$D$6,0)</f>
        <v>cọc</v>
      </c>
      <c r="G359" s="525">
        <f>G353</f>
        <v>6</v>
      </c>
      <c r="H359" s="525"/>
      <c r="I359" s="525"/>
      <c r="J359" s="525"/>
      <c r="K359" s="525">
        <f>VLOOKUP($B359,DONGIA,DG!$F$6,0)</f>
        <v>76928</v>
      </c>
      <c r="L359" s="525"/>
      <c r="M359" s="525">
        <f>VLOOKUP($B359,DONGIA,DG!$G$6,0)</f>
        <v>0</v>
      </c>
      <c r="N359" s="525">
        <f t="shared" si="298"/>
        <v>0</v>
      </c>
      <c r="O359" s="525">
        <f t="shared" si="291"/>
        <v>0</v>
      </c>
      <c r="P359" s="525">
        <f t="shared" si="292"/>
        <v>0</v>
      </c>
      <c r="Q359" s="525">
        <f t="shared" si="293"/>
        <v>461568</v>
      </c>
      <c r="R359" s="525">
        <f t="shared" si="294"/>
        <v>0</v>
      </c>
      <c r="S359" s="525">
        <f t="shared" si="295"/>
        <v>0</v>
      </c>
      <c r="U359" s="525">
        <f t="shared" si="299"/>
        <v>18</v>
      </c>
      <c r="V359" s="525">
        <f t="shared" si="296"/>
        <v>18</v>
      </c>
      <c r="W359" s="525">
        <f t="shared" si="296"/>
        <v>0</v>
      </c>
      <c r="X359" s="525">
        <f t="shared" si="296"/>
        <v>0</v>
      </c>
      <c r="Y359" s="525">
        <f t="shared" si="296"/>
        <v>0</v>
      </c>
      <c r="Z359" s="525">
        <f t="shared" si="296"/>
        <v>0</v>
      </c>
      <c r="AA359" s="525">
        <f t="shared" si="296"/>
        <v>0</v>
      </c>
      <c r="AB359" s="525">
        <f t="shared" si="296"/>
        <v>0</v>
      </c>
      <c r="AD359" s="405">
        <f t="shared" si="282"/>
        <v>0</v>
      </c>
      <c r="AE359" s="525">
        <f t="shared" si="283"/>
        <v>0</v>
      </c>
      <c r="AF359" s="525">
        <f t="shared" si="284"/>
        <v>0</v>
      </c>
      <c r="AG359" s="525">
        <f t="shared" si="285"/>
        <v>0</v>
      </c>
      <c r="AH359" s="525">
        <f t="shared" si="286"/>
        <v>0</v>
      </c>
      <c r="AI359" s="525">
        <f t="shared" si="287"/>
        <v>0</v>
      </c>
      <c r="AJ359" s="525">
        <f t="shared" si="288"/>
        <v>0</v>
      </c>
      <c r="AK359" s="525">
        <f t="shared" si="289"/>
        <v>0</v>
      </c>
      <c r="AL359" s="525">
        <f t="shared" si="290"/>
        <v>0</v>
      </c>
    </row>
    <row r="360" spans="1:38">
      <c r="A360" s="618"/>
      <c r="B360" s="618"/>
      <c r="C360" s="619">
        <f>IF(SUM(C361:C393)&lt;&gt;0,1,)</f>
        <v>1</v>
      </c>
      <c r="D360" s="620" t="s">
        <v>1663</v>
      </c>
      <c r="E360" s="732" t="s">
        <v>1664</v>
      </c>
      <c r="F360" s="620" t="s">
        <v>1634</v>
      </c>
      <c r="G360" s="621"/>
      <c r="H360" s="621"/>
      <c r="I360" s="621"/>
      <c r="J360" s="621"/>
      <c r="K360" s="621"/>
      <c r="L360" s="621"/>
      <c r="M360" s="621"/>
      <c r="N360" s="621"/>
      <c r="O360" s="621"/>
      <c r="P360" s="621"/>
      <c r="Q360" s="621"/>
      <c r="R360" s="621"/>
      <c r="S360" s="621"/>
      <c r="U360" s="621"/>
      <c r="V360" s="621"/>
      <c r="W360" s="621"/>
      <c r="X360" s="621"/>
      <c r="Y360" s="621"/>
      <c r="Z360" s="621"/>
      <c r="AA360" s="621"/>
      <c r="AB360" s="621"/>
      <c r="AD360" s="405">
        <f t="shared" si="237"/>
        <v>0</v>
      </c>
      <c r="AE360" s="525">
        <f t="shared" si="238"/>
        <v>0</v>
      </c>
      <c r="AF360" s="525">
        <f t="shared" si="239"/>
        <v>0</v>
      </c>
      <c r="AG360" s="525">
        <f t="shared" si="239"/>
        <v>0</v>
      </c>
      <c r="AH360" s="525">
        <f t="shared" si="239"/>
        <v>0</v>
      </c>
      <c r="AI360" s="525">
        <f t="shared" si="240"/>
        <v>0</v>
      </c>
      <c r="AJ360" s="525">
        <f t="shared" si="240"/>
        <v>0</v>
      </c>
      <c r="AK360" s="525">
        <f t="shared" si="240"/>
        <v>0</v>
      </c>
      <c r="AL360" s="525">
        <f t="shared" si="241"/>
        <v>0</v>
      </c>
    </row>
    <row r="361" spans="1:38">
      <c r="A361" s="618" t="s">
        <v>1787</v>
      </c>
      <c r="B361" s="618"/>
      <c r="C361" s="619">
        <f>IF(G361&lt;&gt;0,1,)</f>
        <v>1</v>
      </c>
      <c r="D361" s="622"/>
      <c r="E361" s="733" t="s">
        <v>1666</v>
      </c>
      <c r="F361" s="622" t="s">
        <v>1665</v>
      </c>
      <c r="G361" s="622">
        <f>U361</f>
        <v>200</v>
      </c>
      <c r="H361" s="623"/>
      <c r="I361" s="623"/>
      <c r="J361" s="623"/>
      <c r="K361" s="623"/>
      <c r="L361" s="623"/>
      <c r="M361" s="623"/>
      <c r="N361" s="623">
        <f t="shared" ref="N361:S361" si="300">SUM(N363:N364)</f>
        <v>2599000</v>
      </c>
      <c r="O361" s="623">
        <f t="shared" si="300"/>
        <v>0</v>
      </c>
      <c r="P361" s="623">
        <f t="shared" si="300"/>
        <v>0</v>
      </c>
      <c r="Q361" s="623">
        <f t="shared" si="300"/>
        <v>438339</v>
      </c>
      <c r="R361" s="623">
        <f t="shared" si="300"/>
        <v>0</v>
      </c>
      <c r="S361" s="623">
        <f t="shared" si="300"/>
        <v>135772</v>
      </c>
      <c r="U361" s="623">
        <f>SUM(V361:AB361)</f>
        <v>200</v>
      </c>
      <c r="V361" s="623">
        <f>IFERROR(HLOOKUP($A361,BK3P,V$3,0),)</f>
        <v>0</v>
      </c>
      <c r="W361" s="623">
        <f>IFERROR(HLOOKUP($A361,BK3P,W$3,0),)</f>
        <v>0</v>
      </c>
      <c r="X361" s="623">
        <f>IFERROR(HLOOKUP($A361,BK3P,X$3,0),)</f>
        <v>0</v>
      </c>
      <c r="Y361" s="623">
        <f>IFERROR(HLOOKUP($A361,BK1P,Y$3,0),)</f>
        <v>0</v>
      </c>
      <c r="Z361" s="623">
        <f>IFERROR(HLOOKUP($A361,BK1P,Z$3,0),)</f>
        <v>0</v>
      </c>
      <c r="AA361" s="623">
        <f>IFERROR(HLOOKUP($A361,BK1P,AA$3,0),)</f>
        <v>0</v>
      </c>
      <c r="AB361" s="623">
        <f>IFERROR(HLOOKUP($A361,BKHT,AB$3,0),)</f>
        <v>200</v>
      </c>
      <c r="AD361" s="405">
        <f t="shared" si="237"/>
        <v>0</v>
      </c>
      <c r="AE361" s="525">
        <f t="shared" si="238"/>
        <v>0</v>
      </c>
      <c r="AF361" s="525">
        <f t="shared" si="239"/>
        <v>0</v>
      </c>
      <c r="AG361" s="525">
        <f t="shared" si="239"/>
        <v>0</v>
      </c>
      <c r="AH361" s="525">
        <f t="shared" si="239"/>
        <v>0</v>
      </c>
      <c r="AI361" s="525">
        <f t="shared" si="240"/>
        <v>0</v>
      </c>
      <c r="AJ361" s="525">
        <f t="shared" si="240"/>
        <v>0</v>
      </c>
      <c r="AK361" s="525">
        <f t="shared" si="240"/>
        <v>0</v>
      </c>
      <c r="AL361" s="525">
        <f t="shared" si="241"/>
        <v>0</v>
      </c>
    </row>
    <row r="362" spans="1:38" s="542" customFormat="1">
      <c r="A362" s="624"/>
      <c r="B362" s="624"/>
      <c r="C362" s="625">
        <f>C361</f>
        <v>1</v>
      </c>
      <c r="D362" s="544"/>
      <c r="E362" s="734" t="s">
        <v>1659</v>
      </c>
      <c r="F362" s="544"/>
      <c r="G362" s="545"/>
      <c r="H362" s="545"/>
      <c r="I362" s="545"/>
      <c r="J362" s="545"/>
      <c r="K362" s="545"/>
      <c r="L362" s="545"/>
      <c r="M362" s="545"/>
      <c r="N362" s="545"/>
      <c r="O362" s="545"/>
      <c r="P362" s="545"/>
      <c r="Q362" s="545"/>
      <c r="R362" s="545"/>
      <c r="S362" s="545"/>
      <c r="U362" s="545"/>
      <c r="V362" s="545"/>
      <c r="W362" s="545"/>
      <c r="X362" s="545"/>
      <c r="Y362" s="545"/>
      <c r="Z362" s="545"/>
      <c r="AA362" s="545"/>
      <c r="AB362" s="545"/>
      <c r="AD362" s="405">
        <f t="shared" si="237"/>
        <v>0</v>
      </c>
      <c r="AE362" s="525">
        <f t="shared" si="238"/>
        <v>0</v>
      </c>
      <c r="AF362" s="525">
        <f t="shared" si="239"/>
        <v>0</v>
      </c>
      <c r="AG362" s="525">
        <f t="shared" si="239"/>
        <v>0</v>
      </c>
      <c r="AH362" s="525">
        <f t="shared" si="239"/>
        <v>0</v>
      </c>
      <c r="AI362" s="525">
        <f t="shared" si="240"/>
        <v>0</v>
      </c>
      <c r="AJ362" s="525">
        <f t="shared" si="240"/>
        <v>0</v>
      </c>
      <c r="AK362" s="525">
        <f t="shared" si="240"/>
        <v>0</v>
      </c>
      <c r="AL362" s="525">
        <f t="shared" si="241"/>
        <v>0</v>
      </c>
    </row>
    <row r="363" spans="1:38">
      <c r="A363" s="618"/>
      <c r="B363" s="618" t="s">
        <v>461</v>
      </c>
      <c r="C363" s="619">
        <f>IF(G363&lt;&gt;0,$C$361,)</f>
        <v>1</v>
      </c>
      <c r="D363" s="523">
        <f>VLOOKUP(B363,DONGIA,DG!$B$6,0)</f>
        <v>0</v>
      </c>
      <c r="E363" s="666" t="str">
        <f>VLOOKUP(B363,DONGIA,DG!$C$6,0)</f>
        <v>Trụ BTLT 8,5m F300 dự ứng lực</v>
      </c>
      <c r="F363" s="523" t="str">
        <f>VLOOKUP(B363,DONGIA,DG!$D$6,0)</f>
        <v>trụ</v>
      </c>
      <c r="G363" s="525">
        <v>1</v>
      </c>
      <c r="H363" s="525">
        <f>VLOOKUP($B363,DONGIA,DG!$E$6,0)</f>
        <v>2599000</v>
      </c>
      <c r="I363" s="525"/>
      <c r="J363" s="525"/>
      <c r="K363" s="525">
        <f>VLOOKUP($B363,DONGIA,DG!$F$6,0)</f>
        <v>0</v>
      </c>
      <c r="L363" s="525"/>
      <c r="M363" s="525">
        <f>VLOOKUP($B363,DONGIA,DG!$G$6,0)</f>
        <v>0</v>
      </c>
      <c r="N363" s="525">
        <f>$G363*H363</f>
        <v>2599000</v>
      </c>
      <c r="O363" s="525">
        <f t="shared" ref="O363:S364" si="301">$G363*I363</f>
        <v>0</v>
      </c>
      <c r="P363" s="525">
        <f t="shared" si="301"/>
        <v>0</v>
      </c>
      <c r="Q363" s="525">
        <f t="shared" si="301"/>
        <v>0</v>
      </c>
      <c r="R363" s="525">
        <f t="shared" si="301"/>
        <v>0</v>
      </c>
      <c r="S363" s="525">
        <f t="shared" si="301"/>
        <v>0</v>
      </c>
      <c r="U363" s="525">
        <f>U$361*$G363</f>
        <v>200</v>
      </c>
      <c r="V363" s="525">
        <f t="shared" ref="V363:AA364" si="302">V$361*$G363</f>
        <v>0</v>
      </c>
      <c r="W363" s="525">
        <f t="shared" si="302"/>
        <v>0</v>
      </c>
      <c r="X363" s="525">
        <f t="shared" si="302"/>
        <v>0</v>
      </c>
      <c r="Y363" s="525">
        <f t="shared" si="302"/>
        <v>0</v>
      </c>
      <c r="Z363" s="525">
        <f t="shared" si="302"/>
        <v>0</v>
      </c>
      <c r="AA363" s="525">
        <f t="shared" si="302"/>
        <v>0</v>
      </c>
      <c r="AB363" s="525">
        <f>AB$361*$G363</f>
        <v>200</v>
      </c>
      <c r="AD363" s="405">
        <f t="shared" si="237"/>
        <v>700</v>
      </c>
      <c r="AE363" s="525">
        <f t="shared" si="238"/>
        <v>140000</v>
      </c>
      <c r="AF363" s="525">
        <f t="shared" si="239"/>
        <v>0</v>
      </c>
      <c r="AG363" s="525">
        <f t="shared" si="239"/>
        <v>0</v>
      </c>
      <c r="AH363" s="525">
        <f t="shared" si="239"/>
        <v>0</v>
      </c>
      <c r="AI363" s="525">
        <f t="shared" si="240"/>
        <v>0</v>
      </c>
      <c r="AJ363" s="525">
        <f t="shared" si="240"/>
        <v>0</v>
      </c>
      <c r="AK363" s="525">
        <f t="shared" si="240"/>
        <v>0</v>
      </c>
      <c r="AL363" s="525">
        <f t="shared" si="241"/>
        <v>140000</v>
      </c>
    </row>
    <row r="364" spans="1:38">
      <c r="A364" s="618"/>
      <c r="B364" s="618" t="s">
        <v>600</v>
      </c>
      <c r="C364" s="619">
        <f>IF(G364&lt;&gt;0,$C$361,)</f>
        <v>1</v>
      </c>
      <c r="D364" s="523" t="str">
        <f>VLOOKUP(B364,DONGIA,DG!$B$6,0)</f>
        <v>D2.5212</v>
      </c>
      <c r="E364" s="666" t="str">
        <f>VLOOKUP(B364,DONGIA,DG!$C$6,0)</f>
        <v>Dựng trụ BTLT &lt;=8m thủ công +cơ giới</v>
      </c>
      <c r="F364" s="523" t="str">
        <f>VLOOKUP(B364,DONGIA,DG!$D$6,0)</f>
        <v>trụ</v>
      </c>
      <c r="G364" s="525">
        <v>1</v>
      </c>
      <c r="H364" s="525"/>
      <c r="I364" s="525"/>
      <c r="J364" s="525"/>
      <c r="K364" s="525">
        <f>VLOOKUP($B364,DONGIA,DG!$F$6,0)</f>
        <v>438339</v>
      </c>
      <c r="L364" s="525"/>
      <c r="M364" s="525">
        <f>VLOOKUP($B364,DONGIA,DG!$G$6,0)</f>
        <v>135772</v>
      </c>
      <c r="N364" s="525">
        <f>$G364*H364</f>
        <v>0</v>
      </c>
      <c r="O364" s="525">
        <f t="shared" si="301"/>
        <v>0</v>
      </c>
      <c r="P364" s="525">
        <f t="shared" si="301"/>
        <v>0</v>
      </c>
      <c r="Q364" s="525">
        <f t="shared" si="301"/>
        <v>438339</v>
      </c>
      <c r="R364" s="525">
        <f t="shared" si="301"/>
        <v>0</v>
      </c>
      <c r="S364" s="525">
        <f t="shared" si="301"/>
        <v>135772</v>
      </c>
      <c r="U364" s="525">
        <f>U$361*$G364</f>
        <v>200</v>
      </c>
      <c r="V364" s="525">
        <f t="shared" si="302"/>
        <v>0</v>
      </c>
      <c r="W364" s="525">
        <f t="shared" si="302"/>
        <v>0</v>
      </c>
      <c r="X364" s="525">
        <f t="shared" si="302"/>
        <v>0</v>
      </c>
      <c r="Y364" s="525">
        <f t="shared" si="302"/>
        <v>0</v>
      </c>
      <c r="Z364" s="525">
        <f t="shared" si="302"/>
        <v>0</v>
      </c>
      <c r="AA364" s="525">
        <f t="shared" si="302"/>
        <v>0</v>
      </c>
      <c r="AB364" s="525">
        <f>AB$361*$G364</f>
        <v>200</v>
      </c>
      <c r="AD364" s="405">
        <f t="shared" si="237"/>
        <v>0</v>
      </c>
      <c r="AE364" s="525">
        <f t="shared" si="238"/>
        <v>0</v>
      </c>
      <c r="AF364" s="525">
        <f t="shared" si="239"/>
        <v>0</v>
      </c>
      <c r="AG364" s="525">
        <f t="shared" si="239"/>
        <v>0</v>
      </c>
      <c r="AH364" s="525">
        <f t="shared" si="239"/>
        <v>0</v>
      </c>
      <c r="AI364" s="525">
        <f t="shared" si="240"/>
        <v>0</v>
      </c>
      <c r="AJ364" s="525">
        <f t="shared" si="240"/>
        <v>0</v>
      </c>
      <c r="AK364" s="525">
        <f t="shared" si="240"/>
        <v>0</v>
      </c>
      <c r="AL364" s="525">
        <f t="shared" si="241"/>
        <v>0</v>
      </c>
    </row>
    <row r="365" spans="1:38">
      <c r="A365" s="618" t="s">
        <v>1478</v>
      </c>
      <c r="B365" s="618"/>
      <c r="C365" s="619">
        <f>IF(G365&lt;&gt;0,1,)</f>
        <v>0</v>
      </c>
      <c r="D365" s="622"/>
      <c r="E365" s="733" t="s">
        <v>1667</v>
      </c>
      <c r="F365" s="622" t="s">
        <v>1665</v>
      </c>
      <c r="G365" s="622">
        <f>U365</f>
        <v>0</v>
      </c>
      <c r="H365" s="623"/>
      <c r="I365" s="623"/>
      <c r="J365" s="623"/>
      <c r="K365" s="623"/>
      <c r="L365" s="623"/>
      <c r="M365" s="623"/>
      <c r="N365" s="623">
        <f t="shared" ref="N365:S365" si="303">SUM(N367:N368)</f>
        <v>3818182</v>
      </c>
      <c r="O365" s="623">
        <f t="shared" si="303"/>
        <v>0</v>
      </c>
      <c r="P365" s="623">
        <f t="shared" si="303"/>
        <v>0</v>
      </c>
      <c r="Q365" s="623">
        <f t="shared" si="303"/>
        <v>469141</v>
      </c>
      <c r="R365" s="623">
        <f t="shared" si="303"/>
        <v>0</v>
      </c>
      <c r="S365" s="623">
        <f t="shared" si="303"/>
        <v>135772</v>
      </c>
      <c r="U365" s="623">
        <f>SUM(V365:AB365)</f>
        <v>0</v>
      </c>
      <c r="V365" s="623">
        <f>IFERROR(HLOOKUP($A365,BK3P,V$3,0),)</f>
        <v>0</v>
      </c>
      <c r="W365" s="623">
        <f>IFERROR(HLOOKUP($A365,BK3P,W$3,0),)</f>
        <v>0</v>
      </c>
      <c r="X365" s="623">
        <f>IFERROR(HLOOKUP($A365,BK3P,X$3,0),)</f>
        <v>0</v>
      </c>
      <c r="Y365" s="623">
        <f>IFERROR(HLOOKUP($A365,BK1P,Y$3,0),)</f>
        <v>0</v>
      </c>
      <c r="Z365" s="623">
        <f>IFERROR(HLOOKUP($A365,BK1P,Z$3,0),)</f>
        <v>0</v>
      </c>
      <c r="AA365" s="623">
        <f>IFERROR(HLOOKUP($A365,BK1P,AA$3,0),)</f>
        <v>0</v>
      </c>
      <c r="AB365" s="623">
        <f>IFERROR(HLOOKUP($A365,BKHT,AB$3,0),)</f>
        <v>0</v>
      </c>
      <c r="AD365" s="405">
        <f t="shared" si="237"/>
        <v>0</v>
      </c>
      <c r="AE365" s="525">
        <f t="shared" si="238"/>
        <v>0</v>
      </c>
      <c r="AF365" s="525">
        <f t="shared" si="239"/>
        <v>0</v>
      </c>
      <c r="AG365" s="525">
        <f t="shared" si="239"/>
        <v>0</v>
      </c>
      <c r="AH365" s="525">
        <f t="shared" si="239"/>
        <v>0</v>
      </c>
      <c r="AI365" s="525">
        <f t="shared" si="240"/>
        <v>0</v>
      </c>
      <c r="AJ365" s="525">
        <f t="shared" si="240"/>
        <v>0</v>
      </c>
      <c r="AK365" s="525">
        <f t="shared" si="240"/>
        <v>0</v>
      </c>
      <c r="AL365" s="525">
        <f t="shared" si="241"/>
        <v>0</v>
      </c>
    </row>
    <row r="366" spans="1:38" s="542" customFormat="1">
      <c r="A366" s="624"/>
      <c r="B366" s="624"/>
      <c r="C366" s="625">
        <f>C365</f>
        <v>0</v>
      </c>
      <c r="D366" s="544"/>
      <c r="E366" s="734" t="s">
        <v>1659</v>
      </c>
      <c r="F366" s="544"/>
      <c r="G366" s="545"/>
      <c r="H366" s="545"/>
      <c r="I366" s="545"/>
      <c r="J366" s="545"/>
      <c r="K366" s="545"/>
      <c r="L366" s="545"/>
      <c r="M366" s="545"/>
      <c r="N366" s="545"/>
      <c r="O366" s="545"/>
      <c r="P366" s="545"/>
      <c r="Q366" s="545"/>
      <c r="R366" s="545"/>
      <c r="S366" s="545"/>
      <c r="U366" s="545"/>
      <c r="V366" s="545"/>
      <c r="W366" s="545"/>
      <c r="X366" s="545"/>
      <c r="Y366" s="545"/>
      <c r="Z366" s="545"/>
      <c r="AA366" s="545"/>
      <c r="AB366" s="545"/>
      <c r="AD366" s="405">
        <f t="shared" si="237"/>
        <v>0</v>
      </c>
      <c r="AE366" s="525">
        <f t="shared" si="238"/>
        <v>0</v>
      </c>
      <c r="AF366" s="525">
        <f t="shared" si="239"/>
        <v>0</v>
      </c>
      <c r="AG366" s="525">
        <f t="shared" si="239"/>
        <v>0</v>
      </c>
      <c r="AH366" s="525">
        <f t="shared" si="239"/>
        <v>0</v>
      </c>
      <c r="AI366" s="525">
        <f t="shared" si="240"/>
        <v>0</v>
      </c>
      <c r="AJ366" s="525">
        <f t="shared" si="240"/>
        <v>0</v>
      </c>
      <c r="AK366" s="525">
        <f t="shared" si="240"/>
        <v>0</v>
      </c>
      <c r="AL366" s="525">
        <f t="shared" si="241"/>
        <v>0</v>
      </c>
    </row>
    <row r="367" spans="1:38">
      <c r="A367" s="618"/>
      <c r="B367" s="618" t="s">
        <v>463</v>
      </c>
      <c r="C367" s="619">
        <f>IF(G367&lt;&gt;0,$C$365,)</f>
        <v>0</v>
      </c>
      <c r="D367" s="523">
        <f>VLOOKUP(B367,DONGIA,DG!$B$6,0)</f>
        <v>0</v>
      </c>
      <c r="E367" s="666" t="str">
        <f>VLOOKUP(B367,DONGIA,DG!$C$6,0)</f>
        <v>Trụ BTLT 10,5m F350 dự ứng lực</v>
      </c>
      <c r="F367" s="523" t="str">
        <f>VLOOKUP(B367,DONGIA,DG!$D$6,0)</f>
        <v>trụ</v>
      </c>
      <c r="G367" s="525">
        <v>1</v>
      </c>
      <c r="H367" s="525">
        <f>VLOOKUP($B367,DONGIA,DG!$E$6,0)</f>
        <v>3818182</v>
      </c>
      <c r="I367" s="525"/>
      <c r="J367" s="525"/>
      <c r="K367" s="525">
        <f>VLOOKUP($B367,DONGIA,DG!$F$6,0)</f>
        <v>0</v>
      </c>
      <c r="L367" s="525"/>
      <c r="M367" s="525">
        <f>VLOOKUP($B367,DONGIA,DG!$G$6,0)</f>
        <v>0</v>
      </c>
      <c r="N367" s="525">
        <f>$G367*H367</f>
        <v>3818182</v>
      </c>
      <c r="O367" s="525">
        <f t="shared" ref="O367:S368" si="304">$G367*I367</f>
        <v>0</v>
      </c>
      <c r="P367" s="525">
        <f t="shared" si="304"/>
        <v>0</v>
      </c>
      <c r="Q367" s="525">
        <f t="shared" si="304"/>
        <v>0</v>
      </c>
      <c r="R367" s="525">
        <f t="shared" si="304"/>
        <v>0</v>
      </c>
      <c r="S367" s="525">
        <f t="shared" si="304"/>
        <v>0</v>
      </c>
      <c r="U367" s="525">
        <f>U$365*$G367</f>
        <v>0</v>
      </c>
      <c r="V367" s="525">
        <f t="shared" ref="V367:AB368" si="305">V$365*$G367</f>
        <v>0</v>
      </c>
      <c r="W367" s="525">
        <f t="shared" si="305"/>
        <v>0</v>
      </c>
      <c r="X367" s="525">
        <f t="shared" si="305"/>
        <v>0</v>
      </c>
      <c r="Y367" s="525">
        <f t="shared" si="305"/>
        <v>0</v>
      </c>
      <c r="Z367" s="525">
        <f t="shared" si="305"/>
        <v>0</v>
      </c>
      <c r="AA367" s="525">
        <f t="shared" si="305"/>
        <v>0</v>
      </c>
      <c r="AB367" s="525">
        <f t="shared" si="305"/>
        <v>0</v>
      </c>
      <c r="AD367" s="405">
        <f t="shared" si="237"/>
        <v>700</v>
      </c>
      <c r="AE367" s="525">
        <f t="shared" si="238"/>
        <v>0</v>
      </c>
      <c r="AF367" s="525">
        <f t="shared" si="239"/>
        <v>0</v>
      </c>
      <c r="AG367" s="525">
        <f t="shared" si="239"/>
        <v>0</v>
      </c>
      <c r="AH367" s="525">
        <f t="shared" si="239"/>
        <v>0</v>
      </c>
      <c r="AI367" s="525">
        <f t="shared" si="240"/>
        <v>0</v>
      </c>
      <c r="AJ367" s="525">
        <f t="shared" si="240"/>
        <v>0</v>
      </c>
      <c r="AK367" s="525">
        <f t="shared" si="240"/>
        <v>0</v>
      </c>
      <c r="AL367" s="525">
        <f t="shared" si="241"/>
        <v>0</v>
      </c>
    </row>
    <row r="368" spans="1:38">
      <c r="A368" s="618"/>
      <c r="B368" s="618" t="s">
        <v>604</v>
      </c>
      <c r="C368" s="619">
        <f>IF(G368&lt;&gt;0,$C$365,)</f>
        <v>0</v>
      </c>
      <c r="D368" s="523" t="str">
        <f>VLOOKUP(B368,DONGIA,DG!$B$6,0)</f>
        <v>D2.5222</v>
      </c>
      <c r="E368" s="666" t="str">
        <f>VLOOKUP(B368,DONGIA,DG!$C$6,0)</f>
        <v>Dựng trụ BTLT &lt;=10m thủ công +cơ giới</v>
      </c>
      <c r="F368" s="523" t="str">
        <f>VLOOKUP(B368,DONGIA,DG!$D$6,0)</f>
        <v>trụ</v>
      </c>
      <c r="G368" s="525">
        <v>1</v>
      </c>
      <c r="H368" s="525"/>
      <c r="I368" s="525"/>
      <c r="J368" s="525"/>
      <c r="K368" s="525">
        <f>VLOOKUP($B368,DONGIA,DG!$F$6,0)</f>
        <v>469141</v>
      </c>
      <c r="L368" s="525"/>
      <c r="M368" s="525">
        <f>VLOOKUP($B368,DONGIA,DG!$G$6,0)</f>
        <v>135772</v>
      </c>
      <c r="N368" s="525">
        <f>$G368*H368</f>
        <v>0</v>
      </c>
      <c r="O368" s="525">
        <f t="shared" si="304"/>
        <v>0</v>
      </c>
      <c r="P368" s="525">
        <f t="shared" si="304"/>
        <v>0</v>
      </c>
      <c r="Q368" s="525">
        <f t="shared" si="304"/>
        <v>469141</v>
      </c>
      <c r="R368" s="525">
        <f t="shared" si="304"/>
        <v>0</v>
      </c>
      <c r="S368" s="525">
        <f t="shared" si="304"/>
        <v>135772</v>
      </c>
      <c r="U368" s="525">
        <f>U$365*$G368</f>
        <v>0</v>
      </c>
      <c r="V368" s="525">
        <f t="shared" si="305"/>
        <v>0</v>
      </c>
      <c r="W368" s="525">
        <f t="shared" si="305"/>
        <v>0</v>
      </c>
      <c r="X368" s="525">
        <f t="shared" si="305"/>
        <v>0</v>
      </c>
      <c r="Y368" s="525">
        <f t="shared" si="305"/>
        <v>0</v>
      </c>
      <c r="Z368" s="525">
        <f t="shared" si="305"/>
        <v>0</v>
      </c>
      <c r="AA368" s="525">
        <f t="shared" si="305"/>
        <v>0</v>
      </c>
      <c r="AB368" s="525">
        <f t="shared" si="305"/>
        <v>0</v>
      </c>
      <c r="AD368" s="405">
        <f t="shared" si="237"/>
        <v>0</v>
      </c>
      <c r="AE368" s="525">
        <f t="shared" si="238"/>
        <v>0</v>
      </c>
      <c r="AF368" s="525">
        <f t="shared" si="239"/>
        <v>0</v>
      </c>
      <c r="AG368" s="525">
        <f t="shared" si="239"/>
        <v>0</v>
      </c>
      <c r="AH368" s="525">
        <f t="shared" si="239"/>
        <v>0</v>
      </c>
      <c r="AI368" s="525">
        <f t="shared" si="240"/>
        <v>0</v>
      </c>
      <c r="AJ368" s="525">
        <f t="shared" si="240"/>
        <v>0</v>
      </c>
      <c r="AK368" s="525">
        <f t="shared" si="240"/>
        <v>0</v>
      </c>
      <c r="AL368" s="525">
        <f t="shared" si="241"/>
        <v>0</v>
      </c>
    </row>
    <row r="369" spans="1:38" s="332" customFormat="1">
      <c r="A369" s="356" t="s">
        <v>2695</v>
      </c>
      <c r="B369" s="356"/>
      <c r="C369" s="355">
        <f>IF(G369&lt;&gt;0,1,)</f>
        <v>0</v>
      </c>
      <c r="D369" s="357"/>
      <c r="E369" s="358" t="s">
        <v>2697</v>
      </c>
      <c r="F369" s="357" t="s">
        <v>1665</v>
      </c>
      <c r="G369" s="357"/>
      <c r="H369" s="358"/>
      <c r="I369" s="358"/>
      <c r="J369" s="358"/>
      <c r="K369" s="358"/>
      <c r="L369" s="358"/>
      <c r="M369" s="358"/>
      <c r="N369" s="358">
        <f t="shared" ref="N369:S369" si="306">SUM(N371:N372)</f>
        <v>0</v>
      </c>
      <c r="O369" s="358">
        <f t="shared" si="306"/>
        <v>0</v>
      </c>
      <c r="P369" s="358">
        <f t="shared" si="306"/>
        <v>0</v>
      </c>
      <c r="Q369" s="358">
        <f t="shared" si="306"/>
        <v>502313</v>
      </c>
      <c r="R369" s="358">
        <f t="shared" si="306"/>
        <v>0</v>
      </c>
      <c r="S369" s="358">
        <f t="shared" si="306"/>
        <v>193960</v>
      </c>
      <c r="U369" s="358">
        <f>SUM(V369:AB369)</f>
        <v>0</v>
      </c>
      <c r="V369" s="358">
        <f>IFERROR(HLOOKUP($A369,BK3P,V$3,0),)</f>
        <v>0</v>
      </c>
      <c r="W369" s="358">
        <f>IFERROR(HLOOKUP($A369,BK3P,W$3,0),)</f>
        <v>0</v>
      </c>
      <c r="X369" s="358">
        <f>IFERROR(HLOOKUP($A369,BK3P,X$3,0),)</f>
        <v>0</v>
      </c>
      <c r="Y369" s="358">
        <f>IFERROR(HLOOKUP($A369,BK1P,Y$3,0),)</f>
        <v>0</v>
      </c>
      <c r="Z369" s="358">
        <f>IFERROR(HLOOKUP($A369,BK1P,Z$3,0),)</f>
        <v>0</v>
      </c>
      <c r="AA369" s="358">
        <f>IFERROR(HLOOKUP($A369,BK1P,AA$3,0),)</f>
        <v>0</v>
      </c>
      <c r="AB369" s="358">
        <f>IFERROR(HLOOKUP($A369,BKHT,AB$3,0),)</f>
        <v>0</v>
      </c>
      <c r="AD369" s="332">
        <f>IFERROR(VLOOKUP(B369,DONGIA,$AD$3,0),0)</f>
        <v>0</v>
      </c>
      <c r="AE369" s="329">
        <f t="shared" ref="AE369:AL372" si="307">U369*$AD369</f>
        <v>0</v>
      </c>
      <c r="AF369" s="329">
        <f t="shared" si="307"/>
        <v>0</v>
      </c>
      <c r="AG369" s="329">
        <f t="shared" si="307"/>
        <v>0</v>
      </c>
      <c r="AH369" s="329">
        <f t="shared" si="307"/>
        <v>0</v>
      </c>
      <c r="AI369" s="329">
        <f t="shared" si="307"/>
        <v>0</v>
      </c>
      <c r="AJ369" s="329">
        <f t="shared" si="307"/>
        <v>0</v>
      </c>
      <c r="AK369" s="329">
        <f t="shared" si="307"/>
        <v>0</v>
      </c>
      <c r="AL369" s="329">
        <f t="shared" si="307"/>
        <v>0</v>
      </c>
    </row>
    <row r="370" spans="1:38" s="361" customFormat="1">
      <c r="A370" s="359"/>
      <c r="B370" s="359"/>
      <c r="C370" s="360">
        <f>C369</f>
        <v>0</v>
      </c>
      <c r="D370" s="350"/>
      <c r="E370" s="351" t="s">
        <v>1659</v>
      </c>
      <c r="F370" s="350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U370" s="351"/>
      <c r="V370" s="351"/>
      <c r="W370" s="351"/>
      <c r="X370" s="351"/>
      <c r="Y370" s="351"/>
      <c r="Z370" s="351"/>
      <c r="AA370" s="351"/>
      <c r="AB370" s="351"/>
      <c r="AD370" s="332">
        <f>IFERROR(VLOOKUP(B370,DONGIA,$AD$3,0),0)</f>
        <v>0</v>
      </c>
      <c r="AE370" s="329">
        <f t="shared" si="307"/>
        <v>0</v>
      </c>
      <c r="AF370" s="329">
        <f t="shared" si="307"/>
        <v>0</v>
      </c>
      <c r="AG370" s="329">
        <f t="shared" si="307"/>
        <v>0</v>
      </c>
      <c r="AH370" s="329">
        <f t="shared" si="307"/>
        <v>0</v>
      </c>
      <c r="AI370" s="329">
        <f t="shared" si="307"/>
        <v>0</v>
      </c>
      <c r="AJ370" s="329">
        <f t="shared" si="307"/>
        <v>0</v>
      </c>
      <c r="AK370" s="329">
        <f t="shared" si="307"/>
        <v>0</v>
      </c>
      <c r="AL370" s="329">
        <f t="shared" si="307"/>
        <v>0</v>
      </c>
    </row>
    <row r="371" spans="1:38" s="332" customFormat="1">
      <c r="A371" s="356"/>
      <c r="B371" s="356" t="s">
        <v>463</v>
      </c>
      <c r="C371" s="355">
        <f>IF(G371&lt;&gt;0,$C$369,)</f>
        <v>0</v>
      </c>
      <c r="D371" s="341">
        <f>VLOOKUP(B371,DONGIA,DG!$B$6,0)</f>
        <v>0</v>
      </c>
      <c r="E371" s="340" t="str">
        <f>VLOOKUP(B371,DONGIA,DG!$C$6,0)</f>
        <v>Trụ BTLT 10,5m F350 dự ứng lực</v>
      </c>
      <c r="F371" s="341" t="str">
        <f>VLOOKUP(B371,DONGIA,DG!$D$6,0)</f>
        <v>trụ</v>
      </c>
      <c r="G371" s="329">
        <v>1</v>
      </c>
      <c r="H371" s="329">
        <f>VLOOKUP($B371,DONGIA,DG!$E$6,0)*0</f>
        <v>0</v>
      </c>
      <c r="I371" s="329"/>
      <c r="J371" s="329"/>
      <c r="K371" s="329">
        <f>VLOOKUP($B371,DONGIA,DG!$F$6,0)</f>
        <v>0</v>
      </c>
      <c r="L371" s="329"/>
      <c r="M371" s="329">
        <f>VLOOKUP($B371,DONGIA,DG!$G$6,0)</f>
        <v>0</v>
      </c>
      <c r="N371" s="329">
        <f t="shared" ref="N371:S372" si="308">$G371*H371</f>
        <v>0</v>
      </c>
      <c r="O371" s="329">
        <f t="shared" si="308"/>
        <v>0</v>
      </c>
      <c r="P371" s="329">
        <f t="shared" si="308"/>
        <v>0</v>
      </c>
      <c r="Q371" s="329">
        <f t="shared" si="308"/>
        <v>0</v>
      </c>
      <c r="R371" s="329">
        <f t="shared" si="308"/>
        <v>0</v>
      </c>
      <c r="S371" s="329">
        <f t="shared" si="308"/>
        <v>0</v>
      </c>
      <c r="U371" s="329">
        <f>U$369*$G371</f>
        <v>0</v>
      </c>
      <c r="V371" s="329">
        <f t="shared" ref="V371:AB372" si="309">V$369*$G371</f>
        <v>0</v>
      </c>
      <c r="W371" s="329">
        <f t="shared" si="309"/>
        <v>0</v>
      </c>
      <c r="X371" s="329">
        <f t="shared" si="309"/>
        <v>0</v>
      </c>
      <c r="Y371" s="329">
        <f t="shared" si="309"/>
        <v>0</v>
      </c>
      <c r="Z371" s="329">
        <f t="shared" si="309"/>
        <v>0</v>
      </c>
      <c r="AA371" s="329">
        <f t="shared" si="309"/>
        <v>0</v>
      </c>
      <c r="AB371" s="329">
        <f t="shared" si="309"/>
        <v>0</v>
      </c>
      <c r="AD371" s="332">
        <f>IFERROR(VLOOKUP(B371,DONGIA,$AD$3,0),0)</f>
        <v>700</v>
      </c>
      <c r="AE371" s="329">
        <f t="shared" si="307"/>
        <v>0</v>
      </c>
      <c r="AF371" s="329">
        <f t="shared" si="307"/>
        <v>0</v>
      </c>
      <c r="AG371" s="329">
        <f t="shared" si="307"/>
        <v>0</v>
      </c>
      <c r="AH371" s="329">
        <f t="shared" si="307"/>
        <v>0</v>
      </c>
      <c r="AI371" s="329">
        <f t="shared" si="307"/>
        <v>0</v>
      </c>
      <c r="AJ371" s="329">
        <f t="shared" si="307"/>
        <v>0</v>
      </c>
      <c r="AK371" s="329">
        <f t="shared" si="307"/>
        <v>0</v>
      </c>
      <c r="AL371" s="329">
        <f t="shared" si="307"/>
        <v>0</v>
      </c>
    </row>
    <row r="372" spans="1:38" s="332" customFormat="1">
      <c r="A372" s="356"/>
      <c r="B372" s="356" t="s">
        <v>606</v>
      </c>
      <c r="C372" s="355">
        <f>IF(G372&lt;&gt;0,$C$369,)</f>
        <v>0</v>
      </c>
      <c r="D372" s="341" t="str">
        <f>VLOOKUP(B372,DONGIA,DG!$B$6,0)</f>
        <v>D2.5232</v>
      </c>
      <c r="E372" s="340" t="str">
        <f>VLOOKUP(B372,DONGIA,DG!$C$6,0)</f>
        <v>Dựng trụ BTLT 10,5m thủ công + cơ giới</v>
      </c>
      <c r="F372" s="341" t="str">
        <f>VLOOKUP(B372,DONGIA,DG!$D$6,0)</f>
        <v>trụ</v>
      </c>
      <c r="G372" s="329">
        <v>1</v>
      </c>
      <c r="H372" s="329"/>
      <c r="I372" s="329"/>
      <c r="J372" s="329"/>
      <c r="K372" s="329">
        <f>VLOOKUP($B372,DONGIA,DG!$F$6,0)</f>
        <v>502313</v>
      </c>
      <c r="L372" s="329"/>
      <c r="M372" s="329">
        <f>VLOOKUP($B372,DONGIA,DG!$G$6,0)</f>
        <v>193960</v>
      </c>
      <c r="N372" s="329">
        <f t="shared" si="308"/>
        <v>0</v>
      </c>
      <c r="O372" s="329">
        <f t="shared" si="308"/>
        <v>0</v>
      </c>
      <c r="P372" s="329">
        <f t="shared" si="308"/>
        <v>0</v>
      </c>
      <c r="Q372" s="329">
        <f t="shared" si="308"/>
        <v>502313</v>
      </c>
      <c r="R372" s="329">
        <f t="shared" si="308"/>
        <v>0</v>
      </c>
      <c r="S372" s="329">
        <f t="shared" si="308"/>
        <v>193960</v>
      </c>
      <c r="U372" s="329">
        <f>U$369*$G372</f>
        <v>0</v>
      </c>
      <c r="V372" s="329">
        <f t="shared" si="309"/>
        <v>0</v>
      </c>
      <c r="W372" s="329">
        <f t="shared" si="309"/>
        <v>0</v>
      </c>
      <c r="X372" s="329">
        <f t="shared" si="309"/>
        <v>0</v>
      </c>
      <c r="Y372" s="329">
        <f t="shared" si="309"/>
        <v>0</v>
      </c>
      <c r="Z372" s="329">
        <f t="shared" si="309"/>
        <v>0</v>
      </c>
      <c r="AA372" s="329">
        <f t="shared" si="309"/>
        <v>0</v>
      </c>
      <c r="AB372" s="329">
        <f t="shared" si="309"/>
        <v>0</v>
      </c>
      <c r="AD372" s="332">
        <f>IFERROR(VLOOKUP(B372,DONGIA,$AD$3,0),0)</f>
        <v>0</v>
      </c>
      <c r="AE372" s="329">
        <f t="shared" si="307"/>
        <v>0</v>
      </c>
      <c r="AF372" s="329">
        <f t="shared" si="307"/>
        <v>0</v>
      </c>
      <c r="AG372" s="329">
        <f t="shared" si="307"/>
        <v>0</v>
      </c>
      <c r="AH372" s="329">
        <f t="shared" si="307"/>
        <v>0</v>
      </c>
      <c r="AI372" s="329">
        <f t="shared" si="307"/>
        <v>0</v>
      </c>
      <c r="AJ372" s="329">
        <f t="shared" si="307"/>
        <v>0</v>
      </c>
      <c r="AK372" s="329">
        <f t="shared" si="307"/>
        <v>0</v>
      </c>
      <c r="AL372" s="329">
        <f t="shared" si="307"/>
        <v>0</v>
      </c>
    </row>
    <row r="373" spans="1:38" s="332" customFormat="1">
      <c r="A373" s="356" t="s">
        <v>1784</v>
      </c>
      <c r="B373" s="356"/>
      <c r="C373" s="355">
        <f>IF(G373&lt;&gt;0,1,)</f>
        <v>0</v>
      </c>
      <c r="D373" s="357"/>
      <c r="E373" s="736" t="s">
        <v>1668</v>
      </c>
      <c r="F373" s="357" t="s">
        <v>1665</v>
      </c>
      <c r="G373" s="357">
        <f>U373</f>
        <v>0</v>
      </c>
      <c r="H373" s="358"/>
      <c r="I373" s="358"/>
      <c r="J373" s="358"/>
      <c r="K373" s="358"/>
      <c r="L373" s="358"/>
      <c r="M373" s="358"/>
      <c r="N373" s="358">
        <f t="shared" ref="N373:S373" si="310">SUM(N375:N377)</f>
        <v>5511000</v>
      </c>
      <c r="O373" s="358">
        <f t="shared" si="310"/>
        <v>0</v>
      </c>
      <c r="P373" s="358">
        <f t="shared" si="310"/>
        <v>0</v>
      </c>
      <c r="Q373" s="358">
        <f t="shared" si="310"/>
        <v>1258151</v>
      </c>
      <c r="R373" s="358">
        <f t="shared" si="310"/>
        <v>0</v>
      </c>
      <c r="S373" s="358">
        <f t="shared" si="310"/>
        <v>0</v>
      </c>
      <c r="U373" s="358">
        <f>SUM(V373:AB373)</f>
        <v>0</v>
      </c>
      <c r="V373" s="358">
        <f>IFERROR(HLOOKUP($A373,BK3P,V$3,0),)</f>
        <v>0</v>
      </c>
      <c r="W373" s="358">
        <f>IFERROR(HLOOKUP($A373,BK3P,W$3,0),)</f>
        <v>0</v>
      </c>
      <c r="X373" s="358">
        <f>IFERROR(HLOOKUP($A373,BK3P,X$3,0),)</f>
        <v>0</v>
      </c>
      <c r="Y373" s="358">
        <f>IFERROR(HLOOKUP($A373,BK1P,Y$3,0),)</f>
        <v>0</v>
      </c>
      <c r="Z373" s="358">
        <f>IFERROR(HLOOKUP($A373,BK1P,Z$3,0),)</f>
        <v>0</v>
      </c>
      <c r="AA373" s="358">
        <f>IFERROR(HLOOKUP($A373,BK1P,AA$3,0),)</f>
        <v>0</v>
      </c>
      <c r="AB373" s="358">
        <f>IFERROR(HLOOKUP($A373,BKHT,AB$3,0),)</f>
        <v>0</v>
      </c>
      <c r="AD373" s="332">
        <f t="shared" si="237"/>
        <v>0</v>
      </c>
      <c r="AE373" s="329">
        <f t="shared" si="238"/>
        <v>0</v>
      </c>
      <c r="AF373" s="329">
        <f t="shared" si="239"/>
        <v>0</v>
      </c>
      <c r="AG373" s="329">
        <f t="shared" si="239"/>
        <v>0</v>
      </c>
      <c r="AH373" s="329">
        <f t="shared" si="239"/>
        <v>0</v>
      </c>
      <c r="AI373" s="329">
        <f t="shared" si="240"/>
        <v>0</v>
      </c>
      <c r="AJ373" s="329">
        <f t="shared" si="240"/>
        <v>0</v>
      </c>
      <c r="AK373" s="329">
        <f t="shared" si="240"/>
        <v>0</v>
      </c>
      <c r="AL373" s="329">
        <f t="shared" si="241"/>
        <v>0</v>
      </c>
    </row>
    <row r="374" spans="1:38" s="361" customFormat="1">
      <c r="A374" s="359"/>
      <c r="B374" s="359"/>
      <c r="C374" s="360">
        <f>C373</f>
        <v>0</v>
      </c>
      <c r="D374" s="350"/>
      <c r="E374" s="737" t="s">
        <v>1659</v>
      </c>
      <c r="F374" s="350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U374" s="351"/>
      <c r="V374" s="351"/>
      <c r="W374" s="351"/>
      <c r="X374" s="351"/>
      <c r="Y374" s="351"/>
      <c r="Z374" s="351"/>
      <c r="AA374" s="351"/>
      <c r="AB374" s="351"/>
      <c r="AD374" s="332">
        <f t="shared" si="237"/>
        <v>0</v>
      </c>
      <c r="AE374" s="329">
        <f t="shared" si="238"/>
        <v>0</v>
      </c>
      <c r="AF374" s="329">
        <f t="shared" si="239"/>
        <v>0</v>
      </c>
      <c r="AG374" s="329">
        <f t="shared" si="239"/>
        <v>0</v>
      </c>
      <c r="AH374" s="329">
        <f t="shared" si="239"/>
        <v>0</v>
      </c>
      <c r="AI374" s="329">
        <f t="shared" si="240"/>
        <v>0</v>
      </c>
      <c r="AJ374" s="329">
        <f t="shared" si="240"/>
        <v>0</v>
      </c>
      <c r="AK374" s="329">
        <f t="shared" si="240"/>
        <v>0</v>
      </c>
      <c r="AL374" s="329">
        <f t="shared" si="241"/>
        <v>0</v>
      </c>
    </row>
    <row r="375" spans="1:38" s="332" customFormat="1">
      <c r="A375" s="356"/>
      <c r="B375" s="356" t="s">
        <v>466</v>
      </c>
      <c r="C375" s="355">
        <f>IF(G375&lt;&gt;0,$C$373,)</f>
        <v>0</v>
      </c>
      <c r="D375" s="341">
        <f>VLOOKUP(B375,DONGIA,DG!$B$6,0)</f>
        <v>0</v>
      </c>
      <c r="E375" s="735" t="str">
        <f>VLOOKUP(B375,DONGIA,DG!$C$6,0)</f>
        <v>Trụ BTLT 12m F540 dự ứng lực</v>
      </c>
      <c r="F375" s="341" t="str">
        <f>VLOOKUP(B375,DONGIA,DG!$D$6,0)</f>
        <v>trụ</v>
      </c>
      <c r="G375" s="329">
        <v>1</v>
      </c>
      <c r="H375" s="329">
        <f>VLOOKUP($B375,DONGIA,DG!$E$6,0)</f>
        <v>5511000</v>
      </c>
      <c r="I375" s="329"/>
      <c r="J375" s="329"/>
      <c r="K375" s="329">
        <f>VLOOKUP($B375,DONGIA,DG!$F$6,0)</f>
        <v>0</v>
      </c>
      <c r="L375" s="329"/>
      <c r="M375" s="329">
        <f>VLOOKUP($B375,DONGIA,DG!$G$6,0)</f>
        <v>0</v>
      </c>
      <c r="N375" s="329">
        <f>$G375*H375</f>
        <v>5511000</v>
      </c>
      <c r="O375" s="329">
        <f t="shared" ref="O375:S377" si="311">$G375*I375</f>
        <v>0</v>
      </c>
      <c r="P375" s="329">
        <f t="shared" si="311"/>
        <v>0</v>
      </c>
      <c r="Q375" s="329">
        <f t="shared" si="311"/>
        <v>0</v>
      </c>
      <c r="R375" s="329">
        <f t="shared" si="311"/>
        <v>0</v>
      </c>
      <c r="S375" s="329">
        <f t="shared" si="311"/>
        <v>0</v>
      </c>
      <c r="U375" s="329">
        <f>U$373*$G375</f>
        <v>0</v>
      </c>
      <c r="V375" s="329">
        <f t="shared" ref="V375:AB377" si="312">V$373*$G375</f>
        <v>0</v>
      </c>
      <c r="W375" s="329">
        <f t="shared" si="312"/>
        <v>0</v>
      </c>
      <c r="X375" s="329">
        <f t="shared" si="312"/>
        <v>0</v>
      </c>
      <c r="Y375" s="329">
        <f t="shared" si="312"/>
        <v>0</v>
      </c>
      <c r="Z375" s="329">
        <f t="shared" si="312"/>
        <v>0</v>
      </c>
      <c r="AA375" s="329">
        <f t="shared" si="312"/>
        <v>0</v>
      </c>
      <c r="AB375" s="329">
        <f t="shared" si="312"/>
        <v>0</v>
      </c>
      <c r="AD375" s="332">
        <f t="shared" si="237"/>
        <v>1250</v>
      </c>
      <c r="AE375" s="329">
        <f t="shared" si="238"/>
        <v>0</v>
      </c>
      <c r="AF375" s="329">
        <f t="shared" si="239"/>
        <v>0</v>
      </c>
      <c r="AG375" s="329">
        <f t="shared" si="239"/>
        <v>0</v>
      </c>
      <c r="AH375" s="329">
        <f t="shared" si="239"/>
        <v>0</v>
      </c>
      <c r="AI375" s="329">
        <f t="shared" si="240"/>
        <v>0</v>
      </c>
      <c r="AJ375" s="329">
        <f t="shared" si="240"/>
        <v>0</v>
      </c>
      <c r="AK375" s="329">
        <f t="shared" si="240"/>
        <v>0</v>
      </c>
      <c r="AL375" s="329">
        <f t="shared" si="241"/>
        <v>0</v>
      </c>
    </row>
    <row r="376" spans="1:38" s="332" customFormat="1">
      <c r="A376" s="356"/>
      <c r="B376" s="356" t="s">
        <v>592</v>
      </c>
      <c r="C376" s="355">
        <f>IF(G376&lt;&gt;0,$C$373,)</f>
        <v>0</v>
      </c>
      <c r="D376" s="341" t="str">
        <f>VLOOKUP(B376,DONGIA,DG!$B$6,0)</f>
        <v>D2.5231</v>
      </c>
      <c r="E376" s="735" t="str">
        <f>VLOOKUP(B376,DONGIA,DG!$C$6,0)</f>
        <v>Dựng trụ BTLT 12m bằng thủ công</v>
      </c>
      <c r="F376" s="341" t="str">
        <f>VLOOKUP(B376,DONGIA,DG!$D$6,0)</f>
        <v>trụ</v>
      </c>
      <c r="G376" s="329">
        <v>1</v>
      </c>
      <c r="H376" s="329"/>
      <c r="I376" s="329"/>
      <c r="J376" s="329"/>
      <c r="K376" s="329">
        <f>VLOOKUP($B376,DONGIA,DG!$F$6,0)</f>
        <v>1258151</v>
      </c>
      <c r="L376" s="329"/>
      <c r="M376" s="329">
        <f>VLOOKUP($B376,DONGIA,DG!$G$6,0)</f>
        <v>0</v>
      </c>
      <c r="N376" s="329">
        <f>$G376*H376</f>
        <v>0</v>
      </c>
      <c r="O376" s="329">
        <f>$G376*I376</f>
        <v>0</v>
      </c>
      <c r="P376" s="329">
        <f>$G376*J376</f>
        <v>0</v>
      </c>
      <c r="Q376" s="329">
        <f>$G376*K376</f>
        <v>1258151</v>
      </c>
      <c r="R376" s="329">
        <f>$G376*L376</f>
        <v>0</v>
      </c>
      <c r="S376" s="329">
        <f>$G376*M376</f>
        <v>0</v>
      </c>
      <c r="U376" s="329">
        <f>U$373*$G376</f>
        <v>0</v>
      </c>
      <c r="V376" s="329">
        <f t="shared" si="312"/>
        <v>0</v>
      </c>
      <c r="W376" s="329">
        <f t="shared" si="312"/>
        <v>0</v>
      </c>
      <c r="X376" s="329">
        <f t="shared" si="312"/>
        <v>0</v>
      </c>
      <c r="Y376" s="329">
        <f t="shared" si="312"/>
        <v>0</v>
      </c>
      <c r="Z376" s="329">
        <f t="shared" si="312"/>
        <v>0</v>
      </c>
      <c r="AA376" s="329">
        <f t="shared" si="312"/>
        <v>0</v>
      </c>
      <c r="AB376" s="329">
        <f t="shared" si="312"/>
        <v>0</v>
      </c>
      <c r="AD376" s="332">
        <f t="shared" si="237"/>
        <v>0</v>
      </c>
      <c r="AE376" s="329">
        <f t="shared" si="238"/>
        <v>0</v>
      </c>
      <c r="AF376" s="329">
        <f t="shared" si="239"/>
        <v>0</v>
      </c>
      <c r="AG376" s="329">
        <f t="shared" si="239"/>
        <v>0</v>
      </c>
      <c r="AH376" s="329">
        <f t="shared" si="239"/>
        <v>0</v>
      </c>
      <c r="AI376" s="329">
        <f t="shared" si="240"/>
        <v>0</v>
      </c>
      <c r="AJ376" s="329">
        <f t="shared" si="240"/>
        <v>0</v>
      </c>
      <c r="AK376" s="329">
        <f t="shared" si="240"/>
        <v>0</v>
      </c>
      <c r="AL376" s="329">
        <f t="shared" si="241"/>
        <v>0</v>
      </c>
    </row>
    <row r="377" spans="1:38" s="332" customFormat="1">
      <c r="A377" s="356"/>
      <c r="B377" s="356" t="s">
        <v>2511</v>
      </c>
      <c r="C377" s="355">
        <f>IF(G377&lt;&gt;0,$C$373,)</f>
        <v>0</v>
      </c>
      <c r="D377" s="341" t="str">
        <f>VLOOKUP(B377,DGVC,VCTC!$C$13,0)</f>
        <v>D1.1105</v>
      </c>
      <c r="E377" s="735" t="str">
        <f>VLOOKUP(B377,DGVC,VCTC!$D$13,0)</f>
        <v>V/c cột vào vị trí (cự ly &gt;500m)</v>
      </c>
      <c r="F377" s="341" t="str">
        <f>VLOOKUP(B377,DGVC,VCTC!$E$13,0)</f>
        <v>tấn</v>
      </c>
      <c r="G377" s="329">
        <f>G375*1.2</f>
        <v>1.2</v>
      </c>
      <c r="H377" s="329"/>
      <c r="I377" s="329"/>
      <c r="J377" s="329"/>
      <c r="K377" s="329">
        <f>VLOOKUP(B377,DGVC,VCTC!$J$13,0)</f>
        <v>0</v>
      </c>
      <c r="L377" s="329"/>
      <c r="M377" s="329"/>
      <c r="N377" s="329">
        <f>$G377*H377</f>
        <v>0</v>
      </c>
      <c r="O377" s="329">
        <f t="shared" si="311"/>
        <v>0</v>
      </c>
      <c r="P377" s="329">
        <f t="shared" si="311"/>
        <v>0</v>
      </c>
      <c r="Q377" s="329">
        <f t="shared" si="311"/>
        <v>0</v>
      </c>
      <c r="R377" s="329">
        <f t="shared" si="311"/>
        <v>0</v>
      </c>
      <c r="S377" s="329">
        <f t="shared" si="311"/>
        <v>0</v>
      </c>
      <c r="U377" s="329">
        <f>U$373*$G377</f>
        <v>0</v>
      </c>
      <c r="V377" s="329">
        <f t="shared" si="312"/>
        <v>0</v>
      </c>
      <c r="W377" s="329">
        <f t="shared" si="312"/>
        <v>0</v>
      </c>
      <c r="X377" s="329">
        <f t="shared" si="312"/>
        <v>0</v>
      </c>
      <c r="Y377" s="329">
        <f t="shared" si="312"/>
        <v>0</v>
      </c>
      <c r="Z377" s="329">
        <f t="shared" si="312"/>
        <v>0</v>
      </c>
      <c r="AA377" s="329">
        <f t="shared" si="312"/>
        <v>0</v>
      </c>
      <c r="AB377" s="329">
        <f t="shared" si="312"/>
        <v>0</v>
      </c>
      <c r="AD377" s="332">
        <f t="shared" si="237"/>
        <v>0</v>
      </c>
      <c r="AE377" s="329">
        <f t="shared" si="238"/>
        <v>0</v>
      </c>
      <c r="AF377" s="329">
        <f t="shared" si="239"/>
        <v>0</v>
      </c>
      <c r="AG377" s="329">
        <f t="shared" si="239"/>
        <v>0</v>
      </c>
      <c r="AH377" s="329">
        <f t="shared" si="239"/>
        <v>0</v>
      </c>
      <c r="AI377" s="329">
        <f t="shared" si="240"/>
        <v>0</v>
      </c>
      <c r="AJ377" s="329">
        <f t="shared" si="240"/>
        <v>0</v>
      </c>
      <c r="AK377" s="329">
        <f t="shared" si="240"/>
        <v>0</v>
      </c>
      <c r="AL377" s="329">
        <f t="shared" si="241"/>
        <v>0</v>
      </c>
    </row>
    <row r="378" spans="1:38">
      <c r="A378" s="618" t="s">
        <v>1479</v>
      </c>
      <c r="B378" s="618"/>
      <c r="C378" s="619">
        <f>IF(G378&lt;&gt;0,1,)</f>
        <v>1</v>
      </c>
      <c r="D378" s="622"/>
      <c r="E378" s="733" t="s">
        <v>1669</v>
      </c>
      <c r="F378" s="622" t="s">
        <v>1665</v>
      </c>
      <c r="G378" s="622">
        <f>U378</f>
        <v>245</v>
      </c>
      <c r="H378" s="623"/>
      <c r="I378" s="623"/>
      <c r="J378" s="623"/>
      <c r="K378" s="623"/>
      <c r="L378" s="623"/>
      <c r="M378" s="623"/>
      <c r="N378" s="623">
        <f t="shared" ref="N378:S378" si="313">SUM(N380:N381)</f>
        <v>5511000</v>
      </c>
      <c r="O378" s="623">
        <f t="shared" si="313"/>
        <v>0</v>
      </c>
      <c r="P378" s="623">
        <f t="shared" si="313"/>
        <v>0</v>
      </c>
      <c r="Q378" s="623">
        <f t="shared" si="313"/>
        <v>502313</v>
      </c>
      <c r="R378" s="623">
        <f t="shared" si="313"/>
        <v>0</v>
      </c>
      <c r="S378" s="623">
        <f t="shared" si="313"/>
        <v>193960</v>
      </c>
      <c r="U378" s="623">
        <f>SUM(V378:AB378)</f>
        <v>245</v>
      </c>
      <c r="V378" s="623">
        <f>IFERROR(HLOOKUP($A378,BK3P,V$3,0),)</f>
        <v>245</v>
      </c>
      <c r="W378" s="623">
        <f>IFERROR(HLOOKUP($A378,BK3P,W$3,0),)</f>
        <v>0</v>
      </c>
      <c r="X378" s="623">
        <f>IFERROR(HLOOKUP($A378,BK3P,X$3,0),)</f>
        <v>0</v>
      </c>
      <c r="Y378" s="623">
        <f>IFERROR(HLOOKUP($A378,BK1P,Y$3,0),)</f>
        <v>0</v>
      </c>
      <c r="Z378" s="623">
        <f>IFERROR(HLOOKUP($A378,BK1P,Z$3,0),)</f>
        <v>0</v>
      </c>
      <c r="AA378" s="623">
        <f>IFERROR(HLOOKUP($A378,BK1P,AA$3,0),)</f>
        <v>0</v>
      </c>
      <c r="AB378" s="623">
        <f>IFERROR(HLOOKUP($A378,BKHT,AB$3,0),)</f>
        <v>0</v>
      </c>
      <c r="AD378" s="405">
        <f t="shared" si="237"/>
        <v>0</v>
      </c>
      <c r="AE378" s="525">
        <f t="shared" si="238"/>
        <v>0</v>
      </c>
      <c r="AF378" s="525">
        <f t="shared" si="239"/>
        <v>0</v>
      </c>
      <c r="AG378" s="525">
        <f t="shared" si="239"/>
        <v>0</v>
      </c>
      <c r="AH378" s="525">
        <f t="shared" si="239"/>
        <v>0</v>
      </c>
      <c r="AI378" s="525">
        <f t="shared" si="240"/>
        <v>0</v>
      </c>
      <c r="AJ378" s="525">
        <f t="shared" si="240"/>
        <v>0</v>
      </c>
      <c r="AK378" s="525">
        <f t="shared" si="240"/>
        <v>0</v>
      </c>
      <c r="AL378" s="525">
        <f t="shared" si="241"/>
        <v>0</v>
      </c>
    </row>
    <row r="379" spans="1:38" s="542" customFormat="1">
      <c r="A379" s="624"/>
      <c r="B379" s="624"/>
      <c r="C379" s="625">
        <f>C378</f>
        <v>1</v>
      </c>
      <c r="D379" s="544"/>
      <c r="E379" s="734" t="s">
        <v>1659</v>
      </c>
      <c r="F379" s="544"/>
      <c r="G379" s="545"/>
      <c r="H379" s="545"/>
      <c r="I379" s="545"/>
      <c r="J379" s="545"/>
      <c r="K379" s="545"/>
      <c r="L379" s="545"/>
      <c r="M379" s="545"/>
      <c r="N379" s="545"/>
      <c r="O379" s="545"/>
      <c r="P379" s="545"/>
      <c r="Q379" s="545"/>
      <c r="R379" s="545"/>
      <c r="S379" s="545"/>
      <c r="U379" s="545"/>
      <c r="V379" s="545"/>
      <c r="W379" s="545"/>
      <c r="X379" s="545"/>
      <c r="Y379" s="545"/>
      <c r="Z379" s="545"/>
      <c r="AA379" s="545"/>
      <c r="AB379" s="545"/>
      <c r="AD379" s="405">
        <f t="shared" si="237"/>
        <v>0</v>
      </c>
      <c r="AE379" s="525">
        <f t="shared" si="238"/>
        <v>0</v>
      </c>
      <c r="AF379" s="525">
        <f t="shared" si="239"/>
        <v>0</v>
      </c>
      <c r="AG379" s="525">
        <f t="shared" si="239"/>
        <v>0</v>
      </c>
      <c r="AH379" s="525">
        <f t="shared" si="239"/>
        <v>0</v>
      </c>
      <c r="AI379" s="525">
        <f t="shared" si="240"/>
        <v>0</v>
      </c>
      <c r="AJ379" s="525">
        <f t="shared" si="240"/>
        <v>0</v>
      </c>
      <c r="AK379" s="525">
        <f t="shared" si="240"/>
        <v>0</v>
      </c>
      <c r="AL379" s="525">
        <f t="shared" si="241"/>
        <v>0</v>
      </c>
    </row>
    <row r="380" spans="1:38">
      <c r="A380" s="618"/>
      <c r="B380" s="618" t="s">
        <v>466</v>
      </c>
      <c r="C380" s="619">
        <f>IF(G380&lt;&gt;0,$C$378,)</f>
        <v>1</v>
      </c>
      <c r="D380" s="523">
        <f>VLOOKUP(B380,DONGIA,DG!$B$6,0)</f>
        <v>0</v>
      </c>
      <c r="E380" s="666" t="str">
        <f>VLOOKUP(B380,DONGIA,DG!$C$6,0)</f>
        <v>Trụ BTLT 12m F540 dự ứng lực</v>
      </c>
      <c r="F380" s="523" t="str">
        <f>VLOOKUP(B380,DONGIA,DG!$D$6,0)</f>
        <v>trụ</v>
      </c>
      <c r="G380" s="525">
        <v>1</v>
      </c>
      <c r="H380" s="525">
        <f>VLOOKUP($B380,DONGIA,DG!$E$6,0)</f>
        <v>5511000</v>
      </c>
      <c r="I380" s="525"/>
      <c r="J380" s="525"/>
      <c r="K380" s="525">
        <f>VLOOKUP($B380,DONGIA,DG!$F$6,0)</f>
        <v>0</v>
      </c>
      <c r="L380" s="525"/>
      <c r="M380" s="525">
        <f>VLOOKUP($B380,DONGIA,DG!$G$6,0)</f>
        <v>0</v>
      </c>
      <c r="N380" s="525">
        <f>$G380*H380</f>
        <v>5511000</v>
      </c>
      <c r="O380" s="525">
        <f t="shared" ref="O380:S381" si="314">$G380*I380</f>
        <v>0</v>
      </c>
      <c r="P380" s="525">
        <f t="shared" si="314"/>
        <v>0</v>
      </c>
      <c r="Q380" s="525">
        <f t="shared" si="314"/>
        <v>0</v>
      </c>
      <c r="R380" s="525">
        <f t="shared" si="314"/>
        <v>0</v>
      </c>
      <c r="S380" s="525">
        <f t="shared" si="314"/>
        <v>0</v>
      </c>
      <c r="U380" s="525">
        <f>U$378*$G380</f>
        <v>245</v>
      </c>
      <c r="V380" s="525">
        <f t="shared" ref="V380:AB381" si="315">V$378*$G380</f>
        <v>245</v>
      </c>
      <c r="W380" s="525">
        <f t="shared" si="315"/>
        <v>0</v>
      </c>
      <c r="X380" s="525">
        <f t="shared" si="315"/>
        <v>0</v>
      </c>
      <c r="Y380" s="525">
        <f t="shared" si="315"/>
        <v>0</v>
      </c>
      <c r="Z380" s="525">
        <f t="shared" si="315"/>
        <v>0</v>
      </c>
      <c r="AA380" s="525">
        <f t="shared" si="315"/>
        <v>0</v>
      </c>
      <c r="AB380" s="525">
        <f t="shared" si="315"/>
        <v>0</v>
      </c>
      <c r="AD380" s="405">
        <f t="shared" si="237"/>
        <v>1250</v>
      </c>
      <c r="AE380" s="525">
        <f t="shared" si="238"/>
        <v>306250</v>
      </c>
      <c r="AF380" s="525">
        <f t="shared" si="239"/>
        <v>306250</v>
      </c>
      <c r="AG380" s="525">
        <f t="shared" si="239"/>
        <v>0</v>
      </c>
      <c r="AH380" s="525">
        <f t="shared" si="239"/>
        <v>0</v>
      </c>
      <c r="AI380" s="525">
        <f t="shared" si="240"/>
        <v>0</v>
      </c>
      <c r="AJ380" s="525">
        <f t="shared" si="240"/>
        <v>0</v>
      </c>
      <c r="AK380" s="525">
        <f t="shared" si="240"/>
        <v>0</v>
      </c>
      <c r="AL380" s="525">
        <f t="shared" si="241"/>
        <v>0</v>
      </c>
    </row>
    <row r="381" spans="1:38">
      <c r="A381" s="618"/>
      <c r="B381" s="618" t="s">
        <v>609</v>
      </c>
      <c r="C381" s="619">
        <f>IF(G381&lt;&gt;0,$C$378,)</f>
        <v>1</v>
      </c>
      <c r="D381" s="523" t="str">
        <f>VLOOKUP(B381,DONGIA,DG!$B$6,0)</f>
        <v>D2.5232</v>
      </c>
      <c r="E381" s="666" t="str">
        <f>VLOOKUP(B381,DONGIA,DG!$C$6,0)</f>
        <v>Dựng trụ BTLT 12m thủ công + cơ giới</v>
      </c>
      <c r="F381" s="523" t="str">
        <f>VLOOKUP(B381,DONGIA,DG!$D$6,0)</f>
        <v>trụ</v>
      </c>
      <c r="G381" s="525">
        <v>1</v>
      </c>
      <c r="H381" s="525"/>
      <c r="I381" s="525"/>
      <c r="J381" s="525"/>
      <c r="K381" s="525">
        <f>VLOOKUP($B381,DONGIA,DG!$F$6,0)</f>
        <v>502313</v>
      </c>
      <c r="L381" s="525"/>
      <c r="M381" s="525">
        <f>VLOOKUP($B381,DONGIA,DG!$G$6,0)</f>
        <v>193960</v>
      </c>
      <c r="N381" s="525">
        <f>$G381*H381</f>
        <v>0</v>
      </c>
      <c r="O381" s="525">
        <f t="shared" si="314"/>
        <v>0</v>
      </c>
      <c r="P381" s="525">
        <f t="shared" si="314"/>
        <v>0</v>
      </c>
      <c r="Q381" s="525">
        <f t="shared" si="314"/>
        <v>502313</v>
      </c>
      <c r="R381" s="525">
        <f t="shared" si="314"/>
        <v>0</v>
      </c>
      <c r="S381" s="525">
        <f t="shared" si="314"/>
        <v>193960</v>
      </c>
      <c r="U381" s="525">
        <f>U$378*$G381</f>
        <v>245</v>
      </c>
      <c r="V381" s="525">
        <f t="shared" si="315"/>
        <v>245</v>
      </c>
      <c r="W381" s="525">
        <f t="shared" si="315"/>
        <v>0</v>
      </c>
      <c r="X381" s="525">
        <f t="shared" si="315"/>
        <v>0</v>
      </c>
      <c r="Y381" s="525">
        <f t="shared" si="315"/>
        <v>0</v>
      </c>
      <c r="Z381" s="525">
        <f t="shared" si="315"/>
        <v>0</v>
      </c>
      <c r="AA381" s="525">
        <f t="shared" si="315"/>
        <v>0</v>
      </c>
      <c r="AB381" s="525">
        <f t="shared" si="315"/>
        <v>0</v>
      </c>
      <c r="AD381" s="405">
        <f t="shared" si="237"/>
        <v>0</v>
      </c>
      <c r="AE381" s="525">
        <f t="shared" si="238"/>
        <v>0</v>
      </c>
      <c r="AF381" s="525">
        <f t="shared" si="239"/>
        <v>0</v>
      </c>
      <c r="AG381" s="525">
        <f t="shared" si="239"/>
        <v>0</v>
      </c>
      <c r="AH381" s="525">
        <f t="shared" si="239"/>
        <v>0</v>
      </c>
      <c r="AI381" s="525">
        <f t="shared" si="240"/>
        <v>0</v>
      </c>
      <c r="AJ381" s="525">
        <f t="shared" si="240"/>
        <v>0</v>
      </c>
      <c r="AK381" s="525">
        <f t="shared" si="240"/>
        <v>0</v>
      </c>
      <c r="AL381" s="525">
        <f t="shared" si="241"/>
        <v>0</v>
      </c>
    </row>
    <row r="382" spans="1:38" s="332" customFormat="1">
      <c r="A382" s="356" t="s">
        <v>2696</v>
      </c>
      <c r="B382" s="356"/>
      <c r="C382" s="355">
        <f>IF(G382&lt;&gt;0,1,)</f>
        <v>0</v>
      </c>
      <c r="D382" s="357"/>
      <c r="E382" s="358" t="s">
        <v>2698</v>
      </c>
      <c r="F382" s="357" t="s">
        <v>1665</v>
      </c>
      <c r="G382" s="357"/>
      <c r="H382" s="358"/>
      <c r="I382" s="358"/>
      <c r="J382" s="358"/>
      <c r="K382" s="358"/>
      <c r="L382" s="358"/>
      <c r="M382" s="358"/>
      <c r="N382" s="358">
        <f t="shared" ref="N382:S382" si="316">SUM(N384:N385)</f>
        <v>0</v>
      </c>
      <c r="O382" s="358">
        <f t="shared" si="316"/>
        <v>0</v>
      </c>
      <c r="P382" s="358">
        <f t="shared" si="316"/>
        <v>0</v>
      </c>
      <c r="Q382" s="358">
        <f t="shared" si="316"/>
        <v>502313</v>
      </c>
      <c r="R382" s="358">
        <f t="shared" si="316"/>
        <v>0</v>
      </c>
      <c r="S382" s="358">
        <f t="shared" si="316"/>
        <v>193960</v>
      </c>
      <c r="U382" s="358">
        <f>SUM(V382:AB382)</f>
        <v>2</v>
      </c>
      <c r="V382" s="358">
        <f>IFERROR(HLOOKUP($A382,BK3P,V$3,0),)</f>
        <v>2</v>
      </c>
      <c r="W382" s="358">
        <f>IFERROR(HLOOKUP($A382,BK3P,W$3,0),)</f>
        <v>0</v>
      </c>
      <c r="X382" s="358">
        <f>IFERROR(HLOOKUP($A382,BK3P,X$3,0),)</f>
        <v>0</v>
      </c>
      <c r="Y382" s="358">
        <f>IFERROR(HLOOKUP($A382,BK1P,Y$3,0),)</f>
        <v>0</v>
      </c>
      <c r="Z382" s="358">
        <f>IFERROR(HLOOKUP($A382,BK1P,Z$3,0),)</f>
        <v>0</v>
      </c>
      <c r="AA382" s="358">
        <f>IFERROR(HLOOKUP($A382,BK1P,AA$3,0),)</f>
        <v>0</v>
      </c>
      <c r="AB382" s="358">
        <f>IFERROR(HLOOKUP($A382,BKHT,AB$3,0),)</f>
        <v>0</v>
      </c>
      <c r="AD382" s="332">
        <f>IFERROR(VLOOKUP(B382,DONGIA,$AD$3,0),0)</f>
        <v>0</v>
      </c>
      <c r="AE382" s="329">
        <f t="shared" ref="AE382:AL385" si="317">U382*$AD382</f>
        <v>0</v>
      </c>
      <c r="AF382" s="329">
        <f t="shared" si="317"/>
        <v>0</v>
      </c>
      <c r="AG382" s="329">
        <f t="shared" si="317"/>
        <v>0</v>
      </c>
      <c r="AH382" s="329">
        <f t="shared" si="317"/>
        <v>0</v>
      </c>
      <c r="AI382" s="329">
        <f t="shared" si="317"/>
        <v>0</v>
      </c>
      <c r="AJ382" s="329">
        <f t="shared" si="317"/>
        <v>0</v>
      </c>
      <c r="AK382" s="329">
        <f t="shared" si="317"/>
        <v>0</v>
      </c>
      <c r="AL382" s="329">
        <f t="shared" si="317"/>
        <v>0</v>
      </c>
    </row>
    <row r="383" spans="1:38" s="361" customFormat="1">
      <c r="A383" s="359"/>
      <c r="B383" s="359"/>
      <c r="C383" s="360">
        <f>C382</f>
        <v>0</v>
      </c>
      <c r="D383" s="350"/>
      <c r="E383" s="351" t="s">
        <v>1659</v>
      </c>
      <c r="F383" s="350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U383" s="351"/>
      <c r="V383" s="351"/>
      <c r="W383" s="351"/>
      <c r="X383" s="351"/>
      <c r="Y383" s="351"/>
      <c r="Z383" s="351"/>
      <c r="AA383" s="351"/>
      <c r="AB383" s="351"/>
      <c r="AD383" s="332">
        <f>IFERROR(VLOOKUP(B383,DONGIA,$AD$3,0),0)</f>
        <v>0</v>
      </c>
      <c r="AE383" s="329">
        <f t="shared" si="317"/>
        <v>0</v>
      </c>
      <c r="AF383" s="329">
        <f t="shared" si="317"/>
        <v>0</v>
      </c>
      <c r="AG383" s="329">
        <f t="shared" si="317"/>
        <v>0</v>
      </c>
      <c r="AH383" s="329">
        <f t="shared" si="317"/>
        <v>0</v>
      </c>
      <c r="AI383" s="329">
        <f t="shared" si="317"/>
        <v>0</v>
      </c>
      <c r="AJ383" s="329">
        <f t="shared" si="317"/>
        <v>0</v>
      </c>
      <c r="AK383" s="329">
        <f t="shared" si="317"/>
        <v>0</v>
      </c>
      <c r="AL383" s="329">
        <f t="shared" si="317"/>
        <v>0</v>
      </c>
    </row>
    <row r="384" spans="1:38" s="332" customFormat="1">
      <c r="A384" s="356"/>
      <c r="B384" s="356" t="s">
        <v>466</v>
      </c>
      <c r="C384" s="355">
        <f>IF(G384&lt;&gt;0,$C$382,)</f>
        <v>0</v>
      </c>
      <c r="D384" s="341">
        <f>VLOOKUP(B384,DONGIA,DG!$B$6,0)</f>
        <v>0</v>
      </c>
      <c r="E384" s="340" t="str">
        <f>VLOOKUP(B384,DONGIA,DG!$C$6,0)</f>
        <v>Trụ BTLT 12m F540 dự ứng lực</v>
      </c>
      <c r="F384" s="341" t="str">
        <f>VLOOKUP(B384,DONGIA,DG!$D$6,0)</f>
        <v>trụ</v>
      </c>
      <c r="G384" s="329">
        <v>1</v>
      </c>
      <c r="H384" s="329">
        <f>VLOOKUP($B384,DONGIA,DG!$E$6,0)*0</f>
        <v>0</v>
      </c>
      <c r="I384" s="329"/>
      <c r="J384" s="329"/>
      <c r="K384" s="329">
        <f>VLOOKUP($B384,DONGIA,DG!$F$6,0)</f>
        <v>0</v>
      </c>
      <c r="L384" s="329"/>
      <c r="M384" s="329">
        <f>VLOOKUP($B384,DONGIA,DG!$G$6,0)</f>
        <v>0</v>
      </c>
      <c r="N384" s="329">
        <f t="shared" ref="N384:S385" si="318">$G384*H384</f>
        <v>0</v>
      </c>
      <c r="O384" s="329">
        <f t="shared" si="318"/>
        <v>0</v>
      </c>
      <c r="P384" s="329">
        <f t="shared" si="318"/>
        <v>0</v>
      </c>
      <c r="Q384" s="329">
        <f t="shared" si="318"/>
        <v>0</v>
      </c>
      <c r="R384" s="329">
        <f t="shared" si="318"/>
        <v>0</v>
      </c>
      <c r="S384" s="329">
        <f t="shared" si="318"/>
        <v>0</v>
      </c>
      <c r="U384" s="329">
        <f>U$382*$G384</f>
        <v>2</v>
      </c>
      <c r="V384" s="329">
        <f t="shared" ref="V384:AA385" si="319">V$382*$G384</f>
        <v>2</v>
      </c>
      <c r="W384" s="329">
        <f t="shared" si="319"/>
        <v>0</v>
      </c>
      <c r="X384" s="329">
        <f t="shared" si="319"/>
        <v>0</v>
      </c>
      <c r="Y384" s="329">
        <f t="shared" si="319"/>
        <v>0</v>
      </c>
      <c r="Z384" s="329">
        <f t="shared" si="319"/>
        <v>0</v>
      </c>
      <c r="AA384" s="329">
        <f t="shared" si="319"/>
        <v>0</v>
      </c>
      <c r="AB384" s="329">
        <f>AB$382*$G384</f>
        <v>0</v>
      </c>
      <c r="AD384" s="332">
        <f>IFERROR(VLOOKUP(B384,DONGIA,$AD$3,0),0)</f>
        <v>1250</v>
      </c>
      <c r="AE384" s="329">
        <f t="shared" si="317"/>
        <v>2500</v>
      </c>
      <c r="AF384" s="329">
        <f t="shared" si="317"/>
        <v>2500</v>
      </c>
      <c r="AG384" s="329">
        <f t="shared" si="317"/>
        <v>0</v>
      </c>
      <c r="AH384" s="329">
        <f t="shared" si="317"/>
        <v>0</v>
      </c>
      <c r="AI384" s="329">
        <f t="shared" si="317"/>
        <v>0</v>
      </c>
      <c r="AJ384" s="329">
        <f t="shared" si="317"/>
        <v>0</v>
      </c>
      <c r="AK384" s="329">
        <f t="shared" si="317"/>
        <v>0</v>
      </c>
      <c r="AL384" s="329">
        <f t="shared" si="317"/>
        <v>0</v>
      </c>
    </row>
    <row r="385" spans="1:38" s="332" customFormat="1">
      <c r="A385" s="356"/>
      <c r="B385" s="356" t="s">
        <v>609</v>
      </c>
      <c r="C385" s="355">
        <f>IF(G385&lt;&gt;0,$C$382,)</f>
        <v>0</v>
      </c>
      <c r="D385" s="341" t="str">
        <f>VLOOKUP(B385,DONGIA,DG!$B$6,0)</f>
        <v>D2.5232</v>
      </c>
      <c r="E385" s="340" t="str">
        <f>VLOOKUP(B385,DONGIA,DG!$C$6,0)</f>
        <v>Dựng trụ BTLT 12m thủ công + cơ giới</v>
      </c>
      <c r="F385" s="341" t="str">
        <f>VLOOKUP(B385,DONGIA,DG!$D$6,0)</f>
        <v>trụ</v>
      </c>
      <c r="G385" s="329">
        <v>1</v>
      </c>
      <c r="H385" s="329"/>
      <c r="I385" s="329"/>
      <c r="J385" s="329"/>
      <c r="K385" s="329">
        <f>VLOOKUP($B385,DONGIA,DG!$F$6,0)</f>
        <v>502313</v>
      </c>
      <c r="L385" s="329"/>
      <c r="M385" s="329">
        <f>VLOOKUP($B385,DONGIA,DG!$G$6,0)</f>
        <v>193960</v>
      </c>
      <c r="N385" s="329">
        <f t="shared" si="318"/>
        <v>0</v>
      </c>
      <c r="O385" s="329">
        <f t="shared" si="318"/>
        <v>0</v>
      </c>
      <c r="P385" s="329">
        <f t="shared" si="318"/>
        <v>0</v>
      </c>
      <c r="Q385" s="329">
        <f t="shared" si="318"/>
        <v>502313</v>
      </c>
      <c r="R385" s="329">
        <f t="shared" si="318"/>
        <v>0</v>
      </c>
      <c r="S385" s="329">
        <f t="shared" si="318"/>
        <v>193960</v>
      </c>
      <c r="U385" s="329">
        <f>U$382*$G385</f>
        <v>2</v>
      </c>
      <c r="V385" s="329">
        <f t="shared" si="319"/>
        <v>2</v>
      </c>
      <c r="W385" s="329">
        <f t="shared" si="319"/>
        <v>0</v>
      </c>
      <c r="X385" s="329">
        <f t="shared" si="319"/>
        <v>0</v>
      </c>
      <c r="Y385" s="329">
        <f t="shared" si="319"/>
        <v>0</v>
      </c>
      <c r="Z385" s="329">
        <f t="shared" si="319"/>
        <v>0</v>
      </c>
      <c r="AA385" s="329">
        <f t="shared" si="319"/>
        <v>0</v>
      </c>
      <c r="AB385" s="329">
        <f>AB$382*$G385</f>
        <v>0</v>
      </c>
      <c r="AD385" s="332">
        <f>IFERROR(VLOOKUP(B385,DONGIA,$AD$3,0),0)</f>
        <v>0</v>
      </c>
      <c r="AE385" s="329">
        <f t="shared" si="317"/>
        <v>0</v>
      </c>
      <c r="AF385" s="329">
        <f t="shared" si="317"/>
        <v>0</v>
      </c>
      <c r="AG385" s="329">
        <f t="shared" si="317"/>
        <v>0</v>
      </c>
      <c r="AH385" s="329">
        <f t="shared" si="317"/>
        <v>0</v>
      </c>
      <c r="AI385" s="329">
        <f t="shared" si="317"/>
        <v>0</v>
      </c>
      <c r="AJ385" s="329">
        <f t="shared" si="317"/>
        <v>0</v>
      </c>
      <c r="AK385" s="329">
        <f t="shared" si="317"/>
        <v>0</v>
      </c>
      <c r="AL385" s="329">
        <f t="shared" si="317"/>
        <v>0</v>
      </c>
    </row>
    <row r="386" spans="1:38">
      <c r="A386" s="618" t="s">
        <v>1480</v>
      </c>
      <c r="B386" s="618"/>
      <c r="C386" s="619">
        <f>IF(G386&lt;&gt;0,1,)</f>
        <v>1</v>
      </c>
      <c r="D386" s="622"/>
      <c r="E386" s="623" t="s">
        <v>1670</v>
      </c>
      <c r="F386" s="622" t="s">
        <v>1665</v>
      </c>
      <c r="G386" s="622">
        <f>U386</f>
        <v>9</v>
      </c>
      <c r="H386" s="623"/>
      <c r="I386" s="623"/>
      <c r="J386" s="623"/>
      <c r="K386" s="623"/>
      <c r="L386" s="623"/>
      <c r="M386" s="623"/>
      <c r="N386" s="623">
        <f t="shared" ref="N386:S386" si="320">SUM(N388:N389)</f>
        <v>7605000</v>
      </c>
      <c r="O386" s="623">
        <f t="shared" si="320"/>
        <v>0</v>
      </c>
      <c r="P386" s="623">
        <f t="shared" si="320"/>
        <v>0</v>
      </c>
      <c r="Q386" s="623">
        <f t="shared" si="320"/>
        <v>625522</v>
      </c>
      <c r="R386" s="623">
        <f t="shared" si="320"/>
        <v>0</v>
      </c>
      <c r="S386" s="623">
        <f t="shared" si="320"/>
        <v>193960</v>
      </c>
      <c r="U386" s="623">
        <f>SUM(V386:AB386)</f>
        <v>9</v>
      </c>
      <c r="V386" s="623">
        <f>IFERROR(HLOOKUP($A386,BK3P,V$3,0),)</f>
        <v>9</v>
      </c>
      <c r="W386" s="623">
        <f>IFERROR(HLOOKUP($A386,BK3P,W$3,0),)</f>
        <v>0</v>
      </c>
      <c r="X386" s="623">
        <f>IFERROR(HLOOKUP($A386,BK3P,X$3,0),)</f>
        <v>0</v>
      </c>
      <c r="Y386" s="623">
        <f>IFERROR(HLOOKUP($A386,BK1P,Y$3,0),)</f>
        <v>0</v>
      </c>
      <c r="Z386" s="623">
        <f>IFERROR(HLOOKUP($A386,BK1P,Z$3,0),)</f>
        <v>0</v>
      </c>
      <c r="AA386" s="623">
        <f>IFERROR(HLOOKUP($A386,BK1P,AA$3,0),)</f>
        <v>0</v>
      </c>
      <c r="AB386" s="623">
        <f>IFERROR(HLOOKUP($A386,BKHT,AB$3,0),)</f>
        <v>0</v>
      </c>
      <c r="AD386" s="405">
        <f t="shared" si="237"/>
        <v>0</v>
      </c>
      <c r="AE386" s="525">
        <f t="shared" si="238"/>
        <v>0</v>
      </c>
      <c r="AF386" s="525">
        <f t="shared" si="239"/>
        <v>0</v>
      </c>
      <c r="AG386" s="525">
        <f t="shared" si="239"/>
        <v>0</v>
      </c>
      <c r="AH386" s="525">
        <f t="shared" si="239"/>
        <v>0</v>
      </c>
      <c r="AI386" s="525">
        <f t="shared" si="240"/>
        <v>0</v>
      </c>
      <c r="AJ386" s="525">
        <f t="shared" si="240"/>
        <v>0</v>
      </c>
      <c r="AK386" s="525">
        <f t="shared" si="240"/>
        <v>0</v>
      </c>
      <c r="AL386" s="525">
        <f t="shared" si="241"/>
        <v>0</v>
      </c>
    </row>
    <row r="387" spans="1:38" s="542" customFormat="1">
      <c r="A387" s="624"/>
      <c r="B387" s="624"/>
      <c r="C387" s="625">
        <f>C386</f>
        <v>1</v>
      </c>
      <c r="D387" s="544"/>
      <c r="E387" s="545" t="s">
        <v>1659</v>
      </c>
      <c r="F387" s="544"/>
      <c r="G387" s="545"/>
      <c r="H387" s="545"/>
      <c r="I387" s="545"/>
      <c r="J387" s="545"/>
      <c r="K387" s="545"/>
      <c r="L387" s="545"/>
      <c r="M387" s="545"/>
      <c r="N387" s="545"/>
      <c r="O387" s="545"/>
      <c r="P387" s="545"/>
      <c r="Q387" s="545"/>
      <c r="R387" s="545"/>
      <c r="S387" s="545"/>
      <c r="U387" s="545"/>
      <c r="V387" s="545"/>
      <c r="W387" s="545"/>
      <c r="X387" s="545"/>
      <c r="Y387" s="545"/>
      <c r="Z387" s="545"/>
      <c r="AA387" s="545"/>
      <c r="AB387" s="545"/>
      <c r="AD387" s="405">
        <f t="shared" si="237"/>
        <v>0</v>
      </c>
      <c r="AE387" s="525">
        <f t="shared" si="238"/>
        <v>0</v>
      </c>
      <c r="AF387" s="525">
        <f t="shared" si="239"/>
        <v>0</v>
      </c>
      <c r="AG387" s="525">
        <f t="shared" si="239"/>
        <v>0</v>
      </c>
      <c r="AH387" s="525">
        <f t="shared" si="239"/>
        <v>0</v>
      </c>
      <c r="AI387" s="525">
        <f t="shared" si="240"/>
        <v>0</v>
      </c>
      <c r="AJ387" s="525">
        <f t="shared" si="240"/>
        <v>0</v>
      </c>
      <c r="AK387" s="525">
        <f t="shared" si="240"/>
        <v>0</v>
      </c>
      <c r="AL387" s="525">
        <f t="shared" si="241"/>
        <v>0</v>
      </c>
    </row>
    <row r="388" spans="1:38">
      <c r="A388" s="618"/>
      <c r="B388" s="618" t="s">
        <v>467</v>
      </c>
      <c r="C388" s="619">
        <f>IF(G388&lt;&gt;0,$C$386,)</f>
        <v>1</v>
      </c>
      <c r="D388" s="523">
        <f>VLOOKUP(B388,DONGIA,DG!$B$6,0)</f>
        <v>0</v>
      </c>
      <c r="E388" s="525" t="str">
        <f>VLOOKUP(B388,DONGIA,DG!$C$6,0)</f>
        <v>Trụ BTLT 14m F650 dự ứng lực</v>
      </c>
      <c r="F388" s="523" t="str">
        <f>VLOOKUP(B388,DONGIA,DG!$D$6,0)</f>
        <v>trụ</v>
      </c>
      <c r="G388" s="525">
        <v>1</v>
      </c>
      <c r="H388" s="525">
        <f>VLOOKUP($B388,DONGIA,DG!$E$6,0)</f>
        <v>7605000</v>
      </c>
      <c r="I388" s="525"/>
      <c r="J388" s="525"/>
      <c r="K388" s="525">
        <f>VLOOKUP($B388,DONGIA,DG!$F$6,0)</f>
        <v>0</v>
      </c>
      <c r="L388" s="525"/>
      <c r="M388" s="525">
        <f>VLOOKUP($B388,DONGIA,DG!$G$6,0)</f>
        <v>0</v>
      </c>
      <c r="N388" s="525">
        <f>$G388*H388</f>
        <v>7605000</v>
      </c>
      <c r="O388" s="525">
        <f t="shared" ref="O388:S389" si="321">$G388*I388</f>
        <v>0</v>
      </c>
      <c r="P388" s="525">
        <f t="shared" si="321"/>
        <v>0</v>
      </c>
      <c r="Q388" s="525">
        <f t="shared" si="321"/>
        <v>0</v>
      </c>
      <c r="R388" s="525">
        <f t="shared" si="321"/>
        <v>0</v>
      </c>
      <c r="S388" s="525">
        <f t="shared" si="321"/>
        <v>0</v>
      </c>
      <c r="U388" s="525">
        <f>U$386*$G388</f>
        <v>9</v>
      </c>
      <c r="V388" s="525">
        <f t="shared" ref="V388:AB389" si="322">V$386*$G388</f>
        <v>9</v>
      </c>
      <c r="W388" s="525">
        <f t="shared" si="322"/>
        <v>0</v>
      </c>
      <c r="X388" s="525">
        <f t="shared" si="322"/>
        <v>0</v>
      </c>
      <c r="Y388" s="525">
        <f t="shared" si="322"/>
        <v>0</v>
      </c>
      <c r="Z388" s="525">
        <f t="shared" si="322"/>
        <v>0</v>
      </c>
      <c r="AA388" s="525">
        <f t="shared" si="322"/>
        <v>0</v>
      </c>
      <c r="AB388" s="525">
        <f t="shared" si="322"/>
        <v>0</v>
      </c>
      <c r="AD388" s="405">
        <f t="shared" si="237"/>
        <v>1390</v>
      </c>
      <c r="AE388" s="525">
        <f t="shared" si="238"/>
        <v>12510</v>
      </c>
      <c r="AF388" s="525">
        <f t="shared" si="239"/>
        <v>12510</v>
      </c>
      <c r="AG388" s="525">
        <f t="shared" si="239"/>
        <v>0</v>
      </c>
      <c r="AH388" s="525">
        <f t="shared" si="239"/>
        <v>0</v>
      </c>
      <c r="AI388" s="525">
        <f t="shared" si="240"/>
        <v>0</v>
      </c>
      <c r="AJ388" s="525">
        <f t="shared" si="240"/>
        <v>0</v>
      </c>
      <c r="AK388" s="525">
        <f t="shared" si="240"/>
        <v>0</v>
      </c>
      <c r="AL388" s="525">
        <f t="shared" si="241"/>
        <v>0</v>
      </c>
    </row>
    <row r="389" spans="1:38">
      <c r="A389" s="618"/>
      <c r="B389" s="618" t="s">
        <v>611</v>
      </c>
      <c r="C389" s="619">
        <f>IF(G389&lt;&gt;0,$C$386,)</f>
        <v>1</v>
      </c>
      <c r="D389" s="523" t="str">
        <f>VLOOKUP(B389,DONGIA,DG!$B$6,0)</f>
        <v>D2.5242</v>
      </c>
      <c r="E389" s="525" t="str">
        <f>VLOOKUP(B389,DONGIA,DG!$C$6,0)</f>
        <v>Dựng trụ BTLT 14m thủ công + cơ giới</v>
      </c>
      <c r="F389" s="523" t="str">
        <f>VLOOKUP(B389,DONGIA,DG!$D$6,0)</f>
        <v>trụ</v>
      </c>
      <c r="G389" s="525">
        <v>1</v>
      </c>
      <c r="H389" s="525"/>
      <c r="I389" s="525"/>
      <c r="J389" s="525"/>
      <c r="K389" s="525">
        <f>VLOOKUP($B389,DONGIA,DG!$F$6,0)</f>
        <v>625522</v>
      </c>
      <c r="L389" s="525"/>
      <c r="M389" s="525">
        <f>VLOOKUP($B389,DONGIA,DG!$G$6,0)</f>
        <v>193960</v>
      </c>
      <c r="N389" s="525">
        <f>$G389*H389</f>
        <v>0</v>
      </c>
      <c r="O389" s="525">
        <f t="shared" si="321"/>
        <v>0</v>
      </c>
      <c r="P389" s="525">
        <f t="shared" si="321"/>
        <v>0</v>
      </c>
      <c r="Q389" s="525">
        <f t="shared" si="321"/>
        <v>625522</v>
      </c>
      <c r="R389" s="525">
        <f t="shared" si="321"/>
        <v>0</v>
      </c>
      <c r="S389" s="525">
        <f t="shared" si="321"/>
        <v>193960</v>
      </c>
      <c r="U389" s="525">
        <f>U$386*$G389</f>
        <v>9</v>
      </c>
      <c r="V389" s="525">
        <f t="shared" si="322"/>
        <v>9</v>
      </c>
      <c r="W389" s="525">
        <f t="shared" si="322"/>
        <v>0</v>
      </c>
      <c r="X389" s="525">
        <f t="shared" si="322"/>
        <v>0</v>
      </c>
      <c r="Y389" s="525">
        <f t="shared" si="322"/>
        <v>0</v>
      </c>
      <c r="Z389" s="525">
        <f t="shared" si="322"/>
        <v>0</v>
      </c>
      <c r="AA389" s="525">
        <f t="shared" si="322"/>
        <v>0</v>
      </c>
      <c r="AB389" s="525">
        <f t="shared" si="322"/>
        <v>0</v>
      </c>
      <c r="AD389" s="405">
        <f t="shared" si="237"/>
        <v>0</v>
      </c>
      <c r="AE389" s="525">
        <f t="shared" si="238"/>
        <v>0</v>
      </c>
      <c r="AF389" s="525">
        <f t="shared" si="239"/>
        <v>0</v>
      </c>
      <c r="AG389" s="525">
        <f t="shared" si="239"/>
        <v>0</v>
      </c>
      <c r="AH389" s="525">
        <f t="shared" si="239"/>
        <v>0</v>
      </c>
      <c r="AI389" s="525">
        <f t="shared" si="240"/>
        <v>0</v>
      </c>
      <c r="AJ389" s="525">
        <f t="shared" si="240"/>
        <v>0</v>
      </c>
      <c r="AK389" s="525">
        <f t="shared" si="240"/>
        <v>0</v>
      </c>
      <c r="AL389" s="525">
        <f t="shared" si="241"/>
        <v>0</v>
      </c>
    </row>
    <row r="390" spans="1:38" s="332" customFormat="1">
      <c r="A390" s="356" t="s">
        <v>1481</v>
      </c>
      <c r="B390" s="356"/>
      <c r="C390" s="355">
        <f>IF(G390&lt;&gt;0,1,)</f>
        <v>0</v>
      </c>
      <c r="D390" s="357"/>
      <c r="E390" s="358" t="s">
        <v>1671</v>
      </c>
      <c r="F390" s="357" t="s">
        <v>1665</v>
      </c>
      <c r="G390" s="357">
        <f>U390</f>
        <v>0</v>
      </c>
      <c r="H390" s="358"/>
      <c r="I390" s="358"/>
      <c r="J390" s="358"/>
      <c r="K390" s="358"/>
      <c r="L390" s="358"/>
      <c r="M390" s="358"/>
      <c r="N390" s="358">
        <f t="shared" ref="N390:S390" si="323">SUM(N392:N393)</f>
        <v>20800000</v>
      </c>
      <c r="O390" s="358">
        <f t="shared" si="323"/>
        <v>0</v>
      </c>
      <c r="P390" s="358">
        <f t="shared" si="323"/>
        <v>0</v>
      </c>
      <c r="Q390" s="358">
        <f t="shared" si="323"/>
        <v>0</v>
      </c>
      <c r="R390" s="358">
        <f t="shared" si="323"/>
        <v>0</v>
      </c>
      <c r="S390" s="358">
        <f t="shared" si="323"/>
        <v>0</v>
      </c>
      <c r="U390" s="358">
        <f>SUM(V390:AB390)</f>
        <v>0</v>
      </c>
      <c r="V390" s="358">
        <f>IFERROR(HLOOKUP($A390,BK3P,V$3,0),)</f>
        <v>0</v>
      </c>
      <c r="W390" s="358">
        <f>IFERROR(HLOOKUP($A390,BK3P,W$3,0),)</f>
        <v>0</v>
      </c>
      <c r="X390" s="358">
        <f>IFERROR(HLOOKUP($A390,BK3P,X$3,0),)</f>
        <v>0</v>
      </c>
      <c r="Y390" s="358">
        <f>IFERROR(HLOOKUP($A390,BK1P,Y$3,0),)</f>
        <v>0</v>
      </c>
      <c r="Z390" s="358">
        <f>IFERROR(HLOOKUP($A390,BK1P,Z$3,0),)</f>
        <v>0</v>
      </c>
      <c r="AA390" s="358">
        <f>IFERROR(HLOOKUP($A390,BK1P,AA$3,0),)</f>
        <v>0</v>
      </c>
      <c r="AB390" s="358">
        <f>IFERROR(HLOOKUP($A390,BKHT,AB$3,0),)</f>
        <v>0</v>
      </c>
      <c r="AD390" s="332">
        <f t="shared" si="237"/>
        <v>0</v>
      </c>
      <c r="AE390" s="329">
        <f t="shared" si="238"/>
        <v>0</v>
      </c>
      <c r="AF390" s="329">
        <f t="shared" si="239"/>
        <v>0</v>
      </c>
      <c r="AG390" s="329">
        <f t="shared" si="239"/>
        <v>0</v>
      </c>
      <c r="AH390" s="329">
        <f t="shared" si="239"/>
        <v>0</v>
      </c>
      <c r="AI390" s="329">
        <f t="shared" si="240"/>
        <v>0</v>
      </c>
      <c r="AJ390" s="329">
        <f t="shared" si="240"/>
        <v>0</v>
      </c>
      <c r="AK390" s="329">
        <f t="shared" si="240"/>
        <v>0</v>
      </c>
      <c r="AL390" s="329">
        <f t="shared" si="241"/>
        <v>0</v>
      </c>
    </row>
    <row r="391" spans="1:38" s="361" customFormat="1">
      <c r="A391" s="359"/>
      <c r="B391" s="359"/>
      <c r="C391" s="360">
        <f>C390</f>
        <v>0</v>
      </c>
      <c r="D391" s="350"/>
      <c r="E391" s="351" t="s">
        <v>1659</v>
      </c>
      <c r="F391" s="350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U391" s="351"/>
      <c r="V391" s="351"/>
      <c r="W391" s="351"/>
      <c r="X391" s="351"/>
      <c r="Y391" s="351"/>
      <c r="Z391" s="351"/>
      <c r="AA391" s="351"/>
      <c r="AB391" s="351"/>
      <c r="AD391" s="332">
        <f t="shared" si="237"/>
        <v>0</v>
      </c>
      <c r="AE391" s="329">
        <f t="shared" si="238"/>
        <v>0</v>
      </c>
      <c r="AF391" s="329">
        <f t="shared" si="239"/>
        <v>0</v>
      </c>
      <c r="AG391" s="329">
        <f t="shared" si="239"/>
        <v>0</v>
      </c>
      <c r="AH391" s="329">
        <f t="shared" si="239"/>
        <v>0</v>
      </c>
      <c r="AI391" s="329">
        <f t="shared" si="240"/>
        <v>0</v>
      </c>
      <c r="AJ391" s="329">
        <f t="shared" si="240"/>
        <v>0</v>
      </c>
      <c r="AK391" s="329">
        <f t="shared" si="240"/>
        <v>0</v>
      </c>
      <c r="AL391" s="329">
        <f t="shared" si="241"/>
        <v>0</v>
      </c>
    </row>
    <row r="392" spans="1:38" s="332" customFormat="1">
      <c r="A392" s="356"/>
      <c r="B392" s="356" t="s">
        <v>1672</v>
      </c>
      <c r="C392" s="355">
        <f>IF(G392&lt;&gt;0,$C$390,)</f>
        <v>0</v>
      </c>
      <c r="D392" s="341">
        <f>VLOOKUP(B392,DONGIA,DG!$B$6,0)</f>
        <v>0</v>
      </c>
      <c r="E392" s="340" t="str">
        <f>VLOOKUP(B392,DONGIA,DG!$C$6,0)</f>
        <v>Trụ BTLT 20m F1300 dự ứng lực</v>
      </c>
      <c r="F392" s="341" t="str">
        <f>VLOOKUP(B392,DONGIA,DG!$D$6,0)</f>
        <v>trụ</v>
      </c>
      <c r="G392" s="329">
        <v>1</v>
      </c>
      <c r="H392" s="329">
        <f>VLOOKUP($B392,DONGIA,DG!$E$6,0)</f>
        <v>20800000</v>
      </c>
      <c r="I392" s="329"/>
      <c r="J392" s="329"/>
      <c r="K392" s="329">
        <f>VLOOKUP($B392,DONGIA,DG!$F$6,0)</f>
        <v>0</v>
      </c>
      <c r="L392" s="329"/>
      <c r="M392" s="329">
        <f>VLOOKUP($B392,DONGIA,DG!$G$6,0)</f>
        <v>0</v>
      </c>
      <c r="N392" s="329">
        <f>$G392*H392</f>
        <v>20800000</v>
      </c>
      <c r="O392" s="329">
        <f t="shared" ref="O392:S393" si="324">$G392*I392</f>
        <v>0</v>
      </c>
      <c r="P392" s="329">
        <f t="shared" si="324"/>
        <v>0</v>
      </c>
      <c r="Q392" s="329">
        <f t="shared" si="324"/>
        <v>0</v>
      </c>
      <c r="R392" s="329">
        <f t="shared" si="324"/>
        <v>0</v>
      </c>
      <c r="S392" s="329">
        <f t="shared" si="324"/>
        <v>0</v>
      </c>
      <c r="U392" s="329">
        <f>U$390*$G392</f>
        <v>0</v>
      </c>
      <c r="V392" s="329">
        <f t="shared" ref="V392:AB393" si="325">V$390*$G392</f>
        <v>0</v>
      </c>
      <c r="W392" s="329">
        <f t="shared" si="325"/>
        <v>0</v>
      </c>
      <c r="X392" s="329">
        <f t="shared" si="325"/>
        <v>0</v>
      </c>
      <c r="Y392" s="329">
        <f t="shared" si="325"/>
        <v>0</v>
      </c>
      <c r="Z392" s="329">
        <f t="shared" si="325"/>
        <v>0</v>
      </c>
      <c r="AA392" s="329">
        <f t="shared" si="325"/>
        <v>0</v>
      </c>
      <c r="AB392" s="329">
        <f t="shared" si="325"/>
        <v>0</v>
      </c>
      <c r="AD392" s="332">
        <f t="shared" si="237"/>
        <v>2720</v>
      </c>
      <c r="AE392" s="329">
        <f t="shared" si="238"/>
        <v>0</v>
      </c>
      <c r="AF392" s="329">
        <f t="shared" si="239"/>
        <v>0</v>
      </c>
      <c r="AG392" s="329">
        <f t="shared" si="239"/>
        <v>0</v>
      </c>
      <c r="AH392" s="329">
        <f t="shared" si="239"/>
        <v>0</v>
      </c>
      <c r="AI392" s="329">
        <f t="shared" si="240"/>
        <v>0</v>
      </c>
      <c r="AJ392" s="329">
        <f t="shared" si="240"/>
        <v>0</v>
      </c>
      <c r="AK392" s="329">
        <f t="shared" si="240"/>
        <v>0</v>
      </c>
      <c r="AL392" s="329">
        <f t="shared" si="241"/>
        <v>0</v>
      </c>
    </row>
    <row r="393" spans="1:38" s="332" customFormat="1">
      <c r="A393" s="356"/>
      <c r="B393" s="356" t="s">
        <v>614</v>
      </c>
      <c r="C393" s="355">
        <f>IF(G393&lt;&gt;0,$C$390,)</f>
        <v>0</v>
      </c>
      <c r="D393" s="341" t="str">
        <f>VLOOKUP(B393,DONGIA,DG!$B$6,0)</f>
        <v>05.5227</v>
      </c>
      <c r="E393" s="340" t="str">
        <f>VLOOKUP(B393,DONGIA,DG!$C$6,0)</f>
        <v>Dựng trụ BTLT 20m thủ công + cơ giới</v>
      </c>
      <c r="F393" s="341" t="str">
        <f>VLOOKUP(B393,DONGIA,DG!$D$6,0)</f>
        <v>trụ</v>
      </c>
      <c r="G393" s="329">
        <v>1</v>
      </c>
      <c r="H393" s="329"/>
      <c r="I393" s="329"/>
      <c r="J393" s="329"/>
      <c r="K393" s="329">
        <f>VLOOKUP($B393,DONGIA,DG!$F$6,0)</f>
        <v>0</v>
      </c>
      <c r="L393" s="329"/>
      <c r="M393" s="329">
        <f>VLOOKUP($B393,DONGIA,DG!$G$6,0)</f>
        <v>0</v>
      </c>
      <c r="N393" s="329">
        <f>$G393*H393</f>
        <v>0</v>
      </c>
      <c r="O393" s="329">
        <f t="shared" si="324"/>
        <v>0</v>
      </c>
      <c r="P393" s="329">
        <f t="shared" si="324"/>
        <v>0</v>
      </c>
      <c r="Q393" s="329">
        <f t="shared" si="324"/>
        <v>0</v>
      </c>
      <c r="R393" s="329">
        <f t="shared" si="324"/>
        <v>0</v>
      </c>
      <c r="S393" s="329">
        <f t="shared" si="324"/>
        <v>0</v>
      </c>
      <c r="U393" s="329">
        <f>U$390*$G393</f>
        <v>0</v>
      </c>
      <c r="V393" s="329">
        <f t="shared" si="325"/>
        <v>0</v>
      </c>
      <c r="W393" s="329">
        <f t="shared" si="325"/>
        <v>0</v>
      </c>
      <c r="X393" s="329">
        <f t="shared" si="325"/>
        <v>0</v>
      </c>
      <c r="Y393" s="329">
        <f t="shared" si="325"/>
        <v>0</v>
      </c>
      <c r="Z393" s="329">
        <f t="shared" si="325"/>
        <v>0</v>
      </c>
      <c r="AA393" s="329">
        <f t="shared" si="325"/>
        <v>0</v>
      </c>
      <c r="AB393" s="329">
        <f t="shared" si="325"/>
        <v>0</v>
      </c>
      <c r="AD393" s="332">
        <f t="shared" ref="AD393:AD472" si="326">IFERROR(VLOOKUP(B393,DONGIA,$AD$3,0),0)</f>
        <v>0</v>
      </c>
      <c r="AE393" s="329">
        <f t="shared" ref="AE393:AE472" si="327">U393*$AD393</f>
        <v>0</v>
      </c>
      <c r="AF393" s="329">
        <f t="shared" ref="AF393:AH472" si="328">V393*$AD393</f>
        <v>0</v>
      </c>
      <c r="AG393" s="329">
        <f t="shared" si="328"/>
        <v>0</v>
      </c>
      <c r="AH393" s="329">
        <f t="shared" si="328"/>
        <v>0</v>
      </c>
      <c r="AI393" s="329">
        <f t="shared" ref="AI393:AK472" si="329">Y393*$AD393</f>
        <v>0</v>
      </c>
      <c r="AJ393" s="329">
        <f t="shared" si="329"/>
        <v>0</v>
      </c>
      <c r="AK393" s="329">
        <f t="shared" si="329"/>
        <v>0</v>
      </c>
      <c r="AL393" s="329">
        <f t="shared" si="241"/>
        <v>0</v>
      </c>
    </row>
    <row r="394" spans="1:38">
      <c r="A394" s="618"/>
      <c r="B394" s="618"/>
      <c r="C394" s="619">
        <f>IF(SUM(C395:C804)&lt;&gt;0,1,)</f>
        <v>1</v>
      </c>
      <c r="D394" s="620" t="s">
        <v>1673</v>
      </c>
      <c r="E394" s="732" t="s">
        <v>1674</v>
      </c>
      <c r="F394" s="620"/>
      <c r="G394" s="621"/>
      <c r="H394" s="621"/>
      <c r="I394" s="621"/>
      <c r="J394" s="621"/>
      <c r="K394" s="621"/>
      <c r="L394" s="621"/>
      <c r="M394" s="621"/>
      <c r="N394" s="621"/>
      <c r="O394" s="621"/>
      <c r="P394" s="621"/>
      <c r="Q394" s="621"/>
      <c r="R394" s="621"/>
      <c r="S394" s="621"/>
      <c r="U394" s="621"/>
      <c r="V394" s="621"/>
      <c r="W394" s="621"/>
      <c r="X394" s="621"/>
      <c r="Y394" s="621"/>
      <c r="Z394" s="621"/>
      <c r="AA394" s="621"/>
      <c r="AB394" s="621"/>
      <c r="AD394" s="405">
        <f t="shared" si="326"/>
        <v>0</v>
      </c>
      <c r="AE394" s="525">
        <f t="shared" si="327"/>
        <v>0</v>
      </c>
      <c r="AF394" s="525">
        <f t="shared" si="328"/>
        <v>0</v>
      </c>
      <c r="AG394" s="525">
        <f t="shared" si="328"/>
        <v>0</v>
      </c>
      <c r="AH394" s="525">
        <f t="shared" si="328"/>
        <v>0</v>
      </c>
      <c r="AI394" s="525">
        <f t="shared" si="329"/>
        <v>0</v>
      </c>
      <c r="AJ394" s="525">
        <f t="shared" si="329"/>
        <v>0</v>
      </c>
      <c r="AK394" s="525">
        <f t="shared" si="329"/>
        <v>0</v>
      </c>
      <c r="AL394" s="525">
        <f t="shared" ref="AL394:AL473" si="330">AB394*$AD394</f>
        <v>0</v>
      </c>
    </row>
    <row r="395" spans="1:38">
      <c r="A395" s="618" t="s">
        <v>1675</v>
      </c>
      <c r="B395" s="618"/>
      <c r="C395" s="619">
        <f>IF(G395&lt;&gt;0,1,)</f>
        <v>1</v>
      </c>
      <c r="D395" s="622"/>
      <c r="E395" s="733" t="s">
        <v>1676</v>
      </c>
      <c r="F395" s="622" t="s">
        <v>138</v>
      </c>
      <c r="G395" s="622">
        <f>U395</f>
        <v>7</v>
      </c>
      <c r="H395" s="623"/>
      <c r="I395" s="623"/>
      <c r="J395" s="623"/>
      <c r="K395" s="623"/>
      <c r="L395" s="623"/>
      <c r="M395" s="623"/>
      <c r="N395" s="623">
        <f t="shared" ref="N395:S395" si="331">SUM(N397:N403)</f>
        <v>738000</v>
      </c>
      <c r="O395" s="623">
        <f t="shared" si="331"/>
        <v>0</v>
      </c>
      <c r="P395" s="623">
        <f t="shared" si="331"/>
        <v>0</v>
      </c>
      <c r="Q395" s="623">
        <f t="shared" si="331"/>
        <v>134360</v>
      </c>
      <c r="R395" s="623">
        <f t="shared" si="331"/>
        <v>0</v>
      </c>
      <c r="S395" s="623">
        <f t="shared" si="331"/>
        <v>0</v>
      </c>
      <c r="U395" s="623">
        <f>SUM(V395:AB395)</f>
        <v>7</v>
      </c>
      <c r="V395" s="623">
        <f>IFERROR(HLOOKUP($A395,BK3P,V$3,0),)</f>
        <v>7</v>
      </c>
      <c r="W395" s="623">
        <f>IFERROR(HLOOKUP($A395,BK3P,W$3,0),)</f>
        <v>0</v>
      </c>
      <c r="X395" s="623">
        <f>IFERROR(HLOOKUP($A395,BK3P,X$3,0),)</f>
        <v>0</v>
      </c>
      <c r="Y395" s="623">
        <f>IFERROR(HLOOKUP($A395,BK1P,Y$3,0),)</f>
        <v>0</v>
      </c>
      <c r="Z395" s="623">
        <f>IFERROR(HLOOKUP($A395,BK1P,Z$3,0),)</f>
        <v>0</v>
      </c>
      <c r="AA395" s="623">
        <f>IFERROR(HLOOKUP($A395,BK1P,AA$3,0),)</f>
        <v>0</v>
      </c>
      <c r="AB395" s="623">
        <f>IFERROR(HLOOKUP($A395,BKHT,AB$3,0),)</f>
        <v>0</v>
      </c>
      <c r="AD395" s="405">
        <f t="shared" si="326"/>
        <v>0</v>
      </c>
      <c r="AE395" s="525">
        <f t="shared" si="327"/>
        <v>0</v>
      </c>
      <c r="AF395" s="525">
        <f t="shared" si="328"/>
        <v>0</v>
      </c>
      <c r="AG395" s="525">
        <f t="shared" si="328"/>
        <v>0</v>
      </c>
      <c r="AH395" s="525">
        <f t="shared" si="328"/>
        <v>0</v>
      </c>
      <c r="AI395" s="525">
        <f t="shared" si="329"/>
        <v>0</v>
      </c>
      <c r="AJ395" s="525">
        <f t="shared" si="329"/>
        <v>0</v>
      </c>
      <c r="AK395" s="525">
        <f t="shared" si="329"/>
        <v>0</v>
      </c>
      <c r="AL395" s="525">
        <f t="shared" si="330"/>
        <v>0</v>
      </c>
    </row>
    <row r="396" spans="1:38" s="542" customFormat="1">
      <c r="A396" s="624"/>
      <c r="B396" s="624"/>
      <c r="C396" s="625">
        <f>C395</f>
        <v>1</v>
      </c>
      <c r="D396" s="544"/>
      <c r="E396" s="734" t="s">
        <v>1659</v>
      </c>
      <c r="F396" s="544"/>
      <c r="G396" s="545"/>
      <c r="H396" s="545"/>
      <c r="I396" s="545"/>
      <c r="J396" s="545"/>
      <c r="K396" s="545"/>
      <c r="L396" s="545"/>
      <c r="M396" s="545"/>
      <c r="N396" s="545"/>
      <c r="O396" s="545"/>
      <c r="P396" s="545"/>
      <c r="Q396" s="545"/>
      <c r="R396" s="545"/>
      <c r="S396" s="545"/>
      <c r="U396" s="545"/>
      <c r="V396" s="545"/>
      <c r="W396" s="545"/>
      <c r="X396" s="545"/>
      <c r="Y396" s="545"/>
      <c r="Z396" s="545"/>
      <c r="AA396" s="545"/>
      <c r="AB396" s="545"/>
      <c r="AD396" s="405">
        <f t="shared" si="326"/>
        <v>0</v>
      </c>
      <c r="AE396" s="525">
        <f t="shared" si="327"/>
        <v>0</v>
      </c>
      <c r="AF396" s="525">
        <f t="shared" si="328"/>
        <v>0</v>
      </c>
      <c r="AG396" s="525">
        <f t="shared" si="328"/>
        <v>0</v>
      </c>
      <c r="AH396" s="525">
        <f t="shared" si="328"/>
        <v>0</v>
      </c>
      <c r="AI396" s="525">
        <f t="shared" si="329"/>
        <v>0</v>
      </c>
      <c r="AJ396" s="525">
        <f t="shared" si="329"/>
        <v>0</v>
      </c>
      <c r="AK396" s="525">
        <f t="shared" si="329"/>
        <v>0</v>
      </c>
      <c r="AL396" s="525">
        <f t="shared" si="330"/>
        <v>0</v>
      </c>
    </row>
    <row r="397" spans="1:38">
      <c r="A397" s="618"/>
      <c r="B397" s="618" t="s">
        <v>15</v>
      </c>
      <c r="C397" s="619">
        <f>IF(G397&lt;&gt;0,$C$395,)</f>
        <v>1</v>
      </c>
      <c r="D397" s="523">
        <f>VLOOKUP(B397,DONGIA,DG!$B$6,0)</f>
        <v>0</v>
      </c>
      <c r="E397" s="666" t="str">
        <f>VLOOKUP(B397,DONGIA,DG!$C$6,0)</f>
        <v>Đà hộp composite 110x80x5-800</v>
      </c>
      <c r="F397" s="523" t="str">
        <f>VLOOKUP(B397,DONGIA,DG!$D$6,0)</f>
        <v>cái</v>
      </c>
      <c r="G397" s="525">
        <v>1</v>
      </c>
      <c r="H397" s="525">
        <f>VLOOKUP($B397,DONGIA,DG!$E$6,0)</f>
        <v>541200</v>
      </c>
      <c r="I397" s="525"/>
      <c r="J397" s="525"/>
      <c r="K397" s="525">
        <f>VLOOKUP($B397,DONGIA,DG!$F$6,0)</f>
        <v>0</v>
      </c>
      <c r="L397" s="525"/>
      <c r="M397" s="525">
        <f>VLOOKUP($B397,DONGIA,DG!$G$6,0)</f>
        <v>0</v>
      </c>
      <c r="N397" s="525">
        <f>$G397*H397</f>
        <v>541200</v>
      </c>
      <c r="O397" s="525">
        <f t="shared" ref="O397:S403" si="332">$G397*I397</f>
        <v>0</v>
      </c>
      <c r="P397" s="525">
        <f t="shared" si="332"/>
        <v>0</v>
      </c>
      <c r="Q397" s="525">
        <f t="shared" si="332"/>
        <v>0</v>
      </c>
      <c r="R397" s="525">
        <f t="shared" si="332"/>
        <v>0</v>
      </c>
      <c r="S397" s="525">
        <f t="shared" si="332"/>
        <v>0</v>
      </c>
      <c r="U397" s="525">
        <f>U$395*$G397</f>
        <v>7</v>
      </c>
      <c r="V397" s="525">
        <f t="shared" ref="V397:AB397" si="333">V$395*$G397</f>
        <v>7</v>
      </c>
      <c r="W397" s="525">
        <f t="shared" si="333"/>
        <v>0</v>
      </c>
      <c r="X397" s="525">
        <f t="shared" si="333"/>
        <v>0</v>
      </c>
      <c r="Y397" s="525">
        <f t="shared" si="333"/>
        <v>0</v>
      </c>
      <c r="Z397" s="525">
        <f t="shared" si="333"/>
        <v>0</v>
      </c>
      <c r="AA397" s="525">
        <f t="shared" si="333"/>
        <v>0</v>
      </c>
      <c r="AB397" s="525">
        <f t="shared" si="333"/>
        <v>0</v>
      </c>
      <c r="AD397" s="405">
        <f t="shared" si="326"/>
        <v>3.2</v>
      </c>
      <c r="AE397" s="525">
        <f t="shared" si="327"/>
        <v>22.400000000000002</v>
      </c>
      <c r="AF397" s="525">
        <f t="shared" si="328"/>
        <v>22.400000000000002</v>
      </c>
      <c r="AG397" s="525">
        <f t="shared" si="328"/>
        <v>0</v>
      </c>
      <c r="AH397" s="525">
        <f t="shared" si="328"/>
        <v>0</v>
      </c>
      <c r="AI397" s="525">
        <f t="shared" si="329"/>
        <v>0</v>
      </c>
      <c r="AJ397" s="525">
        <f t="shared" si="329"/>
        <v>0</v>
      </c>
      <c r="AK397" s="525">
        <f t="shared" si="329"/>
        <v>0</v>
      </c>
      <c r="AL397" s="525">
        <f t="shared" si="330"/>
        <v>0</v>
      </c>
    </row>
    <row r="398" spans="1:38">
      <c r="A398" s="618"/>
      <c r="B398" s="618" t="s">
        <v>17</v>
      </c>
      <c r="C398" s="619">
        <f t="shared" ref="C398:C403" si="334">IF(G398&lt;&gt;0,$C$395,)</f>
        <v>1</v>
      </c>
      <c r="D398" s="523">
        <f>VLOOKUP(B398,DONGIA,DG!$B$6,0)</f>
        <v>0</v>
      </c>
      <c r="E398" s="666" t="str">
        <f>VLOOKUP(B398,DONGIA,DG!$C$6,0)</f>
        <v>Thanh chống 10x40x710</v>
      </c>
      <c r="F398" s="523" t="str">
        <f>VLOOKUP(B398,DONGIA,DG!$D$6,0)</f>
        <v>cái</v>
      </c>
      <c r="G398" s="525">
        <f>G397</f>
        <v>1</v>
      </c>
      <c r="H398" s="525">
        <f>VLOOKUP($B398,DONGIA,DG!$E$6,0)</f>
        <v>79800</v>
      </c>
      <c r="I398" s="525"/>
      <c r="J398" s="525"/>
      <c r="K398" s="525">
        <f>VLOOKUP($B398,DONGIA,DG!$F$6,0)</f>
        <v>0</v>
      </c>
      <c r="L398" s="525"/>
      <c r="M398" s="525">
        <f>VLOOKUP($B398,DONGIA,DG!$G$6,0)</f>
        <v>0</v>
      </c>
      <c r="N398" s="525">
        <f t="shared" ref="N398:N403" si="335">$G398*H398</f>
        <v>79800</v>
      </c>
      <c r="O398" s="525">
        <f t="shared" si="332"/>
        <v>0</v>
      </c>
      <c r="P398" s="525">
        <f t="shared" si="332"/>
        <v>0</v>
      </c>
      <c r="Q398" s="525">
        <f t="shared" si="332"/>
        <v>0</v>
      </c>
      <c r="R398" s="525">
        <f t="shared" si="332"/>
        <v>0</v>
      </c>
      <c r="S398" s="525">
        <f t="shared" si="332"/>
        <v>0</v>
      </c>
      <c r="U398" s="525">
        <f t="shared" ref="U398:AB403" si="336">U$395*$G398</f>
        <v>7</v>
      </c>
      <c r="V398" s="525">
        <f t="shared" si="336"/>
        <v>7</v>
      </c>
      <c r="W398" s="525">
        <f t="shared" si="336"/>
        <v>0</v>
      </c>
      <c r="X398" s="525">
        <f t="shared" si="336"/>
        <v>0</v>
      </c>
      <c r="Y398" s="525">
        <f t="shared" si="336"/>
        <v>0</v>
      </c>
      <c r="Z398" s="525">
        <f t="shared" si="336"/>
        <v>0</v>
      </c>
      <c r="AA398" s="525">
        <f t="shared" si="336"/>
        <v>0</v>
      </c>
      <c r="AB398" s="525">
        <f t="shared" si="336"/>
        <v>0</v>
      </c>
      <c r="AD398" s="405">
        <f t="shared" si="326"/>
        <v>0.5</v>
      </c>
      <c r="AE398" s="525">
        <f t="shared" si="327"/>
        <v>3.5</v>
      </c>
      <c r="AF398" s="525">
        <f t="shared" si="328"/>
        <v>3.5</v>
      </c>
      <c r="AG398" s="525">
        <f t="shared" si="328"/>
        <v>0</v>
      </c>
      <c r="AH398" s="525">
        <f t="shared" si="328"/>
        <v>0</v>
      </c>
      <c r="AI398" s="525">
        <f t="shared" si="329"/>
        <v>0</v>
      </c>
      <c r="AJ398" s="525">
        <f t="shared" si="329"/>
        <v>0</v>
      </c>
      <c r="AK398" s="525">
        <f t="shared" si="329"/>
        <v>0</v>
      </c>
      <c r="AL398" s="525">
        <f t="shared" si="330"/>
        <v>0</v>
      </c>
    </row>
    <row r="399" spans="1:38">
      <c r="A399" s="618"/>
      <c r="B399" s="618" t="s">
        <v>137</v>
      </c>
      <c r="C399" s="619">
        <f t="shared" si="334"/>
        <v>1</v>
      </c>
      <c r="D399" s="523">
        <f>VLOOKUP(B399,DONGIA,DG!$B$6,0)</f>
        <v>0</v>
      </c>
      <c r="E399" s="666" t="str">
        <f>VLOOKUP(B399,DONGIA,DG!$C$6,0)</f>
        <v>Bass LI bắt FCO, LA</v>
      </c>
      <c r="F399" s="523" t="str">
        <f>VLOOKUP(B399,DONGIA,DG!$D$6,0)</f>
        <v>Bộ</v>
      </c>
      <c r="G399" s="525">
        <v>1</v>
      </c>
      <c r="H399" s="525">
        <f>VLOOKUP($B399,DONGIA,DG!$E$6,0)</f>
        <v>38000</v>
      </c>
      <c r="I399" s="525"/>
      <c r="J399" s="525"/>
      <c r="K399" s="525">
        <f>VLOOKUP($B399,DONGIA,DG!$F$6,0)</f>
        <v>0</v>
      </c>
      <c r="L399" s="525"/>
      <c r="M399" s="525">
        <f>VLOOKUP($B399,DONGIA,DG!$G$6,0)</f>
        <v>0</v>
      </c>
      <c r="N399" s="525">
        <f t="shared" si="335"/>
        <v>38000</v>
      </c>
      <c r="O399" s="525">
        <f t="shared" si="332"/>
        <v>0</v>
      </c>
      <c r="P399" s="525">
        <f t="shared" si="332"/>
        <v>0</v>
      </c>
      <c r="Q399" s="525">
        <f t="shared" si="332"/>
        <v>0</v>
      </c>
      <c r="R399" s="525">
        <f t="shared" si="332"/>
        <v>0</v>
      </c>
      <c r="S399" s="525">
        <f t="shared" si="332"/>
        <v>0</v>
      </c>
      <c r="U399" s="525">
        <f t="shared" si="336"/>
        <v>7</v>
      </c>
      <c r="V399" s="525">
        <f t="shared" si="336"/>
        <v>7</v>
      </c>
      <c r="W399" s="525">
        <f t="shared" si="336"/>
        <v>0</v>
      </c>
      <c r="X399" s="525">
        <f t="shared" si="336"/>
        <v>0</v>
      </c>
      <c r="Y399" s="525">
        <f t="shared" si="336"/>
        <v>0</v>
      </c>
      <c r="Z399" s="525">
        <f t="shared" si="336"/>
        <v>0</v>
      </c>
      <c r="AA399" s="525">
        <f t="shared" si="336"/>
        <v>0</v>
      </c>
      <c r="AB399" s="525">
        <f t="shared" si="336"/>
        <v>0</v>
      </c>
      <c r="AD399" s="405">
        <f t="shared" si="326"/>
        <v>0.4</v>
      </c>
      <c r="AE399" s="525">
        <f t="shared" si="327"/>
        <v>2.8000000000000003</v>
      </c>
      <c r="AF399" s="525">
        <f t="shared" si="328"/>
        <v>2.8000000000000003</v>
      </c>
      <c r="AG399" s="525">
        <f t="shared" si="328"/>
        <v>0</v>
      </c>
      <c r="AH399" s="525">
        <f t="shared" si="328"/>
        <v>0</v>
      </c>
      <c r="AI399" s="525">
        <f t="shared" si="329"/>
        <v>0</v>
      </c>
      <c r="AJ399" s="525">
        <f t="shared" si="329"/>
        <v>0</v>
      </c>
      <c r="AK399" s="525">
        <f t="shared" si="329"/>
        <v>0</v>
      </c>
      <c r="AL399" s="525">
        <f t="shared" si="330"/>
        <v>0</v>
      </c>
    </row>
    <row r="400" spans="1:38">
      <c r="A400" s="618"/>
      <c r="B400" s="618" t="s">
        <v>1677</v>
      </c>
      <c r="C400" s="619">
        <f t="shared" si="334"/>
        <v>1</v>
      </c>
      <c r="D400" s="523">
        <f>VLOOKUP(B400,DONGIA,DG!$B$6,0)</f>
        <v>0</v>
      </c>
      <c r="E400" s="666" t="str">
        <f>VLOOKUP(B400,DONGIA,DG!$C$6,0)</f>
        <v>Boulon 16x350+ 2 long đền vuông D18-50x50x3/Zn</v>
      </c>
      <c r="F400" s="523" t="str">
        <f>VLOOKUP(B400,DONGIA,DG!$D$6,0)</f>
        <v>bộ</v>
      </c>
      <c r="G400" s="525">
        <v>1</v>
      </c>
      <c r="H400" s="525">
        <f>VLOOKUP($B400,DONGIA,DG!$E$6,0)</f>
        <v>32000</v>
      </c>
      <c r="I400" s="525"/>
      <c r="J400" s="525"/>
      <c r="K400" s="525">
        <f>VLOOKUP($B400,DONGIA,DG!$F$6,0)</f>
        <v>0</v>
      </c>
      <c r="L400" s="525"/>
      <c r="M400" s="525">
        <f>VLOOKUP($B400,DONGIA,DG!$G$6,0)</f>
        <v>0</v>
      </c>
      <c r="N400" s="525">
        <f t="shared" si="335"/>
        <v>32000</v>
      </c>
      <c r="O400" s="525">
        <f t="shared" si="332"/>
        <v>0</v>
      </c>
      <c r="P400" s="525">
        <f t="shared" si="332"/>
        <v>0</v>
      </c>
      <c r="Q400" s="525">
        <f t="shared" si="332"/>
        <v>0</v>
      </c>
      <c r="R400" s="525">
        <f t="shared" si="332"/>
        <v>0</v>
      </c>
      <c r="S400" s="525">
        <f t="shared" si="332"/>
        <v>0</v>
      </c>
      <c r="U400" s="525">
        <f t="shared" si="336"/>
        <v>7</v>
      </c>
      <c r="V400" s="525">
        <f t="shared" si="336"/>
        <v>7</v>
      </c>
      <c r="W400" s="525">
        <f t="shared" si="336"/>
        <v>0</v>
      </c>
      <c r="X400" s="525">
        <f t="shared" si="336"/>
        <v>0</v>
      </c>
      <c r="Y400" s="525">
        <f t="shared" si="336"/>
        <v>0</v>
      </c>
      <c r="Z400" s="525">
        <f t="shared" si="336"/>
        <v>0</v>
      </c>
      <c r="AA400" s="525">
        <f t="shared" si="336"/>
        <v>0</v>
      </c>
      <c r="AB400" s="525">
        <f t="shared" si="336"/>
        <v>0</v>
      </c>
      <c r="AD400" s="405">
        <f t="shared" si="326"/>
        <v>0.3</v>
      </c>
      <c r="AE400" s="525">
        <f t="shared" si="327"/>
        <v>2.1</v>
      </c>
      <c r="AF400" s="525">
        <f t="shared" si="328"/>
        <v>2.1</v>
      </c>
      <c r="AG400" s="525">
        <f t="shared" si="328"/>
        <v>0</v>
      </c>
      <c r="AH400" s="525">
        <f t="shared" si="328"/>
        <v>0</v>
      </c>
      <c r="AI400" s="525">
        <f t="shared" si="329"/>
        <v>0</v>
      </c>
      <c r="AJ400" s="525">
        <f t="shared" si="329"/>
        <v>0</v>
      </c>
      <c r="AK400" s="525">
        <f t="shared" si="329"/>
        <v>0</v>
      </c>
      <c r="AL400" s="525">
        <f t="shared" si="330"/>
        <v>0</v>
      </c>
    </row>
    <row r="401" spans="1:38">
      <c r="A401" s="618"/>
      <c r="B401" s="618" t="s">
        <v>33</v>
      </c>
      <c r="C401" s="619">
        <f t="shared" si="334"/>
        <v>1</v>
      </c>
      <c r="D401" s="523">
        <f>VLOOKUP(B401,DONGIA,DG!$B$6,0)</f>
        <v>0</v>
      </c>
      <c r="E401" s="666" t="str">
        <f>VLOOKUP(B401,DONGIA,DG!$C$6,0)</f>
        <v>Boulon 16x250+ 2 long đền vuông D18-50x50x3/Zn</v>
      </c>
      <c r="F401" s="523" t="str">
        <f>VLOOKUP(B401,DONGIA,DG!$D$6,0)</f>
        <v>bộ</v>
      </c>
      <c r="G401" s="525">
        <v>1</v>
      </c>
      <c r="H401" s="525">
        <f>VLOOKUP($B401,DONGIA,DG!$E$6,0)</f>
        <v>28000</v>
      </c>
      <c r="I401" s="525"/>
      <c r="J401" s="525"/>
      <c r="K401" s="525">
        <f>VLOOKUP($B401,DONGIA,DG!$F$6,0)</f>
        <v>0</v>
      </c>
      <c r="L401" s="525"/>
      <c r="M401" s="525">
        <f>VLOOKUP($B401,DONGIA,DG!$G$6,0)</f>
        <v>0</v>
      </c>
      <c r="N401" s="525">
        <f t="shared" si="335"/>
        <v>28000</v>
      </c>
      <c r="O401" s="525">
        <f t="shared" si="332"/>
        <v>0</v>
      </c>
      <c r="P401" s="525">
        <f t="shared" si="332"/>
        <v>0</v>
      </c>
      <c r="Q401" s="525">
        <f t="shared" si="332"/>
        <v>0</v>
      </c>
      <c r="R401" s="525">
        <f t="shared" si="332"/>
        <v>0</v>
      </c>
      <c r="S401" s="525">
        <f t="shared" si="332"/>
        <v>0</v>
      </c>
      <c r="U401" s="525">
        <f t="shared" si="336"/>
        <v>7</v>
      </c>
      <c r="V401" s="525">
        <f t="shared" si="336"/>
        <v>7</v>
      </c>
      <c r="W401" s="525">
        <f t="shared" si="336"/>
        <v>0</v>
      </c>
      <c r="X401" s="525">
        <f t="shared" si="336"/>
        <v>0</v>
      </c>
      <c r="Y401" s="525">
        <f t="shared" si="336"/>
        <v>0</v>
      </c>
      <c r="Z401" s="525">
        <f t="shared" si="336"/>
        <v>0</v>
      </c>
      <c r="AA401" s="525">
        <f t="shared" si="336"/>
        <v>0</v>
      </c>
      <c r="AB401" s="525">
        <f t="shared" si="336"/>
        <v>0</v>
      </c>
      <c r="AD401" s="405">
        <f t="shared" si="326"/>
        <v>0.23</v>
      </c>
      <c r="AE401" s="525">
        <f t="shared" si="327"/>
        <v>1.61</v>
      </c>
      <c r="AF401" s="525">
        <f t="shared" si="328"/>
        <v>1.61</v>
      </c>
      <c r="AG401" s="525">
        <f t="shared" si="328"/>
        <v>0</v>
      </c>
      <c r="AH401" s="525">
        <f t="shared" si="328"/>
        <v>0</v>
      </c>
      <c r="AI401" s="525">
        <f t="shared" si="329"/>
        <v>0</v>
      </c>
      <c r="AJ401" s="525">
        <f t="shared" si="329"/>
        <v>0</v>
      </c>
      <c r="AK401" s="525">
        <f t="shared" si="329"/>
        <v>0</v>
      </c>
      <c r="AL401" s="525">
        <f t="shared" si="330"/>
        <v>0</v>
      </c>
    </row>
    <row r="402" spans="1:38">
      <c r="A402" s="618"/>
      <c r="B402" s="618" t="s">
        <v>3053</v>
      </c>
      <c r="C402" s="619">
        <f t="shared" si="334"/>
        <v>1</v>
      </c>
      <c r="D402" s="523">
        <f>VLOOKUP(B402,DONGIA,DG!$B$6,0)</f>
        <v>0</v>
      </c>
      <c r="E402" s="666" t="str">
        <f>VLOOKUP(B402,DONGIA,DG!$C$6,0)</f>
        <v>Boulon 14x150+ 2 long đền vuông D16-50x50x3/Zn</v>
      </c>
      <c r="F402" s="523" t="str">
        <f>VLOOKUP(B402,DONGIA,DG!$D$6,0)</f>
        <v>bộ</v>
      </c>
      <c r="G402" s="525">
        <v>1</v>
      </c>
      <c r="H402" s="525">
        <f>VLOOKUP($B402,DONGIA,DG!$E$6,0)</f>
        <v>19000</v>
      </c>
      <c r="I402" s="525"/>
      <c r="J402" s="525"/>
      <c r="K402" s="525">
        <f>VLOOKUP($B402,DONGIA,DG!$F$6,0)</f>
        <v>0</v>
      </c>
      <c r="L402" s="525"/>
      <c r="M402" s="525">
        <f>VLOOKUP($B402,DONGIA,DG!$G$6,0)</f>
        <v>0</v>
      </c>
      <c r="N402" s="525">
        <f t="shared" si="335"/>
        <v>19000</v>
      </c>
      <c r="O402" s="525">
        <f t="shared" si="332"/>
        <v>0</v>
      </c>
      <c r="P402" s="525">
        <f t="shared" si="332"/>
        <v>0</v>
      </c>
      <c r="Q402" s="525">
        <f t="shared" si="332"/>
        <v>0</v>
      </c>
      <c r="R402" s="525">
        <f t="shared" si="332"/>
        <v>0</v>
      </c>
      <c r="S402" s="525">
        <f t="shared" si="332"/>
        <v>0</v>
      </c>
      <c r="U402" s="525">
        <f t="shared" si="336"/>
        <v>7</v>
      </c>
      <c r="V402" s="525">
        <f t="shared" si="336"/>
        <v>7</v>
      </c>
      <c r="W402" s="525">
        <f t="shared" si="336"/>
        <v>0</v>
      </c>
      <c r="X402" s="525">
        <f t="shared" si="336"/>
        <v>0</v>
      </c>
      <c r="Y402" s="525">
        <f t="shared" si="336"/>
        <v>0</v>
      </c>
      <c r="Z402" s="525">
        <f t="shared" si="336"/>
        <v>0</v>
      </c>
      <c r="AA402" s="525">
        <f t="shared" si="336"/>
        <v>0</v>
      </c>
      <c r="AB402" s="525">
        <f t="shared" si="336"/>
        <v>0</v>
      </c>
      <c r="AD402" s="405">
        <f t="shared" si="326"/>
        <v>0.2</v>
      </c>
      <c r="AE402" s="525">
        <f t="shared" si="327"/>
        <v>1.4000000000000001</v>
      </c>
      <c r="AF402" s="525">
        <f t="shared" si="328"/>
        <v>1.4000000000000001</v>
      </c>
      <c r="AG402" s="525">
        <f t="shared" si="328"/>
        <v>0</v>
      </c>
      <c r="AH402" s="525">
        <f t="shared" si="328"/>
        <v>0</v>
      </c>
      <c r="AI402" s="525">
        <f t="shared" si="329"/>
        <v>0</v>
      </c>
      <c r="AJ402" s="525">
        <f t="shared" si="329"/>
        <v>0</v>
      </c>
      <c r="AK402" s="525">
        <f t="shared" si="329"/>
        <v>0</v>
      </c>
      <c r="AL402" s="525">
        <f t="shared" si="330"/>
        <v>0</v>
      </c>
    </row>
    <row r="403" spans="1:38" ht="31.5" customHeight="1">
      <c r="A403" s="618"/>
      <c r="B403" s="618" t="s">
        <v>617</v>
      </c>
      <c r="C403" s="619">
        <f t="shared" si="334"/>
        <v>1</v>
      </c>
      <c r="D403" s="523" t="str">
        <f>VLOOKUP(B403,DONGIA,DG!$B$6,0)</f>
        <v>D2.6011</v>
      </c>
      <c r="E403" s="666" t="str">
        <f>VLOOKUP(B403,DONGIA,DG!$C$6,0)</f>
        <v>Lắp đà composite 800mm đơn (KL &lt;=15kg, trụ BTLT, tính = 0.8 đà sắt)</v>
      </c>
      <c r="F403" s="523" t="str">
        <f>VLOOKUP(B403,DONGIA,DG!$D$6,0)</f>
        <v>bộ</v>
      </c>
      <c r="G403" s="525">
        <v>1</v>
      </c>
      <c r="H403" s="525"/>
      <c r="I403" s="525"/>
      <c r="J403" s="525"/>
      <c r="K403" s="525">
        <f>VLOOKUP($B403,DONGIA,DG!$F$6,0)</f>
        <v>134360</v>
      </c>
      <c r="L403" s="525"/>
      <c r="M403" s="525">
        <f>VLOOKUP($B403,DONGIA,DG!$G$6,0)</f>
        <v>0</v>
      </c>
      <c r="N403" s="525">
        <f t="shared" si="335"/>
        <v>0</v>
      </c>
      <c r="O403" s="525">
        <f t="shared" si="332"/>
        <v>0</v>
      </c>
      <c r="P403" s="525">
        <f t="shared" si="332"/>
        <v>0</v>
      </c>
      <c r="Q403" s="525">
        <f t="shared" si="332"/>
        <v>134360</v>
      </c>
      <c r="R403" s="525">
        <f t="shared" si="332"/>
        <v>0</v>
      </c>
      <c r="S403" s="525">
        <f t="shared" si="332"/>
        <v>0</v>
      </c>
      <c r="U403" s="525">
        <f t="shared" si="336"/>
        <v>7</v>
      </c>
      <c r="V403" s="525">
        <f t="shared" si="336"/>
        <v>7</v>
      </c>
      <c r="W403" s="525">
        <f t="shared" si="336"/>
        <v>0</v>
      </c>
      <c r="X403" s="525">
        <f t="shared" si="336"/>
        <v>0</v>
      </c>
      <c r="Y403" s="525">
        <f t="shared" si="336"/>
        <v>0</v>
      </c>
      <c r="Z403" s="525">
        <f t="shared" si="336"/>
        <v>0</v>
      </c>
      <c r="AA403" s="525">
        <f t="shared" si="336"/>
        <v>0</v>
      </c>
      <c r="AB403" s="525">
        <f t="shared" si="336"/>
        <v>0</v>
      </c>
      <c r="AD403" s="405">
        <f t="shared" si="326"/>
        <v>0</v>
      </c>
      <c r="AE403" s="525">
        <f t="shared" si="327"/>
        <v>0</v>
      </c>
      <c r="AF403" s="525">
        <f t="shared" si="328"/>
        <v>0</v>
      </c>
      <c r="AG403" s="525">
        <f t="shared" si="328"/>
        <v>0</v>
      </c>
      <c r="AH403" s="525">
        <f t="shared" si="328"/>
        <v>0</v>
      </c>
      <c r="AI403" s="525">
        <f t="shared" si="329"/>
        <v>0</v>
      </c>
      <c r="AJ403" s="525">
        <f t="shared" si="329"/>
        <v>0</v>
      </c>
      <c r="AK403" s="525">
        <f t="shared" si="329"/>
        <v>0</v>
      </c>
      <c r="AL403" s="525">
        <f t="shared" si="330"/>
        <v>0</v>
      </c>
    </row>
    <row r="404" spans="1:38" s="332" customFormat="1">
      <c r="A404" s="356" t="s">
        <v>3055</v>
      </c>
      <c r="B404" s="356"/>
      <c r="C404" s="355">
        <f>IF(G404&lt;&gt;0,1,)</f>
        <v>0</v>
      </c>
      <c r="D404" s="357"/>
      <c r="E404" s="358" t="s">
        <v>3056</v>
      </c>
      <c r="F404" s="357" t="s">
        <v>138</v>
      </c>
      <c r="G404" s="357">
        <f>U404</f>
        <v>0</v>
      </c>
      <c r="H404" s="358"/>
      <c r="I404" s="358"/>
      <c r="J404" s="358"/>
      <c r="K404" s="358"/>
      <c r="L404" s="358"/>
      <c r="M404" s="358"/>
      <c r="N404" s="358">
        <f t="shared" ref="N404:S404" si="337">SUM(N406:N411)</f>
        <v>772000</v>
      </c>
      <c r="O404" s="358">
        <f t="shared" si="337"/>
        <v>0</v>
      </c>
      <c r="P404" s="358">
        <f t="shared" si="337"/>
        <v>0</v>
      </c>
      <c r="Q404" s="358">
        <f t="shared" si="337"/>
        <v>134360</v>
      </c>
      <c r="R404" s="358">
        <f t="shared" si="337"/>
        <v>0</v>
      </c>
      <c r="S404" s="358">
        <f t="shared" si="337"/>
        <v>0</v>
      </c>
      <c r="U404" s="358">
        <f>SUM(V404:AB404)</f>
        <v>0</v>
      </c>
      <c r="V404" s="358">
        <f>IFERROR(HLOOKUP($A404,BK3P,V$3,0),)</f>
        <v>0</v>
      </c>
      <c r="W404" s="358">
        <f>IFERROR(HLOOKUP($A404,BK3P,W$3,0),)</f>
        <v>0</v>
      </c>
      <c r="X404" s="358">
        <f>IFERROR(HLOOKUP($A404,BK3P,X$3,0),)</f>
        <v>0</v>
      </c>
      <c r="Y404" s="358">
        <f>IFERROR(HLOOKUP($A404,BK1P,Y$3,0),)</f>
        <v>0</v>
      </c>
      <c r="Z404" s="358">
        <f>IFERROR(HLOOKUP($A404,BK1P,Z$3,0),)</f>
        <v>0</v>
      </c>
      <c r="AA404" s="358">
        <f>IFERROR(HLOOKUP($A404,BK1P,AA$3,0),)</f>
        <v>0</v>
      </c>
      <c r="AB404" s="358">
        <f>IFERROR(HLOOKUP($A404,BKHT,AB$3,0),)</f>
        <v>0</v>
      </c>
      <c r="AD404" s="332">
        <f t="shared" ref="AD404:AD411" si="338">IFERROR(VLOOKUP(B404,DONGIA,$AD$3,0),0)</f>
        <v>0</v>
      </c>
      <c r="AE404" s="329">
        <f t="shared" ref="AE404:AE411" si="339">U404*$AD404</f>
        <v>0</v>
      </c>
      <c r="AF404" s="329">
        <f t="shared" ref="AF404:AF411" si="340">V404*$AD404</f>
        <v>0</v>
      </c>
      <c r="AG404" s="329">
        <f t="shared" ref="AG404:AG411" si="341">W404*$AD404</f>
        <v>0</v>
      </c>
      <c r="AH404" s="329">
        <f t="shared" ref="AH404:AH411" si="342">X404*$AD404</f>
        <v>0</v>
      </c>
      <c r="AI404" s="329">
        <f t="shared" ref="AI404:AI411" si="343">Y404*$AD404</f>
        <v>0</v>
      </c>
      <c r="AJ404" s="329">
        <f t="shared" ref="AJ404:AJ411" si="344">Z404*$AD404</f>
        <v>0</v>
      </c>
      <c r="AK404" s="329">
        <f t="shared" ref="AK404:AK411" si="345">AA404*$AD404</f>
        <v>0</v>
      </c>
      <c r="AL404" s="329">
        <f t="shared" ref="AL404:AL411" si="346">AB404*$AD404</f>
        <v>0</v>
      </c>
    </row>
    <row r="405" spans="1:38" s="361" customFormat="1">
      <c r="A405" s="359"/>
      <c r="B405" s="359"/>
      <c r="C405" s="360">
        <f>C404</f>
        <v>0</v>
      </c>
      <c r="D405" s="350"/>
      <c r="E405" s="351" t="s">
        <v>1659</v>
      </c>
      <c r="F405" s="350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U405" s="351"/>
      <c r="V405" s="351"/>
      <c r="W405" s="351"/>
      <c r="X405" s="351"/>
      <c r="Y405" s="351"/>
      <c r="Z405" s="351"/>
      <c r="AA405" s="351"/>
      <c r="AB405" s="351"/>
      <c r="AD405" s="332">
        <f t="shared" si="338"/>
        <v>0</v>
      </c>
      <c r="AE405" s="329">
        <f t="shared" si="339"/>
        <v>0</v>
      </c>
      <c r="AF405" s="329">
        <f t="shared" si="340"/>
        <v>0</v>
      </c>
      <c r="AG405" s="329">
        <f t="shared" si="341"/>
        <v>0</v>
      </c>
      <c r="AH405" s="329">
        <f t="shared" si="342"/>
        <v>0</v>
      </c>
      <c r="AI405" s="329">
        <f t="shared" si="343"/>
        <v>0</v>
      </c>
      <c r="AJ405" s="329">
        <f t="shared" si="344"/>
        <v>0</v>
      </c>
      <c r="AK405" s="329">
        <f t="shared" si="345"/>
        <v>0</v>
      </c>
      <c r="AL405" s="329">
        <f t="shared" si="346"/>
        <v>0</v>
      </c>
    </row>
    <row r="406" spans="1:38" s="332" customFormat="1">
      <c r="A406" s="356"/>
      <c r="B406" s="356" t="s">
        <v>15</v>
      </c>
      <c r="C406" s="355">
        <f t="shared" ref="C406:C411" si="347">IF(G406&lt;&gt;0,$C$404,)</f>
        <v>0</v>
      </c>
      <c r="D406" s="341">
        <f>VLOOKUP(B406,DONGIA,DG!$B$6,0)</f>
        <v>0</v>
      </c>
      <c r="E406" s="340" t="str">
        <f>VLOOKUP(B406,DONGIA,DG!$C$6,0)</f>
        <v>Đà hộp composite 110x80x5-800</v>
      </c>
      <c r="F406" s="341" t="str">
        <f>VLOOKUP(B406,DONGIA,DG!$D$6,0)</f>
        <v>cái</v>
      </c>
      <c r="G406" s="329">
        <v>1</v>
      </c>
      <c r="H406" s="329">
        <f>VLOOKUP($B406,DONGIA,DG!$E$6,0)</f>
        <v>541200</v>
      </c>
      <c r="I406" s="329"/>
      <c r="J406" s="329"/>
      <c r="K406" s="329">
        <f>VLOOKUP($B406,DONGIA,DG!$F$6,0)</f>
        <v>0</v>
      </c>
      <c r="L406" s="329"/>
      <c r="M406" s="329">
        <f>VLOOKUP($B406,DONGIA,DG!$G$6,0)</f>
        <v>0</v>
      </c>
      <c r="N406" s="329">
        <f t="shared" ref="N406:N411" si="348">$G406*H406</f>
        <v>541200</v>
      </c>
      <c r="O406" s="329">
        <f t="shared" ref="O406:O411" si="349">$G406*I406</f>
        <v>0</v>
      </c>
      <c r="P406" s="329">
        <f t="shared" ref="P406:P411" si="350">$G406*J406</f>
        <v>0</v>
      </c>
      <c r="Q406" s="329">
        <f t="shared" ref="Q406:Q411" si="351">$G406*K406</f>
        <v>0</v>
      </c>
      <c r="R406" s="329">
        <f t="shared" ref="R406:R411" si="352">$G406*L406</f>
        <v>0</v>
      </c>
      <c r="S406" s="329">
        <f t="shared" ref="S406:S411" si="353">$G406*M406</f>
        <v>0</v>
      </c>
      <c r="U406" s="329">
        <f>U$395*$G406</f>
        <v>7</v>
      </c>
      <c r="V406" s="329">
        <f t="shared" ref="V406:AB406" si="354">V$395*$G406</f>
        <v>7</v>
      </c>
      <c r="W406" s="329">
        <f t="shared" si="354"/>
        <v>0</v>
      </c>
      <c r="X406" s="329">
        <f t="shared" si="354"/>
        <v>0</v>
      </c>
      <c r="Y406" s="329">
        <f t="shared" si="354"/>
        <v>0</v>
      </c>
      <c r="Z406" s="329">
        <f t="shared" si="354"/>
        <v>0</v>
      </c>
      <c r="AA406" s="329">
        <f t="shared" si="354"/>
        <v>0</v>
      </c>
      <c r="AB406" s="329">
        <f t="shared" si="354"/>
        <v>0</v>
      </c>
      <c r="AD406" s="332">
        <f t="shared" si="338"/>
        <v>3.2</v>
      </c>
      <c r="AE406" s="329">
        <f t="shared" si="339"/>
        <v>22.400000000000002</v>
      </c>
      <c r="AF406" s="329">
        <f t="shared" si="340"/>
        <v>22.400000000000002</v>
      </c>
      <c r="AG406" s="329">
        <f t="shared" si="341"/>
        <v>0</v>
      </c>
      <c r="AH406" s="329">
        <f t="shared" si="342"/>
        <v>0</v>
      </c>
      <c r="AI406" s="329">
        <f t="shared" si="343"/>
        <v>0</v>
      </c>
      <c r="AJ406" s="329">
        <f t="shared" si="344"/>
        <v>0</v>
      </c>
      <c r="AK406" s="329">
        <f t="shared" si="345"/>
        <v>0</v>
      </c>
      <c r="AL406" s="329">
        <f t="shared" si="346"/>
        <v>0</v>
      </c>
    </row>
    <row r="407" spans="1:38" s="332" customFormat="1">
      <c r="A407" s="356"/>
      <c r="B407" s="356" t="s">
        <v>17</v>
      </c>
      <c r="C407" s="355">
        <f t="shared" si="347"/>
        <v>0</v>
      </c>
      <c r="D407" s="341">
        <f>VLOOKUP(B407,DONGIA,DG!$B$6,0)</f>
        <v>0</v>
      </c>
      <c r="E407" s="340" t="str">
        <f>VLOOKUP(B407,DONGIA,DG!$C$6,0)</f>
        <v>Thanh chống 10x40x710</v>
      </c>
      <c r="F407" s="341" t="str">
        <f>VLOOKUP(B407,DONGIA,DG!$D$6,0)</f>
        <v>cái</v>
      </c>
      <c r="G407" s="329">
        <f>G406</f>
        <v>1</v>
      </c>
      <c r="H407" s="329">
        <f>VLOOKUP($B407,DONGIA,DG!$E$6,0)</f>
        <v>79800</v>
      </c>
      <c r="I407" s="329"/>
      <c r="J407" s="329"/>
      <c r="K407" s="329">
        <f>VLOOKUP($B407,DONGIA,DG!$F$6,0)</f>
        <v>0</v>
      </c>
      <c r="L407" s="329"/>
      <c r="M407" s="329">
        <f>VLOOKUP($B407,DONGIA,DG!$G$6,0)</f>
        <v>0</v>
      </c>
      <c r="N407" s="329">
        <f t="shared" si="348"/>
        <v>79800</v>
      </c>
      <c r="O407" s="329">
        <f t="shared" si="349"/>
        <v>0</v>
      </c>
      <c r="P407" s="329">
        <f t="shared" si="350"/>
        <v>0</v>
      </c>
      <c r="Q407" s="329">
        <f t="shared" si="351"/>
        <v>0</v>
      </c>
      <c r="R407" s="329">
        <f t="shared" si="352"/>
        <v>0</v>
      </c>
      <c r="S407" s="329">
        <f t="shared" si="353"/>
        <v>0</v>
      </c>
      <c r="U407" s="329">
        <f t="shared" ref="U407:AB411" si="355">U$395*$G407</f>
        <v>7</v>
      </c>
      <c r="V407" s="329">
        <f t="shared" si="355"/>
        <v>7</v>
      </c>
      <c r="W407" s="329">
        <f t="shared" si="355"/>
        <v>0</v>
      </c>
      <c r="X407" s="329">
        <f t="shared" si="355"/>
        <v>0</v>
      </c>
      <c r="Y407" s="329">
        <f t="shared" si="355"/>
        <v>0</v>
      </c>
      <c r="Z407" s="329">
        <f t="shared" si="355"/>
        <v>0</v>
      </c>
      <c r="AA407" s="329">
        <f t="shared" si="355"/>
        <v>0</v>
      </c>
      <c r="AB407" s="329">
        <f t="shared" si="355"/>
        <v>0</v>
      </c>
      <c r="AD407" s="332">
        <f t="shared" si="338"/>
        <v>0.5</v>
      </c>
      <c r="AE407" s="329">
        <f t="shared" si="339"/>
        <v>3.5</v>
      </c>
      <c r="AF407" s="329">
        <f t="shared" si="340"/>
        <v>3.5</v>
      </c>
      <c r="AG407" s="329">
        <f t="shared" si="341"/>
        <v>0</v>
      </c>
      <c r="AH407" s="329">
        <f t="shared" si="342"/>
        <v>0</v>
      </c>
      <c r="AI407" s="329">
        <f t="shared" si="343"/>
        <v>0</v>
      </c>
      <c r="AJ407" s="329">
        <f t="shared" si="344"/>
        <v>0</v>
      </c>
      <c r="AK407" s="329">
        <f t="shared" si="345"/>
        <v>0</v>
      </c>
      <c r="AL407" s="329">
        <f t="shared" si="346"/>
        <v>0</v>
      </c>
    </row>
    <row r="408" spans="1:38" s="332" customFormat="1">
      <c r="A408" s="356"/>
      <c r="B408" s="356" t="s">
        <v>137</v>
      </c>
      <c r="C408" s="355">
        <f t="shared" si="347"/>
        <v>0</v>
      </c>
      <c r="D408" s="341">
        <f>VLOOKUP(B408,DONGIA,DG!$B$6,0)</f>
        <v>0</v>
      </c>
      <c r="E408" s="340" t="str">
        <f>VLOOKUP(B408,DONGIA,DG!$C$6,0)</f>
        <v>Bass LI bắt FCO, LA</v>
      </c>
      <c r="F408" s="341" t="str">
        <f>VLOOKUP(B408,DONGIA,DG!$D$6,0)</f>
        <v>Bộ</v>
      </c>
      <c r="G408" s="329">
        <v>1</v>
      </c>
      <c r="H408" s="329">
        <f>VLOOKUP($B408,DONGIA,DG!$E$6,0)</f>
        <v>38000</v>
      </c>
      <c r="I408" s="329"/>
      <c r="J408" s="329"/>
      <c r="K408" s="329">
        <f>VLOOKUP($B408,DONGIA,DG!$F$6,0)</f>
        <v>0</v>
      </c>
      <c r="L408" s="329"/>
      <c r="M408" s="329">
        <f>VLOOKUP($B408,DONGIA,DG!$G$6,0)</f>
        <v>0</v>
      </c>
      <c r="N408" s="329">
        <f t="shared" si="348"/>
        <v>38000</v>
      </c>
      <c r="O408" s="329">
        <f t="shared" si="349"/>
        <v>0</v>
      </c>
      <c r="P408" s="329">
        <f t="shared" si="350"/>
        <v>0</v>
      </c>
      <c r="Q408" s="329">
        <f t="shared" si="351"/>
        <v>0</v>
      </c>
      <c r="R408" s="329">
        <f t="shared" si="352"/>
        <v>0</v>
      </c>
      <c r="S408" s="329">
        <f t="shared" si="353"/>
        <v>0</v>
      </c>
      <c r="U408" s="329">
        <f t="shared" si="355"/>
        <v>7</v>
      </c>
      <c r="V408" s="329">
        <f t="shared" si="355"/>
        <v>7</v>
      </c>
      <c r="W408" s="329">
        <f t="shared" si="355"/>
        <v>0</v>
      </c>
      <c r="X408" s="329">
        <f t="shared" si="355"/>
        <v>0</v>
      </c>
      <c r="Y408" s="329">
        <f t="shared" si="355"/>
        <v>0</v>
      </c>
      <c r="Z408" s="329">
        <f t="shared" si="355"/>
        <v>0</v>
      </c>
      <c r="AA408" s="329">
        <f t="shared" si="355"/>
        <v>0</v>
      </c>
      <c r="AB408" s="329">
        <f t="shared" si="355"/>
        <v>0</v>
      </c>
      <c r="AD408" s="332">
        <f t="shared" si="338"/>
        <v>0.4</v>
      </c>
      <c r="AE408" s="329">
        <f t="shared" si="339"/>
        <v>2.8000000000000003</v>
      </c>
      <c r="AF408" s="329">
        <f t="shared" si="340"/>
        <v>2.8000000000000003</v>
      </c>
      <c r="AG408" s="329">
        <f t="shared" si="341"/>
        <v>0</v>
      </c>
      <c r="AH408" s="329">
        <f t="shared" si="342"/>
        <v>0</v>
      </c>
      <c r="AI408" s="329">
        <f t="shared" si="343"/>
        <v>0</v>
      </c>
      <c r="AJ408" s="329">
        <f t="shared" si="344"/>
        <v>0</v>
      </c>
      <c r="AK408" s="329">
        <f t="shared" si="345"/>
        <v>0</v>
      </c>
      <c r="AL408" s="329">
        <f t="shared" si="346"/>
        <v>0</v>
      </c>
    </row>
    <row r="409" spans="1:38" s="332" customFormat="1">
      <c r="A409" s="356"/>
      <c r="B409" s="356" t="s">
        <v>3052</v>
      </c>
      <c r="C409" s="355">
        <f t="shared" si="347"/>
        <v>0</v>
      </c>
      <c r="D409" s="341">
        <f>VLOOKUP(B409,DONGIA,DG!$B$6,0)</f>
        <v>0</v>
      </c>
      <c r="E409" s="340" t="str">
        <f>VLOOKUP(B409,DONGIA,DG!$C$6,0)</f>
        <v>Boulon 16x450VRS + 4 long đền vuông D18-50x50x3/Zn</v>
      </c>
      <c r="F409" s="341" t="str">
        <f>VLOOKUP(B409,DONGIA,DG!$D$6,0)</f>
        <v>bộ</v>
      </c>
      <c r="G409" s="329">
        <v>2</v>
      </c>
      <c r="H409" s="329">
        <f>VLOOKUP($B409,DONGIA,DG!$E$6,0)</f>
        <v>47000</v>
      </c>
      <c r="I409" s="329"/>
      <c r="J409" s="329"/>
      <c r="K409" s="329">
        <f>VLOOKUP($B409,DONGIA,DG!$F$6,0)</f>
        <v>0</v>
      </c>
      <c r="L409" s="329"/>
      <c r="M409" s="329">
        <f>VLOOKUP($B409,DONGIA,DG!$G$6,0)</f>
        <v>0</v>
      </c>
      <c r="N409" s="329">
        <f t="shared" si="348"/>
        <v>94000</v>
      </c>
      <c r="O409" s="329">
        <f t="shared" si="349"/>
        <v>0</v>
      </c>
      <c r="P409" s="329">
        <f t="shared" si="350"/>
        <v>0</v>
      </c>
      <c r="Q409" s="329">
        <f t="shared" si="351"/>
        <v>0</v>
      </c>
      <c r="R409" s="329">
        <f t="shared" si="352"/>
        <v>0</v>
      </c>
      <c r="S409" s="329">
        <f t="shared" si="353"/>
        <v>0</v>
      </c>
      <c r="U409" s="329">
        <f t="shared" si="355"/>
        <v>14</v>
      </c>
      <c r="V409" s="329">
        <f t="shared" si="355"/>
        <v>14</v>
      </c>
      <c r="W409" s="329">
        <f t="shared" si="355"/>
        <v>0</v>
      </c>
      <c r="X409" s="329">
        <f t="shared" si="355"/>
        <v>0</v>
      </c>
      <c r="Y409" s="329">
        <f t="shared" si="355"/>
        <v>0</v>
      </c>
      <c r="Z409" s="329">
        <f t="shared" si="355"/>
        <v>0</v>
      </c>
      <c r="AA409" s="329">
        <f t="shared" si="355"/>
        <v>0</v>
      </c>
      <c r="AB409" s="329">
        <f t="shared" si="355"/>
        <v>0</v>
      </c>
      <c r="AD409" s="332">
        <f t="shared" si="338"/>
        <v>0.44999999999999996</v>
      </c>
      <c r="AE409" s="329">
        <f t="shared" si="339"/>
        <v>6.2999999999999989</v>
      </c>
      <c r="AF409" s="329">
        <f t="shared" si="340"/>
        <v>6.2999999999999989</v>
      </c>
      <c r="AG409" s="329">
        <f t="shared" si="341"/>
        <v>0</v>
      </c>
      <c r="AH409" s="329">
        <f t="shared" si="342"/>
        <v>0</v>
      </c>
      <c r="AI409" s="329">
        <f t="shared" si="343"/>
        <v>0</v>
      </c>
      <c r="AJ409" s="329">
        <f t="shared" si="344"/>
        <v>0</v>
      </c>
      <c r="AK409" s="329">
        <f t="shared" si="345"/>
        <v>0</v>
      </c>
      <c r="AL409" s="329">
        <f t="shared" si="346"/>
        <v>0</v>
      </c>
    </row>
    <row r="410" spans="1:38" s="332" customFormat="1">
      <c r="A410" s="356"/>
      <c r="B410" s="356" t="s">
        <v>3053</v>
      </c>
      <c r="C410" s="355">
        <f t="shared" si="347"/>
        <v>0</v>
      </c>
      <c r="D410" s="341">
        <f>VLOOKUP(B410,DONGIA,DG!$B$6,0)</f>
        <v>0</v>
      </c>
      <c r="E410" s="340" t="str">
        <f>VLOOKUP(B410,DONGIA,DG!$C$6,0)</f>
        <v>Boulon 14x150+ 2 long đền vuông D16-50x50x3/Zn</v>
      </c>
      <c r="F410" s="341" t="str">
        <f>VLOOKUP(B410,DONGIA,DG!$D$6,0)</f>
        <v>bộ</v>
      </c>
      <c r="G410" s="329">
        <v>1</v>
      </c>
      <c r="H410" s="329">
        <f>VLOOKUP($B410,DONGIA,DG!$E$6,0)</f>
        <v>19000</v>
      </c>
      <c r="I410" s="329"/>
      <c r="J410" s="329"/>
      <c r="K410" s="329">
        <f>VLOOKUP($B410,DONGIA,DG!$F$6,0)</f>
        <v>0</v>
      </c>
      <c r="L410" s="329"/>
      <c r="M410" s="329">
        <f>VLOOKUP($B410,DONGIA,DG!$G$6,0)</f>
        <v>0</v>
      </c>
      <c r="N410" s="329">
        <f t="shared" si="348"/>
        <v>19000</v>
      </c>
      <c r="O410" s="329">
        <f t="shared" si="349"/>
        <v>0</v>
      </c>
      <c r="P410" s="329">
        <f t="shared" si="350"/>
        <v>0</v>
      </c>
      <c r="Q410" s="329">
        <f t="shared" si="351"/>
        <v>0</v>
      </c>
      <c r="R410" s="329">
        <f t="shared" si="352"/>
        <v>0</v>
      </c>
      <c r="S410" s="329">
        <f t="shared" si="353"/>
        <v>0</v>
      </c>
      <c r="U410" s="329">
        <f t="shared" si="355"/>
        <v>7</v>
      </c>
      <c r="V410" s="329">
        <f t="shared" si="355"/>
        <v>7</v>
      </c>
      <c r="W410" s="329">
        <f t="shared" si="355"/>
        <v>0</v>
      </c>
      <c r="X410" s="329">
        <f t="shared" si="355"/>
        <v>0</v>
      </c>
      <c r="Y410" s="329">
        <f t="shared" si="355"/>
        <v>0</v>
      </c>
      <c r="Z410" s="329">
        <f t="shared" si="355"/>
        <v>0</v>
      </c>
      <c r="AA410" s="329">
        <f t="shared" si="355"/>
        <v>0</v>
      </c>
      <c r="AB410" s="329">
        <f t="shared" si="355"/>
        <v>0</v>
      </c>
      <c r="AD410" s="332">
        <f t="shared" si="338"/>
        <v>0.2</v>
      </c>
      <c r="AE410" s="329">
        <f t="shared" si="339"/>
        <v>1.4000000000000001</v>
      </c>
      <c r="AF410" s="329">
        <f t="shared" si="340"/>
        <v>1.4000000000000001</v>
      </c>
      <c r="AG410" s="329">
        <f t="shared" si="341"/>
        <v>0</v>
      </c>
      <c r="AH410" s="329">
        <f t="shared" si="342"/>
        <v>0</v>
      </c>
      <c r="AI410" s="329">
        <f t="shared" si="343"/>
        <v>0</v>
      </c>
      <c r="AJ410" s="329">
        <f t="shared" si="344"/>
        <v>0</v>
      </c>
      <c r="AK410" s="329">
        <f t="shared" si="345"/>
        <v>0</v>
      </c>
      <c r="AL410" s="329">
        <f t="shared" si="346"/>
        <v>0</v>
      </c>
    </row>
    <row r="411" spans="1:38" s="332" customFormat="1">
      <c r="A411" s="356"/>
      <c r="B411" s="356" t="s">
        <v>617</v>
      </c>
      <c r="C411" s="355">
        <f t="shared" si="347"/>
        <v>0</v>
      </c>
      <c r="D411" s="341" t="str">
        <f>VLOOKUP(B411,DONGIA,DG!$B$6,0)</f>
        <v>D2.6011</v>
      </c>
      <c r="E411" s="340" t="str">
        <f>VLOOKUP(B411,DONGIA,DG!$C$6,0)</f>
        <v>Lắp đà composite 800mm đơn (KL &lt;=15kg, trụ BTLT, tính = 0.8 đà sắt)</v>
      </c>
      <c r="F411" s="341" t="str">
        <f>VLOOKUP(B411,DONGIA,DG!$D$6,0)</f>
        <v>bộ</v>
      </c>
      <c r="G411" s="329">
        <v>1</v>
      </c>
      <c r="H411" s="329"/>
      <c r="I411" s="329"/>
      <c r="J411" s="329"/>
      <c r="K411" s="329">
        <f>VLOOKUP($B411,DONGIA,DG!$F$6,0)</f>
        <v>134360</v>
      </c>
      <c r="L411" s="329"/>
      <c r="M411" s="329">
        <f>VLOOKUP($B411,DONGIA,DG!$G$6,0)</f>
        <v>0</v>
      </c>
      <c r="N411" s="329">
        <f t="shared" si="348"/>
        <v>0</v>
      </c>
      <c r="O411" s="329">
        <f t="shared" si="349"/>
        <v>0</v>
      </c>
      <c r="P411" s="329">
        <f t="shared" si="350"/>
        <v>0</v>
      </c>
      <c r="Q411" s="329">
        <f t="shared" si="351"/>
        <v>134360</v>
      </c>
      <c r="R411" s="329">
        <f t="shared" si="352"/>
        <v>0</v>
      </c>
      <c r="S411" s="329">
        <f t="shared" si="353"/>
        <v>0</v>
      </c>
      <c r="U411" s="329">
        <f t="shared" si="355"/>
        <v>7</v>
      </c>
      <c r="V411" s="329">
        <f t="shared" si="355"/>
        <v>7</v>
      </c>
      <c r="W411" s="329">
        <f t="shared" si="355"/>
        <v>0</v>
      </c>
      <c r="X411" s="329">
        <f t="shared" si="355"/>
        <v>0</v>
      </c>
      <c r="Y411" s="329">
        <f t="shared" si="355"/>
        <v>0</v>
      </c>
      <c r="Z411" s="329">
        <f t="shared" si="355"/>
        <v>0</v>
      </c>
      <c r="AA411" s="329">
        <f t="shared" si="355"/>
        <v>0</v>
      </c>
      <c r="AB411" s="329">
        <f t="shared" si="355"/>
        <v>0</v>
      </c>
      <c r="AD411" s="332">
        <f t="shared" si="338"/>
        <v>0</v>
      </c>
      <c r="AE411" s="329">
        <f t="shared" si="339"/>
        <v>0</v>
      </c>
      <c r="AF411" s="329">
        <f t="shared" si="340"/>
        <v>0</v>
      </c>
      <c r="AG411" s="329">
        <f t="shared" si="341"/>
        <v>0</v>
      </c>
      <c r="AH411" s="329">
        <f t="shared" si="342"/>
        <v>0</v>
      </c>
      <c r="AI411" s="329">
        <f t="shared" si="343"/>
        <v>0</v>
      </c>
      <c r="AJ411" s="329">
        <f t="shared" si="344"/>
        <v>0</v>
      </c>
      <c r="AK411" s="329">
        <f t="shared" si="345"/>
        <v>0</v>
      </c>
      <c r="AL411" s="329">
        <f t="shared" si="346"/>
        <v>0</v>
      </c>
    </row>
    <row r="412" spans="1:38">
      <c r="A412" s="618" t="s">
        <v>1678</v>
      </c>
      <c r="B412" s="618"/>
      <c r="C412" s="619">
        <f>IF(G412&lt;&gt;0,1,)</f>
        <v>1</v>
      </c>
      <c r="D412" s="622"/>
      <c r="E412" s="733" t="s">
        <v>1679</v>
      </c>
      <c r="F412" s="622" t="s">
        <v>138</v>
      </c>
      <c r="G412" s="622">
        <f>U412</f>
        <v>4</v>
      </c>
      <c r="H412" s="623"/>
      <c r="I412" s="623"/>
      <c r="J412" s="623"/>
      <c r="K412" s="623"/>
      <c r="L412" s="623"/>
      <c r="M412" s="623"/>
      <c r="N412" s="623">
        <f t="shared" ref="N412:S412" si="356">SUM(N414:N420)</f>
        <v>1242400</v>
      </c>
      <c r="O412" s="623">
        <f t="shared" si="356"/>
        <v>0</v>
      </c>
      <c r="P412" s="623">
        <f t="shared" si="356"/>
        <v>0</v>
      </c>
      <c r="Q412" s="623">
        <f t="shared" si="356"/>
        <v>134360</v>
      </c>
      <c r="R412" s="623">
        <f t="shared" si="356"/>
        <v>0</v>
      </c>
      <c r="S412" s="623">
        <f t="shared" si="356"/>
        <v>0</v>
      </c>
      <c r="U412" s="623">
        <f>SUM(V412:AB412)</f>
        <v>4</v>
      </c>
      <c r="V412" s="623">
        <f>IFERROR(HLOOKUP($A412,BK3P,V$3,0),)</f>
        <v>4</v>
      </c>
      <c r="W412" s="623">
        <f>IFERROR(HLOOKUP($A412,BK3P,W$3,0),)</f>
        <v>0</v>
      </c>
      <c r="X412" s="623">
        <f>IFERROR(HLOOKUP($A412,BK3P,X$3,0),)</f>
        <v>0</v>
      </c>
      <c r="Y412" s="623">
        <f>IFERROR(HLOOKUP($A412,BK1P,Y$3,0),)</f>
        <v>0</v>
      </c>
      <c r="Z412" s="623">
        <f>IFERROR(HLOOKUP($A412,BK1P,Z$3,0),)</f>
        <v>0</v>
      </c>
      <c r="AA412" s="623">
        <f>IFERROR(HLOOKUP($A412,BK1P,AA$3,0),)</f>
        <v>0</v>
      </c>
      <c r="AB412" s="623">
        <f>IFERROR(HLOOKUP($A412,BKHT,AB$3,0),)</f>
        <v>0</v>
      </c>
      <c r="AD412" s="405">
        <f t="shared" si="326"/>
        <v>0</v>
      </c>
      <c r="AE412" s="525">
        <f t="shared" si="327"/>
        <v>0</v>
      </c>
      <c r="AF412" s="525">
        <f t="shared" si="328"/>
        <v>0</v>
      </c>
      <c r="AG412" s="525">
        <f t="shared" si="328"/>
        <v>0</v>
      </c>
      <c r="AH412" s="525">
        <f t="shared" si="328"/>
        <v>0</v>
      </c>
      <c r="AI412" s="525">
        <f t="shared" si="329"/>
        <v>0</v>
      </c>
      <c r="AJ412" s="525">
        <f t="shared" si="329"/>
        <v>0</v>
      </c>
      <c r="AK412" s="525">
        <f t="shared" si="329"/>
        <v>0</v>
      </c>
      <c r="AL412" s="525">
        <f t="shared" si="330"/>
        <v>0</v>
      </c>
    </row>
    <row r="413" spans="1:38" s="542" customFormat="1">
      <c r="A413" s="624"/>
      <c r="B413" s="624"/>
      <c r="C413" s="625">
        <f>C412</f>
        <v>1</v>
      </c>
      <c r="D413" s="544"/>
      <c r="E413" s="734" t="s">
        <v>1659</v>
      </c>
      <c r="F413" s="544"/>
      <c r="G413" s="545"/>
      <c r="H413" s="545"/>
      <c r="I413" s="545"/>
      <c r="J413" s="545"/>
      <c r="K413" s="545"/>
      <c r="L413" s="545"/>
      <c r="M413" s="545"/>
      <c r="N413" s="545"/>
      <c r="O413" s="545"/>
      <c r="P413" s="545"/>
      <c r="Q413" s="545"/>
      <c r="R413" s="545"/>
      <c r="S413" s="545"/>
      <c r="U413" s="545"/>
      <c r="V413" s="545"/>
      <c r="W413" s="545"/>
      <c r="X413" s="545"/>
      <c r="Y413" s="545"/>
      <c r="Z413" s="545"/>
      <c r="AA413" s="545"/>
      <c r="AB413" s="545"/>
      <c r="AD413" s="405">
        <f t="shared" si="326"/>
        <v>0</v>
      </c>
      <c r="AE413" s="525">
        <f t="shared" si="327"/>
        <v>0</v>
      </c>
      <c r="AF413" s="525">
        <f t="shared" si="328"/>
        <v>0</v>
      </c>
      <c r="AG413" s="525">
        <f t="shared" si="328"/>
        <v>0</v>
      </c>
      <c r="AH413" s="525">
        <f t="shared" si="328"/>
        <v>0</v>
      </c>
      <c r="AI413" s="525">
        <f t="shared" si="329"/>
        <v>0</v>
      </c>
      <c r="AJ413" s="525">
        <f t="shared" si="329"/>
        <v>0</v>
      </c>
      <c r="AK413" s="525">
        <f t="shared" si="329"/>
        <v>0</v>
      </c>
      <c r="AL413" s="525">
        <f t="shared" si="330"/>
        <v>0</v>
      </c>
    </row>
    <row r="414" spans="1:38">
      <c r="A414" s="618"/>
      <c r="B414" s="618" t="s">
        <v>18</v>
      </c>
      <c r="C414" s="619">
        <f>IF(G414&lt;&gt;0,$C$412,)</f>
        <v>1</v>
      </c>
      <c r="D414" s="523">
        <f>VLOOKUP(B414,DONGIA,DG!$B$6,0)</f>
        <v>0</v>
      </c>
      <c r="E414" s="666" t="str">
        <f>VLOOKUP(B414,DONGIA,DG!$C$6,0)</f>
        <v>Đà hộp composite 110x80x5-2400</v>
      </c>
      <c r="F414" s="523" t="str">
        <f>VLOOKUP(B414,DONGIA,DG!$D$6,0)</f>
        <v>cái</v>
      </c>
      <c r="G414" s="525">
        <v>1</v>
      </c>
      <c r="H414" s="525">
        <f>VLOOKUP($B414,DONGIA,DG!$E$6,0)</f>
        <v>812200</v>
      </c>
      <c r="I414" s="525"/>
      <c r="J414" s="525"/>
      <c r="K414" s="525">
        <f>VLOOKUP($B414,DONGIA,DG!$F$6,0)</f>
        <v>0</v>
      </c>
      <c r="L414" s="525"/>
      <c r="M414" s="525">
        <f>VLOOKUP($B414,DONGIA,DG!$G$6,0)</f>
        <v>0</v>
      </c>
      <c r="N414" s="525">
        <f>$G414*H414</f>
        <v>812200</v>
      </c>
      <c r="O414" s="525">
        <f t="shared" ref="O414:S420" si="357">$G414*I414</f>
        <v>0</v>
      </c>
      <c r="P414" s="525">
        <f t="shared" si="357"/>
        <v>0</v>
      </c>
      <c r="Q414" s="525">
        <f t="shared" si="357"/>
        <v>0</v>
      </c>
      <c r="R414" s="525">
        <f t="shared" si="357"/>
        <v>0</v>
      </c>
      <c r="S414" s="525">
        <f t="shared" si="357"/>
        <v>0</v>
      </c>
      <c r="U414" s="525">
        <f>U$412*$G414</f>
        <v>4</v>
      </c>
      <c r="V414" s="525">
        <f t="shared" ref="V414:AB414" si="358">V$412*$G414</f>
        <v>4</v>
      </c>
      <c r="W414" s="525">
        <f t="shared" si="358"/>
        <v>0</v>
      </c>
      <c r="X414" s="525">
        <f t="shared" si="358"/>
        <v>0</v>
      </c>
      <c r="Y414" s="525">
        <f t="shared" si="358"/>
        <v>0</v>
      </c>
      <c r="Z414" s="525">
        <f t="shared" si="358"/>
        <v>0</v>
      </c>
      <c r="AA414" s="525">
        <f t="shared" si="358"/>
        <v>0</v>
      </c>
      <c r="AB414" s="525">
        <f t="shared" si="358"/>
        <v>0</v>
      </c>
      <c r="AD414" s="405">
        <f t="shared" si="326"/>
        <v>9.6</v>
      </c>
      <c r="AE414" s="525">
        <f t="shared" si="327"/>
        <v>38.4</v>
      </c>
      <c r="AF414" s="525">
        <f t="shared" si="328"/>
        <v>38.4</v>
      </c>
      <c r="AG414" s="525">
        <f t="shared" si="328"/>
        <v>0</v>
      </c>
      <c r="AH414" s="525">
        <f t="shared" si="328"/>
        <v>0</v>
      </c>
      <c r="AI414" s="525">
        <f t="shared" si="329"/>
        <v>0</v>
      </c>
      <c r="AJ414" s="525">
        <f t="shared" si="329"/>
        <v>0</v>
      </c>
      <c r="AK414" s="525">
        <f t="shared" si="329"/>
        <v>0</v>
      </c>
      <c r="AL414" s="525">
        <f t="shared" si="330"/>
        <v>0</v>
      </c>
    </row>
    <row r="415" spans="1:38">
      <c r="A415" s="618"/>
      <c r="B415" s="618" t="s">
        <v>20</v>
      </c>
      <c r="C415" s="619">
        <f t="shared" ref="C415:C420" si="359">IF(G415&lt;&gt;0,$C$412,)</f>
        <v>1</v>
      </c>
      <c r="D415" s="523">
        <f>VLOOKUP(B415,DONGIA,DG!$B$6,0)</f>
        <v>0</v>
      </c>
      <c r="E415" s="666" t="str">
        <f>VLOOKUP(B415,DONGIA,DG!$C$6,0)</f>
        <v>Thanh chống Composite dẹp 10x40x920</v>
      </c>
      <c r="F415" s="523" t="str">
        <f>VLOOKUP(B415,DONGIA,DG!$D$6,0)</f>
        <v>cái</v>
      </c>
      <c r="G415" s="525">
        <v>2</v>
      </c>
      <c r="H415" s="525">
        <f>VLOOKUP($B415,DONGIA,DG!$E$6,0)</f>
        <v>108100</v>
      </c>
      <c r="I415" s="525"/>
      <c r="J415" s="525"/>
      <c r="K415" s="525">
        <f>VLOOKUP($B415,DONGIA,DG!$F$6,0)</f>
        <v>0</v>
      </c>
      <c r="L415" s="525"/>
      <c r="M415" s="525">
        <f>VLOOKUP($B415,DONGIA,DG!$G$6,0)</f>
        <v>0</v>
      </c>
      <c r="N415" s="525">
        <f t="shared" ref="N415:N420" si="360">$G415*H415</f>
        <v>216200</v>
      </c>
      <c r="O415" s="525">
        <f t="shared" si="357"/>
        <v>0</v>
      </c>
      <c r="P415" s="525">
        <f t="shared" si="357"/>
        <v>0</v>
      </c>
      <c r="Q415" s="525">
        <f t="shared" si="357"/>
        <v>0</v>
      </c>
      <c r="R415" s="525">
        <f t="shared" si="357"/>
        <v>0</v>
      </c>
      <c r="S415" s="525">
        <f t="shared" si="357"/>
        <v>0</v>
      </c>
      <c r="U415" s="525">
        <f t="shared" ref="U415:AB420" si="361">U$412*$G415</f>
        <v>8</v>
      </c>
      <c r="V415" s="525">
        <f t="shared" si="361"/>
        <v>8</v>
      </c>
      <c r="W415" s="525">
        <f t="shared" si="361"/>
        <v>0</v>
      </c>
      <c r="X415" s="525">
        <f t="shared" si="361"/>
        <v>0</v>
      </c>
      <c r="Y415" s="525">
        <f t="shared" si="361"/>
        <v>0</v>
      </c>
      <c r="Z415" s="525">
        <f t="shared" si="361"/>
        <v>0</v>
      </c>
      <c r="AA415" s="525">
        <f t="shared" si="361"/>
        <v>0</v>
      </c>
      <c r="AB415" s="525">
        <f t="shared" si="361"/>
        <v>0</v>
      </c>
      <c r="AD415" s="405">
        <f t="shared" si="326"/>
        <v>0.7</v>
      </c>
      <c r="AE415" s="525">
        <f t="shared" si="327"/>
        <v>5.6</v>
      </c>
      <c r="AF415" s="525">
        <f t="shared" si="328"/>
        <v>5.6</v>
      </c>
      <c r="AG415" s="525">
        <f t="shared" si="328"/>
        <v>0</v>
      </c>
      <c r="AH415" s="525">
        <f t="shared" si="328"/>
        <v>0</v>
      </c>
      <c r="AI415" s="525">
        <f t="shared" si="329"/>
        <v>0</v>
      </c>
      <c r="AJ415" s="525">
        <f t="shared" si="329"/>
        <v>0</v>
      </c>
      <c r="AK415" s="525">
        <f t="shared" si="329"/>
        <v>0</v>
      </c>
      <c r="AL415" s="525">
        <f t="shared" si="330"/>
        <v>0</v>
      </c>
    </row>
    <row r="416" spans="1:38">
      <c r="A416" s="618"/>
      <c r="B416" s="618" t="s">
        <v>137</v>
      </c>
      <c r="C416" s="619">
        <f t="shared" si="359"/>
        <v>1</v>
      </c>
      <c r="D416" s="523">
        <f>VLOOKUP(B416,DONGIA,DG!$B$6,0)</f>
        <v>0</v>
      </c>
      <c r="E416" s="666" t="str">
        <f>VLOOKUP(B416,DONGIA,DG!$C$6,0)</f>
        <v>Bass LI bắt FCO, LA</v>
      </c>
      <c r="F416" s="523" t="str">
        <f>VLOOKUP(B416,DONGIA,DG!$D$6,0)</f>
        <v>Bộ</v>
      </c>
      <c r="G416" s="525">
        <v>3</v>
      </c>
      <c r="H416" s="525">
        <f>VLOOKUP($B416,DONGIA,DG!$E$6,0)</f>
        <v>38000</v>
      </c>
      <c r="I416" s="525"/>
      <c r="J416" s="525"/>
      <c r="K416" s="525">
        <f>VLOOKUP($B416,DONGIA,DG!$F$6,0)</f>
        <v>0</v>
      </c>
      <c r="L416" s="525"/>
      <c r="M416" s="525">
        <f>VLOOKUP($B416,DONGIA,DG!$G$6,0)</f>
        <v>0</v>
      </c>
      <c r="N416" s="525">
        <f t="shared" si="360"/>
        <v>114000</v>
      </c>
      <c r="O416" s="525">
        <f t="shared" si="357"/>
        <v>0</v>
      </c>
      <c r="P416" s="525">
        <f t="shared" si="357"/>
        <v>0</v>
      </c>
      <c r="Q416" s="525">
        <f t="shared" si="357"/>
        <v>0</v>
      </c>
      <c r="R416" s="525">
        <f t="shared" si="357"/>
        <v>0</v>
      </c>
      <c r="S416" s="525">
        <f t="shared" si="357"/>
        <v>0</v>
      </c>
      <c r="U416" s="525">
        <f t="shared" si="361"/>
        <v>12</v>
      </c>
      <c r="V416" s="525">
        <f t="shared" si="361"/>
        <v>12</v>
      </c>
      <c r="W416" s="525">
        <f t="shared" si="361"/>
        <v>0</v>
      </c>
      <c r="X416" s="525">
        <f t="shared" si="361"/>
        <v>0</v>
      </c>
      <c r="Y416" s="525">
        <f t="shared" si="361"/>
        <v>0</v>
      </c>
      <c r="Z416" s="525">
        <f t="shared" si="361"/>
        <v>0</v>
      </c>
      <c r="AA416" s="525">
        <f t="shared" si="361"/>
        <v>0</v>
      </c>
      <c r="AB416" s="525">
        <f t="shared" si="361"/>
        <v>0</v>
      </c>
      <c r="AD416" s="405">
        <f t="shared" si="326"/>
        <v>0.4</v>
      </c>
      <c r="AE416" s="525">
        <f t="shared" si="327"/>
        <v>4.8000000000000007</v>
      </c>
      <c r="AF416" s="525">
        <f t="shared" si="328"/>
        <v>4.8000000000000007</v>
      </c>
      <c r="AG416" s="525">
        <f t="shared" si="328"/>
        <v>0</v>
      </c>
      <c r="AH416" s="525">
        <f t="shared" si="328"/>
        <v>0</v>
      </c>
      <c r="AI416" s="525">
        <f t="shared" si="329"/>
        <v>0</v>
      </c>
      <c r="AJ416" s="525">
        <f t="shared" si="329"/>
        <v>0</v>
      </c>
      <c r="AK416" s="525">
        <f t="shared" si="329"/>
        <v>0</v>
      </c>
      <c r="AL416" s="525">
        <f t="shared" si="330"/>
        <v>0</v>
      </c>
    </row>
    <row r="417" spans="1:38">
      <c r="A417" s="618"/>
      <c r="B417" s="618" t="s">
        <v>1677</v>
      </c>
      <c r="C417" s="619">
        <f t="shared" si="359"/>
        <v>1</v>
      </c>
      <c r="D417" s="523">
        <f>VLOOKUP(B417,DONGIA,DG!$B$6,0)</f>
        <v>0</v>
      </c>
      <c r="E417" s="666" t="str">
        <f>VLOOKUP(B417,DONGIA,DG!$C$6,0)</f>
        <v>Boulon 16x350+ 2 long đền vuông D18-50x50x3/Zn</v>
      </c>
      <c r="F417" s="523" t="str">
        <f>VLOOKUP(B417,DONGIA,DG!$D$6,0)</f>
        <v>bộ</v>
      </c>
      <c r="G417" s="525">
        <v>1</v>
      </c>
      <c r="H417" s="525">
        <f>VLOOKUP($B417,DONGIA,DG!$E$6,0)</f>
        <v>32000</v>
      </c>
      <c r="I417" s="525"/>
      <c r="J417" s="525"/>
      <c r="K417" s="525">
        <f>VLOOKUP($B417,DONGIA,DG!$F$6,0)</f>
        <v>0</v>
      </c>
      <c r="L417" s="525"/>
      <c r="M417" s="525">
        <f>VLOOKUP($B417,DONGIA,DG!$G$6,0)</f>
        <v>0</v>
      </c>
      <c r="N417" s="525">
        <f t="shared" si="360"/>
        <v>32000</v>
      </c>
      <c r="O417" s="525">
        <f t="shared" si="357"/>
        <v>0</v>
      </c>
      <c r="P417" s="525">
        <f t="shared" si="357"/>
        <v>0</v>
      </c>
      <c r="Q417" s="525">
        <f t="shared" si="357"/>
        <v>0</v>
      </c>
      <c r="R417" s="525">
        <f t="shared" si="357"/>
        <v>0</v>
      </c>
      <c r="S417" s="525">
        <f t="shared" si="357"/>
        <v>0</v>
      </c>
      <c r="U417" s="525">
        <f t="shared" si="361"/>
        <v>4</v>
      </c>
      <c r="V417" s="525">
        <f t="shared" si="361"/>
        <v>4</v>
      </c>
      <c r="W417" s="525">
        <f t="shared" si="361"/>
        <v>0</v>
      </c>
      <c r="X417" s="525">
        <f t="shared" si="361"/>
        <v>0</v>
      </c>
      <c r="Y417" s="525">
        <f t="shared" si="361"/>
        <v>0</v>
      </c>
      <c r="Z417" s="525">
        <f t="shared" si="361"/>
        <v>0</v>
      </c>
      <c r="AA417" s="525">
        <f t="shared" si="361"/>
        <v>0</v>
      </c>
      <c r="AB417" s="525">
        <f t="shared" si="361"/>
        <v>0</v>
      </c>
      <c r="AD417" s="405">
        <f t="shared" si="326"/>
        <v>0.3</v>
      </c>
      <c r="AE417" s="525">
        <f t="shared" si="327"/>
        <v>1.2</v>
      </c>
      <c r="AF417" s="525">
        <f t="shared" si="328"/>
        <v>1.2</v>
      </c>
      <c r="AG417" s="525">
        <f t="shared" si="328"/>
        <v>0</v>
      </c>
      <c r="AH417" s="525">
        <f t="shared" si="328"/>
        <v>0</v>
      </c>
      <c r="AI417" s="525">
        <f t="shared" si="329"/>
        <v>0</v>
      </c>
      <c r="AJ417" s="525">
        <f t="shared" si="329"/>
        <v>0</v>
      </c>
      <c r="AK417" s="525">
        <f t="shared" si="329"/>
        <v>0</v>
      </c>
      <c r="AL417" s="525">
        <f t="shared" si="330"/>
        <v>0</v>
      </c>
    </row>
    <row r="418" spans="1:38">
      <c r="A418" s="618"/>
      <c r="B418" s="618" t="s">
        <v>35</v>
      </c>
      <c r="C418" s="619">
        <f t="shared" si="359"/>
        <v>1</v>
      </c>
      <c r="D418" s="523">
        <f>VLOOKUP(B418,DONGIA,DG!$B$6,0)</f>
        <v>0</v>
      </c>
      <c r="E418" s="666" t="str">
        <f>VLOOKUP(B418,DONGIA,DG!$C$6,0)</f>
        <v>Boulon 16x300+ 2 long đền vuông D18-50x50x3/Zn</v>
      </c>
      <c r="F418" s="523" t="str">
        <f>VLOOKUP(B418,DONGIA,DG!$D$6,0)</f>
        <v>bộ</v>
      </c>
      <c r="G418" s="525">
        <v>1</v>
      </c>
      <c r="H418" s="525">
        <f>VLOOKUP($B418,DONGIA,DG!$E$6,0)</f>
        <v>30000</v>
      </c>
      <c r="I418" s="525"/>
      <c r="J418" s="525"/>
      <c r="K418" s="525">
        <f>VLOOKUP($B418,DONGIA,DG!$F$6,0)</f>
        <v>0</v>
      </c>
      <c r="L418" s="525"/>
      <c r="M418" s="525">
        <f>VLOOKUP($B418,DONGIA,DG!$G$6,0)</f>
        <v>0</v>
      </c>
      <c r="N418" s="525">
        <f t="shared" si="360"/>
        <v>30000</v>
      </c>
      <c r="O418" s="525">
        <f t="shared" si="357"/>
        <v>0</v>
      </c>
      <c r="P418" s="525">
        <f t="shared" si="357"/>
        <v>0</v>
      </c>
      <c r="Q418" s="525">
        <f t="shared" si="357"/>
        <v>0</v>
      </c>
      <c r="R418" s="525">
        <f t="shared" si="357"/>
        <v>0</v>
      </c>
      <c r="S418" s="525">
        <f t="shared" si="357"/>
        <v>0</v>
      </c>
      <c r="U418" s="525">
        <f t="shared" si="361"/>
        <v>4</v>
      </c>
      <c r="V418" s="525">
        <f t="shared" si="361"/>
        <v>4</v>
      </c>
      <c r="W418" s="525">
        <f t="shared" si="361"/>
        <v>0</v>
      </c>
      <c r="X418" s="525">
        <f t="shared" si="361"/>
        <v>0</v>
      </c>
      <c r="Y418" s="525">
        <f t="shared" si="361"/>
        <v>0</v>
      </c>
      <c r="Z418" s="525">
        <f t="shared" si="361"/>
        <v>0</v>
      </c>
      <c r="AA418" s="525">
        <f t="shared" si="361"/>
        <v>0</v>
      </c>
      <c r="AB418" s="525">
        <f t="shared" si="361"/>
        <v>0</v>
      </c>
      <c r="AD418" s="405">
        <f t="shared" si="326"/>
        <v>0.25</v>
      </c>
      <c r="AE418" s="525">
        <f t="shared" si="327"/>
        <v>1</v>
      </c>
      <c r="AF418" s="525">
        <f t="shared" si="328"/>
        <v>1</v>
      </c>
      <c r="AG418" s="525">
        <f t="shared" si="328"/>
        <v>0</v>
      </c>
      <c r="AH418" s="525">
        <f t="shared" si="328"/>
        <v>0</v>
      </c>
      <c r="AI418" s="525">
        <f t="shared" si="329"/>
        <v>0</v>
      </c>
      <c r="AJ418" s="525">
        <f t="shared" si="329"/>
        <v>0</v>
      </c>
      <c r="AK418" s="525">
        <f t="shared" si="329"/>
        <v>0</v>
      </c>
      <c r="AL418" s="525">
        <f t="shared" si="330"/>
        <v>0</v>
      </c>
    </row>
    <row r="419" spans="1:38">
      <c r="A419" s="618"/>
      <c r="B419" s="618" t="s">
        <v>3053</v>
      </c>
      <c r="C419" s="619">
        <f t="shared" si="359"/>
        <v>1</v>
      </c>
      <c r="D419" s="523">
        <f>VLOOKUP(B419,DONGIA,DG!$B$6,0)</f>
        <v>0</v>
      </c>
      <c r="E419" s="666" t="str">
        <f>VLOOKUP(B419,DONGIA,DG!$C$6,0)</f>
        <v>Boulon 14x150+ 2 long đền vuông D16-50x50x3/Zn</v>
      </c>
      <c r="F419" s="523" t="str">
        <f>VLOOKUP(B419,DONGIA,DG!$D$6,0)</f>
        <v>bộ</v>
      </c>
      <c r="G419" s="525">
        <v>2</v>
      </c>
      <c r="H419" s="525">
        <f>VLOOKUP($B419,DONGIA,DG!$E$6,0)</f>
        <v>19000</v>
      </c>
      <c r="I419" s="525"/>
      <c r="J419" s="525"/>
      <c r="K419" s="525">
        <f>VLOOKUP($B419,DONGIA,DG!$F$6,0)</f>
        <v>0</v>
      </c>
      <c r="L419" s="525"/>
      <c r="M419" s="525">
        <f>VLOOKUP($B419,DONGIA,DG!$G$6,0)</f>
        <v>0</v>
      </c>
      <c r="N419" s="525">
        <f t="shared" si="360"/>
        <v>38000</v>
      </c>
      <c r="O419" s="525">
        <f t="shared" si="357"/>
        <v>0</v>
      </c>
      <c r="P419" s="525">
        <f t="shared" si="357"/>
        <v>0</v>
      </c>
      <c r="Q419" s="525">
        <f t="shared" si="357"/>
        <v>0</v>
      </c>
      <c r="R419" s="525">
        <f t="shared" si="357"/>
        <v>0</v>
      </c>
      <c r="S419" s="525">
        <f t="shared" si="357"/>
        <v>0</v>
      </c>
      <c r="U419" s="525">
        <f t="shared" si="361"/>
        <v>8</v>
      </c>
      <c r="V419" s="525">
        <f t="shared" si="361"/>
        <v>8</v>
      </c>
      <c r="W419" s="525">
        <f t="shared" si="361"/>
        <v>0</v>
      </c>
      <c r="X419" s="525">
        <f t="shared" si="361"/>
        <v>0</v>
      </c>
      <c r="Y419" s="525">
        <f t="shared" si="361"/>
        <v>0</v>
      </c>
      <c r="Z419" s="525">
        <f t="shared" si="361"/>
        <v>0</v>
      </c>
      <c r="AA419" s="525">
        <f t="shared" si="361"/>
        <v>0</v>
      </c>
      <c r="AB419" s="525">
        <f t="shared" si="361"/>
        <v>0</v>
      </c>
      <c r="AD419" s="405">
        <f t="shared" si="326"/>
        <v>0.2</v>
      </c>
      <c r="AE419" s="525">
        <f t="shared" si="327"/>
        <v>1.6</v>
      </c>
      <c r="AF419" s="525">
        <f t="shared" si="328"/>
        <v>1.6</v>
      </c>
      <c r="AG419" s="525">
        <f t="shared" si="328"/>
        <v>0</v>
      </c>
      <c r="AH419" s="525">
        <f t="shared" si="328"/>
        <v>0</v>
      </c>
      <c r="AI419" s="525">
        <f t="shared" si="329"/>
        <v>0</v>
      </c>
      <c r="AJ419" s="525">
        <f t="shared" si="329"/>
        <v>0</v>
      </c>
      <c r="AK419" s="525">
        <f t="shared" si="329"/>
        <v>0</v>
      </c>
      <c r="AL419" s="525">
        <f t="shared" si="330"/>
        <v>0</v>
      </c>
    </row>
    <row r="420" spans="1:38" ht="31.2">
      <c r="A420" s="618"/>
      <c r="B420" s="618" t="s">
        <v>618</v>
      </c>
      <c r="C420" s="619">
        <f t="shared" si="359"/>
        <v>1</v>
      </c>
      <c r="D420" s="523" t="str">
        <f>VLOOKUP(B420,DONGIA,DG!$B$6,0)</f>
        <v>D2.6011</v>
      </c>
      <c r="E420" s="666" t="str">
        <f>VLOOKUP(B420,DONGIA,DG!$C$6,0)</f>
        <v>Lắp đà composite 2400mm đơn (KL &lt;=15kg, trụ BTLT, tính = 0.8 đà sắt)</v>
      </c>
      <c r="F420" s="523" t="str">
        <f>VLOOKUP(B420,DONGIA,DG!$D$6,0)</f>
        <v>bộ</v>
      </c>
      <c r="G420" s="525">
        <v>1</v>
      </c>
      <c r="H420" s="525"/>
      <c r="I420" s="525"/>
      <c r="J420" s="525"/>
      <c r="K420" s="525">
        <f>VLOOKUP($B420,DONGIA,DG!$F$6,0)</f>
        <v>134360</v>
      </c>
      <c r="L420" s="525"/>
      <c r="M420" s="525">
        <f>VLOOKUP($B420,DONGIA,DG!$G$6,0)</f>
        <v>0</v>
      </c>
      <c r="N420" s="525">
        <f t="shared" si="360"/>
        <v>0</v>
      </c>
      <c r="O420" s="525">
        <f t="shared" si="357"/>
        <v>0</v>
      </c>
      <c r="P420" s="525">
        <f t="shared" si="357"/>
        <v>0</v>
      </c>
      <c r="Q420" s="525">
        <f t="shared" si="357"/>
        <v>134360</v>
      </c>
      <c r="R420" s="525">
        <f t="shared" si="357"/>
        <v>0</v>
      </c>
      <c r="S420" s="525">
        <f t="shared" si="357"/>
        <v>0</v>
      </c>
      <c r="U420" s="525">
        <f t="shared" si="361"/>
        <v>4</v>
      </c>
      <c r="V420" s="525">
        <f t="shared" si="361"/>
        <v>4</v>
      </c>
      <c r="W420" s="525">
        <f t="shared" si="361"/>
        <v>0</v>
      </c>
      <c r="X420" s="525">
        <f t="shared" si="361"/>
        <v>0</v>
      </c>
      <c r="Y420" s="525">
        <f t="shared" si="361"/>
        <v>0</v>
      </c>
      <c r="Z420" s="525">
        <f t="shared" si="361"/>
        <v>0</v>
      </c>
      <c r="AA420" s="525">
        <f t="shared" si="361"/>
        <v>0</v>
      </c>
      <c r="AB420" s="525">
        <f t="shared" si="361"/>
        <v>0</v>
      </c>
      <c r="AD420" s="405">
        <f t="shared" si="326"/>
        <v>0</v>
      </c>
      <c r="AE420" s="525">
        <f t="shared" si="327"/>
        <v>0</v>
      </c>
      <c r="AF420" s="525">
        <f t="shared" si="328"/>
        <v>0</v>
      </c>
      <c r="AG420" s="525">
        <f t="shared" si="328"/>
        <v>0</v>
      </c>
      <c r="AH420" s="525">
        <f t="shared" si="328"/>
        <v>0</v>
      </c>
      <c r="AI420" s="525">
        <f t="shared" si="329"/>
        <v>0</v>
      </c>
      <c r="AJ420" s="525">
        <f t="shared" si="329"/>
        <v>0</v>
      </c>
      <c r="AK420" s="525">
        <f t="shared" si="329"/>
        <v>0</v>
      </c>
      <c r="AL420" s="525">
        <f t="shared" si="330"/>
        <v>0</v>
      </c>
    </row>
    <row r="421" spans="1:38">
      <c r="A421" s="618" t="s">
        <v>3008</v>
      </c>
      <c r="B421" s="618"/>
      <c r="C421" s="619">
        <f>IF(G421&lt;&gt;0,1,)</f>
        <v>1</v>
      </c>
      <c r="D421" s="622"/>
      <c r="E421" s="733" t="s">
        <v>3051</v>
      </c>
      <c r="F421" s="622" t="s">
        <v>138</v>
      </c>
      <c r="G421" s="622">
        <f>U421</f>
        <v>8</v>
      </c>
      <c r="H421" s="623"/>
      <c r="I421" s="623"/>
      <c r="J421" s="623"/>
      <c r="K421" s="623"/>
      <c r="L421" s="623"/>
      <c r="M421" s="623"/>
      <c r="N421" s="623">
        <f t="shared" ref="N421:S421" si="362">SUM(N423:N428)</f>
        <v>1274400</v>
      </c>
      <c r="O421" s="623">
        <f t="shared" si="362"/>
        <v>0</v>
      </c>
      <c r="P421" s="623">
        <f t="shared" si="362"/>
        <v>0</v>
      </c>
      <c r="Q421" s="623">
        <f t="shared" si="362"/>
        <v>134360</v>
      </c>
      <c r="R421" s="623">
        <f t="shared" si="362"/>
        <v>0</v>
      </c>
      <c r="S421" s="623">
        <f t="shared" si="362"/>
        <v>0</v>
      </c>
      <c r="U421" s="623">
        <f>SUM(V421:AB421)</f>
        <v>8</v>
      </c>
      <c r="V421" s="623">
        <f>IFERROR(HLOOKUP($A421,BK3P,V$3,0),)</f>
        <v>8</v>
      </c>
      <c r="W421" s="623">
        <f>IFERROR(HLOOKUP($A421,BK3P,W$3,0),)</f>
        <v>0</v>
      </c>
      <c r="X421" s="623">
        <f>IFERROR(HLOOKUP($A421,BK3P,X$3,0),)</f>
        <v>0</v>
      </c>
      <c r="Y421" s="623">
        <f>IFERROR(HLOOKUP($A421,BK1P,Y$3,0),)</f>
        <v>0</v>
      </c>
      <c r="Z421" s="623">
        <f>IFERROR(HLOOKUP($A421,BK1P,Z$3,0),)</f>
        <v>0</v>
      </c>
      <c r="AA421" s="623">
        <f>IFERROR(HLOOKUP($A421,BK1P,AA$3,0),)</f>
        <v>0</v>
      </c>
      <c r="AB421" s="623">
        <f>IFERROR(HLOOKUP($A421,BKHT,AB$3,0),)</f>
        <v>0</v>
      </c>
      <c r="AD421" s="405">
        <f t="shared" ref="AD421:AD428" si="363">IFERROR(VLOOKUP(B421,DONGIA,$AD$3,0),0)</f>
        <v>0</v>
      </c>
      <c r="AE421" s="525">
        <f t="shared" ref="AE421:AE428" si="364">U421*$AD421</f>
        <v>0</v>
      </c>
      <c r="AF421" s="525">
        <f t="shared" ref="AF421:AF428" si="365">V421*$AD421</f>
        <v>0</v>
      </c>
      <c r="AG421" s="525">
        <f t="shared" ref="AG421:AG428" si="366">W421*$AD421</f>
        <v>0</v>
      </c>
      <c r="AH421" s="525">
        <f t="shared" ref="AH421:AH428" si="367">X421*$AD421</f>
        <v>0</v>
      </c>
      <c r="AI421" s="525">
        <f t="shared" ref="AI421:AI428" si="368">Y421*$AD421</f>
        <v>0</v>
      </c>
      <c r="AJ421" s="525">
        <f t="shared" ref="AJ421:AJ428" si="369">Z421*$AD421</f>
        <v>0</v>
      </c>
      <c r="AK421" s="525">
        <f t="shared" ref="AK421:AK428" si="370">AA421*$AD421</f>
        <v>0</v>
      </c>
      <c r="AL421" s="525">
        <f t="shared" ref="AL421:AL428" si="371">AB421*$AD421</f>
        <v>0</v>
      </c>
    </row>
    <row r="422" spans="1:38" s="542" customFormat="1">
      <c r="A422" s="624"/>
      <c r="B422" s="624"/>
      <c r="C422" s="625">
        <f>C421</f>
        <v>1</v>
      </c>
      <c r="D422" s="544"/>
      <c r="E422" s="734" t="s">
        <v>1659</v>
      </c>
      <c r="F422" s="544"/>
      <c r="G422" s="545"/>
      <c r="H422" s="545"/>
      <c r="I422" s="545"/>
      <c r="J422" s="545"/>
      <c r="K422" s="545"/>
      <c r="L422" s="545"/>
      <c r="M422" s="545"/>
      <c r="N422" s="545"/>
      <c r="O422" s="545"/>
      <c r="P422" s="545"/>
      <c r="Q422" s="545"/>
      <c r="R422" s="545"/>
      <c r="S422" s="545"/>
      <c r="U422" s="545"/>
      <c r="V422" s="545"/>
      <c r="W422" s="545"/>
      <c r="X422" s="545"/>
      <c r="Y422" s="545"/>
      <c r="Z422" s="545"/>
      <c r="AA422" s="545"/>
      <c r="AB422" s="545"/>
      <c r="AD422" s="405">
        <f t="shared" si="363"/>
        <v>0</v>
      </c>
      <c r="AE422" s="525">
        <f t="shared" si="364"/>
        <v>0</v>
      </c>
      <c r="AF422" s="525">
        <f t="shared" si="365"/>
        <v>0</v>
      </c>
      <c r="AG422" s="525">
        <f t="shared" si="366"/>
        <v>0</v>
      </c>
      <c r="AH422" s="525">
        <f t="shared" si="367"/>
        <v>0</v>
      </c>
      <c r="AI422" s="525">
        <f t="shared" si="368"/>
        <v>0</v>
      </c>
      <c r="AJ422" s="525">
        <f t="shared" si="369"/>
        <v>0</v>
      </c>
      <c r="AK422" s="525">
        <f t="shared" si="370"/>
        <v>0</v>
      </c>
      <c r="AL422" s="525">
        <f t="shared" si="371"/>
        <v>0</v>
      </c>
    </row>
    <row r="423" spans="1:38">
      <c r="A423" s="618"/>
      <c r="B423" s="618" t="s">
        <v>18</v>
      </c>
      <c r="C423" s="619">
        <f t="shared" ref="C423:C428" si="372">IF(G423&lt;&gt;0,$C$412,)</f>
        <v>1</v>
      </c>
      <c r="D423" s="523">
        <f>VLOOKUP(B423,DONGIA,DG!$B$6,0)</f>
        <v>0</v>
      </c>
      <c r="E423" s="666" t="str">
        <f>VLOOKUP(B423,DONGIA,DG!$C$6,0)</f>
        <v>Đà hộp composite 110x80x5-2400</v>
      </c>
      <c r="F423" s="523" t="str">
        <f>VLOOKUP(B423,DONGIA,DG!$D$6,0)</f>
        <v>cái</v>
      </c>
      <c r="G423" s="525">
        <v>1</v>
      </c>
      <c r="H423" s="525">
        <f>VLOOKUP($B423,DONGIA,DG!$E$6,0)</f>
        <v>812200</v>
      </c>
      <c r="I423" s="525"/>
      <c r="J423" s="525"/>
      <c r="K423" s="525">
        <f>VLOOKUP($B423,DONGIA,DG!$F$6,0)</f>
        <v>0</v>
      </c>
      <c r="L423" s="525"/>
      <c r="M423" s="525">
        <f>VLOOKUP($B423,DONGIA,DG!$G$6,0)</f>
        <v>0</v>
      </c>
      <c r="N423" s="525">
        <f t="shared" ref="N423:N428" si="373">$G423*H423</f>
        <v>812200</v>
      </c>
      <c r="O423" s="525">
        <f t="shared" ref="O423:O428" si="374">$G423*I423</f>
        <v>0</v>
      </c>
      <c r="P423" s="525">
        <f t="shared" ref="P423:P428" si="375">$G423*J423</f>
        <v>0</v>
      </c>
      <c r="Q423" s="525">
        <f t="shared" ref="Q423:Q428" si="376">$G423*K423</f>
        <v>0</v>
      </c>
      <c r="R423" s="525">
        <f t="shared" ref="R423:R428" si="377">$G423*L423</f>
        <v>0</v>
      </c>
      <c r="S423" s="525">
        <f t="shared" ref="S423:S428" si="378">$G423*M423</f>
        <v>0</v>
      </c>
      <c r="U423" s="525">
        <f t="shared" ref="U423:U428" si="379">U$412*$G423</f>
        <v>4</v>
      </c>
      <c r="V423" s="525">
        <f t="shared" ref="V423:AB423" si="380">V$412*$G423</f>
        <v>4</v>
      </c>
      <c r="W423" s="525">
        <f t="shared" si="380"/>
        <v>0</v>
      </c>
      <c r="X423" s="525">
        <f t="shared" si="380"/>
        <v>0</v>
      </c>
      <c r="Y423" s="525">
        <f t="shared" si="380"/>
        <v>0</v>
      </c>
      <c r="Z423" s="525">
        <f t="shared" si="380"/>
        <v>0</v>
      </c>
      <c r="AA423" s="525">
        <f t="shared" si="380"/>
        <v>0</v>
      </c>
      <c r="AB423" s="525">
        <f t="shared" si="380"/>
        <v>0</v>
      </c>
      <c r="AD423" s="405">
        <f t="shared" si="363"/>
        <v>9.6</v>
      </c>
      <c r="AE423" s="525">
        <f t="shared" si="364"/>
        <v>38.4</v>
      </c>
      <c r="AF423" s="525">
        <f t="shared" si="365"/>
        <v>38.4</v>
      </c>
      <c r="AG423" s="525">
        <f t="shared" si="366"/>
        <v>0</v>
      </c>
      <c r="AH423" s="525">
        <f t="shared" si="367"/>
        <v>0</v>
      </c>
      <c r="AI423" s="525">
        <f t="shared" si="368"/>
        <v>0</v>
      </c>
      <c r="AJ423" s="525">
        <f t="shared" si="369"/>
        <v>0</v>
      </c>
      <c r="AK423" s="525">
        <f t="shared" si="370"/>
        <v>0</v>
      </c>
      <c r="AL423" s="525">
        <f t="shared" si="371"/>
        <v>0</v>
      </c>
    </row>
    <row r="424" spans="1:38">
      <c r="A424" s="618"/>
      <c r="B424" s="618" t="s">
        <v>20</v>
      </c>
      <c r="C424" s="619">
        <f t="shared" si="372"/>
        <v>1</v>
      </c>
      <c r="D424" s="523">
        <f>VLOOKUP(B424,DONGIA,DG!$B$6,0)</f>
        <v>0</v>
      </c>
      <c r="E424" s="666" t="str">
        <f>VLOOKUP(B424,DONGIA,DG!$C$6,0)</f>
        <v>Thanh chống Composite dẹp 10x40x920</v>
      </c>
      <c r="F424" s="523" t="str">
        <f>VLOOKUP(B424,DONGIA,DG!$D$6,0)</f>
        <v>cái</v>
      </c>
      <c r="G424" s="525">
        <v>2</v>
      </c>
      <c r="H424" s="525">
        <f>VLOOKUP($B424,DONGIA,DG!$E$6,0)</f>
        <v>108100</v>
      </c>
      <c r="I424" s="525"/>
      <c r="J424" s="525"/>
      <c r="K424" s="525">
        <f>VLOOKUP($B424,DONGIA,DG!$F$6,0)</f>
        <v>0</v>
      </c>
      <c r="L424" s="525"/>
      <c r="M424" s="525">
        <f>VLOOKUP($B424,DONGIA,DG!$G$6,0)</f>
        <v>0</v>
      </c>
      <c r="N424" s="525">
        <f t="shared" si="373"/>
        <v>216200</v>
      </c>
      <c r="O424" s="525">
        <f t="shared" si="374"/>
        <v>0</v>
      </c>
      <c r="P424" s="525">
        <f t="shared" si="375"/>
        <v>0</v>
      </c>
      <c r="Q424" s="525">
        <f t="shared" si="376"/>
        <v>0</v>
      </c>
      <c r="R424" s="525">
        <f t="shared" si="377"/>
        <v>0</v>
      </c>
      <c r="S424" s="525">
        <f t="shared" si="378"/>
        <v>0</v>
      </c>
      <c r="U424" s="525">
        <f t="shared" si="379"/>
        <v>8</v>
      </c>
      <c r="V424" s="525">
        <f t="shared" ref="V424:AB428" si="381">V$412*$G424</f>
        <v>8</v>
      </c>
      <c r="W424" s="525">
        <f t="shared" si="381"/>
        <v>0</v>
      </c>
      <c r="X424" s="525">
        <f t="shared" si="381"/>
        <v>0</v>
      </c>
      <c r="Y424" s="525">
        <f t="shared" si="381"/>
        <v>0</v>
      </c>
      <c r="Z424" s="525">
        <f t="shared" si="381"/>
        <v>0</v>
      </c>
      <c r="AA424" s="525">
        <f t="shared" si="381"/>
        <v>0</v>
      </c>
      <c r="AB424" s="525">
        <f t="shared" si="381"/>
        <v>0</v>
      </c>
      <c r="AD424" s="405">
        <f t="shared" si="363"/>
        <v>0.7</v>
      </c>
      <c r="AE424" s="525">
        <f t="shared" si="364"/>
        <v>5.6</v>
      </c>
      <c r="AF424" s="525">
        <f t="shared" si="365"/>
        <v>5.6</v>
      </c>
      <c r="AG424" s="525">
        <f t="shared" si="366"/>
        <v>0</v>
      </c>
      <c r="AH424" s="525">
        <f t="shared" si="367"/>
        <v>0</v>
      </c>
      <c r="AI424" s="525">
        <f t="shared" si="368"/>
        <v>0</v>
      </c>
      <c r="AJ424" s="525">
        <f t="shared" si="369"/>
        <v>0</v>
      </c>
      <c r="AK424" s="525">
        <f t="shared" si="370"/>
        <v>0</v>
      </c>
      <c r="AL424" s="525">
        <f t="shared" si="371"/>
        <v>0</v>
      </c>
    </row>
    <row r="425" spans="1:38">
      <c r="A425" s="618"/>
      <c r="B425" s="618" t="s">
        <v>137</v>
      </c>
      <c r="C425" s="619">
        <f t="shared" si="372"/>
        <v>1</v>
      </c>
      <c r="D425" s="523">
        <f>VLOOKUP(B425,DONGIA,DG!$B$6,0)</f>
        <v>0</v>
      </c>
      <c r="E425" s="666" t="str">
        <f>VLOOKUP(B425,DONGIA,DG!$C$6,0)</f>
        <v>Bass LI bắt FCO, LA</v>
      </c>
      <c r="F425" s="523" t="str">
        <f>VLOOKUP(B425,DONGIA,DG!$D$6,0)</f>
        <v>Bộ</v>
      </c>
      <c r="G425" s="525">
        <v>3</v>
      </c>
      <c r="H425" s="525">
        <f>VLOOKUP($B425,DONGIA,DG!$E$6,0)</f>
        <v>38000</v>
      </c>
      <c r="I425" s="525"/>
      <c r="J425" s="525"/>
      <c r="K425" s="525">
        <f>VLOOKUP($B425,DONGIA,DG!$F$6,0)</f>
        <v>0</v>
      </c>
      <c r="L425" s="525"/>
      <c r="M425" s="525">
        <f>VLOOKUP($B425,DONGIA,DG!$G$6,0)</f>
        <v>0</v>
      </c>
      <c r="N425" s="525">
        <f t="shared" si="373"/>
        <v>114000</v>
      </c>
      <c r="O425" s="525">
        <f t="shared" si="374"/>
        <v>0</v>
      </c>
      <c r="P425" s="525">
        <f t="shared" si="375"/>
        <v>0</v>
      </c>
      <c r="Q425" s="525">
        <f t="shared" si="376"/>
        <v>0</v>
      </c>
      <c r="R425" s="525">
        <f t="shared" si="377"/>
        <v>0</v>
      </c>
      <c r="S425" s="525">
        <f t="shared" si="378"/>
        <v>0</v>
      </c>
      <c r="U425" s="525">
        <f t="shared" si="379"/>
        <v>12</v>
      </c>
      <c r="V425" s="525">
        <f t="shared" si="381"/>
        <v>12</v>
      </c>
      <c r="W425" s="525">
        <f t="shared" si="381"/>
        <v>0</v>
      </c>
      <c r="X425" s="525">
        <f t="shared" si="381"/>
        <v>0</v>
      </c>
      <c r="Y425" s="525">
        <f t="shared" si="381"/>
        <v>0</v>
      </c>
      <c r="Z425" s="525">
        <f t="shared" si="381"/>
        <v>0</v>
      </c>
      <c r="AA425" s="525">
        <f t="shared" si="381"/>
        <v>0</v>
      </c>
      <c r="AB425" s="525">
        <f t="shared" si="381"/>
        <v>0</v>
      </c>
      <c r="AD425" s="405">
        <f t="shared" si="363"/>
        <v>0.4</v>
      </c>
      <c r="AE425" s="525">
        <f t="shared" si="364"/>
        <v>4.8000000000000007</v>
      </c>
      <c r="AF425" s="525">
        <f t="shared" si="365"/>
        <v>4.8000000000000007</v>
      </c>
      <c r="AG425" s="525">
        <f t="shared" si="366"/>
        <v>0</v>
      </c>
      <c r="AH425" s="525">
        <f t="shared" si="367"/>
        <v>0</v>
      </c>
      <c r="AI425" s="525">
        <f t="shared" si="368"/>
        <v>0</v>
      </c>
      <c r="AJ425" s="525">
        <f t="shared" si="369"/>
        <v>0</v>
      </c>
      <c r="AK425" s="525">
        <f t="shared" si="370"/>
        <v>0</v>
      </c>
      <c r="AL425" s="525">
        <f t="shared" si="371"/>
        <v>0</v>
      </c>
    </row>
    <row r="426" spans="1:38">
      <c r="A426" s="618"/>
      <c r="B426" s="618" t="s">
        <v>3052</v>
      </c>
      <c r="C426" s="619">
        <f t="shared" si="372"/>
        <v>1</v>
      </c>
      <c r="D426" s="523">
        <f>VLOOKUP(B426,DONGIA,DG!$B$6,0)</f>
        <v>0</v>
      </c>
      <c r="E426" s="666" t="str">
        <f>VLOOKUP(B426,DONGIA,DG!$C$6,0)</f>
        <v>Boulon 16x450VRS + 4 long đền vuông D18-50x50x3/Zn</v>
      </c>
      <c r="F426" s="523" t="str">
        <f>VLOOKUP(B426,DONGIA,DG!$D$6,0)</f>
        <v>bộ</v>
      </c>
      <c r="G426" s="525">
        <v>2</v>
      </c>
      <c r="H426" s="525">
        <f>VLOOKUP($B426,DONGIA,DG!$E$6,0)</f>
        <v>47000</v>
      </c>
      <c r="I426" s="525"/>
      <c r="J426" s="525"/>
      <c r="K426" s="525">
        <f>VLOOKUP($B426,DONGIA,DG!$F$6,0)</f>
        <v>0</v>
      </c>
      <c r="L426" s="525"/>
      <c r="M426" s="525">
        <f>VLOOKUP($B426,DONGIA,DG!$G$6,0)</f>
        <v>0</v>
      </c>
      <c r="N426" s="525">
        <f t="shared" si="373"/>
        <v>94000</v>
      </c>
      <c r="O426" s="525">
        <f t="shared" si="374"/>
        <v>0</v>
      </c>
      <c r="P426" s="525">
        <f t="shared" si="375"/>
        <v>0</v>
      </c>
      <c r="Q426" s="525">
        <f t="shared" si="376"/>
        <v>0</v>
      </c>
      <c r="R426" s="525">
        <f t="shared" si="377"/>
        <v>0</v>
      </c>
      <c r="S426" s="525">
        <f t="shared" si="378"/>
        <v>0</v>
      </c>
      <c r="U426" s="525">
        <f t="shared" si="379"/>
        <v>8</v>
      </c>
      <c r="V426" s="525">
        <f t="shared" si="381"/>
        <v>8</v>
      </c>
      <c r="W426" s="525">
        <f t="shared" si="381"/>
        <v>0</v>
      </c>
      <c r="X426" s="525">
        <f t="shared" si="381"/>
        <v>0</v>
      </c>
      <c r="Y426" s="525">
        <f t="shared" si="381"/>
        <v>0</v>
      </c>
      <c r="Z426" s="525">
        <f t="shared" si="381"/>
        <v>0</v>
      </c>
      <c r="AA426" s="525">
        <f t="shared" si="381"/>
        <v>0</v>
      </c>
      <c r="AB426" s="525">
        <f t="shared" si="381"/>
        <v>0</v>
      </c>
      <c r="AD426" s="405">
        <f t="shared" si="363"/>
        <v>0.44999999999999996</v>
      </c>
      <c r="AE426" s="525">
        <f t="shared" si="364"/>
        <v>3.5999999999999996</v>
      </c>
      <c r="AF426" s="525">
        <f t="shared" si="365"/>
        <v>3.5999999999999996</v>
      </c>
      <c r="AG426" s="525">
        <f t="shared" si="366"/>
        <v>0</v>
      </c>
      <c r="AH426" s="525">
        <f t="shared" si="367"/>
        <v>0</v>
      </c>
      <c r="AI426" s="525">
        <f t="shared" si="368"/>
        <v>0</v>
      </c>
      <c r="AJ426" s="525">
        <f t="shared" si="369"/>
        <v>0</v>
      </c>
      <c r="AK426" s="525">
        <f t="shared" si="370"/>
        <v>0</v>
      </c>
      <c r="AL426" s="525">
        <f t="shared" si="371"/>
        <v>0</v>
      </c>
    </row>
    <row r="427" spans="1:38">
      <c r="A427" s="618"/>
      <c r="B427" s="618" t="s">
        <v>3053</v>
      </c>
      <c r="C427" s="619">
        <f t="shared" si="372"/>
        <v>1</v>
      </c>
      <c r="D427" s="523">
        <f>VLOOKUP(B427,DONGIA,DG!$B$6,0)</f>
        <v>0</v>
      </c>
      <c r="E427" s="666" t="str">
        <f>VLOOKUP(B427,DONGIA,DG!$C$6,0)</f>
        <v>Boulon 14x150+ 2 long đền vuông D16-50x50x3/Zn</v>
      </c>
      <c r="F427" s="523" t="str">
        <f>VLOOKUP(B427,DONGIA,DG!$D$6,0)</f>
        <v>bộ</v>
      </c>
      <c r="G427" s="525">
        <v>2</v>
      </c>
      <c r="H427" s="525">
        <f>VLOOKUP($B427,DONGIA,DG!$E$6,0)</f>
        <v>19000</v>
      </c>
      <c r="I427" s="525"/>
      <c r="J427" s="525"/>
      <c r="K427" s="525">
        <f>VLOOKUP($B427,DONGIA,DG!$F$6,0)</f>
        <v>0</v>
      </c>
      <c r="L427" s="525"/>
      <c r="M427" s="525">
        <f>VLOOKUP($B427,DONGIA,DG!$G$6,0)</f>
        <v>0</v>
      </c>
      <c r="N427" s="525">
        <f t="shared" si="373"/>
        <v>38000</v>
      </c>
      <c r="O427" s="525">
        <f t="shared" si="374"/>
        <v>0</v>
      </c>
      <c r="P427" s="525">
        <f t="shared" si="375"/>
        <v>0</v>
      </c>
      <c r="Q427" s="525">
        <f t="shared" si="376"/>
        <v>0</v>
      </c>
      <c r="R427" s="525">
        <f t="shared" si="377"/>
        <v>0</v>
      </c>
      <c r="S427" s="525">
        <f t="shared" si="378"/>
        <v>0</v>
      </c>
      <c r="U427" s="525">
        <f t="shared" si="379"/>
        <v>8</v>
      </c>
      <c r="V427" s="525">
        <f t="shared" si="381"/>
        <v>8</v>
      </c>
      <c r="W427" s="525">
        <f t="shared" si="381"/>
        <v>0</v>
      </c>
      <c r="X427" s="525">
        <f t="shared" si="381"/>
        <v>0</v>
      </c>
      <c r="Y427" s="525">
        <f t="shared" si="381"/>
        <v>0</v>
      </c>
      <c r="Z427" s="525">
        <f t="shared" si="381"/>
        <v>0</v>
      </c>
      <c r="AA427" s="525">
        <f t="shared" si="381"/>
        <v>0</v>
      </c>
      <c r="AB427" s="525">
        <f t="shared" si="381"/>
        <v>0</v>
      </c>
      <c r="AD427" s="405">
        <f t="shared" si="363"/>
        <v>0.2</v>
      </c>
      <c r="AE427" s="525">
        <f t="shared" si="364"/>
        <v>1.6</v>
      </c>
      <c r="AF427" s="525">
        <f t="shared" si="365"/>
        <v>1.6</v>
      </c>
      <c r="AG427" s="525">
        <f t="shared" si="366"/>
        <v>0</v>
      </c>
      <c r="AH427" s="525">
        <f t="shared" si="367"/>
        <v>0</v>
      </c>
      <c r="AI427" s="525">
        <f t="shared" si="368"/>
        <v>0</v>
      </c>
      <c r="AJ427" s="525">
        <f t="shared" si="369"/>
        <v>0</v>
      </c>
      <c r="AK427" s="525">
        <f t="shared" si="370"/>
        <v>0</v>
      </c>
      <c r="AL427" s="525">
        <f t="shared" si="371"/>
        <v>0</v>
      </c>
    </row>
    <row r="428" spans="1:38" ht="31.2">
      <c r="A428" s="618"/>
      <c r="B428" s="618" t="s">
        <v>618</v>
      </c>
      <c r="C428" s="619">
        <f t="shared" si="372"/>
        <v>1</v>
      </c>
      <c r="D428" s="523" t="str">
        <f>VLOOKUP(B428,DONGIA,DG!$B$6,0)</f>
        <v>D2.6011</v>
      </c>
      <c r="E428" s="666" t="str">
        <f>VLOOKUP(B428,DONGIA,DG!$C$6,0)</f>
        <v>Lắp đà composite 2400mm đơn (KL &lt;=15kg, trụ BTLT, tính = 0.8 đà sắt)</v>
      </c>
      <c r="F428" s="523" t="str">
        <f>VLOOKUP(B428,DONGIA,DG!$D$6,0)</f>
        <v>bộ</v>
      </c>
      <c r="G428" s="525">
        <v>1</v>
      </c>
      <c r="H428" s="525"/>
      <c r="I428" s="525"/>
      <c r="J428" s="525"/>
      <c r="K428" s="525">
        <f>VLOOKUP($B428,DONGIA,DG!$F$6,0)</f>
        <v>134360</v>
      </c>
      <c r="L428" s="525"/>
      <c r="M428" s="525">
        <f>VLOOKUP($B428,DONGIA,DG!$G$6,0)</f>
        <v>0</v>
      </c>
      <c r="N428" s="525">
        <f t="shared" si="373"/>
        <v>0</v>
      </c>
      <c r="O428" s="525">
        <f t="shared" si="374"/>
        <v>0</v>
      </c>
      <c r="P428" s="525">
        <f t="shared" si="375"/>
        <v>0</v>
      </c>
      <c r="Q428" s="525">
        <f t="shared" si="376"/>
        <v>134360</v>
      </c>
      <c r="R428" s="525">
        <f t="shared" si="377"/>
        <v>0</v>
      </c>
      <c r="S428" s="525">
        <f t="shared" si="378"/>
        <v>0</v>
      </c>
      <c r="U428" s="525">
        <f t="shared" si="379"/>
        <v>4</v>
      </c>
      <c r="V428" s="525">
        <f t="shared" si="381"/>
        <v>4</v>
      </c>
      <c r="W428" s="525">
        <f t="shared" si="381"/>
        <v>0</v>
      </c>
      <c r="X428" s="525">
        <f t="shared" si="381"/>
        <v>0</v>
      </c>
      <c r="Y428" s="525">
        <f t="shared" si="381"/>
        <v>0</v>
      </c>
      <c r="Z428" s="525">
        <f t="shared" si="381"/>
        <v>0</v>
      </c>
      <c r="AA428" s="525">
        <f t="shared" si="381"/>
        <v>0</v>
      </c>
      <c r="AB428" s="525">
        <f t="shared" si="381"/>
        <v>0</v>
      </c>
      <c r="AD428" s="405">
        <f t="shared" si="363"/>
        <v>0</v>
      </c>
      <c r="AE428" s="525">
        <f t="shared" si="364"/>
        <v>0</v>
      </c>
      <c r="AF428" s="525">
        <f t="shared" si="365"/>
        <v>0</v>
      </c>
      <c r="AG428" s="525">
        <f t="shared" si="366"/>
        <v>0</v>
      </c>
      <c r="AH428" s="525">
        <f t="shared" si="367"/>
        <v>0</v>
      </c>
      <c r="AI428" s="525">
        <f t="shared" si="368"/>
        <v>0</v>
      </c>
      <c r="AJ428" s="525">
        <f t="shared" si="369"/>
        <v>0</v>
      </c>
      <c r="AK428" s="525">
        <f t="shared" si="370"/>
        <v>0</v>
      </c>
      <c r="AL428" s="525">
        <f t="shared" si="371"/>
        <v>0</v>
      </c>
    </row>
    <row r="429" spans="1:38" s="332" customFormat="1">
      <c r="A429" s="356" t="s">
        <v>1834</v>
      </c>
      <c r="B429" s="356"/>
      <c r="C429" s="355">
        <f>IF(G429&lt;&gt;0,1,)</f>
        <v>0</v>
      </c>
      <c r="D429" s="357"/>
      <c r="E429" s="358" t="s">
        <v>1684</v>
      </c>
      <c r="F429" s="357" t="s">
        <v>138</v>
      </c>
      <c r="G429" s="357">
        <f>U429</f>
        <v>0</v>
      </c>
      <c r="H429" s="358"/>
      <c r="I429" s="358"/>
      <c r="J429" s="358"/>
      <c r="K429" s="358"/>
      <c r="L429" s="358"/>
      <c r="M429" s="358"/>
      <c r="N429" s="358">
        <f t="shared" ref="N429:S429" si="382">SUM(N431:N435)</f>
        <v>290000</v>
      </c>
      <c r="O429" s="358">
        <f t="shared" si="382"/>
        <v>0</v>
      </c>
      <c r="P429" s="358">
        <f t="shared" si="382"/>
        <v>0</v>
      </c>
      <c r="Q429" s="358">
        <f t="shared" si="382"/>
        <v>279916</v>
      </c>
      <c r="R429" s="358">
        <f t="shared" si="382"/>
        <v>0</v>
      </c>
      <c r="S429" s="358">
        <f t="shared" si="382"/>
        <v>0</v>
      </c>
      <c r="U429" s="358">
        <f>SUM(V429:AB429)</f>
        <v>0</v>
      </c>
      <c r="V429" s="358">
        <f>IFERROR(HLOOKUP($A429,BK3P,V$3,0),)</f>
        <v>0</v>
      </c>
      <c r="W429" s="358">
        <f>IFERROR(HLOOKUP($A429,BK3P,W$3,0),)</f>
        <v>0</v>
      </c>
      <c r="X429" s="358">
        <f>IFERROR(HLOOKUP($A429,BK3P,X$3,0),)</f>
        <v>0</v>
      </c>
      <c r="Y429" s="358">
        <f>IFERROR(HLOOKUP($A429,BK1P,Y$3,0),)</f>
        <v>0</v>
      </c>
      <c r="Z429" s="358">
        <f>IFERROR(HLOOKUP($A429,BK1P,Z$3,0),)</f>
        <v>0</v>
      </c>
      <c r="AA429" s="358">
        <f>IFERROR(HLOOKUP($A429,BK1P,AA$3,0),)</f>
        <v>0</v>
      </c>
      <c r="AB429" s="358">
        <f>IFERROR(HLOOKUP($A429,BKHT,AB$3,0),)</f>
        <v>0</v>
      </c>
      <c r="AD429" s="332">
        <f t="shared" si="326"/>
        <v>0</v>
      </c>
      <c r="AE429" s="329">
        <f t="shared" si="327"/>
        <v>0</v>
      </c>
      <c r="AF429" s="329">
        <f t="shared" si="328"/>
        <v>0</v>
      </c>
      <c r="AG429" s="329">
        <f t="shared" si="328"/>
        <v>0</v>
      </c>
      <c r="AH429" s="329">
        <f t="shared" si="328"/>
        <v>0</v>
      </c>
      <c r="AI429" s="329">
        <f t="shared" si="329"/>
        <v>0</v>
      </c>
      <c r="AJ429" s="329">
        <f t="shared" si="329"/>
        <v>0</v>
      </c>
      <c r="AK429" s="329">
        <f t="shared" si="329"/>
        <v>0</v>
      </c>
      <c r="AL429" s="329">
        <f t="shared" si="330"/>
        <v>0</v>
      </c>
    </row>
    <row r="430" spans="1:38" s="361" customFormat="1">
      <c r="A430" s="359"/>
      <c r="B430" s="359"/>
      <c r="C430" s="360">
        <f>C429</f>
        <v>0</v>
      </c>
      <c r="D430" s="350"/>
      <c r="E430" s="351" t="s">
        <v>1659</v>
      </c>
      <c r="F430" s="350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U430" s="351"/>
      <c r="V430" s="351"/>
      <c r="W430" s="351"/>
      <c r="X430" s="351"/>
      <c r="Y430" s="351"/>
      <c r="Z430" s="351"/>
      <c r="AA430" s="351"/>
      <c r="AB430" s="351"/>
      <c r="AD430" s="332">
        <f t="shared" si="326"/>
        <v>0</v>
      </c>
      <c r="AE430" s="329">
        <f t="shared" si="327"/>
        <v>0</v>
      </c>
      <c r="AF430" s="329">
        <f t="shared" si="328"/>
        <v>0</v>
      </c>
      <c r="AG430" s="329">
        <f t="shared" si="328"/>
        <v>0</v>
      </c>
      <c r="AH430" s="329">
        <f t="shared" si="328"/>
        <v>0</v>
      </c>
      <c r="AI430" s="329">
        <f t="shared" si="329"/>
        <v>0</v>
      </c>
      <c r="AJ430" s="329">
        <f t="shared" si="329"/>
        <v>0</v>
      </c>
      <c r="AK430" s="329">
        <f t="shared" si="329"/>
        <v>0</v>
      </c>
      <c r="AL430" s="329">
        <f t="shared" si="330"/>
        <v>0</v>
      </c>
    </row>
    <row r="431" spans="1:38" s="332" customFormat="1">
      <c r="A431" s="356"/>
      <c r="B431" s="356" t="s">
        <v>1754</v>
      </c>
      <c r="C431" s="355">
        <f>IF(G431&lt;&gt;0,$C$429,)</f>
        <v>0</v>
      </c>
      <c r="D431" s="341">
        <f>VLOOKUP(B431,DONGIA,DG!$B$6,0)</f>
        <v>0</v>
      </c>
      <c r="E431" s="340" t="str">
        <f>VLOOKUP(B431,DONGIA,DG!$C$6,0)</f>
        <v>Đà sắt L75x75x8-800 - 1 ốp</v>
      </c>
      <c r="F431" s="341" t="str">
        <f>VLOOKUP(B431,DONGIA,DG!$D$6,0)</f>
        <v>cái</v>
      </c>
      <c r="G431" s="329">
        <v>1</v>
      </c>
      <c r="H431" s="329">
        <f>VLOOKUP($B431,DONGIA,DG!$E$6,0)</f>
        <v>217000</v>
      </c>
      <c r="I431" s="329"/>
      <c r="J431" s="329"/>
      <c r="K431" s="329">
        <f>VLOOKUP($B431,DONGIA,DG!$F$6,0)</f>
        <v>0</v>
      </c>
      <c r="L431" s="329"/>
      <c r="M431" s="329">
        <f>VLOOKUP($B431,DONGIA,DG!$G$6,0)</f>
        <v>0</v>
      </c>
      <c r="N431" s="329">
        <f>$G431*H431</f>
        <v>217000</v>
      </c>
      <c r="O431" s="329">
        <f t="shared" ref="O431:S435" si="383">$G431*I431</f>
        <v>0</v>
      </c>
      <c r="P431" s="329">
        <f t="shared" si="383"/>
        <v>0</v>
      </c>
      <c r="Q431" s="329">
        <f t="shared" si="383"/>
        <v>0</v>
      </c>
      <c r="R431" s="329">
        <f t="shared" si="383"/>
        <v>0</v>
      </c>
      <c r="S431" s="329">
        <f t="shared" si="383"/>
        <v>0</v>
      </c>
      <c r="U431" s="329">
        <f>U$429*$G431</f>
        <v>0</v>
      </c>
      <c r="V431" s="329">
        <f t="shared" ref="V431:AB431" si="384">V$429*$G431</f>
        <v>0</v>
      </c>
      <c r="W431" s="329">
        <f t="shared" si="384"/>
        <v>0</v>
      </c>
      <c r="X431" s="329">
        <f t="shared" si="384"/>
        <v>0</v>
      </c>
      <c r="Y431" s="329">
        <f t="shared" si="384"/>
        <v>0</v>
      </c>
      <c r="Z431" s="329">
        <f t="shared" si="384"/>
        <v>0</v>
      </c>
      <c r="AA431" s="329">
        <f t="shared" si="384"/>
        <v>0</v>
      </c>
      <c r="AB431" s="329">
        <f t="shared" si="384"/>
        <v>0</v>
      </c>
      <c r="AD431" s="332">
        <f t="shared" si="326"/>
        <v>12.3</v>
      </c>
      <c r="AE431" s="329">
        <f t="shared" si="327"/>
        <v>0</v>
      </c>
      <c r="AF431" s="329">
        <f t="shared" si="328"/>
        <v>0</v>
      </c>
      <c r="AG431" s="329">
        <f t="shared" si="328"/>
        <v>0</v>
      </c>
      <c r="AH431" s="329">
        <f t="shared" si="328"/>
        <v>0</v>
      </c>
      <c r="AI431" s="329">
        <f t="shared" si="329"/>
        <v>0</v>
      </c>
      <c r="AJ431" s="329">
        <f t="shared" si="329"/>
        <v>0</v>
      </c>
      <c r="AK431" s="329">
        <f t="shared" si="329"/>
        <v>0</v>
      </c>
      <c r="AL431" s="329">
        <f t="shared" si="330"/>
        <v>0</v>
      </c>
    </row>
    <row r="432" spans="1:38" s="332" customFormat="1">
      <c r="A432" s="356"/>
      <c r="B432" s="356" t="s">
        <v>1756</v>
      </c>
      <c r="C432" s="355">
        <f>IF(G432&lt;&gt;0,$C$429,)</f>
        <v>0</v>
      </c>
      <c r="D432" s="341">
        <f>VLOOKUP(B432,DONGIA,DG!$B$6,0)</f>
        <v>0</v>
      </c>
      <c r="E432" s="340" t="str">
        <f>VLOOKUP(B432,DONGIA,DG!$C$6,0)</f>
        <v>Thanh chống L50x50x5-700</v>
      </c>
      <c r="F432" s="341" t="str">
        <f>VLOOKUP(B432,DONGIA,DG!$D$6,0)</f>
        <v>cái</v>
      </c>
      <c r="G432" s="329">
        <v>1</v>
      </c>
      <c r="H432" s="329">
        <f>VLOOKUP($B432,DONGIA,DG!$E$6,0)</f>
        <v>0</v>
      </c>
      <c r="I432" s="329"/>
      <c r="J432" s="329"/>
      <c r="K432" s="329">
        <f>VLOOKUP($B432,DONGIA,DG!$F$6,0)</f>
        <v>0</v>
      </c>
      <c r="L432" s="329"/>
      <c r="M432" s="329">
        <f>VLOOKUP($B432,DONGIA,DG!$G$6,0)</f>
        <v>0</v>
      </c>
      <c r="N432" s="329">
        <f>$G432*H432</f>
        <v>0</v>
      </c>
      <c r="O432" s="329">
        <f t="shared" si="383"/>
        <v>0</v>
      </c>
      <c r="P432" s="329">
        <f t="shared" si="383"/>
        <v>0</v>
      </c>
      <c r="Q432" s="329">
        <f t="shared" si="383"/>
        <v>0</v>
      </c>
      <c r="R432" s="329">
        <f t="shared" si="383"/>
        <v>0</v>
      </c>
      <c r="S432" s="329">
        <f t="shared" si="383"/>
        <v>0</v>
      </c>
      <c r="U432" s="329">
        <f t="shared" ref="U432:AB435" si="385">U$429*$G432</f>
        <v>0</v>
      </c>
      <c r="V432" s="329">
        <f t="shared" si="385"/>
        <v>0</v>
      </c>
      <c r="W432" s="329">
        <f t="shared" si="385"/>
        <v>0</v>
      </c>
      <c r="X432" s="329">
        <f t="shared" si="385"/>
        <v>0</v>
      </c>
      <c r="Y432" s="329">
        <f t="shared" si="385"/>
        <v>0</v>
      </c>
      <c r="Z432" s="329">
        <f t="shared" si="385"/>
        <v>0</v>
      </c>
      <c r="AA432" s="329">
        <f t="shared" si="385"/>
        <v>0</v>
      </c>
      <c r="AB432" s="329">
        <f t="shared" si="385"/>
        <v>0</v>
      </c>
      <c r="AD432" s="332">
        <f t="shared" si="326"/>
        <v>3</v>
      </c>
      <c r="AE432" s="329">
        <f t="shared" si="327"/>
        <v>0</v>
      </c>
      <c r="AF432" s="329">
        <f t="shared" si="328"/>
        <v>0</v>
      </c>
      <c r="AG432" s="329">
        <f t="shared" si="328"/>
        <v>0</v>
      </c>
      <c r="AH432" s="329">
        <f t="shared" si="328"/>
        <v>0</v>
      </c>
      <c r="AI432" s="329">
        <f t="shared" si="329"/>
        <v>0</v>
      </c>
      <c r="AJ432" s="329">
        <f t="shared" si="329"/>
        <v>0</v>
      </c>
      <c r="AK432" s="329">
        <f t="shared" si="329"/>
        <v>0</v>
      </c>
      <c r="AL432" s="329">
        <f t="shared" si="330"/>
        <v>0</v>
      </c>
    </row>
    <row r="433" spans="1:38" s="332" customFormat="1">
      <c r="A433" s="356"/>
      <c r="B433" s="356" t="s">
        <v>33</v>
      </c>
      <c r="C433" s="355">
        <f>IF(G433&lt;&gt;0,$C$429,)</f>
        <v>0</v>
      </c>
      <c r="D433" s="341">
        <f>VLOOKUP(B433,DONGIA,DG!$B$6,0)</f>
        <v>0</v>
      </c>
      <c r="E433" s="340" t="str">
        <f>VLOOKUP(B433,DONGIA,DG!$C$6,0)</f>
        <v>Boulon 16x250+ 2 long đền vuông D18-50x50x3/Zn</v>
      </c>
      <c r="F433" s="341" t="str">
        <f>VLOOKUP(B433,DONGIA,DG!$D$6,0)</f>
        <v>bộ</v>
      </c>
      <c r="G433" s="329">
        <v>2</v>
      </c>
      <c r="H433" s="329">
        <f>VLOOKUP($B433,DONGIA,DG!$E$6,0)</f>
        <v>28000</v>
      </c>
      <c r="I433" s="329"/>
      <c r="J433" s="329"/>
      <c r="K433" s="329">
        <f>VLOOKUP($B433,DONGIA,DG!$F$6,0)</f>
        <v>0</v>
      </c>
      <c r="L433" s="329"/>
      <c r="M433" s="329">
        <f>VLOOKUP($B433,DONGIA,DG!$G$6,0)</f>
        <v>0</v>
      </c>
      <c r="N433" s="329">
        <f>$G433*H433</f>
        <v>56000</v>
      </c>
      <c r="O433" s="329">
        <f t="shared" si="383"/>
        <v>0</v>
      </c>
      <c r="P433" s="329">
        <f t="shared" si="383"/>
        <v>0</v>
      </c>
      <c r="Q433" s="329">
        <f t="shared" si="383"/>
        <v>0</v>
      </c>
      <c r="R433" s="329">
        <f t="shared" si="383"/>
        <v>0</v>
      </c>
      <c r="S433" s="329">
        <f t="shared" si="383"/>
        <v>0</v>
      </c>
      <c r="U433" s="329">
        <f t="shared" si="385"/>
        <v>0</v>
      </c>
      <c r="V433" s="329">
        <f t="shared" si="385"/>
        <v>0</v>
      </c>
      <c r="W433" s="329">
        <f t="shared" si="385"/>
        <v>0</v>
      </c>
      <c r="X433" s="329">
        <f t="shared" si="385"/>
        <v>0</v>
      </c>
      <c r="Y433" s="329">
        <f t="shared" si="385"/>
        <v>0</v>
      </c>
      <c r="Z433" s="329">
        <f t="shared" si="385"/>
        <v>0</v>
      </c>
      <c r="AA433" s="329">
        <f t="shared" si="385"/>
        <v>0</v>
      </c>
      <c r="AB433" s="329">
        <f t="shared" si="385"/>
        <v>0</v>
      </c>
      <c r="AD433" s="332">
        <f t="shared" si="326"/>
        <v>0.23</v>
      </c>
      <c r="AE433" s="329">
        <f t="shared" si="327"/>
        <v>0</v>
      </c>
      <c r="AF433" s="329">
        <f t="shared" si="328"/>
        <v>0</v>
      </c>
      <c r="AG433" s="329">
        <f t="shared" si="328"/>
        <v>0</v>
      </c>
      <c r="AH433" s="329">
        <f t="shared" si="328"/>
        <v>0</v>
      </c>
      <c r="AI433" s="329">
        <f t="shared" si="329"/>
        <v>0</v>
      </c>
      <c r="AJ433" s="329">
        <f t="shared" si="329"/>
        <v>0</v>
      </c>
      <c r="AK433" s="329">
        <f t="shared" si="329"/>
        <v>0</v>
      </c>
      <c r="AL433" s="329">
        <f t="shared" si="330"/>
        <v>0</v>
      </c>
    </row>
    <row r="434" spans="1:38" s="332" customFormat="1">
      <c r="A434" s="356"/>
      <c r="B434" s="356" t="s">
        <v>29</v>
      </c>
      <c r="C434" s="355">
        <f>IF(G434&lt;&gt;0,$C$429,)</f>
        <v>0</v>
      </c>
      <c r="D434" s="341">
        <f>VLOOKUP(B434,DONGIA,DG!$B$6,0)</f>
        <v>0</v>
      </c>
      <c r="E434" s="340" t="str">
        <f>VLOOKUP(B434,DONGIA,DG!$C$6,0)</f>
        <v>Boulon 16x50+ 2 long đền vuông D18-50x50x3/Zn</v>
      </c>
      <c r="F434" s="341" t="str">
        <f>VLOOKUP(B434,DONGIA,DG!$D$6,0)</f>
        <v>bộ</v>
      </c>
      <c r="G434" s="329">
        <v>1</v>
      </c>
      <c r="H434" s="329">
        <f>VLOOKUP($B434,DONGIA,DG!$E$6,0)</f>
        <v>17000</v>
      </c>
      <c r="I434" s="329"/>
      <c r="J434" s="329"/>
      <c r="K434" s="329">
        <f>VLOOKUP($B434,DONGIA,DG!$F$6,0)</f>
        <v>0</v>
      </c>
      <c r="L434" s="329"/>
      <c r="M434" s="329">
        <f>VLOOKUP($B434,DONGIA,DG!$G$6,0)</f>
        <v>0</v>
      </c>
      <c r="N434" s="329">
        <f>$G434*H434</f>
        <v>17000</v>
      </c>
      <c r="O434" s="329">
        <f t="shared" si="383"/>
        <v>0</v>
      </c>
      <c r="P434" s="329">
        <f t="shared" si="383"/>
        <v>0</v>
      </c>
      <c r="Q434" s="329">
        <f t="shared" si="383"/>
        <v>0</v>
      </c>
      <c r="R434" s="329">
        <f t="shared" si="383"/>
        <v>0</v>
      </c>
      <c r="S434" s="329">
        <f t="shared" si="383"/>
        <v>0</v>
      </c>
      <c r="U434" s="329">
        <f t="shared" si="385"/>
        <v>0</v>
      </c>
      <c r="V434" s="329">
        <f t="shared" si="385"/>
        <v>0</v>
      </c>
      <c r="W434" s="329">
        <f t="shared" si="385"/>
        <v>0</v>
      </c>
      <c r="X434" s="329">
        <f t="shared" si="385"/>
        <v>0</v>
      </c>
      <c r="Y434" s="329">
        <f t="shared" si="385"/>
        <v>0</v>
      </c>
      <c r="Z434" s="329">
        <f t="shared" si="385"/>
        <v>0</v>
      </c>
      <c r="AA434" s="329">
        <f t="shared" si="385"/>
        <v>0</v>
      </c>
      <c r="AB434" s="329">
        <f t="shared" si="385"/>
        <v>0</v>
      </c>
      <c r="AD434" s="332">
        <f t="shared" si="326"/>
        <v>0.25</v>
      </c>
      <c r="AE434" s="329">
        <f t="shared" si="327"/>
        <v>0</v>
      </c>
      <c r="AF434" s="329">
        <f t="shared" si="328"/>
        <v>0</v>
      </c>
      <c r="AG434" s="329">
        <f t="shared" si="328"/>
        <v>0</v>
      </c>
      <c r="AH434" s="329">
        <f t="shared" si="328"/>
        <v>0</v>
      </c>
      <c r="AI434" s="329">
        <f t="shared" si="329"/>
        <v>0</v>
      </c>
      <c r="AJ434" s="329">
        <f t="shared" si="329"/>
        <v>0</v>
      </c>
      <c r="AK434" s="329">
        <f t="shared" si="329"/>
        <v>0</v>
      </c>
      <c r="AL434" s="329">
        <f t="shared" si="330"/>
        <v>0</v>
      </c>
    </row>
    <row r="435" spans="1:38" s="332" customFormat="1">
      <c r="A435" s="356"/>
      <c r="B435" s="356" t="s">
        <v>1758</v>
      </c>
      <c r="C435" s="355">
        <f>IF(G435&lt;&gt;0,$C$429,)</f>
        <v>0</v>
      </c>
      <c r="D435" s="341" t="str">
        <f>VLOOKUP(B435,DONGIA,DG!$B$6,0)</f>
        <v>D2.6021c</v>
      </c>
      <c r="E435" s="340" t="str">
        <f>VLOOKUP(B435,DONGIA,DG!$C$6,0)</f>
        <v>Lắp đặt xà thép L75x75x8x800 đơn cột đỡ (13,5504 kg/bộ)</v>
      </c>
      <c r="F435" s="341" t="str">
        <f>VLOOKUP(B435,DONGIA,DG!$D$6,0)</f>
        <v>bộ</v>
      </c>
      <c r="G435" s="329">
        <v>1</v>
      </c>
      <c r="H435" s="329"/>
      <c r="I435" s="329"/>
      <c r="J435" s="329"/>
      <c r="K435" s="329">
        <f>VLOOKUP($B435,DONGIA,DG!$F$6,0)</f>
        <v>279916</v>
      </c>
      <c r="L435" s="329"/>
      <c r="M435" s="329">
        <f>VLOOKUP($B435,DONGIA,DG!$G$6,0)</f>
        <v>0</v>
      </c>
      <c r="N435" s="329">
        <f>$G435*H435</f>
        <v>0</v>
      </c>
      <c r="O435" s="329">
        <f t="shared" si="383"/>
        <v>0</v>
      </c>
      <c r="P435" s="329">
        <f t="shared" si="383"/>
        <v>0</v>
      </c>
      <c r="Q435" s="329">
        <f t="shared" si="383"/>
        <v>279916</v>
      </c>
      <c r="R435" s="329">
        <f t="shared" si="383"/>
        <v>0</v>
      </c>
      <c r="S435" s="329">
        <f t="shared" si="383"/>
        <v>0</v>
      </c>
      <c r="U435" s="329">
        <f t="shared" si="385"/>
        <v>0</v>
      </c>
      <c r="V435" s="329">
        <f t="shared" si="385"/>
        <v>0</v>
      </c>
      <c r="W435" s="329">
        <f t="shared" si="385"/>
        <v>0</v>
      </c>
      <c r="X435" s="329">
        <f t="shared" si="385"/>
        <v>0</v>
      </c>
      <c r="Y435" s="329">
        <f t="shared" si="385"/>
        <v>0</v>
      </c>
      <c r="Z435" s="329">
        <f t="shared" si="385"/>
        <v>0</v>
      </c>
      <c r="AA435" s="329">
        <f t="shared" si="385"/>
        <v>0</v>
      </c>
      <c r="AB435" s="329">
        <f t="shared" si="385"/>
        <v>0</v>
      </c>
      <c r="AD435" s="332">
        <f t="shared" si="326"/>
        <v>0</v>
      </c>
      <c r="AE435" s="329">
        <f t="shared" si="327"/>
        <v>0</v>
      </c>
      <c r="AF435" s="329">
        <f t="shared" si="328"/>
        <v>0</v>
      </c>
      <c r="AG435" s="329">
        <f t="shared" si="328"/>
        <v>0</v>
      </c>
      <c r="AH435" s="329">
        <f t="shared" si="328"/>
        <v>0</v>
      </c>
      <c r="AI435" s="329">
        <f t="shared" si="329"/>
        <v>0</v>
      </c>
      <c r="AJ435" s="329">
        <f t="shared" si="329"/>
        <v>0</v>
      </c>
      <c r="AK435" s="329">
        <f t="shared" si="329"/>
        <v>0</v>
      </c>
      <c r="AL435" s="329">
        <f t="shared" si="330"/>
        <v>0</v>
      </c>
    </row>
    <row r="436" spans="1:38" s="332" customFormat="1">
      <c r="A436" s="356" t="s">
        <v>1835</v>
      </c>
      <c r="B436" s="356"/>
      <c r="C436" s="355">
        <f>IF(G436&lt;&gt;0,1,)</f>
        <v>0</v>
      </c>
      <c r="D436" s="357"/>
      <c r="E436" s="358" t="s">
        <v>1685</v>
      </c>
      <c r="F436" s="357" t="s">
        <v>138</v>
      </c>
      <c r="G436" s="357">
        <f>U436</f>
        <v>0</v>
      </c>
      <c r="H436" s="358"/>
      <c r="I436" s="358"/>
      <c r="J436" s="358"/>
      <c r="K436" s="358"/>
      <c r="L436" s="358"/>
      <c r="M436" s="358"/>
      <c r="N436" s="358">
        <f t="shared" ref="N436:S436" si="386">SUM(N438:N443)</f>
        <v>568000</v>
      </c>
      <c r="O436" s="358">
        <f t="shared" si="386"/>
        <v>0</v>
      </c>
      <c r="P436" s="358">
        <f t="shared" si="386"/>
        <v>0</v>
      </c>
      <c r="Q436" s="358">
        <f t="shared" si="386"/>
        <v>378710</v>
      </c>
      <c r="R436" s="358">
        <f t="shared" si="386"/>
        <v>0</v>
      </c>
      <c r="S436" s="358">
        <f t="shared" si="386"/>
        <v>0</v>
      </c>
      <c r="U436" s="358">
        <f>SUM(V436:AB436)</f>
        <v>0</v>
      </c>
      <c r="V436" s="358">
        <f>IFERROR(HLOOKUP($A436,BK3P,V$3,0),)</f>
        <v>0</v>
      </c>
      <c r="W436" s="358">
        <f>IFERROR(HLOOKUP($A436,BK3P,W$3,0),)</f>
        <v>0</v>
      </c>
      <c r="X436" s="358">
        <f>IFERROR(HLOOKUP($A436,BK3P,X$3,0),)</f>
        <v>0</v>
      </c>
      <c r="Y436" s="358">
        <f>IFERROR(HLOOKUP($A436,BK1P,Y$3,0),)</f>
        <v>0</v>
      </c>
      <c r="Z436" s="358">
        <f>IFERROR(HLOOKUP($A436,BK1P,Z$3,0),)</f>
        <v>0</v>
      </c>
      <c r="AA436" s="358">
        <f>IFERROR(HLOOKUP($A436,BK1P,AA$3,0),)</f>
        <v>0</v>
      </c>
      <c r="AB436" s="358">
        <f>IFERROR(HLOOKUP($A436,BKHT,AB$3,0),)</f>
        <v>0</v>
      </c>
      <c r="AD436" s="332">
        <f t="shared" si="326"/>
        <v>0</v>
      </c>
      <c r="AE436" s="329">
        <f t="shared" si="327"/>
        <v>0</v>
      </c>
      <c r="AF436" s="329">
        <f t="shared" si="328"/>
        <v>0</v>
      </c>
      <c r="AG436" s="329">
        <f t="shared" si="328"/>
        <v>0</v>
      </c>
      <c r="AH436" s="329">
        <f t="shared" si="328"/>
        <v>0</v>
      </c>
      <c r="AI436" s="329">
        <f t="shared" si="329"/>
        <v>0</v>
      </c>
      <c r="AJ436" s="329">
        <f t="shared" si="329"/>
        <v>0</v>
      </c>
      <c r="AK436" s="329">
        <f t="shared" si="329"/>
        <v>0</v>
      </c>
      <c r="AL436" s="329">
        <f t="shared" si="330"/>
        <v>0</v>
      </c>
    </row>
    <row r="437" spans="1:38" s="361" customFormat="1">
      <c r="A437" s="359"/>
      <c r="B437" s="359"/>
      <c r="C437" s="360">
        <f>C436</f>
        <v>0</v>
      </c>
      <c r="D437" s="350"/>
      <c r="E437" s="351" t="s">
        <v>1659</v>
      </c>
      <c r="F437" s="350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U437" s="351"/>
      <c r="V437" s="351"/>
      <c r="W437" s="351"/>
      <c r="X437" s="351"/>
      <c r="Y437" s="351"/>
      <c r="Z437" s="351"/>
      <c r="AA437" s="351"/>
      <c r="AB437" s="351"/>
      <c r="AD437" s="332">
        <f t="shared" si="326"/>
        <v>0</v>
      </c>
      <c r="AE437" s="329">
        <f t="shared" si="327"/>
        <v>0</v>
      </c>
      <c r="AF437" s="329">
        <f t="shared" si="328"/>
        <v>0</v>
      </c>
      <c r="AG437" s="329">
        <f t="shared" si="328"/>
        <v>0</v>
      </c>
      <c r="AH437" s="329">
        <f t="shared" si="328"/>
        <v>0</v>
      </c>
      <c r="AI437" s="329">
        <f t="shared" si="329"/>
        <v>0</v>
      </c>
      <c r="AJ437" s="329">
        <f t="shared" si="329"/>
        <v>0</v>
      </c>
      <c r="AK437" s="329">
        <f t="shared" si="329"/>
        <v>0</v>
      </c>
      <c r="AL437" s="329">
        <f t="shared" si="330"/>
        <v>0</v>
      </c>
    </row>
    <row r="438" spans="1:38" s="332" customFormat="1">
      <c r="A438" s="356"/>
      <c r="B438" s="356" t="s">
        <v>1754</v>
      </c>
      <c r="C438" s="355">
        <f t="shared" ref="C438:C443" si="387">IF(G438&lt;&gt;0,$C$436,)</f>
        <v>0</v>
      </c>
      <c r="D438" s="341">
        <f>VLOOKUP(B438,DONGIA,DG!$B$6,0)</f>
        <v>0</v>
      </c>
      <c r="E438" s="340" t="str">
        <f>VLOOKUP(B438,DONGIA,DG!$C$6,0)</f>
        <v>Đà sắt L75x75x8-800 - 1 ốp</v>
      </c>
      <c r="F438" s="341" t="str">
        <f>VLOOKUP(B438,DONGIA,DG!$D$6,0)</f>
        <v>cái</v>
      </c>
      <c r="G438" s="329">
        <v>2</v>
      </c>
      <c r="H438" s="329">
        <f>VLOOKUP($B438,DONGIA,DG!$E$6,0)</f>
        <v>217000</v>
      </c>
      <c r="I438" s="329"/>
      <c r="J438" s="329"/>
      <c r="K438" s="329">
        <f>VLOOKUP($B438,DONGIA,DG!$F$6,0)</f>
        <v>0</v>
      </c>
      <c r="L438" s="329"/>
      <c r="M438" s="329">
        <f>VLOOKUP($B438,DONGIA,DG!$G$6,0)</f>
        <v>0</v>
      </c>
      <c r="N438" s="329">
        <f t="shared" ref="N438:N443" si="388">$G438*H438</f>
        <v>434000</v>
      </c>
      <c r="O438" s="329">
        <f t="shared" ref="O438:S443" si="389">$G438*I438</f>
        <v>0</v>
      </c>
      <c r="P438" s="329">
        <f t="shared" si="389"/>
        <v>0</v>
      </c>
      <c r="Q438" s="329">
        <f t="shared" si="389"/>
        <v>0</v>
      </c>
      <c r="R438" s="329">
        <f t="shared" si="389"/>
        <v>0</v>
      </c>
      <c r="S438" s="329">
        <f t="shared" si="389"/>
        <v>0</v>
      </c>
      <c r="U438" s="329">
        <f t="shared" ref="U438:U443" si="390">U$436*$G438</f>
        <v>0</v>
      </c>
      <c r="V438" s="329">
        <f t="shared" ref="V438:AB443" si="391">V$436*$G438</f>
        <v>0</v>
      </c>
      <c r="W438" s="329">
        <f t="shared" si="391"/>
        <v>0</v>
      </c>
      <c r="X438" s="329">
        <f t="shared" si="391"/>
        <v>0</v>
      </c>
      <c r="Y438" s="329">
        <f t="shared" si="391"/>
        <v>0</v>
      </c>
      <c r="Z438" s="329">
        <f t="shared" si="391"/>
        <v>0</v>
      </c>
      <c r="AA438" s="329">
        <f t="shared" si="391"/>
        <v>0</v>
      </c>
      <c r="AB438" s="329">
        <f t="shared" si="391"/>
        <v>0</v>
      </c>
      <c r="AD438" s="332">
        <f t="shared" si="326"/>
        <v>12.3</v>
      </c>
      <c r="AE438" s="329">
        <f t="shared" si="327"/>
        <v>0</v>
      </c>
      <c r="AF438" s="329">
        <f t="shared" si="328"/>
        <v>0</v>
      </c>
      <c r="AG438" s="329">
        <f t="shared" si="328"/>
        <v>0</v>
      </c>
      <c r="AH438" s="329">
        <f t="shared" si="328"/>
        <v>0</v>
      </c>
      <c r="AI438" s="329">
        <f t="shared" si="329"/>
        <v>0</v>
      </c>
      <c r="AJ438" s="329">
        <f t="shared" si="329"/>
        <v>0</v>
      </c>
      <c r="AK438" s="329">
        <f t="shared" si="329"/>
        <v>0</v>
      </c>
      <c r="AL438" s="329">
        <f t="shared" si="330"/>
        <v>0</v>
      </c>
    </row>
    <row r="439" spans="1:38" s="332" customFormat="1">
      <c r="A439" s="356"/>
      <c r="B439" s="356" t="s">
        <v>1756</v>
      </c>
      <c r="C439" s="355">
        <f t="shared" si="387"/>
        <v>0</v>
      </c>
      <c r="D439" s="341">
        <f>VLOOKUP(B439,DONGIA,DG!$B$6,0)</f>
        <v>0</v>
      </c>
      <c r="E439" s="340" t="str">
        <f>VLOOKUP(B439,DONGIA,DG!$C$6,0)</f>
        <v>Thanh chống L50x50x5-700</v>
      </c>
      <c r="F439" s="341" t="str">
        <f>VLOOKUP(B439,DONGIA,DG!$D$6,0)</f>
        <v>cái</v>
      </c>
      <c r="G439" s="329">
        <v>2</v>
      </c>
      <c r="H439" s="329">
        <f>VLOOKUP($B439,DONGIA,DG!$E$6,0)</f>
        <v>0</v>
      </c>
      <c r="I439" s="329"/>
      <c r="J439" s="329"/>
      <c r="K439" s="329">
        <f>VLOOKUP($B439,DONGIA,DG!$F$6,0)</f>
        <v>0</v>
      </c>
      <c r="L439" s="329"/>
      <c r="M439" s="329">
        <f>VLOOKUP($B439,DONGIA,DG!$G$6,0)</f>
        <v>0</v>
      </c>
      <c r="N439" s="329">
        <f t="shared" si="388"/>
        <v>0</v>
      </c>
      <c r="O439" s="329">
        <f t="shared" si="389"/>
        <v>0</v>
      </c>
      <c r="P439" s="329">
        <f t="shared" si="389"/>
        <v>0</v>
      </c>
      <c r="Q439" s="329">
        <f t="shared" si="389"/>
        <v>0</v>
      </c>
      <c r="R439" s="329">
        <f t="shared" si="389"/>
        <v>0</v>
      </c>
      <c r="S439" s="329">
        <f t="shared" si="389"/>
        <v>0</v>
      </c>
      <c r="U439" s="329">
        <f t="shared" si="390"/>
        <v>0</v>
      </c>
      <c r="V439" s="329">
        <f t="shared" si="391"/>
        <v>0</v>
      </c>
      <c r="W439" s="329">
        <f t="shared" si="391"/>
        <v>0</v>
      </c>
      <c r="X439" s="329">
        <f t="shared" si="391"/>
        <v>0</v>
      </c>
      <c r="Y439" s="329">
        <f t="shared" si="391"/>
        <v>0</v>
      </c>
      <c r="Z439" s="329">
        <f t="shared" si="391"/>
        <v>0</v>
      </c>
      <c r="AA439" s="329">
        <f t="shared" si="391"/>
        <v>0</v>
      </c>
      <c r="AB439" s="329">
        <f t="shared" si="391"/>
        <v>0</v>
      </c>
      <c r="AD439" s="332">
        <f t="shared" si="326"/>
        <v>3</v>
      </c>
      <c r="AE439" s="329">
        <f t="shared" si="327"/>
        <v>0</v>
      </c>
      <c r="AF439" s="329">
        <f t="shared" si="328"/>
        <v>0</v>
      </c>
      <c r="AG439" s="329">
        <f t="shared" si="328"/>
        <v>0</v>
      </c>
      <c r="AH439" s="329">
        <f t="shared" si="328"/>
        <v>0</v>
      </c>
      <c r="AI439" s="329">
        <f t="shared" si="329"/>
        <v>0</v>
      </c>
      <c r="AJ439" s="329">
        <f t="shared" si="329"/>
        <v>0</v>
      </c>
      <c r="AK439" s="329">
        <f t="shared" si="329"/>
        <v>0</v>
      </c>
      <c r="AL439" s="329">
        <f t="shared" si="330"/>
        <v>0</v>
      </c>
    </row>
    <row r="440" spans="1:38" s="332" customFormat="1">
      <c r="A440" s="356"/>
      <c r="B440" s="356" t="s">
        <v>35</v>
      </c>
      <c r="C440" s="355">
        <f t="shared" si="387"/>
        <v>0</v>
      </c>
      <c r="D440" s="341">
        <f>VLOOKUP(B440,DONGIA,DG!$B$6,0)</f>
        <v>0</v>
      </c>
      <c r="E440" s="340" t="str">
        <f>VLOOKUP(B440,DONGIA,DG!$C$6,0)</f>
        <v>Boulon 16x300+ 2 long đền vuông D18-50x50x3/Zn</v>
      </c>
      <c r="F440" s="341" t="str">
        <f>VLOOKUP(B440,DONGIA,DG!$D$6,0)</f>
        <v>bộ</v>
      </c>
      <c r="G440" s="329">
        <v>2</v>
      </c>
      <c r="H440" s="329">
        <f>VLOOKUP($B440,DONGIA,DG!$E$6,0)</f>
        <v>30000</v>
      </c>
      <c r="I440" s="329"/>
      <c r="J440" s="329"/>
      <c r="K440" s="329">
        <f>VLOOKUP($B440,DONGIA,DG!$F$6,0)</f>
        <v>0</v>
      </c>
      <c r="L440" s="329"/>
      <c r="M440" s="329">
        <f>VLOOKUP($B440,DONGIA,DG!$G$6,0)</f>
        <v>0</v>
      </c>
      <c r="N440" s="329">
        <f t="shared" si="388"/>
        <v>60000</v>
      </c>
      <c r="O440" s="329">
        <f t="shared" si="389"/>
        <v>0</v>
      </c>
      <c r="P440" s="329">
        <f t="shared" si="389"/>
        <v>0</v>
      </c>
      <c r="Q440" s="329">
        <f t="shared" si="389"/>
        <v>0</v>
      </c>
      <c r="R440" s="329">
        <f t="shared" si="389"/>
        <v>0</v>
      </c>
      <c r="S440" s="329">
        <f t="shared" si="389"/>
        <v>0</v>
      </c>
      <c r="U440" s="329">
        <f t="shared" si="390"/>
        <v>0</v>
      </c>
      <c r="V440" s="329">
        <f t="shared" si="391"/>
        <v>0</v>
      </c>
      <c r="W440" s="329">
        <f t="shared" si="391"/>
        <v>0</v>
      </c>
      <c r="X440" s="329">
        <f t="shared" si="391"/>
        <v>0</v>
      </c>
      <c r="Y440" s="329">
        <f t="shared" si="391"/>
        <v>0</v>
      </c>
      <c r="Z440" s="329">
        <f t="shared" si="391"/>
        <v>0</v>
      </c>
      <c r="AA440" s="329">
        <f t="shared" si="391"/>
        <v>0</v>
      </c>
      <c r="AB440" s="329">
        <f t="shared" si="391"/>
        <v>0</v>
      </c>
      <c r="AD440" s="332">
        <f t="shared" si="326"/>
        <v>0.25</v>
      </c>
      <c r="AE440" s="329">
        <f t="shared" si="327"/>
        <v>0</v>
      </c>
      <c r="AF440" s="329">
        <f t="shared" si="328"/>
        <v>0</v>
      </c>
      <c r="AG440" s="329">
        <f t="shared" si="328"/>
        <v>0</v>
      </c>
      <c r="AH440" s="329">
        <f t="shared" si="328"/>
        <v>0</v>
      </c>
      <c r="AI440" s="329">
        <f t="shared" si="329"/>
        <v>0</v>
      </c>
      <c r="AJ440" s="329">
        <f t="shared" si="329"/>
        <v>0</v>
      </c>
      <c r="AK440" s="329">
        <f t="shared" si="329"/>
        <v>0</v>
      </c>
      <c r="AL440" s="329">
        <f t="shared" si="330"/>
        <v>0</v>
      </c>
    </row>
    <row r="441" spans="1:38" s="332" customFormat="1">
      <c r="A441" s="356"/>
      <c r="B441" s="356" t="s">
        <v>49</v>
      </c>
      <c r="C441" s="355">
        <f t="shared" si="387"/>
        <v>0</v>
      </c>
      <c r="D441" s="341">
        <f>VLOOKUP(B441,DONGIA,DG!$B$6,0)</f>
        <v>0</v>
      </c>
      <c r="E441" s="340" t="str">
        <f>VLOOKUP(B441,DONGIA,DG!$C$6,0)</f>
        <v>Boulon 16x300VRS + 4 long đền vuông D18-50x50x3/Zn</v>
      </c>
      <c r="F441" s="341" t="str">
        <f>VLOOKUP(B441,DONGIA,DG!$D$6,0)</f>
        <v>bộ</v>
      </c>
      <c r="G441" s="329">
        <v>1</v>
      </c>
      <c r="H441" s="329">
        <f>VLOOKUP($B441,DONGIA,DG!$E$6,0)</f>
        <v>40000</v>
      </c>
      <c r="I441" s="329"/>
      <c r="J441" s="329"/>
      <c r="K441" s="329">
        <f>VLOOKUP($B441,DONGIA,DG!$F$6,0)</f>
        <v>0</v>
      </c>
      <c r="L441" s="329"/>
      <c r="M441" s="329">
        <f>VLOOKUP($B441,DONGIA,DG!$G$6,0)</f>
        <v>0</v>
      </c>
      <c r="N441" s="329">
        <f t="shared" si="388"/>
        <v>40000</v>
      </c>
      <c r="O441" s="329">
        <f t="shared" si="389"/>
        <v>0</v>
      </c>
      <c r="P441" s="329">
        <f t="shared" si="389"/>
        <v>0</v>
      </c>
      <c r="Q441" s="329">
        <f t="shared" si="389"/>
        <v>0</v>
      </c>
      <c r="R441" s="329">
        <f t="shared" si="389"/>
        <v>0</v>
      </c>
      <c r="S441" s="329">
        <f t="shared" si="389"/>
        <v>0</v>
      </c>
      <c r="U441" s="329">
        <f t="shared" si="390"/>
        <v>0</v>
      </c>
      <c r="V441" s="329">
        <f t="shared" si="391"/>
        <v>0</v>
      </c>
      <c r="W441" s="329">
        <f t="shared" si="391"/>
        <v>0</v>
      </c>
      <c r="X441" s="329">
        <f t="shared" si="391"/>
        <v>0</v>
      </c>
      <c r="Y441" s="329">
        <f t="shared" si="391"/>
        <v>0</v>
      </c>
      <c r="Z441" s="329">
        <f t="shared" si="391"/>
        <v>0</v>
      </c>
      <c r="AA441" s="329">
        <f t="shared" si="391"/>
        <v>0</v>
      </c>
      <c r="AB441" s="329">
        <f t="shared" si="391"/>
        <v>0</v>
      </c>
      <c r="AD441" s="332">
        <f t="shared" si="326"/>
        <v>0.3</v>
      </c>
      <c r="AE441" s="329">
        <f t="shared" si="327"/>
        <v>0</v>
      </c>
      <c r="AF441" s="329">
        <f t="shared" si="328"/>
        <v>0</v>
      </c>
      <c r="AG441" s="329">
        <f t="shared" si="328"/>
        <v>0</v>
      </c>
      <c r="AH441" s="329">
        <f t="shared" si="328"/>
        <v>0</v>
      </c>
      <c r="AI441" s="329">
        <f t="shared" si="329"/>
        <v>0</v>
      </c>
      <c r="AJ441" s="329">
        <f t="shared" si="329"/>
        <v>0</v>
      </c>
      <c r="AK441" s="329">
        <f t="shared" si="329"/>
        <v>0</v>
      </c>
      <c r="AL441" s="329">
        <f t="shared" si="330"/>
        <v>0</v>
      </c>
    </row>
    <row r="442" spans="1:38" s="332" customFormat="1">
      <c r="A442" s="356"/>
      <c r="B442" s="356" t="s">
        <v>29</v>
      </c>
      <c r="C442" s="355">
        <f t="shared" si="387"/>
        <v>0</v>
      </c>
      <c r="D442" s="341">
        <f>VLOOKUP(B442,DONGIA,DG!$B$6,0)</f>
        <v>0</v>
      </c>
      <c r="E442" s="340" t="str">
        <f>VLOOKUP(B442,DONGIA,DG!$C$6,0)</f>
        <v>Boulon 16x50+ 2 long đền vuông D18-50x50x3/Zn</v>
      </c>
      <c r="F442" s="341" t="str">
        <f>VLOOKUP(B442,DONGIA,DG!$D$6,0)</f>
        <v>bộ</v>
      </c>
      <c r="G442" s="329">
        <v>2</v>
      </c>
      <c r="H442" s="329">
        <f>VLOOKUP($B442,DONGIA,DG!$E$6,0)</f>
        <v>17000</v>
      </c>
      <c r="I442" s="329"/>
      <c r="J442" s="329"/>
      <c r="K442" s="329">
        <f>VLOOKUP($B442,DONGIA,DG!$F$6,0)</f>
        <v>0</v>
      </c>
      <c r="L442" s="329"/>
      <c r="M442" s="329">
        <f>VLOOKUP($B442,DONGIA,DG!$G$6,0)</f>
        <v>0</v>
      </c>
      <c r="N442" s="329">
        <f t="shared" si="388"/>
        <v>34000</v>
      </c>
      <c r="O442" s="329">
        <f t="shared" si="389"/>
        <v>0</v>
      </c>
      <c r="P442" s="329">
        <f t="shared" si="389"/>
        <v>0</v>
      </c>
      <c r="Q442" s="329">
        <f t="shared" si="389"/>
        <v>0</v>
      </c>
      <c r="R442" s="329">
        <f t="shared" si="389"/>
        <v>0</v>
      </c>
      <c r="S442" s="329">
        <f t="shared" si="389"/>
        <v>0</v>
      </c>
      <c r="U442" s="329">
        <f t="shared" si="390"/>
        <v>0</v>
      </c>
      <c r="V442" s="329">
        <f t="shared" si="391"/>
        <v>0</v>
      </c>
      <c r="W442" s="329">
        <f t="shared" si="391"/>
        <v>0</v>
      </c>
      <c r="X442" s="329">
        <f t="shared" si="391"/>
        <v>0</v>
      </c>
      <c r="Y442" s="329">
        <f t="shared" si="391"/>
        <v>0</v>
      </c>
      <c r="Z442" s="329">
        <f t="shared" si="391"/>
        <v>0</v>
      </c>
      <c r="AA442" s="329">
        <f t="shared" si="391"/>
        <v>0</v>
      </c>
      <c r="AB442" s="329">
        <f t="shared" si="391"/>
        <v>0</v>
      </c>
      <c r="AD442" s="332">
        <f t="shared" si="326"/>
        <v>0.25</v>
      </c>
      <c r="AE442" s="329">
        <f t="shared" si="327"/>
        <v>0</v>
      </c>
      <c r="AF442" s="329">
        <f t="shared" si="328"/>
        <v>0</v>
      </c>
      <c r="AG442" s="329">
        <f t="shared" si="328"/>
        <v>0</v>
      </c>
      <c r="AH442" s="329">
        <f t="shared" si="328"/>
        <v>0</v>
      </c>
      <c r="AI442" s="329">
        <f t="shared" si="329"/>
        <v>0</v>
      </c>
      <c r="AJ442" s="329">
        <f t="shared" si="329"/>
        <v>0</v>
      </c>
      <c r="AK442" s="329">
        <f t="shared" si="329"/>
        <v>0</v>
      </c>
      <c r="AL442" s="329">
        <f t="shared" si="330"/>
        <v>0</v>
      </c>
    </row>
    <row r="443" spans="1:38" s="332" customFormat="1">
      <c r="A443" s="356"/>
      <c r="B443" s="356" t="s">
        <v>1759</v>
      </c>
      <c r="C443" s="355">
        <f t="shared" si="387"/>
        <v>0</v>
      </c>
      <c r="D443" s="341" t="str">
        <f>VLOOKUP(B443,DONGIA,DG!$B$6,0)</f>
        <v>D2.6031c</v>
      </c>
      <c r="E443" s="340" t="str">
        <f>VLOOKUP(B443,DONGIA,DG!$C$6,0)</f>
        <v>Lắp đặt xà thép L75x75x8x800 kép cột đỡ (26,55 kg/bộ)</v>
      </c>
      <c r="F443" s="341" t="str">
        <f>VLOOKUP(B443,DONGIA,DG!$D$6,0)</f>
        <v>bộ</v>
      </c>
      <c r="G443" s="329">
        <v>1</v>
      </c>
      <c r="H443" s="329"/>
      <c r="I443" s="329"/>
      <c r="J443" s="329"/>
      <c r="K443" s="329">
        <f>VLOOKUP($B443,DONGIA,DG!$F$6,0)</f>
        <v>378710</v>
      </c>
      <c r="L443" s="329"/>
      <c r="M443" s="329">
        <f>VLOOKUP($B443,DONGIA,DG!$G$6,0)</f>
        <v>0</v>
      </c>
      <c r="N443" s="329">
        <f t="shared" si="388"/>
        <v>0</v>
      </c>
      <c r="O443" s="329">
        <f t="shared" si="389"/>
        <v>0</v>
      </c>
      <c r="P443" s="329">
        <f t="shared" si="389"/>
        <v>0</v>
      </c>
      <c r="Q443" s="329">
        <f t="shared" si="389"/>
        <v>378710</v>
      </c>
      <c r="R443" s="329">
        <f t="shared" si="389"/>
        <v>0</v>
      </c>
      <c r="S443" s="329">
        <f t="shared" si="389"/>
        <v>0</v>
      </c>
      <c r="U443" s="329">
        <f t="shared" si="390"/>
        <v>0</v>
      </c>
      <c r="V443" s="329">
        <f t="shared" si="391"/>
        <v>0</v>
      </c>
      <c r="W443" s="329">
        <f t="shared" si="391"/>
        <v>0</v>
      </c>
      <c r="X443" s="329">
        <f t="shared" si="391"/>
        <v>0</v>
      </c>
      <c r="Y443" s="329">
        <f t="shared" si="391"/>
        <v>0</v>
      </c>
      <c r="Z443" s="329">
        <f t="shared" si="391"/>
        <v>0</v>
      </c>
      <c r="AA443" s="329">
        <f t="shared" si="391"/>
        <v>0</v>
      </c>
      <c r="AB443" s="329">
        <f t="shared" si="391"/>
        <v>0</v>
      </c>
      <c r="AD443" s="332">
        <f t="shared" si="326"/>
        <v>0</v>
      </c>
      <c r="AE443" s="329">
        <f t="shared" si="327"/>
        <v>0</v>
      </c>
      <c r="AF443" s="329">
        <f t="shared" si="328"/>
        <v>0</v>
      </c>
      <c r="AG443" s="329">
        <f t="shared" si="328"/>
        <v>0</v>
      </c>
      <c r="AH443" s="329">
        <f t="shared" si="328"/>
        <v>0</v>
      </c>
      <c r="AI443" s="329">
        <f t="shared" si="329"/>
        <v>0</v>
      </c>
      <c r="AJ443" s="329">
        <f t="shared" si="329"/>
        <v>0</v>
      </c>
      <c r="AK443" s="329">
        <f t="shared" si="329"/>
        <v>0</v>
      </c>
      <c r="AL443" s="329">
        <f t="shared" si="330"/>
        <v>0</v>
      </c>
    </row>
    <row r="444" spans="1:38">
      <c r="A444" s="618" t="s">
        <v>1493</v>
      </c>
      <c r="B444" s="618"/>
      <c r="C444" s="619">
        <f>IF(G444&lt;&gt;0,1,)</f>
        <v>1</v>
      </c>
      <c r="D444" s="622"/>
      <c r="E444" s="733" t="s">
        <v>2732</v>
      </c>
      <c r="F444" s="622" t="s">
        <v>138</v>
      </c>
      <c r="G444" s="622">
        <f>U444</f>
        <v>24</v>
      </c>
      <c r="H444" s="623"/>
      <c r="I444" s="623"/>
      <c r="J444" s="623"/>
      <c r="K444" s="623"/>
      <c r="L444" s="623"/>
      <c r="M444" s="623"/>
      <c r="N444" s="623">
        <f t="shared" ref="N444:S444" si="392">SUM(N446:N450)</f>
        <v>739600</v>
      </c>
      <c r="O444" s="623">
        <f t="shared" si="392"/>
        <v>0</v>
      </c>
      <c r="P444" s="623">
        <f t="shared" si="392"/>
        <v>0</v>
      </c>
      <c r="Q444" s="623">
        <f t="shared" si="392"/>
        <v>286074</v>
      </c>
      <c r="R444" s="623">
        <f t="shared" si="392"/>
        <v>0</v>
      </c>
      <c r="S444" s="623">
        <f t="shared" si="392"/>
        <v>0</v>
      </c>
      <c r="U444" s="623">
        <f>SUM(V444:AB444)</f>
        <v>24</v>
      </c>
      <c r="V444" s="623">
        <f>IFERROR(HLOOKUP($A444,BK3P,V$3,0),)</f>
        <v>24</v>
      </c>
      <c r="W444" s="623">
        <f>IFERROR(HLOOKUP($A444,BK3P,W$3,0),)</f>
        <v>0</v>
      </c>
      <c r="X444" s="623">
        <f>IFERROR(HLOOKUP($A444,BK3P,X$3,0),)</f>
        <v>0</v>
      </c>
      <c r="Y444" s="623">
        <f>IFERROR(HLOOKUP($A444,BK1P,Y$3,0),)</f>
        <v>0</v>
      </c>
      <c r="Z444" s="623">
        <f>IFERROR(HLOOKUP($A444,BK1P,Z$3,0),)</f>
        <v>0</v>
      </c>
      <c r="AA444" s="623">
        <f>IFERROR(HLOOKUP($A444,BK1P,AA$3,0),)</f>
        <v>0</v>
      </c>
      <c r="AB444" s="623">
        <f>IFERROR(HLOOKUP($A444,BKHT,AB$3,0),)</f>
        <v>0</v>
      </c>
      <c r="AD444" s="405">
        <f t="shared" si="326"/>
        <v>0</v>
      </c>
      <c r="AE444" s="525">
        <f t="shared" si="327"/>
        <v>0</v>
      </c>
      <c r="AF444" s="525">
        <f t="shared" si="328"/>
        <v>0</v>
      </c>
      <c r="AG444" s="525">
        <f t="shared" si="328"/>
        <v>0</v>
      </c>
      <c r="AH444" s="525">
        <f t="shared" si="328"/>
        <v>0</v>
      </c>
      <c r="AI444" s="525">
        <f t="shared" si="329"/>
        <v>0</v>
      </c>
      <c r="AJ444" s="525">
        <f t="shared" si="329"/>
        <v>0</v>
      </c>
      <c r="AK444" s="525">
        <f t="shared" si="329"/>
        <v>0</v>
      </c>
      <c r="AL444" s="525">
        <f t="shared" si="330"/>
        <v>0</v>
      </c>
    </row>
    <row r="445" spans="1:38" s="542" customFormat="1">
      <c r="A445" s="624"/>
      <c r="B445" s="624"/>
      <c r="C445" s="625">
        <f>C444</f>
        <v>1</v>
      </c>
      <c r="D445" s="544"/>
      <c r="E445" s="734" t="s">
        <v>1659</v>
      </c>
      <c r="F445" s="544"/>
      <c r="G445" s="545"/>
      <c r="H445" s="545"/>
      <c r="I445" s="545"/>
      <c r="J445" s="545"/>
      <c r="K445" s="545"/>
      <c r="L445" s="545"/>
      <c r="M445" s="545"/>
      <c r="N445" s="545"/>
      <c r="O445" s="545"/>
      <c r="P445" s="545"/>
      <c r="Q445" s="545"/>
      <c r="R445" s="545"/>
      <c r="S445" s="545"/>
      <c r="U445" s="545"/>
      <c r="V445" s="545"/>
      <c r="W445" s="545"/>
      <c r="X445" s="545"/>
      <c r="Y445" s="545"/>
      <c r="Z445" s="545"/>
      <c r="AA445" s="545"/>
      <c r="AB445" s="545"/>
      <c r="AD445" s="405">
        <f t="shared" si="326"/>
        <v>0</v>
      </c>
      <c r="AE445" s="525">
        <f t="shared" si="327"/>
        <v>0</v>
      </c>
      <c r="AF445" s="525">
        <f t="shared" si="328"/>
        <v>0</v>
      </c>
      <c r="AG445" s="525">
        <f t="shared" si="328"/>
        <v>0</v>
      </c>
      <c r="AH445" s="525">
        <f t="shared" si="328"/>
        <v>0</v>
      </c>
      <c r="AI445" s="525">
        <f t="shared" si="329"/>
        <v>0</v>
      </c>
      <c r="AJ445" s="525">
        <f t="shared" si="329"/>
        <v>0</v>
      </c>
      <c r="AK445" s="525">
        <f t="shared" si="329"/>
        <v>0</v>
      </c>
      <c r="AL445" s="525">
        <f t="shared" si="330"/>
        <v>0</v>
      </c>
    </row>
    <row r="446" spans="1:38">
      <c r="A446" s="618"/>
      <c r="B446" s="618" t="s">
        <v>414</v>
      </c>
      <c r="C446" s="619">
        <f>IF(G446&lt;&gt;0,$C$444,)</f>
        <v>1</v>
      </c>
      <c r="D446" s="523">
        <f>VLOOKUP(B446,DONGIA,DG!$B$6,0)</f>
        <v>0</v>
      </c>
      <c r="E446" s="666" t="str">
        <f>VLOOKUP(B446,DONGIA,DG!$C$6,0)</f>
        <v>Đà sắt L75x75x8-1660 - 2 ốp</v>
      </c>
      <c r="F446" s="523" t="str">
        <f>VLOOKUP(B446,DONGIA,DG!$D$6,0)</f>
        <v>cái</v>
      </c>
      <c r="G446" s="525">
        <v>1</v>
      </c>
      <c r="H446" s="525">
        <f>VLOOKUP($B446,DONGIA,DG!$E$6,0)</f>
        <v>474000</v>
      </c>
      <c r="I446" s="525"/>
      <c r="J446" s="525"/>
      <c r="K446" s="525">
        <f>VLOOKUP($B446,DONGIA,DG!$F$6,0)</f>
        <v>0</v>
      </c>
      <c r="L446" s="525"/>
      <c r="M446" s="525">
        <f>VLOOKUP($B446,DONGIA,DG!$G$6,0)</f>
        <v>0</v>
      </c>
      <c r="N446" s="525">
        <f>$G446*H446</f>
        <v>474000</v>
      </c>
      <c r="O446" s="525">
        <f t="shared" ref="O446:S450" si="393">$G446*I446</f>
        <v>0</v>
      </c>
      <c r="P446" s="525">
        <f t="shared" si="393"/>
        <v>0</v>
      </c>
      <c r="Q446" s="525">
        <f t="shared" si="393"/>
        <v>0</v>
      </c>
      <c r="R446" s="525">
        <f t="shared" si="393"/>
        <v>0</v>
      </c>
      <c r="S446" s="525">
        <f t="shared" si="393"/>
        <v>0</v>
      </c>
      <c r="U446" s="525">
        <f>U$444*$G446</f>
        <v>24</v>
      </c>
      <c r="V446" s="525">
        <f t="shared" ref="V446:AB446" si="394">V$444*$G446</f>
        <v>24</v>
      </c>
      <c r="W446" s="525">
        <f t="shared" si="394"/>
        <v>0</v>
      </c>
      <c r="X446" s="525">
        <f t="shared" si="394"/>
        <v>0</v>
      </c>
      <c r="Y446" s="525">
        <f t="shared" si="394"/>
        <v>0</v>
      </c>
      <c r="Z446" s="525">
        <f t="shared" si="394"/>
        <v>0</v>
      </c>
      <c r="AA446" s="525">
        <f t="shared" si="394"/>
        <v>0</v>
      </c>
      <c r="AB446" s="525">
        <f t="shared" si="394"/>
        <v>0</v>
      </c>
      <c r="AD446" s="405">
        <f t="shared" si="326"/>
        <v>23</v>
      </c>
      <c r="AE446" s="525">
        <f t="shared" si="327"/>
        <v>552</v>
      </c>
      <c r="AF446" s="525">
        <f t="shared" si="328"/>
        <v>552</v>
      </c>
      <c r="AG446" s="525">
        <f t="shared" si="328"/>
        <v>0</v>
      </c>
      <c r="AH446" s="525">
        <f t="shared" si="328"/>
        <v>0</v>
      </c>
      <c r="AI446" s="525">
        <f t="shared" si="329"/>
        <v>0</v>
      </c>
      <c r="AJ446" s="525">
        <f t="shared" si="329"/>
        <v>0</v>
      </c>
      <c r="AK446" s="525">
        <f t="shared" si="329"/>
        <v>0</v>
      </c>
      <c r="AL446" s="525">
        <f t="shared" si="330"/>
        <v>0</v>
      </c>
    </row>
    <row r="447" spans="1:38">
      <c r="A447" s="618"/>
      <c r="B447" s="618" t="s">
        <v>422</v>
      </c>
      <c r="C447" s="619">
        <f>IF(G447&lt;&gt;0,$C$444,)</f>
        <v>1</v>
      </c>
      <c r="D447" s="523">
        <f>VLOOKUP(B447,DONGIA,DG!$B$6,0)</f>
        <v>0</v>
      </c>
      <c r="E447" s="666" t="str">
        <f>VLOOKUP(B447,DONGIA,DG!$C$6,0)</f>
        <v>Thanh chống L50x50x5-810</v>
      </c>
      <c r="F447" s="523" t="str">
        <f>VLOOKUP(B447,DONGIA,DG!$D$6,0)</f>
        <v>cái</v>
      </c>
      <c r="G447" s="525">
        <v>2</v>
      </c>
      <c r="H447" s="525">
        <f>VLOOKUP($B447,DONGIA,DG!$E$6,0)</f>
        <v>87800</v>
      </c>
      <c r="I447" s="525"/>
      <c r="J447" s="525"/>
      <c r="K447" s="525">
        <f>VLOOKUP($B447,DONGIA,DG!$F$6,0)</f>
        <v>0</v>
      </c>
      <c r="L447" s="525"/>
      <c r="M447" s="525">
        <f>VLOOKUP($B447,DONGIA,DG!$G$6,0)</f>
        <v>0</v>
      </c>
      <c r="N447" s="525">
        <f>$G447*H447</f>
        <v>175600</v>
      </c>
      <c r="O447" s="525">
        <f t="shared" si="393"/>
        <v>0</v>
      </c>
      <c r="P447" s="525">
        <f t="shared" si="393"/>
        <v>0</v>
      </c>
      <c r="Q447" s="525">
        <f t="shared" si="393"/>
        <v>0</v>
      </c>
      <c r="R447" s="525">
        <f t="shared" si="393"/>
        <v>0</v>
      </c>
      <c r="S447" s="525">
        <f t="shared" si="393"/>
        <v>0</v>
      </c>
      <c r="U447" s="525">
        <f t="shared" ref="U447:AB450" si="395">U$444*$G447</f>
        <v>48</v>
      </c>
      <c r="V447" s="525">
        <f t="shared" si="395"/>
        <v>48</v>
      </c>
      <c r="W447" s="525">
        <f t="shared" si="395"/>
        <v>0</v>
      </c>
      <c r="X447" s="525">
        <f t="shared" si="395"/>
        <v>0</v>
      </c>
      <c r="Y447" s="525">
        <f t="shared" si="395"/>
        <v>0</v>
      </c>
      <c r="Z447" s="525">
        <f t="shared" si="395"/>
        <v>0</v>
      </c>
      <c r="AA447" s="525">
        <f t="shared" si="395"/>
        <v>0</v>
      </c>
      <c r="AB447" s="525">
        <f t="shared" si="395"/>
        <v>0</v>
      </c>
      <c r="AD447" s="405">
        <f t="shared" si="326"/>
        <v>3.5</v>
      </c>
      <c r="AE447" s="525">
        <f t="shared" si="327"/>
        <v>168</v>
      </c>
      <c r="AF447" s="525">
        <f t="shared" si="328"/>
        <v>168</v>
      </c>
      <c r="AG447" s="525">
        <f t="shared" si="328"/>
        <v>0</v>
      </c>
      <c r="AH447" s="525">
        <f t="shared" si="328"/>
        <v>0</v>
      </c>
      <c r="AI447" s="525">
        <f t="shared" si="329"/>
        <v>0</v>
      </c>
      <c r="AJ447" s="525">
        <f t="shared" si="329"/>
        <v>0</v>
      </c>
      <c r="AK447" s="525">
        <f t="shared" si="329"/>
        <v>0</v>
      </c>
      <c r="AL447" s="525">
        <f t="shared" si="330"/>
        <v>0</v>
      </c>
    </row>
    <row r="448" spans="1:38">
      <c r="A448" s="618"/>
      <c r="B448" s="618" t="s">
        <v>33</v>
      </c>
      <c r="C448" s="619">
        <f>IF(G448&lt;&gt;0,$C$444,)</f>
        <v>1</v>
      </c>
      <c r="D448" s="523">
        <f>VLOOKUP(B448,DONGIA,DG!$B$6,0)</f>
        <v>0</v>
      </c>
      <c r="E448" s="666" t="str">
        <f>VLOOKUP(B448,DONGIA,DG!$C$6,0)</f>
        <v>Boulon 16x250+ 2 long đền vuông D18-50x50x3/Zn</v>
      </c>
      <c r="F448" s="523" t="str">
        <f>VLOOKUP(B448,DONGIA,DG!$D$6,0)</f>
        <v>bộ</v>
      </c>
      <c r="G448" s="525">
        <v>2</v>
      </c>
      <c r="H448" s="525">
        <f>VLOOKUP($B448,DONGIA,DG!$E$6,0)</f>
        <v>28000</v>
      </c>
      <c r="I448" s="525"/>
      <c r="J448" s="525"/>
      <c r="K448" s="525">
        <f>VLOOKUP($B448,DONGIA,DG!$F$6,0)</f>
        <v>0</v>
      </c>
      <c r="L448" s="525"/>
      <c r="M448" s="525">
        <f>VLOOKUP($B448,DONGIA,DG!$G$6,0)</f>
        <v>0</v>
      </c>
      <c r="N448" s="525">
        <f>$G448*H448</f>
        <v>56000</v>
      </c>
      <c r="O448" s="525">
        <f t="shared" si="393"/>
        <v>0</v>
      </c>
      <c r="P448" s="525">
        <f t="shared" si="393"/>
        <v>0</v>
      </c>
      <c r="Q448" s="525">
        <f t="shared" si="393"/>
        <v>0</v>
      </c>
      <c r="R448" s="525">
        <f t="shared" si="393"/>
        <v>0</v>
      </c>
      <c r="S448" s="525">
        <f t="shared" si="393"/>
        <v>0</v>
      </c>
      <c r="U448" s="525">
        <f t="shared" si="395"/>
        <v>48</v>
      </c>
      <c r="V448" s="525">
        <f t="shared" si="395"/>
        <v>48</v>
      </c>
      <c r="W448" s="525">
        <f t="shared" si="395"/>
        <v>0</v>
      </c>
      <c r="X448" s="525">
        <f t="shared" si="395"/>
        <v>0</v>
      </c>
      <c r="Y448" s="525">
        <f t="shared" si="395"/>
        <v>0</v>
      </c>
      <c r="Z448" s="525">
        <f t="shared" si="395"/>
        <v>0</v>
      </c>
      <c r="AA448" s="525">
        <f t="shared" si="395"/>
        <v>0</v>
      </c>
      <c r="AB448" s="525">
        <f t="shared" si="395"/>
        <v>0</v>
      </c>
      <c r="AD448" s="405">
        <f t="shared" si="326"/>
        <v>0.23</v>
      </c>
      <c r="AE448" s="525">
        <f t="shared" si="327"/>
        <v>11.040000000000001</v>
      </c>
      <c r="AF448" s="525">
        <f t="shared" si="328"/>
        <v>11.040000000000001</v>
      </c>
      <c r="AG448" s="525">
        <f t="shared" si="328"/>
        <v>0</v>
      </c>
      <c r="AH448" s="525">
        <f t="shared" si="328"/>
        <v>0</v>
      </c>
      <c r="AI448" s="525">
        <f t="shared" si="329"/>
        <v>0</v>
      </c>
      <c r="AJ448" s="525">
        <f t="shared" si="329"/>
        <v>0</v>
      </c>
      <c r="AK448" s="525">
        <f t="shared" si="329"/>
        <v>0</v>
      </c>
      <c r="AL448" s="525">
        <f t="shared" si="330"/>
        <v>0</v>
      </c>
    </row>
    <row r="449" spans="1:38">
      <c r="A449" s="618"/>
      <c r="B449" s="618" t="s">
        <v>29</v>
      </c>
      <c r="C449" s="619">
        <f>IF(G449&lt;&gt;0,$C$444,)</f>
        <v>1</v>
      </c>
      <c r="D449" s="523">
        <f>VLOOKUP(B449,DONGIA,DG!$B$6,0)</f>
        <v>0</v>
      </c>
      <c r="E449" s="666" t="str">
        <f>VLOOKUP(B449,DONGIA,DG!$C$6,0)</f>
        <v>Boulon 16x50+ 2 long đền vuông D18-50x50x3/Zn</v>
      </c>
      <c r="F449" s="523" t="str">
        <f>VLOOKUP(B449,DONGIA,DG!$D$6,0)</f>
        <v>bộ</v>
      </c>
      <c r="G449" s="525">
        <v>2</v>
      </c>
      <c r="H449" s="525">
        <f>VLOOKUP($B449,DONGIA,DG!$E$6,0)</f>
        <v>17000</v>
      </c>
      <c r="I449" s="525"/>
      <c r="J449" s="525"/>
      <c r="K449" s="525">
        <f>VLOOKUP($B449,DONGIA,DG!$F$6,0)</f>
        <v>0</v>
      </c>
      <c r="L449" s="525"/>
      <c r="M449" s="525">
        <f>VLOOKUP($B449,DONGIA,DG!$G$6,0)</f>
        <v>0</v>
      </c>
      <c r="N449" s="525">
        <f>$G449*H449</f>
        <v>34000</v>
      </c>
      <c r="O449" s="525">
        <f t="shared" si="393"/>
        <v>0</v>
      </c>
      <c r="P449" s="525">
        <f t="shared" si="393"/>
        <v>0</v>
      </c>
      <c r="Q449" s="525">
        <f t="shared" si="393"/>
        <v>0</v>
      </c>
      <c r="R449" s="525">
        <f t="shared" si="393"/>
        <v>0</v>
      </c>
      <c r="S449" s="525">
        <f t="shared" si="393"/>
        <v>0</v>
      </c>
      <c r="U449" s="525">
        <f t="shared" si="395"/>
        <v>48</v>
      </c>
      <c r="V449" s="525">
        <f t="shared" si="395"/>
        <v>48</v>
      </c>
      <c r="W449" s="525">
        <f t="shared" si="395"/>
        <v>0</v>
      </c>
      <c r="X449" s="525">
        <f t="shared" si="395"/>
        <v>0</v>
      </c>
      <c r="Y449" s="525">
        <f t="shared" si="395"/>
        <v>0</v>
      </c>
      <c r="Z449" s="525">
        <f t="shared" si="395"/>
        <v>0</v>
      </c>
      <c r="AA449" s="525">
        <f t="shared" si="395"/>
        <v>0</v>
      </c>
      <c r="AB449" s="525">
        <f t="shared" si="395"/>
        <v>0</v>
      </c>
      <c r="AD449" s="405">
        <f t="shared" si="326"/>
        <v>0.25</v>
      </c>
      <c r="AE449" s="525">
        <f t="shared" si="327"/>
        <v>12</v>
      </c>
      <c r="AF449" s="525">
        <f t="shared" si="328"/>
        <v>12</v>
      </c>
      <c r="AG449" s="525">
        <f t="shared" si="328"/>
        <v>0</v>
      </c>
      <c r="AH449" s="525">
        <f t="shared" si="328"/>
        <v>0</v>
      </c>
      <c r="AI449" s="525">
        <f t="shared" si="329"/>
        <v>0</v>
      </c>
      <c r="AJ449" s="525">
        <f t="shared" si="329"/>
        <v>0</v>
      </c>
      <c r="AK449" s="525">
        <f t="shared" si="329"/>
        <v>0</v>
      </c>
      <c r="AL449" s="525">
        <f t="shared" si="330"/>
        <v>0</v>
      </c>
    </row>
    <row r="450" spans="1:38">
      <c r="A450" s="618"/>
      <c r="B450" s="618" t="s">
        <v>629</v>
      </c>
      <c r="C450" s="619">
        <f>IF(G450&lt;&gt;0,$C$444,)</f>
        <v>1</v>
      </c>
      <c r="D450" s="523" t="str">
        <f>VLOOKUP(B450,DONGIA,DG!$B$6,0)</f>
        <v>D2.6021c</v>
      </c>
      <c r="E450" s="666" t="str">
        <f>VLOOKUP(B450,DONGIA,DG!$C$6,0)</f>
        <v>Lắp đặt xà thép L75x75x8x1660 đơn cột đỡ (26,5504 kg/bộ)</v>
      </c>
      <c r="F450" s="523" t="str">
        <f>VLOOKUP(B450,DONGIA,DG!$D$6,0)</f>
        <v>bộ</v>
      </c>
      <c r="G450" s="525">
        <v>1</v>
      </c>
      <c r="H450" s="525"/>
      <c r="I450" s="525"/>
      <c r="J450" s="525"/>
      <c r="K450" s="525">
        <f>VLOOKUP($B450,DONGIA,DG!$F$6,0)</f>
        <v>286074</v>
      </c>
      <c r="L450" s="525"/>
      <c r="M450" s="525">
        <f>VLOOKUP($B450,DONGIA,DG!$G$6,0)</f>
        <v>0</v>
      </c>
      <c r="N450" s="525">
        <f>$G450*H450</f>
        <v>0</v>
      </c>
      <c r="O450" s="525">
        <f t="shared" si="393"/>
        <v>0</v>
      </c>
      <c r="P450" s="525">
        <f t="shared" si="393"/>
        <v>0</v>
      </c>
      <c r="Q450" s="525">
        <f t="shared" si="393"/>
        <v>286074</v>
      </c>
      <c r="R450" s="525">
        <f t="shared" si="393"/>
        <v>0</v>
      </c>
      <c r="S450" s="525">
        <f t="shared" si="393"/>
        <v>0</v>
      </c>
      <c r="U450" s="525">
        <f t="shared" si="395"/>
        <v>24</v>
      </c>
      <c r="V450" s="525">
        <f t="shared" si="395"/>
        <v>24</v>
      </c>
      <c r="W450" s="525">
        <f t="shared" si="395"/>
        <v>0</v>
      </c>
      <c r="X450" s="525">
        <f t="shared" si="395"/>
        <v>0</v>
      </c>
      <c r="Y450" s="525">
        <f t="shared" si="395"/>
        <v>0</v>
      </c>
      <c r="Z450" s="525">
        <f t="shared" si="395"/>
        <v>0</v>
      </c>
      <c r="AA450" s="525">
        <f t="shared" si="395"/>
        <v>0</v>
      </c>
      <c r="AB450" s="525">
        <f t="shared" si="395"/>
        <v>0</v>
      </c>
      <c r="AD450" s="405">
        <f t="shared" si="326"/>
        <v>0</v>
      </c>
      <c r="AE450" s="525">
        <f t="shared" si="327"/>
        <v>0</v>
      </c>
      <c r="AF450" s="525">
        <f t="shared" si="328"/>
        <v>0</v>
      </c>
      <c r="AG450" s="525">
        <f t="shared" si="328"/>
        <v>0</v>
      </c>
      <c r="AH450" s="525">
        <f t="shared" si="328"/>
        <v>0</v>
      </c>
      <c r="AI450" s="525">
        <f t="shared" si="329"/>
        <v>0</v>
      </c>
      <c r="AJ450" s="525">
        <f t="shared" si="329"/>
        <v>0</v>
      </c>
      <c r="AK450" s="525">
        <f t="shared" si="329"/>
        <v>0</v>
      </c>
      <c r="AL450" s="525">
        <f t="shared" si="330"/>
        <v>0</v>
      </c>
    </row>
    <row r="451" spans="1:38" s="332" customFormat="1">
      <c r="A451" s="356" t="s">
        <v>1494</v>
      </c>
      <c r="B451" s="356"/>
      <c r="C451" s="355">
        <f>IF(G451&lt;&gt;0,1,)</f>
        <v>0</v>
      </c>
      <c r="D451" s="357"/>
      <c r="E451" s="358" t="s">
        <v>1681</v>
      </c>
      <c r="F451" s="357" t="s">
        <v>138</v>
      </c>
      <c r="G451" s="357">
        <f>U451</f>
        <v>0</v>
      </c>
      <c r="H451" s="358"/>
      <c r="I451" s="358"/>
      <c r="J451" s="358"/>
      <c r="K451" s="358"/>
      <c r="L451" s="358"/>
      <c r="M451" s="358"/>
      <c r="N451" s="358">
        <f t="shared" ref="N451:S451" si="396">SUM(N453:N459)</f>
        <v>1505200</v>
      </c>
      <c r="O451" s="358">
        <f t="shared" si="396"/>
        <v>0</v>
      </c>
      <c r="P451" s="358">
        <f t="shared" si="396"/>
        <v>0</v>
      </c>
      <c r="Q451" s="358">
        <f t="shared" si="396"/>
        <v>382876</v>
      </c>
      <c r="R451" s="358">
        <f t="shared" si="396"/>
        <v>0</v>
      </c>
      <c r="S451" s="358">
        <f t="shared" si="396"/>
        <v>0</v>
      </c>
      <c r="U451" s="358">
        <f>SUM(V451:AB451)</f>
        <v>0</v>
      </c>
      <c r="V451" s="358">
        <f>IFERROR(HLOOKUP($A451,BK3P,V$3,0),)</f>
        <v>0</v>
      </c>
      <c r="W451" s="358">
        <f>IFERROR(HLOOKUP($A451,BK3P,W$3,0),)</f>
        <v>0</v>
      </c>
      <c r="X451" s="358">
        <f>IFERROR(HLOOKUP($A451,BK3P,X$3,0),)</f>
        <v>0</v>
      </c>
      <c r="Y451" s="358">
        <f>IFERROR(HLOOKUP($A451,BK1P,Y$3,0),)</f>
        <v>0</v>
      </c>
      <c r="Z451" s="358">
        <f>IFERROR(HLOOKUP($A451,BK1P,Z$3,0),)</f>
        <v>0</v>
      </c>
      <c r="AA451" s="358">
        <f>IFERROR(HLOOKUP($A451,BK1P,AA$3,0),)</f>
        <v>0</v>
      </c>
      <c r="AB451" s="358">
        <f>IFERROR(HLOOKUP($A451,BKHT,AB$3,0),)</f>
        <v>0</v>
      </c>
      <c r="AD451" s="332">
        <f t="shared" si="326"/>
        <v>0</v>
      </c>
      <c r="AE451" s="329">
        <f t="shared" si="327"/>
        <v>0</v>
      </c>
      <c r="AF451" s="329">
        <f t="shared" si="328"/>
        <v>0</v>
      </c>
      <c r="AG451" s="329">
        <f t="shared" si="328"/>
        <v>0</v>
      </c>
      <c r="AH451" s="329">
        <f t="shared" si="328"/>
        <v>0</v>
      </c>
      <c r="AI451" s="329">
        <f t="shared" si="329"/>
        <v>0</v>
      </c>
      <c r="AJ451" s="329">
        <f t="shared" si="329"/>
        <v>0</v>
      </c>
      <c r="AK451" s="329">
        <f t="shared" si="329"/>
        <v>0</v>
      </c>
      <c r="AL451" s="329">
        <f t="shared" si="330"/>
        <v>0</v>
      </c>
    </row>
    <row r="452" spans="1:38" s="361" customFormat="1">
      <c r="A452" s="359"/>
      <c r="B452" s="359"/>
      <c r="C452" s="360">
        <f>C451</f>
        <v>0</v>
      </c>
      <c r="D452" s="350"/>
      <c r="E452" s="351" t="s">
        <v>1659</v>
      </c>
      <c r="F452" s="350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U452" s="351"/>
      <c r="V452" s="351"/>
      <c r="W452" s="351"/>
      <c r="X452" s="351"/>
      <c r="Y452" s="351"/>
      <c r="Z452" s="351"/>
      <c r="AA452" s="351"/>
      <c r="AB452" s="351"/>
      <c r="AD452" s="332">
        <f t="shared" si="326"/>
        <v>0</v>
      </c>
      <c r="AE452" s="329">
        <f t="shared" si="327"/>
        <v>0</v>
      </c>
      <c r="AF452" s="329">
        <f t="shared" si="328"/>
        <v>0</v>
      </c>
      <c r="AG452" s="329">
        <f t="shared" si="328"/>
        <v>0</v>
      </c>
      <c r="AH452" s="329">
        <f t="shared" si="328"/>
        <v>0</v>
      </c>
      <c r="AI452" s="329">
        <f t="shared" si="329"/>
        <v>0</v>
      </c>
      <c r="AJ452" s="329">
        <f t="shared" si="329"/>
        <v>0</v>
      </c>
      <c r="AK452" s="329">
        <f t="shared" si="329"/>
        <v>0</v>
      </c>
      <c r="AL452" s="329">
        <f t="shared" si="330"/>
        <v>0</v>
      </c>
    </row>
    <row r="453" spans="1:38" s="332" customFormat="1">
      <c r="A453" s="356"/>
      <c r="B453" s="356" t="s">
        <v>414</v>
      </c>
      <c r="C453" s="355">
        <f>IF(G453&lt;&gt;0,$C$451,)</f>
        <v>0</v>
      </c>
      <c r="D453" s="341">
        <f>VLOOKUP(B453,DONGIA,DG!$B$6,0)</f>
        <v>0</v>
      </c>
      <c r="E453" s="340" t="str">
        <f>VLOOKUP(B453,DONGIA,DG!$C$6,0)</f>
        <v>Đà sắt L75x75x8-1660 - 2 ốp</v>
      </c>
      <c r="F453" s="341" t="str">
        <f>VLOOKUP(B453,DONGIA,DG!$D$6,0)</f>
        <v>cái</v>
      </c>
      <c r="G453" s="329">
        <v>2</v>
      </c>
      <c r="H453" s="329">
        <f>VLOOKUP($B453,DONGIA,DG!$E$6,0)</f>
        <v>474000</v>
      </c>
      <c r="I453" s="329"/>
      <c r="J453" s="329"/>
      <c r="K453" s="329">
        <f>VLOOKUP($B453,DONGIA,DG!$F$6,0)</f>
        <v>0</v>
      </c>
      <c r="L453" s="329"/>
      <c r="M453" s="329">
        <f>VLOOKUP($B453,DONGIA,DG!$G$6,0)</f>
        <v>0</v>
      </c>
      <c r="N453" s="329">
        <f>$G453*H453</f>
        <v>948000</v>
      </c>
      <c r="O453" s="329">
        <f t="shared" ref="O453:S459" si="397">$G453*I453</f>
        <v>0</v>
      </c>
      <c r="P453" s="329">
        <f t="shared" si="397"/>
        <v>0</v>
      </c>
      <c r="Q453" s="329">
        <f t="shared" si="397"/>
        <v>0</v>
      </c>
      <c r="R453" s="329">
        <f t="shared" si="397"/>
        <v>0</v>
      </c>
      <c r="S453" s="329">
        <f t="shared" si="397"/>
        <v>0</v>
      </c>
      <c r="U453" s="329">
        <f>U$451*$G453</f>
        <v>0</v>
      </c>
      <c r="V453" s="329">
        <f t="shared" ref="V453:AB453" si="398">V$451*$G453</f>
        <v>0</v>
      </c>
      <c r="W453" s="329">
        <f t="shared" si="398"/>
        <v>0</v>
      </c>
      <c r="X453" s="329">
        <f t="shared" si="398"/>
        <v>0</v>
      </c>
      <c r="Y453" s="329">
        <f t="shared" si="398"/>
        <v>0</v>
      </c>
      <c r="Z453" s="329">
        <f t="shared" si="398"/>
        <v>0</v>
      </c>
      <c r="AA453" s="329">
        <f t="shared" si="398"/>
        <v>0</v>
      </c>
      <c r="AB453" s="329">
        <f t="shared" si="398"/>
        <v>0</v>
      </c>
      <c r="AD453" s="332">
        <f t="shared" si="326"/>
        <v>23</v>
      </c>
      <c r="AE453" s="329">
        <f t="shared" si="327"/>
        <v>0</v>
      </c>
      <c r="AF453" s="329">
        <f t="shared" si="328"/>
        <v>0</v>
      </c>
      <c r="AG453" s="329">
        <f t="shared" si="328"/>
        <v>0</v>
      </c>
      <c r="AH453" s="329">
        <f t="shared" si="328"/>
        <v>0</v>
      </c>
      <c r="AI453" s="329">
        <f t="shared" si="329"/>
        <v>0</v>
      </c>
      <c r="AJ453" s="329">
        <f t="shared" si="329"/>
        <v>0</v>
      </c>
      <c r="AK453" s="329">
        <f t="shared" si="329"/>
        <v>0</v>
      </c>
      <c r="AL453" s="329">
        <f t="shared" si="330"/>
        <v>0</v>
      </c>
    </row>
    <row r="454" spans="1:38" s="332" customFormat="1">
      <c r="A454" s="356"/>
      <c r="B454" s="356" t="s">
        <v>422</v>
      </c>
      <c r="C454" s="355">
        <f t="shared" ref="C454:C459" si="399">IF(G454&lt;&gt;0,$C$451,)</f>
        <v>0</v>
      </c>
      <c r="D454" s="341">
        <f>VLOOKUP(B454,DONGIA,DG!$B$6,0)</f>
        <v>0</v>
      </c>
      <c r="E454" s="340" t="str">
        <f>VLOOKUP(B454,DONGIA,DG!$C$6,0)</f>
        <v>Thanh chống L50x50x5-810</v>
      </c>
      <c r="F454" s="341" t="str">
        <f>VLOOKUP(B454,DONGIA,DG!$D$6,0)</f>
        <v>cái</v>
      </c>
      <c r="G454" s="329">
        <v>4</v>
      </c>
      <c r="H454" s="329">
        <f>VLOOKUP($B454,DONGIA,DG!$E$6,0)</f>
        <v>87800</v>
      </c>
      <c r="I454" s="329"/>
      <c r="J454" s="329"/>
      <c r="K454" s="329">
        <f>VLOOKUP($B454,DONGIA,DG!$F$6,0)</f>
        <v>0</v>
      </c>
      <c r="L454" s="329"/>
      <c r="M454" s="329">
        <f>VLOOKUP($B454,DONGIA,DG!$G$6,0)</f>
        <v>0</v>
      </c>
      <c r="N454" s="329">
        <f t="shared" ref="N454:N459" si="400">$G454*H454</f>
        <v>351200</v>
      </c>
      <c r="O454" s="329">
        <f t="shared" si="397"/>
        <v>0</v>
      </c>
      <c r="P454" s="329">
        <f t="shared" si="397"/>
        <v>0</v>
      </c>
      <c r="Q454" s="329">
        <f t="shared" si="397"/>
        <v>0</v>
      </c>
      <c r="R454" s="329">
        <f t="shared" si="397"/>
        <v>0</v>
      </c>
      <c r="S454" s="329">
        <f t="shared" si="397"/>
        <v>0</v>
      </c>
      <c r="U454" s="329">
        <f t="shared" ref="U454:AB459" si="401">U$451*$G454</f>
        <v>0</v>
      </c>
      <c r="V454" s="329">
        <f t="shared" si="401"/>
        <v>0</v>
      </c>
      <c r="W454" s="329">
        <f t="shared" si="401"/>
        <v>0</v>
      </c>
      <c r="X454" s="329">
        <f t="shared" si="401"/>
        <v>0</v>
      </c>
      <c r="Y454" s="329">
        <f t="shared" si="401"/>
        <v>0</v>
      </c>
      <c r="Z454" s="329">
        <f t="shared" si="401"/>
        <v>0</v>
      </c>
      <c r="AA454" s="329">
        <f t="shared" si="401"/>
        <v>0</v>
      </c>
      <c r="AB454" s="329">
        <f t="shared" si="401"/>
        <v>0</v>
      </c>
      <c r="AD454" s="332">
        <f t="shared" si="326"/>
        <v>3.5</v>
      </c>
      <c r="AE454" s="329">
        <f t="shared" si="327"/>
        <v>0</v>
      </c>
      <c r="AF454" s="329">
        <f t="shared" si="328"/>
        <v>0</v>
      </c>
      <c r="AG454" s="329">
        <f t="shared" si="328"/>
        <v>0</v>
      </c>
      <c r="AH454" s="329">
        <f t="shared" si="328"/>
        <v>0</v>
      </c>
      <c r="AI454" s="329">
        <f t="shared" si="329"/>
        <v>0</v>
      </c>
      <c r="AJ454" s="329">
        <f t="shared" si="329"/>
        <v>0</v>
      </c>
      <c r="AK454" s="329">
        <f t="shared" si="329"/>
        <v>0</v>
      </c>
      <c r="AL454" s="329">
        <f t="shared" si="330"/>
        <v>0</v>
      </c>
    </row>
    <row r="455" spans="1:38" s="332" customFormat="1">
      <c r="A455" s="356"/>
      <c r="B455" s="356" t="s">
        <v>33</v>
      </c>
      <c r="C455" s="355">
        <f t="shared" si="399"/>
        <v>0</v>
      </c>
      <c r="D455" s="341">
        <f>VLOOKUP(B455,DONGIA,DG!$B$6,0)</f>
        <v>0</v>
      </c>
      <c r="E455" s="340" t="str">
        <f>VLOOKUP(B455,DONGIA,DG!$C$6,0)</f>
        <v>Boulon 16x250+ 2 long đền vuông D18-50x50x3/Zn</v>
      </c>
      <c r="F455" s="341" t="str">
        <f>VLOOKUP(B455,DONGIA,DG!$D$6,0)</f>
        <v>bộ</v>
      </c>
      <c r="G455" s="329">
        <v>1</v>
      </c>
      <c r="H455" s="329">
        <f>VLOOKUP($B455,DONGIA,DG!$E$6,0)</f>
        <v>28000</v>
      </c>
      <c r="I455" s="329"/>
      <c r="J455" s="329"/>
      <c r="K455" s="329">
        <f>VLOOKUP($B455,DONGIA,DG!$F$6,0)</f>
        <v>0</v>
      </c>
      <c r="L455" s="329"/>
      <c r="M455" s="329">
        <f>VLOOKUP($B455,DONGIA,DG!$G$6,0)</f>
        <v>0</v>
      </c>
      <c r="N455" s="329">
        <f t="shared" si="400"/>
        <v>28000</v>
      </c>
      <c r="O455" s="329">
        <f t="shared" si="397"/>
        <v>0</v>
      </c>
      <c r="P455" s="329">
        <f t="shared" si="397"/>
        <v>0</v>
      </c>
      <c r="Q455" s="329">
        <f t="shared" si="397"/>
        <v>0</v>
      </c>
      <c r="R455" s="329">
        <f t="shared" si="397"/>
        <v>0</v>
      </c>
      <c r="S455" s="329">
        <f t="shared" si="397"/>
        <v>0</v>
      </c>
      <c r="U455" s="329">
        <f t="shared" si="401"/>
        <v>0</v>
      </c>
      <c r="V455" s="329">
        <f t="shared" si="401"/>
        <v>0</v>
      </c>
      <c r="W455" s="329">
        <f t="shared" si="401"/>
        <v>0</v>
      </c>
      <c r="X455" s="329">
        <f t="shared" si="401"/>
        <v>0</v>
      </c>
      <c r="Y455" s="329">
        <f t="shared" si="401"/>
        <v>0</v>
      </c>
      <c r="Z455" s="329">
        <f t="shared" si="401"/>
        <v>0</v>
      </c>
      <c r="AA455" s="329">
        <f t="shared" si="401"/>
        <v>0</v>
      </c>
      <c r="AB455" s="329">
        <f t="shared" si="401"/>
        <v>0</v>
      </c>
      <c r="AD455" s="332">
        <f t="shared" si="326"/>
        <v>0.23</v>
      </c>
      <c r="AE455" s="329">
        <f t="shared" si="327"/>
        <v>0</v>
      </c>
      <c r="AF455" s="329">
        <f t="shared" si="328"/>
        <v>0</v>
      </c>
      <c r="AG455" s="329">
        <f t="shared" si="328"/>
        <v>0</v>
      </c>
      <c r="AH455" s="329">
        <f t="shared" si="328"/>
        <v>0</v>
      </c>
      <c r="AI455" s="329">
        <f t="shared" si="329"/>
        <v>0</v>
      </c>
      <c r="AJ455" s="329">
        <f t="shared" si="329"/>
        <v>0</v>
      </c>
      <c r="AK455" s="329">
        <f t="shared" si="329"/>
        <v>0</v>
      </c>
      <c r="AL455" s="329">
        <f t="shared" si="330"/>
        <v>0</v>
      </c>
    </row>
    <row r="456" spans="1:38" s="332" customFormat="1">
      <c r="A456" s="356"/>
      <c r="B456" s="356" t="s">
        <v>35</v>
      </c>
      <c r="C456" s="355">
        <f t="shared" si="399"/>
        <v>0</v>
      </c>
      <c r="D456" s="341">
        <f>VLOOKUP(B456,DONGIA,DG!$B$6,0)</f>
        <v>0</v>
      </c>
      <c r="E456" s="340" t="str">
        <f>VLOOKUP(B456,DONGIA,DG!$C$6,0)</f>
        <v>Boulon 16x300+ 2 long đền vuông D18-50x50x3/Zn</v>
      </c>
      <c r="F456" s="341" t="str">
        <f>VLOOKUP(B456,DONGIA,DG!$D$6,0)</f>
        <v>bộ</v>
      </c>
      <c r="G456" s="329">
        <v>1</v>
      </c>
      <c r="H456" s="329">
        <f>VLOOKUP($B456,DONGIA,DG!$E$6,0)</f>
        <v>30000</v>
      </c>
      <c r="I456" s="329"/>
      <c r="J456" s="329"/>
      <c r="K456" s="329">
        <f>VLOOKUP($B456,DONGIA,DG!$F$6,0)</f>
        <v>0</v>
      </c>
      <c r="L456" s="329"/>
      <c r="M456" s="329">
        <f>VLOOKUP($B456,DONGIA,DG!$G$6,0)</f>
        <v>0</v>
      </c>
      <c r="N456" s="329">
        <f t="shared" si="400"/>
        <v>30000</v>
      </c>
      <c r="O456" s="329">
        <f t="shared" si="397"/>
        <v>0</v>
      </c>
      <c r="P456" s="329">
        <f t="shared" si="397"/>
        <v>0</v>
      </c>
      <c r="Q456" s="329">
        <f t="shared" si="397"/>
        <v>0</v>
      </c>
      <c r="R456" s="329">
        <f t="shared" si="397"/>
        <v>0</v>
      </c>
      <c r="S456" s="329">
        <f t="shared" si="397"/>
        <v>0</v>
      </c>
      <c r="U456" s="329">
        <f t="shared" si="401"/>
        <v>0</v>
      </c>
      <c r="V456" s="329">
        <f t="shared" si="401"/>
        <v>0</v>
      </c>
      <c r="W456" s="329">
        <f t="shared" si="401"/>
        <v>0</v>
      </c>
      <c r="X456" s="329">
        <f t="shared" si="401"/>
        <v>0</v>
      </c>
      <c r="Y456" s="329">
        <f t="shared" si="401"/>
        <v>0</v>
      </c>
      <c r="Z456" s="329">
        <f t="shared" si="401"/>
        <v>0</v>
      </c>
      <c r="AA456" s="329">
        <f t="shared" si="401"/>
        <v>0</v>
      </c>
      <c r="AB456" s="329">
        <f t="shared" si="401"/>
        <v>0</v>
      </c>
      <c r="AD456" s="332">
        <f t="shared" si="326"/>
        <v>0.25</v>
      </c>
      <c r="AE456" s="329">
        <f t="shared" si="327"/>
        <v>0</v>
      </c>
      <c r="AF456" s="329">
        <f t="shared" si="328"/>
        <v>0</v>
      </c>
      <c r="AG456" s="329">
        <f t="shared" si="328"/>
        <v>0</v>
      </c>
      <c r="AH456" s="329">
        <f t="shared" si="328"/>
        <v>0</v>
      </c>
      <c r="AI456" s="329">
        <f t="shared" si="329"/>
        <v>0</v>
      </c>
      <c r="AJ456" s="329">
        <f t="shared" si="329"/>
        <v>0</v>
      </c>
      <c r="AK456" s="329">
        <f t="shared" si="329"/>
        <v>0</v>
      </c>
      <c r="AL456" s="329">
        <f t="shared" si="330"/>
        <v>0</v>
      </c>
    </row>
    <row r="457" spans="1:38" s="332" customFormat="1">
      <c r="A457" s="356"/>
      <c r="B457" s="356" t="s">
        <v>1680</v>
      </c>
      <c r="C457" s="355">
        <f t="shared" si="399"/>
        <v>0</v>
      </c>
      <c r="D457" s="341">
        <f>VLOOKUP(B457,DONGIA,DG!$B$6,0)</f>
        <v>0</v>
      </c>
      <c r="E457" s="340" t="str">
        <f>VLOOKUP(B457,DONGIA,DG!$C$6,0)</f>
        <v>Boulon 16x300VRS + 4 long đền vuông D18-50x50x3/Zn</v>
      </c>
      <c r="F457" s="341" t="str">
        <f>VLOOKUP(B457,DONGIA,DG!$D$6,0)</f>
        <v>bộ</v>
      </c>
      <c r="G457" s="329">
        <v>2</v>
      </c>
      <c r="H457" s="329">
        <f>VLOOKUP($B457,DONGIA,DG!$E$6,0)</f>
        <v>40000</v>
      </c>
      <c r="I457" s="329"/>
      <c r="J457" s="329"/>
      <c r="K457" s="329">
        <f>VLOOKUP($B457,DONGIA,DG!$F$6,0)</f>
        <v>0</v>
      </c>
      <c r="L457" s="329"/>
      <c r="M457" s="329">
        <f>VLOOKUP($B457,DONGIA,DG!$G$6,0)</f>
        <v>0</v>
      </c>
      <c r="N457" s="329">
        <f t="shared" si="400"/>
        <v>80000</v>
      </c>
      <c r="O457" s="329">
        <f t="shared" si="397"/>
        <v>0</v>
      </c>
      <c r="P457" s="329">
        <f t="shared" si="397"/>
        <v>0</v>
      </c>
      <c r="Q457" s="329">
        <f t="shared" si="397"/>
        <v>0</v>
      </c>
      <c r="R457" s="329">
        <f t="shared" si="397"/>
        <v>0</v>
      </c>
      <c r="S457" s="329">
        <f t="shared" si="397"/>
        <v>0</v>
      </c>
      <c r="U457" s="329">
        <f t="shared" si="401"/>
        <v>0</v>
      </c>
      <c r="V457" s="329">
        <f t="shared" si="401"/>
        <v>0</v>
      </c>
      <c r="W457" s="329">
        <f t="shared" si="401"/>
        <v>0</v>
      </c>
      <c r="X457" s="329">
        <f t="shared" si="401"/>
        <v>0</v>
      </c>
      <c r="Y457" s="329">
        <f t="shared" si="401"/>
        <v>0</v>
      </c>
      <c r="Z457" s="329">
        <f t="shared" si="401"/>
        <v>0</v>
      </c>
      <c r="AA457" s="329">
        <f t="shared" si="401"/>
        <v>0</v>
      </c>
      <c r="AB457" s="329">
        <f t="shared" si="401"/>
        <v>0</v>
      </c>
      <c r="AD457" s="332">
        <f t="shared" si="326"/>
        <v>0.3</v>
      </c>
      <c r="AE457" s="329">
        <f t="shared" si="327"/>
        <v>0</v>
      </c>
      <c r="AF457" s="329">
        <f t="shared" si="328"/>
        <v>0</v>
      </c>
      <c r="AG457" s="329">
        <f t="shared" si="328"/>
        <v>0</v>
      </c>
      <c r="AH457" s="329">
        <f t="shared" si="328"/>
        <v>0</v>
      </c>
      <c r="AI457" s="329">
        <f t="shared" si="329"/>
        <v>0</v>
      </c>
      <c r="AJ457" s="329">
        <f t="shared" si="329"/>
        <v>0</v>
      </c>
      <c r="AK457" s="329">
        <f t="shared" si="329"/>
        <v>0</v>
      </c>
      <c r="AL457" s="329">
        <f t="shared" si="330"/>
        <v>0</v>
      </c>
    </row>
    <row r="458" spans="1:38" s="332" customFormat="1">
      <c r="A458" s="356"/>
      <c r="B458" s="356" t="s">
        <v>29</v>
      </c>
      <c r="C458" s="355">
        <f t="shared" si="399"/>
        <v>0</v>
      </c>
      <c r="D458" s="341">
        <f>VLOOKUP(B458,DONGIA,DG!$B$6,0)</f>
        <v>0</v>
      </c>
      <c r="E458" s="340" t="str">
        <f>VLOOKUP(B458,DONGIA,DG!$C$6,0)</f>
        <v>Boulon 16x50+ 2 long đền vuông D18-50x50x3/Zn</v>
      </c>
      <c r="F458" s="341" t="str">
        <f>VLOOKUP(B458,DONGIA,DG!$D$6,0)</f>
        <v>bộ</v>
      </c>
      <c r="G458" s="329">
        <v>4</v>
      </c>
      <c r="H458" s="329">
        <f>VLOOKUP($B458,DONGIA,DG!$E$6,0)</f>
        <v>17000</v>
      </c>
      <c r="I458" s="329"/>
      <c r="J458" s="329"/>
      <c r="K458" s="329">
        <f>VLOOKUP($B458,DONGIA,DG!$F$6,0)</f>
        <v>0</v>
      </c>
      <c r="L458" s="329"/>
      <c r="M458" s="329">
        <f>VLOOKUP($B458,DONGIA,DG!$G$6,0)</f>
        <v>0</v>
      </c>
      <c r="N458" s="329">
        <f t="shared" si="400"/>
        <v>68000</v>
      </c>
      <c r="O458" s="329">
        <f t="shared" si="397"/>
        <v>0</v>
      </c>
      <c r="P458" s="329">
        <f t="shared" si="397"/>
        <v>0</v>
      </c>
      <c r="Q458" s="329">
        <f t="shared" si="397"/>
        <v>0</v>
      </c>
      <c r="R458" s="329">
        <f t="shared" si="397"/>
        <v>0</v>
      </c>
      <c r="S458" s="329">
        <f t="shared" si="397"/>
        <v>0</v>
      </c>
      <c r="U458" s="329">
        <f t="shared" si="401"/>
        <v>0</v>
      </c>
      <c r="V458" s="329">
        <f t="shared" si="401"/>
        <v>0</v>
      </c>
      <c r="W458" s="329">
        <f t="shared" si="401"/>
        <v>0</v>
      </c>
      <c r="X458" s="329">
        <f t="shared" si="401"/>
        <v>0</v>
      </c>
      <c r="Y458" s="329">
        <f t="shared" si="401"/>
        <v>0</v>
      </c>
      <c r="Z458" s="329">
        <f t="shared" si="401"/>
        <v>0</v>
      </c>
      <c r="AA458" s="329">
        <f t="shared" si="401"/>
        <v>0</v>
      </c>
      <c r="AB458" s="329">
        <f t="shared" si="401"/>
        <v>0</v>
      </c>
      <c r="AD458" s="332">
        <f t="shared" si="326"/>
        <v>0.25</v>
      </c>
      <c r="AE458" s="329">
        <f t="shared" si="327"/>
        <v>0</v>
      </c>
      <c r="AF458" s="329">
        <f t="shared" si="328"/>
        <v>0</v>
      </c>
      <c r="AG458" s="329">
        <f t="shared" si="328"/>
        <v>0</v>
      </c>
      <c r="AH458" s="329">
        <f t="shared" si="328"/>
        <v>0</v>
      </c>
      <c r="AI458" s="329">
        <f t="shared" si="329"/>
        <v>0</v>
      </c>
      <c r="AJ458" s="329">
        <f t="shared" si="329"/>
        <v>0</v>
      </c>
      <c r="AK458" s="329">
        <f t="shared" si="329"/>
        <v>0</v>
      </c>
      <c r="AL458" s="329">
        <f t="shared" si="330"/>
        <v>0</v>
      </c>
    </row>
    <row r="459" spans="1:38" s="332" customFormat="1">
      <c r="A459" s="356"/>
      <c r="B459" s="356" t="s">
        <v>632</v>
      </c>
      <c r="C459" s="355">
        <f t="shared" si="399"/>
        <v>0</v>
      </c>
      <c r="D459" s="341" t="str">
        <f>VLOOKUP(B459,DONGIA,DG!$B$6,0)</f>
        <v>D2.6031c</v>
      </c>
      <c r="E459" s="340" t="str">
        <f>VLOOKUP(B459,DONGIA,DG!$C$6,0)</f>
        <v>Lắp đặt xà thép L75x75x8x1660 kép cột đỡ (51,5748 kg/bộ)</v>
      </c>
      <c r="F459" s="341" t="str">
        <f>VLOOKUP(B459,DONGIA,DG!$D$6,0)</f>
        <v>bộ</v>
      </c>
      <c r="G459" s="329">
        <v>1</v>
      </c>
      <c r="H459" s="329"/>
      <c r="I459" s="329"/>
      <c r="J459" s="329"/>
      <c r="K459" s="329">
        <f>VLOOKUP($B459,DONGIA,DG!$F$6,0)</f>
        <v>382876</v>
      </c>
      <c r="L459" s="329"/>
      <c r="M459" s="329">
        <f>VLOOKUP($B459,DONGIA,DG!$G$6,0)</f>
        <v>0</v>
      </c>
      <c r="N459" s="329">
        <f t="shared" si="400"/>
        <v>0</v>
      </c>
      <c r="O459" s="329">
        <f t="shared" si="397"/>
        <v>0</v>
      </c>
      <c r="P459" s="329">
        <f t="shared" si="397"/>
        <v>0</v>
      </c>
      <c r="Q459" s="329">
        <f t="shared" si="397"/>
        <v>382876</v>
      </c>
      <c r="R459" s="329">
        <f t="shared" si="397"/>
        <v>0</v>
      </c>
      <c r="S459" s="329">
        <f t="shared" si="397"/>
        <v>0</v>
      </c>
      <c r="U459" s="329">
        <f t="shared" si="401"/>
        <v>0</v>
      </c>
      <c r="V459" s="329">
        <f t="shared" si="401"/>
        <v>0</v>
      </c>
      <c r="W459" s="329">
        <f t="shared" si="401"/>
        <v>0</v>
      </c>
      <c r="X459" s="329">
        <f t="shared" si="401"/>
        <v>0</v>
      </c>
      <c r="Y459" s="329">
        <f t="shared" si="401"/>
        <v>0</v>
      </c>
      <c r="Z459" s="329">
        <f t="shared" si="401"/>
        <v>0</v>
      </c>
      <c r="AA459" s="329">
        <f t="shared" si="401"/>
        <v>0</v>
      </c>
      <c r="AB459" s="329">
        <f t="shared" si="401"/>
        <v>0</v>
      </c>
      <c r="AD459" s="332">
        <f t="shared" si="326"/>
        <v>0</v>
      </c>
      <c r="AE459" s="329">
        <f t="shared" si="327"/>
        <v>0</v>
      </c>
      <c r="AF459" s="329">
        <f t="shared" si="328"/>
        <v>0</v>
      </c>
      <c r="AG459" s="329">
        <f t="shared" si="328"/>
        <v>0</v>
      </c>
      <c r="AH459" s="329">
        <f t="shared" si="328"/>
        <v>0</v>
      </c>
      <c r="AI459" s="329">
        <f t="shared" si="329"/>
        <v>0</v>
      </c>
      <c r="AJ459" s="329">
        <f t="shared" si="329"/>
        <v>0</v>
      </c>
      <c r="AK459" s="329">
        <f t="shared" si="329"/>
        <v>0</v>
      </c>
      <c r="AL459" s="329">
        <f t="shared" si="330"/>
        <v>0</v>
      </c>
    </row>
    <row r="460" spans="1:38">
      <c r="A460" s="618" t="s">
        <v>1497</v>
      </c>
      <c r="B460" s="618"/>
      <c r="C460" s="619">
        <f>IF(G460&lt;&gt;0,1,)</f>
        <v>1</v>
      </c>
      <c r="D460" s="622"/>
      <c r="E460" s="623" t="s">
        <v>2731</v>
      </c>
      <c r="F460" s="622" t="s">
        <v>138</v>
      </c>
      <c r="G460" s="622">
        <f>U460</f>
        <v>7</v>
      </c>
      <c r="H460" s="623"/>
      <c r="I460" s="623"/>
      <c r="J460" s="623"/>
      <c r="K460" s="623"/>
      <c r="L460" s="623"/>
      <c r="M460" s="623"/>
      <c r="N460" s="623">
        <f t="shared" ref="N460:S460" si="402">SUM(N462:N466)</f>
        <v>686700</v>
      </c>
      <c r="O460" s="623">
        <f t="shared" si="402"/>
        <v>0</v>
      </c>
      <c r="P460" s="623">
        <f t="shared" si="402"/>
        <v>0</v>
      </c>
      <c r="Q460" s="623">
        <f t="shared" si="402"/>
        <v>283835</v>
      </c>
      <c r="R460" s="623">
        <f t="shared" si="402"/>
        <v>0</v>
      </c>
      <c r="S460" s="623">
        <f t="shared" si="402"/>
        <v>0</v>
      </c>
      <c r="U460" s="623">
        <f>SUM(V460:AB460)</f>
        <v>7</v>
      </c>
      <c r="V460" s="623">
        <f>IFERROR(HLOOKUP($A460,BK3P,V$3,0),)</f>
        <v>7</v>
      </c>
      <c r="W460" s="623">
        <f>IFERROR(HLOOKUP($A460,BK3P,W$3,0),)</f>
        <v>0</v>
      </c>
      <c r="X460" s="623">
        <f>IFERROR(HLOOKUP($A460,BK3P,X$3,0),)</f>
        <v>0</v>
      </c>
      <c r="Y460" s="623">
        <f>IFERROR(HLOOKUP($A460,BK1P,Y$3,0),)</f>
        <v>0</v>
      </c>
      <c r="Z460" s="623">
        <f>IFERROR(HLOOKUP($A460,BK1P,Z$3,0),)</f>
        <v>0</v>
      </c>
      <c r="AA460" s="623">
        <f>IFERROR(HLOOKUP($A460,BK1P,AA$3,0),)</f>
        <v>0</v>
      </c>
      <c r="AB460" s="623">
        <f>IFERROR(HLOOKUP($A460,BKHT,AB$3,0),)</f>
        <v>0</v>
      </c>
      <c r="AD460" s="405">
        <f t="shared" si="326"/>
        <v>0</v>
      </c>
      <c r="AE460" s="525">
        <f t="shared" si="327"/>
        <v>0</v>
      </c>
      <c r="AF460" s="525">
        <f t="shared" si="328"/>
        <v>0</v>
      </c>
      <c r="AG460" s="525">
        <f t="shared" si="328"/>
        <v>0</v>
      </c>
      <c r="AH460" s="525">
        <f t="shared" si="328"/>
        <v>0</v>
      </c>
      <c r="AI460" s="525">
        <f t="shared" si="329"/>
        <v>0</v>
      </c>
      <c r="AJ460" s="525">
        <f t="shared" si="329"/>
        <v>0</v>
      </c>
      <c r="AK460" s="525">
        <f t="shared" si="329"/>
        <v>0</v>
      </c>
      <c r="AL460" s="525">
        <f t="shared" si="330"/>
        <v>0</v>
      </c>
    </row>
    <row r="461" spans="1:38" s="542" customFormat="1">
      <c r="A461" s="624"/>
      <c r="B461" s="624"/>
      <c r="C461" s="625">
        <f>C460</f>
        <v>1</v>
      </c>
      <c r="D461" s="544"/>
      <c r="E461" s="545" t="s">
        <v>1659</v>
      </c>
      <c r="F461" s="544"/>
      <c r="G461" s="545"/>
      <c r="H461" s="545"/>
      <c r="I461" s="545"/>
      <c r="J461" s="545"/>
      <c r="K461" s="545"/>
      <c r="L461" s="545"/>
      <c r="M461" s="545"/>
      <c r="N461" s="545"/>
      <c r="O461" s="545"/>
      <c r="P461" s="545"/>
      <c r="Q461" s="545"/>
      <c r="R461" s="545"/>
      <c r="S461" s="545"/>
      <c r="U461" s="545"/>
      <c r="V461" s="545"/>
      <c r="W461" s="545"/>
      <c r="X461" s="545"/>
      <c r="Y461" s="545"/>
      <c r="Z461" s="545"/>
      <c r="AA461" s="545"/>
      <c r="AB461" s="545"/>
      <c r="AD461" s="405">
        <f t="shared" si="326"/>
        <v>0</v>
      </c>
      <c r="AE461" s="525">
        <f t="shared" si="327"/>
        <v>0</v>
      </c>
      <c r="AF461" s="525">
        <f t="shared" si="328"/>
        <v>0</v>
      </c>
      <c r="AG461" s="525">
        <f t="shared" si="328"/>
        <v>0</v>
      </c>
      <c r="AH461" s="525">
        <f t="shared" si="328"/>
        <v>0</v>
      </c>
      <c r="AI461" s="525">
        <f t="shared" si="329"/>
        <v>0</v>
      </c>
      <c r="AJ461" s="525">
        <f t="shared" si="329"/>
        <v>0</v>
      </c>
      <c r="AK461" s="525">
        <f t="shared" si="329"/>
        <v>0</v>
      </c>
      <c r="AL461" s="525">
        <f t="shared" si="330"/>
        <v>0</v>
      </c>
    </row>
    <row r="462" spans="1:38">
      <c r="A462" s="618"/>
      <c r="B462" s="618" t="s">
        <v>1689</v>
      </c>
      <c r="C462" s="619">
        <f>IF(G462&lt;&gt;0,$C$460,)</f>
        <v>1</v>
      </c>
      <c r="D462" s="523">
        <f>VLOOKUP(B462,DONGIA,DG!$B$6,0)</f>
        <v>0</v>
      </c>
      <c r="E462" s="525" t="str">
        <f>VLOOKUP(B462,DONGIA,DG!$C$6,0)</f>
        <v>Đà sắt L75x75x8-2000 - 3 ốp (Lệch 2/3)</v>
      </c>
      <c r="F462" s="523" t="str">
        <f>VLOOKUP(B462,DONGIA,DG!$D$6,0)</f>
        <v>cái</v>
      </c>
      <c r="G462" s="525">
        <v>1</v>
      </c>
      <c r="H462" s="525">
        <f>VLOOKUP($B462,DONGIA,DG!$E$6,0)</f>
        <v>497700</v>
      </c>
      <c r="I462" s="525"/>
      <c r="J462" s="525"/>
      <c r="K462" s="525">
        <f>VLOOKUP($B462,DONGIA,DG!$F$6,0)</f>
        <v>0</v>
      </c>
      <c r="L462" s="525"/>
      <c r="M462" s="525">
        <f>VLOOKUP($B462,DONGIA,DG!$G$6,0)</f>
        <v>0</v>
      </c>
      <c r="N462" s="525">
        <f>$G462*H462</f>
        <v>497700</v>
      </c>
      <c r="O462" s="525">
        <f t="shared" ref="O462:S466" si="403">$G462*I462</f>
        <v>0</v>
      </c>
      <c r="P462" s="525">
        <f t="shared" si="403"/>
        <v>0</v>
      </c>
      <c r="Q462" s="525">
        <f t="shared" si="403"/>
        <v>0</v>
      </c>
      <c r="R462" s="525">
        <f t="shared" si="403"/>
        <v>0</v>
      </c>
      <c r="S462" s="525">
        <f t="shared" si="403"/>
        <v>0</v>
      </c>
      <c r="U462" s="525">
        <f>U$460*$G462</f>
        <v>7</v>
      </c>
      <c r="V462" s="525">
        <f t="shared" ref="V462:AB462" si="404">V$460*$G462</f>
        <v>7</v>
      </c>
      <c r="W462" s="525">
        <f t="shared" si="404"/>
        <v>0</v>
      </c>
      <c r="X462" s="525">
        <f t="shared" si="404"/>
        <v>0</v>
      </c>
      <c r="Y462" s="525">
        <f t="shared" si="404"/>
        <v>0</v>
      </c>
      <c r="Z462" s="525">
        <f t="shared" si="404"/>
        <v>0</v>
      </c>
      <c r="AA462" s="525">
        <f t="shared" si="404"/>
        <v>0</v>
      </c>
      <c r="AB462" s="525">
        <f t="shared" si="404"/>
        <v>0</v>
      </c>
      <c r="AD462" s="405">
        <f t="shared" si="326"/>
        <v>25</v>
      </c>
      <c r="AE462" s="525">
        <f t="shared" si="327"/>
        <v>175</v>
      </c>
      <c r="AF462" s="525">
        <f t="shared" si="328"/>
        <v>175</v>
      </c>
      <c r="AG462" s="525">
        <f t="shared" si="328"/>
        <v>0</v>
      </c>
      <c r="AH462" s="525">
        <f t="shared" si="328"/>
        <v>0</v>
      </c>
      <c r="AI462" s="525">
        <f t="shared" si="329"/>
        <v>0</v>
      </c>
      <c r="AJ462" s="525">
        <f t="shared" si="329"/>
        <v>0</v>
      </c>
      <c r="AK462" s="525">
        <f t="shared" si="329"/>
        <v>0</v>
      </c>
      <c r="AL462" s="525">
        <f t="shared" si="330"/>
        <v>0</v>
      </c>
    </row>
    <row r="463" spans="1:38">
      <c r="A463" s="618"/>
      <c r="B463" s="618" t="s">
        <v>1690</v>
      </c>
      <c r="C463" s="619">
        <f>IF(G463&lt;&gt;0,$C$460,)</f>
        <v>1</v>
      </c>
      <c r="D463" s="523">
        <f>VLOOKUP(B463,DONGIA,DG!$B$6,0)</f>
        <v>0</v>
      </c>
      <c r="E463" s="525" t="str">
        <f>VLOOKUP(B463,DONGIA,DG!$C$6,0)</f>
        <v>Thanh chống L50x50x5-1150</v>
      </c>
      <c r="F463" s="523" t="str">
        <f>VLOOKUP(B463,DONGIA,DG!$D$6,0)</f>
        <v>cái</v>
      </c>
      <c r="G463" s="525">
        <v>1</v>
      </c>
      <c r="H463" s="525">
        <f>VLOOKUP($B463,DONGIA,DG!$E$6,0)</f>
        <v>116000</v>
      </c>
      <c r="I463" s="525"/>
      <c r="J463" s="525"/>
      <c r="K463" s="525">
        <f>VLOOKUP($B463,DONGIA,DG!$F$6,0)</f>
        <v>0</v>
      </c>
      <c r="L463" s="525"/>
      <c r="M463" s="525">
        <f>VLOOKUP($B463,DONGIA,DG!$G$6,0)</f>
        <v>0</v>
      </c>
      <c r="N463" s="525">
        <f>$G463*H463</f>
        <v>116000</v>
      </c>
      <c r="O463" s="525">
        <f t="shared" si="403"/>
        <v>0</v>
      </c>
      <c r="P463" s="525">
        <f t="shared" si="403"/>
        <v>0</v>
      </c>
      <c r="Q463" s="525">
        <f t="shared" si="403"/>
        <v>0</v>
      </c>
      <c r="R463" s="525">
        <f t="shared" si="403"/>
        <v>0</v>
      </c>
      <c r="S463" s="525">
        <f t="shared" si="403"/>
        <v>0</v>
      </c>
      <c r="U463" s="525">
        <f t="shared" ref="U463:AB466" si="405">U$460*$G463</f>
        <v>7</v>
      </c>
      <c r="V463" s="525">
        <f t="shared" si="405"/>
        <v>7</v>
      </c>
      <c r="W463" s="525">
        <f t="shared" si="405"/>
        <v>0</v>
      </c>
      <c r="X463" s="525">
        <f t="shared" si="405"/>
        <v>0</v>
      </c>
      <c r="Y463" s="525">
        <f t="shared" si="405"/>
        <v>0</v>
      </c>
      <c r="Z463" s="525">
        <f t="shared" si="405"/>
        <v>0</v>
      </c>
      <c r="AA463" s="525">
        <f t="shared" si="405"/>
        <v>0</v>
      </c>
      <c r="AB463" s="525">
        <f t="shared" si="405"/>
        <v>0</v>
      </c>
      <c r="AD463" s="405">
        <f t="shared" si="326"/>
        <v>5.5</v>
      </c>
      <c r="AE463" s="525">
        <f t="shared" si="327"/>
        <v>38.5</v>
      </c>
      <c r="AF463" s="525">
        <f t="shared" si="328"/>
        <v>38.5</v>
      </c>
      <c r="AG463" s="525">
        <f t="shared" si="328"/>
        <v>0</v>
      </c>
      <c r="AH463" s="525">
        <f t="shared" si="328"/>
        <v>0</v>
      </c>
      <c r="AI463" s="525">
        <f t="shared" si="329"/>
        <v>0</v>
      </c>
      <c r="AJ463" s="525">
        <f t="shared" si="329"/>
        <v>0</v>
      </c>
      <c r="AK463" s="525">
        <f t="shared" si="329"/>
        <v>0</v>
      </c>
      <c r="AL463" s="525">
        <f t="shared" si="330"/>
        <v>0</v>
      </c>
    </row>
    <row r="464" spans="1:38">
      <c r="A464" s="618"/>
      <c r="B464" s="618" t="s">
        <v>33</v>
      </c>
      <c r="C464" s="619">
        <f>IF(G464&lt;&gt;0,$C$460,)</f>
        <v>1</v>
      </c>
      <c r="D464" s="523">
        <f>VLOOKUP(B464,DONGIA,DG!$B$6,0)</f>
        <v>0</v>
      </c>
      <c r="E464" s="525" t="str">
        <f>VLOOKUP(B464,DONGIA,DG!$C$6,0)</f>
        <v>Boulon 16x250+ 2 long đền vuông D18-50x50x3/Zn</v>
      </c>
      <c r="F464" s="523" t="str">
        <f>VLOOKUP(B464,DONGIA,DG!$D$6,0)</f>
        <v>bộ</v>
      </c>
      <c r="G464" s="525">
        <v>2</v>
      </c>
      <c r="H464" s="525">
        <f>VLOOKUP($B464,DONGIA,DG!$E$6,0)</f>
        <v>28000</v>
      </c>
      <c r="I464" s="525"/>
      <c r="J464" s="525"/>
      <c r="K464" s="525">
        <f>VLOOKUP($B464,DONGIA,DG!$F$6,0)</f>
        <v>0</v>
      </c>
      <c r="L464" s="525"/>
      <c r="M464" s="525">
        <f>VLOOKUP($B464,DONGIA,DG!$G$6,0)</f>
        <v>0</v>
      </c>
      <c r="N464" s="525">
        <f>$G464*H464</f>
        <v>56000</v>
      </c>
      <c r="O464" s="525">
        <f t="shared" si="403"/>
        <v>0</v>
      </c>
      <c r="P464" s="525">
        <f t="shared" si="403"/>
        <v>0</v>
      </c>
      <c r="Q464" s="525">
        <f t="shared" si="403"/>
        <v>0</v>
      </c>
      <c r="R464" s="525">
        <f t="shared" si="403"/>
        <v>0</v>
      </c>
      <c r="S464" s="525">
        <f t="shared" si="403"/>
        <v>0</v>
      </c>
      <c r="U464" s="525">
        <f t="shared" si="405"/>
        <v>14</v>
      </c>
      <c r="V464" s="525">
        <f t="shared" si="405"/>
        <v>14</v>
      </c>
      <c r="W464" s="525">
        <f t="shared" si="405"/>
        <v>0</v>
      </c>
      <c r="X464" s="525">
        <f t="shared" si="405"/>
        <v>0</v>
      </c>
      <c r="Y464" s="525">
        <f t="shared" si="405"/>
        <v>0</v>
      </c>
      <c r="Z464" s="525">
        <f t="shared" si="405"/>
        <v>0</v>
      </c>
      <c r="AA464" s="525">
        <f t="shared" si="405"/>
        <v>0</v>
      </c>
      <c r="AB464" s="525">
        <f t="shared" si="405"/>
        <v>0</v>
      </c>
      <c r="AD464" s="405">
        <f t="shared" si="326"/>
        <v>0.23</v>
      </c>
      <c r="AE464" s="525">
        <f t="shared" si="327"/>
        <v>3.22</v>
      </c>
      <c r="AF464" s="525">
        <f t="shared" si="328"/>
        <v>3.22</v>
      </c>
      <c r="AG464" s="525">
        <f t="shared" si="328"/>
        <v>0</v>
      </c>
      <c r="AH464" s="525">
        <f t="shared" si="328"/>
        <v>0</v>
      </c>
      <c r="AI464" s="525">
        <f t="shared" si="329"/>
        <v>0</v>
      </c>
      <c r="AJ464" s="525">
        <f t="shared" si="329"/>
        <v>0</v>
      </c>
      <c r="AK464" s="525">
        <f t="shared" si="329"/>
        <v>0</v>
      </c>
      <c r="AL464" s="525">
        <f t="shared" si="330"/>
        <v>0</v>
      </c>
    </row>
    <row r="465" spans="1:38">
      <c r="A465" s="618"/>
      <c r="B465" s="618" t="s">
        <v>29</v>
      </c>
      <c r="C465" s="619">
        <f>IF(G465&lt;&gt;0,$C$460,)</f>
        <v>1</v>
      </c>
      <c r="D465" s="523">
        <f>VLOOKUP(B465,DONGIA,DG!$B$6,0)</f>
        <v>0</v>
      </c>
      <c r="E465" s="525" t="str">
        <f>VLOOKUP(B465,DONGIA,DG!$C$6,0)</f>
        <v>Boulon 16x50+ 2 long đền vuông D18-50x50x3/Zn</v>
      </c>
      <c r="F465" s="523" t="str">
        <f>VLOOKUP(B465,DONGIA,DG!$D$6,0)</f>
        <v>bộ</v>
      </c>
      <c r="G465" s="525">
        <v>1</v>
      </c>
      <c r="H465" s="525">
        <f>VLOOKUP($B465,DONGIA,DG!$E$6,0)</f>
        <v>17000</v>
      </c>
      <c r="I465" s="525"/>
      <c r="J465" s="525"/>
      <c r="K465" s="525">
        <f>VLOOKUP($B465,DONGIA,DG!$F$6,0)</f>
        <v>0</v>
      </c>
      <c r="L465" s="525"/>
      <c r="M465" s="525">
        <f>VLOOKUP($B465,DONGIA,DG!$G$6,0)</f>
        <v>0</v>
      </c>
      <c r="N465" s="525">
        <f>$G465*H465</f>
        <v>17000</v>
      </c>
      <c r="O465" s="525">
        <f t="shared" si="403"/>
        <v>0</v>
      </c>
      <c r="P465" s="525">
        <f t="shared" si="403"/>
        <v>0</v>
      </c>
      <c r="Q465" s="525">
        <f t="shared" si="403"/>
        <v>0</v>
      </c>
      <c r="R465" s="525">
        <f t="shared" si="403"/>
        <v>0</v>
      </c>
      <c r="S465" s="525">
        <f t="shared" si="403"/>
        <v>0</v>
      </c>
      <c r="U465" s="525">
        <f t="shared" si="405"/>
        <v>7</v>
      </c>
      <c r="V465" s="525">
        <f t="shared" si="405"/>
        <v>7</v>
      </c>
      <c r="W465" s="525">
        <f t="shared" si="405"/>
        <v>0</v>
      </c>
      <c r="X465" s="525">
        <f t="shared" si="405"/>
        <v>0</v>
      </c>
      <c r="Y465" s="525">
        <f t="shared" si="405"/>
        <v>0</v>
      </c>
      <c r="Z465" s="525">
        <f t="shared" si="405"/>
        <v>0</v>
      </c>
      <c r="AA465" s="525">
        <f t="shared" si="405"/>
        <v>0</v>
      </c>
      <c r="AB465" s="525">
        <f t="shared" si="405"/>
        <v>0</v>
      </c>
      <c r="AD465" s="405">
        <f t="shared" si="326"/>
        <v>0.25</v>
      </c>
      <c r="AE465" s="525">
        <f t="shared" si="327"/>
        <v>1.75</v>
      </c>
      <c r="AF465" s="525">
        <f t="shared" si="328"/>
        <v>1.75</v>
      </c>
      <c r="AG465" s="525">
        <f t="shared" si="328"/>
        <v>0</v>
      </c>
      <c r="AH465" s="525">
        <f t="shared" si="328"/>
        <v>0</v>
      </c>
      <c r="AI465" s="525">
        <f t="shared" si="329"/>
        <v>0</v>
      </c>
      <c r="AJ465" s="525">
        <f t="shared" si="329"/>
        <v>0</v>
      </c>
      <c r="AK465" s="525">
        <f t="shared" si="329"/>
        <v>0</v>
      </c>
      <c r="AL465" s="525">
        <f t="shared" si="330"/>
        <v>0</v>
      </c>
    </row>
    <row r="466" spans="1:38">
      <c r="A466" s="618"/>
      <c r="B466" s="618" t="s">
        <v>623</v>
      </c>
      <c r="C466" s="619">
        <f>IF(G466&lt;&gt;0,$C$460,)</f>
        <v>1</v>
      </c>
      <c r="D466" s="523" t="str">
        <f>VLOOKUP(B466,DONGIA,DG!$B$6,0)</f>
        <v>D2.6021a</v>
      </c>
      <c r="E466" s="525" t="str">
        <f>VLOOKUP(B466,DONGIA,DG!$C$6,0)</f>
        <v>Lắp đặt xà thép L75x75x8x2000 đơn cột đỡ (25,356 kg/bộ)</v>
      </c>
      <c r="F466" s="523" t="str">
        <f>VLOOKUP(B466,DONGIA,DG!$D$6,0)</f>
        <v>bộ</v>
      </c>
      <c r="G466" s="525">
        <v>1</v>
      </c>
      <c r="H466" s="525"/>
      <c r="I466" s="525"/>
      <c r="J466" s="525"/>
      <c r="K466" s="525">
        <f>VLOOKUP($B466,DONGIA,DG!$F$6,0)</f>
        <v>283835</v>
      </c>
      <c r="L466" s="525"/>
      <c r="M466" s="525">
        <f>VLOOKUP($B466,DONGIA,DG!$G$6,0)</f>
        <v>0</v>
      </c>
      <c r="N466" s="525">
        <f>$G466*H466</f>
        <v>0</v>
      </c>
      <c r="O466" s="525">
        <f t="shared" si="403"/>
        <v>0</v>
      </c>
      <c r="P466" s="525">
        <f t="shared" si="403"/>
        <v>0</v>
      </c>
      <c r="Q466" s="525">
        <f t="shared" si="403"/>
        <v>283835</v>
      </c>
      <c r="R466" s="525">
        <f t="shared" si="403"/>
        <v>0</v>
      </c>
      <c r="S466" s="525">
        <f t="shared" si="403"/>
        <v>0</v>
      </c>
      <c r="U466" s="525">
        <f t="shared" si="405"/>
        <v>7</v>
      </c>
      <c r="V466" s="525">
        <f t="shared" si="405"/>
        <v>7</v>
      </c>
      <c r="W466" s="525">
        <f t="shared" si="405"/>
        <v>0</v>
      </c>
      <c r="X466" s="525">
        <f t="shared" si="405"/>
        <v>0</v>
      </c>
      <c r="Y466" s="525">
        <f t="shared" si="405"/>
        <v>0</v>
      </c>
      <c r="Z466" s="525">
        <f t="shared" si="405"/>
        <v>0</v>
      </c>
      <c r="AA466" s="525">
        <f t="shared" si="405"/>
        <v>0</v>
      </c>
      <c r="AB466" s="525">
        <f t="shared" si="405"/>
        <v>0</v>
      </c>
      <c r="AD466" s="405">
        <f t="shared" si="326"/>
        <v>0</v>
      </c>
      <c r="AE466" s="525">
        <f t="shared" si="327"/>
        <v>0</v>
      </c>
      <c r="AF466" s="525">
        <f t="shared" si="328"/>
        <v>0</v>
      </c>
      <c r="AG466" s="525">
        <f t="shared" si="328"/>
        <v>0</v>
      </c>
      <c r="AH466" s="525">
        <f t="shared" si="328"/>
        <v>0</v>
      </c>
      <c r="AI466" s="525">
        <f t="shared" si="329"/>
        <v>0</v>
      </c>
      <c r="AJ466" s="525">
        <f t="shared" si="329"/>
        <v>0</v>
      </c>
      <c r="AK466" s="525">
        <f t="shared" si="329"/>
        <v>0</v>
      </c>
      <c r="AL466" s="525">
        <f t="shared" si="330"/>
        <v>0</v>
      </c>
    </row>
    <row r="467" spans="1:38">
      <c r="A467" s="618" t="s">
        <v>1498</v>
      </c>
      <c r="B467" s="618"/>
      <c r="C467" s="619">
        <f>IF(G467&lt;&gt;0,1,)</f>
        <v>1</v>
      </c>
      <c r="D467" s="622"/>
      <c r="E467" s="623" t="s">
        <v>2730</v>
      </c>
      <c r="F467" s="622" t="s">
        <v>138</v>
      </c>
      <c r="G467" s="622">
        <f>U467</f>
        <v>13</v>
      </c>
      <c r="H467" s="623"/>
      <c r="I467" s="623"/>
      <c r="J467" s="623"/>
      <c r="K467" s="623"/>
      <c r="L467" s="623"/>
      <c r="M467" s="623"/>
      <c r="N467" s="623">
        <f t="shared" ref="N467:S467" si="406">SUM(N469:N475)</f>
        <v>1439400</v>
      </c>
      <c r="O467" s="623">
        <f t="shared" si="406"/>
        <v>0</v>
      </c>
      <c r="P467" s="623">
        <f t="shared" si="406"/>
        <v>0</v>
      </c>
      <c r="Q467" s="623">
        <f t="shared" si="406"/>
        <v>380603</v>
      </c>
      <c r="R467" s="623">
        <f t="shared" si="406"/>
        <v>0</v>
      </c>
      <c r="S467" s="623">
        <f t="shared" si="406"/>
        <v>0</v>
      </c>
      <c r="U467" s="623">
        <f>SUM(V467:AB467)</f>
        <v>13</v>
      </c>
      <c r="V467" s="623">
        <f>IFERROR(HLOOKUP($A467,BK3P,V$3,0),)</f>
        <v>13</v>
      </c>
      <c r="W467" s="623">
        <f>IFERROR(HLOOKUP($A467,BK3P,W$3,0),)</f>
        <v>0</v>
      </c>
      <c r="X467" s="623">
        <f>IFERROR(HLOOKUP($A467,BK3P,X$3,0),)</f>
        <v>0</v>
      </c>
      <c r="Y467" s="623">
        <f>IFERROR(HLOOKUP($A467,BK1P,Y$3,0),)</f>
        <v>0</v>
      </c>
      <c r="Z467" s="623">
        <f>IFERROR(HLOOKUP($A467,BK1P,Z$3,0),)</f>
        <v>0</v>
      </c>
      <c r="AA467" s="623">
        <f>IFERROR(HLOOKUP($A467,BK1P,AA$3,0),)</f>
        <v>0</v>
      </c>
      <c r="AB467" s="623">
        <f>IFERROR(HLOOKUP($A467,BKHT,AB$3,0),)</f>
        <v>0</v>
      </c>
      <c r="AD467" s="405">
        <f t="shared" si="326"/>
        <v>0</v>
      </c>
      <c r="AE467" s="525">
        <f t="shared" si="327"/>
        <v>0</v>
      </c>
      <c r="AF467" s="525">
        <f t="shared" si="328"/>
        <v>0</v>
      </c>
      <c r="AG467" s="525">
        <f t="shared" si="328"/>
        <v>0</v>
      </c>
      <c r="AH467" s="525">
        <f t="shared" si="328"/>
        <v>0</v>
      </c>
      <c r="AI467" s="525">
        <f t="shared" si="329"/>
        <v>0</v>
      </c>
      <c r="AJ467" s="525">
        <f t="shared" si="329"/>
        <v>0</v>
      </c>
      <c r="AK467" s="525">
        <f t="shared" si="329"/>
        <v>0</v>
      </c>
      <c r="AL467" s="525">
        <f t="shared" si="330"/>
        <v>0</v>
      </c>
    </row>
    <row r="468" spans="1:38" s="542" customFormat="1">
      <c r="A468" s="624"/>
      <c r="B468" s="624"/>
      <c r="C468" s="625">
        <f>C467</f>
        <v>1</v>
      </c>
      <c r="D468" s="544"/>
      <c r="E468" s="545" t="s">
        <v>1659</v>
      </c>
      <c r="F468" s="544"/>
      <c r="G468" s="545"/>
      <c r="H468" s="545"/>
      <c r="I468" s="545"/>
      <c r="J468" s="545"/>
      <c r="K468" s="545"/>
      <c r="L468" s="545"/>
      <c r="M468" s="545"/>
      <c r="N468" s="545"/>
      <c r="O468" s="545"/>
      <c r="P468" s="545"/>
      <c r="Q468" s="545"/>
      <c r="R468" s="545"/>
      <c r="S468" s="545"/>
      <c r="U468" s="545"/>
      <c r="V468" s="545"/>
      <c r="W468" s="545"/>
      <c r="X468" s="545"/>
      <c r="Y468" s="545"/>
      <c r="Z468" s="545"/>
      <c r="AA468" s="545"/>
      <c r="AB468" s="545"/>
      <c r="AD468" s="405">
        <f t="shared" si="326"/>
        <v>0</v>
      </c>
      <c r="AE468" s="525">
        <f t="shared" si="327"/>
        <v>0</v>
      </c>
      <c r="AF468" s="525">
        <f t="shared" si="328"/>
        <v>0</v>
      </c>
      <c r="AG468" s="525">
        <f t="shared" si="328"/>
        <v>0</v>
      </c>
      <c r="AH468" s="525">
        <f t="shared" si="328"/>
        <v>0</v>
      </c>
      <c r="AI468" s="525">
        <f t="shared" si="329"/>
        <v>0</v>
      </c>
      <c r="AJ468" s="525">
        <f t="shared" si="329"/>
        <v>0</v>
      </c>
      <c r="AK468" s="525">
        <f t="shared" si="329"/>
        <v>0</v>
      </c>
      <c r="AL468" s="525">
        <f t="shared" si="330"/>
        <v>0</v>
      </c>
    </row>
    <row r="469" spans="1:38">
      <c r="A469" s="618"/>
      <c r="B469" s="618" t="s">
        <v>1689</v>
      </c>
      <c r="C469" s="619">
        <f>IF(G469&lt;&gt;0,$C$467,)</f>
        <v>1</v>
      </c>
      <c r="D469" s="523">
        <f>VLOOKUP(B469,DONGIA,DG!$B$6,0)</f>
        <v>0</v>
      </c>
      <c r="E469" s="525" t="str">
        <f>VLOOKUP(B469,DONGIA,DG!$C$6,0)</f>
        <v>Đà sắt L75x75x8-2000 - 3 ốp (Lệch 2/3)</v>
      </c>
      <c r="F469" s="523" t="str">
        <f>VLOOKUP(B469,DONGIA,DG!$D$6,0)</f>
        <v>cái</v>
      </c>
      <c r="G469" s="525">
        <v>2</v>
      </c>
      <c r="H469" s="525">
        <f>VLOOKUP($B469,DONGIA,DG!$E$6,0)</f>
        <v>497700</v>
      </c>
      <c r="I469" s="525"/>
      <c r="J469" s="525"/>
      <c r="K469" s="525">
        <f>VLOOKUP($B469,DONGIA,DG!$F$6,0)</f>
        <v>0</v>
      </c>
      <c r="L469" s="525"/>
      <c r="M469" s="525">
        <f>VLOOKUP($B469,DONGIA,DG!$G$6,0)</f>
        <v>0</v>
      </c>
      <c r="N469" s="525">
        <f>$G469*H469</f>
        <v>995400</v>
      </c>
      <c r="O469" s="525">
        <f t="shared" ref="O469:S475" si="407">$G469*I469</f>
        <v>0</v>
      </c>
      <c r="P469" s="525">
        <f t="shared" si="407"/>
        <v>0</v>
      </c>
      <c r="Q469" s="525">
        <f t="shared" si="407"/>
        <v>0</v>
      </c>
      <c r="R469" s="525">
        <f t="shared" si="407"/>
        <v>0</v>
      </c>
      <c r="S469" s="525">
        <f t="shared" si="407"/>
        <v>0</v>
      </c>
      <c r="U469" s="525">
        <f>U$467*$G469</f>
        <v>26</v>
      </c>
      <c r="V469" s="525">
        <f t="shared" ref="V469:AB469" si="408">V$467*$G469</f>
        <v>26</v>
      </c>
      <c r="W469" s="525">
        <f t="shared" si="408"/>
        <v>0</v>
      </c>
      <c r="X469" s="525">
        <f t="shared" si="408"/>
        <v>0</v>
      </c>
      <c r="Y469" s="525">
        <f t="shared" si="408"/>
        <v>0</v>
      </c>
      <c r="Z469" s="525">
        <f t="shared" si="408"/>
        <v>0</v>
      </c>
      <c r="AA469" s="525">
        <f t="shared" si="408"/>
        <v>0</v>
      </c>
      <c r="AB469" s="525">
        <f t="shared" si="408"/>
        <v>0</v>
      </c>
      <c r="AD469" s="405">
        <f t="shared" si="326"/>
        <v>25</v>
      </c>
      <c r="AE469" s="525">
        <f t="shared" si="327"/>
        <v>650</v>
      </c>
      <c r="AF469" s="525">
        <f t="shared" si="328"/>
        <v>650</v>
      </c>
      <c r="AG469" s="525">
        <f t="shared" si="328"/>
        <v>0</v>
      </c>
      <c r="AH469" s="525">
        <f t="shared" si="328"/>
        <v>0</v>
      </c>
      <c r="AI469" s="525">
        <f t="shared" si="329"/>
        <v>0</v>
      </c>
      <c r="AJ469" s="525">
        <f t="shared" si="329"/>
        <v>0</v>
      </c>
      <c r="AK469" s="525">
        <f t="shared" si="329"/>
        <v>0</v>
      </c>
      <c r="AL469" s="525">
        <f t="shared" si="330"/>
        <v>0</v>
      </c>
    </row>
    <row r="470" spans="1:38">
      <c r="A470" s="618"/>
      <c r="B470" s="618" t="s">
        <v>1690</v>
      </c>
      <c r="C470" s="619">
        <f t="shared" ref="C470:C475" si="409">IF(G470&lt;&gt;0,$C$467,)</f>
        <v>1</v>
      </c>
      <c r="D470" s="523">
        <f>VLOOKUP(B470,DONGIA,DG!$B$6,0)</f>
        <v>0</v>
      </c>
      <c r="E470" s="525" t="str">
        <f>VLOOKUP(B470,DONGIA,DG!$C$6,0)</f>
        <v>Thanh chống L50x50x5-1150</v>
      </c>
      <c r="F470" s="523" t="str">
        <f>VLOOKUP(B470,DONGIA,DG!$D$6,0)</f>
        <v>cái</v>
      </c>
      <c r="G470" s="525">
        <v>2</v>
      </c>
      <c r="H470" s="525">
        <f>VLOOKUP($B470,DONGIA,DG!$E$6,0)</f>
        <v>116000</v>
      </c>
      <c r="I470" s="525"/>
      <c r="J470" s="525"/>
      <c r="K470" s="525">
        <f>VLOOKUP($B470,DONGIA,DG!$F$6,0)</f>
        <v>0</v>
      </c>
      <c r="L470" s="525"/>
      <c r="M470" s="525">
        <f>VLOOKUP($B470,DONGIA,DG!$G$6,0)</f>
        <v>0</v>
      </c>
      <c r="N470" s="525">
        <f t="shared" ref="N470:N475" si="410">$G470*H470</f>
        <v>232000</v>
      </c>
      <c r="O470" s="525">
        <f t="shared" si="407"/>
        <v>0</v>
      </c>
      <c r="P470" s="525">
        <f t="shared" si="407"/>
        <v>0</v>
      </c>
      <c r="Q470" s="525">
        <f t="shared" si="407"/>
        <v>0</v>
      </c>
      <c r="R470" s="525">
        <f t="shared" si="407"/>
        <v>0</v>
      </c>
      <c r="S470" s="525">
        <f t="shared" si="407"/>
        <v>0</v>
      </c>
      <c r="U470" s="525">
        <f t="shared" ref="U470:AB475" si="411">U$467*$G470</f>
        <v>26</v>
      </c>
      <c r="V470" s="525">
        <f t="shared" si="411"/>
        <v>26</v>
      </c>
      <c r="W470" s="525">
        <f t="shared" si="411"/>
        <v>0</v>
      </c>
      <c r="X470" s="525">
        <f t="shared" si="411"/>
        <v>0</v>
      </c>
      <c r="Y470" s="525">
        <f t="shared" si="411"/>
        <v>0</v>
      </c>
      <c r="Z470" s="525">
        <f t="shared" si="411"/>
        <v>0</v>
      </c>
      <c r="AA470" s="525">
        <f t="shared" si="411"/>
        <v>0</v>
      </c>
      <c r="AB470" s="525">
        <f t="shared" si="411"/>
        <v>0</v>
      </c>
      <c r="AD470" s="405">
        <f t="shared" si="326"/>
        <v>5.5</v>
      </c>
      <c r="AE470" s="525">
        <f t="shared" si="327"/>
        <v>143</v>
      </c>
      <c r="AF470" s="525">
        <f t="shared" si="328"/>
        <v>143</v>
      </c>
      <c r="AG470" s="525">
        <f t="shared" si="328"/>
        <v>0</v>
      </c>
      <c r="AH470" s="525">
        <f t="shared" si="328"/>
        <v>0</v>
      </c>
      <c r="AI470" s="525">
        <f t="shared" si="329"/>
        <v>0</v>
      </c>
      <c r="AJ470" s="525">
        <f t="shared" si="329"/>
        <v>0</v>
      </c>
      <c r="AK470" s="525">
        <f t="shared" si="329"/>
        <v>0</v>
      </c>
      <c r="AL470" s="525">
        <f t="shared" si="330"/>
        <v>0</v>
      </c>
    </row>
    <row r="471" spans="1:38">
      <c r="A471" s="618"/>
      <c r="B471" s="618" t="s">
        <v>1680</v>
      </c>
      <c r="C471" s="619">
        <f t="shared" si="409"/>
        <v>1</v>
      </c>
      <c r="D471" s="523">
        <f>VLOOKUP(B471,DONGIA,DG!$B$6,0)</f>
        <v>0</v>
      </c>
      <c r="E471" s="525" t="str">
        <f>VLOOKUP(B471,DONGIA,DG!$C$6,0)</f>
        <v>Boulon 16x300VRS + 4 long đền vuông D18-50x50x3/Zn</v>
      </c>
      <c r="F471" s="523" t="str">
        <f>VLOOKUP(B471,DONGIA,DG!$D$6,0)</f>
        <v>bộ</v>
      </c>
      <c r="G471" s="525">
        <v>3</v>
      </c>
      <c r="H471" s="525">
        <f>VLOOKUP($B471,DONGIA,DG!$E$6,0)</f>
        <v>40000</v>
      </c>
      <c r="I471" s="525"/>
      <c r="J471" s="525"/>
      <c r="K471" s="525">
        <f>VLOOKUP($B471,DONGIA,DG!$F$6,0)</f>
        <v>0</v>
      </c>
      <c r="L471" s="525"/>
      <c r="M471" s="525">
        <f>VLOOKUP($B471,DONGIA,DG!$G$6,0)</f>
        <v>0</v>
      </c>
      <c r="N471" s="525">
        <f t="shared" si="410"/>
        <v>120000</v>
      </c>
      <c r="O471" s="525">
        <f t="shared" si="407"/>
        <v>0</v>
      </c>
      <c r="P471" s="525">
        <f t="shared" si="407"/>
        <v>0</v>
      </c>
      <c r="Q471" s="525">
        <f t="shared" si="407"/>
        <v>0</v>
      </c>
      <c r="R471" s="525">
        <f t="shared" si="407"/>
        <v>0</v>
      </c>
      <c r="S471" s="525">
        <f t="shared" si="407"/>
        <v>0</v>
      </c>
      <c r="U471" s="525">
        <f t="shared" si="411"/>
        <v>39</v>
      </c>
      <c r="V471" s="525">
        <f t="shared" si="411"/>
        <v>39</v>
      </c>
      <c r="W471" s="525">
        <f t="shared" si="411"/>
        <v>0</v>
      </c>
      <c r="X471" s="525">
        <f t="shared" si="411"/>
        <v>0</v>
      </c>
      <c r="Y471" s="525">
        <f t="shared" si="411"/>
        <v>0</v>
      </c>
      <c r="Z471" s="525">
        <f t="shared" si="411"/>
        <v>0</v>
      </c>
      <c r="AA471" s="525">
        <f t="shared" si="411"/>
        <v>0</v>
      </c>
      <c r="AB471" s="525">
        <f t="shared" si="411"/>
        <v>0</v>
      </c>
      <c r="AD471" s="405">
        <f t="shared" si="326"/>
        <v>0.3</v>
      </c>
      <c r="AE471" s="525">
        <f t="shared" si="327"/>
        <v>11.7</v>
      </c>
      <c r="AF471" s="525">
        <f t="shared" si="328"/>
        <v>11.7</v>
      </c>
      <c r="AG471" s="525">
        <f t="shared" si="328"/>
        <v>0</v>
      </c>
      <c r="AH471" s="525">
        <f t="shared" si="328"/>
        <v>0</v>
      </c>
      <c r="AI471" s="525">
        <f t="shared" si="329"/>
        <v>0</v>
      </c>
      <c r="AJ471" s="525">
        <f t="shared" si="329"/>
        <v>0</v>
      </c>
      <c r="AK471" s="525">
        <f t="shared" si="329"/>
        <v>0</v>
      </c>
      <c r="AL471" s="525">
        <f t="shared" si="330"/>
        <v>0</v>
      </c>
    </row>
    <row r="472" spans="1:38">
      <c r="A472" s="618"/>
      <c r="B472" s="618" t="s">
        <v>35</v>
      </c>
      <c r="C472" s="619">
        <f t="shared" si="409"/>
        <v>1</v>
      </c>
      <c r="D472" s="523">
        <f>VLOOKUP(B472,DONGIA,DG!$B$6,0)</f>
        <v>0</v>
      </c>
      <c r="E472" s="525" t="str">
        <f>VLOOKUP(B472,DONGIA,DG!$C$6,0)</f>
        <v>Boulon 16x300+ 2 long đền vuông D18-50x50x3/Zn</v>
      </c>
      <c r="F472" s="523" t="str">
        <f>VLOOKUP(B472,DONGIA,DG!$D$6,0)</f>
        <v>bộ</v>
      </c>
      <c r="G472" s="525">
        <v>1</v>
      </c>
      <c r="H472" s="525">
        <f>VLOOKUP($B472,DONGIA,DG!$E$6,0)</f>
        <v>30000</v>
      </c>
      <c r="I472" s="525"/>
      <c r="J472" s="525"/>
      <c r="K472" s="525">
        <f>VLOOKUP($B472,DONGIA,DG!$F$6,0)</f>
        <v>0</v>
      </c>
      <c r="L472" s="525"/>
      <c r="M472" s="525">
        <f>VLOOKUP($B472,DONGIA,DG!$G$6,0)</f>
        <v>0</v>
      </c>
      <c r="N472" s="525">
        <f t="shared" si="410"/>
        <v>30000</v>
      </c>
      <c r="O472" s="525">
        <f t="shared" si="407"/>
        <v>0</v>
      </c>
      <c r="P472" s="525">
        <f t="shared" si="407"/>
        <v>0</v>
      </c>
      <c r="Q472" s="525">
        <f t="shared" si="407"/>
        <v>0</v>
      </c>
      <c r="R472" s="525">
        <f t="shared" si="407"/>
        <v>0</v>
      </c>
      <c r="S472" s="525">
        <f t="shared" si="407"/>
        <v>0</v>
      </c>
      <c r="U472" s="525">
        <f t="shared" si="411"/>
        <v>13</v>
      </c>
      <c r="V472" s="525">
        <f t="shared" si="411"/>
        <v>13</v>
      </c>
      <c r="W472" s="525">
        <f t="shared" si="411"/>
        <v>0</v>
      </c>
      <c r="X472" s="525">
        <f t="shared" si="411"/>
        <v>0</v>
      </c>
      <c r="Y472" s="525">
        <f t="shared" si="411"/>
        <v>0</v>
      </c>
      <c r="Z472" s="525">
        <f t="shared" si="411"/>
        <v>0</v>
      </c>
      <c r="AA472" s="525">
        <f t="shared" si="411"/>
        <v>0</v>
      </c>
      <c r="AB472" s="525">
        <f t="shared" si="411"/>
        <v>0</v>
      </c>
      <c r="AD472" s="405">
        <f t="shared" si="326"/>
        <v>0.25</v>
      </c>
      <c r="AE472" s="525">
        <f t="shared" si="327"/>
        <v>3.25</v>
      </c>
      <c r="AF472" s="525">
        <f t="shared" si="328"/>
        <v>3.25</v>
      </c>
      <c r="AG472" s="525">
        <f t="shared" si="328"/>
        <v>0</v>
      </c>
      <c r="AH472" s="525">
        <f t="shared" si="328"/>
        <v>0</v>
      </c>
      <c r="AI472" s="525">
        <f t="shared" si="329"/>
        <v>0</v>
      </c>
      <c r="AJ472" s="525">
        <f t="shared" si="329"/>
        <v>0</v>
      </c>
      <c r="AK472" s="525">
        <f t="shared" si="329"/>
        <v>0</v>
      </c>
      <c r="AL472" s="525">
        <f t="shared" si="330"/>
        <v>0</v>
      </c>
    </row>
    <row r="473" spans="1:38">
      <c r="A473" s="618"/>
      <c r="B473" s="618" t="s">
        <v>33</v>
      </c>
      <c r="C473" s="619">
        <f t="shared" si="409"/>
        <v>1</v>
      </c>
      <c r="D473" s="523">
        <f>VLOOKUP(B473,DONGIA,DG!$B$6,0)</f>
        <v>0</v>
      </c>
      <c r="E473" s="525" t="str">
        <f>VLOOKUP(B473,DONGIA,DG!$C$6,0)</f>
        <v>Boulon 16x250+ 2 long đền vuông D18-50x50x3/Zn</v>
      </c>
      <c r="F473" s="523" t="str">
        <f>VLOOKUP(B473,DONGIA,DG!$D$6,0)</f>
        <v>bộ</v>
      </c>
      <c r="G473" s="525">
        <v>1</v>
      </c>
      <c r="H473" s="525">
        <f>VLOOKUP($B473,DONGIA,DG!$E$6,0)</f>
        <v>28000</v>
      </c>
      <c r="I473" s="525"/>
      <c r="J473" s="525"/>
      <c r="K473" s="525">
        <f>VLOOKUP($B473,DONGIA,DG!$F$6,0)</f>
        <v>0</v>
      </c>
      <c r="L473" s="525"/>
      <c r="M473" s="525">
        <f>VLOOKUP($B473,DONGIA,DG!$G$6,0)</f>
        <v>0</v>
      </c>
      <c r="N473" s="525">
        <f t="shared" si="410"/>
        <v>28000</v>
      </c>
      <c r="O473" s="525">
        <f t="shared" si="407"/>
        <v>0</v>
      </c>
      <c r="P473" s="525">
        <f t="shared" si="407"/>
        <v>0</v>
      </c>
      <c r="Q473" s="525">
        <f t="shared" si="407"/>
        <v>0</v>
      </c>
      <c r="R473" s="525">
        <f t="shared" si="407"/>
        <v>0</v>
      </c>
      <c r="S473" s="525">
        <f t="shared" si="407"/>
        <v>0</v>
      </c>
      <c r="U473" s="525">
        <f t="shared" si="411"/>
        <v>13</v>
      </c>
      <c r="V473" s="525">
        <f t="shared" si="411"/>
        <v>13</v>
      </c>
      <c r="W473" s="525">
        <f t="shared" si="411"/>
        <v>0</v>
      </c>
      <c r="X473" s="525">
        <f t="shared" si="411"/>
        <v>0</v>
      </c>
      <c r="Y473" s="525">
        <f t="shared" si="411"/>
        <v>0</v>
      </c>
      <c r="Z473" s="525">
        <f t="shared" si="411"/>
        <v>0</v>
      </c>
      <c r="AA473" s="525">
        <f t="shared" si="411"/>
        <v>0</v>
      </c>
      <c r="AB473" s="525">
        <f t="shared" si="411"/>
        <v>0</v>
      </c>
      <c r="AD473" s="405">
        <f t="shared" ref="AD473:AD536" si="412">IFERROR(VLOOKUP(B473,DONGIA,$AD$3,0),0)</f>
        <v>0.23</v>
      </c>
      <c r="AE473" s="525">
        <f t="shared" ref="AE473:AE536" si="413">U473*$AD473</f>
        <v>2.99</v>
      </c>
      <c r="AF473" s="525">
        <f t="shared" ref="AF473:AH536" si="414">V473*$AD473</f>
        <v>2.99</v>
      </c>
      <c r="AG473" s="525">
        <f t="shared" si="414"/>
        <v>0</v>
      </c>
      <c r="AH473" s="525">
        <f t="shared" si="414"/>
        <v>0</v>
      </c>
      <c r="AI473" s="525">
        <f t="shared" ref="AI473:AK536" si="415">Y473*$AD473</f>
        <v>0</v>
      </c>
      <c r="AJ473" s="525">
        <f t="shared" si="415"/>
        <v>0</v>
      </c>
      <c r="AK473" s="525">
        <f t="shared" si="415"/>
        <v>0</v>
      </c>
      <c r="AL473" s="525">
        <f t="shared" si="330"/>
        <v>0</v>
      </c>
    </row>
    <row r="474" spans="1:38">
      <c r="A474" s="618"/>
      <c r="B474" s="618" t="s">
        <v>29</v>
      </c>
      <c r="C474" s="619">
        <f t="shared" si="409"/>
        <v>1</v>
      </c>
      <c r="D474" s="523">
        <f>VLOOKUP(B474,DONGIA,DG!$B$6,0)</f>
        <v>0</v>
      </c>
      <c r="E474" s="525" t="str">
        <f>VLOOKUP(B474,DONGIA,DG!$C$6,0)</f>
        <v>Boulon 16x50+ 2 long đền vuông D18-50x50x3/Zn</v>
      </c>
      <c r="F474" s="523" t="str">
        <f>VLOOKUP(B474,DONGIA,DG!$D$6,0)</f>
        <v>bộ</v>
      </c>
      <c r="G474" s="525">
        <v>2</v>
      </c>
      <c r="H474" s="525">
        <f>VLOOKUP($B474,DONGIA,DG!$E$6,0)</f>
        <v>17000</v>
      </c>
      <c r="I474" s="525"/>
      <c r="J474" s="525"/>
      <c r="K474" s="525">
        <f>VLOOKUP($B474,DONGIA,DG!$F$6,0)</f>
        <v>0</v>
      </c>
      <c r="L474" s="525"/>
      <c r="M474" s="525">
        <f>VLOOKUP($B474,DONGIA,DG!$G$6,0)</f>
        <v>0</v>
      </c>
      <c r="N474" s="525">
        <f t="shared" si="410"/>
        <v>34000</v>
      </c>
      <c r="O474" s="525">
        <f t="shared" si="407"/>
        <v>0</v>
      </c>
      <c r="P474" s="525">
        <f t="shared" si="407"/>
        <v>0</v>
      </c>
      <c r="Q474" s="525">
        <f t="shared" si="407"/>
        <v>0</v>
      </c>
      <c r="R474" s="525">
        <f t="shared" si="407"/>
        <v>0</v>
      </c>
      <c r="S474" s="525">
        <f t="shared" si="407"/>
        <v>0</v>
      </c>
      <c r="U474" s="525">
        <f t="shared" si="411"/>
        <v>26</v>
      </c>
      <c r="V474" s="525">
        <f t="shared" si="411"/>
        <v>26</v>
      </c>
      <c r="W474" s="525">
        <f t="shared" si="411"/>
        <v>0</v>
      </c>
      <c r="X474" s="525">
        <f t="shared" si="411"/>
        <v>0</v>
      </c>
      <c r="Y474" s="525">
        <f t="shared" si="411"/>
        <v>0</v>
      </c>
      <c r="Z474" s="525">
        <f t="shared" si="411"/>
        <v>0</v>
      </c>
      <c r="AA474" s="525">
        <f t="shared" si="411"/>
        <v>0</v>
      </c>
      <c r="AB474" s="525">
        <f t="shared" si="411"/>
        <v>0</v>
      </c>
      <c r="AD474" s="405">
        <f t="shared" si="412"/>
        <v>0.25</v>
      </c>
      <c r="AE474" s="525">
        <f t="shared" si="413"/>
        <v>6.5</v>
      </c>
      <c r="AF474" s="525">
        <f t="shared" si="414"/>
        <v>6.5</v>
      </c>
      <c r="AG474" s="525">
        <f t="shared" si="414"/>
        <v>0</v>
      </c>
      <c r="AH474" s="525">
        <f t="shared" si="414"/>
        <v>0</v>
      </c>
      <c r="AI474" s="525">
        <f t="shared" si="415"/>
        <v>0</v>
      </c>
      <c r="AJ474" s="525">
        <f t="shared" si="415"/>
        <v>0</v>
      </c>
      <c r="AK474" s="525">
        <f t="shared" si="415"/>
        <v>0</v>
      </c>
      <c r="AL474" s="525">
        <f t="shared" ref="AL474:AL537" si="416">AB474*$AD474</f>
        <v>0</v>
      </c>
    </row>
    <row r="475" spans="1:38">
      <c r="A475" s="618"/>
      <c r="B475" s="618" t="s">
        <v>626</v>
      </c>
      <c r="C475" s="619">
        <f t="shared" si="409"/>
        <v>1</v>
      </c>
      <c r="D475" s="523" t="str">
        <f>VLOOKUP(B475,DONGIA,DG!$B$6,0)</f>
        <v>D2.6031a</v>
      </c>
      <c r="E475" s="525" t="str">
        <f>VLOOKUP(B475,DONGIA,DG!$C$6,0)</f>
        <v>Lắp đặt xà thép L75x75x8x2000 kép cột đỡ (50,7514 kg/bộ)</v>
      </c>
      <c r="F475" s="523" t="str">
        <f>VLOOKUP(B475,DONGIA,DG!$D$6,0)</f>
        <v>bộ</v>
      </c>
      <c r="G475" s="525">
        <v>1</v>
      </c>
      <c r="H475" s="525"/>
      <c r="I475" s="525"/>
      <c r="J475" s="525"/>
      <c r="K475" s="525">
        <f>VLOOKUP($B475,DONGIA,DG!$F$6,0)</f>
        <v>380603</v>
      </c>
      <c r="L475" s="525"/>
      <c r="M475" s="525">
        <f>VLOOKUP($B475,DONGIA,DG!$G$6,0)</f>
        <v>0</v>
      </c>
      <c r="N475" s="525">
        <f t="shared" si="410"/>
        <v>0</v>
      </c>
      <c r="O475" s="525">
        <f t="shared" si="407"/>
        <v>0</v>
      </c>
      <c r="P475" s="525">
        <f t="shared" si="407"/>
        <v>0</v>
      </c>
      <c r="Q475" s="525">
        <f t="shared" si="407"/>
        <v>380603</v>
      </c>
      <c r="R475" s="525">
        <f t="shared" si="407"/>
        <v>0</v>
      </c>
      <c r="S475" s="525">
        <f t="shared" si="407"/>
        <v>0</v>
      </c>
      <c r="U475" s="525">
        <f t="shared" si="411"/>
        <v>13</v>
      </c>
      <c r="V475" s="525">
        <f t="shared" si="411"/>
        <v>13</v>
      </c>
      <c r="W475" s="525">
        <f t="shared" si="411"/>
        <v>0</v>
      </c>
      <c r="X475" s="525">
        <f t="shared" si="411"/>
        <v>0</v>
      </c>
      <c r="Y475" s="525">
        <f t="shared" si="411"/>
        <v>0</v>
      </c>
      <c r="Z475" s="525">
        <f t="shared" si="411"/>
        <v>0</v>
      </c>
      <c r="AA475" s="525">
        <f t="shared" si="411"/>
        <v>0</v>
      </c>
      <c r="AB475" s="525">
        <f t="shared" si="411"/>
        <v>0</v>
      </c>
      <c r="AD475" s="405">
        <f t="shared" si="412"/>
        <v>0</v>
      </c>
      <c r="AE475" s="525">
        <f t="shared" si="413"/>
        <v>0</v>
      </c>
      <c r="AF475" s="525">
        <f t="shared" si="414"/>
        <v>0</v>
      </c>
      <c r="AG475" s="525">
        <f t="shared" si="414"/>
        <v>0</v>
      </c>
      <c r="AH475" s="525">
        <f t="shared" si="414"/>
        <v>0</v>
      </c>
      <c r="AI475" s="525">
        <f t="shared" si="415"/>
        <v>0</v>
      </c>
      <c r="AJ475" s="525">
        <f t="shared" si="415"/>
        <v>0</v>
      </c>
      <c r="AK475" s="525">
        <f t="shared" si="415"/>
        <v>0</v>
      </c>
      <c r="AL475" s="525">
        <f t="shared" si="416"/>
        <v>0</v>
      </c>
    </row>
    <row r="476" spans="1:38" s="332" customFormat="1">
      <c r="A476" s="356" t="s">
        <v>1818</v>
      </c>
      <c r="B476" s="356"/>
      <c r="C476" s="355">
        <f>IF(G476&lt;&gt;0,1,)</f>
        <v>0</v>
      </c>
      <c r="D476" s="357"/>
      <c r="E476" s="358" t="s">
        <v>1691</v>
      </c>
      <c r="F476" s="357" t="s">
        <v>138</v>
      </c>
      <c r="G476" s="357">
        <f>U476</f>
        <v>0</v>
      </c>
      <c r="H476" s="358"/>
      <c r="I476" s="358"/>
      <c r="J476" s="358"/>
      <c r="K476" s="358"/>
      <c r="L476" s="358"/>
      <c r="M476" s="358"/>
      <c r="N476" s="358">
        <f t="shared" ref="N476:S476" si="417">SUM(N478:N482)</f>
        <v>664700</v>
      </c>
      <c r="O476" s="358">
        <f t="shared" si="417"/>
        <v>0</v>
      </c>
      <c r="P476" s="358">
        <f t="shared" si="417"/>
        <v>0</v>
      </c>
      <c r="Q476" s="358">
        <f t="shared" si="417"/>
        <v>283835</v>
      </c>
      <c r="R476" s="358">
        <f t="shared" si="417"/>
        <v>0</v>
      </c>
      <c r="S476" s="358">
        <f t="shared" si="417"/>
        <v>0</v>
      </c>
      <c r="U476" s="358">
        <f>SUM(V476:AB476)</f>
        <v>0</v>
      </c>
      <c r="V476" s="358">
        <f>IFERROR(HLOOKUP($A476,BK3P,V$3,0),)</f>
        <v>0</v>
      </c>
      <c r="W476" s="358">
        <f>IFERROR(HLOOKUP($A476,BK3P,W$3,0),)</f>
        <v>0</v>
      </c>
      <c r="X476" s="358">
        <f>IFERROR(HLOOKUP($A476,BK3P,X$3,0),)</f>
        <v>0</v>
      </c>
      <c r="Y476" s="358">
        <f>IFERROR(HLOOKUP($A476,BK1P,Y$3,0),)</f>
        <v>0</v>
      </c>
      <c r="Z476" s="358">
        <f>IFERROR(HLOOKUP($A476,BK1P,Z$3,0),)</f>
        <v>0</v>
      </c>
      <c r="AA476" s="358">
        <f>IFERROR(HLOOKUP($A476,BK1P,AA$3,0),)</f>
        <v>0</v>
      </c>
      <c r="AB476" s="358">
        <f>IFERROR(HLOOKUP($A476,BKHT,AB$3,0),)</f>
        <v>0</v>
      </c>
      <c r="AD476" s="332">
        <f t="shared" si="412"/>
        <v>0</v>
      </c>
      <c r="AE476" s="329">
        <f t="shared" si="413"/>
        <v>0</v>
      </c>
      <c r="AF476" s="329">
        <f t="shared" si="414"/>
        <v>0</v>
      </c>
      <c r="AG476" s="329">
        <f t="shared" si="414"/>
        <v>0</v>
      </c>
      <c r="AH476" s="329">
        <f t="shared" si="414"/>
        <v>0</v>
      </c>
      <c r="AI476" s="329">
        <f t="shared" si="415"/>
        <v>0</v>
      </c>
      <c r="AJ476" s="329">
        <f t="shared" si="415"/>
        <v>0</v>
      </c>
      <c r="AK476" s="329">
        <f t="shared" si="415"/>
        <v>0</v>
      </c>
      <c r="AL476" s="329">
        <f t="shared" si="416"/>
        <v>0</v>
      </c>
    </row>
    <row r="477" spans="1:38" s="361" customFormat="1">
      <c r="A477" s="359"/>
      <c r="B477" s="359"/>
      <c r="C477" s="360">
        <f>C476</f>
        <v>0</v>
      </c>
      <c r="D477" s="350"/>
      <c r="E477" s="351" t="s">
        <v>1659</v>
      </c>
      <c r="F477" s="350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U477" s="351"/>
      <c r="V477" s="351"/>
      <c r="W477" s="351"/>
      <c r="X477" s="351"/>
      <c r="Y477" s="351"/>
      <c r="Z477" s="351"/>
      <c r="AA477" s="351"/>
      <c r="AB477" s="351"/>
      <c r="AD477" s="332">
        <f t="shared" si="412"/>
        <v>0</v>
      </c>
      <c r="AE477" s="329">
        <f t="shared" si="413"/>
        <v>0</v>
      </c>
      <c r="AF477" s="329">
        <f t="shared" si="414"/>
        <v>0</v>
      </c>
      <c r="AG477" s="329">
        <f t="shared" si="414"/>
        <v>0</v>
      </c>
      <c r="AH477" s="329">
        <f t="shared" si="414"/>
        <v>0</v>
      </c>
      <c r="AI477" s="329">
        <f t="shared" si="415"/>
        <v>0</v>
      </c>
      <c r="AJ477" s="329">
        <f t="shared" si="415"/>
        <v>0</v>
      </c>
      <c r="AK477" s="329">
        <f t="shared" si="415"/>
        <v>0</v>
      </c>
      <c r="AL477" s="329">
        <f t="shared" si="416"/>
        <v>0</v>
      </c>
    </row>
    <row r="478" spans="1:38" s="332" customFormat="1">
      <c r="A478" s="356"/>
      <c r="B478" s="356" t="s">
        <v>1689</v>
      </c>
      <c r="C478" s="355">
        <f>IF(G478&lt;&gt;0,$C$476,)</f>
        <v>0</v>
      </c>
      <c r="D478" s="341">
        <f>VLOOKUP(B478,DONGIA,DG!$B$6,0)</f>
        <v>0</v>
      </c>
      <c r="E478" s="340" t="str">
        <f>VLOOKUP(B478,DONGIA,DG!$C$6,0)</f>
        <v>Đà sắt L75x75x8-2000 - 3 ốp (Lệch 2/3)</v>
      </c>
      <c r="F478" s="341" t="str">
        <f>VLOOKUP(B478,DONGIA,DG!$D$6,0)</f>
        <v>cái</v>
      </c>
      <c r="G478" s="329">
        <v>1</v>
      </c>
      <c r="H478" s="329">
        <f>VLOOKUP($B478,DONGIA,DG!$E$6,0)</f>
        <v>497700</v>
      </c>
      <c r="I478" s="329"/>
      <c r="J478" s="329"/>
      <c r="K478" s="329">
        <f>VLOOKUP($B478,DONGIA,DG!$F$6,0)</f>
        <v>0</v>
      </c>
      <c r="L478" s="329"/>
      <c r="M478" s="329">
        <f>VLOOKUP($B478,DONGIA,DG!$G$6,0)</f>
        <v>0</v>
      </c>
      <c r="N478" s="329">
        <f>$G478*H478</f>
        <v>497700</v>
      </c>
      <c r="O478" s="329">
        <f t="shared" ref="O478:S482" si="418">$G478*I478</f>
        <v>0</v>
      </c>
      <c r="P478" s="329">
        <f t="shared" si="418"/>
        <v>0</v>
      </c>
      <c r="Q478" s="329">
        <f t="shared" si="418"/>
        <v>0</v>
      </c>
      <c r="R478" s="329">
        <f t="shared" si="418"/>
        <v>0</v>
      </c>
      <c r="S478" s="329">
        <f t="shared" si="418"/>
        <v>0</v>
      </c>
      <c r="U478" s="329">
        <f>U$476*$G478</f>
        <v>0</v>
      </c>
      <c r="V478" s="329">
        <f t="shared" ref="V478:AB478" si="419">V$476*$G478</f>
        <v>0</v>
      </c>
      <c r="W478" s="329">
        <f t="shared" si="419"/>
        <v>0</v>
      </c>
      <c r="X478" s="329">
        <f t="shared" si="419"/>
        <v>0</v>
      </c>
      <c r="Y478" s="329">
        <f t="shared" si="419"/>
        <v>0</v>
      </c>
      <c r="Z478" s="329">
        <f t="shared" si="419"/>
        <v>0</v>
      </c>
      <c r="AA478" s="329">
        <f t="shared" si="419"/>
        <v>0</v>
      </c>
      <c r="AB478" s="329">
        <f t="shared" si="419"/>
        <v>0</v>
      </c>
      <c r="AD478" s="332">
        <f t="shared" si="412"/>
        <v>25</v>
      </c>
      <c r="AE478" s="329">
        <f t="shared" si="413"/>
        <v>0</v>
      </c>
      <c r="AF478" s="329">
        <f t="shared" si="414"/>
        <v>0</v>
      </c>
      <c r="AG478" s="329">
        <f t="shared" si="414"/>
        <v>0</v>
      </c>
      <c r="AH478" s="329">
        <f t="shared" si="414"/>
        <v>0</v>
      </c>
      <c r="AI478" s="329">
        <f t="shared" si="415"/>
        <v>0</v>
      </c>
      <c r="AJ478" s="329">
        <f t="shared" si="415"/>
        <v>0</v>
      </c>
      <c r="AK478" s="329">
        <f t="shared" si="415"/>
        <v>0</v>
      </c>
      <c r="AL478" s="329">
        <f t="shared" si="416"/>
        <v>0</v>
      </c>
    </row>
    <row r="479" spans="1:38" s="332" customFormat="1">
      <c r="A479" s="356"/>
      <c r="B479" s="356" t="s">
        <v>1690</v>
      </c>
      <c r="C479" s="355">
        <f>IF(G479&lt;&gt;0,$C$476,)</f>
        <v>0</v>
      </c>
      <c r="D479" s="341">
        <f>VLOOKUP(B479,DONGIA,DG!$B$6,0)</f>
        <v>0</v>
      </c>
      <c r="E479" s="340" t="str">
        <f>VLOOKUP(B479,DONGIA,DG!$C$6,0)</f>
        <v>Thanh chống L50x50x5-1150</v>
      </c>
      <c r="F479" s="341" t="str">
        <f>VLOOKUP(B479,DONGIA,DG!$D$6,0)</f>
        <v>cái</v>
      </c>
      <c r="G479" s="329">
        <v>1</v>
      </c>
      <c r="H479" s="329">
        <f>VLOOKUP($B479,DONGIA,DG!$E$6,0)</f>
        <v>116000</v>
      </c>
      <c r="I479" s="329"/>
      <c r="J479" s="329"/>
      <c r="K479" s="329">
        <f>VLOOKUP($B479,DONGIA,DG!$F$6,0)</f>
        <v>0</v>
      </c>
      <c r="L479" s="329"/>
      <c r="M479" s="329">
        <f>VLOOKUP($B479,DONGIA,DG!$G$6,0)</f>
        <v>0</v>
      </c>
      <c r="N479" s="329">
        <f>$G479*H479</f>
        <v>116000</v>
      </c>
      <c r="O479" s="329">
        <f t="shared" si="418"/>
        <v>0</v>
      </c>
      <c r="P479" s="329">
        <f t="shared" si="418"/>
        <v>0</v>
      </c>
      <c r="Q479" s="329">
        <f t="shared" si="418"/>
        <v>0</v>
      </c>
      <c r="R479" s="329">
        <f t="shared" si="418"/>
        <v>0</v>
      </c>
      <c r="S479" s="329">
        <f t="shared" si="418"/>
        <v>0</v>
      </c>
      <c r="U479" s="329">
        <f t="shared" ref="U479:AB482" si="420">U$476*$G479</f>
        <v>0</v>
      </c>
      <c r="V479" s="329">
        <f t="shared" si="420"/>
        <v>0</v>
      </c>
      <c r="W479" s="329">
        <f t="shared" si="420"/>
        <v>0</v>
      </c>
      <c r="X479" s="329">
        <f t="shared" si="420"/>
        <v>0</v>
      </c>
      <c r="Y479" s="329">
        <f t="shared" si="420"/>
        <v>0</v>
      </c>
      <c r="Z479" s="329">
        <f t="shared" si="420"/>
        <v>0</v>
      </c>
      <c r="AA479" s="329">
        <f t="shared" si="420"/>
        <v>0</v>
      </c>
      <c r="AB479" s="329">
        <f t="shared" si="420"/>
        <v>0</v>
      </c>
      <c r="AD479" s="332">
        <f t="shared" si="412"/>
        <v>5.5</v>
      </c>
      <c r="AE479" s="329">
        <f t="shared" si="413"/>
        <v>0</v>
      </c>
      <c r="AF479" s="329">
        <f t="shared" si="414"/>
        <v>0</v>
      </c>
      <c r="AG479" s="329">
        <f t="shared" si="414"/>
        <v>0</v>
      </c>
      <c r="AH479" s="329">
        <f t="shared" si="414"/>
        <v>0</v>
      </c>
      <c r="AI479" s="329">
        <f t="shared" si="415"/>
        <v>0</v>
      </c>
      <c r="AJ479" s="329">
        <f t="shared" si="415"/>
        <v>0</v>
      </c>
      <c r="AK479" s="329">
        <f t="shared" si="415"/>
        <v>0</v>
      </c>
      <c r="AL479" s="329">
        <f t="shared" si="416"/>
        <v>0</v>
      </c>
    </row>
    <row r="480" spans="1:38" s="332" customFormat="1">
      <c r="A480" s="356"/>
      <c r="B480" s="356" t="s">
        <v>49</v>
      </c>
      <c r="C480" s="355">
        <f>IF(G480&lt;&gt;0,$C$476,)</f>
        <v>0</v>
      </c>
      <c r="D480" s="341">
        <f>VLOOKUP(B480,DONGIA,DG!$B$6,0)</f>
        <v>0</v>
      </c>
      <c r="E480" s="340" t="str">
        <f>VLOOKUP(B480,DONGIA,DG!$C$6,0)</f>
        <v>Boulon 16x300VRS + 4 long đền vuông D18-50x50x3/Zn</v>
      </c>
      <c r="F480" s="341" t="str">
        <f>VLOOKUP(B480,DONGIA,DG!$D$6,0)</f>
        <v>bộ</v>
      </c>
      <c r="G480" s="329"/>
      <c r="H480" s="329">
        <f>VLOOKUP($B480,DONGIA,DG!$E$6,0)</f>
        <v>40000</v>
      </c>
      <c r="I480" s="329"/>
      <c r="J480" s="329"/>
      <c r="K480" s="329">
        <f>VLOOKUP($B480,DONGIA,DG!$F$6,0)</f>
        <v>0</v>
      </c>
      <c r="L480" s="329"/>
      <c r="M480" s="329">
        <f>VLOOKUP($B480,DONGIA,DG!$G$6,0)</f>
        <v>0</v>
      </c>
      <c r="N480" s="329">
        <f>$G480*H480</f>
        <v>0</v>
      </c>
      <c r="O480" s="329">
        <f t="shared" si="418"/>
        <v>0</v>
      </c>
      <c r="P480" s="329">
        <f t="shared" si="418"/>
        <v>0</v>
      </c>
      <c r="Q480" s="329">
        <f t="shared" si="418"/>
        <v>0</v>
      </c>
      <c r="R480" s="329">
        <f t="shared" si="418"/>
        <v>0</v>
      </c>
      <c r="S480" s="329">
        <f t="shared" si="418"/>
        <v>0</v>
      </c>
      <c r="U480" s="329">
        <f t="shared" si="420"/>
        <v>0</v>
      </c>
      <c r="V480" s="329">
        <f t="shared" si="420"/>
        <v>0</v>
      </c>
      <c r="W480" s="329">
        <f t="shared" si="420"/>
        <v>0</v>
      </c>
      <c r="X480" s="329">
        <f t="shared" si="420"/>
        <v>0</v>
      </c>
      <c r="Y480" s="329">
        <f t="shared" si="420"/>
        <v>0</v>
      </c>
      <c r="Z480" s="329">
        <f t="shared" si="420"/>
        <v>0</v>
      </c>
      <c r="AA480" s="329">
        <f t="shared" si="420"/>
        <v>0</v>
      </c>
      <c r="AB480" s="329">
        <f t="shared" si="420"/>
        <v>0</v>
      </c>
      <c r="AD480" s="332">
        <f t="shared" si="412"/>
        <v>0.3</v>
      </c>
      <c r="AE480" s="329">
        <f t="shared" si="413"/>
        <v>0</v>
      </c>
      <c r="AF480" s="329">
        <f t="shared" si="414"/>
        <v>0</v>
      </c>
      <c r="AG480" s="329">
        <f t="shared" si="414"/>
        <v>0</v>
      </c>
      <c r="AH480" s="329">
        <f t="shared" si="414"/>
        <v>0</v>
      </c>
      <c r="AI480" s="329">
        <f t="shared" si="415"/>
        <v>0</v>
      </c>
      <c r="AJ480" s="329">
        <f t="shared" si="415"/>
        <v>0</v>
      </c>
      <c r="AK480" s="329">
        <f t="shared" si="415"/>
        <v>0</v>
      </c>
      <c r="AL480" s="329">
        <f t="shared" si="416"/>
        <v>0</v>
      </c>
    </row>
    <row r="481" spans="1:38" s="332" customFormat="1">
      <c r="A481" s="356"/>
      <c r="B481" s="356" t="s">
        <v>29</v>
      </c>
      <c r="C481" s="355">
        <f>IF(G481&lt;&gt;0,$C$476,)</f>
        <v>0</v>
      </c>
      <c r="D481" s="341">
        <f>VLOOKUP(B481,DONGIA,DG!$B$6,0)</f>
        <v>0</v>
      </c>
      <c r="E481" s="340" t="str">
        <f>VLOOKUP(B481,DONGIA,DG!$C$6,0)</f>
        <v>Boulon 16x50+ 2 long đền vuông D18-50x50x3/Zn</v>
      </c>
      <c r="F481" s="341" t="str">
        <f>VLOOKUP(B481,DONGIA,DG!$D$6,0)</f>
        <v>bộ</v>
      </c>
      <c r="G481" s="329">
        <v>3</v>
      </c>
      <c r="H481" s="329">
        <f>VLOOKUP($B481,DONGIA,DG!$E$6,0)</f>
        <v>17000</v>
      </c>
      <c r="I481" s="329"/>
      <c r="J481" s="329"/>
      <c r="K481" s="329">
        <f>VLOOKUP($B481,DONGIA,DG!$F$6,0)</f>
        <v>0</v>
      </c>
      <c r="L481" s="329"/>
      <c r="M481" s="329">
        <f>VLOOKUP($B481,DONGIA,DG!$G$6,0)</f>
        <v>0</v>
      </c>
      <c r="N481" s="329">
        <f>$G481*H481</f>
        <v>51000</v>
      </c>
      <c r="O481" s="329">
        <f t="shared" si="418"/>
        <v>0</v>
      </c>
      <c r="P481" s="329">
        <f t="shared" si="418"/>
        <v>0</v>
      </c>
      <c r="Q481" s="329">
        <f t="shared" si="418"/>
        <v>0</v>
      </c>
      <c r="R481" s="329">
        <f t="shared" si="418"/>
        <v>0</v>
      </c>
      <c r="S481" s="329">
        <f t="shared" si="418"/>
        <v>0</v>
      </c>
      <c r="U481" s="329">
        <f t="shared" si="420"/>
        <v>0</v>
      </c>
      <c r="V481" s="329">
        <f t="shared" si="420"/>
        <v>0</v>
      </c>
      <c r="W481" s="329">
        <f t="shared" si="420"/>
        <v>0</v>
      </c>
      <c r="X481" s="329">
        <f t="shared" si="420"/>
        <v>0</v>
      </c>
      <c r="Y481" s="329">
        <f t="shared" si="420"/>
        <v>0</v>
      </c>
      <c r="Z481" s="329">
        <f t="shared" si="420"/>
        <v>0</v>
      </c>
      <c r="AA481" s="329">
        <f t="shared" si="420"/>
        <v>0</v>
      </c>
      <c r="AB481" s="329">
        <f t="shared" si="420"/>
        <v>0</v>
      </c>
      <c r="AD481" s="332">
        <f t="shared" si="412"/>
        <v>0.25</v>
      </c>
      <c r="AE481" s="329">
        <f t="shared" si="413"/>
        <v>0</v>
      </c>
      <c r="AF481" s="329">
        <f t="shared" si="414"/>
        <v>0</v>
      </c>
      <c r="AG481" s="329">
        <f t="shared" si="414"/>
        <v>0</v>
      </c>
      <c r="AH481" s="329">
        <f t="shared" si="414"/>
        <v>0</v>
      </c>
      <c r="AI481" s="329">
        <f t="shared" si="415"/>
        <v>0</v>
      </c>
      <c r="AJ481" s="329">
        <f t="shared" si="415"/>
        <v>0</v>
      </c>
      <c r="AK481" s="329">
        <f t="shared" si="415"/>
        <v>0</v>
      </c>
      <c r="AL481" s="329">
        <f t="shared" si="416"/>
        <v>0</v>
      </c>
    </row>
    <row r="482" spans="1:38" s="332" customFormat="1">
      <c r="A482" s="356"/>
      <c r="B482" s="356" t="s">
        <v>623</v>
      </c>
      <c r="C482" s="355">
        <f>IF(G482&lt;&gt;0,$C$476,)</f>
        <v>0</v>
      </c>
      <c r="D482" s="341" t="str">
        <f>VLOOKUP(B482,DONGIA,DG!$B$6,0)</f>
        <v>D2.6021a</v>
      </c>
      <c r="E482" s="340" t="str">
        <f>VLOOKUP(B482,DONGIA,DG!$C$6,0)</f>
        <v>Lắp đặt xà thép L75x75x8x2000 đơn cột đỡ (25,356 kg/bộ)</v>
      </c>
      <c r="F482" s="341" t="str">
        <f>VLOOKUP(B482,DONGIA,DG!$D$6,0)</f>
        <v>bộ</v>
      </c>
      <c r="G482" s="329">
        <v>1</v>
      </c>
      <c r="H482" s="329"/>
      <c r="I482" s="329"/>
      <c r="J482" s="329"/>
      <c r="K482" s="329">
        <f>VLOOKUP($B482,DONGIA,DG!$F$6,0)</f>
        <v>283835</v>
      </c>
      <c r="L482" s="329"/>
      <c r="M482" s="329">
        <f>VLOOKUP($B482,DONGIA,DG!$G$6,0)</f>
        <v>0</v>
      </c>
      <c r="N482" s="329">
        <f>$G482*H482</f>
        <v>0</v>
      </c>
      <c r="O482" s="329">
        <f t="shared" si="418"/>
        <v>0</v>
      </c>
      <c r="P482" s="329">
        <f t="shared" si="418"/>
        <v>0</v>
      </c>
      <c r="Q482" s="329">
        <f t="shared" si="418"/>
        <v>283835</v>
      </c>
      <c r="R482" s="329">
        <f t="shared" si="418"/>
        <v>0</v>
      </c>
      <c r="S482" s="329">
        <f t="shared" si="418"/>
        <v>0</v>
      </c>
      <c r="U482" s="329">
        <f t="shared" si="420"/>
        <v>0</v>
      </c>
      <c r="V482" s="329">
        <f t="shared" si="420"/>
        <v>0</v>
      </c>
      <c r="W482" s="329">
        <f t="shared" si="420"/>
        <v>0</v>
      </c>
      <c r="X482" s="329">
        <f t="shared" si="420"/>
        <v>0</v>
      </c>
      <c r="Y482" s="329">
        <f t="shared" si="420"/>
        <v>0</v>
      </c>
      <c r="Z482" s="329">
        <f t="shared" si="420"/>
        <v>0</v>
      </c>
      <c r="AA482" s="329">
        <f t="shared" si="420"/>
        <v>0</v>
      </c>
      <c r="AB482" s="329">
        <f t="shared" si="420"/>
        <v>0</v>
      </c>
      <c r="AD482" s="332">
        <f t="shared" si="412"/>
        <v>0</v>
      </c>
      <c r="AE482" s="329">
        <f t="shared" si="413"/>
        <v>0</v>
      </c>
      <c r="AF482" s="329">
        <f t="shared" si="414"/>
        <v>0</v>
      </c>
      <c r="AG482" s="329">
        <f t="shared" si="414"/>
        <v>0</v>
      </c>
      <c r="AH482" s="329">
        <f t="shared" si="414"/>
        <v>0</v>
      </c>
      <c r="AI482" s="329">
        <f t="shared" si="415"/>
        <v>0</v>
      </c>
      <c r="AJ482" s="329">
        <f t="shared" si="415"/>
        <v>0</v>
      </c>
      <c r="AK482" s="329">
        <f t="shared" si="415"/>
        <v>0</v>
      </c>
      <c r="AL482" s="329">
        <f t="shared" si="416"/>
        <v>0</v>
      </c>
    </row>
    <row r="483" spans="1:38" s="332" customFormat="1">
      <c r="A483" s="356" t="s">
        <v>1819</v>
      </c>
      <c r="B483" s="356"/>
      <c r="C483" s="355">
        <f>IF(G483&lt;&gt;0,1,)</f>
        <v>0</v>
      </c>
      <c r="D483" s="357"/>
      <c r="E483" s="358" t="s">
        <v>1692</v>
      </c>
      <c r="F483" s="357" t="s">
        <v>138</v>
      </c>
      <c r="G483" s="357">
        <f>U483</f>
        <v>0</v>
      </c>
      <c r="H483" s="358"/>
      <c r="I483" s="358"/>
      <c r="J483" s="358"/>
      <c r="K483" s="358"/>
      <c r="L483" s="358"/>
      <c r="M483" s="358"/>
      <c r="N483" s="358">
        <f t="shared" ref="N483:S483" si="421">SUM(N485:N491)</f>
        <v>1461400</v>
      </c>
      <c r="O483" s="358">
        <f t="shared" si="421"/>
        <v>0</v>
      </c>
      <c r="P483" s="358">
        <f t="shared" si="421"/>
        <v>0</v>
      </c>
      <c r="Q483" s="358">
        <f t="shared" si="421"/>
        <v>380603</v>
      </c>
      <c r="R483" s="358">
        <f t="shared" si="421"/>
        <v>0</v>
      </c>
      <c r="S483" s="358">
        <f t="shared" si="421"/>
        <v>0</v>
      </c>
      <c r="U483" s="358">
        <f>SUM(V483:AB483)</f>
        <v>0</v>
      </c>
      <c r="V483" s="358">
        <f>IFERROR(HLOOKUP($A483,BK3P,V$3,0),)</f>
        <v>0</v>
      </c>
      <c r="W483" s="358">
        <f>IFERROR(HLOOKUP($A483,BK3P,W$3,0),)</f>
        <v>0</v>
      </c>
      <c r="X483" s="358">
        <f>IFERROR(HLOOKUP($A483,BK3P,X$3,0),)</f>
        <v>0</v>
      </c>
      <c r="Y483" s="358">
        <f>IFERROR(HLOOKUP($A483,BK1P,Y$3,0),)</f>
        <v>0</v>
      </c>
      <c r="Z483" s="358">
        <f>IFERROR(HLOOKUP($A483,BK1P,Z$3,0),)</f>
        <v>0</v>
      </c>
      <c r="AA483" s="358">
        <f>IFERROR(HLOOKUP($A483,BK1P,AA$3,0),)</f>
        <v>0</v>
      </c>
      <c r="AB483" s="358">
        <f>IFERROR(HLOOKUP($A483,BKHT,AB$3,0),)</f>
        <v>0</v>
      </c>
      <c r="AD483" s="332">
        <f t="shared" si="412"/>
        <v>0</v>
      </c>
      <c r="AE483" s="329">
        <f t="shared" si="413"/>
        <v>0</v>
      </c>
      <c r="AF483" s="329">
        <f t="shared" si="414"/>
        <v>0</v>
      </c>
      <c r="AG483" s="329">
        <f t="shared" si="414"/>
        <v>0</v>
      </c>
      <c r="AH483" s="329">
        <f t="shared" si="414"/>
        <v>0</v>
      </c>
      <c r="AI483" s="329">
        <f t="shared" si="415"/>
        <v>0</v>
      </c>
      <c r="AJ483" s="329">
        <f t="shared" si="415"/>
        <v>0</v>
      </c>
      <c r="AK483" s="329">
        <f t="shared" si="415"/>
        <v>0</v>
      </c>
      <c r="AL483" s="329">
        <f t="shared" si="416"/>
        <v>0</v>
      </c>
    </row>
    <row r="484" spans="1:38" s="361" customFormat="1">
      <c r="A484" s="359"/>
      <c r="B484" s="359"/>
      <c r="C484" s="360">
        <f>C483</f>
        <v>0</v>
      </c>
      <c r="D484" s="350"/>
      <c r="E484" s="351" t="s">
        <v>1659</v>
      </c>
      <c r="F484" s="350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U484" s="351"/>
      <c r="V484" s="351"/>
      <c r="W484" s="351"/>
      <c r="X484" s="351"/>
      <c r="Y484" s="351"/>
      <c r="Z484" s="351"/>
      <c r="AA484" s="351"/>
      <c r="AB484" s="351"/>
      <c r="AD484" s="332">
        <f t="shared" si="412"/>
        <v>0</v>
      </c>
      <c r="AE484" s="329">
        <f t="shared" si="413"/>
        <v>0</v>
      </c>
      <c r="AF484" s="329">
        <f t="shared" si="414"/>
        <v>0</v>
      </c>
      <c r="AG484" s="329">
        <f t="shared" si="414"/>
        <v>0</v>
      </c>
      <c r="AH484" s="329">
        <f t="shared" si="414"/>
        <v>0</v>
      </c>
      <c r="AI484" s="329">
        <f t="shared" si="415"/>
        <v>0</v>
      </c>
      <c r="AJ484" s="329">
        <f t="shared" si="415"/>
        <v>0</v>
      </c>
      <c r="AK484" s="329">
        <f t="shared" si="415"/>
        <v>0</v>
      </c>
      <c r="AL484" s="329">
        <f t="shared" si="416"/>
        <v>0</v>
      </c>
    </row>
    <row r="485" spans="1:38" s="332" customFormat="1">
      <c r="A485" s="356"/>
      <c r="B485" s="356" t="s">
        <v>1689</v>
      </c>
      <c r="C485" s="355">
        <f>IF(G485&lt;&gt;0,$C$483,)</f>
        <v>0</v>
      </c>
      <c r="D485" s="341">
        <f>VLOOKUP(B485,DONGIA,DG!$B$6,0)</f>
        <v>0</v>
      </c>
      <c r="E485" s="340" t="str">
        <f>VLOOKUP(B485,DONGIA,DG!$C$6,0)</f>
        <v>Đà sắt L75x75x8-2000 - 3 ốp (Lệch 2/3)</v>
      </c>
      <c r="F485" s="341" t="str">
        <f>VLOOKUP(B485,DONGIA,DG!$D$6,0)</f>
        <v>cái</v>
      </c>
      <c r="G485" s="329">
        <v>2</v>
      </c>
      <c r="H485" s="329">
        <f>VLOOKUP($B485,DONGIA,DG!$E$6,0)</f>
        <v>497700</v>
      </c>
      <c r="I485" s="329"/>
      <c r="J485" s="329"/>
      <c r="K485" s="329">
        <f>VLOOKUP($B485,DONGIA,DG!$F$6,0)</f>
        <v>0</v>
      </c>
      <c r="L485" s="329"/>
      <c r="M485" s="329">
        <f>VLOOKUP($B485,DONGIA,DG!$G$6,0)</f>
        <v>0</v>
      </c>
      <c r="N485" s="329">
        <f>$G485*H485</f>
        <v>995400</v>
      </c>
      <c r="O485" s="329">
        <f t="shared" ref="O485:S491" si="422">$G485*I485</f>
        <v>0</v>
      </c>
      <c r="P485" s="329">
        <f t="shared" si="422"/>
        <v>0</v>
      </c>
      <c r="Q485" s="329">
        <f t="shared" si="422"/>
        <v>0</v>
      </c>
      <c r="R485" s="329">
        <f t="shared" si="422"/>
        <v>0</v>
      </c>
      <c r="S485" s="329">
        <f t="shared" si="422"/>
        <v>0</v>
      </c>
      <c r="U485" s="329">
        <f>U$483*$G485</f>
        <v>0</v>
      </c>
      <c r="V485" s="329">
        <f t="shared" ref="V485:AB485" si="423">V$483*$G485</f>
        <v>0</v>
      </c>
      <c r="W485" s="329">
        <f t="shared" si="423"/>
        <v>0</v>
      </c>
      <c r="X485" s="329">
        <f t="shared" si="423"/>
        <v>0</v>
      </c>
      <c r="Y485" s="329">
        <f t="shared" si="423"/>
        <v>0</v>
      </c>
      <c r="Z485" s="329">
        <f t="shared" si="423"/>
        <v>0</v>
      </c>
      <c r="AA485" s="329">
        <f t="shared" si="423"/>
        <v>0</v>
      </c>
      <c r="AB485" s="329">
        <f t="shared" si="423"/>
        <v>0</v>
      </c>
      <c r="AD485" s="332">
        <f t="shared" si="412"/>
        <v>25</v>
      </c>
      <c r="AE485" s="329">
        <f t="shared" si="413"/>
        <v>0</v>
      </c>
      <c r="AF485" s="329">
        <f t="shared" si="414"/>
        <v>0</v>
      </c>
      <c r="AG485" s="329">
        <f t="shared" si="414"/>
        <v>0</v>
      </c>
      <c r="AH485" s="329">
        <f t="shared" si="414"/>
        <v>0</v>
      </c>
      <c r="AI485" s="329">
        <f t="shared" si="415"/>
        <v>0</v>
      </c>
      <c r="AJ485" s="329">
        <f t="shared" si="415"/>
        <v>0</v>
      </c>
      <c r="AK485" s="329">
        <f t="shared" si="415"/>
        <v>0</v>
      </c>
      <c r="AL485" s="329">
        <f t="shared" si="416"/>
        <v>0</v>
      </c>
    </row>
    <row r="486" spans="1:38" s="332" customFormat="1">
      <c r="A486" s="356"/>
      <c r="B486" s="356" t="s">
        <v>1690</v>
      </c>
      <c r="C486" s="355">
        <f t="shared" ref="C486:C491" si="424">IF(G486&lt;&gt;0,$C$483,)</f>
        <v>0</v>
      </c>
      <c r="D486" s="341">
        <f>VLOOKUP(B486,DONGIA,DG!$B$6,0)</f>
        <v>0</v>
      </c>
      <c r="E486" s="340" t="str">
        <f>VLOOKUP(B486,DONGIA,DG!$C$6,0)</f>
        <v>Thanh chống L50x50x5-1150</v>
      </c>
      <c r="F486" s="341" t="str">
        <f>VLOOKUP(B486,DONGIA,DG!$D$6,0)</f>
        <v>cái</v>
      </c>
      <c r="G486" s="329">
        <v>2</v>
      </c>
      <c r="H486" s="329">
        <f>VLOOKUP($B486,DONGIA,DG!$E$6,0)</f>
        <v>116000</v>
      </c>
      <c r="I486" s="329"/>
      <c r="J486" s="329"/>
      <c r="K486" s="329">
        <f>VLOOKUP($B486,DONGIA,DG!$F$6,0)</f>
        <v>0</v>
      </c>
      <c r="L486" s="329"/>
      <c r="M486" s="329">
        <f>VLOOKUP($B486,DONGIA,DG!$G$6,0)</f>
        <v>0</v>
      </c>
      <c r="N486" s="329">
        <f t="shared" ref="N486:N491" si="425">$G486*H486</f>
        <v>232000</v>
      </c>
      <c r="O486" s="329">
        <f t="shared" si="422"/>
        <v>0</v>
      </c>
      <c r="P486" s="329">
        <f t="shared" si="422"/>
        <v>0</v>
      </c>
      <c r="Q486" s="329">
        <f t="shared" si="422"/>
        <v>0</v>
      </c>
      <c r="R486" s="329">
        <f t="shared" si="422"/>
        <v>0</v>
      </c>
      <c r="S486" s="329">
        <f t="shared" si="422"/>
        <v>0</v>
      </c>
      <c r="U486" s="329">
        <f t="shared" ref="U486:AB491" si="426">U$483*$G486</f>
        <v>0</v>
      </c>
      <c r="V486" s="329">
        <f t="shared" si="426"/>
        <v>0</v>
      </c>
      <c r="W486" s="329">
        <f t="shared" si="426"/>
        <v>0</v>
      </c>
      <c r="X486" s="329">
        <f t="shared" si="426"/>
        <v>0</v>
      </c>
      <c r="Y486" s="329">
        <f t="shared" si="426"/>
        <v>0</v>
      </c>
      <c r="Z486" s="329">
        <f t="shared" si="426"/>
        <v>0</v>
      </c>
      <c r="AA486" s="329">
        <f t="shared" si="426"/>
        <v>0</v>
      </c>
      <c r="AB486" s="329">
        <f t="shared" si="426"/>
        <v>0</v>
      </c>
      <c r="AD486" s="332">
        <f t="shared" si="412"/>
        <v>5.5</v>
      </c>
      <c r="AE486" s="329">
        <f t="shared" si="413"/>
        <v>0</v>
      </c>
      <c r="AF486" s="329">
        <f t="shared" si="414"/>
        <v>0</v>
      </c>
      <c r="AG486" s="329">
        <f t="shared" si="414"/>
        <v>0</v>
      </c>
      <c r="AH486" s="329">
        <f t="shared" si="414"/>
        <v>0</v>
      </c>
      <c r="AI486" s="329">
        <f t="shared" si="415"/>
        <v>0</v>
      </c>
      <c r="AJ486" s="329">
        <f t="shared" si="415"/>
        <v>0</v>
      </c>
      <c r="AK486" s="329">
        <f t="shared" si="415"/>
        <v>0</v>
      </c>
      <c r="AL486" s="329">
        <f t="shared" si="416"/>
        <v>0</v>
      </c>
    </row>
    <row r="487" spans="1:38" s="332" customFormat="1">
      <c r="A487" s="356"/>
      <c r="B487" s="356" t="s">
        <v>47</v>
      </c>
      <c r="C487" s="355">
        <f t="shared" si="424"/>
        <v>0</v>
      </c>
      <c r="D487" s="341">
        <f>VLOOKUP(B487,DONGIA,DG!$B$6,0)</f>
        <v>0</v>
      </c>
      <c r="E487" s="340" t="str">
        <f>VLOOKUP(B487,DONGIA,DG!$C$6,0)</f>
        <v>Boulon 16x250VRS+ 4 long đền vuông D18-50x50x3/Zn</v>
      </c>
      <c r="F487" s="341" t="str">
        <f>VLOOKUP(B487,DONGIA,DG!$D$6,0)</f>
        <v>bộ</v>
      </c>
      <c r="G487" s="329"/>
      <c r="H487" s="329">
        <f>VLOOKUP($B487,DONGIA,DG!$E$6,0)</f>
        <v>37000</v>
      </c>
      <c r="I487" s="329"/>
      <c r="J487" s="329"/>
      <c r="K487" s="329">
        <f>VLOOKUP($B487,DONGIA,DG!$F$6,0)</f>
        <v>0</v>
      </c>
      <c r="L487" s="329"/>
      <c r="M487" s="329">
        <f>VLOOKUP($B487,DONGIA,DG!$G$6,0)</f>
        <v>0</v>
      </c>
      <c r="N487" s="329">
        <f t="shared" si="425"/>
        <v>0</v>
      </c>
      <c r="O487" s="329">
        <f t="shared" si="422"/>
        <v>0</v>
      </c>
      <c r="P487" s="329">
        <f t="shared" si="422"/>
        <v>0</v>
      </c>
      <c r="Q487" s="329">
        <f t="shared" si="422"/>
        <v>0</v>
      </c>
      <c r="R487" s="329">
        <f t="shared" si="422"/>
        <v>0</v>
      </c>
      <c r="S487" s="329">
        <f t="shared" si="422"/>
        <v>0</v>
      </c>
      <c r="U487" s="329">
        <f t="shared" si="426"/>
        <v>0</v>
      </c>
      <c r="V487" s="329">
        <f t="shared" si="426"/>
        <v>0</v>
      </c>
      <c r="W487" s="329">
        <f t="shared" si="426"/>
        <v>0</v>
      </c>
      <c r="X487" s="329">
        <f t="shared" si="426"/>
        <v>0</v>
      </c>
      <c r="Y487" s="329">
        <f t="shared" si="426"/>
        <v>0</v>
      </c>
      <c r="Z487" s="329">
        <f t="shared" si="426"/>
        <v>0</v>
      </c>
      <c r="AA487" s="329">
        <f t="shared" si="426"/>
        <v>0</v>
      </c>
      <c r="AB487" s="329">
        <f t="shared" si="426"/>
        <v>0</v>
      </c>
      <c r="AD487" s="332">
        <f t="shared" si="412"/>
        <v>0</v>
      </c>
      <c r="AE487" s="329">
        <f t="shared" si="413"/>
        <v>0</v>
      </c>
      <c r="AF487" s="329">
        <f t="shared" si="414"/>
        <v>0</v>
      </c>
      <c r="AG487" s="329">
        <f t="shared" si="414"/>
        <v>0</v>
      </c>
      <c r="AH487" s="329">
        <f t="shared" si="414"/>
        <v>0</v>
      </c>
      <c r="AI487" s="329">
        <f t="shared" si="415"/>
        <v>0</v>
      </c>
      <c r="AJ487" s="329">
        <f t="shared" si="415"/>
        <v>0</v>
      </c>
      <c r="AK487" s="329">
        <f t="shared" si="415"/>
        <v>0</v>
      </c>
      <c r="AL487" s="329">
        <f t="shared" si="416"/>
        <v>0</v>
      </c>
    </row>
    <row r="488" spans="1:38" s="332" customFormat="1">
      <c r="A488" s="356"/>
      <c r="B488" s="356" t="s">
        <v>1680</v>
      </c>
      <c r="C488" s="355">
        <f t="shared" si="424"/>
        <v>0</v>
      </c>
      <c r="D488" s="341">
        <f>VLOOKUP(B488,DONGIA,DG!$B$6,0)</f>
        <v>0</v>
      </c>
      <c r="E488" s="340" t="str">
        <f>VLOOKUP(B488,DONGIA,DG!$C$6,0)</f>
        <v>Boulon 16x300VRS + 4 long đền vuông D18-50x50x3/Zn</v>
      </c>
      <c r="F488" s="341" t="str">
        <f>VLOOKUP(B488,DONGIA,DG!$D$6,0)</f>
        <v>bộ</v>
      </c>
      <c r="G488" s="329">
        <v>5</v>
      </c>
      <c r="H488" s="329">
        <f>VLOOKUP($B488,DONGIA,DG!$E$6,0)</f>
        <v>40000</v>
      </c>
      <c r="I488" s="329"/>
      <c r="J488" s="329"/>
      <c r="K488" s="329">
        <f>VLOOKUP($B488,DONGIA,DG!$F$6,0)</f>
        <v>0</v>
      </c>
      <c r="L488" s="329"/>
      <c r="M488" s="329">
        <f>VLOOKUP($B488,DONGIA,DG!$G$6,0)</f>
        <v>0</v>
      </c>
      <c r="N488" s="329">
        <f t="shared" si="425"/>
        <v>200000</v>
      </c>
      <c r="O488" s="329">
        <f t="shared" si="422"/>
        <v>0</v>
      </c>
      <c r="P488" s="329">
        <f t="shared" si="422"/>
        <v>0</v>
      </c>
      <c r="Q488" s="329">
        <f t="shared" si="422"/>
        <v>0</v>
      </c>
      <c r="R488" s="329">
        <f t="shared" si="422"/>
        <v>0</v>
      </c>
      <c r="S488" s="329">
        <f t="shared" si="422"/>
        <v>0</v>
      </c>
      <c r="U488" s="329">
        <f t="shared" si="426"/>
        <v>0</v>
      </c>
      <c r="V488" s="329">
        <f t="shared" si="426"/>
        <v>0</v>
      </c>
      <c r="W488" s="329">
        <f t="shared" si="426"/>
        <v>0</v>
      </c>
      <c r="X488" s="329">
        <f t="shared" si="426"/>
        <v>0</v>
      </c>
      <c r="Y488" s="329">
        <f t="shared" si="426"/>
        <v>0</v>
      </c>
      <c r="Z488" s="329">
        <f t="shared" si="426"/>
        <v>0</v>
      </c>
      <c r="AA488" s="329">
        <f t="shared" si="426"/>
        <v>0</v>
      </c>
      <c r="AB488" s="329">
        <f t="shared" si="426"/>
        <v>0</v>
      </c>
      <c r="AD488" s="332">
        <f t="shared" si="412"/>
        <v>0.3</v>
      </c>
      <c r="AE488" s="329">
        <f t="shared" si="413"/>
        <v>0</v>
      </c>
      <c r="AF488" s="329">
        <f t="shared" si="414"/>
        <v>0</v>
      </c>
      <c r="AG488" s="329">
        <f t="shared" si="414"/>
        <v>0</v>
      </c>
      <c r="AH488" s="329">
        <f t="shared" si="414"/>
        <v>0</v>
      </c>
      <c r="AI488" s="329">
        <f t="shared" si="415"/>
        <v>0</v>
      </c>
      <c r="AJ488" s="329">
        <f t="shared" si="415"/>
        <v>0</v>
      </c>
      <c r="AK488" s="329">
        <f t="shared" si="415"/>
        <v>0</v>
      </c>
      <c r="AL488" s="329">
        <f t="shared" si="416"/>
        <v>0</v>
      </c>
    </row>
    <row r="489" spans="1:38" s="332" customFormat="1">
      <c r="A489" s="356"/>
      <c r="B489" s="356" t="s">
        <v>33</v>
      </c>
      <c r="C489" s="355">
        <f t="shared" si="424"/>
        <v>0</v>
      </c>
      <c r="D489" s="341">
        <f>VLOOKUP(B489,DONGIA,DG!$B$6,0)</f>
        <v>0</v>
      </c>
      <c r="E489" s="340" t="str">
        <f>VLOOKUP(B489,DONGIA,DG!$C$6,0)</f>
        <v>Boulon 16x250+ 2 long đền vuông D18-50x50x3/Zn</v>
      </c>
      <c r="F489" s="341" t="str">
        <f>VLOOKUP(B489,DONGIA,DG!$D$6,0)</f>
        <v>bộ</v>
      </c>
      <c r="G489" s="329"/>
      <c r="H489" s="329">
        <f>VLOOKUP($B489,DONGIA,DG!$E$6,0)</f>
        <v>28000</v>
      </c>
      <c r="I489" s="329"/>
      <c r="J489" s="329"/>
      <c r="K489" s="329">
        <f>VLOOKUP($B489,DONGIA,DG!$F$6,0)</f>
        <v>0</v>
      </c>
      <c r="L489" s="329"/>
      <c r="M489" s="329">
        <f>VLOOKUP($B489,DONGIA,DG!$G$6,0)</f>
        <v>0</v>
      </c>
      <c r="N489" s="329">
        <f t="shared" si="425"/>
        <v>0</v>
      </c>
      <c r="O489" s="329">
        <f t="shared" si="422"/>
        <v>0</v>
      </c>
      <c r="P489" s="329">
        <f t="shared" si="422"/>
        <v>0</v>
      </c>
      <c r="Q489" s="329">
        <f t="shared" si="422"/>
        <v>0</v>
      </c>
      <c r="R489" s="329">
        <f t="shared" si="422"/>
        <v>0</v>
      </c>
      <c r="S489" s="329">
        <f t="shared" si="422"/>
        <v>0</v>
      </c>
      <c r="U489" s="329">
        <f t="shared" si="426"/>
        <v>0</v>
      </c>
      <c r="V489" s="329">
        <f t="shared" si="426"/>
        <v>0</v>
      </c>
      <c r="W489" s="329">
        <f t="shared" si="426"/>
        <v>0</v>
      </c>
      <c r="X489" s="329">
        <f t="shared" si="426"/>
        <v>0</v>
      </c>
      <c r="Y489" s="329">
        <f t="shared" si="426"/>
        <v>0</v>
      </c>
      <c r="Z489" s="329">
        <f t="shared" si="426"/>
        <v>0</v>
      </c>
      <c r="AA489" s="329">
        <f t="shared" si="426"/>
        <v>0</v>
      </c>
      <c r="AB489" s="329">
        <f t="shared" si="426"/>
        <v>0</v>
      </c>
      <c r="AD489" s="332">
        <f t="shared" si="412"/>
        <v>0.23</v>
      </c>
      <c r="AE489" s="329">
        <f t="shared" si="413"/>
        <v>0</v>
      </c>
      <c r="AF489" s="329">
        <f t="shared" si="414"/>
        <v>0</v>
      </c>
      <c r="AG489" s="329">
        <f t="shared" si="414"/>
        <v>0</v>
      </c>
      <c r="AH489" s="329">
        <f t="shared" si="414"/>
        <v>0</v>
      </c>
      <c r="AI489" s="329">
        <f t="shared" si="415"/>
        <v>0</v>
      </c>
      <c r="AJ489" s="329">
        <f t="shared" si="415"/>
        <v>0</v>
      </c>
      <c r="AK489" s="329">
        <f t="shared" si="415"/>
        <v>0</v>
      </c>
      <c r="AL489" s="329">
        <f t="shared" si="416"/>
        <v>0</v>
      </c>
    </row>
    <row r="490" spans="1:38" s="332" customFormat="1">
      <c r="A490" s="356"/>
      <c r="B490" s="356" t="s">
        <v>29</v>
      </c>
      <c r="C490" s="355">
        <f t="shared" si="424"/>
        <v>0</v>
      </c>
      <c r="D490" s="341">
        <f>VLOOKUP(B490,DONGIA,DG!$B$6,0)</f>
        <v>0</v>
      </c>
      <c r="E490" s="340" t="str">
        <f>VLOOKUP(B490,DONGIA,DG!$C$6,0)</f>
        <v>Boulon 16x50+ 2 long đền vuông D18-50x50x3/Zn</v>
      </c>
      <c r="F490" s="341" t="str">
        <f>VLOOKUP(B490,DONGIA,DG!$D$6,0)</f>
        <v>bộ</v>
      </c>
      <c r="G490" s="329">
        <v>2</v>
      </c>
      <c r="H490" s="329">
        <f>VLOOKUP($B490,DONGIA,DG!$E$6,0)</f>
        <v>17000</v>
      </c>
      <c r="I490" s="329"/>
      <c r="J490" s="329"/>
      <c r="K490" s="329">
        <f>VLOOKUP($B490,DONGIA,DG!$F$6,0)</f>
        <v>0</v>
      </c>
      <c r="L490" s="329"/>
      <c r="M490" s="329">
        <f>VLOOKUP($B490,DONGIA,DG!$G$6,0)</f>
        <v>0</v>
      </c>
      <c r="N490" s="329">
        <f t="shared" si="425"/>
        <v>34000</v>
      </c>
      <c r="O490" s="329">
        <f t="shared" si="422"/>
        <v>0</v>
      </c>
      <c r="P490" s="329">
        <f t="shared" si="422"/>
        <v>0</v>
      </c>
      <c r="Q490" s="329">
        <f t="shared" si="422"/>
        <v>0</v>
      </c>
      <c r="R490" s="329">
        <f t="shared" si="422"/>
        <v>0</v>
      </c>
      <c r="S490" s="329">
        <f t="shared" si="422"/>
        <v>0</v>
      </c>
      <c r="U490" s="329">
        <f t="shared" si="426"/>
        <v>0</v>
      </c>
      <c r="V490" s="329">
        <f t="shared" si="426"/>
        <v>0</v>
      </c>
      <c r="W490" s="329">
        <f t="shared" si="426"/>
        <v>0</v>
      </c>
      <c r="X490" s="329">
        <f t="shared" si="426"/>
        <v>0</v>
      </c>
      <c r="Y490" s="329">
        <f t="shared" si="426"/>
        <v>0</v>
      </c>
      <c r="Z490" s="329">
        <f t="shared" si="426"/>
        <v>0</v>
      </c>
      <c r="AA490" s="329">
        <f t="shared" si="426"/>
        <v>0</v>
      </c>
      <c r="AB490" s="329">
        <f t="shared" si="426"/>
        <v>0</v>
      </c>
      <c r="AD490" s="332">
        <f t="shared" si="412"/>
        <v>0.25</v>
      </c>
      <c r="AE490" s="329">
        <f t="shared" si="413"/>
        <v>0</v>
      </c>
      <c r="AF490" s="329">
        <f t="shared" si="414"/>
        <v>0</v>
      </c>
      <c r="AG490" s="329">
        <f t="shared" si="414"/>
        <v>0</v>
      </c>
      <c r="AH490" s="329">
        <f t="shared" si="414"/>
        <v>0</v>
      </c>
      <c r="AI490" s="329">
        <f t="shared" si="415"/>
        <v>0</v>
      </c>
      <c r="AJ490" s="329">
        <f t="shared" si="415"/>
        <v>0</v>
      </c>
      <c r="AK490" s="329">
        <f t="shared" si="415"/>
        <v>0</v>
      </c>
      <c r="AL490" s="329">
        <f t="shared" si="416"/>
        <v>0</v>
      </c>
    </row>
    <row r="491" spans="1:38" s="332" customFormat="1">
      <c r="A491" s="356"/>
      <c r="B491" s="356" t="s">
        <v>626</v>
      </c>
      <c r="C491" s="355">
        <f t="shared" si="424"/>
        <v>0</v>
      </c>
      <c r="D491" s="341" t="str">
        <f>VLOOKUP(B491,DONGIA,DG!$B$6,0)</f>
        <v>D2.6031a</v>
      </c>
      <c r="E491" s="340" t="str">
        <f>VLOOKUP(B491,DONGIA,DG!$C$6,0)</f>
        <v>Lắp đặt xà thép L75x75x8x2000 kép cột đỡ (50,7514 kg/bộ)</v>
      </c>
      <c r="F491" s="341" t="str">
        <f>VLOOKUP(B491,DONGIA,DG!$D$6,0)</f>
        <v>bộ</v>
      </c>
      <c r="G491" s="329">
        <v>1</v>
      </c>
      <c r="H491" s="329"/>
      <c r="I491" s="329"/>
      <c r="J491" s="329"/>
      <c r="K491" s="329">
        <f>VLOOKUP($B491,DONGIA,DG!$F$6,0)</f>
        <v>380603</v>
      </c>
      <c r="L491" s="329"/>
      <c r="M491" s="329">
        <f>VLOOKUP($B491,DONGIA,DG!$G$6,0)</f>
        <v>0</v>
      </c>
      <c r="N491" s="329">
        <f t="shared" si="425"/>
        <v>0</v>
      </c>
      <c r="O491" s="329">
        <f t="shared" si="422"/>
        <v>0</v>
      </c>
      <c r="P491" s="329">
        <f t="shared" si="422"/>
        <v>0</v>
      </c>
      <c r="Q491" s="329">
        <f t="shared" si="422"/>
        <v>380603</v>
      </c>
      <c r="R491" s="329">
        <f t="shared" si="422"/>
        <v>0</v>
      </c>
      <c r="S491" s="329">
        <f t="shared" si="422"/>
        <v>0</v>
      </c>
      <c r="U491" s="329">
        <f t="shared" si="426"/>
        <v>0</v>
      </c>
      <c r="V491" s="329">
        <f t="shared" si="426"/>
        <v>0</v>
      </c>
      <c r="W491" s="329">
        <f t="shared" si="426"/>
        <v>0</v>
      </c>
      <c r="X491" s="329">
        <f t="shared" si="426"/>
        <v>0</v>
      </c>
      <c r="Y491" s="329">
        <f t="shared" si="426"/>
        <v>0</v>
      </c>
      <c r="Z491" s="329">
        <f t="shared" si="426"/>
        <v>0</v>
      </c>
      <c r="AA491" s="329">
        <f t="shared" si="426"/>
        <v>0</v>
      </c>
      <c r="AB491" s="329">
        <f t="shared" si="426"/>
        <v>0</v>
      </c>
      <c r="AD491" s="332">
        <f t="shared" si="412"/>
        <v>0</v>
      </c>
      <c r="AE491" s="329">
        <f t="shared" si="413"/>
        <v>0</v>
      </c>
      <c r="AF491" s="329">
        <f t="shared" si="414"/>
        <v>0</v>
      </c>
      <c r="AG491" s="329">
        <f t="shared" si="414"/>
        <v>0</v>
      </c>
      <c r="AH491" s="329">
        <f t="shared" si="414"/>
        <v>0</v>
      </c>
      <c r="AI491" s="329">
        <f t="shared" si="415"/>
        <v>0</v>
      </c>
      <c r="AJ491" s="329">
        <f t="shared" si="415"/>
        <v>0</v>
      </c>
      <c r="AK491" s="329">
        <f t="shared" si="415"/>
        <v>0</v>
      </c>
      <c r="AL491" s="329">
        <f t="shared" si="416"/>
        <v>0</v>
      </c>
    </row>
    <row r="492" spans="1:38">
      <c r="A492" s="618" t="s">
        <v>1495</v>
      </c>
      <c r="B492" s="618"/>
      <c r="C492" s="619">
        <f>IF(G492&lt;&gt;0,1,)</f>
        <v>1</v>
      </c>
      <c r="D492" s="622"/>
      <c r="E492" s="733" t="s">
        <v>2729</v>
      </c>
      <c r="F492" s="622" t="s">
        <v>138</v>
      </c>
      <c r="G492" s="622">
        <f>U492</f>
        <v>26</v>
      </c>
      <c r="H492" s="623"/>
      <c r="I492" s="623"/>
      <c r="J492" s="623"/>
      <c r="K492" s="623"/>
      <c r="L492" s="623"/>
      <c r="M492" s="623"/>
      <c r="N492" s="623">
        <f t="shared" ref="N492:S492" si="427">SUM(N494:N498)</f>
        <v>787700</v>
      </c>
      <c r="O492" s="623">
        <f t="shared" si="427"/>
        <v>0</v>
      </c>
      <c r="P492" s="623">
        <f t="shared" si="427"/>
        <v>0</v>
      </c>
      <c r="Q492" s="623">
        <f t="shared" si="427"/>
        <v>297271</v>
      </c>
      <c r="R492" s="623">
        <f t="shared" si="427"/>
        <v>0</v>
      </c>
      <c r="S492" s="623">
        <f t="shared" si="427"/>
        <v>0</v>
      </c>
      <c r="U492" s="623">
        <f>SUM(V492:AB492)</f>
        <v>26</v>
      </c>
      <c r="V492" s="623">
        <f>IFERROR(HLOOKUP($A492,BK3P,V$3,0),)</f>
        <v>26</v>
      </c>
      <c r="W492" s="623">
        <f>IFERROR(HLOOKUP($A492,BK3P,W$3,0),)</f>
        <v>0</v>
      </c>
      <c r="X492" s="623">
        <f>IFERROR(HLOOKUP($A492,BK3P,X$3,0),)</f>
        <v>0</v>
      </c>
      <c r="Y492" s="623">
        <f>IFERROR(HLOOKUP($A492,BK1P,Y$3,0),)</f>
        <v>0</v>
      </c>
      <c r="Z492" s="623">
        <f>IFERROR(HLOOKUP($A492,BK1P,Z$3,0),)</f>
        <v>0</v>
      </c>
      <c r="AA492" s="623">
        <f>IFERROR(HLOOKUP($A492,BK1P,AA$3,0),)</f>
        <v>0</v>
      </c>
      <c r="AB492" s="623">
        <f>IFERROR(HLOOKUP($A492,BKHT,AB$3,0),)</f>
        <v>0</v>
      </c>
      <c r="AD492" s="405">
        <f t="shared" si="412"/>
        <v>0</v>
      </c>
      <c r="AE492" s="525">
        <f t="shared" si="413"/>
        <v>0</v>
      </c>
      <c r="AF492" s="525">
        <f t="shared" si="414"/>
        <v>0</v>
      </c>
      <c r="AG492" s="525">
        <f t="shared" si="414"/>
        <v>0</v>
      </c>
      <c r="AH492" s="525">
        <f t="shared" si="414"/>
        <v>0</v>
      </c>
      <c r="AI492" s="525">
        <f t="shared" si="415"/>
        <v>0</v>
      </c>
      <c r="AJ492" s="525">
        <f t="shared" si="415"/>
        <v>0</v>
      </c>
      <c r="AK492" s="525">
        <f t="shared" si="415"/>
        <v>0</v>
      </c>
      <c r="AL492" s="525">
        <f t="shared" si="416"/>
        <v>0</v>
      </c>
    </row>
    <row r="493" spans="1:38" s="542" customFormat="1">
      <c r="A493" s="624"/>
      <c r="B493" s="624"/>
      <c r="C493" s="625">
        <f>C492</f>
        <v>1</v>
      </c>
      <c r="D493" s="544"/>
      <c r="E493" s="734" t="s">
        <v>1659</v>
      </c>
      <c r="F493" s="544"/>
      <c r="G493" s="545"/>
      <c r="H493" s="545"/>
      <c r="I493" s="545"/>
      <c r="J493" s="545"/>
      <c r="K493" s="545"/>
      <c r="L493" s="545"/>
      <c r="M493" s="545"/>
      <c r="N493" s="545"/>
      <c r="O493" s="545"/>
      <c r="P493" s="545"/>
      <c r="Q493" s="545"/>
      <c r="R493" s="545"/>
      <c r="S493" s="545"/>
      <c r="U493" s="545"/>
      <c r="V493" s="545"/>
      <c r="W493" s="545"/>
      <c r="X493" s="545"/>
      <c r="Y493" s="545"/>
      <c r="Z493" s="545"/>
      <c r="AA493" s="545"/>
      <c r="AB493" s="545"/>
      <c r="AD493" s="405">
        <f t="shared" si="412"/>
        <v>0</v>
      </c>
      <c r="AE493" s="525">
        <f t="shared" si="413"/>
        <v>0</v>
      </c>
      <c r="AF493" s="525">
        <f t="shared" si="414"/>
        <v>0</v>
      </c>
      <c r="AG493" s="525">
        <f t="shared" si="414"/>
        <v>0</v>
      </c>
      <c r="AH493" s="525">
        <f t="shared" si="414"/>
        <v>0</v>
      </c>
      <c r="AI493" s="525">
        <f t="shared" si="415"/>
        <v>0</v>
      </c>
      <c r="AJ493" s="525">
        <f t="shared" si="415"/>
        <v>0</v>
      </c>
      <c r="AK493" s="525">
        <f t="shared" si="415"/>
        <v>0</v>
      </c>
      <c r="AL493" s="525">
        <f t="shared" si="416"/>
        <v>0</v>
      </c>
    </row>
    <row r="494" spans="1:38">
      <c r="A494" s="618"/>
      <c r="B494" s="618" t="s">
        <v>1687</v>
      </c>
      <c r="C494" s="619">
        <f>IF(G494&lt;&gt;0,$C$492,)</f>
        <v>1</v>
      </c>
      <c r="D494" s="523">
        <f>VLOOKUP(B494,DONGIA,DG!$B$6,0)</f>
        <v>0</v>
      </c>
      <c r="E494" s="666" t="str">
        <f>VLOOKUP(B494,DONGIA,DG!$C$6,0)</f>
        <v>Đà sắt L75x75x8-2100 - 3 ốp (Lệch 100%)</v>
      </c>
      <c r="F494" s="523" t="str">
        <f>VLOOKUP(B494,DONGIA,DG!$D$6,0)</f>
        <v>cái</v>
      </c>
      <c r="G494" s="525">
        <v>1</v>
      </c>
      <c r="H494" s="525">
        <f>VLOOKUP($B494,DONGIA,DG!$E$6,0)</f>
        <v>497000</v>
      </c>
      <c r="I494" s="525"/>
      <c r="J494" s="525"/>
      <c r="K494" s="525">
        <f>VLOOKUP($B494,DONGIA,DG!$F$6,0)</f>
        <v>0</v>
      </c>
      <c r="L494" s="525"/>
      <c r="M494" s="525">
        <f>VLOOKUP($B494,DONGIA,DG!$G$6,0)</f>
        <v>0</v>
      </c>
      <c r="N494" s="525">
        <f>$G494*H494</f>
        <v>497000</v>
      </c>
      <c r="O494" s="525">
        <f t="shared" ref="O494:S498" si="428">$G494*I494</f>
        <v>0</v>
      </c>
      <c r="P494" s="525">
        <f t="shared" si="428"/>
        <v>0</v>
      </c>
      <c r="Q494" s="525">
        <f t="shared" si="428"/>
        <v>0</v>
      </c>
      <c r="R494" s="525">
        <f t="shared" si="428"/>
        <v>0</v>
      </c>
      <c r="S494" s="525">
        <f t="shared" si="428"/>
        <v>0</v>
      </c>
      <c r="U494" s="525">
        <f>U$492*$G494</f>
        <v>26</v>
      </c>
      <c r="V494" s="525">
        <f t="shared" ref="V494:AB494" si="429">V$492*$G494</f>
        <v>26</v>
      </c>
      <c r="W494" s="525">
        <f t="shared" si="429"/>
        <v>0</v>
      </c>
      <c r="X494" s="525">
        <f t="shared" si="429"/>
        <v>0</v>
      </c>
      <c r="Y494" s="525">
        <f t="shared" si="429"/>
        <v>0</v>
      </c>
      <c r="Z494" s="525">
        <f t="shared" si="429"/>
        <v>0</v>
      </c>
      <c r="AA494" s="525">
        <f t="shared" si="429"/>
        <v>0</v>
      </c>
      <c r="AB494" s="525">
        <f t="shared" si="429"/>
        <v>0</v>
      </c>
      <c r="AD494" s="405">
        <f t="shared" si="412"/>
        <v>25</v>
      </c>
      <c r="AE494" s="525">
        <f t="shared" si="413"/>
        <v>650</v>
      </c>
      <c r="AF494" s="525">
        <f t="shared" si="414"/>
        <v>650</v>
      </c>
      <c r="AG494" s="525">
        <f t="shared" si="414"/>
        <v>0</v>
      </c>
      <c r="AH494" s="525">
        <f t="shared" si="414"/>
        <v>0</v>
      </c>
      <c r="AI494" s="525">
        <f t="shared" si="415"/>
        <v>0</v>
      </c>
      <c r="AJ494" s="525">
        <f t="shared" si="415"/>
        <v>0</v>
      </c>
      <c r="AK494" s="525">
        <f t="shared" si="415"/>
        <v>0</v>
      </c>
      <c r="AL494" s="525">
        <f t="shared" si="416"/>
        <v>0</v>
      </c>
    </row>
    <row r="495" spans="1:38">
      <c r="A495" s="618"/>
      <c r="B495" s="618" t="s">
        <v>1688</v>
      </c>
      <c r="C495" s="619">
        <f>IF(G495&lt;&gt;0,$C$492,)</f>
        <v>1</v>
      </c>
      <c r="D495" s="523">
        <f>VLOOKUP(B495,DONGIA,DG!$B$6,0)</f>
        <v>0</v>
      </c>
      <c r="E495" s="666" t="str">
        <f>VLOOKUP(B495,DONGIA,DG!$C$6,0)</f>
        <v>Thanh chống L50x50x5-1990</v>
      </c>
      <c r="F495" s="523" t="str">
        <f>VLOOKUP(B495,DONGIA,DG!$D$6,0)</f>
        <v>cái</v>
      </c>
      <c r="G495" s="525">
        <v>1</v>
      </c>
      <c r="H495" s="525">
        <f>VLOOKUP($B495,DONGIA,DG!$E$6,0)</f>
        <v>217700</v>
      </c>
      <c r="I495" s="525"/>
      <c r="J495" s="525"/>
      <c r="K495" s="525">
        <f>VLOOKUP($B495,DONGIA,DG!$F$6,0)</f>
        <v>0</v>
      </c>
      <c r="L495" s="525"/>
      <c r="M495" s="525">
        <f>VLOOKUP($B495,DONGIA,DG!$G$6,0)</f>
        <v>0</v>
      </c>
      <c r="N495" s="525">
        <f>$G495*H495</f>
        <v>217700</v>
      </c>
      <c r="O495" s="525">
        <f t="shared" si="428"/>
        <v>0</v>
      </c>
      <c r="P495" s="525">
        <f t="shared" si="428"/>
        <v>0</v>
      </c>
      <c r="Q495" s="525">
        <f t="shared" si="428"/>
        <v>0</v>
      </c>
      <c r="R495" s="525">
        <f t="shared" si="428"/>
        <v>0</v>
      </c>
      <c r="S495" s="525">
        <f t="shared" si="428"/>
        <v>0</v>
      </c>
      <c r="U495" s="525">
        <f t="shared" ref="U495:AB498" si="430">U$492*$G495</f>
        <v>26</v>
      </c>
      <c r="V495" s="525">
        <f t="shared" si="430"/>
        <v>26</v>
      </c>
      <c r="W495" s="525">
        <f t="shared" si="430"/>
        <v>0</v>
      </c>
      <c r="X495" s="525">
        <f t="shared" si="430"/>
        <v>0</v>
      </c>
      <c r="Y495" s="525">
        <f t="shared" si="430"/>
        <v>0</v>
      </c>
      <c r="Z495" s="525">
        <f t="shared" si="430"/>
        <v>0</v>
      </c>
      <c r="AA495" s="525">
        <f t="shared" si="430"/>
        <v>0</v>
      </c>
      <c r="AB495" s="525">
        <f t="shared" si="430"/>
        <v>0</v>
      </c>
      <c r="AD495" s="405">
        <f t="shared" si="412"/>
        <v>7.5</v>
      </c>
      <c r="AE495" s="525">
        <f t="shared" si="413"/>
        <v>195</v>
      </c>
      <c r="AF495" s="525">
        <f t="shared" si="414"/>
        <v>195</v>
      </c>
      <c r="AG495" s="525">
        <f t="shared" si="414"/>
        <v>0</v>
      </c>
      <c r="AH495" s="525">
        <f t="shared" si="414"/>
        <v>0</v>
      </c>
      <c r="AI495" s="525">
        <f t="shared" si="415"/>
        <v>0</v>
      </c>
      <c r="AJ495" s="525">
        <f t="shared" si="415"/>
        <v>0</v>
      </c>
      <c r="AK495" s="525">
        <f t="shared" si="415"/>
        <v>0</v>
      </c>
      <c r="AL495" s="525">
        <f t="shared" si="416"/>
        <v>0</v>
      </c>
    </row>
    <row r="496" spans="1:38">
      <c r="A496" s="618"/>
      <c r="B496" s="618" t="s">
        <v>33</v>
      </c>
      <c r="C496" s="619">
        <f>IF(G496&lt;&gt;0,$C$492,)</f>
        <v>1</v>
      </c>
      <c r="D496" s="523">
        <f>VLOOKUP(B496,DONGIA,DG!$B$6,0)</f>
        <v>0</v>
      </c>
      <c r="E496" s="666" t="str">
        <f>VLOOKUP(B496,DONGIA,DG!$C$6,0)</f>
        <v>Boulon 16x250+ 2 long đền vuông D18-50x50x3/Zn</v>
      </c>
      <c r="F496" s="523" t="str">
        <f>VLOOKUP(B496,DONGIA,DG!$D$6,0)</f>
        <v>bộ</v>
      </c>
      <c r="G496" s="525">
        <v>2</v>
      </c>
      <c r="H496" s="525">
        <f>VLOOKUP($B496,DONGIA,DG!$E$6,0)</f>
        <v>28000</v>
      </c>
      <c r="I496" s="525"/>
      <c r="J496" s="525"/>
      <c r="K496" s="525">
        <f>VLOOKUP($B496,DONGIA,DG!$F$6,0)</f>
        <v>0</v>
      </c>
      <c r="L496" s="525"/>
      <c r="M496" s="525">
        <f>VLOOKUP($B496,DONGIA,DG!$G$6,0)</f>
        <v>0</v>
      </c>
      <c r="N496" s="525">
        <f>$G496*H496</f>
        <v>56000</v>
      </c>
      <c r="O496" s="525">
        <f t="shared" si="428"/>
        <v>0</v>
      </c>
      <c r="P496" s="525">
        <f t="shared" si="428"/>
        <v>0</v>
      </c>
      <c r="Q496" s="525">
        <f t="shared" si="428"/>
        <v>0</v>
      </c>
      <c r="R496" s="525">
        <f t="shared" si="428"/>
        <v>0</v>
      </c>
      <c r="S496" s="525">
        <f t="shared" si="428"/>
        <v>0</v>
      </c>
      <c r="U496" s="525">
        <f t="shared" si="430"/>
        <v>52</v>
      </c>
      <c r="V496" s="525">
        <f t="shared" si="430"/>
        <v>52</v>
      </c>
      <c r="W496" s="525">
        <f t="shared" si="430"/>
        <v>0</v>
      </c>
      <c r="X496" s="525">
        <f t="shared" si="430"/>
        <v>0</v>
      </c>
      <c r="Y496" s="525">
        <f t="shared" si="430"/>
        <v>0</v>
      </c>
      <c r="Z496" s="525">
        <f t="shared" si="430"/>
        <v>0</v>
      </c>
      <c r="AA496" s="525">
        <f t="shared" si="430"/>
        <v>0</v>
      </c>
      <c r="AB496" s="525">
        <f t="shared" si="430"/>
        <v>0</v>
      </c>
      <c r="AD496" s="405">
        <f t="shared" si="412"/>
        <v>0.23</v>
      </c>
      <c r="AE496" s="525">
        <f t="shared" si="413"/>
        <v>11.96</v>
      </c>
      <c r="AF496" s="525">
        <f t="shared" si="414"/>
        <v>11.96</v>
      </c>
      <c r="AG496" s="525">
        <f t="shared" si="414"/>
        <v>0</v>
      </c>
      <c r="AH496" s="525">
        <f t="shared" si="414"/>
        <v>0</v>
      </c>
      <c r="AI496" s="525">
        <f t="shared" si="415"/>
        <v>0</v>
      </c>
      <c r="AJ496" s="525">
        <f t="shared" si="415"/>
        <v>0</v>
      </c>
      <c r="AK496" s="525">
        <f t="shared" si="415"/>
        <v>0</v>
      </c>
      <c r="AL496" s="525">
        <f t="shared" si="416"/>
        <v>0</v>
      </c>
    </row>
    <row r="497" spans="1:38">
      <c r="A497" s="618"/>
      <c r="B497" s="618" t="s">
        <v>29</v>
      </c>
      <c r="C497" s="619">
        <f>IF(G497&lt;&gt;0,$C$492,)</f>
        <v>1</v>
      </c>
      <c r="D497" s="523">
        <f>VLOOKUP(B497,DONGIA,DG!$B$6,0)</f>
        <v>0</v>
      </c>
      <c r="E497" s="666" t="str">
        <f>VLOOKUP(B497,DONGIA,DG!$C$6,0)</f>
        <v>Boulon 16x50+ 2 long đền vuông D18-50x50x3/Zn</v>
      </c>
      <c r="F497" s="523" t="str">
        <f>VLOOKUP(B497,DONGIA,DG!$D$6,0)</f>
        <v>bộ</v>
      </c>
      <c r="G497" s="525">
        <v>1</v>
      </c>
      <c r="H497" s="525">
        <f>VLOOKUP($B497,DONGIA,DG!$E$6,0)</f>
        <v>17000</v>
      </c>
      <c r="I497" s="525"/>
      <c r="J497" s="525"/>
      <c r="K497" s="525">
        <f>VLOOKUP($B497,DONGIA,DG!$F$6,0)</f>
        <v>0</v>
      </c>
      <c r="L497" s="525"/>
      <c r="M497" s="525">
        <f>VLOOKUP($B497,DONGIA,DG!$G$6,0)</f>
        <v>0</v>
      </c>
      <c r="N497" s="525">
        <f>$G497*H497</f>
        <v>17000</v>
      </c>
      <c r="O497" s="525">
        <f t="shared" si="428"/>
        <v>0</v>
      </c>
      <c r="P497" s="525">
        <f t="shared" si="428"/>
        <v>0</v>
      </c>
      <c r="Q497" s="525">
        <f t="shared" si="428"/>
        <v>0</v>
      </c>
      <c r="R497" s="525">
        <f t="shared" si="428"/>
        <v>0</v>
      </c>
      <c r="S497" s="525">
        <f t="shared" si="428"/>
        <v>0</v>
      </c>
      <c r="U497" s="525">
        <f t="shared" si="430"/>
        <v>26</v>
      </c>
      <c r="V497" s="525">
        <f t="shared" si="430"/>
        <v>26</v>
      </c>
      <c r="W497" s="525">
        <f t="shared" si="430"/>
        <v>0</v>
      </c>
      <c r="X497" s="525">
        <f t="shared" si="430"/>
        <v>0</v>
      </c>
      <c r="Y497" s="525">
        <f t="shared" si="430"/>
        <v>0</v>
      </c>
      <c r="Z497" s="525">
        <f t="shared" si="430"/>
        <v>0</v>
      </c>
      <c r="AA497" s="525">
        <f t="shared" si="430"/>
        <v>0</v>
      </c>
      <c r="AB497" s="525">
        <f t="shared" si="430"/>
        <v>0</v>
      </c>
      <c r="AD497" s="405">
        <f t="shared" si="412"/>
        <v>0.25</v>
      </c>
      <c r="AE497" s="525">
        <f t="shared" si="413"/>
        <v>6.5</v>
      </c>
      <c r="AF497" s="525">
        <f t="shared" si="414"/>
        <v>6.5</v>
      </c>
      <c r="AG497" s="525">
        <f t="shared" si="414"/>
        <v>0</v>
      </c>
      <c r="AH497" s="525">
        <f t="shared" si="414"/>
        <v>0</v>
      </c>
      <c r="AI497" s="525">
        <f t="shared" si="415"/>
        <v>0</v>
      </c>
      <c r="AJ497" s="525">
        <f t="shared" si="415"/>
        <v>0</v>
      </c>
      <c r="AK497" s="525">
        <f t="shared" si="415"/>
        <v>0</v>
      </c>
      <c r="AL497" s="525">
        <f t="shared" si="416"/>
        <v>0</v>
      </c>
    </row>
    <row r="498" spans="1:38">
      <c r="A498" s="618"/>
      <c r="B498" s="618" t="s">
        <v>635</v>
      </c>
      <c r="C498" s="619">
        <f>IF(G498&lt;&gt;0,$C$492,)</f>
        <v>1</v>
      </c>
      <c r="D498" s="523" t="str">
        <f>VLOOKUP(B498,DONGIA,DG!$B$6,0)</f>
        <v>D2.6021d</v>
      </c>
      <c r="E498" s="666" t="str">
        <f>VLOOKUP(B498,DONGIA,DG!$C$6,0)</f>
        <v>Lắp đặt xà thép L75x75x8x2100 đơn cột đỡ (29,4245 kg/bộ)</v>
      </c>
      <c r="F498" s="523" t="str">
        <f>VLOOKUP(B498,DONGIA,DG!$D$6,0)</f>
        <v>bộ</v>
      </c>
      <c r="G498" s="525">
        <v>1</v>
      </c>
      <c r="H498" s="525"/>
      <c r="I498" s="525"/>
      <c r="J498" s="525"/>
      <c r="K498" s="525">
        <f>VLOOKUP($B498,DONGIA,DG!$F$6,0)</f>
        <v>297271</v>
      </c>
      <c r="L498" s="525"/>
      <c r="M498" s="525">
        <f>VLOOKUP($B498,DONGIA,DG!$G$6,0)</f>
        <v>0</v>
      </c>
      <c r="N498" s="525">
        <f>$G498*H498</f>
        <v>0</v>
      </c>
      <c r="O498" s="525">
        <f t="shared" si="428"/>
        <v>0</v>
      </c>
      <c r="P498" s="525">
        <f t="shared" si="428"/>
        <v>0</v>
      </c>
      <c r="Q498" s="525">
        <f t="shared" si="428"/>
        <v>297271</v>
      </c>
      <c r="R498" s="525">
        <f t="shared" si="428"/>
        <v>0</v>
      </c>
      <c r="S498" s="525">
        <f t="shared" si="428"/>
        <v>0</v>
      </c>
      <c r="U498" s="525">
        <f t="shared" si="430"/>
        <v>26</v>
      </c>
      <c r="V498" s="525">
        <f t="shared" si="430"/>
        <v>26</v>
      </c>
      <c r="W498" s="525">
        <f t="shared" si="430"/>
        <v>0</v>
      </c>
      <c r="X498" s="525">
        <f t="shared" si="430"/>
        <v>0</v>
      </c>
      <c r="Y498" s="525">
        <f t="shared" si="430"/>
        <v>0</v>
      </c>
      <c r="Z498" s="525">
        <f t="shared" si="430"/>
        <v>0</v>
      </c>
      <c r="AA498" s="525">
        <f t="shared" si="430"/>
        <v>0</v>
      </c>
      <c r="AB498" s="525">
        <f t="shared" si="430"/>
        <v>0</v>
      </c>
      <c r="AD498" s="405">
        <f t="shared" si="412"/>
        <v>0</v>
      </c>
      <c r="AE498" s="525">
        <f t="shared" si="413"/>
        <v>0</v>
      </c>
      <c r="AF498" s="525">
        <f t="shared" si="414"/>
        <v>0</v>
      </c>
      <c r="AG498" s="525">
        <f t="shared" si="414"/>
        <v>0</v>
      </c>
      <c r="AH498" s="525">
        <f t="shared" si="414"/>
        <v>0</v>
      </c>
      <c r="AI498" s="525">
        <f t="shared" si="415"/>
        <v>0</v>
      </c>
      <c r="AJ498" s="525">
        <f t="shared" si="415"/>
        <v>0</v>
      </c>
      <c r="AK498" s="525">
        <f t="shared" si="415"/>
        <v>0</v>
      </c>
      <c r="AL498" s="525">
        <f t="shared" si="416"/>
        <v>0</v>
      </c>
    </row>
    <row r="499" spans="1:38">
      <c r="A499" s="618" t="s">
        <v>1496</v>
      </c>
      <c r="B499" s="618"/>
      <c r="C499" s="619">
        <f>IF(G499&lt;&gt;0,1,)</f>
        <v>1</v>
      </c>
      <c r="D499" s="622"/>
      <c r="E499" s="733" t="s">
        <v>2728</v>
      </c>
      <c r="F499" s="622" t="s">
        <v>138</v>
      </c>
      <c r="G499" s="622">
        <f>U499</f>
        <v>16</v>
      </c>
      <c r="H499" s="623"/>
      <c r="I499" s="623"/>
      <c r="J499" s="623"/>
      <c r="K499" s="623"/>
      <c r="L499" s="623"/>
      <c r="M499" s="623"/>
      <c r="N499" s="623">
        <f t="shared" ref="N499:S499" si="431">SUM(N501:N506)</f>
        <v>1607400</v>
      </c>
      <c r="O499" s="623">
        <f t="shared" si="431"/>
        <v>0</v>
      </c>
      <c r="P499" s="623">
        <f t="shared" si="431"/>
        <v>0</v>
      </c>
      <c r="Q499" s="623">
        <f t="shared" si="431"/>
        <v>402190</v>
      </c>
      <c r="R499" s="623">
        <f t="shared" si="431"/>
        <v>0</v>
      </c>
      <c r="S499" s="623">
        <f t="shared" si="431"/>
        <v>0</v>
      </c>
      <c r="U499" s="623">
        <f>SUM(V499:AB499)</f>
        <v>16</v>
      </c>
      <c r="V499" s="623">
        <f>IFERROR(HLOOKUP($A499,BK3P,V$3,0),)</f>
        <v>16</v>
      </c>
      <c r="W499" s="623">
        <f>IFERROR(HLOOKUP($A499,BK3P,W$3,0),)</f>
        <v>0</v>
      </c>
      <c r="X499" s="623">
        <f>IFERROR(HLOOKUP($A499,BK3P,X$3,0),)</f>
        <v>0</v>
      </c>
      <c r="Y499" s="623">
        <f>IFERROR(HLOOKUP($A499,BK1P,Y$3,0),)</f>
        <v>0</v>
      </c>
      <c r="Z499" s="623">
        <f>IFERROR(HLOOKUP($A499,BK1P,Z$3,0),)</f>
        <v>0</v>
      </c>
      <c r="AA499" s="623">
        <f>IFERROR(HLOOKUP($A499,BK1P,AA$3,0),)</f>
        <v>0</v>
      </c>
      <c r="AB499" s="623">
        <f>IFERROR(HLOOKUP($A499,BKHT,AB$3,0),)</f>
        <v>0</v>
      </c>
      <c r="AD499" s="405">
        <f t="shared" si="412"/>
        <v>0</v>
      </c>
      <c r="AE499" s="525">
        <f t="shared" si="413"/>
        <v>0</v>
      </c>
      <c r="AF499" s="525">
        <f t="shared" si="414"/>
        <v>0</v>
      </c>
      <c r="AG499" s="525">
        <f t="shared" si="414"/>
        <v>0</v>
      </c>
      <c r="AH499" s="525">
        <f t="shared" si="414"/>
        <v>0</v>
      </c>
      <c r="AI499" s="525">
        <f t="shared" si="415"/>
        <v>0</v>
      </c>
      <c r="AJ499" s="525">
        <f t="shared" si="415"/>
        <v>0</v>
      </c>
      <c r="AK499" s="525">
        <f t="shared" si="415"/>
        <v>0</v>
      </c>
      <c r="AL499" s="525">
        <f t="shared" si="416"/>
        <v>0</v>
      </c>
    </row>
    <row r="500" spans="1:38" s="542" customFormat="1">
      <c r="A500" s="624"/>
      <c r="B500" s="624"/>
      <c r="C500" s="625">
        <f>C499</f>
        <v>1</v>
      </c>
      <c r="D500" s="544"/>
      <c r="E500" s="734" t="s">
        <v>1659</v>
      </c>
      <c r="F500" s="544"/>
      <c r="G500" s="545"/>
      <c r="H500" s="545"/>
      <c r="I500" s="545"/>
      <c r="J500" s="545"/>
      <c r="K500" s="545"/>
      <c r="L500" s="545"/>
      <c r="M500" s="545"/>
      <c r="N500" s="545"/>
      <c r="O500" s="545"/>
      <c r="P500" s="545"/>
      <c r="Q500" s="545"/>
      <c r="R500" s="545"/>
      <c r="S500" s="545"/>
      <c r="U500" s="545"/>
      <c r="V500" s="545"/>
      <c r="W500" s="545"/>
      <c r="X500" s="545"/>
      <c r="Y500" s="545"/>
      <c r="Z500" s="545"/>
      <c r="AA500" s="545"/>
      <c r="AB500" s="545"/>
      <c r="AD500" s="405">
        <f t="shared" si="412"/>
        <v>0</v>
      </c>
      <c r="AE500" s="525">
        <f t="shared" si="413"/>
        <v>0</v>
      </c>
      <c r="AF500" s="525">
        <f t="shared" si="414"/>
        <v>0</v>
      </c>
      <c r="AG500" s="525">
        <f t="shared" si="414"/>
        <v>0</v>
      </c>
      <c r="AH500" s="525">
        <f t="shared" si="414"/>
        <v>0</v>
      </c>
      <c r="AI500" s="525">
        <f t="shared" si="415"/>
        <v>0</v>
      </c>
      <c r="AJ500" s="525">
        <f t="shared" si="415"/>
        <v>0</v>
      </c>
      <c r="AK500" s="525">
        <f t="shared" si="415"/>
        <v>0</v>
      </c>
      <c r="AL500" s="525">
        <f t="shared" si="416"/>
        <v>0</v>
      </c>
    </row>
    <row r="501" spans="1:38">
      <c r="A501" s="618"/>
      <c r="B501" s="618" t="s">
        <v>1687</v>
      </c>
      <c r="C501" s="619">
        <f t="shared" ref="C501:C506" si="432">IF(G501&lt;&gt;0,$C$499,)</f>
        <v>1</v>
      </c>
      <c r="D501" s="523">
        <f>VLOOKUP(B501,DONGIA,DG!$B$6,0)</f>
        <v>0</v>
      </c>
      <c r="E501" s="666" t="str">
        <f>VLOOKUP(B501,DONGIA,DG!$C$6,0)</f>
        <v>Đà sắt L75x75x8-2100 - 3 ốp (Lệch 100%)</v>
      </c>
      <c r="F501" s="523" t="str">
        <f>VLOOKUP(B501,DONGIA,DG!$D$6,0)</f>
        <v>cái</v>
      </c>
      <c r="G501" s="525">
        <v>2</v>
      </c>
      <c r="H501" s="525">
        <f>VLOOKUP($B501,DONGIA,DG!$E$6,0)</f>
        <v>497000</v>
      </c>
      <c r="I501" s="525"/>
      <c r="J501" s="525"/>
      <c r="K501" s="525">
        <f>VLOOKUP($B501,DONGIA,DG!$F$6,0)</f>
        <v>0</v>
      </c>
      <c r="L501" s="525"/>
      <c r="M501" s="525">
        <f>VLOOKUP($B501,DONGIA,DG!$G$6,0)</f>
        <v>0</v>
      </c>
      <c r="N501" s="525">
        <f t="shared" ref="N501:N506" si="433">$G501*H501</f>
        <v>994000</v>
      </c>
      <c r="O501" s="525">
        <f t="shared" ref="O501:S506" si="434">$G501*I501</f>
        <v>0</v>
      </c>
      <c r="P501" s="525">
        <f t="shared" si="434"/>
        <v>0</v>
      </c>
      <c r="Q501" s="525">
        <f t="shared" si="434"/>
        <v>0</v>
      </c>
      <c r="R501" s="525">
        <f t="shared" si="434"/>
        <v>0</v>
      </c>
      <c r="S501" s="525">
        <f t="shared" si="434"/>
        <v>0</v>
      </c>
      <c r="U501" s="525">
        <f>U$499*$G501</f>
        <v>32</v>
      </c>
      <c r="V501" s="525">
        <f t="shared" ref="V501:AB501" si="435">V$499*$G501</f>
        <v>32</v>
      </c>
      <c r="W501" s="525">
        <f t="shared" si="435"/>
        <v>0</v>
      </c>
      <c r="X501" s="525">
        <f t="shared" si="435"/>
        <v>0</v>
      </c>
      <c r="Y501" s="525">
        <f t="shared" si="435"/>
        <v>0</v>
      </c>
      <c r="Z501" s="525">
        <f t="shared" si="435"/>
        <v>0</v>
      </c>
      <c r="AA501" s="525">
        <f t="shared" si="435"/>
        <v>0</v>
      </c>
      <c r="AB501" s="525">
        <f t="shared" si="435"/>
        <v>0</v>
      </c>
      <c r="AD501" s="405">
        <f t="shared" si="412"/>
        <v>25</v>
      </c>
      <c r="AE501" s="525">
        <f t="shared" si="413"/>
        <v>800</v>
      </c>
      <c r="AF501" s="525">
        <f t="shared" si="414"/>
        <v>800</v>
      </c>
      <c r="AG501" s="525">
        <f t="shared" si="414"/>
        <v>0</v>
      </c>
      <c r="AH501" s="525">
        <f t="shared" si="414"/>
        <v>0</v>
      </c>
      <c r="AI501" s="525">
        <f t="shared" si="415"/>
        <v>0</v>
      </c>
      <c r="AJ501" s="525">
        <f t="shared" si="415"/>
        <v>0</v>
      </c>
      <c r="AK501" s="525">
        <f t="shared" si="415"/>
        <v>0</v>
      </c>
      <c r="AL501" s="525">
        <f t="shared" si="416"/>
        <v>0</v>
      </c>
    </row>
    <row r="502" spans="1:38">
      <c r="A502" s="618"/>
      <c r="B502" s="618" t="s">
        <v>1688</v>
      </c>
      <c r="C502" s="619">
        <f t="shared" si="432"/>
        <v>1</v>
      </c>
      <c r="D502" s="523">
        <f>VLOOKUP(B502,DONGIA,DG!$B$6,0)</f>
        <v>0</v>
      </c>
      <c r="E502" s="666" t="str">
        <f>VLOOKUP(B502,DONGIA,DG!$C$6,0)</f>
        <v>Thanh chống L50x50x5-1990</v>
      </c>
      <c r="F502" s="523" t="str">
        <f>VLOOKUP(B502,DONGIA,DG!$D$6,0)</f>
        <v>cái</v>
      </c>
      <c r="G502" s="525">
        <v>2</v>
      </c>
      <c r="H502" s="525">
        <f>VLOOKUP($B502,DONGIA,DG!$E$6,0)</f>
        <v>217700</v>
      </c>
      <c r="I502" s="525"/>
      <c r="J502" s="525"/>
      <c r="K502" s="525">
        <f>VLOOKUP($B502,DONGIA,DG!$F$6,0)</f>
        <v>0</v>
      </c>
      <c r="L502" s="525"/>
      <c r="M502" s="525">
        <f>VLOOKUP($B502,DONGIA,DG!$G$6,0)</f>
        <v>0</v>
      </c>
      <c r="N502" s="525">
        <f t="shared" si="433"/>
        <v>435400</v>
      </c>
      <c r="O502" s="525">
        <f t="shared" si="434"/>
        <v>0</v>
      </c>
      <c r="P502" s="525">
        <f t="shared" si="434"/>
        <v>0</v>
      </c>
      <c r="Q502" s="525">
        <f t="shared" si="434"/>
        <v>0</v>
      </c>
      <c r="R502" s="525">
        <f t="shared" si="434"/>
        <v>0</v>
      </c>
      <c r="S502" s="525">
        <f t="shared" si="434"/>
        <v>0</v>
      </c>
      <c r="U502" s="525">
        <f t="shared" ref="U502:AB506" si="436">U$499*$G502</f>
        <v>32</v>
      </c>
      <c r="V502" s="525">
        <f t="shared" si="436"/>
        <v>32</v>
      </c>
      <c r="W502" s="525">
        <f t="shared" si="436"/>
        <v>0</v>
      </c>
      <c r="X502" s="525">
        <f t="shared" si="436"/>
        <v>0</v>
      </c>
      <c r="Y502" s="525">
        <f t="shared" si="436"/>
        <v>0</v>
      </c>
      <c r="Z502" s="525">
        <f t="shared" si="436"/>
        <v>0</v>
      </c>
      <c r="AA502" s="525">
        <f t="shared" si="436"/>
        <v>0</v>
      </c>
      <c r="AB502" s="525">
        <f t="shared" si="436"/>
        <v>0</v>
      </c>
      <c r="AD502" s="405">
        <f t="shared" si="412"/>
        <v>7.5</v>
      </c>
      <c r="AE502" s="525">
        <f t="shared" si="413"/>
        <v>240</v>
      </c>
      <c r="AF502" s="525">
        <f t="shared" si="414"/>
        <v>240</v>
      </c>
      <c r="AG502" s="525">
        <f t="shared" si="414"/>
        <v>0</v>
      </c>
      <c r="AH502" s="525">
        <f t="shared" si="414"/>
        <v>0</v>
      </c>
      <c r="AI502" s="525">
        <f t="shared" si="415"/>
        <v>0</v>
      </c>
      <c r="AJ502" s="525">
        <f t="shared" si="415"/>
        <v>0</v>
      </c>
      <c r="AK502" s="525">
        <f t="shared" si="415"/>
        <v>0</v>
      </c>
      <c r="AL502" s="525">
        <f t="shared" si="416"/>
        <v>0</v>
      </c>
    </row>
    <row r="503" spans="1:38">
      <c r="A503" s="618"/>
      <c r="B503" s="618" t="s">
        <v>1680</v>
      </c>
      <c r="C503" s="619">
        <f t="shared" si="432"/>
        <v>1</v>
      </c>
      <c r="D503" s="523">
        <f>VLOOKUP(B503,DONGIA,DG!$B$6,0)</f>
        <v>0</v>
      </c>
      <c r="E503" s="666" t="str">
        <f>VLOOKUP(B503,DONGIA,DG!$C$6,0)</f>
        <v>Boulon 16x300VRS + 4 long đền vuông D18-50x50x3/Zn</v>
      </c>
      <c r="F503" s="523" t="str">
        <f>VLOOKUP(B503,DONGIA,DG!$D$6,0)</f>
        <v>bộ</v>
      </c>
      <c r="G503" s="525">
        <v>3</v>
      </c>
      <c r="H503" s="525">
        <f>VLOOKUP($B503,DONGIA,DG!$E$6,0)</f>
        <v>40000</v>
      </c>
      <c r="I503" s="525"/>
      <c r="J503" s="525"/>
      <c r="K503" s="525">
        <f>VLOOKUP($B503,DONGIA,DG!$F$6,0)</f>
        <v>0</v>
      </c>
      <c r="L503" s="525"/>
      <c r="M503" s="525">
        <f>VLOOKUP($B503,DONGIA,DG!$G$6,0)</f>
        <v>0</v>
      </c>
      <c r="N503" s="525">
        <f t="shared" si="433"/>
        <v>120000</v>
      </c>
      <c r="O503" s="525">
        <f t="shared" si="434"/>
        <v>0</v>
      </c>
      <c r="P503" s="525">
        <f t="shared" si="434"/>
        <v>0</v>
      </c>
      <c r="Q503" s="525">
        <f t="shared" si="434"/>
        <v>0</v>
      </c>
      <c r="R503" s="525">
        <f t="shared" si="434"/>
        <v>0</v>
      </c>
      <c r="S503" s="525">
        <f t="shared" si="434"/>
        <v>0</v>
      </c>
      <c r="U503" s="525">
        <f t="shared" si="436"/>
        <v>48</v>
      </c>
      <c r="V503" s="525">
        <f t="shared" si="436"/>
        <v>48</v>
      </c>
      <c r="W503" s="525">
        <f t="shared" si="436"/>
        <v>0</v>
      </c>
      <c r="X503" s="525">
        <f t="shared" si="436"/>
        <v>0</v>
      </c>
      <c r="Y503" s="525">
        <f t="shared" si="436"/>
        <v>0</v>
      </c>
      <c r="Z503" s="525">
        <f t="shared" si="436"/>
        <v>0</v>
      </c>
      <c r="AA503" s="525">
        <f t="shared" si="436"/>
        <v>0</v>
      </c>
      <c r="AB503" s="525">
        <f t="shared" si="436"/>
        <v>0</v>
      </c>
      <c r="AD503" s="405">
        <f t="shared" si="412"/>
        <v>0.3</v>
      </c>
      <c r="AE503" s="525">
        <f t="shared" si="413"/>
        <v>14.399999999999999</v>
      </c>
      <c r="AF503" s="525">
        <f t="shared" si="414"/>
        <v>14.399999999999999</v>
      </c>
      <c r="AG503" s="525">
        <f t="shared" si="414"/>
        <v>0</v>
      </c>
      <c r="AH503" s="525">
        <f t="shared" si="414"/>
        <v>0</v>
      </c>
      <c r="AI503" s="525">
        <f t="shared" si="415"/>
        <v>0</v>
      </c>
      <c r="AJ503" s="525">
        <f t="shared" si="415"/>
        <v>0</v>
      </c>
      <c r="AK503" s="525">
        <f t="shared" si="415"/>
        <v>0</v>
      </c>
      <c r="AL503" s="525">
        <f t="shared" si="416"/>
        <v>0</v>
      </c>
    </row>
    <row r="504" spans="1:38">
      <c r="A504" s="618"/>
      <c r="B504" s="618" t="s">
        <v>35</v>
      </c>
      <c r="C504" s="619">
        <f t="shared" si="432"/>
        <v>1</v>
      </c>
      <c r="D504" s="523">
        <f>VLOOKUP(B504,DONGIA,DG!$B$6,0)</f>
        <v>0</v>
      </c>
      <c r="E504" s="666" t="str">
        <f>VLOOKUP(B504,DONGIA,DG!$C$6,0)</f>
        <v>Boulon 16x300+ 2 long đền vuông D18-50x50x3/Zn</v>
      </c>
      <c r="F504" s="523" t="str">
        <f>VLOOKUP(B504,DONGIA,DG!$D$6,0)</f>
        <v>bộ</v>
      </c>
      <c r="G504" s="525">
        <v>1</v>
      </c>
      <c r="H504" s="525">
        <f>VLOOKUP($B504,DONGIA,DG!$E$6,0)</f>
        <v>30000</v>
      </c>
      <c r="I504" s="525"/>
      <c r="J504" s="525"/>
      <c r="K504" s="525">
        <f>VLOOKUP($B504,DONGIA,DG!$F$6,0)</f>
        <v>0</v>
      </c>
      <c r="L504" s="525"/>
      <c r="M504" s="525">
        <f>VLOOKUP($B504,DONGIA,DG!$G$6,0)</f>
        <v>0</v>
      </c>
      <c r="N504" s="525">
        <f t="shared" si="433"/>
        <v>30000</v>
      </c>
      <c r="O504" s="525">
        <f t="shared" si="434"/>
        <v>0</v>
      </c>
      <c r="P504" s="525">
        <f t="shared" si="434"/>
        <v>0</v>
      </c>
      <c r="Q504" s="525">
        <f t="shared" si="434"/>
        <v>0</v>
      </c>
      <c r="R504" s="525">
        <f t="shared" si="434"/>
        <v>0</v>
      </c>
      <c r="S504" s="525">
        <f t="shared" si="434"/>
        <v>0</v>
      </c>
      <c r="U504" s="525">
        <f t="shared" si="436"/>
        <v>16</v>
      </c>
      <c r="V504" s="525">
        <f t="shared" si="436"/>
        <v>16</v>
      </c>
      <c r="W504" s="525">
        <f t="shared" si="436"/>
        <v>0</v>
      </c>
      <c r="X504" s="525">
        <f t="shared" si="436"/>
        <v>0</v>
      </c>
      <c r="Y504" s="525">
        <f t="shared" si="436"/>
        <v>0</v>
      </c>
      <c r="Z504" s="525">
        <f t="shared" si="436"/>
        <v>0</v>
      </c>
      <c r="AA504" s="525">
        <f t="shared" si="436"/>
        <v>0</v>
      </c>
      <c r="AB504" s="525">
        <f t="shared" si="436"/>
        <v>0</v>
      </c>
      <c r="AD504" s="405">
        <f t="shared" si="412"/>
        <v>0.25</v>
      </c>
      <c r="AE504" s="525">
        <f t="shared" si="413"/>
        <v>4</v>
      </c>
      <c r="AF504" s="525">
        <f t="shared" si="414"/>
        <v>4</v>
      </c>
      <c r="AG504" s="525">
        <f t="shared" si="414"/>
        <v>0</v>
      </c>
      <c r="AH504" s="525">
        <f t="shared" si="414"/>
        <v>0</v>
      </c>
      <c r="AI504" s="525">
        <f t="shared" si="415"/>
        <v>0</v>
      </c>
      <c r="AJ504" s="525">
        <f t="shared" si="415"/>
        <v>0</v>
      </c>
      <c r="AK504" s="525">
        <f t="shared" si="415"/>
        <v>0</v>
      </c>
      <c r="AL504" s="525">
        <f t="shared" si="416"/>
        <v>0</v>
      </c>
    </row>
    <row r="505" spans="1:38">
      <c r="A505" s="618"/>
      <c r="B505" s="618" t="s">
        <v>33</v>
      </c>
      <c r="C505" s="619">
        <f t="shared" si="432"/>
        <v>1</v>
      </c>
      <c r="D505" s="523">
        <f>VLOOKUP(B505,DONGIA,DG!$B$6,0)</f>
        <v>0</v>
      </c>
      <c r="E505" s="666" t="str">
        <f>VLOOKUP(B505,DONGIA,DG!$C$6,0)</f>
        <v>Boulon 16x250+ 2 long đền vuông D18-50x50x3/Zn</v>
      </c>
      <c r="F505" s="523" t="str">
        <f>VLOOKUP(B505,DONGIA,DG!$D$6,0)</f>
        <v>bộ</v>
      </c>
      <c r="G505" s="525">
        <v>1</v>
      </c>
      <c r="H505" s="525">
        <f>VLOOKUP($B505,DONGIA,DG!$E$6,0)</f>
        <v>28000</v>
      </c>
      <c r="I505" s="525"/>
      <c r="J505" s="525"/>
      <c r="K505" s="525">
        <f>VLOOKUP($B505,DONGIA,DG!$F$6,0)</f>
        <v>0</v>
      </c>
      <c r="L505" s="525"/>
      <c r="M505" s="525">
        <f>VLOOKUP($B505,DONGIA,DG!$G$6,0)</f>
        <v>0</v>
      </c>
      <c r="N505" s="525">
        <f t="shared" si="433"/>
        <v>28000</v>
      </c>
      <c r="O505" s="525">
        <f t="shared" si="434"/>
        <v>0</v>
      </c>
      <c r="P505" s="525">
        <f t="shared" si="434"/>
        <v>0</v>
      </c>
      <c r="Q505" s="525">
        <f t="shared" si="434"/>
        <v>0</v>
      </c>
      <c r="R505" s="525">
        <f t="shared" si="434"/>
        <v>0</v>
      </c>
      <c r="S505" s="525">
        <f t="shared" si="434"/>
        <v>0</v>
      </c>
      <c r="U505" s="525">
        <f t="shared" si="436"/>
        <v>16</v>
      </c>
      <c r="V505" s="525">
        <f t="shared" si="436"/>
        <v>16</v>
      </c>
      <c r="W505" s="525">
        <f t="shared" si="436"/>
        <v>0</v>
      </c>
      <c r="X505" s="525">
        <f t="shared" si="436"/>
        <v>0</v>
      </c>
      <c r="Y505" s="525">
        <f t="shared" si="436"/>
        <v>0</v>
      </c>
      <c r="Z505" s="525">
        <f t="shared" si="436"/>
        <v>0</v>
      </c>
      <c r="AA505" s="525">
        <f t="shared" si="436"/>
        <v>0</v>
      </c>
      <c r="AB505" s="525">
        <f t="shared" si="436"/>
        <v>0</v>
      </c>
      <c r="AD505" s="405">
        <f t="shared" si="412"/>
        <v>0.23</v>
      </c>
      <c r="AE505" s="525">
        <f t="shared" si="413"/>
        <v>3.68</v>
      </c>
      <c r="AF505" s="525">
        <f t="shared" si="414"/>
        <v>3.68</v>
      </c>
      <c r="AG505" s="525">
        <f t="shared" si="414"/>
        <v>0</v>
      </c>
      <c r="AH505" s="525">
        <f t="shared" si="414"/>
        <v>0</v>
      </c>
      <c r="AI505" s="525">
        <f t="shared" si="415"/>
        <v>0</v>
      </c>
      <c r="AJ505" s="525">
        <f t="shared" si="415"/>
        <v>0</v>
      </c>
      <c r="AK505" s="525">
        <f t="shared" si="415"/>
        <v>0</v>
      </c>
      <c r="AL505" s="525">
        <f t="shared" si="416"/>
        <v>0</v>
      </c>
    </row>
    <row r="506" spans="1:38">
      <c r="A506" s="618"/>
      <c r="B506" s="618" t="s">
        <v>638</v>
      </c>
      <c r="C506" s="619">
        <f t="shared" si="432"/>
        <v>1</v>
      </c>
      <c r="D506" s="523" t="str">
        <f>VLOOKUP(B506,DONGIA,DG!$B$6,0)</f>
        <v>D2.6031d</v>
      </c>
      <c r="E506" s="666" t="str">
        <f>VLOOKUP(B506,DONGIA,DG!$C$6,0)</f>
        <v>Lắp đặt xà thép L75x75x8x2100 kép cột đỡ (58,889 kg/bộ)</v>
      </c>
      <c r="F506" s="523" t="str">
        <f>VLOOKUP(B506,DONGIA,DG!$D$6,0)</f>
        <v>bộ</v>
      </c>
      <c r="G506" s="525">
        <v>1</v>
      </c>
      <c r="H506" s="525"/>
      <c r="I506" s="525"/>
      <c r="J506" s="525"/>
      <c r="K506" s="525">
        <f>VLOOKUP($B506,DONGIA,DG!$F$6,0)</f>
        <v>402190</v>
      </c>
      <c r="L506" s="525"/>
      <c r="M506" s="525">
        <f>VLOOKUP($B506,DONGIA,DG!$G$6,0)</f>
        <v>0</v>
      </c>
      <c r="N506" s="525">
        <f t="shared" si="433"/>
        <v>0</v>
      </c>
      <c r="O506" s="525">
        <f t="shared" si="434"/>
        <v>0</v>
      </c>
      <c r="P506" s="525">
        <f t="shared" si="434"/>
        <v>0</v>
      </c>
      <c r="Q506" s="525">
        <f t="shared" si="434"/>
        <v>402190</v>
      </c>
      <c r="R506" s="525">
        <f t="shared" si="434"/>
        <v>0</v>
      </c>
      <c r="S506" s="525">
        <f t="shared" si="434"/>
        <v>0</v>
      </c>
      <c r="U506" s="525">
        <f t="shared" si="436"/>
        <v>16</v>
      </c>
      <c r="V506" s="525">
        <f t="shared" si="436"/>
        <v>16</v>
      </c>
      <c r="W506" s="525">
        <f t="shared" si="436"/>
        <v>0</v>
      </c>
      <c r="X506" s="525">
        <f t="shared" si="436"/>
        <v>0</v>
      </c>
      <c r="Y506" s="525">
        <f t="shared" si="436"/>
        <v>0</v>
      </c>
      <c r="Z506" s="525">
        <f t="shared" si="436"/>
        <v>0</v>
      </c>
      <c r="AA506" s="525">
        <f t="shared" si="436"/>
        <v>0</v>
      </c>
      <c r="AB506" s="525">
        <f t="shared" si="436"/>
        <v>0</v>
      </c>
      <c r="AD506" s="405">
        <f t="shared" si="412"/>
        <v>0</v>
      </c>
      <c r="AE506" s="525">
        <f t="shared" si="413"/>
        <v>0</v>
      </c>
      <c r="AF506" s="525">
        <f t="shared" si="414"/>
        <v>0</v>
      </c>
      <c r="AG506" s="525">
        <f t="shared" si="414"/>
        <v>0</v>
      </c>
      <c r="AH506" s="525">
        <f t="shared" si="414"/>
        <v>0</v>
      </c>
      <c r="AI506" s="525">
        <f t="shared" si="415"/>
        <v>0</v>
      </c>
      <c r="AJ506" s="525">
        <f t="shared" si="415"/>
        <v>0</v>
      </c>
      <c r="AK506" s="525">
        <f t="shared" si="415"/>
        <v>0</v>
      </c>
      <c r="AL506" s="525">
        <f t="shared" si="416"/>
        <v>0</v>
      </c>
    </row>
    <row r="507" spans="1:38" s="332" customFormat="1">
      <c r="A507" s="356" t="s">
        <v>1836</v>
      </c>
      <c r="B507" s="356"/>
      <c r="C507" s="355">
        <f>IF(G507&lt;&gt;0,1,)</f>
        <v>0</v>
      </c>
      <c r="D507" s="357"/>
      <c r="E507" s="358" t="s">
        <v>2721</v>
      </c>
      <c r="F507" s="357" t="s">
        <v>138</v>
      </c>
      <c r="G507" s="357">
        <f>U507</f>
        <v>0</v>
      </c>
      <c r="H507" s="358"/>
      <c r="I507" s="358"/>
      <c r="J507" s="358"/>
      <c r="K507" s="358"/>
      <c r="L507" s="358"/>
      <c r="M507" s="358"/>
      <c r="N507" s="358">
        <f t="shared" ref="N507:S507" si="437">SUM(N509:N513)</f>
        <v>817700</v>
      </c>
      <c r="O507" s="358">
        <f t="shared" si="437"/>
        <v>0</v>
      </c>
      <c r="P507" s="358">
        <f t="shared" si="437"/>
        <v>0</v>
      </c>
      <c r="Q507" s="358">
        <f t="shared" si="437"/>
        <v>297271</v>
      </c>
      <c r="R507" s="358">
        <f t="shared" si="437"/>
        <v>0</v>
      </c>
      <c r="S507" s="358">
        <f t="shared" si="437"/>
        <v>0</v>
      </c>
      <c r="U507" s="358">
        <f>SUM(V507:AB507)</f>
        <v>0</v>
      </c>
      <c r="V507" s="358">
        <f>IFERROR(HLOOKUP($A507,BK3P,V$3,0),)</f>
        <v>0</v>
      </c>
      <c r="W507" s="358">
        <f>IFERROR(HLOOKUP($A507,BK3P,W$3,0),)</f>
        <v>0</v>
      </c>
      <c r="X507" s="358">
        <f>IFERROR(HLOOKUP($A507,BK3P,X$3,0),)</f>
        <v>0</v>
      </c>
      <c r="Y507" s="358">
        <f>IFERROR(HLOOKUP($A507,BK1P,Y$3,0),)</f>
        <v>0</v>
      </c>
      <c r="Z507" s="358">
        <f>IFERROR(HLOOKUP($A507,BK1P,Z$3,0),)</f>
        <v>0</v>
      </c>
      <c r="AA507" s="358">
        <f>IFERROR(HLOOKUP($A507,BK1P,AA$3,0),)</f>
        <v>0</v>
      </c>
      <c r="AB507" s="358">
        <f>IFERROR(HLOOKUP($A507,BKHT,AB$3,0),)</f>
        <v>0</v>
      </c>
      <c r="AD507" s="332">
        <f t="shared" si="412"/>
        <v>0</v>
      </c>
      <c r="AE507" s="329">
        <f t="shared" si="413"/>
        <v>0</v>
      </c>
      <c r="AF507" s="329">
        <f t="shared" si="414"/>
        <v>0</v>
      </c>
      <c r="AG507" s="329">
        <f t="shared" si="414"/>
        <v>0</v>
      </c>
      <c r="AH507" s="329">
        <f t="shared" si="414"/>
        <v>0</v>
      </c>
      <c r="AI507" s="329">
        <f t="shared" si="415"/>
        <v>0</v>
      </c>
      <c r="AJ507" s="329">
        <f t="shared" si="415"/>
        <v>0</v>
      </c>
      <c r="AK507" s="329">
        <f t="shared" si="415"/>
        <v>0</v>
      </c>
      <c r="AL507" s="329">
        <f t="shared" si="416"/>
        <v>0</v>
      </c>
    </row>
    <row r="508" spans="1:38" s="361" customFormat="1">
      <c r="A508" s="359"/>
      <c r="B508" s="359"/>
      <c r="C508" s="360">
        <f>C507</f>
        <v>0</v>
      </c>
      <c r="D508" s="350"/>
      <c r="E508" s="351" t="s">
        <v>1659</v>
      </c>
      <c r="F508" s="350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U508" s="351"/>
      <c r="V508" s="351"/>
      <c r="W508" s="351"/>
      <c r="X508" s="351"/>
      <c r="Y508" s="351"/>
      <c r="Z508" s="351"/>
      <c r="AA508" s="351"/>
      <c r="AB508" s="351"/>
      <c r="AD508" s="332">
        <f t="shared" si="412"/>
        <v>0</v>
      </c>
      <c r="AE508" s="329">
        <f t="shared" si="413"/>
        <v>0</v>
      </c>
      <c r="AF508" s="329">
        <f t="shared" si="414"/>
        <v>0</v>
      </c>
      <c r="AG508" s="329">
        <f t="shared" si="414"/>
        <v>0</v>
      </c>
      <c r="AH508" s="329">
        <f t="shared" si="414"/>
        <v>0</v>
      </c>
      <c r="AI508" s="329">
        <f t="shared" si="415"/>
        <v>0</v>
      </c>
      <c r="AJ508" s="329">
        <f t="shared" si="415"/>
        <v>0</v>
      </c>
      <c r="AK508" s="329">
        <f t="shared" si="415"/>
        <v>0</v>
      </c>
      <c r="AL508" s="329">
        <f t="shared" si="416"/>
        <v>0</v>
      </c>
    </row>
    <row r="509" spans="1:38" s="332" customFormat="1">
      <c r="A509" s="356"/>
      <c r="B509" s="356" t="s">
        <v>1687</v>
      </c>
      <c r="C509" s="355">
        <f>IF(G509&lt;&gt;0,$C$507,)</f>
        <v>0</v>
      </c>
      <c r="D509" s="341">
        <f>VLOOKUP(B509,DONGIA,DG!$B$6,0)</f>
        <v>0</v>
      </c>
      <c r="E509" s="340" t="str">
        <f>VLOOKUP(B509,DONGIA,DG!$C$6,0)</f>
        <v>Đà sắt L75x75x8-2100 - 3 ốp (Lệch 100%)</v>
      </c>
      <c r="F509" s="341" t="str">
        <f>VLOOKUP(B509,DONGIA,DG!$D$6,0)</f>
        <v>cái</v>
      </c>
      <c r="G509" s="329">
        <v>1</v>
      </c>
      <c r="H509" s="329">
        <f>VLOOKUP($B509,DONGIA,DG!$E$6,0)</f>
        <v>497000</v>
      </c>
      <c r="I509" s="329"/>
      <c r="J509" s="329"/>
      <c r="K509" s="329">
        <f>VLOOKUP($B509,DONGIA,DG!$F$6,0)</f>
        <v>0</v>
      </c>
      <c r="L509" s="329"/>
      <c r="M509" s="329">
        <f>VLOOKUP($B509,DONGIA,DG!$G$6,0)</f>
        <v>0</v>
      </c>
      <c r="N509" s="329">
        <f>$G509*H509</f>
        <v>497000</v>
      </c>
      <c r="O509" s="329">
        <f t="shared" ref="O509:S513" si="438">$G509*I509</f>
        <v>0</v>
      </c>
      <c r="P509" s="329">
        <f t="shared" si="438"/>
        <v>0</v>
      </c>
      <c r="Q509" s="329">
        <f t="shared" si="438"/>
        <v>0</v>
      </c>
      <c r="R509" s="329">
        <f t="shared" si="438"/>
        <v>0</v>
      </c>
      <c r="S509" s="329">
        <f t="shared" si="438"/>
        <v>0</v>
      </c>
      <c r="U509" s="329">
        <f>U$507*$G509</f>
        <v>0</v>
      </c>
      <c r="V509" s="329">
        <f t="shared" ref="V509:AB509" si="439">V$507*$G509</f>
        <v>0</v>
      </c>
      <c r="W509" s="329">
        <f t="shared" si="439"/>
        <v>0</v>
      </c>
      <c r="X509" s="329">
        <f t="shared" si="439"/>
        <v>0</v>
      </c>
      <c r="Y509" s="329">
        <f t="shared" si="439"/>
        <v>0</v>
      </c>
      <c r="Z509" s="329">
        <f t="shared" si="439"/>
        <v>0</v>
      </c>
      <c r="AA509" s="329">
        <f t="shared" si="439"/>
        <v>0</v>
      </c>
      <c r="AB509" s="329">
        <f t="shared" si="439"/>
        <v>0</v>
      </c>
      <c r="AD509" s="332">
        <f t="shared" si="412"/>
        <v>25</v>
      </c>
      <c r="AE509" s="329">
        <f t="shared" si="413"/>
        <v>0</v>
      </c>
      <c r="AF509" s="329">
        <f t="shared" si="414"/>
        <v>0</v>
      </c>
      <c r="AG509" s="329">
        <f t="shared" si="414"/>
        <v>0</v>
      </c>
      <c r="AH509" s="329">
        <f t="shared" si="414"/>
        <v>0</v>
      </c>
      <c r="AI509" s="329">
        <f t="shared" si="415"/>
        <v>0</v>
      </c>
      <c r="AJ509" s="329">
        <f t="shared" si="415"/>
        <v>0</v>
      </c>
      <c r="AK509" s="329">
        <f t="shared" si="415"/>
        <v>0</v>
      </c>
      <c r="AL509" s="329">
        <f t="shared" si="416"/>
        <v>0</v>
      </c>
    </row>
    <row r="510" spans="1:38" s="332" customFormat="1">
      <c r="A510" s="356"/>
      <c r="B510" s="356" t="s">
        <v>1688</v>
      </c>
      <c r="C510" s="355">
        <f>IF(G510&lt;&gt;0,$C$507,)</f>
        <v>0</v>
      </c>
      <c r="D510" s="341">
        <f>VLOOKUP(B510,DONGIA,DG!$B$6,0)</f>
        <v>0</v>
      </c>
      <c r="E510" s="340" t="str">
        <f>VLOOKUP(B510,DONGIA,DG!$C$6,0)</f>
        <v>Thanh chống L50x50x5-1990</v>
      </c>
      <c r="F510" s="341" t="str">
        <f>VLOOKUP(B510,DONGIA,DG!$D$6,0)</f>
        <v>cái</v>
      </c>
      <c r="G510" s="329">
        <v>1</v>
      </c>
      <c r="H510" s="329">
        <f>VLOOKUP($B510,DONGIA,DG!$E$6,0)</f>
        <v>217700</v>
      </c>
      <c r="I510" s="329"/>
      <c r="J510" s="329"/>
      <c r="K510" s="329">
        <f>VLOOKUP($B510,DONGIA,DG!$F$6,0)</f>
        <v>0</v>
      </c>
      <c r="L510" s="329"/>
      <c r="M510" s="329">
        <f>VLOOKUP($B510,DONGIA,DG!$G$6,0)</f>
        <v>0</v>
      </c>
      <c r="N510" s="329">
        <f>$G510*H510</f>
        <v>217700</v>
      </c>
      <c r="O510" s="329">
        <f t="shared" si="438"/>
        <v>0</v>
      </c>
      <c r="P510" s="329">
        <f t="shared" si="438"/>
        <v>0</v>
      </c>
      <c r="Q510" s="329">
        <f t="shared" si="438"/>
        <v>0</v>
      </c>
      <c r="R510" s="329">
        <f t="shared" si="438"/>
        <v>0</v>
      </c>
      <c r="S510" s="329">
        <f t="shared" si="438"/>
        <v>0</v>
      </c>
      <c r="U510" s="329">
        <f t="shared" ref="U510:AB513" si="440">U$507*$G510</f>
        <v>0</v>
      </c>
      <c r="V510" s="329">
        <f t="shared" si="440"/>
        <v>0</v>
      </c>
      <c r="W510" s="329">
        <f t="shared" si="440"/>
        <v>0</v>
      </c>
      <c r="X510" s="329">
        <f t="shared" si="440"/>
        <v>0</v>
      </c>
      <c r="Y510" s="329">
        <f t="shared" si="440"/>
        <v>0</v>
      </c>
      <c r="Z510" s="329">
        <f t="shared" si="440"/>
        <v>0</v>
      </c>
      <c r="AA510" s="329">
        <f t="shared" si="440"/>
        <v>0</v>
      </c>
      <c r="AB510" s="329">
        <f t="shared" si="440"/>
        <v>0</v>
      </c>
      <c r="AD510" s="332">
        <f t="shared" si="412"/>
        <v>7.5</v>
      </c>
      <c r="AE510" s="329">
        <f t="shared" si="413"/>
        <v>0</v>
      </c>
      <c r="AF510" s="329">
        <f t="shared" si="414"/>
        <v>0</v>
      </c>
      <c r="AG510" s="329">
        <f t="shared" si="414"/>
        <v>0</v>
      </c>
      <c r="AH510" s="329">
        <f t="shared" si="414"/>
        <v>0</v>
      </c>
      <c r="AI510" s="329">
        <f t="shared" si="415"/>
        <v>0</v>
      </c>
      <c r="AJ510" s="329">
        <f t="shared" si="415"/>
        <v>0</v>
      </c>
      <c r="AK510" s="329">
        <f t="shared" si="415"/>
        <v>0</v>
      </c>
      <c r="AL510" s="329">
        <f t="shared" si="416"/>
        <v>0</v>
      </c>
    </row>
    <row r="511" spans="1:38" s="332" customFormat="1">
      <c r="A511" s="356"/>
      <c r="B511" s="356" t="s">
        <v>50</v>
      </c>
      <c r="C511" s="355">
        <f>IF(G511&lt;&gt;0,$C$507,)</f>
        <v>0</v>
      </c>
      <c r="D511" s="341">
        <f>VLOOKUP(B511,DONGIA,DG!$B$6,0)</f>
        <v>0</v>
      </c>
      <c r="E511" s="340" t="str">
        <f>VLOOKUP(B511,DONGIA,DG!$C$6,0)</f>
        <v>Boulon 16x350VRS+ 4 long đền vuông D18-50x50x3/Zn</v>
      </c>
      <c r="F511" s="341" t="str">
        <f>VLOOKUP(B511,DONGIA,DG!$D$6,0)</f>
        <v>bộ</v>
      </c>
      <c r="G511" s="329">
        <v>2</v>
      </c>
      <c r="H511" s="329">
        <f>VLOOKUP($B511,DONGIA,DG!$E$6,0)</f>
        <v>43000</v>
      </c>
      <c r="I511" s="329"/>
      <c r="J511" s="329"/>
      <c r="K511" s="329">
        <f>VLOOKUP($B511,DONGIA,DG!$F$6,0)</f>
        <v>0</v>
      </c>
      <c r="L511" s="329"/>
      <c r="M511" s="329">
        <f>VLOOKUP($B511,DONGIA,DG!$G$6,0)</f>
        <v>0</v>
      </c>
      <c r="N511" s="329">
        <f>$G511*H511</f>
        <v>86000</v>
      </c>
      <c r="O511" s="329">
        <f t="shared" si="438"/>
        <v>0</v>
      </c>
      <c r="P511" s="329">
        <f t="shared" si="438"/>
        <v>0</v>
      </c>
      <c r="Q511" s="329">
        <f t="shared" si="438"/>
        <v>0</v>
      </c>
      <c r="R511" s="329">
        <f t="shared" si="438"/>
        <v>0</v>
      </c>
      <c r="S511" s="329">
        <f t="shared" si="438"/>
        <v>0</v>
      </c>
      <c r="U511" s="329">
        <f t="shared" si="440"/>
        <v>0</v>
      </c>
      <c r="V511" s="329">
        <f t="shared" si="440"/>
        <v>0</v>
      </c>
      <c r="W511" s="329">
        <f t="shared" si="440"/>
        <v>0</v>
      </c>
      <c r="X511" s="329">
        <f t="shared" si="440"/>
        <v>0</v>
      </c>
      <c r="Y511" s="329">
        <f t="shared" si="440"/>
        <v>0</v>
      </c>
      <c r="Z511" s="329">
        <f t="shared" si="440"/>
        <v>0</v>
      </c>
      <c r="AA511" s="329">
        <f t="shared" si="440"/>
        <v>0</v>
      </c>
      <c r="AB511" s="329">
        <f t="shared" si="440"/>
        <v>0</v>
      </c>
      <c r="AD511" s="332">
        <f t="shared" si="412"/>
        <v>0.35</v>
      </c>
      <c r="AE511" s="329">
        <f t="shared" si="413"/>
        <v>0</v>
      </c>
      <c r="AF511" s="329">
        <f t="shared" si="414"/>
        <v>0</v>
      </c>
      <c r="AG511" s="329">
        <f t="shared" si="414"/>
        <v>0</v>
      </c>
      <c r="AH511" s="329">
        <f t="shared" si="414"/>
        <v>0</v>
      </c>
      <c r="AI511" s="329">
        <f t="shared" si="415"/>
        <v>0</v>
      </c>
      <c r="AJ511" s="329">
        <f t="shared" si="415"/>
        <v>0</v>
      </c>
      <c r="AK511" s="329">
        <f t="shared" si="415"/>
        <v>0</v>
      </c>
      <c r="AL511" s="329">
        <f t="shared" si="416"/>
        <v>0</v>
      </c>
    </row>
    <row r="512" spans="1:38" s="332" customFormat="1">
      <c r="A512" s="356"/>
      <c r="B512" s="356" t="s">
        <v>29</v>
      </c>
      <c r="C512" s="355">
        <f>IF(G512&lt;&gt;0,$C$507,)</f>
        <v>0</v>
      </c>
      <c r="D512" s="341">
        <f>VLOOKUP(B512,DONGIA,DG!$B$6,0)</f>
        <v>0</v>
      </c>
      <c r="E512" s="340" t="str">
        <f>VLOOKUP(B512,DONGIA,DG!$C$6,0)</f>
        <v>Boulon 16x50+ 2 long đền vuông D18-50x50x3/Zn</v>
      </c>
      <c r="F512" s="341" t="str">
        <f>VLOOKUP(B512,DONGIA,DG!$D$6,0)</f>
        <v>bộ</v>
      </c>
      <c r="G512" s="329">
        <v>1</v>
      </c>
      <c r="H512" s="329">
        <f>VLOOKUP($B512,DONGIA,DG!$E$6,0)</f>
        <v>17000</v>
      </c>
      <c r="I512" s="329"/>
      <c r="J512" s="329"/>
      <c r="K512" s="329">
        <f>VLOOKUP($B512,DONGIA,DG!$F$6,0)</f>
        <v>0</v>
      </c>
      <c r="L512" s="329"/>
      <c r="M512" s="329">
        <f>VLOOKUP($B512,DONGIA,DG!$G$6,0)</f>
        <v>0</v>
      </c>
      <c r="N512" s="329">
        <f>$G512*H512</f>
        <v>17000</v>
      </c>
      <c r="O512" s="329">
        <f t="shared" si="438"/>
        <v>0</v>
      </c>
      <c r="P512" s="329">
        <f t="shared" si="438"/>
        <v>0</v>
      </c>
      <c r="Q512" s="329">
        <f t="shared" si="438"/>
        <v>0</v>
      </c>
      <c r="R512" s="329">
        <f t="shared" si="438"/>
        <v>0</v>
      </c>
      <c r="S512" s="329">
        <f t="shared" si="438"/>
        <v>0</v>
      </c>
      <c r="U512" s="329">
        <f t="shared" si="440"/>
        <v>0</v>
      </c>
      <c r="V512" s="329">
        <f t="shared" si="440"/>
        <v>0</v>
      </c>
      <c r="W512" s="329">
        <f t="shared" si="440"/>
        <v>0</v>
      </c>
      <c r="X512" s="329">
        <f t="shared" si="440"/>
        <v>0</v>
      </c>
      <c r="Y512" s="329">
        <f t="shared" si="440"/>
        <v>0</v>
      </c>
      <c r="Z512" s="329">
        <f t="shared" si="440"/>
        <v>0</v>
      </c>
      <c r="AA512" s="329">
        <f t="shared" si="440"/>
        <v>0</v>
      </c>
      <c r="AB512" s="329">
        <f t="shared" si="440"/>
        <v>0</v>
      </c>
      <c r="AD512" s="332">
        <f t="shared" si="412"/>
        <v>0.25</v>
      </c>
      <c r="AE512" s="329">
        <f t="shared" si="413"/>
        <v>0</v>
      </c>
      <c r="AF512" s="329">
        <f t="shared" si="414"/>
        <v>0</v>
      </c>
      <c r="AG512" s="329">
        <f t="shared" si="414"/>
        <v>0</v>
      </c>
      <c r="AH512" s="329">
        <f t="shared" si="414"/>
        <v>0</v>
      </c>
      <c r="AI512" s="329">
        <f t="shared" si="415"/>
        <v>0</v>
      </c>
      <c r="AJ512" s="329">
        <f t="shared" si="415"/>
        <v>0</v>
      </c>
      <c r="AK512" s="329">
        <f t="shared" si="415"/>
        <v>0</v>
      </c>
      <c r="AL512" s="329">
        <f t="shared" si="416"/>
        <v>0</v>
      </c>
    </row>
    <row r="513" spans="1:38" s="332" customFormat="1">
      <c r="A513" s="356"/>
      <c r="B513" s="356" t="s">
        <v>635</v>
      </c>
      <c r="C513" s="355">
        <f>IF(G513&lt;&gt;0,$C$507,)</f>
        <v>0</v>
      </c>
      <c r="D513" s="341" t="str">
        <f>VLOOKUP(B513,DONGIA,DG!$B$6,0)</f>
        <v>D2.6021d</v>
      </c>
      <c r="E513" s="340" t="str">
        <f>VLOOKUP(B513,DONGIA,DG!$C$6,0)</f>
        <v>Lắp đặt xà thép L75x75x8x2100 đơn cột đỡ (29,4245 kg/bộ)</v>
      </c>
      <c r="F513" s="341" t="str">
        <f>VLOOKUP(B513,DONGIA,DG!$D$6,0)</f>
        <v>bộ</v>
      </c>
      <c r="G513" s="329">
        <v>1</v>
      </c>
      <c r="H513" s="329"/>
      <c r="I513" s="329"/>
      <c r="J513" s="329"/>
      <c r="K513" s="329">
        <f>VLOOKUP($B513,DONGIA,DG!$F$6,0)</f>
        <v>297271</v>
      </c>
      <c r="L513" s="329"/>
      <c r="M513" s="329">
        <f>VLOOKUP($B513,DONGIA,DG!$G$6,0)</f>
        <v>0</v>
      </c>
      <c r="N513" s="329">
        <f>$G513*H513</f>
        <v>0</v>
      </c>
      <c r="O513" s="329">
        <f t="shared" si="438"/>
        <v>0</v>
      </c>
      <c r="P513" s="329">
        <f t="shared" si="438"/>
        <v>0</v>
      </c>
      <c r="Q513" s="329">
        <f t="shared" si="438"/>
        <v>297271</v>
      </c>
      <c r="R513" s="329">
        <f t="shared" si="438"/>
        <v>0</v>
      </c>
      <c r="S513" s="329">
        <f t="shared" si="438"/>
        <v>0</v>
      </c>
      <c r="U513" s="329">
        <f t="shared" si="440"/>
        <v>0</v>
      </c>
      <c r="V513" s="329">
        <f t="shared" si="440"/>
        <v>0</v>
      </c>
      <c r="W513" s="329">
        <f t="shared" si="440"/>
        <v>0</v>
      </c>
      <c r="X513" s="329">
        <f t="shared" si="440"/>
        <v>0</v>
      </c>
      <c r="Y513" s="329">
        <f t="shared" si="440"/>
        <v>0</v>
      </c>
      <c r="Z513" s="329">
        <f t="shared" si="440"/>
        <v>0</v>
      </c>
      <c r="AA513" s="329">
        <f t="shared" si="440"/>
        <v>0</v>
      </c>
      <c r="AB513" s="329">
        <f t="shared" si="440"/>
        <v>0</v>
      </c>
      <c r="AD513" s="332">
        <f t="shared" si="412"/>
        <v>0</v>
      </c>
      <c r="AE513" s="329">
        <f t="shared" si="413"/>
        <v>0</v>
      </c>
      <c r="AF513" s="329">
        <f t="shared" si="414"/>
        <v>0</v>
      </c>
      <c r="AG513" s="329">
        <f t="shared" si="414"/>
        <v>0</v>
      </c>
      <c r="AH513" s="329">
        <f t="shared" si="414"/>
        <v>0</v>
      </c>
      <c r="AI513" s="329">
        <f t="shared" si="415"/>
        <v>0</v>
      </c>
      <c r="AJ513" s="329">
        <f t="shared" si="415"/>
        <v>0</v>
      </c>
      <c r="AK513" s="329">
        <f t="shared" si="415"/>
        <v>0</v>
      </c>
      <c r="AL513" s="329">
        <f t="shared" si="416"/>
        <v>0</v>
      </c>
    </row>
    <row r="514" spans="1:38" s="332" customFormat="1">
      <c r="A514" s="356" t="s">
        <v>1837</v>
      </c>
      <c r="B514" s="356"/>
      <c r="C514" s="355">
        <f>IF(G514&lt;&gt;0,1,)</f>
        <v>0</v>
      </c>
      <c r="D514" s="357"/>
      <c r="E514" s="358" t="s">
        <v>2720</v>
      </c>
      <c r="F514" s="357" t="s">
        <v>138</v>
      </c>
      <c r="G514" s="357">
        <f>U514</f>
        <v>0</v>
      </c>
      <c r="H514" s="358"/>
      <c r="I514" s="358"/>
      <c r="J514" s="358"/>
      <c r="K514" s="358"/>
      <c r="L514" s="358"/>
      <c r="M514" s="358"/>
      <c r="N514" s="358">
        <f t="shared" ref="N514:S514" si="441">SUM(N516:N521)</f>
        <v>1678400</v>
      </c>
      <c r="O514" s="358">
        <f t="shared" si="441"/>
        <v>0</v>
      </c>
      <c r="P514" s="358">
        <f t="shared" si="441"/>
        <v>0</v>
      </c>
      <c r="Q514" s="358">
        <f t="shared" si="441"/>
        <v>402190</v>
      </c>
      <c r="R514" s="358">
        <f t="shared" si="441"/>
        <v>0</v>
      </c>
      <c r="S514" s="358">
        <f t="shared" si="441"/>
        <v>0</v>
      </c>
      <c r="U514" s="358">
        <f>SUM(V514:AB514)</f>
        <v>0</v>
      </c>
      <c r="V514" s="358">
        <f>IFERROR(HLOOKUP($A514,BK3P,V$3,0),)</f>
        <v>0</v>
      </c>
      <c r="W514" s="358">
        <f>IFERROR(HLOOKUP($A514,BK3P,W$3,0),)</f>
        <v>0</v>
      </c>
      <c r="X514" s="358">
        <f>IFERROR(HLOOKUP($A514,BK3P,X$3,0),)</f>
        <v>0</v>
      </c>
      <c r="Y514" s="358">
        <f>IFERROR(HLOOKUP($A514,BK1P,Y$3,0),)</f>
        <v>0</v>
      </c>
      <c r="Z514" s="358">
        <f>IFERROR(HLOOKUP($A514,BK1P,Z$3,0),)</f>
        <v>0</v>
      </c>
      <c r="AA514" s="358">
        <f>IFERROR(HLOOKUP($A514,BK1P,AA$3,0),)</f>
        <v>0</v>
      </c>
      <c r="AB514" s="358">
        <f>IFERROR(HLOOKUP($A514,BKHT,AB$3,0),)</f>
        <v>0</v>
      </c>
      <c r="AD514" s="332">
        <f t="shared" si="412"/>
        <v>0</v>
      </c>
      <c r="AE514" s="329">
        <f t="shared" si="413"/>
        <v>0</v>
      </c>
      <c r="AF514" s="329">
        <f t="shared" si="414"/>
        <v>0</v>
      </c>
      <c r="AG514" s="329">
        <f t="shared" si="414"/>
        <v>0</v>
      </c>
      <c r="AH514" s="329">
        <f t="shared" si="414"/>
        <v>0</v>
      </c>
      <c r="AI514" s="329">
        <f t="shared" si="415"/>
        <v>0</v>
      </c>
      <c r="AJ514" s="329">
        <f t="shared" si="415"/>
        <v>0</v>
      </c>
      <c r="AK514" s="329">
        <f t="shared" si="415"/>
        <v>0</v>
      </c>
      <c r="AL514" s="329">
        <f t="shared" si="416"/>
        <v>0</v>
      </c>
    </row>
    <row r="515" spans="1:38" s="361" customFormat="1">
      <c r="A515" s="359"/>
      <c r="B515" s="359"/>
      <c r="C515" s="360">
        <f>C514</f>
        <v>0</v>
      </c>
      <c r="D515" s="350"/>
      <c r="E515" s="351" t="s">
        <v>1659</v>
      </c>
      <c r="F515" s="350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U515" s="351"/>
      <c r="V515" s="351"/>
      <c r="W515" s="351"/>
      <c r="X515" s="351"/>
      <c r="Y515" s="351"/>
      <c r="Z515" s="351"/>
      <c r="AA515" s="351"/>
      <c r="AB515" s="351"/>
      <c r="AD515" s="332">
        <f t="shared" si="412"/>
        <v>0</v>
      </c>
      <c r="AE515" s="329">
        <f t="shared" si="413"/>
        <v>0</v>
      </c>
      <c r="AF515" s="329">
        <f t="shared" si="414"/>
        <v>0</v>
      </c>
      <c r="AG515" s="329">
        <f t="shared" si="414"/>
        <v>0</v>
      </c>
      <c r="AH515" s="329">
        <f t="shared" si="414"/>
        <v>0</v>
      </c>
      <c r="AI515" s="329">
        <f t="shared" si="415"/>
        <v>0</v>
      </c>
      <c r="AJ515" s="329">
        <f t="shared" si="415"/>
        <v>0</v>
      </c>
      <c r="AK515" s="329">
        <f t="shared" si="415"/>
        <v>0</v>
      </c>
      <c r="AL515" s="329">
        <f t="shared" si="416"/>
        <v>0</v>
      </c>
    </row>
    <row r="516" spans="1:38" s="332" customFormat="1">
      <c r="A516" s="356"/>
      <c r="B516" s="356" t="s">
        <v>1687</v>
      </c>
      <c r="C516" s="355">
        <f t="shared" ref="C516:C521" si="442">IF(G516&lt;&gt;0,$C$514,)</f>
        <v>0</v>
      </c>
      <c r="D516" s="341">
        <f>VLOOKUP(B516,DONGIA,DG!$B$6,0)</f>
        <v>0</v>
      </c>
      <c r="E516" s="340" t="str">
        <f>VLOOKUP(B516,DONGIA,DG!$C$6,0)</f>
        <v>Đà sắt L75x75x8-2100 - 3 ốp (Lệch 100%)</v>
      </c>
      <c r="F516" s="341" t="str">
        <f>VLOOKUP(B516,DONGIA,DG!$D$6,0)</f>
        <v>cái</v>
      </c>
      <c r="G516" s="329">
        <v>2</v>
      </c>
      <c r="H516" s="329">
        <f>VLOOKUP($B516,DONGIA,DG!$E$6,0)</f>
        <v>497000</v>
      </c>
      <c r="I516" s="329"/>
      <c r="J516" s="329"/>
      <c r="K516" s="329">
        <f>VLOOKUP($B516,DONGIA,DG!$F$6,0)</f>
        <v>0</v>
      </c>
      <c r="L516" s="329"/>
      <c r="M516" s="329">
        <f>VLOOKUP($B516,DONGIA,DG!$G$6,0)</f>
        <v>0</v>
      </c>
      <c r="N516" s="329">
        <f t="shared" ref="N516:N521" si="443">$G516*H516</f>
        <v>994000</v>
      </c>
      <c r="O516" s="329">
        <f t="shared" ref="O516:S521" si="444">$G516*I516</f>
        <v>0</v>
      </c>
      <c r="P516" s="329">
        <f t="shared" si="444"/>
        <v>0</v>
      </c>
      <c r="Q516" s="329">
        <f t="shared" si="444"/>
        <v>0</v>
      </c>
      <c r="R516" s="329">
        <f t="shared" si="444"/>
        <v>0</v>
      </c>
      <c r="S516" s="329">
        <f t="shared" si="444"/>
        <v>0</v>
      </c>
      <c r="U516" s="329">
        <f>U$514*$G516</f>
        <v>0</v>
      </c>
      <c r="V516" s="329">
        <f t="shared" ref="V516:AB516" si="445">V$514*$G516</f>
        <v>0</v>
      </c>
      <c r="W516" s="329">
        <f t="shared" si="445"/>
        <v>0</v>
      </c>
      <c r="X516" s="329">
        <f t="shared" si="445"/>
        <v>0</v>
      </c>
      <c r="Y516" s="329">
        <f t="shared" si="445"/>
        <v>0</v>
      </c>
      <c r="Z516" s="329">
        <f t="shared" si="445"/>
        <v>0</v>
      </c>
      <c r="AA516" s="329">
        <f t="shared" si="445"/>
        <v>0</v>
      </c>
      <c r="AB516" s="329">
        <f t="shared" si="445"/>
        <v>0</v>
      </c>
      <c r="AD516" s="332">
        <f t="shared" si="412"/>
        <v>25</v>
      </c>
      <c r="AE516" s="329">
        <f t="shared" si="413"/>
        <v>0</v>
      </c>
      <c r="AF516" s="329">
        <f t="shared" si="414"/>
        <v>0</v>
      </c>
      <c r="AG516" s="329">
        <f t="shared" si="414"/>
        <v>0</v>
      </c>
      <c r="AH516" s="329">
        <f t="shared" si="414"/>
        <v>0</v>
      </c>
      <c r="AI516" s="329">
        <f t="shared" si="415"/>
        <v>0</v>
      </c>
      <c r="AJ516" s="329">
        <f t="shared" si="415"/>
        <v>0</v>
      </c>
      <c r="AK516" s="329">
        <f t="shared" si="415"/>
        <v>0</v>
      </c>
      <c r="AL516" s="329">
        <f t="shared" si="416"/>
        <v>0</v>
      </c>
    </row>
    <row r="517" spans="1:38" s="332" customFormat="1">
      <c r="A517" s="356"/>
      <c r="B517" s="356" t="s">
        <v>1688</v>
      </c>
      <c r="C517" s="355">
        <f t="shared" si="442"/>
        <v>0</v>
      </c>
      <c r="D517" s="341">
        <f>VLOOKUP(B517,DONGIA,DG!$B$6,0)</f>
        <v>0</v>
      </c>
      <c r="E517" s="340" t="str">
        <f>VLOOKUP(B517,DONGIA,DG!$C$6,0)</f>
        <v>Thanh chống L50x50x5-1990</v>
      </c>
      <c r="F517" s="341" t="str">
        <f>VLOOKUP(B517,DONGIA,DG!$D$6,0)</f>
        <v>cái</v>
      </c>
      <c r="G517" s="329">
        <v>2</v>
      </c>
      <c r="H517" s="329">
        <f>VLOOKUP($B517,DONGIA,DG!$E$6,0)</f>
        <v>217700</v>
      </c>
      <c r="I517" s="329"/>
      <c r="J517" s="329"/>
      <c r="K517" s="329">
        <f>VLOOKUP($B517,DONGIA,DG!$F$6,0)</f>
        <v>0</v>
      </c>
      <c r="L517" s="329"/>
      <c r="M517" s="329">
        <f>VLOOKUP($B517,DONGIA,DG!$G$6,0)</f>
        <v>0</v>
      </c>
      <c r="N517" s="329">
        <f t="shared" si="443"/>
        <v>435400</v>
      </c>
      <c r="O517" s="329">
        <f t="shared" si="444"/>
        <v>0</v>
      </c>
      <c r="P517" s="329">
        <f t="shared" si="444"/>
        <v>0</v>
      </c>
      <c r="Q517" s="329">
        <f t="shared" si="444"/>
        <v>0</v>
      </c>
      <c r="R517" s="329">
        <f t="shared" si="444"/>
        <v>0</v>
      </c>
      <c r="S517" s="329">
        <f t="shared" si="444"/>
        <v>0</v>
      </c>
      <c r="U517" s="329">
        <f t="shared" ref="U517:AB521" si="446">U$514*$G517</f>
        <v>0</v>
      </c>
      <c r="V517" s="329">
        <f t="shared" si="446"/>
        <v>0</v>
      </c>
      <c r="W517" s="329">
        <f t="shared" si="446"/>
        <v>0</v>
      </c>
      <c r="X517" s="329">
        <f t="shared" si="446"/>
        <v>0</v>
      </c>
      <c r="Y517" s="329">
        <f t="shared" si="446"/>
        <v>0</v>
      </c>
      <c r="Z517" s="329">
        <f t="shared" si="446"/>
        <v>0</v>
      </c>
      <c r="AA517" s="329">
        <f t="shared" si="446"/>
        <v>0</v>
      </c>
      <c r="AB517" s="329">
        <f t="shared" si="446"/>
        <v>0</v>
      </c>
      <c r="AD517" s="332">
        <f t="shared" si="412"/>
        <v>7.5</v>
      </c>
      <c r="AE517" s="329">
        <f t="shared" si="413"/>
        <v>0</v>
      </c>
      <c r="AF517" s="329">
        <f t="shared" si="414"/>
        <v>0</v>
      </c>
      <c r="AG517" s="329">
        <f t="shared" si="414"/>
        <v>0</v>
      </c>
      <c r="AH517" s="329">
        <f t="shared" si="414"/>
        <v>0</v>
      </c>
      <c r="AI517" s="329">
        <f t="shared" si="415"/>
        <v>0</v>
      </c>
      <c r="AJ517" s="329">
        <f t="shared" si="415"/>
        <v>0</v>
      </c>
      <c r="AK517" s="329">
        <f t="shared" si="415"/>
        <v>0</v>
      </c>
      <c r="AL517" s="329">
        <f t="shared" si="416"/>
        <v>0</v>
      </c>
    </row>
    <row r="518" spans="1:38" s="332" customFormat="1">
      <c r="A518" s="356"/>
      <c r="B518" s="356" t="s">
        <v>2746</v>
      </c>
      <c r="C518" s="355">
        <f t="shared" si="442"/>
        <v>0</v>
      </c>
      <c r="D518" s="341">
        <f>VLOOKUP(B518,DONGIA,DG!$B$6,0)</f>
        <v>0</v>
      </c>
      <c r="E518" s="340" t="str">
        <f>VLOOKUP(B518,DONGIA,DG!$C$6,0)</f>
        <v>Boulon 16x350VRS+ 4 long đền vuông D18-50x50x3/Zn</v>
      </c>
      <c r="F518" s="341" t="str">
        <f>VLOOKUP(B518,DONGIA,DG!$D$6,0)</f>
        <v>bộ</v>
      </c>
      <c r="G518" s="329">
        <v>5</v>
      </c>
      <c r="H518" s="329">
        <f>VLOOKUP($B518,DONGIA,DG!$E$6,0)</f>
        <v>43000</v>
      </c>
      <c r="I518" s="329"/>
      <c r="J518" s="329"/>
      <c r="K518" s="329">
        <f>VLOOKUP($B518,DONGIA,DG!$F$6,0)</f>
        <v>0</v>
      </c>
      <c r="L518" s="329"/>
      <c r="M518" s="329">
        <f>VLOOKUP($B518,DONGIA,DG!$G$6,0)</f>
        <v>0</v>
      </c>
      <c r="N518" s="329">
        <f t="shared" si="443"/>
        <v>215000</v>
      </c>
      <c r="O518" s="329">
        <f t="shared" si="444"/>
        <v>0</v>
      </c>
      <c r="P518" s="329">
        <f t="shared" si="444"/>
        <v>0</v>
      </c>
      <c r="Q518" s="329">
        <f t="shared" si="444"/>
        <v>0</v>
      </c>
      <c r="R518" s="329">
        <f t="shared" si="444"/>
        <v>0</v>
      </c>
      <c r="S518" s="329">
        <f t="shared" si="444"/>
        <v>0</v>
      </c>
      <c r="U518" s="329">
        <f t="shared" si="446"/>
        <v>0</v>
      </c>
      <c r="V518" s="329">
        <f t="shared" si="446"/>
        <v>0</v>
      </c>
      <c r="W518" s="329">
        <f t="shared" si="446"/>
        <v>0</v>
      </c>
      <c r="X518" s="329">
        <f t="shared" si="446"/>
        <v>0</v>
      </c>
      <c r="Y518" s="329">
        <f t="shared" si="446"/>
        <v>0</v>
      </c>
      <c r="Z518" s="329">
        <f t="shared" si="446"/>
        <v>0</v>
      </c>
      <c r="AA518" s="329">
        <f t="shared" si="446"/>
        <v>0</v>
      </c>
      <c r="AB518" s="329">
        <f t="shared" si="446"/>
        <v>0</v>
      </c>
      <c r="AD518" s="332">
        <f t="shared" si="412"/>
        <v>0.35</v>
      </c>
      <c r="AE518" s="329">
        <f t="shared" si="413"/>
        <v>0</v>
      </c>
      <c r="AF518" s="329">
        <f t="shared" si="414"/>
        <v>0</v>
      </c>
      <c r="AG518" s="329">
        <f t="shared" si="414"/>
        <v>0</v>
      </c>
      <c r="AH518" s="329">
        <f t="shared" si="414"/>
        <v>0</v>
      </c>
      <c r="AI518" s="329">
        <f t="shared" si="415"/>
        <v>0</v>
      </c>
      <c r="AJ518" s="329">
        <f t="shared" si="415"/>
        <v>0</v>
      </c>
      <c r="AK518" s="329">
        <f t="shared" si="415"/>
        <v>0</v>
      </c>
      <c r="AL518" s="329">
        <f t="shared" si="416"/>
        <v>0</v>
      </c>
    </row>
    <row r="519" spans="1:38" s="332" customFormat="1">
      <c r="A519" s="356"/>
      <c r="B519" s="356" t="s">
        <v>35</v>
      </c>
      <c r="C519" s="355">
        <f t="shared" si="442"/>
        <v>0</v>
      </c>
      <c r="D519" s="341">
        <f>VLOOKUP(B519,DONGIA,DG!$B$6,0)</f>
        <v>0</v>
      </c>
      <c r="E519" s="340" t="str">
        <f>VLOOKUP(B519,DONGIA,DG!$C$6,0)</f>
        <v>Boulon 16x300+ 2 long đền vuông D18-50x50x3/Zn</v>
      </c>
      <c r="F519" s="341" t="str">
        <f>VLOOKUP(B519,DONGIA,DG!$D$6,0)</f>
        <v>bộ</v>
      </c>
      <c r="G519" s="329"/>
      <c r="H519" s="329">
        <f>VLOOKUP($B519,DONGIA,DG!$E$6,0)</f>
        <v>30000</v>
      </c>
      <c r="I519" s="329"/>
      <c r="J519" s="329"/>
      <c r="K519" s="329">
        <f>VLOOKUP($B519,DONGIA,DG!$F$6,0)</f>
        <v>0</v>
      </c>
      <c r="L519" s="329"/>
      <c r="M519" s="329">
        <f>VLOOKUP($B519,DONGIA,DG!$G$6,0)</f>
        <v>0</v>
      </c>
      <c r="N519" s="329">
        <f t="shared" si="443"/>
        <v>0</v>
      </c>
      <c r="O519" s="329">
        <f t="shared" si="444"/>
        <v>0</v>
      </c>
      <c r="P519" s="329">
        <f t="shared" si="444"/>
        <v>0</v>
      </c>
      <c r="Q519" s="329">
        <f t="shared" si="444"/>
        <v>0</v>
      </c>
      <c r="R519" s="329">
        <f t="shared" si="444"/>
        <v>0</v>
      </c>
      <c r="S519" s="329">
        <f t="shared" si="444"/>
        <v>0</v>
      </c>
      <c r="U519" s="329">
        <f t="shared" si="446"/>
        <v>0</v>
      </c>
      <c r="V519" s="329">
        <f t="shared" si="446"/>
        <v>0</v>
      </c>
      <c r="W519" s="329">
        <f t="shared" si="446"/>
        <v>0</v>
      </c>
      <c r="X519" s="329">
        <f t="shared" si="446"/>
        <v>0</v>
      </c>
      <c r="Y519" s="329">
        <f t="shared" si="446"/>
        <v>0</v>
      </c>
      <c r="Z519" s="329">
        <f t="shared" si="446"/>
        <v>0</v>
      </c>
      <c r="AA519" s="329">
        <f t="shared" si="446"/>
        <v>0</v>
      </c>
      <c r="AB519" s="329">
        <f t="shared" si="446"/>
        <v>0</v>
      </c>
      <c r="AD519" s="332">
        <f t="shared" si="412"/>
        <v>0.25</v>
      </c>
      <c r="AE519" s="329">
        <f t="shared" si="413"/>
        <v>0</v>
      </c>
      <c r="AF519" s="329">
        <f t="shared" si="414"/>
        <v>0</v>
      </c>
      <c r="AG519" s="329">
        <f t="shared" si="414"/>
        <v>0</v>
      </c>
      <c r="AH519" s="329">
        <f t="shared" si="414"/>
        <v>0</v>
      </c>
      <c r="AI519" s="329">
        <f t="shared" si="415"/>
        <v>0</v>
      </c>
      <c r="AJ519" s="329">
        <f t="shared" si="415"/>
        <v>0</v>
      </c>
      <c r="AK519" s="329">
        <f t="shared" si="415"/>
        <v>0</v>
      </c>
      <c r="AL519" s="329">
        <f t="shared" si="416"/>
        <v>0</v>
      </c>
    </row>
    <row r="520" spans="1:38" s="332" customFormat="1">
      <c r="A520" s="356"/>
      <c r="B520" s="356" t="s">
        <v>29</v>
      </c>
      <c r="C520" s="355">
        <f t="shared" si="442"/>
        <v>0</v>
      </c>
      <c r="D520" s="341">
        <f>VLOOKUP(B520,DONGIA,DG!$B$6,0)</f>
        <v>0</v>
      </c>
      <c r="E520" s="340" t="str">
        <f>VLOOKUP(B520,DONGIA,DG!$C$6,0)</f>
        <v>Boulon 16x50+ 2 long đền vuông D18-50x50x3/Zn</v>
      </c>
      <c r="F520" s="341" t="str">
        <f>VLOOKUP(B520,DONGIA,DG!$D$6,0)</f>
        <v>bộ</v>
      </c>
      <c r="G520" s="329">
        <v>2</v>
      </c>
      <c r="H520" s="329">
        <f>VLOOKUP($B520,DONGIA,DG!$E$6,0)</f>
        <v>17000</v>
      </c>
      <c r="I520" s="329"/>
      <c r="J520" s="329"/>
      <c r="K520" s="329">
        <f>VLOOKUP($B520,DONGIA,DG!$F$6,0)</f>
        <v>0</v>
      </c>
      <c r="L520" s="329"/>
      <c r="M520" s="329">
        <f>VLOOKUP($B520,DONGIA,DG!$G$6,0)</f>
        <v>0</v>
      </c>
      <c r="N520" s="329">
        <f t="shared" si="443"/>
        <v>34000</v>
      </c>
      <c r="O520" s="329">
        <f t="shared" si="444"/>
        <v>0</v>
      </c>
      <c r="P520" s="329">
        <f t="shared" si="444"/>
        <v>0</v>
      </c>
      <c r="Q520" s="329">
        <f t="shared" si="444"/>
        <v>0</v>
      </c>
      <c r="R520" s="329">
        <f t="shared" si="444"/>
        <v>0</v>
      </c>
      <c r="S520" s="329">
        <f t="shared" si="444"/>
        <v>0</v>
      </c>
      <c r="U520" s="329">
        <f t="shared" si="446"/>
        <v>0</v>
      </c>
      <c r="V520" s="329">
        <f t="shared" si="446"/>
        <v>0</v>
      </c>
      <c r="W520" s="329">
        <f t="shared" si="446"/>
        <v>0</v>
      </c>
      <c r="X520" s="329">
        <f t="shared" si="446"/>
        <v>0</v>
      </c>
      <c r="Y520" s="329">
        <f t="shared" si="446"/>
        <v>0</v>
      </c>
      <c r="Z520" s="329">
        <f t="shared" si="446"/>
        <v>0</v>
      </c>
      <c r="AA520" s="329">
        <f t="shared" si="446"/>
        <v>0</v>
      </c>
      <c r="AB520" s="329">
        <f t="shared" si="446"/>
        <v>0</v>
      </c>
      <c r="AD520" s="332">
        <f t="shared" si="412"/>
        <v>0.25</v>
      </c>
      <c r="AE520" s="329">
        <f t="shared" si="413"/>
        <v>0</v>
      </c>
      <c r="AF520" s="329">
        <f t="shared" si="414"/>
        <v>0</v>
      </c>
      <c r="AG520" s="329">
        <f t="shared" si="414"/>
        <v>0</v>
      </c>
      <c r="AH520" s="329">
        <f t="shared" si="414"/>
        <v>0</v>
      </c>
      <c r="AI520" s="329">
        <f t="shared" si="415"/>
        <v>0</v>
      </c>
      <c r="AJ520" s="329">
        <f t="shared" si="415"/>
        <v>0</v>
      </c>
      <c r="AK520" s="329">
        <f t="shared" si="415"/>
        <v>0</v>
      </c>
      <c r="AL520" s="329">
        <f t="shared" si="416"/>
        <v>0</v>
      </c>
    </row>
    <row r="521" spans="1:38" s="332" customFormat="1">
      <c r="A521" s="356"/>
      <c r="B521" s="356" t="s">
        <v>638</v>
      </c>
      <c r="C521" s="355">
        <f t="shared" si="442"/>
        <v>0</v>
      </c>
      <c r="D521" s="341" t="str">
        <f>VLOOKUP(B521,DONGIA,DG!$B$6,0)</f>
        <v>D2.6031d</v>
      </c>
      <c r="E521" s="340" t="str">
        <f>VLOOKUP(B521,DONGIA,DG!$C$6,0)</f>
        <v>Lắp đặt xà thép L75x75x8x2100 kép cột đỡ (58,889 kg/bộ)</v>
      </c>
      <c r="F521" s="341" t="str">
        <f>VLOOKUP(B521,DONGIA,DG!$D$6,0)</f>
        <v>bộ</v>
      </c>
      <c r="G521" s="329">
        <v>1</v>
      </c>
      <c r="H521" s="329"/>
      <c r="I521" s="329"/>
      <c r="J521" s="329"/>
      <c r="K521" s="329">
        <f>VLOOKUP($B521,DONGIA,DG!$F$6,0)</f>
        <v>402190</v>
      </c>
      <c r="L521" s="329"/>
      <c r="M521" s="329">
        <f>VLOOKUP($B521,DONGIA,DG!$G$6,0)</f>
        <v>0</v>
      </c>
      <c r="N521" s="329">
        <f t="shared" si="443"/>
        <v>0</v>
      </c>
      <c r="O521" s="329">
        <f t="shared" si="444"/>
        <v>0</v>
      </c>
      <c r="P521" s="329">
        <f t="shared" si="444"/>
        <v>0</v>
      </c>
      <c r="Q521" s="329">
        <f t="shared" si="444"/>
        <v>402190</v>
      </c>
      <c r="R521" s="329">
        <f t="shared" si="444"/>
        <v>0</v>
      </c>
      <c r="S521" s="329">
        <f t="shared" si="444"/>
        <v>0</v>
      </c>
      <c r="U521" s="329">
        <f t="shared" si="446"/>
        <v>0</v>
      </c>
      <c r="V521" s="329">
        <f t="shared" si="446"/>
        <v>0</v>
      </c>
      <c r="W521" s="329">
        <f t="shared" si="446"/>
        <v>0</v>
      </c>
      <c r="X521" s="329">
        <f t="shared" si="446"/>
        <v>0</v>
      </c>
      <c r="Y521" s="329">
        <f t="shared" si="446"/>
        <v>0</v>
      </c>
      <c r="Z521" s="329">
        <f t="shared" si="446"/>
        <v>0</v>
      </c>
      <c r="AA521" s="329">
        <f t="shared" si="446"/>
        <v>0</v>
      </c>
      <c r="AB521" s="329">
        <f t="shared" si="446"/>
        <v>0</v>
      </c>
      <c r="AD521" s="332">
        <f t="shared" si="412"/>
        <v>0</v>
      </c>
      <c r="AE521" s="329">
        <f t="shared" si="413"/>
        <v>0</v>
      </c>
      <c r="AF521" s="329">
        <f t="shared" si="414"/>
        <v>0</v>
      </c>
      <c r="AG521" s="329">
        <f t="shared" si="414"/>
        <v>0</v>
      </c>
      <c r="AH521" s="329">
        <f t="shared" si="414"/>
        <v>0</v>
      </c>
      <c r="AI521" s="329">
        <f t="shared" si="415"/>
        <v>0</v>
      </c>
      <c r="AJ521" s="329">
        <f t="shared" si="415"/>
        <v>0</v>
      </c>
      <c r="AK521" s="329">
        <f t="shared" si="415"/>
        <v>0</v>
      </c>
      <c r="AL521" s="329">
        <f t="shared" si="416"/>
        <v>0</v>
      </c>
    </row>
    <row r="522" spans="1:38" s="332" customFormat="1">
      <c r="A522" s="356" t="s">
        <v>1490</v>
      </c>
      <c r="B522" s="356"/>
      <c r="C522" s="355">
        <f>IF(G522&lt;&gt;0,1,)</f>
        <v>0</v>
      </c>
      <c r="D522" s="357"/>
      <c r="E522" s="358" t="s">
        <v>2719</v>
      </c>
      <c r="F522" s="357" t="s">
        <v>138</v>
      </c>
      <c r="G522" s="357">
        <f>U522</f>
        <v>0</v>
      </c>
      <c r="H522" s="358"/>
      <c r="I522" s="358"/>
      <c r="J522" s="358"/>
      <c r="K522" s="358"/>
      <c r="L522" s="358"/>
      <c r="M522" s="358"/>
      <c r="N522" s="358">
        <f t="shared" ref="N522:S522" si="447">SUM(N524:N528)</f>
        <v>800600</v>
      </c>
      <c r="O522" s="358">
        <f t="shared" si="447"/>
        <v>0</v>
      </c>
      <c r="P522" s="358">
        <f t="shared" si="447"/>
        <v>0</v>
      </c>
      <c r="Q522" s="358">
        <f t="shared" si="447"/>
        <v>298670</v>
      </c>
      <c r="R522" s="358">
        <f t="shared" si="447"/>
        <v>0</v>
      </c>
      <c r="S522" s="358">
        <f t="shared" si="447"/>
        <v>0</v>
      </c>
      <c r="U522" s="358">
        <f>SUM(V522:AB522)</f>
        <v>0</v>
      </c>
      <c r="V522" s="358">
        <f>IFERROR(HLOOKUP($A522,BK3P,V$3,0),)</f>
        <v>0</v>
      </c>
      <c r="W522" s="358">
        <f>IFERROR(HLOOKUP($A522,BK3P,W$3,0),)</f>
        <v>0</v>
      </c>
      <c r="X522" s="358">
        <f>IFERROR(HLOOKUP($A522,BK3P,X$3,0),)</f>
        <v>0</v>
      </c>
      <c r="Y522" s="358">
        <f>IFERROR(HLOOKUP($A522,BK1P,Y$3,0),)</f>
        <v>0</v>
      </c>
      <c r="Z522" s="358">
        <f>IFERROR(HLOOKUP($A522,BK1P,Z$3,0),)</f>
        <v>0</v>
      </c>
      <c r="AA522" s="358">
        <f>IFERROR(HLOOKUP($A522,BK1P,AA$3,0),)</f>
        <v>0</v>
      </c>
      <c r="AB522" s="358">
        <f>IFERROR(HLOOKUP($A522,BKHT,AB$3,0),)</f>
        <v>0</v>
      </c>
      <c r="AD522" s="332">
        <f t="shared" si="412"/>
        <v>0</v>
      </c>
      <c r="AE522" s="329">
        <f t="shared" si="413"/>
        <v>0</v>
      </c>
      <c r="AF522" s="329">
        <f t="shared" si="414"/>
        <v>0</v>
      </c>
      <c r="AG522" s="329">
        <f t="shared" si="414"/>
        <v>0</v>
      </c>
      <c r="AH522" s="329">
        <f t="shared" si="414"/>
        <v>0</v>
      </c>
      <c r="AI522" s="329">
        <f t="shared" si="415"/>
        <v>0</v>
      </c>
      <c r="AJ522" s="329">
        <f t="shared" si="415"/>
        <v>0</v>
      </c>
      <c r="AK522" s="329">
        <f t="shared" si="415"/>
        <v>0</v>
      </c>
      <c r="AL522" s="329">
        <f t="shared" si="416"/>
        <v>0</v>
      </c>
    </row>
    <row r="523" spans="1:38" s="361" customFormat="1">
      <c r="A523" s="359"/>
      <c r="B523" s="359"/>
      <c r="C523" s="360">
        <f>C522</f>
        <v>0</v>
      </c>
      <c r="D523" s="350"/>
      <c r="E523" s="351" t="s">
        <v>1659</v>
      </c>
      <c r="F523" s="350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U523" s="351"/>
      <c r="V523" s="351"/>
      <c r="W523" s="351"/>
      <c r="X523" s="351"/>
      <c r="Y523" s="351"/>
      <c r="Z523" s="351"/>
      <c r="AA523" s="351"/>
      <c r="AB523" s="351"/>
      <c r="AD523" s="332">
        <f t="shared" si="412"/>
        <v>0</v>
      </c>
      <c r="AE523" s="329">
        <f t="shared" si="413"/>
        <v>0</v>
      </c>
      <c r="AF523" s="329">
        <f t="shared" si="414"/>
        <v>0</v>
      </c>
      <c r="AG523" s="329">
        <f t="shared" si="414"/>
        <v>0</v>
      </c>
      <c r="AH523" s="329">
        <f t="shared" si="414"/>
        <v>0</v>
      </c>
      <c r="AI523" s="329">
        <f t="shared" si="415"/>
        <v>0</v>
      </c>
      <c r="AJ523" s="329">
        <f t="shared" si="415"/>
        <v>0</v>
      </c>
      <c r="AK523" s="329">
        <f t="shared" si="415"/>
        <v>0</v>
      </c>
      <c r="AL523" s="329">
        <f t="shared" si="416"/>
        <v>0</v>
      </c>
    </row>
    <row r="524" spans="1:38" s="332" customFormat="1">
      <c r="A524" s="356"/>
      <c r="B524" s="356" t="s">
        <v>1682</v>
      </c>
      <c r="C524" s="355">
        <f>IF(G524&lt;&gt;0,$C$522,)</f>
        <v>0</v>
      </c>
      <c r="D524" s="341">
        <f>VLOOKUP(B524,DONGIA,DG!$B$6,0)</f>
        <v>0</v>
      </c>
      <c r="E524" s="340" t="str">
        <f>VLOOKUP(B524,DONGIA,DG!$C$6,0)</f>
        <v>Đà sắt L75x75x8-2200 - 4 ốp</v>
      </c>
      <c r="F524" s="341" t="str">
        <f>VLOOKUP(B524,DONGIA,DG!$D$6,0)</f>
        <v>cái</v>
      </c>
      <c r="G524" s="329">
        <v>1</v>
      </c>
      <c r="H524" s="329">
        <f>VLOOKUP($B524,DONGIA,DG!$E$6,0)</f>
        <v>535000</v>
      </c>
      <c r="I524" s="329"/>
      <c r="J524" s="329"/>
      <c r="K524" s="329">
        <f>VLOOKUP($B524,DONGIA,DG!$F$6,0)</f>
        <v>0</v>
      </c>
      <c r="L524" s="329"/>
      <c r="M524" s="329">
        <f>VLOOKUP($B524,DONGIA,DG!$G$6,0)</f>
        <v>0</v>
      </c>
      <c r="N524" s="329">
        <f>$G524*H524</f>
        <v>535000</v>
      </c>
      <c r="O524" s="329">
        <f t="shared" ref="O524:S528" si="448">$G524*I524</f>
        <v>0</v>
      </c>
      <c r="P524" s="329">
        <f t="shared" si="448"/>
        <v>0</v>
      </c>
      <c r="Q524" s="329">
        <f t="shared" si="448"/>
        <v>0</v>
      </c>
      <c r="R524" s="329">
        <f t="shared" si="448"/>
        <v>0</v>
      </c>
      <c r="S524" s="329">
        <f t="shared" si="448"/>
        <v>0</v>
      </c>
      <c r="U524" s="329">
        <f>U$522*$G524</f>
        <v>0</v>
      </c>
      <c r="V524" s="329">
        <f t="shared" ref="V524:AB524" si="449">V$522*$G524</f>
        <v>0</v>
      </c>
      <c r="W524" s="329">
        <f t="shared" si="449"/>
        <v>0</v>
      </c>
      <c r="X524" s="329">
        <f t="shared" si="449"/>
        <v>0</v>
      </c>
      <c r="Y524" s="329">
        <f t="shared" si="449"/>
        <v>0</v>
      </c>
      <c r="Z524" s="329">
        <f t="shared" si="449"/>
        <v>0</v>
      </c>
      <c r="AA524" s="329">
        <f t="shared" si="449"/>
        <v>0</v>
      </c>
      <c r="AB524" s="329">
        <f t="shared" si="449"/>
        <v>0</v>
      </c>
      <c r="AD524" s="332">
        <f t="shared" si="412"/>
        <v>26</v>
      </c>
      <c r="AE524" s="329">
        <f t="shared" si="413"/>
        <v>0</v>
      </c>
      <c r="AF524" s="329">
        <f t="shared" si="414"/>
        <v>0</v>
      </c>
      <c r="AG524" s="329">
        <f t="shared" si="414"/>
        <v>0</v>
      </c>
      <c r="AH524" s="329">
        <f t="shared" si="414"/>
        <v>0</v>
      </c>
      <c r="AI524" s="329">
        <f t="shared" si="415"/>
        <v>0</v>
      </c>
      <c r="AJ524" s="329">
        <f t="shared" si="415"/>
        <v>0</v>
      </c>
      <c r="AK524" s="329">
        <f t="shared" si="415"/>
        <v>0</v>
      </c>
      <c r="AL524" s="329">
        <f t="shared" si="416"/>
        <v>0</v>
      </c>
    </row>
    <row r="525" spans="1:38" s="332" customFormat="1">
      <c r="A525" s="356"/>
      <c r="B525" s="356" t="s">
        <v>1683</v>
      </c>
      <c r="C525" s="355">
        <f>IF(G525&lt;&gt;0,$C$522,)</f>
        <v>0</v>
      </c>
      <c r="D525" s="341">
        <f>VLOOKUP(B525,DONGIA,DG!$B$6,0)</f>
        <v>0</v>
      </c>
      <c r="E525" s="340" t="str">
        <f>VLOOKUP(B525,DONGIA,DG!$C$6,0)</f>
        <v>Thanh chống L50x50x5-810</v>
      </c>
      <c r="F525" s="341" t="str">
        <f>VLOOKUP(B525,DONGIA,DG!$D$6,0)</f>
        <v>cái</v>
      </c>
      <c r="G525" s="329">
        <v>2</v>
      </c>
      <c r="H525" s="329">
        <f>VLOOKUP($B525,DONGIA,DG!$E$6,0)</f>
        <v>87800</v>
      </c>
      <c r="I525" s="329"/>
      <c r="J525" s="329"/>
      <c r="K525" s="329">
        <f>VLOOKUP($B525,DONGIA,DG!$F$6,0)</f>
        <v>0</v>
      </c>
      <c r="L525" s="329"/>
      <c r="M525" s="329">
        <f>VLOOKUP($B525,DONGIA,DG!$G$6,0)</f>
        <v>0</v>
      </c>
      <c r="N525" s="329">
        <f>$G525*H525</f>
        <v>175600</v>
      </c>
      <c r="O525" s="329">
        <f t="shared" si="448"/>
        <v>0</v>
      </c>
      <c r="P525" s="329">
        <f t="shared" si="448"/>
        <v>0</v>
      </c>
      <c r="Q525" s="329">
        <f t="shared" si="448"/>
        <v>0</v>
      </c>
      <c r="R525" s="329">
        <f t="shared" si="448"/>
        <v>0</v>
      </c>
      <c r="S525" s="329">
        <f t="shared" si="448"/>
        <v>0</v>
      </c>
      <c r="U525" s="329">
        <f t="shared" ref="U525:AB528" si="450">U$522*$G525</f>
        <v>0</v>
      </c>
      <c r="V525" s="329">
        <f t="shared" si="450"/>
        <v>0</v>
      </c>
      <c r="W525" s="329">
        <f t="shared" si="450"/>
        <v>0</v>
      </c>
      <c r="X525" s="329">
        <f t="shared" si="450"/>
        <v>0</v>
      </c>
      <c r="Y525" s="329">
        <f t="shared" si="450"/>
        <v>0</v>
      </c>
      <c r="Z525" s="329">
        <f t="shared" si="450"/>
        <v>0</v>
      </c>
      <c r="AA525" s="329">
        <f t="shared" si="450"/>
        <v>0</v>
      </c>
      <c r="AB525" s="329">
        <f t="shared" si="450"/>
        <v>0</v>
      </c>
      <c r="AD525" s="332">
        <f t="shared" si="412"/>
        <v>3.5</v>
      </c>
      <c r="AE525" s="329">
        <f t="shared" si="413"/>
        <v>0</v>
      </c>
      <c r="AF525" s="329">
        <f t="shared" si="414"/>
        <v>0</v>
      </c>
      <c r="AG525" s="329">
        <f t="shared" si="414"/>
        <v>0</v>
      </c>
      <c r="AH525" s="329">
        <f t="shared" si="414"/>
        <v>0</v>
      </c>
      <c r="AI525" s="329">
        <f t="shared" si="415"/>
        <v>0</v>
      </c>
      <c r="AJ525" s="329">
        <f t="shared" si="415"/>
        <v>0</v>
      </c>
      <c r="AK525" s="329">
        <f t="shared" si="415"/>
        <v>0</v>
      </c>
      <c r="AL525" s="329">
        <f t="shared" si="416"/>
        <v>0</v>
      </c>
    </row>
    <row r="526" spans="1:38" s="332" customFormat="1">
      <c r="A526" s="356"/>
      <c r="B526" s="356" t="s">
        <v>33</v>
      </c>
      <c r="C526" s="355">
        <f>IF(G526&lt;&gt;0,$C$522,)</f>
        <v>0</v>
      </c>
      <c r="D526" s="341">
        <f>VLOOKUP(B526,DONGIA,DG!$B$6,0)</f>
        <v>0</v>
      </c>
      <c r="E526" s="340" t="str">
        <f>VLOOKUP(B526,DONGIA,DG!$C$6,0)</f>
        <v>Boulon 16x250+ 2 long đền vuông D18-50x50x3/Zn</v>
      </c>
      <c r="F526" s="341" t="str">
        <f>VLOOKUP(B526,DONGIA,DG!$D$6,0)</f>
        <v>bộ</v>
      </c>
      <c r="G526" s="329">
        <v>2</v>
      </c>
      <c r="H526" s="329">
        <f>VLOOKUP($B526,DONGIA,DG!$E$6,0)</f>
        <v>28000</v>
      </c>
      <c r="I526" s="329"/>
      <c r="J526" s="329"/>
      <c r="K526" s="329">
        <f>VLOOKUP($B526,DONGIA,DG!$F$6,0)</f>
        <v>0</v>
      </c>
      <c r="L526" s="329"/>
      <c r="M526" s="329">
        <f>VLOOKUP($B526,DONGIA,DG!$G$6,0)</f>
        <v>0</v>
      </c>
      <c r="N526" s="329">
        <f>$G526*H526</f>
        <v>56000</v>
      </c>
      <c r="O526" s="329">
        <f t="shared" si="448"/>
        <v>0</v>
      </c>
      <c r="P526" s="329">
        <f t="shared" si="448"/>
        <v>0</v>
      </c>
      <c r="Q526" s="329">
        <f t="shared" si="448"/>
        <v>0</v>
      </c>
      <c r="R526" s="329">
        <f t="shared" si="448"/>
        <v>0</v>
      </c>
      <c r="S526" s="329">
        <f t="shared" si="448"/>
        <v>0</v>
      </c>
      <c r="U526" s="329">
        <f t="shared" si="450"/>
        <v>0</v>
      </c>
      <c r="V526" s="329">
        <f t="shared" si="450"/>
        <v>0</v>
      </c>
      <c r="W526" s="329">
        <f t="shared" si="450"/>
        <v>0</v>
      </c>
      <c r="X526" s="329">
        <f t="shared" si="450"/>
        <v>0</v>
      </c>
      <c r="Y526" s="329">
        <f t="shared" si="450"/>
        <v>0</v>
      </c>
      <c r="Z526" s="329">
        <f t="shared" si="450"/>
        <v>0</v>
      </c>
      <c r="AA526" s="329">
        <f t="shared" si="450"/>
        <v>0</v>
      </c>
      <c r="AB526" s="329">
        <f t="shared" si="450"/>
        <v>0</v>
      </c>
      <c r="AD526" s="332">
        <f t="shared" si="412"/>
        <v>0.23</v>
      </c>
      <c r="AE526" s="329">
        <f t="shared" si="413"/>
        <v>0</v>
      </c>
      <c r="AF526" s="329">
        <f t="shared" si="414"/>
        <v>0</v>
      </c>
      <c r="AG526" s="329">
        <f t="shared" si="414"/>
        <v>0</v>
      </c>
      <c r="AH526" s="329">
        <f t="shared" si="414"/>
        <v>0</v>
      </c>
      <c r="AI526" s="329">
        <f t="shared" si="415"/>
        <v>0</v>
      </c>
      <c r="AJ526" s="329">
        <f t="shared" si="415"/>
        <v>0</v>
      </c>
      <c r="AK526" s="329">
        <f t="shared" si="415"/>
        <v>0</v>
      </c>
      <c r="AL526" s="329">
        <f t="shared" si="416"/>
        <v>0</v>
      </c>
    </row>
    <row r="527" spans="1:38" s="332" customFormat="1">
      <c r="A527" s="356"/>
      <c r="B527" s="356" t="s">
        <v>29</v>
      </c>
      <c r="C527" s="355">
        <f>IF(G527&lt;&gt;0,$C$522,)</f>
        <v>0</v>
      </c>
      <c r="D527" s="341">
        <f>VLOOKUP(B527,DONGIA,DG!$B$6,0)</f>
        <v>0</v>
      </c>
      <c r="E527" s="340" t="str">
        <f>VLOOKUP(B527,DONGIA,DG!$C$6,0)</f>
        <v>Boulon 16x50+ 2 long đền vuông D18-50x50x3/Zn</v>
      </c>
      <c r="F527" s="341" t="str">
        <f>VLOOKUP(B527,DONGIA,DG!$D$6,0)</f>
        <v>bộ</v>
      </c>
      <c r="G527" s="329">
        <v>2</v>
      </c>
      <c r="H527" s="329">
        <f>VLOOKUP($B527,DONGIA,DG!$E$6,0)</f>
        <v>17000</v>
      </c>
      <c r="I527" s="329"/>
      <c r="J527" s="329"/>
      <c r="K527" s="329">
        <f>VLOOKUP($B527,DONGIA,DG!$F$6,0)</f>
        <v>0</v>
      </c>
      <c r="L527" s="329"/>
      <c r="M527" s="329">
        <f>VLOOKUP($B527,DONGIA,DG!$G$6,0)</f>
        <v>0</v>
      </c>
      <c r="N527" s="329">
        <f>$G527*H527</f>
        <v>34000</v>
      </c>
      <c r="O527" s="329">
        <f t="shared" si="448"/>
        <v>0</v>
      </c>
      <c r="P527" s="329">
        <f t="shared" si="448"/>
        <v>0</v>
      </c>
      <c r="Q527" s="329">
        <f t="shared" si="448"/>
        <v>0</v>
      </c>
      <c r="R527" s="329">
        <f t="shared" si="448"/>
        <v>0</v>
      </c>
      <c r="S527" s="329">
        <f t="shared" si="448"/>
        <v>0</v>
      </c>
      <c r="U527" s="329">
        <f t="shared" si="450"/>
        <v>0</v>
      </c>
      <c r="V527" s="329">
        <f t="shared" si="450"/>
        <v>0</v>
      </c>
      <c r="W527" s="329">
        <f t="shared" si="450"/>
        <v>0</v>
      </c>
      <c r="X527" s="329">
        <f t="shared" si="450"/>
        <v>0</v>
      </c>
      <c r="Y527" s="329">
        <f t="shared" si="450"/>
        <v>0</v>
      </c>
      <c r="Z527" s="329">
        <f t="shared" si="450"/>
        <v>0</v>
      </c>
      <c r="AA527" s="329">
        <f t="shared" si="450"/>
        <v>0</v>
      </c>
      <c r="AB527" s="329">
        <f t="shared" si="450"/>
        <v>0</v>
      </c>
      <c r="AD527" s="332">
        <f t="shared" si="412"/>
        <v>0.25</v>
      </c>
      <c r="AE527" s="329">
        <f t="shared" si="413"/>
        <v>0</v>
      </c>
      <c r="AF527" s="329">
        <f t="shared" si="414"/>
        <v>0</v>
      </c>
      <c r="AG527" s="329">
        <f t="shared" si="414"/>
        <v>0</v>
      </c>
      <c r="AH527" s="329">
        <f t="shared" si="414"/>
        <v>0</v>
      </c>
      <c r="AI527" s="329">
        <f t="shared" si="415"/>
        <v>0</v>
      </c>
      <c r="AJ527" s="329">
        <f t="shared" si="415"/>
        <v>0</v>
      </c>
      <c r="AK527" s="329">
        <f t="shared" si="415"/>
        <v>0</v>
      </c>
      <c r="AL527" s="329">
        <f t="shared" si="416"/>
        <v>0</v>
      </c>
    </row>
    <row r="528" spans="1:38" s="332" customFormat="1">
      <c r="A528" s="356"/>
      <c r="B528" s="356" t="s">
        <v>641</v>
      </c>
      <c r="C528" s="355">
        <f>IF(G528&lt;&gt;0,$C$522,)</f>
        <v>0</v>
      </c>
      <c r="D528" s="341" t="str">
        <f>VLOOKUP(B528,DONGIA,DG!$B$6,0)</f>
        <v>D2.6021e</v>
      </c>
      <c r="E528" s="340" t="str">
        <f>VLOOKUP(B528,DONGIA,DG!$C$6,0)</f>
        <v>Lắp đặt xà thép L75x75x8x2200 đơn cột đỡ (29,759 kg/bộ)</v>
      </c>
      <c r="F528" s="341" t="str">
        <f>VLOOKUP(B528,DONGIA,DG!$D$6,0)</f>
        <v>bộ</v>
      </c>
      <c r="G528" s="329">
        <v>1</v>
      </c>
      <c r="H528" s="329"/>
      <c r="I528" s="329"/>
      <c r="J528" s="329"/>
      <c r="K528" s="329">
        <f>VLOOKUP($B528,DONGIA,DG!$F$6,0)</f>
        <v>298670</v>
      </c>
      <c r="L528" s="329"/>
      <c r="M528" s="329">
        <f>VLOOKUP($B528,DONGIA,DG!$G$6,0)</f>
        <v>0</v>
      </c>
      <c r="N528" s="329">
        <f>$G528*H528</f>
        <v>0</v>
      </c>
      <c r="O528" s="329">
        <f t="shared" si="448"/>
        <v>0</v>
      </c>
      <c r="P528" s="329">
        <f t="shared" si="448"/>
        <v>0</v>
      </c>
      <c r="Q528" s="329">
        <f t="shared" si="448"/>
        <v>298670</v>
      </c>
      <c r="R528" s="329">
        <f t="shared" si="448"/>
        <v>0</v>
      </c>
      <c r="S528" s="329">
        <f t="shared" si="448"/>
        <v>0</v>
      </c>
      <c r="U528" s="329">
        <f t="shared" si="450"/>
        <v>0</v>
      </c>
      <c r="V528" s="329">
        <f t="shared" si="450"/>
        <v>0</v>
      </c>
      <c r="W528" s="329">
        <f t="shared" si="450"/>
        <v>0</v>
      </c>
      <c r="X528" s="329">
        <f t="shared" si="450"/>
        <v>0</v>
      </c>
      <c r="Y528" s="329">
        <f t="shared" si="450"/>
        <v>0</v>
      </c>
      <c r="Z528" s="329">
        <f t="shared" si="450"/>
        <v>0</v>
      </c>
      <c r="AA528" s="329">
        <f t="shared" si="450"/>
        <v>0</v>
      </c>
      <c r="AB528" s="329">
        <f t="shared" si="450"/>
        <v>0</v>
      </c>
      <c r="AD528" s="332">
        <f t="shared" si="412"/>
        <v>0</v>
      </c>
      <c r="AE528" s="329">
        <f t="shared" si="413"/>
        <v>0</v>
      </c>
      <c r="AF528" s="329">
        <f t="shared" si="414"/>
        <v>0</v>
      </c>
      <c r="AG528" s="329">
        <f t="shared" si="414"/>
        <v>0</v>
      </c>
      <c r="AH528" s="329">
        <f t="shared" si="414"/>
        <v>0</v>
      </c>
      <c r="AI528" s="329">
        <f t="shared" si="415"/>
        <v>0</v>
      </c>
      <c r="AJ528" s="329">
        <f t="shared" si="415"/>
        <v>0</v>
      </c>
      <c r="AK528" s="329">
        <f t="shared" si="415"/>
        <v>0</v>
      </c>
      <c r="AL528" s="329">
        <f t="shared" si="416"/>
        <v>0</v>
      </c>
    </row>
    <row r="529" spans="1:38">
      <c r="A529" s="618" t="s">
        <v>1491</v>
      </c>
      <c r="B529" s="618"/>
      <c r="C529" s="619">
        <f>IF(G529&lt;&gt;0,1,)</f>
        <v>1</v>
      </c>
      <c r="D529" s="622"/>
      <c r="E529" s="733" t="s">
        <v>2718</v>
      </c>
      <c r="F529" s="622" t="s">
        <v>138</v>
      </c>
      <c r="G529" s="622">
        <f>U529</f>
        <v>13</v>
      </c>
      <c r="H529" s="623"/>
      <c r="I529" s="623"/>
      <c r="J529" s="623"/>
      <c r="K529" s="623"/>
      <c r="L529" s="623"/>
      <c r="M529" s="623"/>
      <c r="N529" s="623">
        <f t="shared" ref="N529:S529" si="451">SUM(N531:N537)</f>
        <v>1629200</v>
      </c>
      <c r="O529" s="623">
        <f t="shared" si="451"/>
        <v>0</v>
      </c>
      <c r="P529" s="623">
        <f t="shared" si="451"/>
        <v>0</v>
      </c>
      <c r="Q529" s="623">
        <f t="shared" si="451"/>
        <v>534080</v>
      </c>
      <c r="R529" s="623">
        <f t="shared" si="451"/>
        <v>0</v>
      </c>
      <c r="S529" s="623">
        <f t="shared" si="451"/>
        <v>0</v>
      </c>
      <c r="U529" s="623">
        <f>SUM(V529:AB529)</f>
        <v>13</v>
      </c>
      <c r="V529" s="623">
        <f>IFERROR(HLOOKUP($A529,BK3P,V$3,0),)</f>
        <v>13</v>
      </c>
      <c r="W529" s="623">
        <f>IFERROR(HLOOKUP($A529,BK3P,W$3,0),)</f>
        <v>0</v>
      </c>
      <c r="X529" s="623">
        <f>IFERROR(HLOOKUP($A529,BK3P,X$3,0),)</f>
        <v>0</v>
      </c>
      <c r="Y529" s="623">
        <f>IFERROR(HLOOKUP($A529,BK1P,Y$3,0),)</f>
        <v>0</v>
      </c>
      <c r="Z529" s="623">
        <f>IFERROR(HLOOKUP($A529,BK1P,Z$3,0),)</f>
        <v>0</v>
      </c>
      <c r="AA529" s="623">
        <f>IFERROR(HLOOKUP($A529,BK1P,AA$3,0),)</f>
        <v>0</v>
      </c>
      <c r="AB529" s="623">
        <f>IFERROR(HLOOKUP($A529,BKHT,AB$3,0),)</f>
        <v>0</v>
      </c>
      <c r="AD529" s="405">
        <f t="shared" si="412"/>
        <v>0</v>
      </c>
      <c r="AE529" s="525">
        <f t="shared" si="413"/>
        <v>0</v>
      </c>
      <c r="AF529" s="525">
        <f t="shared" si="414"/>
        <v>0</v>
      </c>
      <c r="AG529" s="525">
        <f t="shared" si="414"/>
        <v>0</v>
      </c>
      <c r="AH529" s="525">
        <f t="shared" si="414"/>
        <v>0</v>
      </c>
      <c r="AI529" s="525">
        <f t="shared" si="415"/>
        <v>0</v>
      </c>
      <c r="AJ529" s="525">
        <f t="shared" si="415"/>
        <v>0</v>
      </c>
      <c r="AK529" s="525">
        <f t="shared" si="415"/>
        <v>0</v>
      </c>
      <c r="AL529" s="525">
        <f t="shared" si="416"/>
        <v>0</v>
      </c>
    </row>
    <row r="530" spans="1:38" s="542" customFormat="1">
      <c r="A530" s="624"/>
      <c r="B530" s="624"/>
      <c r="C530" s="625">
        <f>C529</f>
        <v>1</v>
      </c>
      <c r="D530" s="544"/>
      <c r="E530" s="734" t="s">
        <v>1659</v>
      </c>
      <c r="F530" s="544"/>
      <c r="G530" s="545"/>
      <c r="H530" s="545"/>
      <c r="I530" s="545"/>
      <c r="J530" s="545"/>
      <c r="K530" s="545"/>
      <c r="L530" s="545"/>
      <c r="M530" s="545"/>
      <c r="N530" s="545"/>
      <c r="O530" s="545"/>
      <c r="P530" s="545"/>
      <c r="Q530" s="545"/>
      <c r="R530" s="545"/>
      <c r="S530" s="545"/>
      <c r="U530" s="545"/>
      <c r="V530" s="545"/>
      <c r="W530" s="545"/>
      <c r="X530" s="545"/>
      <c r="Y530" s="545"/>
      <c r="Z530" s="545"/>
      <c r="AA530" s="545"/>
      <c r="AB530" s="545"/>
      <c r="AD530" s="405">
        <f t="shared" si="412"/>
        <v>0</v>
      </c>
      <c r="AE530" s="525">
        <f t="shared" si="413"/>
        <v>0</v>
      </c>
      <c r="AF530" s="525">
        <f t="shared" si="414"/>
        <v>0</v>
      </c>
      <c r="AG530" s="525">
        <f t="shared" si="414"/>
        <v>0</v>
      </c>
      <c r="AH530" s="525">
        <f t="shared" si="414"/>
        <v>0</v>
      </c>
      <c r="AI530" s="525">
        <f t="shared" si="415"/>
        <v>0</v>
      </c>
      <c r="AJ530" s="525">
        <f t="shared" si="415"/>
        <v>0</v>
      </c>
      <c r="AK530" s="525">
        <f t="shared" si="415"/>
        <v>0</v>
      </c>
      <c r="AL530" s="525">
        <f t="shared" si="416"/>
        <v>0</v>
      </c>
    </row>
    <row r="531" spans="1:38">
      <c r="A531" s="618"/>
      <c r="B531" s="618" t="s">
        <v>1682</v>
      </c>
      <c r="C531" s="619">
        <f>IF(G531&lt;&gt;0,$C$529,)</f>
        <v>1</v>
      </c>
      <c r="D531" s="523">
        <f>VLOOKUP(B531,DONGIA,DG!$B$6,0)</f>
        <v>0</v>
      </c>
      <c r="E531" s="666" t="str">
        <f>VLOOKUP(B531,DONGIA,DG!$C$6,0)</f>
        <v>Đà sắt L75x75x8-2200 - 4 ốp</v>
      </c>
      <c r="F531" s="523" t="str">
        <f>VLOOKUP(B531,DONGIA,DG!$D$6,0)</f>
        <v>cái</v>
      </c>
      <c r="G531" s="525">
        <v>2</v>
      </c>
      <c r="H531" s="525">
        <f>VLOOKUP($B531,DONGIA,DG!$E$6,0)</f>
        <v>535000</v>
      </c>
      <c r="I531" s="525"/>
      <c r="J531" s="525"/>
      <c r="K531" s="525">
        <f>VLOOKUP($B531,DONGIA,DG!$F$6,0)</f>
        <v>0</v>
      </c>
      <c r="L531" s="525"/>
      <c r="M531" s="525">
        <f>VLOOKUP($B531,DONGIA,DG!$G$6,0)</f>
        <v>0</v>
      </c>
      <c r="N531" s="525">
        <f>$G531*H531</f>
        <v>1070000</v>
      </c>
      <c r="O531" s="525">
        <f t="shared" ref="O531:S537" si="452">$G531*I531</f>
        <v>0</v>
      </c>
      <c r="P531" s="525">
        <f t="shared" si="452"/>
        <v>0</v>
      </c>
      <c r="Q531" s="525">
        <f t="shared" si="452"/>
        <v>0</v>
      </c>
      <c r="R531" s="525">
        <f t="shared" si="452"/>
        <v>0</v>
      </c>
      <c r="S531" s="525">
        <f t="shared" si="452"/>
        <v>0</v>
      </c>
      <c r="U531" s="525">
        <f>U$529*$G531</f>
        <v>26</v>
      </c>
      <c r="V531" s="525">
        <f t="shared" ref="V531:AB531" si="453">V$529*$G531</f>
        <v>26</v>
      </c>
      <c r="W531" s="525">
        <f t="shared" si="453"/>
        <v>0</v>
      </c>
      <c r="X531" s="525">
        <f t="shared" si="453"/>
        <v>0</v>
      </c>
      <c r="Y531" s="525">
        <f t="shared" si="453"/>
        <v>0</v>
      </c>
      <c r="Z531" s="525">
        <f t="shared" si="453"/>
        <v>0</v>
      </c>
      <c r="AA531" s="525">
        <f t="shared" si="453"/>
        <v>0</v>
      </c>
      <c r="AB531" s="525">
        <f t="shared" si="453"/>
        <v>0</v>
      </c>
      <c r="AD531" s="405">
        <f t="shared" si="412"/>
        <v>26</v>
      </c>
      <c r="AE531" s="525">
        <f t="shared" si="413"/>
        <v>676</v>
      </c>
      <c r="AF531" s="525">
        <f t="shared" si="414"/>
        <v>676</v>
      </c>
      <c r="AG531" s="525">
        <f t="shared" si="414"/>
        <v>0</v>
      </c>
      <c r="AH531" s="525">
        <f t="shared" si="414"/>
        <v>0</v>
      </c>
      <c r="AI531" s="525">
        <f t="shared" si="415"/>
        <v>0</v>
      </c>
      <c r="AJ531" s="525">
        <f t="shared" si="415"/>
        <v>0</v>
      </c>
      <c r="AK531" s="525">
        <f t="shared" si="415"/>
        <v>0</v>
      </c>
      <c r="AL531" s="525">
        <f t="shared" si="416"/>
        <v>0</v>
      </c>
    </row>
    <row r="532" spans="1:38">
      <c r="A532" s="618"/>
      <c r="B532" s="618" t="s">
        <v>1683</v>
      </c>
      <c r="C532" s="619">
        <f t="shared" ref="C532:C537" si="454">IF(G532&lt;&gt;0,$C$529,)</f>
        <v>1</v>
      </c>
      <c r="D532" s="523">
        <f>VLOOKUP(B532,DONGIA,DG!$B$6,0)</f>
        <v>0</v>
      </c>
      <c r="E532" s="666" t="str">
        <f>VLOOKUP(B532,DONGIA,DG!$C$6,0)</f>
        <v>Thanh chống L50x50x5-810</v>
      </c>
      <c r="F532" s="523" t="str">
        <f>VLOOKUP(B532,DONGIA,DG!$D$6,0)</f>
        <v>cái</v>
      </c>
      <c r="G532" s="525">
        <v>4</v>
      </c>
      <c r="H532" s="525">
        <f>VLOOKUP($B532,DONGIA,DG!$E$6,0)</f>
        <v>87800</v>
      </c>
      <c r="I532" s="525"/>
      <c r="J532" s="525"/>
      <c r="K532" s="525">
        <f>VLOOKUP($B532,DONGIA,DG!$F$6,0)</f>
        <v>0</v>
      </c>
      <c r="L532" s="525"/>
      <c r="M532" s="525">
        <f>VLOOKUP($B532,DONGIA,DG!$G$6,0)</f>
        <v>0</v>
      </c>
      <c r="N532" s="525">
        <f t="shared" ref="N532:N537" si="455">$G532*H532</f>
        <v>351200</v>
      </c>
      <c r="O532" s="525">
        <f t="shared" si="452"/>
        <v>0</v>
      </c>
      <c r="P532" s="525">
        <f t="shared" si="452"/>
        <v>0</v>
      </c>
      <c r="Q532" s="525">
        <f t="shared" si="452"/>
        <v>0</v>
      </c>
      <c r="R532" s="525">
        <f t="shared" si="452"/>
        <v>0</v>
      </c>
      <c r="S532" s="525">
        <f t="shared" si="452"/>
        <v>0</v>
      </c>
      <c r="U532" s="525">
        <f t="shared" ref="U532:AB537" si="456">U$529*$G532</f>
        <v>52</v>
      </c>
      <c r="V532" s="525">
        <f t="shared" si="456"/>
        <v>52</v>
      </c>
      <c r="W532" s="525">
        <f t="shared" si="456"/>
        <v>0</v>
      </c>
      <c r="X532" s="525">
        <f t="shared" si="456"/>
        <v>0</v>
      </c>
      <c r="Y532" s="525">
        <f t="shared" si="456"/>
        <v>0</v>
      </c>
      <c r="Z532" s="525">
        <f t="shared" si="456"/>
        <v>0</v>
      </c>
      <c r="AA532" s="525">
        <f t="shared" si="456"/>
        <v>0</v>
      </c>
      <c r="AB532" s="525">
        <f t="shared" si="456"/>
        <v>0</v>
      </c>
      <c r="AD532" s="405">
        <f t="shared" si="412"/>
        <v>3.5</v>
      </c>
      <c r="AE532" s="525">
        <f t="shared" si="413"/>
        <v>182</v>
      </c>
      <c r="AF532" s="525">
        <f t="shared" si="414"/>
        <v>182</v>
      </c>
      <c r="AG532" s="525">
        <f t="shared" si="414"/>
        <v>0</v>
      </c>
      <c r="AH532" s="525">
        <f t="shared" si="414"/>
        <v>0</v>
      </c>
      <c r="AI532" s="525">
        <f t="shared" si="415"/>
        <v>0</v>
      </c>
      <c r="AJ532" s="525">
        <f t="shared" si="415"/>
        <v>0</v>
      </c>
      <c r="AK532" s="525">
        <f t="shared" si="415"/>
        <v>0</v>
      </c>
      <c r="AL532" s="525">
        <f t="shared" si="416"/>
        <v>0</v>
      </c>
    </row>
    <row r="533" spans="1:38" s="332" customFormat="1">
      <c r="A533" s="356"/>
      <c r="B533" s="356" t="s">
        <v>33</v>
      </c>
      <c r="C533" s="355">
        <f t="shared" si="454"/>
        <v>0</v>
      </c>
      <c r="D533" s="341">
        <f>VLOOKUP(B533,DONGIA,DG!$B$6,0)</f>
        <v>0</v>
      </c>
      <c r="E533" s="340" t="str">
        <f>VLOOKUP(B533,DONGIA,DG!$C$6,0)</f>
        <v>Boulon 16x250+ 2 long đền vuông D18-50x50x3/Zn</v>
      </c>
      <c r="F533" s="341" t="str">
        <f>VLOOKUP(B533,DONGIA,DG!$D$6,0)</f>
        <v>bộ</v>
      </c>
      <c r="G533" s="329"/>
      <c r="H533" s="329">
        <f>VLOOKUP($B533,DONGIA,DG!$E$6,0)</f>
        <v>28000</v>
      </c>
      <c r="I533" s="329"/>
      <c r="J533" s="329"/>
      <c r="K533" s="329">
        <f>VLOOKUP($B533,DONGIA,DG!$F$6,0)</f>
        <v>0</v>
      </c>
      <c r="L533" s="329"/>
      <c r="M533" s="329">
        <f>VLOOKUP($B533,DONGIA,DG!$G$6,0)</f>
        <v>0</v>
      </c>
      <c r="N533" s="329">
        <f t="shared" si="455"/>
        <v>0</v>
      </c>
      <c r="O533" s="329">
        <f t="shared" si="452"/>
        <v>0</v>
      </c>
      <c r="P533" s="329">
        <f t="shared" si="452"/>
        <v>0</v>
      </c>
      <c r="Q533" s="329">
        <f t="shared" si="452"/>
        <v>0</v>
      </c>
      <c r="R533" s="329">
        <f t="shared" si="452"/>
        <v>0</v>
      </c>
      <c r="S533" s="329">
        <f t="shared" si="452"/>
        <v>0</v>
      </c>
      <c r="U533" s="329">
        <f t="shared" si="456"/>
        <v>0</v>
      </c>
      <c r="V533" s="329">
        <f t="shared" si="456"/>
        <v>0</v>
      </c>
      <c r="W533" s="329">
        <f t="shared" si="456"/>
        <v>0</v>
      </c>
      <c r="X533" s="329">
        <f t="shared" si="456"/>
        <v>0</v>
      </c>
      <c r="Y533" s="329">
        <f t="shared" si="456"/>
        <v>0</v>
      </c>
      <c r="Z533" s="329">
        <f t="shared" si="456"/>
        <v>0</v>
      </c>
      <c r="AA533" s="329">
        <f t="shared" si="456"/>
        <v>0</v>
      </c>
      <c r="AB533" s="329">
        <f t="shared" si="456"/>
        <v>0</v>
      </c>
      <c r="AD533" s="332">
        <f t="shared" si="412"/>
        <v>0.23</v>
      </c>
      <c r="AE533" s="329">
        <f t="shared" si="413"/>
        <v>0</v>
      </c>
      <c r="AF533" s="329">
        <f t="shared" si="414"/>
        <v>0</v>
      </c>
      <c r="AG533" s="329">
        <f t="shared" si="414"/>
        <v>0</v>
      </c>
      <c r="AH533" s="329">
        <f t="shared" si="414"/>
        <v>0</v>
      </c>
      <c r="AI533" s="329">
        <f t="shared" si="415"/>
        <v>0</v>
      </c>
      <c r="AJ533" s="329">
        <f t="shared" si="415"/>
        <v>0</v>
      </c>
      <c r="AK533" s="329">
        <f t="shared" si="415"/>
        <v>0</v>
      </c>
      <c r="AL533" s="329">
        <f t="shared" si="416"/>
        <v>0</v>
      </c>
    </row>
    <row r="534" spans="1:38">
      <c r="A534" s="618"/>
      <c r="B534" s="618" t="s">
        <v>35</v>
      </c>
      <c r="C534" s="619">
        <f t="shared" si="454"/>
        <v>1</v>
      </c>
      <c r="D534" s="523">
        <f>VLOOKUP(B534,DONGIA,DG!$B$6,0)</f>
        <v>0</v>
      </c>
      <c r="E534" s="666" t="str">
        <f>VLOOKUP(B534,DONGIA,DG!$C$6,0)</f>
        <v>Boulon 16x300+ 2 long đền vuông D18-50x50x3/Zn</v>
      </c>
      <c r="F534" s="523" t="str">
        <f>VLOOKUP(B534,DONGIA,DG!$D$6,0)</f>
        <v>bộ</v>
      </c>
      <c r="G534" s="525">
        <v>2</v>
      </c>
      <c r="H534" s="525">
        <f>VLOOKUP($B534,DONGIA,DG!$E$6,0)</f>
        <v>30000</v>
      </c>
      <c r="I534" s="525"/>
      <c r="J534" s="525"/>
      <c r="K534" s="525">
        <f>VLOOKUP($B534,DONGIA,DG!$F$6,0)</f>
        <v>0</v>
      </c>
      <c r="L534" s="525"/>
      <c r="M534" s="525">
        <f>VLOOKUP($B534,DONGIA,DG!$G$6,0)</f>
        <v>0</v>
      </c>
      <c r="N534" s="525">
        <f t="shared" si="455"/>
        <v>60000</v>
      </c>
      <c r="O534" s="525">
        <f t="shared" si="452"/>
        <v>0</v>
      </c>
      <c r="P534" s="525">
        <f t="shared" si="452"/>
        <v>0</v>
      </c>
      <c r="Q534" s="525">
        <f t="shared" si="452"/>
        <v>0</v>
      </c>
      <c r="R534" s="525">
        <f t="shared" si="452"/>
        <v>0</v>
      </c>
      <c r="S534" s="525">
        <f t="shared" si="452"/>
        <v>0</v>
      </c>
      <c r="U534" s="525">
        <f t="shared" si="456"/>
        <v>26</v>
      </c>
      <c r="V534" s="525">
        <f t="shared" si="456"/>
        <v>26</v>
      </c>
      <c r="W534" s="525">
        <f t="shared" si="456"/>
        <v>0</v>
      </c>
      <c r="X534" s="525">
        <f t="shared" si="456"/>
        <v>0</v>
      </c>
      <c r="Y534" s="525">
        <f t="shared" si="456"/>
        <v>0</v>
      </c>
      <c r="Z534" s="525">
        <f t="shared" si="456"/>
        <v>0</v>
      </c>
      <c r="AA534" s="525">
        <f t="shared" si="456"/>
        <v>0</v>
      </c>
      <c r="AB534" s="525">
        <f t="shared" si="456"/>
        <v>0</v>
      </c>
      <c r="AD534" s="405">
        <f t="shared" si="412"/>
        <v>0.25</v>
      </c>
      <c r="AE534" s="525">
        <f t="shared" si="413"/>
        <v>6.5</v>
      </c>
      <c r="AF534" s="525">
        <f t="shared" si="414"/>
        <v>6.5</v>
      </c>
      <c r="AG534" s="525">
        <f t="shared" si="414"/>
        <v>0</v>
      </c>
      <c r="AH534" s="525">
        <f t="shared" si="414"/>
        <v>0</v>
      </c>
      <c r="AI534" s="525">
        <f t="shared" si="415"/>
        <v>0</v>
      </c>
      <c r="AJ534" s="525">
        <f t="shared" si="415"/>
        <v>0</v>
      </c>
      <c r="AK534" s="525">
        <f t="shared" si="415"/>
        <v>0</v>
      </c>
      <c r="AL534" s="525">
        <f t="shared" si="416"/>
        <v>0</v>
      </c>
    </row>
    <row r="535" spans="1:38">
      <c r="A535" s="618"/>
      <c r="B535" s="618" t="s">
        <v>1680</v>
      </c>
      <c r="C535" s="619">
        <f t="shared" si="454"/>
        <v>1</v>
      </c>
      <c r="D535" s="523">
        <f>VLOOKUP(B535,DONGIA,DG!$B$6,0)</f>
        <v>0</v>
      </c>
      <c r="E535" s="666" t="str">
        <f>VLOOKUP(B535,DONGIA,DG!$C$6,0)</f>
        <v>Boulon 16x300VRS + 4 long đền vuông D18-50x50x3/Zn</v>
      </c>
      <c r="F535" s="523" t="str">
        <f>VLOOKUP(B535,DONGIA,DG!$D$6,0)</f>
        <v>bộ</v>
      </c>
      <c r="G535" s="525">
        <v>2</v>
      </c>
      <c r="H535" s="525">
        <f>VLOOKUP($B535,DONGIA,DG!$E$6,0)</f>
        <v>40000</v>
      </c>
      <c r="I535" s="525"/>
      <c r="J535" s="525"/>
      <c r="K535" s="525">
        <f>VLOOKUP($B535,DONGIA,DG!$F$6,0)</f>
        <v>0</v>
      </c>
      <c r="L535" s="525"/>
      <c r="M535" s="525">
        <f>VLOOKUP($B535,DONGIA,DG!$G$6,0)</f>
        <v>0</v>
      </c>
      <c r="N535" s="525">
        <f t="shared" si="455"/>
        <v>80000</v>
      </c>
      <c r="O535" s="525">
        <f t="shared" si="452"/>
        <v>0</v>
      </c>
      <c r="P535" s="525">
        <f t="shared" si="452"/>
        <v>0</v>
      </c>
      <c r="Q535" s="525">
        <f t="shared" si="452"/>
        <v>0</v>
      </c>
      <c r="R535" s="525">
        <f t="shared" si="452"/>
        <v>0</v>
      </c>
      <c r="S535" s="525">
        <f t="shared" si="452"/>
        <v>0</v>
      </c>
      <c r="U535" s="525">
        <f t="shared" si="456"/>
        <v>26</v>
      </c>
      <c r="V535" s="525">
        <f t="shared" si="456"/>
        <v>26</v>
      </c>
      <c r="W535" s="525">
        <f t="shared" si="456"/>
        <v>0</v>
      </c>
      <c r="X535" s="525">
        <f t="shared" si="456"/>
        <v>0</v>
      </c>
      <c r="Y535" s="525">
        <f t="shared" si="456"/>
        <v>0</v>
      </c>
      <c r="Z535" s="525">
        <f t="shared" si="456"/>
        <v>0</v>
      </c>
      <c r="AA535" s="525">
        <f t="shared" si="456"/>
        <v>0</v>
      </c>
      <c r="AB535" s="525">
        <f t="shared" si="456"/>
        <v>0</v>
      </c>
      <c r="AD535" s="405">
        <f t="shared" si="412"/>
        <v>0.3</v>
      </c>
      <c r="AE535" s="525">
        <f t="shared" si="413"/>
        <v>7.8</v>
      </c>
      <c r="AF535" s="525">
        <f t="shared" si="414"/>
        <v>7.8</v>
      </c>
      <c r="AG535" s="525">
        <f t="shared" si="414"/>
        <v>0</v>
      </c>
      <c r="AH535" s="525">
        <f t="shared" si="414"/>
        <v>0</v>
      </c>
      <c r="AI535" s="525">
        <f t="shared" si="415"/>
        <v>0</v>
      </c>
      <c r="AJ535" s="525">
        <f t="shared" si="415"/>
        <v>0</v>
      </c>
      <c r="AK535" s="525">
        <f t="shared" si="415"/>
        <v>0</v>
      </c>
      <c r="AL535" s="525">
        <f t="shared" si="416"/>
        <v>0</v>
      </c>
    </row>
    <row r="536" spans="1:38">
      <c r="A536" s="618"/>
      <c r="B536" s="618" t="s">
        <v>29</v>
      </c>
      <c r="C536" s="619">
        <f t="shared" si="454"/>
        <v>1</v>
      </c>
      <c r="D536" s="523">
        <f>VLOOKUP(B536,DONGIA,DG!$B$6,0)</f>
        <v>0</v>
      </c>
      <c r="E536" s="666" t="str">
        <f>VLOOKUP(B536,DONGIA,DG!$C$6,0)</f>
        <v>Boulon 16x50+ 2 long đền vuông D18-50x50x3/Zn</v>
      </c>
      <c r="F536" s="523" t="str">
        <f>VLOOKUP(B536,DONGIA,DG!$D$6,0)</f>
        <v>bộ</v>
      </c>
      <c r="G536" s="525">
        <v>4</v>
      </c>
      <c r="H536" s="525">
        <f>VLOOKUP($B536,DONGIA,DG!$E$6,0)</f>
        <v>17000</v>
      </c>
      <c r="I536" s="525"/>
      <c r="J536" s="525"/>
      <c r="K536" s="525">
        <f>VLOOKUP($B536,DONGIA,DG!$F$6,0)</f>
        <v>0</v>
      </c>
      <c r="L536" s="525"/>
      <c r="M536" s="525">
        <f>VLOOKUP($B536,DONGIA,DG!$G$6,0)</f>
        <v>0</v>
      </c>
      <c r="N536" s="525">
        <f t="shared" si="455"/>
        <v>68000</v>
      </c>
      <c r="O536" s="525">
        <f t="shared" si="452"/>
        <v>0</v>
      </c>
      <c r="P536" s="525">
        <f t="shared" si="452"/>
        <v>0</v>
      </c>
      <c r="Q536" s="525">
        <f t="shared" si="452"/>
        <v>0</v>
      </c>
      <c r="R536" s="525">
        <f t="shared" si="452"/>
        <v>0</v>
      </c>
      <c r="S536" s="525">
        <f t="shared" si="452"/>
        <v>0</v>
      </c>
      <c r="U536" s="525">
        <f t="shared" si="456"/>
        <v>52</v>
      </c>
      <c r="V536" s="525">
        <f t="shared" si="456"/>
        <v>52</v>
      </c>
      <c r="W536" s="525">
        <f t="shared" si="456"/>
        <v>0</v>
      </c>
      <c r="X536" s="525">
        <f t="shared" si="456"/>
        <v>0</v>
      </c>
      <c r="Y536" s="525">
        <f t="shared" si="456"/>
        <v>0</v>
      </c>
      <c r="Z536" s="525">
        <f t="shared" si="456"/>
        <v>0</v>
      </c>
      <c r="AA536" s="525">
        <f t="shared" si="456"/>
        <v>0</v>
      </c>
      <c r="AB536" s="525">
        <f t="shared" si="456"/>
        <v>0</v>
      </c>
      <c r="AD536" s="405">
        <f t="shared" si="412"/>
        <v>0.25</v>
      </c>
      <c r="AE536" s="525">
        <f t="shared" si="413"/>
        <v>13</v>
      </c>
      <c r="AF536" s="525">
        <f t="shared" si="414"/>
        <v>13</v>
      </c>
      <c r="AG536" s="525">
        <f t="shared" si="414"/>
        <v>0</v>
      </c>
      <c r="AH536" s="525">
        <f t="shared" si="414"/>
        <v>0</v>
      </c>
      <c r="AI536" s="525">
        <f t="shared" si="415"/>
        <v>0</v>
      </c>
      <c r="AJ536" s="525">
        <f t="shared" si="415"/>
        <v>0</v>
      </c>
      <c r="AK536" s="525">
        <f t="shared" si="415"/>
        <v>0</v>
      </c>
      <c r="AL536" s="525">
        <f t="shared" si="416"/>
        <v>0</v>
      </c>
    </row>
    <row r="537" spans="1:38">
      <c r="A537" s="618"/>
      <c r="B537" s="618" t="s">
        <v>644</v>
      </c>
      <c r="C537" s="619">
        <f t="shared" si="454"/>
        <v>1</v>
      </c>
      <c r="D537" s="523" t="str">
        <f>VLOOKUP(B537,DONGIA,DG!$B$6,0)</f>
        <v>D2.6032b</v>
      </c>
      <c r="E537" s="666" t="str">
        <f>VLOOKUP(B537,DONGIA,DG!$C$6,0)</f>
        <v>Lắp đặt xà thép L75x75x8x2200 kép cột néo (58,628 kg/bộ)</v>
      </c>
      <c r="F537" s="523" t="str">
        <f>VLOOKUP(B537,DONGIA,DG!$D$6,0)</f>
        <v>bộ</v>
      </c>
      <c r="G537" s="525">
        <v>1</v>
      </c>
      <c r="H537" s="525"/>
      <c r="I537" s="525"/>
      <c r="J537" s="525"/>
      <c r="K537" s="525">
        <f>VLOOKUP($B537,DONGIA,DG!$F$6,0)</f>
        <v>534080</v>
      </c>
      <c r="L537" s="525"/>
      <c r="M537" s="525">
        <f>VLOOKUP($B537,DONGIA,DG!$G$6,0)</f>
        <v>0</v>
      </c>
      <c r="N537" s="525">
        <f t="shared" si="455"/>
        <v>0</v>
      </c>
      <c r="O537" s="525">
        <f t="shared" si="452"/>
        <v>0</v>
      </c>
      <c r="P537" s="525">
        <f t="shared" si="452"/>
        <v>0</v>
      </c>
      <c r="Q537" s="525">
        <f t="shared" si="452"/>
        <v>534080</v>
      </c>
      <c r="R537" s="525">
        <f t="shared" si="452"/>
        <v>0</v>
      </c>
      <c r="S537" s="525">
        <f t="shared" si="452"/>
        <v>0</v>
      </c>
      <c r="U537" s="525">
        <f t="shared" si="456"/>
        <v>13</v>
      </c>
      <c r="V537" s="525">
        <f t="shared" si="456"/>
        <v>13</v>
      </c>
      <c r="W537" s="525">
        <f t="shared" si="456"/>
        <v>0</v>
      </c>
      <c r="X537" s="525">
        <f t="shared" si="456"/>
        <v>0</v>
      </c>
      <c r="Y537" s="525">
        <f t="shared" si="456"/>
        <v>0</v>
      </c>
      <c r="Z537" s="525">
        <f t="shared" si="456"/>
        <v>0</v>
      </c>
      <c r="AA537" s="525">
        <f t="shared" si="456"/>
        <v>0</v>
      </c>
      <c r="AB537" s="525">
        <f t="shared" si="456"/>
        <v>0</v>
      </c>
      <c r="AD537" s="405">
        <f t="shared" ref="AD537:AD600" si="457">IFERROR(VLOOKUP(B537,DONGIA,$AD$3,0),0)</f>
        <v>0</v>
      </c>
      <c r="AE537" s="525">
        <f t="shared" ref="AE537:AE600" si="458">U537*$AD537</f>
        <v>0</v>
      </c>
      <c r="AF537" s="525">
        <f t="shared" ref="AF537:AH600" si="459">V537*$AD537</f>
        <v>0</v>
      </c>
      <c r="AG537" s="525">
        <f t="shared" si="459"/>
        <v>0</v>
      </c>
      <c r="AH537" s="525">
        <f t="shared" si="459"/>
        <v>0</v>
      </c>
      <c r="AI537" s="525">
        <f t="shared" ref="AI537:AK600" si="460">Y537*$AD537</f>
        <v>0</v>
      </c>
      <c r="AJ537" s="525">
        <f t="shared" si="460"/>
        <v>0</v>
      </c>
      <c r="AK537" s="525">
        <f t="shared" si="460"/>
        <v>0</v>
      </c>
      <c r="AL537" s="525">
        <f t="shared" si="416"/>
        <v>0</v>
      </c>
    </row>
    <row r="538" spans="1:38">
      <c r="A538" s="618" t="s">
        <v>1492</v>
      </c>
      <c r="B538" s="618"/>
      <c r="C538" s="619">
        <f>IF(G538&lt;&gt;0,1,)</f>
        <v>1</v>
      </c>
      <c r="D538" s="622"/>
      <c r="E538" s="733" t="s">
        <v>2717</v>
      </c>
      <c r="F538" s="622" t="s">
        <v>138</v>
      </c>
      <c r="G538" s="622">
        <f>U538</f>
        <v>37</v>
      </c>
      <c r="H538" s="623"/>
      <c r="I538" s="623"/>
      <c r="J538" s="623"/>
      <c r="K538" s="623"/>
      <c r="L538" s="623"/>
      <c r="M538" s="623"/>
      <c r="N538" s="623">
        <f t="shared" ref="N538:S538" si="461">SUM(N540:N546)</f>
        <v>1755200</v>
      </c>
      <c r="O538" s="623">
        <f t="shared" si="461"/>
        <v>0</v>
      </c>
      <c r="P538" s="623">
        <f t="shared" si="461"/>
        <v>0</v>
      </c>
      <c r="Q538" s="623">
        <f t="shared" si="461"/>
        <v>534080</v>
      </c>
      <c r="R538" s="623">
        <f t="shared" si="461"/>
        <v>0</v>
      </c>
      <c r="S538" s="623">
        <f t="shared" si="461"/>
        <v>0</v>
      </c>
      <c r="U538" s="623">
        <f>SUM(V538:AB538)</f>
        <v>37</v>
      </c>
      <c r="V538" s="623">
        <f>IFERROR(HLOOKUP($A538,BK3P,V$3,0),)</f>
        <v>37</v>
      </c>
      <c r="W538" s="623">
        <f>IFERROR(HLOOKUP($A538,BK3P,W$3,0),)</f>
        <v>0</v>
      </c>
      <c r="X538" s="623">
        <f>IFERROR(HLOOKUP($A538,BK3P,X$3,0),)</f>
        <v>0</v>
      </c>
      <c r="Y538" s="623">
        <f>IFERROR(HLOOKUP($A538,BK1P,Y$3,0),)</f>
        <v>0</v>
      </c>
      <c r="Z538" s="623">
        <f>IFERROR(HLOOKUP($A538,BK1P,Z$3,0),)</f>
        <v>0</v>
      </c>
      <c r="AA538" s="623">
        <f>IFERROR(HLOOKUP($A538,BK1P,AA$3,0),)</f>
        <v>0</v>
      </c>
      <c r="AB538" s="623">
        <f>IFERROR(HLOOKUP($A538,BKHT,AB$3,0),)</f>
        <v>0</v>
      </c>
      <c r="AD538" s="405">
        <f t="shared" si="457"/>
        <v>0</v>
      </c>
      <c r="AE538" s="525">
        <f t="shared" si="458"/>
        <v>0</v>
      </c>
      <c r="AF538" s="525">
        <f t="shared" si="459"/>
        <v>0</v>
      </c>
      <c r="AG538" s="525">
        <f t="shared" si="459"/>
        <v>0</v>
      </c>
      <c r="AH538" s="525">
        <f t="shared" si="459"/>
        <v>0</v>
      </c>
      <c r="AI538" s="525">
        <f t="shared" si="460"/>
        <v>0</v>
      </c>
      <c r="AJ538" s="525">
        <f t="shared" si="460"/>
        <v>0</v>
      </c>
      <c r="AK538" s="525">
        <f t="shared" si="460"/>
        <v>0</v>
      </c>
      <c r="AL538" s="525">
        <f t="shared" ref="AL538:AL601" si="462">AB538*$AD538</f>
        <v>0</v>
      </c>
    </row>
    <row r="539" spans="1:38" s="542" customFormat="1">
      <c r="A539" s="624"/>
      <c r="B539" s="624"/>
      <c r="C539" s="625">
        <f>C538</f>
        <v>1</v>
      </c>
      <c r="D539" s="544"/>
      <c r="E539" s="734" t="s">
        <v>1659</v>
      </c>
      <c r="F539" s="544"/>
      <c r="G539" s="545"/>
      <c r="H539" s="545"/>
      <c r="I539" s="545"/>
      <c r="J539" s="545"/>
      <c r="K539" s="545"/>
      <c r="L539" s="545"/>
      <c r="M539" s="545"/>
      <c r="N539" s="545"/>
      <c r="O539" s="545"/>
      <c r="P539" s="545"/>
      <c r="Q539" s="545"/>
      <c r="R539" s="545"/>
      <c r="S539" s="545"/>
      <c r="U539" s="545"/>
      <c r="V539" s="545"/>
      <c r="W539" s="545"/>
      <c r="X539" s="545"/>
      <c r="Y539" s="545"/>
      <c r="Z539" s="545"/>
      <c r="AA539" s="545"/>
      <c r="AB539" s="545"/>
      <c r="AD539" s="405">
        <f t="shared" si="457"/>
        <v>0</v>
      </c>
      <c r="AE539" s="525">
        <f t="shared" si="458"/>
        <v>0</v>
      </c>
      <c r="AF539" s="525">
        <f t="shared" si="459"/>
        <v>0</v>
      </c>
      <c r="AG539" s="525">
        <f t="shared" si="459"/>
        <v>0</v>
      </c>
      <c r="AH539" s="525">
        <f t="shared" si="459"/>
        <v>0</v>
      </c>
      <c r="AI539" s="525">
        <f t="shared" si="460"/>
        <v>0</v>
      </c>
      <c r="AJ539" s="525">
        <f t="shared" si="460"/>
        <v>0</v>
      </c>
      <c r="AK539" s="525">
        <f t="shared" si="460"/>
        <v>0</v>
      </c>
      <c r="AL539" s="525">
        <f t="shared" si="462"/>
        <v>0</v>
      </c>
    </row>
    <row r="540" spans="1:38">
      <c r="A540" s="618"/>
      <c r="B540" s="618" t="s">
        <v>420</v>
      </c>
      <c r="C540" s="619">
        <f>IF(G540&lt;&gt;0,$C$538,)</f>
        <v>1</v>
      </c>
      <c r="D540" s="523">
        <f>VLOOKUP(B540,DONGIA,DG!$B$6,0)</f>
        <v>0</v>
      </c>
      <c r="E540" s="666" t="str">
        <f>VLOOKUP(B540,DONGIA,DG!$C$6,0)</f>
        <v>Đà sắt L75x75x8-2200 - 4 ốp</v>
      </c>
      <c r="F540" s="523" t="str">
        <f>VLOOKUP(B540,DONGIA,DG!$D$6,0)</f>
        <v>cái</v>
      </c>
      <c r="G540" s="525">
        <v>2</v>
      </c>
      <c r="H540" s="525">
        <f>VLOOKUP($B540,DONGIA,DG!$E$6,0)</f>
        <v>535000</v>
      </c>
      <c r="I540" s="525"/>
      <c r="J540" s="525"/>
      <c r="K540" s="525">
        <f>VLOOKUP($B540,DONGIA,DG!$F$6,0)</f>
        <v>0</v>
      </c>
      <c r="L540" s="525"/>
      <c r="M540" s="525">
        <f>VLOOKUP($B540,DONGIA,DG!$G$6,0)</f>
        <v>0</v>
      </c>
      <c r="N540" s="525">
        <f>$G540*H540</f>
        <v>1070000</v>
      </c>
      <c r="O540" s="525">
        <f t="shared" ref="O540:S546" si="463">$G540*I540</f>
        <v>0</v>
      </c>
      <c r="P540" s="525">
        <f t="shared" si="463"/>
        <v>0</v>
      </c>
      <c r="Q540" s="525">
        <f t="shared" si="463"/>
        <v>0</v>
      </c>
      <c r="R540" s="525">
        <f t="shared" si="463"/>
        <v>0</v>
      </c>
      <c r="S540" s="525">
        <f t="shared" si="463"/>
        <v>0</v>
      </c>
      <c r="U540" s="525">
        <f>U$538*$G540</f>
        <v>74</v>
      </c>
      <c r="V540" s="525">
        <f t="shared" ref="V540:AB540" si="464">V$538*$G540</f>
        <v>74</v>
      </c>
      <c r="W540" s="525">
        <f t="shared" si="464"/>
        <v>0</v>
      </c>
      <c r="X540" s="525">
        <f t="shared" si="464"/>
        <v>0</v>
      </c>
      <c r="Y540" s="525">
        <f t="shared" si="464"/>
        <v>0</v>
      </c>
      <c r="Z540" s="525">
        <f t="shared" si="464"/>
        <v>0</v>
      </c>
      <c r="AA540" s="525">
        <f t="shared" si="464"/>
        <v>0</v>
      </c>
      <c r="AB540" s="525">
        <f t="shared" si="464"/>
        <v>0</v>
      </c>
      <c r="AD540" s="405">
        <f t="shared" si="457"/>
        <v>26</v>
      </c>
      <c r="AE540" s="525">
        <f t="shared" si="458"/>
        <v>1924</v>
      </c>
      <c r="AF540" s="525">
        <f t="shared" si="459"/>
        <v>1924</v>
      </c>
      <c r="AG540" s="525">
        <f t="shared" si="459"/>
        <v>0</v>
      </c>
      <c r="AH540" s="525">
        <f t="shared" si="459"/>
        <v>0</v>
      </c>
      <c r="AI540" s="525">
        <f t="shared" si="460"/>
        <v>0</v>
      </c>
      <c r="AJ540" s="525">
        <f t="shared" si="460"/>
        <v>0</v>
      </c>
      <c r="AK540" s="525">
        <f t="shared" si="460"/>
        <v>0</v>
      </c>
      <c r="AL540" s="525">
        <f t="shared" si="462"/>
        <v>0</v>
      </c>
    </row>
    <row r="541" spans="1:38">
      <c r="A541" s="618"/>
      <c r="B541" s="618" t="s">
        <v>422</v>
      </c>
      <c r="C541" s="619">
        <f t="shared" ref="C541:C546" si="465">IF(G541&lt;&gt;0,$C$538,)</f>
        <v>1</v>
      </c>
      <c r="D541" s="523">
        <f>VLOOKUP(B541,DONGIA,DG!$B$6,0)</f>
        <v>0</v>
      </c>
      <c r="E541" s="666" t="str">
        <f>VLOOKUP(B541,DONGIA,DG!$C$6,0)</f>
        <v>Thanh chống L50x50x5-810</v>
      </c>
      <c r="F541" s="523" t="str">
        <f>VLOOKUP(B541,DONGIA,DG!$D$6,0)</f>
        <v>cái</v>
      </c>
      <c r="G541" s="525">
        <v>4</v>
      </c>
      <c r="H541" s="525">
        <f>VLOOKUP($B541,DONGIA,DG!$E$6,0)</f>
        <v>87800</v>
      </c>
      <c r="I541" s="525"/>
      <c r="J541" s="525"/>
      <c r="K541" s="525">
        <f>VLOOKUP($B541,DONGIA,DG!$F$6,0)</f>
        <v>0</v>
      </c>
      <c r="L541" s="525"/>
      <c r="M541" s="525">
        <f>VLOOKUP($B541,DONGIA,DG!$G$6,0)</f>
        <v>0</v>
      </c>
      <c r="N541" s="525">
        <f t="shared" ref="N541:N546" si="466">$G541*H541</f>
        <v>351200</v>
      </c>
      <c r="O541" s="525">
        <f t="shared" si="463"/>
        <v>0</v>
      </c>
      <c r="P541" s="525">
        <f t="shared" si="463"/>
        <v>0</v>
      </c>
      <c r="Q541" s="525">
        <f t="shared" si="463"/>
        <v>0</v>
      </c>
      <c r="R541" s="525">
        <f t="shared" si="463"/>
        <v>0</v>
      </c>
      <c r="S541" s="525">
        <f t="shared" si="463"/>
        <v>0</v>
      </c>
      <c r="U541" s="525">
        <f t="shared" ref="U541:AB546" si="467">U$538*$G541</f>
        <v>148</v>
      </c>
      <c r="V541" s="525">
        <f t="shared" si="467"/>
        <v>148</v>
      </c>
      <c r="W541" s="525">
        <f t="shared" si="467"/>
        <v>0</v>
      </c>
      <c r="X541" s="525">
        <f t="shared" si="467"/>
        <v>0</v>
      </c>
      <c r="Y541" s="525">
        <f t="shared" si="467"/>
        <v>0</v>
      </c>
      <c r="Z541" s="525">
        <f t="shared" si="467"/>
        <v>0</v>
      </c>
      <c r="AA541" s="525">
        <f t="shared" si="467"/>
        <v>0</v>
      </c>
      <c r="AB541" s="525">
        <f t="shared" si="467"/>
        <v>0</v>
      </c>
      <c r="AD541" s="405">
        <f t="shared" si="457"/>
        <v>3.5</v>
      </c>
      <c r="AE541" s="525">
        <f t="shared" si="458"/>
        <v>518</v>
      </c>
      <c r="AF541" s="525">
        <f t="shared" si="459"/>
        <v>518</v>
      </c>
      <c r="AG541" s="525">
        <f t="shared" si="459"/>
        <v>0</v>
      </c>
      <c r="AH541" s="525">
        <f t="shared" si="459"/>
        <v>0</v>
      </c>
      <c r="AI541" s="525">
        <f t="shared" si="460"/>
        <v>0</v>
      </c>
      <c r="AJ541" s="525">
        <f t="shared" si="460"/>
        <v>0</v>
      </c>
      <c r="AK541" s="525">
        <f t="shared" si="460"/>
        <v>0</v>
      </c>
      <c r="AL541" s="525">
        <f t="shared" si="462"/>
        <v>0</v>
      </c>
    </row>
    <row r="542" spans="1:38" s="332" customFormat="1">
      <c r="A542" s="356"/>
      <c r="B542" s="356" t="s">
        <v>39</v>
      </c>
      <c r="C542" s="355">
        <f t="shared" si="465"/>
        <v>0</v>
      </c>
      <c r="D542" s="341">
        <f>VLOOKUP(B542,DONGIA,DG!$B$6,0)</f>
        <v>0</v>
      </c>
      <c r="E542" s="340" t="str">
        <f>VLOOKUP(B542,DONGIA,DG!$C$6,0)</f>
        <v>Boulon 16x400+ 2 long đền vuông D18-50x50x3/Zn</v>
      </c>
      <c r="F542" s="341" t="str">
        <f>VLOOKUP(B542,DONGIA,DG!$D$6,0)</f>
        <v>bộ</v>
      </c>
      <c r="G542" s="329"/>
      <c r="H542" s="329">
        <f>VLOOKUP($B542,DONGIA,DG!$E$6,0)</f>
        <v>34000</v>
      </c>
      <c r="I542" s="329"/>
      <c r="J542" s="329"/>
      <c r="K542" s="329">
        <f>VLOOKUP($B542,DONGIA,DG!$F$6,0)</f>
        <v>0</v>
      </c>
      <c r="L542" s="329"/>
      <c r="M542" s="329">
        <f>VLOOKUP($B542,DONGIA,DG!$G$6,0)</f>
        <v>0</v>
      </c>
      <c r="N542" s="329">
        <f t="shared" si="466"/>
        <v>0</v>
      </c>
      <c r="O542" s="329">
        <f t="shared" si="463"/>
        <v>0</v>
      </c>
      <c r="P542" s="329">
        <f t="shared" si="463"/>
        <v>0</v>
      </c>
      <c r="Q542" s="329">
        <f t="shared" si="463"/>
        <v>0</v>
      </c>
      <c r="R542" s="329">
        <f t="shared" si="463"/>
        <v>0</v>
      </c>
      <c r="S542" s="329">
        <f t="shared" si="463"/>
        <v>0</v>
      </c>
      <c r="U542" s="329">
        <f t="shared" si="467"/>
        <v>0</v>
      </c>
      <c r="V542" s="329">
        <f t="shared" si="467"/>
        <v>0</v>
      </c>
      <c r="W542" s="329">
        <f t="shared" si="467"/>
        <v>0</v>
      </c>
      <c r="X542" s="329">
        <f t="shared" si="467"/>
        <v>0</v>
      </c>
      <c r="Y542" s="329">
        <f t="shared" si="467"/>
        <v>0</v>
      </c>
      <c r="Z542" s="329">
        <f t="shared" si="467"/>
        <v>0</v>
      </c>
      <c r="AA542" s="329">
        <f t="shared" si="467"/>
        <v>0</v>
      </c>
      <c r="AB542" s="329">
        <f t="shared" si="467"/>
        <v>0</v>
      </c>
      <c r="AD542" s="332">
        <f t="shared" si="457"/>
        <v>0.33</v>
      </c>
      <c r="AE542" s="329">
        <f t="shared" si="458"/>
        <v>0</v>
      </c>
      <c r="AF542" s="329">
        <f t="shared" si="459"/>
        <v>0</v>
      </c>
      <c r="AG542" s="329">
        <f t="shared" si="459"/>
        <v>0</v>
      </c>
      <c r="AH542" s="329">
        <f t="shared" si="459"/>
        <v>0</v>
      </c>
      <c r="AI542" s="329">
        <f t="shared" si="460"/>
        <v>0</v>
      </c>
      <c r="AJ542" s="329">
        <f t="shared" si="460"/>
        <v>0</v>
      </c>
      <c r="AK542" s="329">
        <f t="shared" si="460"/>
        <v>0</v>
      </c>
      <c r="AL542" s="329">
        <f t="shared" si="462"/>
        <v>0</v>
      </c>
    </row>
    <row r="543" spans="1:38">
      <c r="A543" s="618"/>
      <c r="B543" s="618" t="s">
        <v>2016</v>
      </c>
      <c r="C543" s="619">
        <f t="shared" si="465"/>
        <v>1</v>
      </c>
      <c r="D543" s="523">
        <f>VLOOKUP(B543,DONGIA,DG!$B$6,0)</f>
        <v>0</v>
      </c>
      <c r="E543" s="666" t="str">
        <f>VLOOKUP(B543,DONGIA,DG!$C$6,0)</f>
        <v>Boulon 16x450VRS + 2 long đền vuông D18-50x50x3/Zn</v>
      </c>
      <c r="F543" s="523" t="str">
        <f>VLOOKUP(B543,DONGIA,DG!$D$6,0)</f>
        <v>bộ</v>
      </c>
      <c r="G543" s="525">
        <v>2</v>
      </c>
      <c r="H543" s="525">
        <f>VLOOKUP($B543,DONGIA,DG!$E$6,0)</f>
        <v>39000</v>
      </c>
      <c r="I543" s="525"/>
      <c r="J543" s="525"/>
      <c r="K543" s="525">
        <f>VLOOKUP($B543,DONGIA,DG!$F$6,0)</f>
        <v>0</v>
      </c>
      <c r="L543" s="525"/>
      <c r="M543" s="525">
        <f>VLOOKUP($B543,DONGIA,DG!$G$6,0)</f>
        <v>0</v>
      </c>
      <c r="N543" s="525">
        <f t="shared" si="466"/>
        <v>78000</v>
      </c>
      <c r="O543" s="525">
        <f t="shared" si="463"/>
        <v>0</v>
      </c>
      <c r="P543" s="525">
        <f t="shared" si="463"/>
        <v>0</v>
      </c>
      <c r="Q543" s="525">
        <f t="shared" si="463"/>
        <v>0</v>
      </c>
      <c r="R543" s="525">
        <f t="shared" si="463"/>
        <v>0</v>
      </c>
      <c r="S543" s="525">
        <f t="shared" si="463"/>
        <v>0</v>
      </c>
      <c r="U543" s="525">
        <f t="shared" si="467"/>
        <v>74</v>
      </c>
      <c r="V543" s="525">
        <f t="shared" si="467"/>
        <v>74</v>
      </c>
      <c r="W543" s="525">
        <f t="shared" si="467"/>
        <v>0</v>
      </c>
      <c r="X543" s="525">
        <f t="shared" si="467"/>
        <v>0</v>
      </c>
      <c r="Y543" s="525">
        <f t="shared" si="467"/>
        <v>0</v>
      </c>
      <c r="Z543" s="525">
        <f t="shared" si="467"/>
        <v>0</v>
      </c>
      <c r="AA543" s="525">
        <f t="shared" si="467"/>
        <v>0</v>
      </c>
      <c r="AB543" s="525">
        <f t="shared" si="467"/>
        <v>0</v>
      </c>
      <c r="AD543" s="405">
        <f t="shared" si="457"/>
        <v>0.8500000000000002</v>
      </c>
      <c r="AE543" s="525">
        <f t="shared" si="458"/>
        <v>62.900000000000013</v>
      </c>
      <c r="AF543" s="525">
        <f t="shared" si="459"/>
        <v>62.900000000000013</v>
      </c>
      <c r="AG543" s="525">
        <f t="shared" si="459"/>
        <v>0</v>
      </c>
      <c r="AH543" s="525">
        <f t="shared" si="459"/>
        <v>0</v>
      </c>
      <c r="AI543" s="525">
        <f t="shared" si="460"/>
        <v>0</v>
      </c>
      <c r="AJ543" s="525">
        <f t="shared" si="460"/>
        <v>0</v>
      </c>
      <c r="AK543" s="525">
        <f t="shared" si="460"/>
        <v>0</v>
      </c>
      <c r="AL543" s="525">
        <f t="shared" si="462"/>
        <v>0</v>
      </c>
    </row>
    <row r="544" spans="1:38">
      <c r="A544" s="618"/>
      <c r="B544" s="618" t="s">
        <v>2018</v>
      </c>
      <c r="C544" s="619">
        <f t="shared" si="465"/>
        <v>1</v>
      </c>
      <c r="D544" s="523">
        <f>VLOOKUP(B544,DONGIA,DG!$B$6,0)</f>
        <v>0</v>
      </c>
      <c r="E544" s="666" t="str">
        <f>VLOOKUP(B544,DONGIA,DG!$C$6,0)</f>
        <v>Boulon 16x450VRS + 4 long đền vuông D18-50x50x3/Zn</v>
      </c>
      <c r="F544" s="523" t="str">
        <f>VLOOKUP(B544,DONGIA,DG!$D$6,0)</f>
        <v>bộ</v>
      </c>
      <c r="G544" s="525">
        <v>4</v>
      </c>
      <c r="H544" s="525">
        <f>VLOOKUP($B544,DONGIA,DG!$E$6,0)</f>
        <v>47000</v>
      </c>
      <c r="I544" s="525"/>
      <c r="J544" s="525"/>
      <c r="K544" s="525">
        <f>VLOOKUP($B544,DONGIA,DG!$F$6,0)</f>
        <v>0</v>
      </c>
      <c r="L544" s="525"/>
      <c r="M544" s="525">
        <f>VLOOKUP($B544,DONGIA,DG!$G$6,0)</f>
        <v>0</v>
      </c>
      <c r="N544" s="525">
        <f t="shared" si="466"/>
        <v>188000</v>
      </c>
      <c r="O544" s="525">
        <f t="shared" si="463"/>
        <v>0</v>
      </c>
      <c r="P544" s="525">
        <f t="shared" si="463"/>
        <v>0</v>
      </c>
      <c r="Q544" s="525">
        <f t="shared" si="463"/>
        <v>0</v>
      </c>
      <c r="R544" s="525">
        <f t="shared" si="463"/>
        <v>0</v>
      </c>
      <c r="S544" s="525">
        <f t="shared" si="463"/>
        <v>0</v>
      </c>
      <c r="U544" s="525">
        <f t="shared" si="467"/>
        <v>148</v>
      </c>
      <c r="V544" s="525">
        <f t="shared" si="467"/>
        <v>148</v>
      </c>
      <c r="W544" s="525">
        <f t="shared" si="467"/>
        <v>0</v>
      </c>
      <c r="X544" s="525">
        <f t="shared" si="467"/>
        <v>0</v>
      </c>
      <c r="Y544" s="525">
        <f t="shared" si="467"/>
        <v>0</v>
      </c>
      <c r="Z544" s="525">
        <f t="shared" si="467"/>
        <v>0</v>
      </c>
      <c r="AA544" s="525">
        <f t="shared" si="467"/>
        <v>0</v>
      </c>
      <c r="AB544" s="525">
        <f t="shared" si="467"/>
        <v>0</v>
      </c>
      <c r="AD544" s="405">
        <f t="shared" si="457"/>
        <v>0.44999999999999996</v>
      </c>
      <c r="AE544" s="525">
        <f t="shared" si="458"/>
        <v>66.599999999999994</v>
      </c>
      <c r="AF544" s="525">
        <f t="shared" si="459"/>
        <v>66.599999999999994</v>
      </c>
      <c r="AG544" s="525">
        <f t="shared" si="459"/>
        <v>0</v>
      </c>
      <c r="AH544" s="525">
        <f t="shared" si="459"/>
        <v>0</v>
      </c>
      <c r="AI544" s="525">
        <f t="shared" si="460"/>
        <v>0</v>
      </c>
      <c r="AJ544" s="525">
        <f t="shared" si="460"/>
        <v>0</v>
      </c>
      <c r="AK544" s="525">
        <f t="shared" si="460"/>
        <v>0</v>
      </c>
      <c r="AL544" s="525">
        <f t="shared" si="462"/>
        <v>0</v>
      </c>
    </row>
    <row r="545" spans="1:38">
      <c r="A545" s="618"/>
      <c r="B545" s="618" t="s">
        <v>29</v>
      </c>
      <c r="C545" s="619">
        <f t="shared" si="465"/>
        <v>1</v>
      </c>
      <c r="D545" s="523">
        <f>VLOOKUP(B545,DONGIA,DG!$B$6,0)</f>
        <v>0</v>
      </c>
      <c r="E545" s="666" t="str">
        <f>VLOOKUP(B545,DONGIA,DG!$C$6,0)</f>
        <v>Boulon 16x50+ 2 long đền vuông D18-50x50x3/Zn</v>
      </c>
      <c r="F545" s="523" t="str">
        <f>VLOOKUP(B545,DONGIA,DG!$D$6,0)</f>
        <v>bộ</v>
      </c>
      <c r="G545" s="525">
        <v>4</v>
      </c>
      <c r="H545" s="525">
        <f>VLOOKUP($B545,DONGIA,DG!$E$6,0)</f>
        <v>17000</v>
      </c>
      <c r="I545" s="525"/>
      <c r="J545" s="525"/>
      <c r="K545" s="525">
        <f>VLOOKUP($B545,DONGIA,DG!$F$6,0)</f>
        <v>0</v>
      </c>
      <c r="L545" s="525"/>
      <c r="M545" s="525">
        <f>VLOOKUP($B545,DONGIA,DG!$G$6,0)</f>
        <v>0</v>
      </c>
      <c r="N545" s="525">
        <f t="shared" si="466"/>
        <v>68000</v>
      </c>
      <c r="O545" s="525">
        <f t="shared" si="463"/>
        <v>0</v>
      </c>
      <c r="P545" s="525">
        <f t="shared" si="463"/>
        <v>0</v>
      </c>
      <c r="Q545" s="525">
        <f t="shared" si="463"/>
        <v>0</v>
      </c>
      <c r="R545" s="525">
        <f t="shared" si="463"/>
        <v>0</v>
      </c>
      <c r="S545" s="525">
        <f t="shared" si="463"/>
        <v>0</v>
      </c>
      <c r="U545" s="525">
        <f t="shared" si="467"/>
        <v>148</v>
      </c>
      <c r="V545" s="525">
        <f t="shared" si="467"/>
        <v>148</v>
      </c>
      <c r="W545" s="525">
        <f t="shared" si="467"/>
        <v>0</v>
      </c>
      <c r="X545" s="525">
        <f t="shared" si="467"/>
        <v>0</v>
      </c>
      <c r="Y545" s="525">
        <f t="shared" si="467"/>
        <v>0</v>
      </c>
      <c r="Z545" s="525">
        <f t="shared" si="467"/>
        <v>0</v>
      </c>
      <c r="AA545" s="525">
        <f t="shared" si="467"/>
        <v>0</v>
      </c>
      <c r="AB545" s="525">
        <f t="shared" si="467"/>
        <v>0</v>
      </c>
      <c r="AD545" s="405">
        <f t="shared" si="457"/>
        <v>0.25</v>
      </c>
      <c r="AE545" s="525">
        <f t="shared" si="458"/>
        <v>37</v>
      </c>
      <c r="AF545" s="525">
        <f t="shared" si="459"/>
        <v>37</v>
      </c>
      <c r="AG545" s="525">
        <f t="shared" si="459"/>
        <v>0</v>
      </c>
      <c r="AH545" s="525">
        <f t="shared" si="459"/>
        <v>0</v>
      </c>
      <c r="AI545" s="525">
        <f t="shared" si="460"/>
        <v>0</v>
      </c>
      <c r="AJ545" s="525">
        <f t="shared" si="460"/>
        <v>0</v>
      </c>
      <c r="AK545" s="525">
        <f t="shared" si="460"/>
        <v>0</v>
      </c>
      <c r="AL545" s="525">
        <f t="shared" si="462"/>
        <v>0</v>
      </c>
    </row>
    <row r="546" spans="1:38">
      <c r="A546" s="618"/>
      <c r="B546" s="618" t="s">
        <v>644</v>
      </c>
      <c r="C546" s="619">
        <f t="shared" si="465"/>
        <v>1</v>
      </c>
      <c r="D546" s="523" t="str">
        <f>VLOOKUP(B546,DONGIA,DG!$B$6,0)</f>
        <v>D2.6032b</v>
      </c>
      <c r="E546" s="666" t="str">
        <f>VLOOKUP(B546,DONGIA,DG!$C$6,0)</f>
        <v>Lắp đặt xà thép L75x75x8x2200 kép cột néo (58,628 kg/bộ)</v>
      </c>
      <c r="F546" s="523" t="str">
        <f>VLOOKUP(B546,DONGIA,DG!$D$6,0)</f>
        <v>bộ</v>
      </c>
      <c r="G546" s="525">
        <v>1</v>
      </c>
      <c r="H546" s="525"/>
      <c r="I546" s="525"/>
      <c r="J546" s="525"/>
      <c r="K546" s="525">
        <f>VLOOKUP($B546,DONGIA,DG!$F$6,0)</f>
        <v>534080</v>
      </c>
      <c r="L546" s="525"/>
      <c r="M546" s="525">
        <f>VLOOKUP($B546,DONGIA,DG!$G$6,0)</f>
        <v>0</v>
      </c>
      <c r="N546" s="525">
        <f t="shared" si="466"/>
        <v>0</v>
      </c>
      <c r="O546" s="525">
        <f t="shared" si="463"/>
        <v>0</v>
      </c>
      <c r="P546" s="525">
        <f t="shared" si="463"/>
        <v>0</v>
      </c>
      <c r="Q546" s="525">
        <f t="shared" si="463"/>
        <v>534080</v>
      </c>
      <c r="R546" s="525">
        <f t="shared" si="463"/>
        <v>0</v>
      </c>
      <c r="S546" s="525">
        <f t="shared" si="463"/>
        <v>0</v>
      </c>
      <c r="U546" s="525">
        <f t="shared" si="467"/>
        <v>37</v>
      </c>
      <c r="V546" s="525">
        <f t="shared" si="467"/>
        <v>37</v>
      </c>
      <c r="W546" s="525">
        <f t="shared" si="467"/>
        <v>0</v>
      </c>
      <c r="X546" s="525">
        <f t="shared" si="467"/>
        <v>0</v>
      </c>
      <c r="Y546" s="525">
        <f t="shared" si="467"/>
        <v>0</v>
      </c>
      <c r="Z546" s="525">
        <f t="shared" si="467"/>
        <v>0</v>
      </c>
      <c r="AA546" s="525">
        <f t="shared" si="467"/>
        <v>0</v>
      </c>
      <c r="AB546" s="525">
        <f t="shared" si="467"/>
        <v>0</v>
      </c>
      <c r="AD546" s="405">
        <f t="shared" si="457"/>
        <v>0</v>
      </c>
      <c r="AE546" s="525">
        <f t="shared" si="458"/>
        <v>0</v>
      </c>
      <c r="AF546" s="525">
        <f t="shared" si="459"/>
        <v>0</v>
      </c>
      <c r="AG546" s="525">
        <f t="shared" si="459"/>
        <v>0</v>
      </c>
      <c r="AH546" s="525">
        <f t="shared" si="459"/>
        <v>0</v>
      </c>
      <c r="AI546" s="525">
        <f t="shared" si="460"/>
        <v>0</v>
      </c>
      <c r="AJ546" s="525">
        <f t="shared" si="460"/>
        <v>0</v>
      </c>
      <c r="AK546" s="525">
        <f t="shared" si="460"/>
        <v>0</v>
      </c>
      <c r="AL546" s="525">
        <f t="shared" si="462"/>
        <v>0</v>
      </c>
    </row>
    <row r="547" spans="1:38">
      <c r="A547" s="618" t="s">
        <v>1500</v>
      </c>
      <c r="B547" s="618"/>
      <c r="C547" s="619">
        <f>IF(G547&lt;&gt;0,1,)</f>
        <v>1</v>
      </c>
      <c r="D547" s="622"/>
      <c r="E547" s="733" t="s">
        <v>2796</v>
      </c>
      <c r="F547" s="622" t="s">
        <v>138</v>
      </c>
      <c r="G547" s="622">
        <f>U547</f>
        <v>1</v>
      </c>
      <c r="H547" s="623"/>
      <c r="I547" s="623"/>
      <c r="J547" s="623"/>
      <c r="K547" s="623"/>
      <c r="L547" s="623"/>
      <c r="M547" s="623"/>
      <c r="N547" s="623">
        <f t="shared" ref="N547:S547" si="468">SUM(N549:N553)</f>
        <v>2227000</v>
      </c>
      <c r="O547" s="623">
        <f t="shared" si="468"/>
        <v>0</v>
      </c>
      <c r="P547" s="623">
        <f t="shared" si="468"/>
        <v>0</v>
      </c>
      <c r="Q547" s="623">
        <f t="shared" si="468"/>
        <v>449132</v>
      </c>
      <c r="R547" s="623">
        <f t="shared" si="468"/>
        <v>0</v>
      </c>
      <c r="S547" s="623">
        <f t="shared" si="468"/>
        <v>0</v>
      </c>
      <c r="U547" s="623">
        <f>SUM(V547:AB547)</f>
        <v>1</v>
      </c>
      <c r="V547" s="623">
        <f>IFERROR(HLOOKUP($A547,BK3P,V$3,0),)</f>
        <v>1</v>
      </c>
      <c r="W547" s="623">
        <f>IFERROR(HLOOKUP($A547,BK3P,W$3,0),)</f>
        <v>0</v>
      </c>
      <c r="X547" s="623">
        <f>IFERROR(HLOOKUP($A547,BK3P,X$3,0),)</f>
        <v>0</v>
      </c>
      <c r="Y547" s="623">
        <f>IFERROR(HLOOKUP($A547,BK1P,Y$3,0),)</f>
        <v>0</v>
      </c>
      <c r="Z547" s="623">
        <f>IFERROR(HLOOKUP($A547,BK1P,Z$3,0),)</f>
        <v>0</v>
      </c>
      <c r="AA547" s="623">
        <f>IFERROR(HLOOKUP($A547,BK1P,AA$3,0),)</f>
        <v>0</v>
      </c>
      <c r="AB547" s="623">
        <f>IFERROR(HLOOKUP($A547,BKHT,AB$3,0),)</f>
        <v>0</v>
      </c>
      <c r="AD547" s="405">
        <f t="shared" si="457"/>
        <v>0</v>
      </c>
      <c r="AE547" s="525">
        <f t="shared" si="458"/>
        <v>0</v>
      </c>
      <c r="AF547" s="525">
        <f t="shared" si="459"/>
        <v>0</v>
      </c>
      <c r="AG547" s="525">
        <f t="shared" si="459"/>
        <v>0</v>
      </c>
      <c r="AH547" s="525">
        <f t="shared" si="459"/>
        <v>0</v>
      </c>
      <c r="AI547" s="525">
        <f t="shared" si="460"/>
        <v>0</v>
      </c>
      <c r="AJ547" s="525">
        <f t="shared" si="460"/>
        <v>0</v>
      </c>
      <c r="AK547" s="525">
        <f t="shared" si="460"/>
        <v>0</v>
      </c>
      <c r="AL547" s="525">
        <f t="shared" si="462"/>
        <v>0</v>
      </c>
    </row>
    <row r="548" spans="1:38" s="542" customFormat="1">
      <c r="A548" s="624"/>
      <c r="B548" s="624"/>
      <c r="C548" s="625">
        <f>C547</f>
        <v>1</v>
      </c>
      <c r="D548" s="544"/>
      <c r="E548" s="734" t="s">
        <v>1659</v>
      </c>
      <c r="F548" s="544"/>
      <c r="G548" s="545"/>
      <c r="H548" s="545"/>
      <c r="I548" s="545"/>
      <c r="J548" s="545"/>
      <c r="K548" s="545"/>
      <c r="L548" s="545"/>
      <c r="M548" s="545"/>
      <c r="N548" s="545"/>
      <c r="O548" s="545"/>
      <c r="P548" s="545"/>
      <c r="Q548" s="545"/>
      <c r="R548" s="545"/>
      <c r="S548" s="545"/>
      <c r="U548" s="545"/>
      <c r="V548" s="545"/>
      <c r="W548" s="545"/>
      <c r="X548" s="545"/>
      <c r="Y548" s="545"/>
      <c r="Z548" s="545"/>
      <c r="AA548" s="545"/>
      <c r="AB548" s="545"/>
      <c r="AD548" s="405">
        <f t="shared" si="457"/>
        <v>0</v>
      </c>
      <c r="AE548" s="525">
        <f t="shared" si="458"/>
        <v>0</v>
      </c>
      <c r="AF548" s="525">
        <f t="shared" si="459"/>
        <v>0</v>
      </c>
      <c r="AG548" s="525">
        <f t="shared" si="459"/>
        <v>0</v>
      </c>
      <c r="AH548" s="525">
        <f t="shared" si="459"/>
        <v>0</v>
      </c>
      <c r="AI548" s="525">
        <f t="shared" si="460"/>
        <v>0</v>
      </c>
      <c r="AJ548" s="525">
        <f t="shared" si="460"/>
        <v>0</v>
      </c>
      <c r="AK548" s="525">
        <f t="shared" si="460"/>
        <v>0</v>
      </c>
      <c r="AL548" s="525">
        <f t="shared" si="462"/>
        <v>0</v>
      </c>
    </row>
    <row r="549" spans="1:38">
      <c r="A549" s="618"/>
      <c r="B549" s="618" t="s">
        <v>1233</v>
      </c>
      <c r="C549" s="619">
        <f>IF(G549&lt;&gt;0,$C$547,)</f>
        <v>1</v>
      </c>
      <c r="D549" s="523">
        <f>VLOOKUP(B549,DONGIA,DG!$B$6,0)</f>
        <v>0</v>
      </c>
      <c r="E549" s="666" t="str">
        <f>VLOOKUP(B549,DONGIA,DG!$C$6,0)</f>
        <v>Đà U160x68x5x2200 - (15kg/m)</v>
      </c>
      <c r="F549" s="523" t="str">
        <f>VLOOKUP(B549,DONGIA,DG!$D$6,0)</f>
        <v>cái</v>
      </c>
      <c r="G549" s="525">
        <v>2</v>
      </c>
      <c r="H549" s="525">
        <f>VLOOKUP($B549,DONGIA,DG!$E$6,0)</f>
        <v>1006000</v>
      </c>
      <c r="I549" s="525"/>
      <c r="J549" s="525"/>
      <c r="K549" s="525">
        <f>VLOOKUP($B549,DONGIA,DG!$F$6,0)</f>
        <v>0</v>
      </c>
      <c r="L549" s="525"/>
      <c r="M549" s="525">
        <f>VLOOKUP($B549,DONGIA,DG!$G$6,0)</f>
        <v>0</v>
      </c>
      <c r="N549" s="525">
        <f>$G549*H549</f>
        <v>2012000</v>
      </c>
      <c r="O549" s="525">
        <f t="shared" ref="O549:S553" si="469">$G549*I549</f>
        <v>0</v>
      </c>
      <c r="P549" s="525">
        <f t="shared" si="469"/>
        <v>0</v>
      </c>
      <c r="Q549" s="525">
        <f t="shared" si="469"/>
        <v>0</v>
      </c>
      <c r="R549" s="525">
        <f t="shared" si="469"/>
        <v>0</v>
      </c>
      <c r="S549" s="525">
        <f t="shared" si="469"/>
        <v>0</v>
      </c>
      <c r="U549" s="525">
        <f>U$547*$G549</f>
        <v>2</v>
      </c>
      <c r="V549" s="525">
        <f t="shared" ref="V549:AB549" si="470">V$547*$G549</f>
        <v>2</v>
      </c>
      <c r="W549" s="525">
        <f t="shared" si="470"/>
        <v>0</v>
      </c>
      <c r="X549" s="525">
        <f t="shared" si="470"/>
        <v>0</v>
      </c>
      <c r="Y549" s="525">
        <f t="shared" si="470"/>
        <v>0</v>
      </c>
      <c r="Z549" s="525">
        <f t="shared" si="470"/>
        <v>0</v>
      </c>
      <c r="AA549" s="525">
        <f t="shared" si="470"/>
        <v>0</v>
      </c>
      <c r="AB549" s="525">
        <f t="shared" si="470"/>
        <v>0</v>
      </c>
      <c r="AD549" s="405">
        <f t="shared" si="457"/>
        <v>33</v>
      </c>
      <c r="AE549" s="525">
        <f t="shared" si="458"/>
        <v>66</v>
      </c>
      <c r="AF549" s="525">
        <f t="shared" si="459"/>
        <v>66</v>
      </c>
      <c r="AG549" s="525">
        <f t="shared" si="459"/>
        <v>0</v>
      </c>
      <c r="AH549" s="525">
        <f t="shared" si="459"/>
        <v>0</v>
      </c>
      <c r="AI549" s="525">
        <f t="shared" si="460"/>
        <v>0</v>
      </c>
      <c r="AJ549" s="525">
        <f t="shared" si="460"/>
        <v>0</v>
      </c>
      <c r="AK549" s="525">
        <f t="shared" si="460"/>
        <v>0</v>
      </c>
      <c r="AL549" s="525">
        <f t="shared" si="462"/>
        <v>0</v>
      </c>
    </row>
    <row r="550" spans="1:38">
      <c r="A550" s="618"/>
      <c r="B550" s="618" t="s">
        <v>2746</v>
      </c>
      <c r="C550" s="619">
        <f>IF(G550&lt;&gt;0,$C$547,)</f>
        <v>1</v>
      </c>
      <c r="D550" s="523">
        <f>VLOOKUP(B550,DONGIA,DG!$B$6,0)</f>
        <v>0</v>
      </c>
      <c r="E550" s="666" t="str">
        <f>VLOOKUP(B550,DONGIA,DG!$C$6,0)</f>
        <v>Boulon 16x350VRS+ 4 long đền vuông D18-50x50x3/Zn</v>
      </c>
      <c r="F550" s="523" t="str">
        <f>VLOOKUP(B550,DONGIA,DG!$D$6,0)</f>
        <v>bộ</v>
      </c>
      <c r="G550" s="525">
        <v>5</v>
      </c>
      <c r="H550" s="525">
        <f>VLOOKUP($B550,DONGIA,DG!$E$6,0)</f>
        <v>43000</v>
      </c>
      <c r="I550" s="525"/>
      <c r="J550" s="525"/>
      <c r="K550" s="525">
        <f>VLOOKUP($B550,DONGIA,DG!$F$6,0)</f>
        <v>0</v>
      </c>
      <c r="L550" s="525"/>
      <c r="M550" s="525">
        <f>VLOOKUP($B550,DONGIA,DG!$G$6,0)</f>
        <v>0</v>
      </c>
      <c r="N550" s="525">
        <f>$G550*H550</f>
        <v>215000</v>
      </c>
      <c r="O550" s="525">
        <f t="shared" si="469"/>
        <v>0</v>
      </c>
      <c r="P550" s="525">
        <f t="shared" si="469"/>
        <v>0</v>
      </c>
      <c r="Q550" s="525">
        <f t="shared" si="469"/>
        <v>0</v>
      </c>
      <c r="R550" s="525">
        <f t="shared" si="469"/>
        <v>0</v>
      </c>
      <c r="S550" s="525">
        <f t="shared" si="469"/>
        <v>0</v>
      </c>
      <c r="U550" s="525">
        <f t="shared" ref="U550:AB553" si="471">U$547*$G550</f>
        <v>5</v>
      </c>
      <c r="V550" s="525">
        <f t="shared" si="471"/>
        <v>5</v>
      </c>
      <c r="W550" s="525">
        <f t="shared" si="471"/>
        <v>0</v>
      </c>
      <c r="X550" s="525">
        <f t="shared" si="471"/>
        <v>0</v>
      </c>
      <c r="Y550" s="525">
        <f t="shared" si="471"/>
        <v>0</v>
      </c>
      <c r="Z550" s="525">
        <f t="shared" si="471"/>
        <v>0</v>
      </c>
      <c r="AA550" s="525">
        <f t="shared" si="471"/>
        <v>0</v>
      </c>
      <c r="AB550" s="525">
        <f t="shared" si="471"/>
        <v>0</v>
      </c>
      <c r="AD550" s="405">
        <f t="shared" si="457"/>
        <v>0.35</v>
      </c>
      <c r="AE550" s="525">
        <f t="shared" si="458"/>
        <v>1.75</v>
      </c>
      <c r="AF550" s="525">
        <f t="shared" si="459"/>
        <v>1.75</v>
      </c>
      <c r="AG550" s="525">
        <f t="shared" si="459"/>
        <v>0</v>
      </c>
      <c r="AH550" s="525">
        <f t="shared" si="459"/>
        <v>0</v>
      </c>
      <c r="AI550" s="525">
        <f t="shared" si="460"/>
        <v>0</v>
      </c>
      <c r="AJ550" s="525">
        <f t="shared" si="460"/>
        <v>0</v>
      </c>
      <c r="AK550" s="525">
        <f t="shared" si="460"/>
        <v>0</v>
      </c>
      <c r="AL550" s="525">
        <f t="shared" si="462"/>
        <v>0</v>
      </c>
    </row>
    <row r="551" spans="1:38" s="332" customFormat="1">
      <c r="A551" s="356"/>
      <c r="B551" s="356" t="s">
        <v>35</v>
      </c>
      <c r="C551" s="355">
        <f>IF(G551&lt;&gt;0,$C$547,)</f>
        <v>0</v>
      </c>
      <c r="D551" s="341">
        <f>VLOOKUP(B551,DONGIA,DG!$B$6,0)</f>
        <v>0</v>
      </c>
      <c r="E551" s="340" t="str">
        <f>VLOOKUP(B551,DONGIA,DG!$C$6,0)</f>
        <v>Boulon 16x300+ 2 long đền vuông D18-50x50x3/Zn</v>
      </c>
      <c r="F551" s="341" t="str">
        <f>VLOOKUP(B551,DONGIA,DG!$D$6,0)</f>
        <v>bộ</v>
      </c>
      <c r="G551" s="329"/>
      <c r="H551" s="329">
        <f>VLOOKUP($B551,DONGIA,DG!$E$6,0)</f>
        <v>30000</v>
      </c>
      <c r="I551" s="329"/>
      <c r="J551" s="329"/>
      <c r="K551" s="329">
        <f>VLOOKUP($B551,DONGIA,DG!$F$6,0)</f>
        <v>0</v>
      </c>
      <c r="L551" s="329"/>
      <c r="M551" s="329">
        <f>VLOOKUP($B551,DONGIA,DG!$G$6,0)</f>
        <v>0</v>
      </c>
      <c r="N551" s="329">
        <f>$G551*H551</f>
        <v>0</v>
      </c>
      <c r="O551" s="329">
        <f t="shared" si="469"/>
        <v>0</v>
      </c>
      <c r="P551" s="329">
        <f t="shared" si="469"/>
        <v>0</v>
      </c>
      <c r="Q551" s="329">
        <f t="shared" si="469"/>
        <v>0</v>
      </c>
      <c r="R551" s="329">
        <f t="shared" si="469"/>
        <v>0</v>
      </c>
      <c r="S551" s="329">
        <f t="shared" si="469"/>
        <v>0</v>
      </c>
      <c r="U551" s="329">
        <f t="shared" si="471"/>
        <v>0</v>
      </c>
      <c r="V551" s="329">
        <f t="shared" si="471"/>
        <v>0</v>
      </c>
      <c r="W551" s="329">
        <f t="shared" si="471"/>
        <v>0</v>
      </c>
      <c r="X551" s="329">
        <f t="shared" si="471"/>
        <v>0</v>
      </c>
      <c r="Y551" s="329">
        <f t="shared" si="471"/>
        <v>0</v>
      </c>
      <c r="Z551" s="329">
        <f t="shared" si="471"/>
        <v>0</v>
      </c>
      <c r="AA551" s="329">
        <f t="shared" si="471"/>
        <v>0</v>
      </c>
      <c r="AB551" s="329">
        <f t="shared" si="471"/>
        <v>0</v>
      </c>
      <c r="AD551" s="332">
        <f t="shared" si="457"/>
        <v>0.25</v>
      </c>
      <c r="AE551" s="329">
        <f t="shared" si="458"/>
        <v>0</v>
      </c>
      <c r="AF551" s="329">
        <f t="shared" si="459"/>
        <v>0</v>
      </c>
      <c r="AG551" s="329">
        <f t="shared" si="459"/>
        <v>0</v>
      </c>
      <c r="AH551" s="329">
        <f t="shared" si="459"/>
        <v>0</v>
      </c>
      <c r="AI551" s="329">
        <f t="shared" si="460"/>
        <v>0</v>
      </c>
      <c r="AJ551" s="329">
        <f t="shared" si="460"/>
        <v>0</v>
      </c>
      <c r="AK551" s="329">
        <f t="shared" si="460"/>
        <v>0</v>
      </c>
      <c r="AL551" s="329">
        <f t="shared" si="462"/>
        <v>0</v>
      </c>
    </row>
    <row r="552" spans="1:38" s="332" customFormat="1">
      <c r="A552" s="356"/>
      <c r="B552" s="356" t="s">
        <v>29</v>
      </c>
      <c r="C552" s="355">
        <f>IF(G552&lt;&gt;0,$C$547,)</f>
        <v>0</v>
      </c>
      <c r="D552" s="341">
        <f>VLOOKUP(B552,DONGIA,DG!$B$6,0)</f>
        <v>0</v>
      </c>
      <c r="E552" s="340" t="str">
        <f>VLOOKUP(B552,DONGIA,DG!$C$6,0)</f>
        <v>Boulon 16x50+ 2 long đền vuông D18-50x50x3/Zn</v>
      </c>
      <c r="F552" s="341" t="str">
        <f>VLOOKUP(B552,DONGIA,DG!$D$6,0)</f>
        <v>bộ</v>
      </c>
      <c r="G552" s="329"/>
      <c r="H552" s="329">
        <f>VLOOKUP($B552,DONGIA,DG!$E$6,0)</f>
        <v>17000</v>
      </c>
      <c r="I552" s="329"/>
      <c r="J552" s="329"/>
      <c r="K552" s="329">
        <f>VLOOKUP($B552,DONGIA,DG!$F$6,0)</f>
        <v>0</v>
      </c>
      <c r="L552" s="329"/>
      <c r="M552" s="329">
        <f>VLOOKUP($B552,DONGIA,DG!$G$6,0)</f>
        <v>0</v>
      </c>
      <c r="N552" s="329">
        <f>$G552*H552</f>
        <v>0</v>
      </c>
      <c r="O552" s="329">
        <f t="shared" si="469"/>
        <v>0</v>
      </c>
      <c r="P552" s="329">
        <f t="shared" si="469"/>
        <v>0</v>
      </c>
      <c r="Q552" s="329">
        <f t="shared" si="469"/>
        <v>0</v>
      </c>
      <c r="R552" s="329">
        <f t="shared" si="469"/>
        <v>0</v>
      </c>
      <c r="S552" s="329">
        <f t="shared" si="469"/>
        <v>0</v>
      </c>
      <c r="U552" s="329">
        <f t="shared" si="471"/>
        <v>0</v>
      </c>
      <c r="V552" s="329">
        <f t="shared" si="471"/>
        <v>0</v>
      </c>
      <c r="W552" s="329">
        <f t="shared" si="471"/>
        <v>0</v>
      </c>
      <c r="X552" s="329">
        <f t="shared" si="471"/>
        <v>0</v>
      </c>
      <c r="Y552" s="329">
        <f t="shared" si="471"/>
        <v>0</v>
      </c>
      <c r="Z552" s="329">
        <f t="shared" si="471"/>
        <v>0</v>
      </c>
      <c r="AA552" s="329">
        <f t="shared" si="471"/>
        <v>0</v>
      </c>
      <c r="AB552" s="329">
        <f t="shared" si="471"/>
        <v>0</v>
      </c>
      <c r="AD552" s="332">
        <f t="shared" si="457"/>
        <v>0.25</v>
      </c>
      <c r="AE552" s="329">
        <f t="shared" si="458"/>
        <v>0</v>
      </c>
      <c r="AF552" s="329">
        <f t="shared" si="459"/>
        <v>0</v>
      </c>
      <c r="AG552" s="329">
        <f t="shared" si="459"/>
        <v>0</v>
      </c>
      <c r="AH552" s="329">
        <f t="shared" si="459"/>
        <v>0</v>
      </c>
      <c r="AI552" s="329">
        <f t="shared" si="460"/>
        <v>0</v>
      </c>
      <c r="AJ552" s="329">
        <f t="shared" si="460"/>
        <v>0</v>
      </c>
      <c r="AK552" s="329">
        <f t="shared" si="460"/>
        <v>0</v>
      </c>
      <c r="AL552" s="329">
        <f t="shared" si="462"/>
        <v>0</v>
      </c>
    </row>
    <row r="553" spans="1:38">
      <c r="A553" s="618"/>
      <c r="B553" s="618" t="s">
        <v>1753</v>
      </c>
      <c r="C553" s="619">
        <f>IF(G553&lt;&gt;0,$C$547,)</f>
        <v>1</v>
      </c>
      <c r="D553" s="523" t="str">
        <f>VLOOKUP(B553,DONGIA,DG!$B$6,0)</f>
        <v>D2.6031b</v>
      </c>
      <c r="E553" s="666" t="str">
        <f>VLOOKUP(B553,DONGIA,DG!$C$6,0)</f>
        <v>Lắp đặt xà tháp U160x68x5x2200 kép cột đỡ (76,74 kg/bộ)</v>
      </c>
      <c r="F553" s="523" t="str">
        <f>VLOOKUP(B553,DONGIA,DG!$D$6,0)</f>
        <v>bộ</v>
      </c>
      <c r="G553" s="525">
        <v>1</v>
      </c>
      <c r="H553" s="525"/>
      <c r="I553" s="525"/>
      <c r="J553" s="525"/>
      <c r="K553" s="525">
        <f>VLOOKUP($B553,DONGIA,DG!$F$6,0)</f>
        <v>449132</v>
      </c>
      <c r="L553" s="525"/>
      <c r="M553" s="525">
        <f>VLOOKUP($B553,DONGIA,DG!$G$6,0)</f>
        <v>0</v>
      </c>
      <c r="N553" s="525">
        <f>$G553*H553</f>
        <v>0</v>
      </c>
      <c r="O553" s="525">
        <f t="shared" si="469"/>
        <v>0</v>
      </c>
      <c r="P553" s="525">
        <f t="shared" si="469"/>
        <v>0</v>
      </c>
      <c r="Q553" s="525">
        <f t="shared" si="469"/>
        <v>449132</v>
      </c>
      <c r="R553" s="525">
        <f t="shared" si="469"/>
        <v>0</v>
      </c>
      <c r="S553" s="525">
        <f t="shared" si="469"/>
        <v>0</v>
      </c>
      <c r="U553" s="525">
        <f t="shared" si="471"/>
        <v>1</v>
      </c>
      <c r="V553" s="525">
        <f t="shared" si="471"/>
        <v>1</v>
      </c>
      <c r="W553" s="525">
        <f t="shared" si="471"/>
        <v>0</v>
      </c>
      <c r="X553" s="525">
        <f t="shared" si="471"/>
        <v>0</v>
      </c>
      <c r="Y553" s="525">
        <f t="shared" si="471"/>
        <v>0</v>
      </c>
      <c r="Z553" s="525">
        <f t="shared" si="471"/>
        <v>0</v>
      </c>
      <c r="AA553" s="525">
        <f t="shared" si="471"/>
        <v>0</v>
      </c>
      <c r="AB553" s="525">
        <f t="shared" si="471"/>
        <v>0</v>
      </c>
      <c r="AD553" s="405">
        <f t="shared" si="457"/>
        <v>0</v>
      </c>
      <c r="AE553" s="525">
        <f t="shared" si="458"/>
        <v>0</v>
      </c>
      <c r="AF553" s="525">
        <f t="shared" si="459"/>
        <v>0</v>
      </c>
      <c r="AG553" s="525">
        <f t="shared" si="459"/>
        <v>0</v>
      </c>
      <c r="AH553" s="525">
        <f t="shared" si="459"/>
        <v>0</v>
      </c>
      <c r="AI553" s="525">
        <f t="shared" si="460"/>
        <v>0</v>
      </c>
      <c r="AJ553" s="525">
        <f t="shared" si="460"/>
        <v>0</v>
      </c>
      <c r="AK553" s="525">
        <f t="shared" si="460"/>
        <v>0</v>
      </c>
      <c r="AL553" s="525">
        <f t="shared" si="462"/>
        <v>0</v>
      </c>
    </row>
    <row r="554" spans="1:38" s="332" customFormat="1">
      <c r="A554" s="356" t="s">
        <v>1499</v>
      </c>
      <c r="B554" s="356"/>
      <c r="C554" s="355">
        <f>IF(G554&lt;&gt;0,1,)</f>
        <v>0</v>
      </c>
      <c r="D554" s="357"/>
      <c r="E554" s="358" t="s">
        <v>3335</v>
      </c>
      <c r="F554" s="357" t="s">
        <v>138</v>
      </c>
      <c r="G554" s="357">
        <f>U554</f>
        <v>0</v>
      </c>
      <c r="H554" s="358"/>
      <c r="I554" s="358"/>
      <c r="J554" s="358"/>
      <c r="K554" s="358"/>
      <c r="L554" s="358"/>
      <c r="M554" s="358"/>
      <c r="N554" s="358">
        <f t="shared" ref="N554:S554" si="472">SUM(N556:N560)</f>
        <v>1066000</v>
      </c>
      <c r="O554" s="358">
        <f t="shared" si="472"/>
        <v>0</v>
      </c>
      <c r="P554" s="358">
        <f t="shared" si="472"/>
        <v>0</v>
      </c>
      <c r="Q554" s="358">
        <f t="shared" si="472"/>
        <v>279916</v>
      </c>
      <c r="R554" s="358">
        <f t="shared" si="472"/>
        <v>0</v>
      </c>
      <c r="S554" s="358">
        <f t="shared" si="472"/>
        <v>0</v>
      </c>
      <c r="U554" s="358">
        <f>SUM(V554:AB554)</f>
        <v>0</v>
      </c>
      <c r="V554" s="358">
        <f>IFERROR(HLOOKUP($A554,BK3P,V$3,0),)</f>
        <v>0</v>
      </c>
      <c r="W554" s="358">
        <f>IFERROR(HLOOKUP($A554,BK3P,W$3,0),)</f>
        <v>0</v>
      </c>
      <c r="X554" s="358">
        <f>IFERROR(HLOOKUP($A554,BK3P,X$3,0),)</f>
        <v>0</v>
      </c>
      <c r="Y554" s="358">
        <f>IFERROR(HLOOKUP($A554,BK1P,Y$3,0),)</f>
        <v>0</v>
      </c>
      <c r="Z554" s="358">
        <f>IFERROR(HLOOKUP($A554,BK1P,Z$3,0),)</f>
        <v>0</v>
      </c>
      <c r="AA554" s="358">
        <f>IFERROR(HLOOKUP($A554,BK1P,AA$3,0),)</f>
        <v>0</v>
      </c>
      <c r="AB554" s="358">
        <f>IFERROR(HLOOKUP($A554,BKHT,AB$3,0),)</f>
        <v>0</v>
      </c>
      <c r="AD554" s="332">
        <f t="shared" si="457"/>
        <v>0</v>
      </c>
      <c r="AE554" s="329">
        <f t="shared" si="458"/>
        <v>0</v>
      </c>
      <c r="AF554" s="329">
        <f t="shared" si="459"/>
        <v>0</v>
      </c>
      <c r="AG554" s="329">
        <f t="shared" si="459"/>
        <v>0</v>
      </c>
      <c r="AH554" s="329">
        <f t="shared" si="459"/>
        <v>0</v>
      </c>
      <c r="AI554" s="329">
        <f t="shared" si="460"/>
        <v>0</v>
      </c>
      <c r="AJ554" s="329">
        <f t="shared" si="460"/>
        <v>0</v>
      </c>
      <c r="AK554" s="329">
        <f t="shared" si="460"/>
        <v>0</v>
      </c>
      <c r="AL554" s="329">
        <f t="shared" si="462"/>
        <v>0</v>
      </c>
    </row>
    <row r="555" spans="1:38" s="361" customFormat="1">
      <c r="A555" s="359"/>
      <c r="B555" s="359"/>
      <c r="C555" s="360">
        <f>C554</f>
        <v>0</v>
      </c>
      <c r="D555" s="350"/>
      <c r="E555" s="351" t="s">
        <v>1659</v>
      </c>
      <c r="F555" s="350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U555" s="351"/>
      <c r="V555" s="351"/>
      <c r="W555" s="351"/>
      <c r="X555" s="351"/>
      <c r="Y555" s="351"/>
      <c r="Z555" s="351"/>
      <c r="AA555" s="351"/>
      <c r="AB555" s="351"/>
      <c r="AD555" s="332">
        <f t="shared" si="457"/>
        <v>0</v>
      </c>
      <c r="AE555" s="329">
        <f t="shared" si="458"/>
        <v>0</v>
      </c>
      <c r="AF555" s="329">
        <f t="shared" si="459"/>
        <v>0</v>
      </c>
      <c r="AG555" s="329">
        <f t="shared" si="459"/>
        <v>0</v>
      </c>
      <c r="AH555" s="329">
        <f t="shared" si="459"/>
        <v>0</v>
      </c>
      <c r="AI555" s="329">
        <f t="shared" si="460"/>
        <v>0</v>
      </c>
      <c r="AJ555" s="329">
        <f t="shared" si="460"/>
        <v>0</v>
      </c>
      <c r="AK555" s="329">
        <f t="shared" si="460"/>
        <v>0</v>
      </c>
      <c r="AL555" s="329">
        <f t="shared" si="462"/>
        <v>0</v>
      </c>
    </row>
    <row r="556" spans="1:38" s="332" customFormat="1">
      <c r="A556" s="356"/>
      <c r="B556" s="356" t="s">
        <v>1233</v>
      </c>
      <c r="C556" s="355">
        <f>IF(G556&lt;&gt;0,$C$554,)</f>
        <v>0</v>
      </c>
      <c r="D556" s="341">
        <f>VLOOKUP(B556,DONGIA,DG!$B$6,0)</f>
        <v>0</v>
      </c>
      <c r="E556" s="340" t="str">
        <f>VLOOKUP(B556,DONGIA,DG!$C$6,0)</f>
        <v>Đà U160x68x5x2200 - (15kg/m)</v>
      </c>
      <c r="F556" s="341" t="str">
        <f>VLOOKUP(B556,DONGIA,DG!$D$6,0)</f>
        <v>cái</v>
      </c>
      <c r="G556" s="329">
        <v>1</v>
      </c>
      <c r="H556" s="329">
        <f>VLOOKUP($B556,DONGIA,DG!$E$6,0)</f>
        <v>1006000</v>
      </c>
      <c r="I556" s="329"/>
      <c r="J556" s="329"/>
      <c r="K556" s="329">
        <f>VLOOKUP($B556,DONGIA,DG!$F$6,0)</f>
        <v>0</v>
      </c>
      <c r="L556" s="329"/>
      <c r="M556" s="329">
        <f>VLOOKUP($B556,DONGIA,DG!$G$6,0)</f>
        <v>0</v>
      </c>
      <c r="N556" s="329">
        <f>$G556*H556</f>
        <v>1006000</v>
      </c>
      <c r="O556" s="329">
        <f t="shared" ref="O556:S560" si="473">$G556*I556</f>
        <v>0</v>
      </c>
      <c r="P556" s="329">
        <f t="shared" si="473"/>
        <v>0</v>
      </c>
      <c r="Q556" s="329">
        <f t="shared" si="473"/>
        <v>0</v>
      </c>
      <c r="R556" s="329">
        <f t="shared" si="473"/>
        <v>0</v>
      </c>
      <c r="S556" s="329">
        <f t="shared" si="473"/>
        <v>0</v>
      </c>
      <c r="U556" s="329">
        <f>U$554*$G556</f>
        <v>0</v>
      </c>
      <c r="V556" s="329">
        <f t="shared" ref="V556:AB556" si="474">V$554*$G556</f>
        <v>0</v>
      </c>
      <c r="W556" s="329">
        <f t="shared" si="474"/>
        <v>0</v>
      </c>
      <c r="X556" s="329">
        <f t="shared" si="474"/>
        <v>0</v>
      </c>
      <c r="Y556" s="329">
        <f t="shared" si="474"/>
        <v>0</v>
      </c>
      <c r="Z556" s="329">
        <f t="shared" si="474"/>
        <v>0</v>
      </c>
      <c r="AA556" s="329">
        <f t="shared" si="474"/>
        <v>0</v>
      </c>
      <c r="AB556" s="329">
        <f t="shared" si="474"/>
        <v>0</v>
      </c>
      <c r="AD556" s="332">
        <f t="shared" si="457"/>
        <v>33</v>
      </c>
      <c r="AE556" s="329">
        <f t="shared" si="458"/>
        <v>0</v>
      </c>
      <c r="AF556" s="329">
        <f t="shared" si="459"/>
        <v>0</v>
      </c>
      <c r="AG556" s="329">
        <f t="shared" si="459"/>
        <v>0</v>
      </c>
      <c r="AH556" s="329">
        <f t="shared" si="459"/>
        <v>0</v>
      </c>
      <c r="AI556" s="329">
        <f t="shared" si="460"/>
        <v>0</v>
      </c>
      <c r="AJ556" s="329">
        <f t="shared" si="460"/>
        <v>0</v>
      </c>
      <c r="AK556" s="329">
        <f t="shared" si="460"/>
        <v>0</v>
      </c>
      <c r="AL556" s="329">
        <f t="shared" si="462"/>
        <v>0</v>
      </c>
    </row>
    <row r="557" spans="1:38" s="332" customFormat="1">
      <c r="A557" s="356"/>
      <c r="B557" s="356" t="s">
        <v>35</v>
      </c>
      <c r="C557" s="355">
        <f>IF(G557&lt;&gt;0,$C$554,)</f>
        <v>0</v>
      </c>
      <c r="D557" s="341">
        <f>VLOOKUP(B557,DONGIA,DG!$B$6,0)</f>
        <v>0</v>
      </c>
      <c r="E557" s="340" t="str">
        <f>VLOOKUP(B557,DONGIA,DG!$C$6,0)</f>
        <v>Boulon 16x300+ 2 long đền vuông D18-50x50x3/Zn</v>
      </c>
      <c r="F557" s="341" t="str">
        <f>VLOOKUP(B557,DONGIA,DG!$D$6,0)</f>
        <v>bộ</v>
      </c>
      <c r="G557" s="329">
        <v>2</v>
      </c>
      <c r="H557" s="329">
        <f>VLOOKUP($B557,DONGIA,DG!$E$6,0)</f>
        <v>30000</v>
      </c>
      <c r="I557" s="329"/>
      <c r="J557" s="329"/>
      <c r="K557" s="329">
        <f>VLOOKUP($B557,DONGIA,DG!$F$6,0)</f>
        <v>0</v>
      </c>
      <c r="L557" s="329"/>
      <c r="M557" s="329">
        <f>VLOOKUP($B557,DONGIA,DG!$G$6,0)</f>
        <v>0</v>
      </c>
      <c r="N557" s="329">
        <f>$G557*H557</f>
        <v>60000</v>
      </c>
      <c r="O557" s="329">
        <f t="shared" si="473"/>
        <v>0</v>
      </c>
      <c r="P557" s="329">
        <f t="shared" si="473"/>
        <v>0</v>
      </c>
      <c r="Q557" s="329">
        <f t="shared" si="473"/>
        <v>0</v>
      </c>
      <c r="R557" s="329">
        <f t="shared" si="473"/>
        <v>0</v>
      </c>
      <c r="S557" s="329">
        <f t="shared" si="473"/>
        <v>0</v>
      </c>
      <c r="U557" s="329">
        <f t="shared" ref="U557:AB560" si="475">U$554*$G557</f>
        <v>0</v>
      </c>
      <c r="V557" s="329">
        <f t="shared" si="475"/>
        <v>0</v>
      </c>
      <c r="W557" s="329">
        <f t="shared" si="475"/>
        <v>0</v>
      </c>
      <c r="X557" s="329">
        <f t="shared" si="475"/>
        <v>0</v>
      </c>
      <c r="Y557" s="329">
        <f t="shared" si="475"/>
        <v>0</v>
      </c>
      <c r="Z557" s="329">
        <f t="shared" si="475"/>
        <v>0</v>
      </c>
      <c r="AA557" s="329">
        <f t="shared" si="475"/>
        <v>0</v>
      </c>
      <c r="AB557" s="329">
        <f t="shared" si="475"/>
        <v>0</v>
      </c>
      <c r="AD557" s="332">
        <f t="shared" si="457"/>
        <v>0.25</v>
      </c>
      <c r="AE557" s="329">
        <f t="shared" si="458"/>
        <v>0</v>
      </c>
      <c r="AF557" s="329">
        <f t="shared" si="459"/>
        <v>0</v>
      </c>
      <c r="AG557" s="329">
        <f t="shared" si="459"/>
        <v>0</v>
      </c>
      <c r="AH557" s="329">
        <f t="shared" si="459"/>
        <v>0</v>
      </c>
      <c r="AI557" s="329">
        <f t="shared" si="460"/>
        <v>0</v>
      </c>
      <c r="AJ557" s="329">
        <f t="shared" si="460"/>
        <v>0</v>
      </c>
      <c r="AK557" s="329">
        <f t="shared" si="460"/>
        <v>0</v>
      </c>
      <c r="AL557" s="329">
        <f t="shared" si="462"/>
        <v>0</v>
      </c>
    </row>
    <row r="558" spans="1:38" s="332" customFormat="1">
      <c r="A558" s="356"/>
      <c r="B558" s="356" t="s">
        <v>33</v>
      </c>
      <c r="C558" s="355">
        <f>IF(G558&lt;&gt;0,$C$554,)</f>
        <v>0</v>
      </c>
      <c r="D558" s="341">
        <f>VLOOKUP(B558,DONGIA,DG!$B$6,0)</f>
        <v>0</v>
      </c>
      <c r="E558" s="340" t="str">
        <f>VLOOKUP(B558,DONGIA,DG!$C$6,0)</f>
        <v>Boulon 16x250+ 2 long đền vuông D18-50x50x3/Zn</v>
      </c>
      <c r="F558" s="341" t="str">
        <f>VLOOKUP(B558,DONGIA,DG!$D$6,0)</f>
        <v>bộ</v>
      </c>
      <c r="G558" s="329"/>
      <c r="H558" s="329">
        <f>VLOOKUP($B558,DONGIA,DG!$E$6,0)</f>
        <v>28000</v>
      </c>
      <c r="I558" s="329"/>
      <c r="J558" s="329"/>
      <c r="K558" s="329">
        <f>VLOOKUP($B558,DONGIA,DG!$F$6,0)</f>
        <v>0</v>
      </c>
      <c r="L558" s="329"/>
      <c r="M558" s="329">
        <f>VLOOKUP($B558,DONGIA,DG!$G$6,0)</f>
        <v>0</v>
      </c>
      <c r="N558" s="329">
        <f>$G558*H558</f>
        <v>0</v>
      </c>
      <c r="O558" s="329">
        <f t="shared" si="473"/>
        <v>0</v>
      </c>
      <c r="P558" s="329">
        <f t="shared" si="473"/>
        <v>0</v>
      </c>
      <c r="Q558" s="329">
        <f t="shared" si="473"/>
        <v>0</v>
      </c>
      <c r="R558" s="329">
        <f t="shared" si="473"/>
        <v>0</v>
      </c>
      <c r="S558" s="329">
        <f t="shared" si="473"/>
        <v>0</v>
      </c>
      <c r="U558" s="329">
        <f t="shared" si="475"/>
        <v>0</v>
      </c>
      <c r="V558" s="329">
        <f t="shared" si="475"/>
        <v>0</v>
      </c>
      <c r="W558" s="329">
        <f t="shared" si="475"/>
        <v>0</v>
      </c>
      <c r="X558" s="329">
        <f t="shared" si="475"/>
        <v>0</v>
      </c>
      <c r="Y558" s="329">
        <f t="shared" si="475"/>
        <v>0</v>
      </c>
      <c r="Z558" s="329">
        <f t="shared" si="475"/>
        <v>0</v>
      </c>
      <c r="AA558" s="329">
        <f t="shared" si="475"/>
        <v>0</v>
      </c>
      <c r="AB558" s="329">
        <f t="shared" si="475"/>
        <v>0</v>
      </c>
      <c r="AD558" s="332">
        <f t="shared" si="457"/>
        <v>0.23</v>
      </c>
      <c r="AE558" s="329">
        <f t="shared" si="458"/>
        <v>0</v>
      </c>
      <c r="AF558" s="329">
        <f t="shared" si="459"/>
        <v>0</v>
      </c>
      <c r="AG558" s="329">
        <f t="shared" si="459"/>
        <v>0</v>
      </c>
      <c r="AH558" s="329">
        <f t="shared" si="459"/>
        <v>0</v>
      </c>
      <c r="AI558" s="329">
        <f t="shared" si="460"/>
        <v>0</v>
      </c>
      <c r="AJ558" s="329">
        <f t="shared" si="460"/>
        <v>0</v>
      </c>
      <c r="AK558" s="329">
        <f t="shared" si="460"/>
        <v>0</v>
      </c>
      <c r="AL558" s="329">
        <f t="shared" si="462"/>
        <v>0</v>
      </c>
    </row>
    <row r="559" spans="1:38" s="332" customFormat="1">
      <c r="A559" s="356"/>
      <c r="B559" s="356" t="s">
        <v>29</v>
      </c>
      <c r="C559" s="355">
        <f>IF(G559&lt;&gt;0,$C$554,)</f>
        <v>0</v>
      </c>
      <c r="D559" s="341">
        <f>VLOOKUP(B559,DONGIA,DG!$B$6,0)</f>
        <v>0</v>
      </c>
      <c r="E559" s="340" t="str">
        <f>VLOOKUP(B559,DONGIA,DG!$C$6,0)</f>
        <v>Boulon 16x50+ 2 long đền vuông D18-50x50x3/Zn</v>
      </c>
      <c r="F559" s="341" t="str">
        <f>VLOOKUP(B559,DONGIA,DG!$D$6,0)</f>
        <v>bộ</v>
      </c>
      <c r="G559" s="329"/>
      <c r="H559" s="329">
        <f>VLOOKUP($B559,DONGIA,DG!$E$6,0)</f>
        <v>17000</v>
      </c>
      <c r="I559" s="329"/>
      <c r="J559" s="329"/>
      <c r="K559" s="329">
        <f>VLOOKUP($B559,DONGIA,DG!$F$6,0)</f>
        <v>0</v>
      </c>
      <c r="L559" s="329"/>
      <c r="M559" s="329">
        <f>VLOOKUP($B559,DONGIA,DG!$G$6,0)</f>
        <v>0</v>
      </c>
      <c r="N559" s="329">
        <f>$G559*H559</f>
        <v>0</v>
      </c>
      <c r="O559" s="329">
        <f t="shared" si="473"/>
        <v>0</v>
      </c>
      <c r="P559" s="329">
        <f t="shared" si="473"/>
        <v>0</v>
      </c>
      <c r="Q559" s="329">
        <f t="shared" si="473"/>
        <v>0</v>
      </c>
      <c r="R559" s="329">
        <f t="shared" si="473"/>
        <v>0</v>
      </c>
      <c r="S559" s="329">
        <f t="shared" si="473"/>
        <v>0</v>
      </c>
      <c r="U559" s="329">
        <f t="shared" si="475"/>
        <v>0</v>
      </c>
      <c r="V559" s="329">
        <f t="shared" si="475"/>
        <v>0</v>
      </c>
      <c r="W559" s="329">
        <f t="shared" si="475"/>
        <v>0</v>
      </c>
      <c r="X559" s="329">
        <f t="shared" si="475"/>
        <v>0</v>
      </c>
      <c r="Y559" s="329">
        <f t="shared" si="475"/>
        <v>0</v>
      </c>
      <c r="Z559" s="329">
        <f t="shared" si="475"/>
        <v>0</v>
      </c>
      <c r="AA559" s="329">
        <f t="shared" si="475"/>
        <v>0</v>
      </c>
      <c r="AB559" s="329">
        <f t="shared" si="475"/>
        <v>0</v>
      </c>
      <c r="AD559" s="332">
        <f t="shared" si="457"/>
        <v>0.25</v>
      </c>
      <c r="AE559" s="329">
        <f t="shared" si="458"/>
        <v>0</v>
      </c>
      <c r="AF559" s="329">
        <f t="shared" si="459"/>
        <v>0</v>
      </c>
      <c r="AG559" s="329">
        <f t="shared" si="459"/>
        <v>0</v>
      </c>
      <c r="AH559" s="329">
        <f t="shared" si="459"/>
        <v>0</v>
      </c>
      <c r="AI559" s="329">
        <f t="shared" si="460"/>
        <v>0</v>
      </c>
      <c r="AJ559" s="329">
        <f t="shared" si="460"/>
        <v>0</v>
      </c>
      <c r="AK559" s="329">
        <f t="shared" si="460"/>
        <v>0</v>
      </c>
      <c r="AL559" s="329">
        <f t="shared" si="462"/>
        <v>0</v>
      </c>
    </row>
    <row r="560" spans="1:38" s="332" customFormat="1">
      <c r="A560" s="356"/>
      <c r="B560" s="356" t="s">
        <v>1752</v>
      </c>
      <c r="C560" s="355">
        <f>IF(G560&lt;&gt;0,$C$554,)</f>
        <v>0</v>
      </c>
      <c r="D560" s="363" t="str">
        <f>VLOOKUP(B560,DONGIA,DG!$B$6,0)</f>
        <v>D2.6021e</v>
      </c>
      <c r="E560" s="362" t="str">
        <f>VLOOKUP(B560,DONGIA,DG!$C$6,0)</f>
        <v>Lắp đặt xà tháp U160x68x5x2200 đơn cột đỡ (29,759 kg/bộ)</v>
      </c>
      <c r="F560" s="363" t="str">
        <f>VLOOKUP(B560,DONGIA,DG!$D$6,0)</f>
        <v>bộ</v>
      </c>
      <c r="G560" s="329">
        <v>1</v>
      </c>
      <c r="H560" s="329">
        <f>VLOOKUP($B560,DONGIA,DG!$E$6,0)</f>
        <v>0</v>
      </c>
      <c r="I560" s="329"/>
      <c r="J560" s="329"/>
      <c r="K560" s="329">
        <f>VLOOKUP($B560,DONGIA,DG!$F$6,0)</f>
        <v>279916</v>
      </c>
      <c r="L560" s="329"/>
      <c r="M560" s="329">
        <f>VLOOKUP($B560,DONGIA,DG!$G$6,0)</f>
        <v>0</v>
      </c>
      <c r="N560" s="329">
        <f>$G560*H560</f>
        <v>0</v>
      </c>
      <c r="O560" s="329">
        <f t="shared" si="473"/>
        <v>0</v>
      </c>
      <c r="P560" s="329">
        <f t="shared" si="473"/>
        <v>0</v>
      </c>
      <c r="Q560" s="329">
        <f t="shared" si="473"/>
        <v>279916</v>
      </c>
      <c r="R560" s="329">
        <f t="shared" si="473"/>
        <v>0</v>
      </c>
      <c r="S560" s="329">
        <f t="shared" si="473"/>
        <v>0</v>
      </c>
      <c r="U560" s="329">
        <f t="shared" si="475"/>
        <v>0</v>
      </c>
      <c r="V560" s="329">
        <f t="shared" si="475"/>
        <v>0</v>
      </c>
      <c r="W560" s="329">
        <f t="shared" si="475"/>
        <v>0</v>
      </c>
      <c r="X560" s="329">
        <f t="shared" si="475"/>
        <v>0</v>
      </c>
      <c r="Y560" s="329">
        <f t="shared" si="475"/>
        <v>0</v>
      </c>
      <c r="Z560" s="329">
        <f t="shared" si="475"/>
        <v>0</v>
      </c>
      <c r="AA560" s="329">
        <f t="shared" si="475"/>
        <v>0</v>
      </c>
      <c r="AB560" s="329">
        <f t="shared" si="475"/>
        <v>0</v>
      </c>
      <c r="AD560" s="332">
        <f t="shared" si="457"/>
        <v>0</v>
      </c>
      <c r="AE560" s="329">
        <f t="shared" si="458"/>
        <v>0</v>
      </c>
      <c r="AF560" s="329">
        <f t="shared" si="459"/>
        <v>0</v>
      </c>
      <c r="AG560" s="329">
        <f t="shared" si="459"/>
        <v>0</v>
      </c>
      <c r="AH560" s="329">
        <f t="shared" si="459"/>
        <v>0</v>
      </c>
      <c r="AI560" s="329">
        <f t="shared" si="460"/>
        <v>0</v>
      </c>
      <c r="AJ560" s="329">
        <f t="shared" si="460"/>
        <v>0</v>
      </c>
      <c r="AK560" s="329">
        <f t="shared" si="460"/>
        <v>0</v>
      </c>
      <c r="AL560" s="329">
        <f t="shared" si="462"/>
        <v>0</v>
      </c>
    </row>
    <row r="561" spans="1:38">
      <c r="A561" s="618" t="s">
        <v>1609</v>
      </c>
      <c r="B561" s="618"/>
      <c r="C561" s="619">
        <f>IF(G561&lt;&gt;0,1,)</f>
        <v>1</v>
      </c>
      <c r="D561" s="622"/>
      <c r="E561" s="733" t="s">
        <v>2716</v>
      </c>
      <c r="F561" s="622" t="s">
        <v>138</v>
      </c>
      <c r="G561" s="622">
        <f>U561</f>
        <v>4</v>
      </c>
      <c r="H561" s="623"/>
      <c r="I561" s="623"/>
      <c r="J561" s="623"/>
      <c r="K561" s="623"/>
      <c r="L561" s="623"/>
      <c r="M561" s="623"/>
      <c r="N561" s="623">
        <f t="shared" ref="N561:S561" si="476">SUM(N563:N569)</f>
        <v>545520</v>
      </c>
      <c r="O561" s="623">
        <f t="shared" si="476"/>
        <v>0</v>
      </c>
      <c r="P561" s="623">
        <f t="shared" si="476"/>
        <v>0</v>
      </c>
      <c r="Q561" s="623">
        <f t="shared" si="476"/>
        <v>106623</v>
      </c>
      <c r="R561" s="623">
        <f t="shared" si="476"/>
        <v>0</v>
      </c>
      <c r="S561" s="623">
        <f t="shared" si="476"/>
        <v>0</v>
      </c>
      <c r="U561" s="623">
        <f>SUM(V561:AB561)</f>
        <v>4</v>
      </c>
      <c r="V561" s="623">
        <f>IFERROR(HLOOKUP($A561,BK3P,V$3,0),)</f>
        <v>0</v>
      </c>
      <c r="W561" s="623">
        <f>IFERROR(HLOOKUP($A561,BK3P,W$3,0),)</f>
        <v>0</v>
      </c>
      <c r="X561" s="623">
        <f>IFERROR(HLOOKUP($A561,BK3P,X$3,0),)</f>
        <v>0</v>
      </c>
      <c r="Y561" s="623">
        <f>IFERROR(HLOOKUP($A561,BK1P,Y$3,0),)</f>
        <v>0</v>
      </c>
      <c r="Z561" s="623">
        <f>IFERROR(HLOOKUP($A561,BK1P,Z$3,0),)</f>
        <v>0</v>
      </c>
      <c r="AA561" s="623">
        <f>IFERROR(HLOOKUP($A561,BK1P,AA$3,0),)</f>
        <v>0</v>
      </c>
      <c r="AB561" s="623">
        <f>IFERROR(HLOOKUP($A561,BKHT,AB$3,0),)</f>
        <v>4</v>
      </c>
      <c r="AD561" s="405">
        <f t="shared" si="457"/>
        <v>0</v>
      </c>
      <c r="AE561" s="525">
        <f t="shared" si="458"/>
        <v>0</v>
      </c>
      <c r="AF561" s="525">
        <f t="shared" si="459"/>
        <v>0</v>
      </c>
      <c r="AG561" s="525">
        <f t="shared" si="459"/>
        <v>0</v>
      </c>
      <c r="AH561" s="525">
        <f t="shared" si="459"/>
        <v>0</v>
      </c>
      <c r="AI561" s="525">
        <f t="shared" si="460"/>
        <v>0</v>
      </c>
      <c r="AJ561" s="525">
        <f t="shared" si="460"/>
        <v>0</v>
      </c>
      <c r="AK561" s="525">
        <f t="shared" si="460"/>
        <v>0</v>
      </c>
      <c r="AL561" s="525">
        <f t="shared" si="462"/>
        <v>0</v>
      </c>
    </row>
    <row r="562" spans="1:38" s="542" customFormat="1">
      <c r="A562" s="624"/>
      <c r="B562" s="624"/>
      <c r="C562" s="625">
        <f>C561</f>
        <v>1</v>
      </c>
      <c r="D562" s="544"/>
      <c r="E562" s="734" t="s">
        <v>1659</v>
      </c>
      <c r="F562" s="544"/>
      <c r="G562" s="545"/>
      <c r="H562" s="545"/>
      <c r="I562" s="545"/>
      <c r="J562" s="545"/>
      <c r="K562" s="545"/>
      <c r="L562" s="545"/>
      <c r="M562" s="545"/>
      <c r="N562" s="545"/>
      <c r="O562" s="545"/>
      <c r="P562" s="545"/>
      <c r="Q562" s="545"/>
      <c r="R562" s="545"/>
      <c r="S562" s="545"/>
      <c r="U562" s="545"/>
      <c r="V562" s="545"/>
      <c r="W562" s="545"/>
      <c r="X562" s="545"/>
      <c r="Y562" s="545"/>
      <c r="Z562" s="545"/>
      <c r="AA562" s="545"/>
      <c r="AB562" s="545"/>
      <c r="AD562" s="405">
        <f t="shared" si="457"/>
        <v>0</v>
      </c>
      <c r="AE562" s="525">
        <f t="shared" si="458"/>
        <v>0</v>
      </c>
      <c r="AF562" s="525">
        <f t="shared" si="459"/>
        <v>0</v>
      </c>
      <c r="AG562" s="525">
        <f t="shared" si="459"/>
        <v>0</v>
      </c>
      <c r="AH562" s="525">
        <f t="shared" si="459"/>
        <v>0</v>
      </c>
      <c r="AI562" s="525">
        <f t="shared" si="460"/>
        <v>0</v>
      </c>
      <c r="AJ562" s="525">
        <f t="shared" si="460"/>
        <v>0</v>
      </c>
      <c r="AK562" s="525">
        <f t="shared" si="460"/>
        <v>0</v>
      </c>
      <c r="AL562" s="525">
        <f t="shared" si="462"/>
        <v>0</v>
      </c>
    </row>
    <row r="563" spans="1:38">
      <c r="A563" s="618"/>
      <c r="B563" s="618" t="s">
        <v>109</v>
      </c>
      <c r="C563" s="619">
        <f>IF(G563&lt;&gt;0,$C$561,)</f>
        <v>1</v>
      </c>
      <c r="D563" s="523">
        <f>VLOOKUP(B563,DONGIA,DG!$B$6,0)</f>
        <v>0</v>
      </c>
      <c r="E563" s="666" t="str">
        <f>VLOOKUP(B563,DONGIA,DG!$C$6,0)</f>
        <v>Boulon mắt 16x250+ long đền vuông D18-50x50x3/Zn</v>
      </c>
      <c r="F563" s="523" t="str">
        <f>VLOOKUP(B563,DONGIA,DG!$D$6,0)</f>
        <v>bộ</v>
      </c>
      <c r="G563" s="525">
        <v>1</v>
      </c>
      <c r="H563" s="525">
        <f>VLOOKUP($B563,DONGIA,DG!$E$6,0)</f>
        <v>29000</v>
      </c>
      <c r="I563" s="525"/>
      <c r="J563" s="525"/>
      <c r="K563" s="525">
        <f>VLOOKUP($B563,DONGIA,DG!$F$6,0)</f>
        <v>0</v>
      </c>
      <c r="L563" s="525"/>
      <c r="M563" s="525">
        <f>VLOOKUP($B563,DONGIA,DG!$G$6,0)</f>
        <v>0</v>
      </c>
      <c r="N563" s="525">
        <f>$G563*H563</f>
        <v>29000</v>
      </c>
      <c r="O563" s="525">
        <f t="shared" ref="O563:S569" si="477">$G563*I563</f>
        <v>0</v>
      </c>
      <c r="P563" s="525">
        <f t="shared" si="477"/>
        <v>0</v>
      </c>
      <c r="Q563" s="525">
        <f t="shared" si="477"/>
        <v>0</v>
      </c>
      <c r="R563" s="525">
        <f t="shared" si="477"/>
        <v>0</v>
      </c>
      <c r="S563" s="525">
        <f t="shared" si="477"/>
        <v>0</v>
      </c>
      <c r="U563" s="525">
        <f>U$561*$G563</f>
        <v>4</v>
      </c>
      <c r="V563" s="525">
        <f t="shared" ref="V563:AB563" si="478">V$561*$G563</f>
        <v>0</v>
      </c>
      <c r="W563" s="525">
        <f t="shared" si="478"/>
        <v>0</v>
      </c>
      <c r="X563" s="525">
        <f t="shared" si="478"/>
        <v>0</v>
      </c>
      <c r="Y563" s="525">
        <f t="shared" si="478"/>
        <v>0</v>
      </c>
      <c r="Z563" s="525">
        <f t="shared" si="478"/>
        <v>0</v>
      </c>
      <c r="AA563" s="525">
        <f t="shared" si="478"/>
        <v>0</v>
      </c>
      <c r="AB563" s="525">
        <f t="shared" si="478"/>
        <v>4</v>
      </c>
      <c r="AD563" s="405">
        <f t="shared" si="457"/>
        <v>0.3</v>
      </c>
      <c r="AE563" s="525">
        <f t="shared" si="458"/>
        <v>1.2</v>
      </c>
      <c r="AF563" s="525">
        <f t="shared" si="459"/>
        <v>0</v>
      </c>
      <c r="AG563" s="525">
        <f t="shared" si="459"/>
        <v>0</v>
      </c>
      <c r="AH563" s="525">
        <f t="shared" si="459"/>
        <v>0</v>
      </c>
      <c r="AI563" s="525">
        <f t="shared" si="460"/>
        <v>0</v>
      </c>
      <c r="AJ563" s="525">
        <f t="shared" si="460"/>
        <v>0</v>
      </c>
      <c r="AK563" s="525">
        <f t="shared" si="460"/>
        <v>0</v>
      </c>
      <c r="AL563" s="525">
        <f t="shared" si="462"/>
        <v>1.2</v>
      </c>
    </row>
    <row r="564" spans="1:38">
      <c r="A564" s="618"/>
      <c r="B564" s="618" t="s">
        <v>1380</v>
      </c>
      <c r="C564" s="619">
        <f t="shared" ref="C564:C569" si="479">IF(G564&lt;&gt;0,$C$561,)</f>
        <v>1</v>
      </c>
      <c r="D564" s="523">
        <f>VLOOKUP(B564,DONGIA,DG!$B$6,0)</f>
        <v>0</v>
      </c>
      <c r="E564" s="666" t="str">
        <f>VLOOKUP(B564,DONGIA,DG!$C$6,0)</f>
        <v>Sứ chằng nhỏ</v>
      </c>
      <c r="F564" s="523" t="str">
        <f>VLOOKUP(B564,DONGIA,DG!$D$6,0)</f>
        <v>cái</v>
      </c>
      <c r="G564" s="525">
        <v>1</v>
      </c>
      <c r="H564" s="525">
        <f>VLOOKUP($B564,DONGIA,DG!$E$6,0)</f>
        <v>42000</v>
      </c>
      <c r="I564" s="525"/>
      <c r="J564" s="525"/>
      <c r="K564" s="525">
        <f>VLOOKUP($B564,DONGIA,DG!$F$6,0)</f>
        <v>0</v>
      </c>
      <c r="L564" s="525"/>
      <c r="M564" s="525">
        <f>VLOOKUP($B564,DONGIA,DG!$G$6,0)</f>
        <v>0</v>
      </c>
      <c r="N564" s="525">
        <f t="shared" ref="N564:N569" si="480">$G564*H564</f>
        <v>42000</v>
      </c>
      <c r="O564" s="525">
        <f t="shared" si="477"/>
        <v>0</v>
      </c>
      <c r="P564" s="525">
        <f t="shared" si="477"/>
        <v>0</v>
      </c>
      <c r="Q564" s="525">
        <f t="shared" si="477"/>
        <v>0</v>
      </c>
      <c r="R564" s="525">
        <f t="shared" si="477"/>
        <v>0</v>
      </c>
      <c r="S564" s="525">
        <f t="shared" si="477"/>
        <v>0</v>
      </c>
      <c r="U564" s="525">
        <f t="shared" ref="U564:AB569" si="481">U$561*$G564</f>
        <v>4</v>
      </c>
      <c r="V564" s="525">
        <f t="shared" si="481"/>
        <v>0</v>
      </c>
      <c r="W564" s="525">
        <f t="shared" si="481"/>
        <v>0</v>
      </c>
      <c r="X564" s="525">
        <f t="shared" si="481"/>
        <v>0</v>
      </c>
      <c r="Y564" s="525">
        <f t="shared" si="481"/>
        <v>0</v>
      </c>
      <c r="Z564" s="525">
        <f t="shared" si="481"/>
        <v>0</v>
      </c>
      <c r="AA564" s="525">
        <f t="shared" si="481"/>
        <v>0</v>
      </c>
      <c r="AB564" s="525">
        <f t="shared" si="481"/>
        <v>4</v>
      </c>
      <c r="AD564" s="405">
        <f t="shared" si="457"/>
        <v>0.7</v>
      </c>
      <c r="AE564" s="525">
        <f t="shared" si="458"/>
        <v>2.8</v>
      </c>
      <c r="AF564" s="525">
        <f t="shared" si="459"/>
        <v>0</v>
      </c>
      <c r="AG564" s="525">
        <f t="shared" si="459"/>
        <v>0</v>
      </c>
      <c r="AH564" s="525">
        <f t="shared" si="459"/>
        <v>0</v>
      </c>
      <c r="AI564" s="525">
        <f t="shared" si="460"/>
        <v>0</v>
      </c>
      <c r="AJ564" s="525">
        <f t="shared" si="460"/>
        <v>0</v>
      </c>
      <c r="AK564" s="525">
        <f t="shared" si="460"/>
        <v>0</v>
      </c>
      <c r="AL564" s="525">
        <f t="shared" si="462"/>
        <v>2.8</v>
      </c>
    </row>
    <row r="565" spans="1:38">
      <c r="A565" s="618"/>
      <c r="B565" s="618" t="s">
        <v>277</v>
      </c>
      <c r="C565" s="619">
        <f t="shared" si="479"/>
        <v>1</v>
      </c>
      <c r="D565" s="523">
        <f>VLOOKUP(B565,DONGIA,DG!$B$6,0)</f>
        <v>0</v>
      </c>
      <c r="E565" s="666" t="str">
        <f>VLOOKUP(B565,DONGIA,DG!$C$6,0)</f>
        <v>Kẹp cáp 3 boulon B46x136</v>
      </c>
      <c r="F565" s="523" t="str">
        <f>VLOOKUP(B565,DONGIA,DG!$D$6,0)</f>
        <v>cái</v>
      </c>
      <c r="G565" s="525">
        <v>4</v>
      </c>
      <c r="H565" s="525">
        <f>VLOOKUP($B565,DONGIA,DG!$E$6,0)</f>
        <v>48000</v>
      </c>
      <c r="I565" s="525"/>
      <c r="J565" s="525"/>
      <c r="K565" s="525">
        <f>VLOOKUP($B565,DONGIA,DG!$F$6,0)</f>
        <v>0</v>
      </c>
      <c r="L565" s="525"/>
      <c r="M565" s="525">
        <f>VLOOKUP($B565,DONGIA,DG!$G$6,0)</f>
        <v>0</v>
      </c>
      <c r="N565" s="525">
        <f t="shared" si="480"/>
        <v>192000</v>
      </c>
      <c r="O565" s="525">
        <f t="shared" si="477"/>
        <v>0</v>
      </c>
      <c r="P565" s="525">
        <f t="shared" si="477"/>
        <v>0</v>
      </c>
      <c r="Q565" s="525">
        <f t="shared" si="477"/>
        <v>0</v>
      </c>
      <c r="R565" s="525">
        <f t="shared" si="477"/>
        <v>0</v>
      </c>
      <c r="S565" s="525">
        <f t="shared" si="477"/>
        <v>0</v>
      </c>
      <c r="U565" s="525">
        <f t="shared" si="481"/>
        <v>16</v>
      </c>
      <c r="V565" s="525">
        <f t="shared" si="481"/>
        <v>0</v>
      </c>
      <c r="W565" s="525">
        <f t="shared" si="481"/>
        <v>0</v>
      </c>
      <c r="X565" s="525">
        <f t="shared" si="481"/>
        <v>0</v>
      </c>
      <c r="Y565" s="525">
        <f t="shared" si="481"/>
        <v>0</v>
      </c>
      <c r="Z565" s="525">
        <f t="shared" si="481"/>
        <v>0</v>
      </c>
      <c r="AA565" s="525">
        <f t="shared" si="481"/>
        <v>0</v>
      </c>
      <c r="AB565" s="525">
        <f t="shared" si="481"/>
        <v>16</v>
      </c>
      <c r="AD565" s="405">
        <f t="shared" si="457"/>
        <v>0.2</v>
      </c>
      <c r="AE565" s="525">
        <f t="shared" si="458"/>
        <v>3.2</v>
      </c>
      <c r="AF565" s="525">
        <f t="shared" si="459"/>
        <v>0</v>
      </c>
      <c r="AG565" s="525">
        <f t="shared" si="459"/>
        <v>0</v>
      </c>
      <c r="AH565" s="525">
        <f t="shared" si="459"/>
        <v>0</v>
      </c>
      <c r="AI565" s="525">
        <f t="shared" si="460"/>
        <v>0</v>
      </c>
      <c r="AJ565" s="525">
        <f t="shared" si="460"/>
        <v>0</v>
      </c>
      <c r="AK565" s="525">
        <f t="shared" si="460"/>
        <v>0</v>
      </c>
      <c r="AL565" s="525">
        <f t="shared" si="462"/>
        <v>3.2</v>
      </c>
    </row>
    <row r="566" spans="1:38">
      <c r="A566" s="618"/>
      <c r="B566" s="618" t="s">
        <v>266</v>
      </c>
      <c r="C566" s="619">
        <f t="shared" si="479"/>
        <v>1</v>
      </c>
      <c r="D566" s="523">
        <f>VLOOKUP(B566,DONGIA,DG!$B$6,0)</f>
        <v>0</v>
      </c>
      <c r="E566" s="666" t="str">
        <f>VLOOKUP(B566,DONGIA,DG!$C$6,0)</f>
        <v>Cáp thép 3/8"</v>
      </c>
      <c r="F566" s="523" t="str">
        <f>VLOOKUP(B566,DONGIA,DG!$D$6,0)</f>
        <v>mét</v>
      </c>
      <c r="G566" s="554">
        <f>11</f>
        <v>11</v>
      </c>
      <c r="H566" s="525">
        <f>VLOOKUP($B566,DONGIA,DG!$E$6,0)</f>
        <v>13320</v>
      </c>
      <c r="I566" s="525"/>
      <c r="J566" s="525"/>
      <c r="K566" s="525">
        <f>VLOOKUP($B566,DONGIA,DG!$F$6,0)</f>
        <v>0</v>
      </c>
      <c r="L566" s="525"/>
      <c r="M566" s="525">
        <f>VLOOKUP($B566,DONGIA,DG!$G$6,0)</f>
        <v>0</v>
      </c>
      <c r="N566" s="525">
        <f t="shared" si="480"/>
        <v>146520</v>
      </c>
      <c r="O566" s="525">
        <f t="shared" si="477"/>
        <v>0</v>
      </c>
      <c r="P566" s="525">
        <f t="shared" si="477"/>
        <v>0</v>
      </c>
      <c r="Q566" s="525">
        <f t="shared" si="477"/>
        <v>0</v>
      </c>
      <c r="R566" s="525">
        <f t="shared" si="477"/>
        <v>0</v>
      </c>
      <c r="S566" s="525">
        <f t="shared" si="477"/>
        <v>0</v>
      </c>
      <c r="U566" s="525">
        <f t="shared" si="481"/>
        <v>44</v>
      </c>
      <c r="V566" s="525">
        <f t="shared" si="481"/>
        <v>0</v>
      </c>
      <c r="W566" s="525">
        <f t="shared" si="481"/>
        <v>0</v>
      </c>
      <c r="X566" s="525">
        <f t="shared" si="481"/>
        <v>0</v>
      </c>
      <c r="Y566" s="525">
        <f t="shared" si="481"/>
        <v>0</v>
      </c>
      <c r="Z566" s="525">
        <f t="shared" si="481"/>
        <v>0</v>
      </c>
      <c r="AA566" s="525">
        <f t="shared" si="481"/>
        <v>0</v>
      </c>
      <c r="AB566" s="525">
        <f t="shared" si="481"/>
        <v>44</v>
      </c>
      <c r="AD566" s="405">
        <f t="shared" si="457"/>
        <v>1</v>
      </c>
      <c r="AE566" s="525">
        <f t="shared" si="458"/>
        <v>44</v>
      </c>
      <c r="AF566" s="525">
        <f t="shared" si="459"/>
        <v>0</v>
      </c>
      <c r="AG566" s="525">
        <f t="shared" si="459"/>
        <v>0</v>
      </c>
      <c r="AH566" s="525">
        <f t="shared" si="459"/>
        <v>0</v>
      </c>
      <c r="AI566" s="525">
        <f t="shared" si="460"/>
        <v>0</v>
      </c>
      <c r="AJ566" s="525">
        <f t="shared" si="460"/>
        <v>0</v>
      </c>
      <c r="AK566" s="525">
        <f t="shared" si="460"/>
        <v>0</v>
      </c>
      <c r="AL566" s="525">
        <f t="shared" si="462"/>
        <v>44</v>
      </c>
    </row>
    <row r="567" spans="1:38">
      <c r="A567" s="618"/>
      <c r="B567" s="618" t="s">
        <v>475</v>
      </c>
      <c r="C567" s="619">
        <f t="shared" si="479"/>
        <v>1</v>
      </c>
      <c r="D567" s="523">
        <f>VLOOKUP(B567,DONGIA,DG!$B$6,0)</f>
        <v>0</v>
      </c>
      <c r="E567" s="666" t="str">
        <f>VLOOKUP(B567,DONGIA,DG!$C$6,0)</f>
        <v>Yếm cáp dày 2mm</v>
      </c>
      <c r="F567" s="523" t="str">
        <f>VLOOKUP(B567,DONGIA,DG!$D$6,0)</f>
        <v>cái</v>
      </c>
      <c r="G567" s="525">
        <v>2</v>
      </c>
      <c r="H567" s="525">
        <f>VLOOKUP($B567,DONGIA,DG!$E$6,0)</f>
        <v>8000</v>
      </c>
      <c r="I567" s="525"/>
      <c r="J567" s="525"/>
      <c r="K567" s="525">
        <f>VLOOKUP($B567,DONGIA,DG!$F$6,0)</f>
        <v>0</v>
      </c>
      <c r="L567" s="525"/>
      <c r="M567" s="525">
        <f>VLOOKUP($B567,DONGIA,DG!$G$6,0)</f>
        <v>0</v>
      </c>
      <c r="N567" s="525">
        <f t="shared" si="480"/>
        <v>16000</v>
      </c>
      <c r="O567" s="525">
        <f t="shared" si="477"/>
        <v>0</v>
      </c>
      <c r="P567" s="525">
        <f t="shared" si="477"/>
        <v>0</v>
      </c>
      <c r="Q567" s="525">
        <f t="shared" si="477"/>
        <v>0</v>
      </c>
      <c r="R567" s="525">
        <f t="shared" si="477"/>
        <v>0</v>
      </c>
      <c r="S567" s="525">
        <f t="shared" si="477"/>
        <v>0</v>
      </c>
      <c r="U567" s="525">
        <f t="shared" si="481"/>
        <v>8</v>
      </c>
      <c r="V567" s="525">
        <f t="shared" si="481"/>
        <v>0</v>
      </c>
      <c r="W567" s="525">
        <f t="shared" si="481"/>
        <v>0</v>
      </c>
      <c r="X567" s="525">
        <f t="shared" si="481"/>
        <v>0</v>
      </c>
      <c r="Y567" s="525">
        <f t="shared" si="481"/>
        <v>0</v>
      </c>
      <c r="Z567" s="525">
        <f t="shared" si="481"/>
        <v>0</v>
      </c>
      <c r="AA567" s="525">
        <f t="shared" si="481"/>
        <v>0</v>
      </c>
      <c r="AB567" s="525">
        <f t="shared" si="481"/>
        <v>8</v>
      </c>
      <c r="AD567" s="405">
        <f t="shared" si="457"/>
        <v>0.3</v>
      </c>
      <c r="AE567" s="525">
        <f t="shared" si="458"/>
        <v>2.4</v>
      </c>
      <c r="AF567" s="525">
        <f t="shared" si="459"/>
        <v>0</v>
      </c>
      <c r="AG567" s="525">
        <f t="shared" si="459"/>
        <v>0</v>
      </c>
      <c r="AH567" s="525">
        <f t="shared" si="459"/>
        <v>0</v>
      </c>
      <c r="AI567" s="525">
        <f t="shared" si="460"/>
        <v>0</v>
      </c>
      <c r="AJ567" s="525">
        <f t="shared" si="460"/>
        <v>0</v>
      </c>
      <c r="AK567" s="525">
        <f t="shared" si="460"/>
        <v>0</v>
      </c>
      <c r="AL567" s="525">
        <f t="shared" si="462"/>
        <v>2.4</v>
      </c>
    </row>
    <row r="568" spans="1:38">
      <c r="A568" s="618"/>
      <c r="B568" s="618" t="s">
        <v>373</v>
      </c>
      <c r="C568" s="619">
        <f t="shared" si="479"/>
        <v>1</v>
      </c>
      <c r="D568" s="523">
        <f>VLOOKUP(B568,DONGIA,DG!$B$6,0)</f>
        <v>0</v>
      </c>
      <c r="E568" s="666" t="str">
        <f>VLOOKUP(B568,DONGIA,DG!$C$6,0)</f>
        <v>Máng che dây chằng dày 0,8x2000mm</v>
      </c>
      <c r="F568" s="523" t="str">
        <f>VLOOKUP(B568,DONGIA,DG!$D$6,0)</f>
        <v>cái</v>
      </c>
      <c r="G568" s="525">
        <v>1</v>
      </c>
      <c r="H568" s="525">
        <f>VLOOKUP($B568,DONGIA,DG!$E$6,0)</f>
        <v>120000</v>
      </c>
      <c r="I568" s="525"/>
      <c r="J568" s="525"/>
      <c r="K568" s="525">
        <f>VLOOKUP($B568,DONGIA,DG!$F$6,0)</f>
        <v>0</v>
      </c>
      <c r="L568" s="525"/>
      <c r="M568" s="525">
        <f>VLOOKUP($B568,DONGIA,DG!$G$6,0)</f>
        <v>0</v>
      </c>
      <c r="N568" s="525">
        <f t="shared" si="480"/>
        <v>120000</v>
      </c>
      <c r="O568" s="525">
        <f t="shared" si="477"/>
        <v>0</v>
      </c>
      <c r="P568" s="525">
        <f t="shared" si="477"/>
        <v>0</v>
      </c>
      <c r="Q568" s="525">
        <f t="shared" si="477"/>
        <v>0</v>
      </c>
      <c r="R568" s="525">
        <f t="shared" si="477"/>
        <v>0</v>
      </c>
      <c r="S568" s="525">
        <f t="shared" si="477"/>
        <v>0</v>
      </c>
      <c r="U568" s="525">
        <f t="shared" si="481"/>
        <v>4</v>
      </c>
      <c r="V568" s="525">
        <f t="shared" si="481"/>
        <v>0</v>
      </c>
      <c r="W568" s="525">
        <f t="shared" si="481"/>
        <v>0</v>
      </c>
      <c r="X568" s="525">
        <f t="shared" si="481"/>
        <v>0</v>
      </c>
      <c r="Y568" s="525">
        <f t="shared" si="481"/>
        <v>0</v>
      </c>
      <c r="Z568" s="525">
        <f t="shared" si="481"/>
        <v>0</v>
      </c>
      <c r="AA568" s="525">
        <f t="shared" si="481"/>
        <v>0</v>
      </c>
      <c r="AB568" s="525">
        <f t="shared" si="481"/>
        <v>4</v>
      </c>
      <c r="AD568" s="405">
        <f t="shared" si="457"/>
        <v>0.4</v>
      </c>
      <c r="AE568" s="525">
        <f t="shared" si="458"/>
        <v>1.6</v>
      </c>
      <c r="AF568" s="525">
        <f t="shared" si="459"/>
        <v>0</v>
      </c>
      <c r="AG568" s="525">
        <f t="shared" si="459"/>
        <v>0</v>
      </c>
      <c r="AH568" s="525">
        <f t="shared" si="459"/>
        <v>0</v>
      </c>
      <c r="AI568" s="525">
        <f t="shared" si="460"/>
        <v>0</v>
      </c>
      <c r="AJ568" s="525">
        <f t="shared" si="460"/>
        <v>0</v>
      </c>
      <c r="AK568" s="525">
        <f t="shared" si="460"/>
        <v>0</v>
      </c>
      <c r="AL568" s="525">
        <f t="shared" si="462"/>
        <v>1.6</v>
      </c>
    </row>
    <row r="569" spans="1:38">
      <c r="A569" s="618"/>
      <c r="B569" s="618" t="s">
        <v>690</v>
      </c>
      <c r="C569" s="619">
        <f t="shared" si="479"/>
        <v>1</v>
      </c>
      <c r="D569" s="523" t="str">
        <f>VLOOKUP(B569,DONGIA,DG!$B$6,0)</f>
        <v>D3.3251</v>
      </c>
      <c r="E569" s="666" t="str">
        <f>VLOOKUP(B569,DONGIA,DG!$C$6,0)</f>
        <v>Lắp bộ dây néo</v>
      </c>
      <c r="F569" s="523" t="str">
        <f>VLOOKUP(B569,DONGIA,DG!$D$6,0)</f>
        <v>bộ</v>
      </c>
      <c r="G569" s="525">
        <v>1</v>
      </c>
      <c r="H569" s="525"/>
      <c r="I569" s="525"/>
      <c r="J569" s="525"/>
      <c r="K569" s="525">
        <f>VLOOKUP($B569,DONGIA,DG!$F$6,0)</f>
        <v>106623</v>
      </c>
      <c r="L569" s="525"/>
      <c r="M569" s="525">
        <f>VLOOKUP($B569,DONGIA,DG!$G$6,0)</f>
        <v>0</v>
      </c>
      <c r="N569" s="525">
        <f t="shared" si="480"/>
        <v>0</v>
      </c>
      <c r="O569" s="525">
        <f t="shared" si="477"/>
        <v>0</v>
      </c>
      <c r="P569" s="525">
        <f t="shared" si="477"/>
        <v>0</v>
      </c>
      <c r="Q569" s="525">
        <f t="shared" si="477"/>
        <v>106623</v>
      </c>
      <c r="R569" s="525">
        <f t="shared" si="477"/>
        <v>0</v>
      </c>
      <c r="S569" s="525">
        <f t="shared" si="477"/>
        <v>0</v>
      </c>
      <c r="U569" s="525">
        <f t="shared" si="481"/>
        <v>4</v>
      </c>
      <c r="V569" s="525">
        <f t="shared" si="481"/>
        <v>0</v>
      </c>
      <c r="W569" s="525">
        <f t="shared" si="481"/>
        <v>0</v>
      </c>
      <c r="X569" s="525">
        <f t="shared" si="481"/>
        <v>0</v>
      </c>
      <c r="Y569" s="525">
        <f t="shared" si="481"/>
        <v>0</v>
      </c>
      <c r="Z569" s="525">
        <f t="shared" si="481"/>
        <v>0</v>
      </c>
      <c r="AA569" s="525">
        <f t="shared" si="481"/>
        <v>0</v>
      </c>
      <c r="AB569" s="525">
        <f t="shared" si="481"/>
        <v>4</v>
      </c>
      <c r="AD569" s="405">
        <f t="shared" si="457"/>
        <v>0</v>
      </c>
      <c r="AE569" s="525">
        <f t="shared" si="458"/>
        <v>0</v>
      </c>
      <c r="AF569" s="525">
        <f t="shared" si="459"/>
        <v>0</v>
      </c>
      <c r="AG569" s="525">
        <f t="shared" si="459"/>
        <v>0</v>
      </c>
      <c r="AH569" s="525">
        <f t="shared" si="459"/>
        <v>0</v>
      </c>
      <c r="AI569" s="525">
        <f t="shared" si="460"/>
        <v>0</v>
      </c>
      <c r="AJ569" s="525">
        <f t="shared" si="460"/>
        <v>0</v>
      </c>
      <c r="AK569" s="525">
        <f t="shared" si="460"/>
        <v>0</v>
      </c>
      <c r="AL569" s="525">
        <f t="shared" si="462"/>
        <v>0</v>
      </c>
    </row>
    <row r="570" spans="1:38">
      <c r="A570" s="618" t="s">
        <v>1610</v>
      </c>
      <c r="B570" s="618"/>
      <c r="C570" s="619">
        <f>IF(G570&lt;&gt;0,1,)</f>
        <v>0</v>
      </c>
      <c r="D570" s="622"/>
      <c r="E570" s="733" t="s">
        <v>2715</v>
      </c>
      <c r="F570" s="622" t="s">
        <v>138</v>
      </c>
      <c r="G570" s="622">
        <f>U570</f>
        <v>0</v>
      </c>
      <c r="H570" s="623"/>
      <c r="I570" s="623"/>
      <c r="J570" s="623"/>
      <c r="K570" s="623"/>
      <c r="L570" s="623"/>
      <c r="M570" s="623"/>
      <c r="N570" s="623">
        <f t="shared" ref="N570:S570" si="482">SUM(N572:N580)</f>
        <v>838880</v>
      </c>
      <c r="O570" s="623">
        <f t="shared" si="482"/>
        <v>0</v>
      </c>
      <c r="P570" s="623">
        <f t="shared" si="482"/>
        <v>0</v>
      </c>
      <c r="Q570" s="623">
        <f t="shared" si="482"/>
        <v>274573</v>
      </c>
      <c r="R570" s="623">
        <f t="shared" si="482"/>
        <v>0</v>
      </c>
      <c r="S570" s="623">
        <f t="shared" si="482"/>
        <v>0</v>
      </c>
      <c r="U570" s="623">
        <f>SUM(V570:AB570)</f>
        <v>0</v>
      </c>
      <c r="V570" s="623">
        <f>IFERROR(HLOOKUP($A570,BK3P,V$3,0),)</f>
        <v>0</v>
      </c>
      <c r="W570" s="623">
        <f>IFERROR(HLOOKUP($A570,BK3P,W$3,0),)</f>
        <v>0</v>
      </c>
      <c r="X570" s="623">
        <f>IFERROR(HLOOKUP($A570,BK3P,X$3,0),)</f>
        <v>0</v>
      </c>
      <c r="Y570" s="623">
        <f>IFERROR(HLOOKUP($A570,BK1P,Y$3,0),)</f>
        <v>0</v>
      </c>
      <c r="Z570" s="623">
        <f>IFERROR(HLOOKUP($A570,BK1P,Z$3,0),)</f>
        <v>0</v>
      </c>
      <c r="AA570" s="623">
        <f>IFERROR(HLOOKUP($A570,BK1P,AA$3,0),)</f>
        <v>0</v>
      </c>
      <c r="AB570" s="623">
        <f>IFERROR(HLOOKUP($A570,BKHT,AB$3,0),)</f>
        <v>0</v>
      </c>
      <c r="AD570" s="405">
        <f t="shared" si="457"/>
        <v>0</v>
      </c>
      <c r="AE570" s="525">
        <f t="shared" si="458"/>
        <v>0</v>
      </c>
      <c r="AF570" s="525">
        <f t="shared" si="459"/>
        <v>0</v>
      </c>
      <c r="AG570" s="525">
        <f t="shared" si="459"/>
        <v>0</v>
      </c>
      <c r="AH570" s="525">
        <f t="shared" si="459"/>
        <v>0</v>
      </c>
      <c r="AI570" s="525">
        <f t="shared" si="460"/>
        <v>0</v>
      </c>
      <c r="AJ570" s="525">
        <f t="shared" si="460"/>
        <v>0</v>
      </c>
      <c r="AK570" s="525">
        <f t="shared" si="460"/>
        <v>0</v>
      </c>
      <c r="AL570" s="525">
        <f t="shared" si="462"/>
        <v>0</v>
      </c>
    </row>
    <row r="571" spans="1:38" s="542" customFormat="1">
      <c r="A571" s="624"/>
      <c r="B571" s="624"/>
      <c r="C571" s="625">
        <f>C570</f>
        <v>0</v>
      </c>
      <c r="D571" s="544"/>
      <c r="E571" s="734" t="s">
        <v>1659</v>
      </c>
      <c r="F571" s="544"/>
      <c r="G571" s="545"/>
      <c r="H571" s="545"/>
      <c r="I571" s="545"/>
      <c r="J571" s="545"/>
      <c r="K571" s="545"/>
      <c r="L571" s="545"/>
      <c r="M571" s="545"/>
      <c r="N571" s="545"/>
      <c r="O571" s="545"/>
      <c r="P571" s="545"/>
      <c r="Q571" s="545"/>
      <c r="R571" s="545"/>
      <c r="S571" s="545"/>
      <c r="U571" s="545"/>
      <c r="V571" s="545"/>
      <c r="W571" s="545"/>
      <c r="X571" s="545"/>
      <c r="Y571" s="545"/>
      <c r="Z571" s="545"/>
      <c r="AA571" s="545"/>
      <c r="AB571" s="545"/>
      <c r="AD571" s="405">
        <f t="shared" si="457"/>
        <v>0</v>
      </c>
      <c r="AE571" s="525">
        <f t="shared" si="458"/>
        <v>0</v>
      </c>
      <c r="AF571" s="525">
        <f t="shared" si="459"/>
        <v>0</v>
      </c>
      <c r="AG571" s="525">
        <f t="shared" si="459"/>
        <v>0</v>
      </c>
      <c r="AH571" s="525">
        <f t="shared" si="459"/>
        <v>0</v>
      </c>
      <c r="AI571" s="525">
        <f t="shared" si="460"/>
        <v>0</v>
      </c>
      <c r="AJ571" s="525">
        <f t="shared" si="460"/>
        <v>0</v>
      </c>
      <c r="AK571" s="525">
        <f t="shared" si="460"/>
        <v>0</v>
      </c>
      <c r="AL571" s="525">
        <f t="shared" si="462"/>
        <v>0</v>
      </c>
    </row>
    <row r="572" spans="1:38">
      <c r="A572" s="618"/>
      <c r="B572" s="618" t="s">
        <v>109</v>
      </c>
      <c r="C572" s="619">
        <f>IF(G572&lt;&gt;0,$C$570,)</f>
        <v>0</v>
      </c>
      <c r="D572" s="523">
        <f>VLOOKUP(B572,DONGIA,DG!$B$6,0)</f>
        <v>0</v>
      </c>
      <c r="E572" s="666" t="str">
        <f>VLOOKUP(B572,DONGIA,DG!$C$6,0)</f>
        <v>Boulon mắt 16x250+ long đền vuông D18-50x50x3/Zn</v>
      </c>
      <c r="F572" s="523" t="str">
        <f>VLOOKUP(B572,DONGIA,DG!$D$6,0)</f>
        <v>bộ</v>
      </c>
      <c r="G572" s="525">
        <v>1</v>
      </c>
      <c r="H572" s="525">
        <f>VLOOKUP($B572,DONGIA,DG!$E$6,0)</f>
        <v>29000</v>
      </c>
      <c r="I572" s="525"/>
      <c r="J572" s="525"/>
      <c r="K572" s="525">
        <f>VLOOKUP($B572,DONGIA,DG!$F$6,0)</f>
        <v>0</v>
      </c>
      <c r="L572" s="525"/>
      <c r="M572" s="525">
        <f>VLOOKUP($B572,DONGIA,DG!$G$6,0)</f>
        <v>0</v>
      </c>
      <c r="N572" s="525">
        <f>$G572*H572</f>
        <v>29000</v>
      </c>
      <c r="O572" s="525">
        <f t="shared" ref="O572:S580" si="483">$G572*I572</f>
        <v>0</v>
      </c>
      <c r="P572" s="525">
        <f t="shared" si="483"/>
        <v>0</v>
      </c>
      <c r="Q572" s="525">
        <f t="shared" si="483"/>
        <v>0</v>
      </c>
      <c r="R572" s="525">
        <f t="shared" si="483"/>
        <v>0</v>
      </c>
      <c r="S572" s="525">
        <f t="shared" si="483"/>
        <v>0</v>
      </c>
      <c r="U572" s="525">
        <f>U$570*$G572</f>
        <v>0</v>
      </c>
      <c r="V572" s="525">
        <f t="shared" ref="V572:AB572" si="484">V$570*$G572</f>
        <v>0</v>
      </c>
      <c r="W572" s="525">
        <f t="shared" si="484"/>
        <v>0</v>
      </c>
      <c r="X572" s="525">
        <f t="shared" si="484"/>
        <v>0</v>
      </c>
      <c r="Y572" s="525">
        <f t="shared" si="484"/>
        <v>0</v>
      </c>
      <c r="Z572" s="525">
        <f t="shared" si="484"/>
        <v>0</v>
      </c>
      <c r="AA572" s="525">
        <f t="shared" si="484"/>
        <v>0</v>
      </c>
      <c r="AB572" s="525">
        <f t="shared" si="484"/>
        <v>0</v>
      </c>
      <c r="AD572" s="405">
        <f t="shared" si="457"/>
        <v>0.3</v>
      </c>
      <c r="AE572" s="525">
        <f t="shared" si="458"/>
        <v>0</v>
      </c>
      <c r="AF572" s="525">
        <f t="shared" si="459"/>
        <v>0</v>
      </c>
      <c r="AG572" s="525">
        <f t="shared" si="459"/>
        <v>0</v>
      </c>
      <c r="AH572" s="525">
        <f t="shared" si="459"/>
        <v>0</v>
      </c>
      <c r="AI572" s="525">
        <f t="shared" si="460"/>
        <v>0</v>
      </c>
      <c r="AJ572" s="525">
        <f t="shared" si="460"/>
        <v>0</v>
      </c>
      <c r="AK572" s="525">
        <f t="shared" si="460"/>
        <v>0</v>
      </c>
      <c r="AL572" s="525">
        <f t="shared" si="462"/>
        <v>0</v>
      </c>
    </row>
    <row r="573" spans="1:38">
      <c r="A573" s="618"/>
      <c r="B573" s="618" t="s">
        <v>1380</v>
      </c>
      <c r="C573" s="619">
        <f t="shared" ref="C573:C580" si="485">IF(G573&lt;&gt;0,$C$570,)</f>
        <v>0</v>
      </c>
      <c r="D573" s="523">
        <f>VLOOKUP(B573,DONGIA,DG!$B$6,0)</f>
        <v>0</v>
      </c>
      <c r="E573" s="666" t="str">
        <f>VLOOKUP(B573,DONGIA,DG!$C$6,0)</f>
        <v>Sứ chằng nhỏ</v>
      </c>
      <c r="F573" s="523" t="str">
        <f>VLOOKUP(B573,DONGIA,DG!$D$6,0)</f>
        <v>cái</v>
      </c>
      <c r="G573" s="525">
        <v>1</v>
      </c>
      <c r="H573" s="525">
        <f>VLOOKUP($B573,DONGIA,DG!$E$6,0)</f>
        <v>42000</v>
      </c>
      <c r="I573" s="525"/>
      <c r="J573" s="525"/>
      <c r="K573" s="525">
        <f>VLOOKUP($B573,DONGIA,DG!$F$6,0)</f>
        <v>0</v>
      </c>
      <c r="L573" s="525"/>
      <c r="M573" s="525">
        <f>VLOOKUP($B573,DONGIA,DG!$G$6,0)</f>
        <v>0</v>
      </c>
      <c r="N573" s="525">
        <f t="shared" ref="N573:N580" si="486">$G573*H573</f>
        <v>42000</v>
      </c>
      <c r="O573" s="525">
        <f t="shared" si="483"/>
        <v>0</v>
      </c>
      <c r="P573" s="525">
        <f t="shared" si="483"/>
        <v>0</v>
      </c>
      <c r="Q573" s="525">
        <f t="shared" si="483"/>
        <v>0</v>
      </c>
      <c r="R573" s="525">
        <f t="shared" si="483"/>
        <v>0</v>
      </c>
      <c r="S573" s="525">
        <f t="shared" si="483"/>
        <v>0</v>
      </c>
      <c r="U573" s="525">
        <f t="shared" ref="U573:AB580" si="487">U$570*$G573</f>
        <v>0</v>
      </c>
      <c r="V573" s="525">
        <f t="shared" si="487"/>
        <v>0</v>
      </c>
      <c r="W573" s="525">
        <f t="shared" si="487"/>
        <v>0</v>
      </c>
      <c r="X573" s="525">
        <f t="shared" si="487"/>
        <v>0</v>
      </c>
      <c r="Y573" s="525">
        <f t="shared" si="487"/>
        <v>0</v>
      </c>
      <c r="Z573" s="525">
        <f t="shared" si="487"/>
        <v>0</v>
      </c>
      <c r="AA573" s="525">
        <f t="shared" si="487"/>
        <v>0</v>
      </c>
      <c r="AB573" s="525">
        <f t="shared" si="487"/>
        <v>0</v>
      </c>
      <c r="AD573" s="405">
        <f t="shared" si="457"/>
        <v>0.7</v>
      </c>
      <c r="AE573" s="525">
        <f t="shared" si="458"/>
        <v>0</v>
      </c>
      <c r="AF573" s="525">
        <f t="shared" si="459"/>
        <v>0</v>
      </c>
      <c r="AG573" s="525">
        <f t="shared" si="459"/>
        <v>0</v>
      </c>
      <c r="AH573" s="525">
        <f t="shared" si="459"/>
        <v>0</v>
      </c>
      <c r="AI573" s="525">
        <f t="shared" si="460"/>
        <v>0</v>
      </c>
      <c r="AJ573" s="525">
        <f t="shared" si="460"/>
        <v>0</v>
      </c>
      <c r="AK573" s="525">
        <f t="shared" si="460"/>
        <v>0</v>
      </c>
      <c r="AL573" s="525">
        <f t="shared" si="462"/>
        <v>0</v>
      </c>
    </row>
    <row r="574" spans="1:38">
      <c r="A574" s="618"/>
      <c r="B574" s="618" t="s">
        <v>277</v>
      </c>
      <c r="C574" s="619">
        <f t="shared" si="485"/>
        <v>0</v>
      </c>
      <c r="D574" s="523">
        <f>VLOOKUP(B574,DONGIA,DG!$B$6,0)</f>
        <v>0</v>
      </c>
      <c r="E574" s="666" t="str">
        <f>VLOOKUP(B574,DONGIA,DG!$C$6,0)</f>
        <v>Kẹp cáp 3 boulon B46x136</v>
      </c>
      <c r="F574" s="523" t="str">
        <f>VLOOKUP(B574,DONGIA,DG!$D$6,0)</f>
        <v>cái</v>
      </c>
      <c r="G574" s="525">
        <v>4</v>
      </c>
      <c r="H574" s="525">
        <f>VLOOKUP($B574,DONGIA,DG!$E$6,0)</f>
        <v>48000</v>
      </c>
      <c r="I574" s="525"/>
      <c r="J574" s="525"/>
      <c r="K574" s="525">
        <f>VLOOKUP($B574,DONGIA,DG!$F$6,0)</f>
        <v>0</v>
      </c>
      <c r="L574" s="525"/>
      <c r="M574" s="525">
        <f>VLOOKUP($B574,DONGIA,DG!$G$6,0)</f>
        <v>0</v>
      </c>
      <c r="N574" s="525">
        <f t="shared" si="486"/>
        <v>192000</v>
      </c>
      <c r="O574" s="525">
        <f t="shared" si="483"/>
        <v>0</v>
      </c>
      <c r="P574" s="525">
        <f t="shared" si="483"/>
        <v>0</v>
      </c>
      <c r="Q574" s="525">
        <f t="shared" si="483"/>
        <v>0</v>
      </c>
      <c r="R574" s="525">
        <f t="shared" si="483"/>
        <v>0</v>
      </c>
      <c r="S574" s="525">
        <f t="shared" si="483"/>
        <v>0</v>
      </c>
      <c r="U574" s="525">
        <f t="shared" si="487"/>
        <v>0</v>
      </c>
      <c r="V574" s="525">
        <f t="shared" si="487"/>
        <v>0</v>
      </c>
      <c r="W574" s="525">
        <f t="shared" si="487"/>
        <v>0</v>
      </c>
      <c r="X574" s="525">
        <f t="shared" si="487"/>
        <v>0</v>
      </c>
      <c r="Y574" s="525">
        <f t="shared" si="487"/>
        <v>0</v>
      </c>
      <c r="Z574" s="525">
        <f t="shared" si="487"/>
        <v>0</v>
      </c>
      <c r="AA574" s="525">
        <f t="shared" si="487"/>
        <v>0</v>
      </c>
      <c r="AB574" s="525">
        <f t="shared" si="487"/>
        <v>0</v>
      </c>
      <c r="AD574" s="405">
        <f t="shared" si="457"/>
        <v>0.2</v>
      </c>
      <c r="AE574" s="525">
        <f t="shared" si="458"/>
        <v>0</v>
      </c>
      <c r="AF574" s="525">
        <f t="shared" si="459"/>
        <v>0</v>
      </c>
      <c r="AG574" s="525">
        <f t="shared" si="459"/>
        <v>0</v>
      </c>
      <c r="AH574" s="525">
        <f t="shared" si="459"/>
        <v>0</v>
      </c>
      <c r="AI574" s="525">
        <f t="shared" si="460"/>
        <v>0</v>
      </c>
      <c r="AJ574" s="525">
        <f t="shared" si="460"/>
        <v>0</v>
      </c>
      <c r="AK574" s="525">
        <f t="shared" si="460"/>
        <v>0</v>
      </c>
      <c r="AL574" s="525">
        <f t="shared" si="462"/>
        <v>0</v>
      </c>
    </row>
    <row r="575" spans="1:38">
      <c r="A575" s="618"/>
      <c r="B575" s="618" t="s">
        <v>266</v>
      </c>
      <c r="C575" s="619">
        <f t="shared" si="485"/>
        <v>0</v>
      </c>
      <c r="D575" s="523">
        <f>VLOOKUP(B575,DONGIA,DG!$B$6,0)</f>
        <v>0</v>
      </c>
      <c r="E575" s="666" t="str">
        <f>VLOOKUP(B575,DONGIA,DG!$C$6,0)</f>
        <v>Cáp thép 3/8"</v>
      </c>
      <c r="F575" s="523" t="str">
        <f>VLOOKUP(B575,DONGIA,DG!$D$6,0)</f>
        <v>mét</v>
      </c>
      <c r="G575" s="554">
        <f>9</f>
        <v>9</v>
      </c>
      <c r="H575" s="525">
        <f>VLOOKUP($B575,DONGIA,DG!$E$6,0)</f>
        <v>13320</v>
      </c>
      <c r="I575" s="525"/>
      <c r="J575" s="525"/>
      <c r="K575" s="525">
        <f>VLOOKUP($B575,DONGIA,DG!$F$6,0)</f>
        <v>0</v>
      </c>
      <c r="L575" s="525"/>
      <c r="M575" s="525">
        <f>VLOOKUP($B575,DONGIA,DG!$G$6,0)</f>
        <v>0</v>
      </c>
      <c r="N575" s="525">
        <f t="shared" si="486"/>
        <v>119880</v>
      </c>
      <c r="O575" s="525">
        <f t="shared" si="483"/>
        <v>0</v>
      </c>
      <c r="P575" s="525">
        <f t="shared" si="483"/>
        <v>0</v>
      </c>
      <c r="Q575" s="525">
        <f t="shared" si="483"/>
        <v>0</v>
      </c>
      <c r="R575" s="525">
        <f t="shared" si="483"/>
        <v>0</v>
      </c>
      <c r="S575" s="525">
        <f t="shared" si="483"/>
        <v>0</v>
      </c>
      <c r="U575" s="525">
        <f t="shared" si="487"/>
        <v>0</v>
      </c>
      <c r="V575" s="525">
        <f t="shared" si="487"/>
        <v>0</v>
      </c>
      <c r="W575" s="525">
        <f t="shared" si="487"/>
        <v>0</v>
      </c>
      <c r="X575" s="525">
        <f t="shared" si="487"/>
        <v>0</v>
      </c>
      <c r="Y575" s="525">
        <f t="shared" si="487"/>
        <v>0</v>
      </c>
      <c r="Z575" s="525">
        <f t="shared" si="487"/>
        <v>0</v>
      </c>
      <c r="AA575" s="525">
        <f t="shared" si="487"/>
        <v>0</v>
      </c>
      <c r="AB575" s="525">
        <f t="shared" si="487"/>
        <v>0</v>
      </c>
      <c r="AD575" s="405">
        <f t="shared" si="457"/>
        <v>1</v>
      </c>
      <c r="AE575" s="525">
        <f t="shared" si="458"/>
        <v>0</v>
      </c>
      <c r="AF575" s="525">
        <f t="shared" si="459"/>
        <v>0</v>
      </c>
      <c r="AG575" s="525">
        <f t="shared" si="459"/>
        <v>0</v>
      </c>
      <c r="AH575" s="525">
        <f t="shared" si="459"/>
        <v>0</v>
      </c>
      <c r="AI575" s="525">
        <f t="shared" si="460"/>
        <v>0</v>
      </c>
      <c r="AJ575" s="525">
        <f t="shared" si="460"/>
        <v>0</v>
      </c>
      <c r="AK575" s="525">
        <f t="shared" si="460"/>
        <v>0</v>
      </c>
      <c r="AL575" s="525">
        <f t="shared" si="462"/>
        <v>0</v>
      </c>
    </row>
    <row r="576" spans="1:38">
      <c r="A576" s="618"/>
      <c r="B576" s="618" t="s">
        <v>442</v>
      </c>
      <c r="C576" s="619">
        <f t="shared" si="485"/>
        <v>0</v>
      </c>
      <c r="D576" s="523" t="str">
        <f>VLOOKUP(B576,DONGIA,DG!$B$6,0)</f>
        <v>D2.6011</v>
      </c>
      <c r="E576" s="666" t="str">
        <f>VLOOKUP(B576,DONGIA,DG!$C$6,0)</f>
        <v>Bộ chống chằng hẹp φ60/50x1200+2BL12x40+BL16x200/50</v>
      </c>
      <c r="F576" s="523" t="str">
        <f>VLOOKUP(B576,DONGIA,DG!$D$6,0)</f>
        <v>bộ</v>
      </c>
      <c r="G576" s="525">
        <v>1</v>
      </c>
      <c r="H576" s="525">
        <f>VLOOKUP($B576,DONGIA,DG!$E$6,0)</f>
        <v>320000</v>
      </c>
      <c r="I576" s="525"/>
      <c r="J576" s="525"/>
      <c r="K576" s="525">
        <f>VLOOKUP($B576,DONGIA,DG!$F$6,0)</f>
        <v>167950</v>
      </c>
      <c r="L576" s="525"/>
      <c r="M576" s="525">
        <f>VLOOKUP($B576,DONGIA,DG!$G$6,0)</f>
        <v>0</v>
      </c>
      <c r="N576" s="525">
        <f t="shared" si="486"/>
        <v>320000</v>
      </c>
      <c r="O576" s="525">
        <f t="shared" si="483"/>
        <v>0</v>
      </c>
      <c r="P576" s="525">
        <f t="shared" si="483"/>
        <v>0</v>
      </c>
      <c r="Q576" s="525">
        <f t="shared" si="483"/>
        <v>167950</v>
      </c>
      <c r="R576" s="525">
        <f t="shared" si="483"/>
        <v>0</v>
      </c>
      <c r="S576" s="525">
        <f t="shared" si="483"/>
        <v>0</v>
      </c>
      <c r="U576" s="525">
        <f t="shared" si="487"/>
        <v>0</v>
      </c>
      <c r="V576" s="525">
        <f t="shared" si="487"/>
        <v>0</v>
      </c>
      <c r="W576" s="525">
        <f t="shared" si="487"/>
        <v>0</v>
      </c>
      <c r="X576" s="525">
        <f t="shared" si="487"/>
        <v>0</v>
      </c>
      <c r="Y576" s="525">
        <f t="shared" si="487"/>
        <v>0</v>
      </c>
      <c r="Z576" s="525">
        <f t="shared" si="487"/>
        <v>0</v>
      </c>
      <c r="AA576" s="525">
        <f t="shared" si="487"/>
        <v>0</v>
      </c>
      <c r="AB576" s="525">
        <f t="shared" si="487"/>
        <v>0</v>
      </c>
      <c r="AD576" s="405">
        <f t="shared" si="457"/>
        <v>6.2</v>
      </c>
      <c r="AE576" s="525">
        <f t="shared" si="458"/>
        <v>0</v>
      </c>
      <c r="AF576" s="525">
        <f t="shared" si="459"/>
        <v>0</v>
      </c>
      <c r="AG576" s="525">
        <f t="shared" si="459"/>
        <v>0</v>
      </c>
      <c r="AH576" s="525">
        <f t="shared" si="459"/>
        <v>0</v>
      </c>
      <c r="AI576" s="525">
        <f t="shared" si="460"/>
        <v>0</v>
      </c>
      <c r="AJ576" s="525">
        <f t="shared" si="460"/>
        <v>0</v>
      </c>
      <c r="AK576" s="525">
        <f t="shared" si="460"/>
        <v>0</v>
      </c>
      <c r="AL576" s="525">
        <f t="shared" si="462"/>
        <v>0</v>
      </c>
    </row>
    <row r="577" spans="1:38">
      <c r="A577" s="618"/>
      <c r="B577" s="618" t="s">
        <v>475</v>
      </c>
      <c r="C577" s="619">
        <f t="shared" si="485"/>
        <v>0</v>
      </c>
      <c r="D577" s="523">
        <f>VLOOKUP(B577,DONGIA,DG!$B$6,0)</f>
        <v>0</v>
      </c>
      <c r="E577" s="666" t="str">
        <f>VLOOKUP(B577,DONGIA,DG!$C$6,0)</f>
        <v>Yếm cáp dày 2mm</v>
      </c>
      <c r="F577" s="523" t="str">
        <f>VLOOKUP(B577,DONGIA,DG!$D$6,0)</f>
        <v>cái</v>
      </c>
      <c r="G577" s="525">
        <v>2</v>
      </c>
      <c r="H577" s="525">
        <f>VLOOKUP($B577,DONGIA,DG!$E$6,0)</f>
        <v>8000</v>
      </c>
      <c r="I577" s="525"/>
      <c r="J577" s="525"/>
      <c r="K577" s="525">
        <f>VLOOKUP($B577,DONGIA,DG!$F$6,0)</f>
        <v>0</v>
      </c>
      <c r="L577" s="525"/>
      <c r="M577" s="525">
        <f>VLOOKUP($B577,DONGIA,DG!$G$6,0)</f>
        <v>0</v>
      </c>
      <c r="N577" s="525">
        <f t="shared" si="486"/>
        <v>16000</v>
      </c>
      <c r="O577" s="525">
        <f t="shared" si="483"/>
        <v>0</v>
      </c>
      <c r="P577" s="525">
        <f t="shared" si="483"/>
        <v>0</v>
      </c>
      <c r="Q577" s="525">
        <f t="shared" si="483"/>
        <v>0</v>
      </c>
      <c r="R577" s="525">
        <f t="shared" si="483"/>
        <v>0</v>
      </c>
      <c r="S577" s="525">
        <f t="shared" si="483"/>
        <v>0</v>
      </c>
      <c r="U577" s="525">
        <f t="shared" si="487"/>
        <v>0</v>
      </c>
      <c r="V577" s="525">
        <f t="shared" si="487"/>
        <v>0</v>
      </c>
      <c r="W577" s="525">
        <f t="shared" si="487"/>
        <v>0</v>
      </c>
      <c r="X577" s="525">
        <f t="shared" si="487"/>
        <v>0</v>
      </c>
      <c r="Y577" s="525">
        <f t="shared" si="487"/>
        <v>0</v>
      </c>
      <c r="Z577" s="525">
        <f t="shared" si="487"/>
        <v>0</v>
      </c>
      <c r="AA577" s="525">
        <f t="shared" si="487"/>
        <v>0</v>
      </c>
      <c r="AB577" s="525">
        <f t="shared" si="487"/>
        <v>0</v>
      </c>
      <c r="AD577" s="405">
        <f t="shared" si="457"/>
        <v>0.3</v>
      </c>
      <c r="AE577" s="525">
        <f t="shared" si="458"/>
        <v>0</v>
      </c>
      <c r="AF577" s="525">
        <f t="shared" si="459"/>
        <v>0</v>
      </c>
      <c r="AG577" s="525">
        <f t="shared" si="459"/>
        <v>0</v>
      </c>
      <c r="AH577" s="525">
        <f t="shared" si="459"/>
        <v>0</v>
      </c>
      <c r="AI577" s="525">
        <f t="shared" si="460"/>
        <v>0</v>
      </c>
      <c r="AJ577" s="525">
        <f t="shared" si="460"/>
        <v>0</v>
      </c>
      <c r="AK577" s="525">
        <f t="shared" si="460"/>
        <v>0</v>
      </c>
      <c r="AL577" s="525">
        <f t="shared" si="462"/>
        <v>0</v>
      </c>
    </row>
    <row r="578" spans="1:38">
      <c r="A578" s="618"/>
      <c r="B578" s="618" t="s">
        <v>373</v>
      </c>
      <c r="C578" s="619">
        <f t="shared" si="485"/>
        <v>0</v>
      </c>
      <c r="D578" s="523">
        <f>VLOOKUP(B578,DONGIA,DG!$B$6,0)</f>
        <v>0</v>
      </c>
      <c r="E578" s="666" t="str">
        <f>VLOOKUP(B578,DONGIA,DG!$C$6,0)</f>
        <v>Máng che dây chằng dày 0,8x2000mm</v>
      </c>
      <c r="F578" s="523" t="str">
        <f>VLOOKUP(B578,DONGIA,DG!$D$6,0)</f>
        <v>cái</v>
      </c>
      <c r="G578" s="525">
        <v>1</v>
      </c>
      <c r="H578" s="525">
        <f>VLOOKUP($B578,DONGIA,DG!$E$6,0)</f>
        <v>120000</v>
      </c>
      <c r="I578" s="525"/>
      <c r="J578" s="525"/>
      <c r="K578" s="525">
        <f>VLOOKUP($B578,DONGIA,DG!$F$6,0)</f>
        <v>0</v>
      </c>
      <c r="L578" s="525"/>
      <c r="M578" s="525">
        <f>VLOOKUP($B578,DONGIA,DG!$G$6,0)</f>
        <v>0</v>
      </c>
      <c r="N578" s="525">
        <f t="shared" si="486"/>
        <v>120000</v>
      </c>
      <c r="O578" s="525">
        <f t="shared" si="483"/>
        <v>0</v>
      </c>
      <c r="P578" s="525">
        <f t="shared" si="483"/>
        <v>0</v>
      </c>
      <c r="Q578" s="525">
        <f t="shared" si="483"/>
        <v>0</v>
      </c>
      <c r="R578" s="525">
        <f t="shared" si="483"/>
        <v>0</v>
      </c>
      <c r="S578" s="525">
        <f t="shared" si="483"/>
        <v>0</v>
      </c>
      <c r="U578" s="525">
        <f t="shared" si="487"/>
        <v>0</v>
      </c>
      <c r="V578" s="525">
        <f t="shared" si="487"/>
        <v>0</v>
      </c>
      <c r="W578" s="525">
        <f t="shared" si="487"/>
        <v>0</v>
      </c>
      <c r="X578" s="525">
        <f t="shared" si="487"/>
        <v>0</v>
      </c>
      <c r="Y578" s="525">
        <f t="shared" si="487"/>
        <v>0</v>
      </c>
      <c r="Z578" s="525">
        <f t="shared" si="487"/>
        <v>0</v>
      </c>
      <c r="AA578" s="525">
        <f t="shared" si="487"/>
        <v>0</v>
      </c>
      <c r="AB578" s="525">
        <f t="shared" si="487"/>
        <v>0</v>
      </c>
      <c r="AD578" s="405">
        <f t="shared" si="457"/>
        <v>0.4</v>
      </c>
      <c r="AE578" s="525">
        <f t="shared" si="458"/>
        <v>0</v>
      </c>
      <c r="AF578" s="525">
        <f t="shared" si="459"/>
        <v>0</v>
      </c>
      <c r="AG578" s="525">
        <f t="shared" si="459"/>
        <v>0</v>
      </c>
      <c r="AH578" s="525">
        <f t="shared" si="459"/>
        <v>0</v>
      </c>
      <c r="AI578" s="525">
        <f t="shared" si="460"/>
        <v>0</v>
      </c>
      <c r="AJ578" s="525">
        <f t="shared" si="460"/>
        <v>0</v>
      </c>
      <c r="AK578" s="525">
        <f t="shared" si="460"/>
        <v>0</v>
      </c>
      <c r="AL578" s="525">
        <f t="shared" si="462"/>
        <v>0</v>
      </c>
    </row>
    <row r="579" spans="1:38">
      <c r="A579" s="618"/>
      <c r="B579" s="618" t="s">
        <v>690</v>
      </c>
      <c r="C579" s="619">
        <f t="shared" si="485"/>
        <v>0</v>
      </c>
      <c r="D579" s="523" t="str">
        <f>VLOOKUP(B579,DONGIA,DG!$B$6,0)</f>
        <v>D3.3251</v>
      </c>
      <c r="E579" s="666" t="str">
        <f>VLOOKUP(B579,DONGIA,DG!$C$6,0)</f>
        <v>Lắp bộ dây néo</v>
      </c>
      <c r="F579" s="523" t="str">
        <f>VLOOKUP(B579,DONGIA,DG!$D$6,0)</f>
        <v>bộ</v>
      </c>
      <c r="G579" s="525">
        <v>1</v>
      </c>
      <c r="H579" s="525"/>
      <c r="I579" s="525"/>
      <c r="J579" s="525"/>
      <c r="K579" s="525">
        <f>VLOOKUP($B579,DONGIA,DG!$F$6,0)</f>
        <v>106623</v>
      </c>
      <c r="L579" s="525"/>
      <c r="M579" s="525">
        <f>VLOOKUP($B579,DONGIA,DG!$G$6,0)</f>
        <v>0</v>
      </c>
      <c r="N579" s="525">
        <f t="shared" si="486"/>
        <v>0</v>
      </c>
      <c r="O579" s="525">
        <f t="shared" si="483"/>
        <v>0</v>
      </c>
      <c r="P579" s="525">
        <f t="shared" si="483"/>
        <v>0</v>
      </c>
      <c r="Q579" s="525">
        <f t="shared" si="483"/>
        <v>106623</v>
      </c>
      <c r="R579" s="525">
        <f t="shared" si="483"/>
        <v>0</v>
      </c>
      <c r="S579" s="525">
        <f t="shared" si="483"/>
        <v>0</v>
      </c>
      <c r="U579" s="525">
        <f t="shared" si="487"/>
        <v>0</v>
      </c>
      <c r="V579" s="525">
        <f t="shared" si="487"/>
        <v>0</v>
      </c>
      <c r="W579" s="525">
        <f t="shared" si="487"/>
        <v>0</v>
      </c>
      <c r="X579" s="525">
        <f t="shared" si="487"/>
        <v>0</v>
      </c>
      <c r="Y579" s="525">
        <f t="shared" si="487"/>
        <v>0</v>
      </c>
      <c r="Z579" s="525">
        <f t="shared" si="487"/>
        <v>0</v>
      </c>
      <c r="AA579" s="525">
        <f t="shared" si="487"/>
        <v>0</v>
      </c>
      <c r="AB579" s="525">
        <f t="shared" si="487"/>
        <v>0</v>
      </c>
      <c r="AD579" s="405">
        <f t="shared" si="457"/>
        <v>0</v>
      </c>
      <c r="AE579" s="525">
        <f t="shared" si="458"/>
        <v>0</v>
      </c>
      <c r="AF579" s="525">
        <f t="shared" si="459"/>
        <v>0</v>
      </c>
      <c r="AG579" s="525">
        <f t="shared" si="459"/>
        <v>0</v>
      </c>
      <c r="AH579" s="525">
        <f t="shared" si="459"/>
        <v>0</v>
      </c>
      <c r="AI579" s="525">
        <f t="shared" si="460"/>
        <v>0</v>
      </c>
      <c r="AJ579" s="525">
        <f t="shared" si="460"/>
        <v>0</v>
      </c>
      <c r="AK579" s="525">
        <f t="shared" si="460"/>
        <v>0</v>
      </c>
      <c r="AL579" s="525">
        <f t="shared" si="462"/>
        <v>0</v>
      </c>
    </row>
    <row r="580" spans="1:38" s="332" customFormat="1">
      <c r="A580" s="356"/>
      <c r="B580" s="356" t="s">
        <v>688</v>
      </c>
      <c r="C580" s="355">
        <f t="shared" si="485"/>
        <v>0</v>
      </c>
      <c r="D580" s="341" t="str">
        <f>VLOOKUP(B580,DONGIA,DG!$B$6,0)</f>
        <v>05.6011</v>
      </c>
      <c r="E580" s="340" t="str">
        <f>VLOOKUP(B580,DONGIA,DG!$C$6,0)</f>
        <v>Lắp bộ chống lệch</v>
      </c>
      <c r="F580" s="341" t="str">
        <f>VLOOKUP(B580,DONGIA,DG!$D$6,0)</f>
        <v>bộ</v>
      </c>
      <c r="G580" s="329"/>
      <c r="H580" s="329"/>
      <c r="I580" s="329"/>
      <c r="J580" s="329"/>
      <c r="K580" s="329">
        <f>VLOOKUP($B580,DONGIA,DG!$F$6,0)</f>
        <v>0</v>
      </c>
      <c r="L580" s="329"/>
      <c r="M580" s="329">
        <f>VLOOKUP($B580,DONGIA,DG!$G$6,0)</f>
        <v>0</v>
      </c>
      <c r="N580" s="329">
        <f t="shared" si="486"/>
        <v>0</v>
      </c>
      <c r="O580" s="329">
        <f t="shared" si="483"/>
        <v>0</v>
      </c>
      <c r="P580" s="329">
        <f t="shared" si="483"/>
        <v>0</v>
      </c>
      <c r="Q580" s="329">
        <f t="shared" si="483"/>
        <v>0</v>
      </c>
      <c r="R580" s="329">
        <f t="shared" si="483"/>
        <v>0</v>
      </c>
      <c r="S580" s="329">
        <f t="shared" si="483"/>
        <v>0</v>
      </c>
      <c r="U580" s="329">
        <f t="shared" si="487"/>
        <v>0</v>
      </c>
      <c r="V580" s="329">
        <f t="shared" si="487"/>
        <v>0</v>
      </c>
      <c r="W580" s="329">
        <f t="shared" si="487"/>
        <v>0</v>
      </c>
      <c r="X580" s="329">
        <f t="shared" si="487"/>
        <v>0</v>
      </c>
      <c r="Y580" s="329">
        <f t="shared" si="487"/>
        <v>0</v>
      </c>
      <c r="Z580" s="329">
        <f t="shared" si="487"/>
        <v>0</v>
      </c>
      <c r="AA580" s="329">
        <f t="shared" si="487"/>
        <v>0</v>
      </c>
      <c r="AB580" s="329">
        <f t="shared" si="487"/>
        <v>0</v>
      </c>
      <c r="AD580" s="332">
        <f t="shared" si="457"/>
        <v>0</v>
      </c>
      <c r="AE580" s="329">
        <f t="shared" si="458"/>
        <v>0</v>
      </c>
      <c r="AF580" s="329">
        <f t="shared" si="459"/>
        <v>0</v>
      </c>
      <c r="AG580" s="329">
        <f t="shared" si="459"/>
        <v>0</v>
      </c>
      <c r="AH580" s="329">
        <f t="shared" si="459"/>
        <v>0</v>
      </c>
      <c r="AI580" s="329">
        <f t="shared" si="460"/>
        <v>0</v>
      </c>
      <c r="AJ580" s="329">
        <f t="shared" si="460"/>
        <v>0</v>
      </c>
      <c r="AK580" s="329">
        <f t="shared" si="460"/>
        <v>0</v>
      </c>
      <c r="AL580" s="329">
        <f t="shared" si="462"/>
        <v>0</v>
      </c>
    </row>
    <row r="581" spans="1:38" s="332" customFormat="1">
      <c r="A581" s="356" t="s">
        <v>1471</v>
      </c>
      <c r="B581" s="356"/>
      <c r="C581" s="355">
        <f>IF(G581&lt;&gt;0,1,)</f>
        <v>0</v>
      </c>
      <c r="D581" s="357"/>
      <c r="E581" s="358" t="s">
        <v>2714</v>
      </c>
      <c r="F581" s="357" t="s">
        <v>138</v>
      </c>
      <c r="G581" s="357">
        <f>U581</f>
        <v>0</v>
      </c>
      <c r="H581" s="358"/>
      <c r="I581" s="358"/>
      <c r="J581" s="358"/>
      <c r="K581" s="358"/>
      <c r="L581" s="358"/>
      <c r="M581" s="358"/>
      <c r="N581" s="358">
        <f t="shared" ref="N581:S581" si="488">SUM(N583:N589)</f>
        <v>788160</v>
      </c>
      <c r="O581" s="358">
        <f t="shared" si="488"/>
        <v>0</v>
      </c>
      <c r="P581" s="358">
        <f t="shared" si="488"/>
        <v>0</v>
      </c>
      <c r="Q581" s="358">
        <f t="shared" si="488"/>
        <v>106623</v>
      </c>
      <c r="R581" s="358">
        <f t="shared" si="488"/>
        <v>0</v>
      </c>
      <c r="S581" s="358">
        <f t="shared" si="488"/>
        <v>0</v>
      </c>
      <c r="U581" s="358">
        <f>SUM(V581:AB581)</f>
        <v>0</v>
      </c>
      <c r="V581" s="358">
        <f>IFERROR(HLOOKUP($A581,BK3P,V$3,0),)</f>
        <v>0</v>
      </c>
      <c r="W581" s="358">
        <f>IFERROR(HLOOKUP($A581,BK3P,W$3,0),)</f>
        <v>0</v>
      </c>
      <c r="X581" s="358">
        <f>IFERROR(HLOOKUP($A581,BK3P,X$3,0),)</f>
        <v>0</v>
      </c>
      <c r="Y581" s="358">
        <f>IFERROR(HLOOKUP($A581,BK1P,Y$3,0),)</f>
        <v>0</v>
      </c>
      <c r="Z581" s="358">
        <f>IFERROR(HLOOKUP($A581,BK1P,Z$3,0),)</f>
        <v>0</v>
      </c>
      <c r="AA581" s="358">
        <f>IFERROR(HLOOKUP($A581,BK1P,AA$3,0),)</f>
        <v>0</v>
      </c>
      <c r="AB581" s="358">
        <f>IFERROR(HLOOKUP($A581,BKHT,AB$3,0),)</f>
        <v>0</v>
      </c>
      <c r="AD581" s="332">
        <f t="shared" si="457"/>
        <v>0</v>
      </c>
      <c r="AE581" s="329">
        <f t="shared" si="458"/>
        <v>0</v>
      </c>
      <c r="AF581" s="329">
        <f t="shared" si="459"/>
        <v>0</v>
      </c>
      <c r="AG581" s="329">
        <f t="shared" si="459"/>
        <v>0</v>
      </c>
      <c r="AH581" s="329">
        <f t="shared" si="459"/>
        <v>0</v>
      </c>
      <c r="AI581" s="329">
        <f t="shared" si="460"/>
        <v>0</v>
      </c>
      <c r="AJ581" s="329">
        <f t="shared" si="460"/>
        <v>0</v>
      </c>
      <c r="AK581" s="329">
        <f t="shared" si="460"/>
        <v>0</v>
      </c>
      <c r="AL581" s="329">
        <f t="shared" si="462"/>
        <v>0</v>
      </c>
    </row>
    <row r="582" spans="1:38" s="361" customFormat="1">
      <c r="A582" s="359"/>
      <c r="B582" s="359"/>
      <c r="C582" s="360">
        <f>C581</f>
        <v>0</v>
      </c>
      <c r="D582" s="350"/>
      <c r="E582" s="351" t="s">
        <v>1659</v>
      </c>
      <c r="F582" s="350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U582" s="351"/>
      <c r="V582" s="351"/>
      <c r="W582" s="351"/>
      <c r="X582" s="351"/>
      <c r="Y582" s="351"/>
      <c r="Z582" s="351"/>
      <c r="AA582" s="351"/>
      <c r="AB582" s="351"/>
      <c r="AD582" s="332">
        <f t="shared" si="457"/>
        <v>0</v>
      </c>
      <c r="AE582" s="329">
        <f t="shared" si="458"/>
        <v>0</v>
      </c>
      <c r="AF582" s="329">
        <f t="shared" si="459"/>
        <v>0</v>
      </c>
      <c r="AG582" s="329">
        <f t="shared" si="459"/>
        <v>0</v>
      </c>
      <c r="AH582" s="329">
        <f t="shared" si="459"/>
        <v>0</v>
      </c>
      <c r="AI582" s="329">
        <f t="shared" si="460"/>
        <v>0</v>
      </c>
      <c r="AJ582" s="329">
        <f t="shared" si="460"/>
        <v>0</v>
      </c>
      <c r="AK582" s="329">
        <f t="shared" si="460"/>
        <v>0</v>
      </c>
      <c r="AL582" s="329">
        <f t="shared" si="462"/>
        <v>0</v>
      </c>
    </row>
    <row r="583" spans="1:38" s="332" customFormat="1">
      <c r="A583" s="356"/>
      <c r="B583" s="356" t="s">
        <v>109</v>
      </c>
      <c r="C583" s="355">
        <f>IF(G583&lt;&gt;0,$C$581,)</f>
        <v>0</v>
      </c>
      <c r="D583" s="341">
        <f>VLOOKUP(B583,DONGIA,DG!$B$6,0)</f>
        <v>0</v>
      </c>
      <c r="E583" s="340" t="str">
        <f>VLOOKUP(B583,DONGIA,DG!$C$6,0)</f>
        <v>Boulon mắt 16x250+ long đền vuông D18-50x50x3/Zn</v>
      </c>
      <c r="F583" s="341" t="str">
        <f>VLOOKUP(B583,DONGIA,DG!$D$6,0)</f>
        <v>bộ</v>
      </c>
      <c r="G583" s="329">
        <v>1</v>
      </c>
      <c r="H583" s="329">
        <f>VLOOKUP($B583,DONGIA,DG!$E$6,0)</f>
        <v>29000</v>
      </c>
      <c r="I583" s="329"/>
      <c r="J583" s="329"/>
      <c r="K583" s="329">
        <f>VLOOKUP($B583,DONGIA,DG!$F$6,0)</f>
        <v>0</v>
      </c>
      <c r="L583" s="329"/>
      <c r="M583" s="329">
        <f>VLOOKUP($B583,DONGIA,DG!$G$6,0)</f>
        <v>0</v>
      </c>
      <c r="N583" s="329">
        <f>$G583*H583</f>
        <v>29000</v>
      </c>
      <c r="O583" s="329">
        <f t="shared" ref="O583:S589" si="489">$G583*I583</f>
        <v>0</v>
      </c>
      <c r="P583" s="329">
        <f t="shared" si="489"/>
        <v>0</v>
      </c>
      <c r="Q583" s="329">
        <f t="shared" si="489"/>
        <v>0</v>
      </c>
      <c r="R583" s="329">
        <f t="shared" si="489"/>
        <v>0</v>
      </c>
      <c r="S583" s="329">
        <f t="shared" si="489"/>
        <v>0</v>
      </c>
      <c r="U583" s="329">
        <f>U$581*$G583</f>
        <v>0</v>
      </c>
      <c r="V583" s="329">
        <f t="shared" ref="V583:AB583" si="490">V$581*$G583</f>
        <v>0</v>
      </c>
      <c r="W583" s="329">
        <f t="shared" si="490"/>
        <v>0</v>
      </c>
      <c r="X583" s="329">
        <f t="shared" si="490"/>
        <v>0</v>
      </c>
      <c r="Y583" s="329">
        <f t="shared" si="490"/>
        <v>0</v>
      </c>
      <c r="Z583" s="329">
        <f t="shared" si="490"/>
        <v>0</v>
      </c>
      <c r="AA583" s="329">
        <f t="shared" si="490"/>
        <v>0</v>
      </c>
      <c r="AB583" s="329">
        <f t="shared" si="490"/>
        <v>0</v>
      </c>
      <c r="AD583" s="332">
        <f t="shared" si="457"/>
        <v>0.3</v>
      </c>
      <c r="AE583" s="329">
        <f t="shared" si="458"/>
        <v>0</v>
      </c>
      <c r="AF583" s="329">
        <f t="shared" si="459"/>
        <v>0</v>
      </c>
      <c r="AG583" s="329">
        <f t="shared" si="459"/>
        <v>0</v>
      </c>
      <c r="AH583" s="329">
        <f t="shared" si="459"/>
        <v>0</v>
      </c>
      <c r="AI583" s="329">
        <f t="shared" si="460"/>
        <v>0</v>
      </c>
      <c r="AJ583" s="329">
        <f t="shared" si="460"/>
        <v>0</v>
      </c>
      <c r="AK583" s="329">
        <f t="shared" si="460"/>
        <v>0</v>
      </c>
      <c r="AL583" s="329">
        <f t="shared" si="462"/>
        <v>0</v>
      </c>
    </row>
    <row r="584" spans="1:38" s="332" customFormat="1">
      <c r="A584" s="356"/>
      <c r="B584" s="356" t="s">
        <v>408</v>
      </c>
      <c r="C584" s="355">
        <f t="shared" ref="C584:C589" si="491">IF(G584&lt;&gt;0,$C$581,)</f>
        <v>0</v>
      </c>
      <c r="D584" s="341">
        <f>VLOOKUP(B584,DONGIA,DG!$B$6,0)</f>
        <v>0</v>
      </c>
      <c r="E584" s="340" t="str">
        <f>VLOOKUP(B584,DONGIA,DG!$C$6,0)</f>
        <v>Sứ chằng lớn</v>
      </c>
      <c r="F584" s="341" t="str">
        <f>VLOOKUP(B584,DONGIA,DG!$D$6,0)</f>
        <v>cái</v>
      </c>
      <c r="G584" s="329">
        <v>1</v>
      </c>
      <c r="H584" s="329">
        <f>VLOOKUP($B584,DONGIA,DG!$E$6,0)</f>
        <v>66000</v>
      </c>
      <c r="I584" s="329"/>
      <c r="J584" s="329"/>
      <c r="K584" s="329">
        <f>VLOOKUP($B584,DONGIA,DG!$F$6,0)</f>
        <v>0</v>
      </c>
      <c r="L584" s="329"/>
      <c r="M584" s="329">
        <f>VLOOKUP($B584,DONGIA,DG!$G$6,0)</f>
        <v>0</v>
      </c>
      <c r="N584" s="329">
        <f t="shared" ref="N584:N589" si="492">$G584*H584</f>
        <v>66000</v>
      </c>
      <c r="O584" s="329">
        <f t="shared" si="489"/>
        <v>0</v>
      </c>
      <c r="P584" s="329">
        <f t="shared" si="489"/>
        <v>0</v>
      </c>
      <c r="Q584" s="329">
        <f t="shared" si="489"/>
        <v>0</v>
      </c>
      <c r="R584" s="329">
        <f t="shared" si="489"/>
        <v>0</v>
      </c>
      <c r="S584" s="329">
        <f t="shared" si="489"/>
        <v>0</v>
      </c>
      <c r="U584" s="329">
        <f t="shared" ref="U584:AB589" si="493">U$581*$G584</f>
        <v>0</v>
      </c>
      <c r="V584" s="329">
        <f t="shared" si="493"/>
        <v>0</v>
      </c>
      <c r="W584" s="329">
        <f t="shared" si="493"/>
        <v>0</v>
      </c>
      <c r="X584" s="329">
        <f t="shared" si="493"/>
        <v>0</v>
      </c>
      <c r="Y584" s="329">
        <f t="shared" si="493"/>
        <v>0</v>
      </c>
      <c r="Z584" s="329">
        <f t="shared" si="493"/>
        <v>0</v>
      </c>
      <c r="AA584" s="329">
        <f t="shared" si="493"/>
        <v>0</v>
      </c>
      <c r="AB584" s="329">
        <f t="shared" si="493"/>
        <v>0</v>
      </c>
      <c r="AD584" s="332">
        <f t="shared" si="457"/>
        <v>1.5</v>
      </c>
      <c r="AE584" s="329">
        <f t="shared" si="458"/>
        <v>0</v>
      </c>
      <c r="AF584" s="329">
        <f t="shared" si="459"/>
        <v>0</v>
      </c>
      <c r="AG584" s="329">
        <f t="shared" si="459"/>
        <v>0</v>
      </c>
      <c r="AH584" s="329">
        <f t="shared" si="459"/>
        <v>0</v>
      </c>
      <c r="AI584" s="329">
        <f t="shared" si="460"/>
        <v>0</v>
      </c>
      <c r="AJ584" s="329">
        <f t="shared" si="460"/>
        <v>0</v>
      </c>
      <c r="AK584" s="329">
        <f t="shared" si="460"/>
        <v>0</v>
      </c>
      <c r="AL584" s="329">
        <f t="shared" si="462"/>
        <v>0</v>
      </c>
    </row>
    <row r="585" spans="1:38" s="332" customFormat="1">
      <c r="A585" s="356"/>
      <c r="B585" s="356" t="s">
        <v>277</v>
      </c>
      <c r="C585" s="355">
        <f t="shared" si="491"/>
        <v>0</v>
      </c>
      <c r="D585" s="341">
        <f>VLOOKUP(B585,DONGIA,DG!$B$6,0)</f>
        <v>0</v>
      </c>
      <c r="E585" s="340" t="str">
        <f>VLOOKUP(B585,DONGIA,DG!$C$6,0)</f>
        <v>Kẹp cáp 3 boulon B46x136</v>
      </c>
      <c r="F585" s="341" t="str">
        <f>VLOOKUP(B585,DONGIA,DG!$D$6,0)</f>
        <v>cái</v>
      </c>
      <c r="G585" s="329">
        <v>8</v>
      </c>
      <c r="H585" s="329">
        <f>VLOOKUP($B585,DONGIA,DG!$E$6,0)</f>
        <v>48000</v>
      </c>
      <c r="I585" s="329"/>
      <c r="J585" s="329"/>
      <c r="K585" s="329">
        <f>VLOOKUP($B585,DONGIA,DG!$F$6,0)</f>
        <v>0</v>
      </c>
      <c r="L585" s="329"/>
      <c r="M585" s="329">
        <f>VLOOKUP($B585,DONGIA,DG!$G$6,0)</f>
        <v>0</v>
      </c>
      <c r="N585" s="329">
        <f t="shared" si="492"/>
        <v>384000</v>
      </c>
      <c r="O585" s="329">
        <f t="shared" si="489"/>
        <v>0</v>
      </c>
      <c r="P585" s="329">
        <f t="shared" si="489"/>
        <v>0</v>
      </c>
      <c r="Q585" s="329">
        <f t="shared" si="489"/>
        <v>0</v>
      </c>
      <c r="R585" s="329">
        <f t="shared" si="489"/>
        <v>0</v>
      </c>
      <c r="S585" s="329">
        <f t="shared" si="489"/>
        <v>0</v>
      </c>
      <c r="U585" s="329">
        <f t="shared" si="493"/>
        <v>0</v>
      </c>
      <c r="V585" s="329">
        <f t="shared" si="493"/>
        <v>0</v>
      </c>
      <c r="W585" s="329">
        <f t="shared" si="493"/>
        <v>0</v>
      </c>
      <c r="X585" s="329">
        <f t="shared" si="493"/>
        <v>0</v>
      </c>
      <c r="Y585" s="329">
        <f t="shared" si="493"/>
        <v>0</v>
      </c>
      <c r="Z585" s="329">
        <f t="shared" si="493"/>
        <v>0</v>
      </c>
      <c r="AA585" s="329">
        <f t="shared" si="493"/>
        <v>0</v>
      </c>
      <c r="AB585" s="329">
        <f t="shared" si="493"/>
        <v>0</v>
      </c>
      <c r="AD585" s="332">
        <f t="shared" si="457"/>
        <v>0.2</v>
      </c>
      <c r="AE585" s="329">
        <f t="shared" si="458"/>
        <v>0</v>
      </c>
      <c r="AF585" s="329">
        <f t="shared" si="459"/>
        <v>0</v>
      </c>
      <c r="AG585" s="329">
        <f t="shared" si="459"/>
        <v>0</v>
      </c>
      <c r="AH585" s="329">
        <f t="shared" si="459"/>
        <v>0</v>
      </c>
      <c r="AI585" s="329">
        <f t="shared" si="460"/>
        <v>0</v>
      </c>
      <c r="AJ585" s="329">
        <f t="shared" si="460"/>
        <v>0</v>
      </c>
      <c r="AK585" s="329">
        <f t="shared" si="460"/>
        <v>0</v>
      </c>
      <c r="AL585" s="329">
        <f t="shared" si="462"/>
        <v>0</v>
      </c>
    </row>
    <row r="586" spans="1:38" s="332" customFormat="1">
      <c r="A586" s="356"/>
      <c r="B586" s="356" t="s">
        <v>266</v>
      </c>
      <c r="C586" s="355">
        <f t="shared" si="491"/>
        <v>0</v>
      </c>
      <c r="D586" s="341">
        <f>VLOOKUP(B586,DONGIA,DG!$B$6,0)</f>
        <v>0</v>
      </c>
      <c r="E586" s="340" t="str">
        <f>VLOOKUP(B586,DONGIA,DG!$C$6,0)</f>
        <v>Cáp thép 3/8"</v>
      </c>
      <c r="F586" s="341" t="str">
        <f>VLOOKUP(B586,DONGIA,DG!$D$6,0)</f>
        <v>mét</v>
      </c>
      <c r="G586" s="483">
        <f>13</f>
        <v>13</v>
      </c>
      <c r="H586" s="329">
        <f>VLOOKUP($B586,DONGIA,DG!$E$6,0)</f>
        <v>13320</v>
      </c>
      <c r="I586" s="329"/>
      <c r="J586" s="329"/>
      <c r="K586" s="329">
        <f>VLOOKUP($B586,DONGIA,DG!$F$6,0)</f>
        <v>0</v>
      </c>
      <c r="L586" s="329"/>
      <c r="M586" s="329">
        <f>VLOOKUP($B586,DONGIA,DG!$G$6,0)</f>
        <v>0</v>
      </c>
      <c r="N586" s="329">
        <f t="shared" si="492"/>
        <v>173160</v>
      </c>
      <c r="O586" s="329">
        <f t="shared" si="489"/>
        <v>0</v>
      </c>
      <c r="P586" s="329">
        <f t="shared" si="489"/>
        <v>0</v>
      </c>
      <c r="Q586" s="329">
        <f t="shared" si="489"/>
        <v>0</v>
      </c>
      <c r="R586" s="329">
        <f t="shared" si="489"/>
        <v>0</v>
      </c>
      <c r="S586" s="329">
        <f t="shared" si="489"/>
        <v>0</v>
      </c>
      <c r="U586" s="329">
        <f t="shared" si="493"/>
        <v>0</v>
      </c>
      <c r="V586" s="329">
        <f t="shared" si="493"/>
        <v>0</v>
      </c>
      <c r="W586" s="329">
        <f t="shared" si="493"/>
        <v>0</v>
      </c>
      <c r="X586" s="329">
        <f t="shared" si="493"/>
        <v>0</v>
      </c>
      <c r="Y586" s="329">
        <f t="shared" si="493"/>
        <v>0</v>
      </c>
      <c r="Z586" s="329">
        <f t="shared" si="493"/>
        <v>0</v>
      </c>
      <c r="AA586" s="329">
        <f t="shared" si="493"/>
        <v>0</v>
      </c>
      <c r="AB586" s="329">
        <f t="shared" si="493"/>
        <v>0</v>
      </c>
      <c r="AD586" s="332">
        <f t="shared" si="457"/>
        <v>1</v>
      </c>
      <c r="AE586" s="329">
        <f t="shared" si="458"/>
        <v>0</v>
      </c>
      <c r="AF586" s="329">
        <f t="shared" si="459"/>
        <v>0</v>
      </c>
      <c r="AG586" s="329">
        <f t="shared" si="459"/>
        <v>0</v>
      </c>
      <c r="AH586" s="329">
        <f t="shared" si="459"/>
        <v>0</v>
      </c>
      <c r="AI586" s="329">
        <f t="shared" si="460"/>
        <v>0</v>
      </c>
      <c r="AJ586" s="329">
        <f t="shared" si="460"/>
        <v>0</v>
      </c>
      <c r="AK586" s="329">
        <f t="shared" si="460"/>
        <v>0</v>
      </c>
      <c r="AL586" s="329">
        <f t="shared" si="462"/>
        <v>0</v>
      </c>
    </row>
    <row r="587" spans="1:38" s="332" customFormat="1">
      <c r="A587" s="356"/>
      <c r="B587" s="356" t="s">
        <v>475</v>
      </c>
      <c r="C587" s="355">
        <f t="shared" si="491"/>
        <v>0</v>
      </c>
      <c r="D587" s="341">
        <f>VLOOKUP(B587,DONGIA,DG!$B$6,0)</f>
        <v>0</v>
      </c>
      <c r="E587" s="340" t="str">
        <f>VLOOKUP(B587,DONGIA,DG!$C$6,0)</f>
        <v>Yếm cáp dày 2mm</v>
      </c>
      <c r="F587" s="341" t="str">
        <f>VLOOKUP(B587,DONGIA,DG!$D$6,0)</f>
        <v>cái</v>
      </c>
      <c r="G587" s="329">
        <v>2</v>
      </c>
      <c r="H587" s="329">
        <f>VLOOKUP($B587,DONGIA,DG!$E$6,0)</f>
        <v>8000</v>
      </c>
      <c r="I587" s="329"/>
      <c r="J587" s="329"/>
      <c r="K587" s="329">
        <f>VLOOKUP($B587,DONGIA,DG!$F$6,0)</f>
        <v>0</v>
      </c>
      <c r="L587" s="329"/>
      <c r="M587" s="329">
        <f>VLOOKUP($B587,DONGIA,DG!$G$6,0)</f>
        <v>0</v>
      </c>
      <c r="N587" s="329">
        <f t="shared" si="492"/>
        <v>16000</v>
      </c>
      <c r="O587" s="329">
        <f t="shared" si="489"/>
        <v>0</v>
      </c>
      <c r="P587" s="329">
        <f t="shared" si="489"/>
        <v>0</v>
      </c>
      <c r="Q587" s="329">
        <f t="shared" si="489"/>
        <v>0</v>
      </c>
      <c r="R587" s="329">
        <f t="shared" si="489"/>
        <v>0</v>
      </c>
      <c r="S587" s="329">
        <f t="shared" si="489"/>
        <v>0</v>
      </c>
      <c r="U587" s="329">
        <f t="shared" si="493"/>
        <v>0</v>
      </c>
      <c r="V587" s="329">
        <f t="shared" si="493"/>
        <v>0</v>
      </c>
      <c r="W587" s="329">
        <f t="shared" si="493"/>
        <v>0</v>
      </c>
      <c r="X587" s="329">
        <f t="shared" si="493"/>
        <v>0</v>
      </c>
      <c r="Y587" s="329">
        <f t="shared" si="493"/>
        <v>0</v>
      </c>
      <c r="Z587" s="329">
        <f t="shared" si="493"/>
        <v>0</v>
      </c>
      <c r="AA587" s="329">
        <f t="shared" si="493"/>
        <v>0</v>
      </c>
      <c r="AB587" s="329">
        <f t="shared" si="493"/>
        <v>0</v>
      </c>
      <c r="AD587" s="332">
        <f t="shared" si="457"/>
        <v>0.3</v>
      </c>
      <c r="AE587" s="329">
        <f t="shared" si="458"/>
        <v>0</v>
      </c>
      <c r="AF587" s="329">
        <f t="shared" si="459"/>
        <v>0</v>
      </c>
      <c r="AG587" s="329">
        <f t="shared" si="459"/>
        <v>0</v>
      </c>
      <c r="AH587" s="329">
        <f t="shared" si="459"/>
        <v>0</v>
      </c>
      <c r="AI587" s="329">
        <f t="shared" si="460"/>
        <v>0</v>
      </c>
      <c r="AJ587" s="329">
        <f t="shared" si="460"/>
        <v>0</v>
      </c>
      <c r="AK587" s="329">
        <f t="shared" si="460"/>
        <v>0</v>
      </c>
      <c r="AL587" s="329">
        <f t="shared" si="462"/>
        <v>0</v>
      </c>
    </row>
    <row r="588" spans="1:38" s="332" customFormat="1">
      <c r="A588" s="356"/>
      <c r="B588" s="356" t="s">
        <v>373</v>
      </c>
      <c r="C588" s="355">
        <f t="shared" si="491"/>
        <v>0</v>
      </c>
      <c r="D588" s="341">
        <f>VLOOKUP(B588,DONGIA,DG!$B$6,0)</f>
        <v>0</v>
      </c>
      <c r="E588" s="340" t="str">
        <f>VLOOKUP(B588,DONGIA,DG!$C$6,0)</f>
        <v>Máng che dây chằng dày 0,8x2000mm</v>
      </c>
      <c r="F588" s="341" t="str">
        <f>VLOOKUP(B588,DONGIA,DG!$D$6,0)</f>
        <v>cái</v>
      </c>
      <c r="G588" s="329">
        <v>1</v>
      </c>
      <c r="H588" s="329">
        <f>VLOOKUP($B588,DONGIA,DG!$E$6,0)</f>
        <v>120000</v>
      </c>
      <c r="I588" s="329"/>
      <c r="J588" s="329"/>
      <c r="K588" s="329">
        <f>VLOOKUP($B588,DONGIA,DG!$F$6,0)</f>
        <v>0</v>
      </c>
      <c r="L588" s="329"/>
      <c r="M588" s="329">
        <f>VLOOKUP($B588,DONGIA,DG!$G$6,0)</f>
        <v>0</v>
      </c>
      <c r="N588" s="329">
        <f t="shared" si="492"/>
        <v>120000</v>
      </c>
      <c r="O588" s="329">
        <f t="shared" si="489"/>
        <v>0</v>
      </c>
      <c r="P588" s="329">
        <f t="shared" si="489"/>
        <v>0</v>
      </c>
      <c r="Q588" s="329">
        <f t="shared" si="489"/>
        <v>0</v>
      </c>
      <c r="R588" s="329">
        <f t="shared" si="489"/>
        <v>0</v>
      </c>
      <c r="S588" s="329">
        <f t="shared" si="489"/>
        <v>0</v>
      </c>
      <c r="U588" s="329">
        <f t="shared" si="493"/>
        <v>0</v>
      </c>
      <c r="V588" s="329">
        <f t="shared" si="493"/>
        <v>0</v>
      </c>
      <c r="W588" s="329">
        <f t="shared" si="493"/>
        <v>0</v>
      </c>
      <c r="X588" s="329">
        <f t="shared" si="493"/>
        <v>0</v>
      </c>
      <c r="Y588" s="329">
        <f t="shared" si="493"/>
        <v>0</v>
      </c>
      <c r="Z588" s="329">
        <f t="shared" si="493"/>
        <v>0</v>
      </c>
      <c r="AA588" s="329">
        <f t="shared" si="493"/>
        <v>0</v>
      </c>
      <c r="AB588" s="329">
        <f t="shared" si="493"/>
        <v>0</v>
      </c>
      <c r="AD588" s="332">
        <f t="shared" si="457"/>
        <v>0.4</v>
      </c>
      <c r="AE588" s="329">
        <f t="shared" si="458"/>
        <v>0</v>
      </c>
      <c r="AF588" s="329">
        <f t="shared" si="459"/>
        <v>0</v>
      </c>
      <c r="AG588" s="329">
        <f t="shared" si="459"/>
        <v>0</v>
      </c>
      <c r="AH588" s="329">
        <f t="shared" si="459"/>
        <v>0</v>
      </c>
      <c r="AI588" s="329">
        <f t="shared" si="460"/>
        <v>0</v>
      </c>
      <c r="AJ588" s="329">
        <f t="shared" si="460"/>
        <v>0</v>
      </c>
      <c r="AK588" s="329">
        <f t="shared" si="460"/>
        <v>0</v>
      </c>
      <c r="AL588" s="329">
        <f t="shared" si="462"/>
        <v>0</v>
      </c>
    </row>
    <row r="589" spans="1:38" s="332" customFormat="1">
      <c r="A589" s="356"/>
      <c r="B589" s="356" t="s">
        <v>690</v>
      </c>
      <c r="C589" s="355">
        <f t="shared" si="491"/>
        <v>0</v>
      </c>
      <c r="D589" s="341" t="str">
        <f>VLOOKUP(B589,DONGIA,DG!$B$6,0)</f>
        <v>D3.3251</v>
      </c>
      <c r="E589" s="340" t="str">
        <f>VLOOKUP(B589,DONGIA,DG!$C$6,0)</f>
        <v>Lắp bộ dây néo</v>
      </c>
      <c r="F589" s="341" t="str">
        <f>VLOOKUP(B589,DONGIA,DG!$D$6,0)</f>
        <v>bộ</v>
      </c>
      <c r="G589" s="329">
        <v>1</v>
      </c>
      <c r="H589" s="329"/>
      <c r="I589" s="329"/>
      <c r="J589" s="329"/>
      <c r="K589" s="329">
        <f>VLOOKUP($B589,DONGIA,DG!$F$6,0)</f>
        <v>106623</v>
      </c>
      <c r="L589" s="329"/>
      <c r="M589" s="329">
        <f>VLOOKUP($B589,DONGIA,DG!$G$6,0)</f>
        <v>0</v>
      </c>
      <c r="N589" s="329">
        <f t="shared" si="492"/>
        <v>0</v>
      </c>
      <c r="O589" s="329">
        <f t="shared" si="489"/>
        <v>0</v>
      </c>
      <c r="P589" s="329">
        <f t="shared" si="489"/>
        <v>0</v>
      </c>
      <c r="Q589" s="329">
        <f t="shared" si="489"/>
        <v>106623</v>
      </c>
      <c r="R589" s="329">
        <f t="shared" si="489"/>
        <v>0</v>
      </c>
      <c r="S589" s="329">
        <f t="shared" si="489"/>
        <v>0</v>
      </c>
      <c r="U589" s="329">
        <f t="shared" si="493"/>
        <v>0</v>
      </c>
      <c r="V589" s="329">
        <f t="shared" si="493"/>
        <v>0</v>
      </c>
      <c r="W589" s="329">
        <f t="shared" si="493"/>
        <v>0</v>
      </c>
      <c r="X589" s="329">
        <f t="shared" si="493"/>
        <v>0</v>
      </c>
      <c r="Y589" s="329">
        <f t="shared" si="493"/>
        <v>0</v>
      </c>
      <c r="Z589" s="329">
        <f t="shared" si="493"/>
        <v>0</v>
      </c>
      <c r="AA589" s="329">
        <f t="shared" si="493"/>
        <v>0</v>
      </c>
      <c r="AB589" s="329">
        <f t="shared" si="493"/>
        <v>0</v>
      </c>
      <c r="AD589" s="332">
        <f t="shared" si="457"/>
        <v>0</v>
      </c>
      <c r="AE589" s="329">
        <f t="shared" si="458"/>
        <v>0</v>
      </c>
      <c r="AF589" s="329">
        <f t="shared" si="459"/>
        <v>0</v>
      </c>
      <c r="AG589" s="329">
        <f t="shared" si="459"/>
        <v>0</v>
      </c>
      <c r="AH589" s="329">
        <f t="shared" si="459"/>
        <v>0</v>
      </c>
      <c r="AI589" s="329">
        <f t="shared" si="460"/>
        <v>0</v>
      </c>
      <c r="AJ589" s="329">
        <f t="shared" si="460"/>
        <v>0</v>
      </c>
      <c r="AK589" s="329">
        <f t="shared" si="460"/>
        <v>0</v>
      </c>
      <c r="AL589" s="329">
        <f t="shared" si="462"/>
        <v>0</v>
      </c>
    </row>
    <row r="590" spans="1:38" s="332" customFormat="1">
      <c r="A590" s="356" t="s">
        <v>1472</v>
      </c>
      <c r="B590" s="356"/>
      <c r="C590" s="355">
        <f>IF(G590&lt;&gt;0,1,)</f>
        <v>0</v>
      </c>
      <c r="D590" s="357"/>
      <c r="E590" s="358" t="s">
        <v>2713</v>
      </c>
      <c r="F590" s="357" t="s">
        <v>138</v>
      </c>
      <c r="G590" s="357">
        <f>U590</f>
        <v>0</v>
      </c>
      <c r="H590" s="358"/>
      <c r="I590" s="358"/>
      <c r="J590" s="358"/>
      <c r="K590" s="358"/>
      <c r="L590" s="358"/>
      <c r="M590" s="358"/>
      <c r="N590" s="358">
        <f t="shared" ref="N590:S590" si="494">SUM(N592:N600)</f>
        <v>1126520</v>
      </c>
      <c r="O590" s="358">
        <f t="shared" si="494"/>
        <v>0</v>
      </c>
      <c r="P590" s="358">
        <f t="shared" si="494"/>
        <v>0</v>
      </c>
      <c r="Q590" s="358">
        <f t="shared" si="494"/>
        <v>274573</v>
      </c>
      <c r="R590" s="358">
        <f t="shared" si="494"/>
        <v>0</v>
      </c>
      <c r="S590" s="358">
        <f t="shared" si="494"/>
        <v>0</v>
      </c>
      <c r="U590" s="358">
        <f>SUM(V590:AB590)</f>
        <v>0</v>
      </c>
      <c r="V590" s="358">
        <f>IFERROR(HLOOKUP($A590,BK3P,V$3,0),)</f>
        <v>0</v>
      </c>
      <c r="W590" s="358">
        <f>IFERROR(HLOOKUP($A590,BK3P,W$3,0),)</f>
        <v>0</v>
      </c>
      <c r="X590" s="358">
        <f>IFERROR(HLOOKUP($A590,BK3P,X$3,0),)</f>
        <v>0</v>
      </c>
      <c r="Y590" s="358">
        <f>IFERROR(HLOOKUP($A590,BK1P,Y$3,0),)</f>
        <v>0</v>
      </c>
      <c r="Z590" s="358">
        <f>IFERROR(HLOOKUP($A590,BK1P,Z$3,0),)</f>
        <v>0</v>
      </c>
      <c r="AA590" s="358">
        <f>IFERROR(HLOOKUP($A590,BK1P,AA$3,0),)</f>
        <v>0</v>
      </c>
      <c r="AB590" s="358">
        <f>IFERROR(HLOOKUP($A590,BKHT,AB$3,0),)</f>
        <v>0</v>
      </c>
      <c r="AD590" s="332">
        <f t="shared" si="457"/>
        <v>0</v>
      </c>
      <c r="AE590" s="329">
        <f t="shared" si="458"/>
        <v>0</v>
      </c>
      <c r="AF590" s="329">
        <f t="shared" si="459"/>
        <v>0</v>
      </c>
      <c r="AG590" s="329">
        <f t="shared" si="459"/>
        <v>0</v>
      </c>
      <c r="AH590" s="329">
        <f t="shared" si="459"/>
        <v>0</v>
      </c>
      <c r="AI590" s="329">
        <f t="shared" si="460"/>
        <v>0</v>
      </c>
      <c r="AJ590" s="329">
        <f t="shared" si="460"/>
        <v>0</v>
      </c>
      <c r="AK590" s="329">
        <f t="shared" si="460"/>
        <v>0</v>
      </c>
      <c r="AL590" s="329">
        <f t="shared" si="462"/>
        <v>0</v>
      </c>
    </row>
    <row r="591" spans="1:38" s="361" customFormat="1">
      <c r="A591" s="359"/>
      <c r="B591" s="359"/>
      <c r="C591" s="360">
        <f>C590</f>
        <v>0</v>
      </c>
      <c r="D591" s="350"/>
      <c r="E591" s="351" t="s">
        <v>1659</v>
      </c>
      <c r="F591" s="350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U591" s="351"/>
      <c r="V591" s="351"/>
      <c r="W591" s="351"/>
      <c r="X591" s="351"/>
      <c r="Y591" s="351"/>
      <c r="Z591" s="351"/>
      <c r="AA591" s="351"/>
      <c r="AB591" s="351"/>
      <c r="AD591" s="332">
        <f t="shared" si="457"/>
        <v>0</v>
      </c>
      <c r="AE591" s="329">
        <f t="shared" si="458"/>
        <v>0</v>
      </c>
      <c r="AF591" s="329">
        <f t="shared" si="459"/>
        <v>0</v>
      </c>
      <c r="AG591" s="329">
        <f t="shared" si="459"/>
        <v>0</v>
      </c>
      <c r="AH591" s="329">
        <f t="shared" si="459"/>
        <v>0</v>
      </c>
      <c r="AI591" s="329">
        <f t="shared" si="460"/>
        <v>0</v>
      </c>
      <c r="AJ591" s="329">
        <f t="shared" si="460"/>
        <v>0</v>
      </c>
      <c r="AK591" s="329">
        <f t="shared" si="460"/>
        <v>0</v>
      </c>
      <c r="AL591" s="329">
        <f t="shared" si="462"/>
        <v>0</v>
      </c>
    </row>
    <row r="592" spans="1:38" s="332" customFormat="1">
      <c r="A592" s="356"/>
      <c r="B592" s="356" t="s">
        <v>109</v>
      </c>
      <c r="C592" s="355">
        <f>IF(G592&lt;&gt;0,$C$590,)</f>
        <v>0</v>
      </c>
      <c r="D592" s="341">
        <f>VLOOKUP(B592,DONGIA,DG!$B$6,0)</f>
        <v>0</v>
      </c>
      <c r="E592" s="340" t="str">
        <f>VLOOKUP(B592,DONGIA,DG!$C$6,0)</f>
        <v>Boulon mắt 16x250+ long đền vuông D18-50x50x3/Zn</v>
      </c>
      <c r="F592" s="341" t="str">
        <f>VLOOKUP(B592,DONGIA,DG!$D$6,0)</f>
        <v>bộ</v>
      </c>
      <c r="G592" s="329">
        <v>1</v>
      </c>
      <c r="H592" s="329">
        <f>VLOOKUP($B592,DONGIA,DG!$E$6,0)</f>
        <v>29000</v>
      </c>
      <c r="I592" s="329"/>
      <c r="J592" s="329"/>
      <c r="K592" s="329">
        <f>VLOOKUP($B592,DONGIA,DG!$F$6,0)</f>
        <v>0</v>
      </c>
      <c r="L592" s="329"/>
      <c r="M592" s="329">
        <f>VLOOKUP($B592,DONGIA,DG!$G$6,0)</f>
        <v>0</v>
      </c>
      <c r="N592" s="329">
        <f>$G592*H592</f>
        <v>29000</v>
      </c>
      <c r="O592" s="329">
        <f t="shared" ref="O592:S600" si="495">$G592*I592</f>
        <v>0</v>
      </c>
      <c r="P592" s="329">
        <f t="shared" si="495"/>
        <v>0</v>
      </c>
      <c r="Q592" s="329">
        <f t="shared" si="495"/>
        <v>0</v>
      </c>
      <c r="R592" s="329">
        <f t="shared" si="495"/>
        <v>0</v>
      </c>
      <c r="S592" s="329">
        <f t="shared" si="495"/>
        <v>0</v>
      </c>
      <c r="U592" s="329">
        <f>U$590*$G592</f>
        <v>0</v>
      </c>
      <c r="V592" s="329">
        <f t="shared" ref="V592:AB592" si="496">V$590*$G592</f>
        <v>0</v>
      </c>
      <c r="W592" s="329">
        <f t="shared" si="496"/>
        <v>0</v>
      </c>
      <c r="X592" s="329">
        <f t="shared" si="496"/>
        <v>0</v>
      </c>
      <c r="Y592" s="329">
        <f t="shared" si="496"/>
        <v>0</v>
      </c>
      <c r="Z592" s="329">
        <f t="shared" si="496"/>
        <v>0</v>
      </c>
      <c r="AA592" s="329">
        <f t="shared" si="496"/>
        <v>0</v>
      </c>
      <c r="AB592" s="329">
        <f t="shared" si="496"/>
        <v>0</v>
      </c>
      <c r="AD592" s="332">
        <f t="shared" si="457"/>
        <v>0.3</v>
      </c>
      <c r="AE592" s="329">
        <f t="shared" si="458"/>
        <v>0</v>
      </c>
      <c r="AF592" s="329">
        <f t="shared" si="459"/>
        <v>0</v>
      </c>
      <c r="AG592" s="329">
        <f t="shared" si="459"/>
        <v>0</v>
      </c>
      <c r="AH592" s="329">
        <f t="shared" si="459"/>
        <v>0</v>
      </c>
      <c r="AI592" s="329">
        <f t="shared" si="460"/>
        <v>0</v>
      </c>
      <c r="AJ592" s="329">
        <f t="shared" si="460"/>
        <v>0</v>
      </c>
      <c r="AK592" s="329">
        <f t="shared" si="460"/>
        <v>0</v>
      </c>
      <c r="AL592" s="329">
        <f t="shared" si="462"/>
        <v>0</v>
      </c>
    </row>
    <row r="593" spans="1:38" s="332" customFormat="1">
      <c r="A593" s="356"/>
      <c r="B593" s="356" t="s">
        <v>408</v>
      </c>
      <c r="C593" s="355">
        <f t="shared" ref="C593:C600" si="497">IF(G593&lt;&gt;0,$C$590,)</f>
        <v>0</v>
      </c>
      <c r="D593" s="341">
        <f>VLOOKUP(B593,DONGIA,DG!$B$6,0)</f>
        <v>0</v>
      </c>
      <c r="E593" s="340" t="str">
        <f>VLOOKUP(B593,DONGIA,DG!$C$6,0)</f>
        <v>Sứ chằng lớn</v>
      </c>
      <c r="F593" s="341" t="str">
        <f>VLOOKUP(B593,DONGIA,DG!$D$6,0)</f>
        <v>cái</v>
      </c>
      <c r="G593" s="329">
        <v>1</v>
      </c>
      <c r="H593" s="329">
        <f>VLOOKUP($B593,DONGIA,DG!$E$6,0)</f>
        <v>66000</v>
      </c>
      <c r="I593" s="329"/>
      <c r="J593" s="329"/>
      <c r="K593" s="329">
        <f>VLOOKUP($B593,DONGIA,DG!$F$6,0)</f>
        <v>0</v>
      </c>
      <c r="L593" s="329"/>
      <c r="M593" s="329">
        <f>VLOOKUP($B593,DONGIA,DG!$G$6,0)</f>
        <v>0</v>
      </c>
      <c r="N593" s="329">
        <f t="shared" ref="N593:N600" si="498">$G593*H593</f>
        <v>66000</v>
      </c>
      <c r="O593" s="329">
        <f t="shared" si="495"/>
        <v>0</v>
      </c>
      <c r="P593" s="329">
        <f t="shared" si="495"/>
        <v>0</v>
      </c>
      <c r="Q593" s="329">
        <f t="shared" si="495"/>
        <v>0</v>
      </c>
      <c r="R593" s="329">
        <f t="shared" si="495"/>
        <v>0</v>
      </c>
      <c r="S593" s="329">
        <f t="shared" si="495"/>
        <v>0</v>
      </c>
      <c r="U593" s="329">
        <f t="shared" ref="U593:AB600" si="499">U$590*$G593</f>
        <v>0</v>
      </c>
      <c r="V593" s="329">
        <f t="shared" si="499"/>
        <v>0</v>
      </c>
      <c r="W593" s="329">
        <f t="shared" si="499"/>
        <v>0</v>
      </c>
      <c r="X593" s="329">
        <f t="shared" si="499"/>
        <v>0</v>
      </c>
      <c r="Y593" s="329">
        <f t="shared" si="499"/>
        <v>0</v>
      </c>
      <c r="Z593" s="329">
        <f t="shared" si="499"/>
        <v>0</v>
      </c>
      <c r="AA593" s="329">
        <f t="shared" si="499"/>
        <v>0</v>
      </c>
      <c r="AB593" s="329">
        <f t="shared" si="499"/>
        <v>0</v>
      </c>
      <c r="AD593" s="332">
        <f t="shared" si="457"/>
        <v>1.5</v>
      </c>
      <c r="AE593" s="329">
        <f t="shared" si="458"/>
        <v>0</v>
      </c>
      <c r="AF593" s="329">
        <f t="shared" si="459"/>
        <v>0</v>
      </c>
      <c r="AG593" s="329">
        <f t="shared" si="459"/>
        <v>0</v>
      </c>
      <c r="AH593" s="329">
        <f t="shared" si="459"/>
        <v>0</v>
      </c>
      <c r="AI593" s="329">
        <f t="shared" si="460"/>
        <v>0</v>
      </c>
      <c r="AJ593" s="329">
        <f t="shared" si="460"/>
        <v>0</v>
      </c>
      <c r="AK593" s="329">
        <f t="shared" si="460"/>
        <v>0</v>
      </c>
      <c r="AL593" s="329">
        <f t="shared" si="462"/>
        <v>0</v>
      </c>
    </row>
    <row r="594" spans="1:38" s="332" customFormat="1">
      <c r="A594" s="356"/>
      <c r="B594" s="356" t="s">
        <v>277</v>
      </c>
      <c r="C594" s="355">
        <f t="shared" si="497"/>
        <v>0</v>
      </c>
      <c r="D594" s="341">
        <f>VLOOKUP(B594,DONGIA,DG!$B$6,0)</f>
        <v>0</v>
      </c>
      <c r="E594" s="340" t="str">
        <f>VLOOKUP(B594,DONGIA,DG!$C$6,0)</f>
        <v>Kẹp cáp 3 boulon B46x136</v>
      </c>
      <c r="F594" s="341" t="str">
        <f>VLOOKUP(B594,DONGIA,DG!$D$6,0)</f>
        <v>cái</v>
      </c>
      <c r="G594" s="329">
        <v>8</v>
      </c>
      <c r="H594" s="329">
        <f>VLOOKUP($B594,DONGIA,DG!$E$6,0)</f>
        <v>48000</v>
      </c>
      <c r="I594" s="329"/>
      <c r="J594" s="329"/>
      <c r="K594" s="329">
        <f>VLOOKUP($B594,DONGIA,DG!$F$6,0)</f>
        <v>0</v>
      </c>
      <c r="L594" s="329"/>
      <c r="M594" s="329">
        <f>VLOOKUP($B594,DONGIA,DG!$G$6,0)</f>
        <v>0</v>
      </c>
      <c r="N594" s="329">
        <f t="shared" si="498"/>
        <v>384000</v>
      </c>
      <c r="O594" s="329">
        <f t="shared" si="495"/>
        <v>0</v>
      </c>
      <c r="P594" s="329">
        <f t="shared" si="495"/>
        <v>0</v>
      </c>
      <c r="Q594" s="329">
        <f t="shared" si="495"/>
        <v>0</v>
      </c>
      <c r="R594" s="329">
        <f t="shared" si="495"/>
        <v>0</v>
      </c>
      <c r="S594" s="329">
        <f t="shared" si="495"/>
        <v>0</v>
      </c>
      <c r="U594" s="329">
        <f t="shared" si="499"/>
        <v>0</v>
      </c>
      <c r="V594" s="329">
        <f t="shared" si="499"/>
        <v>0</v>
      </c>
      <c r="W594" s="329">
        <f t="shared" si="499"/>
        <v>0</v>
      </c>
      <c r="X594" s="329">
        <f t="shared" si="499"/>
        <v>0</v>
      </c>
      <c r="Y594" s="329">
        <f t="shared" si="499"/>
        <v>0</v>
      </c>
      <c r="Z594" s="329">
        <f t="shared" si="499"/>
        <v>0</v>
      </c>
      <c r="AA594" s="329">
        <f t="shared" si="499"/>
        <v>0</v>
      </c>
      <c r="AB594" s="329">
        <f t="shared" si="499"/>
        <v>0</v>
      </c>
      <c r="AD594" s="332">
        <f t="shared" si="457"/>
        <v>0.2</v>
      </c>
      <c r="AE594" s="329">
        <f t="shared" si="458"/>
        <v>0</v>
      </c>
      <c r="AF594" s="329">
        <f t="shared" si="459"/>
        <v>0</v>
      </c>
      <c r="AG594" s="329">
        <f t="shared" si="459"/>
        <v>0</v>
      </c>
      <c r="AH594" s="329">
        <f t="shared" si="459"/>
        <v>0</v>
      </c>
      <c r="AI594" s="329">
        <f t="shared" si="460"/>
        <v>0</v>
      </c>
      <c r="AJ594" s="329">
        <f t="shared" si="460"/>
        <v>0</v>
      </c>
      <c r="AK594" s="329">
        <f t="shared" si="460"/>
        <v>0</v>
      </c>
      <c r="AL594" s="329">
        <f t="shared" si="462"/>
        <v>0</v>
      </c>
    </row>
    <row r="595" spans="1:38" s="332" customFormat="1">
      <c r="A595" s="356"/>
      <c r="B595" s="356" t="s">
        <v>266</v>
      </c>
      <c r="C595" s="355">
        <f t="shared" si="497"/>
        <v>0</v>
      </c>
      <c r="D595" s="341">
        <f>VLOOKUP(B595,DONGIA,DG!$B$6,0)</f>
        <v>0</v>
      </c>
      <c r="E595" s="340" t="str">
        <f>VLOOKUP(B595,DONGIA,DG!$C$6,0)</f>
        <v>Cáp thép 3/8"</v>
      </c>
      <c r="F595" s="341" t="str">
        <f>VLOOKUP(B595,DONGIA,DG!$D$6,0)</f>
        <v>mét</v>
      </c>
      <c r="G595" s="483">
        <f>11</f>
        <v>11</v>
      </c>
      <c r="H595" s="329">
        <f>VLOOKUP($B595,DONGIA,DG!$E$6,0)</f>
        <v>13320</v>
      </c>
      <c r="I595" s="329"/>
      <c r="J595" s="329"/>
      <c r="K595" s="329">
        <f>VLOOKUP($B595,DONGIA,DG!$F$6,0)</f>
        <v>0</v>
      </c>
      <c r="L595" s="329"/>
      <c r="M595" s="329">
        <f>VLOOKUP($B595,DONGIA,DG!$G$6,0)</f>
        <v>0</v>
      </c>
      <c r="N595" s="329">
        <f t="shared" si="498"/>
        <v>146520</v>
      </c>
      <c r="O595" s="329">
        <f t="shared" si="495"/>
        <v>0</v>
      </c>
      <c r="P595" s="329">
        <f t="shared" si="495"/>
        <v>0</v>
      </c>
      <c r="Q595" s="329">
        <f t="shared" si="495"/>
        <v>0</v>
      </c>
      <c r="R595" s="329">
        <f t="shared" si="495"/>
        <v>0</v>
      </c>
      <c r="S595" s="329">
        <f t="shared" si="495"/>
        <v>0</v>
      </c>
      <c r="U595" s="329">
        <f t="shared" si="499"/>
        <v>0</v>
      </c>
      <c r="V595" s="329">
        <f t="shared" si="499"/>
        <v>0</v>
      </c>
      <c r="W595" s="329">
        <f t="shared" si="499"/>
        <v>0</v>
      </c>
      <c r="X595" s="329">
        <f t="shared" si="499"/>
        <v>0</v>
      </c>
      <c r="Y595" s="329">
        <f t="shared" si="499"/>
        <v>0</v>
      </c>
      <c r="Z595" s="329">
        <f t="shared" si="499"/>
        <v>0</v>
      </c>
      <c r="AA595" s="329">
        <f t="shared" si="499"/>
        <v>0</v>
      </c>
      <c r="AB595" s="329">
        <f t="shared" si="499"/>
        <v>0</v>
      </c>
      <c r="AD595" s="332">
        <f t="shared" si="457"/>
        <v>1</v>
      </c>
      <c r="AE595" s="329">
        <f t="shared" si="458"/>
        <v>0</v>
      </c>
      <c r="AF595" s="329">
        <f t="shared" si="459"/>
        <v>0</v>
      </c>
      <c r="AG595" s="329">
        <f t="shared" si="459"/>
        <v>0</v>
      </c>
      <c r="AH595" s="329">
        <f t="shared" si="459"/>
        <v>0</v>
      </c>
      <c r="AI595" s="329">
        <f t="shared" si="460"/>
        <v>0</v>
      </c>
      <c r="AJ595" s="329">
        <f t="shared" si="460"/>
        <v>0</v>
      </c>
      <c r="AK595" s="329">
        <f t="shared" si="460"/>
        <v>0</v>
      </c>
      <c r="AL595" s="329">
        <f t="shared" si="462"/>
        <v>0</v>
      </c>
    </row>
    <row r="596" spans="1:38" s="332" customFormat="1">
      <c r="A596" s="356"/>
      <c r="B596" s="356" t="s">
        <v>440</v>
      </c>
      <c r="C596" s="355">
        <f t="shared" si="497"/>
        <v>0</v>
      </c>
      <c r="D596" s="341" t="str">
        <f>VLOOKUP(B596,DONGIA,DG!$B$6,0)</f>
        <v>D2.6011</v>
      </c>
      <c r="E596" s="340" t="str">
        <f>VLOOKUP(B596,DONGIA,DG!$C$6,0)</f>
        <v>Bộ chống chằng hẹp φ60/50x1500+2BL12x40+BL16x250/80</v>
      </c>
      <c r="F596" s="341" t="str">
        <f>VLOOKUP(B596,DONGIA,DG!$D$6,0)</f>
        <v>bộ</v>
      </c>
      <c r="G596" s="329">
        <v>1</v>
      </c>
      <c r="H596" s="329">
        <f>VLOOKUP($B596,DONGIA,DG!$E$6,0)</f>
        <v>365000</v>
      </c>
      <c r="I596" s="329"/>
      <c r="J596" s="329"/>
      <c r="K596" s="329">
        <f>VLOOKUP($B596,DONGIA,DG!$F$6,0)</f>
        <v>167950</v>
      </c>
      <c r="L596" s="329"/>
      <c r="M596" s="329">
        <f>VLOOKUP($B596,DONGIA,DG!$G$6,0)</f>
        <v>0</v>
      </c>
      <c r="N596" s="329">
        <f t="shared" si="498"/>
        <v>365000</v>
      </c>
      <c r="O596" s="329">
        <f t="shared" si="495"/>
        <v>0</v>
      </c>
      <c r="P596" s="329">
        <f t="shared" si="495"/>
        <v>0</v>
      </c>
      <c r="Q596" s="329">
        <f t="shared" si="495"/>
        <v>167950</v>
      </c>
      <c r="R596" s="329">
        <f t="shared" si="495"/>
        <v>0</v>
      </c>
      <c r="S596" s="329">
        <f t="shared" si="495"/>
        <v>0</v>
      </c>
      <c r="U596" s="329">
        <f t="shared" si="499"/>
        <v>0</v>
      </c>
      <c r="V596" s="329">
        <f t="shared" si="499"/>
        <v>0</v>
      </c>
      <c r="W596" s="329">
        <f t="shared" si="499"/>
        <v>0</v>
      </c>
      <c r="X596" s="329">
        <f t="shared" si="499"/>
        <v>0</v>
      </c>
      <c r="Y596" s="329">
        <f t="shared" si="499"/>
        <v>0</v>
      </c>
      <c r="Z596" s="329">
        <f t="shared" si="499"/>
        <v>0</v>
      </c>
      <c r="AA596" s="329">
        <f t="shared" si="499"/>
        <v>0</v>
      </c>
      <c r="AB596" s="329">
        <f t="shared" si="499"/>
        <v>0</v>
      </c>
      <c r="AD596" s="332">
        <f t="shared" si="457"/>
        <v>7.5</v>
      </c>
      <c r="AE596" s="329">
        <f t="shared" si="458"/>
        <v>0</v>
      </c>
      <c r="AF596" s="329">
        <f t="shared" si="459"/>
        <v>0</v>
      </c>
      <c r="AG596" s="329">
        <f t="shared" si="459"/>
        <v>0</v>
      </c>
      <c r="AH596" s="329">
        <f t="shared" si="459"/>
        <v>0</v>
      </c>
      <c r="AI596" s="329">
        <f t="shared" si="460"/>
        <v>0</v>
      </c>
      <c r="AJ596" s="329">
        <f t="shared" si="460"/>
        <v>0</v>
      </c>
      <c r="AK596" s="329">
        <f t="shared" si="460"/>
        <v>0</v>
      </c>
      <c r="AL596" s="329">
        <f t="shared" si="462"/>
        <v>0</v>
      </c>
    </row>
    <row r="597" spans="1:38" s="332" customFormat="1">
      <c r="A597" s="356"/>
      <c r="B597" s="356" t="s">
        <v>475</v>
      </c>
      <c r="C597" s="355">
        <f t="shared" si="497"/>
        <v>0</v>
      </c>
      <c r="D597" s="341">
        <f>VLOOKUP(B597,DONGIA,DG!$B$6,0)</f>
        <v>0</v>
      </c>
      <c r="E597" s="340" t="str">
        <f>VLOOKUP(B597,DONGIA,DG!$C$6,0)</f>
        <v>Yếm cáp dày 2mm</v>
      </c>
      <c r="F597" s="341" t="str">
        <f>VLOOKUP(B597,DONGIA,DG!$D$6,0)</f>
        <v>cái</v>
      </c>
      <c r="G597" s="329">
        <v>2</v>
      </c>
      <c r="H597" s="329">
        <f>VLOOKUP($B597,DONGIA,DG!$E$6,0)</f>
        <v>8000</v>
      </c>
      <c r="I597" s="329"/>
      <c r="J597" s="329"/>
      <c r="K597" s="329">
        <f>VLOOKUP($B597,DONGIA,DG!$F$6,0)</f>
        <v>0</v>
      </c>
      <c r="L597" s="329"/>
      <c r="M597" s="329">
        <f>VLOOKUP($B597,DONGIA,DG!$G$6,0)</f>
        <v>0</v>
      </c>
      <c r="N597" s="329">
        <f t="shared" si="498"/>
        <v>16000</v>
      </c>
      <c r="O597" s="329">
        <f t="shared" si="495"/>
        <v>0</v>
      </c>
      <c r="P597" s="329">
        <f t="shared" si="495"/>
        <v>0</v>
      </c>
      <c r="Q597" s="329">
        <f t="shared" si="495"/>
        <v>0</v>
      </c>
      <c r="R597" s="329">
        <f t="shared" si="495"/>
        <v>0</v>
      </c>
      <c r="S597" s="329">
        <f t="shared" si="495"/>
        <v>0</v>
      </c>
      <c r="U597" s="329">
        <f t="shared" si="499"/>
        <v>0</v>
      </c>
      <c r="V597" s="329">
        <f t="shared" si="499"/>
        <v>0</v>
      </c>
      <c r="W597" s="329">
        <f t="shared" si="499"/>
        <v>0</v>
      </c>
      <c r="X597" s="329">
        <f t="shared" si="499"/>
        <v>0</v>
      </c>
      <c r="Y597" s="329">
        <f t="shared" si="499"/>
        <v>0</v>
      </c>
      <c r="Z597" s="329">
        <f t="shared" si="499"/>
        <v>0</v>
      </c>
      <c r="AA597" s="329">
        <f t="shared" si="499"/>
        <v>0</v>
      </c>
      <c r="AB597" s="329">
        <f t="shared" si="499"/>
        <v>0</v>
      </c>
      <c r="AD597" s="332">
        <f t="shared" si="457"/>
        <v>0.3</v>
      </c>
      <c r="AE597" s="329">
        <f t="shared" si="458"/>
        <v>0</v>
      </c>
      <c r="AF597" s="329">
        <f t="shared" si="459"/>
        <v>0</v>
      </c>
      <c r="AG597" s="329">
        <f t="shared" si="459"/>
        <v>0</v>
      </c>
      <c r="AH597" s="329">
        <f t="shared" si="459"/>
        <v>0</v>
      </c>
      <c r="AI597" s="329">
        <f t="shared" si="460"/>
        <v>0</v>
      </c>
      <c r="AJ597" s="329">
        <f t="shared" si="460"/>
        <v>0</v>
      </c>
      <c r="AK597" s="329">
        <f t="shared" si="460"/>
        <v>0</v>
      </c>
      <c r="AL597" s="329">
        <f t="shared" si="462"/>
        <v>0</v>
      </c>
    </row>
    <row r="598" spans="1:38" s="332" customFormat="1">
      <c r="A598" s="356"/>
      <c r="B598" s="356" t="s">
        <v>373</v>
      </c>
      <c r="C598" s="355">
        <f t="shared" si="497"/>
        <v>0</v>
      </c>
      <c r="D598" s="341">
        <f>VLOOKUP(B598,DONGIA,DG!$B$6,0)</f>
        <v>0</v>
      </c>
      <c r="E598" s="340" t="str">
        <f>VLOOKUP(B598,DONGIA,DG!$C$6,0)</f>
        <v>Máng che dây chằng dày 0,8x2000mm</v>
      </c>
      <c r="F598" s="341" t="str">
        <f>VLOOKUP(B598,DONGIA,DG!$D$6,0)</f>
        <v>cái</v>
      </c>
      <c r="G598" s="329">
        <v>1</v>
      </c>
      <c r="H598" s="329">
        <f>VLOOKUP($B598,DONGIA,DG!$E$6,0)</f>
        <v>120000</v>
      </c>
      <c r="I598" s="329"/>
      <c r="J598" s="329"/>
      <c r="K598" s="329">
        <f>VLOOKUP($B598,DONGIA,DG!$F$6,0)</f>
        <v>0</v>
      </c>
      <c r="L598" s="329"/>
      <c r="M598" s="329">
        <f>VLOOKUP($B598,DONGIA,DG!$G$6,0)</f>
        <v>0</v>
      </c>
      <c r="N598" s="329">
        <f t="shared" si="498"/>
        <v>120000</v>
      </c>
      <c r="O598" s="329">
        <f t="shared" si="495"/>
        <v>0</v>
      </c>
      <c r="P598" s="329">
        <f t="shared" si="495"/>
        <v>0</v>
      </c>
      <c r="Q598" s="329">
        <f t="shared" si="495"/>
        <v>0</v>
      </c>
      <c r="R598" s="329">
        <f t="shared" si="495"/>
        <v>0</v>
      </c>
      <c r="S598" s="329">
        <f t="shared" si="495"/>
        <v>0</v>
      </c>
      <c r="U598" s="329">
        <f t="shared" si="499"/>
        <v>0</v>
      </c>
      <c r="V598" s="329">
        <f t="shared" si="499"/>
        <v>0</v>
      </c>
      <c r="W598" s="329">
        <f t="shared" si="499"/>
        <v>0</v>
      </c>
      <c r="X598" s="329">
        <f t="shared" si="499"/>
        <v>0</v>
      </c>
      <c r="Y598" s="329">
        <f t="shared" si="499"/>
        <v>0</v>
      </c>
      <c r="Z598" s="329">
        <f t="shared" si="499"/>
        <v>0</v>
      </c>
      <c r="AA598" s="329">
        <f t="shared" si="499"/>
        <v>0</v>
      </c>
      <c r="AB598" s="329">
        <f t="shared" si="499"/>
        <v>0</v>
      </c>
      <c r="AD598" s="332">
        <f t="shared" si="457"/>
        <v>0.4</v>
      </c>
      <c r="AE598" s="329">
        <f t="shared" si="458"/>
        <v>0</v>
      </c>
      <c r="AF598" s="329">
        <f t="shared" si="459"/>
        <v>0</v>
      </c>
      <c r="AG598" s="329">
        <f t="shared" si="459"/>
        <v>0</v>
      </c>
      <c r="AH598" s="329">
        <f t="shared" si="459"/>
        <v>0</v>
      </c>
      <c r="AI598" s="329">
        <f t="shared" si="460"/>
        <v>0</v>
      </c>
      <c r="AJ598" s="329">
        <f t="shared" si="460"/>
        <v>0</v>
      </c>
      <c r="AK598" s="329">
        <f t="shared" si="460"/>
        <v>0</v>
      </c>
      <c r="AL598" s="329">
        <f t="shared" si="462"/>
        <v>0</v>
      </c>
    </row>
    <row r="599" spans="1:38" s="332" customFormat="1">
      <c r="A599" s="356"/>
      <c r="B599" s="356" t="s">
        <v>690</v>
      </c>
      <c r="C599" s="355">
        <f t="shared" si="497"/>
        <v>0</v>
      </c>
      <c r="D599" s="341" t="str">
        <f>VLOOKUP(B599,DONGIA,DG!$B$6,0)</f>
        <v>D3.3251</v>
      </c>
      <c r="E599" s="340" t="str">
        <f>VLOOKUP(B599,DONGIA,DG!$C$6,0)</f>
        <v>Lắp bộ dây néo</v>
      </c>
      <c r="F599" s="341" t="str">
        <f>VLOOKUP(B599,DONGIA,DG!$D$6,0)</f>
        <v>bộ</v>
      </c>
      <c r="G599" s="329">
        <v>1</v>
      </c>
      <c r="H599" s="329"/>
      <c r="I599" s="329"/>
      <c r="J599" s="329"/>
      <c r="K599" s="329">
        <f>VLOOKUP($B599,DONGIA,DG!$F$6,0)</f>
        <v>106623</v>
      </c>
      <c r="L599" s="329"/>
      <c r="M599" s="329">
        <f>VLOOKUP($B599,DONGIA,DG!$G$6,0)</f>
        <v>0</v>
      </c>
      <c r="N599" s="329">
        <f t="shared" si="498"/>
        <v>0</v>
      </c>
      <c r="O599" s="329">
        <f t="shared" si="495"/>
        <v>0</v>
      </c>
      <c r="P599" s="329">
        <f t="shared" si="495"/>
        <v>0</v>
      </c>
      <c r="Q599" s="329">
        <f t="shared" si="495"/>
        <v>106623</v>
      </c>
      <c r="R599" s="329">
        <f t="shared" si="495"/>
        <v>0</v>
      </c>
      <c r="S599" s="329">
        <f t="shared" si="495"/>
        <v>0</v>
      </c>
      <c r="U599" s="329">
        <f t="shared" si="499"/>
        <v>0</v>
      </c>
      <c r="V599" s="329">
        <f t="shared" si="499"/>
        <v>0</v>
      </c>
      <c r="W599" s="329">
        <f t="shared" si="499"/>
        <v>0</v>
      </c>
      <c r="X599" s="329">
        <f t="shared" si="499"/>
        <v>0</v>
      </c>
      <c r="Y599" s="329">
        <f t="shared" si="499"/>
        <v>0</v>
      </c>
      <c r="Z599" s="329">
        <f t="shared" si="499"/>
        <v>0</v>
      </c>
      <c r="AA599" s="329">
        <f t="shared" si="499"/>
        <v>0</v>
      </c>
      <c r="AB599" s="329">
        <f t="shared" si="499"/>
        <v>0</v>
      </c>
      <c r="AD599" s="332">
        <f t="shared" si="457"/>
        <v>0</v>
      </c>
      <c r="AE599" s="329">
        <f t="shared" si="458"/>
        <v>0</v>
      </c>
      <c r="AF599" s="329">
        <f t="shared" si="459"/>
        <v>0</v>
      </c>
      <c r="AG599" s="329">
        <f t="shared" si="459"/>
        <v>0</v>
      </c>
      <c r="AH599" s="329">
        <f t="shared" si="459"/>
        <v>0</v>
      </c>
      <c r="AI599" s="329">
        <f t="shared" si="460"/>
        <v>0</v>
      </c>
      <c r="AJ599" s="329">
        <f t="shared" si="460"/>
        <v>0</v>
      </c>
      <c r="AK599" s="329">
        <f t="shared" si="460"/>
        <v>0</v>
      </c>
      <c r="AL599" s="329">
        <f t="shared" si="462"/>
        <v>0</v>
      </c>
    </row>
    <row r="600" spans="1:38" s="332" customFormat="1">
      <c r="A600" s="356"/>
      <c r="B600" s="356" t="s">
        <v>688</v>
      </c>
      <c r="C600" s="355">
        <f t="shared" si="497"/>
        <v>0</v>
      </c>
      <c r="D600" s="341" t="str">
        <f>VLOOKUP(B600,DONGIA,DG!$B$6,0)</f>
        <v>05.6011</v>
      </c>
      <c r="E600" s="340" t="str">
        <f>VLOOKUP(B600,DONGIA,DG!$C$6,0)</f>
        <v>Lắp bộ chống lệch</v>
      </c>
      <c r="F600" s="341" t="str">
        <f>VLOOKUP(B600,DONGIA,DG!$D$6,0)</f>
        <v>bộ</v>
      </c>
      <c r="G600" s="329">
        <v>1</v>
      </c>
      <c r="H600" s="329"/>
      <c r="I600" s="329"/>
      <c r="J600" s="329"/>
      <c r="K600" s="329">
        <f>VLOOKUP($B600,DONGIA,DG!$F$6,0)</f>
        <v>0</v>
      </c>
      <c r="L600" s="329"/>
      <c r="M600" s="329">
        <f>VLOOKUP($B600,DONGIA,DG!$G$6,0)</f>
        <v>0</v>
      </c>
      <c r="N600" s="329">
        <f t="shared" si="498"/>
        <v>0</v>
      </c>
      <c r="O600" s="329">
        <f t="shared" si="495"/>
        <v>0</v>
      </c>
      <c r="P600" s="329">
        <f t="shared" si="495"/>
        <v>0</v>
      </c>
      <c r="Q600" s="329">
        <f t="shared" si="495"/>
        <v>0</v>
      </c>
      <c r="R600" s="329">
        <f t="shared" si="495"/>
        <v>0</v>
      </c>
      <c r="S600" s="329">
        <f t="shared" si="495"/>
        <v>0</v>
      </c>
      <c r="U600" s="329">
        <f t="shared" si="499"/>
        <v>0</v>
      </c>
      <c r="V600" s="329">
        <f t="shared" si="499"/>
        <v>0</v>
      </c>
      <c r="W600" s="329">
        <f t="shared" si="499"/>
        <v>0</v>
      </c>
      <c r="X600" s="329">
        <f t="shared" si="499"/>
        <v>0</v>
      </c>
      <c r="Y600" s="329">
        <f t="shared" si="499"/>
        <v>0</v>
      </c>
      <c r="Z600" s="329">
        <f t="shared" si="499"/>
        <v>0</v>
      </c>
      <c r="AA600" s="329">
        <f t="shared" si="499"/>
        <v>0</v>
      </c>
      <c r="AB600" s="329">
        <f t="shared" si="499"/>
        <v>0</v>
      </c>
      <c r="AD600" s="332">
        <f t="shared" si="457"/>
        <v>0</v>
      </c>
      <c r="AE600" s="329">
        <f t="shared" si="458"/>
        <v>0</v>
      </c>
      <c r="AF600" s="329">
        <f t="shared" si="459"/>
        <v>0</v>
      </c>
      <c r="AG600" s="329">
        <f t="shared" si="459"/>
        <v>0</v>
      </c>
      <c r="AH600" s="329">
        <f t="shared" si="459"/>
        <v>0</v>
      </c>
      <c r="AI600" s="329">
        <f t="shared" si="460"/>
        <v>0</v>
      </c>
      <c r="AJ600" s="329">
        <f t="shared" si="460"/>
        <v>0</v>
      </c>
      <c r="AK600" s="329">
        <f t="shared" si="460"/>
        <v>0</v>
      </c>
      <c r="AL600" s="329">
        <f t="shared" si="462"/>
        <v>0</v>
      </c>
    </row>
    <row r="601" spans="1:38">
      <c r="A601" s="618" t="s">
        <v>1473</v>
      </c>
      <c r="B601" s="618"/>
      <c r="C601" s="619">
        <f>IF(G601&lt;&gt;0,1,)</f>
        <v>1</v>
      </c>
      <c r="D601" s="622"/>
      <c r="E601" s="733" t="s">
        <v>2712</v>
      </c>
      <c r="F601" s="622" t="s">
        <v>138</v>
      </c>
      <c r="G601" s="622">
        <f>U601</f>
        <v>5</v>
      </c>
      <c r="H601" s="623"/>
      <c r="I601" s="623"/>
      <c r="J601" s="623"/>
      <c r="K601" s="623"/>
      <c r="L601" s="623"/>
      <c r="M601" s="623"/>
      <c r="N601" s="623">
        <f t="shared" ref="N601:S601" si="500">SUM(N603:N609)</f>
        <v>845250</v>
      </c>
      <c r="O601" s="623">
        <f t="shared" si="500"/>
        <v>0</v>
      </c>
      <c r="P601" s="623">
        <f t="shared" si="500"/>
        <v>0</v>
      </c>
      <c r="Q601" s="623">
        <f t="shared" si="500"/>
        <v>106623</v>
      </c>
      <c r="R601" s="623">
        <f t="shared" si="500"/>
        <v>0</v>
      </c>
      <c r="S601" s="623">
        <f t="shared" si="500"/>
        <v>0</v>
      </c>
      <c r="U601" s="623">
        <f>SUM(V601:AB601)</f>
        <v>5</v>
      </c>
      <c r="V601" s="623">
        <f>IFERROR(HLOOKUP($A601,BK3P,V$3,0),)</f>
        <v>5</v>
      </c>
      <c r="W601" s="623">
        <f>IFERROR(HLOOKUP($A601,BK3P,W$3,0),)</f>
        <v>0</v>
      </c>
      <c r="X601" s="623">
        <f>IFERROR(HLOOKUP($A601,BK3P,X$3,0),)</f>
        <v>0</v>
      </c>
      <c r="Y601" s="623">
        <f>IFERROR(HLOOKUP($A601,BK1P,Y$3,0),)</f>
        <v>0</v>
      </c>
      <c r="Z601" s="623">
        <f>IFERROR(HLOOKUP($A601,BK1P,Z$3,0),)</f>
        <v>0</v>
      </c>
      <c r="AA601" s="623">
        <f>IFERROR(HLOOKUP($A601,BK1P,AA$3,0),)</f>
        <v>0</v>
      </c>
      <c r="AB601" s="623">
        <f>IFERROR(HLOOKUP($A601,BKHT,AB$3,0),)</f>
        <v>0</v>
      </c>
      <c r="AD601" s="405">
        <f t="shared" ref="AD601:AD679" si="501">IFERROR(VLOOKUP(B601,DONGIA,$AD$3,0),0)</f>
        <v>0</v>
      </c>
      <c r="AE601" s="525">
        <f t="shared" ref="AE601:AE679" si="502">U601*$AD601</f>
        <v>0</v>
      </c>
      <c r="AF601" s="525">
        <f t="shared" ref="AF601:AH679" si="503">V601*$AD601</f>
        <v>0</v>
      </c>
      <c r="AG601" s="525">
        <f t="shared" si="503"/>
        <v>0</v>
      </c>
      <c r="AH601" s="525">
        <f t="shared" si="503"/>
        <v>0</v>
      </c>
      <c r="AI601" s="525">
        <f t="shared" ref="AI601:AK679" si="504">Y601*$AD601</f>
        <v>0</v>
      </c>
      <c r="AJ601" s="525">
        <f t="shared" si="504"/>
        <v>0</v>
      </c>
      <c r="AK601" s="525">
        <f t="shared" si="504"/>
        <v>0</v>
      </c>
      <c r="AL601" s="525">
        <f t="shared" si="462"/>
        <v>0</v>
      </c>
    </row>
    <row r="602" spans="1:38" s="542" customFormat="1">
      <c r="A602" s="624"/>
      <c r="B602" s="624"/>
      <c r="C602" s="625">
        <f>C601</f>
        <v>1</v>
      </c>
      <c r="D602" s="544"/>
      <c r="E602" s="734" t="s">
        <v>1659</v>
      </c>
      <c r="F602" s="544"/>
      <c r="G602" s="545"/>
      <c r="H602" s="545"/>
      <c r="I602" s="545"/>
      <c r="J602" s="545"/>
      <c r="K602" s="545"/>
      <c r="L602" s="545"/>
      <c r="M602" s="545"/>
      <c r="N602" s="545"/>
      <c r="O602" s="545"/>
      <c r="P602" s="545"/>
      <c r="Q602" s="545"/>
      <c r="R602" s="545"/>
      <c r="S602" s="545"/>
      <c r="U602" s="545"/>
      <c r="V602" s="545"/>
      <c r="W602" s="545"/>
      <c r="X602" s="545"/>
      <c r="Y602" s="545"/>
      <c r="Z602" s="545"/>
      <c r="AA602" s="545"/>
      <c r="AB602" s="545"/>
      <c r="AD602" s="405">
        <f t="shared" si="501"/>
        <v>0</v>
      </c>
      <c r="AE602" s="525">
        <f t="shared" si="502"/>
        <v>0</v>
      </c>
      <c r="AF602" s="525">
        <f t="shared" si="503"/>
        <v>0</v>
      </c>
      <c r="AG602" s="525">
        <f t="shared" si="503"/>
        <v>0</v>
      </c>
      <c r="AH602" s="525">
        <f t="shared" si="503"/>
        <v>0</v>
      </c>
      <c r="AI602" s="525">
        <f t="shared" si="504"/>
        <v>0</v>
      </c>
      <c r="AJ602" s="525">
        <f t="shared" si="504"/>
        <v>0</v>
      </c>
      <c r="AK602" s="525">
        <f t="shared" si="504"/>
        <v>0</v>
      </c>
      <c r="AL602" s="525">
        <f t="shared" ref="AL602:AL680" si="505">AB602*$AD602</f>
        <v>0</v>
      </c>
    </row>
    <row r="603" spans="1:38">
      <c r="A603" s="618"/>
      <c r="B603" s="618" t="s">
        <v>109</v>
      </c>
      <c r="C603" s="619">
        <f>IF(G603&lt;&gt;0,$C$601,)</f>
        <v>1</v>
      </c>
      <c r="D603" s="523">
        <f>VLOOKUP(B603,DONGIA,DG!$B$6,0)</f>
        <v>0</v>
      </c>
      <c r="E603" s="666" t="str">
        <f>VLOOKUP(B603,DONGIA,DG!$C$6,0)</f>
        <v>Boulon mắt 16x250+ long đền vuông D18-50x50x3/Zn</v>
      </c>
      <c r="F603" s="523" t="str">
        <f>VLOOKUP(B603,DONGIA,DG!$D$6,0)</f>
        <v>bộ</v>
      </c>
      <c r="G603" s="525">
        <v>1</v>
      </c>
      <c r="H603" s="525">
        <f>VLOOKUP($B603,DONGIA,DG!$E$6,0)</f>
        <v>29000</v>
      </c>
      <c r="I603" s="525"/>
      <c r="J603" s="525"/>
      <c r="K603" s="525">
        <f>VLOOKUP($B603,DONGIA,DG!$F$6,0)</f>
        <v>0</v>
      </c>
      <c r="L603" s="525"/>
      <c r="M603" s="525">
        <f>VLOOKUP($B603,DONGIA,DG!$G$6,0)</f>
        <v>0</v>
      </c>
      <c r="N603" s="525">
        <f>$G603*H603</f>
        <v>29000</v>
      </c>
      <c r="O603" s="525">
        <f t="shared" ref="O603:S609" si="506">$G603*I603</f>
        <v>0</v>
      </c>
      <c r="P603" s="525">
        <f t="shared" si="506"/>
        <v>0</v>
      </c>
      <c r="Q603" s="525">
        <f t="shared" si="506"/>
        <v>0</v>
      </c>
      <c r="R603" s="525">
        <f t="shared" si="506"/>
        <v>0</v>
      </c>
      <c r="S603" s="525">
        <f t="shared" si="506"/>
        <v>0</v>
      </c>
      <c r="U603" s="525">
        <f>U$601*$G603</f>
        <v>5</v>
      </c>
      <c r="V603" s="525">
        <f t="shared" ref="V603:AB603" si="507">V$601*$G603</f>
        <v>5</v>
      </c>
      <c r="W603" s="525">
        <f t="shared" si="507"/>
        <v>0</v>
      </c>
      <c r="X603" s="525">
        <f t="shared" si="507"/>
        <v>0</v>
      </c>
      <c r="Y603" s="525">
        <f t="shared" si="507"/>
        <v>0</v>
      </c>
      <c r="Z603" s="525">
        <f t="shared" si="507"/>
        <v>0</v>
      </c>
      <c r="AA603" s="525">
        <f t="shared" si="507"/>
        <v>0</v>
      </c>
      <c r="AB603" s="525">
        <f t="shared" si="507"/>
        <v>0</v>
      </c>
      <c r="AD603" s="405">
        <f t="shared" si="501"/>
        <v>0.3</v>
      </c>
      <c r="AE603" s="525">
        <f t="shared" si="502"/>
        <v>1.5</v>
      </c>
      <c r="AF603" s="525">
        <f t="shared" si="503"/>
        <v>1.5</v>
      </c>
      <c r="AG603" s="525">
        <f t="shared" si="503"/>
        <v>0</v>
      </c>
      <c r="AH603" s="525">
        <f t="shared" si="503"/>
        <v>0</v>
      </c>
      <c r="AI603" s="525">
        <f t="shared" si="504"/>
        <v>0</v>
      </c>
      <c r="AJ603" s="525">
        <f t="shared" si="504"/>
        <v>0</v>
      </c>
      <c r="AK603" s="525">
        <f t="shared" si="504"/>
        <v>0</v>
      </c>
      <c r="AL603" s="525">
        <f t="shared" si="505"/>
        <v>0</v>
      </c>
    </row>
    <row r="604" spans="1:38">
      <c r="A604" s="618"/>
      <c r="B604" s="618" t="s">
        <v>408</v>
      </c>
      <c r="C604" s="619">
        <f t="shared" ref="C604:C609" si="508">IF(G604&lt;&gt;0,$C$601,)</f>
        <v>1</v>
      </c>
      <c r="D604" s="523">
        <f>VLOOKUP(B604,DONGIA,DG!$B$6,0)</f>
        <v>0</v>
      </c>
      <c r="E604" s="666" t="str">
        <f>VLOOKUP(B604,DONGIA,DG!$C$6,0)</f>
        <v>Sứ chằng lớn</v>
      </c>
      <c r="F604" s="523" t="str">
        <f>VLOOKUP(B604,DONGIA,DG!$D$6,0)</f>
        <v>cái</v>
      </c>
      <c r="G604" s="525">
        <v>1</v>
      </c>
      <c r="H604" s="525">
        <f>VLOOKUP($B604,DONGIA,DG!$E$6,0)</f>
        <v>66000</v>
      </c>
      <c r="I604" s="525"/>
      <c r="J604" s="525"/>
      <c r="K604" s="525">
        <f>VLOOKUP($B604,DONGIA,DG!$F$6,0)</f>
        <v>0</v>
      </c>
      <c r="L604" s="525"/>
      <c r="M604" s="525">
        <f>VLOOKUP($B604,DONGIA,DG!$G$6,0)</f>
        <v>0</v>
      </c>
      <c r="N604" s="525">
        <f t="shared" ref="N604:N609" si="509">$G604*H604</f>
        <v>66000</v>
      </c>
      <c r="O604" s="525">
        <f t="shared" si="506"/>
        <v>0</v>
      </c>
      <c r="P604" s="525">
        <f t="shared" si="506"/>
        <v>0</v>
      </c>
      <c r="Q604" s="525">
        <f t="shared" si="506"/>
        <v>0</v>
      </c>
      <c r="R604" s="525">
        <f t="shared" si="506"/>
        <v>0</v>
      </c>
      <c r="S604" s="525">
        <f t="shared" si="506"/>
        <v>0</v>
      </c>
      <c r="U604" s="525">
        <f t="shared" ref="U604:AB609" si="510">U$601*$G604</f>
        <v>5</v>
      </c>
      <c r="V604" s="525">
        <f t="shared" si="510"/>
        <v>5</v>
      </c>
      <c r="W604" s="525">
        <f t="shared" si="510"/>
        <v>0</v>
      </c>
      <c r="X604" s="525">
        <f t="shared" si="510"/>
        <v>0</v>
      </c>
      <c r="Y604" s="525">
        <f t="shared" si="510"/>
        <v>0</v>
      </c>
      <c r="Z604" s="525">
        <f t="shared" si="510"/>
        <v>0</v>
      </c>
      <c r="AA604" s="525">
        <f t="shared" si="510"/>
        <v>0</v>
      </c>
      <c r="AB604" s="525">
        <f t="shared" si="510"/>
        <v>0</v>
      </c>
      <c r="AD604" s="405">
        <f t="shared" si="501"/>
        <v>1.5</v>
      </c>
      <c r="AE604" s="525">
        <f t="shared" si="502"/>
        <v>7.5</v>
      </c>
      <c r="AF604" s="525">
        <f t="shared" si="503"/>
        <v>7.5</v>
      </c>
      <c r="AG604" s="525">
        <f t="shared" si="503"/>
        <v>0</v>
      </c>
      <c r="AH604" s="525">
        <f t="shared" si="503"/>
        <v>0</v>
      </c>
      <c r="AI604" s="525">
        <f t="shared" si="504"/>
        <v>0</v>
      </c>
      <c r="AJ604" s="525">
        <f t="shared" si="504"/>
        <v>0</v>
      </c>
      <c r="AK604" s="525">
        <f t="shared" si="504"/>
        <v>0</v>
      </c>
      <c r="AL604" s="525">
        <f t="shared" si="505"/>
        <v>0</v>
      </c>
    </row>
    <row r="605" spans="1:38">
      <c r="A605" s="618"/>
      <c r="B605" s="618" t="s">
        <v>277</v>
      </c>
      <c r="C605" s="619">
        <f t="shared" si="508"/>
        <v>1</v>
      </c>
      <c r="D605" s="523">
        <f>VLOOKUP(B605,DONGIA,DG!$B$6,0)</f>
        <v>0</v>
      </c>
      <c r="E605" s="666" t="str">
        <f>VLOOKUP(B605,DONGIA,DG!$C$6,0)</f>
        <v>Kẹp cáp 3 boulon B46x136</v>
      </c>
      <c r="F605" s="523" t="str">
        <f>VLOOKUP(B605,DONGIA,DG!$D$6,0)</f>
        <v>cái</v>
      </c>
      <c r="G605" s="525">
        <v>8</v>
      </c>
      <c r="H605" s="525">
        <f>VLOOKUP($B605,DONGIA,DG!$E$6,0)</f>
        <v>48000</v>
      </c>
      <c r="I605" s="525"/>
      <c r="J605" s="525"/>
      <c r="K605" s="525">
        <f>VLOOKUP($B605,DONGIA,DG!$F$6,0)</f>
        <v>0</v>
      </c>
      <c r="L605" s="525"/>
      <c r="M605" s="525">
        <f>VLOOKUP($B605,DONGIA,DG!$G$6,0)</f>
        <v>0</v>
      </c>
      <c r="N605" s="525">
        <f t="shared" si="509"/>
        <v>384000</v>
      </c>
      <c r="O605" s="525">
        <f t="shared" si="506"/>
        <v>0</v>
      </c>
      <c r="P605" s="525">
        <f t="shared" si="506"/>
        <v>0</v>
      </c>
      <c r="Q605" s="525">
        <f t="shared" si="506"/>
        <v>0</v>
      </c>
      <c r="R605" s="525">
        <f t="shared" si="506"/>
        <v>0</v>
      </c>
      <c r="S605" s="525">
        <f t="shared" si="506"/>
        <v>0</v>
      </c>
      <c r="U605" s="525">
        <f t="shared" si="510"/>
        <v>40</v>
      </c>
      <c r="V605" s="525">
        <f t="shared" si="510"/>
        <v>40</v>
      </c>
      <c r="W605" s="525">
        <f t="shared" si="510"/>
        <v>0</v>
      </c>
      <c r="X605" s="525">
        <f t="shared" si="510"/>
        <v>0</v>
      </c>
      <c r="Y605" s="525">
        <f t="shared" si="510"/>
        <v>0</v>
      </c>
      <c r="Z605" s="525">
        <f t="shared" si="510"/>
        <v>0</v>
      </c>
      <c r="AA605" s="525">
        <f t="shared" si="510"/>
        <v>0</v>
      </c>
      <c r="AB605" s="525">
        <f t="shared" si="510"/>
        <v>0</v>
      </c>
      <c r="AD605" s="405">
        <f t="shared" si="501"/>
        <v>0.2</v>
      </c>
      <c r="AE605" s="525">
        <f t="shared" si="502"/>
        <v>8</v>
      </c>
      <c r="AF605" s="525">
        <f t="shared" si="503"/>
        <v>8</v>
      </c>
      <c r="AG605" s="525">
        <f t="shared" si="503"/>
        <v>0</v>
      </c>
      <c r="AH605" s="525">
        <f t="shared" si="503"/>
        <v>0</v>
      </c>
      <c r="AI605" s="525">
        <f t="shared" si="504"/>
        <v>0</v>
      </c>
      <c r="AJ605" s="525">
        <f t="shared" si="504"/>
        <v>0</v>
      </c>
      <c r="AK605" s="525">
        <f t="shared" si="504"/>
        <v>0</v>
      </c>
      <c r="AL605" s="525">
        <f t="shared" si="505"/>
        <v>0</v>
      </c>
    </row>
    <row r="606" spans="1:38">
      <c r="A606" s="618"/>
      <c r="B606" s="618" t="s">
        <v>268</v>
      </c>
      <c r="C606" s="619">
        <f t="shared" si="508"/>
        <v>1</v>
      </c>
      <c r="D606" s="523">
        <f>VLOOKUP(B606,DONGIA,DG!$B$6,0)</f>
        <v>0</v>
      </c>
      <c r="E606" s="666" t="str">
        <f>VLOOKUP(B606,DONGIA,DG!$C$6,0)&amp;" (15m/bộ)"</f>
        <v>Cáp thép 5/8" (15m/bộ)</v>
      </c>
      <c r="F606" s="523" t="str">
        <f>VLOOKUP(B606,DONGIA,DG!$D$6,0)</f>
        <v>mét</v>
      </c>
      <c r="G606" s="554">
        <f>15</f>
        <v>15</v>
      </c>
      <c r="H606" s="525">
        <f>VLOOKUP($B606,DONGIA,DG!$E$6,0)</f>
        <v>15350</v>
      </c>
      <c r="I606" s="525"/>
      <c r="J606" s="525"/>
      <c r="K606" s="525">
        <f>VLOOKUP($B606,DONGIA,DG!$F$6,0)</f>
        <v>0</v>
      </c>
      <c r="L606" s="525"/>
      <c r="M606" s="525">
        <f>VLOOKUP($B606,DONGIA,DG!$G$6,0)</f>
        <v>0</v>
      </c>
      <c r="N606" s="525">
        <f t="shared" si="509"/>
        <v>230250</v>
      </c>
      <c r="O606" s="525">
        <f t="shared" si="506"/>
        <v>0</v>
      </c>
      <c r="P606" s="525">
        <f t="shared" si="506"/>
        <v>0</v>
      </c>
      <c r="Q606" s="525">
        <f t="shared" si="506"/>
        <v>0</v>
      </c>
      <c r="R606" s="525">
        <f t="shared" si="506"/>
        <v>0</v>
      </c>
      <c r="S606" s="525">
        <f t="shared" si="506"/>
        <v>0</v>
      </c>
      <c r="U606" s="525">
        <f t="shared" si="510"/>
        <v>75</v>
      </c>
      <c r="V606" s="525">
        <f t="shared" si="510"/>
        <v>75</v>
      </c>
      <c r="W606" s="525">
        <f t="shared" si="510"/>
        <v>0</v>
      </c>
      <c r="X606" s="525">
        <f t="shared" si="510"/>
        <v>0</v>
      </c>
      <c r="Y606" s="525">
        <f t="shared" si="510"/>
        <v>0</v>
      </c>
      <c r="Z606" s="525">
        <f t="shared" si="510"/>
        <v>0</v>
      </c>
      <c r="AA606" s="525">
        <f t="shared" si="510"/>
        <v>0</v>
      </c>
      <c r="AB606" s="525">
        <f t="shared" si="510"/>
        <v>0</v>
      </c>
      <c r="AD606" s="405">
        <f t="shared" si="501"/>
        <v>1</v>
      </c>
      <c r="AE606" s="525">
        <f t="shared" si="502"/>
        <v>75</v>
      </c>
      <c r="AF606" s="525">
        <f t="shared" si="503"/>
        <v>75</v>
      </c>
      <c r="AG606" s="525">
        <f t="shared" si="503"/>
        <v>0</v>
      </c>
      <c r="AH606" s="525">
        <f t="shared" si="503"/>
        <v>0</v>
      </c>
      <c r="AI606" s="525">
        <f t="shared" si="504"/>
        <v>0</v>
      </c>
      <c r="AJ606" s="525">
        <f t="shared" si="504"/>
        <v>0</v>
      </c>
      <c r="AK606" s="525">
        <f t="shared" si="504"/>
        <v>0</v>
      </c>
      <c r="AL606" s="525">
        <f t="shared" si="505"/>
        <v>0</v>
      </c>
    </row>
    <row r="607" spans="1:38">
      <c r="A607" s="618"/>
      <c r="B607" s="618" t="s">
        <v>475</v>
      </c>
      <c r="C607" s="619">
        <f t="shared" si="508"/>
        <v>1</v>
      </c>
      <c r="D607" s="523">
        <f>VLOOKUP(B607,DONGIA,DG!$B$6,0)</f>
        <v>0</v>
      </c>
      <c r="E607" s="666" t="str">
        <f>VLOOKUP(B607,DONGIA,DG!$C$6,0)</f>
        <v>Yếm cáp dày 2mm</v>
      </c>
      <c r="F607" s="523" t="str">
        <f>VLOOKUP(B607,DONGIA,DG!$D$6,0)</f>
        <v>cái</v>
      </c>
      <c r="G607" s="525">
        <v>2</v>
      </c>
      <c r="H607" s="525">
        <f>VLOOKUP($B607,DONGIA,DG!$E$6,0)</f>
        <v>8000</v>
      </c>
      <c r="I607" s="525"/>
      <c r="J607" s="525"/>
      <c r="K607" s="525">
        <f>VLOOKUP($B607,DONGIA,DG!$F$6,0)</f>
        <v>0</v>
      </c>
      <c r="L607" s="525"/>
      <c r="M607" s="525">
        <f>VLOOKUP($B607,DONGIA,DG!$G$6,0)</f>
        <v>0</v>
      </c>
      <c r="N607" s="525">
        <f t="shared" si="509"/>
        <v>16000</v>
      </c>
      <c r="O607" s="525">
        <f t="shared" si="506"/>
        <v>0</v>
      </c>
      <c r="P607" s="525">
        <f t="shared" si="506"/>
        <v>0</v>
      </c>
      <c r="Q607" s="525">
        <f t="shared" si="506"/>
        <v>0</v>
      </c>
      <c r="R607" s="525">
        <f t="shared" si="506"/>
        <v>0</v>
      </c>
      <c r="S607" s="525">
        <f t="shared" si="506"/>
        <v>0</v>
      </c>
      <c r="U607" s="525">
        <f t="shared" si="510"/>
        <v>10</v>
      </c>
      <c r="V607" s="525">
        <f t="shared" si="510"/>
        <v>10</v>
      </c>
      <c r="W607" s="525">
        <f t="shared" si="510"/>
        <v>0</v>
      </c>
      <c r="X607" s="525">
        <f t="shared" si="510"/>
        <v>0</v>
      </c>
      <c r="Y607" s="525">
        <f t="shared" si="510"/>
        <v>0</v>
      </c>
      <c r="Z607" s="525">
        <f t="shared" si="510"/>
        <v>0</v>
      </c>
      <c r="AA607" s="525">
        <f t="shared" si="510"/>
        <v>0</v>
      </c>
      <c r="AB607" s="525">
        <f t="shared" si="510"/>
        <v>0</v>
      </c>
      <c r="AD607" s="405">
        <f t="shared" si="501"/>
        <v>0.3</v>
      </c>
      <c r="AE607" s="525">
        <f t="shared" si="502"/>
        <v>3</v>
      </c>
      <c r="AF607" s="525">
        <f t="shared" si="503"/>
        <v>3</v>
      </c>
      <c r="AG607" s="525">
        <f t="shared" si="503"/>
        <v>0</v>
      </c>
      <c r="AH607" s="525">
        <f t="shared" si="503"/>
        <v>0</v>
      </c>
      <c r="AI607" s="525">
        <f t="shared" si="504"/>
        <v>0</v>
      </c>
      <c r="AJ607" s="525">
        <f t="shared" si="504"/>
        <v>0</v>
      </c>
      <c r="AK607" s="525">
        <f t="shared" si="504"/>
        <v>0</v>
      </c>
      <c r="AL607" s="525">
        <f t="shared" si="505"/>
        <v>0</v>
      </c>
    </row>
    <row r="608" spans="1:38">
      <c r="A608" s="618"/>
      <c r="B608" s="618" t="s">
        <v>373</v>
      </c>
      <c r="C608" s="619">
        <f t="shared" si="508"/>
        <v>1</v>
      </c>
      <c r="D608" s="523">
        <f>VLOOKUP(B608,DONGIA,DG!$B$6,0)</f>
        <v>0</v>
      </c>
      <c r="E608" s="666" t="str">
        <f>VLOOKUP(B608,DONGIA,DG!$C$6,0)</f>
        <v>Máng che dây chằng dày 0,8x2000mm</v>
      </c>
      <c r="F608" s="523" t="str">
        <f>VLOOKUP(B608,DONGIA,DG!$D$6,0)</f>
        <v>cái</v>
      </c>
      <c r="G608" s="525">
        <v>1</v>
      </c>
      <c r="H608" s="525">
        <f>VLOOKUP($B608,DONGIA,DG!$E$6,0)</f>
        <v>120000</v>
      </c>
      <c r="I608" s="525"/>
      <c r="J608" s="525"/>
      <c r="K608" s="525">
        <f>VLOOKUP($B608,DONGIA,DG!$F$6,0)</f>
        <v>0</v>
      </c>
      <c r="L608" s="525"/>
      <c r="M608" s="525">
        <f>VLOOKUP($B608,DONGIA,DG!$G$6,0)</f>
        <v>0</v>
      </c>
      <c r="N608" s="525">
        <f t="shared" si="509"/>
        <v>120000</v>
      </c>
      <c r="O608" s="525">
        <f t="shared" si="506"/>
        <v>0</v>
      </c>
      <c r="P608" s="525">
        <f t="shared" si="506"/>
        <v>0</v>
      </c>
      <c r="Q608" s="525">
        <f t="shared" si="506"/>
        <v>0</v>
      </c>
      <c r="R608" s="525">
        <f t="shared" si="506"/>
        <v>0</v>
      </c>
      <c r="S608" s="525">
        <f t="shared" si="506"/>
        <v>0</v>
      </c>
      <c r="U608" s="525">
        <f t="shared" si="510"/>
        <v>5</v>
      </c>
      <c r="V608" s="525">
        <f t="shared" si="510"/>
        <v>5</v>
      </c>
      <c r="W608" s="525">
        <f t="shared" si="510"/>
        <v>0</v>
      </c>
      <c r="X608" s="525">
        <f t="shared" si="510"/>
        <v>0</v>
      </c>
      <c r="Y608" s="525">
        <f t="shared" si="510"/>
        <v>0</v>
      </c>
      <c r="Z608" s="525">
        <f t="shared" si="510"/>
        <v>0</v>
      </c>
      <c r="AA608" s="525">
        <f t="shared" si="510"/>
        <v>0</v>
      </c>
      <c r="AB608" s="525">
        <f t="shared" si="510"/>
        <v>0</v>
      </c>
      <c r="AD608" s="405">
        <f t="shared" si="501"/>
        <v>0.4</v>
      </c>
      <c r="AE608" s="525">
        <f t="shared" si="502"/>
        <v>2</v>
      </c>
      <c r="AF608" s="525">
        <f t="shared" si="503"/>
        <v>2</v>
      </c>
      <c r="AG608" s="525">
        <f t="shared" si="503"/>
        <v>0</v>
      </c>
      <c r="AH608" s="525">
        <f t="shared" si="503"/>
        <v>0</v>
      </c>
      <c r="AI608" s="525">
        <f t="shared" si="504"/>
        <v>0</v>
      </c>
      <c r="AJ608" s="525">
        <f t="shared" si="504"/>
        <v>0</v>
      </c>
      <c r="AK608" s="525">
        <f t="shared" si="504"/>
        <v>0</v>
      </c>
      <c r="AL608" s="525">
        <f t="shared" si="505"/>
        <v>0</v>
      </c>
    </row>
    <row r="609" spans="1:38">
      <c r="A609" s="618"/>
      <c r="B609" s="618" t="s">
        <v>690</v>
      </c>
      <c r="C609" s="619">
        <f t="shared" si="508"/>
        <v>1</v>
      </c>
      <c r="D609" s="523" t="str">
        <f>VLOOKUP(B609,DONGIA,DG!$B$6,0)</f>
        <v>D3.3251</v>
      </c>
      <c r="E609" s="666" t="str">
        <f>VLOOKUP(B609,DONGIA,DG!$C$6,0)</f>
        <v>Lắp bộ dây néo</v>
      </c>
      <c r="F609" s="523" t="str">
        <f>VLOOKUP(B609,DONGIA,DG!$D$6,0)</f>
        <v>bộ</v>
      </c>
      <c r="G609" s="525">
        <v>1</v>
      </c>
      <c r="H609" s="525"/>
      <c r="I609" s="525"/>
      <c r="J609" s="525"/>
      <c r="K609" s="525">
        <f>VLOOKUP($B609,DONGIA,DG!$F$6,0)</f>
        <v>106623</v>
      </c>
      <c r="L609" s="525"/>
      <c r="M609" s="525">
        <f>VLOOKUP($B609,DONGIA,DG!$G$6,0)</f>
        <v>0</v>
      </c>
      <c r="N609" s="525">
        <f t="shared" si="509"/>
        <v>0</v>
      </c>
      <c r="O609" s="525">
        <f t="shared" si="506"/>
        <v>0</v>
      </c>
      <c r="P609" s="525">
        <f t="shared" si="506"/>
        <v>0</v>
      </c>
      <c r="Q609" s="525">
        <f t="shared" si="506"/>
        <v>106623</v>
      </c>
      <c r="R609" s="525">
        <f t="shared" si="506"/>
        <v>0</v>
      </c>
      <c r="S609" s="525">
        <f t="shared" si="506"/>
        <v>0</v>
      </c>
      <c r="U609" s="525">
        <f t="shared" si="510"/>
        <v>5</v>
      </c>
      <c r="V609" s="525">
        <f t="shared" si="510"/>
        <v>5</v>
      </c>
      <c r="W609" s="525">
        <f t="shared" si="510"/>
        <v>0</v>
      </c>
      <c r="X609" s="525">
        <f t="shared" si="510"/>
        <v>0</v>
      </c>
      <c r="Y609" s="525">
        <f t="shared" si="510"/>
        <v>0</v>
      </c>
      <c r="Z609" s="525">
        <f t="shared" si="510"/>
        <v>0</v>
      </c>
      <c r="AA609" s="525">
        <f t="shared" si="510"/>
        <v>0</v>
      </c>
      <c r="AB609" s="525">
        <f t="shared" si="510"/>
        <v>0</v>
      </c>
      <c r="AD609" s="405">
        <f t="shared" si="501"/>
        <v>0</v>
      </c>
      <c r="AE609" s="525">
        <f t="shared" si="502"/>
        <v>0</v>
      </c>
      <c r="AF609" s="525">
        <f t="shared" si="503"/>
        <v>0</v>
      </c>
      <c r="AG609" s="525">
        <f t="shared" si="503"/>
        <v>0</v>
      </c>
      <c r="AH609" s="525">
        <f t="shared" si="503"/>
        <v>0</v>
      </c>
      <c r="AI609" s="525">
        <f t="shared" si="504"/>
        <v>0</v>
      </c>
      <c r="AJ609" s="525">
        <f t="shared" si="504"/>
        <v>0</v>
      </c>
      <c r="AK609" s="525">
        <f t="shared" si="504"/>
        <v>0</v>
      </c>
      <c r="AL609" s="525">
        <f t="shared" si="505"/>
        <v>0</v>
      </c>
    </row>
    <row r="610" spans="1:38">
      <c r="A610" s="618" t="s">
        <v>1474</v>
      </c>
      <c r="B610" s="618"/>
      <c r="C610" s="619">
        <f>IF(G610&lt;&gt;0,1,)</f>
        <v>0</v>
      </c>
      <c r="D610" s="622"/>
      <c r="E610" s="733" t="s">
        <v>2711</v>
      </c>
      <c r="F610" s="622" t="s">
        <v>138</v>
      </c>
      <c r="G610" s="622">
        <f>U610</f>
        <v>0</v>
      </c>
      <c r="H610" s="623"/>
      <c r="I610" s="623"/>
      <c r="J610" s="623"/>
      <c r="K610" s="623"/>
      <c r="L610" s="623"/>
      <c r="M610" s="623"/>
      <c r="N610" s="623">
        <f t="shared" ref="N610:S610" si="511">SUM(N612:N620)</f>
        <v>1179550</v>
      </c>
      <c r="O610" s="623">
        <f t="shared" si="511"/>
        <v>0</v>
      </c>
      <c r="P610" s="623">
        <f t="shared" si="511"/>
        <v>0</v>
      </c>
      <c r="Q610" s="623">
        <f t="shared" si="511"/>
        <v>274573</v>
      </c>
      <c r="R610" s="623">
        <f t="shared" si="511"/>
        <v>0</v>
      </c>
      <c r="S610" s="623">
        <f t="shared" si="511"/>
        <v>0</v>
      </c>
      <c r="U610" s="623">
        <f>SUM(V610:AB610)</f>
        <v>0</v>
      </c>
      <c r="V610" s="623">
        <f>IFERROR(HLOOKUP($A610,BK3P,V$3,0),)</f>
        <v>0</v>
      </c>
      <c r="W610" s="623">
        <f>IFERROR(HLOOKUP($A610,BK3P,W$3,0),)</f>
        <v>0</v>
      </c>
      <c r="X610" s="623">
        <f>IFERROR(HLOOKUP($A610,BK3P,X$3,0),)</f>
        <v>0</v>
      </c>
      <c r="Y610" s="623">
        <f>IFERROR(HLOOKUP($A610,BK1P,Y$3,0),)</f>
        <v>0</v>
      </c>
      <c r="Z610" s="623">
        <f>IFERROR(HLOOKUP($A610,BK1P,Z$3,0),)</f>
        <v>0</v>
      </c>
      <c r="AA610" s="623">
        <f>IFERROR(HLOOKUP($A610,BK1P,AA$3,0),)</f>
        <v>0</v>
      </c>
      <c r="AB610" s="623">
        <f>IFERROR(HLOOKUP($A610,BKHT,AB$3,0),)</f>
        <v>0</v>
      </c>
      <c r="AD610" s="405">
        <f t="shared" si="501"/>
        <v>0</v>
      </c>
      <c r="AE610" s="525">
        <f t="shared" si="502"/>
        <v>0</v>
      </c>
      <c r="AF610" s="525">
        <f t="shared" si="503"/>
        <v>0</v>
      </c>
      <c r="AG610" s="525">
        <f t="shared" si="503"/>
        <v>0</v>
      </c>
      <c r="AH610" s="525">
        <f t="shared" si="503"/>
        <v>0</v>
      </c>
      <c r="AI610" s="525">
        <f t="shared" si="504"/>
        <v>0</v>
      </c>
      <c r="AJ610" s="525">
        <f t="shared" si="504"/>
        <v>0</v>
      </c>
      <c r="AK610" s="525">
        <f t="shared" si="504"/>
        <v>0</v>
      </c>
      <c r="AL610" s="525">
        <f t="shared" si="505"/>
        <v>0</v>
      </c>
    </row>
    <row r="611" spans="1:38" s="542" customFormat="1">
      <c r="A611" s="624"/>
      <c r="B611" s="624"/>
      <c r="C611" s="625">
        <f>C610</f>
        <v>0</v>
      </c>
      <c r="D611" s="544"/>
      <c r="E611" s="734" t="s">
        <v>1659</v>
      </c>
      <c r="F611" s="544"/>
      <c r="G611" s="545"/>
      <c r="H611" s="545"/>
      <c r="I611" s="545"/>
      <c r="J611" s="545"/>
      <c r="K611" s="545"/>
      <c r="L611" s="545"/>
      <c r="M611" s="545"/>
      <c r="N611" s="545"/>
      <c r="O611" s="545"/>
      <c r="P611" s="545"/>
      <c r="Q611" s="545"/>
      <c r="R611" s="545"/>
      <c r="S611" s="545"/>
      <c r="U611" s="545"/>
      <c r="V611" s="545"/>
      <c r="W611" s="545"/>
      <c r="X611" s="545"/>
      <c r="Y611" s="545"/>
      <c r="Z611" s="545"/>
      <c r="AA611" s="545"/>
      <c r="AB611" s="545"/>
      <c r="AD611" s="405">
        <f t="shared" si="501"/>
        <v>0</v>
      </c>
      <c r="AE611" s="525">
        <f t="shared" si="502"/>
        <v>0</v>
      </c>
      <c r="AF611" s="525">
        <f t="shared" si="503"/>
        <v>0</v>
      </c>
      <c r="AG611" s="525">
        <f t="shared" si="503"/>
        <v>0</v>
      </c>
      <c r="AH611" s="525">
        <f t="shared" si="503"/>
        <v>0</v>
      </c>
      <c r="AI611" s="525">
        <f t="shared" si="504"/>
        <v>0</v>
      </c>
      <c r="AJ611" s="525">
        <f t="shared" si="504"/>
        <v>0</v>
      </c>
      <c r="AK611" s="525">
        <f t="shared" si="504"/>
        <v>0</v>
      </c>
      <c r="AL611" s="525">
        <f t="shared" si="505"/>
        <v>0</v>
      </c>
    </row>
    <row r="612" spans="1:38">
      <c r="A612" s="618"/>
      <c r="B612" s="618" t="s">
        <v>109</v>
      </c>
      <c r="C612" s="619">
        <f>IF(G612&lt;&gt;0,$C$610,)</f>
        <v>0</v>
      </c>
      <c r="D612" s="523">
        <f>VLOOKUP(B612,DONGIA,DG!$B$6,0)</f>
        <v>0</v>
      </c>
      <c r="E612" s="666" t="str">
        <f>VLOOKUP(B612,DONGIA,DG!$C$6,0)</f>
        <v>Boulon mắt 16x250+ long đền vuông D18-50x50x3/Zn</v>
      </c>
      <c r="F612" s="523" t="str">
        <f>VLOOKUP(B612,DONGIA,DG!$D$6,0)</f>
        <v>bộ</v>
      </c>
      <c r="G612" s="525">
        <v>1</v>
      </c>
      <c r="H612" s="525">
        <f>VLOOKUP($B612,DONGIA,DG!$E$6,0)</f>
        <v>29000</v>
      </c>
      <c r="I612" s="525"/>
      <c r="J612" s="525"/>
      <c r="K612" s="525">
        <f>VLOOKUP($B612,DONGIA,DG!$F$6,0)</f>
        <v>0</v>
      </c>
      <c r="L612" s="525"/>
      <c r="M612" s="525">
        <f>VLOOKUP($B612,DONGIA,DG!$G$6,0)</f>
        <v>0</v>
      </c>
      <c r="N612" s="525">
        <f>$G612*H612</f>
        <v>29000</v>
      </c>
      <c r="O612" s="525">
        <f t="shared" ref="O612:S620" si="512">$G612*I612</f>
        <v>0</v>
      </c>
      <c r="P612" s="525">
        <f t="shared" si="512"/>
        <v>0</v>
      </c>
      <c r="Q612" s="525">
        <f t="shared" si="512"/>
        <v>0</v>
      </c>
      <c r="R612" s="525">
        <f t="shared" si="512"/>
        <v>0</v>
      </c>
      <c r="S612" s="525">
        <f t="shared" si="512"/>
        <v>0</v>
      </c>
      <c r="U612" s="525">
        <f>U$610*$G612</f>
        <v>0</v>
      </c>
      <c r="V612" s="525">
        <f t="shared" ref="V612:AB612" si="513">V$610*$G612</f>
        <v>0</v>
      </c>
      <c r="W612" s="525">
        <f t="shared" si="513"/>
        <v>0</v>
      </c>
      <c r="X612" s="525">
        <f t="shared" si="513"/>
        <v>0</v>
      </c>
      <c r="Y612" s="525">
        <f t="shared" si="513"/>
        <v>0</v>
      </c>
      <c r="Z612" s="525">
        <f t="shared" si="513"/>
        <v>0</v>
      </c>
      <c r="AA612" s="525">
        <f t="shared" si="513"/>
        <v>0</v>
      </c>
      <c r="AB612" s="525">
        <f t="shared" si="513"/>
        <v>0</v>
      </c>
      <c r="AD612" s="405">
        <f t="shared" si="501"/>
        <v>0.3</v>
      </c>
      <c r="AE612" s="525">
        <f t="shared" si="502"/>
        <v>0</v>
      </c>
      <c r="AF612" s="525">
        <f t="shared" si="503"/>
        <v>0</v>
      </c>
      <c r="AG612" s="525">
        <f t="shared" si="503"/>
        <v>0</v>
      </c>
      <c r="AH612" s="525">
        <f t="shared" si="503"/>
        <v>0</v>
      </c>
      <c r="AI612" s="525">
        <f t="shared" si="504"/>
        <v>0</v>
      </c>
      <c r="AJ612" s="525">
        <f t="shared" si="504"/>
        <v>0</v>
      </c>
      <c r="AK612" s="525">
        <f t="shared" si="504"/>
        <v>0</v>
      </c>
      <c r="AL612" s="525">
        <f t="shared" si="505"/>
        <v>0</v>
      </c>
    </row>
    <row r="613" spans="1:38">
      <c r="A613" s="618"/>
      <c r="B613" s="618" t="s">
        <v>408</v>
      </c>
      <c r="C613" s="619">
        <f t="shared" ref="C613:C620" si="514">IF(G613&lt;&gt;0,$C$610,)</f>
        <v>0</v>
      </c>
      <c r="D613" s="523">
        <f>VLOOKUP(B613,DONGIA,DG!$B$6,0)</f>
        <v>0</v>
      </c>
      <c r="E613" s="666" t="str">
        <f>VLOOKUP(B613,DONGIA,DG!$C$6,0)</f>
        <v>Sứ chằng lớn</v>
      </c>
      <c r="F613" s="523" t="str">
        <f>VLOOKUP(B613,DONGIA,DG!$D$6,0)</f>
        <v>cái</v>
      </c>
      <c r="G613" s="525">
        <v>1</v>
      </c>
      <c r="H613" s="525">
        <f>VLOOKUP($B613,DONGIA,DG!$E$6,0)</f>
        <v>66000</v>
      </c>
      <c r="I613" s="525"/>
      <c r="J613" s="525"/>
      <c r="K613" s="525">
        <f>VLOOKUP($B613,DONGIA,DG!$F$6,0)</f>
        <v>0</v>
      </c>
      <c r="L613" s="525"/>
      <c r="M613" s="525">
        <f>VLOOKUP($B613,DONGIA,DG!$G$6,0)</f>
        <v>0</v>
      </c>
      <c r="N613" s="525">
        <f t="shared" ref="N613:N620" si="515">$G613*H613</f>
        <v>66000</v>
      </c>
      <c r="O613" s="525">
        <f t="shared" si="512"/>
        <v>0</v>
      </c>
      <c r="P613" s="525">
        <f t="shared" si="512"/>
        <v>0</v>
      </c>
      <c r="Q613" s="525">
        <f t="shared" si="512"/>
        <v>0</v>
      </c>
      <c r="R613" s="525">
        <f t="shared" si="512"/>
        <v>0</v>
      </c>
      <c r="S613" s="525">
        <f t="shared" si="512"/>
        <v>0</v>
      </c>
      <c r="U613" s="525">
        <f t="shared" ref="U613:AB620" si="516">U$610*$G613</f>
        <v>0</v>
      </c>
      <c r="V613" s="525">
        <f t="shared" si="516"/>
        <v>0</v>
      </c>
      <c r="W613" s="525">
        <f t="shared" si="516"/>
        <v>0</v>
      </c>
      <c r="X613" s="525">
        <f t="shared" si="516"/>
        <v>0</v>
      </c>
      <c r="Y613" s="525">
        <f t="shared" si="516"/>
        <v>0</v>
      </c>
      <c r="Z613" s="525">
        <f t="shared" si="516"/>
        <v>0</v>
      </c>
      <c r="AA613" s="525">
        <f t="shared" si="516"/>
        <v>0</v>
      </c>
      <c r="AB613" s="525">
        <f t="shared" si="516"/>
        <v>0</v>
      </c>
      <c r="AD613" s="405">
        <f t="shared" si="501"/>
        <v>1.5</v>
      </c>
      <c r="AE613" s="525">
        <f t="shared" si="502"/>
        <v>0</v>
      </c>
      <c r="AF613" s="525">
        <f t="shared" si="503"/>
        <v>0</v>
      </c>
      <c r="AG613" s="525">
        <f t="shared" si="503"/>
        <v>0</v>
      </c>
      <c r="AH613" s="525">
        <f t="shared" si="503"/>
        <v>0</v>
      </c>
      <c r="AI613" s="525">
        <f t="shared" si="504"/>
        <v>0</v>
      </c>
      <c r="AJ613" s="525">
        <f t="shared" si="504"/>
        <v>0</v>
      </c>
      <c r="AK613" s="525">
        <f t="shared" si="504"/>
        <v>0</v>
      </c>
      <c r="AL613" s="525">
        <f t="shared" si="505"/>
        <v>0</v>
      </c>
    </row>
    <row r="614" spans="1:38">
      <c r="A614" s="618"/>
      <c r="B614" s="618" t="s">
        <v>277</v>
      </c>
      <c r="C614" s="619">
        <f t="shared" si="514"/>
        <v>0</v>
      </c>
      <c r="D614" s="523">
        <f>VLOOKUP(B614,DONGIA,DG!$B$6,0)</f>
        <v>0</v>
      </c>
      <c r="E614" s="666" t="str">
        <f>VLOOKUP(B614,DONGIA,DG!$C$6,0)</f>
        <v>Kẹp cáp 3 boulon B46x136</v>
      </c>
      <c r="F614" s="523" t="str">
        <f>VLOOKUP(B614,DONGIA,DG!$D$6,0)</f>
        <v>cái</v>
      </c>
      <c r="G614" s="525">
        <v>8</v>
      </c>
      <c r="H614" s="525">
        <f>VLOOKUP($B614,DONGIA,DG!$E$6,0)</f>
        <v>48000</v>
      </c>
      <c r="I614" s="525"/>
      <c r="J614" s="525"/>
      <c r="K614" s="525">
        <f>VLOOKUP($B614,DONGIA,DG!$F$6,0)</f>
        <v>0</v>
      </c>
      <c r="L614" s="525"/>
      <c r="M614" s="525">
        <f>VLOOKUP($B614,DONGIA,DG!$G$6,0)</f>
        <v>0</v>
      </c>
      <c r="N614" s="525">
        <f t="shared" si="515"/>
        <v>384000</v>
      </c>
      <c r="O614" s="525">
        <f t="shared" si="512"/>
        <v>0</v>
      </c>
      <c r="P614" s="525">
        <f t="shared" si="512"/>
        <v>0</v>
      </c>
      <c r="Q614" s="525">
        <f t="shared" si="512"/>
        <v>0</v>
      </c>
      <c r="R614" s="525">
        <f t="shared" si="512"/>
        <v>0</v>
      </c>
      <c r="S614" s="525">
        <f t="shared" si="512"/>
        <v>0</v>
      </c>
      <c r="U614" s="525">
        <f t="shared" si="516"/>
        <v>0</v>
      </c>
      <c r="V614" s="525">
        <f t="shared" si="516"/>
        <v>0</v>
      </c>
      <c r="W614" s="525">
        <f t="shared" si="516"/>
        <v>0</v>
      </c>
      <c r="X614" s="525">
        <f t="shared" si="516"/>
        <v>0</v>
      </c>
      <c r="Y614" s="525">
        <f t="shared" si="516"/>
        <v>0</v>
      </c>
      <c r="Z614" s="525">
        <f t="shared" si="516"/>
        <v>0</v>
      </c>
      <c r="AA614" s="525">
        <f t="shared" si="516"/>
        <v>0</v>
      </c>
      <c r="AB614" s="525">
        <f t="shared" si="516"/>
        <v>0</v>
      </c>
      <c r="AD614" s="405">
        <f t="shared" si="501"/>
        <v>0.2</v>
      </c>
      <c r="AE614" s="525">
        <f t="shared" si="502"/>
        <v>0</v>
      </c>
      <c r="AF614" s="525">
        <f t="shared" si="503"/>
        <v>0</v>
      </c>
      <c r="AG614" s="525">
        <f t="shared" si="503"/>
        <v>0</v>
      </c>
      <c r="AH614" s="525">
        <f t="shared" si="503"/>
        <v>0</v>
      </c>
      <c r="AI614" s="525">
        <f t="shared" si="504"/>
        <v>0</v>
      </c>
      <c r="AJ614" s="525">
        <f t="shared" si="504"/>
        <v>0</v>
      </c>
      <c r="AK614" s="525">
        <f t="shared" si="504"/>
        <v>0</v>
      </c>
      <c r="AL614" s="525">
        <f t="shared" si="505"/>
        <v>0</v>
      </c>
    </row>
    <row r="615" spans="1:38">
      <c r="A615" s="618"/>
      <c r="B615" s="618" t="s">
        <v>268</v>
      </c>
      <c r="C615" s="619">
        <f t="shared" si="514"/>
        <v>0</v>
      </c>
      <c r="D615" s="523">
        <f>VLOOKUP(B615,DONGIA,DG!$B$6,0)</f>
        <v>0</v>
      </c>
      <c r="E615" s="666" t="str">
        <f>VLOOKUP(B615,DONGIA,DG!$C$6,0)&amp;" (13m/bộ)"</f>
        <v>Cáp thép 5/8" (13m/bộ)</v>
      </c>
      <c r="F615" s="523" t="str">
        <f>VLOOKUP(B615,DONGIA,DG!$D$6,0)</f>
        <v>mét</v>
      </c>
      <c r="G615" s="554">
        <f>13</f>
        <v>13</v>
      </c>
      <c r="H615" s="525">
        <f>VLOOKUP($B615,DONGIA,DG!$E$6,0)</f>
        <v>15350</v>
      </c>
      <c r="I615" s="525"/>
      <c r="J615" s="525"/>
      <c r="K615" s="525">
        <f>VLOOKUP($B615,DONGIA,DG!$F$6,0)</f>
        <v>0</v>
      </c>
      <c r="L615" s="525"/>
      <c r="M615" s="525">
        <f>VLOOKUP($B615,DONGIA,DG!$G$6,0)</f>
        <v>0</v>
      </c>
      <c r="N615" s="525">
        <f t="shared" si="515"/>
        <v>199550</v>
      </c>
      <c r="O615" s="525">
        <f t="shared" si="512"/>
        <v>0</v>
      </c>
      <c r="P615" s="525">
        <f t="shared" si="512"/>
        <v>0</v>
      </c>
      <c r="Q615" s="525">
        <f t="shared" si="512"/>
        <v>0</v>
      </c>
      <c r="R615" s="525">
        <f t="shared" si="512"/>
        <v>0</v>
      </c>
      <c r="S615" s="525">
        <f t="shared" si="512"/>
        <v>0</v>
      </c>
      <c r="U615" s="525">
        <f t="shared" si="516"/>
        <v>0</v>
      </c>
      <c r="V615" s="525">
        <f t="shared" si="516"/>
        <v>0</v>
      </c>
      <c r="W615" s="525">
        <f t="shared" si="516"/>
        <v>0</v>
      </c>
      <c r="X615" s="525">
        <f t="shared" si="516"/>
        <v>0</v>
      </c>
      <c r="Y615" s="525">
        <f t="shared" si="516"/>
        <v>0</v>
      </c>
      <c r="Z615" s="525">
        <f t="shared" si="516"/>
        <v>0</v>
      </c>
      <c r="AA615" s="525">
        <f t="shared" si="516"/>
        <v>0</v>
      </c>
      <c r="AB615" s="525">
        <f t="shared" si="516"/>
        <v>0</v>
      </c>
      <c r="AD615" s="405">
        <f t="shared" si="501"/>
        <v>1</v>
      </c>
      <c r="AE615" s="525">
        <f t="shared" si="502"/>
        <v>0</v>
      </c>
      <c r="AF615" s="525">
        <f t="shared" si="503"/>
        <v>0</v>
      </c>
      <c r="AG615" s="525">
        <f t="shared" si="503"/>
        <v>0</v>
      </c>
      <c r="AH615" s="525">
        <f t="shared" si="503"/>
        <v>0</v>
      </c>
      <c r="AI615" s="525">
        <f t="shared" si="504"/>
        <v>0</v>
      </c>
      <c r="AJ615" s="525">
        <f t="shared" si="504"/>
        <v>0</v>
      </c>
      <c r="AK615" s="525">
        <f t="shared" si="504"/>
        <v>0</v>
      </c>
      <c r="AL615" s="525">
        <f t="shared" si="505"/>
        <v>0</v>
      </c>
    </row>
    <row r="616" spans="1:38">
      <c r="A616" s="618"/>
      <c r="B616" s="618" t="s">
        <v>440</v>
      </c>
      <c r="C616" s="619">
        <f t="shared" si="514"/>
        <v>0</v>
      </c>
      <c r="D616" s="523" t="str">
        <f>VLOOKUP(B616,DONGIA,DG!$B$6,0)</f>
        <v>D2.6011</v>
      </c>
      <c r="E616" s="666" t="str">
        <f>VLOOKUP(B616,DONGIA,DG!$C$6,0)</f>
        <v>Bộ chống chằng hẹp φ60/50x1500+2BL12x40+BL16x250/80</v>
      </c>
      <c r="F616" s="523" t="str">
        <f>VLOOKUP(B616,DONGIA,DG!$D$6,0)</f>
        <v>bộ</v>
      </c>
      <c r="G616" s="525">
        <v>1</v>
      </c>
      <c r="H616" s="525">
        <f>VLOOKUP($B616,DONGIA,DG!$E$6,0)</f>
        <v>365000</v>
      </c>
      <c r="I616" s="525"/>
      <c r="J616" s="525"/>
      <c r="K616" s="525">
        <f>VLOOKUP($B616,DONGIA,DG!$F$6,0)</f>
        <v>167950</v>
      </c>
      <c r="L616" s="525"/>
      <c r="M616" s="525">
        <f>VLOOKUP($B616,DONGIA,DG!$G$6,0)</f>
        <v>0</v>
      </c>
      <c r="N616" s="525">
        <f t="shared" si="515"/>
        <v>365000</v>
      </c>
      <c r="O616" s="525">
        <f t="shared" si="512"/>
        <v>0</v>
      </c>
      <c r="P616" s="525">
        <f t="shared" si="512"/>
        <v>0</v>
      </c>
      <c r="Q616" s="525">
        <f t="shared" si="512"/>
        <v>167950</v>
      </c>
      <c r="R616" s="525">
        <f t="shared" si="512"/>
        <v>0</v>
      </c>
      <c r="S616" s="525">
        <f t="shared" si="512"/>
        <v>0</v>
      </c>
      <c r="U616" s="525">
        <f t="shared" si="516"/>
        <v>0</v>
      </c>
      <c r="V616" s="525">
        <f t="shared" si="516"/>
        <v>0</v>
      </c>
      <c r="W616" s="525">
        <f t="shared" si="516"/>
        <v>0</v>
      </c>
      <c r="X616" s="525">
        <f t="shared" si="516"/>
        <v>0</v>
      </c>
      <c r="Y616" s="525">
        <f t="shared" si="516"/>
        <v>0</v>
      </c>
      <c r="Z616" s="525">
        <f t="shared" si="516"/>
        <v>0</v>
      </c>
      <c r="AA616" s="525">
        <f t="shared" si="516"/>
        <v>0</v>
      </c>
      <c r="AB616" s="525">
        <f t="shared" si="516"/>
        <v>0</v>
      </c>
      <c r="AD616" s="405">
        <f t="shared" si="501"/>
        <v>7.5</v>
      </c>
      <c r="AE616" s="525">
        <f t="shared" si="502"/>
        <v>0</v>
      </c>
      <c r="AF616" s="525">
        <f t="shared" si="503"/>
        <v>0</v>
      </c>
      <c r="AG616" s="525">
        <f t="shared" si="503"/>
        <v>0</v>
      </c>
      <c r="AH616" s="525">
        <f t="shared" si="503"/>
        <v>0</v>
      </c>
      <c r="AI616" s="525">
        <f t="shared" si="504"/>
        <v>0</v>
      </c>
      <c r="AJ616" s="525">
        <f t="shared" si="504"/>
        <v>0</v>
      </c>
      <c r="AK616" s="525">
        <f t="shared" si="504"/>
        <v>0</v>
      </c>
      <c r="AL616" s="525">
        <f t="shared" si="505"/>
        <v>0</v>
      </c>
    </row>
    <row r="617" spans="1:38">
      <c r="A617" s="618"/>
      <c r="B617" s="618" t="s">
        <v>475</v>
      </c>
      <c r="C617" s="619">
        <f t="shared" si="514"/>
        <v>0</v>
      </c>
      <c r="D617" s="523">
        <f>VLOOKUP(B617,DONGIA,DG!$B$6,0)</f>
        <v>0</v>
      </c>
      <c r="E617" s="666" t="str">
        <f>VLOOKUP(B617,DONGIA,DG!$C$6,0)</f>
        <v>Yếm cáp dày 2mm</v>
      </c>
      <c r="F617" s="523" t="str">
        <f>VLOOKUP(B617,DONGIA,DG!$D$6,0)</f>
        <v>cái</v>
      </c>
      <c r="G617" s="525">
        <v>2</v>
      </c>
      <c r="H617" s="525">
        <f>VLOOKUP($B617,DONGIA,DG!$E$6,0)</f>
        <v>8000</v>
      </c>
      <c r="I617" s="525"/>
      <c r="J617" s="525"/>
      <c r="K617" s="525">
        <f>VLOOKUP($B617,DONGIA,DG!$F$6,0)</f>
        <v>0</v>
      </c>
      <c r="L617" s="525"/>
      <c r="M617" s="525">
        <f>VLOOKUP($B617,DONGIA,DG!$G$6,0)</f>
        <v>0</v>
      </c>
      <c r="N617" s="525">
        <f t="shared" si="515"/>
        <v>16000</v>
      </c>
      <c r="O617" s="525">
        <f t="shared" si="512"/>
        <v>0</v>
      </c>
      <c r="P617" s="525">
        <f t="shared" si="512"/>
        <v>0</v>
      </c>
      <c r="Q617" s="525">
        <f t="shared" si="512"/>
        <v>0</v>
      </c>
      <c r="R617" s="525">
        <f t="shared" si="512"/>
        <v>0</v>
      </c>
      <c r="S617" s="525">
        <f t="shared" si="512"/>
        <v>0</v>
      </c>
      <c r="U617" s="525">
        <f t="shared" si="516"/>
        <v>0</v>
      </c>
      <c r="V617" s="525">
        <f t="shared" si="516"/>
        <v>0</v>
      </c>
      <c r="W617" s="525">
        <f t="shared" si="516"/>
        <v>0</v>
      </c>
      <c r="X617" s="525">
        <f t="shared" si="516"/>
        <v>0</v>
      </c>
      <c r="Y617" s="525">
        <f t="shared" si="516"/>
        <v>0</v>
      </c>
      <c r="Z617" s="525">
        <f t="shared" si="516"/>
        <v>0</v>
      </c>
      <c r="AA617" s="525">
        <f t="shared" si="516"/>
        <v>0</v>
      </c>
      <c r="AB617" s="525">
        <f t="shared" si="516"/>
        <v>0</v>
      </c>
      <c r="AD617" s="405">
        <f t="shared" si="501"/>
        <v>0.3</v>
      </c>
      <c r="AE617" s="525">
        <f t="shared" si="502"/>
        <v>0</v>
      </c>
      <c r="AF617" s="525">
        <f t="shared" si="503"/>
        <v>0</v>
      </c>
      <c r="AG617" s="525">
        <f t="shared" si="503"/>
        <v>0</v>
      </c>
      <c r="AH617" s="525">
        <f t="shared" si="503"/>
        <v>0</v>
      </c>
      <c r="AI617" s="525">
        <f t="shared" si="504"/>
        <v>0</v>
      </c>
      <c r="AJ617" s="525">
        <f t="shared" si="504"/>
        <v>0</v>
      </c>
      <c r="AK617" s="525">
        <f t="shared" si="504"/>
        <v>0</v>
      </c>
      <c r="AL617" s="525">
        <f t="shared" si="505"/>
        <v>0</v>
      </c>
    </row>
    <row r="618" spans="1:38">
      <c r="A618" s="618"/>
      <c r="B618" s="618" t="s">
        <v>373</v>
      </c>
      <c r="C618" s="619">
        <f t="shared" si="514"/>
        <v>0</v>
      </c>
      <c r="D618" s="523">
        <f>VLOOKUP(B618,DONGIA,DG!$B$6,0)</f>
        <v>0</v>
      </c>
      <c r="E618" s="666" t="str">
        <f>VLOOKUP(B618,DONGIA,DG!$C$6,0)</f>
        <v>Máng che dây chằng dày 0,8x2000mm</v>
      </c>
      <c r="F618" s="523" t="str">
        <f>VLOOKUP(B618,DONGIA,DG!$D$6,0)</f>
        <v>cái</v>
      </c>
      <c r="G618" s="525">
        <v>1</v>
      </c>
      <c r="H618" s="525">
        <f>VLOOKUP($B618,DONGIA,DG!$E$6,0)</f>
        <v>120000</v>
      </c>
      <c r="I618" s="525"/>
      <c r="J618" s="525"/>
      <c r="K618" s="525">
        <f>VLOOKUP($B618,DONGIA,DG!$F$6,0)</f>
        <v>0</v>
      </c>
      <c r="L618" s="525"/>
      <c r="M618" s="525">
        <f>VLOOKUP($B618,DONGIA,DG!$G$6,0)</f>
        <v>0</v>
      </c>
      <c r="N618" s="525">
        <f t="shared" si="515"/>
        <v>120000</v>
      </c>
      <c r="O618" s="525">
        <f t="shared" si="512"/>
        <v>0</v>
      </c>
      <c r="P618" s="525">
        <f t="shared" si="512"/>
        <v>0</v>
      </c>
      <c r="Q618" s="525">
        <f t="shared" si="512"/>
        <v>0</v>
      </c>
      <c r="R618" s="525">
        <f t="shared" si="512"/>
        <v>0</v>
      </c>
      <c r="S618" s="525">
        <f t="shared" si="512"/>
        <v>0</v>
      </c>
      <c r="U618" s="525">
        <f t="shared" si="516"/>
        <v>0</v>
      </c>
      <c r="V618" s="525">
        <f t="shared" si="516"/>
        <v>0</v>
      </c>
      <c r="W618" s="525">
        <f t="shared" si="516"/>
        <v>0</v>
      </c>
      <c r="X618" s="525">
        <f t="shared" si="516"/>
        <v>0</v>
      </c>
      <c r="Y618" s="525">
        <f t="shared" si="516"/>
        <v>0</v>
      </c>
      <c r="Z618" s="525">
        <f t="shared" si="516"/>
        <v>0</v>
      </c>
      <c r="AA618" s="525">
        <f t="shared" si="516"/>
        <v>0</v>
      </c>
      <c r="AB618" s="525">
        <f t="shared" si="516"/>
        <v>0</v>
      </c>
      <c r="AD618" s="405">
        <f t="shared" si="501"/>
        <v>0.4</v>
      </c>
      <c r="AE618" s="525">
        <f t="shared" si="502"/>
        <v>0</v>
      </c>
      <c r="AF618" s="525">
        <f t="shared" si="503"/>
        <v>0</v>
      </c>
      <c r="AG618" s="525">
        <f t="shared" si="503"/>
        <v>0</v>
      </c>
      <c r="AH618" s="525">
        <f t="shared" si="503"/>
        <v>0</v>
      </c>
      <c r="AI618" s="525">
        <f t="shared" si="504"/>
        <v>0</v>
      </c>
      <c r="AJ618" s="525">
        <f t="shared" si="504"/>
        <v>0</v>
      </c>
      <c r="AK618" s="525">
        <f t="shared" si="504"/>
        <v>0</v>
      </c>
      <c r="AL618" s="525">
        <f t="shared" si="505"/>
        <v>0</v>
      </c>
    </row>
    <row r="619" spans="1:38">
      <c r="A619" s="618"/>
      <c r="B619" s="618" t="s">
        <v>690</v>
      </c>
      <c r="C619" s="619">
        <f t="shared" si="514"/>
        <v>0</v>
      </c>
      <c r="D619" s="523" t="str">
        <f>VLOOKUP(B619,DONGIA,DG!$B$6,0)</f>
        <v>D3.3251</v>
      </c>
      <c r="E619" s="666" t="str">
        <f>VLOOKUP(B619,DONGIA,DG!$C$6,0)</f>
        <v>Lắp bộ dây néo</v>
      </c>
      <c r="F619" s="523" t="str">
        <f>VLOOKUP(B619,DONGIA,DG!$D$6,0)</f>
        <v>bộ</v>
      </c>
      <c r="G619" s="525">
        <v>1</v>
      </c>
      <c r="H619" s="525"/>
      <c r="I619" s="525"/>
      <c r="J619" s="525"/>
      <c r="K619" s="525">
        <f>VLOOKUP($B619,DONGIA,DG!$F$6,0)</f>
        <v>106623</v>
      </c>
      <c r="L619" s="525"/>
      <c r="M619" s="525">
        <f>VLOOKUP($B619,DONGIA,DG!$G$6,0)</f>
        <v>0</v>
      </c>
      <c r="N619" s="525">
        <f t="shared" si="515"/>
        <v>0</v>
      </c>
      <c r="O619" s="525">
        <f t="shared" si="512"/>
        <v>0</v>
      </c>
      <c r="P619" s="525">
        <f t="shared" si="512"/>
        <v>0</v>
      </c>
      <c r="Q619" s="525">
        <f t="shared" si="512"/>
        <v>106623</v>
      </c>
      <c r="R619" s="525">
        <f t="shared" si="512"/>
        <v>0</v>
      </c>
      <c r="S619" s="525">
        <f t="shared" si="512"/>
        <v>0</v>
      </c>
      <c r="U619" s="525">
        <f t="shared" si="516"/>
        <v>0</v>
      </c>
      <c r="V619" s="525">
        <f t="shared" si="516"/>
        <v>0</v>
      </c>
      <c r="W619" s="525">
        <f t="shared" si="516"/>
        <v>0</v>
      </c>
      <c r="X619" s="525">
        <f t="shared" si="516"/>
        <v>0</v>
      </c>
      <c r="Y619" s="525">
        <f t="shared" si="516"/>
        <v>0</v>
      </c>
      <c r="Z619" s="525">
        <f t="shared" si="516"/>
        <v>0</v>
      </c>
      <c r="AA619" s="525">
        <f t="shared" si="516"/>
        <v>0</v>
      </c>
      <c r="AB619" s="525">
        <f t="shared" si="516"/>
        <v>0</v>
      </c>
      <c r="AD619" s="405">
        <f t="shared" si="501"/>
        <v>0</v>
      </c>
      <c r="AE619" s="525">
        <f t="shared" si="502"/>
        <v>0</v>
      </c>
      <c r="AF619" s="525">
        <f t="shared" si="503"/>
        <v>0</v>
      </c>
      <c r="AG619" s="525">
        <f t="shared" si="503"/>
        <v>0</v>
      </c>
      <c r="AH619" s="525">
        <f t="shared" si="503"/>
        <v>0</v>
      </c>
      <c r="AI619" s="525">
        <f t="shared" si="504"/>
        <v>0</v>
      </c>
      <c r="AJ619" s="525">
        <f t="shared" si="504"/>
        <v>0</v>
      </c>
      <c r="AK619" s="525">
        <f t="shared" si="504"/>
        <v>0</v>
      </c>
      <c r="AL619" s="525">
        <f t="shared" si="505"/>
        <v>0</v>
      </c>
    </row>
    <row r="620" spans="1:38" s="332" customFormat="1">
      <c r="A620" s="356"/>
      <c r="B620" s="356" t="s">
        <v>688</v>
      </c>
      <c r="C620" s="355">
        <f t="shared" si="514"/>
        <v>0</v>
      </c>
      <c r="D620" s="341" t="str">
        <f>VLOOKUP(B620,DONGIA,DG!$B$6,0)</f>
        <v>05.6011</v>
      </c>
      <c r="E620" s="340" t="str">
        <f>VLOOKUP(B620,DONGIA,DG!$C$6,0)</f>
        <v>Lắp bộ chống lệch</v>
      </c>
      <c r="F620" s="341" t="str">
        <f>VLOOKUP(B620,DONGIA,DG!$D$6,0)</f>
        <v>bộ</v>
      </c>
      <c r="G620" s="329"/>
      <c r="H620" s="329"/>
      <c r="I620" s="329"/>
      <c r="J620" s="329"/>
      <c r="K620" s="329">
        <f>VLOOKUP($B620,DONGIA,DG!$F$6,0)</f>
        <v>0</v>
      </c>
      <c r="L620" s="329"/>
      <c r="M620" s="329">
        <f>VLOOKUP($B620,DONGIA,DG!$G$6,0)</f>
        <v>0</v>
      </c>
      <c r="N620" s="329">
        <f t="shared" si="515"/>
        <v>0</v>
      </c>
      <c r="O620" s="329">
        <f t="shared" si="512"/>
        <v>0</v>
      </c>
      <c r="P620" s="329">
        <f t="shared" si="512"/>
        <v>0</v>
      </c>
      <c r="Q620" s="329">
        <f t="shared" si="512"/>
        <v>0</v>
      </c>
      <c r="R620" s="329">
        <f t="shared" si="512"/>
        <v>0</v>
      </c>
      <c r="S620" s="329">
        <f t="shared" si="512"/>
        <v>0</v>
      </c>
      <c r="U620" s="329">
        <f t="shared" si="516"/>
        <v>0</v>
      </c>
      <c r="V620" s="329">
        <f t="shared" si="516"/>
        <v>0</v>
      </c>
      <c r="W620" s="329">
        <f t="shared" si="516"/>
        <v>0</v>
      </c>
      <c r="X620" s="329">
        <f t="shared" si="516"/>
        <v>0</v>
      </c>
      <c r="Y620" s="329">
        <f t="shared" si="516"/>
        <v>0</v>
      </c>
      <c r="Z620" s="329">
        <f t="shared" si="516"/>
        <v>0</v>
      </c>
      <c r="AA620" s="329">
        <f t="shared" si="516"/>
        <v>0</v>
      </c>
      <c r="AB620" s="329">
        <f t="shared" si="516"/>
        <v>0</v>
      </c>
      <c r="AD620" s="332">
        <f t="shared" si="501"/>
        <v>0</v>
      </c>
      <c r="AE620" s="329">
        <f t="shared" si="502"/>
        <v>0</v>
      </c>
      <c r="AF620" s="329">
        <f t="shared" si="503"/>
        <v>0</v>
      </c>
      <c r="AG620" s="329">
        <f t="shared" si="503"/>
        <v>0</v>
      </c>
      <c r="AH620" s="329">
        <f t="shared" si="503"/>
        <v>0</v>
      </c>
      <c r="AI620" s="329">
        <f t="shared" si="504"/>
        <v>0</v>
      </c>
      <c r="AJ620" s="329">
        <f t="shared" si="504"/>
        <v>0</v>
      </c>
      <c r="AK620" s="329">
        <f t="shared" si="504"/>
        <v>0</v>
      </c>
      <c r="AL620" s="329">
        <f t="shared" si="505"/>
        <v>0</v>
      </c>
    </row>
    <row r="621" spans="1:38" s="332" customFormat="1">
      <c r="A621" s="356" t="s">
        <v>1475</v>
      </c>
      <c r="B621" s="356"/>
      <c r="C621" s="355">
        <f>IF(G621&lt;&gt;0,1,)</f>
        <v>0</v>
      </c>
      <c r="D621" s="357"/>
      <c r="E621" s="358" t="s">
        <v>2710</v>
      </c>
      <c r="F621" s="357" t="s">
        <v>138</v>
      </c>
      <c r="G621" s="357">
        <f>U621</f>
        <v>0</v>
      </c>
      <c r="H621" s="358"/>
      <c r="I621" s="358"/>
      <c r="J621" s="358"/>
      <c r="K621" s="358"/>
      <c r="L621" s="358"/>
      <c r="M621" s="358"/>
      <c r="N621" s="358">
        <f t="shared" ref="N621:S621" si="517">SUM(N623:N629)</f>
        <v>0</v>
      </c>
      <c r="O621" s="358">
        <f t="shared" si="517"/>
        <v>0</v>
      </c>
      <c r="P621" s="358">
        <f t="shared" si="517"/>
        <v>0</v>
      </c>
      <c r="Q621" s="358">
        <f t="shared" si="517"/>
        <v>0</v>
      </c>
      <c r="R621" s="358">
        <f t="shared" si="517"/>
        <v>0</v>
      </c>
      <c r="S621" s="358">
        <f t="shared" si="517"/>
        <v>0</v>
      </c>
      <c r="U621" s="358">
        <f>SUM(V621:AB621)</f>
        <v>0</v>
      </c>
      <c r="V621" s="358">
        <f>IFERROR(HLOOKUP($A621,BK3P,V$3,0),)</f>
        <v>0</v>
      </c>
      <c r="W621" s="358">
        <f>IFERROR(HLOOKUP($A621,BK3P,W$3,0),)</f>
        <v>0</v>
      </c>
      <c r="X621" s="358">
        <f>IFERROR(HLOOKUP($A621,BK3P,X$3,0),)</f>
        <v>0</v>
      </c>
      <c r="Y621" s="358">
        <f>IFERROR(HLOOKUP($A621,BK1P,Y$3,0),)</f>
        <v>0</v>
      </c>
      <c r="Z621" s="358">
        <f>IFERROR(HLOOKUP($A621,BK1P,Z$3,0),)</f>
        <v>0</v>
      </c>
      <c r="AA621" s="358">
        <f>IFERROR(HLOOKUP($A621,BK1P,AA$3,0),)</f>
        <v>0</v>
      </c>
      <c r="AB621" s="358">
        <f>IFERROR(HLOOKUP($A621,BKHT,AB$3,0),)</f>
        <v>0</v>
      </c>
      <c r="AD621" s="332">
        <f t="shared" si="501"/>
        <v>0</v>
      </c>
      <c r="AE621" s="329">
        <f t="shared" si="502"/>
        <v>0</v>
      </c>
      <c r="AF621" s="329">
        <f t="shared" si="503"/>
        <v>0</v>
      </c>
      <c r="AG621" s="329">
        <f t="shared" si="503"/>
        <v>0</v>
      </c>
      <c r="AH621" s="329">
        <f t="shared" si="503"/>
        <v>0</v>
      </c>
      <c r="AI621" s="329">
        <f t="shared" si="504"/>
        <v>0</v>
      </c>
      <c r="AJ621" s="329">
        <f t="shared" si="504"/>
        <v>0</v>
      </c>
      <c r="AK621" s="329">
        <f t="shared" si="504"/>
        <v>0</v>
      </c>
      <c r="AL621" s="329">
        <f t="shared" si="505"/>
        <v>0</v>
      </c>
    </row>
    <row r="622" spans="1:38" s="361" customFormat="1">
      <c r="A622" s="359"/>
      <c r="B622" s="359"/>
      <c r="C622" s="360">
        <f>C621</f>
        <v>0</v>
      </c>
      <c r="D622" s="350"/>
      <c r="E622" s="351" t="s">
        <v>1659</v>
      </c>
      <c r="F622" s="350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U622" s="351"/>
      <c r="V622" s="351"/>
      <c r="W622" s="351"/>
      <c r="X622" s="351"/>
      <c r="Y622" s="351"/>
      <c r="Z622" s="351"/>
      <c r="AA622" s="351"/>
      <c r="AB622" s="351"/>
      <c r="AD622" s="332">
        <f t="shared" si="501"/>
        <v>0</v>
      </c>
      <c r="AE622" s="329">
        <f t="shared" si="502"/>
        <v>0</v>
      </c>
      <c r="AF622" s="329">
        <f t="shared" si="503"/>
        <v>0</v>
      </c>
      <c r="AG622" s="329">
        <f t="shared" si="503"/>
        <v>0</v>
      </c>
      <c r="AH622" s="329">
        <f t="shared" si="503"/>
        <v>0</v>
      </c>
      <c r="AI622" s="329">
        <f t="shared" si="504"/>
        <v>0</v>
      </c>
      <c r="AJ622" s="329">
        <f t="shared" si="504"/>
        <v>0</v>
      </c>
      <c r="AK622" s="329">
        <f t="shared" si="504"/>
        <v>0</v>
      </c>
      <c r="AL622" s="329">
        <f t="shared" si="505"/>
        <v>0</v>
      </c>
    </row>
    <row r="623" spans="1:38" s="332" customFormat="1">
      <c r="A623" s="356"/>
      <c r="B623" s="356" t="s">
        <v>109</v>
      </c>
      <c r="C623" s="355">
        <f>IF(G623&lt;&gt;0,$C$621,)</f>
        <v>0</v>
      </c>
      <c r="D623" s="341">
        <f>VLOOKUP(B623,DONGIA,DG!$B$6,0)</f>
        <v>0</v>
      </c>
      <c r="E623" s="340" t="str">
        <f>VLOOKUP(B623,DONGIA,DG!$C$6,0)</f>
        <v>Boulon mắt 16x250+ long đền vuông D18-50x50x3/Zn</v>
      </c>
      <c r="F623" s="341" t="str">
        <f>VLOOKUP(B623,DONGIA,DG!$D$6,0)</f>
        <v>bộ</v>
      </c>
      <c r="G623" s="329"/>
      <c r="H623" s="329">
        <f>VLOOKUP($B623,DONGIA,DG!$E$6,0)</f>
        <v>29000</v>
      </c>
      <c r="I623" s="329"/>
      <c r="J623" s="329"/>
      <c r="K623" s="329">
        <f>VLOOKUP($B623,DONGIA,DG!$F$6,0)</f>
        <v>0</v>
      </c>
      <c r="L623" s="329"/>
      <c r="M623" s="329">
        <f>VLOOKUP($B623,DONGIA,DG!$G$6,0)</f>
        <v>0</v>
      </c>
      <c r="N623" s="329">
        <f>$G623*H623</f>
        <v>0</v>
      </c>
      <c r="O623" s="329">
        <f t="shared" ref="O623:S629" si="518">$G623*I623</f>
        <v>0</v>
      </c>
      <c r="P623" s="329">
        <f t="shared" si="518"/>
        <v>0</v>
      </c>
      <c r="Q623" s="329">
        <f t="shared" si="518"/>
        <v>0</v>
      </c>
      <c r="R623" s="329">
        <f t="shared" si="518"/>
        <v>0</v>
      </c>
      <c r="S623" s="329">
        <f t="shared" si="518"/>
        <v>0</v>
      </c>
      <c r="U623" s="329">
        <f>U$621*$G623</f>
        <v>0</v>
      </c>
      <c r="V623" s="329">
        <f t="shared" ref="V623:AB623" si="519">V$621*$G623</f>
        <v>0</v>
      </c>
      <c r="W623" s="329">
        <f t="shared" si="519"/>
        <v>0</v>
      </c>
      <c r="X623" s="329">
        <f t="shared" si="519"/>
        <v>0</v>
      </c>
      <c r="Y623" s="329">
        <f t="shared" si="519"/>
        <v>0</v>
      </c>
      <c r="Z623" s="329">
        <f t="shared" si="519"/>
        <v>0</v>
      </c>
      <c r="AA623" s="329">
        <f t="shared" si="519"/>
        <v>0</v>
      </c>
      <c r="AB623" s="329">
        <f t="shared" si="519"/>
        <v>0</v>
      </c>
      <c r="AD623" s="332">
        <f t="shared" si="501"/>
        <v>0.3</v>
      </c>
      <c r="AE623" s="329">
        <f t="shared" si="502"/>
        <v>0</v>
      </c>
      <c r="AF623" s="329">
        <f t="shared" si="503"/>
        <v>0</v>
      </c>
      <c r="AG623" s="329">
        <f t="shared" si="503"/>
        <v>0</v>
      </c>
      <c r="AH623" s="329">
        <f t="shared" si="503"/>
        <v>0</v>
      </c>
      <c r="AI623" s="329">
        <f t="shared" si="504"/>
        <v>0</v>
      </c>
      <c r="AJ623" s="329">
        <f t="shared" si="504"/>
        <v>0</v>
      </c>
      <c r="AK623" s="329">
        <f t="shared" si="504"/>
        <v>0</v>
      </c>
      <c r="AL623" s="329">
        <f t="shared" si="505"/>
        <v>0</v>
      </c>
    </row>
    <row r="624" spans="1:38" s="332" customFormat="1">
      <c r="A624" s="356"/>
      <c r="B624" s="356" t="s">
        <v>408</v>
      </c>
      <c r="C624" s="355">
        <f t="shared" ref="C624:C629" si="520">IF(G624&lt;&gt;0,$C$621,)</f>
        <v>0</v>
      </c>
      <c r="D624" s="341">
        <f>VLOOKUP(B624,DONGIA,DG!$B$6,0)</f>
        <v>0</v>
      </c>
      <c r="E624" s="340" t="str">
        <f>VLOOKUP(B624,DONGIA,DG!$C$6,0)</f>
        <v>Sứ chằng lớn</v>
      </c>
      <c r="F624" s="341" t="str">
        <f>VLOOKUP(B624,DONGIA,DG!$D$6,0)</f>
        <v>cái</v>
      </c>
      <c r="G624" s="329"/>
      <c r="H624" s="329">
        <f>VLOOKUP($B624,DONGIA,DG!$E$6,0)</f>
        <v>66000</v>
      </c>
      <c r="I624" s="329"/>
      <c r="J624" s="329"/>
      <c r="K624" s="329">
        <f>VLOOKUP($B624,DONGIA,DG!$F$6,0)</f>
        <v>0</v>
      </c>
      <c r="L624" s="329"/>
      <c r="M624" s="329">
        <f>VLOOKUP($B624,DONGIA,DG!$G$6,0)</f>
        <v>0</v>
      </c>
      <c r="N624" s="329">
        <f t="shared" ref="N624:N629" si="521">$G624*H624</f>
        <v>0</v>
      </c>
      <c r="O624" s="329">
        <f t="shared" si="518"/>
        <v>0</v>
      </c>
      <c r="P624" s="329">
        <f t="shared" si="518"/>
        <v>0</v>
      </c>
      <c r="Q624" s="329">
        <f t="shared" si="518"/>
        <v>0</v>
      </c>
      <c r="R624" s="329">
        <f t="shared" si="518"/>
        <v>0</v>
      </c>
      <c r="S624" s="329">
        <f t="shared" si="518"/>
        <v>0</v>
      </c>
      <c r="U624" s="329">
        <f t="shared" ref="U624:AB629" si="522">U$621*$G624</f>
        <v>0</v>
      </c>
      <c r="V624" s="329">
        <f t="shared" si="522"/>
        <v>0</v>
      </c>
      <c r="W624" s="329">
        <f t="shared" si="522"/>
        <v>0</v>
      </c>
      <c r="X624" s="329">
        <f t="shared" si="522"/>
        <v>0</v>
      </c>
      <c r="Y624" s="329">
        <f t="shared" si="522"/>
        <v>0</v>
      </c>
      <c r="Z624" s="329">
        <f t="shared" si="522"/>
        <v>0</v>
      </c>
      <c r="AA624" s="329">
        <f t="shared" si="522"/>
        <v>0</v>
      </c>
      <c r="AB624" s="329">
        <f t="shared" si="522"/>
        <v>0</v>
      </c>
      <c r="AD624" s="332">
        <f t="shared" si="501"/>
        <v>1.5</v>
      </c>
      <c r="AE624" s="329">
        <f t="shared" si="502"/>
        <v>0</v>
      </c>
      <c r="AF624" s="329">
        <f t="shared" si="503"/>
        <v>0</v>
      </c>
      <c r="AG624" s="329">
        <f t="shared" si="503"/>
        <v>0</v>
      </c>
      <c r="AH624" s="329">
        <f t="shared" si="503"/>
        <v>0</v>
      </c>
      <c r="AI624" s="329">
        <f t="shared" si="504"/>
        <v>0</v>
      </c>
      <c r="AJ624" s="329">
        <f t="shared" si="504"/>
        <v>0</v>
      </c>
      <c r="AK624" s="329">
        <f t="shared" si="504"/>
        <v>0</v>
      </c>
      <c r="AL624" s="329">
        <f t="shared" si="505"/>
        <v>0</v>
      </c>
    </row>
    <row r="625" spans="1:38" s="332" customFormat="1">
      <c r="A625" s="356"/>
      <c r="B625" s="356" t="s">
        <v>277</v>
      </c>
      <c r="C625" s="355">
        <f t="shared" si="520"/>
        <v>0</v>
      </c>
      <c r="D625" s="341">
        <f>VLOOKUP(B625,DONGIA,DG!$B$6,0)</f>
        <v>0</v>
      </c>
      <c r="E625" s="340" t="str">
        <f>VLOOKUP(B625,DONGIA,DG!$C$6,0)</f>
        <v>Kẹp cáp 3 boulon B46x136</v>
      </c>
      <c r="F625" s="341" t="str">
        <f>VLOOKUP(B625,DONGIA,DG!$D$6,0)</f>
        <v>cái</v>
      </c>
      <c r="G625" s="329"/>
      <c r="H625" s="329">
        <f>VLOOKUP($B625,DONGIA,DG!$E$6,0)</f>
        <v>48000</v>
      </c>
      <c r="I625" s="329"/>
      <c r="J625" s="329"/>
      <c r="K625" s="329">
        <f>VLOOKUP($B625,DONGIA,DG!$F$6,0)</f>
        <v>0</v>
      </c>
      <c r="L625" s="329"/>
      <c r="M625" s="329">
        <f>VLOOKUP($B625,DONGIA,DG!$G$6,0)</f>
        <v>0</v>
      </c>
      <c r="N625" s="329">
        <f t="shared" si="521"/>
        <v>0</v>
      </c>
      <c r="O625" s="329">
        <f t="shared" si="518"/>
        <v>0</v>
      </c>
      <c r="P625" s="329">
        <f t="shared" si="518"/>
        <v>0</v>
      </c>
      <c r="Q625" s="329">
        <f t="shared" si="518"/>
        <v>0</v>
      </c>
      <c r="R625" s="329">
        <f t="shared" si="518"/>
        <v>0</v>
      </c>
      <c r="S625" s="329">
        <f t="shared" si="518"/>
        <v>0</v>
      </c>
      <c r="U625" s="329">
        <f t="shared" si="522"/>
        <v>0</v>
      </c>
      <c r="V625" s="329">
        <f t="shared" si="522"/>
        <v>0</v>
      </c>
      <c r="W625" s="329">
        <f t="shared" si="522"/>
        <v>0</v>
      </c>
      <c r="X625" s="329">
        <f t="shared" si="522"/>
        <v>0</v>
      </c>
      <c r="Y625" s="329">
        <f t="shared" si="522"/>
        <v>0</v>
      </c>
      <c r="Z625" s="329">
        <f t="shared" si="522"/>
        <v>0</v>
      </c>
      <c r="AA625" s="329">
        <f t="shared" si="522"/>
        <v>0</v>
      </c>
      <c r="AB625" s="329">
        <f t="shared" si="522"/>
        <v>0</v>
      </c>
      <c r="AD625" s="332">
        <f t="shared" si="501"/>
        <v>0.2</v>
      </c>
      <c r="AE625" s="329">
        <f t="shared" si="502"/>
        <v>0</v>
      </c>
      <c r="AF625" s="329">
        <f t="shared" si="503"/>
        <v>0</v>
      </c>
      <c r="AG625" s="329">
        <f t="shared" si="503"/>
        <v>0</v>
      </c>
      <c r="AH625" s="329">
        <f t="shared" si="503"/>
        <v>0</v>
      </c>
      <c r="AI625" s="329">
        <f t="shared" si="504"/>
        <v>0</v>
      </c>
      <c r="AJ625" s="329">
        <f t="shared" si="504"/>
        <v>0</v>
      </c>
      <c r="AK625" s="329">
        <f t="shared" si="504"/>
        <v>0</v>
      </c>
      <c r="AL625" s="329">
        <f t="shared" si="505"/>
        <v>0</v>
      </c>
    </row>
    <row r="626" spans="1:38" s="332" customFormat="1">
      <c r="A626" s="356"/>
      <c r="B626" s="356" t="s">
        <v>268</v>
      </c>
      <c r="C626" s="355">
        <f t="shared" si="520"/>
        <v>0</v>
      </c>
      <c r="D626" s="341">
        <f>VLOOKUP(B626,DONGIA,DG!$B$6,0)</f>
        <v>0</v>
      </c>
      <c r="E626" s="340" t="str">
        <f>VLOOKUP(B626,DONGIA,DG!$C$6,0)</f>
        <v>Cáp thép 5/8"</v>
      </c>
      <c r="F626" s="341" t="str">
        <f>VLOOKUP(B626,DONGIA,DG!$D$6,0)</f>
        <v>mét</v>
      </c>
      <c r="G626" s="53"/>
      <c r="H626" s="329">
        <f>VLOOKUP($B626,DONGIA,DG!$E$6,0)</f>
        <v>15350</v>
      </c>
      <c r="I626" s="329"/>
      <c r="J626" s="329"/>
      <c r="K626" s="329">
        <f>VLOOKUP($B626,DONGIA,DG!$F$6,0)</f>
        <v>0</v>
      </c>
      <c r="L626" s="329"/>
      <c r="M626" s="329">
        <f>VLOOKUP($B626,DONGIA,DG!$G$6,0)</f>
        <v>0</v>
      </c>
      <c r="N626" s="329">
        <f t="shared" si="521"/>
        <v>0</v>
      </c>
      <c r="O626" s="329">
        <f t="shared" si="518"/>
        <v>0</v>
      </c>
      <c r="P626" s="329">
        <f t="shared" si="518"/>
        <v>0</v>
      </c>
      <c r="Q626" s="329">
        <f t="shared" si="518"/>
        <v>0</v>
      </c>
      <c r="R626" s="329">
        <f t="shared" si="518"/>
        <v>0</v>
      </c>
      <c r="S626" s="329">
        <f t="shared" si="518"/>
        <v>0</v>
      </c>
      <c r="U626" s="329">
        <f t="shared" si="522"/>
        <v>0</v>
      </c>
      <c r="V626" s="329">
        <f t="shared" si="522"/>
        <v>0</v>
      </c>
      <c r="W626" s="329">
        <f t="shared" si="522"/>
        <v>0</v>
      </c>
      <c r="X626" s="329">
        <f t="shared" si="522"/>
        <v>0</v>
      </c>
      <c r="Y626" s="329">
        <f t="shared" si="522"/>
        <v>0</v>
      </c>
      <c r="Z626" s="329">
        <f t="shared" si="522"/>
        <v>0</v>
      </c>
      <c r="AA626" s="329">
        <f t="shared" si="522"/>
        <v>0</v>
      </c>
      <c r="AB626" s="329">
        <f t="shared" si="522"/>
        <v>0</v>
      </c>
      <c r="AD626" s="332">
        <f t="shared" si="501"/>
        <v>1</v>
      </c>
      <c r="AE626" s="329">
        <f t="shared" si="502"/>
        <v>0</v>
      </c>
      <c r="AF626" s="329">
        <f t="shared" si="503"/>
        <v>0</v>
      </c>
      <c r="AG626" s="329">
        <f t="shared" si="503"/>
        <v>0</v>
      </c>
      <c r="AH626" s="329">
        <f t="shared" si="503"/>
        <v>0</v>
      </c>
      <c r="AI626" s="329">
        <f t="shared" si="504"/>
        <v>0</v>
      </c>
      <c r="AJ626" s="329">
        <f t="shared" si="504"/>
        <v>0</v>
      </c>
      <c r="AK626" s="329">
        <f t="shared" si="504"/>
        <v>0</v>
      </c>
      <c r="AL626" s="329">
        <f t="shared" si="505"/>
        <v>0</v>
      </c>
    </row>
    <row r="627" spans="1:38" s="332" customFormat="1">
      <c r="A627" s="356"/>
      <c r="B627" s="356" t="s">
        <v>475</v>
      </c>
      <c r="C627" s="355">
        <f t="shared" si="520"/>
        <v>0</v>
      </c>
      <c r="D627" s="341">
        <f>VLOOKUP(B627,DONGIA,DG!$B$6,0)</f>
        <v>0</v>
      </c>
      <c r="E627" s="340" t="str">
        <f>VLOOKUP(B627,DONGIA,DG!$C$6,0)</f>
        <v>Yếm cáp dày 2mm</v>
      </c>
      <c r="F627" s="341" t="str">
        <f>VLOOKUP(B627,DONGIA,DG!$D$6,0)</f>
        <v>cái</v>
      </c>
      <c r="G627" s="329"/>
      <c r="H627" s="329">
        <f>VLOOKUP($B627,DONGIA,DG!$E$6,0)</f>
        <v>8000</v>
      </c>
      <c r="I627" s="329"/>
      <c r="J627" s="329"/>
      <c r="K627" s="329">
        <f>VLOOKUP($B627,DONGIA,DG!$F$6,0)</f>
        <v>0</v>
      </c>
      <c r="L627" s="329"/>
      <c r="M627" s="329">
        <f>VLOOKUP($B627,DONGIA,DG!$G$6,0)</f>
        <v>0</v>
      </c>
      <c r="N627" s="329">
        <f t="shared" si="521"/>
        <v>0</v>
      </c>
      <c r="O627" s="329">
        <f t="shared" si="518"/>
        <v>0</v>
      </c>
      <c r="P627" s="329">
        <f t="shared" si="518"/>
        <v>0</v>
      </c>
      <c r="Q627" s="329">
        <f t="shared" si="518"/>
        <v>0</v>
      </c>
      <c r="R627" s="329">
        <f t="shared" si="518"/>
        <v>0</v>
      </c>
      <c r="S627" s="329">
        <f t="shared" si="518"/>
        <v>0</v>
      </c>
      <c r="U627" s="329">
        <f t="shared" si="522"/>
        <v>0</v>
      </c>
      <c r="V627" s="329">
        <f t="shared" si="522"/>
        <v>0</v>
      </c>
      <c r="W627" s="329">
        <f t="shared" si="522"/>
        <v>0</v>
      </c>
      <c r="X627" s="329">
        <f t="shared" si="522"/>
        <v>0</v>
      </c>
      <c r="Y627" s="329">
        <f t="shared" si="522"/>
        <v>0</v>
      </c>
      <c r="Z627" s="329">
        <f t="shared" si="522"/>
        <v>0</v>
      </c>
      <c r="AA627" s="329">
        <f t="shared" si="522"/>
        <v>0</v>
      </c>
      <c r="AB627" s="329">
        <f t="shared" si="522"/>
        <v>0</v>
      </c>
      <c r="AD627" s="332">
        <f t="shared" si="501"/>
        <v>0.3</v>
      </c>
      <c r="AE627" s="329">
        <f t="shared" si="502"/>
        <v>0</v>
      </c>
      <c r="AF627" s="329">
        <f t="shared" si="503"/>
        <v>0</v>
      </c>
      <c r="AG627" s="329">
        <f t="shared" si="503"/>
        <v>0</v>
      </c>
      <c r="AH627" s="329">
        <f t="shared" si="503"/>
        <v>0</v>
      </c>
      <c r="AI627" s="329">
        <f t="shared" si="504"/>
        <v>0</v>
      </c>
      <c r="AJ627" s="329">
        <f t="shared" si="504"/>
        <v>0</v>
      </c>
      <c r="AK627" s="329">
        <f t="shared" si="504"/>
        <v>0</v>
      </c>
      <c r="AL627" s="329">
        <f t="shared" si="505"/>
        <v>0</v>
      </c>
    </row>
    <row r="628" spans="1:38" s="332" customFormat="1">
      <c r="A628" s="356"/>
      <c r="B628" s="356" t="s">
        <v>373</v>
      </c>
      <c r="C628" s="355">
        <f t="shared" si="520"/>
        <v>0</v>
      </c>
      <c r="D628" s="341">
        <f>VLOOKUP(B628,DONGIA,DG!$B$6,0)</f>
        <v>0</v>
      </c>
      <c r="E628" s="340" t="str">
        <f>VLOOKUP(B628,DONGIA,DG!$C$6,0)</f>
        <v>Máng che dây chằng dày 0,8x2000mm</v>
      </c>
      <c r="F628" s="341" t="str">
        <f>VLOOKUP(B628,DONGIA,DG!$D$6,0)</f>
        <v>cái</v>
      </c>
      <c r="G628" s="329"/>
      <c r="H628" s="329">
        <f>VLOOKUP($B628,DONGIA,DG!$E$6,0)</f>
        <v>120000</v>
      </c>
      <c r="I628" s="329"/>
      <c r="J628" s="329"/>
      <c r="K628" s="329">
        <f>VLOOKUP($B628,DONGIA,DG!$F$6,0)</f>
        <v>0</v>
      </c>
      <c r="L628" s="329"/>
      <c r="M628" s="329">
        <f>VLOOKUP($B628,DONGIA,DG!$G$6,0)</f>
        <v>0</v>
      </c>
      <c r="N628" s="329">
        <f t="shared" si="521"/>
        <v>0</v>
      </c>
      <c r="O628" s="329">
        <f t="shared" si="518"/>
        <v>0</v>
      </c>
      <c r="P628" s="329">
        <f t="shared" si="518"/>
        <v>0</v>
      </c>
      <c r="Q628" s="329">
        <f t="shared" si="518"/>
        <v>0</v>
      </c>
      <c r="R628" s="329">
        <f t="shared" si="518"/>
        <v>0</v>
      </c>
      <c r="S628" s="329">
        <f t="shared" si="518"/>
        <v>0</v>
      </c>
      <c r="U628" s="329">
        <f t="shared" si="522"/>
        <v>0</v>
      </c>
      <c r="V628" s="329">
        <f t="shared" si="522"/>
        <v>0</v>
      </c>
      <c r="W628" s="329">
        <f t="shared" si="522"/>
        <v>0</v>
      </c>
      <c r="X628" s="329">
        <f t="shared" si="522"/>
        <v>0</v>
      </c>
      <c r="Y628" s="329">
        <f t="shared" si="522"/>
        <v>0</v>
      </c>
      <c r="Z628" s="329">
        <f t="shared" si="522"/>
        <v>0</v>
      </c>
      <c r="AA628" s="329">
        <f t="shared" si="522"/>
        <v>0</v>
      </c>
      <c r="AB628" s="329">
        <f t="shared" si="522"/>
        <v>0</v>
      </c>
      <c r="AD628" s="332">
        <f t="shared" si="501"/>
        <v>0.4</v>
      </c>
      <c r="AE628" s="329">
        <f t="shared" si="502"/>
        <v>0</v>
      </c>
      <c r="AF628" s="329">
        <f t="shared" si="503"/>
        <v>0</v>
      </c>
      <c r="AG628" s="329">
        <f t="shared" si="503"/>
        <v>0</v>
      </c>
      <c r="AH628" s="329">
        <f t="shared" si="503"/>
        <v>0</v>
      </c>
      <c r="AI628" s="329">
        <f t="shared" si="504"/>
        <v>0</v>
      </c>
      <c r="AJ628" s="329">
        <f t="shared" si="504"/>
        <v>0</v>
      </c>
      <c r="AK628" s="329">
        <f t="shared" si="504"/>
        <v>0</v>
      </c>
      <c r="AL628" s="329">
        <f t="shared" si="505"/>
        <v>0</v>
      </c>
    </row>
    <row r="629" spans="1:38" s="332" customFormat="1">
      <c r="A629" s="356"/>
      <c r="B629" s="356" t="s">
        <v>690</v>
      </c>
      <c r="C629" s="355">
        <f t="shared" si="520"/>
        <v>0</v>
      </c>
      <c r="D629" s="341" t="str">
        <f>VLOOKUP(B629,DONGIA,DG!$B$6,0)</f>
        <v>D3.3251</v>
      </c>
      <c r="E629" s="340" t="str">
        <f>VLOOKUP(B629,DONGIA,DG!$C$6,0)</f>
        <v>Lắp bộ dây néo</v>
      </c>
      <c r="F629" s="341" t="str">
        <f>VLOOKUP(B629,DONGIA,DG!$D$6,0)</f>
        <v>bộ</v>
      </c>
      <c r="G629" s="329"/>
      <c r="H629" s="329"/>
      <c r="I629" s="329"/>
      <c r="J629" s="329"/>
      <c r="K629" s="329">
        <f>VLOOKUP($B629,DONGIA,DG!$F$6,0)</f>
        <v>106623</v>
      </c>
      <c r="L629" s="329"/>
      <c r="M629" s="329">
        <f>VLOOKUP($B629,DONGIA,DG!$G$6,0)</f>
        <v>0</v>
      </c>
      <c r="N629" s="329">
        <f t="shared" si="521"/>
        <v>0</v>
      </c>
      <c r="O629" s="329">
        <f t="shared" si="518"/>
        <v>0</v>
      </c>
      <c r="P629" s="329">
        <f t="shared" si="518"/>
        <v>0</v>
      </c>
      <c r="Q629" s="329">
        <f t="shared" si="518"/>
        <v>0</v>
      </c>
      <c r="R629" s="329">
        <f t="shared" si="518"/>
        <v>0</v>
      </c>
      <c r="S629" s="329">
        <f t="shared" si="518"/>
        <v>0</v>
      </c>
      <c r="U629" s="329">
        <f t="shared" si="522"/>
        <v>0</v>
      </c>
      <c r="V629" s="329">
        <f t="shared" si="522"/>
        <v>0</v>
      </c>
      <c r="W629" s="329">
        <f t="shared" si="522"/>
        <v>0</v>
      </c>
      <c r="X629" s="329">
        <f t="shared" si="522"/>
        <v>0</v>
      </c>
      <c r="Y629" s="329">
        <f t="shared" si="522"/>
        <v>0</v>
      </c>
      <c r="Z629" s="329">
        <f t="shared" si="522"/>
        <v>0</v>
      </c>
      <c r="AA629" s="329">
        <f t="shared" si="522"/>
        <v>0</v>
      </c>
      <c r="AB629" s="329">
        <f t="shared" si="522"/>
        <v>0</v>
      </c>
      <c r="AD629" s="332">
        <f t="shared" si="501"/>
        <v>0</v>
      </c>
      <c r="AE629" s="329">
        <f t="shared" si="502"/>
        <v>0</v>
      </c>
      <c r="AF629" s="329">
        <f t="shared" si="503"/>
        <v>0</v>
      </c>
      <c r="AG629" s="329">
        <f t="shared" si="503"/>
        <v>0</v>
      </c>
      <c r="AH629" s="329">
        <f t="shared" si="503"/>
        <v>0</v>
      </c>
      <c r="AI629" s="329">
        <f t="shared" si="504"/>
        <v>0</v>
      </c>
      <c r="AJ629" s="329">
        <f t="shared" si="504"/>
        <v>0</v>
      </c>
      <c r="AK629" s="329">
        <f t="shared" si="504"/>
        <v>0</v>
      </c>
      <c r="AL629" s="329">
        <f t="shared" si="505"/>
        <v>0</v>
      </c>
    </row>
    <row r="630" spans="1:38" s="332" customFormat="1">
      <c r="A630" s="356" t="s">
        <v>1476</v>
      </c>
      <c r="B630" s="356"/>
      <c r="C630" s="355">
        <f>IF(G630&lt;&gt;0,1,)</f>
        <v>0</v>
      </c>
      <c r="D630" s="357"/>
      <c r="E630" s="358" t="s">
        <v>2709</v>
      </c>
      <c r="F630" s="357" t="s">
        <v>138</v>
      </c>
      <c r="G630" s="357">
        <f>U630</f>
        <v>0</v>
      </c>
      <c r="H630" s="358"/>
      <c r="I630" s="358"/>
      <c r="J630" s="358"/>
      <c r="K630" s="358"/>
      <c r="L630" s="358"/>
      <c r="M630" s="358"/>
      <c r="N630" s="358">
        <f t="shared" ref="N630:S630" si="523">SUM(N632:N640)</f>
        <v>0</v>
      </c>
      <c r="O630" s="358">
        <f t="shared" si="523"/>
        <v>0</v>
      </c>
      <c r="P630" s="358">
        <f t="shared" si="523"/>
        <v>0</v>
      </c>
      <c r="Q630" s="358">
        <f t="shared" si="523"/>
        <v>0</v>
      </c>
      <c r="R630" s="358">
        <f t="shared" si="523"/>
        <v>0</v>
      </c>
      <c r="S630" s="358">
        <f t="shared" si="523"/>
        <v>0</v>
      </c>
      <c r="U630" s="358">
        <f>SUM(V630:AB630)</f>
        <v>0</v>
      </c>
      <c r="V630" s="358">
        <f>IFERROR(HLOOKUP($A630,BK3P,V$3,0),)</f>
        <v>0</v>
      </c>
      <c r="W630" s="358">
        <f>IFERROR(HLOOKUP($A630,BK3P,W$3,0),)</f>
        <v>0</v>
      </c>
      <c r="X630" s="358">
        <f>IFERROR(HLOOKUP($A630,BK3P,X$3,0),)</f>
        <v>0</v>
      </c>
      <c r="Y630" s="358">
        <f>IFERROR(HLOOKUP($A630,BK1P,Y$3,0),)</f>
        <v>0</v>
      </c>
      <c r="Z630" s="358">
        <f>IFERROR(HLOOKUP($A630,BK1P,Z$3,0),)</f>
        <v>0</v>
      </c>
      <c r="AA630" s="358">
        <f>IFERROR(HLOOKUP($A630,BK1P,AA$3,0),)</f>
        <v>0</v>
      </c>
      <c r="AB630" s="358">
        <f>IFERROR(HLOOKUP($A630,BKHT,AB$3,0),)</f>
        <v>0</v>
      </c>
      <c r="AD630" s="332">
        <f t="shared" si="501"/>
        <v>0</v>
      </c>
      <c r="AE630" s="329">
        <f t="shared" si="502"/>
        <v>0</v>
      </c>
      <c r="AF630" s="329">
        <f t="shared" si="503"/>
        <v>0</v>
      </c>
      <c r="AG630" s="329">
        <f t="shared" si="503"/>
        <v>0</v>
      </c>
      <c r="AH630" s="329">
        <f t="shared" si="503"/>
        <v>0</v>
      </c>
      <c r="AI630" s="329">
        <f t="shared" si="504"/>
        <v>0</v>
      </c>
      <c r="AJ630" s="329">
        <f t="shared" si="504"/>
        <v>0</v>
      </c>
      <c r="AK630" s="329">
        <f t="shared" si="504"/>
        <v>0</v>
      </c>
      <c r="AL630" s="329">
        <f t="shared" si="505"/>
        <v>0</v>
      </c>
    </row>
    <row r="631" spans="1:38" s="361" customFormat="1">
      <c r="A631" s="359"/>
      <c r="B631" s="359"/>
      <c r="C631" s="360">
        <f>C630</f>
        <v>0</v>
      </c>
      <c r="D631" s="350"/>
      <c r="E631" s="351" t="s">
        <v>1659</v>
      </c>
      <c r="F631" s="350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U631" s="351"/>
      <c r="V631" s="351"/>
      <c r="W631" s="351"/>
      <c r="X631" s="351"/>
      <c r="Y631" s="351"/>
      <c r="Z631" s="351"/>
      <c r="AA631" s="351"/>
      <c r="AB631" s="351"/>
      <c r="AD631" s="332">
        <f t="shared" si="501"/>
        <v>0</v>
      </c>
      <c r="AE631" s="329">
        <f t="shared" si="502"/>
        <v>0</v>
      </c>
      <c r="AF631" s="329">
        <f t="shared" si="503"/>
        <v>0</v>
      </c>
      <c r="AG631" s="329">
        <f t="shared" si="503"/>
        <v>0</v>
      </c>
      <c r="AH631" s="329">
        <f t="shared" si="503"/>
        <v>0</v>
      </c>
      <c r="AI631" s="329">
        <f t="shared" si="504"/>
        <v>0</v>
      </c>
      <c r="AJ631" s="329">
        <f t="shared" si="504"/>
        <v>0</v>
      </c>
      <c r="AK631" s="329">
        <f t="shared" si="504"/>
        <v>0</v>
      </c>
      <c r="AL631" s="329">
        <f t="shared" si="505"/>
        <v>0</v>
      </c>
    </row>
    <row r="632" spans="1:38" s="332" customFormat="1">
      <c r="A632" s="356"/>
      <c r="B632" s="356" t="s">
        <v>109</v>
      </c>
      <c r="C632" s="355">
        <f>IF(G632&lt;&gt;0,$C$630,)</f>
        <v>0</v>
      </c>
      <c r="D632" s="341">
        <f>VLOOKUP(B632,DONGIA,DG!$B$6,0)</f>
        <v>0</v>
      </c>
      <c r="E632" s="340" t="str">
        <f>VLOOKUP(B632,DONGIA,DG!$C$6,0)</f>
        <v>Boulon mắt 16x250+ long đền vuông D18-50x50x3/Zn</v>
      </c>
      <c r="F632" s="341" t="str">
        <f>VLOOKUP(B632,DONGIA,DG!$D$6,0)</f>
        <v>bộ</v>
      </c>
      <c r="G632" s="329"/>
      <c r="H632" s="329">
        <f>VLOOKUP($B632,DONGIA,DG!$E$6,0)</f>
        <v>29000</v>
      </c>
      <c r="I632" s="329"/>
      <c r="J632" s="329"/>
      <c r="K632" s="329">
        <f>VLOOKUP($B632,DONGIA,DG!$F$6,0)</f>
        <v>0</v>
      </c>
      <c r="L632" s="329"/>
      <c r="M632" s="329">
        <f>VLOOKUP($B632,DONGIA,DG!$G$6,0)</f>
        <v>0</v>
      </c>
      <c r="N632" s="329">
        <f>$G632*H632</f>
        <v>0</v>
      </c>
      <c r="O632" s="329">
        <f t="shared" ref="O632:S640" si="524">$G632*I632</f>
        <v>0</v>
      </c>
      <c r="P632" s="329">
        <f t="shared" si="524"/>
        <v>0</v>
      </c>
      <c r="Q632" s="329">
        <f t="shared" si="524"/>
        <v>0</v>
      </c>
      <c r="R632" s="329">
        <f t="shared" si="524"/>
        <v>0</v>
      </c>
      <c r="S632" s="329">
        <f t="shared" si="524"/>
        <v>0</v>
      </c>
      <c r="U632" s="329">
        <f>U$630*$G632</f>
        <v>0</v>
      </c>
      <c r="V632" s="329">
        <f t="shared" ref="V632:AB632" si="525">V$630*$G632</f>
        <v>0</v>
      </c>
      <c r="W632" s="329">
        <f t="shared" si="525"/>
        <v>0</v>
      </c>
      <c r="X632" s="329">
        <f t="shared" si="525"/>
        <v>0</v>
      </c>
      <c r="Y632" s="329">
        <f t="shared" si="525"/>
        <v>0</v>
      </c>
      <c r="Z632" s="329">
        <f t="shared" si="525"/>
        <v>0</v>
      </c>
      <c r="AA632" s="329">
        <f t="shared" si="525"/>
        <v>0</v>
      </c>
      <c r="AB632" s="329">
        <f t="shared" si="525"/>
        <v>0</v>
      </c>
      <c r="AD632" s="332">
        <f t="shared" si="501"/>
        <v>0.3</v>
      </c>
      <c r="AE632" s="329">
        <f t="shared" si="502"/>
        <v>0</v>
      </c>
      <c r="AF632" s="329">
        <f t="shared" si="503"/>
        <v>0</v>
      </c>
      <c r="AG632" s="329">
        <f t="shared" si="503"/>
        <v>0</v>
      </c>
      <c r="AH632" s="329">
        <f t="shared" si="503"/>
        <v>0</v>
      </c>
      <c r="AI632" s="329">
        <f t="shared" si="504"/>
        <v>0</v>
      </c>
      <c r="AJ632" s="329">
        <f t="shared" si="504"/>
        <v>0</v>
      </c>
      <c r="AK632" s="329">
        <f t="shared" si="504"/>
        <v>0</v>
      </c>
      <c r="AL632" s="329">
        <f t="shared" si="505"/>
        <v>0</v>
      </c>
    </row>
    <row r="633" spans="1:38" s="332" customFormat="1">
      <c r="A633" s="356"/>
      <c r="B633" s="356" t="s">
        <v>408</v>
      </c>
      <c r="C633" s="355">
        <f t="shared" ref="C633:C640" si="526">IF(G633&lt;&gt;0,$C$630,)</f>
        <v>0</v>
      </c>
      <c r="D633" s="341">
        <f>VLOOKUP(B633,DONGIA,DG!$B$6,0)</f>
        <v>0</v>
      </c>
      <c r="E633" s="340" t="str">
        <f>VLOOKUP(B633,DONGIA,DG!$C$6,0)</f>
        <v>Sứ chằng lớn</v>
      </c>
      <c r="F633" s="341" t="str">
        <f>VLOOKUP(B633,DONGIA,DG!$D$6,0)</f>
        <v>cái</v>
      </c>
      <c r="G633" s="329"/>
      <c r="H633" s="329">
        <f>VLOOKUP($B633,DONGIA,DG!$E$6,0)</f>
        <v>66000</v>
      </c>
      <c r="I633" s="329"/>
      <c r="J633" s="329"/>
      <c r="K633" s="329">
        <f>VLOOKUP($B633,DONGIA,DG!$F$6,0)</f>
        <v>0</v>
      </c>
      <c r="L633" s="329"/>
      <c r="M633" s="329">
        <f>VLOOKUP($B633,DONGIA,DG!$G$6,0)</f>
        <v>0</v>
      </c>
      <c r="N633" s="329">
        <f t="shared" ref="N633:N640" si="527">$G633*H633</f>
        <v>0</v>
      </c>
      <c r="O633" s="329">
        <f t="shared" si="524"/>
        <v>0</v>
      </c>
      <c r="P633" s="329">
        <f t="shared" si="524"/>
        <v>0</v>
      </c>
      <c r="Q633" s="329">
        <f t="shared" si="524"/>
        <v>0</v>
      </c>
      <c r="R633" s="329">
        <f t="shared" si="524"/>
        <v>0</v>
      </c>
      <c r="S633" s="329">
        <f t="shared" si="524"/>
        <v>0</v>
      </c>
      <c r="U633" s="329">
        <f t="shared" ref="U633:AB640" si="528">U$630*$G633</f>
        <v>0</v>
      </c>
      <c r="V633" s="329">
        <f t="shared" si="528"/>
        <v>0</v>
      </c>
      <c r="W633" s="329">
        <f t="shared" si="528"/>
        <v>0</v>
      </c>
      <c r="X633" s="329">
        <f t="shared" si="528"/>
        <v>0</v>
      </c>
      <c r="Y633" s="329">
        <f t="shared" si="528"/>
        <v>0</v>
      </c>
      <c r="Z633" s="329">
        <f t="shared" si="528"/>
        <v>0</v>
      </c>
      <c r="AA633" s="329">
        <f t="shared" si="528"/>
        <v>0</v>
      </c>
      <c r="AB633" s="329">
        <f t="shared" si="528"/>
        <v>0</v>
      </c>
      <c r="AD633" s="332">
        <f t="shared" si="501"/>
        <v>1.5</v>
      </c>
      <c r="AE633" s="329">
        <f t="shared" si="502"/>
        <v>0</v>
      </c>
      <c r="AF633" s="329">
        <f t="shared" si="503"/>
        <v>0</v>
      </c>
      <c r="AG633" s="329">
        <f t="shared" si="503"/>
        <v>0</v>
      </c>
      <c r="AH633" s="329">
        <f t="shared" si="503"/>
        <v>0</v>
      </c>
      <c r="AI633" s="329">
        <f t="shared" si="504"/>
        <v>0</v>
      </c>
      <c r="AJ633" s="329">
        <f t="shared" si="504"/>
        <v>0</v>
      </c>
      <c r="AK633" s="329">
        <f t="shared" si="504"/>
        <v>0</v>
      </c>
      <c r="AL633" s="329">
        <f t="shared" si="505"/>
        <v>0</v>
      </c>
    </row>
    <row r="634" spans="1:38" s="332" customFormat="1">
      <c r="A634" s="356"/>
      <c r="B634" s="356" t="s">
        <v>277</v>
      </c>
      <c r="C634" s="355">
        <f t="shared" si="526"/>
        <v>0</v>
      </c>
      <c r="D634" s="341">
        <f>VLOOKUP(B634,DONGIA,DG!$B$6,0)</f>
        <v>0</v>
      </c>
      <c r="E634" s="340" t="str">
        <f>VLOOKUP(B634,DONGIA,DG!$C$6,0)</f>
        <v>Kẹp cáp 3 boulon B46x136</v>
      </c>
      <c r="F634" s="341" t="str">
        <f>VLOOKUP(B634,DONGIA,DG!$D$6,0)</f>
        <v>cái</v>
      </c>
      <c r="G634" s="329"/>
      <c r="H634" s="329">
        <f>VLOOKUP($B634,DONGIA,DG!$E$6,0)</f>
        <v>48000</v>
      </c>
      <c r="I634" s="329"/>
      <c r="J634" s="329"/>
      <c r="K634" s="329">
        <f>VLOOKUP($B634,DONGIA,DG!$F$6,0)</f>
        <v>0</v>
      </c>
      <c r="L634" s="329"/>
      <c r="M634" s="329">
        <f>VLOOKUP($B634,DONGIA,DG!$G$6,0)</f>
        <v>0</v>
      </c>
      <c r="N634" s="329">
        <f t="shared" si="527"/>
        <v>0</v>
      </c>
      <c r="O634" s="329">
        <f t="shared" si="524"/>
        <v>0</v>
      </c>
      <c r="P634" s="329">
        <f t="shared" si="524"/>
        <v>0</v>
      </c>
      <c r="Q634" s="329">
        <f t="shared" si="524"/>
        <v>0</v>
      </c>
      <c r="R634" s="329">
        <f t="shared" si="524"/>
        <v>0</v>
      </c>
      <c r="S634" s="329">
        <f t="shared" si="524"/>
        <v>0</v>
      </c>
      <c r="U634" s="329">
        <f t="shared" si="528"/>
        <v>0</v>
      </c>
      <c r="V634" s="329">
        <f t="shared" si="528"/>
        <v>0</v>
      </c>
      <c r="W634" s="329">
        <f t="shared" si="528"/>
        <v>0</v>
      </c>
      <c r="X634" s="329">
        <f t="shared" si="528"/>
        <v>0</v>
      </c>
      <c r="Y634" s="329">
        <f t="shared" si="528"/>
        <v>0</v>
      </c>
      <c r="Z634" s="329">
        <f t="shared" si="528"/>
        <v>0</v>
      </c>
      <c r="AA634" s="329">
        <f t="shared" si="528"/>
        <v>0</v>
      </c>
      <c r="AB634" s="329">
        <f t="shared" si="528"/>
        <v>0</v>
      </c>
      <c r="AD634" s="332">
        <f t="shared" si="501"/>
        <v>0.2</v>
      </c>
      <c r="AE634" s="329">
        <f t="shared" si="502"/>
        <v>0</v>
      </c>
      <c r="AF634" s="329">
        <f t="shared" si="503"/>
        <v>0</v>
      </c>
      <c r="AG634" s="329">
        <f t="shared" si="503"/>
        <v>0</v>
      </c>
      <c r="AH634" s="329">
        <f t="shared" si="503"/>
        <v>0</v>
      </c>
      <c r="AI634" s="329">
        <f t="shared" si="504"/>
        <v>0</v>
      </c>
      <c r="AJ634" s="329">
        <f t="shared" si="504"/>
        <v>0</v>
      </c>
      <c r="AK634" s="329">
        <f t="shared" si="504"/>
        <v>0</v>
      </c>
      <c r="AL634" s="329">
        <f t="shared" si="505"/>
        <v>0</v>
      </c>
    </row>
    <row r="635" spans="1:38" s="332" customFormat="1">
      <c r="A635" s="356"/>
      <c r="B635" s="356" t="s">
        <v>268</v>
      </c>
      <c r="C635" s="355">
        <f t="shared" si="526"/>
        <v>0</v>
      </c>
      <c r="D635" s="341">
        <f>VLOOKUP(B635,DONGIA,DG!$B$6,0)</f>
        <v>0</v>
      </c>
      <c r="E635" s="340" t="str">
        <f>VLOOKUP(B635,DONGIA,DG!$C$6,0)</f>
        <v>Cáp thép 5/8"</v>
      </c>
      <c r="F635" s="341" t="str">
        <f>VLOOKUP(B635,DONGIA,DG!$D$6,0)</f>
        <v>mét</v>
      </c>
      <c r="G635" s="53"/>
      <c r="H635" s="329">
        <f>VLOOKUP($B635,DONGIA,DG!$E$6,0)</f>
        <v>15350</v>
      </c>
      <c r="I635" s="329"/>
      <c r="J635" s="329"/>
      <c r="K635" s="329">
        <f>VLOOKUP($B635,DONGIA,DG!$F$6,0)</f>
        <v>0</v>
      </c>
      <c r="L635" s="329"/>
      <c r="M635" s="329">
        <f>VLOOKUP($B635,DONGIA,DG!$G$6,0)</f>
        <v>0</v>
      </c>
      <c r="N635" s="329">
        <f t="shared" si="527"/>
        <v>0</v>
      </c>
      <c r="O635" s="329">
        <f t="shared" si="524"/>
        <v>0</v>
      </c>
      <c r="P635" s="329">
        <f t="shared" si="524"/>
        <v>0</v>
      </c>
      <c r="Q635" s="329">
        <f t="shared" si="524"/>
        <v>0</v>
      </c>
      <c r="R635" s="329">
        <f t="shared" si="524"/>
        <v>0</v>
      </c>
      <c r="S635" s="329">
        <f t="shared" si="524"/>
        <v>0</v>
      </c>
      <c r="U635" s="329">
        <f t="shared" si="528"/>
        <v>0</v>
      </c>
      <c r="V635" s="329">
        <f t="shared" si="528"/>
        <v>0</v>
      </c>
      <c r="W635" s="329">
        <f t="shared" si="528"/>
        <v>0</v>
      </c>
      <c r="X635" s="329">
        <f t="shared" si="528"/>
        <v>0</v>
      </c>
      <c r="Y635" s="329">
        <f t="shared" si="528"/>
        <v>0</v>
      </c>
      <c r="Z635" s="329">
        <f t="shared" si="528"/>
        <v>0</v>
      </c>
      <c r="AA635" s="329">
        <f t="shared" si="528"/>
        <v>0</v>
      </c>
      <c r="AB635" s="329">
        <f t="shared" si="528"/>
        <v>0</v>
      </c>
      <c r="AD635" s="332">
        <f t="shared" si="501"/>
        <v>1</v>
      </c>
      <c r="AE635" s="329">
        <f t="shared" si="502"/>
        <v>0</v>
      </c>
      <c r="AF635" s="329">
        <f t="shared" si="503"/>
        <v>0</v>
      </c>
      <c r="AG635" s="329">
        <f t="shared" si="503"/>
        <v>0</v>
      </c>
      <c r="AH635" s="329">
        <f t="shared" si="503"/>
        <v>0</v>
      </c>
      <c r="AI635" s="329">
        <f t="shared" si="504"/>
        <v>0</v>
      </c>
      <c r="AJ635" s="329">
        <f t="shared" si="504"/>
        <v>0</v>
      </c>
      <c r="AK635" s="329">
        <f t="shared" si="504"/>
        <v>0</v>
      </c>
      <c r="AL635" s="329">
        <f t="shared" si="505"/>
        <v>0</v>
      </c>
    </row>
    <row r="636" spans="1:38" s="332" customFormat="1">
      <c r="A636" s="356"/>
      <c r="B636" s="356" t="s">
        <v>440</v>
      </c>
      <c r="C636" s="355">
        <f t="shared" si="526"/>
        <v>0</v>
      </c>
      <c r="D636" s="341" t="str">
        <f>VLOOKUP(B636,DONGIA,DG!$B$6,0)</f>
        <v>D2.6011</v>
      </c>
      <c r="E636" s="340" t="str">
        <f>VLOOKUP(B636,DONGIA,DG!$C$6,0)</f>
        <v>Bộ chống chằng hẹp φ60/50x1500+2BL12x40+BL16x250/80</v>
      </c>
      <c r="F636" s="341" t="str">
        <f>VLOOKUP(B636,DONGIA,DG!$D$6,0)</f>
        <v>bộ</v>
      </c>
      <c r="G636" s="329"/>
      <c r="H636" s="329">
        <f>VLOOKUP($B636,DONGIA,DG!$E$6,0)</f>
        <v>365000</v>
      </c>
      <c r="I636" s="329"/>
      <c r="J636" s="329"/>
      <c r="K636" s="329">
        <f>VLOOKUP($B636,DONGIA,DG!$F$6,0)</f>
        <v>167950</v>
      </c>
      <c r="L636" s="329"/>
      <c r="M636" s="329">
        <f>VLOOKUP($B636,DONGIA,DG!$G$6,0)</f>
        <v>0</v>
      </c>
      <c r="N636" s="329">
        <f t="shared" si="527"/>
        <v>0</v>
      </c>
      <c r="O636" s="329">
        <f t="shared" si="524"/>
        <v>0</v>
      </c>
      <c r="P636" s="329">
        <f t="shared" si="524"/>
        <v>0</v>
      </c>
      <c r="Q636" s="329">
        <f t="shared" si="524"/>
        <v>0</v>
      </c>
      <c r="R636" s="329">
        <f t="shared" si="524"/>
        <v>0</v>
      </c>
      <c r="S636" s="329">
        <f t="shared" si="524"/>
        <v>0</v>
      </c>
      <c r="U636" s="329">
        <f t="shared" si="528"/>
        <v>0</v>
      </c>
      <c r="V636" s="329">
        <f t="shared" si="528"/>
        <v>0</v>
      </c>
      <c r="W636" s="329">
        <f t="shared" si="528"/>
        <v>0</v>
      </c>
      <c r="X636" s="329">
        <f t="shared" si="528"/>
        <v>0</v>
      </c>
      <c r="Y636" s="329">
        <f t="shared" si="528"/>
        <v>0</v>
      </c>
      <c r="Z636" s="329">
        <f t="shared" si="528"/>
        <v>0</v>
      </c>
      <c r="AA636" s="329">
        <f t="shared" si="528"/>
        <v>0</v>
      </c>
      <c r="AB636" s="329">
        <f t="shared" si="528"/>
        <v>0</v>
      </c>
      <c r="AD636" s="332">
        <f t="shared" si="501"/>
        <v>7.5</v>
      </c>
      <c r="AE636" s="329">
        <f t="shared" si="502"/>
        <v>0</v>
      </c>
      <c r="AF636" s="329">
        <f t="shared" si="503"/>
        <v>0</v>
      </c>
      <c r="AG636" s="329">
        <f t="shared" si="503"/>
        <v>0</v>
      </c>
      <c r="AH636" s="329">
        <f t="shared" si="503"/>
        <v>0</v>
      </c>
      <c r="AI636" s="329">
        <f t="shared" si="504"/>
        <v>0</v>
      </c>
      <c r="AJ636" s="329">
        <f t="shared" si="504"/>
        <v>0</v>
      </c>
      <c r="AK636" s="329">
        <f t="shared" si="504"/>
        <v>0</v>
      </c>
      <c r="AL636" s="329">
        <f t="shared" si="505"/>
        <v>0</v>
      </c>
    </row>
    <row r="637" spans="1:38" s="332" customFormat="1">
      <c r="A637" s="356"/>
      <c r="B637" s="356" t="s">
        <v>475</v>
      </c>
      <c r="C637" s="355">
        <f t="shared" si="526"/>
        <v>0</v>
      </c>
      <c r="D637" s="341">
        <f>VLOOKUP(B637,DONGIA,DG!$B$6,0)</f>
        <v>0</v>
      </c>
      <c r="E637" s="340" t="str">
        <f>VLOOKUP(B637,DONGIA,DG!$C$6,0)</f>
        <v>Yếm cáp dày 2mm</v>
      </c>
      <c r="F637" s="341" t="str">
        <f>VLOOKUP(B637,DONGIA,DG!$D$6,0)</f>
        <v>cái</v>
      </c>
      <c r="G637" s="329"/>
      <c r="H637" s="329">
        <f>VLOOKUP($B637,DONGIA,DG!$E$6,0)</f>
        <v>8000</v>
      </c>
      <c r="I637" s="329"/>
      <c r="J637" s="329"/>
      <c r="K637" s="329">
        <f>VLOOKUP($B637,DONGIA,DG!$F$6,0)</f>
        <v>0</v>
      </c>
      <c r="L637" s="329"/>
      <c r="M637" s="329">
        <f>VLOOKUP($B637,DONGIA,DG!$G$6,0)</f>
        <v>0</v>
      </c>
      <c r="N637" s="329">
        <f t="shared" si="527"/>
        <v>0</v>
      </c>
      <c r="O637" s="329">
        <f t="shared" si="524"/>
        <v>0</v>
      </c>
      <c r="P637" s="329">
        <f t="shared" si="524"/>
        <v>0</v>
      </c>
      <c r="Q637" s="329">
        <f t="shared" si="524"/>
        <v>0</v>
      </c>
      <c r="R637" s="329">
        <f t="shared" si="524"/>
        <v>0</v>
      </c>
      <c r="S637" s="329">
        <f t="shared" si="524"/>
        <v>0</v>
      </c>
      <c r="U637" s="329">
        <f t="shared" si="528"/>
        <v>0</v>
      </c>
      <c r="V637" s="329">
        <f t="shared" si="528"/>
        <v>0</v>
      </c>
      <c r="W637" s="329">
        <f t="shared" si="528"/>
        <v>0</v>
      </c>
      <c r="X637" s="329">
        <f t="shared" si="528"/>
        <v>0</v>
      </c>
      <c r="Y637" s="329">
        <f t="shared" si="528"/>
        <v>0</v>
      </c>
      <c r="Z637" s="329">
        <f t="shared" si="528"/>
        <v>0</v>
      </c>
      <c r="AA637" s="329">
        <f t="shared" si="528"/>
        <v>0</v>
      </c>
      <c r="AB637" s="329">
        <f t="shared" si="528"/>
        <v>0</v>
      </c>
      <c r="AD637" s="332">
        <f t="shared" si="501"/>
        <v>0.3</v>
      </c>
      <c r="AE637" s="329">
        <f t="shared" si="502"/>
        <v>0</v>
      </c>
      <c r="AF637" s="329">
        <f t="shared" si="503"/>
        <v>0</v>
      </c>
      <c r="AG637" s="329">
        <f t="shared" si="503"/>
        <v>0</v>
      </c>
      <c r="AH637" s="329">
        <f t="shared" si="503"/>
        <v>0</v>
      </c>
      <c r="AI637" s="329">
        <f t="shared" si="504"/>
        <v>0</v>
      </c>
      <c r="AJ637" s="329">
        <f t="shared" si="504"/>
        <v>0</v>
      </c>
      <c r="AK637" s="329">
        <f t="shared" si="504"/>
        <v>0</v>
      </c>
      <c r="AL637" s="329">
        <f t="shared" si="505"/>
        <v>0</v>
      </c>
    </row>
    <row r="638" spans="1:38" s="332" customFormat="1">
      <c r="A638" s="356"/>
      <c r="B638" s="356" t="s">
        <v>373</v>
      </c>
      <c r="C638" s="355">
        <f t="shared" si="526"/>
        <v>0</v>
      </c>
      <c r="D638" s="341">
        <f>VLOOKUP(B638,DONGIA,DG!$B$6,0)</f>
        <v>0</v>
      </c>
      <c r="E638" s="340" t="str">
        <f>VLOOKUP(B638,DONGIA,DG!$C$6,0)</f>
        <v>Máng che dây chằng dày 0,8x2000mm</v>
      </c>
      <c r="F638" s="341" t="str">
        <f>VLOOKUP(B638,DONGIA,DG!$D$6,0)</f>
        <v>cái</v>
      </c>
      <c r="G638" s="329"/>
      <c r="H638" s="329">
        <f>VLOOKUP($B638,DONGIA,DG!$E$6,0)</f>
        <v>120000</v>
      </c>
      <c r="I638" s="329"/>
      <c r="J638" s="329"/>
      <c r="K638" s="329">
        <f>VLOOKUP($B638,DONGIA,DG!$F$6,0)</f>
        <v>0</v>
      </c>
      <c r="L638" s="329"/>
      <c r="M638" s="329">
        <f>VLOOKUP($B638,DONGIA,DG!$G$6,0)</f>
        <v>0</v>
      </c>
      <c r="N638" s="329">
        <f t="shared" si="527"/>
        <v>0</v>
      </c>
      <c r="O638" s="329">
        <f t="shared" si="524"/>
        <v>0</v>
      </c>
      <c r="P638" s="329">
        <f t="shared" si="524"/>
        <v>0</v>
      </c>
      <c r="Q638" s="329">
        <f t="shared" si="524"/>
        <v>0</v>
      </c>
      <c r="R638" s="329">
        <f t="shared" si="524"/>
        <v>0</v>
      </c>
      <c r="S638" s="329">
        <f t="shared" si="524"/>
        <v>0</v>
      </c>
      <c r="U638" s="329">
        <f t="shared" si="528"/>
        <v>0</v>
      </c>
      <c r="V638" s="329">
        <f t="shared" si="528"/>
        <v>0</v>
      </c>
      <c r="W638" s="329">
        <f t="shared" si="528"/>
        <v>0</v>
      </c>
      <c r="X638" s="329">
        <f t="shared" si="528"/>
        <v>0</v>
      </c>
      <c r="Y638" s="329">
        <f t="shared" si="528"/>
        <v>0</v>
      </c>
      <c r="Z638" s="329">
        <f t="shared" si="528"/>
        <v>0</v>
      </c>
      <c r="AA638" s="329">
        <f t="shared" si="528"/>
        <v>0</v>
      </c>
      <c r="AB638" s="329">
        <f t="shared" si="528"/>
        <v>0</v>
      </c>
      <c r="AD638" s="332">
        <f t="shared" si="501"/>
        <v>0.4</v>
      </c>
      <c r="AE638" s="329">
        <f t="shared" si="502"/>
        <v>0</v>
      </c>
      <c r="AF638" s="329">
        <f t="shared" si="503"/>
        <v>0</v>
      </c>
      <c r="AG638" s="329">
        <f t="shared" si="503"/>
        <v>0</v>
      </c>
      <c r="AH638" s="329">
        <f t="shared" si="503"/>
        <v>0</v>
      </c>
      <c r="AI638" s="329">
        <f t="shared" si="504"/>
        <v>0</v>
      </c>
      <c r="AJ638" s="329">
        <f t="shared" si="504"/>
        <v>0</v>
      </c>
      <c r="AK638" s="329">
        <f t="shared" si="504"/>
        <v>0</v>
      </c>
      <c r="AL638" s="329">
        <f t="shared" si="505"/>
        <v>0</v>
      </c>
    </row>
    <row r="639" spans="1:38" s="332" customFormat="1">
      <c r="A639" s="356"/>
      <c r="B639" s="356" t="s">
        <v>690</v>
      </c>
      <c r="C639" s="355">
        <f t="shared" si="526"/>
        <v>0</v>
      </c>
      <c r="D639" s="341" t="str">
        <f>VLOOKUP(B639,DONGIA,DG!$B$6,0)</f>
        <v>D3.3251</v>
      </c>
      <c r="E639" s="340" t="str">
        <f>VLOOKUP(B639,DONGIA,DG!$C$6,0)</f>
        <v>Lắp bộ dây néo</v>
      </c>
      <c r="F639" s="341" t="str">
        <f>VLOOKUP(B639,DONGIA,DG!$D$6,0)</f>
        <v>bộ</v>
      </c>
      <c r="G639" s="329"/>
      <c r="H639" s="329"/>
      <c r="I639" s="329"/>
      <c r="J639" s="329"/>
      <c r="K639" s="329">
        <f>VLOOKUP($B639,DONGIA,DG!$F$6,0)</f>
        <v>106623</v>
      </c>
      <c r="L639" s="329"/>
      <c r="M639" s="329">
        <f>VLOOKUP($B639,DONGIA,DG!$G$6,0)</f>
        <v>0</v>
      </c>
      <c r="N639" s="329">
        <f t="shared" si="527"/>
        <v>0</v>
      </c>
      <c r="O639" s="329">
        <f t="shared" si="524"/>
        <v>0</v>
      </c>
      <c r="P639" s="329">
        <f t="shared" si="524"/>
        <v>0</v>
      </c>
      <c r="Q639" s="329">
        <f t="shared" si="524"/>
        <v>0</v>
      </c>
      <c r="R639" s="329">
        <f t="shared" si="524"/>
        <v>0</v>
      </c>
      <c r="S639" s="329">
        <f t="shared" si="524"/>
        <v>0</v>
      </c>
      <c r="U639" s="329">
        <f t="shared" si="528"/>
        <v>0</v>
      </c>
      <c r="V639" s="329">
        <f t="shared" si="528"/>
        <v>0</v>
      </c>
      <c r="W639" s="329">
        <f t="shared" si="528"/>
        <v>0</v>
      </c>
      <c r="X639" s="329">
        <f t="shared" si="528"/>
        <v>0</v>
      </c>
      <c r="Y639" s="329">
        <f t="shared" si="528"/>
        <v>0</v>
      </c>
      <c r="Z639" s="329">
        <f t="shared" si="528"/>
        <v>0</v>
      </c>
      <c r="AA639" s="329">
        <f t="shared" si="528"/>
        <v>0</v>
      </c>
      <c r="AB639" s="329">
        <f t="shared" si="528"/>
        <v>0</v>
      </c>
      <c r="AD639" s="332">
        <f t="shared" si="501"/>
        <v>0</v>
      </c>
      <c r="AE639" s="329">
        <f t="shared" si="502"/>
        <v>0</v>
      </c>
      <c r="AF639" s="329">
        <f t="shared" si="503"/>
        <v>0</v>
      </c>
      <c r="AG639" s="329">
        <f t="shared" si="503"/>
        <v>0</v>
      </c>
      <c r="AH639" s="329">
        <f t="shared" si="503"/>
        <v>0</v>
      </c>
      <c r="AI639" s="329">
        <f t="shared" si="504"/>
        <v>0</v>
      </c>
      <c r="AJ639" s="329">
        <f t="shared" si="504"/>
        <v>0</v>
      </c>
      <c r="AK639" s="329">
        <f t="shared" si="504"/>
        <v>0</v>
      </c>
      <c r="AL639" s="329">
        <f t="shared" si="505"/>
        <v>0</v>
      </c>
    </row>
    <row r="640" spans="1:38" s="332" customFormat="1">
      <c r="A640" s="356"/>
      <c r="B640" s="356" t="s">
        <v>688</v>
      </c>
      <c r="C640" s="355">
        <f t="shared" si="526"/>
        <v>0</v>
      </c>
      <c r="D640" s="341" t="str">
        <f>VLOOKUP(B640,DONGIA,DG!$B$6,0)</f>
        <v>05.6011</v>
      </c>
      <c r="E640" s="340" t="str">
        <f>VLOOKUP(B640,DONGIA,DG!$C$6,0)</f>
        <v>Lắp bộ chống lệch</v>
      </c>
      <c r="F640" s="341" t="str">
        <f>VLOOKUP(B640,DONGIA,DG!$D$6,0)</f>
        <v>bộ</v>
      </c>
      <c r="G640" s="329"/>
      <c r="H640" s="329"/>
      <c r="I640" s="329"/>
      <c r="J640" s="329"/>
      <c r="K640" s="329">
        <f>VLOOKUP($B640,DONGIA,DG!$F$6,0)</f>
        <v>0</v>
      </c>
      <c r="L640" s="329"/>
      <c r="M640" s="329">
        <f>VLOOKUP($B640,DONGIA,DG!$G$6,0)</f>
        <v>0</v>
      </c>
      <c r="N640" s="329">
        <f t="shared" si="527"/>
        <v>0</v>
      </c>
      <c r="O640" s="329">
        <f t="shared" si="524"/>
        <v>0</v>
      </c>
      <c r="P640" s="329">
        <f t="shared" si="524"/>
        <v>0</v>
      </c>
      <c r="Q640" s="329">
        <f t="shared" si="524"/>
        <v>0</v>
      </c>
      <c r="R640" s="329">
        <f t="shared" si="524"/>
        <v>0</v>
      </c>
      <c r="S640" s="329">
        <f t="shared" si="524"/>
        <v>0</v>
      </c>
      <c r="U640" s="329">
        <f t="shared" si="528"/>
        <v>0</v>
      </c>
      <c r="V640" s="329">
        <f t="shared" si="528"/>
        <v>0</v>
      </c>
      <c r="W640" s="329">
        <f t="shared" si="528"/>
        <v>0</v>
      </c>
      <c r="X640" s="329">
        <f t="shared" si="528"/>
        <v>0</v>
      </c>
      <c r="Y640" s="329">
        <f t="shared" si="528"/>
        <v>0</v>
      </c>
      <c r="Z640" s="329">
        <f t="shared" si="528"/>
        <v>0</v>
      </c>
      <c r="AA640" s="329">
        <f t="shared" si="528"/>
        <v>0</v>
      </c>
      <c r="AB640" s="329">
        <f t="shared" si="528"/>
        <v>0</v>
      </c>
      <c r="AD640" s="332">
        <f t="shared" si="501"/>
        <v>0</v>
      </c>
      <c r="AE640" s="329">
        <f t="shared" si="502"/>
        <v>0</v>
      </c>
      <c r="AF640" s="329">
        <f t="shared" si="503"/>
        <v>0</v>
      </c>
      <c r="AG640" s="329">
        <f t="shared" si="503"/>
        <v>0</v>
      </c>
      <c r="AH640" s="329">
        <f t="shared" si="503"/>
        <v>0</v>
      </c>
      <c r="AI640" s="329">
        <f t="shared" si="504"/>
        <v>0</v>
      </c>
      <c r="AJ640" s="329">
        <f t="shared" si="504"/>
        <v>0</v>
      </c>
      <c r="AK640" s="329">
        <f t="shared" si="504"/>
        <v>0</v>
      </c>
      <c r="AL640" s="329">
        <f t="shared" si="505"/>
        <v>0</v>
      </c>
    </row>
    <row r="641" spans="1:38">
      <c r="A641" s="618" t="s">
        <v>1489</v>
      </c>
      <c r="B641" s="618"/>
      <c r="C641" s="619">
        <f>IF(G641&lt;&gt;0,1,)</f>
        <v>0</v>
      </c>
      <c r="D641" s="622"/>
      <c r="E641" s="733" t="s">
        <v>2708</v>
      </c>
      <c r="F641" s="622" t="s">
        <v>138</v>
      </c>
      <c r="G641" s="622">
        <f>U641</f>
        <v>0</v>
      </c>
      <c r="H641" s="623"/>
      <c r="I641" s="623"/>
      <c r="J641" s="623"/>
      <c r="K641" s="623"/>
      <c r="L641" s="623"/>
      <c r="M641" s="623"/>
      <c r="N641" s="623">
        <f t="shared" ref="N641:S641" si="529">SUM(N643:N649)</f>
        <v>1584150</v>
      </c>
      <c r="O641" s="623">
        <f t="shared" si="529"/>
        <v>0</v>
      </c>
      <c r="P641" s="623">
        <f t="shared" si="529"/>
        <v>0</v>
      </c>
      <c r="Q641" s="623">
        <f t="shared" si="529"/>
        <v>213246</v>
      </c>
      <c r="R641" s="623">
        <f t="shared" si="529"/>
        <v>0</v>
      </c>
      <c r="S641" s="623">
        <f t="shared" si="529"/>
        <v>0</v>
      </c>
      <c r="U641" s="623">
        <f>SUM(V641:AB641)</f>
        <v>0</v>
      </c>
      <c r="V641" s="623">
        <f>IFERROR(HLOOKUP($A641,BK3P,V$3,0),)</f>
        <v>0</v>
      </c>
      <c r="W641" s="623">
        <f>IFERROR(HLOOKUP($A641,BK3P,W$3,0),)</f>
        <v>0</v>
      </c>
      <c r="X641" s="623">
        <f>IFERROR(HLOOKUP($A641,BK3P,X$3,0),)</f>
        <v>0</v>
      </c>
      <c r="Y641" s="623">
        <f>IFERROR(HLOOKUP($A641,BK1P,Y$3,0),)</f>
        <v>0</v>
      </c>
      <c r="Z641" s="623">
        <f>IFERROR(HLOOKUP($A641,BK1P,Z$3,0),)</f>
        <v>0</v>
      </c>
      <c r="AA641" s="623">
        <f>IFERROR(HLOOKUP($A641,BK1P,AA$3,0),)</f>
        <v>0</v>
      </c>
      <c r="AB641" s="623">
        <f>IFERROR(HLOOKUP($A641,BKHT,AB$3,0),)</f>
        <v>0</v>
      </c>
      <c r="AD641" s="405">
        <f t="shared" si="501"/>
        <v>0</v>
      </c>
      <c r="AE641" s="525">
        <f t="shared" si="502"/>
        <v>0</v>
      </c>
      <c r="AF641" s="525">
        <f t="shared" si="503"/>
        <v>0</v>
      </c>
      <c r="AG641" s="525">
        <f t="shared" si="503"/>
        <v>0</v>
      </c>
      <c r="AH641" s="525">
        <f t="shared" si="503"/>
        <v>0</v>
      </c>
      <c r="AI641" s="525">
        <f t="shared" si="504"/>
        <v>0</v>
      </c>
      <c r="AJ641" s="525">
        <f t="shared" si="504"/>
        <v>0</v>
      </c>
      <c r="AK641" s="525">
        <f t="shared" si="504"/>
        <v>0</v>
      </c>
      <c r="AL641" s="525">
        <f t="shared" si="505"/>
        <v>0</v>
      </c>
    </row>
    <row r="642" spans="1:38" s="542" customFormat="1">
      <c r="A642" s="624"/>
      <c r="B642" s="624"/>
      <c r="C642" s="625">
        <f>C641</f>
        <v>0</v>
      </c>
      <c r="D642" s="544"/>
      <c r="E642" s="734" t="s">
        <v>1659</v>
      </c>
      <c r="F642" s="544"/>
      <c r="G642" s="545"/>
      <c r="H642" s="545"/>
      <c r="I642" s="545"/>
      <c r="J642" s="545"/>
      <c r="K642" s="545"/>
      <c r="L642" s="545"/>
      <c r="M642" s="545"/>
      <c r="N642" s="545"/>
      <c r="O642" s="545"/>
      <c r="P642" s="545"/>
      <c r="Q642" s="545"/>
      <c r="R642" s="545"/>
      <c r="S642" s="545"/>
      <c r="U642" s="545"/>
      <c r="V642" s="545"/>
      <c r="W642" s="545"/>
      <c r="X642" s="545"/>
      <c r="Y642" s="545"/>
      <c r="Z642" s="545"/>
      <c r="AA642" s="545"/>
      <c r="AB642" s="545"/>
      <c r="AD642" s="405">
        <f t="shared" si="501"/>
        <v>0</v>
      </c>
      <c r="AE642" s="525">
        <f t="shared" si="502"/>
        <v>0</v>
      </c>
      <c r="AF642" s="525">
        <f t="shared" si="503"/>
        <v>0</v>
      </c>
      <c r="AG642" s="525">
        <f t="shared" si="503"/>
        <v>0</v>
      </c>
      <c r="AH642" s="525">
        <f t="shared" si="503"/>
        <v>0</v>
      </c>
      <c r="AI642" s="525">
        <f t="shared" si="504"/>
        <v>0</v>
      </c>
      <c r="AJ642" s="525">
        <f t="shared" si="504"/>
        <v>0</v>
      </c>
      <c r="AK642" s="525">
        <f t="shared" si="504"/>
        <v>0</v>
      </c>
      <c r="AL642" s="525">
        <f t="shared" si="505"/>
        <v>0</v>
      </c>
    </row>
    <row r="643" spans="1:38">
      <c r="A643" s="618"/>
      <c r="B643" s="618" t="s">
        <v>109</v>
      </c>
      <c r="C643" s="619">
        <f>IF(G643&lt;&gt;0,$C$641,)</f>
        <v>0</v>
      </c>
      <c r="D643" s="523">
        <f>VLOOKUP(B643,DONGIA,DG!$B$6,0)</f>
        <v>0</v>
      </c>
      <c r="E643" s="666" t="str">
        <f>VLOOKUP(B643,DONGIA,DG!$C$6,0)</f>
        <v>Boulon mắt 16x250+ long đền vuông D18-50x50x3/Zn</v>
      </c>
      <c r="F643" s="523" t="str">
        <f>VLOOKUP(B643,DONGIA,DG!$D$6,0)</f>
        <v>bộ</v>
      </c>
      <c r="G643" s="525">
        <v>3</v>
      </c>
      <c r="H643" s="525">
        <f>VLOOKUP($B643,DONGIA,DG!$E$6,0)</f>
        <v>29000</v>
      </c>
      <c r="I643" s="525"/>
      <c r="J643" s="525"/>
      <c r="K643" s="525">
        <f>VLOOKUP($B643,DONGIA,DG!$F$6,0)</f>
        <v>0</v>
      </c>
      <c r="L643" s="525"/>
      <c r="M643" s="525">
        <f>VLOOKUP($B643,DONGIA,DG!$G$6,0)</f>
        <v>0</v>
      </c>
      <c r="N643" s="525">
        <f>$G643*H643</f>
        <v>87000</v>
      </c>
      <c r="O643" s="525">
        <f t="shared" ref="O643:S649" si="530">$G643*I643</f>
        <v>0</v>
      </c>
      <c r="P643" s="525">
        <f t="shared" si="530"/>
        <v>0</v>
      </c>
      <c r="Q643" s="525">
        <f t="shared" si="530"/>
        <v>0</v>
      </c>
      <c r="R643" s="525">
        <f t="shared" si="530"/>
        <v>0</v>
      </c>
      <c r="S643" s="525">
        <f t="shared" si="530"/>
        <v>0</v>
      </c>
      <c r="U643" s="525">
        <f>U$641*$G643</f>
        <v>0</v>
      </c>
      <c r="V643" s="525">
        <f t="shared" ref="V643:AB643" si="531">V$641*$G643</f>
        <v>0</v>
      </c>
      <c r="W643" s="525">
        <f t="shared" si="531"/>
        <v>0</v>
      </c>
      <c r="X643" s="525">
        <f t="shared" si="531"/>
        <v>0</v>
      </c>
      <c r="Y643" s="525">
        <f t="shared" si="531"/>
        <v>0</v>
      </c>
      <c r="Z643" s="525">
        <f t="shared" si="531"/>
        <v>0</v>
      </c>
      <c r="AA643" s="525">
        <f t="shared" si="531"/>
        <v>0</v>
      </c>
      <c r="AB643" s="525">
        <f t="shared" si="531"/>
        <v>0</v>
      </c>
      <c r="AD643" s="405">
        <f t="shared" si="501"/>
        <v>0.3</v>
      </c>
      <c r="AE643" s="525">
        <f t="shared" si="502"/>
        <v>0</v>
      </c>
      <c r="AF643" s="525">
        <f t="shared" si="503"/>
        <v>0</v>
      </c>
      <c r="AG643" s="525">
        <f t="shared" si="503"/>
        <v>0</v>
      </c>
      <c r="AH643" s="525">
        <f t="shared" si="503"/>
        <v>0</v>
      </c>
      <c r="AI643" s="525">
        <f t="shared" si="504"/>
        <v>0</v>
      </c>
      <c r="AJ643" s="525">
        <f t="shared" si="504"/>
        <v>0</v>
      </c>
      <c r="AK643" s="525">
        <f t="shared" si="504"/>
        <v>0</v>
      </c>
      <c r="AL643" s="525">
        <f t="shared" si="505"/>
        <v>0</v>
      </c>
    </row>
    <row r="644" spans="1:38">
      <c r="A644" s="618"/>
      <c r="B644" s="618" t="s">
        <v>408</v>
      </c>
      <c r="C644" s="619">
        <f t="shared" ref="C644:C649" si="532">IF(G644&lt;&gt;0,$C$641,)</f>
        <v>0</v>
      </c>
      <c r="D644" s="523">
        <f>VLOOKUP(B644,DONGIA,DG!$B$6,0)</f>
        <v>0</v>
      </c>
      <c r="E644" s="666" t="str">
        <f>VLOOKUP(B644,DONGIA,DG!$C$6,0)</f>
        <v>Sứ chằng lớn</v>
      </c>
      <c r="F644" s="523" t="str">
        <f>VLOOKUP(B644,DONGIA,DG!$D$6,0)</f>
        <v>cái</v>
      </c>
      <c r="G644" s="525">
        <v>2</v>
      </c>
      <c r="H644" s="525">
        <f>VLOOKUP($B644,DONGIA,DG!$E$6,0)</f>
        <v>66000</v>
      </c>
      <c r="I644" s="525"/>
      <c r="J644" s="525"/>
      <c r="K644" s="525">
        <f>VLOOKUP($B644,DONGIA,DG!$F$6,0)</f>
        <v>0</v>
      </c>
      <c r="L644" s="525"/>
      <c r="M644" s="525">
        <f>VLOOKUP($B644,DONGIA,DG!$G$6,0)</f>
        <v>0</v>
      </c>
      <c r="N644" s="525">
        <f t="shared" ref="N644:N649" si="533">$G644*H644</f>
        <v>132000</v>
      </c>
      <c r="O644" s="525">
        <f t="shared" si="530"/>
        <v>0</v>
      </c>
      <c r="P644" s="525">
        <f t="shared" si="530"/>
        <v>0</v>
      </c>
      <c r="Q644" s="525">
        <f t="shared" si="530"/>
        <v>0</v>
      </c>
      <c r="R644" s="525">
        <f t="shared" si="530"/>
        <v>0</v>
      </c>
      <c r="S644" s="525">
        <f t="shared" si="530"/>
        <v>0</v>
      </c>
      <c r="U644" s="525">
        <f t="shared" ref="U644:AB649" si="534">U$641*$G644</f>
        <v>0</v>
      </c>
      <c r="V644" s="525">
        <f t="shared" si="534"/>
        <v>0</v>
      </c>
      <c r="W644" s="525">
        <f t="shared" si="534"/>
        <v>0</v>
      </c>
      <c r="X644" s="525">
        <f t="shared" si="534"/>
        <v>0</v>
      </c>
      <c r="Y644" s="525">
        <f t="shared" si="534"/>
        <v>0</v>
      </c>
      <c r="Z644" s="525">
        <f t="shared" si="534"/>
        <v>0</v>
      </c>
      <c r="AA644" s="525">
        <f t="shared" si="534"/>
        <v>0</v>
      </c>
      <c r="AB644" s="525">
        <f t="shared" si="534"/>
        <v>0</v>
      </c>
      <c r="AD644" s="405">
        <f t="shared" si="501"/>
        <v>1.5</v>
      </c>
      <c r="AE644" s="525">
        <f t="shared" si="502"/>
        <v>0</v>
      </c>
      <c r="AF644" s="525">
        <f t="shared" si="503"/>
        <v>0</v>
      </c>
      <c r="AG644" s="525">
        <f t="shared" si="503"/>
        <v>0</v>
      </c>
      <c r="AH644" s="525">
        <f t="shared" si="503"/>
        <v>0</v>
      </c>
      <c r="AI644" s="525">
        <f t="shared" si="504"/>
        <v>0</v>
      </c>
      <c r="AJ644" s="525">
        <f t="shared" si="504"/>
        <v>0</v>
      </c>
      <c r="AK644" s="525">
        <f t="shared" si="504"/>
        <v>0</v>
      </c>
      <c r="AL644" s="525">
        <f t="shared" si="505"/>
        <v>0</v>
      </c>
    </row>
    <row r="645" spans="1:38">
      <c r="A645" s="618"/>
      <c r="B645" s="618" t="s">
        <v>277</v>
      </c>
      <c r="C645" s="619">
        <f t="shared" si="532"/>
        <v>0</v>
      </c>
      <c r="D645" s="523">
        <f>VLOOKUP(B645,DONGIA,DG!$B$6,0)</f>
        <v>0</v>
      </c>
      <c r="E645" s="666" t="str">
        <f>VLOOKUP(B645,DONGIA,DG!$C$6,0)</f>
        <v>Kẹp cáp 3 boulon B46x136</v>
      </c>
      <c r="F645" s="523" t="str">
        <f>VLOOKUP(B645,DONGIA,DG!$D$6,0)</f>
        <v>cái</v>
      </c>
      <c r="G645" s="525">
        <f>8*2</f>
        <v>16</v>
      </c>
      <c r="H645" s="525">
        <f>VLOOKUP($B645,DONGIA,DG!$E$6,0)</f>
        <v>48000</v>
      </c>
      <c r="I645" s="525"/>
      <c r="J645" s="525"/>
      <c r="K645" s="525">
        <f>VLOOKUP($B645,DONGIA,DG!$F$6,0)</f>
        <v>0</v>
      </c>
      <c r="L645" s="525"/>
      <c r="M645" s="525">
        <f>VLOOKUP($B645,DONGIA,DG!$G$6,0)</f>
        <v>0</v>
      </c>
      <c r="N645" s="525">
        <f t="shared" si="533"/>
        <v>768000</v>
      </c>
      <c r="O645" s="525">
        <f t="shared" si="530"/>
        <v>0</v>
      </c>
      <c r="P645" s="525">
        <f t="shared" si="530"/>
        <v>0</v>
      </c>
      <c r="Q645" s="525">
        <f t="shared" si="530"/>
        <v>0</v>
      </c>
      <c r="R645" s="525">
        <f t="shared" si="530"/>
        <v>0</v>
      </c>
      <c r="S645" s="525">
        <f t="shared" si="530"/>
        <v>0</v>
      </c>
      <c r="U645" s="525">
        <f t="shared" si="534"/>
        <v>0</v>
      </c>
      <c r="V645" s="525">
        <f t="shared" si="534"/>
        <v>0</v>
      </c>
      <c r="W645" s="525">
        <f t="shared" si="534"/>
        <v>0</v>
      </c>
      <c r="X645" s="525">
        <f t="shared" si="534"/>
        <v>0</v>
      </c>
      <c r="Y645" s="525">
        <f t="shared" si="534"/>
        <v>0</v>
      </c>
      <c r="Z645" s="525">
        <f t="shared" si="534"/>
        <v>0</v>
      </c>
      <c r="AA645" s="525">
        <f t="shared" si="534"/>
        <v>0</v>
      </c>
      <c r="AB645" s="525">
        <f t="shared" si="534"/>
        <v>0</v>
      </c>
      <c r="AD645" s="405">
        <f t="shared" si="501"/>
        <v>0.2</v>
      </c>
      <c r="AE645" s="525">
        <f t="shared" si="502"/>
        <v>0</v>
      </c>
      <c r="AF645" s="525">
        <f t="shared" si="503"/>
        <v>0</v>
      </c>
      <c r="AG645" s="525">
        <f t="shared" si="503"/>
        <v>0</v>
      </c>
      <c r="AH645" s="525">
        <f t="shared" si="503"/>
        <v>0</v>
      </c>
      <c r="AI645" s="525">
        <f t="shared" si="504"/>
        <v>0</v>
      </c>
      <c r="AJ645" s="525">
        <f t="shared" si="504"/>
        <v>0</v>
      </c>
      <c r="AK645" s="525">
        <f t="shared" si="504"/>
        <v>0</v>
      </c>
      <c r="AL645" s="525">
        <f t="shared" si="505"/>
        <v>0</v>
      </c>
    </row>
    <row r="646" spans="1:38">
      <c r="A646" s="618"/>
      <c r="B646" s="618" t="s">
        <v>268</v>
      </c>
      <c r="C646" s="619">
        <f t="shared" si="532"/>
        <v>0</v>
      </c>
      <c r="D646" s="523">
        <f>VLOOKUP(B646,DONGIA,DG!$B$6,0)</f>
        <v>0</v>
      </c>
      <c r="E646" s="666" t="str">
        <f>VLOOKUP(B646,DONGIA,DG!$C$6,0)</f>
        <v>Cáp thép 5/8"</v>
      </c>
      <c r="F646" s="523" t="str">
        <f>VLOOKUP(B646,DONGIA,DG!$D$6,0)</f>
        <v>mét</v>
      </c>
      <c r="G646" s="554">
        <f>11+0.5*8+14</f>
        <v>29</v>
      </c>
      <c r="H646" s="525">
        <f>VLOOKUP($B646,DONGIA,DG!$E$6,0)</f>
        <v>15350</v>
      </c>
      <c r="I646" s="525"/>
      <c r="J646" s="525"/>
      <c r="K646" s="525">
        <f>VLOOKUP($B646,DONGIA,DG!$F$6,0)</f>
        <v>0</v>
      </c>
      <c r="L646" s="525"/>
      <c r="M646" s="525">
        <f>VLOOKUP($B646,DONGIA,DG!$G$6,0)</f>
        <v>0</v>
      </c>
      <c r="N646" s="525">
        <f t="shared" si="533"/>
        <v>445150</v>
      </c>
      <c r="O646" s="525">
        <f t="shared" si="530"/>
        <v>0</v>
      </c>
      <c r="P646" s="525">
        <f t="shared" si="530"/>
        <v>0</v>
      </c>
      <c r="Q646" s="525">
        <f t="shared" si="530"/>
        <v>0</v>
      </c>
      <c r="R646" s="525">
        <f t="shared" si="530"/>
        <v>0</v>
      </c>
      <c r="S646" s="525">
        <f t="shared" si="530"/>
        <v>0</v>
      </c>
      <c r="U646" s="525">
        <f t="shared" si="534"/>
        <v>0</v>
      </c>
      <c r="V646" s="525">
        <f t="shared" si="534"/>
        <v>0</v>
      </c>
      <c r="W646" s="525">
        <f t="shared" si="534"/>
        <v>0</v>
      </c>
      <c r="X646" s="525">
        <f t="shared" si="534"/>
        <v>0</v>
      </c>
      <c r="Y646" s="525">
        <f t="shared" si="534"/>
        <v>0</v>
      </c>
      <c r="Z646" s="525">
        <f t="shared" si="534"/>
        <v>0</v>
      </c>
      <c r="AA646" s="525">
        <f t="shared" si="534"/>
        <v>0</v>
      </c>
      <c r="AB646" s="525">
        <f t="shared" si="534"/>
        <v>0</v>
      </c>
      <c r="AD646" s="405">
        <f t="shared" si="501"/>
        <v>1</v>
      </c>
      <c r="AE646" s="525">
        <f t="shared" si="502"/>
        <v>0</v>
      </c>
      <c r="AF646" s="525">
        <f t="shared" si="503"/>
        <v>0</v>
      </c>
      <c r="AG646" s="525">
        <f t="shared" si="503"/>
        <v>0</v>
      </c>
      <c r="AH646" s="525">
        <f t="shared" si="503"/>
        <v>0</v>
      </c>
      <c r="AI646" s="525">
        <f t="shared" si="504"/>
        <v>0</v>
      </c>
      <c r="AJ646" s="525">
        <f t="shared" si="504"/>
        <v>0</v>
      </c>
      <c r="AK646" s="525">
        <f t="shared" si="504"/>
        <v>0</v>
      </c>
      <c r="AL646" s="525">
        <f t="shared" si="505"/>
        <v>0</v>
      </c>
    </row>
    <row r="647" spans="1:38">
      <c r="A647" s="618"/>
      <c r="B647" s="618" t="s">
        <v>475</v>
      </c>
      <c r="C647" s="619">
        <f t="shared" si="532"/>
        <v>0</v>
      </c>
      <c r="D647" s="523">
        <f>VLOOKUP(B647,DONGIA,DG!$B$6,0)</f>
        <v>0</v>
      </c>
      <c r="E647" s="666" t="str">
        <f>VLOOKUP(B647,DONGIA,DG!$C$6,0)</f>
        <v>Yếm cáp dày 2mm</v>
      </c>
      <c r="F647" s="523" t="str">
        <f>VLOOKUP(B647,DONGIA,DG!$D$6,0)</f>
        <v>cái</v>
      </c>
      <c r="G647" s="525">
        <v>4</v>
      </c>
      <c r="H647" s="525">
        <f>VLOOKUP($B647,DONGIA,DG!$E$6,0)</f>
        <v>8000</v>
      </c>
      <c r="I647" s="525"/>
      <c r="J647" s="525"/>
      <c r="K647" s="525">
        <f>VLOOKUP($B647,DONGIA,DG!$F$6,0)</f>
        <v>0</v>
      </c>
      <c r="L647" s="525"/>
      <c r="M647" s="525">
        <f>VLOOKUP($B647,DONGIA,DG!$G$6,0)</f>
        <v>0</v>
      </c>
      <c r="N647" s="525">
        <f t="shared" ref="N647:S647" si="535">$G647*H647</f>
        <v>32000</v>
      </c>
      <c r="O647" s="525">
        <f t="shared" si="535"/>
        <v>0</v>
      </c>
      <c r="P647" s="525">
        <f t="shared" si="535"/>
        <v>0</v>
      </c>
      <c r="Q647" s="525">
        <f t="shared" si="535"/>
        <v>0</v>
      </c>
      <c r="R647" s="525">
        <f t="shared" si="535"/>
        <v>0</v>
      </c>
      <c r="S647" s="525">
        <f t="shared" si="535"/>
        <v>0</v>
      </c>
      <c r="U647" s="525">
        <f t="shared" si="534"/>
        <v>0</v>
      </c>
      <c r="V647" s="525">
        <f t="shared" si="534"/>
        <v>0</v>
      </c>
      <c r="W647" s="525">
        <f t="shared" si="534"/>
        <v>0</v>
      </c>
      <c r="X647" s="525">
        <f t="shared" si="534"/>
        <v>0</v>
      </c>
      <c r="Y647" s="525">
        <f t="shared" si="534"/>
        <v>0</v>
      </c>
      <c r="Z647" s="525">
        <f t="shared" si="534"/>
        <v>0</v>
      </c>
      <c r="AA647" s="525">
        <f t="shared" si="534"/>
        <v>0</v>
      </c>
      <c r="AB647" s="525">
        <f t="shared" si="534"/>
        <v>0</v>
      </c>
      <c r="AD647" s="405">
        <f>IFERROR(VLOOKUP(B647,DONGIA,$AD$3,0),0)</f>
        <v>0.3</v>
      </c>
      <c r="AE647" s="525">
        <f t="shared" ref="AE647:AL647" si="536">U647*$AD647</f>
        <v>0</v>
      </c>
      <c r="AF647" s="525">
        <f t="shared" si="536"/>
        <v>0</v>
      </c>
      <c r="AG647" s="525">
        <f t="shared" si="536"/>
        <v>0</v>
      </c>
      <c r="AH647" s="525">
        <f t="shared" si="536"/>
        <v>0</v>
      </c>
      <c r="AI647" s="525">
        <f t="shared" si="536"/>
        <v>0</v>
      </c>
      <c r="AJ647" s="525">
        <f t="shared" si="536"/>
        <v>0</v>
      </c>
      <c r="AK647" s="525">
        <f t="shared" si="536"/>
        <v>0</v>
      </c>
      <c r="AL647" s="525">
        <f t="shared" si="536"/>
        <v>0</v>
      </c>
    </row>
    <row r="648" spans="1:38">
      <c r="A648" s="618"/>
      <c r="B648" s="618" t="s">
        <v>373</v>
      </c>
      <c r="C648" s="619">
        <f t="shared" si="532"/>
        <v>0</v>
      </c>
      <c r="D648" s="523">
        <f>VLOOKUP(B648,DONGIA,DG!$B$6,0)</f>
        <v>0</v>
      </c>
      <c r="E648" s="666" t="str">
        <f>VLOOKUP(B648,DONGIA,DG!$C$6,0)</f>
        <v>Máng che dây chằng dày 0,8x2000mm</v>
      </c>
      <c r="F648" s="523" t="str">
        <f>VLOOKUP(B648,DONGIA,DG!$D$6,0)</f>
        <v>cái</v>
      </c>
      <c r="G648" s="525">
        <v>1</v>
      </c>
      <c r="H648" s="525">
        <f>VLOOKUP($B648,DONGIA,DG!$E$6,0)</f>
        <v>120000</v>
      </c>
      <c r="I648" s="525"/>
      <c r="J648" s="525"/>
      <c r="K648" s="525">
        <f>VLOOKUP($B648,DONGIA,DG!$F$6,0)</f>
        <v>0</v>
      </c>
      <c r="L648" s="525"/>
      <c r="M648" s="525">
        <f>VLOOKUP($B648,DONGIA,DG!$G$6,0)</f>
        <v>0</v>
      </c>
      <c r="N648" s="525">
        <f t="shared" si="533"/>
        <v>120000</v>
      </c>
      <c r="O648" s="525">
        <f t="shared" si="530"/>
        <v>0</v>
      </c>
      <c r="P648" s="525">
        <f t="shared" si="530"/>
        <v>0</v>
      </c>
      <c r="Q648" s="525">
        <f t="shared" si="530"/>
        <v>0</v>
      </c>
      <c r="R648" s="525">
        <f t="shared" si="530"/>
        <v>0</v>
      </c>
      <c r="S648" s="525">
        <f t="shared" si="530"/>
        <v>0</v>
      </c>
      <c r="U648" s="525">
        <f t="shared" si="534"/>
        <v>0</v>
      </c>
      <c r="V648" s="525">
        <f t="shared" si="534"/>
        <v>0</v>
      </c>
      <c r="W648" s="525">
        <f t="shared" si="534"/>
        <v>0</v>
      </c>
      <c r="X648" s="525">
        <f t="shared" si="534"/>
        <v>0</v>
      </c>
      <c r="Y648" s="525">
        <f t="shared" si="534"/>
        <v>0</v>
      </c>
      <c r="Z648" s="525">
        <f t="shared" si="534"/>
        <v>0</v>
      </c>
      <c r="AA648" s="525">
        <f t="shared" si="534"/>
        <v>0</v>
      </c>
      <c r="AB648" s="525">
        <f t="shared" si="534"/>
        <v>0</v>
      </c>
      <c r="AD648" s="405">
        <f t="shared" si="501"/>
        <v>0.4</v>
      </c>
      <c r="AE648" s="525">
        <f t="shared" si="502"/>
        <v>0</v>
      </c>
      <c r="AF648" s="525">
        <f t="shared" si="503"/>
        <v>0</v>
      </c>
      <c r="AG648" s="525">
        <f t="shared" si="503"/>
        <v>0</v>
      </c>
      <c r="AH648" s="525">
        <f t="shared" si="503"/>
        <v>0</v>
      </c>
      <c r="AI648" s="525">
        <f t="shared" si="504"/>
        <v>0</v>
      </c>
      <c r="AJ648" s="525">
        <f t="shared" si="504"/>
        <v>0</v>
      </c>
      <c r="AK648" s="525">
        <f t="shared" si="504"/>
        <v>0</v>
      </c>
      <c r="AL648" s="525">
        <f t="shared" si="505"/>
        <v>0</v>
      </c>
    </row>
    <row r="649" spans="1:38">
      <c r="A649" s="618"/>
      <c r="B649" s="618" t="s">
        <v>690</v>
      </c>
      <c r="C649" s="619">
        <f t="shared" si="532"/>
        <v>0</v>
      </c>
      <c r="D649" s="523" t="str">
        <f>VLOOKUP(B649,DONGIA,DG!$B$6,0)</f>
        <v>D3.3251</v>
      </c>
      <c r="E649" s="666" t="str">
        <f>VLOOKUP(B649,DONGIA,DG!$C$6,0)</f>
        <v>Lắp bộ dây néo</v>
      </c>
      <c r="F649" s="523" t="str">
        <f>VLOOKUP(B649,DONGIA,DG!$D$6,0)</f>
        <v>bộ</v>
      </c>
      <c r="G649" s="525">
        <v>2</v>
      </c>
      <c r="H649" s="525"/>
      <c r="I649" s="525"/>
      <c r="J649" s="525"/>
      <c r="K649" s="525">
        <f>VLOOKUP($B649,DONGIA,DG!$F$6,0)</f>
        <v>106623</v>
      </c>
      <c r="L649" s="525"/>
      <c r="M649" s="525">
        <f>VLOOKUP($B649,DONGIA,DG!$G$6,0)</f>
        <v>0</v>
      </c>
      <c r="N649" s="525">
        <f t="shared" si="533"/>
        <v>0</v>
      </c>
      <c r="O649" s="525">
        <f t="shared" si="530"/>
        <v>0</v>
      </c>
      <c r="P649" s="525">
        <f t="shared" si="530"/>
        <v>0</v>
      </c>
      <c r="Q649" s="525">
        <f t="shared" si="530"/>
        <v>213246</v>
      </c>
      <c r="R649" s="525">
        <f t="shared" si="530"/>
        <v>0</v>
      </c>
      <c r="S649" s="525">
        <f t="shared" si="530"/>
        <v>0</v>
      </c>
      <c r="U649" s="525">
        <f t="shared" si="534"/>
        <v>0</v>
      </c>
      <c r="V649" s="525">
        <f t="shared" si="534"/>
        <v>0</v>
      </c>
      <c r="W649" s="525">
        <f t="shared" si="534"/>
        <v>0</v>
      </c>
      <c r="X649" s="525">
        <f t="shared" si="534"/>
        <v>0</v>
      </c>
      <c r="Y649" s="525">
        <f t="shared" si="534"/>
        <v>0</v>
      </c>
      <c r="Z649" s="525">
        <f t="shared" si="534"/>
        <v>0</v>
      </c>
      <c r="AA649" s="525">
        <f t="shared" si="534"/>
        <v>0</v>
      </c>
      <c r="AB649" s="525">
        <f t="shared" si="534"/>
        <v>0</v>
      </c>
      <c r="AD649" s="405">
        <f t="shared" si="501"/>
        <v>0</v>
      </c>
      <c r="AE649" s="525">
        <f t="shared" si="502"/>
        <v>0</v>
      </c>
      <c r="AF649" s="525">
        <f t="shared" si="503"/>
        <v>0</v>
      </c>
      <c r="AG649" s="525">
        <f t="shared" si="503"/>
        <v>0</v>
      </c>
      <c r="AH649" s="525">
        <f t="shared" si="503"/>
        <v>0</v>
      </c>
      <c r="AI649" s="525">
        <f t="shared" si="504"/>
        <v>0</v>
      </c>
      <c r="AJ649" s="525">
        <f t="shared" si="504"/>
        <v>0</v>
      </c>
      <c r="AK649" s="525">
        <f t="shared" si="504"/>
        <v>0</v>
      </c>
      <c r="AL649" s="525">
        <f t="shared" si="505"/>
        <v>0</v>
      </c>
    </row>
    <row r="650" spans="1:38">
      <c r="A650" s="618" t="s">
        <v>1392</v>
      </c>
      <c r="B650" s="618"/>
      <c r="C650" s="619">
        <f>IF(G650&lt;&gt;0,1,)</f>
        <v>1</v>
      </c>
      <c r="D650" s="622"/>
      <c r="E650" s="733" t="s">
        <v>2707</v>
      </c>
      <c r="F650" s="622" t="s">
        <v>138</v>
      </c>
      <c r="G650" s="622">
        <f>U650</f>
        <v>3</v>
      </c>
      <c r="H650" s="623"/>
      <c r="I650" s="623"/>
      <c r="J650" s="623"/>
      <c r="K650" s="623"/>
      <c r="L650" s="623"/>
      <c r="M650" s="623"/>
      <c r="N650" s="623">
        <f t="shared" ref="N650:S650" si="537">SUM(N652:N655)</f>
        <v>463000</v>
      </c>
      <c r="O650" s="623">
        <f t="shared" si="537"/>
        <v>0</v>
      </c>
      <c r="P650" s="623">
        <f t="shared" si="537"/>
        <v>196187.255</v>
      </c>
      <c r="Q650" s="623">
        <f t="shared" si="537"/>
        <v>0</v>
      </c>
      <c r="R650" s="623">
        <f t="shared" si="537"/>
        <v>5040.3760000000002</v>
      </c>
      <c r="S650" s="623">
        <f t="shared" si="537"/>
        <v>0</v>
      </c>
      <c r="U650" s="623">
        <f>SUM(V650:AB650)</f>
        <v>3</v>
      </c>
      <c r="V650" s="623">
        <f>IFERROR(HLOOKUP($A650,BK3P,V$3,0),)</f>
        <v>3</v>
      </c>
      <c r="W650" s="623">
        <f>IFERROR(HLOOKUP($A650,BK3P,W$3,0),)</f>
        <v>0</v>
      </c>
      <c r="X650" s="623">
        <f>IFERROR(HLOOKUP($A650,BK3P,X$3,0),)</f>
        <v>0</v>
      </c>
      <c r="Y650" s="623">
        <f>IFERROR(HLOOKUP($A650,BK1P,Y$3,0),)</f>
        <v>0</v>
      </c>
      <c r="Z650" s="623">
        <f>IFERROR(HLOOKUP($A650,BK1P,Z$3,0),)</f>
        <v>0</v>
      </c>
      <c r="AA650" s="623">
        <f>IFERROR(HLOOKUP($A650,BK1P,AA$3,0),)</f>
        <v>0</v>
      </c>
      <c r="AB650" s="623">
        <f>IFERROR(HLOOKUP($A650,BKHT,AB$3,0),)</f>
        <v>0</v>
      </c>
      <c r="AD650" s="405">
        <f t="shared" si="501"/>
        <v>0</v>
      </c>
      <c r="AE650" s="525">
        <f t="shared" si="502"/>
        <v>0</v>
      </c>
      <c r="AF650" s="525">
        <f t="shared" si="503"/>
        <v>0</v>
      </c>
      <c r="AG650" s="525">
        <f t="shared" si="503"/>
        <v>0</v>
      </c>
      <c r="AH650" s="525">
        <f t="shared" si="503"/>
        <v>0</v>
      </c>
      <c r="AI650" s="525">
        <f t="shared" si="504"/>
        <v>0</v>
      </c>
      <c r="AJ650" s="525">
        <f t="shared" si="504"/>
        <v>0</v>
      </c>
      <c r="AK650" s="525">
        <f t="shared" si="504"/>
        <v>0</v>
      </c>
      <c r="AL650" s="525">
        <f t="shared" si="505"/>
        <v>0</v>
      </c>
    </row>
    <row r="651" spans="1:38" s="542" customFormat="1">
      <c r="A651" s="624"/>
      <c r="B651" s="624"/>
      <c r="C651" s="625">
        <f>C650</f>
        <v>1</v>
      </c>
      <c r="D651" s="544"/>
      <c r="E651" s="734" t="s">
        <v>1659</v>
      </c>
      <c r="F651" s="544"/>
      <c r="G651" s="545"/>
      <c r="H651" s="545"/>
      <c r="I651" s="545"/>
      <c r="J651" s="545"/>
      <c r="K651" s="545"/>
      <c r="L651" s="545"/>
      <c r="M651" s="545"/>
      <c r="N651" s="545"/>
      <c r="O651" s="545"/>
      <c r="P651" s="545"/>
      <c r="Q651" s="545"/>
      <c r="R651" s="545"/>
      <c r="S651" s="545"/>
      <c r="U651" s="545"/>
      <c r="V651" s="545"/>
      <c r="W651" s="545"/>
      <c r="X651" s="545"/>
      <c r="Y651" s="545"/>
      <c r="Z651" s="545"/>
      <c r="AA651" s="545"/>
      <c r="AB651" s="545"/>
      <c r="AD651" s="405">
        <f t="shared" si="501"/>
        <v>0</v>
      </c>
      <c r="AE651" s="525">
        <f t="shared" si="502"/>
        <v>0</v>
      </c>
      <c r="AF651" s="525">
        <f t="shared" si="503"/>
        <v>0</v>
      </c>
      <c r="AG651" s="525">
        <f t="shared" si="503"/>
        <v>0</v>
      </c>
      <c r="AH651" s="525">
        <f t="shared" si="503"/>
        <v>0</v>
      </c>
      <c r="AI651" s="525">
        <f t="shared" si="504"/>
        <v>0</v>
      </c>
      <c r="AJ651" s="525">
        <f t="shared" si="504"/>
        <v>0</v>
      </c>
      <c r="AK651" s="525">
        <f t="shared" si="504"/>
        <v>0</v>
      </c>
      <c r="AL651" s="525">
        <f t="shared" si="505"/>
        <v>0</v>
      </c>
    </row>
    <row r="652" spans="1:38">
      <c r="A652" s="618"/>
      <c r="B652" s="618" t="s">
        <v>450</v>
      </c>
      <c r="C652" s="619">
        <f>IF(G652&lt;&gt;0,$C$650,)</f>
        <v>1</v>
      </c>
      <c r="D652" s="523">
        <f>VLOOKUP(B652,DONGIA,DG!$B$6,0)</f>
        <v>0</v>
      </c>
      <c r="E652" s="666" t="str">
        <f>VLOOKUP(B652,DONGIA,DG!$C$6,0)</f>
        <v>Ty neo φ22x2400</v>
      </c>
      <c r="F652" s="523" t="str">
        <f>VLOOKUP(B652,DONGIA,DG!$D$6,0)</f>
        <v>cái</v>
      </c>
      <c r="G652" s="525">
        <v>1</v>
      </c>
      <c r="H652" s="525">
        <f>VLOOKUP($B652,DONGIA,DG!$E$6,0)</f>
        <v>362000</v>
      </c>
      <c r="I652" s="525"/>
      <c r="J652" s="525"/>
      <c r="K652" s="525">
        <f>VLOOKUP($B652,DONGIA,DG!$F$6,0)</f>
        <v>0</v>
      </c>
      <c r="L652" s="525"/>
      <c r="M652" s="525">
        <f>VLOOKUP($B652,DONGIA,DG!$G$6,0)</f>
        <v>0</v>
      </c>
      <c r="N652" s="525">
        <f>$G652*H652</f>
        <v>362000</v>
      </c>
      <c r="O652" s="525">
        <f t="shared" ref="O652:S655" si="538">$G652*I652</f>
        <v>0</v>
      </c>
      <c r="P652" s="525">
        <f t="shared" si="538"/>
        <v>0</v>
      </c>
      <c r="Q652" s="525">
        <f t="shared" si="538"/>
        <v>0</v>
      </c>
      <c r="R652" s="525">
        <f t="shared" si="538"/>
        <v>0</v>
      </c>
      <c r="S652" s="525">
        <f t="shared" si="538"/>
        <v>0</v>
      </c>
      <c r="U652" s="525">
        <f>U$650*$G652</f>
        <v>3</v>
      </c>
      <c r="V652" s="525">
        <f t="shared" ref="V652:AB652" si="539">V$650*$G652</f>
        <v>3</v>
      </c>
      <c r="W652" s="525">
        <f t="shared" si="539"/>
        <v>0</v>
      </c>
      <c r="X652" s="525">
        <f t="shared" si="539"/>
        <v>0</v>
      </c>
      <c r="Y652" s="525">
        <f t="shared" si="539"/>
        <v>0</v>
      </c>
      <c r="Z652" s="525">
        <f t="shared" si="539"/>
        <v>0</v>
      </c>
      <c r="AA652" s="525">
        <f t="shared" si="539"/>
        <v>0</v>
      </c>
      <c r="AB652" s="525">
        <f t="shared" si="539"/>
        <v>0</v>
      </c>
      <c r="AD652" s="405">
        <f t="shared" si="501"/>
        <v>4.2</v>
      </c>
      <c r="AE652" s="525">
        <f t="shared" si="502"/>
        <v>12.600000000000001</v>
      </c>
      <c r="AF652" s="525">
        <f t="shared" si="503"/>
        <v>12.600000000000001</v>
      </c>
      <c r="AG652" s="525">
        <f t="shared" si="503"/>
        <v>0</v>
      </c>
      <c r="AH652" s="525">
        <f t="shared" si="503"/>
        <v>0</v>
      </c>
      <c r="AI652" s="525">
        <f t="shared" si="504"/>
        <v>0</v>
      </c>
      <c r="AJ652" s="525">
        <f t="shared" si="504"/>
        <v>0</v>
      </c>
      <c r="AK652" s="525">
        <f t="shared" si="504"/>
        <v>0</v>
      </c>
      <c r="AL652" s="525">
        <f t="shared" si="505"/>
        <v>0</v>
      </c>
    </row>
    <row r="653" spans="1:38">
      <c r="A653" s="618"/>
      <c r="B653" s="618" t="s">
        <v>452</v>
      </c>
      <c r="C653" s="619">
        <f>IF(G653&lt;&gt;0,$C$650,)</f>
        <v>1</v>
      </c>
      <c r="D653" s="523">
        <f>VLOOKUP(B653,DONGIA,DG!$B$6,0)</f>
        <v>0</v>
      </c>
      <c r="E653" s="666" t="str">
        <f>VLOOKUP(B653,DONGIA,DG!$C$6,0)</f>
        <v>Neo xòe 8 hướng (dày 3,2mm) + đĩa sen</v>
      </c>
      <c r="F653" s="523" t="str">
        <f>VLOOKUP(B653,DONGIA,DG!$D$6,0)</f>
        <v>cái</v>
      </c>
      <c r="G653" s="525">
        <v>1</v>
      </c>
      <c r="H653" s="525">
        <f>VLOOKUP($B653,DONGIA,DG!$E$6,0)</f>
        <v>101000</v>
      </c>
      <c r="I653" s="525"/>
      <c r="J653" s="525"/>
      <c r="K653" s="525">
        <f>VLOOKUP($B653,DONGIA,DG!$F$6,0)</f>
        <v>0</v>
      </c>
      <c r="L653" s="525"/>
      <c r="M653" s="525">
        <f>VLOOKUP($B653,DONGIA,DG!$G$6,0)</f>
        <v>0</v>
      </c>
      <c r="N653" s="525">
        <f>$G653*H653</f>
        <v>101000</v>
      </c>
      <c r="O653" s="525">
        <f t="shared" si="538"/>
        <v>0</v>
      </c>
      <c r="P653" s="525">
        <f t="shared" si="538"/>
        <v>0</v>
      </c>
      <c r="Q653" s="525">
        <f t="shared" si="538"/>
        <v>0</v>
      </c>
      <c r="R653" s="525">
        <f t="shared" si="538"/>
        <v>0</v>
      </c>
      <c r="S653" s="525">
        <f t="shared" si="538"/>
        <v>0</v>
      </c>
      <c r="U653" s="525">
        <f>U$650*$G653</f>
        <v>3</v>
      </c>
      <c r="V653" s="525">
        <f t="shared" ref="U653:AB655" si="540">V$650*$G653</f>
        <v>3</v>
      </c>
      <c r="W653" s="525">
        <f t="shared" si="540"/>
        <v>0</v>
      </c>
      <c r="X653" s="525">
        <f t="shared" si="540"/>
        <v>0</v>
      </c>
      <c r="Y653" s="525">
        <f t="shared" si="540"/>
        <v>0</v>
      </c>
      <c r="Z653" s="525">
        <f t="shared" si="540"/>
        <v>0</v>
      </c>
      <c r="AA653" s="525">
        <f t="shared" si="540"/>
        <v>0</v>
      </c>
      <c r="AB653" s="525">
        <f t="shared" si="540"/>
        <v>0</v>
      </c>
      <c r="AD653" s="405">
        <f t="shared" si="501"/>
        <v>0.8</v>
      </c>
      <c r="AE653" s="525">
        <f t="shared" si="502"/>
        <v>2.4000000000000004</v>
      </c>
      <c r="AF653" s="525">
        <f t="shared" si="503"/>
        <v>2.4000000000000004</v>
      </c>
      <c r="AG653" s="525">
        <f t="shared" si="503"/>
        <v>0</v>
      </c>
      <c r="AH653" s="525">
        <f t="shared" si="503"/>
        <v>0</v>
      </c>
      <c r="AI653" s="525">
        <f t="shared" si="504"/>
        <v>0</v>
      </c>
      <c r="AJ653" s="525">
        <f t="shared" si="504"/>
        <v>0</v>
      </c>
      <c r="AK653" s="525">
        <f t="shared" si="504"/>
        <v>0</v>
      </c>
      <c r="AL653" s="525">
        <f t="shared" si="505"/>
        <v>0</v>
      </c>
    </row>
    <row r="654" spans="1:38">
      <c r="A654" s="618"/>
      <c r="B654" s="618" t="s">
        <v>499</v>
      </c>
      <c r="C654" s="619">
        <f>IF(G654&lt;&gt;0,$C$650,)</f>
        <v>1</v>
      </c>
      <c r="D654" s="523" t="str">
        <f>VLOOKUP(B654,DONGIA,DG!$B$6,0)</f>
        <v>AB.11423</v>
      </c>
      <c r="E654" s="666" t="str">
        <f>VLOOKUP(B654,DONGIA,DG!$C$6,0)</f>
        <v>Đào hố móng đất cấp 3 sâu &gt;1m (rộng ≤1m)</v>
      </c>
      <c r="F654" s="523" t="str">
        <f>VLOOKUP(B654,DONGIA,DG!$D$6,0)</f>
        <v>m3</v>
      </c>
      <c r="G654" s="626">
        <v>0.45100000000000001</v>
      </c>
      <c r="H654" s="525"/>
      <c r="I654" s="525"/>
      <c r="J654" s="525">
        <f>VLOOKUP($B654,DONGIA,DG!$F$6,0)</f>
        <v>418738</v>
      </c>
      <c r="K654" s="525"/>
      <c r="L654" s="525"/>
      <c r="M654" s="525">
        <f>VLOOKUP($B654,DONGIA,DG!$G$6,0)</f>
        <v>0</v>
      </c>
      <c r="N654" s="525">
        <f>$G654*H654</f>
        <v>0</v>
      </c>
      <c r="O654" s="525">
        <f t="shared" si="538"/>
        <v>0</v>
      </c>
      <c r="P654" s="525">
        <f t="shared" si="538"/>
        <v>188850.83800000002</v>
      </c>
      <c r="Q654" s="525">
        <f t="shared" si="538"/>
        <v>0</v>
      </c>
      <c r="R654" s="525">
        <f t="shared" si="538"/>
        <v>0</v>
      </c>
      <c r="S654" s="525">
        <f t="shared" si="538"/>
        <v>0</v>
      </c>
      <c r="U654" s="525">
        <f t="shared" si="540"/>
        <v>1.353</v>
      </c>
      <c r="V654" s="525">
        <f t="shared" si="540"/>
        <v>1.353</v>
      </c>
      <c r="W654" s="525">
        <f t="shared" si="540"/>
        <v>0</v>
      </c>
      <c r="X654" s="525">
        <f t="shared" si="540"/>
        <v>0</v>
      </c>
      <c r="Y654" s="525">
        <f t="shared" si="540"/>
        <v>0</v>
      </c>
      <c r="Z654" s="525">
        <f t="shared" si="540"/>
        <v>0</v>
      </c>
      <c r="AA654" s="525">
        <f t="shared" si="540"/>
        <v>0</v>
      </c>
      <c r="AB654" s="525">
        <f t="shared" si="540"/>
        <v>0</v>
      </c>
      <c r="AD654" s="405">
        <f t="shared" si="501"/>
        <v>0</v>
      </c>
      <c r="AE654" s="525">
        <f t="shared" si="502"/>
        <v>0</v>
      </c>
      <c r="AF654" s="525">
        <f t="shared" si="503"/>
        <v>0</v>
      </c>
      <c r="AG654" s="525">
        <f t="shared" si="503"/>
        <v>0</v>
      </c>
      <c r="AH654" s="525">
        <f t="shared" si="503"/>
        <v>0</v>
      </c>
      <c r="AI654" s="525">
        <f t="shared" si="504"/>
        <v>0</v>
      </c>
      <c r="AJ654" s="525">
        <f t="shared" si="504"/>
        <v>0</v>
      </c>
      <c r="AK654" s="525">
        <f t="shared" si="504"/>
        <v>0</v>
      </c>
      <c r="AL654" s="525">
        <f t="shared" si="505"/>
        <v>0</v>
      </c>
    </row>
    <row r="655" spans="1:38">
      <c r="A655" s="618"/>
      <c r="B655" s="618" t="s">
        <v>510</v>
      </c>
      <c r="C655" s="619">
        <f>IF(G655&lt;&gt;0,$C$650,)</f>
        <v>1</v>
      </c>
      <c r="D655" s="523" t="str">
        <f>VLOOKUP(B655,DONGIA,DG!$B$6,0)</f>
        <v>AB.65110</v>
      </c>
      <c r="E655" s="666" t="str">
        <f>VLOOKUP(B655,DONGIA,DG!$C$6,0)</f>
        <v>Đắp đất hố móng (K=0,85)</v>
      </c>
      <c r="F655" s="523" t="str">
        <f>VLOOKUP(B655,DONGIA,DG!$D$6,0)</f>
        <v>m3</v>
      </c>
      <c r="G655" s="626">
        <f>G654</f>
        <v>0.45100000000000001</v>
      </c>
      <c r="H655" s="525"/>
      <c r="I655" s="525"/>
      <c r="J655" s="525">
        <f>VLOOKUP($B655,DONGIA,DG!$F$6,0)</f>
        <v>16267</v>
      </c>
      <c r="K655" s="525"/>
      <c r="L655" s="525">
        <f>VLOOKUP($B655,DONGIA,DG!$G$6,0)</f>
        <v>11176</v>
      </c>
      <c r="M655" s="525"/>
      <c r="N655" s="525">
        <f>$G655*H655</f>
        <v>0</v>
      </c>
      <c r="O655" s="525">
        <f t="shared" si="538"/>
        <v>0</v>
      </c>
      <c r="P655" s="525">
        <f t="shared" si="538"/>
        <v>7336.4170000000004</v>
      </c>
      <c r="Q655" s="525">
        <f t="shared" si="538"/>
        <v>0</v>
      </c>
      <c r="R655" s="525">
        <f t="shared" si="538"/>
        <v>5040.3760000000002</v>
      </c>
      <c r="S655" s="525">
        <f t="shared" si="538"/>
        <v>0</v>
      </c>
      <c r="U655" s="525">
        <f t="shared" si="540"/>
        <v>1.353</v>
      </c>
      <c r="V655" s="525">
        <f t="shared" si="540"/>
        <v>1.353</v>
      </c>
      <c r="W655" s="525">
        <f t="shared" si="540"/>
        <v>0</v>
      </c>
      <c r="X655" s="525">
        <f t="shared" si="540"/>
        <v>0</v>
      </c>
      <c r="Y655" s="525">
        <f t="shared" si="540"/>
        <v>0</v>
      </c>
      <c r="Z655" s="525">
        <f t="shared" si="540"/>
        <v>0</v>
      </c>
      <c r="AA655" s="525">
        <f t="shared" si="540"/>
        <v>0</v>
      </c>
      <c r="AB655" s="525">
        <f t="shared" si="540"/>
        <v>0</v>
      </c>
      <c r="AD655" s="405">
        <f t="shared" si="501"/>
        <v>0</v>
      </c>
      <c r="AE655" s="525">
        <f t="shared" si="502"/>
        <v>0</v>
      </c>
      <c r="AF655" s="525">
        <f t="shared" si="503"/>
        <v>0</v>
      </c>
      <c r="AG655" s="525">
        <f t="shared" si="503"/>
        <v>0</v>
      </c>
      <c r="AH655" s="525">
        <f t="shared" si="503"/>
        <v>0</v>
      </c>
      <c r="AI655" s="525">
        <f t="shared" si="504"/>
        <v>0</v>
      </c>
      <c r="AJ655" s="525">
        <f t="shared" si="504"/>
        <v>0</v>
      </c>
      <c r="AK655" s="525">
        <f t="shared" si="504"/>
        <v>0</v>
      </c>
      <c r="AL655" s="525">
        <f t="shared" si="505"/>
        <v>0</v>
      </c>
    </row>
    <row r="656" spans="1:38">
      <c r="A656" s="618" t="s">
        <v>1393</v>
      </c>
      <c r="B656" s="618"/>
      <c r="C656" s="619">
        <f>IF(G656&lt;&gt;0,1,)</f>
        <v>0</v>
      </c>
      <c r="D656" s="622"/>
      <c r="E656" s="733" t="s">
        <v>2706</v>
      </c>
      <c r="F656" s="622" t="s">
        <v>138</v>
      </c>
      <c r="G656" s="622">
        <f>U656</f>
        <v>0</v>
      </c>
      <c r="H656" s="623"/>
      <c r="I656" s="623"/>
      <c r="J656" s="623"/>
      <c r="K656" s="623"/>
      <c r="L656" s="623"/>
      <c r="M656" s="623"/>
      <c r="N656" s="623">
        <f t="shared" ref="N656:S656" si="541">SUM(N658:N661)</f>
        <v>463000</v>
      </c>
      <c r="O656" s="623">
        <f t="shared" si="541"/>
        <v>0</v>
      </c>
      <c r="P656" s="623">
        <f t="shared" si="541"/>
        <v>109186.255</v>
      </c>
      <c r="Q656" s="623">
        <f t="shared" si="541"/>
        <v>0</v>
      </c>
      <c r="R656" s="623">
        <f t="shared" si="541"/>
        <v>0</v>
      </c>
      <c r="S656" s="623">
        <f t="shared" si="541"/>
        <v>2805.1759999999999</v>
      </c>
      <c r="U656" s="623">
        <f>SUM(V656:AB656)</f>
        <v>0</v>
      </c>
      <c r="V656" s="623">
        <f>IFERROR(HLOOKUP($A656,BK3P,V$3,0),)</f>
        <v>0</v>
      </c>
      <c r="W656" s="623">
        <f>IFERROR(HLOOKUP($A656,BK3P,W$3,0),)</f>
        <v>0</v>
      </c>
      <c r="X656" s="623">
        <f>IFERROR(HLOOKUP($A656,BK3P,X$3,0),)</f>
        <v>0</v>
      </c>
      <c r="Y656" s="623">
        <f>IFERROR(HLOOKUP($A656,BK1P,Y$3,0),)</f>
        <v>0</v>
      </c>
      <c r="Z656" s="623">
        <f>IFERROR(HLOOKUP($A656,BK1P,Z$3,0),)</f>
        <v>0</v>
      </c>
      <c r="AA656" s="623">
        <f>IFERROR(HLOOKUP($A656,BK1P,AA$3,0),)</f>
        <v>0</v>
      </c>
      <c r="AB656" s="623">
        <f>IFERROR(HLOOKUP($A656,BKHT,AB$3,0),)</f>
        <v>0</v>
      </c>
      <c r="AD656" s="405">
        <f t="shared" si="501"/>
        <v>0</v>
      </c>
      <c r="AE656" s="525">
        <f t="shared" si="502"/>
        <v>0</v>
      </c>
      <c r="AF656" s="525">
        <f t="shared" si="503"/>
        <v>0</v>
      </c>
      <c r="AG656" s="525">
        <f t="shared" si="503"/>
        <v>0</v>
      </c>
      <c r="AH656" s="525">
        <f t="shared" si="503"/>
        <v>0</v>
      </c>
      <c r="AI656" s="525">
        <f t="shared" si="504"/>
        <v>0</v>
      </c>
      <c r="AJ656" s="525">
        <f t="shared" si="504"/>
        <v>0</v>
      </c>
      <c r="AK656" s="525">
        <f t="shared" si="504"/>
        <v>0</v>
      </c>
      <c r="AL656" s="525">
        <f t="shared" si="505"/>
        <v>0</v>
      </c>
    </row>
    <row r="657" spans="1:38" s="542" customFormat="1">
      <c r="A657" s="624"/>
      <c r="B657" s="624"/>
      <c r="C657" s="625">
        <f>C656</f>
        <v>0</v>
      </c>
      <c r="D657" s="544"/>
      <c r="E657" s="734" t="s">
        <v>1659</v>
      </c>
      <c r="F657" s="544"/>
      <c r="G657" s="545"/>
      <c r="H657" s="545"/>
      <c r="I657" s="545"/>
      <c r="J657" s="545"/>
      <c r="K657" s="545"/>
      <c r="L657" s="545"/>
      <c r="M657" s="545"/>
      <c r="N657" s="545"/>
      <c r="O657" s="545"/>
      <c r="P657" s="545"/>
      <c r="Q657" s="545"/>
      <c r="R657" s="545"/>
      <c r="S657" s="545"/>
      <c r="U657" s="545"/>
      <c r="V657" s="545"/>
      <c r="W657" s="545"/>
      <c r="X657" s="545"/>
      <c r="Y657" s="545"/>
      <c r="Z657" s="545"/>
      <c r="AA657" s="545"/>
      <c r="AB657" s="545"/>
      <c r="AD657" s="405">
        <f t="shared" si="501"/>
        <v>0</v>
      </c>
      <c r="AE657" s="525">
        <f t="shared" si="502"/>
        <v>0</v>
      </c>
      <c r="AF657" s="525">
        <f t="shared" si="503"/>
        <v>0</v>
      </c>
      <c r="AG657" s="525">
        <f t="shared" si="503"/>
        <v>0</v>
      </c>
      <c r="AH657" s="525">
        <f t="shared" si="503"/>
        <v>0</v>
      </c>
      <c r="AI657" s="525">
        <f t="shared" si="504"/>
        <v>0</v>
      </c>
      <c r="AJ657" s="525">
        <f t="shared" si="504"/>
        <v>0</v>
      </c>
      <c r="AK657" s="525">
        <f t="shared" si="504"/>
        <v>0</v>
      </c>
      <c r="AL657" s="525">
        <f t="shared" si="505"/>
        <v>0</v>
      </c>
    </row>
    <row r="658" spans="1:38">
      <c r="A658" s="618"/>
      <c r="B658" s="618" t="s">
        <v>450</v>
      </c>
      <c r="C658" s="619">
        <f>IF(G658&lt;&gt;0,$C$656,)</f>
        <v>0</v>
      </c>
      <c r="D658" s="523">
        <f>VLOOKUP(B658,DONGIA,DG!$B$6,0)</f>
        <v>0</v>
      </c>
      <c r="E658" s="666" t="str">
        <f>VLOOKUP(B658,DONGIA,DG!$C$6,0)</f>
        <v>Ty neo φ22x2400</v>
      </c>
      <c r="F658" s="523" t="str">
        <f>VLOOKUP(B658,DONGIA,DG!$D$6,0)</f>
        <v>cái</v>
      </c>
      <c r="G658" s="525">
        <v>1</v>
      </c>
      <c r="H658" s="525">
        <f>VLOOKUP($B658,DONGIA,DG!$E$6,0)</f>
        <v>362000</v>
      </c>
      <c r="I658" s="525"/>
      <c r="J658" s="525"/>
      <c r="K658" s="525">
        <f>VLOOKUP($B658,DONGIA,DG!$F$6,0)</f>
        <v>0</v>
      </c>
      <c r="L658" s="525"/>
      <c r="M658" s="525">
        <f>VLOOKUP($B658,DONGIA,DG!$G$6,0)</f>
        <v>0</v>
      </c>
      <c r="N658" s="525">
        <f>$G658*H658</f>
        <v>362000</v>
      </c>
      <c r="O658" s="525">
        <f t="shared" ref="O658:S661" si="542">$G658*I658</f>
        <v>0</v>
      </c>
      <c r="P658" s="525">
        <f t="shared" si="542"/>
        <v>0</v>
      </c>
      <c r="Q658" s="525">
        <f t="shared" si="542"/>
        <v>0</v>
      </c>
      <c r="R658" s="525">
        <f t="shared" si="542"/>
        <v>0</v>
      </c>
      <c r="S658" s="525">
        <f t="shared" si="542"/>
        <v>0</v>
      </c>
      <c r="U658" s="525">
        <f>U$656*$G658</f>
        <v>0</v>
      </c>
      <c r="V658" s="525">
        <f t="shared" ref="V658:AB658" si="543">V$656*$G658</f>
        <v>0</v>
      </c>
      <c r="W658" s="525">
        <f t="shared" si="543"/>
        <v>0</v>
      </c>
      <c r="X658" s="525">
        <f t="shared" si="543"/>
        <v>0</v>
      </c>
      <c r="Y658" s="525">
        <f t="shared" si="543"/>
        <v>0</v>
      </c>
      <c r="Z658" s="525">
        <f t="shared" si="543"/>
        <v>0</v>
      </c>
      <c r="AA658" s="525">
        <f t="shared" si="543"/>
        <v>0</v>
      </c>
      <c r="AB658" s="525">
        <f t="shared" si="543"/>
        <v>0</v>
      </c>
      <c r="AD658" s="405">
        <f t="shared" si="501"/>
        <v>4.2</v>
      </c>
      <c r="AE658" s="525">
        <f t="shared" si="502"/>
        <v>0</v>
      </c>
      <c r="AF658" s="525">
        <f t="shared" si="503"/>
        <v>0</v>
      </c>
      <c r="AG658" s="525">
        <f t="shared" si="503"/>
        <v>0</v>
      </c>
      <c r="AH658" s="525">
        <f t="shared" si="503"/>
        <v>0</v>
      </c>
      <c r="AI658" s="525">
        <f t="shared" si="504"/>
        <v>0</v>
      </c>
      <c r="AJ658" s="525">
        <f t="shared" si="504"/>
        <v>0</v>
      </c>
      <c r="AK658" s="525">
        <f t="shared" si="504"/>
        <v>0</v>
      </c>
      <c r="AL658" s="525">
        <f t="shared" si="505"/>
        <v>0</v>
      </c>
    </row>
    <row r="659" spans="1:38">
      <c r="A659" s="618"/>
      <c r="B659" s="618" t="s">
        <v>452</v>
      </c>
      <c r="C659" s="619">
        <f>IF(G659&lt;&gt;0,$C$656,)</f>
        <v>0</v>
      </c>
      <c r="D659" s="523">
        <f>VLOOKUP(B659,DONGIA,DG!$B$6,0)</f>
        <v>0</v>
      </c>
      <c r="E659" s="666" t="str">
        <f>VLOOKUP(B659,DONGIA,DG!$C$6,0)</f>
        <v>Neo xòe 8 hướng (dày 3,2mm) + đĩa sen</v>
      </c>
      <c r="F659" s="523" t="str">
        <f>VLOOKUP(B659,DONGIA,DG!$D$6,0)</f>
        <v>cái</v>
      </c>
      <c r="G659" s="525">
        <v>1</v>
      </c>
      <c r="H659" s="525">
        <f>VLOOKUP($B659,DONGIA,DG!$E$6,0)</f>
        <v>101000</v>
      </c>
      <c r="I659" s="525"/>
      <c r="J659" s="525"/>
      <c r="K659" s="525">
        <f>VLOOKUP($B659,DONGIA,DG!$F$6,0)</f>
        <v>0</v>
      </c>
      <c r="L659" s="525"/>
      <c r="M659" s="525">
        <f>VLOOKUP($B659,DONGIA,DG!$G$6,0)</f>
        <v>0</v>
      </c>
      <c r="N659" s="525">
        <f>$G659*H659</f>
        <v>101000</v>
      </c>
      <c r="O659" s="525">
        <f t="shared" si="542"/>
        <v>0</v>
      </c>
      <c r="P659" s="525">
        <f t="shared" si="542"/>
        <v>0</v>
      </c>
      <c r="Q659" s="525">
        <f t="shared" si="542"/>
        <v>0</v>
      </c>
      <c r="R659" s="525">
        <f t="shared" si="542"/>
        <v>0</v>
      </c>
      <c r="S659" s="525">
        <f t="shared" si="542"/>
        <v>0</v>
      </c>
      <c r="U659" s="525">
        <f t="shared" ref="U659:AB661" si="544">U$656*$G659</f>
        <v>0</v>
      </c>
      <c r="V659" s="525">
        <f t="shared" si="544"/>
        <v>0</v>
      </c>
      <c r="W659" s="525">
        <f t="shared" si="544"/>
        <v>0</v>
      </c>
      <c r="X659" s="525">
        <f t="shared" si="544"/>
        <v>0</v>
      </c>
      <c r="Y659" s="525">
        <f t="shared" si="544"/>
        <v>0</v>
      </c>
      <c r="Z659" s="525">
        <f t="shared" si="544"/>
        <v>0</v>
      </c>
      <c r="AA659" s="525">
        <f t="shared" si="544"/>
        <v>0</v>
      </c>
      <c r="AB659" s="525">
        <f t="shared" si="544"/>
        <v>0</v>
      </c>
      <c r="AD659" s="405">
        <f t="shared" si="501"/>
        <v>0.8</v>
      </c>
      <c r="AE659" s="525">
        <f t="shared" si="502"/>
        <v>0</v>
      </c>
      <c r="AF659" s="525">
        <f t="shared" si="503"/>
        <v>0</v>
      </c>
      <c r="AG659" s="525">
        <f t="shared" si="503"/>
        <v>0</v>
      </c>
      <c r="AH659" s="525">
        <f t="shared" si="503"/>
        <v>0</v>
      </c>
      <c r="AI659" s="525">
        <f t="shared" si="504"/>
        <v>0</v>
      </c>
      <c r="AJ659" s="525">
        <f t="shared" si="504"/>
        <v>0</v>
      </c>
      <c r="AK659" s="525">
        <f t="shared" si="504"/>
        <v>0</v>
      </c>
      <c r="AL659" s="525">
        <f t="shared" si="505"/>
        <v>0</v>
      </c>
    </row>
    <row r="660" spans="1:38">
      <c r="A660" s="618"/>
      <c r="B660" s="618" t="s">
        <v>499</v>
      </c>
      <c r="C660" s="619">
        <f>IF(G660&lt;&gt;0,$C$656,)</f>
        <v>0</v>
      </c>
      <c r="D660" s="523" t="str">
        <f>VLOOKUP(B660,DONGIA,DG!$B$6,0)</f>
        <v>AB.11423</v>
      </c>
      <c r="E660" s="666" t="str">
        <f>VLOOKUP(B660,DONGIA,DG!$C$6,0)</f>
        <v>Đào hố móng đất cấp 3 sâu &gt;1m (rộng ≤1m)</v>
      </c>
      <c r="F660" s="523" t="str">
        <f>VLOOKUP(B660,DONGIA,DG!$D$6,0)</f>
        <v>m3</v>
      </c>
      <c r="G660" s="626">
        <f>ROUND(0.2*0.2*3.14159*2,3)</f>
        <v>0.251</v>
      </c>
      <c r="H660" s="525"/>
      <c r="I660" s="525"/>
      <c r="J660" s="525">
        <f>VLOOKUP($B660,DONGIA,DG!$F$6,0)</f>
        <v>418738</v>
      </c>
      <c r="K660" s="525"/>
      <c r="L660" s="525"/>
      <c r="M660" s="525">
        <f>VLOOKUP($B660,DONGIA,DG!$G$6,0)</f>
        <v>0</v>
      </c>
      <c r="N660" s="525">
        <f>$G660*H660</f>
        <v>0</v>
      </c>
      <c r="O660" s="525">
        <f t="shared" si="542"/>
        <v>0</v>
      </c>
      <c r="P660" s="525">
        <f t="shared" si="542"/>
        <v>105103.238</v>
      </c>
      <c r="Q660" s="525">
        <f t="shared" si="542"/>
        <v>0</v>
      </c>
      <c r="R660" s="525">
        <f t="shared" si="542"/>
        <v>0</v>
      </c>
      <c r="S660" s="525">
        <f t="shared" si="542"/>
        <v>0</v>
      </c>
      <c r="U660" s="525">
        <f t="shared" si="544"/>
        <v>0</v>
      </c>
      <c r="V660" s="525">
        <f t="shared" si="544"/>
        <v>0</v>
      </c>
      <c r="W660" s="525">
        <f t="shared" si="544"/>
        <v>0</v>
      </c>
      <c r="X660" s="525">
        <f t="shared" si="544"/>
        <v>0</v>
      </c>
      <c r="Y660" s="525">
        <f t="shared" si="544"/>
        <v>0</v>
      </c>
      <c r="Z660" s="525">
        <f t="shared" si="544"/>
        <v>0</v>
      </c>
      <c r="AA660" s="525">
        <f t="shared" si="544"/>
        <v>0</v>
      </c>
      <c r="AB660" s="525">
        <f t="shared" si="544"/>
        <v>0</v>
      </c>
      <c r="AD660" s="405">
        <f t="shared" si="501"/>
        <v>0</v>
      </c>
      <c r="AE660" s="525">
        <f t="shared" si="502"/>
        <v>0</v>
      </c>
      <c r="AF660" s="525">
        <f t="shared" si="503"/>
        <v>0</v>
      </c>
      <c r="AG660" s="525">
        <f t="shared" si="503"/>
        <v>0</v>
      </c>
      <c r="AH660" s="525">
        <f t="shared" si="503"/>
        <v>0</v>
      </c>
      <c r="AI660" s="525">
        <f t="shared" si="504"/>
        <v>0</v>
      </c>
      <c r="AJ660" s="525">
        <f t="shared" si="504"/>
        <v>0</v>
      </c>
      <c r="AK660" s="525">
        <f t="shared" si="504"/>
        <v>0</v>
      </c>
      <c r="AL660" s="525">
        <f t="shared" si="505"/>
        <v>0</v>
      </c>
    </row>
    <row r="661" spans="1:38">
      <c r="A661" s="618"/>
      <c r="B661" s="618" t="s">
        <v>510</v>
      </c>
      <c r="C661" s="619">
        <f>IF(G661&lt;&gt;0,$C$656,)</f>
        <v>0</v>
      </c>
      <c r="D661" s="523" t="str">
        <f>VLOOKUP(B661,DONGIA,DG!$B$6,0)</f>
        <v>AB.65110</v>
      </c>
      <c r="E661" s="666" t="str">
        <f>VLOOKUP(B661,DONGIA,DG!$C$6,0)</f>
        <v>Đắp đất hố móng (K=0,85)</v>
      </c>
      <c r="F661" s="523" t="str">
        <f>VLOOKUP(B661,DONGIA,DG!$D$6,0)</f>
        <v>m3</v>
      </c>
      <c r="G661" s="626">
        <f>G660</f>
        <v>0.251</v>
      </c>
      <c r="H661" s="525"/>
      <c r="I661" s="525"/>
      <c r="J661" s="525">
        <f>VLOOKUP($B661,DONGIA,DG!$F$6,0)</f>
        <v>16267</v>
      </c>
      <c r="K661" s="525"/>
      <c r="L661" s="525"/>
      <c r="M661" s="525">
        <f>VLOOKUP($B661,DONGIA,DG!$G$6,0)</f>
        <v>11176</v>
      </c>
      <c r="N661" s="525">
        <f>$G661*H661</f>
        <v>0</v>
      </c>
      <c r="O661" s="525">
        <f t="shared" si="542"/>
        <v>0</v>
      </c>
      <c r="P661" s="525">
        <f t="shared" si="542"/>
        <v>4083.0169999999998</v>
      </c>
      <c r="Q661" s="525">
        <f t="shared" si="542"/>
        <v>0</v>
      </c>
      <c r="R661" s="525">
        <f t="shared" si="542"/>
        <v>0</v>
      </c>
      <c r="S661" s="525">
        <f t="shared" si="542"/>
        <v>2805.1759999999999</v>
      </c>
      <c r="U661" s="525">
        <f t="shared" si="544"/>
        <v>0</v>
      </c>
      <c r="V661" s="525">
        <f t="shared" si="544"/>
        <v>0</v>
      </c>
      <c r="W661" s="525">
        <f t="shared" si="544"/>
        <v>0</v>
      </c>
      <c r="X661" s="525">
        <f t="shared" si="544"/>
        <v>0</v>
      </c>
      <c r="Y661" s="525">
        <f t="shared" si="544"/>
        <v>0</v>
      </c>
      <c r="Z661" s="525">
        <f t="shared" si="544"/>
        <v>0</v>
      </c>
      <c r="AA661" s="525">
        <f t="shared" si="544"/>
        <v>0</v>
      </c>
      <c r="AB661" s="525">
        <f t="shared" si="544"/>
        <v>0</v>
      </c>
      <c r="AD661" s="405">
        <f t="shared" si="501"/>
        <v>0</v>
      </c>
      <c r="AE661" s="525">
        <f t="shared" si="502"/>
        <v>0</v>
      </c>
      <c r="AF661" s="525">
        <f t="shared" si="503"/>
        <v>0</v>
      </c>
      <c r="AG661" s="525">
        <f t="shared" si="503"/>
        <v>0</v>
      </c>
      <c r="AH661" s="525">
        <f t="shared" si="503"/>
        <v>0</v>
      </c>
      <c r="AI661" s="525">
        <f t="shared" si="504"/>
        <v>0</v>
      </c>
      <c r="AJ661" s="525">
        <f t="shared" si="504"/>
        <v>0</v>
      </c>
      <c r="AK661" s="525">
        <f t="shared" si="504"/>
        <v>0</v>
      </c>
      <c r="AL661" s="525">
        <f t="shared" si="505"/>
        <v>0</v>
      </c>
    </row>
    <row r="662" spans="1:38">
      <c r="A662" s="618" t="s">
        <v>2592</v>
      </c>
      <c r="B662" s="618"/>
      <c r="C662" s="619">
        <f>IF(G662&lt;&gt;0,1,)</f>
        <v>1</v>
      </c>
      <c r="D662" s="622"/>
      <c r="E662" s="733" t="s">
        <v>2704</v>
      </c>
      <c r="F662" s="622" t="s">
        <v>138</v>
      </c>
      <c r="G662" s="622">
        <f>U662</f>
        <v>2</v>
      </c>
      <c r="H662" s="623"/>
      <c r="I662" s="623"/>
      <c r="J662" s="623"/>
      <c r="K662" s="623"/>
      <c r="L662" s="623"/>
      <c r="M662" s="623"/>
      <c r="N662" s="623">
        <f t="shared" ref="N662:S662" si="545">SUM(N664:N668)</f>
        <v>463000</v>
      </c>
      <c r="O662" s="623">
        <f t="shared" si="545"/>
        <v>0</v>
      </c>
      <c r="P662" s="623">
        <f t="shared" si="545"/>
        <v>540613.79200000002</v>
      </c>
      <c r="Q662" s="623">
        <f t="shared" si="545"/>
        <v>0</v>
      </c>
      <c r="R662" s="623">
        <f t="shared" si="545"/>
        <v>18507.455999999998</v>
      </c>
      <c r="S662" s="623">
        <f t="shared" si="545"/>
        <v>596420.44799999997</v>
      </c>
      <c r="U662" s="623">
        <f>SUM(V662:AB662)</f>
        <v>2</v>
      </c>
      <c r="V662" s="623">
        <f>IFERROR(HLOOKUP($A662,BK3P,V$3,0),)</f>
        <v>2</v>
      </c>
      <c r="W662" s="623">
        <f>IFERROR(HLOOKUP($A662,BK3P,W$3,0),)</f>
        <v>0</v>
      </c>
      <c r="X662" s="623">
        <f>IFERROR(HLOOKUP($A662,BK3P,X$3,0),)</f>
        <v>0</v>
      </c>
      <c r="Y662" s="623">
        <f>IFERROR(HLOOKUP($A662,BK1P,Y$3,0),)</f>
        <v>0</v>
      </c>
      <c r="Z662" s="623">
        <f>IFERROR(HLOOKUP($A662,BK1P,Z$3,0),)</f>
        <v>0</v>
      </c>
      <c r="AA662" s="623">
        <f>IFERROR(HLOOKUP($A662,BK1P,AA$3,0),)</f>
        <v>0</v>
      </c>
      <c r="AB662" s="623">
        <f>IFERROR(HLOOKUP($A662,BKHT,AB$3,0),)</f>
        <v>0</v>
      </c>
      <c r="AD662" s="405">
        <f t="shared" ref="AD662:AD675" si="546">IFERROR(VLOOKUP(B662,DONGIA,$AD$3,0),0)</f>
        <v>0</v>
      </c>
      <c r="AE662" s="525">
        <f t="shared" ref="AE662:AE675" si="547">U662*$AD662</f>
        <v>0</v>
      </c>
      <c r="AF662" s="525">
        <f t="shared" ref="AF662:AF675" si="548">V662*$AD662</f>
        <v>0</v>
      </c>
      <c r="AG662" s="525">
        <f t="shared" ref="AG662:AG675" si="549">W662*$AD662</f>
        <v>0</v>
      </c>
      <c r="AH662" s="525">
        <f t="shared" ref="AH662:AH675" si="550">X662*$AD662</f>
        <v>0</v>
      </c>
      <c r="AI662" s="525">
        <f t="shared" ref="AI662:AI675" si="551">Y662*$AD662</f>
        <v>0</v>
      </c>
      <c r="AJ662" s="525">
        <f t="shared" ref="AJ662:AJ675" si="552">Z662*$AD662</f>
        <v>0</v>
      </c>
      <c r="AK662" s="525">
        <f t="shared" ref="AK662:AK675" si="553">AA662*$AD662</f>
        <v>0</v>
      </c>
      <c r="AL662" s="525">
        <f t="shared" ref="AL662:AL675" si="554">AB662*$AD662</f>
        <v>0</v>
      </c>
    </row>
    <row r="663" spans="1:38" s="542" customFormat="1">
      <c r="A663" s="624"/>
      <c r="B663" s="624"/>
      <c r="C663" s="625">
        <f>C662</f>
        <v>1</v>
      </c>
      <c r="D663" s="544"/>
      <c r="E663" s="734" t="s">
        <v>1659</v>
      </c>
      <c r="F663" s="544"/>
      <c r="G663" s="545"/>
      <c r="H663" s="545"/>
      <c r="I663" s="545"/>
      <c r="J663" s="545"/>
      <c r="K663" s="545"/>
      <c r="L663" s="545"/>
      <c r="M663" s="545"/>
      <c r="N663" s="545"/>
      <c r="O663" s="545"/>
      <c r="P663" s="545"/>
      <c r="Q663" s="545"/>
      <c r="R663" s="545"/>
      <c r="S663" s="545"/>
      <c r="U663" s="545"/>
      <c r="V663" s="545"/>
      <c r="W663" s="545"/>
      <c r="X663" s="545"/>
      <c r="Y663" s="545"/>
      <c r="Z663" s="545"/>
      <c r="AA663" s="545"/>
      <c r="AB663" s="545"/>
      <c r="AD663" s="405">
        <f t="shared" si="546"/>
        <v>0</v>
      </c>
      <c r="AE663" s="525">
        <f t="shared" si="547"/>
        <v>0</v>
      </c>
      <c r="AF663" s="525">
        <f t="shared" si="548"/>
        <v>0</v>
      </c>
      <c r="AG663" s="525">
        <f t="shared" si="549"/>
        <v>0</v>
      </c>
      <c r="AH663" s="525">
        <f t="shared" si="550"/>
        <v>0</v>
      </c>
      <c r="AI663" s="525">
        <f t="shared" si="551"/>
        <v>0</v>
      </c>
      <c r="AJ663" s="525">
        <f t="shared" si="552"/>
        <v>0</v>
      </c>
      <c r="AK663" s="525">
        <f t="shared" si="553"/>
        <v>0</v>
      </c>
      <c r="AL663" s="525">
        <f t="shared" si="554"/>
        <v>0</v>
      </c>
    </row>
    <row r="664" spans="1:38">
      <c r="A664" s="618"/>
      <c r="B664" s="618" t="s">
        <v>450</v>
      </c>
      <c r="C664" s="619">
        <f>IF(G664&lt;&gt;0,$C$650,)</f>
        <v>1</v>
      </c>
      <c r="D664" s="523">
        <f>VLOOKUP(B664,DONGIA,DG!$B$6,0)</f>
        <v>0</v>
      </c>
      <c r="E664" s="666" t="str">
        <f>VLOOKUP(B664,DONGIA,DG!$C$6,0)</f>
        <v>Ty neo φ22x2400</v>
      </c>
      <c r="F664" s="523" t="str">
        <f>VLOOKUP(B664,DONGIA,DG!$D$6,0)</f>
        <v>cái</v>
      </c>
      <c r="G664" s="525">
        <v>1</v>
      </c>
      <c r="H664" s="525">
        <f>VLOOKUP($B664,DONGIA,DG!$E$6,0)</f>
        <v>362000</v>
      </c>
      <c r="I664" s="525"/>
      <c r="J664" s="525"/>
      <c r="K664" s="525">
        <f>VLOOKUP($B664,DONGIA,DG!$F$6,0)</f>
        <v>0</v>
      </c>
      <c r="L664" s="525"/>
      <c r="M664" s="525">
        <f>VLOOKUP($B664,DONGIA,DG!$G$6,0)</f>
        <v>0</v>
      </c>
      <c r="N664" s="525">
        <f t="shared" ref="N664:S668" si="555">$G664*H664</f>
        <v>362000</v>
      </c>
      <c r="O664" s="525">
        <f t="shared" si="555"/>
        <v>0</v>
      </c>
      <c r="P664" s="525">
        <f t="shared" si="555"/>
        <v>0</v>
      </c>
      <c r="Q664" s="525">
        <f t="shared" si="555"/>
        <v>0</v>
      </c>
      <c r="R664" s="525">
        <f t="shared" si="555"/>
        <v>0</v>
      </c>
      <c r="S664" s="525">
        <f t="shared" si="555"/>
        <v>0</v>
      </c>
      <c r="U664" s="525">
        <f>U$662*$G664</f>
        <v>2</v>
      </c>
      <c r="V664" s="525">
        <f t="shared" ref="V664:AA664" si="556">V$662*$G664</f>
        <v>2</v>
      </c>
      <c r="W664" s="525">
        <f t="shared" si="556"/>
        <v>0</v>
      </c>
      <c r="X664" s="525">
        <f t="shared" si="556"/>
        <v>0</v>
      </c>
      <c r="Y664" s="525">
        <f t="shared" si="556"/>
        <v>0</v>
      </c>
      <c r="Z664" s="525">
        <f t="shared" si="556"/>
        <v>0</v>
      </c>
      <c r="AA664" s="525">
        <f t="shared" si="556"/>
        <v>0</v>
      </c>
      <c r="AB664" s="525">
        <f>AB$650*$G664</f>
        <v>0</v>
      </c>
      <c r="AD664" s="405">
        <f t="shared" si="546"/>
        <v>4.2</v>
      </c>
      <c r="AE664" s="525">
        <f t="shared" si="547"/>
        <v>8.4</v>
      </c>
      <c r="AF664" s="525">
        <f t="shared" si="548"/>
        <v>8.4</v>
      </c>
      <c r="AG664" s="525">
        <f t="shared" si="549"/>
        <v>0</v>
      </c>
      <c r="AH664" s="525">
        <f t="shared" si="550"/>
        <v>0</v>
      </c>
      <c r="AI664" s="525">
        <f t="shared" si="551"/>
        <v>0</v>
      </c>
      <c r="AJ664" s="525">
        <f t="shared" si="552"/>
        <v>0</v>
      </c>
      <c r="AK664" s="525">
        <f t="shared" si="553"/>
        <v>0</v>
      </c>
      <c r="AL664" s="525">
        <f t="shared" si="554"/>
        <v>0</v>
      </c>
    </row>
    <row r="665" spans="1:38">
      <c r="A665" s="618"/>
      <c r="B665" s="618" t="s">
        <v>452</v>
      </c>
      <c r="C665" s="619">
        <f>IF(G665&lt;&gt;0,$C$650,)</f>
        <v>1</v>
      </c>
      <c r="D665" s="523">
        <f>VLOOKUP(B665,DONGIA,DG!$B$6,0)</f>
        <v>0</v>
      </c>
      <c r="E665" s="666" t="str">
        <f>VLOOKUP(B665,DONGIA,DG!$C$6,0)</f>
        <v>Neo xòe 8 hướng (dày 3,2mm) + đĩa sen</v>
      </c>
      <c r="F665" s="523" t="str">
        <f>VLOOKUP(B665,DONGIA,DG!$D$6,0)</f>
        <v>cái</v>
      </c>
      <c r="G665" s="525">
        <v>1</v>
      </c>
      <c r="H665" s="525">
        <f>VLOOKUP($B665,DONGIA,DG!$E$6,0)</f>
        <v>101000</v>
      </c>
      <c r="I665" s="525"/>
      <c r="J665" s="525"/>
      <c r="K665" s="525">
        <f>VLOOKUP($B665,DONGIA,DG!$F$6,0)</f>
        <v>0</v>
      </c>
      <c r="L665" s="525"/>
      <c r="M665" s="525">
        <f>VLOOKUP($B665,DONGIA,DG!$G$6,0)</f>
        <v>0</v>
      </c>
      <c r="N665" s="525">
        <f t="shared" si="555"/>
        <v>101000</v>
      </c>
      <c r="O665" s="525">
        <f t="shared" si="555"/>
        <v>0</v>
      </c>
      <c r="P665" s="525">
        <f t="shared" si="555"/>
        <v>0</v>
      </c>
      <c r="Q665" s="525">
        <f t="shared" si="555"/>
        <v>0</v>
      </c>
      <c r="R665" s="525">
        <f t="shared" si="555"/>
        <v>0</v>
      </c>
      <c r="S665" s="525">
        <f t="shared" si="555"/>
        <v>0</v>
      </c>
      <c r="U665" s="525">
        <f t="shared" ref="U665:AA668" si="557">U$662*$G665</f>
        <v>2</v>
      </c>
      <c r="V665" s="525">
        <f t="shared" si="557"/>
        <v>2</v>
      </c>
      <c r="W665" s="525">
        <f t="shared" si="557"/>
        <v>0</v>
      </c>
      <c r="X665" s="525">
        <f t="shared" si="557"/>
        <v>0</v>
      </c>
      <c r="Y665" s="525">
        <f t="shared" si="557"/>
        <v>0</v>
      </c>
      <c r="Z665" s="525">
        <f t="shared" si="557"/>
        <v>0</v>
      </c>
      <c r="AA665" s="525">
        <f t="shared" si="557"/>
        <v>0</v>
      </c>
      <c r="AB665" s="525">
        <f>AB$650*$G665</f>
        <v>0</v>
      </c>
      <c r="AD665" s="405">
        <f t="shared" si="546"/>
        <v>0.8</v>
      </c>
      <c r="AE665" s="525">
        <f t="shared" si="547"/>
        <v>1.6</v>
      </c>
      <c r="AF665" s="525">
        <f t="shared" si="548"/>
        <v>1.6</v>
      </c>
      <c r="AG665" s="525">
        <f t="shared" si="549"/>
        <v>0</v>
      </c>
      <c r="AH665" s="525">
        <f t="shared" si="550"/>
        <v>0</v>
      </c>
      <c r="AI665" s="525">
        <f t="shared" si="551"/>
        <v>0</v>
      </c>
      <c r="AJ665" s="525">
        <f t="shared" si="552"/>
        <v>0</v>
      </c>
      <c r="AK665" s="525">
        <f t="shared" si="553"/>
        <v>0</v>
      </c>
      <c r="AL665" s="525">
        <f t="shared" si="554"/>
        <v>0</v>
      </c>
    </row>
    <row r="666" spans="1:38">
      <c r="A666" s="618"/>
      <c r="B666" s="618" t="s">
        <v>491</v>
      </c>
      <c r="C666" s="619">
        <f>IF(G666&lt;&gt;0,$C$650,)</f>
        <v>1</v>
      </c>
      <c r="D666" s="523" t="str">
        <f>VLOOKUP(B666,DONGIA,DG!$B$6,0)</f>
        <v>AB.11413</v>
      </c>
      <c r="E666" s="666" t="str">
        <f>VLOOKUP(B666,DONGIA,DG!$C$6,0)</f>
        <v>Đào hố móng đất cấp 3 sâu ≤1m (rộng ≤1m)</v>
      </c>
      <c r="F666" s="523" t="str">
        <f>VLOOKUP(B666,DONGIA,DG!$D$6,0)</f>
        <v>m3</v>
      </c>
      <c r="G666" s="626">
        <v>0.52</v>
      </c>
      <c r="H666" s="525"/>
      <c r="I666" s="525"/>
      <c r="J666" s="525">
        <f>VLOOKUP($B666,DONGIA,DG!$F$6,0)</f>
        <v>340001</v>
      </c>
      <c r="K666" s="525"/>
      <c r="L666" s="525"/>
      <c r="M666" s="525">
        <f>VLOOKUP($B666,DONGIA,DG!$G$6,0)</f>
        <v>0</v>
      </c>
      <c r="N666" s="525">
        <f t="shared" si="555"/>
        <v>0</v>
      </c>
      <c r="O666" s="525">
        <f t="shared" si="555"/>
        <v>0</v>
      </c>
      <c r="P666" s="525">
        <f t="shared" si="555"/>
        <v>176800.52000000002</v>
      </c>
      <c r="Q666" s="525">
        <f t="shared" si="555"/>
        <v>0</v>
      </c>
      <c r="R666" s="525">
        <f t="shared" si="555"/>
        <v>0</v>
      </c>
      <c r="S666" s="525">
        <f t="shared" si="555"/>
        <v>0</v>
      </c>
      <c r="U666" s="525">
        <f t="shared" si="557"/>
        <v>1.04</v>
      </c>
      <c r="V666" s="525">
        <f t="shared" si="557"/>
        <v>1.04</v>
      </c>
      <c r="W666" s="525">
        <f t="shared" si="557"/>
        <v>0</v>
      </c>
      <c r="X666" s="525">
        <f t="shared" si="557"/>
        <v>0</v>
      </c>
      <c r="Y666" s="525">
        <f t="shared" si="557"/>
        <v>0</v>
      </c>
      <c r="Z666" s="525">
        <f t="shared" si="557"/>
        <v>0</v>
      </c>
      <c r="AA666" s="525">
        <f t="shared" si="557"/>
        <v>0</v>
      </c>
      <c r="AB666" s="525">
        <f>AB$650*$G666</f>
        <v>0</v>
      </c>
      <c r="AD666" s="405">
        <f t="shared" si="546"/>
        <v>0</v>
      </c>
      <c r="AE666" s="525">
        <f t="shared" si="547"/>
        <v>0</v>
      </c>
      <c r="AF666" s="525">
        <f t="shared" si="548"/>
        <v>0</v>
      </c>
      <c r="AG666" s="525">
        <f t="shared" si="549"/>
        <v>0</v>
      </c>
      <c r="AH666" s="525">
        <f t="shared" si="550"/>
        <v>0</v>
      </c>
      <c r="AI666" s="525">
        <f t="shared" si="551"/>
        <v>0</v>
      </c>
      <c r="AJ666" s="525">
        <f t="shared" si="552"/>
        <v>0</v>
      </c>
      <c r="AK666" s="525">
        <f t="shared" si="553"/>
        <v>0</v>
      </c>
      <c r="AL666" s="525">
        <f t="shared" si="554"/>
        <v>0</v>
      </c>
    </row>
    <row r="667" spans="1:38">
      <c r="A667" s="618"/>
      <c r="B667" s="618" t="s">
        <v>3823</v>
      </c>
      <c r="C667" s="619">
        <f>IF(G667&lt;&gt;0,$C$650,)</f>
        <v>1</v>
      </c>
      <c r="D667" s="523" t="str">
        <f>VLOOKUP(B667,DONGIA,DG!$B$6,0)</f>
        <v>AB.51613</v>
      </c>
      <c r="E667" s="666" t="str">
        <f>VLOOKUP(B667,DONGIA,DG!$C$6,0)</f>
        <v>Phá đá chân hố móng, đá cấp III (bằng búa căn)</v>
      </c>
      <c r="F667" s="523" t="str">
        <f>VLOOKUP(B667,DONGIA,DG!$D$6,0)</f>
        <v>m3</v>
      </c>
      <c r="G667" s="626">
        <v>1.1359999999999999</v>
      </c>
      <c r="H667" s="525"/>
      <c r="I667" s="525"/>
      <c r="J667" s="525">
        <f>VLOOKUP($B667,DONGIA,DG!$F$6,0)</f>
        <v>296545</v>
      </c>
      <c r="K667" s="525"/>
      <c r="L667" s="525"/>
      <c r="M667" s="525">
        <f>VLOOKUP($B667,DONGIA,DG!$G$6,0)</f>
        <v>525018</v>
      </c>
      <c r="N667" s="525">
        <f t="shared" si="555"/>
        <v>0</v>
      </c>
      <c r="O667" s="525">
        <f t="shared" si="555"/>
        <v>0</v>
      </c>
      <c r="P667" s="525">
        <f t="shared" si="555"/>
        <v>336875.12</v>
      </c>
      <c r="Q667" s="525">
        <f t="shared" si="555"/>
        <v>0</v>
      </c>
      <c r="R667" s="525">
        <f t="shared" si="555"/>
        <v>0</v>
      </c>
      <c r="S667" s="525">
        <f t="shared" si="555"/>
        <v>596420.44799999997</v>
      </c>
      <c r="U667" s="525">
        <f t="shared" si="557"/>
        <v>2.2719999999999998</v>
      </c>
      <c r="V667" s="525">
        <f t="shared" si="557"/>
        <v>2.2719999999999998</v>
      </c>
      <c r="W667" s="525">
        <f t="shared" si="557"/>
        <v>0</v>
      </c>
      <c r="X667" s="525">
        <f t="shared" si="557"/>
        <v>0</v>
      </c>
      <c r="Y667" s="525">
        <f t="shared" si="557"/>
        <v>0</v>
      </c>
      <c r="Z667" s="525">
        <f t="shared" si="557"/>
        <v>0</v>
      </c>
      <c r="AA667" s="525">
        <f t="shared" si="557"/>
        <v>0</v>
      </c>
      <c r="AB667" s="525">
        <f>AB$650*$G667</f>
        <v>0</v>
      </c>
      <c r="AD667" s="405">
        <f>IFERROR(VLOOKUP(B667,DONGIA,$AD$3,0),0)</f>
        <v>0</v>
      </c>
      <c r="AE667" s="525">
        <f t="shared" ref="AE667:AL667" si="558">U667*$AD667</f>
        <v>0</v>
      </c>
      <c r="AF667" s="525">
        <f t="shared" si="558"/>
        <v>0</v>
      </c>
      <c r="AG667" s="525">
        <f t="shared" si="558"/>
        <v>0</v>
      </c>
      <c r="AH667" s="525">
        <f t="shared" si="558"/>
        <v>0</v>
      </c>
      <c r="AI667" s="525">
        <f t="shared" si="558"/>
        <v>0</v>
      </c>
      <c r="AJ667" s="525">
        <f t="shared" si="558"/>
        <v>0</v>
      </c>
      <c r="AK667" s="525">
        <f t="shared" si="558"/>
        <v>0</v>
      </c>
      <c r="AL667" s="525">
        <f t="shared" si="558"/>
        <v>0</v>
      </c>
    </row>
    <row r="668" spans="1:38">
      <c r="A668" s="618"/>
      <c r="B668" s="618" t="s">
        <v>510</v>
      </c>
      <c r="C668" s="619">
        <f>IF(G668&lt;&gt;0,$C$650,)</f>
        <v>1</v>
      </c>
      <c r="D668" s="523" t="str">
        <f>VLOOKUP(B668,DONGIA,DG!$B$6,0)</f>
        <v>AB.65110</v>
      </c>
      <c r="E668" s="666" t="str">
        <f>VLOOKUP(B668,DONGIA,DG!$C$6,0)</f>
        <v>Đắp đất hố móng (K=0,85)</v>
      </c>
      <c r="F668" s="523" t="str">
        <f>VLOOKUP(B668,DONGIA,DG!$D$6,0)</f>
        <v>m3</v>
      </c>
      <c r="G668" s="626">
        <v>1.6559999999999999</v>
      </c>
      <c r="H668" s="525"/>
      <c r="I668" s="525"/>
      <c r="J668" s="525">
        <f>VLOOKUP($B668,DONGIA,DG!$F$6,0)</f>
        <v>16267</v>
      </c>
      <c r="K668" s="525"/>
      <c r="L668" s="525">
        <f>VLOOKUP($B668,DONGIA,DG!$G$6,0)</f>
        <v>11176</v>
      </c>
      <c r="M668" s="525"/>
      <c r="N668" s="525">
        <f t="shared" si="555"/>
        <v>0</v>
      </c>
      <c r="O668" s="525">
        <f t="shared" si="555"/>
        <v>0</v>
      </c>
      <c r="P668" s="525">
        <f t="shared" si="555"/>
        <v>26938.151999999998</v>
      </c>
      <c r="Q668" s="525">
        <f t="shared" si="555"/>
        <v>0</v>
      </c>
      <c r="R668" s="525">
        <f t="shared" si="555"/>
        <v>18507.455999999998</v>
      </c>
      <c r="S668" s="525">
        <f t="shared" si="555"/>
        <v>0</v>
      </c>
      <c r="U668" s="525">
        <f t="shared" si="557"/>
        <v>3.3119999999999998</v>
      </c>
      <c r="V668" s="525">
        <f t="shared" si="557"/>
        <v>3.3119999999999998</v>
      </c>
      <c r="W668" s="525">
        <f t="shared" si="557"/>
        <v>0</v>
      </c>
      <c r="X668" s="525">
        <f t="shared" si="557"/>
        <v>0</v>
      </c>
      <c r="Y668" s="525">
        <f t="shared" si="557"/>
        <v>0</v>
      </c>
      <c r="Z668" s="525">
        <f t="shared" si="557"/>
        <v>0</v>
      </c>
      <c r="AA668" s="525">
        <f t="shared" si="557"/>
        <v>0</v>
      </c>
      <c r="AB668" s="525">
        <f>AB$650*$G668</f>
        <v>0</v>
      </c>
      <c r="AD668" s="405">
        <f t="shared" si="546"/>
        <v>0</v>
      </c>
      <c r="AE668" s="525">
        <f t="shared" si="547"/>
        <v>0</v>
      </c>
      <c r="AF668" s="525">
        <f t="shared" si="548"/>
        <v>0</v>
      </c>
      <c r="AG668" s="525">
        <f t="shared" si="549"/>
        <v>0</v>
      </c>
      <c r="AH668" s="525">
        <f t="shared" si="550"/>
        <v>0</v>
      </c>
      <c r="AI668" s="525">
        <f t="shared" si="551"/>
        <v>0</v>
      </c>
      <c r="AJ668" s="525">
        <f t="shared" si="552"/>
        <v>0</v>
      </c>
      <c r="AK668" s="525">
        <f t="shared" si="553"/>
        <v>0</v>
      </c>
      <c r="AL668" s="525">
        <f t="shared" si="554"/>
        <v>0</v>
      </c>
    </row>
    <row r="669" spans="1:38" s="332" customFormat="1">
      <c r="A669" s="356" t="s">
        <v>2593</v>
      </c>
      <c r="B669" s="356"/>
      <c r="C669" s="355">
        <f>IF(G669&lt;&gt;0,1,)</f>
        <v>0</v>
      </c>
      <c r="D669" s="357"/>
      <c r="E669" s="358" t="s">
        <v>2705</v>
      </c>
      <c r="F669" s="357" t="s">
        <v>138</v>
      </c>
      <c r="G669" s="357">
        <f>U669</f>
        <v>0</v>
      </c>
      <c r="H669" s="358"/>
      <c r="I669" s="358"/>
      <c r="J669" s="358"/>
      <c r="K669" s="358"/>
      <c r="L669" s="358"/>
      <c r="M669" s="358"/>
      <c r="N669" s="358">
        <f t="shared" ref="N669:S669" si="559">SUM(N671:N675)</f>
        <v>463000</v>
      </c>
      <c r="O669" s="358">
        <f t="shared" si="559"/>
        <v>0</v>
      </c>
      <c r="P669" s="358">
        <f t="shared" si="559"/>
        <v>467831.67999999993</v>
      </c>
      <c r="Q669" s="358">
        <f t="shared" si="559"/>
        <v>0</v>
      </c>
      <c r="R669" s="358">
        <f t="shared" si="559"/>
        <v>0</v>
      </c>
      <c r="S669" s="358">
        <f t="shared" si="559"/>
        <v>562112.15999999992</v>
      </c>
      <c r="U669" s="358">
        <f>SUM(V669:AB669)</f>
        <v>0</v>
      </c>
      <c r="V669" s="358">
        <f>IFERROR(HLOOKUP($A669,BK3P,V$3,0),)</f>
        <v>0</v>
      </c>
      <c r="W669" s="358">
        <f>IFERROR(HLOOKUP($A669,BK3P,W$3,0),)</f>
        <v>0</v>
      </c>
      <c r="X669" s="358">
        <f>IFERROR(HLOOKUP($A669,BK3P,X$3,0),)</f>
        <v>0</v>
      </c>
      <c r="Y669" s="358">
        <f>IFERROR(HLOOKUP($A669,BK1P,Y$3,0),)</f>
        <v>0</v>
      </c>
      <c r="Z669" s="358">
        <f>IFERROR(HLOOKUP($A669,BK1P,Z$3,0),)</f>
        <v>0</v>
      </c>
      <c r="AA669" s="358">
        <f>IFERROR(HLOOKUP($A669,BK1P,AA$3,0),)</f>
        <v>0</v>
      </c>
      <c r="AB669" s="358">
        <f>IFERROR(HLOOKUP($A669,BKHT,AB$3,0),)</f>
        <v>0</v>
      </c>
      <c r="AD669" s="332">
        <f t="shared" si="546"/>
        <v>0</v>
      </c>
      <c r="AE669" s="329">
        <f t="shared" si="547"/>
        <v>0</v>
      </c>
      <c r="AF669" s="329">
        <f t="shared" si="548"/>
        <v>0</v>
      </c>
      <c r="AG669" s="329">
        <f t="shared" si="549"/>
        <v>0</v>
      </c>
      <c r="AH669" s="329">
        <f t="shared" si="550"/>
        <v>0</v>
      </c>
      <c r="AI669" s="329">
        <f t="shared" si="551"/>
        <v>0</v>
      </c>
      <c r="AJ669" s="329">
        <f t="shared" si="552"/>
        <v>0</v>
      </c>
      <c r="AK669" s="329">
        <f t="shared" si="553"/>
        <v>0</v>
      </c>
      <c r="AL669" s="329">
        <f t="shared" si="554"/>
        <v>0</v>
      </c>
    </row>
    <row r="670" spans="1:38" s="361" customFormat="1">
      <c r="A670" s="359"/>
      <c r="B670" s="359"/>
      <c r="C670" s="360">
        <f>C669</f>
        <v>0</v>
      </c>
      <c r="D670" s="350"/>
      <c r="E670" s="351" t="s">
        <v>1659</v>
      </c>
      <c r="F670" s="350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U670" s="351"/>
      <c r="V670" s="351"/>
      <c r="W670" s="351"/>
      <c r="X670" s="351"/>
      <c r="Y670" s="351"/>
      <c r="Z670" s="351"/>
      <c r="AA670" s="351"/>
      <c r="AB670" s="351"/>
      <c r="AD670" s="332">
        <f t="shared" si="546"/>
        <v>0</v>
      </c>
      <c r="AE670" s="329">
        <f t="shared" si="547"/>
        <v>0</v>
      </c>
      <c r="AF670" s="329">
        <f t="shared" si="548"/>
        <v>0</v>
      </c>
      <c r="AG670" s="329">
        <f t="shared" si="549"/>
        <v>0</v>
      </c>
      <c r="AH670" s="329">
        <f t="shared" si="550"/>
        <v>0</v>
      </c>
      <c r="AI670" s="329">
        <f t="shared" si="551"/>
        <v>0</v>
      </c>
      <c r="AJ670" s="329">
        <f t="shared" si="552"/>
        <v>0</v>
      </c>
      <c r="AK670" s="329">
        <f t="shared" si="553"/>
        <v>0</v>
      </c>
      <c r="AL670" s="329">
        <f t="shared" si="554"/>
        <v>0</v>
      </c>
    </row>
    <row r="671" spans="1:38" s="332" customFormat="1">
      <c r="A671" s="356"/>
      <c r="B671" s="356" t="s">
        <v>450</v>
      </c>
      <c r="C671" s="355">
        <f>IF(G671&lt;&gt;0,$C$670,)</f>
        <v>0</v>
      </c>
      <c r="D671" s="341">
        <f>VLOOKUP(B671,DONGIA,DG!$B$6,0)</f>
        <v>0</v>
      </c>
      <c r="E671" s="340" t="str">
        <f>VLOOKUP(B671,DONGIA,DG!$C$6,0)</f>
        <v>Ty neo φ22x2400</v>
      </c>
      <c r="F671" s="341" t="str">
        <f>VLOOKUP(B671,DONGIA,DG!$D$6,0)</f>
        <v>cái</v>
      </c>
      <c r="G671" s="329">
        <v>1</v>
      </c>
      <c r="H671" s="329">
        <f>VLOOKUP($B671,DONGIA,DG!$E$6,0)</f>
        <v>362000</v>
      </c>
      <c r="I671" s="329"/>
      <c r="J671" s="329"/>
      <c r="K671" s="329">
        <f>VLOOKUP($B671,DONGIA,DG!$F$6,0)</f>
        <v>0</v>
      </c>
      <c r="L671" s="329"/>
      <c r="M671" s="329">
        <f>VLOOKUP($B671,DONGIA,DG!$G$6,0)</f>
        <v>0</v>
      </c>
      <c r="N671" s="329">
        <f t="shared" ref="N671:S675" si="560">$G671*H671</f>
        <v>362000</v>
      </c>
      <c r="O671" s="329">
        <f t="shared" si="560"/>
        <v>0</v>
      </c>
      <c r="P671" s="329">
        <f t="shared" si="560"/>
        <v>0</v>
      </c>
      <c r="Q671" s="329">
        <f t="shared" si="560"/>
        <v>0</v>
      </c>
      <c r="R671" s="329">
        <f t="shared" si="560"/>
        <v>0</v>
      </c>
      <c r="S671" s="329">
        <f t="shared" si="560"/>
        <v>0</v>
      </c>
      <c r="U671" s="329">
        <f>U$669*$G671</f>
        <v>0</v>
      </c>
      <c r="V671" s="329">
        <f t="shared" ref="V671:AB671" si="561">V$669*$G671</f>
        <v>0</v>
      </c>
      <c r="W671" s="329">
        <f t="shared" si="561"/>
        <v>0</v>
      </c>
      <c r="X671" s="329">
        <f t="shared" si="561"/>
        <v>0</v>
      </c>
      <c r="Y671" s="329">
        <f t="shared" si="561"/>
        <v>0</v>
      </c>
      <c r="Z671" s="329">
        <f t="shared" si="561"/>
        <v>0</v>
      </c>
      <c r="AA671" s="329">
        <f t="shared" si="561"/>
        <v>0</v>
      </c>
      <c r="AB671" s="329">
        <f t="shared" si="561"/>
        <v>0</v>
      </c>
      <c r="AD671" s="332">
        <f t="shared" si="546"/>
        <v>4.2</v>
      </c>
      <c r="AE671" s="329">
        <f t="shared" si="547"/>
        <v>0</v>
      </c>
      <c r="AF671" s="329">
        <f t="shared" si="548"/>
        <v>0</v>
      </c>
      <c r="AG671" s="329">
        <f t="shared" si="549"/>
        <v>0</v>
      </c>
      <c r="AH671" s="329">
        <f t="shared" si="550"/>
        <v>0</v>
      </c>
      <c r="AI671" s="329">
        <f t="shared" si="551"/>
        <v>0</v>
      </c>
      <c r="AJ671" s="329">
        <f t="shared" si="552"/>
        <v>0</v>
      </c>
      <c r="AK671" s="329">
        <f t="shared" si="553"/>
        <v>0</v>
      </c>
      <c r="AL671" s="329">
        <f t="shared" si="554"/>
        <v>0</v>
      </c>
    </row>
    <row r="672" spans="1:38" s="332" customFormat="1">
      <c r="A672" s="356"/>
      <c r="B672" s="356" t="s">
        <v>452</v>
      </c>
      <c r="C672" s="355">
        <f>IF(G672&lt;&gt;0,$C$670,)</f>
        <v>0</v>
      </c>
      <c r="D672" s="341">
        <f>VLOOKUP(B672,DONGIA,DG!$B$6,0)</f>
        <v>0</v>
      </c>
      <c r="E672" s="340" t="str">
        <f>VLOOKUP(B672,DONGIA,DG!$C$6,0)</f>
        <v>Neo xòe 8 hướng (dày 3,2mm) + đĩa sen</v>
      </c>
      <c r="F672" s="341" t="str">
        <f>VLOOKUP(B672,DONGIA,DG!$D$6,0)</f>
        <v>cái</v>
      </c>
      <c r="G672" s="329">
        <v>1</v>
      </c>
      <c r="H672" s="329">
        <f>VLOOKUP($B672,DONGIA,DG!$E$6,0)</f>
        <v>101000</v>
      </c>
      <c r="I672" s="329"/>
      <c r="J672" s="329"/>
      <c r="K672" s="329">
        <f>VLOOKUP($B672,DONGIA,DG!$F$6,0)</f>
        <v>0</v>
      </c>
      <c r="L672" s="329"/>
      <c r="M672" s="329">
        <f>VLOOKUP($B672,DONGIA,DG!$G$6,0)</f>
        <v>0</v>
      </c>
      <c r="N672" s="329">
        <f t="shared" si="560"/>
        <v>101000</v>
      </c>
      <c r="O672" s="329">
        <f t="shared" si="560"/>
        <v>0</v>
      </c>
      <c r="P672" s="329">
        <f t="shared" si="560"/>
        <v>0</v>
      </c>
      <c r="Q672" s="329">
        <f t="shared" si="560"/>
        <v>0</v>
      </c>
      <c r="R672" s="329">
        <f t="shared" si="560"/>
        <v>0</v>
      </c>
      <c r="S672" s="329">
        <f t="shared" si="560"/>
        <v>0</v>
      </c>
      <c r="U672" s="329">
        <f t="shared" ref="U672:AB675" si="562">U$669*$G672</f>
        <v>0</v>
      </c>
      <c r="V672" s="329">
        <f t="shared" si="562"/>
        <v>0</v>
      </c>
      <c r="W672" s="329">
        <f t="shared" si="562"/>
        <v>0</v>
      </c>
      <c r="X672" s="329">
        <f t="shared" si="562"/>
        <v>0</v>
      </c>
      <c r="Y672" s="329">
        <f t="shared" si="562"/>
        <v>0</v>
      </c>
      <c r="Z672" s="329">
        <f t="shared" si="562"/>
        <v>0</v>
      </c>
      <c r="AA672" s="329">
        <f t="shared" si="562"/>
        <v>0</v>
      </c>
      <c r="AB672" s="329">
        <f t="shared" si="562"/>
        <v>0</v>
      </c>
      <c r="AD672" s="332">
        <f t="shared" si="546"/>
        <v>0.8</v>
      </c>
      <c r="AE672" s="329">
        <f t="shared" si="547"/>
        <v>0</v>
      </c>
      <c r="AF672" s="329">
        <f t="shared" si="548"/>
        <v>0</v>
      </c>
      <c r="AG672" s="329">
        <f t="shared" si="549"/>
        <v>0</v>
      </c>
      <c r="AH672" s="329">
        <f t="shared" si="550"/>
        <v>0</v>
      </c>
      <c r="AI672" s="329">
        <f t="shared" si="551"/>
        <v>0</v>
      </c>
      <c r="AJ672" s="329">
        <f t="shared" si="552"/>
        <v>0</v>
      </c>
      <c r="AK672" s="329">
        <f t="shared" si="553"/>
        <v>0</v>
      </c>
      <c r="AL672" s="329">
        <f t="shared" si="554"/>
        <v>0</v>
      </c>
    </row>
    <row r="673" spans="1:38" s="332" customFormat="1">
      <c r="A673" s="356"/>
      <c r="B673" s="356" t="s">
        <v>491</v>
      </c>
      <c r="C673" s="355">
        <f>IF(G673&lt;&gt;0,$C$670,)</f>
        <v>0</v>
      </c>
      <c r="D673" s="341" t="str">
        <f>VLOOKUP(B673,DONGIA,DG!$B$6,0)</f>
        <v>AB.11413</v>
      </c>
      <c r="E673" s="340" t="str">
        <f>VLOOKUP(B673,DONGIA,DG!$C$6,0)</f>
        <v>Đào hố móng đất cấp 3 sâu ≤1m (rộng ≤1m)</v>
      </c>
      <c r="F673" s="341" t="str">
        <f>VLOOKUP(B673,DONGIA,DG!$D$6,0)</f>
        <v>m3</v>
      </c>
      <c r="G673" s="52">
        <v>0.4</v>
      </c>
      <c r="H673" s="329"/>
      <c r="I673" s="329"/>
      <c r="J673" s="329">
        <f>VLOOKUP($B673,DONGIA,DG!$F$6,0)</f>
        <v>340001</v>
      </c>
      <c r="K673" s="329"/>
      <c r="L673" s="329"/>
      <c r="M673" s="329">
        <f>VLOOKUP($B673,DONGIA,DG!$G$6,0)</f>
        <v>0</v>
      </c>
      <c r="N673" s="329">
        <f t="shared" si="560"/>
        <v>0</v>
      </c>
      <c r="O673" s="329">
        <f t="shared" si="560"/>
        <v>0</v>
      </c>
      <c r="P673" s="329">
        <f t="shared" si="560"/>
        <v>136000.4</v>
      </c>
      <c r="Q673" s="329">
        <f t="shared" si="560"/>
        <v>0</v>
      </c>
      <c r="R673" s="329">
        <f t="shared" si="560"/>
        <v>0</v>
      </c>
      <c r="S673" s="329">
        <f t="shared" si="560"/>
        <v>0</v>
      </c>
      <c r="U673" s="329">
        <f t="shared" si="562"/>
        <v>0</v>
      </c>
      <c r="V673" s="329">
        <f t="shared" si="562"/>
        <v>0</v>
      </c>
      <c r="W673" s="329">
        <f t="shared" si="562"/>
        <v>0</v>
      </c>
      <c r="X673" s="329">
        <f t="shared" si="562"/>
        <v>0</v>
      </c>
      <c r="Y673" s="329">
        <f t="shared" si="562"/>
        <v>0</v>
      </c>
      <c r="Z673" s="329">
        <f t="shared" si="562"/>
        <v>0</v>
      </c>
      <c r="AA673" s="329">
        <f t="shared" si="562"/>
        <v>0</v>
      </c>
      <c r="AB673" s="329">
        <f t="shared" si="562"/>
        <v>0</v>
      </c>
      <c r="AD673" s="332">
        <f t="shared" si="546"/>
        <v>0</v>
      </c>
      <c r="AE673" s="329">
        <f t="shared" si="547"/>
        <v>0</v>
      </c>
      <c r="AF673" s="329">
        <f t="shared" si="548"/>
        <v>0</v>
      </c>
      <c r="AG673" s="329">
        <f t="shared" si="549"/>
        <v>0</v>
      </c>
      <c r="AH673" s="329">
        <f t="shared" si="550"/>
        <v>0</v>
      </c>
      <c r="AI673" s="329">
        <f t="shared" si="551"/>
        <v>0</v>
      </c>
      <c r="AJ673" s="329">
        <f t="shared" si="552"/>
        <v>0</v>
      </c>
      <c r="AK673" s="329">
        <f t="shared" si="553"/>
        <v>0</v>
      </c>
      <c r="AL673" s="329">
        <f t="shared" si="554"/>
        <v>0</v>
      </c>
    </row>
    <row r="674" spans="1:38" s="332" customFormat="1">
      <c r="A674" s="356"/>
      <c r="B674" s="356" t="s">
        <v>3823</v>
      </c>
      <c r="C674" s="355">
        <f>IF(G674&lt;&gt;0,$C$670,)</f>
        <v>0</v>
      </c>
      <c r="D674" s="341" t="str">
        <f>VLOOKUP(B674,DONGIA,DG!$B$6,0)</f>
        <v>AB.51613</v>
      </c>
      <c r="E674" s="340" t="str">
        <f>VLOOKUP(B674,DONGIA,DG!$C$6,0)</f>
        <v>Phá đá chân hố móng, đá cấp III (bằng búa căn)</v>
      </c>
      <c r="F674" s="341" t="str">
        <f>VLOOKUP(B674,DONGIA,DG!$D$6,0)</f>
        <v>m3</v>
      </c>
      <c r="G674" s="52">
        <v>1.04</v>
      </c>
      <c r="H674" s="329"/>
      <c r="I674" s="329"/>
      <c r="J674" s="329">
        <f>VLOOKUP($B674,DONGIA,DG!$F$6,0)</f>
        <v>296545</v>
      </c>
      <c r="K674" s="329"/>
      <c r="L674" s="329"/>
      <c r="M674" s="329">
        <f>VLOOKUP($B674,DONGIA,DG!$G$6,0)</f>
        <v>525018</v>
      </c>
      <c r="N674" s="329">
        <f t="shared" si="560"/>
        <v>0</v>
      </c>
      <c r="O674" s="329">
        <f t="shared" si="560"/>
        <v>0</v>
      </c>
      <c r="P674" s="329">
        <f t="shared" si="560"/>
        <v>308406.8</v>
      </c>
      <c r="Q674" s="329">
        <f t="shared" si="560"/>
        <v>0</v>
      </c>
      <c r="R674" s="329">
        <f t="shared" si="560"/>
        <v>0</v>
      </c>
      <c r="S674" s="329">
        <f t="shared" si="560"/>
        <v>546018.72</v>
      </c>
      <c r="U674" s="329">
        <f t="shared" si="562"/>
        <v>0</v>
      </c>
      <c r="V674" s="329">
        <f t="shared" si="562"/>
        <v>0</v>
      </c>
      <c r="W674" s="329">
        <f t="shared" si="562"/>
        <v>0</v>
      </c>
      <c r="X674" s="329">
        <f t="shared" si="562"/>
        <v>0</v>
      </c>
      <c r="Y674" s="329">
        <f t="shared" si="562"/>
        <v>0</v>
      </c>
      <c r="Z674" s="329">
        <f t="shared" si="562"/>
        <v>0</v>
      </c>
      <c r="AA674" s="329">
        <f t="shared" si="562"/>
        <v>0</v>
      </c>
      <c r="AB674" s="329">
        <f t="shared" si="562"/>
        <v>0</v>
      </c>
      <c r="AD674" s="332">
        <f>IFERROR(VLOOKUP(B674,DONGIA,$AD$3,0),0)</f>
        <v>0</v>
      </c>
      <c r="AE674" s="329">
        <f t="shared" ref="AE674:AL674" si="563">U674*$AD674</f>
        <v>0</v>
      </c>
      <c r="AF674" s="329">
        <f t="shared" si="563"/>
        <v>0</v>
      </c>
      <c r="AG674" s="329">
        <f t="shared" si="563"/>
        <v>0</v>
      </c>
      <c r="AH674" s="329">
        <f t="shared" si="563"/>
        <v>0</v>
      </c>
      <c r="AI674" s="329">
        <f t="shared" si="563"/>
        <v>0</v>
      </c>
      <c r="AJ674" s="329">
        <f t="shared" si="563"/>
        <v>0</v>
      </c>
      <c r="AK674" s="329">
        <f t="shared" si="563"/>
        <v>0</v>
      </c>
      <c r="AL674" s="329">
        <f t="shared" si="563"/>
        <v>0</v>
      </c>
    </row>
    <row r="675" spans="1:38" s="332" customFormat="1">
      <c r="A675" s="356"/>
      <c r="B675" s="356" t="s">
        <v>510</v>
      </c>
      <c r="C675" s="355">
        <f>IF(G675&lt;&gt;0,$C$670,)</f>
        <v>0</v>
      </c>
      <c r="D675" s="341" t="str">
        <f>VLOOKUP(B675,DONGIA,DG!$B$6,0)</f>
        <v>AB.65110</v>
      </c>
      <c r="E675" s="340" t="str">
        <f>VLOOKUP(B675,DONGIA,DG!$C$6,0)</f>
        <v>Đắp đất hố móng (K=0,85)</v>
      </c>
      <c r="F675" s="341" t="str">
        <f>VLOOKUP(B675,DONGIA,DG!$D$6,0)</f>
        <v>m3</v>
      </c>
      <c r="G675" s="52">
        <v>1.44</v>
      </c>
      <c r="H675" s="329"/>
      <c r="I675" s="329"/>
      <c r="J675" s="329">
        <f>VLOOKUP($B675,DONGIA,DG!$F$6,0)</f>
        <v>16267</v>
      </c>
      <c r="K675" s="329"/>
      <c r="L675" s="329"/>
      <c r="M675" s="329">
        <f>VLOOKUP($B675,DONGIA,DG!$G$6,0)</f>
        <v>11176</v>
      </c>
      <c r="N675" s="329">
        <f t="shared" si="560"/>
        <v>0</v>
      </c>
      <c r="O675" s="329">
        <f t="shared" si="560"/>
        <v>0</v>
      </c>
      <c r="P675" s="329">
        <f t="shared" si="560"/>
        <v>23424.48</v>
      </c>
      <c r="Q675" s="329">
        <f t="shared" si="560"/>
        <v>0</v>
      </c>
      <c r="R675" s="329">
        <f t="shared" si="560"/>
        <v>0</v>
      </c>
      <c r="S675" s="329">
        <f t="shared" si="560"/>
        <v>16093.439999999999</v>
      </c>
      <c r="U675" s="329">
        <f t="shared" si="562"/>
        <v>0</v>
      </c>
      <c r="V675" s="329">
        <f t="shared" si="562"/>
        <v>0</v>
      </c>
      <c r="W675" s="329">
        <f t="shared" si="562"/>
        <v>0</v>
      </c>
      <c r="X675" s="329">
        <f t="shared" si="562"/>
        <v>0</v>
      </c>
      <c r="Y675" s="329">
        <f t="shared" si="562"/>
        <v>0</v>
      </c>
      <c r="Z675" s="329">
        <f t="shared" si="562"/>
        <v>0</v>
      </c>
      <c r="AA675" s="329">
        <f t="shared" si="562"/>
        <v>0</v>
      </c>
      <c r="AB675" s="329">
        <f t="shared" si="562"/>
        <v>0</v>
      </c>
      <c r="AD675" s="332">
        <f t="shared" si="546"/>
        <v>0</v>
      </c>
      <c r="AE675" s="329">
        <f t="shared" si="547"/>
        <v>0</v>
      </c>
      <c r="AF675" s="329">
        <f t="shared" si="548"/>
        <v>0</v>
      </c>
      <c r="AG675" s="329">
        <f t="shared" si="549"/>
        <v>0</v>
      </c>
      <c r="AH675" s="329">
        <f t="shared" si="550"/>
        <v>0</v>
      </c>
      <c r="AI675" s="329">
        <f t="shared" si="551"/>
        <v>0</v>
      </c>
      <c r="AJ675" s="329">
        <f t="shared" si="552"/>
        <v>0</v>
      </c>
      <c r="AK675" s="329">
        <f t="shared" si="553"/>
        <v>0</v>
      </c>
      <c r="AL675" s="329">
        <f t="shared" si="554"/>
        <v>0</v>
      </c>
    </row>
    <row r="676" spans="1:38">
      <c r="A676" s="618" t="s">
        <v>1693</v>
      </c>
      <c r="B676" s="618"/>
      <c r="C676" s="619">
        <f>IF(G676&lt;&gt;0,1,)</f>
        <v>1</v>
      </c>
      <c r="D676" s="622"/>
      <c r="E676" s="733" t="s">
        <v>2702</v>
      </c>
      <c r="F676" s="622" t="s">
        <v>138</v>
      </c>
      <c r="G676" s="622">
        <f>U676</f>
        <v>3</v>
      </c>
      <c r="H676" s="623"/>
      <c r="I676" s="623"/>
      <c r="J676" s="623"/>
      <c r="K676" s="623"/>
      <c r="L676" s="623"/>
      <c r="M676" s="623"/>
      <c r="N676" s="623">
        <f t="shared" ref="N676:S676" si="564">SUM(N678:N681)</f>
        <v>286000</v>
      </c>
      <c r="O676" s="623">
        <f t="shared" si="564"/>
        <v>0</v>
      </c>
      <c r="P676" s="623">
        <f t="shared" si="564"/>
        <v>109186.255</v>
      </c>
      <c r="Q676" s="623">
        <f t="shared" si="564"/>
        <v>0</v>
      </c>
      <c r="R676" s="623">
        <f t="shared" si="564"/>
        <v>2805.1759999999999</v>
      </c>
      <c r="S676" s="623">
        <f t="shared" si="564"/>
        <v>0</v>
      </c>
      <c r="U676" s="623">
        <f>SUM(V676:AB676)</f>
        <v>3</v>
      </c>
      <c r="V676" s="623">
        <f>IFERROR(HLOOKUP($A676,BK3P,V$3,0),)</f>
        <v>0</v>
      </c>
      <c r="W676" s="623">
        <f>IFERROR(HLOOKUP($A676,BK3P,W$3,0),)</f>
        <v>0</v>
      </c>
      <c r="X676" s="623">
        <f>IFERROR(HLOOKUP($A676,BK3P,X$3,0),)</f>
        <v>0</v>
      </c>
      <c r="Y676" s="623">
        <f>IFERROR(HLOOKUP($A676,BK1P,Y$3,0),)</f>
        <v>0</v>
      </c>
      <c r="Z676" s="623">
        <f>IFERROR(HLOOKUP($A676,BK1P,Z$3,0),)</f>
        <v>0</v>
      </c>
      <c r="AA676" s="623">
        <f>IFERROR(HLOOKUP($A676,BK1P,AA$3,0),)</f>
        <v>0</v>
      </c>
      <c r="AB676" s="623">
        <f>IFERROR(HLOOKUP($A676,BKHT,AB$3,0),)</f>
        <v>3</v>
      </c>
      <c r="AD676" s="405">
        <f t="shared" si="501"/>
        <v>0</v>
      </c>
      <c r="AE676" s="525">
        <f t="shared" si="502"/>
        <v>0</v>
      </c>
      <c r="AF676" s="525">
        <f t="shared" si="503"/>
        <v>0</v>
      </c>
      <c r="AG676" s="525">
        <f t="shared" si="503"/>
        <v>0</v>
      </c>
      <c r="AH676" s="525">
        <f t="shared" si="503"/>
        <v>0</v>
      </c>
      <c r="AI676" s="525">
        <f t="shared" si="504"/>
        <v>0</v>
      </c>
      <c r="AJ676" s="525">
        <f t="shared" si="504"/>
        <v>0</v>
      </c>
      <c r="AK676" s="525">
        <f t="shared" si="504"/>
        <v>0</v>
      </c>
      <c r="AL676" s="525">
        <f t="shared" si="505"/>
        <v>0</v>
      </c>
    </row>
    <row r="677" spans="1:38" s="542" customFormat="1">
      <c r="A677" s="624"/>
      <c r="B677" s="624"/>
      <c r="C677" s="625">
        <f>C676</f>
        <v>1</v>
      </c>
      <c r="D677" s="544"/>
      <c r="E677" s="734" t="s">
        <v>1659</v>
      </c>
      <c r="F677" s="544"/>
      <c r="G677" s="545"/>
      <c r="H677" s="545"/>
      <c r="I677" s="545"/>
      <c r="J677" s="545"/>
      <c r="K677" s="545"/>
      <c r="L677" s="545"/>
      <c r="M677" s="545"/>
      <c r="N677" s="545"/>
      <c r="O677" s="545"/>
      <c r="P677" s="545"/>
      <c r="Q677" s="545"/>
      <c r="R677" s="545"/>
      <c r="S677" s="545"/>
      <c r="U677" s="545"/>
      <c r="V677" s="545"/>
      <c r="W677" s="545"/>
      <c r="X677" s="545"/>
      <c r="Y677" s="545"/>
      <c r="Z677" s="545"/>
      <c r="AA677" s="545"/>
      <c r="AB677" s="545"/>
      <c r="AD677" s="405">
        <f t="shared" si="501"/>
        <v>0</v>
      </c>
      <c r="AE677" s="525">
        <f t="shared" si="502"/>
        <v>0</v>
      </c>
      <c r="AF677" s="525">
        <f t="shared" si="503"/>
        <v>0</v>
      </c>
      <c r="AG677" s="525">
        <f t="shared" si="503"/>
        <v>0</v>
      </c>
      <c r="AH677" s="525">
        <f t="shared" si="503"/>
        <v>0</v>
      </c>
      <c r="AI677" s="525">
        <f t="shared" si="504"/>
        <v>0</v>
      </c>
      <c r="AJ677" s="525">
        <f t="shared" si="504"/>
        <v>0</v>
      </c>
      <c r="AK677" s="525">
        <f t="shared" si="504"/>
        <v>0</v>
      </c>
      <c r="AL677" s="525">
        <f t="shared" si="505"/>
        <v>0</v>
      </c>
    </row>
    <row r="678" spans="1:38">
      <c r="A678" s="618"/>
      <c r="B678" s="618" t="s">
        <v>446</v>
      </c>
      <c r="C678" s="619">
        <f>IF(G678&lt;&gt;0,$C$676,)</f>
        <v>1</v>
      </c>
      <c r="D678" s="523">
        <f>VLOOKUP(B678,DONGIA,DG!$B$6,0)</f>
        <v>0</v>
      </c>
      <c r="E678" s="666" t="str">
        <f>VLOOKUP(B678,DONGIA,DG!$C$6,0)</f>
        <v>Ty neo φ16x2400</v>
      </c>
      <c r="F678" s="523" t="str">
        <f>VLOOKUP(B678,DONGIA,DG!$D$6,0)</f>
        <v>cái</v>
      </c>
      <c r="G678" s="525">
        <v>1</v>
      </c>
      <c r="H678" s="525">
        <f>VLOOKUP($B678,DONGIA,DG!$E$6,0)</f>
        <v>185000</v>
      </c>
      <c r="I678" s="525"/>
      <c r="J678" s="525"/>
      <c r="K678" s="525">
        <f>VLOOKUP($B678,DONGIA,DG!$F$6,0)</f>
        <v>0</v>
      </c>
      <c r="L678" s="525"/>
      <c r="M678" s="525">
        <f>VLOOKUP($B678,DONGIA,DG!$G$6,0)</f>
        <v>0</v>
      </c>
      <c r="N678" s="525">
        <f>$G678*H678</f>
        <v>185000</v>
      </c>
      <c r="O678" s="525">
        <f t="shared" ref="O678:S681" si="565">$G678*I678</f>
        <v>0</v>
      </c>
      <c r="P678" s="525">
        <f t="shared" si="565"/>
        <v>0</v>
      </c>
      <c r="Q678" s="525">
        <f t="shared" si="565"/>
        <v>0</v>
      </c>
      <c r="R678" s="525">
        <f t="shared" si="565"/>
        <v>0</v>
      </c>
      <c r="S678" s="525">
        <f t="shared" si="565"/>
        <v>0</v>
      </c>
      <c r="U678" s="525">
        <f>U$676*$G678</f>
        <v>3</v>
      </c>
      <c r="V678" s="525">
        <f t="shared" ref="V678:AB678" si="566">V$676*$G678</f>
        <v>0</v>
      </c>
      <c r="W678" s="525">
        <f t="shared" si="566"/>
        <v>0</v>
      </c>
      <c r="X678" s="525">
        <f t="shared" si="566"/>
        <v>0</v>
      </c>
      <c r="Y678" s="525">
        <f t="shared" si="566"/>
        <v>0</v>
      </c>
      <c r="Z678" s="525">
        <f t="shared" si="566"/>
        <v>0</v>
      </c>
      <c r="AA678" s="525">
        <f t="shared" si="566"/>
        <v>0</v>
      </c>
      <c r="AB678" s="525">
        <f t="shared" si="566"/>
        <v>3</v>
      </c>
      <c r="AD678" s="405">
        <f t="shared" si="501"/>
        <v>3.5</v>
      </c>
      <c r="AE678" s="525">
        <f t="shared" si="502"/>
        <v>10.5</v>
      </c>
      <c r="AF678" s="525">
        <f t="shared" si="503"/>
        <v>0</v>
      </c>
      <c r="AG678" s="525">
        <f t="shared" si="503"/>
        <v>0</v>
      </c>
      <c r="AH678" s="525">
        <f t="shared" si="503"/>
        <v>0</v>
      </c>
      <c r="AI678" s="525">
        <f t="shared" si="504"/>
        <v>0</v>
      </c>
      <c r="AJ678" s="525">
        <f t="shared" si="504"/>
        <v>0</v>
      </c>
      <c r="AK678" s="525">
        <f t="shared" si="504"/>
        <v>0</v>
      </c>
      <c r="AL678" s="525">
        <f t="shared" si="505"/>
        <v>10.5</v>
      </c>
    </row>
    <row r="679" spans="1:38">
      <c r="A679" s="618"/>
      <c r="B679" s="618" t="s">
        <v>452</v>
      </c>
      <c r="C679" s="619">
        <f>IF(G679&lt;&gt;0,$C$676,)</f>
        <v>1</v>
      </c>
      <c r="D679" s="523">
        <f>VLOOKUP(B679,DONGIA,DG!$B$6,0)</f>
        <v>0</v>
      </c>
      <c r="E679" s="666" t="str">
        <f>VLOOKUP(B679,DONGIA,DG!$C$6,0)</f>
        <v>Neo xòe 8 hướng (dày 3,2mm) + đĩa sen</v>
      </c>
      <c r="F679" s="523" t="str">
        <f>VLOOKUP(B679,DONGIA,DG!$D$6,0)</f>
        <v>cái</v>
      </c>
      <c r="G679" s="525">
        <v>1</v>
      </c>
      <c r="H679" s="525">
        <f>VLOOKUP($B679,DONGIA,DG!$E$6,0)</f>
        <v>101000</v>
      </c>
      <c r="I679" s="525"/>
      <c r="J679" s="525"/>
      <c r="K679" s="525">
        <f>VLOOKUP($B679,DONGIA,DG!$F$6,0)</f>
        <v>0</v>
      </c>
      <c r="L679" s="525"/>
      <c r="M679" s="525">
        <f>VLOOKUP($B679,DONGIA,DG!$G$6,0)</f>
        <v>0</v>
      </c>
      <c r="N679" s="525">
        <f>$G679*H679</f>
        <v>101000</v>
      </c>
      <c r="O679" s="525">
        <f t="shared" si="565"/>
        <v>0</v>
      </c>
      <c r="P679" s="525">
        <f t="shared" si="565"/>
        <v>0</v>
      </c>
      <c r="Q679" s="525">
        <f t="shared" si="565"/>
        <v>0</v>
      </c>
      <c r="R679" s="525">
        <f t="shared" si="565"/>
        <v>0</v>
      </c>
      <c r="S679" s="525">
        <f t="shared" si="565"/>
        <v>0</v>
      </c>
      <c r="U679" s="525">
        <f t="shared" ref="U679:AB681" si="567">U$676*$G679</f>
        <v>3</v>
      </c>
      <c r="V679" s="525">
        <f t="shared" si="567"/>
        <v>0</v>
      </c>
      <c r="W679" s="525">
        <f t="shared" si="567"/>
        <v>0</v>
      </c>
      <c r="X679" s="525">
        <f t="shared" si="567"/>
        <v>0</v>
      </c>
      <c r="Y679" s="525">
        <f t="shared" si="567"/>
        <v>0</v>
      </c>
      <c r="Z679" s="525">
        <f t="shared" si="567"/>
        <v>0</v>
      </c>
      <c r="AA679" s="525">
        <f t="shared" si="567"/>
        <v>0</v>
      </c>
      <c r="AB679" s="525">
        <f t="shared" si="567"/>
        <v>3</v>
      </c>
      <c r="AD679" s="405">
        <f t="shared" si="501"/>
        <v>0.8</v>
      </c>
      <c r="AE679" s="525">
        <f t="shared" si="502"/>
        <v>2.4000000000000004</v>
      </c>
      <c r="AF679" s="525">
        <f t="shared" si="503"/>
        <v>0</v>
      </c>
      <c r="AG679" s="525">
        <f t="shared" si="503"/>
        <v>0</v>
      </c>
      <c r="AH679" s="525">
        <f t="shared" si="503"/>
        <v>0</v>
      </c>
      <c r="AI679" s="525">
        <f t="shared" si="504"/>
        <v>0</v>
      </c>
      <c r="AJ679" s="525">
        <f t="shared" si="504"/>
        <v>0</v>
      </c>
      <c r="AK679" s="525">
        <f t="shared" si="504"/>
        <v>0</v>
      </c>
      <c r="AL679" s="525">
        <f t="shared" si="505"/>
        <v>2.4000000000000004</v>
      </c>
    </row>
    <row r="680" spans="1:38">
      <c r="A680" s="618"/>
      <c r="B680" s="618" t="s">
        <v>499</v>
      </c>
      <c r="C680" s="619">
        <f>IF(G680&lt;&gt;0,$C$676,)</f>
        <v>1</v>
      </c>
      <c r="D680" s="523" t="str">
        <f>VLOOKUP(B680,DONGIA,DG!$B$6,0)</f>
        <v>AB.11423</v>
      </c>
      <c r="E680" s="666" t="str">
        <f>VLOOKUP(B680,DONGIA,DG!$C$6,0)</f>
        <v>Đào hố móng đất cấp 3 sâu &gt;1m (rộng ≤1m)</v>
      </c>
      <c r="F680" s="523" t="str">
        <f>VLOOKUP(B680,DONGIA,DG!$D$6,0)</f>
        <v>m3</v>
      </c>
      <c r="G680" s="626">
        <f>ROUND(0.2*0.2*3.14159*2,3)</f>
        <v>0.251</v>
      </c>
      <c r="H680" s="525"/>
      <c r="I680" s="525"/>
      <c r="J680" s="525">
        <f>VLOOKUP($B680,DONGIA,DG!$F$6,0)</f>
        <v>418738</v>
      </c>
      <c r="K680" s="525"/>
      <c r="L680" s="525"/>
      <c r="M680" s="525">
        <f>VLOOKUP($B680,DONGIA,DG!$G$6,0)</f>
        <v>0</v>
      </c>
      <c r="N680" s="525">
        <f>$G680*H680</f>
        <v>0</v>
      </c>
      <c r="O680" s="525">
        <f t="shared" si="565"/>
        <v>0</v>
      </c>
      <c r="P680" s="525">
        <f t="shared" si="565"/>
        <v>105103.238</v>
      </c>
      <c r="Q680" s="525">
        <f t="shared" si="565"/>
        <v>0</v>
      </c>
      <c r="R680" s="525">
        <f t="shared" si="565"/>
        <v>0</v>
      </c>
      <c r="S680" s="525">
        <f t="shared" si="565"/>
        <v>0</v>
      </c>
      <c r="U680" s="525">
        <f t="shared" si="567"/>
        <v>0.753</v>
      </c>
      <c r="V680" s="525">
        <f t="shared" si="567"/>
        <v>0</v>
      </c>
      <c r="W680" s="525">
        <f t="shared" si="567"/>
        <v>0</v>
      </c>
      <c r="X680" s="525">
        <f t="shared" si="567"/>
        <v>0</v>
      </c>
      <c r="Y680" s="525">
        <f t="shared" si="567"/>
        <v>0</v>
      </c>
      <c r="Z680" s="525">
        <f t="shared" si="567"/>
        <v>0</v>
      </c>
      <c r="AA680" s="525">
        <f t="shared" si="567"/>
        <v>0</v>
      </c>
      <c r="AB680" s="525">
        <f t="shared" si="567"/>
        <v>0.753</v>
      </c>
      <c r="AD680" s="405">
        <f t="shared" ref="AD680:AD757" si="568">IFERROR(VLOOKUP(B680,DONGIA,$AD$3,0),0)</f>
        <v>0</v>
      </c>
      <c r="AE680" s="525">
        <f t="shared" ref="AE680:AE757" si="569">U680*$AD680</f>
        <v>0</v>
      </c>
      <c r="AF680" s="525">
        <f t="shared" ref="AF680:AH757" si="570">V680*$AD680</f>
        <v>0</v>
      </c>
      <c r="AG680" s="525">
        <f t="shared" si="570"/>
        <v>0</v>
      </c>
      <c r="AH680" s="525">
        <f t="shared" si="570"/>
        <v>0</v>
      </c>
      <c r="AI680" s="525">
        <f t="shared" ref="AI680:AK757" si="571">Y680*$AD680</f>
        <v>0</v>
      </c>
      <c r="AJ680" s="525">
        <f t="shared" si="571"/>
        <v>0</v>
      </c>
      <c r="AK680" s="525">
        <f t="shared" si="571"/>
        <v>0</v>
      </c>
      <c r="AL680" s="525">
        <f t="shared" si="505"/>
        <v>0</v>
      </c>
    </row>
    <row r="681" spans="1:38">
      <c r="A681" s="618"/>
      <c r="B681" s="618" t="s">
        <v>510</v>
      </c>
      <c r="C681" s="619">
        <f>IF(G681&lt;&gt;0,$C$676,)</f>
        <v>1</v>
      </c>
      <c r="D681" s="523" t="str">
        <f>VLOOKUP(B681,DONGIA,DG!$B$6,0)</f>
        <v>AB.65110</v>
      </c>
      <c r="E681" s="666" t="str">
        <f>VLOOKUP(B681,DONGIA,DG!$C$6,0)</f>
        <v>Đắp đất hố móng (K=0,85)</v>
      </c>
      <c r="F681" s="523" t="str">
        <f>VLOOKUP(B681,DONGIA,DG!$D$6,0)</f>
        <v>m3</v>
      </c>
      <c r="G681" s="626">
        <f>G680</f>
        <v>0.251</v>
      </c>
      <c r="H681" s="525"/>
      <c r="I681" s="525"/>
      <c r="J681" s="525">
        <f>VLOOKUP($B681,DONGIA,DG!$F$6,0)</f>
        <v>16267</v>
      </c>
      <c r="K681" s="525"/>
      <c r="L681" s="525">
        <f>VLOOKUP($B681,DONGIA,DG!$G$6,0)</f>
        <v>11176</v>
      </c>
      <c r="M681" s="525"/>
      <c r="N681" s="525">
        <f>$G681*H681</f>
        <v>0</v>
      </c>
      <c r="O681" s="525">
        <f t="shared" si="565"/>
        <v>0</v>
      </c>
      <c r="P681" s="525">
        <f t="shared" si="565"/>
        <v>4083.0169999999998</v>
      </c>
      <c r="Q681" s="525">
        <f t="shared" si="565"/>
        <v>0</v>
      </c>
      <c r="R681" s="525">
        <f t="shared" si="565"/>
        <v>2805.1759999999999</v>
      </c>
      <c r="S681" s="525">
        <f t="shared" si="565"/>
        <v>0</v>
      </c>
      <c r="U681" s="525">
        <f t="shared" si="567"/>
        <v>0.753</v>
      </c>
      <c r="V681" s="525">
        <f t="shared" si="567"/>
        <v>0</v>
      </c>
      <c r="W681" s="525">
        <f t="shared" si="567"/>
        <v>0</v>
      </c>
      <c r="X681" s="525">
        <f t="shared" si="567"/>
        <v>0</v>
      </c>
      <c r="Y681" s="525">
        <f t="shared" si="567"/>
        <v>0</v>
      </c>
      <c r="Z681" s="525">
        <f t="shared" si="567"/>
        <v>0</v>
      </c>
      <c r="AA681" s="525">
        <f t="shared" si="567"/>
        <v>0</v>
      </c>
      <c r="AB681" s="525">
        <f t="shared" si="567"/>
        <v>0.753</v>
      </c>
      <c r="AD681" s="405">
        <f t="shared" si="568"/>
        <v>0</v>
      </c>
      <c r="AE681" s="525">
        <f t="shared" si="569"/>
        <v>0</v>
      </c>
      <c r="AF681" s="525">
        <f t="shared" si="570"/>
        <v>0</v>
      </c>
      <c r="AG681" s="525">
        <f t="shared" si="570"/>
        <v>0</v>
      </c>
      <c r="AH681" s="525">
        <f t="shared" si="570"/>
        <v>0</v>
      </c>
      <c r="AI681" s="525">
        <f t="shared" si="571"/>
        <v>0</v>
      </c>
      <c r="AJ681" s="525">
        <f t="shared" si="571"/>
        <v>0</v>
      </c>
      <c r="AK681" s="525">
        <f t="shared" si="571"/>
        <v>0</v>
      </c>
      <c r="AL681" s="525">
        <f t="shared" ref="AL681:AL758" si="572">AB681*$AD681</f>
        <v>0</v>
      </c>
    </row>
    <row r="682" spans="1:38">
      <c r="A682" s="618" t="s">
        <v>1694</v>
      </c>
      <c r="B682" s="618"/>
      <c r="C682" s="619">
        <f>IF(G682&lt;&gt;0,1,)</f>
        <v>0</v>
      </c>
      <c r="D682" s="622"/>
      <c r="E682" s="733" t="s">
        <v>2703</v>
      </c>
      <c r="F682" s="622" t="s">
        <v>138</v>
      </c>
      <c r="G682" s="622">
        <f>U682</f>
        <v>0</v>
      </c>
      <c r="H682" s="623"/>
      <c r="I682" s="623"/>
      <c r="J682" s="623"/>
      <c r="K682" s="623"/>
      <c r="L682" s="623"/>
      <c r="M682" s="623"/>
      <c r="N682" s="623">
        <f t="shared" ref="N682:S682" si="573">SUM(N684:N687)</f>
        <v>286000</v>
      </c>
      <c r="O682" s="623">
        <f t="shared" si="573"/>
        <v>0</v>
      </c>
      <c r="P682" s="623">
        <f t="shared" si="573"/>
        <v>109186.255</v>
      </c>
      <c r="Q682" s="623">
        <f t="shared" si="573"/>
        <v>0</v>
      </c>
      <c r="R682" s="623">
        <f t="shared" si="573"/>
        <v>0</v>
      </c>
      <c r="S682" s="623">
        <f t="shared" si="573"/>
        <v>2805.1759999999999</v>
      </c>
      <c r="U682" s="623">
        <f>SUM(V682:AB682)</f>
        <v>0</v>
      </c>
      <c r="V682" s="623">
        <f>IFERROR(HLOOKUP($A682,BK3P,V$3,0),)</f>
        <v>0</v>
      </c>
      <c r="W682" s="623">
        <f>IFERROR(HLOOKUP($A682,BK3P,W$3,0),)</f>
        <v>0</v>
      </c>
      <c r="X682" s="623">
        <f>IFERROR(HLOOKUP($A682,BK3P,X$3,0),)</f>
        <v>0</v>
      </c>
      <c r="Y682" s="623">
        <f>IFERROR(HLOOKUP($A682,BK1P,Y$3,0),)</f>
        <v>0</v>
      </c>
      <c r="Z682" s="623">
        <f>IFERROR(HLOOKUP($A682,BK1P,Z$3,0),)</f>
        <v>0</v>
      </c>
      <c r="AA682" s="623">
        <f>IFERROR(HLOOKUP($A682,BK1P,AA$3,0),)</f>
        <v>0</v>
      </c>
      <c r="AB682" s="623">
        <f>IFERROR(HLOOKUP($A682,BKHT,AB$3,0),)</f>
        <v>0</v>
      </c>
      <c r="AD682" s="405">
        <f t="shared" si="568"/>
        <v>0</v>
      </c>
      <c r="AE682" s="525">
        <f t="shared" si="569"/>
        <v>0</v>
      </c>
      <c r="AF682" s="525">
        <f t="shared" si="570"/>
        <v>0</v>
      </c>
      <c r="AG682" s="525">
        <f t="shared" si="570"/>
        <v>0</v>
      </c>
      <c r="AH682" s="525">
        <f t="shared" si="570"/>
        <v>0</v>
      </c>
      <c r="AI682" s="525">
        <f t="shared" si="571"/>
        <v>0</v>
      </c>
      <c r="AJ682" s="525">
        <f t="shared" si="571"/>
        <v>0</v>
      </c>
      <c r="AK682" s="525">
        <f t="shared" si="571"/>
        <v>0</v>
      </c>
      <c r="AL682" s="525">
        <f t="shared" si="572"/>
        <v>0</v>
      </c>
    </row>
    <row r="683" spans="1:38" s="542" customFormat="1">
      <c r="A683" s="624"/>
      <c r="B683" s="624"/>
      <c r="C683" s="625">
        <f>C682</f>
        <v>0</v>
      </c>
      <c r="D683" s="544"/>
      <c r="E683" s="734" t="s">
        <v>1659</v>
      </c>
      <c r="F683" s="544"/>
      <c r="G683" s="545"/>
      <c r="H683" s="545"/>
      <c r="I683" s="545"/>
      <c r="J683" s="545"/>
      <c r="K683" s="545"/>
      <c r="L683" s="545"/>
      <c r="M683" s="545"/>
      <c r="N683" s="545"/>
      <c r="O683" s="545"/>
      <c r="P683" s="545"/>
      <c r="Q683" s="545"/>
      <c r="R683" s="545"/>
      <c r="S683" s="545"/>
      <c r="U683" s="545"/>
      <c r="V683" s="545"/>
      <c r="W683" s="545"/>
      <c r="X683" s="545"/>
      <c r="Y683" s="545"/>
      <c r="Z683" s="545"/>
      <c r="AA683" s="545"/>
      <c r="AB683" s="545"/>
      <c r="AD683" s="405">
        <f t="shared" si="568"/>
        <v>0</v>
      </c>
      <c r="AE683" s="525">
        <f t="shared" si="569"/>
        <v>0</v>
      </c>
      <c r="AF683" s="525">
        <f t="shared" si="570"/>
        <v>0</v>
      </c>
      <c r="AG683" s="525">
        <f t="shared" si="570"/>
        <v>0</v>
      </c>
      <c r="AH683" s="525">
        <f t="shared" si="570"/>
        <v>0</v>
      </c>
      <c r="AI683" s="525">
        <f t="shared" si="571"/>
        <v>0</v>
      </c>
      <c r="AJ683" s="525">
        <f t="shared" si="571"/>
        <v>0</v>
      </c>
      <c r="AK683" s="525">
        <f t="shared" si="571"/>
        <v>0</v>
      </c>
      <c r="AL683" s="525">
        <f t="shared" si="572"/>
        <v>0</v>
      </c>
    </row>
    <row r="684" spans="1:38">
      <c r="A684" s="618"/>
      <c r="B684" s="618" t="s">
        <v>446</v>
      </c>
      <c r="C684" s="619">
        <f>IF(G684&lt;&gt;0,$C$682,)</f>
        <v>0</v>
      </c>
      <c r="D684" s="523">
        <f>VLOOKUP(B684,DONGIA,DG!$B$6,0)</f>
        <v>0</v>
      </c>
      <c r="E684" s="666" t="str">
        <f>VLOOKUP(B684,DONGIA,DG!$C$6,0)</f>
        <v>Ty neo φ16x2400</v>
      </c>
      <c r="F684" s="523" t="str">
        <f>VLOOKUP(B684,DONGIA,DG!$D$6,0)</f>
        <v>cái</v>
      </c>
      <c r="G684" s="525">
        <v>1</v>
      </c>
      <c r="H684" s="525">
        <f>VLOOKUP($B684,DONGIA,DG!$E$6,0)</f>
        <v>185000</v>
      </c>
      <c r="I684" s="525"/>
      <c r="J684" s="525"/>
      <c r="K684" s="525">
        <f>VLOOKUP($B684,DONGIA,DG!$F$6,0)</f>
        <v>0</v>
      </c>
      <c r="L684" s="525"/>
      <c r="M684" s="525">
        <f>VLOOKUP($B684,DONGIA,DG!$G$6,0)</f>
        <v>0</v>
      </c>
      <c r="N684" s="525">
        <f>$G684*H684</f>
        <v>185000</v>
      </c>
      <c r="O684" s="525">
        <f t="shared" ref="O684:S687" si="574">$G684*I684</f>
        <v>0</v>
      </c>
      <c r="P684" s="525">
        <f t="shared" si="574"/>
        <v>0</v>
      </c>
      <c r="Q684" s="525">
        <f t="shared" si="574"/>
        <v>0</v>
      </c>
      <c r="R684" s="525">
        <f t="shared" si="574"/>
        <v>0</v>
      </c>
      <c r="S684" s="525">
        <f t="shared" si="574"/>
        <v>0</v>
      </c>
      <c r="U684" s="525">
        <f>U$682*$G684</f>
        <v>0</v>
      </c>
      <c r="V684" s="525">
        <f t="shared" ref="V684:AB684" si="575">V$682*$G684</f>
        <v>0</v>
      </c>
      <c r="W684" s="525">
        <f t="shared" si="575"/>
        <v>0</v>
      </c>
      <c r="X684" s="525">
        <f t="shared" si="575"/>
        <v>0</v>
      </c>
      <c r="Y684" s="525">
        <f t="shared" si="575"/>
        <v>0</v>
      </c>
      <c r="Z684" s="525">
        <f t="shared" si="575"/>
        <v>0</v>
      </c>
      <c r="AA684" s="525">
        <f t="shared" si="575"/>
        <v>0</v>
      </c>
      <c r="AB684" s="525">
        <f t="shared" si="575"/>
        <v>0</v>
      </c>
      <c r="AD684" s="405">
        <f t="shared" si="568"/>
        <v>3.5</v>
      </c>
      <c r="AE684" s="525">
        <f t="shared" si="569"/>
        <v>0</v>
      </c>
      <c r="AF684" s="525">
        <f t="shared" si="570"/>
        <v>0</v>
      </c>
      <c r="AG684" s="525">
        <f t="shared" si="570"/>
        <v>0</v>
      </c>
      <c r="AH684" s="525">
        <f t="shared" si="570"/>
        <v>0</v>
      </c>
      <c r="AI684" s="525">
        <f t="shared" si="571"/>
        <v>0</v>
      </c>
      <c r="AJ684" s="525">
        <f t="shared" si="571"/>
        <v>0</v>
      </c>
      <c r="AK684" s="525">
        <f t="shared" si="571"/>
        <v>0</v>
      </c>
      <c r="AL684" s="525">
        <f t="shared" si="572"/>
        <v>0</v>
      </c>
    </row>
    <row r="685" spans="1:38">
      <c r="A685" s="618"/>
      <c r="B685" s="618" t="s">
        <v>452</v>
      </c>
      <c r="C685" s="619">
        <f>IF(G685&lt;&gt;0,$C$682,)</f>
        <v>0</v>
      </c>
      <c r="D685" s="523">
        <f>VLOOKUP(B685,DONGIA,DG!$B$6,0)</f>
        <v>0</v>
      </c>
      <c r="E685" s="666" t="str">
        <f>VLOOKUP(B685,DONGIA,DG!$C$6,0)</f>
        <v>Neo xòe 8 hướng (dày 3,2mm) + đĩa sen</v>
      </c>
      <c r="F685" s="523" t="str">
        <f>VLOOKUP(B685,DONGIA,DG!$D$6,0)</f>
        <v>cái</v>
      </c>
      <c r="G685" s="525">
        <v>1</v>
      </c>
      <c r="H685" s="525">
        <f>VLOOKUP($B685,DONGIA,DG!$E$6,0)</f>
        <v>101000</v>
      </c>
      <c r="I685" s="525"/>
      <c r="J685" s="525"/>
      <c r="K685" s="525">
        <f>VLOOKUP($B685,DONGIA,DG!$F$6,0)</f>
        <v>0</v>
      </c>
      <c r="L685" s="525"/>
      <c r="M685" s="525">
        <f>VLOOKUP($B685,DONGIA,DG!$G$6,0)</f>
        <v>0</v>
      </c>
      <c r="N685" s="525">
        <f>$G685*H685</f>
        <v>101000</v>
      </c>
      <c r="O685" s="525">
        <f t="shared" si="574"/>
        <v>0</v>
      </c>
      <c r="P685" s="525">
        <f t="shared" si="574"/>
        <v>0</v>
      </c>
      <c r="Q685" s="525">
        <f t="shared" si="574"/>
        <v>0</v>
      </c>
      <c r="R685" s="525">
        <f t="shared" si="574"/>
        <v>0</v>
      </c>
      <c r="S685" s="525">
        <f t="shared" si="574"/>
        <v>0</v>
      </c>
      <c r="U685" s="525">
        <f t="shared" ref="U685:AB687" si="576">U$682*$G685</f>
        <v>0</v>
      </c>
      <c r="V685" s="525">
        <f t="shared" si="576"/>
        <v>0</v>
      </c>
      <c r="W685" s="525">
        <f t="shared" si="576"/>
        <v>0</v>
      </c>
      <c r="X685" s="525">
        <f t="shared" si="576"/>
        <v>0</v>
      </c>
      <c r="Y685" s="525">
        <f t="shared" si="576"/>
        <v>0</v>
      </c>
      <c r="Z685" s="525">
        <f t="shared" si="576"/>
        <v>0</v>
      </c>
      <c r="AA685" s="525">
        <f t="shared" si="576"/>
        <v>0</v>
      </c>
      <c r="AB685" s="525">
        <f t="shared" si="576"/>
        <v>0</v>
      </c>
      <c r="AD685" s="405">
        <f t="shared" si="568"/>
        <v>0.8</v>
      </c>
      <c r="AE685" s="525">
        <f t="shared" si="569"/>
        <v>0</v>
      </c>
      <c r="AF685" s="525">
        <f t="shared" si="570"/>
        <v>0</v>
      </c>
      <c r="AG685" s="525">
        <f t="shared" si="570"/>
        <v>0</v>
      </c>
      <c r="AH685" s="525">
        <f t="shared" si="570"/>
        <v>0</v>
      </c>
      <c r="AI685" s="525">
        <f t="shared" si="571"/>
        <v>0</v>
      </c>
      <c r="AJ685" s="525">
        <f t="shared" si="571"/>
        <v>0</v>
      </c>
      <c r="AK685" s="525">
        <f t="shared" si="571"/>
        <v>0</v>
      </c>
      <c r="AL685" s="525">
        <f t="shared" si="572"/>
        <v>0</v>
      </c>
    </row>
    <row r="686" spans="1:38">
      <c r="A686" s="618"/>
      <c r="B686" s="618" t="s">
        <v>499</v>
      </c>
      <c r="C686" s="619">
        <f>IF(G686&lt;&gt;0,$C$682,)</f>
        <v>0</v>
      </c>
      <c r="D686" s="523" t="str">
        <f>VLOOKUP(B686,DONGIA,DG!$B$6,0)</f>
        <v>AB.11423</v>
      </c>
      <c r="E686" s="666" t="str">
        <f>VLOOKUP(B686,DONGIA,DG!$C$6,0)</f>
        <v>Đào hố móng đất cấp 3 sâu &gt;1m (rộng ≤1m)</v>
      </c>
      <c r="F686" s="523" t="str">
        <f>VLOOKUP(B686,DONGIA,DG!$D$6,0)</f>
        <v>m3</v>
      </c>
      <c r="G686" s="626">
        <f>ROUND(0.2*0.2*3.14159*2,3)</f>
        <v>0.251</v>
      </c>
      <c r="H686" s="525"/>
      <c r="I686" s="525"/>
      <c r="J686" s="525">
        <f>VLOOKUP($B686,DONGIA,DG!$F$6,0)</f>
        <v>418738</v>
      </c>
      <c r="K686" s="525"/>
      <c r="L686" s="525"/>
      <c r="M686" s="525">
        <f>VLOOKUP($B686,DONGIA,DG!$G$6,0)</f>
        <v>0</v>
      </c>
      <c r="N686" s="525">
        <f>$G686*H686</f>
        <v>0</v>
      </c>
      <c r="O686" s="525">
        <f t="shared" si="574"/>
        <v>0</v>
      </c>
      <c r="P686" s="525">
        <f t="shared" si="574"/>
        <v>105103.238</v>
      </c>
      <c r="Q686" s="525">
        <f t="shared" si="574"/>
        <v>0</v>
      </c>
      <c r="R686" s="525">
        <f t="shared" si="574"/>
        <v>0</v>
      </c>
      <c r="S686" s="525">
        <f t="shared" si="574"/>
        <v>0</v>
      </c>
      <c r="U686" s="525">
        <f t="shared" si="576"/>
        <v>0</v>
      </c>
      <c r="V686" s="525">
        <f t="shared" si="576"/>
        <v>0</v>
      </c>
      <c r="W686" s="525">
        <f t="shared" si="576"/>
        <v>0</v>
      </c>
      <c r="X686" s="525">
        <f t="shared" si="576"/>
        <v>0</v>
      </c>
      <c r="Y686" s="525">
        <f t="shared" si="576"/>
        <v>0</v>
      </c>
      <c r="Z686" s="525">
        <f t="shared" si="576"/>
        <v>0</v>
      </c>
      <c r="AA686" s="525">
        <f t="shared" si="576"/>
        <v>0</v>
      </c>
      <c r="AB686" s="525">
        <f t="shared" si="576"/>
        <v>0</v>
      </c>
      <c r="AD686" s="405">
        <f t="shared" si="568"/>
        <v>0</v>
      </c>
      <c r="AE686" s="525">
        <f t="shared" si="569"/>
        <v>0</v>
      </c>
      <c r="AF686" s="525">
        <f t="shared" si="570"/>
        <v>0</v>
      </c>
      <c r="AG686" s="525">
        <f t="shared" si="570"/>
        <v>0</v>
      </c>
      <c r="AH686" s="525">
        <f t="shared" si="570"/>
        <v>0</v>
      </c>
      <c r="AI686" s="525">
        <f t="shared" si="571"/>
        <v>0</v>
      </c>
      <c r="AJ686" s="525">
        <f t="shared" si="571"/>
        <v>0</v>
      </c>
      <c r="AK686" s="525">
        <f t="shared" si="571"/>
        <v>0</v>
      </c>
      <c r="AL686" s="525">
        <f t="shared" si="572"/>
        <v>0</v>
      </c>
    </row>
    <row r="687" spans="1:38">
      <c r="A687" s="618"/>
      <c r="B687" s="618" t="s">
        <v>510</v>
      </c>
      <c r="C687" s="619">
        <f>IF(G687&lt;&gt;0,$C$682,)</f>
        <v>0</v>
      </c>
      <c r="D687" s="523" t="str">
        <f>VLOOKUP(B687,DONGIA,DG!$B$6,0)</f>
        <v>AB.65110</v>
      </c>
      <c r="E687" s="666" t="str">
        <f>VLOOKUP(B687,DONGIA,DG!$C$6,0)</f>
        <v>Đắp đất hố móng (K=0,85)</v>
      </c>
      <c r="F687" s="523" t="str">
        <f>VLOOKUP(B687,DONGIA,DG!$D$6,0)</f>
        <v>m3</v>
      </c>
      <c r="G687" s="626">
        <f>G686</f>
        <v>0.251</v>
      </c>
      <c r="H687" s="525"/>
      <c r="I687" s="525"/>
      <c r="J687" s="525">
        <f>VLOOKUP($B687,DONGIA,DG!$F$6,0)</f>
        <v>16267</v>
      </c>
      <c r="K687" s="525"/>
      <c r="L687" s="525"/>
      <c r="M687" s="525">
        <f>VLOOKUP($B687,DONGIA,DG!$G$6,0)</f>
        <v>11176</v>
      </c>
      <c r="N687" s="525">
        <f>$G687*H687</f>
        <v>0</v>
      </c>
      <c r="O687" s="525">
        <f t="shared" si="574"/>
        <v>0</v>
      </c>
      <c r="P687" s="525">
        <f t="shared" si="574"/>
        <v>4083.0169999999998</v>
      </c>
      <c r="Q687" s="525">
        <f t="shared" si="574"/>
        <v>0</v>
      </c>
      <c r="R687" s="525">
        <f t="shared" si="574"/>
        <v>0</v>
      </c>
      <c r="S687" s="525">
        <f t="shared" si="574"/>
        <v>2805.1759999999999</v>
      </c>
      <c r="U687" s="525">
        <f t="shared" si="576"/>
        <v>0</v>
      </c>
      <c r="V687" s="525">
        <f t="shared" si="576"/>
        <v>0</v>
      </c>
      <c r="W687" s="525">
        <f t="shared" si="576"/>
        <v>0</v>
      </c>
      <c r="X687" s="525">
        <f t="shared" si="576"/>
        <v>0</v>
      </c>
      <c r="Y687" s="525">
        <f t="shared" si="576"/>
        <v>0</v>
      </c>
      <c r="Z687" s="525">
        <f t="shared" si="576"/>
        <v>0</v>
      </c>
      <c r="AA687" s="525">
        <f t="shared" si="576"/>
        <v>0</v>
      </c>
      <c r="AB687" s="525">
        <f t="shared" si="576"/>
        <v>0</v>
      </c>
      <c r="AD687" s="405">
        <f t="shared" si="568"/>
        <v>0</v>
      </c>
      <c r="AE687" s="525">
        <f t="shared" si="569"/>
        <v>0</v>
      </c>
      <c r="AF687" s="525">
        <f t="shared" si="570"/>
        <v>0</v>
      </c>
      <c r="AG687" s="525">
        <f t="shared" si="570"/>
        <v>0</v>
      </c>
      <c r="AH687" s="525">
        <f t="shared" si="570"/>
        <v>0</v>
      </c>
      <c r="AI687" s="525">
        <f t="shared" si="571"/>
        <v>0</v>
      </c>
      <c r="AJ687" s="525">
        <f t="shared" si="571"/>
        <v>0</v>
      </c>
      <c r="AK687" s="525">
        <f t="shared" si="571"/>
        <v>0</v>
      </c>
      <c r="AL687" s="525">
        <f t="shared" si="572"/>
        <v>0</v>
      </c>
    </row>
    <row r="688" spans="1:38">
      <c r="A688" s="618" t="s">
        <v>3430</v>
      </c>
      <c r="B688" s="618"/>
      <c r="C688" s="619">
        <f>IF(G688&lt;&gt;0,1,)</f>
        <v>0</v>
      </c>
      <c r="D688" s="622"/>
      <c r="E688" s="733" t="s">
        <v>3442</v>
      </c>
      <c r="F688" s="622" t="s">
        <v>138</v>
      </c>
      <c r="G688" s="622">
        <f>U688</f>
        <v>0</v>
      </c>
      <c r="H688" s="623"/>
      <c r="I688" s="623"/>
      <c r="J688" s="623"/>
      <c r="K688" s="623"/>
      <c r="L688" s="623"/>
      <c r="M688" s="623"/>
      <c r="N688" s="623">
        <f t="shared" ref="N688:S688" si="577">SUM(N690:N694)</f>
        <v>286000</v>
      </c>
      <c r="O688" s="623">
        <f t="shared" si="577"/>
        <v>0</v>
      </c>
      <c r="P688" s="623">
        <f t="shared" si="577"/>
        <v>467831.67999999993</v>
      </c>
      <c r="Q688" s="623">
        <f t="shared" si="577"/>
        <v>0</v>
      </c>
      <c r="R688" s="623">
        <f t="shared" si="577"/>
        <v>16093.439999999999</v>
      </c>
      <c r="S688" s="623">
        <f t="shared" si="577"/>
        <v>546018.72</v>
      </c>
      <c r="U688" s="623">
        <f>SUM(V688:AB688)</f>
        <v>0</v>
      </c>
      <c r="V688" s="623">
        <f>IFERROR(HLOOKUP($A688,BK3P,V$3,0),)</f>
        <v>0</v>
      </c>
      <c r="W688" s="623">
        <f>IFERROR(HLOOKUP($A688,BK3P,W$3,0),)</f>
        <v>0</v>
      </c>
      <c r="X688" s="623">
        <f>IFERROR(HLOOKUP($A688,BK3P,X$3,0),)</f>
        <v>0</v>
      </c>
      <c r="Y688" s="623">
        <f>IFERROR(HLOOKUP($A688,BK1P,Y$3,0),)</f>
        <v>0</v>
      </c>
      <c r="Z688" s="623">
        <f>IFERROR(HLOOKUP($A688,BK1P,Z$3,0),)</f>
        <v>0</v>
      </c>
      <c r="AA688" s="623">
        <f>IFERROR(HLOOKUP($A688,BK1P,AA$3,0),)</f>
        <v>0</v>
      </c>
      <c r="AB688" s="623">
        <f>IFERROR(HLOOKUP($A688,BKHT,AB$3,0),)</f>
        <v>0</v>
      </c>
      <c r="AD688" s="405">
        <f t="shared" si="568"/>
        <v>0</v>
      </c>
      <c r="AE688" s="525">
        <f t="shared" si="569"/>
        <v>0</v>
      </c>
      <c r="AF688" s="525">
        <f t="shared" si="570"/>
        <v>0</v>
      </c>
      <c r="AG688" s="525">
        <f t="shared" si="570"/>
        <v>0</v>
      </c>
      <c r="AH688" s="525">
        <f t="shared" si="570"/>
        <v>0</v>
      </c>
      <c r="AI688" s="525">
        <f t="shared" si="571"/>
        <v>0</v>
      </c>
      <c r="AJ688" s="525">
        <f t="shared" si="571"/>
        <v>0</v>
      </c>
      <c r="AK688" s="525">
        <f t="shared" si="571"/>
        <v>0</v>
      </c>
      <c r="AL688" s="525">
        <f t="shared" si="572"/>
        <v>0</v>
      </c>
    </row>
    <row r="689" spans="1:38" s="542" customFormat="1">
      <c r="A689" s="624"/>
      <c r="B689" s="624"/>
      <c r="C689" s="625">
        <f>C688</f>
        <v>0</v>
      </c>
      <c r="D689" s="544"/>
      <c r="E689" s="734" t="s">
        <v>1659</v>
      </c>
      <c r="F689" s="544"/>
      <c r="G689" s="545"/>
      <c r="H689" s="545"/>
      <c r="I689" s="545"/>
      <c r="J689" s="545"/>
      <c r="K689" s="545"/>
      <c r="L689" s="545"/>
      <c r="M689" s="545"/>
      <c r="N689" s="545"/>
      <c r="O689" s="545"/>
      <c r="P689" s="545"/>
      <c r="Q689" s="545"/>
      <c r="R689" s="545"/>
      <c r="S689" s="545"/>
      <c r="U689" s="545"/>
      <c r="V689" s="545"/>
      <c r="W689" s="545"/>
      <c r="X689" s="545"/>
      <c r="Y689" s="545"/>
      <c r="Z689" s="545"/>
      <c r="AA689" s="545"/>
      <c r="AB689" s="545"/>
      <c r="AD689" s="405">
        <f t="shared" si="568"/>
        <v>0</v>
      </c>
      <c r="AE689" s="525">
        <f t="shared" si="569"/>
        <v>0</v>
      </c>
      <c r="AF689" s="525">
        <f t="shared" si="570"/>
        <v>0</v>
      </c>
      <c r="AG689" s="525">
        <f t="shared" si="570"/>
        <v>0</v>
      </c>
      <c r="AH689" s="525">
        <f t="shared" si="570"/>
        <v>0</v>
      </c>
      <c r="AI689" s="525">
        <f t="shared" si="571"/>
        <v>0</v>
      </c>
      <c r="AJ689" s="525">
        <f t="shared" si="571"/>
        <v>0</v>
      </c>
      <c r="AK689" s="525">
        <f t="shared" si="571"/>
        <v>0</v>
      </c>
      <c r="AL689" s="525">
        <f t="shared" si="572"/>
        <v>0</v>
      </c>
    </row>
    <row r="690" spans="1:38">
      <c r="A690" s="618"/>
      <c r="B690" s="618" t="s">
        <v>446</v>
      </c>
      <c r="C690" s="619">
        <f>IF(G690&lt;&gt;0,$C$688,)</f>
        <v>0</v>
      </c>
      <c r="D690" s="523">
        <f>VLOOKUP(B690,DONGIA,DG!$B$6,0)</f>
        <v>0</v>
      </c>
      <c r="E690" s="666" t="str">
        <f>VLOOKUP(B690,DONGIA,DG!$C$6,0)</f>
        <v>Ty neo φ16x2400</v>
      </c>
      <c r="F690" s="523" t="str">
        <f>VLOOKUP(B690,DONGIA,DG!$D$6,0)</f>
        <v>cái</v>
      </c>
      <c r="G690" s="525">
        <v>1</v>
      </c>
      <c r="H690" s="525">
        <f>VLOOKUP($B690,DONGIA,DG!$E$6,0)</f>
        <v>185000</v>
      </c>
      <c r="I690" s="525"/>
      <c r="J690" s="525"/>
      <c r="K690" s="525">
        <f>VLOOKUP($B690,DONGIA,DG!$F$6,0)</f>
        <v>0</v>
      </c>
      <c r="L690" s="525"/>
      <c r="M690" s="525">
        <f>VLOOKUP($B690,DONGIA,DG!$G$6,0)</f>
        <v>0</v>
      </c>
      <c r="N690" s="525">
        <f t="shared" ref="N690:S694" si="578">$G690*H690</f>
        <v>185000</v>
      </c>
      <c r="O690" s="525">
        <f t="shared" si="578"/>
        <v>0</v>
      </c>
      <c r="P690" s="525">
        <f t="shared" si="578"/>
        <v>0</v>
      </c>
      <c r="Q690" s="525">
        <f t="shared" si="578"/>
        <v>0</v>
      </c>
      <c r="R690" s="525">
        <f t="shared" si="578"/>
        <v>0</v>
      </c>
      <c r="S690" s="525">
        <f t="shared" si="578"/>
        <v>0</v>
      </c>
      <c r="U690" s="525">
        <f>U$662*$G690</f>
        <v>2</v>
      </c>
      <c r="V690" s="525">
        <f t="shared" ref="V690:AA690" si="579">V$662*$G690</f>
        <v>2</v>
      </c>
      <c r="W690" s="525">
        <f t="shared" si="579"/>
        <v>0</v>
      </c>
      <c r="X690" s="525">
        <f t="shared" si="579"/>
        <v>0</v>
      </c>
      <c r="Y690" s="525">
        <f t="shared" si="579"/>
        <v>0</v>
      </c>
      <c r="Z690" s="525">
        <f t="shared" si="579"/>
        <v>0</v>
      </c>
      <c r="AA690" s="525">
        <f t="shared" si="579"/>
        <v>0</v>
      </c>
      <c r="AB690" s="525">
        <f>AB$650*$G690</f>
        <v>0</v>
      </c>
      <c r="AD690" s="405">
        <f t="shared" si="568"/>
        <v>3.5</v>
      </c>
      <c r="AE690" s="525">
        <f t="shared" si="569"/>
        <v>7</v>
      </c>
      <c r="AF690" s="525">
        <f t="shared" si="570"/>
        <v>7</v>
      </c>
      <c r="AG690" s="525">
        <f t="shared" si="570"/>
        <v>0</v>
      </c>
      <c r="AH690" s="525">
        <f t="shared" si="570"/>
        <v>0</v>
      </c>
      <c r="AI690" s="525">
        <f t="shared" si="571"/>
        <v>0</v>
      </c>
      <c r="AJ690" s="525">
        <f t="shared" si="571"/>
        <v>0</v>
      </c>
      <c r="AK690" s="525">
        <f t="shared" si="571"/>
        <v>0</v>
      </c>
      <c r="AL690" s="525">
        <f t="shared" si="572"/>
        <v>0</v>
      </c>
    </row>
    <row r="691" spans="1:38">
      <c r="A691" s="618"/>
      <c r="B691" s="618" t="s">
        <v>452</v>
      </c>
      <c r="C691" s="619">
        <f t="shared" ref="C691:C694" si="580">IF(G691&lt;&gt;0,$C$688,)</f>
        <v>0</v>
      </c>
      <c r="D691" s="523">
        <f>VLOOKUP(B691,DONGIA,DG!$B$6,0)</f>
        <v>0</v>
      </c>
      <c r="E691" s="666" t="str">
        <f>VLOOKUP(B691,DONGIA,DG!$C$6,0)</f>
        <v>Neo xòe 8 hướng (dày 3,2mm) + đĩa sen</v>
      </c>
      <c r="F691" s="523" t="str">
        <f>VLOOKUP(B691,DONGIA,DG!$D$6,0)</f>
        <v>cái</v>
      </c>
      <c r="G691" s="525">
        <v>1</v>
      </c>
      <c r="H691" s="525">
        <f>VLOOKUP($B691,DONGIA,DG!$E$6,0)</f>
        <v>101000</v>
      </c>
      <c r="I691" s="525"/>
      <c r="J691" s="525"/>
      <c r="K691" s="525">
        <f>VLOOKUP($B691,DONGIA,DG!$F$6,0)</f>
        <v>0</v>
      </c>
      <c r="L691" s="525"/>
      <c r="M691" s="525">
        <f>VLOOKUP($B691,DONGIA,DG!$G$6,0)</f>
        <v>0</v>
      </c>
      <c r="N691" s="525">
        <f t="shared" si="578"/>
        <v>101000</v>
      </c>
      <c r="O691" s="525">
        <f t="shared" si="578"/>
        <v>0</v>
      </c>
      <c r="P691" s="525">
        <f t="shared" si="578"/>
        <v>0</v>
      </c>
      <c r="Q691" s="525">
        <f t="shared" si="578"/>
        <v>0</v>
      </c>
      <c r="R691" s="525">
        <f t="shared" si="578"/>
        <v>0</v>
      </c>
      <c r="S691" s="525">
        <f t="shared" si="578"/>
        <v>0</v>
      </c>
      <c r="U691" s="525">
        <f t="shared" ref="U691:AA694" si="581">U$662*$G691</f>
        <v>2</v>
      </c>
      <c r="V691" s="525">
        <f t="shared" si="581"/>
        <v>2</v>
      </c>
      <c r="W691" s="525">
        <f t="shared" si="581"/>
        <v>0</v>
      </c>
      <c r="X691" s="525">
        <f t="shared" si="581"/>
        <v>0</v>
      </c>
      <c r="Y691" s="525">
        <f t="shared" si="581"/>
        <v>0</v>
      </c>
      <c r="Z691" s="525">
        <f t="shared" si="581"/>
        <v>0</v>
      </c>
      <c r="AA691" s="525">
        <f t="shared" si="581"/>
        <v>0</v>
      </c>
      <c r="AB691" s="525">
        <f>AB$650*$G691</f>
        <v>0</v>
      </c>
      <c r="AD691" s="405">
        <f t="shared" si="568"/>
        <v>0.8</v>
      </c>
      <c r="AE691" s="525">
        <f t="shared" si="569"/>
        <v>1.6</v>
      </c>
      <c r="AF691" s="525">
        <f t="shared" si="570"/>
        <v>1.6</v>
      </c>
      <c r="AG691" s="525">
        <f t="shared" si="570"/>
        <v>0</v>
      </c>
      <c r="AH691" s="525">
        <f t="shared" si="570"/>
        <v>0</v>
      </c>
      <c r="AI691" s="525">
        <f t="shared" si="571"/>
        <v>0</v>
      </c>
      <c r="AJ691" s="525">
        <f t="shared" si="571"/>
        <v>0</v>
      </c>
      <c r="AK691" s="525">
        <f t="shared" si="571"/>
        <v>0</v>
      </c>
      <c r="AL691" s="525">
        <f t="shared" si="572"/>
        <v>0</v>
      </c>
    </row>
    <row r="692" spans="1:38">
      <c r="A692" s="618"/>
      <c r="B692" s="618" t="s">
        <v>491</v>
      </c>
      <c r="C692" s="619">
        <f t="shared" si="580"/>
        <v>0</v>
      </c>
      <c r="D692" s="523" t="str">
        <f>VLOOKUP(B692,DONGIA,DG!$B$6,0)</f>
        <v>AB.11413</v>
      </c>
      <c r="E692" s="666" t="str">
        <f>VLOOKUP(B692,DONGIA,DG!$C$6,0)</f>
        <v>Đào hố móng đất cấp 3 sâu ≤1m (rộng ≤1m)</v>
      </c>
      <c r="F692" s="523" t="str">
        <f>VLOOKUP(B692,DONGIA,DG!$D$6,0)</f>
        <v>m3</v>
      </c>
      <c r="G692" s="626">
        <v>0.4</v>
      </c>
      <c r="H692" s="525"/>
      <c r="I692" s="525"/>
      <c r="J692" s="525">
        <f>VLOOKUP($B692,DONGIA,DG!$F$6,0)</f>
        <v>340001</v>
      </c>
      <c r="K692" s="525"/>
      <c r="L692" s="525"/>
      <c r="M692" s="525">
        <f>VLOOKUP($B692,DONGIA,DG!$G$6,0)</f>
        <v>0</v>
      </c>
      <c r="N692" s="525">
        <f t="shared" si="578"/>
        <v>0</v>
      </c>
      <c r="O692" s="525">
        <f t="shared" si="578"/>
        <v>0</v>
      </c>
      <c r="P692" s="525">
        <f t="shared" si="578"/>
        <v>136000.4</v>
      </c>
      <c r="Q692" s="525">
        <f t="shared" si="578"/>
        <v>0</v>
      </c>
      <c r="R692" s="525">
        <f t="shared" si="578"/>
        <v>0</v>
      </c>
      <c r="S692" s="525">
        <f t="shared" si="578"/>
        <v>0</v>
      </c>
      <c r="U692" s="525">
        <f t="shared" si="581"/>
        <v>0.8</v>
      </c>
      <c r="V692" s="525">
        <f t="shared" si="581"/>
        <v>0.8</v>
      </c>
      <c r="W692" s="525">
        <f t="shared" si="581"/>
        <v>0</v>
      </c>
      <c r="X692" s="525">
        <f t="shared" si="581"/>
        <v>0</v>
      </c>
      <c r="Y692" s="525">
        <f t="shared" si="581"/>
        <v>0</v>
      </c>
      <c r="Z692" s="525">
        <f t="shared" si="581"/>
        <v>0</v>
      </c>
      <c r="AA692" s="525">
        <f t="shared" si="581"/>
        <v>0</v>
      </c>
      <c r="AB692" s="525">
        <f>AB$650*$G692</f>
        <v>0</v>
      </c>
      <c r="AD692" s="405">
        <f t="shared" si="568"/>
        <v>0</v>
      </c>
      <c r="AE692" s="525">
        <f t="shared" si="569"/>
        <v>0</v>
      </c>
      <c r="AF692" s="525">
        <f t="shared" si="570"/>
        <v>0</v>
      </c>
      <c r="AG692" s="525">
        <f t="shared" si="570"/>
        <v>0</v>
      </c>
      <c r="AH692" s="525">
        <f t="shared" si="570"/>
        <v>0</v>
      </c>
      <c r="AI692" s="525">
        <f t="shared" si="571"/>
        <v>0</v>
      </c>
      <c r="AJ692" s="525">
        <f t="shared" si="571"/>
        <v>0</v>
      </c>
      <c r="AK692" s="525">
        <f t="shared" si="571"/>
        <v>0</v>
      </c>
      <c r="AL692" s="525">
        <f t="shared" si="572"/>
        <v>0</v>
      </c>
    </row>
    <row r="693" spans="1:38">
      <c r="A693" s="618"/>
      <c r="B693" s="618" t="s">
        <v>3823</v>
      </c>
      <c r="C693" s="619">
        <f t="shared" si="580"/>
        <v>0</v>
      </c>
      <c r="D693" s="523" t="str">
        <f>VLOOKUP(B693,DONGIA,DG!$B$6,0)</f>
        <v>AB.51613</v>
      </c>
      <c r="E693" s="666" t="str">
        <f>VLOOKUP(B693,DONGIA,DG!$C$6,0)</f>
        <v>Phá đá chân hố móng, đá cấp III (bằng búa căn)</v>
      </c>
      <c r="F693" s="523" t="str">
        <f>VLOOKUP(B693,DONGIA,DG!$D$6,0)</f>
        <v>m3</v>
      </c>
      <c r="G693" s="626">
        <v>1.04</v>
      </c>
      <c r="H693" s="525"/>
      <c r="I693" s="525"/>
      <c r="J693" s="525">
        <f>VLOOKUP($B693,DONGIA,DG!$F$6,0)</f>
        <v>296545</v>
      </c>
      <c r="K693" s="525"/>
      <c r="L693" s="525"/>
      <c r="M693" s="525">
        <f>VLOOKUP($B693,DONGIA,DG!$G$6,0)</f>
        <v>525018</v>
      </c>
      <c r="N693" s="525">
        <f t="shared" si="578"/>
        <v>0</v>
      </c>
      <c r="O693" s="525">
        <f t="shared" si="578"/>
        <v>0</v>
      </c>
      <c r="P693" s="525">
        <f t="shared" si="578"/>
        <v>308406.8</v>
      </c>
      <c r="Q693" s="525">
        <f t="shared" si="578"/>
        <v>0</v>
      </c>
      <c r="R693" s="525">
        <f t="shared" si="578"/>
        <v>0</v>
      </c>
      <c r="S693" s="525">
        <f t="shared" si="578"/>
        <v>546018.72</v>
      </c>
      <c r="U693" s="525">
        <f t="shared" si="581"/>
        <v>2.08</v>
      </c>
      <c r="V693" s="525">
        <f t="shared" si="581"/>
        <v>2.08</v>
      </c>
      <c r="W693" s="525">
        <f t="shared" si="581"/>
        <v>0</v>
      </c>
      <c r="X693" s="525">
        <f t="shared" si="581"/>
        <v>0</v>
      </c>
      <c r="Y693" s="525">
        <f t="shared" si="581"/>
        <v>0</v>
      </c>
      <c r="Z693" s="525">
        <f t="shared" si="581"/>
        <v>0</v>
      </c>
      <c r="AA693" s="525">
        <f t="shared" si="581"/>
        <v>0</v>
      </c>
      <c r="AB693" s="525">
        <f>AB$650*$G693</f>
        <v>0</v>
      </c>
      <c r="AD693" s="405">
        <f t="shared" si="568"/>
        <v>0</v>
      </c>
      <c r="AE693" s="525">
        <f t="shared" si="569"/>
        <v>0</v>
      </c>
      <c r="AF693" s="525">
        <f t="shared" si="570"/>
        <v>0</v>
      </c>
      <c r="AG693" s="525">
        <f t="shared" si="570"/>
        <v>0</v>
      </c>
      <c r="AH693" s="525">
        <f t="shared" si="570"/>
        <v>0</v>
      </c>
      <c r="AI693" s="525">
        <f t="shared" si="571"/>
        <v>0</v>
      </c>
      <c r="AJ693" s="525">
        <f t="shared" si="571"/>
        <v>0</v>
      </c>
      <c r="AK693" s="525">
        <f t="shared" si="571"/>
        <v>0</v>
      </c>
      <c r="AL693" s="525">
        <f t="shared" si="572"/>
        <v>0</v>
      </c>
    </row>
    <row r="694" spans="1:38">
      <c r="A694" s="618"/>
      <c r="B694" s="618" t="s">
        <v>510</v>
      </c>
      <c r="C694" s="619">
        <f t="shared" si="580"/>
        <v>0</v>
      </c>
      <c r="D694" s="523" t="str">
        <f>VLOOKUP(B694,DONGIA,DG!$B$6,0)</f>
        <v>AB.65110</v>
      </c>
      <c r="E694" s="666" t="str">
        <f>VLOOKUP(B694,DONGIA,DG!$C$6,0)</f>
        <v>Đắp đất hố móng (K=0,85)</v>
      </c>
      <c r="F694" s="523" t="str">
        <f>VLOOKUP(B694,DONGIA,DG!$D$6,0)</f>
        <v>m3</v>
      </c>
      <c r="G694" s="626">
        <v>1.44</v>
      </c>
      <c r="H694" s="525"/>
      <c r="I694" s="525"/>
      <c r="J694" s="525">
        <f>VLOOKUP($B694,DONGIA,DG!$F$6,0)</f>
        <v>16267</v>
      </c>
      <c r="K694" s="525"/>
      <c r="L694" s="525">
        <f>VLOOKUP($B694,DONGIA,DG!$G$6,0)</f>
        <v>11176</v>
      </c>
      <c r="M694" s="525"/>
      <c r="N694" s="525">
        <f t="shared" si="578"/>
        <v>0</v>
      </c>
      <c r="O694" s="525">
        <f t="shared" si="578"/>
        <v>0</v>
      </c>
      <c r="P694" s="525">
        <f t="shared" si="578"/>
        <v>23424.48</v>
      </c>
      <c r="Q694" s="525">
        <f t="shared" si="578"/>
        <v>0</v>
      </c>
      <c r="R694" s="525">
        <f t="shared" si="578"/>
        <v>16093.439999999999</v>
      </c>
      <c r="S694" s="525">
        <f t="shared" si="578"/>
        <v>0</v>
      </c>
      <c r="U694" s="525">
        <f t="shared" si="581"/>
        <v>2.88</v>
      </c>
      <c r="V694" s="525">
        <f t="shared" si="581"/>
        <v>2.88</v>
      </c>
      <c r="W694" s="525">
        <f t="shared" si="581"/>
        <v>0</v>
      </c>
      <c r="X694" s="525">
        <f t="shared" si="581"/>
        <v>0</v>
      </c>
      <c r="Y694" s="525">
        <f t="shared" si="581"/>
        <v>0</v>
      </c>
      <c r="Z694" s="525">
        <f t="shared" si="581"/>
        <v>0</v>
      </c>
      <c r="AA694" s="525">
        <f t="shared" si="581"/>
        <v>0</v>
      </c>
      <c r="AB694" s="525">
        <f>AB$650*$G694</f>
        <v>0</v>
      </c>
      <c r="AD694" s="405">
        <f t="shared" si="568"/>
        <v>0</v>
      </c>
      <c r="AE694" s="525">
        <f t="shared" si="569"/>
        <v>0</v>
      </c>
      <c r="AF694" s="525">
        <f t="shared" si="570"/>
        <v>0</v>
      </c>
      <c r="AG694" s="525">
        <f t="shared" si="570"/>
        <v>0</v>
      </c>
      <c r="AH694" s="525">
        <f t="shared" si="570"/>
        <v>0</v>
      </c>
      <c r="AI694" s="525">
        <f t="shared" si="571"/>
        <v>0</v>
      </c>
      <c r="AJ694" s="525">
        <f t="shared" si="571"/>
        <v>0</v>
      </c>
      <c r="AK694" s="525">
        <f t="shared" si="571"/>
        <v>0</v>
      </c>
      <c r="AL694" s="525">
        <f t="shared" si="572"/>
        <v>0</v>
      </c>
    </row>
    <row r="695" spans="1:38" s="332" customFormat="1">
      <c r="A695" s="356" t="s">
        <v>3431</v>
      </c>
      <c r="B695" s="356"/>
      <c r="C695" s="355">
        <f>IF(G695&lt;&gt;0,1,)</f>
        <v>0</v>
      </c>
      <c r="D695" s="357"/>
      <c r="E695" s="736" t="s">
        <v>3443</v>
      </c>
      <c r="F695" s="357" t="s">
        <v>138</v>
      </c>
      <c r="G695" s="357">
        <f>U695</f>
        <v>0</v>
      </c>
      <c r="H695" s="358"/>
      <c r="I695" s="358"/>
      <c r="J695" s="358"/>
      <c r="K695" s="358"/>
      <c r="L695" s="358"/>
      <c r="M695" s="358"/>
      <c r="N695" s="358">
        <f t="shared" ref="N695:S695" si="582">SUM(N697:N701)</f>
        <v>286000</v>
      </c>
      <c r="O695" s="358">
        <f t="shared" si="582"/>
        <v>0</v>
      </c>
      <c r="P695" s="358">
        <f t="shared" si="582"/>
        <v>467831.67999999993</v>
      </c>
      <c r="Q695" s="358">
        <f t="shared" si="582"/>
        <v>0</v>
      </c>
      <c r="R695" s="358">
        <f t="shared" si="582"/>
        <v>0</v>
      </c>
      <c r="S695" s="358">
        <f t="shared" si="582"/>
        <v>562112.15999999992</v>
      </c>
      <c r="U695" s="358">
        <f>SUM(V695:AB695)</f>
        <v>0</v>
      </c>
      <c r="V695" s="358">
        <f>IFERROR(HLOOKUP($A695,BK3P,V$3,0),)</f>
        <v>0</v>
      </c>
      <c r="W695" s="358">
        <f>IFERROR(HLOOKUP($A695,BK3P,W$3,0),)</f>
        <v>0</v>
      </c>
      <c r="X695" s="358">
        <f>IFERROR(HLOOKUP($A695,BK3P,X$3,0),)</f>
        <v>0</v>
      </c>
      <c r="Y695" s="358">
        <f>IFERROR(HLOOKUP($A695,BK1P,Y$3,0),)</f>
        <v>0</v>
      </c>
      <c r="Z695" s="358">
        <f>IFERROR(HLOOKUP($A695,BK1P,Z$3,0),)</f>
        <v>0</v>
      </c>
      <c r="AA695" s="358">
        <f>IFERROR(HLOOKUP($A695,BK1P,AA$3,0),)</f>
        <v>0</v>
      </c>
      <c r="AB695" s="358">
        <f>IFERROR(HLOOKUP($A695,BKHT,AB$3,0),)</f>
        <v>0</v>
      </c>
      <c r="AD695" s="332">
        <f t="shared" si="568"/>
        <v>0</v>
      </c>
      <c r="AE695" s="329">
        <f t="shared" si="569"/>
        <v>0</v>
      </c>
      <c r="AF695" s="329">
        <f t="shared" si="570"/>
        <v>0</v>
      </c>
      <c r="AG695" s="329">
        <f t="shared" si="570"/>
        <v>0</v>
      </c>
      <c r="AH695" s="329">
        <f t="shared" si="570"/>
        <v>0</v>
      </c>
      <c r="AI695" s="329">
        <f t="shared" si="571"/>
        <v>0</v>
      </c>
      <c r="AJ695" s="329">
        <f t="shared" si="571"/>
        <v>0</v>
      </c>
      <c r="AK695" s="329">
        <f t="shared" si="571"/>
        <v>0</v>
      </c>
      <c r="AL695" s="329">
        <f t="shared" si="572"/>
        <v>0</v>
      </c>
    </row>
    <row r="696" spans="1:38" s="361" customFormat="1">
      <c r="A696" s="359"/>
      <c r="B696" s="359"/>
      <c r="C696" s="360">
        <f>C695</f>
        <v>0</v>
      </c>
      <c r="D696" s="350"/>
      <c r="E696" s="737" t="s">
        <v>1659</v>
      </c>
      <c r="F696" s="350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U696" s="351"/>
      <c r="V696" s="351"/>
      <c r="W696" s="351"/>
      <c r="X696" s="351"/>
      <c r="Y696" s="351"/>
      <c r="Z696" s="351"/>
      <c r="AA696" s="351"/>
      <c r="AB696" s="351"/>
      <c r="AD696" s="332">
        <f t="shared" si="568"/>
        <v>0</v>
      </c>
      <c r="AE696" s="329">
        <f t="shared" si="569"/>
        <v>0</v>
      </c>
      <c r="AF696" s="329">
        <f t="shared" si="570"/>
        <v>0</v>
      </c>
      <c r="AG696" s="329">
        <f t="shared" si="570"/>
        <v>0</v>
      </c>
      <c r="AH696" s="329">
        <f t="shared" si="570"/>
        <v>0</v>
      </c>
      <c r="AI696" s="329">
        <f t="shared" si="571"/>
        <v>0</v>
      </c>
      <c r="AJ696" s="329">
        <f t="shared" si="571"/>
        <v>0</v>
      </c>
      <c r="AK696" s="329">
        <f t="shared" si="571"/>
        <v>0</v>
      </c>
      <c r="AL696" s="329">
        <f t="shared" si="572"/>
        <v>0</v>
      </c>
    </row>
    <row r="697" spans="1:38" s="332" customFormat="1">
      <c r="A697" s="356"/>
      <c r="B697" s="618" t="s">
        <v>446</v>
      </c>
      <c r="C697" s="355">
        <f>IF(G697&lt;&gt;0,$C$695,)</f>
        <v>0</v>
      </c>
      <c r="D697" s="341">
        <f>VLOOKUP(B697,DONGIA,DG!$B$6,0)</f>
        <v>0</v>
      </c>
      <c r="E697" s="735" t="str">
        <f>VLOOKUP(B697,DONGIA,DG!$C$6,0)</f>
        <v>Ty neo φ16x2400</v>
      </c>
      <c r="F697" s="341" t="str">
        <f>VLOOKUP(B697,DONGIA,DG!$D$6,0)</f>
        <v>cái</v>
      </c>
      <c r="G697" s="329">
        <v>1</v>
      </c>
      <c r="H697" s="329">
        <f>VLOOKUP($B697,DONGIA,DG!$E$6,0)</f>
        <v>185000</v>
      </c>
      <c r="I697" s="329"/>
      <c r="J697" s="329"/>
      <c r="K697" s="329">
        <f>VLOOKUP($B697,DONGIA,DG!$F$6,0)</f>
        <v>0</v>
      </c>
      <c r="L697" s="329"/>
      <c r="M697" s="329">
        <f>VLOOKUP($B697,DONGIA,DG!$G$6,0)</f>
        <v>0</v>
      </c>
      <c r="N697" s="329">
        <f t="shared" ref="N697:S701" si="583">$G697*H697</f>
        <v>185000</v>
      </c>
      <c r="O697" s="329">
        <f t="shared" si="583"/>
        <v>0</v>
      </c>
      <c r="P697" s="329">
        <f t="shared" si="583"/>
        <v>0</v>
      </c>
      <c r="Q697" s="329">
        <f t="shared" si="583"/>
        <v>0</v>
      </c>
      <c r="R697" s="329">
        <f t="shared" si="583"/>
        <v>0</v>
      </c>
      <c r="S697" s="329">
        <f t="shared" si="583"/>
        <v>0</v>
      </c>
      <c r="U697" s="329">
        <f>U$669*$G697</f>
        <v>0</v>
      </c>
      <c r="V697" s="329">
        <f t="shared" ref="V697:AB697" si="584">V$669*$G697</f>
        <v>0</v>
      </c>
      <c r="W697" s="329">
        <f t="shared" si="584"/>
        <v>0</v>
      </c>
      <c r="X697" s="329">
        <f t="shared" si="584"/>
        <v>0</v>
      </c>
      <c r="Y697" s="329">
        <f t="shared" si="584"/>
        <v>0</v>
      </c>
      <c r="Z697" s="329">
        <f t="shared" si="584"/>
        <v>0</v>
      </c>
      <c r="AA697" s="329">
        <f t="shared" si="584"/>
        <v>0</v>
      </c>
      <c r="AB697" s="329">
        <f t="shared" si="584"/>
        <v>0</v>
      </c>
      <c r="AD697" s="332">
        <f t="shared" si="568"/>
        <v>3.5</v>
      </c>
      <c r="AE697" s="329">
        <f t="shared" si="569"/>
        <v>0</v>
      </c>
      <c r="AF697" s="329">
        <f t="shared" si="570"/>
        <v>0</v>
      </c>
      <c r="AG697" s="329">
        <f t="shared" si="570"/>
        <v>0</v>
      </c>
      <c r="AH697" s="329">
        <f t="shared" si="570"/>
        <v>0</v>
      </c>
      <c r="AI697" s="329">
        <f t="shared" si="571"/>
        <v>0</v>
      </c>
      <c r="AJ697" s="329">
        <f t="shared" si="571"/>
        <v>0</v>
      </c>
      <c r="AK697" s="329">
        <f t="shared" si="571"/>
        <v>0</v>
      </c>
      <c r="AL697" s="329">
        <f t="shared" si="572"/>
        <v>0</v>
      </c>
    </row>
    <row r="698" spans="1:38" s="332" customFormat="1">
      <c r="A698" s="356"/>
      <c r="B698" s="356" t="s">
        <v>452</v>
      </c>
      <c r="C698" s="355">
        <f>IF(G698&lt;&gt;0,$C$695,)</f>
        <v>0</v>
      </c>
      <c r="D698" s="341">
        <f>VLOOKUP(B698,DONGIA,DG!$B$6,0)</f>
        <v>0</v>
      </c>
      <c r="E698" s="735" t="str">
        <f>VLOOKUP(B698,DONGIA,DG!$C$6,0)</f>
        <v>Neo xòe 8 hướng (dày 3,2mm) + đĩa sen</v>
      </c>
      <c r="F698" s="341" t="str">
        <f>VLOOKUP(B698,DONGIA,DG!$D$6,0)</f>
        <v>cái</v>
      </c>
      <c r="G698" s="329">
        <v>1</v>
      </c>
      <c r="H698" s="329">
        <f>VLOOKUP($B698,DONGIA,DG!$E$6,0)</f>
        <v>101000</v>
      </c>
      <c r="I698" s="329"/>
      <c r="J698" s="329"/>
      <c r="K698" s="329">
        <f>VLOOKUP($B698,DONGIA,DG!$F$6,0)</f>
        <v>0</v>
      </c>
      <c r="L698" s="329"/>
      <c r="M698" s="329">
        <f>VLOOKUP($B698,DONGIA,DG!$G$6,0)</f>
        <v>0</v>
      </c>
      <c r="N698" s="329">
        <f t="shared" si="583"/>
        <v>101000</v>
      </c>
      <c r="O698" s="329">
        <f t="shared" si="583"/>
        <v>0</v>
      </c>
      <c r="P698" s="329">
        <f t="shared" si="583"/>
        <v>0</v>
      </c>
      <c r="Q698" s="329">
        <f t="shared" si="583"/>
        <v>0</v>
      </c>
      <c r="R698" s="329">
        <f t="shared" si="583"/>
        <v>0</v>
      </c>
      <c r="S698" s="329">
        <f t="shared" si="583"/>
        <v>0</v>
      </c>
      <c r="U698" s="329">
        <f t="shared" ref="U698:AB701" si="585">U$669*$G698</f>
        <v>0</v>
      </c>
      <c r="V698" s="329">
        <f t="shared" si="585"/>
        <v>0</v>
      </c>
      <c r="W698" s="329">
        <f t="shared" si="585"/>
        <v>0</v>
      </c>
      <c r="X698" s="329">
        <f t="shared" si="585"/>
        <v>0</v>
      </c>
      <c r="Y698" s="329">
        <f t="shared" si="585"/>
        <v>0</v>
      </c>
      <c r="Z698" s="329">
        <f t="shared" si="585"/>
        <v>0</v>
      </c>
      <c r="AA698" s="329">
        <f t="shared" si="585"/>
        <v>0</v>
      </c>
      <c r="AB698" s="329">
        <f t="shared" si="585"/>
        <v>0</v>
      </c>
      <c r="AD698" s="332">
        <f t="shared" si="568"/>
        <v>0.8</v>
      </c>
      <c r="AE698" s="329">
        <f t="shared" si="569"/>
        <v>0</v>
      </c>
      <c r="AF698" s="329">
        <f t="shared" si="570"/>
        <v>0</v>
      </c>
      <c r="AG698" s="329">
        <f t="shared" si="570"/>
        <v>0</v>
      </c>
      <c r="AH698" s="329">
        <f t="shared" si="570"/>
        <v>0</v>
      </c>
      <c r="AI698" s="329">
        <f t="shared" si="571"/>
        <v>0</v>
      </c>
      <c r="AJ698" s="329">
        <f t="shared" si="571"/>
        <v>0</v>
      </c>
      <c r="AK698" s="329">
        <f t="shared" si="571"/>
        <v>0</v>
      </c>
      <c r="AL698" s="329">
        <f t="shared" si="572"/>
        <v>0</v>
      </c>
    </row>
    <row r="699" spans="1:38" s="332" customFormat="1">
      <c r="A699" s="356"/>
      <c r="B699" s="356" t="s">
        <v>491</v>
      </c>
      <c r="C699" s="355">
        <f>IF(G699&lt;&gt;0,$C$695,)</f>
        <v>0</v>
      </c>
      <c r="D699" s="341" t="str">
        <f>VLOOKUP(B699,DONGIA,DG!$B$6,0)</f>
        <v>AB.11413</v>
      </c>
      <c r="E699" s="735" t="str">
        <f>VLOOKUP(B699,DONGIA,DG!$C$6,0)</f>
        <v>Đào hố móng đất cấp 3 sâu ≤1m (rộng ≤1m)</v>
      </c>
      <c r="F699" s="341" t="str">
        <f>VLOOKUP(B699,DONGIA,DG!$D$6,0)</f>
        <v>m3</v>
      </c>
      <c r="G699" s="52">
        <v>0.4</v>
      </c>
      <c r="H699" s="329"/>
      <c r="I699" s="329"/>
      <c r="J699" s="329">
        <f>VLOOKUP($B699,DONGIA,DG!$F$6,0)</f>
        <v>340001</v>
      </c>
      <c r="K699" s="329"/>
      <c r="L699" s="329"/>
      <c r="M699" s="329">
        <f>VLOOKUP($B699,DONGIA,DG!$G$6,0)</f>
        <v>0</v>
      </c>
      <c r="N699" s="329">
        <f t="shared" si="583"/>
        <v>0</v>
      </c>
      <c r="O699" s="329">
        <f t="shared" si="583"/>
        <v>0</v>
      </c>
      <c r="P699" s="329">
        <f t="shared" si="583"/>
        <v>136000.4</v>
      </c>
      <c r="Q699" s="329">
        <f t="shared" si="583"/>
        <v>0</v>
      </c>
      <c r="R699" s="329">
        <f t="shared" si="583"/>
        <v>0</v>
      </c>
      <c r="S699" s="329">
        <f t="shared" si="583"/>
        <v>0</v>
      </c>
      <c r="U699" s="329">
        <f t="shared" si="585"/>
        <v>0</v>
      </c>
      <c r="V699" s="329">
        <f t="shared" si="585"/>
        <v>0</v>
      </c>
      <c r="W699" s="329">
        <f t="shared" si="585"/>
        <v>0</v>
      </c>
      <c r="X699" s="329">
        <f t="shared" si="585"/>
        <v>0</v>
      </c>
      <c r="Y699" s="329">
        <f t="shared" si="585"/>
        <v>0</v>
      </c>
      <c r="Z699" s="329">
        <f t="shared" si="585"/>
        <v>0</v>
      </c>
      <c r="AA699" s="329">
        <f t="shared" si="585"/>
        <v>0</v>
      </c>
      <c r="AB699" s="329">
        <f t="shared" si="585"/>
        <v>0</v>
      </c>
      <c r="AD699" s="332">
        <f t="shared" si="568"/>
        <v>0</v>
      </c>
      <c r="AE699" s="329">
        <f t="shared" si="569"/>
        <v>0</v>
      </c>
      <c r="AF699" s="329">
        <f t="shared" si="570"/>
        <v>0</v>
      </c>
      <c r="AG699" s="329">
        <f t="shared" si="570"/>
        <v>0</v>
      </c>
      <c r="AH699" s="329">
        <f t="shared" si="570"/>
        <v>0</v>
      </c>
      <c r="AI699" s="329">
        <f t="shared" si="571"/>
        <v>0</v>
      </c>
      <c r="AJ699" s="329">
        <f t="shared" si="571"/>
        <v>0</v>
      </c>
      <c r="AK699" s="329">
        <f t="shared" si="571"/>
        <v>0</v>
      </c>
      <c r="AL699" s="329">
        <f t="shared" si="572"/>
        <v>0</v>
      </c>
    </row>
    <row r="700" spans="1:38" s="332" customFormat="1">
      <c r="A700" s="356"/>
      <c r="B700" s="356" t="s">
        <v>3823</v>
      </c>
      <c r="C700" s="355">
        <f>IF(G700&lt;&gt;0,$C$695,)</f>
        <v>0</v>
      </c>
      <c r="D700" s="341" t="str">
        <f>VLOOKUP(B700,DONGIA,DG!$B$6,0)</f>
        <v>AB.51613</v>
      </c>
      <c r="E700" s="735" t="str">
        <f>VLOOKUP(B700,DONGIA,DG!$C$6,0)</f>
        <v>Phá đá chân hố móng, đá cấp III (bằng búa căn)</v>
      </c>
      <c r="F700" s="341" t="str">
        <f>VLOOKUP(B700,DONGIA,DG!$D$6,0)</f>
        <v>m3</v>
      </c>
      <c r="G700" s="52">
        <v>1.04</v>
      </c>
      <c r="H700" s="329"/>
      <c r="I700" s="329"/>
      <c r="J700" s="329">
        <f>VLOOKUP($B700,DONGIA,DG!$F$6,0)</f>
        <v>296545</v>
      </c>
      <c r="K700" s="329"/>
      <c r="L700" s="329"/>
      <c r="M700" s="329">
        <f>VLOOKUP($B700,DONGIA,DG!$G$6,0)</f>
        <v>525018</v>
      </c>
      <c r="N700" s="329">
        <f t="shared" si="583"/>
        <v>0</v>
      </c>
      <c r="O700" s="329">
        <f t="shared" si="583"/>
        <v>0</v>
      </c>
      <c r="P700" s="329">
        <f t="shared" si="583"/>
        <v>308406.8</v>
      </c>
      <c r="Q700" s="329">
        <f t="shared" si="583"/>
        <v>0</v>
      </c>
      <c r="R700" s="329">
        <f t="shared" si="583"/>
        <v>0</v>
      </c>
      <c r="S700" s="329">
        <f t="shared" si="583"/>
        <v>546018.72</v>
      </c>
      <c r="U700" s="329">
        <f t="shared" si="585"/>
        <v>0</v>
      </c>
      <c r="V700" s="329">
        <f t="shared" si="585"/>
        <v>0</v>
      </c>
      <c r="W700" s="329">
        <f t="shared" si="585"/>
        <v>0</v>
      </c>
      <c r="X700" s="329">
        <f t="shared" si="585"/>
        <v>0</v>
      </c>
      <c r="Y700" s="329">
        <f t="shared" si="585"/>
        <v>0</v>
      </c>
      <c r="Z700" s="329">
        <f t="shared" si="585"/>
        <v>0</v>
      </c>
      <c r="AA700" s="329">
        <f t="shared" si="585"/>
        <v>0</v>
      </c>
      <c r="AB700" s="329">
        <f t="shared" si="585"/>
        <v>0</v>
      </c>
      <c r="AD700" s="332">
        <f t="shared" si="568"/>
        <v>0</v>
      </c>
      <c r="AE700" s="329">
        <f t="shared" si="569"/>
        <v>0</v>
      </c>
      <c r="AF700" s="329">
        <f t="shared" si="570"/>
        <v>0</v>
      </c>
      <c r="AG700" s="329">
        <f t="shared" si="570"/>
        <v>0</v>
      </c>
      <c r="AH700" s="329">
        <f t="shared" si="570"/>
        <v>0</v>
      </c>
      <c r="AI700" s="329">
        <f t="shared" si="571"/>
        <v>0</v>
      </c>
      <c r="AJ700" s="329">
        <f t="shared" si="571"/>
        <v>0</v>
      </c>
      <c r="AK700" s="329">
        <f t="shared" si="571"/>
        <v>0</v>
      </c>
      <c r="AL700" s="329">
        <f t="shared" si="572"/>
        <v>0</v>
      </c>
    </row>
    <row r="701" spans="1:38" s="332" customFormat="1">
      <c r="A701" s="356"/>
      <c r="B701" s="356" t="s">
        <v>510</v>
      </c>
      <c r="C701" s="355">
        <f>IF(G701&lt;&gt;0,$C$695,)</f>
        <v>0</v>
      </c>
      <c r="D701" s="341" t="str">
        <f>VLOOKUP(B701,DONGIA,DG!$B$6,0)</f>
        <v>AB.65110</v>
      </c>
      <c r="E701" s="735" t="str">
        <f>VLOOKUP(B701,DONGIA,DG!$C$6,0)</f>
        <v>Đắp đất hố móng (K=0,85)</v>
      </c>
      <c r="F701" s="341" t="str">
        <f>VLOOKUP(B701,DONGIA,DG!$D$6,0)</f>
        <v>m3</v>
      </c>
      <c r="G701" s="52">
        <v>1.44</v>
      </c>
      <c r="H701" s="329"/>
      <c r="I701" s="329"/>
      <c r="J701" s="329">
        <f>VLOOKUP($B701,DONGIA,DG!$F$6,0)</f>
        <v>16267</v>
      </c>
      <c r="K701" s="329"/>
      <c r="L701" s="329"/>
      <c r="M701" s="329">
        <f>VLOOKUP($B701,DONGIA,DG!$G$6,0)</f>
        <v>11176</v>
      </c>
      <c r="N701" s="329">
        <f t="shared" si="583"/>
        <v>0</v>
      </c>
      <c r="O701" s="329">
        <f t="shared" si="583"/>
        <v>0</v>
      </c>
      <c r="P701" s="329">
        <f t="shared" si="583"/>
        <v>23424.48</v>
      </c>
      <c r="Q701" s="329">
        <f t="shared" si="583"/>
        <v>0</v>
      </c>
      <c r="R701" s="329">
        <f t="shared" si="583"/>
        <v>0</v>
      </c>
      <c r="S701" s="329">
        <f t="shared" si="583"/>
        <v>16093.439999999999</v>
      </c>
      <c r="U701" s="329">
        <f t="shared" si="585"/>
        <v>0</v>
      </c>
      <c r="V701" s="329">
        <f t="shared" si="585"/>
        <v>0</v>
      </c>
      <c r="W701" s="329">
        <f t="shared" si="585"/>
        <v>0</v>
      </c>
      <c r="X701" s="329">
        <f t="shared" si="585"/>
        <v>0</v>
      </c>
      <c r="Y701" s="329">
        <f t="shared" si="585"/>
        <v>0</v>
      </c>
      <c r="Z701" s="329">
        <f t="shared" si="585"/>
        <v>0</v>
      </c>
      <c r="AA701" s="329">
        <f t="shared" si="585"/>
        <v>0</v>
      </c>
      <c r="AB701" s="329">
        <f t="shared" si="585"/>
        <v>0</v>
      </c>
      <c r="AD701" s="332">
        <f t="shared" si="568"/>
        <v>0</v>
      </c>
      <c r="AE701" s="329">
        <f t="shared" si="569"/>
        <v>0</v>
      </c>
      <c r="AF701" s="329">
        <f t="shared" si="570"/>
        <v>0</v>
      </c>
      <c r="AG701" s="329">
        <f t="shared" si="570"/>
        <v>0</v>
      </c>
      <c r="AH701" s="329">
        <f t="shared" si="570"/>
        <v>0</v>
      </c>
      <c r="AI701" s="329">
        <f t="shared" si="571"/>
        <v>0</v>
      </c>
      <c r="AJ701" s="329">
        <f t="shared" si="571"/>
        <v>0</v>
      </c>
      <c r="AK701" s="329">
        <f t="shared" si="571"/>
        <v>0</v>
      </c>
      <c r="AL701" s="329">
        <f t="shared" si="572"/>
        <v>0</v>
      </c>
    </row>
    <row r="702" spans="1:38">
      <c r="A702" s="618" t="s">
        <v>397</v>
      </c>
      <c r="B702" s="618"/>
      <c r="C702" s="619">
        <f>IF(G702&lt;&gt;0,1,)</f>
        <v>1</v>
      </c>
      <c r="D702" s="622"/>
      <c r="E702" s="733" t="s">
        <v>1831</v>
      </c>
      <c r="F702" s="622" t="s">
        <v>24</v>
      </c>
      <c r="G702" s="622">
        <f>U702</f>
        <v>330</v>
      </c>
      <c r="H702" s="623"/>
      <c r="I702" s="623"/>
      <c r="J702" s="623"/>
      <c r="K702" s="623"/>
      <c r="L702" s="623"/>
      <c r="M702" s="623"/>
      <c r="N702" s="623">
        <f t="shared" ref="N702:S702" si="586">SUM(N704:N705)</f>
        <v>37000</v>
      </c>
      <c r="O702" s="623">
        <f t="shared" si="586"/>
        <v>0</v>
      </c>
      <c r="P702" s="623">
        <f t="shared" si="586"/>
        <v>0</v>
      </c>
      <c r="Q702" s="623">
        <f t="shared" si="586"/>
        <v>13173</v>
      </c>
      <c r="R702" s="623">
        <f t="shared" si="586"/>
        <v>0</v>
      </c>
      <c r="S702" s="623">
        <f t="shared" si="586"/>
        <v>0</v>
      </c>
      <c r="U702" s="623">
        <f>SUM(V702:AB702)</f>
        <v>330</v>
      </c>
      <c r="V702" s="623">
        <f>IFERROR(HLOOKUP($A702,BK3P,V$3,0),)</f>
        <v>0</v>
      </c>
      <c r="W702" s="623">
        <f>IFERROR(HLOOKUP($A702,BK3P,W$3,0),)</f>
        <v>0</v>
      </c>
      <c r="X702" s="623">
        <f>IFERROR(HLOOKUP($A702,BK3P,X$3,0),)</f>
        <v>0</v>
      </c>
      <c r="Y702" s="623">
        <f>IFERROR(HLOOKUP($A702,BK1P,Y$3,0),)</f>
        <v>0</v>
      </c>
      <c r="Z702" s="623">
        <f>IFERROR(HLOOKUP($A702,BK1P,Z$3,0),)</f>
        <v>0</v>
      </c>
      <c r="AA702" s="623">
        <f>IFERROR(HLOOKUP($A702,BK1P,AA$3,0),)</f>
        <v>0</v>
      </c>
      <c r="AB702" s="623">
        <f>IFERROR(HLOOKUP($A702,BKHT,AB$3,0),)</f>
        <v>330</v>
      </c>
      <c r="AD702" s="405">
        <f t="shared" si="568"/>
        <v>0</v>
      </c>
      <c r="AE702" s="525">
        <f t="shared" si="569"/>
        <v>0</v>
      </c>
      <c r="AF702" s="525">
        <f t="shared" si="570"/>
        <v>0</v>
      </c>
      <c r="AG702" s="525">
        <f t="shared" si="570"/>
        <v>0</v>
      </c>
      <c r="AH702" s="525">
        <f t="shared" si="570"/>
        <v>0</v>
      </c>
      <c r="AI702" s="525">
        <f t="shared" si="571"/>
        <v>0</v>
      </c>
      <c r="AJ702" s="525">
        <f t="shared" si="571"/>
        <v>0</v>
      </c>
      <c r="AK702" s="525">
        <f t="shared" si="571"/>
        <v>0</v>
      </c>
      <c r="AL702" s="525">
        <f t="shared" si="572"/>
        <v>0</v>
      </c>
    </row>
    <row r="703" spans="1:38" s="542" customFormat="1">
      <c r="A703" s="624"/>
      <c r="B703" s="624"/>
      <c r="C703" s="625">
        <f>C702</f>
        <v>1</v>
      </c>
      <c r="D703" s="544"/>
      <c r="E703" s="734" t="s">
        <v>1659</v>
      </c>
      <c r="F703" s="544"/>
      <c r="G703" s="545"/>
      <c r="H703" s="545"/>
      <c r="I703" s="545"/>
      <c r="J703" s="545"/>
      <c r="K703" s="545"/>
      <c r="L703" s="545"/>
      <c r="M703" s="545"/>
      <c r="N703" s="545"/>
      <c r="O703" s="545"/>
      <c r="P703" s="545"/>
      <c r="Q703" s="545"/>
      <c r="R703" s="545"/>
      <c r="S703" s="545"/>
      <c r="U703" s="545"/>
      <c r="V703" s="545"/>
      <c r="W703" s="545"/>
      <c r="X703" s="545"/>
      <c r="Y703" s="545"/>
      <c r="Z703" s="545"/>
      <c r="AA703" s="545"/>
      <c r="AB703" s="545"/>
      <c r="AD703" s="405">
        <f t="shared" si="568"/>
        <v>0</v>
      </c>
      <c r="AE703" s="525">
        <f t="shared" si="569"/>
        <v>0</v>
      </c>
      <c r="AF703" s="525">
        <f t="shared" si="570"/>
        <v>0</v>
      </c>
      <c r="AG703" s="525">
        <f t="shared" si="570"/>
        <v>0</v>
      </c>
      <c r="AH703" s="525">
        <f t="shared" si="570"/>
        <v>0</v>
      </c>
      <c r="AI703" s="525">
        <f t="shared" si="571"/>
        <v>0</v>
      </c>
      <c r="AJ703" s="525">
        <f t="shared" si="571"/>
        <v>0</v>
      </c>
      <c r="AK703" s="525">
        <f t="shared" si="571"/>
        <v>0</v>
      </c>
      <c r="AL703" s="525">
        <f t="shared" si="572"/>
        <v>0</v>
      </c>
    </row>
    <row r="704" spans="1:38">
      <c r="A704" s="618"/>
      <c r="B704" s="618" t="s">
        <v>397</v>
      </c>
      <c r="C704" s="619">
        <f>IF(G704&lt;&gt;0,$C$702,)</f>
        <v>1</v>
      </c>
      <c r="D704" s="523">
        <f>VLOOKUP(B704,DONGIA,DG!$B$6,0)</f>
        <v>0</v>
      </c>
      <c r="E704" s="666" t="str">
        <f>VLOOKUP(B704,DONGIA,DG!$C$6,0)</f>
        <v>Uclevis - 3mm</v>
      </c>
      <c r="F704" s="523" t="str">
        <f>VLOOKUP(B704,DONGIA,DG!$D$6,0)</f>
        <v>bộ</v>
      </c>
      <c r="G704" s="525">
        <v>1</v>
      </c>
      <c r="H704" s="525">
        <f>VLOOKUP($B704,DONGIA,DG!$E$6,0)</f>
        <v>17000</v>
      </c>
      <c r="I704" s="525"/>
      <c r="J704" s="525"/>
      <c r="K704" s="525">
        <f>VLOOKUP($B704,DONGIA,DG!$F$6,0)</f>
        <v>0</v>
      </c>
      <c r="L704" s="525"/>
      <c r="M704" s="525">
        <f>VLOOKUP($B704,DONGIA,DG!$G$6,0)</f>
        <v>0</v>
      </c>
      <c r="N704" s="525">
        <f>$G704*H704</f>
        <v>17000</v>
      </c>
      <c r="O704" s="525">
        <f t="shared" ref="O704:S705" si="587">$G704*I704</f>
        <v>0</v>
      </c>
      <c r="P704" s="525">
        <f t="shared" si="587"/>
        <v>0</v>
      </c>
      <c r="Q704" s="525">
        <f t="shared" si="587"/>
        <v>0</v>
      </c>
      <c r="R704" s="525">
        <f t="shared" si="587"/>
        <v>0</v>
      </c>
      <c r="S704" s="525">
        <f t="shared" si="587"/>
        <v>0</v>
      </c>
      <c r="U704" s="525">
        <f>U$702*$G704</f>
        <v>330</v>
      </c>
      <c r="V704" s="525">
        <f t="shared" ref="V704:AB705" si="588">V$702*$G704</f>
        <v>0</v>
      </c>
      <c r="W704" s="525">
        <f t="shared" si="588"/>
        <v>0</v>
      </c>
      <c r="X704" s="525">
        <f t="shared" si="588"/>
        <v>0</v>
      </c>
      <c r="Y704" s="525">
        <f t="shared" si="588"/>
        <v>0</v>
      </c>
      <c r="Z704" s="525">
        <f t="shared" si="588"/>
        <v>0</v>
      </c>
      <c r="AA704" s="525">
        <f t="shared" si="588"/>
        <v>0</v>
      </c>
      <c r="AB704" s="525">
        <f t="shared" si="588"/>
        <v>330</v>
      </c>
      <c r="AD704" s="405">
        <f t="shared" si="568"/>
        <v>2.5</v>
      </c>
      <c r="AE704" s="525">
        <f t="shared" si="569"/>
        <v>825</v>
      </c>
      <c r="AF704" s="525">
        <f t="shared" si="570"/>
        <v>0</v>
      </c>
      <c r="AG704" s="525">
        <f t="shared" si="570"/>
        <v>0</v>
      </c>
      <c r="AH704" s="525">
        <f t="shared" si="570"/>
        <v>0</v>
      </c>
      <c r="AI704" s="525">
        <f t="shared" si="571"/>
        <v>0</v>
      </c>
      <c r="AJ704" s="525">
        <f t="shared" si="571"/>
        <v>0</v>
      </c>
      <c r="AK704" s="525">
        <f t="shared" si="571"/>
        <v>0</v>
      </c>
      <c r="AL704" s="525">
        <f t="shared" si="572"/>
        <v>825</v>
      </c>
    </row>
    <row r="705" spans="1:38">
      <c r="A705" s="618"/>
      <c r="B705" s="618" t="s">
        <v>409</v>
      </c>
      <c r="C705" s="619">
        <f>IF(G705&lt;&gt;0,$C$702,)</f>
        <v>1</v>
      </c>
      <c r="D705" s="523" t="str">
        <f>VLOOKUP(B705,DONGIA,DG!$B$6,0)</f>
        <v>D3.1201</v>
      </c>
      <c r="E705" s="666" t="str">
        <f>VLOOKUP(B705,DONGIA,DG!$C$6,0)</f>
        <v xml:space="preserve">Sứ ống chỉ </v>
      </c>
      <c r="F705" s="523" t="str">
        <f>VLOOKUP(B705,DONGIA,DG!$D$6,0)</f>
        <v>cái</v>
      </c>
      <c r="G705" s="525">
        <v>1</v>
      </c>
      <c r="H705" s="525">
        <f>VLOOKUP($B705,DONGIA,DG!$E$6,0)</f>
        <v>20000</v>
      </c>
      <c r="I705" s="525"/>
      <c r="J705" s="525"/>
      <c r="K705" s="525">
        <f>VLOOKUP($B705,DONGIA,DG!$F$6,0)</f>
        <v>13173</v>
      </c>
      <c r="L705" s="525"/>
      <c r="M705" s="525">
        <f>VLOOKUP($B705,DONGIA,DG!$G$6,0)</f>
        <v>0</v>
      </c>
      <c r="N705" s="525">
        <f>$G705*H705</f>
        <v>20000</v>
      </c>
      <c r="O705" s="525">
        <f t="shared" si="587"/>
        <v>0</v>
      </c>
      <c r="P705" s="525">
        <f t="shared" si="587"/>
        <v>0</v>
      </c>
      <c r="Q705" s="525">
        <f t="shared" si="587"/>
        <v>13173</v>
      </c>
      <c r="R705" s="525">
        <f t="shared" si="587"/>
        <v>0</v>
      </c>
      <c r="S705" s="525">
        <f t="shared" si="587"/>
        <v>0</v>
      </c>
      <c r="U705" s="525">
        <f>U$702*$G705</f>
        <v>330</v>
      </c>
      <c r="V705" s="525">
        <f t="shared" si="588"/>
        <v>0</v>
      </c>
      <c r="W705" s="525">
        <f t="shared" si="588"/>
        <v>0</v>
      </c>
      <c r="X705" s="525">
        <f t="shared" si="588"/>
        <v>0</v>
      </c>
      <c r="Y705" s="525">
        <f t="shared" si="588"/>
        <v>0</v>
      </c>
      <c r="Z705" s="525">
        <f t="shared" si="588"/>
        <v>0</v>
      </c>
      <c r="AA705" s="525">
        <f t="shared" si="588"/>
        <v>0</v>
      </c>
      <c r="AB705" s="525">
        <f t="shared" si="588"/>
        <v>330</v>
      </c>
      <c r="AD705" s="405">
        <f t="shared" si="568"/>
        <v>0.2</v>
      </c>
      <c r="AE705" s="525">
        <f t="shared" si="569"/>
        <v>66</v>
      </c>
      <c r="AF705" s="525">
        <f t="shared" si="570"/>
        <v>0</v>
      </c>
      <c r="AG705" s="525">
        <f t="shared" si="570"/>
        <v>0</v>
      </c>
      <c r="AH705" s="525">
        <f t="shared" si="570"/>
        <v>0</v>
      </c>
      <c r="AI705" s="525">
        <f t="shared" si="571"/>
        <v>0</v>
      </c>
      <c r="AJ705" s="525">
        <f t="shared" si="571"/>
        <v>0</v>
      </c>
      <c r="AK705" s="525">
        <f t="shared" si="571"/>
        <v>0</v>
      </c>
      <c r="AL705" s="525">
        <f t="shared" si="572"/>
        <v>66</v>
      </c>
    </row>
    <row r="706" spans="1:38">
      <c r="A706" s="618" t="s">
        <v>400</v>
      </c>
      <c r="B706" s="618"/>
      <c r="C706" s="619">
        <f>IF(G706&lt;&gt;0,1,)</f>
        <v>1</v>
      </c>
      <c r="D706" s="622"/>
      <c r="E706" s="623" t="s">
        <v>1832</v>
      </c>
      <c r="F706" s="622" t="s">
        <v>24</v>
      </c>
      <c r="G706" s="622">
        <f>U706</f>
        <v>4</v>
      </c>
      <c r="H706" s="623"/>
      <c r="I706" s="623"/>
      <c r="J706" s="623"/>
      <c r="K706" s="623"/>
      <c r="L706" s="623"/>
      <c r="M706" s="623"/>
      <c r="N706" s="623">
        <f t="shared" ref="N706:S706" si="589">SUM(N708:N709)</f>
        <v>158000</v>
      </c>
      <c r="O706" s="623">
        <f t="shared" si="589"/>
        <v>0</v>
      </c>
      <c r="P706" s="623">
        <f t="shared" si="589"/>
        <v>0</v>
      </c>
      <c r="Q706" s="623">
        <f t="shared" si="589"/>
        <v>39519</v>
      </c>
      <c r="R706" s="623">
        <f t="shared" si="589"/>
        <v>0</v>
      </c>
      <c r="S706" s="623">
        <f t="shared" si="589"/>
        <v>0</v>
      </c>
      <c r="U706" s="623">
        <f>SUM(V706:AB706)</f>
        <v>4</v>
      </c>
      <c r="V706" s="623">
        <f>IFERROR(HLOOKUP($A706,BK3P,V$3,0),)</f>
        <v>0</v>
      </c>
      <c r="W706" s="623">
        <f>IFERROR(HLOOKUP($A706,BK3P,W$3,0),)</f>
        <v>0</v>
      </c>
      <c r="X706" s="623">
        <f>IFERROR(HLOOKUP($A706,BK3P,X$3,0),)</f>
        <v>0</v>
      </c>
      <c r="Y706" s="623">
        <f>IFERROR(HLOOKUP($A706,BK1P,Y$3,0),)</f>
        <v>0</v>
      </c>
      <c r="Z706" s="623">
        <f>IFERROR(HLOOKUP($A706,BK1P,Z$3,0),)</f>
        <v>0</v>
      </c>
      <c r="AA706" s="623">
        <f>IFERROR(HLOOKUP($A706,BK1P,AA$3,0),)</f>
        <v>0</v>
      </c>
      <c r="AB706" s="623">
        <f>IFERROR(HLOOKUP($A706,BKHT,AB$3,0),)</f>
        <v>4</v>
      </c>
      <c r="AD706" s="405">
        <f t="shared" si="568"/>
        <v>0</v>
      </c>
      <c r="AE706" s="525">
        <f t="shared" si="569"/>
        <v>0</v>
      </c>
      <c r="AF706" s="525">
        <f t="shared" si="570"/>
        <v>0</v>
      </c>
      <c r="AG706" s="525">
        <f t="shared" si="570"/>
        <v>0</v>
      </c>
      <c r="AH706" s="525">
        <f t="shared" si="570"/>
        <v>0</v>
      </c>
      <c r="AI706" s="525">
        <f t="shared" si="571"/>
        <v>0</v>
      </c>
      <c r="AJ706" s="525">
        <f t="shared" si="571"/>
        <v>0</v>
      </c>
      <c r="AK706" s="525">
        <f t="shared" si="571"/>
        <v>0</v>
      </c>
      <c r="AL706" s="525">
        <f t="shared" si="572"/>
        <v>0</v>
      </c>
    </row>
    <row r="707" spans="1:38" s="361" customFormat="1">
      <c r="A707" s="359"/>
      <c r="B707" s="359"/>
      <c r="C707" s="355">
        <f>IF(G707&lt;&gt;0,$C$702,)</f>
        <v>0</v>
      </c>
      <c r="D707" s="350"/>
      <c r="E707" s="351" t="s">
        <v>1659</v>
      </c>
      <c r="F707" s="350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U707" s="351"/>
      <c r="V707" s="351"/>
      <c r="W707" s="351"/>
      <c r="X707" s="351"/>
      <c r="Y707" s="351"/>
      <c r="Z707" s="351"/>
      <c r="AA707" s="351"/>
      <c r="AB707" s="351"/>
      <c r="AD707" s="332">
        <f t="shared" si="568"/>
        <v>0</v>
      </c>
      <c r="AE707" s="329">
        <f t="shared" si="569"/>
        <v>0</v>
      </c>
      <c r="AF707" s="329">
        <f t="shared" si="570"/>
        <v>0</v>
      </c>
      <c r="AG707" s="329">
        <f t="shared" si="570"/>
        <v>0</v>
      </c>
      <c r="AH707" s="329">
        <f t="shared" si="570"/>
        <v>0</v>
      </c>
      <c r="AI707" s="329">
        <f t="shared" si="571"/>
        <v>0</v>
      </c>
      <c r="AJ707" s="329">
        <f t="shared" si="571"/>
        <v>0</v>
      </c>
      <c r="AK707" s="329">
        <f t="shared" si="571"/>
        <v>0</v>
      </c>
      <c r="AL707" s="329">
        <f t="shared" si="572"/>
        <v>0</v>
      </c>
    </row>
    <row r="708" spans="1:38">
      <c r="A708" s="618"/>
      <c r="B708" s="618" t="s">
        <v>400</v>
      </c>
      <c r="C708" s="619">
        <f>IF(G708&lt;&gt;0,$C$706,)</f>
        <v>1</v>
      </c>
      <c r="D708" s="523">
        <f>VLOOKUP(B708,DONGIA,DG!$B$6,0)</f>
        <v>0</v>
      </c>
      <c r="E708" s="525" t="str">
        <f>VLOOKUP(B708,DONGIA,DG!$C$6,0)</f>
        <v>Rack 3 sứ - 3mm (ty 14)</v>
      </c>
      <c r="F708" s="523" t="str">
        <f>VLOOKUP(B708,DONGIA,DG!$D$6,0)</f>
        <v>bộ</v>
      </c>
      <c r="G708" s="525">
        <v>1</v>
      </c>
      <c r="H708" s="525">
        <f>VLOOKUP($B708,DONGIA,DG!$E$6,0)</f>
        <v>98000</v>
      </c>
      <c r="I708" s="525"/>
      <c r="J708" s="525"/>
      <c r="K708" s="525">
        <f>VLOOKUP($B708,DONGIA,DG!$F$6,0)</f>
        <v>0</v>
      </c>
      <c r="L708" s="525"/>
      <c r="M708" s="525">
        <f>VLOOKUP($B708,DONGIA,DG!$G$6,0)</f>
        <v>0</v>
      </c>
      <c r="N708" s="525">
        <f>$G708*H708</f>
        <v>98000</v>
      </c>
      <c r="O708" s="525">
        <f t="shared" ref="O708:S709" si="590">$G708*I708</f>
        <v>0</v>
      </c>
      <c r="P708" s="525">
        <f t="shared" si="590"/>
        <v>0</v>
      </c>
      <c r="Q708" s="525">
        <f t="shared" si="590"/>
        <v>0</v>
      </c>
      <c r="R708" s="525">
        <f t="shared" si="590"/>
        <v>0</v>
      </c>
      <c r="S708" s="525">
        <f t="shared" si="590"/>
        <v>0</v>
      </c>
      <c r="U708" s="525">
        <f>U$706*$G708</f>
        <v>4</v>
      </c>
      <c r="V708" s="525">
        <f t="shared" ref="V708:AB709" si="591">V$706*$G708</f>
        <v>0</v>
      </c>
      <c r="W708" s="525">
        <f t="shared" si="591"/>
        <v>0</v>
      </c>
      <c r="X708" s="525">
        <f t="shared" si="591"/>
        <v>0</v>
      </c>
      <c r="Y708" s="525">
        <f t="shared" si="591"/>
        <v>0</v>
      </c>
      <c r="Z708" s="525">
        <f t="shared" si="591"/>
        <v>0</v>
      </c>
      <c r="AA708" s="525">
        <f t="shared" si="591"/>
        <v>0</v>
      </c>
      <c r="AB708" s="525">
        <f t="shared" si="591"/>
        <v>4</v>
      </c>
      <c r="AD708" s="405">
        <f t="shared" si="568"/>
        <v>3.5</v>
      </c>
      <c r="AE708" s="525">
        <f t="shared" si="569"/>
        <v>14</v>
      </c>
      <c r="AF708" s="525">
        <f t="shared" si="570"/>
        <v>0</v>
      </c>
      <c r="AG708" s="525">
        <f t="shared" si="570"/>
        <v>0</v>
      </c>
      <c r="AH708" s="525">
        <f t="shared" si="570"/>
        <v>0</v>
      </c>
      <c r="AI708" s="525">
        <f t="shared" si="571"/>
        <v>0</v>
      </c>
      <c r="AJ708" s="525">
        <f t="shared" si="571"/>
        <v>0</v>
      </c>
      <c r="AK708" s="525">
        <f t="shared" si="571"/>
        <v>0</v>
      </c>
      <c r="AL708" s="525">
        <f t="shared" si="572"/>
        <v>14</v>
      </c>
    </row>
    <row r="709" spans="1:38">
      <c r="A709" s="618"/>
      <c r="B709" s="618" t="s">
        <v>409</v>
      </c>
      <c r="C709" s="619">
        <f>IF(G709&lt;&gt;0,$C$706,)</f>
        <v>1</v>
      </c>
      <c r="D709" s="523" t="str">
        <f>VLOOKUP(B709,DONGIA,DG!$B$6,0)</f>
        <v>D3.1201</v>
      </c>
      <c r="E709" s="525" t="str">
        <f>VLOOKUP(B709,DONGIA,DG!$C$6,0)</f>
        <v xml:space="preserve">Sứ ống chỉ </v>
      </c>
      <c r="F709" s="523" t="str">
        <f>VLOOKUP(B709,DONGIA,DG!$D$6,0)</f>
        <v>cái</v>
      </c>
      <c r="G709" s="525">
        <v>3</v>
      </c>
      <c r="H709" s="525">
        <f>VLOOKUP($B709,DONGIA,DG!$E$6,0)</f>
        <v>20000</v>
      </c>
      <c r="I709" s="525"/>
      <c r="J709" s="525"/>
      <c r="K709" s="525">
        <f>VLOOKUP($B709,DONGIA,DG!$F$6,0)</f>
        <v>13173</v>
      </c>
      <c r="L709" s="525"/>
      <c r="M709" s="525">
        <f>VLOOKUP($B709,DONGIA,DG!$G$6,0)</f>
        <v>0</v>
      </c>
      <c r="N709" s="525">
        <f>$G709*H709</f>
        <v>60000</v>
      </c>
      <c r="O709" s="525">
        <f t="shared" si="590"/>
        <v>0</v>
      </c>
      <c r="P709" s="525">
        <f t="shared" si="590"/>
        <v>0</v>
      </c>
      <c r="Q709" s="525">
        <f t="shared" si="590"/>
        <v>39519</v>
      </c>
      <c r="R709" s="525">
        <f t="shared" si="590"/>
        <v>0</v>
      </c>
      <c r="S709" s="525">
        <f t="shared" si="590"/>
        <v>0</v>
      </c>
      <c r="U709" s="525">
        <f>U$706*$G709</f>
        <v>12</v>
      </c>
      <c r="V709" s="525">
        <f t="shared" si="591"/>
        <v>0</v>
      </c>
      <c r="W709" s="525">
        <f t="shared" si="591"/>
        <v>0</v>
      </c>
      <c r="X709" s="525">
        <f t="shared" si="591"/>
        <v>0</v>
      </c>
      <c r="Y709" s="525">
        <f t="shared" si="591"/>
        <v>0</v>
      </c>
      <c r="Z709" s="525">
        <f t="shared" si="591"/>
        <v>0</v>
      </c>
      <c r="AA709" s="525">
        <f t="shared" si="591"/>
        <v>0</v>
      </c>
      <c r="AB709" s="525">
        <f t="shared" si="591"/>
        <v>12</v>
      </c>
      <c r="AD709" s="405">
        <f t="shared" si="568"/>
        <v>0.2</v>
      </c>
      <c r="AE709" s="525">
        <f t="shared" si="569"/>
        <v>2.4000000000000004</v>
      </c>
      <c r="AF709" s="525">
        <f t="shared" si="570"/>
        <v>0</v>
      </c>
      <c r="AG709" s="525">
        <f t="shared" si="570"/>
        <v>0</v>
      </c>
      <c r="AH709" s="525">
        <f t="shared" si="570"/>
        <v>0</v>
      </c>
      <c r="AI709" s="525">
        <f t="shared" si="571"/>
        <v>0</v>
      </c>
      <c r="AJ709" s="525">
        <f t="shared" si="571"/>
        <v>0</v>
      </c>
      <c r="AK709" s="525">
        <f t="shared" si="571"/>
        <v>0</v>
      </c>
      <c r="AL709" s="525">
        <f t="shared" si="572"/>
        <v>2.4000000000000004</v>
      </c>
    </row>
    <row r="710" spans="1:38">
      <c r="A710" s="618" t="s">
        <v>402</v>
      </c>
      <c r="B710" s="618"/>
      <c r="C710" s="619">
        <f>IF(G710&lt;&gt;0,1,)</f>
        <v>1</v>
      </c>
      <c r="D710" s="622"/>
      <c r="E710" s="733" t="s">
        <v>1833</v>
      </c>
      <c r="F710" s="622" t="s">
        <v>24</v>
      </c>
      <c r="G710" s="622">
        <f>U710</f>
        <v>2</v>
      </c>
      <c r="H710" s="623"/>
      <c r="I710" s="623"/>
      <c r="J710" s="623"/>
      <c r="K710" s="623"/>
      <c r="L710" s="623"/>
      <c r="M710" s="623"/>
      <c r="N710" s="623">
        <f t="shared" ref="N710:S710" si="592">SUM(N712:N713)</f>
        <v>215000</v>
      </c>
      <c r="O710" s="623">
        <f t="shared" si="592"/>
        <v>0</v>
      </c>
      <c r="P710" s="623">
        <f t="shared" si="592"/>
        <v>0</v>
      </c>
      <c r="Q710" s="623">
        <f t="shared" si="592"/>
        <v>52692</v>
      </c>
      <c r="R710" s="623">
        <f t="shared" si="592"/>
        <v>0</v>
      </c>
      <c r="S710" s="623">
        <f t="shared" si="592"/>
        <v>0</v>
      </c>
      <c r="U710" s="623">
        <f>SUM(V710:AB710)</f>
        <v>2</v>
      </c>
      <c r="V710" s="623">
        <f>IFERROR(HLOOKUP($A710,BK3P,V$3,0),)</f>
        <v>0</v>
      </c>
      <c r="W710" s="623">
        <f>IFERROR(HLOOKUP($A710,BK3P,W$3,0),)</f>
        <v>0</v>
      </c>
      <c r="X710" s="623">
        <f>IFERROR(HLOOKUP($A710,BK3P,X$3,0),)</f>
        <v>0</v>
      </c>
      <c r="Y710" s="623">
        <f>IFERROR(HLOOKUP($A710,BK1P,Y$3,0),)</f>
        <v>0</v>
      </c>
      <c r="Z710" s="623">
        <f>IFERROR(HLOOKUP($A710,BK1P,Z$3,0),)</f>
        <v>0</v>
      </c>
      <c r="AA710" s="623">
        <f>IFERROR(HLOOKUP($A710,BK1P,AA$3,0),)</f>
        <v>0</v>
      </c>
      <c r="AB710" s="623">
        <f>IFERROR(HLOOKUP($A710,BKHT,AB$3,0),)</f>
        <v>2</v>
      </c>
      <c r="AD710" s="405">
        <f t="shared" si="568"/>
        <v>0</v>
      </c>
      <c r="AE710" s="525">
        <f t="shared" si="569"/>
        <v>0</v>
      </c>
      <c r="AF710" s="525">
        <f t="shared" si="570"/>
        <v>0</v>
      </c>
      <c r="AG710" s="525">
        <f t="shared" si="570"/>
        <v>0</v>
      </c>
      <c r="AH710" s="525">
        <f t="shared" si="570"/>
        <v>0</v>
      </c>
      <c r="AI710" s="525">
        <f t="shared" si="571"/>
        <v>0</v>
      </c>
      <c r="AJ710" s="525">
        <f t="shared" si="571"/>
        <v>0</v>
      </c>
      <c r="AK710" s="525">
        <f t="shared" si="571"/>
        <v>0</v>
      </c>
      <c r="AL710" s="525">
        <f t="shared" si="572"/>
        <v>0</v>
      </c>
    </row>
    <row r="711" spans="1:38" s="542" customFormat="1">
      <c r="A711" s="624"/>
      <c r="B711" s="624"/>
      <c r="C711" s="625">
        <f>C710</f>
        <v>1</v>
      </c>
      <c r="D711" s="544"/>
      <c r="E711" s="734" t="s">
        <v>1659</v>
      </c>
      <c r="F711" s="544"/>
      <c r="G711" s="545"/>
      <c r="H711" s="545"/>
      <c r="I711" s="545"/>
      <c r="J711" s="545"/>
      <c r="K711" s="545"/>
      <c r="L711" s="545"/>
      <c r="M711" s="545"/>
      <c r="N711" s="545"/>
      <c r="O711" s="545"/>
      <c r="P711" s="545"/>
      <c r="Q711" s="545"/>
      <c r="R711" s="545"/>
      <c r="S711" s="545"/>
      <c r="U711" s="545"/>
      <c r="V711" s="545"/>
      <c r="W711" s="545"/>
      <c r="X711" s="545"/>
      <c r="Y711" s="545"/>
      <c r="Z711" s="545"/>
      <c r="AA711" s="545"/>
      <c r="AB711" s="545"/>
      <c r="AD711" s="405">
        <f t="shared" si="568"/>
        <v>0</v>
      </c>
      <c r="AE711" s="525">
        <f t="shared" si="569"/>
        <v>0</v>
      </c>
      <c r="AF711" s="525">
        <f t="shared" si="570"/>
        <v>0</v>
      </c>
      <c r="AG711" s="525">
        <f t="shared" si="570"/>
        <v>0</v>
      </c>
      <c r="AH711" s="525">
        <f t="shared" si="570"/>
        <v>0</v>
      </c>
      <c r="AI711" s="525">
        <f t="shared" si="571"/>
        <v>0</v>
      </c>
      <c r="AJ711" s="525">
        <f t="shared" si="571"/>
        <v>0</v>
      </c>
      <c r="AK711" s="525">
        <f t="shared" si="571"/>
        <v>0</v>
      </c>
      <c r="AL711" s="525">
        <f t="shared" si="572"/>
        <v>0</v>
      </c>
    </row>
    <row r="712" spans="1:38">
      <c r="A712" s="618"/>
      <c r="B712" s="618" t="s">
        <v>402</v>
      </c>
      <c r="C712" s="619">
        <f>IF(G712&lt;&gt;0,$C$710,)</f>
        <v>1</v>
      </c>
      <c r="D712" s="523">
        <f>VLOOKUP(B712,DONGIA,DG!$B$6,0)</f>
        <v>0</v>
      </c>
      <c r="E712" s="666" t="str">
        <f>VLOOKUP(B712,DONGIA,DG!$C$6,0)</f>
        <v>Rack 4 sứ - 3mm (ty 14) + Sứ ống chỉ</v>
      </c>
      <c r="F712" s="523" t="str">
        <f>VLOOKUP(B712,DONGIA,DG!$D$6,0)</f>
        <v>bộ</v>
      </c>
      <c r="G712" s="525">
        <v>1</v>
      </c>
      <c r="H712" s="525">
        <f>VLOOKUP($B712,DONGIA,DG!$E$6,0)</f>
        <v>135000</v>
      </c>
      <c r="I712" s="525"/>
      <c r="J712" s="525"/>
      <c r="K712" s="525">
        <f>VLOOKUP($B712,DONGIA,DG!$F$6,0)</f>
        <v>0</v>
      </c>
      <c r="L712" s="525"/>
      <c r="M712" s="525">
        <f>VLOOKUP($B712,DONGIA,DG!$G$6,0)</f>
        <v>0</v>
      </c>
      <c r="N712" s="525">
        <f>$G712*H712</f>
        <v>135000</v>
      </c>
      <c r="O712" s="525">
        <f t="shared" ref="O712:S713" si="593">$G712*I712</f>
        <v>0</v>
      </c>
      <c r="P712" s="525">
        <f t="shared" si="593"/>
        <v>0</v>
      </c>
      <c r="Q712" s="525">
        <f t="shared" si="593"/>
        <v>0</v>
      </c>
      <c r="R712" s="525">
        <f t="shared" si="593"/>
        <v>0</v>
      </c>
      <c r="S712" s="525">
        <f t="shared" si="593"/>
        <v>0</v>
      </c>
      <c r="U712" s="525">
        <f>U$710*$G712</f>
        <v>2</v>
      </c>
      <c r="V712" s="525">
        <f t="shared" ref="V712:AB713" si="594">V$710*$G712</f>
        <v>0</v>
      </c>
      <c r="W712" s="525">
        <f t="shared" si="594"/>
        <v>0</v>
      </c>
      <c r="X712" s="525">
        <f t="shared" si="594"/>
        <v>0</v>
      </c>
      <c r="Y712" s="525">
        <f t="shared" si="594"/>
        <v>0</v>
      </c>
      <c r="Z712" s="525">
        <f t="shared" si="594"/>
        <v>0</v>
      </c>
      <c r="AA712" s="525">
        <f t="shared" si="594"/>
        <v>0</v>
      </c>
      <c r="AB712" s="525">
        <f t="shared" si="594"/>
        <v>2</v>
      </c>
      <c r="AD712" s="405">
        <f t="shared" si="568"/>
        <v>3.5</v>
      </c>
      <c r="AE712" s="525">
        <f t="shared" si="569"/>
        <v>7</v>
      </c>
      <c r="AF712" s="525">
        <f t="shared" si="570"/>
        <v>0</v>
      </c>
      <c r="AG712" s="525">
        <f t="shared" si="570"/>
        <v>0</v>
      </c>
      <c r="AH712" s="525">
        <f t="shared" si="570"/>
        <v>0</v>
      </c>
      <c r="AI712" s="525">
        <f t="shared" si="571"/>
        <v>0</v>
      </c>
      <c r="AJ712" s="525">
        <f t="shared" si="571"/>
        <v>0</v>
      </c>
      <c r="AK712" s="525">
        <f t="shared" si="571"/>
        <v>0</v>
      </c>
      <c r="AL712" s="525">
        <f t="shared" si="572"/>
        <v>7</v>
      </c>
    </row>
    <row r="713" spans="1:38">
      <c r="A713" s="618"/>
      <c r="B713" s="618" t="s">
        <v>409</v>
      </c>
      <c r="C713" s="619">
        <f>IF(G713&lt;&gt;0,$C$710,)</f>
        <v>1</v>
      </c>
      <c r="D713" s="523" t="str">
        <f>VLOOKUP(B713,DONGIA,DG!$B$6,0)</f>
        <v>D3.1201</v>
      </c>
      <c r="E713" s="666" t="str">
        <f>VLOOKUP(B713,DONGIA,DG!$C$6,0)</f>
        <v xml:space="preserve">Sứ ống chỉ </v>
      </c>
      <c r="F713" s="523" t="str">
        <f>VLOOKUP(B713,DONGIA,DG!$D$6,0)</f>
        <v>cái</v>
      </c>
      <c r="G713" s="525">
        <v>4</v>
      </c>
      <c r="H713" s="525">
        <f>VLOOKUP($B713,DONGIA,DG!$E$6,0)</f>
        <v>20000</v>
      </c>
      <c r="I713" s="525"/>
      <c r="J713" s="525"/>
      <c r="K713" s="525">
        <f>VLOOKUP($B713,DONGIA,DG!$F$6,0)</f>
        <v>13173</v>
      </c>
      <c r="L713" s="525"/>
      <c r="M713" s="525">
        <f>VLOOKUP($B713,DONGIA,DG!$G$6,0)</f>
        <v>0</v>
      </c>
      <c r="N713" s="525">
        <f>$G713*H713</f>
        <v>80000</v>
      </c>
      <c r="O713" s="525">
        <f t="shared" si="593"/>
        <v>0</v>
      </c>
      <c r="P713" s="525">
        <f t="shared" si="593"/>
        <v>0</v>
      </c>
      <c r="Q713" s="525">
        <f t="shared" si="593"/>
        <v>52692</v>
      </c>
      <c r="R713" s="525">
        <f t="shared" si="593"/>
        <v>0</v>
      </c>
      <c r="S713" s="525">
        <f t="shared" si="593"/>
        <v>0</v>
      </c>
      <c r="U713" s="525">
        <f>U$710*$G713</f>
        <v>8</v>
      </c>
      <c r="V713" s="525">
        <f t="shared" si="594"/>
        <v>0</v>
      </c>
      <c r="W713" s="525">
        <f t="shared" si="594"/>
        <v>0</v>
      </c>
      <c r="X713" s="525">
        <f t="shared" si="594"/>
        <v>0</v>
      </c>
      <c r="Y713" s="525">
        <f t="shared" si="594"/>
        <v>0</v>
      </c>
      <c r="Z713" s="525">
        <f t="shared" si="594"/>
        <v>0</v>
      </c>
      <c r="AA713" s="525">
        <f t="shared" si="594"/>
        <v>0</v>
      </c>
      <c r="AB713" s="525">
        <f t="shared" si="594"/>
        <v>8</v>
      </c>
      <c r="AD713" s="405">
        <f t="shared" si="568"/>
        <v>0.2</v>
      </c>
      <c r="AE713" s="525">
        <f t="shared" si="569"/>
        <v>1.6</v>
      </c>
      <c r="AF713" s="525">
        <f t="shared" si="570"/>
        <v>0</v>
      </c>
      <c r="AG713" s="525">
        <f t="shared" si="570"/>
        <v>0</v>
      </c>
      <c r="AH713" s="525">
        <f t="shared" si="570"/>
        <v>0</v>
      </c>
      <c r="AI713" s="525">
        <f t="shared" si="571"/>
        <v>0</v>
      </c>
      <c r="AJ713" s="525">
        <f t="shared" si="571"/>
        <v>0</v>
      </c>
      <c r="AK713" s="525">
        <f t="shared" si="571"/>
        <v>0</v>
      </c>
      <c r="AL713" s="525">
        <f t="shared" si="572"/>
        <v>1.6</v>
      </c>
    </row>
    <row r="714" spans="1:38">
      <c r="A714" s="618" t="s">
        <v>1503</v>
      </c>
      <c r="B714" s="618"/>
      <c r="C714" s="619">
        <f>IF(G714&lt;&gt;0,1,)</f>
        <v>1</v>
      </c>
      <c r="D714" s="622"/>
      <c r="E714" s="733" t="s">
        <v>2699</v>
      </c>
      <c r="F714" s="622" t="s">
        <v>24</v>
      </c>
      <c r="G714" s="622">
        <f>U714</f>
        <v>74</v>
      </c>
      <c r="H714" s="623"/>
      <c r="I714" s="623"/>
      <c r="J714" s="623"/>
      <c r="K714" s="623"/>
      <c r="L714" s="623"/>
      <c r="M714" s="623"/>
      <c r="N714" s="623">
        <f t="shared" ref="N714:S714" si="595">SUM(N716:N718)</f>
        <v>65000</v>
      </c>
      <c r="O714" s="623">
        <f t="shared" si="595"/>
        <v>0</v>
      </c>
      <c r="P714" s="623">
        <f t="shared" si="595"/>
        <v>0</v>
      </c>
      <c r="Q714" s="623">
        <f t="shared" si="595"/>
        <v>13173</v>
      </c>
      <c r="R714" s="623">
        <f t="shared" si="595"/>
        <v>0</v>
      </c>
      <c r="S714" s="623">
        <f t="shared" si="595"/>
        <v>0</v>
      </c>
      <c r="U714" s="623">
        <f>SUM(V714:AB714)</f>
        <v>74</v>
      </c>
      <c r="V714" s="623">
        <f>IFERROR(HLOOKUP($A714,BK3P,V$3,0),)</f>
        <v>74</v>
      </c>
      <c r="W714" s="623">
        <f>IFERROR(HLOOKUP($A714,BK3P,W$3,0),)</f>
        <v>0</v>
      </c>
      <c r="X714" s="623">
        <f>IFERROR(HLOOKUP($A714,BK3P,X$3,0),)</f>
        <v>0</v>
      </c>
      <c r="Y714" s="623">
        <f>IFERROR(HLOOKUP($A714,BK1P,Y$3,0),)</f>
        <v>0</v>
      </c>
      <c r="Z714" s="623">
        <f>IFERROR(HLOOKUP($A714,BK1P,Z$3,0),)</f>
        <v>0</v>
      </c>
      <c r="AA714" s="623">
        <f>IFERROR(HLOOKUP($A714,BK1P,AA$3,0),)</f>
        <v>0</v>
      </c>
      <c r="AB714" s="623">
        <f>IFERROR(HLOOKUP($A714,BKHT,AB$3,0),)</f>
        <v>0</v>
      </c>
      <c r="AD714" s="405">
        <f t="shared" si="568"/>
        <v>0</v>
      </c>
      <c r="AE714" s="525">
        <f t="shared" si="569"/>
        <v>0</v>
      </c>
      <c r="AF714" s="525">
        <f t="shared" si="570"/>
        <v>0</v>
      </c>
      <c r="AG714" s="525">
        <f t="shared" si="570"/>
        <v>0</v>
      </c>
      <c r="AH714" s="525">
        <f t="shared" si="570"/>
        <v>0</v>
      </c>
      <c r="AI714" s="525">
        <f t="shared" si="571"/>
        <v>0</v>
      </c>
      <c r="AJ714" s="525">
        <f t="shared" si="571"/>
        <v>0</v>
      </c>
      <c r="AK714" s="525">
        <f t="shared" si="571"/>
        <v>0</v>
      </c>
      <c r="AL714" s="525">
        <f t="shared" si="572"/>
        <v>0</v>
      </c>
    </row>
    <row r="715" spans="1:38" s="542" customFormat="1">
      <c r="A715" s="624"/>
      <c r="B715" s="624"/>
      <c r="C715" s="625">
        <f>C714</f>
        <v>1</v>
      </c>
      <c r="D715" s="544"/>
      <c r="E715" s="734" t="s">
        <v>1659</v>
      </c>
      <c r="F715" s="544"/>
      <c r="G715" s="545"/>
      <c r="H715" s="545"/>
      <c r="I715" s="545"/>
      <c r="J715" s="545"/>
      <c r="K715" s="545"/>
      <c r="L715" s="545"/>
      <c r="M715" s="545"/>
      <c r="N715" s="545"/>
      <c r="O715" s="545"/>
      <c r="P715" s="545"/>
      <c r="Q715" s="545"/>
      <c r="R715" s="545"/>
      <c r="S715" s="545"/>
      <c r="U715" s="545"/>
      <c r="V715" s="545"/>
      <c r="W715" s="545"/>
      <c r="X715" s="545"/>
      <c r="Y715" s="545"/>
      <c r="Z715" s="545"/>
      <c r="AA715" s="545"/>
      <c r="AB715" s="545"/>
      <c r="AD715" s="405">
        <f t="shared" si="568"/>
        <v>0</v>
      </c>
      <c r="AE715" s="525">
        <f t="shared" si="569"/>
        <v>0</v>
      </c>
      <c r="AF715" s="525">
        <f t="shared" si="570"/>
        <v>0</v>
      </c>
      <c r="AG715" s="525">
        <f t="shared" si="570"/>
        <v>0</v>
      </c>
      <c r="AH715" s="525">
        <f t="shared" si="570"/>
        <v>0</v>
      </c>
      <c r="AI715" s="525">
        <f t="shared" si="571"/>
        <v>0</v>
      </c>
      <c r="AJ715" s="525">
        <f t="shared" si="571"/>
        <v>0</v>
      </c>
      <c r="AK715" s="525">
        <f t="shared" si="571"/>
        <v>0</v>
      </c>
      <c r="AL715" s="525">
        <f t="shared" si="572"/>
        <v>0</v>
      </c>
    </row>
    <row r="716" spans="1:38">
      <c r="A716" s="618"/>
      <c r="B716" s="618" t="s">
        <v>397</v>
      </c>
      <c r="C716" s="619">
        <f>IF(G716&lt;&gt;0,$C$714,)</f>
        <v>1</v>
      </c>
      <c r="D716" s="523">
        <f>VLOOKUP(B716,DONGIA,DG!$B$6,0)</f>
        <v>0</v>
      </c>
      <c r="E716" s="666" t="str">
        <f>VLOOKUP(B716,DONGIA,DG!$C$6,0)</f>
        <v>Uclevis - 3mm</v>
      </c>
      <c r="F716" s="523" t="str">
        <f>VLOOKUP(B716,DONGIA,DG!$D$6,0)</f>
        <v>bộ</v>
      </c>
      <c r="G716" s="525">
        <v>1</v>
      </c>
      <c r="H716" s="525">
        <f>VLOOKUP($B716,DONGIA,DG!$E$6,0)</f>
        <v>17000</v>
      </c>
      <c r="I716" s="525"/>
      <c r="J716" s="525"/>
      <c r="K716" s="525">
        <f>VLOOKUP($B716,DONGIA,DG!$F$6,0)</f>
        <v>0</v>
      </c>
      <c r="L716" s="525"/>
      <c r="M716" s="525">
        <f>VLOOKUP($B716,DONGIA,DG!$G$6,0)</f>
        <v>0</v>
      </c>
      <c r="N716" s="525">
        <f>$G716*H716</f>
        <v>17000</v>
      </c>
      <c r="O716" s="525">
        <f t="shared" ref="O716:S718" si="596">$G716*I716</f>
        <v>0</v>
      </c>
      <c r="P716" s="525">
        <f t="shared" si="596"/>
        <v>0</v>
      </c>
      <c r="Q716" s="525">
        <f t="shared" si="596"/>
        <v>0</v>
      </c>
      <c r="R716" s="525">
        <f t="shared" si="596"/>
        <v>0</v>
      </c>
      <c r="S716" s="525">
        <f t="shared" si="596"/>
        <v>0</v>
      </c>
      <c r="U716" s="525">
        <f>U$714*$G716</f>
        <v>74</v>
      </c>
      <c r="V716" s="525">
        <f t="shared" ref="V716:AB716" si="597">V$714*$G716</f>
        <v>74</v>
      </c>
      <c r="W716" s="525">
        <f t="shared" si="597"/>
        <v>0</v>
      </c>
      <c r="X716" s="525">
        <f t="shared" si="597"/>
        <v>0</v>
      </c>
      <c r="Y716" s="525">
        <f t="shared" si="597"/>
        <v>0</v>
      </c>
      <c r="Z716" s="525">
        <f t="shared" si="597"/>
        <v>0</v>
      </c>
      <c r="AA716" s="525">
        <f t="shared" si="597"/>
        <v>0</v>
      </c>
      <c r="AB716" s="525">
        <f t="shared" si="597"/>
        <v>0</v>
      </c>
      <c r="AD716" s="405">
        <f t="shared" si="568"/>
        <v>2.5</v>
      </c>
      <c r="AE716" s="525">
        <f t="shared" si="569"/>
        <v>185</v>
      </c>
      <c r="AF716" s="525">
        <f t="shared" si="570"/>
        <v>185</v>
      </c>
      <c r="AG716" s="525">
        <f t="shared" si="570"/>
        <v>0</v>
      </c>
      <c r="AH716" s="525">
        <f t="shared" si="570"/>
        <v>0</v>
      </c>
      <c r="AI716" s="525">
        <f t="shared" si="571"/>
        <v>0</v>
      </c>
      <c r="AJ716" s="525">
        <f t="shared" si="571"/>
        <v>0</v>
      </c>
      <c r="AK716" s="525">
        <f t="shared" si="571"/>
        <v>0</v>
      </c>
      <c r="AL716" s="525">
        <f t="shared" si="572"/>
        <v>0</v>
      </c>
    </row>
    <row r="717" spans="1:38">
      <c r="A717" s="618"/>
      <c r="B717" s="618" t="s">
        <v>409</v>
      </c>
      <c r="C717" s="619">
        <f>IF(G717&lt;&gt;0,$C$714,)</f>
        <v>1</v>
      </c>
      <c r="D717" s="523" t="str">
        <f>VLOOKUP(B717,DONGIA,DG!$B$6,0)</f>
        <v>D3.1201</v>
      </c>
      <c r="E717" s="666" t="str">
        <f>VLOOKUP(B717,DONGIA,DG!$C$6,0)</f>
        <v xml:space="preserve">Sứ ống chỉ </v>
      </c>
      <c r="F717" s="523" t="str">
        <f>VLOOKUP(B717,DONGIA,DG!$D$6,0)</f>
        <v>cái</v>
      </c>
      <c r="G717" s="525">
        <v>1</v>
      </c>
      <c r="H717" s="525">
        <f>VLOOKUP($B717,DONGIA,DG!$E$6,0)</f>
        <v>20000</v>
      </c>
      <c r="I717" s="525"/>
      <c r="J717" s="525"/>
      <c r="K717" s="525">
        <f>VLOOKUP($B717,DONGIA,DG!$F$6,0)</f>
        <v>13173</v>
      </c>
      <c r="L717" s="525"/>
      <c r="M717" s="525">
        <f>VLOOKUP($B717,DONGIA,DG!$G$6,0)</f>
        <v>0</v>
      </c>
      <c r="N717" s="525">
        <f>$G717*H717</f>
        <v>20000</v>
      </c>
      <c r="O717" s="525">
        <f t="shared" si="596"/>
        <v>0</v>
      </c>
      <c r="P717" s="525">
        <f t="shared" si="596"/>
        <v>0</v>
      </c>
      <c r="Q717" s="525">
        <f t="shared" si="596"/>
        <v>13173</v>
      </c>
      <c r="R717" s="525">
        <f t="shared" si="596"/>
        <v>0</v>
      </c>
      <c r="S717" s="525">
        <f t="shared" si="596"/>
        <v>0</v>
      </c>
      <c r="U717" s="525">
        <f t="shared" ref="U717:AB718" si="598">U$714*$G717</f>
        <v>74</v>
      </c>
      <c r="V717" s="525">
        <f t="shared" si="598"/>
        <v>74</v>
      </c>
      <c r="W717" s="525">
        <f t="shared" si="598"/>
        <v>0</v>
      </c>
      <c r="X717" s="525">
        <f t="shared" si="598"/>
        <v>0</v>
      </c>
      <c r="Y717" s="525">
        <f t="shared" si="598"/>
        <v>0</v>
      </c>
      <c r="Z717" s="525">
        <f t="shared" si="598"/>
        <v>0</v>
      </c>
      <c r="AA717" s="525">
        <f t="shared" si="598"/>
        <v>0</v>
      </c>
      <c r="AB717" s="525">
        <f t="shared" si="598"/>
        <v>0</v>
      </c>
      <c r="AD717" s="405">
        <f t="shared" si="568"/>
        <v>0.2</v>
      </c>
      <c r="AE717" s="525">
        <f t="shared" si="569"/>
        <v>14.8</v>
      </c>
      <c r="AF717" s="525">
        <f t="shared" si="570"/>
        <v>14.8</v>
      </c>
      <c r="AG717" s="525">
        <f t="shared" si="570"/>
        <v>0</v>
      </c>
      <c r="AH717" s="525">
        <f t="shared" si="570"/>
        <v>0</v>
      </c>
      <c r="AI717" s="525">
        <f t="shared" si="571"/>
        <v>0</v>
      </c>
      <c r="AJ717" s="525">
        <f t="shared" si="571"/>
        <v>0</v>
      </c>
      <c r="AK717" s="525">
        <f t="shared" si="571"/>
        <v>0</v>
      </c>
      <c r="AL717" s="525">
        <f t="shared" si="572"/>
        <v>0</v>
      </c>
    </row>
    <row r="718" spans="1:38">
      <c r="A718" s="618"/>
      <c r="B718" s="618" t="s">
        <v>33</v>
      </c>
      <c r="C718" s="619">
        <f>IF(G718&lt;&gt;0,$C$714,)</f>
        <v>1</v>
      </c>
      <c r="D718" s="523">
        <f>VLOOKUP(B718,DONGIA,DG!$B$6,0)</f>
        <v>0</v>
      </c>
      <c r="E718" s="666" t="str">
        <f>VLOOKUP(B718,DONGIA,DG!$C$6,0)</f>
        <v>Boulon 16x250+ 2 long đền vuông D18-50x50x3/Zn</v>
      </c>
      <c r="F718" s="523" t="str">
        <f>VLOOKUP(B718,DONGIA,DG!$D$6,0)</f>
        <v>bộ</v>
      </c>
      <c r="G718" s="525">
        <v>1</v>
      </c>
      <c r="H718" s="525">
        <f>VLOOKUP($B718,DONGIA,DG!$E$6,0)</f>
        <v>28000</v>
      </c>
      <c r="I718" s="525"/>
      <c r="J718" s="525"/>
      <c r="K718" s="525">
        <f>VLOOKUP($B718,DONGIA,DG!$F$6,0)</f>
        <v>0</v>
      </c>
      <c r="L718" s="525"/>
      <c r="M718" s="525">
        <f>VLOOKUP($B718,DONGIA,DG!$G$6,0)</f>
        <v>0</v>
      </c>
      <c r="N718" s="525">
        <f>$G718*H718</f>
        <v>28000</v>
      </c>
      <c r="O718" s="525">
        <f t="shared" si="596"/>
        <v>0</v>
      </c>
      <c r="P718" s="525">
        <f t="shared" si="596"/>
        <v>0</v>
      </c>
      <c r="Q718" s="525">
        <f t="shared" si="596"/>
        <v>0</v>
      </c>
      <c r="R718" s="525">
        <f t="shared" si="596"/>
        <v>0</v>
      </c>
      <c r="S718" s="525">
        <f t="shared" si="596"/>
        <v>0</v>
      </c>
      <c r="U718" s="525">
        <f t="shared" si="598"/>
        <v>74</v>
      </c>
      <c r="V718" s="525">
        <f t="shared" si="598"/>
        <v>74</v>
      </c>
      <c r="W718" s="525">
        <f t="shared" si="598"/>
        <v>0</v>
      </c>
      <c r="X718" s="525">
        <f t="shared" si="598"/>
        <v>0</v>
      </c>
      <c r="Y718" s="525">
        <f t="shared" si="598"/>
        <v>0</v>
      </c>
      <c r="Z718" s="525">
        <f t="shared" si="598"/>
        <v>0</v>
      </c>
      <c r="AA718" s="525">
        <f t="shared" si="598"/>
        <v>0</v>
      </c>
      <c r="AB718" s="525">
        <f t="shared" si="598"/>
        <v>0</v>
      </c>
      <c r="AD718" s="405">
        <f t="shared" si="568"/>
        <v>0.23</v>
      </c>
      <c r="AE718" s="525">
        <f t="shared" si="569"/>
        <v>17.02</v>
      </c>
      <c r="AF718" s="525">
        <f t="shared" si="570"/>
        <v>17.02</v>
      </c>
      <c r="AG718" s="525">
        <f t="shared" si="570"/>
        <v>0</v>
      </c>
      <c r="AH718" s="525">
        <f t="shared" si="570"/>
        <v>0</v>
      </c>
      <c r="AI718" s="525">
        <f t="shared" si="571"/>
        <v>0</v>
      </c>
      <c r="AJ718" s="525">
        <f t="shared" si="571"/>
        <v>0</v>
      </c>
      <c r="AK718" s="525">
        <f t="shared" si="571"/>
        <v>0</v>
      </c>
      <c r="AL718" s="525">
        <f t="shared" si="572"/>
        <v>0</v>
      </c>
    </row>
    <row r="719" spans="1:38">
      <c r="A719" s="618" t="s">
        <v>1504</v>
      </c>
      <c r="B719" s="618"/>
      <c r="C719" s="619">
        <f>IF(G719&lt;&gt;0,1,)</f>
        <v>1</v>
      </c>
      <c r="D719" s="622"/>
      <c r="E719" s="733" t="s">
        <v>2700</v>
      </c>
      <c r="F719" s="622" t="s">
        <v>24</v>
      </c>
      <c r="G719" s="622">
        <f>U719</f>
        <v>44</v>
      </c>
      <c r="H719" s="623"/>
      <c r="I719" s="623"/>
      <c r="J719" s="623"/>
      <c r="K719" s="623"/>
      <c r="L719" s="623"/>
      <c r="M719" s="623"/>
      <c r="N719" s="623">
        <f t="shared" ref="N719:S719" si="599">SUM(N721:N723)</f>
        <v>80000</v>
      </c>
      <c r="O719" s="623">
        <f t="shared" si="599"/>
        <v>0</v>
      </c>
      <c r="P719" s="623">
        <f t="shared" si="599"/>
        <v>0</v>
      </c>
      <c r="Q719" s="623">
        <f t="shared" si="599"/>
        <v>13173</v>
      </c>
      <c r="R719" s="623">
        <f t="shared" si="599"/>
        <v>0</v>
      </c>
      <c r="S719" s="623">
        <f t="shared" si="599"/>
        <v>0</v>
      </c>
      <c r="U719" s="623">
        <f>SUM(V719:AB719)</f>
        <v>44</v>
      </c>
      <c r="V719" s="623">
        <f>IFERROR(HLOOKUP($A719,BK3P,V$3,0),)</f>
        <v>44</v>
      </c>
      <c r="W719" s="623">
        <f>IFERROR(HLOOKUP($A719,BK3P,W$3,0),)</f>
        <v>0</v>
      </c>
      <c r="X719" s="623">
        <f>IFERROR(HLOOKUP($A719,BK3P,X$3,0),)</f>
        <v>0</v>
      </c>
      <c r="Y719" s="623">
        <f>IFERROR(HLOOKUP($A719,BK1P,Y$3,0),)</f>
        <v>0</v>
      </c>
      <c r="Z719" s="623">
        <f>IFERROR(HLOOKUP($A719,BK1P,Z$3,0),)</f>
        <v>0</v>
      </c>
      <c r="AA719" s="623">
        <f>IFERROR(HLOOKUP($A719,BK1P,AA$3,0),)</f>
        <v>0</v>
      </c>
      <c r="AB719" s="623">
        <f>IFERROR(HLOOKUP($A719,BKHT,AB$3,0),)</f>
        <v>0</v>
      </c>
      <c r="AD719" s="405">
        <f t="shared" si="568"/>
        <v>0</v>
      </c>
      <c r="AE719" s="525">
        <f t="shared" si="569"/>
        <v>0</v>
      </c>
      <c r="AF719" s="525">
        <f t="shared" si="570"/>
        <v>0</v>
      </c>
      <c r="AG719" s="525">
        <f t="shared" si="570"/>
        <v>0</v>
      </c>
      <c r="AH719" s="525">
        <f t="shared" si="570"/>
        <v>0</v>
      </c>
      <c r="AI719" s="525">
        <f t="shared" si="571"/>
        <v>0</v>
      </c>
      <c r="AJ719" s="525">
        <f t="shared" si="571"/>
        <v>0</v>
      </c>
      <c r="AK719" s="525">
        <f t="shared" si="571"/>
        <v>0</v>
      </c>
      <c r="AL719" s="525">
        <f t="shared" si="572"/>
        <v>0</v>
      </c>
    </row>
    <row r="720" spans="1:38" s="542" customFormat="1">
      <c r="A720" s="624"/>
      <c r="B720" s="624"/>
      <c r="C720" s="625">
        <f>C719</f>
        <v>1</v>
      </c>
      <c r="D720" s="544"/>
      <c r="E720" s="734" t="s">
        <v>1659</v>
      </c>
      <c r="F720" s="544"/>
      <c r="G720" s="545"/>
      <c r="H720" s="545"/>
      <c r="I720" s="545"/>
      <c r="J720" s="545"/>
      <c r="K720" s="545"/>
      <c r="L720" s="545"/>
      <c r="M720" s="545"/>
      <c r="N720" s="545"/>
      <c r="O720" s="545"/>
      <c r="P720" s="545"/>
      <c r="Q720" s="545"/>
      <c r="R720" s="545"/>
      <c r="S720" s="545"/>
      <c r="U720" s="545"/>
      <c r="V720" s="545"/>
      <c r="W720" s="545"/>
      <c r="X720" s="545"/>
      <c r="Y720" s="545"/>
      <c r="Z720" s="545"/>
      <c r="AA720" s="545"/>
      <c r="AB720" s="545"/>
      <c r="AD720" s="405">
        <f t="shared" si="568"/>
        <v>0</v>
      </c>
      <c r="AE720" s="525">
        <f t="shared" si="569"/>
        <v>0</v>
      </c>
      <c r="AF720" s="525">
        <f t="shared" si="570"/>
        <v>0</v>
      </c>
      <c r="AG720" s="525">
        <f t="shared" si="570"/>
        <v>0</v>
      </c>
      <c r="AH720" s="525">
        <f t="shared" si="570"/>
        <v>0</v>
      </c>
      <c r="AI720" s="525">
        <f t="shared" si="571"/>
        <v>0</v>
      </c>
      <c r="AJ720" s="525">
        <f t="shared" si="571"/>
        <v>0</v>
      </c>
      <c r="AK720" s="525">
        <f t="shared" si="571"/>
        <v>0</v>
      </c>
      <c r="AL720" s="525">
        <f t="shared" si="572"/>
        <v>0</v>
      </c>
    </row>
    <row r="721" spans="1:38">
      <c r="A721" s="618"/>
      <c r="B721" s="618" t="s">
        <v>397</v>
      </c>
      <c r="C721" s="619">
        <f>IF(G721&lt;&gt;0,$C$719,)</f>
        <v>1</v>
      </c>
      <c r="D721" s="523">
        <f>VLOOKUP(B721,DONGIA,DG!$B$6,0)</f>
        <v>0</v>
      </c>
      <c r="E721" s="666" t="str">
        <f>VLOOKUP(B721,DONGIA,DG!$C$6,0)</f>
        <v>Uclevis - 3mm</v>
      </c>
      <c r="F721" s="523" t="str">
        <f>VLOOKUP(B721,DONGIA,DG!$D$6,0)</f>
        <v>bộ</v>
      </c>
      <c r="G721" s="525">
        <v>1</v>
      </c>
      <c r="H721" s="525">
        <f>VLOOKUP($B721,DONGIA,DG!$E$6,0)</f>
        <v>17000</v>
      </c>
      <c r="I721" s="525"/>
      <c r="J721" s="525"/>
      <c r="K721" s="525">
        <f>VLOOKUP($B721,DONGIA,DG!$F$6,0)</f>
        <v>0</v>
      </c>
      <c r="L721" s="525"/>
      <c r="M721" s="525">
        <f>VLOOKUP($B721,DONGIA,DG!$G$6,0)</f>
        <v>0</v>
      </c>
      <c r="N721" s="525">
        <f>$G721*H721</f>
        <v>17000</v>
      </c>
      <c r="O721" s="525">
        <f t="shared" ref="O721:S723" si="600">$G721*I721</f>
        <v>0</v>
      </c>
      <c r="P721" s="525">
        <f t="shared" si="600"/>
        <v>0</v>
      </c>
      <c r="Q721" s="525">
        <f t="shared" si="600"/>
        <v>0</v>
      </c>
      <c r="R721" s="525">
        <f t="shared" si="600"/>
        <v>0</v>
      </c>
      <c r="S721" s="525">
        <f t="shared" si="600"/>
        <v>0</v>
      </c>
      <c r="U721" s="525">
        <f>U$719*$G721</f>
        <v>44</v>
      </c>
      <c r="V721" s="525">
        <f t="shared" ref="V721:AB721" si="601">V$719*$G721</f>
        <v>44</v>
      </c>
      <c r="W721" s="525">
        <f t="shared" si="601"/>
        <v>0</v>
      </c>
      <c r="X721" s="525">
        <f t="shared" si="601"/>
        <v>0</v>
      </c>
      <c r="Y721" s="525">
        <f t="shared" si="601"/>
        <v>0</v>
      </c>
      <c r="Z721" s="525">
        <f t="shared" si="601"/>
        <v>0</v>
      </c>
      <c r="AA721" s="525">
        <f t="shared" si="601"/>
        <v>0</v>
      </c>
      <c r="AB721" s="525">
        <f t="shared" si="601"/>
        <v>0</v>
      </c>
      <c r="AD721" s="405">
        <f t="shared" si="568"/>
        <v>2.5</v>
      </c>
      <c r="AE721" s="525">
        <f t="shared" si="569"/>
        <v>110</v>
      </c>
      <c r="AF721" s="525">
        <f t="shared" si="570"/>
        <v>110</v>
      </c>
      <c r="AG721" s="525">
        <f t="shared" si="570"/>
        <v>0</v>
      </c>
      <c r="AH721" s="525">
        <f t="shared" si="570"/>
        <v>0</v>
      </c>
      <c r="AI721" s="525">
        <f t="shared" si="571"/>
        <v>0</v>
      </c>
      <c r="AJ721" s="525">
        <f t="shared" si="571"/>
        <v>0</v>
      </c>
      <c r="AK721" s="525">
        <f t="shared" si="571"/>
        <v>0</v>
      </c>
      <c r="AL721" s="525">
        <f t="shared" si="572"/>
        <v>0</v>
      </c>
    </row>
    <row r="722" spans="1:38">
      <c r="A722" s="618"/>
      <c r="B722" s="618" t="s">
        <v>409</v>
      </c>
      <c r="C722" s="619">
        <f>IF(G722&lt;&gt;0,$C$719,)</f>
        <v>1</v>
      </c>
      <c r="D722" s="523" t="str">
        <f>VLOOKUP(B722,DONGIA,DG!$B$6,0)</f>
        <v>D3.1201</v>
      </c>
      <c r="E722" s="666" t="str">
        <f>VLOOKUP(B722,DONGIA,DG!$C$6,0)</f>
        <v xml:space="preserve">Sứ ống chỉ </v>
      </c>
      <c r="F722" s="523" t="str">
        <f>VLOOKUP(B722,DONGIA,DG!$D$6,0)</f>
        <v>cái</v>
      </c>
      <c r="G722" s="525">
        <v>1</v>
      </c>
      <c r="H722" s="525">
        <f>VLOOKUP($B722,DONGIA,DG!$E$6,0)</f>
        <v>20000</v>
      </c>
      <c r="I722" s="525"/>
      <c r="J722" s="525"/>
      <c r="K722" s="525">
        <f>VLOOKUP($B722,DONGIA,DG!$F$6,0)</f>
        <v>13173</v>
      </c>
      <c r="L722" s="525"/>
      <c r="M722" s="525">
        <f>VLOOKUP($B722,DONGIA,DG!$G$6,0)</f>
        <v>0</v>
      </c>
      <c r="N722" s="525">
        <f>$G722*H722</f>
        <v>20000</v>
      </c>
      <c r="O722" s="525">
        <f t="shared" si="600"/>
        <v>0</v>
      </c>
      <c r="P722" s="525">
        <f t="shared" si="600"/>
        <v>0</v>
      </c>
      <c r="Q722" s="525">
        <f t="shared" si="600"/>
        <v>13173</v>
      </c>
      <c r="R722" s="525">
        <f t="shared" si="600"/>
        <v>0</v>
      </c>
      <c r="S722" s="525">
        <f t="shared" si="600"/>
        <v>0</v>
      </c>
      <c r="U722" s="525">
        <f t="shared" ref="U722:AB723" si="602">U$719*$G722</f>
        <v>44</v>
      </c>
      <c r="V722" s="525">
        <f t="shared" si="602"/>
        <v>44</v>
      </c>
      <c r="W722" s="525">
        <f t="shared" si="602"/>
        <v>0</v>
      </c>
      <c r="X722" s="525">
        <f t="shared" si="602"/>
        <v>0</v>
      </c>
      <c r="Y722" s="525">
        <f t="shared" si="602"/>
        <v>0</v>
      </c>
      <c r="Z722" s="525">
        <f t="shared" si="602"/>
        <v>0</v>
      </c>
      <c r="AA722" s="525">
        <f t="shared" si="602"/>
        <v>0</v>
      </c>
      <c r="AB722" s="525">
        <f t="shared" si="602"/>
        <v>0</v>
      </c>
      <c r="AD722" s="405">
        <f t="shared" si="568"/>
        <v>0.2</v>
      </c>
      <c r="AE722" s="525">
        <f t="shared" si="569"/>
        <v>8.8000000000000007</v>
      </c>
      <c r="AF722" s="525">
        <f t="shared" si="570"/>
        <v>8.8000000000000007</v>
      </c>
      <c r="AG722" s="525">
        <f t="shared" si="570"/>
        <v>0</v>
      </c>
      <c r="AH722" s="525">
        <f t="shared" si="570"/>
        <v>0</v>
      </c>
      <c r="AI722" s="525">
        <f t="shared" si="571"/>
        <v>0</v>
      </c>
      <c r="AJ722" s="525">
        <f t="shared" si="571"/>
        <v>0</v>
      </c>
      <c r="AK722" s="525">
        <f t="shared" si="571"/>
        <v>0</v>
      </c>
      <c r="AL722" s="525">
        <f t="shared" si="572"/>
        <v>0</v>
      </c>
    </row>
    <row r="723" spans="1:38">
      <c r="A723" s="618"/>
      <c r="B723" s="618" t="s">
        <v>1695</v>
      </c>
      <c r="C723" s="619">
        <f>IF(G723&lt;&gt;0,$C$719,)</f>
        <v>1</v>
      </c>
      <c r="D723" s="523">
        <f>VLOOKUP(B723,DONGIA,DG!$B$6,0)</f>
        <v>0</v>
      </c>
      <c r="E723" s="666" t="str">
        <f>VLOOKUP(B723,DONGIA,DG!$C$6,0)</f>
        <v>Boulon 16x550VRS + 2 long đền vuông D18-50x50x3/Zn</v>
      </c>
      <c r="F723" s="523" t="str">
        <f>VLOOKUP(B723,DONGIA,DG!$D$6,0)</f>
        <v>bộ</v>
      </c>
      <c r="G723" s="525">
        <v>1</v>
      </c>
      <c r="H723" s="525">
        <f>VLOOKUP($B723,DONGIA,DG!$E$6,0)</f>
        <v>43000</v>
      </c>
      <c r="I723" s="525"/>
      <c r="J723" s="525"/>
      <c r="K723" s="525">
        <f>VLOOKUP($B723,DONGIA,DG!$F$6,0)</f>
        <v>0</v>
      </c>
      <c r="L723" s="525"/>
      <c r="M723" s="525">
        <f>VLOOKUP($B723,DONGIA,DG!$G$6,0)</f>
        <v>0</v>
      </c>
      <c r="N723" s="525">
        <f>$G723*H723</f>
        <v>43000</v>
      </c>
      <c r="O723" s="525">
        <f t="shared" si="600"/>
        <v>0</v>
      </c>
      <c r="P723" s="525">
        <f t="shared" si="600"/>
        <v>0</v>
      </c>
      <c r="Q723" s="525">
        <f t="shared" si="600"/>
        <v>0</v>
      </c>
      <c r="R723" s="525">
        <f t="shared" si="600"/>
        <v>0</v>
      </c>
      <c r="S723" s="525">
        <f t="shared" si="600"/>
        <v>0</v>
      </c>
      <c r="U723" s="525">
        <f t="shared" si="602"/>
        <v>44</v>
      </c>
      <c r="V723" s="525">
        <f t="shared" si="602"/>
        <v>44</v>
      </c>
      <c r="W723" s="525">
        <f t="shared" si="602"/>
        <v>0</v>
      </c>
      <c r="X723" s="525">
        <f t="shared" si="602"/>
        <v>0</v>
      </c>
      <c r="Y723" s="525">
        <f t="shared" si="602"/>
        <v>0</v>
      </c>
      <c r="Z723" s="525">
        <f t="shared" si="602"/>
        <v>0</v>
      </c>
      <c r="AA723" s="525">
        <f t="shared" si="602"/>
        <v>0</v>
      </c>
      <c r="AB723" s="525">
        <f t="shared" si="602"/>
        <v>0</v>
      </c>
      <c r="AD723" s="405">
        <f t="shared" si="568"/>
        <v>0.95000000000000029</v>
      </c>
      <c r="AE723" s="525">
        <f t="shared" si="569"/>
        <v>41.800000000000011</v>
      </c>
      <c r="AF723" s="525">
        <f t="shared" si="570"/>
        <v>41.800000000000011</v>
      </c>
      <c r="AG723" s="525">
        <f t="shared" si="570"/>
        <v>0</v>
      </c>
      <c r="AH723" s="525">
        <f t="shared" si="570"/>
        <v>0</v>
      </c>
      <c r="AI723" s="525">
        <f t="shared" si="571"/>
        <v>0</v>
      </c>
      <c r="AJ723" s="525">
        <f t="shared" si="571"/>
        <v>0</v>
      </c>
      <c r="AK723" s="525">
        <f t="shared" si="571"/>
        <v>0</v>
      </c>
      <c r="AL723" s="525">
        <f t="shared" si="572"/>
        <v>0</v>
      </c>
    </row>
    <row r="724" spans="1:38" s="332" customFormat="1">
      <c r="A724" s="356" t="s">
        <v>1791</v>
      </c>
      <c r="B724" s="356"/>
      <c r="C724" s="355">
        <f>IF(G724&lt;&gt;0,1,)</f>
        <v>0</v>
      </c>
      <c r="D724" s="357"/>
      <c r="E724" s="358" t="s">
        <v>2701</v>
      </c>
      <c r="F724" s="357" t="s">
        <v>24</v>
      </c>
      <c r="G724" s="357">
        <f>U724</f>
        <v>0</v>
      </c>
      <c r="H724" s="358"/>
      <c r="I724" s="358"/>
      <c r="J724" s="358"/>
      <c r="K724" s="358"/>
      <c r="L724" s="358"/>
      <c r="M724" s="358"/>
      <c r="N724" s="358">
        <f t="shared" ref="N724:S724" si="603">SUM(N726:N728)</f>
        <v>59000</v>
      </c>
      <c r="O724" s="358">
        <f t="shared" si="603"/>
        <v>0</v>
      </c>
      <c r="P724" s="358">
        <f t="shared" si="603"/>
        <v>0</v>
      </c>
      <c r="Q724" s="358">
        <f t="shared" si="603"/>
        <v>13173</v>
      </c>
      <c r="R724" s="358">
        <f t="shared" si="603"/>
        <v>0</v>
      </c>
      <c r="S724" s="358">
        <f t="shared" si="603"/>
        <v>0</v>
      </c>
      <c r="U724" s="358">
        <f>SUM(V724:AB724)</f>
        <v>0</v>
      </c>
      <c r="V724" s="358">
        <f>IFERROR(HLOOKUP($A724,BK3P,V$3,0),)</f>
        <v>0</v>
      </c>
      <c r="W724" s="358">
        <f>IFERROR(HLOOKUP($A724,BK3P,W$3,0),)</f>
        <v>0</v>
      </c>
      <c r="X724" s="358">
        <f>IFERROR(HLOOKUP($A724,BK3P,X$3,0),)</f>
        <v>0</v>
      </c>
      <c r="Y724" s="358">
        <f>IFERROR(HLOOKUP($A724,BK1P,Y$3,0),)</f>
        <v>0</v>
      </c>
      <c r="Z724" s="358">
        <f>IFERROR(HLOOKUP($A724,BK1P,Z$3,0),)</f>
        <v>0</v>
      </c>
      <c r="AA724" s="358">
        <f>IFERROR(HLOOKUP($A724,BK1P,AA$3,0),)</f>
        <v>0</v>
      </c>
      <c r="AB724" s="358">
        <f>IFERROR(HLOOKUP($A724,BKHT,AB$3,0),)</f>
        <v>0</v>
      </c>
      <c r="AD724" s="332">
        <f t="shared" si="568"/>
        <v>0</v>
      </c>
      <c r="AE724" s="329">
        <f t="shared" si="569"/>
        <v>0</v>
      </c>
      <c r="AF724" s="329">
        <f t="shared" si="570"/>
        <v>0</v>
      </c>
      <c r="AG724" s="329">
        <f t="shared" si="570"/>
        <v>0</v>
      </c>
      <c r="AH724" s="329">
        <f t="shared" si="570"/>
        <v>0</v>
      </c>
      <c r="AI724" s="329">
        <f t="shared" si="571"/>
        <v>0</v>
      </c>
      <c r="AJ724" s="329">
        <f t="shared" si="571"/>
        <v>0</v>
      </c>
      <c r="AK724" s="329">
        <f t="shared" si="571"/>
        <v>0</v>
      </c>
      <c r="AL724" s="329">
        <f t="shared" si="572"/>
        <v>0</v>
      </c>
    </row>
    <row r="725" spans="1:38" s="361" customFormat="1">
      <c r="A725" s="359"/>
      <c r="B725" s="359"/>
      <c r="C725" s="360">
        <f>C724</f>
        <v>0</v>
      </c>
      <c r="D725" s="350"/>
      <c r="E725" s="351" t="s">
        <v>1659</v>
      </c>
      <c r="F725" s="350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U725" s="351"/>
      <c r="V725" s="351"/>
      <c r="W725" s="351"/>
      <c r="X725" s="351"/>
      <c r="Y725" s="351"/>
      <c r="Z725" s="351"/>
      <c r="AA725" s="351"/>
      <c r="AB725" s="351"/>
      <c r="AD725" s="332">
        <f t="shared" si="568"/>
        <v>0</v>
      </c>
      <c r="AE725" s="329">
        <f t="shared" si="569"/>
        <v>0</v>
      </c>
      <c r="AF725" s="329">
        <f t="shared" si="570"/>
        <v>0</v>
      </c>
      <c r="AG725" s="329">
        <f t="shared" si="570"/>
        <v>0</v>
      </c>
      <c r="AH725" s="329">
        <f t="shared" si="570"/>
        <v>0</v>
      </c>
      <c r="AI725" s="329">
        <f t="shared" si="571"/>
        <v>0</v>
      </c>
      <c r="AJ725" s="329">
        <f t="shared" si="571"/>
        <v>0</v>
      </c>
      <c r="AK725" s="329">
        <f t="shared" si="571"/>
        <v>0</v>
      </c>
      <c r="AL725" s="329">
        <f t="shared" si="572"/>
        <v>0</v>
      </c>
    </row>
    <row r="726" spans="1:38" s="332" customFormat="1">
      <c r="A726" s="356"/>
      <c r="B726" s="356" t="s">
        <v>397</v>
      </c>
      <c r="C726" s="355">
        <f>IF(G726&lt;&gt;0,$C$724,)</f>
        <v>0</v>
      </c>
      <c r="D726" s="341">
        <f>VLOOKUP(B726,DONGIA,DG!$B$6,0)</f>
        <v>0</v>
      </c>
      <c r="E726" s="340" t="str">
        <f>VLOOKUP(B726,DONGIA,DG!$C$6,0)</f>
        <v>Uclevis - 3mm</v>
      </c>
      <c r="F726" s="341" t="str">
        <f>VLOOKUP(B726,DONGIA,DG!$D$6,0)</f>
        <v>bộ</v>
      </c>
      <c r="G726" s="329">
        <v>1</v>
      </c>
      <c r="H726" s="329">
        <f>VLOOKUP($B726,DONGIA,DG!$E$6,0)</f>
        <v>17000</v>
      </c>
      <c r="I726" s="329"/>
      <c r="J726" s="329"/>
      <c r="K726" s="329">
        <f>VLOOKUP($B726,DONGIA,DG!$F$6,0)</f>
        <v>0</v>
      </c>
      <c r="L726" s="329"/>
      <c r="M726" s="329">
        <f>VLOOKUP($B726,DONGIA,DG!$G$6,0)</f>
        <v>0</v>
      </c>
      <c r="N726" s="329">
        <f>$G726*H726</f>
        <v>17000</v>
      </c>
      <c r="O726" s="329">
        <f t="shared" ref="O726:S728" si="604">$G726*I726</f>
        <v>0</v>
      </c>
      <c r="P726" s="329">
        <f t="shared" si="604"/>
        <v>0</v>
      </c>
      <c r="Q726" s="329">
        <f t="shared" si="604"/>
        <v>0</v>
      </c>
      <c r="R726" s="329">
        <f t="shared" si="604"/>
        <v>0</v>
      </c>
      <c r="S726" s="329">
        <f t="shared" si="604"/>
        <v>0</v>
      </c>
      <c r="U726" s="329">
        <f>U$724*$G726</f>
        <v>0</v>
      </c>
      <c r="V726" s="329">
        <f t="shared" ref="V726:AB726" si="605">V$724*$G726</f>
        <v>0</v>
      </c>
      <c r="W726" s="329">
        <f t="shared" si="605"/>
        <v>0</v>
      </c>
      <c r="X726" s="329">
        <f t="shared" si="605"/>
        <v>0</v>
      </c>
      <c r="Y726" s="329">
        <f t="shared" si="605"/>
        <v>0</v>
      </c>
      <c r="Z726" s="329">
        <f t="shared" si="605"/>
        <v>0</v>
      </c>
      <c r="AA726" s="329">
        <f t="shared" si="605"/>
        <v>0</v>
      </c>
      <c r="AB726" s="329">
        <f t="shared" si="605"/>
        <v>0</v>
      </c>
      <c r="AD726" s="332">
        <f t="shared" si="568"/>
        <v>2.5</v>
      </c>
      <c r="AE726" s="329">
        <f t="shared" si="569"/>
        <v>0</v>
      </c>
      <c r="AF726" s="329">
        <f t="shared" si="570"/>
        <v>0</v>
      </c>
      <c r="AG726" s="329">
        <f t="shared" si="570"/>
        <v>0</v>
      </c>
      <c r="AH726" s="329">
        <f t="shared" si="570"/>
        <v>0</v>
      </c>
      <c r="AI726" s="329">
        <f t="shared" si="571"/>
        <v>0</v>
      </c>
      <c r="AJ726" s="329">
        <f t="shared" si="571"/>
        <v>0</v>
      </c>
      <c r="AK726" s="329">
        <f t="shared" si="571"/>
        <v>0</v>
      </c>
      <c r="AL726" s="329">
        <f t="shared" si="572"/>
        <v>0</v>
      </c>
    </row>
    <row r="727" spans="1:38" s="332" customFormat="1">
      <c r="A727" s="356"/>
      <c r="B727" s="356" t="s">
        <v>409</v>
      </c>
      <c r="C727" s="355">
        <f>IF(G727&lt;&gt;0,$C$724,)</f>
        <v>0</v>
      </c>
      <c r="D727" s="341" t="str">
        <f>VLOOKUP(B727,DONGIA,DG!$B$6,0)</f>
        <v>D3.1201</v>
      </c>
      <c r="E727" s="340" t="str">
        <f>VLOOKUP(B727,DONGIA,DG!$C$6,0)</f>
        <v xml:space="preserve">Sứ ống chỉ </v>
      </c>
      <c r="F727" s="341" t="str">
        <f>VLOOKUP(B727,DONGIA,DG!$D$6,0)</f>
        <v>cái</v>
      </c>
      <c r="G727" s="329">
        <v>1</v>
      </c>
      <c r="H727" s="329">
        <f>VLOOKUP($B727,DONGIA,DG!$E$6,0)</f>
        <v>20000</v>
      </c>
      <c r="I727" s="329"/>
      <c r="J727" s="329"/>
      <c r="K727" s="329">
        <f>VLOOKUP($B727,DONGIA,DG!$F$6,0)</f>
        <v>13173</v>
      </c>
      <c r="L727" s="329"/>
      <c r="M727" s="329">
        <f>VLOOKUP($B727,DONGIA,DG!$G$6,0)</f>
        <v>0</v>
      </c>
      <c r="N727" s="329">
        <f>$G727*H727</f>
        <v>20000</v>
      </c>
      <c r="O727" s="329">
        <f t="shared" si="604"/>
        <v>0</v>
      </c>
      <c r="P727" s="329">
        <f t="shared" si="604"/>
        <v>0</v>
      </c>
      <c r="Q727" s="329">
        <f t="shared" si="604"/>
        <v>13173</v>
      </c>
      <c r="R727" s="329">
        <f t="shared" si="604"/>
        <v>0</v>
      </c>
      <c r="S727" s="329">
        <f t="shared" si="604"/>
        <v>0</v>
      </c>
      <c r="U727" s="329">
        <f t="shared" ref="U727:AB728" si="606">U$724*$G727</f>
        <v>0</v>
      </c>
      <c r="V727" s="329">
        <f t="shared" si="606"/>
        <v>0</v>
      </c>
      <c r="W727" s="329">
        <f t="shared" si="606"/>
        <v>0</v>
      </c>
      <c r="X727" s="329">
        <f t="shared" si="606"/>
        <v>0</v>
      </c>
      <c r="Y727" s="329">
        <f t="shared" si="606"/>
        <v>0</v>
      </c>
      <c r="Z727" s="329">
        <f t="shared" si="606"/>
        <v>0</v>
      </c>
      <c r="AA727" s="329">
        <f t="shared" si="606"/>
        <v>0</v>
      </c>
      <c r="AB727" s="329">
        <f t="shared" si="606"/>
        <v>0</v>
      </c>
      <c r="AD727" s="332">
        <f t="shared" si="568"/>
        <v>0.2</v>
      </c>
      <c r="AE727" s="329">
        <f t="shared" si="569"/>
        <v>0</v>
      </c>
      <c r="AF727" s="329">
        <f t="shared" si="570"/>
        <v>0</v>
      </c>
      <c r="AG727" s="329">
        <f t="shared" si="570"/>
        <v>0</v>
      </c>
      <c r="AH727" s="329">
        <f t="shared" si="570"/>
        <v>0</v>
      </c>
      <c r="AI727" s="329">
        <f t="shared" si="571"/>
        <v>0</v>
      </c>
      <c r="AJ727" s="329">
        <f t="shared" si="571"/>
        <v>0</v>
      </c>
      <c r="AK727" s="329">
        <f t="shared" si="571"/>
        <v>0</v>
      </c>
      <c r="AL727" s="329">
        <f t="shared" si="572"/>
        <v>0</v>
      </c>
    </row>
    <row r="728" spans="1:38" s="332" customFormat="1">
      <c r="A728" s="356"/>
      <c r="B728" s="356" t="s">
        <v>31</v>
      </c>
      <c r="C728" s="355">
        <f>IF(G728&lt;&gt;0,$C$724,)</f>
        <v>0</v>
      </c>
      <c r="D728" s="341">
        <f>VLOOKUP(B728,DONGIA,DG!$B$6,0)</f>
        <v>0</v>
      </c>
      <c r="E728" s="340" t="str">
        <f>VLOOKUP(B728,DONGIA,DG!$C$6,0)</f>
        <v>Boulon 16x100+ 2 long đền vuông D18-50x50x3/Zn</v>
      </c>
      <c r="F728" s="341" t="str">
        <f>VLOOKUP(B728,DONGIA,DG!$D$6,0)</f>
        <v>bộ</v>
      </c>
      <c r="G728" s="329">
        <v>1</v>
      </c>
      <c r="H728" s="329">
        <f>VLOOKUP($B728,DONGIA,DG!$E$6,0)</f>
        <v>22000</v>
      </c>
      <c r="I728" s="329"/>
      <c r="J728" s="329"/>
      <c r="K728" s="329">
        <f>VLOOKUP($B728,DONGIA,DG!$F$6,0)</f>
        <v>0</v>
      </c>
      <c r="L728" s="329"/>
      <c r="M728" s="329">
        <f>VLOOKUP($B728,DONGIA,DG!$G$6,0)</f>
        <v>0</v>
      </c>
      <c r="N728" s="329">
        <f>$G728*H728</f>
        <v>22000</v>
      </c>
      <c r="O728" s="329">
        <f t="shared" si="604"/>
        <v>0</v>
      </c>
      <c r="P728" s="329">
        <f t="shared" si="604"/>
        <v>0</v>
      </c>
      <c r="Q728" s="329">
        <f t="shared" si="604"/>
        <v>0</v>
      </c>
      <c r="R728" s="329">
        <f t="shared" si="604"/>
        <v>0</v>
      </c>
      <c r="S728" s="329">
        <f t="shared" si="604"/>
        <v>0</v>
      </c>
      <c r="U728" s="329">
        <f t="shared" si="606"/>
        <v>0</v>
      </c>
      <c r="V728" s="329">
        <f t="shared" si="606"/>
        <v>0</v>
      </c>
      <c r="W728" s="329">
        <f t="shared" si="606"/>
        <v>0</v>
      </c>
      <c r="X728" s="329">
        <f t="shared" si="606"/>
        <v>0</v>
      </c>
      <c r="Y728" s="329">
        <f t="shared" si="606"/>
        <v>0</v>
      </c>
      <c r="Z728" s="329">
        <f t="shared" si="606"/>
        <v>0</v>
      </c>
      <c r="AA728" s="329">
        <f t="shared" si="606"/>
        <v>0</v>
      </c>
      <c r="AB728" s="329">
        <f t="shared" si="606"/>
        <v>0</v>
      </c>
      <c r="AD728" s="332">
        <f t="shared" si="568"/>
        <v>0</v>
      </c>
      <c r="AE728" s="329">
        <f t="shared" si="569"/>
        <v>0</v>
      </c>
      <c r="AF728" s="329">
        <f t="shared" si="570"/>
        <v>0</v>
      </c>
      <c r="AG728" s="329">
        <f t="shared" si="570"/>
        <v>0</v>
      </c>
      <c r="AH728" s="329">
        <f t="shared" si="570"/>
        <v>0</v>
      </c>
      <c r="AI728" s="329">
        <f t="shared" si="571"/>
        <v>0</v>
      </c>
      <c r="AJ728" s="329">
        <f t="shared" si="571"/>
        <v>0</v>
      </c>
      <c r="AK728" s="329">
        <f t="shared" si="571"/>
        <v>0</v>
      </c>
      <c r="AL728" s="329">
        <f t="shared" si="572"/>
        <v>0</v>
      </c>
    </row>
    <row r="729" spans="1:38">
      <c r="A729" s="618" t="s">
        <v>345</v>
      </c>
      <c r="B729" s="618"/>
      <c r="C729" s="619">
        <f>IF(G729&lt;&gt;0,1,)</f>
        <v>1</v>
      </c>
      <c r="D729" s="622"/>
      <c r="E729" s="733" t="s">
        <v>1696</v>
      </c>
      <c r="F729" s="622" t="s">
        <v>24</v>
      </c>
      <c r="G729" s="622">
        <f>U729</f>
        <v>121</v>
      </c>
      <c r="H729" s="623"/>
      <c r="I729" s="623"/>
      <c r="J729" s="623"/>
      <c r="K729" s="623"/>
      <c r="L729" s="623"/>
      <c r="M729" s="623"/>
      <c r="N729" s="623">
        <f t="shared" ref="N729:S729" si="607">SUM(N731:N732)</f>
        <v>86000</v>
      </c>
      <c r="O729" s="623">
        <f t="shared" si="607"/>
        <v>0</v>
      </c>
      <c r="P729" s="623">
        <f t="shared" si="607"/>
        <v>0</v>
      </c>
      <c r="Q729" s="623">
        <f t="shared" si="607"/>
        <v>0</v>
      </c>
      <c r="R729" s="623">
        <f t="shared" si="607"/>
        <v>0</v>
      </c>
      <c r="S729" s="623">
        <f t="shared" si="607"/>
        <v>0</v>
      </c>
      <c r="U729" s="623">
        <f>SUM(V729:AB729)</f>
        <v>121</v>
      </c>
      <c r="V729" s="623">
        <f>IFERROR(HLOOKUP($A729,BK3P,V$3,0),)</f>
        <v>93</v>
      </c>
      <c r="W729" s="623">
        <f>IFERROR(HLOOKUP($A729,BK3P,W$3,0),)</f>
        <v>0</v>
      </c>
      <c r="X729" s="623">
        <f>IFERROR(HLOOKUP($A729,BK3P,X$3,0),)</f>
        <v>0</v>
      </c>
      <c r="Y729" s="623">
        <f>IFERROR(HLOOKUP($A729,BK1P,Y$3,0),)</f>
        <v>0</v>
      </c>
      <c r="Z729" s="623">
        <f>IFERROR(HLOOKUP($A729,BK1P,Z$3,0),)</f>
        <v>0</v>
      </c>
      <c r="AA729" s="623">
        <f>IFERROR(HLOOKUP($A729,BK1P,AA$3,0),)</f>
        <v>0</v>
      </c>
      <c r="AB729" s="623">
        <f>IFERROR(HLOOKUP($A729,BKHT,AB$3,0),)</f>
        <v>28</v>
      </c>
      <c r="AD729" s="405">
        <f t="shared" si="568"/>
        <v>0</v>
      </c>
      <c r="AE729" s="525">
        <f t="shared" si="569"/>
        <v>0</v>
      </c>
      <c r="AF729" s="525">
        <f t="shared" si="570"/>
        <v>0</v>
      </c>
      <c r="AG729" s="525">
        <f t="shared" si="570"/>
        <v>0</v>
      </c>
      <c r="AH729" s="525">
        <f t="shared" si="570"/>
        <v>0</v>
      </c>
      <c r="AI729" s="525">
        <f t="shared" si="571"/>
        <v>0</v>
      </c>
      <c r="AJ729" s="525">
        <f t="shared" si="571"/>
        <v>0</v>
      </c>
      <c r="AK729" s="525">
        <f t="shared" si="571"/>
        <v>0</v>
      </c>
      <c r="AL729" s="525">
        <f t="shared" si="572"/>
        <v>0</v>
      </c>
    </row>
    <row r="730" spans="1:38" s="542" customFormat="1">
      <c r="A730" s="624"/>
      <c r="B730" s="624"/>
      <c r="C730" s="625">
        <f>C729</f>
        <v>1</v>
      </c>
      <c r="D730" s="544"/>
      <c r="E730" s="734" t="s">
        <v>1659</v>
      </c>
      <c r="F730" s="544"/>
      <c r="G730" s="545"/>
      <c r="H730" s="545"/>
      <c r="I730" s="545"/>
      <c r="J730" s="545"/>
      <c r="K730" s="545"/>
      <c r="L730" s="545"/>
      <c r="M730" s="545"/>
      <c r="N730" s="545"/>
      <c r="O730" s="545"/>
      <c r="P730" s="545"/>
      <c r="Q730" s="545"/>
      <c r="R730" s="545"/>
      <c r="S730" s="545"/>
      <c r="U730" s="545"/>
      <c r="V730" s="545"/>
      <c r="W730" s="545"/>
      <c r="X730" s="545"/>
      <c r="Y730" s="545"/>
      <c r="Z730" s="545"/>
      <c r="AA730" s="545"/>
      <c r="AB730" s="545"/>
      <c r="AD730" s="405">
        <f t="shared" si="568"/>
        <v>0</v>
      </c>
      <c r="AE730" s="525">
        <f t="shared" si="569"/>
        <v>0</v>
      </c>
      <c r="AF730" s="525">
        <f t="shared" si="570"/>
        <v>0</v>
      </c>
      <c r="AG730" s="525">
        <f t="shared" si="570"/>
        <v>0</v>
      </c>
      <c r="AH730" s="525">
        <f t="shared" si="570"/>
        <v>0</v>
      </c>
      <c r="AI730" s="525">
        <f t="shared" si="571"/>
        <v>0</v>
      </c>
      <c r="AJ730" s="525">
        <f t="shared" si="571"/>
        <v>0</v>
      </c>
      <c r="AK730" s="525">
        <f t="shared" si="571"/>
        <v>0</v>
      </c>
      <c r="AL730" s="525">
        <f t="shared" si="572"/>
        <v>0</v>
      </c>
    </row>
    <row r="731" spans="1:38">
      <c r="A731" s="618"/>
      <c r="B731" s="618" t="s">
        <v>1697</v>
      </c>
      <c r="C731" s="619">
        <f>IF(G731&lt;&gt;0,$C$729,)</f>
        <v>1</v>
      </c>
      <c r="D731" s="523">
        <f>VLOOKUP(B731,DONGIA,DG!$B$6,0)</f>
        <v>0</v>
      </c>
      <c r="E731" s="666" t="str">
        <f>VLOOKUP(B731,DONGIA,DG!$C$6,0)</f>
        <v>Khóa néo dây cỡ dây 50 (kẹp dừng dây 3U-3mm)</v>
      </c>
      <c r="F731" s="523" t="str">
        <f>VLOOKUP(B731,DONGIA,DG!$D$6,0)</f>
        <v>cái</v>
      </c>
      <c r="G731" s="525">
        <v>1</v>
      </c>
      <c r="H731" s="525">
        <f>VLOOKUP($B731,DONGIA,DG!$E$6,0)</f>
        <v>55000</v>
      </c>
      <c r="I731" s="525"/>
      <c r="J731" s="525"/>
      <c r="K731" s="525">
        <f>VLOOKUP($B731,DONGIA,DG!$F$6,0)</f>
        <v>0</v>
      </c>
      <c r="L731" s="525"/>
      <c r="M731" s="525">
        <f>VLOOKUP($B731,DONGIA,DG!$G$6,0)</f>
        <v>0</v>
      </c>
      <c r="N731" s="525">
        <f>$G731*H731</f>
        <v>55000</v>
      </c>
      <c r="O731" s="525">
        <f t="shared" ref="O731:S732" si="608">$G731*I731</f>
        <v>0</v>
      </c>
      <c r="P731" s="525">
        <f t="shared" si="608"/>
        <v>0</v>
      </c>
      <c r="Q731" s="525">
        <f t="shared" si="608"/>
        <v>0</v>
      </c>
      <c r="R731" s="525">
        <f t="shared" si="608"/>
        <v>0</v>
      </c>
      <c r="S731" s="525">
        <f t="shared" si="608"/>
        <v>0</v>
      </c>
      <c r="U731" s="525">
        <f>U$729*$G731</f>
        <v>121</v>
      </c>
      <c r="V731" s="525">
        <f t="shared" ref="V731:AB732" si="609">V$729*$G731</f>
        <v>93</v>
      </c>
      <c r="W731" s="525">
        <f t="shared" si="609"/>
        <v>0</v>
      </c>
      <c r="X731" s="525">
        <f t="shared" si="609"/>
        <v>0</v>
      </c>
      <c r="Y731" s="525">
        <f t="shared" si="609"/>
        <v>0</v>
      </c>
      <c r="Z731" s="525">
        <f t="shared" si="609"/>
        <v>0</v>
      </c>
      <c r="AA731" s="525">
        <f t="shared" si="609"/>
        <v>0</v>
      </c>
      <c r="AB731" s="525">
        <f t="shared" si="609"/>
        <v>28</v>
      </c>
      <c r="AD731" s="405">
        <f t="shared" si="568"/>
        <v>0.5</v>
      </c>
      <c r="AE731" s="525">
        <f t="shared" si="569"/>
        <v>60.5</v>
      </c>
      <c r="AF731" s="525">
        <f t="shared" si="570"/>
        <v>46.5</v>
      </c>
      <c r="AG731" s="525">
        <f t="shared" si="570"/>
        <v>0</v>
      </c>
      <c r="AH731" s="525">
        <f t="shared" si="570"/>
        <v>0</v>
      </c>
      <c r="AI731" s="525">
        <f t="shared" si="571"/>
        <v>0</v>
      </c>
      <c r="AJ731" s="525">
        <f t="shared" si="571"/>
        <v>0</v>
      </c>
      <c r="AK731" s="525">
        <f t="shared" si="571"/>
        <v>0</v>
      </c>
      <c r="AL731" s="525">
        <f t="shared" si="572"/>
        <v>14</v>
      </c>
    </row>
    <row r="732" spans="1:38">
      <c r="A732" s="618"/>
      <c r="B732" s="618" t="s">
        <v>111</v>
      </c>
      <c r="C732" s="619">
        <f>IF(G732&lt;&gt;0,$C$729,)</f>
        <v>1</v>
      </c>
      <c r="D732" s="523">
        <f>VLOOKUP(B732,DONGIA,DG!$B$6,0)</f>
        <v>0</v>
      </c>
      <c r="E732" s="666" t="str">
        <f>VLOOKUP(B732,DONGIA,DG!$C$6,0)</f>
        <v>Boulon mắt 16x300+ long đền vuông D18-50x50x3/Zn</v>
      </c>
      <c r="F732" s="523" t="str">
        <f>VLOOKUP(B732,DONGIA,DG!$D$6,0)</f>
        <v>bộ</v>
      </c>
      <c r="G732" s="525">
        <v>1</v>
      </c>
      <c r="H732" s="525">
        <f>VLOOKUP($B732,DONGIA,DG!$E$6,0)</f>
        <v>31000</v>
      </c>
      <c r="I732" s="525"/>
      <c r="J732" s="525"/>
      <c r="K732" s="525">
        <f>VLOOKUP($B732,DONGIA,DG!$F$6,0)</f>
        <v>0</v>
      </c>
      <c r="L732" s="525"/>
      <c r="M732" s="525">
        <f>VLOOKUP($B732,DONGIA,DG!$G$6,0)</f>
        <v>0</v>
      </c>
      <c r="N732" s="525">
        <f>$G732*H732</f>
        <v>31000</v>
      </c>
      <c r="O732" s="525">
        <f t="shared" si="608"/>
        <v>0</v>
      </c>
      <c r="P732" s="525">
        <f t="shared" si="608"/>
        <v>0</v>
      </c>
      <c r="Q732" s="525">
        <f t="shared" si="608"/>
        <v>0</v>
      </c>
      <c r="R732" s="525">
        <f t="shared" si="608"/>
        <v>0</v>
      </c>
      <c r="S732" s="525">
        <f t="shared" si="608"/>
        <v>0</v>
      </c>
      <c r="U732" s="525">
        <f>U$729*$G732</f>
        <v>121</v>
      </c>
      <c r="V732" s="525">
        <f t="shared" si="609"/>
        <v>93</v>
      </c>
      <c r="W732" s="525">
        <f t="shared" si="609"/>
        <v>0</v>
      </c>
      <c r="X732" s="525">
        <f t="shared" si="609"/>
        <v>0</v>
      </c>
      <c r="Y732" s="525">
        <f t="shared" si="609"/>
        <v>0</v>
      </c>
      <c r="Z732" s="525">
        <f t="shared" si="609"/>
        <v>0</v>
      </c>
      <c r="AA732" s="525">
        <f t="shared" si="609"/>
        <v>0</v>
      </c>
      <c r="AB732" s="525">
        <f t="shared" si="609"/>
        <v>28</v>
      </c>
      <c r="AD732" s="405">
        <f t="shared" si="568"/>
        <v>0.3</v>
      </c>
      <c r="AE732" s="525">
        <f t="shared" si="569"/>
        <v>36.299999999999997</v>
      </c>
      <c r="AF732" s="525">
        <f t="shared" si="570"/>
        <v>27.9</v>
      </c>
      <c r="AG732" s="525">
        <f t="shared" si="570"/>
        <v>0</v>
      </c>
      <c r="AH732" s="525">
        <f t="shared" si="570"/>
        <v>0</v>
      </c>
      <c r="AI732" s="525">
        <f t="shared" si="571"/>
        <v>0</v>
      </c>
      <c r="AJ732" s="525">
        <f t="shared" si="571"/>
        <v>0</v>
      </c>
      <c r="AK732" s="525">
        <f t="shared" si="571"/>
        <v>0</v>
      </c>
      <c r="AL732" s="525">
        <f t="shared" si="572"/>
        <v>8.4</v>
      </c>
    </row>
    <row r="733" spans="1:38" s="332" customFormat="1">
      <c r="A733" s="356" t="s">
        <v>347</v>
      </c>
      <c r="B733" s="356"/>
      <c r="C733" s="355">
        <f>IF(G733&lt;&gt;0,1,)</f>
        <v>0</v>
      </c>
      <c r="D733" s="357"/>
      <c r="E733" s="358" t="s">
        <v>1698</v>
      </c>
      <c r="F733" s="357" t="s">
        <v>24</v>
      </c>
      <c r="G733" s="357">
        <f>U733</f>
        <v>0</v>
      </c>
      <c r="H733" s="358"/>
      <c r="I733" s="358"/>
      <c r="J733" s="358"/>
      <c r="K733" s="358"/>
      <c r="L733" s="358"/>
      <c r="M733" s="358"/>
      <c r="N733" s="358">
        <f t="shared" ref="N733:S733" si="610">SUM(N735:N736)</f>
        <v>86000</v>
      </c>
      <c r="O733" s="358">
        <f t="shared" si="610"/>
        <v>0</v>
      </c>
      <c r="P733" s="358">
        <f t="shared" si="610"/>
        <v>0</v>
      </c>
      <c r="Q733" s="358">
        <f t="shared" si="610"/>
        <v>0</v>
      </c>
      <c r="R733" s="358">
        <f t="shared" si="610"/>
        <v>0</v>
      </c>
      <c r="S733" s="358">
        <f t="shared" si="610"/>
        <v>0</v>
      </c>
      <c r="U733" s="358">
        <f>SUM(V733:AB733)</f>
        <v>0</v>
      </c>
      <c r="V733" s="358">
        <f>IFERROR(HLOOKUP($A733,BK3P,V$3,0),)</f>
        <v>0</v>
      </c>
      <c r="W733" s="358">
        <f>IFERROR(HLOOKUP($A733,BK3P,W$3,0),)</f>
        <v>0</v>
      </c>
      <c r="X733" s="358">
        <f>IFERROR(HLOOKUP($A733,BK3P,X$3,0),)</f>
        <v>0</v>
      </c>
      <c r="Y733" s="358">
        <f>IFERROR(HLOOKUP($A733,BK1P,Y$3,0),)</f>
        <v>0</v>
      </c>
      <c r="Z733" s="358">
        <f>IFERROR(HLOOKUP($A733,BK1P,Z$3,0),)</f>
        <v>0</v>
      </c>
      <c r="AA733" s="358">
        <f>IFERROR(HLOOKUP($A733,BK1P,AA$3,0),)</f>
        <v>0</v>
      </c>
      <c r="AB733" s="358">
        <f>IFERROR(HLOOKUP($A733,BKHT,AB$3,0),)</f>
        <v>0</v>
      </c>
      <c r="AD733" s="332">
        <f t="shared" si="568"/>
        <v>0</v>
      </c>
      <c r="AE733" s="329">
        <f t="shared" si="569"/>
        <v>0</v>
      </c>
      <c r="AF733" s="329">
        <f t="shared" si="570"/>
        <v>0</v>
      </c>
      <c r="AG733" s="329">
        <f t="shared" si="570"/>
        <v>0</v>
      </c>
      <c r="AH733" s="329">
        <f t="shared" si="570"/>
        <v>0</v>
      </c>
      <c r="AI733" s="329">
        <f t="shared" si="571"/>
        <v>0</v>
      </c>
      <c r="AJ733" s="329">
        <f t="shared" si="571"/>
        <v>0</v>
      </c>
      <c r="AK733" s="329">
        <f t="shared" si="571"/>
        <v>0</v>
      </c>
      <c r="AL733" s="329">
        <f t="shared" si="572"/>
        <v>0</v>
      </c>
    </row>
    <row r="734" spans="1:38" s="361" customFormat="1">
      <c r="A734" s="359"/>
      <c r="B734" s="359"/>
      <c r="C734" s="360">
        <f>C733</f>
        <v>0</v>
      </c>
      <c r="D734" s="350"/>
      <c r="E734" s="351" t="s">
        <v>1659</v>
      </c>
      <c r="F734" s="350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U734" s="351"/>
      <c r="V734" s="351"/>
      <c r="W734" s="351"/>
      <c r="X734" s="351"/>
      <c r="Y734" s="351"/>
      <c r="Z734" s="351"/>
      <c r="AA734" s="351"/>
      <c r="AB734" s="351"/>
      <c r="AD734" s="332">
        <f t="shared" si="568"/>
        <v>0</v>
      </c>
      <c r="AE734" s="329">
        <f t="shared" si="569"/>
        <v>0</v>
      </c>
      <c r="AF734" s="329">
        <f t="shared" si="570"/>
        <v>0</v>
      </c>
      <c r="AG734" s="329">
        <f t="shared" si="570"/>
        <v>0</v>
      </c>
      <c r="AH734" s="329">
        <f t="shared" si="570"/>
        <v>0</v>
      </c>
      <c r="AI734" s="329">
        <f t="shared" si="571"/>
        <v>0</v>
      </c>
      <c r="AJ734" s="329">
        <f t="shared" si="571"/>
        <v>0</v>
      </c>
      <c r="AK734" s="329">
        <f t="shared" si="571"/>
        <v>0</v>
      </c>
      <c r="AL734" s="329">
        <f t="shared" si="572"/>
        <v>0</v>
      </c>
    </row>
    <row r="735" spans="1:38" s="332" customFormat="1">
      <c r="A735" s="356"/>
      <c r="B735" s="356" t="s">
        <v>1699</v>
      </c>
      <c r="C735" s="355">
        <f>IF(G735&lt;&gt;0,$C$733,)</f>
        <v>0</v>
      </c>
      <c r="D735" s="341">
        <f>VLOOKUP(B735,DONGIA,DG!$B$6,0)</f>
        <v>0</v>
      </c>
      <c r="E735" s="340" t="str">
        <f>VLOOKUP(B735,DONGIA,DG!$C$6,0)</f>
        <v>Khóa néo dây cỡ dây 70 (kẹp dừng dây 3U-3mm)</v>
      </c>
      <c r="F735" s="341" t="str">
        <f>VLOOKUP(B735,DONGIA,DG!$D$6,0)</f>
        <v>cái</v>
      </c>
      <c r="G735" s="329">
        <v>1</v>
      </c>
      <c r="H735" s="329">
        <f>VLOOKUP($B735,DONGIA,DG!$E$6,0)</f>
        <v>55000</v>
      </c>
      <c r="I735" s="329"/>
      <c r="J735" s="329"/>
      <c r="K735" s="329">
        <f>VLOOKUP($B735,DONGIA,DG!$F$6,0)</f>
        <v>0</v>
      </c>
      <c r="L735" s="329"/>
      <c r="M735" s="329">
        <f>VLOOKUP($B735,DONGIA,DG!$G$6,0)</f>
        <v>0</v>
      </c>
      <c r="N735" s="329">
        <f>$G735*H735</f>
        <v>55000</v>
      </c>
      <c r="O735" s="329">
        <f t="shared" ref="O735:S736" si="611">$G735*I735</f>
        <v>0</v>
      </c>
      <c r="P735" s="329">
        <f t="shared" si="611"/>
        <v>0</v>
      </c>
      <c r="Q735" s="329">
        <f t="shared" si="611"/>
        <v>0</v>
      </c>
      <c r="R735" s="329">
        <f t="shared" si="611"/>
        <v>0</v>
      </c>
      <c r="S735" s="329">
        <f t="shared" si="611"/>
        <v>0</v>
      </c>
      <c r="U735" s="329">
        <f>U$733*$G735</f>
        <v>0</v>
      </c>
      <c r="V735" s="329">
        <f t="shared" ref="V735:AB736" si="612">V$733*$G735</f>
        <v>0</v>
      </c>
      <c r="W735" s="329">
        <f t="shared" si="612"/>
        <v>0</v>
      </c>
      <c r="X735" s="329">
        <f t="shared" si="612"/>
        <v>0</v>
      </c>
      <c r="Y735" s="329">
        <f t="shared" si="612"/>
        <v>0</v>
      </c>
      <c r="Z735" s="329">
        <f t="shared" si="612"/>
        <v>0</v>
      </c>
      <c r="AA735" s="329">
        <f t="shared" si="612"/>
        <v>0</v>
      </c>
      <c r="AB735" s="329">
        <f t="shared" si="612"/>
        <v>0</v>
      </c>
      <c r="AD735" s="332">
        <f t="shared" si="568"/>
        <v>0.5</v>
      </c>
      <c r="AE735" s="329">
        <f t="shared" si="569"/>
        <v>0</v>
      </c>
      <c r="AF735" s="329">
        <f t="shared" si="570"/>
        <v>0</v>
      </c>
      <c r="AG735" s="329">
        <f t="shared" si="570"/>
        <v>0</v>
      </c>
      <c r="AH735" s="329">
        <f t="shared" si="570"/>
        <v>0</v>
      </c>
      <c r="AI735" s="329">
        <f t="shared" si="571"/>
        <v>0</v>
      </c>
      <c r="AJ735" s="329">
        <f t="shared" si="571"/>
        <v>0</v>
      </c>
      <c r="AK735" s="329">
        <f t="shared" si="571"/>
        <v>0</v>
      </c>
      <c r="AL735" s="329">
        <f t="shared" si="572"/>
        <v>0</v>
      </c>
    </row>
    <row r="736" spans="1:38" s="332" customFormat="1">
      <c r="A736" s="356"/>
      <c r="B736" s="356" t="s">
        <v>111</v>
      </c>
      <c r="C736" s="355">
        <f>IF(G736&lt;&gt;0,$C$733,)</f>
        <v>0</v>
      </c>
      <c r="D736" s="341">
        <f>VLOOKUP(B736,DONGIA,DG!$B$6,0)</f>
        <v>0</v>
      </c>
      <c r="E736" s="340" t="str">
        <f>VLOOKUP(B736,DONGIA,DG!$C$6,0)</f>
        <v>Boulon mắt 16x300+ long đền vuông D18-50x50x3/Zn</v>
      </c>
      <c r="F736" s="341" t="str">
        <f>VLOOKUP(B736,DONGIA,DG!$D$6,0)</f>
        <v>bộ</v>
      </c>
      <c r="G736" s="329">
        <v>1</v>
      </c>
      <c r="H736" s="329">
        <f>VLOOKUP($B736,DONGIA,DG!$E$6,0)</f>
        <v>31000</v>
      </c>
      <c r="I736" s="329"/>
      <c r="J736" s="329"/>
      <c r="K736" s="329">
        <f>VLOOKUP($B736,DONGIA,DG!$F$6,0)</f>
        <v>0</v>
      </c>
      <c r="L736" s="329"/>
      <c r="M736" s="329">
        <f>VLOOKUP($B736,DONGIA,DG!$G$6,0)</f>
        <v>0</v>
      </c>
      <c r="N736" s="329">
        <f>$G736*H736</f>
        <v>31000</v>
      </c>
      <c r="O736" s="329">
        <f t="shared" si="611"/>
        <v>0</v>
      </c>
      <c r="P736" s="329">
        <f t="shared" si="611"/>
        <v>0</v>
      </c>
      <c r="Q736" s="329">
        <f t="shared" si="611"/>
        <v>0</v>
      </c>
      <c r="R736" s="329">
        <f t="shared" si="611"/>
        <v>0</v>
      </c>
      <c r="S736" s="329">
        <f t="shared" si="611"/>
        <v>0</v>
      </c>
      <c r="U736" s="329">
        <f>U$733*$G736</f>
        <v>0</v>
      </c>
      <c r="V736" s="329">
        <f t="shared" si="612"/>
        <v>0</v>
      </c>
      <c r="W736" s="329">
        <f t="shared" si="612"/>
        <v>0</v>
      </c>
      <c r="X736" s="329">
        <f t="shared" si="612"/>
        <v>0</v>
      </c>
      <c r="Y736" s="329">
        <f t="shared" si="612"/>
        <v>0</v>
      </c>
      <c r="Z736" s="329">
        <f t="shared" si="612"/>
        <v>0</v>
      </c>
      <c r="AA736" s="329">
        <f t="shared" si="612"/>
        <v>0</v>
      </c>
      <c r="AB736" s="329">
        <f t="shared" si="612"/>
        <v>0</v>
      </c>
      <c r="AD736" s="332">
        <f t="shared" si="568"/>
        <v>0.3</v>
      </c>
      <c r="AE736" s="329">
        <f t="shared" si="569"/>
        <v>0</v>
      </c>
      <c r="AF736" s="329">
        <f t="shared" si="570"/>
        <v>0</v>
      </c>
      <c r="AG736" s="329">
        <f t="shared" si="570"/>
        <v>0</v>
      </c>
      <c r="AH736" s="329">
        <f t="shared" si="570"/>
        <v>0</v>
      </c>
      <c r="AI736" s="329">
        <f t="shared" si="571"/>
        <v>0</v>
      </c>
      <c r="AJ736" s="329">
        <f t="shared" si="571"/>
        <v>0</v>
      </c>
      <c r="AK736" s="329">
        <f t="shared" si="571"/>
        <v>0</v>
      </c>
      <c r="AL736" s="329">
        <f t="shared" si="572"/>
        <v>0</v>
      </c>
    </row>
    <row r="737" spans="1:38" s="332" customFormat="1">
      <c r="A737" s="356" t="s">
        <v>348</v>
      </c>
      <c r="B737" s="356"/>
      <c r="C737" s="355">
        <f>IF(G737&lt;&gt;0,1,)</f>
        <v>0</v>
      </c>
      <c r="D737" s="357"/>
      <c r="E737" s="358" t="s">
        <v>1700</v>
      </c>
      <c r="F737" s="357" t="s">
        <v>24</v>
      </c>
      <c r="G737" s="357">
        <f>U737</f>
        <v>0</v>
      </c>
      <c r="H737" s="358"/>
      <c r="I737" s="358"/>
      <c r="J737" s="358"/>
      <c r="K737" s="358"/>
      <c r="L737" s="358"/>
      <c r="M737" s="358"/>
      <c r="N737" s="358">
        <f t="shared" ref="N737:S737" si="613">SUM(N739:N740)</f>
        <v>157000</v>
      </c>
      <c r="O737" s="358">
        <f t="shared" si="613"/>
        <v>0</v>
      </c>
      <c r="P737" s="358">
        <f t="shared" si="613"/>
        <v>0</v>
      </c>
      <c r="Q737" s="358">
        <f t="shared" si="613"/>
        <v>0</v>
      </c>
      <c r="R737" s="358">
        <f t="shared" si="613"/>
        <v>0</v>
      </c>
      <c r="S737" s="358">
        <f t="shared" si="613"/>
        <v>0</v>
      </c>
      <c r="U737" s="358">
        <f>SUM(V737:AB737)</f>
        <v>0</v>
      </c>
      <c r="V737" s="358">
        <f>IFERROR(HLOOKUP($A737,BK3P,V$3,0),)</f>
        <v>0</v>
      </c>
      <c r="W737" s="358">
        <f>IFERROR(HLOOKUP($A737,BK3P,W$3,0),)</f>
        <v>0</v>
      </c>
      <c r="X737" s="358">
        <f>IFERROR(HLOOKUP($A737,BK3P,X$3,0),)</f>
        <v>0</v>
      </c>
      <c r="Y737" s="358">
        <f>IFERROR(HLOOKUP($A737,BK1P,Y$3,0),)</f>
        <v>0</v>
      </c>
      <c r="Z737" s="358">
        <f>IFERROR(HLOOKUP($A737,BK1P,Z$3,0),)</f>
        <v>0</v>
      </c>
      <c r="AA737" s="358">
        <f>IFERROR(HLOOKUP($A737,BK1P,AA$3,0),)</f>
        <v>0</v>
      </c>
      <c r="AB737" s="358">
        <f>IFERROR(HLOOKUP($A737,BKHT,AB$3,0),)</f>
        <v>0</v>
      </c>
      <c r="AD737" s="332">
        <f t="shared" si="568"/>
        <v>0</v>
      </c>
      <c r="AE737" s="329">
        <f t="shared" si="569"/>
        <v>0</v>
      </c>
      <c r="AF737" s="329">
        <f t="shared" si="570"/>
        <v>0</v>
      </c>
      <c r="AG737" s="329">
        <f t="shared" si="570"/>
        <v>0</v>
      </c>
      <c r="AH737" s="329">
        <f t="shared" si="570"/>
        <v>0</v>
      </c>
      <c r="AI737" s="329">
        <f t="shared" si="571"/>
        <v>0</v>
      </c>
      <c r="AJ737" s="329">
        <f t="shared" si="571"/>
        <v>0</v>
      </c>
      <c r="AK737" s="329">
        <f t="shared" si="571"/>
        <v>0</v>
      </c>
      <c r="AL737" s="329">
        <f t="shared" si="572"/>
        <v>0</v>
      </c>
    </row>
    <row r="738" spans="1:38" s="361" customFormat="1">
      <c r="A738" s="359"/>
      <c r="B738" s="359"/>
      <c r="C738" s="360">
        <f>C737</f>
        <v>0</v>
      </c>
      <c r="D738" s="350"/>
      <c r="E738" s="351" t="s">
        <v>1659</v>
      </c>
      <c r="F738" s="350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U738" s="351"/>
      <c r="V738" s="351"/>
      <c r="W738" s="351"/>
      <c r="X738" s="351"/>
      <c r="Y738" s="351"/>
      <c r="Z738" s="351"/>
      <c r="AA738" s="351"/>
      <c r="AB738" s="351"/>
      <c r="AD738" s="332">
        <f t="shared" si="568"/>
        <v>0</v>
      </c>
      <c r="AE738" s="329">
        <f t="shared" si="569"/>
        <v>0</v>
      </c>
      <c r="AF738" s="329">
        <f t="shared" si="570"/>
        <v>0</v>
      </c>
      <c r="AG738" s="329">
        <f t="shared" si="570"/>
        <v>0</v>
      </c>
      <c r="AH738" s="329">
        <f t="shared" si="570"/>
        <v>0</v>
      </c>
      <c r="AI738" s="329">
        <f t="shared" si="571"/>
        <v>0</v>
      </c>
      <c r="AJ738" s="329">
        <f t="shared" si="571"/>
        <v>0</v>
      </c>
      <c r="AK738" s="329">
        <f t="shared" si="571"/>
        <v>0</v>
      </c>
      <c r="AL738" s="329">
        <f t="shared" si="572"/>
        <v>0</v>
      </c>
    </row>
    <row r="739" spans="1:38" s="332" customFormat="1">
      <c r="A739" s="356"/>
      <c r="B739" s="356" t="s">
        <v>1701</v>
      </c>
      <c r="C739" s="355">
        <f>IF(G739&lt;&gt;0,$C$737,)</f>
        <v>0</v>
      </c>
      <c r="D739" s="341">
        <f>VLOOKUP(B739,DONGIA,DG!$B$6,0)</f>
        <v>0</v>
      </c>
      <c r="E739" s="340" t="str">
        <f>VLOOKUP(B739,DONGIA,DG!$C$6,0)</f>
        <v>Khóa néo dây cỡ dây 95 (kẹp dừng dây 5U-4mm)</v>
      </c>
      <c r="F739" s="341" t="str">
        <f>VLOOKUP(B739,DONGIA,DG!$D$6,0)</f>
        <v>cái</v>
      </c>
      <c r="G739" s="329">
        <v>1</v>
      </c>
      <c r="H739" s="329">
        <f>VLOOKUP($B739,DONGIA,DG!$E$6,0)</f>
        <v>126000</v>
      </c>
      <c r="I739" s="329"/>
      <c r="J739" s="329"/>
      <c r="K739" s="329">
        <f>VLOOKUP($B739,DONGIA,DG!$F$6,0)</f>
        <v>0</v>
      </c>
      <c r="L739" s="329"/>
      <c r="M739" s="329">
        <f>VLOOKUP($B739,DONGIA,DG!$G$6,0)</f>
        <v>0</v>
      </c>
      <c r="N739" s="329">
        <f>$G739*H739</f>
        <v>126000</v>
      </c>
      <c r="O739" s="329">
        <f t="shared" ref="O739:S740" si="614">$G739*I739</f>
        <v>0</v>
      </c>
      <c r="P739" s="329">
        <f t="shared" si="614"/>
        <v>0</v>
      </c>
      <c r="Q739" s="329">
        <f t="shared" si="614"/>
        <v>0</v>
      </c>
      <c r="R739" s="329">
        <f t="shared" si="614"/>
        <v>0</v>
      </c>
      <c r="S739" s="329">
        <f t="shared" si="614"/>
        <v>0</v>
      </c>
      <c r="U739" s="329">
        <f>U$737*$G739</f>
        <v>0</v>
      </c>
      <c r="V739" s="329">
        <f t="shared" ref="V739:AB740" si="615">V$737*$G739</f>
        <v>0</v>
      </c>
      <c r="W739" s="329">
        <f t="shared" si="615"/>
        <v>0</v>
      </c>
      <c r="X739" s="329">
        <f t="shared" si="615"/>
        <v>0</v>
      </c>
      <c r="Y739" s="329">
        <f t="shared" si="615"/>
        <v>0</v>
      </c>
      <c r="Z739" s="329">
        <f t="shared" si="615"/>
        <v>0</v>
      </c>
      <c r="AA739" s="329">
        <f t="shared" si="615"/>
        <v>0</v>
      </c>
      <c r="AB739" s="329">
        <f t="shared" si="615"/>
        <v>0</v>
      </c>
      <c r="AD739" s="332">
        <f t="shared" si="568"/>
        <v>0.5</v>
      </c>
      <c r="AE739" s="329">
        <f t="shared" si="569"/>
        <v>0</v>
      </c>
      <c r="AF739" s="329">
        <f t="shared" si="570"/>
        <v>0</v>
      </c>
      <c r="AG739" s="329">
        <f t="shared" si="570"/>
        <v>0</v>
      </c>
      <c r="AH739" s="329">
        <f t="shared" si="570"/>
        <v>0</v>
      </c>
      <c r="AI739" s="329">
        <f t="shared" si="571"/>
        <v>0</v>
      </c>
      <c r="AJ739" s="329">
        <f t="shared" si="571"/>
        <v>0</v>
      </c>
      <c r="AK739" s="329">
        <f t="shared" si="571"/>
        <v>0</v>
      </c>
      <c r="AL739" s="329">
        <f t="shared" si="572"/>
        <v>0</v>
      </c>
    </row>
    <row r="740" spans="1:38" s="332" customFormat="1">
      <c r="A740" s="356"/>
      <c r="B740" s="356" t="s">
        <v>111</v>
      </c>
      <c r="C740" s="355">
        <f>IF(G740&lt;&gt;0,$C$737,)</f>
        <v>0</v>
      </c>
      <c r="D740" s="341">
        <f>VLOOKUP(B740,DONGIA,DG!$B$6,0)</f>
        <v>0</v>
      </c>
      <c r="E740" s="340" t="str">
        <f>VLOOKUP(B740,DONGIA,DG!$C$6,0)</f>
        <v>Boulon mắt 16x300+ long đền vuông D18-50x50x3/Zn</v>
      </c>
      <c r="F740" s="341" t="str">
        <f>VLOOKUP(B740,DONGIA,DG!$D$6,0)</f>
        <v>bộ</v>
      </c>
      <c r="G740" s="329">
        <v>1</v>
      </c>
      <c r="H740" s="329">
        <f>VLOOKUP($B740,DONGIA,DG!$E$6,0)</f>
        <v>31000</v>
      </c>
      <c r="I740" s="329"/>
      <c r="J740" s="329"/>
      <c r="K740" s="329">
        <f>VLOOKUP($B740,DONGIA,DG!$F$6,0)</f>
        <v>0</v>
      </c>
      <c r="L740" s="329"/>
      <c r="M740" s="329">
        <f>VLOOKUP($B740,DONGIA,DG!$G$6,0)</f>
        <v>0</v>
      </c>
      <c r="N740" s="329">
        <f>$G740*H740</f>
        <v>31000</v>
      </c>
      <c r="O740" s="329">
        <f t="shared" si="614"/>
        <v>0</v>
      </c>
      <c r="P740" s="329">
        <f t="shared" si="614"/>
        <v>0</v>
      </c>
      <c r="Q740" s="329">
        <f t="shared" si="614"/>
        <v>0</v>
      </c>
      <c r="R740" s="329">
        <f t="shared" si="614"/>
        <v>0</v>
      </c>
      <c r="S740" s="329">
        <f t="shared" si="614"/>
        <v>0</v>
      </c>
      <c r="U740" s="329">
        <f>U$737*$G740</f>
        <v>0</v>
      </c>
      <c r="V740" s="329">
        <f t="shared" si="615"/>
        <v>0</v>
      </c>
      <c r="W740" s="329">
        <f t="shared" si="615"/>
        <v>0</v>
      </c>
      <c r="X740" s="329">
        <f t="shared" si="615"/>
        <v>0</v>
      </c>
      <c r="Y740" s="329">
        <f t="shared" si="615"/>
        <v>0</v>
      </c>
      <c r="Z740" s="329">
        <f t="shared" si="615"/>
        <v>0</v>
      </c>
      <c r="AA740" s="329">
        <f t="shared" si="615"/>
        <v>0</v>
      </c>
      <c r="AB740" s="329">
        <f t="shared" si="615"/>
        <v>0</v>
      </c>
      <c r="AD740" s="332">
        <f t="shared" si="568"/>
        <v>0.3</v>
      </c>
      <c r="AE740" s="329">
        <f t="shared" si="569"/>
        <v>0</v>
      </c>
      <c r="AF740" s="329">
        <f t="shared" si="570"/>
        <v>0</v>
      </c>
      <c r="AG740" s="329">
        <f t="shared" si="570"/>
        <v>0</v>
      </c>
      <c r="AH740" s="329">
        <f t="shared" si="570"/>
        <v>0</v>
      </c>
      <c r="AI740" s="329">
        <f t="shared" si="571"/>
        <v>0</v>
      </c>
      <c r="AJ740" s="329">
        <f t="shared" si="571"/>
        <v>0</v>
      </c>
      <c r="AK740" s="329">
        <f t="shared" si="571"/>
        <v>0</v>
      </c>
      <c r="AL740" s="329">
        <f t="shared" si="572"/>
        <v>0</v>
      </c>
    </row>
    <row r="741" spans="1:38" s="332" customFormat="1">
      <c r="A741" s="356" t="s">
        <v>350</v>
      </c>
      <c r="B741" s="356"/>
      <c r="C741" s="355">
        <f>IF(G741&lt;&gt;0,1,)</f>
        <v>0</v>
      </c>
      <c r="D741" s="357"/>
      <c r="E741" s="358" t="s">
        <v>1702</v>
      </c>
      <c r="F741" s="357" t="s">
        <v>24</v>
      </c>
      <c r="G741" s="357">
        <f>U741</f>
        <v>0</v>
      </c>
      <c r="H741" s="358"/>
      <c r="I741" s="358"/>
      <c r="J741" s="358"/>
      <c r="K741" s="358"/>
      <c r="L741" s="358"/>
      <c r="M741" s="358"/>
      <c r="N741" s="358">
        <f t="shared" ref="N741:S741" si="616">SUM(N743:N744)</f>
        <v>157000</v>
      </c>
      <c r="O741" s="358">
        <f t="shared" si="616"/>
        <v>0</v>
      </c>
      <c r="P741" s="358">
        <f t="shared" si="616"/>
        <v>0</v>
      </c>
      <c r="Q741" s="358">
        <f t="shared" si="616"/>
        <v>0</v>
      </c>
      <c r="R741" s="358">
        <f t="shared" si="616"/>
        <v>0</v>
      </c>
      <c r="S741" s="358">
        <f t="shared" si="616"/>
        <v>0</v>
      </c>
      <c r="U741" s="358">
        <f>SUM(V741:AB741)</f>
        <v>0</v>
      </c>
      <c r="V741" s="358">
        <f>IFERROR(HLOOKUP($A741,BK3P,V$3,0),)</f>
        <v>0</v>
      </c>
      <c r="W741" s="358">
        <f>IFERROR(HLOOKUP($A741,BK3P,W$3,0),)</f>
        <v>0</v>
      </c>
      <c r="X741" s="358">
        <f>IFERROR(HLOOKUP($A741,BK3P,X$3,0),)</f>
        <v>0</v>
      </c>
      <c r="Y741" s="358">
        <f>IFERROR(HLOOKUP($A741,BK1P,Y$3,0),)</f>
        <v>0</v>
      </c>
      <c r="Z741" s="358">
        <f>IFERROR(HLOOKUP($A741,BK1P,Z$3,0),)</f>
        <v>0</v>
      </c>
      <c r="AA741" s="358">
        <f>IFERROR(HLOOKUP($A741,BK1P,AA$3,0),)</f>
        <v>0</v>
      </c>
      <c r="AB741" s="358">
        <f>IFERROR(HLOOKUP($A741,BKHT,AB$3,0),)</f>
        <v>0</v>
      </c>
      <c r="AD741" s="332">
        <f t="shared" si="568"/>
        <v>0</v>
      </c>
      <c r="AE741" s="329">
        <f t="shared" si="569"/>
        <v>0</v>
      </c>
      <c r="AF741" s="329">
        <f t="shared" si="570"/>
        <v>0</v>
      </c>
      <c r="AG741" s="329">
        <f t="shared" si="570"/>
        <v>0</v>
      </c>
      <c r="AH741" s="329">
        <f t="shared" si="570"/>
        <v>0</v>
      </c>
      <c r="AI741" s="329">
        <f t="shared" si="571"/>
        <v>0</v>
      </c>
      <c r="AJ741" s="329">
        <f t="shared" si="571"/>
        <v>0</v>
      </c>
      <c r="AK741" s="329">
        <f t="shared" si="571"/>
        <v>0</v>
      </c>
      <c r="AL741" s="329">
        <f t="shared" si="572"/>
        <v>0</v>
      </c>
    </row>
    <row r="742" spans="1:38" s="361" customFormat="1">
      <c r="A742" s="359"/>
      <c r="B742" s="359"/>
      <c r="C742" s="360">
        <f>C741</f>
        <v>0</v>
      </c>
      <c r="D742" s="350"/>
      <c r="E742" s="351" t="s">
        <v>1659</v>
      </c>
      <c r="F742" s="350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U742" s="351"/>
      <c r="V742" s="351"/>
      <c r="W742" s="351"/>
      <c r="X742" s="351"/>
      <c r="Y742" s="351"/>
      <c r="Z742" s="351"/>
      <c r="AA742" s="351"/>
      <c r="AB742" s="351"/>
      <c r="AD742" s="332">
        <f t="shared" si="568"/>
        <v>0</v>
      </c>
      <c r="AE742" s="329">
        <f t="shared" si="569"/>
        <v>0</v>
      </c>
      <c r="AF742" s="329">
        <f t="shared" si="570"/>
        <v>0</v>
      </c>
      <c r="AG742" s="329">
        <f t="shared" si="570"/>
        <v>0</v>
      </c>
      <c r="AH742" s="329">
        <f t="shared" si="570"/>
        <v>0</v>
      </c>
      <c r="AI742" s="329">
        <f t="shared" si="571"/>
        <v>0</v>
      </c>
      <c r="AJ742" s="329">
        <f t="shared" si="571"/>
        <v>0</v>
      </c>
      <c r="AK742" s="329">
        <f t="shared" si="571"/>
        <v>0</v>
      </c>
      <c r="AL742" s="329">
        <f t="shared" si="572"/>
        <v>0</v>
      </c>
    </row>
    <row r="743" spans="1:38" s="332" customFormat="1">
      <c r="A743" s="356"/>
      <c r="B743" s="356" t="s">
        <v>1703</v>
      </c>
      <c r="C743" s="355">
        <f>IF(G743&lt;&gt;0,$C$741,)</f>
        <v>0</v>
      </c>
      <c r="D743" s="341">
        <f>VLOOKUP(B743,DONGIA,DG!$B$6,0)</f>
        <v>0</v>
      </c>
      <c r="E743" s="340" t="str">
        <f>VLOOKUP(B743,DONGIA,DG!$C$6,0)</f>
        <v>Khóa néo dây cỡ dây 120 (kẹp dừng dây 5U-4mm)</v>
      </c>
      <c r="F743" s="341" t="str">
        <f>VLOOKUP(B743,DONGIA,DG!$D$6,0)</f>
        <v>cái</v>
      </c>
      <c r="G743" s="329">
        <v>1</v>
      </c>
      <c r="H743" s="329">
        <f>VLOOKUP($B743,DONGIA,DG!$E$6,0)</f>
        <v>126000</v>
      </c>
      <c r="I743" s="329"/>
      <c r="J743" s="329"/>
      <c r="K743" s="329">
        <f>VLOOKUP($B743,DONGIA,DG!$F$6,0)</f>
        <v>0</v>
      </c>
      <c r="L743" s="329"/>
      <c r="M743" s="329">
        <f>VLOOKUP($B743,DONGIA,DG!$G$6,0)</f>
        <v>0</v>
      </c>
      <c r="N743" s="329">
        <f>$G743*H743</f>
        <v>126000</v>
      </c>
      <c r="O743" s="329">
        <f t="shared" ref="O743:S744" si="617">$G743*I743</f>
        <v>0</v>
      </c>
      <c r="P743" s="329">
        <f t="shared" si="617"/>
        <v>0</v>
      </c>
      <c r="Q743" s="329">
        <f t="shared" si="617"/>
        <v>0</v>
      </c>
      <c r="R743" s="329">
        <f t="shared" si="617"/>
        <v>0</v>
      </c>
      <c r="S743" s="329">
        <f t="shared" si="617"/>
        <v>0</v>
      </c>
      <c r="U743" s="329">
        <f>U$741*$G743</f>
        <v>0</v>
      </c>
      <c r="V743" s="329">
        <f t="shared" ref="V743:AB744" si="618">V$741*$G743</f>
        <v>0</v>
      </c>
      <c r="W743" s="329">
        <f t="shared" si="618"/>
        <v>0</v>
      </c>
      <c r="X743" s="329">
        <f t="shared" si="618"/>
        <v>0</v>
      </c>
      <c r="Y743" s="329">
        <f t="shared" si="618"/>
        <v>0</v>
      </c>
      <c r="Z743" s="329">
        <f t="shared" si="618"/>
        <v>0</v>
      </c>
      <c r="AA743" s="329">
        <f t="shared" si="618"/>
        <v>0</v>
      </c>
      <c r="AB743" s="329">
        <f t="shared" si="618"/>
        <v>0</v>
      </c>
      <c r="AD743" s="332">
        <f t="shared" si="568"/>
        <v>0.5</v>
      </c>
      <c r="AE743" s="329">
        <f t="shared" si="569"/>
        <v>0</v>
      </c>
      <c r="AF743" s="329">
        <f t="shared" si="570"/>
        <v>0</v>
      </c>
      <c r="AG743" s="329">
        <f t="shared" si="570"/>
        <v>0</v>
      </c>
      <c r="AH743" s="329">
        <f t="shared" si="570"/>
        <v>0</v>
      </c>
      <c r="AI743" s="329">
        <f t="shared" si="571"/>
        <v>0</v>
      </c>
      <c r="AJ743" s="329">
        <f t="shared" si="571"/>
        <v>0</v>
      </c>
      <c r="AK743" s="329">
        <f t="shared" si="571"/>
        <v>0</v>
      </c>
      <c r="AL743" s="329">
        <f t="shared" si="572"/>
        <v>0</v>
      </c>
    </row>
    <row r="744" spans="1:38" s="332" customFormat="1">
      <c r="A744" s="356"/>
      <c r="B744" s="356" t="s">
        <v>111</v>
      </c>
      <c r="C744" s="355">
        <f>IF(G744&lt;&gt;0,$C$741,)</f>
        <v>0</v>
      </c>
      <c r="D744" s="341">
        <f>VLOOKUP(B744,DONGIA,DG!$B$6,0)</f>
        <v>0</v>
      </c>
      <c r="E744" s="340" t="str">
        <f>VLOOKUP(B744,DONGIA,DG!$C$6,0)</f>
        <v>Boulon mắt 16x300+ long đền vuông D18-50x50x3/Zn</v>
      </c>
      <c r="F744" s="341" t="str">
        <f>VLOOKUP(B744,DONGIA,DG!$D$6,0)</f>
        <v>bộ</v>
      </c>
      <c r="G744" s="329">
        <v>1</v>
      </c>
      <c r="H744" s="329">
        <f>VLOOKUP($B744,DONGIA,DG!$E$6,0)</f>
        <v>31000</v>
      </c>
      <c r="I744" s="329"/>
      <c r="J744" s="329"/>
      <c r="K744" s="329">
        <f>VLOOKUP($B744,DONGIA,DG!$F$6,0)</f>
        <v>0</v>
      </c>
      <c r="L744" s="329"/>
      <c r="M744" s="329">
        <f>VLOOKUP($B744,DONGIA,DG!$G$6,0)</f>
        <v>0</v>
      </c>
      <c r="N744" s="329">
        <f>$G744*H744</f>
        <v>31000</v>
      </c>
      <c r="O744" s="329">
        <f t="shared" si="617"/>
        <v>0</v>
      </c>
      <c r="P744" s="329">
        <f t="shared" si="617"/>
        <v>0</v>
      </c>
      <c r="Q744" s="329">
        <f t="shared" si="617"/>
        <v>0</v>
      </c>
      <c r="R744" s="329">
        <f t="shared" si="617"/>
        <v>0</v>
      </c>
      <c r="S744" s="329">
        <f t="shared" si="617"/>
        <v>0</v>
      </c>
      <c r="U744" s="329">
        <f>U$741*$G744</f>
        <v>0</v>
      </c>
      <c r="V744" s="329">
        <f t="shared" si="618"/>
        <v>0</v>
      </c>
      <c r="W744" s="329">
        <f t="shared" si="618"/>
        <v>0</v>
      </c>
      <c r="X744" s="329">
        <f t="shared" si="618"/>
        <v>0</v>
      </c>
      <c r="Y744" s="329">
        <f t="shared" si="618"/>
        <v>0</v>
      </c>
      <c r="Z744" s="329">
        <f t="shared" si="618"/>
        <v>0</v>
      </c>
      <c r="AA744" s="329">
        <f t="shared" si="618"/>
        <v>0</v>
      </c>
      <c r="AB744" s="329">
        <f t="shared" si="618"/>
        <v>0</v>
      </c>
      <c r="AD744" s="332">
        <f t="shared" si="568"/>
        <v>0.3</v>
      </c>
      <c r="AE744" s="329">
        <f t="shared" si="569"/>
        <v>0</v>
      </c>
      <c r="AF744" s="329">
        <f t="shared" si="570"/>
        <v>0</v>
      </c>
      <c r="AG744" s="329">
        <f t="shared" si="570"/>
        <v>0</v>
      </c>
      <c r="AH744" s="329">
        <f t="shared" si="570"/>
        <v>0</v>
      </c>
      <c r="AI744" s="329">
        <f t="shared" si="571"/>
        <v>0</v>
      </c>
      <c r="AJ744" s="329">
        <f t="shared" si="571"/>
        <v>0</v>
      </c>
      <c r="AK744" s="329">
        <f t="shared" si="571"/>
        <v>0</v>
      </c>
      <c r="AL744" s="329">
        <f t="shared" si="572"/>
        <v>0</v>
      </c>
    </row>
    <row r="745" spans="1:38">
      <c r="A745" s="618" t="s">
        <v>404</v>
      </c>
      <c r="B745" s="618"/>
      <c r="C745" s="619">
        <f>IF(G745&lt;&gt;0,1,)</f>
        <v>1</v>
      </c>
      <c r="D745" s="622"/>
      <c r="E745" s="733" t="s">
        <v>1704</v>
      </c>
      <c r="F745" s="622" t="s">
        <v>24</v>
      </c>
      <c r="G745" s="622">
        <f>U745</f>
        <v>425</v>
      </c>
      <c r="H745" s="623"/>
      <c r="I745" s="623"/>
      <c r="J745" s="623"/>
      <c r="K745" s="623"/>
      <c r="L745" s="623"/>
      <c r="M745" s="623"/>
      <c r="N745" s="623">
        <f t="shared" ref="N745:S745" si="619">SUM(N747:N748)</f>
        <v>255000</v>
      </c>
      <c r="O745" s="623">
        <f t="shared" si="619"/>
        <v>0</v>
      </c>
      <c r="P745" s="623">
        <f t="shared" si="619"/>
        <v>0</v>
      </c>
      <c r="Q745" s="623">
        <f t="shared" si="619"/>
        <v>49616</v>
      </c>
      <c r="R745" s="623">
        <f t="shared" si="619"/>
        <v>0</v>
      </c>
      <c r="S745" s="623">
        <f t="shared" si="619"/>
        <v>0</v>
      </c>
      <c r="U745" s="623">
        <f>SUM(V745:AB745)</f>
        <v>425</v>
      </c>
      <c r="V745" s="623">
        <f>IFERROR(HLOOKUP($A745,BK3P,V$3,0),)</f>
        <v>425</v>
      </c>
      <c r="W745" s="623">
        <f>IFERROR(HLOOKUP($A745,BK3P,W$3,0),)</f>
        <v>0</v>
      </c>
      <c r="X745" s="623">
        <f>IFERROR(HLOOKUP($A745,BK3P,X$3,0),)</f>
        <v>0</v>
      </c>
      <c r="Y745" s="623">
        <f>IFERROR(HLOOKUP($A745,BK1P,Y$3,0),)</f>
        <v>0</v>
      </c>
      <c r="Z745" s="623">
        <f>IFERROR(HLOOKUP($A745,BK1P,Z$3,0),)</f>
        <v>0</v>
      </c>
      <c r="AA745" s="623">
        <f>IFERROR(HLOOKUP($A745,BK1P,AA$3,0),)</f>
        <v>0</v>
      </c>
      <c r="AB745" s="623">
        <f>IFERROR(HLOOKUP($A745,BKHT,AB$3,0),)</f>
        <v>0</v>
      </c>
      <c r="AD745" s="405">
        <f t="shared" si="568"/>
        <v>0</v>
      </c>
      <c r="AE745" s="525">
        <f t="shared" si="569"/>
        <v>0</v>
      </c>
      <c r="AF745" s="525">
        <f t="shared" si="570"/>
        <v>0</v>
      </c>
      <c r="AG745" s="525">
        <f t="shared" si="570"/>
        <v>0</v>
      </c>
      <c r="AH745" s="525">
        <f t="shared" si="570"/>
        <v>0</v>
      </c>
      <c r="AI745" s="525">
        <f t="shared" si="571"/>
        <v>0</v>
      </c>
      <c r="AJ745" s="525">
        <f t="shared" si="571"/>
        <v>0</v>
      </c>
      <c r="AK745" s="525">
        <f t="shared" si="571"/>
        <v>0</v>
      </c>
      <c r="AL745" s="525">
        <f t="shared" si="572"/>
        <v>0</v>
      </c>
    </row>
    <row r="746" spans="1:38" s="542" customFormat="1">
      <c r="A746" s="624"/>
      <c r="B746" s="624"/>
      <c r="C746" s="625">
        <f>C745</f>
        <v>1</v>
      </c>
      <c r="D746" s="544"/>
      <c r="E746" s="734" t="s">
        <v>1659</v>
      </c>
      <c r="F746" s="544"/>
      <c r="G746" s="545"/>
      <c r="H746" s="545"/>
      <c r="I746" s="545"/>
      <c r="J746" s="545"/>
      <c r="K746" s="545"/>
      <c r="L746" s="545"/>
      <c r="M746" s="545"/>
      <c r="N746" s="545"/>
      <c r="O746" s="545"/>
      <c r="P746" s="545"/>
      <c r="Q746" s="545"/>
      <c r="R746" s="545"/>
      <c r="S746" s="545"/>
      <c r="U746" s="545"/>
      <c r="V746" s="545"/>
      <c r="W746" s="545"/>
      <c r="X746" s="545"/>
      <c r="Y746" s="545"/>
      <c r="Z746" s="545"/>
      <c r="AA746" s="545"/>
      <c r="AB746" s="545"/>
      <c r="AD746" s="405">
        <f t="shared" si="568"/>
        <v>0</v>
      </c>
      <c r="AE746" s="525">
        <f t="shared" si="569"/>
        <v>0</v>
      </c>
      <c r="AF746" s="525">
        <f t="shared" si="570"/>
        <v>0</v>
      </c>
      <c r="AG746" s="525">
        <f t="shared" si="570"/>
        <v>0</v>
      </c>
      <c r="AH746" s="525">
        <f t="shared" si="570"/>
        <v>0</v>
      </c>
      <c r="AI746" s="525">
        <f t="shared" si="571"/>
        <v>0</v>
      </c>
      <c r="AJ746" s="525">
        <f t="shared" si="571"/>
        <v>0</v>
      </c>
      <c r="AK746" s="525">
        <f t="shared" si="571"/>
        <v>0</v>
      </c>
      <c r="AL746" s="525">
        <f t="shared" si="572"/>
        <v>0</v>
      </c>
    </row>
    <row r="747" spans="1:38">
      <c r="A747" s="618"/>
      <c r="B747" s="618" t="s">
        <v>404</v>
      </c>
      <c r="C747" s="619">
        <f>IF(G747&lt;&gt;0,$C$745,)</f>
        <v>1</v>
      </c>
      <c r="D747" s="523" t="str">
        <f>VLOOKUP(B747,DONGIA,DG!$B$6,0)</f>
        <v>D3.1115</v>
      </c>
      <c r="E747" s="666" t="str">
        <f>VLOOKUP(B747,DONGIA,DG!$C$6,0)</f>
        <v>Sứ đứng 24KV, đường rò 540mm</v>
      </c>
      <c r="F747" s="523" t="str">
        <f>VLOOKUP(B747,DONGIA,DG!$D$6,0)</f>
        <v>cái</v>
      </c>
      <c r="G747" s="525">
        <v>1</v>
      </c>
      <c r="H747" s="525">
        <f>VLOOKUP($B747,DONGIA,DG!$E$6,0)</f>
        <v>195000</v>
      </c>
      <c r="I747" s="525"/>
      <c r="J747" s="525"/>
      <c r="K747" s="525">
        <f>VLOOKUP($B747,DONGIA,DG!$F$6,0)</f>
        <v>49616</v>
      </c>
      <c r="L747" s="525"/>
      <c r="M747" s="525">
        <f>VLOOKUP($B747,DONGIA,DG!$G$6,0)</f>
        <v>0</v>
      </c>
      <c r="N747" s="525">
        <f>$G747*H747</f>
        <v>195000</v>
      </c>
      <c r="O747" s="525">
        <f t="shared" ref="O747:S748" si="620">$G747*I747</f>
        <v>0</v>
      </c>
      <c r="P747" s="525">
        <f t="shared" si="620"/>
        <v>0</v>
      </c>
      <c r="Q747" s="525">
        <f t="shared" si="620"/>
        <v>49616</v>
      </c>
      <c r="R747" s="525">
        <f t="shared" si="620"/>
        <v>0</v>
      </c>
      <c r="S747" s="525">
        <f t="shared" si="620"/>
        <v>0</v>
      </c>
      <c r="U747" s="525">
        <f>U$745*$G747</f>
        <v>425</v>
      </c>
      <c r="V747" s="525">
        <f t="shared" ref="V747:AA748" si="621">V$745*$G747</f>
        <v>425</v>
      </c>
      <c r="W747" s="525">
        <f t="shared" si="621"/>
        <v>0</v>
      </c>
      <c r="X747" s="525">
        <f t="shared" si="621"/>
        <v>0</v>
      </c>
      <c r="Y747" s="525">
        <f t="shared" si="621"/>
        <v>0</v>
      </c>
      <c r="Z747" s="525">
        <f t="shared" si="621"/>
        <v>0</v>
      </c>
      <c r="AA747" s="525">
        <f t="shared" si="621"/>
        <v>0</v>
      </c>
      <c r="AB747" s="525"/>
      <c r="AD747" s="405">
        <f t="shared" si="568"/>
        <v>4</v>
      </c>
      <c r="AE747" s="525">
        <f t="shared" si="569"/>
        <v>1700</v>
      </c>
      <c r="AF747" s="525">
        <f t="shared" si="570"/>
        <v>1700</v>
      </c>
      <c r="AG747" s="525">
        <f t="shared" si="570"/>
        <v>0</v>
      </c>
      <c r="AH747" s="525">
        <f t="shared" si="570"/>
        <v>0</v>
      </c>
      <c r="AI747" s="525">
        <f t="shared" si="571"/>
        <v>0</v>
      </c>
      <c r="AJ747" s="525">
        <f t="shared" si="571"/>
        <v>0</v>
      </c>
      <c r="AK747" s="525">
        <f t="shared" si="571"/>
        <v>0</v>
      </c>
      <c r="AL747" s="525">
        <f t="shared" si="572"/>
        <v>0</v>
      </c>
    </row>
    <row r="748" spans="1:38">
      <c r="A748" s="618"/>
      <c r="B748" s="618" t="s">
        <v>274</v>
      </c>
      <c r="C748" s="619">
        <f>IF(G748&lt;&gt;0,$C$745,)</f>
        <v>1</v>
      </c>
      <c r="D748" s="523">
        <f>VLOOKUP(B748,DONGIA,DG!$B$6,0)</f>
        <v>0</v>
      </c>
      <c r="E748" s="666" t="str">
        <f>VLOOKUP(B748,DONGIA,DG!$C$6,0)</f>
        <v>Chân sứ đứng 24kV</v>
      </c>
      <c r="F748" s="523" t="str">
        <f>VLOOKUP(B748,DONGIA,DG!$D$6,0)</f>
        <v>cái</v>
      </c>
      <c r="G748" s="525">
        <v>1</v>
      </c>
      <c r="H748" s="525">
        <f>VLOOKUP($B748,DONGIA,DG!$E$6,0)</f>
        <v>60000</v>
      </c>
      <c r="I748" s="525"/>
      <c r="J748" s="525"/>
      <c r="K748" s="525">
        <f>VLOOKUP($B748,DONGIA,DG!$F$6,0)</f>
        <v>0</v>
      </c>
      <c r="L748" s="525"/>
      <c r="M748" s="525">
        <f>VLOOKUP($B748,DONGIA,DG!$G$6,0)</f>
        <v>0</v>
      </c>
      <c r="N748" s="525">
        <f>$G748*H748</f>
        <v>60000</v>
      </c>
      <c r="O748" s="525">
        <f t="shared" si="620"/>
        <v>0</v>
      </c>
      <c r="P748" s="525">
        <f t="shared" si="620"/>
        <v>0</v>
      </c>
      <c r="Q748" s="525">
        <f t="shared" si="620"/>
        <v>0</v>
      </c>
      <c r="R748" s="525">
        <f t="shared" si="620"/>
        <v>0</v>
      </c>
      <c r="S748" s="525">
        <f t="shared" si="620"/>
        <v>0</v>
      </c>
      <c r="U748" s="525">
        <f>U$745*$G748</f>
        <v>425</v>
      </c>
      <c r="V748" s="525">
        <f t="shared" si="621"/>
        <v>425</v>
      </c>
      <c r="W748" s="525">
        <f t="shared" si="621"/>
        <v>0</v>
      </c>
      <c r="X748" s="525">
        <f t="shared" si="621"/>
        <v>0</v>
      </c>
      <c r="Y748" s="525">
        <f t="shared" si="621"/>
        <v>0</v>
      </c>
      <c r="Z748" s="525">
        <f t="shared" si="621"/>
        <v>0</v>
      </c>
      <c r="AA748" s="525">
        <f t="shared" si="621"/>
        <v>0</v>
      </c>
      <c r="AB748" s="525"/>
      <c r="AD748" s="405">
        <f t="shared" si="568"/>
        <v>3</v>
      </c>
      <c r="AE748" s="525">
        <f t="shared" si="569"/>
        <v>1275</v>
      </c>
      <c r="AF748" s="525">
        <f t="shared" si="570"/>
        <v>1275</v>
      </c>
      <c r="AG748" s="525">
        <f t="shared" si="570"/>
        <v>0</v>
      </c>
      <c r="AH748" s="525">
        <f t="shared" si="570"/>
        <v>0</v>
      </c>
      <c r="AI748" s="525">
        <f t="shared" si="571"/>
        <v>0</v>
      </c>
      <c r="AJ748" s="525">
        <f t="shared" si="571"/>
        <v>0</v>
      </c>
      <c r="AK748" s="525">
        <f t="shared" si="571"/>
        <v>0</v>
      </c>
      <c r="AL748" s="525">
        <f t="shared" si="572"/>
        <v>0</v>
      </c>
    </row>
    <row r="749" spans="1:38">
      <c r="A749" s="618" t="s">
        <v>1501</v>
      </c>
      <c r="B749" s="618"/>
      <c r="C749" s="619">
        <f>IF(G749&lt;&gt;0,1,)</f>
        <v>1</v>
      </c>
      <c r="D749" s="622"/>
      <c r="E749" s="733" t="s">
        <v>1705</v>
      </c>
      <c r="F749" s="622" t="s">
        <v>24</v>
      </c>
      <c r="G749" s="622">
        <f>U749</f>
        <v>39</v>
      </c>
      <c r="H749" s="623"/>
      <c r="I749" s="623"/>
      <c r="J749" s="623"/>
      <c r="K749" s="623"/>
      <c r="L749" s="623"/>
      <c r="M749" s="623"/>
      <c r="N749" s="623">
        <f t="shared" ref="N749:S749" si="622">SUM(N751:N753)</f>
        <v>366000</v>
      </c>
      <c r="O749" s="623">
        <f t="shared" si="622"/>
        <v>0</v>
      </c>
      <c r="P749" s="623">
        <f t="shared" si="622"/>
        <v>0</v>
      </c>
      <c r="Q749" s="623">
        <f t="shared" si="622"/>
        <v>49616</v>
      </c>
      <c r="R749" s="623">
        <f t="shared" si="622"/>
        <v>0</v>
      </c>
      <c r="S749" s="623">
        <f t="shared" si="622"/>
        <v>0</v>
      </c>
      <c r="U749" s="623">
        <f>SUM(V749:AB749)</f>
        <v>39</v>
      </c>
      <c r="V749" s="623">
        <f>IFERROR(HLOOKUP($A749,BK3P,V$3,0),)</f>
        <v>39</v>
      </c>
      <c r="W749" s="623">
        <f>IFERROR(HLOOKUP($A749,BK3P,W$3,0),)</f>
        <v>0</v>
      </c>
      <c r="X749" s="623">
        <f>IFERROR(HLOOKUP($A749,BK3P,X$3,0),)</f>
        <v>0</v>
      </c>
      <c r="Y749" s="623">
        <f>IFERROR(HLOOKUP($A749,BK1P,Y$3,0),)</f>
        <v>0</v>
      </c>
      <c r="Z749" s="623">
        <f>IFERROR(HLOOKUP($A749,BK1P,Z$3,0),)</f>
        <v>0</v>
      </c>
      <c r="AA749" s="623">
        <f>IFERROR(HLOOKUP($A749,BK1P,AA$3,0),)</f>
        <v>0</v>
      </c>
      <c r="AB749" s="623">
        <f>IFERROR(HLOOKUP($A749,BKHT,AB$3,0),)</f>
        <v>0</v>
      </c>
      <c r="AD749" s="405">
        <f t="shared" si="568"/>
        <v>0</v>
      </c>
      <c r="AE749" s="525">
        <f t="shared" si="569"/>
        <v>0</v>
      </c>
      <c r="AF749" s="525">
        <f t="shared" si="570"/>
        <v>0</v>
      </c>
      <c r="AG749" s="525">
        <f t="shared" si="570"/>
        <v>0</v>
      </c>
      <c r="AH749" s="525">
        <f t="shared" si="570"/>
        <v>0</v>
      </c>
      <c r="AI749" s="525">
        <f t="shared" si="571"/>
        <v>0</v>
      </c>
      <c r="AJ749" s="525">
        <f t="shared" si="571"/>
        <v>0</v>
      </c>
      <c r="AK749" s="525">
        <f t="shared" si="571"/>
        <v>0</v>
      </c>
      <c r="AL749" s="525">
        <f t="shared" si="572"/>
        <v>0</v>
      </c>
    </row>
    <row r="750" spans="1:38" s="542" customFormat="1">
      <c r="A750" s="624"/>
      <c r="B750" s="624"/>
      <c r="C750" s="625">
        <f>C749</f>
        <v>1</v>
      </c>
      <c r="D750" s="544"/>
      <c r="E750" s="734" t="s">
        <v>1659</v>
      </c>
      <c r="F750" s="544"/>
      <c r="G750" s="545"/>
      <c r="H750" s="545"/>
      <c r="I750" s="545"/>
      <c r="J750" s="545"/>
      <c r="K750" s="545"/>
      <c r="L750" s="545"/>
      <c r="M750" s="545"/>
      <c r="N750" s="545"/>
      <c r="O750" s="545"/>
      <c r="P750" s="545"/>
      <c r="Q750" s="545"/>
      <c r="R750" s="545"/>
      <c r="S750" s="545"/>
      <c r="U750" s="545"/>
      <c r="V750" s="545"/>
      <c r="W750" s="545"/>
      <c r="X750" s="545"/>
      <c r="Y750" s="545"/>
      <c r="Z750" s="545"/>
      <c r="AA750" s="545"/>
      <c r="AB750" s="545"/>
      <c r="AD750" s="405">
        <f t="shared" si="568"/>
        <v>0</v>
      </c>
      <c r="AE750" s="525">
        <f t="shared" si="569"/>
        <v>0</v>
      </c>
      <c r="AF750" s="525">
        <f t="shared" si="570"/>
        <v>0</v>
      </c>
      <c r="AG750" s="525">
        <f t="shared" si="570"/>
        <v>0</v>
      </c>
      <c r="AH750" s="525">
        <f t="shared" si="570"/>
        <v>0</v>
      </c>
      <c r="AI750" s="525">
        <f t="shared" si="571"/>
        <v>0</v>
      </c>
      <c r="AJ750" s="525">
        <f t="shared" si="571"/>
        <v>0</v>
      </c>
      <c r="AK750" s="525">
        <f t="shared" si="571"/>
        <v>0</v>
      </c>
      <c r="AL750" s="525">
        <f t="shared" si="572"/>
        <v>0</v>
      </c>
    </row>
    <row r="751" spans="1:38">
      <c r="A751" s="618"/>
      <c r="B751" s="618" t="s">
        <v>404</v>
      </c>
      <c r="C751" s="619">
        <f>IF(G751&lt;&gt;0,$C$749,)</f>
        <v>1</v>
      </c>
      <c r="D751" s="523" t="str">
        <f>VLOOKUP(B751,DONGIA,DG!$B$6,0)</f>
        <v>D3.1115</v>
      </c>
      <c r="E751" s="666" t="str">
        <f>VLOOKUP(B751,DONGIA,DG!$C$6,0)</f>
        <v>Sứ đứng 24KV, đường rò 540mm</v>
      </c>
      <c r="F751" s="523" t="str">
        <f>VLOOKUP(B751,DONGIA,DG!$D$6,0)</f>
        <v>cái</v>
      </c>
      <c r="G751" s="525">
        <v>1</v>
      </c>
      <c r="H751" s="525">
        <f>VLOOKUP($B751,DONGIA,DG!$E$6,0)</f>
        <v>195000</v>
      </c>
      <c r="I751" s="525"/>
      <c r="J751" s="525"/>
      <c r="K751" s="525">
        <f>VLOOKUP($B751,DONGIA,DG!$F$6,0)</f>
        <v>49616</v>
      </c>
      <c r="L751" s="525"/>
      <c r="M751" s="525">
        <f>VLOOKUP($B751,DONGIA,DG!$G$6,0)</f>
        <v>0</v>
      </c>
      <c r="N751" s="525">
        <f>$G751*H751</f>
        <v>195000</v>
      </c>
      <c r="O751" s="525">
        <f t="shared" ref="O751:S753" si="623">$G751*I751</f>
        <v>0</v>
      </c>
      <c r="P751" s="525">
        <f t="shared" si="623"/>
        <v>0</v>
      </c>
      <c r="Q751" s="525">
        <f t="shared" si="623"/>
        <v>49616</v>
      </c>
      <c r="R751" s="525">
        <f t="shared" si="623"/>
        <v>0</v>
      </c>
      <c r="S751" s="525">
        <f t="shared" si="623"/>
        <v>0</v>
      </c>
      <c r="U751" s="525">
        <f>U$749*$G751</f>
        <v>39</v>
      </c>
      <c r="V751" s="525">
        <f t="shared" ref="V751:AB751" si="624">V$749*$G751</f>
        <v>39</v>
      </c>
      <c r="W751" s="525">
        <f t="shared" si="624"/>
        <v>0</v>
      </c>
      <c r="X751" s="525">
        <f t="shared" si="624"/>
        <v>0</v>
      </c>
      <c r="Y751" s="525">
        <f t="shared" si="624"/>
        <v>0</v>
      </c>
      <c r="Z751" s="525">
        <f t="shared" si="624"/>
        <v>0</v>
      </c>
      <c r="AA751" s="525">
        <f t="shared" si="624"/>
        <v>0</v>
      </c>
      <c r="AB751" s="525">
        <f t="shared" si="624"/>
        <v>0</v>
      </c>
      <c r="AD751" s="405">
        <f t="shared" si="568"/>
        <v>4</v>
      </c>
      <c r="AE751" s="525">
        <f t="shared" si="569"/>
        <v>156</v>
      </c>
      <c r="AF751" s="525">
        <f t="shared" si="570"/>
        <v>156</v>
      </c>
      <c r="AG751" s="525">
        <f t="shared" si="570"/>
        <v>0</v>
      </c>
      <c r="AH751" s="525">
        <f t="shared" si="570"/>
        <v>0</v>
      </c>
      <c r="AI751" s="525">
        <f t="shared" si="571"/>
        <v>0</v>
      </c>
      <c r="AJ751" s="525">
        <f t="shared" si="571"/>
        <v>0</v>
      </c>
      <c r="AK751" s="525">
        <f t="shared" si="571"/>
        <v>0</v>
      </c>
      <c r="AL751" s="525">
        <f t="shared" si="572"/>
        <v>0</v>
      </c>
    </row>
    <row r="752" spans="1:38">
      <c r="A752" s="618"/>
      <c r="B752" s="618" t="s">
        <v>270</v>
      </c>
      <c r="C752" s="619">
        <f>IF(G752&lt;&gt;0,$C$749,)</f>
        <v>1</v>
      </c>
      <c r="D752" s="523">
        <f>VLOOKUP(B752,DONGIA,DG!$B$6,0)</f>
        <v>0</v>
      </c>
      <c r="E752" s="666" t="str">
        <f>VLOOKUP(B752,DONGIA,DG!$C$6,0)</f>
        <v>Chân sứ đỉnh thẳng dài 870 dày 4mm</v>
      </c>
      <c r="F752" s="523" t="str">
        <f>VLOOKUP(B752,DONGIA,DG!$D$6,0)</f>
        <v>cái</v>
      </c>
      <c r="G752" s="525">
        <v>1</v>
      </c>
      <c r="H752" s="525">
        <f>VLOOKUP($B752,DONGIA,DG!$E$6,0)</f>
        <v>115000</v>
      </c>
      <c r="I752" s="525"/>
      <c r="J752" s="525"/>
      <c r="K752" s="525">
        <f>VLOOKUP($B752,DONGIA,DG!$F$6,0)</f>
        <v>0</v>
      </c>
      <c r="L752" s="525"/>
      <c r="M752" s="525">
        <f>VLOOKUP($B752,DONGIA,DG!$G$6,0)</f>
        <v>0</v>
      </c>
      <c r="N752" s="525">
        <f>$G752*H752</f>
        <v>115000</v>
      </c>
      <c r="O752" s="525">
        <f t="shared" si="623"/>
        <v>0</v>
      </c>
      <c r="P752" s="525">
        <f t="shared" si="623"/>
        <v>0</v>
      </c>
      <c r="Q752" s="525">
        <f t="shared" si="623"/>
        <v>0</v>
      </c>
      <c r="R752" s="525">
        <f t="shared" si="623"/>
        <v>0</v>
      </c>
      <c r="S752" s="525">
        <f t="shared" si="623"/>
        <v>0</v>
      </c>
      <c r="U752" s="525">
        <f t="shared" ref="U752:AB753" si="625">U$749*$G752</f>
        <v>39</v>
      </c>
      <c r="V752" s="525">
        <f t="shared" si="625"/>
        <v>39</v>
      </c>
      <c r="W752" s="525">
        <f t="shared" si="625"/>
        <v>0</v>
      </c>
      <c r="X752" s="525">
        <f t="shared" si="625"/>
        <v>0</v>
      </c>
      <c r="Y752" s="525">
        <f t="shared" si="625"/>
        <v>0</v>
      </c>
      <c r="Z752" s="525">
        <f t="shared" si="625"/>
        <v>0</v>
      </c>
      <c r="AA752" s="525">
        <f t="shared" si="625"/>
        <v>0</v>
      </c>
      <c r="AB752" s="525">
        <f t="shared" si="625"/>
        <v>0</v>
      </c>
      <c r="AD752" s="405">
        <f t="shared" si="568"/>
        <v>5</v>
      </c>
      <c r="AE752" s="525">
        <f t="shared" si="569"/>
        <v>195</v>
      </c>
      <c r="AF752" s="525">
        <f t="shared" si="570"/>
        <v>195</v>
      </c>
      <c r="AG752" s="525">
        <f t="shared" si="570"/>
        <v>0</v>
      </c>
      <c r="AH752" s="525">
        <f t="shared" si="570"/>
        <v>0</v>
      </c>
      <c r="AI752" s="525">
        <f t="shared" si="571"/>
        <v>0</v>
      </c>
      <c r="AJ752" s="525">
        <f t="shared" si="571"/>
        <v>0</v>
      </c>
      <c r="AK752" s="525">
        <f t="shared" si="571"/>
        <v>0</v>
      </c>
      <c r="AL752" s="525">
        <f t="shared" si="572"/>
        <v>0</v>
      </c>
    </row>
    <row r="753" spans="1:38">
      <c r="A753" s="618"/>
      <c r="B753" s="618" t="s">
        <v>33</v>
      </c>
      <c r="C753" s="619">
        <f>IF(G753&lt;&gt;0,$C$749,)</f>
        <v>1</v>
      </c>
      <c r="D753" s="523">
        <f>VLOOKUP(B753,DONGIA,DG!$B$6,0)</f>
        <v>0</v>
      </c>
      <c r="E753" s="666" t="str">
        <f>VLOOKUP(B753,DONGIA,DG!$C$6,0)</f>
        <v>Boulon 16x250+ 2 long đền vuông D18-50x50x3/Zn</v>
      </c>
      <c r="F753" s="523" t="str">
        <f>VLOOKUP(B753,DONGIA,DG!$D$6,0)</f>
        <v>bộ</v>
      </c>
      <c r="G753" s="525">
        <v>2</v>
      </c>
      <c r="H753" s="525">
        <f>VLOOKUP($B753,DONGIA,DG!$E$6,0)</f>
        <v>28000</v>
      </c>
      <c r="I753" s="525"/>
      <c r="J753" s="525"/>
      <c r="K753" s="525">
        <f>VLOOKUP($B753,DONGIA,DG!$F$6,0)</f>
        <v>0</v>
      </c>
      <c r="L753" s="525"/>
      <c r="M753" s="525">
        <f>VLOOKUP($B753,DONGIA,DG!$G$6,0)</f>
        <v>0</v>
      </c>
      <c r="N753" s="525">
        <f>$G753*H753</f>
        <v>56000</v>
      </c>
      <c r="O753" s="525">
        <f t="shared" si="623"/>
        <v>0</v>
      </c>
      <c r="P753" s="525">
        <f t="shared" si="623"/>
        <v>0</v>
      </c>
      <c r="Q753" s="525">
        <f t="shared" si="623"/>
        <v>0</v>
      </c>
      <c r="R753" s="525">
        <f t="shared" si="623"/>
        <v>0</v>
      </c>
      <c r="S753" s="525">
        <f t="shared" si="623"/>
        <v>0</v>
      </c>
      <c r="U753" s="525">
        <f t="shared" si="625"/>
        <v>78</v>
      </c>
      <c r="V753" s="525">
        <f t="shared" si="625"/>
        <v>78</v>
      </c>
      <c r="W753" s="525">
        <f t="shared" si="625"/>
        <v>0</v>
      </c>
      <c r="X753" s="525">
        <f t="shared" si="625"/>
        <v>0</v>
      </c>
      <c r="Y753" s="525">
        <f t="shared" si="625"/>
        <v>0</v>
      </c>
      <c r="Z753" s="525">
        <f t="shared" si="625"/>
        <v>0</v>
      </c>
      <c r="AA753" s="525">
        <f t="shared" si="625"/>
        <v>0</v>
      </c>
      <c r="AB753" s="525">
        <f t="shared" si="625"/>
        <v>0</v>
      </c>
      <c r="AD753" s="405">
        <f t="shared" si="568"/>
        <v>0.23</v>
      </c>
      <c r="AE753" s="525">
        <f t="shared" si="569"/>
        <v>17.940000000000001</v>
      </c>
      <c r="AF753" s="525">
        <f t="shared" si="570"/>
        <v>17.940000000000001</v>
      </c>
      <c r="AG753" s="525">
        <f t="shared" si="570"/>
        <v>0</v>
      </c>
      <c r="AH753" s="525">
        <f t="shared" si="570"/>
        <v>0</v>
      </c>
      <c r="AI753" s="525">
        <f t="shared" si="571"/>
        <v>0</v>
      </c>
      <c r="AJ753" s="525">
        <f t="shared" si="571"/>
        <v>0</v>
      </c>
      <c r="AK753" s="525">
        <f t="shared" si="571"/>
        <v>0</v>
      </c>
      <c r="AL753" s="525">
        <f t="shared" si="572"/>
        <v>0</v>
      </c>
    </row>
    <row r="754" spans="1:38">
      <c r="A754" s="618" t="s">
        <v>1502</v>
      </c>
      <c r="B754" s="618"/>
      <c r="C754" s="619">
        <f>IF(G754&lt;&gt;0,1,)</f>
        <v>1</v>
      </c>
      <c r="D754" s="622"/>
      <c r="E754" s="733" t="s">
        <v>1706</v>
      </c>
      <c r="F754" s="622" t="s">
        <v>24</v>
      </c>
      <c r="G754" s="622">
        <f>U754</f>
        <v>27</v>
      </c>
      <c r="H754" s="623"/>
      <c r="I754" s="623"/>
      <c r="J754" s="623"/>
      <c r="K754" s="623"/>
      <c r="L754" s="623"/>
      <c r="M754" s="623"/>
      <c r="N754" s="623">
        <f t="shared" ref="N754:S754" si="626">SUM(N756:N758)</f>
        <v>684000</v>
      </c>
      <c r="O754" s="623">
        <f t="shared" si="626"/>
        <v>0</v>
      </c>
      <c r="P754" s="623">
        <f t="shared" si="626"/>
        <v>0</v>
      </c>
      <c r="Q754" s="623">
        <f t="shared" si="626"/>
        <v>99232</v>
      </c>
      <c r="R754" s="623">
        <f t="shared" si="626"/>
        <v>0</v>
      </c>
      <c r="S754" s="623">
        <f t="shared" si="626"/>
        <v>0</v>
      </c>
      <c r="U754" s="623">
        <f>SUM(V754:AB754)</f>
        <v>27</v>
      </c>
      <c r="V754" s="623">
        <f>IFERROR(HLOOKUP($A754,BK3P,V$3,0),)</f>
        <v>27</v>
      </c>
      <c r="W754" s="623">
        <f>IFERROR(HLOOKUP($A754,BK3P,W$3,0),)</f>
        <v>0</v>
      </c>
      <c r="X754" s="623">
        <f>IFERROR(HLOOKUP($A754,BK3P,X$3,0),)</f>
        <v>0</v>
      </c>
      <c r="Y754" s="623">
        <f>IFERROR(HLOOKUP($A754,BK1P,Y$3,0),)</f>
        <v>0</v>
      </c>
      <c r="Z754" s="623">
        <f>IFERROR(HLOOKUP($A754,BK1P,Z$3,0),)</f>
        <v>0</v>
      </c>
      <c r="AA754" s="623">
        <f>IFERROR(HLOOKUP($A754,BK1P,AA$3,0),)</f>
        <v>0</v>
      </c>
      <c r="AB754" s="623">
        <f>IFERROR(HLOOKUP($A754,BKHT,AB$3,0),)</f>
        <v>0</v>
      </c>
      <c r="AD754" s="405">
        <f t="shared" si="568"/>
        <v>0</v>
      </c>
      <c r="AE754" s="525">
        <f t="shared" si="569"/>
        <v>0</v>
      </c>
      <c r="AF754" s="525">
        <f t="shared" si="570"/>
        <v>0</v>
      </c>
      <c r="AG754" s="525">
        <f t="shared" si="570"/>
        <v>0</v>
      </c>
      <c r="AH754" s="525">
        <f t="shared" si="570"/>
        <v>0</v>
      </c>
      <c r="AI754" s="525">
        <f t="shared" si="571"/>
        <v>0</v>
      </c>
      <c r="AJ754" s="525">
        <f t="shared" si="571"/>
        <v>0</v>
      </c>
      <c r="AK754" s="525">
        <f t="shared" si="571"/>
        <v>0</v>
      </c>
      <c r="AL754" s="525">
        <f t="shared" si="572"/>
        <v>0</v>
      </c>
    </row>
    <row r="755" spans="1:38" s="542" customFormat="1">
      <c r="A755" s="624"/>
      <c r="B755" s="624"/>
      <c r="C755" s="625">
        <f>C754</f>
        <v>1</v>
      </c>
      <c r="D755" s="544"/>
      <c r="E755" s="734" t="s">
        <v>1659</v>
      </c>
      <c r="F755" s="544"/>
      <c r="G755" s="545"/>
      <c r="H755" s="545"/>
      <c r="I755" s="545"/>
      <c r="J755" s="545"/>
      <c r="K755" s="545"/>
      <c r="L755" s="545"/>
      <c r="M755" s="545"/>
      <c r="N755" s="545"/>
      <c r="O755" s="545"/>
      <c r="P755" s="545"/>
      <c r="Q755" s="545"/>
      <c r="R755" s="545"/>
      <c r="S755" s="545"/>
      <c r="U755" s="545"/>
      <c r="V755" s="545"/>
      <c r="W755" s="545"/>
      <c r="X755" s="545"/>
      <c r="Y755" s="545"/>
      <c r="Z755" s="545"/>
      <c r="AA755" s="545"/>
      <c r="AB755" s="545"/>
      <c r="AD755" s="405">
        <f t="shared" si="568"/>
        <v>0</v>
      </c>
      <c r="AE755" s="525">
        <f t="shared" si="569"/>
        <v>0</v>
      </c>
      <c r="AF755" s="525">
        <f t="shared" si="570"/>
        <v>0</v>
      </c>
      <c r="AG755" s="525">
        <f t="shared" si="570"/>
        <v>0</v>
      </c>
      <c r="AH755" s="525">
        <f t="shared" si="570"/>
        <v>0</v>
      </c>
      <c r="AI755" s="525">
        <f t="shared" si="571"/>
        <v>0</v>
      </c>
      <c r="AJ755" s="525">
        <f t="shared" si="571"/>
        <v>0</v>
      </c>
      <c r="AK755" s="525">
        <f t="shared" si="571"/>
        <v>0</v>
      </c>
      <c r="AL755" s="525">
        <f t="shared" si="572"/>
        <v>0</v>
      </c>
    </row>
    <row r="756" spans="1:38">
      <c r="A756" s="618"/>
      <c r="B756" s="618" t="s">
        <v>404</v>
      </c>
      <c r="C756" s="619">
        <f>IF(G756&lt;&gt;0,$C$754,)</f>
        <v>1</v>
      </c>
      <c r="D756" s="523" t="str">
        <f>VLOOKUP(B756,DONGIA,DG!$B$6,0)</f>
        <v>D3.1115</v>
      </c>
      <c r="E756" s="666" t="str">
        <f>VLOOKUP(B756,DONGIA,DG!$C$6,0)</f>
        <v>Sứ đứng 24KV, đường rò 540mm</v>
      </c>
      <c r="F756" s="523" t="str">
        <f>VLOOKUP(B756,DONGIA,DG!$D$6,0)</f>
        <v>cái</v>
      </c>
      <c r="G756" s="525">
        <v>2</v>
      </c>
      <c r="H756" s="525">
        <f>VLOOKUP($B756,DONGIA,DG!$E$6,0)</f>
        <v>195000</v>
      </c>
      <c r="I756" s="525"/>
      <c r="J756" s="525"/>
      <c r="K756" s="525">
        <f>VLOOKUP($B756,DONGIA,DG!$F$6,0)</f>
        <v>49616</v>
      </c>
      <c r="L756" s="525"/>
      <c r="M756" s="525">
        <f>VLOOKUP($B756,DONGIA,DG!$G$6,0)</f>
        <v>0</v>
      </c>
      <c r="N756" s="525">
        <f>$G756*H756</f>
        <v>390000</v>
      </c>
      <c r="O756" s="525">
        <f t="shared" ref="O756:S758" si="627">$G756*I756</f>
        <v>0</v>
      </c>
      <c r="P756" s="525">
        <f t="shared" si="627"/>
        <v>0</v>
      </c>
      <c r="Q756" s="525">
        <f t="shared" si="627"/>
        <v>99232</v>
      </c>
      <c r="R756" s="525">
        <f t="shared" si="627"/>
        <v>0</v>
      </c>
      <c r="S756" s="525">
        <f t="shared" si="627"/>
        <v>0</v>
      </c>
      <c r="U756" s="525">
        <f>U$754*$G756</f>
        <v>54</v>
      </c>
      <c r="V756" s="525">
        <f t="shared" ref="V756:AB756" si="628">V$754*$G756</f>
        <v>54</v>
      </c>
      <c r="W756" s="525">
        <f t="shared" si="628"/>
        <v>0</v>
      </c>
      <c r="X756" s="525">
        <f t="shared" si="628"/>
        <v>0</v>
      </c>
      <c r="Y756" s="525">
        <f t="shared" si="628"/>
        <v>0</v>
      </c>
      <c r="Z756" s="525">
        <f t="shared" si="628"/>
        <v>0</v>
      </c>
      <c r="AA756" s="525">
        <f t="shared" si="628"/>
        <v>0</v>
      </c>
      <c r="AB756" s="525">
        <f t="shared" si="628"/>
        <v>0</v>
      </c>
      <c r="AD756" s="405">
        <f t="shared" si="568"/>
        <v>4</v>
      </c>
      <c r="AE756" s="525">
        <f t="shared" si="569"/>
        <v>216</v>
      </c>
      <c r="AF756" s="525">
        <f t="shared" si="570"/>
        <v>216</v>
      </c>
      <c r="AG756" s="525">
        <f t="shared" si="570"/>
        <v>0</v>
      </c>
      <c r="AH756" s="525">
        <f t="shared" si="570"/>
        <v>0</v>
      </c>
      <c r="AI756" s="525">
        <f t="shared" si="571"/>
        <v>0</v>
      </c>
      <c r="AJ756" s="525">
        <f t="shared" si="571"/>
        <v>0</v>
      </c>
      <c r="AK756" s="525">
        <f t="shared" si="571"/>
        <v>0</v>
      </c>
      <c r="AL756" s="525">
        <f t="shared" si="572"/>
        <v>0</v>
      </c>
    </row>
    <row r="757" spans="1:38">
      <c r="A757" s="618"/>
      <c r="B757" s="618" t="s">
        <v>272</v>
      </c>
      <c r="C757" s="619">
        <f>IF(G757&lt;&gt;0,$C$754,)</f>
        <v>1</v>
      </c>
      <c r="D757" s="523">
        <f>VLOOKUP(B757,DONGIA,DG!$B$6,0)</f>
        <v>0</v>
      </c>
      <c r="E757" s="666" t="str">
        <f>VLOOKUP(B757,DONGIA,DG!$C$6,0)</f>
        <v>Chân sứ đỉnh cong dài 870 dày 4mm</v>
      </c>
      <c r="F757" s="523" t="str">
        <f>VLOOKUP(B757,DONGIA,DG!$D$6,0)</f>
        <v>cái</v>
      </c>
      <c r="G757" s="525">
        <v>2</v>
      </c>
      <c r="H757" s="525">
        <f>VLOOKUP($B757,DONGIA,DG!$E$6,0)</f>
        <v>117000</v>
      </c>
      <c r="I757" s="525"/>
      <c r="J757" s="525"/>
      <c r="K757" s="525">
        <f>VLOOKUP($B757,DONGIA,DG!$F$6,0)</f>
        <v>0</v>
      </c>
      <c r="L757" s="525"/>
      <c r="M757" s="525">
        <f>VLOOKUP($B757,DONGIA,DG!$G$6,0)</f>
        <v>0</v>
      </c>
      <c r="N757" s="525">
        <f>$G757*H757</f>
        <v>234000</v>
      </c>
      <c r="O757" s="525">
        <f t="shared" si="627"/>
        <v>0</v>
      </c>
      <c r="P757" s="525">
        <f t="shared" si="627"/>
        <v>0</v>
      </c>
      <c r="Q757" s="525">
        <f t="shared" si="627"/>
        <v>0</v>
      </c>
      <c r="R757" s="525">
        <f t="shared" si="627"/>
        <v>0</v>
      </c>
      <c r="S757" s="525">
        <f t="shared" si="627"/>
        <v>0</v>
      </c>
      <c r="U757" s="525">
        <f t="shared" ref="U757:AB758" si="629">U$754*$G757</f>
        <v>54</v>
      </c>
      <c r="V757" s="525">
        <f t="shared" si="629"/>
        <v>54</v>
      </c>
      <c r="W757" s="525">
        <f t="shared" si="629"/>
        <v>0</v>
      </c>
      <c r="X757" s="525">
        <f t="shared" si="629"/>
        <v>0</v>
      </c>
      <c r="Y757" s="525">
        <f t="shared" si="629"/>
        <v>0</v>
      </c>
      <c r="Z757" s="525">
        <f t="shared" si="629"/>
        <v>0</v>
      </c>
      <c r="AA757" s="525">
        <f t="shared" si="629"/>
        <v>0</v>
      </c>
      <c r="AB757" s="525">
        <f t="shared" si="629"/>
        <v>0</v>
      </c>
      <c r="AD757" s="405">
        <f t="shared" si="568"/>
        <v>5</v>
      </c>
      <c r="AE757" s="525">
        <f t="shared" si="569"/>
        <v>270</v>
      </c>
      <c r="AF757" s="525">
        <f t="shared" si="570"/>
        <v>270</v>
      </c>
      <c r="AG757" s="525">
        <f t="shared" si="570"/>
        <v>0</v>
      </c>
      <c r="AH757" s="525">
        <f t="shared" si="570"/>
        <v>0</v>
      </c>
      <c r="AI757" s="525">
        <f t="shared" si="571"/>
        <v>0</v>
      </c>
      <c r="AJ757" s="525">
        <f t="shared" si="571"/>
        <v>0</v>
      </c>
      <c r="AK757" s="525">
        <f t="shared" si="571"/>
        <v>0</v>
      </c>
      <c r="AL757" s="525">
        <f t="shared" si="572"/>
        <v>0</v>
      </c>
    </row>
    <row r="758" spans="1:38">
      <c r="A758" s="618"/>
      <c r="B758" s="618" t="s">
        <v>35</v>
      </c>
      <c r="C758" s="619">
        <f>IF(G758&lt;&gt;0,$C$754,)</f>
        <v>1</v>
      </c>
      <c r="D758" s="523">
        <f>VLOOKUP(B758,DONGIA,DG!$B$6,0)</f>
        <v>0</v>
      </c>
      <c r="E758" s="666" t="str">
        <f>VLOOKUP(B758,DONGIA,DG!$C$6,0)</f>
        <v>Boulon 16x300+ 2 long đền vuông D18-50x50x3/Zn</v>
      </c>
      <c r="F758" s="523" t="str">
        <f>VLOOKUP(B758,DONGIA,DG!$D$6,0)</f>
        <v>bộ</v>
      </c>
      <c r="G758" s="525">
        <v>2</v>
      </c>
      <c r="H758" s="525">
        <f>VLOOKUP($B758,DONGIA,DG!$E$6,0)</f>
        <v>30000</v>
      </c>
      <c r="I758" s="525"/>
      <c r="J758" s="525"/>
      <c r="K758" s="525">
        <f>VLOOKUP($B758,DONGIA,DG!$F$6,0)</f>
        <v>0</v>
      </c>
      <c r="L758" s="525"/>
      <c r="M758" s="525">
        <f>VLOOKUP($B758,DONGIA,DG!$G$6,0)</f>
        <v>0</v>
      </c>
      <c r="N758" s="525">
        <f>$G758*H758</f>
        <v>60000</v>
      </c>
      <c r="O758" s="525">
        <f t="shared" si="627"/>
        <v>0</v>
      </c>
      <c r="P758" s="525">
        <f t="shared" si="627"/>
        <v>0</v>
      </c>
      <c r="Q758" s="525">
        <f t="shared" si="627"/>
        <v>0</v>
      </c>
      <c r="R758" s="525">
        <f t="shared" si="627"/>
        <v>0</v>
      </c>
      <c r="S758" s="525">
        <f t="shared" si="627"/>
        <v>0</v>
      </c>
      <c r="U758" s="525">
        <f t="shared" si="629"/>
        <v>54</v>
      </c>
      <c r="V758" s="525">
        <f t="shared" si="629"/>
        <v>54</v>
      </c>
      <c r="W758" s="525">
        <f t="shared" si="629"/>
        <v>0</v>
      </c>
      <c r="X758" s="525">
        <f t="shared" si="629"/>
        <v>0</v>
      </c>
      <c r="Y758" s="525">
        <f t="shared" si="629"/>
        <v>0</v>
      </c>
      <c r="Z758" s="525">
        <f t="shared" si="629"/>
        <v>0</v>
      </c>
      <c r="AA758" s="525">
        <f t="shared" si="629"/>
        <v>0</v>
      </c>
      <c r="AB758" s="525">
        <f t="shared" si="629"/>
        <v>0</v>
      </c>
      <c r="AD758" s="405">
        <f t="shared" ref="AD758:AD822" si="630">IFERROR(VLOOKUP(B758,DONGIA,$AD$3,0),0)</f>
        <v>0.25</v>
      </c>
      <c r="AE758" s="525">
        <f t="shared" ref="AE758:AE822" si="631">U758*$AD758</f>
        <v>13.5</v>
      </c>
      <c r="AF758" s="525">
        <f t="shared" ref="AF758:AH822" si="632">V758*$AD758</f>
        <v>13.5</v>
      </c>
      <c r="AG758" s="525">
        <f t="shared" si="632"/>
        <v>0</v>
      </c>
      <c r="AH758" s="525">
        <f t="shared" si="632"/>
        <v>0</v>
      </c>
      <c r="AI758" s="525">
        <f t="shared" ref="AI758:AK822" si="633">Y758*$AD758</f>
        <v>0</v>
      </c>
      <c r="AJ758" s="525">
        <f t="shared" si="633"/>
        <v>0</v>
      </c>
      <c r="AK758" s="525">
        <f t="shared" si="633"/>
        <v>0</v>
      </c>
      <c r="AL758" s="525">
        <f t="shared" si="572"/>
        <v>0</v>
      </c>
    </row>
    <row r="759" spans="1:38">
      <c r="A759" s="618" t="s">
        <v>1803</v>
      </c>
      <c r="B759" s="618"/>
      <c r="C759" s="619">
        <f>IF(G759&lt;&gt;0,1,)</f>
        <v>1</v>
      </c>
      <c r="D759" s="622"/>
      <c r="E759" s="733" t="s">
        <v>1707</v>
      </c>
      <c r="F759" s="622" t="s">
        <v>24</v>
      </c>
      <c r="G759" s="622">
        <f>U759</f>
        <v>202</v>
      </c>
      <c r="H759" s="623"/>
      <c r="I759" s="623"/>
      <c r="J759" s="623"/>
      <c r="K759" s="623"/>
      <c r="L759" s="623"/>
      <c r="M759" s="623"/>
      <c r="N759" s="623">
        <f t="shared" ref="N759:S759" si="634">SUM(N761:N763)</f>
        <v>658250</v>
      </c>
      <c r="O759" s="623">
        <f t="shared" si="634"/>
        <v>0</v>
      </c>
      <c r="P759" s="623">
        <f t="shared" si="634"/>
        <v>0</v>
      </c>
      <c r="Q759" s="623">
        <f t="shared" si="634"/>
        <v>59709</v>
      </c>
      <c r="R759" s="623">
        <f t="shared" si="634"/>
        <v>0</v>
      </c>
      <c r="S759" s="623">
        <f t="shared" si="634"/>
        <v>0</v>
      </c>
      <c r="U759" s="623">
        <f>SUM(V759:AB759)</f>
        <v>202</v>
      </c>
      <c r="V759" s="623">
        <f>IFERROR(HLOOKUP($A759,BK3P,V$3,0),)</f>
        <v>202</v>
      </c>
      <c r="W759" s="623">
        <f>IFERROR(HLOOKUP($A759,BK3P,W$3,0),)</f>
        <v>0</v>
      </c>
      <c r="X759" s="623">
        <f>IFERROR(HLOOKUP($A759,BK3P,X$3,0),)</f>
        <v>0</v>
      </c>
      <c r="Y759" s="623">
        <f>IFERROR(HLOOKUP($A759,BK1P,Y$3,0),)</f>
        <v>0</v>
      </c>
      <c r="Z759" s="623">
        <f>IFERROR(HLOOKUP($A759,BK1P,Z$3,0),)</f>
        <v>0</v>
      </c>
      <c r="AA759" s="623">
        <f>IFERROR(HLOOKUP($A759,BK1P,AA$3,0),)</f>
        <v>0</v>
      </c>
      <c r="AB759" s="623">
        <f>IFERROR(HLOOKUP($A759,BKHT,AB$3,0),)</f>
        <v>0</v>
      </c>
      <c r="AD759" s="405">
        <f t="shared" si="630"/>
        <v>0</v>
      </c>
      <c r="AE759" s="525">
        <f t="shared" si="631"/>
        <v>0</v>
      </c>
      <c r="AF759" s="525">
        <f t="shared" si="632"/>
        <v>0</v>
      </c>
      <c r="AG759" s="525">
        <f t="shared" si="632"/>
        <v>0</v>
      </c>
      <c r="AH759" s="525">
        <f t="shared" si="632"/>
        <v>0</v>
      </c>
      <c r="AI759" s="525">
        <f t="shared" si="633"/>
        <v>0</v>
      </c>
      <c r="AJ759" s="525">
        <f t="shared" si="633"/>
        <v>0</v>
      </c>
      <c r="AK759" s="525">
        <f t="shared" si="633"/>
        <v>0</v>
      </c>
      <c r="AL759" s="525">
        <f t="shared" ref="AL759:AL823" si="635">AB759*$AD759</f>
        <v>0</v>
      </c>
    </row>
    <row r="760" spans="1:38" s="542" customFormat="1">
      <c r="A760" s="624"/>
      <c r="B760" s="624"/>
      <c r="C760" s="625">
        <f>C759</f>
        <v>1</v>
      </c>
      <c r="D760" s="544"/>
      <c r="E760" s="734" t="s">
        <v>1659</v>
      </c>
      <c r="F760" s="544"/>
      <c r="G760" s="545"/>
      <c r="H760" s="545"/>
      <c r="I760" s="545"/>
      <c r="J760" s="545"/>
      <c r="K760" s="545"/>
      <c r="L760" s="545"/>
      <c r="M760" s="545"/>
      <c r="N760" s="545"/>
      <c r="O760" s="545"/>
      <c r="P760" s="545"/>
      <c r="Q760" s="545"/>
      <c r="R760" s="545"/>
      <c r="S760" s="545"/>
      <c r="U760" s="545"/>
      <c r="V760" s="545"/>
      <c r="W760" s="545"/>
      <c r="X760" s="545"/>
      <c r="Y760" s="545"/>
      <c r="Z760" s="545"/>
      <c r="AA760" s="545"/>
      <c r="AB760" s="545"/>
      <c r="AD760" s="405">
        <f t="shared" si="630"/>
        <v>0</v>
      </c>
      <c r="AE760" s="525">
        <f t="shared" si="631"/>
        <v>0</v>
      </c>
      <c r="AF760" s="525">
        <f t="shared" si="632"/>
        <v>0</v>
      </c>
      <c r="AG760" s="525">
        <f t="shared" si="632"/>
        <v>0</v>
      </c>
      <c r="AH760" s="525">
        <f t="shared" si="632"/>
        <v>0</v>
      </c>
      <c r="AI760" s="525">
        <f t="shared" si="633"/>
        <v>0</v>
      </c>
      <c r="AJ760" s="525">
        <f t="shared" si="633"/>
        <v>0</v>
      </c>
      <c r="AK760" s="525">
        <f t="shared" si="633"/>
        <v>0</v>
      </c>
      <c r="AL760" s="525">
        <f t="shared" si="635"/>
        <v>0</v>
      </c>
    </row>
    <row r="761" spans="1:38">
      <c r="A761" s="618"/>
      <c r="B761" s="618" t="s">
        <v>1708</v>
      </c>
      <c r="C761" s="619">
        <f>IF(G761&lt;&gt;0,$C$759,)</f>
        <v>1</v>
      </c>
      <c r="D761" s="523" t="str">
        <f>VLOOKUP(B761,DONGIA,DG!$B$6,0)</f>
        <v>D3.2411</v>
      </c>
      <c r="E761" s="666" t="str">
        <f>VLOOKUP(B761,DONGIA,DG!$C$6,0)</f>
        <v>Sứ treo polymer</v>
      </c>
      <c r="F761" s="523" t="str">
        <f>VLOOKUP(B761,DONGIA,DG!$D$6,0)</f>
        <v>chuỗi</v>
      </c>
      <c r="G761" s="525">
        <v>1</v>
      </c>
      <c r="H761" s="525">
        <f>VLOOKUP($B761,DONGIA,DG!$E$6,0)</f>
        <v>200000</v>
      </c>
      <c r="I761" s="525"/>
      <c r="J761" s="525"/>
      <c r="K761" s="525">
        <f>VLOOKUP($B761,DONGIA,DG!$F$6,0)</f>
        <v>59709</v>
      </c>
      <c r="L761" s="525"/>
      <c r="M761" s="525">
        <f>VLOOKUP($B761,DONGIA,DG!$G$6,0)</f>
        <v>0</v>
      </c>
      <c r="N761" s="525">
        <f>$G761*H761</f>
        <v>200000</v>
      </c>
      <c r="O761" s="525">
        <f t="shared" ref="O761:S763" si="636">$G761*I761</f>
        <v>0</v>
      </c>
      <c r="P761" s="525">
        <f t="shared" si="636"/>
        <v>0</v>
      </c>
      <c r="Q761" s="525">
        <f t="shared" si="636"/>
        <v>59709</v>
      </c>
      <c r="R761" s="525">
        <f t="shared" si="636"/>
        <v>0</v>
      </c>
      <c r="S761" s="525">
        <f t="shared" si="636"/>
        <v>0</v>
      </c>
      <c r="U761" s="525">
        <f>U$759*$G761</f>
        <v>202</v>
      </c>
      <c r="V761" s="525">
        <f t="shared" ref="V761:AB761" si="637">V$759*$G761</f>
        <v>202</v>
      </c>
      <c r="W761" s="525">
        <f t="shared" si="637"/>
        <v>0</v>
      </c>
      <c r="X761" s="525">
        <f t="shared" si="637"/>
        <v>0</v>
      </c>
      <c r="Y761" s="525">
        <f t="shared" si="637"/>
        <v>0</v>
      </c>
      <c r="Z761" s="525">
        <f t="shared" si="637"/>
        <v>0</v>
      </c>
      <c r="AA761" s="525">
        <f t="shared" si="637"/>
        <v>0</v>
      </c>
      <c r="AB761" s="525">
        <f t="shared" si="637"/>
        <v>0</v>
      </c>
      <c r="AD761" s="405">
        <f t="shared" si="630"/>
        <v>0.3</v>
      </c>
      <c r="AE761" s="525">
        <f t="shared" si="631"/>
        <v>60.599999999999994</v>
      </c>
      <c r="AF761" s="525">
        <f t="shared" si="632"/>
        <v>60.599999999999994</v>
      </c>
      <c r="AG761" s="525">
        <f t="shared" si="632"/>
        <v>0</v>
      </c>
      <c r="AH761" s="525">
        <f t="shared" si="632"/>
        <v>0</v>
      </c>
      <c r="AI761" s="525">
        <f t="shared" si="633"/>
        <v>0</v>
      </c>
      <c r="AJ761" s="525">
        <f t="shared" si="633"/>
        <v>0</v>
      </c>
      <c r="AK761" s="525">
        <f t="shared" si="633"/>
        <v>0</v>
      </c>
      <c r="AL761" s="525">
        <f t="shared" si="635"/>
        <v>0</v>
      </c>
    </row>
    <row r="762" spans="1:38">
      <c r="A762" s="618"/>
      <c r="B762" s="618" t="s">
        <v>376</v>
      </c>
      <c r="C762" s="619">
        <f>IF(G762&lt;&gt;0,$C$759,)</f>
        <v>1</v>
      </c>
      <c r="D762" s="523">
        <f>VLOOKUP(B762,DONGIA,DG!$B$6,0)</f>
        <v>0</v>
      </c>
      <c r="E762" s="666" t="str">
        <f>VLOOKUP(B762,DONGIA,DG!$C$6,0)</f>
        <v>Móc treo chữ U D16-100</v>
      </c>
      <c r="F762" s="523" t="str">
        <f>VLOOKUP(B762,DONGIA,DG!$D$6,0)</f>
        <v>cái</v>
      </c>
      <c r="G762" s="525">
        <v>2</v>
      </c>
      <c r="H762" s="525">
        <f>VLOOKUP($B762,DONGIA,DG!$E$6,0)</f>
        <v>25000</v>
      </c>
      <c r="I762" s="525"/>
      <c r="J762" s="525"/>
      <c r="K762" s="525">
        <f>VLOOKUP($B762,DONGIA,DG!$F$6,0)</f>
        <v>0</v>
      </c>
      <c r="L762" s="525"/>
      <c r="M762" s="525">
        <f>VLOOKUP($B762,DONGIA,DG!$G$6,0)</f>
        <v>0</v>
      </c>
      <c r="N762" s="525">
        <f>$G762*H762</f>
        <v>50000</v>
      </c>
      <c r="O762" s="525">
        <f t="shared" si="636"/>
        <v>0</v>
      </c>
      <c r="P762" s="525">
        <f t="shared" si="636"/>
        <v>0</v>
      </c>
      <c r="Q762" s="525">
        <f t="shared" si="636"/>
        <v>0</v>
      </c>
      <c r="R762" s="525">
        <f t="shared" si="636"/>
        <v>0</v>
      </c>
      <c r="S762" s="525">
        <f t="shared" si="636"/>
        <v>0</v>
      </c>
      <c r="U762" s="525">
        <f t="shared" ref="U762:AB763" si="638">U$759*$G762</f>
        <v>404</v>
      </c>
      <c r="V762" s="525">
        <f t="shared" si="638"/>
        <v>404</v>
      </c>
      <c r="W762" s="525">
        <f t="shared" si="638"/>
        <v>0</v>
      </c>
      <c r="X762" s="525">
        <f t="shared" si="638"/>
        <v>0</v>
      </c>
      <c r="Y762" s="525">
        <f t="shared" si="638"/>
        <v>0</v>
      </c>
      <c r="Z762" s="525">
        <f t="shared" si="638"/>
        <v>0</v>
      </c>
      <c r="AA762" s="525">
        <f t="shared" si="638"/>
        <v>0</v>
      </c>
      <c r="AB762" s="525">
        <f t="shared" si="638"/>
        <v>0</v>
      </c>
      <c r="AD762" s="405">
        <f t="shared" si="630"/>
        <v>0.3</v>
      </c>
      <c r="AE762" s="525">
        <f t="shared" si="631"/>
        <v>121.19999999999999</v>
      </c>
      <c r="AF762" s="525">
        <f t="shared" si="632"/>
        <v>121.19999999999999</v>
      </c>
      <c r="AG762" s="525">
        <f t="shared" si="632"/>
        <v>0</v>
      </c>
      <c r="AH762" s="525">
        <f t="shared" si="632"/>
        <v>0</v>
      </c>
      <c r="AI762" s="525">
        <f t="shared" si="633"/>
        <v>0</v>
      </c>
      <c r="AJ762" s="525">
        <f t="shared" si="633"/>
        <v>0</v>
      </c>
      <c r="AK762" s="525">
        <f t="shared" si="633"/>
        <v>0</v>
      </c>
      <c r="AL762" s="525">
        <f t="shared" si="635"/>
        <v>0</v>
      </c>
    </row>
    <row r="763" spans="1:38">
      <c r="A763" s="618"/>
      <c r="B763" s="618" t="s">
        <v>367</v>
      </c>
      <c r="C763" s="619">
        <f>IF(G763&lt;&gt;0,$C$759,)</f>
        <v>1</v>
      </c>
      <c r="D763" s="523">
        <f>VLOOKUP(B763,DONGIA,DG!$B$6,0)</f>
        <v>0</v>
      </c>
      <c r="E763" s="666" t="str">
        <f>VLOOKUP(B763,DONGIA,DG!$C$6,0)</f>
        <v>Giáp níu dừng dây bọc 50 + Yếm móng U + Mắt nối yếm</v>
      </c>
      <c r="F763" s="523" t="str">
        <f>VLOOKUP(B763,DONGIA,DG!$D$6,0)</f>
        <v>bộ</v>
      </c>
      <c r="G763" s="525">
        <v>1</v>
      </c>
      <c r="H763" s="525">
        <f>VLOOKUP($B763,DONGIA,DG!$E$6,0)</f>
        <v>408250</v>
      </c>
      <c r="I763" s="525"/>
      <c r="J763" s="525"/>
      <c r="K763" s="525">
        <f>VLOOKUP($B763,DONGIA,DG!$F$6,0)</f>
        <v>0</v>
      </c>
      <c r="L763" s="525"/>
      <c r="M763" s="525">
        <f>VLOOKUP($B763,DONGIA,DG!$G$6,0)</f>
        <v>0</v>
      </c>
      <c r="N763" s="525">
        <f>$G763*H763</f>
        <v>408250</v>
      </c>
      <c r="O763" s="525">
        <f t="shared" si="636"/>
        <v>0</v>
      </c>
      <c r="P763" s="525">
        <f t="shared" si="636"/>
        <v>0</v>
      </c>
      <c r="Q763" s="525">
        <f t="shared" si="636"/>
        <v>0</v>
      </c>
      <c r="R763" s="525">
        <f t="shared" si="636"/>
        <v>0</v>
      </c>
      <c r="S763" s="525">
        <f t="shared" si="636"/>
        <v>0</v>
      </c>
      <c r="U763" s="525">
        <f t="shared" si="638"/>
        <v>202</v>
      </c>
      <c r="V763" s="525">
        <f t="shared" si="638"/>
        <v>202</v>
      </c>
      <c r="W763" s="525">
        <f t="shared" si="638"/>
        <v>0</v>
      </c>
      <c r="X763" s="525">
        <f t="shared" si="638"/>
        <v>0</v>
      </c>
      <c r="Y763" s="525">
        <f t="shared" si="638"/>
        <v>0</v>
      </c>
      <c r="Z763" s="525">
        <f t="shared" si="638"/>
        <v>0</v>
      </c>
      <c r="AA763" s="525">
        <f t="shared" si="638"/>
        <v>0</v>
      </c>
      <c r="AB763" s="525">
        <f t="shared" si="638"/>
        <v>0</v>
      </c>
      <c r="AD763" s="405">
        <f t="shared" si="630"/>
        <v>0.5</v>
      </c>
      <c r="AE763" s="525">
        <f t="shared" si="631"/>
        <v>101</v>
      </c>
      <c r="AF763" s="525">
        <f t="shared" si="632"/>
        <v>101</v>
      </c>
      <c r="AG763" s="525">
        <f t="shared" si="632"/>
        <v>0</v>
      </c>
      <c r="AH763" s="525">
        <f t="shared" si="632"/>
        <v>0</v>
      </c>
      <c r="AI763" s="525">
        <f t="shared" si="633"/>
        <v>0</v>
      </c>
      <c r="AJ763" s="525">
        <f t="shared" si="633"/>
        <v>0</v>
      </c>
      <c r="AK763" s="525">
        <f t="shared" si="633"/>
        <v>0</v>
      </c>
      <c r="AL763" s="525">
        <f t="shared" si="635"/>
        <v>0</v>
      </c>
    </row>
    <row r="764" spans="1:38">
      <c r="A764" s="618" t="s">
        <v>1804</v>
      </c>
      <c r="B764" s="618"/>
      <c r="C764" s="619">
        <f>IF(G764&lt;&gt;0,1,)</f>
        <v>0</v>
      </c>
      <c r="D764" s="622"/>
      <c r="E764" s="623" t="s">
        <v>1709</v>
      </c>
      <c r="F764" s="622" t="s">
        <v>24</v>
      </c>
      <c r="G764" s="622">
        <f>U764</f>
        <v>0</v>
      </c>
      <c r="H764" s="623"/>
      <c r="I764" s="623"/>
      <c r="J764" s="623"/>
      <c r="K764" s="623"/>
      <c r="L764" s="623"/>
      <c r="M764" s="623"/>
      <c r="N764" s="623">
        <f t="shared" ref="N764:S764" si="639">SUM(N766:N768)</f>
        <v>687000</v>
      </c>
      <c r="O764" s="623">
        <f t="shared" si="639"/>
        <v>0</v>
      </c>
      <c r="P764" s="623">
        <f t="shared" si="639"/>
        <v>0</v>
      </c>
      <c r="Q764" s="623">
        <f t="shared" si="639"/>
        <v>59709</v>
      </c>
      <c r="R764" s="623">
        <f t="shared" si="639"/>
        <v>0</v>
      </c>
      <c r="S764" s="623">
        <f t="shared" si="639"/>
        <v>0</v>
      </c>
      <c r="U764" s="623">
        <f>SUM(V764:AB764)</f>
        <v>0</v>
      </c>
      <c r="V764" s="623">
        <f>IFERROR(HLOOKUP($A764,BK3P,V$3,0),)</f>
        <v>0</v>
      </c>
      <c r="W764" s="623">
        <f>IFERROR(HLOOKUP($A764,BK3P,W$3,0),)</f>
        <v>0</v>
      </c>
      <c r="X764" s="623">
        <f>IFERROR(HLOOKUP($A764,BK3P,X$3,0),)</f>
        <v>0</v>
      </c>
      <c r="Y764" s="623">
        <f>IFERROR(HLOOKUP($A764,BK1P,Y$3,0),)</f>
        <v>0</v>
      </c>
      <c r="Z764" s="623">
        <f>IFERROR(HLOOKUP($A764,BK1P,Z$3,0),)</f>
        <v>0</v>
      </c>
      <c r="AA764" s="623">
        <f>IFERROR(HLOOKUP($A764,BK1P,AA$3,0),)</f>
        <v>0</v>
      </c>
      <c r="AB764" s="623">
        <f>IFERROR(HLOOKUP($A764,BKHT,AB$3,0),)</f>
        <v>0</v>
      </c>
      <c r="AD764" s="405">
        <f t="shared" si="630"/>
        <v>0</v>
      </c>
      <c r="AE764" s="525">
        <f t="shared" si="631"/>
        <v>0</v>
      </c>
      <c r="AF764" s="525">
        <f t="shared" si="632"/>
        <v>0</v>
      </c>
      <c r="AG764" s="525">
        <f t="shared" si="632"/>
        <v>0</v>
      </c>
      <c r="AH764" s="525">
        <f t="shared" si="632"/>
        <v>0</v>
      </c>
      <c r="AI764" s="525">
        <f t="shared" si="633"/>
        <v>0</v>
      </c>
      <c r="AJ764" s="525">
        <f t="shared" si="633"/>
        <v>0</v>
      </c>
      <c r="AK764" s="525">
        <f t="shared" si="633"/>
        <v>0</v>
      </c>
      <c r="AL764" s="525">
        <f t="shared" si="635"/>
        <v>0</v>
      </c>
    </row>
    <row r="765" spans="1:38" s="542" customFormat="1">
      <c r="A765" s="624"/>
      <c r="B765" s="624"/>
      <c r="C765" s="625">
        <f>C764</f>
        <v>0</v>
      </c>
      <c r="D765" s="544"/>
      <c r="E765" s="545" t="s">
        <v>1659</v>
      </c>
      <c r="F765" s="544"/>
      <c r="G765" s="545"/>
      <c r="H765" s="545"/>
      <c r="I765" s="545"/>
      <c r="J765" s="545"/>
      <c r="K765" s="545"/>
      <c r="L765" s="545"/>
      <c r="M765" s="545"/>
      <c r="N765" s="545"/>
      <c r="O765" s="545"/>
      <c r="P765" s="545"/>
      <c r="Q765" s="545"/>
      <c r="R765" s="545"/>
      <c r="S765" s="545"/>
      <c r="U765" s="545"/>
      <c r="V765" s="545"/>
      <c r="W765" s="545"/>
      <c r="X765" s="545"/>
      <c r="Y765" s="545"/>
      <c r="Z765" s="545"/>
      <c r="AA765" s="545"/>
      <c r="AB765" s="545"/>
      <c r="AD765" s="405">
        <f t="shared" si="630"/>
        <v>0</v>
      </c>
      <c r="AE765" s="525">
        <f t="shared" si="631"/>
        <v>0</v>
      </c>
      <c r="AF765" s="525">
        <f t="shared" si="632"/>
        <v>0</v>
      </c>
      <c r="AG765" s="525">
        <f t="shared" si="632"/>
        <v>0</v>
      </c>
      <c r="AH765" s="525">
        <f t="shared" si="632"/>
        <v>0</v>
      </c>
      <c r="AI765" s="525">
        <f t="shared" si="633"/>
        <v>0</v>
      </c>
      <c r="AJ765" s="525">
        <f t="shared" si="633"/>
        <v>0</v>
      </c>
      <c r="AK765" s="525">
        <f t="shared" si="633"/>
        <v>0</v>
      </c>
      <c r="AL765" s="525">
        <f t="shared" si="635"/>
        <v>0</v>
      </c>
    </row>
    <row r="766" spans="1:38">
      <c r="A766" s="618"/>
      <c r="B766" s="618" t="s">
        <v>1708</v>
      </c>
      <c r="C766" s="619">
        <f>IF(G766&lt;&gt;0,$C$764,)</f>
        <v>0</v>
      </c>
      <c r="D766" s="523" t="str">
        <f>VLOOKUP(B766,DONGIA,DG!$B$6,0)</f>
        <v>D3.2411</v>
      </c>
      <c r="E766" s="525" t="str">
        <f>VLOOKUP(B766,DONGIA,DG!$C$6,0)</f>
        <v>Sứ treo polymer</v>
      </c>
      <c r="F766" s="523" t="str">
        <f>VLOOKUP(B766,DONGIA,DG!$D$6,0)</f>
        <v>chuỗi</v>
      </c>
      <c r="G766" s="525">
        <v>1</v>
      </c>
      <c r="H766" s="525">
        <f>VLOOKUP($B766,DONGIA,DG!$E$6,0)</f>
        <v>200000</v>
      </c>
      <c r="I766" s="525"/>
      <c r="J766" s="525"/>
      <c r="K766" s="525">
        <f>VLOOKUP($B766,DONGIA,DG!$F$6,0)</f>
        <v>59709</v>
      </c>
      <c r="L766" s="525"/>
      <c r="M766" s="525">
        <f>VLOOKUP($B766,DONGIA,DG!$G$6,0)</f>
        <v>0</v>
      </c>
      <c r="N766" s="525">
        <f>$G766*H766</f>
        <v>200000</v>
      </c>
      <c r="O766" s="525">
        <f t="shared" ref="O766:S768" si="640">$G766*I766</f>
        <v>0</v>
      </c>
      <c r="P766" s="525">
        <f t="shared" si="640"/>
        <v>0</v>
      </c>
      <c r="Q766" s="525">
        <f t="shared" si="640"/>
        <v>59709</v>
      </c>
      <c r="R766" s="525">
        <f t="shared" si="640"/>
        <v>0</v>
      </c>
      <c r="S766" s="525">
        <f t="shared" si="640"/>
        <v>0</v>
      </c>
      <c r="U766" s="525">
        <f>U$764*$G766</f>
        <v>0</v>
      </c>
      <c r="V766" s="525">
        <f t="shared" ref="V766:AB766" si="641">V$764*$G766</f>
        <v>0</v>
      </c>
      <c r="W766" s="525">
        <f t="shared" si="641"/>
        <v>0</v>
      </c>
      <c r="X766" s="525">
        <f t="shared" si="641"/>
        <v>0</v>
      </c>
      <c r="Y766" s="525">
        <f t="shared" si="641"/>
        <v>0</v>
      </c>
      <c r="Z766" s="525">
        <f t="shared" si="641"/>
        <v>0</v>
      </c>
      <c r="AA766" s="525">
        <f t="shared" si="641"/>
        <v>0</v>
      </c>
      <c r="AB766" s="525">
        <f t="shared" si="641"/>
        <v>0</v>
      </c>
      <c r="AD766" s="405">
        <f t="shared" si="630"/>
        <v>0.3</v>
      </c>
      <c r="AE766" s="525">
        <f t="shared" si="631"/>
        <v>0</v>
      </c>
      <c r="AF766" s="525">
        <f t="shared" si="632"/>
        <v>0</v>
      </c>
      <c r="AG766" s="525">
        <f t="shared" si="632"/>
        <v>0</v>
      </c>
      <c r="AH766" s="525">
        <f t="shared" si="632"/>
        <v>0</v>
      </c>
      <c r="AI766" s="525">
        <f t="shared" si="633"/>
        <v>0</v>
      </c>
      <c r="AJ766" s="525">
        <f t="shared" si="633"/>
        <v>0</v>
      </c>
      <c r="AK766" s="525">
        <f t="shared" si="633"/>
        <v>0</v>
      </c>
      <c r="AL766" s="525">
        <f t="shared" si="635"/>
        <v>0</v>
      </c>
    </row>
    <row r="767" spans="1:38">
      <c r="A767" s="618"/>
      <c r="B767" s="618" t="s">
        <v>376</v>
      </c>
      <c r="C767" s="619">
        <f>IF(G767&lt;&gt;0,$C$764,)</f>
        <v>0</v>
      </c>
      <c r="D767" s="523">
        <f>VLOOKUP(B767,DONGIA,DG!$B$6,0)</f>
        <v>0</v>
      </c>
      <c r="E767" s="525" t="str">
        <f>VLOOKUP(B767,DONGIA,DG!$C$6,0)</f>
        <v>Móc treo chữ U D16-100</v>
      </c>
      <c r="F767" s="523" t="str">
        <f>VLOOKUP(B767,DONGIA,DG!$D$6,0)</f>
        <v>cái</v>
      </c>
      <c r="G767" s="525">
        <v>2</v>
      </c>
      <c r="H767" s="525">
        <f>VLOOKUP($B767,DONGIA,DG!$E$6,0)</f>
        <v>25000</v>
      </c>
      <c r="I767" s="525"/>
      <c r="J767" s="525"/>
      <c r="K767" s="525">
        <f>VLOOKUP($B767,DONGIA,DG!$F$6,0)</f>
        <v>0</v>
      </c>
      <c r="L767" s="525"/>
      <c r="M767" s="525">
        <f>VLOOKUP($B767,DONGIA,DG!$G$6,0)</f>
        <v>0</v>
      </c>
      <c r="N767" s="525">
        <f>$G767*H767</f>
        <v>50000</v>
      </c>
      <c r="O767" s="525">
        <f t="shared" si="640"/>
        <v>0</v>
      </c>
      <c r="P767" s="525">
        <f t="shared" si="640"/>
        <v>0</v>
      </c>
      <c r="Q767" s="525">
        <f t="shared" si="640"/>
        <v>0</v>
      </c>
      <c r="R767" s="525">
        <f t="shared" si="640"/>
        <v>0</v>
      </c>
      <c r="S767" s="525">
        <f t="shared" si="640"/>
        <v>0</v>
      </c>
      <c r="U767" s="525">
        <f t="shared" ref="U767:AB768" si="642">U$764*$G767</f>
        <v>0</v>
      </c>
      <c r="V767" s="525">
        <f t="shared" si="642"/>
        <v>0</v>
      </c>
      <c r="W767" s="525">
        <f t="shared" si="642"/>
        <v>0</v>
      </c>
      <c r="X767" s="525">
        <f t="shared" si="642"/>
        <v>0</v>
      </c>
      <c r="Y767" s="525">
        <f t="shared" si="642"/>
        <v>0</v>
      </c>
      <c r="Z767" s="525">
        <f t="shared" si="642"/>
        <v>0</v>
      </c>
      <c r="AA767" s="525">
        <f t="shared" si="642"/>
        <v>0</v>
      </c>
      <c r="AB767" s="525">
        <f t="shared" si="642"/>
        <v>0</v>
      </c>
      <c r="AD767" s="405">
        <f t="shared" si="630"/>
        <v>0.3</v>
      </c>
      <c r="AE767" s="525">
        <f t="shared" si="631"/>
        <v>0</v>
      </c>
      <c r="AF767" s="525">
        <f t="shared" si="632"/>
        <v>0</v>
      </c>
      <c r="AG767" s="525">
        <f t="shared" si="632"/>
        <v>0</v>
      </c>
      <c r="AH767" s="525">
        <f t="shared" si="632"/>
        <v>0</v>
      </c>
      <c r="AI767" s="525">
        <f t="shared" si="633"/>
        <v>0</v>
      </c>
      <c r="AJ767" s="525">
        <f t="shared" si="633"/>
        <v>0</v>
      </c>
      <c r="AK767" s="525">
        <f t="shared" si="633"/>
        <v>0</v>
      </c>
      <c r="AL767" s="525">
        <f t="shared" si="635"/>
        <v>0</v>
      </c>
    </row>
    <row r="768" spans="1:38">
      <c r="A768" s="618"/>
      <c r="B768" s="618" t="s">
        <v>365</v>
      </c>
      <c r="C768" s="619">
        <f>IF(G768&lt;&gt;0,$C$764,)</f>
        <v>0</v>
      </c>
      <c r="D768" s="523">
        <f>VLOOKUP(B768,DONGIA,DG!$B$6,0)</f>
        <v>0</v>
      </c>
      <c r="E768" s="525" t="str">
        <f>VLOOKUP(B768,DONGIA,DG!$C$6,0)</f>
        <v>Giáp níu dừng dây bọc 70 + Yếm móng U + Mắt nối yếm</v>
      </c>
      <c r="F768" s="523" t="str">
        <f>VLOOKUP(B768,DONGIA,DG!$D$6,0)</f>
        <v>bộ</v>
      </c>
      <c r="G768" s="525">
        <v>1</v>
      </c>
      <c r="H768" s="525">
        <f>VLOOKUP($B768,DONGIA,DG!$E$6,0)</f>
        <v>437000</v>
      </c>
      <c r="I768" s="525"/>
      <c r="J768" s="525"/>
      <c r="K768" s="525">
        <f>VLOOKUP($B768,DONGIA,DG!$F$6,0)</f>
        <v>0</v>
      </c>
      <c r="L768" s="525"/>
      <c r="M768" s="525">
        <f>VLOOKUP($B768,DONGIA,DG!$G$6,0)</f>
        <v>0</v>
      </c>
      <c r="N768" s="525">
        <f>$G768*H768</f>
        <v>437000</v>
      </c>
      <c r="O768" s="525">
        <f t="shared" si="640"/>
        <v>0</v>
      </c>
      <c r="P768" s="525">
        <f t="shared" si="640"/>
        <v>0</v>
      </c>
      <c r="Q768" s="525">
        <f t="shared" si="640"/>
        <v>0</v>
      </c>
      <c r="R768" s="525">
        <f t="shared" si="640"/>
        <v>0</v>
      </c>
      <c r="S768" s="525">
        <f t="shared" si="640"/>
        <v>0</v>
      </c>
      <c r="U768" s="525">
        <f t="shared" si="642"/>
        <v>0</v>
      </c>
      <c r="V768" s="525">
        <f t="shared" si="642"/>
        <v>0</v>
      </c>
      <c r="W768" s="525">
        <f t="shared" si="642"/>
        <v>0</v>
      </c>
      <c r="X768" s="525">
        <f t="shared" si="642"/>
        <v>0</v>
      </c>
      <c r="Y768" s="525">
        <f t="shared" si="642"/>
        <v>0</v>
      </c>
      <c r="Z768" s="525">
        <f t="shared" si="642"/>
        <v>0</v>
      </c>
      <c r="AA768" s="525">
        <f t="shared" si="642"/>
        <v>0</v>
      </c>
      <c r="AB768" s="525">
        <f t="shared" si="642"/>
        <v>0</v>
      </c>
      <c r="AD768" s="405">
        <f t="shared" si="630"/>
        <v>0.5</v>
      </c>
      <c r="AE768" s="525">
        <f t="shared" si="631"/>
        <v>0</v>
      </c>
      <c r="AF768" s="525">
        <f t="shared" si="632"/>
        <v>0</v>
      </c>
      <c r="AG768" s="525">
        <f t="shared" si="632"/>
        <v>0</v>
      </c>
      <c r="AH768" s="525">
        <f t="shared" si="632"/>
        <v>0</v>
      </c>
      <c r="AI768" s="525">
        <f t="shared" si="633"/>
        <v>0</v>
      </c>
      <c r="AJ768" s="525">
        <f t="shared" si="633"/>
        <v>0</v>
      </c>
      <c r="AK768" s="525">
        <f t="shared" si="633"/>
        <v>0</v>
      </c>
      <c r="AL768" s="525">
        <f t="shared" si="635"/>
        <v>0</v>
      </c>
    </row>
    <row r="769" spans="1:38" s="332" customFormat="1">
      <c r="A769" s="356" t="s">
        <v>1805</v>
      </c>
      <c r="B769" s="356"/>
      <c r="C769" s="355">
        <f>IF(G769&lt;&gt;0,1,)</f>
        <v>0</v>
      </c>
      <c r="D769" s="357"/>
      <c r="E769" s="358" t="s">
        <v>1710</v>
      </c>
      <c r="F769" s="357" t="s">
        <v>24</v>
      </c>
      <c r="G769" s="357">
        <f>U769</f>
        <v>0</v>
      </c>
      <c r="H769" s="358"/>
      <c r="I769" s="358"/>
      <c r="J769" s="358"/>
      <c r="K769" s="358"/>
      <c r="L769" s="358"/>
      <c r="M769" s="358"/>
      <c r="N769" s="358">
        <f t="shared" ref="N769:S769" si="643">SUM(N771:N773)</f>
        <v>687000</v>
      </c>
      <c r="O769" s="358">
        <f t="shared" si="643"/>
        <v>0</v>
      </c>
      <c r="P769" s="358">
        <f t="shared" si="643"/>
        <v>0</v>
      </c>
      <c r="Q769" s="358">
        <f t="shared" si="643"/>
        <v>59709</v>
      </c>
      <c r="R769" s="358">
        <f t="shared" si="643"/>
        <v>0</v>
      </c>
      <c r="S769" s="358">
        <f t="shared" si="643"/>
        <v>0</v>
      </c>
      <c r="U769" s="358">
        <f>SUM(V769:AB769)</f>
        <v>0</v>
      </c>
      <c r="V769" s="358">
        <f>IFERROR(HLOOKUP($A769,BK3P,V$3,0),)</f>
        <v>0</v>
      </c>
      <c r="W769" s="358">
        <f>IFERROR(HLOOKUP($A769,BK3P,W$3,0),)</f>
        <v>0</v>
      </c>
      <c r="X769" s="358">
        <f>IFERROR(HLOOKUP($A769,BK3P,X$3,0),)</f>
        <v>0</v>
      </c>
      <c r="Y769" s="358">
        <f>IFERROR(HLOOKUP($A769,BK1P,Y$3,0),)</f>
        <v>0</v>
      </c>
      <c r="Z769" s="358">
        <f>IFERROR(HLOOKUP($A769,BK1P,Z$3,0),)</f>
        <v>0</v>
      </c>
      <c r="AA769" s="358">
        <f>IFERROR(HLOOKUP($A769,BK1P,AA$3,0),)</f>
        <v>0</v>
      </c>
      <c r="AB769" s="358">
        <f>IFERROR(HLOOKUP($A769,BKHT,AB$3,0),)</f>
        <v>0</v>
      </c>
      <c r="AD769" s="332">
        <f t="shared" si="630"/>
        <v>0</v>
      </c>
      <c r="AE769" s="329">
        <f t="shared" si="631"/>
        <v>0</v>
      </c>
      <c r="AF769" s="329">
        <f t="shared" si="632"/>
        <v>0</v>
      </c>
      <c r="AG769" s="329">
        <f t="shared" si="632"/>
        <v>0</v>
      </c>
      <c r="AH769" s="329">
        <f t="shared" si="632"/>
        <v>0</v>
      </c>
      <c r="AI769" s="329">
        <f t="shared" si="633"/>
        <v>0</v>
      </c>
      <c r="AJ769" s="329">
        <f t="shared" si="633"/>
        <v>0</v>
      </c>
      <c r="AK769" s="329">
        <f t="shared" si="633"/>
        <v>0</v>
      </c>
      <c r="AL769" s="329">
        <f t="shared" si="635"/>
        <v>0</v>
      </c>
    </row>
    <row r="770" spans="1:38" s="361" customFormat="1">
      <c r="A770" s="359"/>
      <c r="B770" s="359"/>
      <c r="C770" s="360">
        <f>C769</f>
        <v>0</v>
      </c>
      <c r="D770" s="350"/>
      <c r="E770" s="351" t="s">
        <v>1659</v>
      </c>
      <c r="F770" s="350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U770" s="351"/>
      <c r="V770" s="351"/>
      <c r="W770" s="351"/>
      <c r="X770" s="351"/>
      <c r="Y770" s="351"/>
      <c r="Z770" s="351"/>
      <c r="AA770" s="351"/>
      <c r="AB770" s="351"/>
      <c r="AD770" s="332">
        <f t="shared" si="630"/>
        <v>0</v>
      </c>
      <c r="AE770" s="329">
        <f t="shared" si="631"/>
        <v>0</v>
      </c>
      <c r="AF770" s="329">
        <f t="shared" si="632"/>
        <v>0</v>
      </c>
      <c r="AG770" s="329">
        <f t="shared" si="632"/>
        <v>0</v>
      </c>
      <c r="AH770" s="329">
        <f t="shared" si="632"/>
        <v>0</v>
      </c>
      <c r="AI770" s="329">
        <f t="shared" si="633"/>
        <v>0</v>
      </c>
      <c r="AJ770" s="329">
        <f t="shared" si="633"/>
        <v>0</v>
      </c>
      <c r="AK770" s="329">
        <f t="shared" si="633"/>
        <v>0</v>
      </c>
      <c r="AL770" s="329">
        <f t="shared" si="635"/>
        <v>0</v>
      </c>
    </row>
    <row r="771" spans="1:38" s="332" customFormat="1">
      <c r="A771" s="356"/>
      <c r="B771" s="356" t="s">
        <v>1708</v>
      </c>
      <c r="C771" s="355">
        <f>IF(G771&lt;&gt;0,$C$769,)</f>
        <v>0</v>
      </c>
      <c r="D771" s="341" t="str">
        <f>VLOOKUP(B771,DONGIA,DG!$B$6,0)</f>
        <v>D3.2411</v>
      </c>
      <c r="E771" s="340" t="str">
        <f>VLOOKUP(B771,DONGIA,DG!$C$6,0)</f>
        <v>Sứ treo polymer</v>
      </c>
      <c r="F771" s="341" t="str">
        <f>VLOOKUP(B771,DONGIA,DG!$D$6,0)</f>
        <v>chuỗi</v>
      </c>
      <c r="G771" s="329">
        <v>1</v>
      </c>
      <c r="H771" s="329">
        <f>VLOOKUP($B771,DONGIA,DG!$E$6,0)</f>
        <v>200000</v>
      </c>
      <c r="I771" s="329"/>
      <c r="J771" s="329"/>
      <c r="K771" s="329">
        <f>VLOOKUP($B771,DONGIA,DG!$F$6,0)</f>
        <v>59709</v>
      </c>
      <c r="L771" s="329"/>
      <c r="M771" s="329">
        <f>VLOOKUP($B771,DONGIA,DG!$G$6,0)</f>
        <v>0</v>
      </c>
      <c r="N771" s="329">
        <f>$G771*H771</f>
        <v>200000</v>
      </c>
      <c r="O771" s="329">
        <f t="shared" ref="O771:S773" si="644">$G771*I771</f>
        <v>0</v>
      </c>
      <c r="P771" s="329">
        <f t="shared" si="644"/>
        <v>0</v>
      </c>
      <c r="Q771" s="329">
        <f t="shared" si="644"/>
        <v>59709</v>
      </c>
      <c r="R771" s="329">
        <f t="shared" si="644"/>
        <v>0</v>
      </c>
      <c r="S771" s="329">
        <f t="shared" si="644"/>
        <v>0</v>
      </c>
      <c r="U771" s="329">
        <f>U$769*$G771</f>
        <v>0</v>
      </c>
      <c r="V771" s="329">
        <f t="shared" ref="V771:AB771" si="645">V$769*$G771</f>
        <v>0</v>
      </c>
      <c r="W771" s="329">
        <f t="shared" si="645"/>
        <v>0</v>
      </c>
      <c r="X771" s="329">
        <f t="shared" si="645"/>
        <v>0</v>
      </c>
      <c r="Y771" s="329">
        <f t="shared" si="645"/>
        <v>0</v>
      </c>
      <c r="Z771" s="329">
        <f t="shared" si="645"/>
        <v>0</v>
      </c>
      <c r="AA771" s="329">
        <f t="shared" si="645"/>
        <v>0</v>
      </c>
      <c r="AB771" s="329">
        <f t="shared" si="645"/>
        <v>0</v>
      </c>
      <c r="AD771" s="332">
        <f t="shared" si="630"/>
        <v>0.3</v>
      </c>
      <c r="AE771" s="329">
        <f t="shared" si="631"/>
        <v>0</v>
      </c>
      <c r="AF771" s="329">
        <f t="shared" si="632"/>
        <v>0</v>
      </c>
      <c r="AG771" s="329">
        <f t="shared" si="632"/>
        <v>0</v>
      </c>
      <c r="AH771" s="329">
        <f t="shared" si="632"/>
        <v>0</v>
      </c>
      <c r="AI771" s="329">
        <f t="shared" si="633"/>
        <v>0</v>
      </c>
      <c r="AJ771" s="329">
        <f t="shared" si="633"/>
        <v>0</v>
      </c>
      <c r="AK771" s="329">
        <f t="shared" si="633"/>
        <v>0</v>
      </c>
      <c r="AL771" s="329">
        <f t="shared" si="635"/>
        <v>0</v>
      </c>
    </row>
    <row r="772" spans="1:38" s="332" customFormat="1">
      <c r="A772" s="356"/>
      <c r="B772" s="356" t="s">
        <v>376</v>
      </c>
      <c r="C772" s="355">
        <f>IF(G772&lt;&gt;0,$C$769,)</f>
        <v>0</v>
      </c>
      <c r="D772" s="341">
        <f>VLOOKUP(B772,DONGIA,DG!$B$6,0)</f>
        <v>0</v>
      </c>
      <c r="E772" s="340" t="str">
        <f>VLOOKUP(B772,DONGIA,DG!$C$6,0)</f>
        <v>Móc treo chữ U D16-100</v>
      </c>
      <c r="F772" s="341" t="str">
        <f>VLOOKUP(B772,DONGIA,DG!$D$6,0)</f>
        <v>cái</v>
      </c>
      <c r="G772" s="329">
        <v>2</v>
      </c>
      <c r="H772" s="329">
        <f>VLOOKUP($B772,DONGIA,DG!$E$6,0)</f>
        <v>25000</v>
      </c>
      <c r="I772" s="329"/>
      <c r="J772" s="329"/>
      <c r="K772" s="329">
        <f>VLOOKUP($B772,DONGIA,DG!$F$6,0)</f>
        <v>0</v>
      </c>
      <c r="L772" s="329"/>
      <c r="M772" s="329">
        <f>VLOOKUP($B772,DONGIA,DG!$G$6,0)</f>
        <v>0</v>
      </c>
      <c r="N772" s="329">
        <f>$G772*H772</f>
        <v>50000</v>
      </c>
      <c r="O772" s="329">
        <f t="shared" si="644"/>
        <v>0</v>
      </c>
      <c r="P772" s="329">
        <f t="shared" si="644"/>
        <v>0</v>
      </c>
      <c r="Q772" s="329">
        <f t="shared" si="644"/>
        <v>0</v>
      </c>
      <c r="R772" s="329">
        <f t="shared" si="644"/>
        <v>0</v>
      </c>
      <c r="S772" s="329">
        <f t="shared" si="644"/>
        <v>0</v>
      </c>
      <c r="U772" s="329">
        <f t="shared" ref="U772:AB773" si="646">U$769*$G772</f>
        <v>0</v>
      </c>
      <c r="V772" s="329">
        <f t="shared" si="646"/>
        <v>0</v>
      </c>
      <c r="W772" s="329">
        <f t="shared" si="646"/>
        <v>0</v>
      </c>
      <c r="X772" s="329">
        <f t="shared" si="646"/>
        <v>0</v>
      </c>
      <c r="Y772" s="329">
        <f t="shared" si="646"/>
        <v>0</v>
      </c>
      <c r="Z772" s="329">
        <f t="shared" si="646"/>
        <v>0</v>
      </c>
      <c r="AA772" s="329">
        <f t="shared" si="646"/>
        <v>0</v>
      </c>
      <c r="AB772" s="329">
        <f t="shared" si="646"/>
        <v>0</v>
      </c>
      <c r="AD772" s="332">
        <f t="shared" si="630"/>
        <v>0.3</v>
      </c>
      <c r="AE772" s="329">
        <f t="shared" si="631"/>
        <v>0</v>
      </c>
      <c r="AF772" s="329">
        <f t="shared" si="632"/>
        <v>0</v>
      </c>
      <c r="AG772" s="329">
        <f t="shared" si="632"/>
        <v>0</v>
      </c>
      <c r="AH772" s="329">
        <f t="shared" si="632"/>
        <v>0</v>
      </c>
      <c r="AI772" s="329">
        <f t="shared" si="633"/>
        <v>0</v>
      </c>
      <c r="AJ772" s="329">
        <f t="shared" si="633"/>
        <v>0</v>
      </c>
      <c r="AK772" s="329">
        <f t="shared" si="633"/>
        <v>0</v>
      </c>
      <c r="AL772" s="329">
        <f t="shared" si="635"/>
        <v>0</v>
      </c>
    </row>
    <row r="773" spans="1:38" s="332" customFormat="1">
      <c r="A773" s="356"/>
      <c r="B773" s="356" t="s">
        <v>363</v>
      </c>
      <c r="C773" s="355">
        <f>IF(G773&lt;&gt;0,$C$769,)</f>
        <v>0</v>
      </c>
      <c r="D773" s="341">
        <f>VLOOKUP(B773,DONGIA,DG!$B$6,0)</f>
        <v>0</v>
      </c>
      <c r="E773" s="340" t="str">
        <f>VLOOKUP(B773,DONGIA,DG!$C$6,0)</f>
        <v>Giáp níu dừng dây bọc 95 + Yếm móng U + Mắt nối yếm</v>
      </c>
      <c r="F773" s="341" t="str">
        <f>VLOOKUP(B773,DONGIA,DG!$D$6,0)</f>
        <v>bộ</v>
      </c>
      <c r="G773" s="329">
        <v>1</v>
      </c>
      <c r="H773" s="329">
        <f>VLOOKUP($B773,DONGIA,DG!$E$6,0)</f>
        <v>437000</v>
      </c>
      <c r="I773" s="329"/>
      <c r="J773" s="329"/>
      <c r="K773" s="329">
        <f>VLOOKUP($B773,DONGIA,DG!$F$6,0)</f>
        <v>0</v>
      </c>
      <c r="L773" s="329"/>
      <c r="M773" s="329">
        <f>VLOOKUP($B773,DONGIA,DG!$G$6,0)</f>
        <v>0</v>
      </c>
      <c r="N773" s="329">
        <f>$G773*H773</f>
        <v>437000</v>
      </c>
      <c r="O773" s="329">
        <f t="shared" si="644"/>
        <v>0</v>
      </c>
      <c r="P773" s="329">
        <f t="shared" si="644"/>
        <v>0</v>
      </c>
      <c r="Q773" s="329">
        <f t="shared" si="644"/>
        <v>0</v>
      </c>
      <c r="R773" s="329">
        <f t="shared" si="644"/>
        <v>0</v>
      </c>
      <c r="S773" s="329">
        <f t="shared" si="644"/>
        <v>0</v>
      </c>
      <c r="U773" s="329">
        <f t="shared" si="646"/>
        <v>0</v>
      </c>
      <c r="V773" s="329">
        <f t="shared" si="646"/>
        <v>0</v>
      </c>
      <c r="W773" s="329">
        <f t="shared" si="646"/>
        <v>0</v>
      </c>
      <c r="X773" s="329">
        <f t="shared" si="646"/>
        <v>0</v>
      </c>
      <c r="Y773" s="329">
        <f t="shared" si="646"/>
        <v>0</v>
      </c>
      <c r="Z773" s="329">
        <f t="shared" si="646"/>
        <v>0</v>
      </c>
      <c r="AA773" s="329">
        <f t="shared" si="646"/>
        <v>0</v>
      </c>
      <c r="AB773" s="329">
        <f t="shared" si="646"/>
        <v>0</v>
      </c>
      <c r="AD773" s="332">
        <f t="shared" si="630"/>
        <v>0.5</v>
      </c>
      <c r="AE773" s="329">
        <f t="shared" si="631"/>
        <v>0</v>
      </c>
      <c r="AF773" s="329">
        <f t="shared" si="632"/>
        <v>0</v>
      </c>
      <c r="AG773" s="329">
        <f t="shared" si="632"/>
        <v>0</v>
      </c>
      <c r="AH773" s="329">
        <f t="shared" si="632"/>
        <v>0</v>
      </c>
      <c r="AI773" s="329">
        <f t="shared" si="633"/>
        <v>0</v>
      </c>
      <c r="AJ773" s="329">
        <f t="shared" si="633"/>
        <v>0</v>
      </c>
      <c r="AK773" s="329">
        <f t="shared" si="633"/>
        <v>0</v>
      </c>
      <c r="AL773" s="329">
        <f t="shared" si="635"/>
        <v>0</v>
      </c>
    </row>
    <row r="774" spans="1:38" s="332" customFormat="1">
      <c r="A774" s="356" t="s">
        <v>1806</v>
      </c>
      <c r="B774" s="356"/>
      <c r="C774" s="355">
        <f>IF(G774&lt;&gt;0,1,)</f>
        <v>0</v>
      </c>
      <c r="D774" s="357"/>
      <c r="E774" s="358" t="s">
        <v>1711</v>
      </c>
      <c r="F774" s="357" t="s">
        <v>24</v>
      </c>
      <c r="G774" s="357">
        <f>U774</f>
        <v>0</v>
      </c>
      <c r="H774" s="358"/>
      <c r="I774" s="358"/>
      <c r="J774" s="358"/>
      <c r="K774" s="358"/>
      <c r="L774" s="358"/>
      <c r="M774" s="358"/>
      <c r="N774" s="358">
        <f t="shared" ref="N774:S774" si="647">SUM(N776:N778)</f>
        <v>588000</v>
      </c>
      <c r="O774" s="358">
        <f t="shared" si="647"/>
        <v>0</v>
      </c>
      <c r="P774" s="358">
        <f t="shared" si="647"/>
        <v>0</v>
      </c>
      <c r="Q774" s="358">
        <f t="shared" si="647"/>
        <v>59709</v>
      </c>
      <c r="R774" s="358">
        <f t="shared" si="647"/>
        <v>0</v>
      </c>
      <c r="S774" s="358">
        <f t="shared" si="647"/>
        <v>0</v>
      </c>
      <c r="U774" s="358">
        <f>SUM(V774:AB774)</f>
        <v>0</v>
      </c>
      <c r="V774" s="358">
        <f>IFERROR(HLOOKUP($A774,BK3P,V$3,0),)</f>
        <v>0</v>
      </c>
      <c r="W774" s="358">
        <f>IFERROR(HLOOKUP($A774,BK3P,W$3,0),)</f>
        <v>0</v>
      </c>
      <c r="X774" s="358">
        <f>IFERROR(HLOOKUP($A774,BK3P,X$3,0),)</f>
        <v>0</v>
      </c>
      <c r="Y774" s="358">
        <f>IFERROR(HLOOKUP($A774,BK1P,Y$3,0),)</f>
        <v>0</v>
      </c>
      <c r="Z774" s="358">
        <f>IFERROR(HLOOKUP($A774,BK1P,Z$3,0),)</f>
        <v>0</v>
      </c>
      <c r="AA774" s="358">
        <f>IFERROR(HLOOKUP($A774,BK1P,AA$3,0),)</f>
        <v>0</v>
      </c>
      <c r="AB774" s="358">
        <f>IFERROR(HLOOKUP($A774,BKHT,AB$3,0),)</f>
        <v>0</v>
      </c>
      <c r="AD774" s="332">
        <f t="shared" si="630"/>
        <v>0</v>
      </c>
      <c r="AE774" s="329">
        <f t="shared" si="631"/>
        <v>0</v>
      </c>
      <c r="AF774" s="329">
        <f t="shared" si="632"/>
        <v>0</v>
      </c>
      <c r="AG774" s="329">
        <f t="shared" si="632"/>
        <v>0</v>
      </c>
      <c r="AH774" s="329">
        <f t="shared" si="632"/>
        <v>0</v>
      </c>
      <c r="AI774" s="329">
        <f t="shared" si="633"/>
        <v>0</v>
      </c>
      <c r="AJ774" s="329">
        <f t="shared" si="633"/>
        <v>0</v>
      </c>
      <c r="AK774" s="329">
        <f t="shared" si="633"/>
        <v>0</v>
      </c>
      <c r="AL774" s="329">
        <f t="shared" si="635"/>
        <v>0</v>
      </c>
    </row>
    <row r="775" spans="1:38" s="361" customFormat="1">
      <c r="A775" s="359"/>
      <c r="B775" s="359"/>
      <c r="C775" s="360">
        <f>C774</f>
        <v>0</v>
      </c>
      <c r="D775" s="350"/>
      <c r="E775" s="351" t="s">
        <v>1659</v>
      </c>
      <c r="F775" s="350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U775" s="351"/>
      <c r="V775" s="351"/>
      <c r="W775" s="351"/>
      <c r="X775" s="351"/>
      <c r="Y775" s="351"/>
      <c r="Z775" s="351"/>
      <c r="AA775" s="351"/>
      <c r="AB775" s="351"/>
      <c r="AD775" s="332">
        <f t="shared" si="630"/>
        <v>0</v>
      </c>
      <c r="AE775" s="329">
        <f t="shared" si="631"/>
        <v>0</v>
      </c>
      <c r="AF775" s="329">
        <f t="shared" si="632"/>
        <v>0</v>
      </c>
      <c r="AG775" s="329">
        <f t="shared" si="632"/>
        <v>0</v>
      </c>
      <c r="AH775" s="329">
        <f t="shared" si="632"/>
        <v>0</v>
      </c>
      <c r="AI775" s="329">
        <f t="shared" si="633"/>
        <v>0</v>
      </c>
      <c r="AJ775" s="329">
        <f t="shared" si="633"/>
        <v>0</v>
      </c>
      <c r="AK775" s="329">
        <f t="shared" si="633"/>
        <v>0</v>
      </c>
      <c r="AL775" s="329">
        <f t="shared" si="635"/>
        <v>0</v>
      </c>
    </row>
    <row r="776" spans="1:38" s="332" customFormat="1">
      <c r="A776" s="356"/>
      <c r="B776" s="356" t="s">
        <v>1708</v>
      </c>
      <c r="C776" s="355">
        <f>IF(G776&lt;&gt;0,$C$774,)</f>
        <v>0</v>
      </c>
      <c r="D776" s="341" t="str">
        <f>VLOOKUP(B776,DONGIA,DG!$B$6,0)</f>
        <v>D3.2411</v>
      </c>
      <c r="E776" s="340" t="str">
        <f>VLOOKUP(B776,DONGIA,DG!$C$6,0)</f>
        <v>Sứ treo polymer</v>
      </c>
      <c r="F776" s="341" t="str">
        <f>VLOOKUP(B776,DONGIA,DG!$D$6,0)</f>
        <v>chuỗi</v>
      </c>
      <c r="G776" s="329">
        <v>1</v>
      </c>
      <c r="H776" s="329">
        <f>VLOOKUP($B776,DONGIA,DG!$E$6,0)</f>
        <v>200000</v>
      </c>
      <c r="I776" s="329"/>
      <c r="J776" s="329"/>
      <c r="K776" s="329">
        <f>VLOOKUP($B776,DONGIA,DG!$F$6,0)</f>
        <v>59709</v>
      </c>
      <c r="L776" s="329"/>
      <c r="M776" s="329">
        <f>VLOOKUP($B776,DONGIA,DG!$G$6,0)</f>
        <v>0</v>
      </c>
      <c r="N776" s="329">
        <f>$G776*H776</f>
        <v>200000</v>
      </c>
      <c r="O776" s="329">
        <f t="shared" ref="O776:S778" si="648">$G776*I776</f>
        <v>0</v>
      </c>
      <c r="P776" s="329">
        <f t="shared" si="648"/>
        <v>0</v>
      </c>
      <c r="Q776" s="329">
        <f t="shared" si="648"/>
        <v>59709</v>
      </c>
      <c r="R776" s="329">
        <f t="shared" si="648"/>
        <v>0</v>
      </c>
      <c r="S776" s="329">
        <f t="shared" si="648"/>
        <v>0</v>
      </c>
      <c r="U776" s="329">
        <f>U$774*$G776</f>
        <v>0</v>
      </c>
      <c r="V776" s="329">
        <f t="shared" ref="V776:AB776" si="649">V$774*$G776</f>
        <v>0</v>
      </c>
      <c r="W776" s="329">
        <f t="shared" si="649"/>
        <v>0</v>
      </c>
      <c r="X776" s="329">
        <f t="shared" si="649"/>
        <v>0</v>
      </c>
      <c r="Y776" s="329">
        <f t="shared" si="649"/>
        <v>0</v>
      </c>
      <c r="Z776" s="329">
        <f t="shared" si="649"/>
        <v>0</v>
      </c>
      <c r="AA776" s="329">
        <f t="shared" si="649"/>
        <v>0</v>
      </c>
      <c r="AB776" s="329">
        <f t="shared" si="649"/>
        <v>0</v>
      </c>
      <c r="AD776" s="332">
        <f t="shared" si="630"/>
        <v>0.3</v>
      </c>
      <c r="AE776" s="329">
        <f t="shared" si="631"/>
        <v>0</v>
      </c>
      <c r="AF776" s="329">
        <f t="shared" si="632"/>
        <v>0</v>
      </c>
      <c r="AG776" s="329">
        <f t="shared" si="632"/>
        <v>0</v>
      </c>
      <c r="AH776" s="329">
        <f t="shared" si="632"/>
        <v>0</v>
      </c>
      <c r="AI776" s="329">
        <f t="shared" si="633"/>
        <v>0</v>
      </c>
      <c r="AJ776" s="329">
        <f t="shared" si="633"/>
        <v>0</v>
      </c>
      <c r="AK776" s="329">
        <f t="shared" si="633"/>
        <v>0</v>
      </c>
      <c r="AL776" s="329">
        <f t="shared" si="635"/>
        <v>0</v>
      </c>
    </row>
    <row r="777" spans="1:38" s="332" customFormat="1">
      <c r="A777" s="356"/>
      <c r="B777" s="356" t="s">
        <v>376</v>
      </c>
      <c r="C777" s="355">
        <f>IF(G777&lt;&gt;0,$C$774,)</f>
        <v>0</v>
      </c>
      <c r="D777" s="341">
        <f>VLOOKUP(B777,DONGIA,DG!$B$6,0)</f>
        <v>0</v>
      </c>
      <c r="E777" s="340" t="str">
        <f>VLOOKUP(B777,DONGIA,DG!$C$6,0)</f>
        <v>Móc treo chữ U D16-100</v>
      </c>
      <c r="F777" s="341" t="str">
        <f>VLOOKUP(B777,DONGIA,DG!$D$6,0)</f>
        <v>cái</v>
      </c>
      <c r="G777" s="329">
        <v>2</v>
      </c>
      <c r="H777" s="329">
        <f>VLOOKUP($B777,DONGIA,DG!$E$6,0)</f>
        <v>25000</v>
      </c>
      <c r="I777" s="329"/>
      <c r="J777" s="329"/>
      <c r="K777" s="329">
        <f>VLOOKUP($B777,DONGIA,DG!$F$6,0)</f>
        <v>0</v>
      </c>
      <c r="L777" s="329"/>
      <c r="M777" s="329">
        <f>VLOOKUP($B777,DONGIA,DG!$G$6,0)</f>
        <v>0</v>
      </c>
      <c r="N777" s="329">
        <f>$G777*H777</f>
        <v>50000</v>
      </c>
      <c r="O777" s="329">
        <f t="shared" si="648"/>
        <v>0</v>
      </c>
      <c r="P777" s="329">
        <f t="shared" si="648"/>
        <v>0</v>
      </c>
      <c r="Q777" s="329">
        <f t="shared" si="648"/>
        <v>0</v>
      </c>
      <c r="R777" s="329">
        <f t="shared" si="648"/>
        <v>0</v>
      </c>
      <c r="S777" s="329">
        <f t="shared" si="648"/>
        <v>0</v>
      </c>
      <c r="U777" s="329">
        <f t="shared" ref="U777:AB778" si="650">U$774*$G777</f>
        <v>0</v>
      </c>
      <c r="V777" s="329">
        <f t="shared" si="650"/>
        <v>0</v>
      </c>
      <c r="W777" s="329">
        <f t="shared" si="650"/>
        <v>0</v>
      </c>
      <c r="X777" s="329">
        <f t="shared" si="650"/>
        <v>0</v>
      </c>
      <c r="Y777" s="329">
        <f t="shared" si="650"/>
        <v>0</v>
      </c>
      <c r="Z777" s="329">
        <f t="shared" si="650"/>
        <v>0</v>
      </c>
      <c r="AA777" s="329">
        <f t="shared" si="650"/>
        <v>0</v>
      </c>
      <c r="AB777" s="329">
        <f t="shared" si="650"/>
        <v>0</v>
      </c>
      <c r="AD777" s="332">
        <f t="shared" si="630"/>
        <v>0.3</v>
      </c>
      <c r="AE777" s="329">
        <f t="shared" si="631"/>
        <v>0</v>
      </c>
      <c r="AF777" s="329">
        <f t="shared" si="632"/>
        <v>0</v>
      </c>
      <c r="AG777" s="329">
        <f t="shared" si="632"/>
        <v>0</v>
      </c>
      <c r="AH777" s="329">
        <f t="shared" si="632"/>
        <v>0</v>
      </c>
      <c r="AI777" s="329">
        <f t="shared" si="633"/>
        <v>0</v>
      </c>
      <c r="AJ777" s="329">
        <f t="shared" si="633"/>
        <v>0</v>
      </c>
      <c r="AK777" s="329">
        <f t="shared" si="633"/>
        <v>0</v>
      </c>
      <c r="AL777" s="329">
        <f t="shared" si="635"/>
        <v>0</v>
      </c>
    </row>
    <row r="778" spans="1:38" s="332" customFormat="1">
      <c r="A778" s="356"/>
      <c r="B778" s="356" t="s">
        <v>361</v>
      </c>
      <c r="C778" s="355">
        <f>IF(G778&lt;&gt;0,$C$774,)</f>
        <v>0</v>
      </c>
      <c r="D778" s="341">
        <f>VLOOKUP(B778,DONGIA,DG!$B$6,0)</f>
        <v>0</v>
      </c>
      <c r="E778" s="340" t="str">
        <f>VLOOKUP(B778,DONGIA,DG!$C$6,0)</f>
        <v>Giáp níu dừng dây bọc 120 + Yếm móng U + Mắt nối yếm</v>
      </c>
      <c r="F778" s="341" t="str">
        <f>VLOOKUP(B778,DONGIA,DG!$D$6,0)</f>
        <v>bộ</v>
      </c>
      <c r="G778" s="329">
        <v>1</v>
      </c>
      <c r="H778" s="329">
        <f>VLOOKUP($B778,DONGIA,DG!$E$6,0)</f>
        <v>338000</v>
      </c>
      <c r="I778" s="329"/>
      <c r="J778" s="329"/>
      <c r="K778" s="329">
        <f>VLOOKUP($B778,DONGIA,DG!$F$6,0)</f>
        <v>0</v>
      </c>
      <c r="L778" s="329"/>
      <c r="M778" s="329">
        <f>VLOOKUP($B778,DONGIA,DG!$G$6,0)</f>
        <v>0</v>
      </c>
      <c r="N778" s="329">
        <f>$G778*H778</f>
        <v>338000</v>
      </c>
      <c r="O778" s="329">
        <f t="shared" si="648"/>
        <v>0</v>
      </c>
      <c r="P778" s="329">
        <f t="shared" si="648"/>
        <v>0</v>
      </c>
      <c r="Q778" s="329">
        <f t="shared" si="648"/>
        <v>0</v>
      </c>
      <c r="R778" s="329">
        <f t="shared" si="648"/>
        <v>0</v>
      </c>
      <c r="S778" s="329">
        <f t="shared" si="648"/>
        <v>0</v>
      </c>
      <c r="U778" s="329">
        <f t="shared" si="650"/>
        <v>0</v>
      </c>
      <c r="V778" s="329">
        <f t="shared" si="650"/>
        <v>0</v>
      </c>
      <c r="W778" s="329">
        <f t="shared" si="650"/>
        <v>0</v>
      </c>
      <c r="X778" s="329">
        <f t="shared" si="650"/>
        <v>0</v>
      </c>
      <c r="Y778" s="329">
        <f t="shared" si="650"/>
        <v>0</v>
      </c>
      <c r="Z778" s="329">
        <f t="shared" si="650"/>
        <v>0</v>
      </c>
      <c r="AA778" s="329">
        <f t="shared" si="650"/>
        <v>0</v>
      </c>
      <c r="AB778" s="329">
        <f t="shared" si="650"/>
        <v>0</v>
      </c>
      <c r="AD778" s="332">
        <f t="shared" si="630"/>
        <v>0.5</v>
      </c>
      <c r="AE778" s="329">
        <f t="shared" si="631"/>
        <v>0</v>
      </c>
      <c r="AF778" s="329">
        <f t="shared" si="632"/>
        <v>0</v>
      </c>
      <c r="AG778" s="329">
        <f t="shared" si="632"/>
        <v>0</v>
      </c>
      <c r="AH778" s="329">
        <f t="shared" si="632"/>
        <v>0</v>
      </c>
      <c r="AI778" s="329">
        <f t="shared" si="633"/>
        <v>0</v>
      </c>
      <c r="AJ778" s="329">
        <f t="shared" si="633"/>
        <v>0</v>
      </c>
      <c r="AK778" s="329">
        <f t="shared" si="633"/>
        <v>0</v>
      </c>
      <c r="AL778" s="329">
        <f t="shared" si="635"/>
        <v>0</v>
      </c>
    </row>
    <row r="779" spans="1:38" s="332" customFormat="1">
      <c r="A779" s="356" t="s">
        <v>1807</v>
      </c>
      <c r="B779" s="356"/>
      <c r="C779" s="355">
        <f>IF(G779&lt;&gt;0,1,)</f>
        <v>0</v>
      </c>
      <c r="D779" s="357"/>
      <c r="E779" s="358" t="s">
        <v>1712</v>
      </c>
      <c r="F779" s="357" t="s">
        <v>24</v>
      </c>
      <c r="G779" s="357">
        <f>U779</f>
        <v>0</v>
      </c>
      <c r="H779" s="358"/>
      <c r="I779" s="358"/>
      <c r="J779" s="358"/>
      <c r="K779" s="358"/>
      <c r="L779" s="358"/>
      <c r="M779" s="358"/>
      <c r="N779" s="358">
        <f t="shared" ref="N779:S779" si="651">SUM(N781:N783)</f>
        <v>588000</v>
      </c>
      <c r="O779" s="358">
        <f t="shared" si="651"/>
        <v>0</v>
      </c>
      <c r="P779" s="358">
        <f t="shared" si="651"/>
        <v>0</v>
      </c>
      <c r="Q779" s="358">
        <f t="shared" si="651"/>
        <v>59709</v>
      </c>
      <c r="R779" s="358">
        <f t="shared" si="651"/>
        <v>0</v>
      </c>
      <c r="S779" s="358">
        <f t="shared" si="651"/>
        <v>0</v>
      </c>
      <c r="U779" s="358">
        <f>SUM(V779:AB779)</f>
        <v>0</v>
      </c>
      <c r="V779" s="358">
        <f>IFERROR(HLOOKUP($A779,BK3P,V$3,0),)</f>
        <v>0</v>
      </c>
      <c r="W779" s="358">
        <f>IFERROR(HLOOKUP($A779,BK3P,W$3,0),)</f>
        <v>0</v>
      </c>
      <c r="X779" s="358">
        <f>IFERROR(HLOOKUP($A779,BK3P,X$3,0),)</f>
        <v>0</v>
      </c>
      <c r="Y779" s="358">
        <f>IFERROR(HLOOKUP($A779,BK1P,Y$3,0),)</f>
        <v>0</v>
      </c>
      <c r="Z779" s="358">
        <f>IFERROR(HLOOKUP($A779,BK1P,Z$3,0),)</f>
        <v>0</v>
      </c>
      <c r="AA779" s="358">
        <f>IFERROR(HLOOKUP($A779,BK1P,AA$3,0),)</f>
        <v>0</v>
      </c>
      <c r="AB779" s="358">
        <f>IFERROR(HLOOKUP($A779,BKHT,AB$3,0),)</f>
        <v>0</v>
      </c>
      <c r="AD779" s="332">
        <f t="shared" si="630"/>
        <v>0</v>
      </c>
      <c r="AE779" s="329">
        <f t="shared" si="631"/>
        <v>0</v>
      </c>
      <c r="AF779" s="329">
        <f t="shared" si="632"/>
        <v>0</v>
      </c>
      <c r="AG779" s="329">
        <f t="shared" si="632"/>
        <v>0</v>
      </c>
      <c r="AH779" s="329">
        <f t="shared" si="632"/>
        <v>0</v>
      </c>
      <c r="AI779" s="329">
        <f t="shared" si="633"/>
        <v>0</v>
      </c>
      <c r="AJ779" s="329">
        <f t="shared" si="633"/>
        <v>0</v>
      </c>
      <c r="AK779" s="329">
        <f t="shared" si="633"/>
        <v>0</v>
      </c>
      <c r="AL779" s="329">
        <f t="shared" si="635"/>
        <v>0</v>
      </c>
    </row>
    <row r="780" spans="1:38" s="361" customFormat="1">
      <c r="A780" s="359"/>
      <c r="B780" s="359"/>
      <c r="C780" s="360">
        <f>C779</f>
        <v>0</v>
      </c>
      <c r="D780" s="350"/>
      <c r="E780" s="351" t="s">
        <v>1659</v>
      </c>
      <c r="F780" s="350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U780" s="351"/>
      <c r="V780" s="351"/>
      <c r="W780" s="351"/>
      <c r="X780" s="351"/>
      <c r="Y780" s="351"/>
      <c r="Z780" s="351"/>
      <c r="AA780" s="351"/>
      <c r="AB780" s="351"/>
      <c r="AD780" s="332">
        <f t="shared" si="630"/>
        <v>0</v>
      </c>
      <c r="AE780" s="329">
        <f t="shared" si="631"/>
        <v>0</v>
      </c>
      <c r="AF780" s="329">
        <f t="shared" si="632"/>
        <v>0</v>
      </c>
      <c r="AG780" s="329">
        <f t="shared" si="632"/>
        <v>0</v>
      </c>
      <c r="AH780" s="329">
        <f t="shared" si="632"/>
        <v>0</v>
      </c>
      <c r="AI780" s="329">
        <f t="shared" si="633"/>
        <v>0</v>
      </c>
      <c r="AJ780" s="329">
        <f t="shared" si="633"/>
        <v>0</v>
      </c>
      <c r="AK780" s="329">
        <f t="shared" si="633"/>
        <v>0</v>
      </c>
      <c r="AL780" s="329">
        <f t="shared" si="635"/>
        <v>0</v>
      </c>
    </row>
    <row r="781" spans="1:38" s="332" customFormat="1">
      <c r="A781" s="356"/>
      <c r="B781" s="356" t="s">
        <v>1708</v>
      </c>
      <c r="C781" s="355">
        <f>IF(G781&lt;&gt;0,$C$779,)</f>
        <v>0</v>
      </c>
      <c r="D781" s="341" t="str">
        <f>VLOOKUP(B781,DONGIA,DG!$B$6,0)</f>
        <v>D3.2411</v>
      </c>
      <c r="E781" s="340" t="str">
        <f>VLOOKUP(B781,DONGIA,DG!$C$6,0)</f>
        <v>Sứ treo polymer</v>
      </c>
      <c r="F781" s="341" t="str">
        <f>VLOOKUP(B781,DONGIA,DG!$D$6,0)</f>
        <v>chuỗi</v>
      </c>
      <c r="G781" s="329">
        <v>1</v>
      </c>
      <c r="H781" s="329">
        <f>VLOOKUP($B781,DONGIA,DG!$E$6,0)</f>
        <v>200000</v>
      </c>
      <c r="I781" s="329"/>
      <c r="J781" s="329"/>
      <c r="K781" s="329">
        <f>VLOOKUP($B781,DONGIA,DG!$F$6,0)</f>
        <v>59709</v>
      </c>
      <c r="L781" s="329"/>
      <c r="M781" s="329">
        <f>VLOOKUP($B781,DONGIA,DG!$G$6,0)</f>
        <v>0</v>
      </c>
      <c r="N781" s="329">
        <f>$G781*H781</f>
        <v>200000</v>
      </c>
      <c r="O781" s="329">
        <f t="shared" ref="O781:S783" si="652">$G781*I781</f>
        <v>0</v>
      </c>
      <c r="P781" s="329">
        <f t="shared" si="652"/>
        <v>0</v>
      </c>
      <c r="Q781" s="329">
        <f t="shared" si="652"/>
        <v>59709</v>
      </c>
      <c r="R781" s="329">
        <f t="shared" si="652"/>
        <v>0</v>
      </c>
      <c r="S781" s="329">
        <f t="shared" si="652"/>
        <v>0</v>
      </c>
      <c r="U781" s="329">
        <f>U$779*$G781</f>
        <v>0</v>
      </c>
      <c r="V781" s="329">
        <f t="shared" ref="V781:AB781" si="653">V$779*$G781</f>
        <v>0</v>
      </c>
      <c r="W781" s="329">
        <f t="shared" si="653"/>
        <v>0</v>
      </c>
      <c r="X781" s="329">
        <f t="shared" si="653"/>
        <v>0</v>
      </c>
      <c r="Y781" s="329">
        <f t="shared" si="653"/>
        <v>0</v>
      </c>
      <c r="Z781" s="329">
        <f t="shared" si="653"/>
        <v>0</v>
      </c>
      <c r="AA781" s="329">
        <f t="shared" si="653"/>
        <v>0</v>
      </c>
      <c r="AB781" s="329">
        <f t="shared" si="653"/>
        <v>0</v>
      </c>
      <c r="AD781" s="332">
        <f t="shared" si="630"/>
        <v>0.3</v>
      </c>
      <c r="AE781" s="329">
        <f t="shared" si="631"/>
        <v>0</v>
      </c>
      <c r="AF781" s="329">
        <f t="shared" si="632"/>
        <v>0</v>
      </c>
      <c r="AG781" s="329">
        <f t="shared" si="632"/>
        <v>0</v>
      </c>
      <c r="AH781" s="329">
        <f t="shared" si="632"/>
        <v>0</v>
      </c>
      <c r="AI781" s="329">
        <f t="shared" si="633"/>
        <v>0</v>
      </c>
      <c r="AJ781" s="329">
        <f t="shared" si="633"/>
        <v>0</v>
      </c>
      <c r="AK781" s="329">
        <f t="shared" si="633"/>
        <v>0</v>
      </c>
      <c r="AL781" s="329">
        <f t="shared" si="635"/>
        <v>0</v>
      </c>
    </row>
    <row r="782" spans="1:38" s="332" customFormat="1">
      <c r="A782" s="356"/>
      <c r="B782" s="356" t="s">
        <v>376</v>
      </c>
      <c r="C782" s="355">
        <f>IF(G782&lt;&gt;0,$C$779,)</f>
        <v>0</v>
      </c>
      <c r="D782" s="341">
        <f>VLOOKUP(B782,DONGIA,DG!$B$6,0)</f>
        <v>0</v>
      </c>
      <c r="E782" s="340" t="str">
        <f>VLOOKUP(B782,DONGIA,DG!$C$6,0)</f>
        <v>Móc treo chữ U D16-100</v>
      </c>
      <c r="F782" s="341" t="str">
        <f>VLOOKUP(B782,DONGIA,DG!$D$6,0)</f>
        <v>cái</v>
      </c>
      <c r="G782" s="329">
        <v>2</v>
      </c>
      <c r="H782" s="329">
        <f>VLOOKUP($B782,DONGIA,DG!$E$6,0)</f>
        <v>25000</v>
      </c>
      <c r="I782" s="329"/>
      <c r="J782" s="329"/>
      <c r="K782" s="329">
        <f>VLOOKUP($B782,DONGIA,DG!$F$6,0)</f>
        <v>0</v>
      </c>
      <c r="L782" s="329"/>
      <c r="M782" s="329">
        <f>VLOOKUP($B782,DONGIA,DG!$G$6,0)</f>
        <v>0</v>
      </c>
      <c r="N782" s="329">
        <f>$G782*H782</f>
        <v>50000</v>
      </c>
      <c r="O782" s="329">
        <f t="shared" si="652"/>
        <v>0</v>
      </c>
      <c r="P782" s="329">
        <f t="shared" si="652"/>
        <v>0</v>
      </c>
      <c r="Q782" s="329">
        <f t="shared" si="652"/>
        <v>0</v>
      </c>
      <c r="R782" s="329">
        <f t="shared" si="652"/>
        <v>0</v>
      </c>
      <c r="S782" s="329">
        <f t="shared" si="652"/>
        <v>0</v>
      </c>
      <c r="U782" s="329">
        <f t="shared" ref="U782:AB783" si="654">U$779*$G782</f>
        <v>0</v>
      </c>
      <c r="V782" s="329">
        <f t="shared" si="654"/>
        <v>0</v>
      </c>
      <c r="W782" s="329">
        <f t="shared" si="654"/>
        <v>0</v>
      </c>
      <c r="X782" s="329">
        <f t="shared" si="654"/>
        <v>0</v>
      </c>
      <c r="Y782" s="329">
        <f t="shared" si="654"/>
        <v>0</v>
      </c>
      <c r="Z782" s="329">
        <f t="shared" si="654"/>
        <v>0</v>
      </c>
      <c r="AA782" s="329">
        <f t="shared" si="654"/>
        <v>0</v>
      </c>
      <c r="AB782" s="329">
        <f t="shared" si="654"/>
        <v>0</v>
      </c>
      <c r="AD782" s="332">
        <f t="shared" si="630"/>
        <v>0.3</v>
      </c>
      <c r="AE782" s="329">
        <f t="shared" si="631"/>
        <v>0</v>
      </c>
      <c r="AF782" s="329">
        <f t="shared" si="632"/>
        <v>0</v>
      </c>
      <c r="AG782" s="329">
        <f t="shared" si="632"/>
        <v>0</v>
      </c>
      <c r="AH782" s="329">
        <f t="shared" si="632"/>
        <v>0</v>
      </c>
      <c r="AI782" s="329">
        <f t="shared" si="633"/>
        <v>0</v>
      </c>
      <c r="AJ782" s="329">
        <f t="shared" si="633"/>
        <v>0</v>
      </c>
      <c r="AK782" s="329">
        <f t="shared" si="633"/>
        <v>0</v>
      </c>
      <c r="AL782" s="329">
        <f t="shared" si="635"/>
        <v>0</v>
      </c>
    </row>
    <row r="783" spans="1:38" s="332" customFormat="1">
      <c r="A783" s="356"/>
      <c r="B783" s="356" t="s">
        <v>359</v>
      </c>
      <c r="C783" s="355">
        <f>IF(G783&lt;&gt;0,$C$779,)</f>
        <v>0</v>
      </c>
      <c r="D783" s="341">
        <f>VLOOKUP(B783,DONGIA,DG!$B$6,0)</f>
        <v>0</v>
      </c>
      <c r="E783" s="340" t="str">
        <f>VLOOKUP(B783,DONGIA,DG!$C$6,0)</f>
        <v>Giáp níu dừng dây bọc 150 + Yếm móng U + Mắt nối yếm</v>
      </c>
      <c r="F783" s="341" t="str">
        <f>VLOOKUP(B783,DONGIA,DG!$D$6,0)</f>
        <v>bộ</v>
      </c>
      <c r="G783" s="329">
        <v>1</v>
      </c>
      <c r="H783" s="329">
        <f>VLOOKUP($B783,DONGIA,DG!$E$6,0)</f>
        <v>338000</v>
      </c>
      <c r="I783" s="329"/>
      <c r="J783" s="329"/>
      <c r="K783" s="329">
        <f>VLOOKUP($B783,DONGIA,DG!$F$6,0)</f>
        <v>0</v>
      </c>
      <c r="L783" s="329"/>
      <c r="M783" s="329">
        <f>VLOOKUP($B783,DONGIA,DG!$G$6,0)</f>
        <v>0</v>
      </c>
      <c r="N783" s="329">
        <f>$G783*H783</f>
        <v>338000</v>
      </c>
      <c r="O783" s="329">
        <f t="shared" si="652"/>
        <v>0</v>
      </c>
      <c r="P783" s="329">
        <f t="shared" si="652"/>
        <v>0</v>
      </c>
      <c r="Q783" s="329">
        <f t="shared" si="652"/>
        <v>0</v>
      </c>
      <c r="R783" s="329">
        <f t="shared" si="652"/>
        <v>0</v>
      </c>
      <c r="S783" s="329">
        <f t="shared" si="652"/>
        <v>0</v>
      </c>
      <c r="U783" s="329">
        <f t="shared" si="654"/>
        <v>0</v>
      </c>
      <c r="V783" s="329">
        <f t="shared" si="654"/>
        <v>0</v>
      </c>
      <c r="W783" s="329">
        <f t="shared" si="654"/>
        <v>0</v>
      </c>
      <c r="X783" s="329">
        <f t="shared" si="654"/>
        <v>0</v>
      </c>
      <c r="Y783" s="329">
        <f t="shared" si="654"/>
        <v>0</v>
      </c>
      <c r="Z783" s="329">
        <f t="shared" si="654"/>
        <v>0</v>
      </c>
      <c r="AA783" s="329">
        <f t="shared" si="654"/>
        <v>0</v>
      </c>
      <c r="AB783" s="329">
        <f t="shared" si="654"/>
        <v>0</v>
      </c>
      <c r="AD783" s="332">
        <f t="shared" si="630"/>
        <v>0.5</v>
      </c>
      <c r="AE783" s="329">
        <f t="shared" si="631"/>
        <v>0</v>
      </c>
      <c r="AF783" s="329">
        <f t="shared" si="632"/>
        <v>0</v>
      </c>
      <c r="AG783" s="329">
        <f t="shared" si="632"/>
        <v>0</v>
      </c>
      <c r="AH783" s="329">
        <f t="shared" si="632"/>
        <v>0</v>
      </c>
      <c r="AI783" s="329">
        <f t="shared" si="633"/>
        <v>0</v>
      </c>
      <c r="AJ783" s="329">
        <f t="shared" si="633"/>
        <v>0</v>
      </c>
      <c r="AK783" s="329">
        <f t="shared" si="633"/>
        <v>0</v>
      </c>
      <c r="AL783" s="329">
        <f t="shared" si="635"/>
        <v>0</v>
      </c>
    </row>
    <row r="784" spans="1:38" s="332" customFormat="1">
      <c r="A784" s="356" t="s">
        <v>1808</v>
      </c>
      <c r="B784" s="356"/>
      <c r="C784" s="355">
        <f>IF(G784&lt;&gt;0,1,)</f>
        <v>0</v>
      </c>
      <c r="D784" s="357"/>
      <c r="E784" s="358" t="s">
        <v>1713</v>
      </c>
      <c r="F784" s="357" t="s">
        <v>24</v>
      </c>
      <c r="G784" s="357">
        <f>U784</f>
        <v>0</v>
      </c>
      <c r="H784" s="358"/>
      <c r="I784" s="358"/>
      <c r="J784" s="358"/>
      <c r="K784" s="358"/>
      <c r="L784" s="358"/>
      <c r="M784" s="358"/>
      <c r="N784" s="358">
        <f t="shared" ref="N784:S784" si="655">SUM(N786:N788)</f>
        <v>588000</v>
      </c>
      <c r="O784" s="358">
        <f t="shared" si="655"/>
        <v>0</v>
      </c>
      <c r="P784" s="358">
        <f t="shared" si="655"/>
        <v>0</v>
      </c>
      <c r="Q784" s="358">
        <f t="shared" si="655"/>
        <v>59709</v>
      </c>
      <c r="R784" s="358">
        <f t="shared" si="655"/>
        <v>0</v>
      </c>
      <c r="S784" s="358">
        <f t="shared" si="655"/>
        <v>0</v>
      </c>
      <c r="U784" s="358">
        <f>SUM(V784:AB784)</f>
        <v>0</v>
      </c>
      <c r="V784" s="358">
        <f>IFERROR(HLOOKUP($A784,BK3P,V$3,0),)</f>
        <v>0</v>
      </c>
      <c r="W784" s="358">
        <f>IFERROR(HLOOKUP($A784,BK3P,W$3,0),)</f>
        <v>0</v>
      </c>
      <c r="X784" s="358">
        <f>IFERROR(HLOOKUP($A784,BK3P,X$3,0),)</f>
        <v>0</v>
      </c>
      <c r="Y784" s="358">
        <f>IFERROR(HLOOKUP($A784,BK1P,Y$3,0),)</f>
        <v>0</v>
      </c>
      <c r="Z784" s="358">
        <f>IFERROR(HLOOKUP($A784,BK1P,Z$3,0),)</f>
        <v>0</v>
      </c>
      <c r="AA784" s="358">
        <f>IFERROR(HLOOKUP($A784,BK1P,AA$3,0),)</f>
        <v>0</v>
      </c>
      <c r="AB784" s="358">
        <f>IFERROR(HLOOKUP($A784,BKHT,AB$3,0),)</f>
        <v>0</v>
      </c>
      <c r="AD784" s="332">
        <f t="shared" si="630"/>
        <v>0</v>
      </c>
      <c r="AE784" s="329">
        <f t="shared" si="631"/>
        <v>0</v>
      </c>
      <c r="AF784" s="329">
        <f t="shared" si="632"/>
        <v>0</v>
      </c>
      <c r="AG784" s="329">
        <f t="shared" si="632"/>
        <v>0</v>
      </c>
      <c r="AH784" s="329">
        <f t="shared" si="632"/>
        <v>0</v>
      </c>
      <c r="AI784" s="329">
        <f t="shared" si="633"/>
        <v>0</v>
      </c>
      <c r="AJ784" s="329">
        <f t="shared" si="633"/>
        <v>0</v>
      </c>
      <c r="AK784" s="329">
        <f t="shared" si="633"/>
        <v>0</v>
      </c>
      <c r="AL784" s="329">
        <f t="shared" si="635"/>
        <v>0</v>
      </c>
    </row>
    <row r="785" spans="1:38" s="361" customFormat="1">
      <c r="A785" s="359"/>
      <c r="B785" s="359"/>
      <c r="C785" s="360">
        <f>C784</f>
        <v>0</v>
      </c>
      <c r="D785" s="350"/>
      <c r="E785" s="351" t="s">
        <v>1659</v>
      </c>
      <c r="F785" s="350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U785" s="351"/>
      <c r="V785" s="351"/>
      <c r="W785" s="351"/>
      <c r="X785" s="351"/>
      <c r="Y785" s="351"/>
      <c r="Z785" s="351"/>
      <c r="AA785" s="351"/>
      <c r="AB785" s="351"/>
      <c r="AD785" s="332">
        <f t="shared" si="630"/>
        <v>0</v>
      </c>
      <c r="AE785" s="329">
        <f t="shared" si="631"/>
        <v>0</v>
      </c>
      <c r="AF785" s="329">
        <f t="shared" si="632"/>
        <v>0</v>
      </c>
      <c r="AG785" s="329">
        <f t="shared" si="632"/>
        <v>0</v>
      </c>
      <c r="AH785" s="329">
        <f t="shared" si="632"/>
        <v>0</v>
      </c>
      <c r="AI785" s="329">
        <f t="shared" si="633"/>
        <v>0</v>
      </c>
      <c r="AJ785" s="329">
        <f t="shared" si="633"/>
        <v>0</v>
      </c>
      <c r="AK785" s="329">
        <f t="shared" si="633"/>
        <v>0</v>
      </c>
      <c r="AL785" s="329">
        <f t="shared" si="635"/>
        <v>0</v>
      </c>
    </row>
    <row r="786" spans="1:38" s="332" customFormat="1">
      <c r="A786" s="356"/>
      <c r="B786" s="356" t="s">
        <v>1708</v>
      </c>
      <c r="C786" s="355">
        <f>IF(G786&lt;&gt;0,$C$784,)</f>
        <v>0</v>
      </c>
      <c r="D786" s="341" t="str">
        <f>VLOOKUP(B786,DONGIA,DG!$B$6,0)</f>
        <v>D3.2411</v>
      </c>
      <c r="E786" s="340" t="str">
        <f>VLOOKUP(B786,DONGIA,DG!$C$6,0)</f>
        <v>Sứ treo polymer</v>
      </c>
      <c r="F786" s="341" t="str">
        <f>VLOOKUP(B786,DONGIA,DG!$D$6,0)</f>
        <v>chuỗi</v>
      </c>
      <c r="G786" s="329">
        <v>1</v>
      </c>
      <c r="H786" s="329">
        <f>VLOOKUP($B786,DONGIA,DG!$E$6,0)</f>
        <v>200000</v>
      </c>
      <c r="I786" s="329"/>
      <c r="J786" s="329"/>
      <c r="K786" s="329">
        <f>VLOOKUP($B786,DONGIA,DG!$F$6,0)</f>
        <v>59709</v>
      </c>
      <c r="L786" s="329"/>
      <c r="M786" s="329">
        <f>VLOOKUP($B786,DONGIA,DG!$G$6,0)</f>
        <v>0</v>
      </c>
      <c r="N786" s="329">
        <f>$G786*H786</f>
        <v>200000</v>
      </c>
      <c r="O786" s="329">
        <f t="shared" ref="O786:S788" si="656">$G786*I786</f>
        <v>0</v>
      </c>
      <c r="P786" s="329">
        <f t="shared" si="656"/>
        <v>0</v>
      </c>
      <c r="Q786" s="329">
        <f t="shared" si="656"/>
        <v>59709</v>
      </c>
      <c r="R786" s="329">
        <f t="shared" si="656"/>
        <v>0</v>
      </c>
      <c r="S786" s="329">
        <f t="shared" si="656"/>
        <v>0</v>
      </c>
      <c r="U786" s="329">
        <f>U$784*$G786</f>
        <v>0</v>
      </c>
      <c r="V786" s="329">
        <f t="shared" ref="V786:AB786" si="657">V$784*$G786</f>
        <v>0</v>
      </c>
      <c r="W786" s="329">
        <f t="shared" si="657"/>
        <v>0</v>
      </c>
      <c r="X786" s="329">
        <f t="shared" si="657"/>
        <v>0</v>
      </c>
      <c r="Y786" s="329">
        <f t="shared" si="657"/>
        <v>0</v>
      </c>
      <c r="Z786" s="329">
        <f t="shared" si="657"/>
        <v>0</v>
      </c>
      <c r="AA786" s="329">
        <f t="shared" si="657"/>
        <v>0</v>
      </c>
      <c r="AB786" s="329">
        <f t="shared" si="657"/>
        <v>0</v>
      </c>
      <c r="AD786" s="332">
        <f t="shared" si="630"/>
        <v>0.3</v>
      </c>
      <c r="AE786" s="329">
        <f t="shared" si="631"/>
        <v>0</v>
      </c>
      <c r="AF786" s="329">
        <f t="shared" si="632"/>
        <v>0</v>
      </c>
      <c r="AG786" s="329">
        <f t="shared" si="632"/>
        <v>0</v>
      </c>
      <c r="AH786" s="329">
        <f t="shared" si="632"/>
        <v>0</v>
      </c>
      <c r="AI786" s="329">
        <f t="shared" si="633"/>
        <v>0</v>
      </c>
      <c r="AJ786" s="329">
        <f t="shared" si="633"/>
        <v>0</v>
      </c>
      <c r="AK786" s="329">
        <f t="shared" si="633"/>
        <v>0</v>
      </c>
      <c r="AL786" s="329">
        <f t="shared" si="635"/>
        <v>0</v>
      </c>
    </row>
    <row r="787" spans="1:38" s="332" customFormat="1">
      <c r="A787" s="356"/>
      <c r="B787" s="356" t="s">
        <v>376</v>
      </c>
      <c r="C787" s="355">
        <f>IF(G787&lt;&gt;0,$C$784,)</f>
        <v>0</v>
      </c>
      <c r="D787" s="341">
        <f>VLOOKUP(B787,DONGIA,DG!$B$6,0)</f>
        <v>0</v>
      </c>
      <c r="E787" s="340" t="str">
        <f>VLOOKUP(B787,DONGIA,DG!$C$6,0)</f>
        <v>Móc treo chữ U D16-100</v>
      </c>
      <c r="F787" s="341" t="str">
        <f>VLOOKUP(B787,DONGIA,DG!$D$6,0)</f>
        <v>cái</v>
      </c>
      <c r="G787" s="329">
        <v>2</v>
      </c>
      <c r="H787" s="329">
        <f>VLOOKUP($B787,DONGIA,DG!$E$6,0)</f>
        <v>25000</v>
      </c>
      <c r="I787" s="329"/>
      <c r="J787" s="329"/>
      <c r="K787" s="329">
        <f>VLOOKUP($B787,DONGIA,DG!$F$6,0)</f>
        <v>0</v>
      </c>
      <c r="L787" s="329"/>
      <c r="M787" s="329">
        <f>VLOOKUP($B787,DONGIA,DG!$G$6,0)</f>
        <v>0</v>
      </c>
      <c r="N787" s="329">
        <f>$G787*H787</f>
        <v>50000</v>
      </c>
      <c r="O787" s="329">
        <f t="shared" si="656"/>
        <v>0</v>
      </c>
      <c r="P787" s="329">
        <f t="shared" si="656"/>
        <v>0</v>
      </c>
      <c r="Q787" s="329">
        <f t="shared" si="656"/>
        <v>0</v>
      </c>
      <c r="R787" s="329">
        <f t="shared" si="656"/>
        <v>0</v>
      </c>
      <c r="S787" s="329">
        <f t="shared" si="656"/>
        <v>0</v>
      </c>
      <c r="U787" s="329">
        <f t="shared" ref="U787:AB788" si="658">U$784*$G787</f>
        <v>0</v>
      </c>
      <c r="V787" s="329">
        <f t="shared" si="658"/>
        <v>0</v>
      </c>
      <c r="W787" s="329">
        <f t="shared" si="658"/>
        <v>0</v>
      </c>
      <c r="X787" s="329">
        <f t="shared" si="658"/>
        <v>0</v>
      </c>
      <c r="Y787" s="329">
        <f t="shared" si="658"/>
        <v>0</v>
      </c>
      <c r="Z787" s="329">
        <f t="shared" si="658"/>
        <v>0</v>
      </c>
      <c r="AA787" s="329">
        <f t="shared" si="658"/>
        <v>0</v>
      </c>
      <c r="AB787" s="329">
        <f t="shared" si="658"/>
        <v>0</v>
      </c>
      <c r="AD787" s="332">
        <f t="shared" si="630"/>
        <v>0.3</v>
      </c>
      <c r="AE787" s="329">
        <f t="shared" si="631"/>
        <v>0</v>
      </c>
      <c r="AF787" s="329">
        <f t="shared" si="632"/>
        <v>0</v>
      </c>
      <c r="AG787" s="329">
        <f t="shared" si="632"/>
        <v>0</v>
      </c>
      <c r="AH787" s="329">
        <f t="shared" si="632"/>
        <v>0</v>
      </c>
      <c r="AI787" s="329">
        <f t="shared" si="633"/>
        <v>0</v>
      </c>
      <c r="AJ787" s="329">
        <f t="shared" si="633"/>
        <v>0</v>
      </c>
      <c r="AK787" s="329">
        <f t="shared" si="633"/>
        <v>0</v>
      </c>
      <c r="AL787" s="329">
        <f t="shared" si="635"/>
        <v>0</v>
      </c>
    </row>
    <row r="788" spans="1:38" s="332" customFormat="1">
      <c r="A788" s="356"/>
      <c r="B788" s="356" t="s">
        <v>357</v>
      </c>
      <c r="C788" s="355">
        <f>IF(G788&lt;&gt;0,$C$784,)</f>
        <v>0</v>
      </c>
      <c r="D788" s="341">
        <f>VLOOKUP(B788,DONGIA,DG!$B$6,0)</f>
        <v>0</v>
      </c>
      <c r="E788" s="340" t="str">
        <f>VLOOKUP(B788,DONGIA,DG!$C$6,0)</f>
        <v>Giáp níu dừng dây bọc 185 + Yếm móng U + Mắt nối yếm</v>
      </c>
      <c r="F788" s="341" t="str">
        <f>VLOOKUP(B788,DONGIA,DG!$D$6,0)</f>
        <v>bộ</v>
      </c>
      <c r="G788" s="329">
        <v>1</v>
      </c>
      <c r="H788" s="329">
        <f>VLOOKUP($B788,DONGIA,DG!$E$6,0)</f>
        <v>338000</v>
      </c>
      <c r="I788" s="329"/>
      <c r="J788" s="329"/>
      <c r="K788" s="329">
        <f>VLOOKUP($B788,DONGIA,DG!$F$6,0)</f>
        <v>0</v>
      </c>
      <c r="L788" s="329"/>
      <c r="M788" s="329">
        <f>VLOOKUP($B788,DONGIA,DG!$G$6,0)</f>
        <v>0</v>
      </c>
      <c r="N788" s="329">
        <f>$G788*H788</f>
        <v>338000</v>
      </c>
      <c r="O788" s="329">
        <f t="shared" si="656"/>
        <v>0</v>
      </c>
      <c r="P788" s="329">
        <f t="shared" si="656"/>
        <v>0</v>
      </c>
      <c r="Q788" s="329">
        <f t="shared" si="656"/>
        <v>0</v>
      </c>
      <c r="R788" s="329">
        <f t="shared" si="656"/>
        <v>0</v>
      </c>
      <c r="S788" s="329">
        <f t="shared" si="656"/>
        <v>0</v>
      </c>
      <c r="U788" s="329">
        <f t="shared" si="658"/>
        <v>0</v>
      </c>
      <c r="V788" s="329">
        <f t="shared" si="658"/>
        <v>0</v>
      </c>
      <c r="W788" s="329">
        <f t="shared" si="658"/>
        <v>0</v>
      </c>
      <c r="X788" s="329">
        <f t="shared" si="658"/>
        <v>0</v>
      </c>
      <c r="Y788" s="329">
        <f t="shared" si="658"/>
        <v>0</v>
      </c>
      <c r="Z788" s="329">
        <f t="shared" si="658"/>
        <v>0</v>
      </c>
      <c r="AA788" s="329">
        <f t="shared" si="658"/>
        <v>0</v>
      </c>
      <c r="AB788" s="329">
        <f t="shared" si="658"/>
        <v>0</v>
      </c>
      <c r="AD788" s="332">
        <f t="shared" si="630"/>
        <v>0.5</v>
      </c>
      <c r="AE788" s="329">
        <f t="shared" si="631"/>
        <v>0</v>
      </c>
      <c r="AF788" s="329">
        <f t="shared" si="632"/>
        <v>0</v>
      </c>
      <c r="AG788" s="329">
        <f t="shared" si="632"/>
        <v>0</v>
      </c>
      <c r="AH788" s="329">
        <f t="shared" si="632"/>
        <v>0</v>
      </c>
      <c r="AI788" s="329">
        <f t="shared" si="633"/>
        <v>0</v>
      </c>
      <c r="AJ788" s="329">
        <f t="shared" si="633"/>
        <v>0</v>
      </c>
      <c r="AK788" s="329">
        <f t="shared" si="633"/>
        <v>0</v>
      </c>
      <c r="AL788" s="329">
        <f t="shared" si="635"/>
        <v>0</v>
      </c>
    </row>
    <row r="789" spans="1:38" s="332" customFormat="1">
      <c r="A789" s="356" t="s">
        <v>1809</v>
      </c>
      <c r="B789" s="356"/>
      <c r="C789" s="355">
        <f>IF(G789&lt;&gt;0,1,)</f>
        <v>0</v>
      </c>
      <c r="D789" s="357"/>
      <c r="E789" s="358" t="s">
        <v>1714</v>
      </c>
      <c r="F789" s="357" t="s">
        <v>24</v>
      </c>
      <c r="G789" s="357">
        <f>U789</f>
        <v>0</v>
      </c>
      <c r="H789" s="358"/>
      <c r="I789" s="358"/>
      <c r="J789" s="358"/>
      <c r="K789" s="358"/>
      <c r="L789" s="358"/>
      <c r="M789" s="358"/>
      <c r="N789" s="358">
        <f t="shared" ref="N789:S789" si="659">SUM(N791:N793)</f>
        <v>748000</v>
      </c>
      <c r="O789" s="358">
        <f t="shared" si="659"/>
        <v>0</v>
      </c>
      <c r="P789" s="358">
        <f t="shared" si="659"/>
        <v>0</v>
      </c>
      <c r="Q789" s="358">
        <f t="shared" si="659"/>
        <v>59709</v>
      </c>
      <c r="R789" s="358">
        <f t="shared" si="659"/>
        <v>0</v>
      </c>
      <c r="S789" s="358">
        <f t="shared" si="659"/>
        <v>0</v>
      </c>
      <c r="U789" s="358">
        <f>SUM(V789:AB789)</f>
        <v>0</v>
      </c>
      <c r="V789" s="358">
        <f>IFERROR(HLOOKUP($A789,BK3P,V$3,0),)</f>
        <v>0</v>
      </c>
      <c r="W789" s="358">
        <f>IFERROR(HLOOKUP($A789,BK3P,W$3,0),)</f>
        <v>0</v>
      </c>
      <c r="X789" s="358">
        <f>IFERROR(HLOOKUP($A789,BK3P,X$3,0),)</f>
        <v>0</v>
      </c>
      <c r="Y789" s="358">
        <f>IFERROR(HLOOKUP($A789,BK1P,Y$3,0),)</f>
        <v>0</v>
      </c>
      <c r="Z789" s="358">
        <f>IFERROR(HLOOKUP($A789,BK1P,Z$3,0),)</f>
        <v>0</v>
      </c>
      <c r="AA789" s="358">
        <f>IFERROR(HLOOKUP($A789,BK1P,AA$3,0),)</f>
        <v>0</v>
      </c>
      <c r="AB789" s="358">
        <f>IFERROR(HLOOKUP($A789,BKHT,AB$3,0),)</f>
        <v>0</v>
      </c>
      <c r="AD789" s="332">
        <f t="shared" si="630"/>
        <v>0</v>
      </c>
      <c r="AE789" s="329">
        <f t="shared" si="631"/>
        <v>0</v>
      </c>
      <c r="AF789" s="329">
        <f t="shared" si="632"/>
        <v>0</v>
      </c>
      <c r="AG789" s="329">
        <f t="shared" si="632"/>
        <v>0</v>
      </c>
      <c r="AH789" s="329">
        <f t="shared" si="632"/>
        <v>0</v>
      </c>
      <c r="AI789" s="329">
        <f t="shared" si="633"/>
        <v>0</v>
      </c>
      <c r="AJ789" s="329">
        <f t="shared" si="633"/>
        <v>0</v>
      </c>
      <c r="AK789" s="329">
        <f t="shared" si="633"/>
        <v>0</v>
      </c>
      <c r="AL789" s="329">
        <f t="shared" si="635"/>
        <v>0</v>
      </c>
    </row>
    <row r="790" spans="1:38" s="361" customFormat="1">
      <c r="A790" s="359"/>
      <c r="B790" s="359"/>
      <c r="C790" s="360">
        <f>C789</f>
        <v>0</v>
      </c>
      <c r="D790" s="350"/>
      <c r="E790" s="351" t="s">
        <v>1659</v>
      </c>
      <c r="F790" s="350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U790" s="351"/>
      <c r="V790" s="351"/>
      <c r="W790" s="351"/>
      <c r="X790" s="351"/>
      <c r="Y790" s="351"/>
      <c r="Z790" s="351"/>
      <c r="AA790" s="351"/>
      <c r="AB790" s="351"/>
      <c r="AD790" s="332">
        <f t="shared" si="630"/>
        <v>0</v>
      </c>
      <c r="AE790" s="329">
        <f t="shared" si="631"/>
        <v>0</v>
      </c>
      <c r="AF790" s="329">
        <f t="shared" si="632"/>
        <v>0</v>
      </c>
      <c r="AG790" s="329">
        <f t="shared" si="632"/>
        <v>0</v>
      </c>
      <c r="AH790" s="329">
        <f t="shared" si="632"/>
        <v>0</v>
      </c>
      <c r="AI790" s="329">
        <f t="shared" si="633"/>
        <v>0</v>
      </c>
      <c r="AJ790" s="329">
        <f t="shared" si="633"/>
        <v>0</v>
      </c>
      <c r="AK790" s="329">
        <f t="shared" si="633"/>
        <v>0</v>
      </c>
      <c r="AL790" s="329">
        <f t="shared" si="635"/>
        <v>0</v>
      </c>
    </row>
    <row r="791" spans="1:38" s="332" customFormat="1">
      <c r="A791" s="356"/>
      <c r="B791" s="356" t="s">
        <v>1708</v>
      </c>
      <c r="C791" s="355">
        <f>IF(G791&lt;&gt;0,$C$789,)</f>
        <v>0</v>
      </c>
      <c r="D791" s="341" t="str">
        <f>VLOOKUP(B791,DONGIA,DG!$B$6,0)</f>
        <v>D3.2411</v>
      </c>
      <c r="E791" s="340" t="str">
        <f>VLOOKUP(B791,DONGIA,DG!$C$6,0)</f>
        <v>Sứ treo polymer</v>
      </c>
      <c r="F791" s="341" t="str">
        <f>VLOOKUP(B791,DONGIA,DG!$D$6,0)</f>
        <v>chuỗi</v>
      </c>
      <c r="G791" s="329">
        <v>1</v>
      </c>
      <c r="H791" s="329">
        <f>VLOOKUP($B791,DONGIA,DG!$E$6,0)</f>
        <v>200000</v>
      </c>
      <c r="I791" s="329"/>
      <c r="J791" s="329"/>
      <c r="K791" s="329">
        <f>VLOOKUP($B791,DONGIA,DG!$F$6,0)</f>
        <v>59709</v>
      </c>
      <c r="L791" s="329"/>
      <c r="M791" s="329">
        <f>VLOOKUP($B791,DONGIA,DG!$G$6,0)</f>
        <v>0</v>
      </c>
      <c r="N791" s="329">
        <f>$G791*H791</f>
        <v>200000</v>
      </c>
      <c r="O791" s="329">
        <f t="shared" ref="O791:S793" si="660">$G791*I791</f>
        <v>0</v>
      </c>
      <c r="P791" s="329">
        <f t="shared" si="660"/>
        <v>0</v>
      </c>
      <c r="Q791" s="329">
        <f t="shared" si="660"/>
        <v>59709</v>
      </c>
      <c r="R791" s="329">
        <f t="shared" si="660"/>
        <v>0</v>
      </c>
      <c r="S791" s="329">
        <f t="shared" si="660"/>
        <v>0</v>
      </c>
      <c r="U791" s="329">
        <f>U$789*$G791</f>
        <v>0</v>
      </c>
      <c r="V791" s="329">
        <f t="shared" ref="V791:AB791" si="661">V$789*$G791</f>
        <v>0</v>
      </c>
      <c r="W791" s="329">
        <f t="shared" si="661"/>
        <v>0</v>
      </c>
      <c r="X791" s="329">
        <f t="shared" si="661"/>
        <v>0</v>
      </c>
      <c r="Y791" s="329">
        <f t="shared" si="661"/>
        <v>0</v>
      </c>
      <c r="Z791" s="329">
        <f t="shared" si="661"/>
        <v>0</v>
      </c>
      <c r="AA791" s="329">
        <f t="shared" si="661"/>
        <v>0</v>
      </c>
      <c r="AB791" s="329">
        <f t="shared" si="661"/>
        <v>0</v>
      </c>
      <c r="AD791" s="332">
        <f t="shared" si="630"/>
        <v>0.3</v>
      </c>
      <c r="AE791" s="329">
        <f t="shared" si="631"/>
        <v>0</v>
      </c>
      <c r="AF791" s="329">
        <f t="shared" si="632"/>
        <v>0</v>
      </c>
      <c r="AG791" s="329">
        <f t="shared" si="632"/>
        <v>0</v>
      </c>
      <c r="AH791" s="329">
        <f t="shared" si="632"/>
        <v>0</v>
      </c>
      <c r="AI791" s="329">
        <f t="shared" si="633"/>
        <v>0</v>
      </c>
      <c r="AJ791" s="329">
        <f t="shared" si="633"/>
        <v>0</v>
      </c>
      <c r="AK791" s="329">
        <f t="shared" si="633"/>
        <v>0</v>
      </c>
      <c r="AL791" s="329">
        <f t="shared" si="635"/>
        <v>0</v>
      </c>
    </row>
    <row r="792" spans="1:38" s="332" customFormat="1">
      <c r="A792" s="356"/>
      <c r="B792" s="356" t="s">
        <v>376</v>
      </c>
      <c r="C792" s="355">
        <f>IF(G792&lt;&gt;0,$C$789,)</f>
        <v>0</v>
      </c>
      <c r="D792" s="341">
        <f>VLOOKUP(B792,DONGIA,DG!$B$6,0)</f>
        <v>0</v>
      </c>
      <c r="E792" s="340" t="str">
        <f>VLOOKUP(B792,DONGIA,DG!$C$6,0)</f>
        <v>Móc treo chữ U D16-100</v>
      </c>
      <c r="F792" s="341" t="str">
        <f>VLOOKUP(B792,DONGIA,DG!$D$6,0)</f>
        <v>cái</v>
      </c>
      <c r="G792" s="329">
        <v>2</v>
      </c>
      <c r="H792" s="329">
        <f>VLOOKUP($B792,DONGIA,DG!$E$6,0)</f>
        <v>25000</v>
      </c>
      <c r="I792" s="329"/>
      <c r="J792" s="329"/>
      <c r="K792" s="329">
        <f>VLOOKUP($B792,DONGIA,DG!$F$6,0)</f>
        <v>0</v>
      </c>
      <c r="L792" s="329"/>
      <c r="M792" s="329">
        <f>VLOOKUP($B792,DONGIA,DG!$G$6,0)</f>
        <v>0</v>
      </c>
      <c r="N792" s="329">
        <f>$G792*H792</f>
        <v>50000</v>
      </c>
      <c r="O792" s="329">
        <f t="shared" si="660"/>
        <v>0</v>
      </c>
      <c r="P792" s="329">
        <f t="shared" si="660"/>
        <v>0</v>
      </c>
      <c r="Q792" s="329">
        <f t="shared" si="660"/>
        <v>0</v>
      </c>
      <c r="R792" s="329">
        <f t="shared" si="660"/>
        <v>0</v>
      </c>
      <c r="S792" s="329">
        <f t="shared" si="660"/>
        <v>0</v>
      </c>
      <c r="U792" s="329">
        <f t="shared" ref="U792:AB793" si="662">U$789*$G792</f>
        <v>0</v>
      </c>
      <c r="V792" s="329">
        <f t="shared" si="662"/>
        <v>0</v>
      </c>
      <c r="W792" s="329">
        <f t="shared" si="662"/>
        <v>0</v>
      </c>
      <c r="X792" s="329">
        <f t="shared" si="662"/>
        <v>0</v>
      </c>
      <c r="Y792" s="329">
        <f t="shared" si="662"/>
        <v>0</v>
      </c>
      <c r="Z792" s="329">
        <f t="shared" si="662"/>
        <v>0</v>
      </c>
      <c r="AA792" s="329">
        <f t="shared" si="662"/>
        <v>0</v>
      </c>
      <c r="AB792" s="329">
        <f t="shared" si="662"/>
        <v>0</v>
      </c>
      <c r="AD792" s="332">
        <f t="shared" si="630"/>
        <v>0.3</v>
      </c>
      <c r="AE792" s="329">
        <f t="shared" si="631"/>
        <v>0</v>
      </c>
      <c r="AF792" s="329">
        <f t="shared" si="632"/>
        <v>0</v>
      </c>
      <c r="AG792" s="329">
        <f t="shared" si="632"/>
        <v>0</v>
      </c>
      <c r="AH792" s="329">
        <f t="shared" si="632"/>
        <v>0</v>
      </c>
      <c r="AI792" s="329">
        <f t="shared" si="633"/>
        <v>0</v>
      </c>
      <c r="AJ792" s="329">
        <f t="shared" si="633"/>
        <v>0</v>
      </c>
      <c r="AK792" s="329">
        <f t="shared" si="633"/>
        <v>0</v>
      </c>
      <c r="AL792" s="329">
        <f t="shared" si="635"/>
        <v>0</v>
      </c>
    </row>
    <row r="793" spans="1:38" s="332" customFormat="1">
      <c r="A793" s="356"/>
      <c r="B793" s="356" t="s">
        <v>355</v>
      </c>
      <c r="C793" s="355">
        <f>IF(G793&lt;&gt;0,$C$789,)</f>
        <v>0</v>
      </c>
      <c r="D793" s="341">
        <f>VLOOKUP(B793,DONGIA,DG!$B$6,0)</f>
        <v>0</v>
      </c>
      <c r="E793" s="340" t="str">
        <f>VLOOKUP(B793,DONGIA,DG!$C$6,0)</f>
        <v>Giáp níu dừng dây bọc 240 + Yếm móng U + Mắt nối yếm</v>
      </c>
      <c r="F793" s="341" t="str">
        <f>VLOOKUP(B793,DONGIA,DG!$D$6,0)</f>
        <v>bộ</v>
      </c>
      <c r="G793" s="329">
        <v>1</v>
      </c>
      <c r="H793" s="329">
        <f>VLOOKUP($B793,DONGIA,DG!$E$6,0)</f>
        <v>498000</v>
      </c>
      <c r="I793" s="329"/>
      <c r="J793" s="329"/>
      <c r="K793" s="329">
        <f>VLOOKUP($B793,DONGIA,DG!$F$6,0)</f>
        <v>0</v>
      </c>
      <c r="L793" s="329"/>
      <c r="M793" s="329">
        <f>VLOOKUP($B793,DONGIA,DG!$G$6,0)</f>
        <v>0</v>
      </c>
      <c r="N793" s="329">
        <f>$G793*H793</f>
        <v>498000</v>
      </c>
      <c r="O793" s="329">
        <f t="shared" si="660"/>
        <v>0</v>
      </c>
      <c r="P793" s="329">
        <f t="shared" si="660"/>
        <v>0</v>
      </c>
      <c r="Q793" s="329">
        <f t="shared" si="660"/>
        <v>0</v>
      </c>
      <c r="R793" s="329">
        <f t="shared" si="660"/>
        <v>0</v>
      </c>
      <c r="S793" s="329">
        <f t="shared" si="660"/>
        <v>0</v>
      </c>
      <c r="U793" s="329">
        <f t="shared" si="662"/>
        <v>0</v>
      </c>
      <c r="V793" s="329">
        <f t="shared" si="662"/>
        <v>0</v>
      </c>
      <c r="W793" s="329">
        <f t="shared" si="662"/>
        <v>0</v>
      </c>
      <c r="X793" s="329">
        <f t="shared" si="662"/>
        <v>0</v>
      </c>
      <c r="Y793" s="329">
        <f t="shared" si="662"/>
        <v>0</v>
      </c>
      <c r="Z793" s="329">
        <f t="shared" si="662"/>
        <v>0</v>
      </c>
      <c r="AA793" s="329">
        <f t="shared" si="662"/>
        <v>0</v>
      </c>
      <c r="AB793" s="329">
        <f t="shared" si="662"/>
        <v>0</v>
      </c>
      <c r="AD793" s="332">
        <f t="shared" si="630"/>
        <v>0.5</v>
      </c>
      <c r="AE793" s="329">
        <f t="shared" si="631"/>
        <v>0</v>
      </c>
      <c r="AF793" s="329">
        <f t="shared" si="632"/>
        <v>0</v>
      </c>
      <c r="AG793" s="329">
        <f t="shared" si="632"/>
        <v>0</v>
      </c>
      <c r="AH793" s="329">
        <f t="shared" si="632"/>
        <v>0</v>
      </c>
      <c r="AI793" s="329">
        <f t="shared" si="633"/>
        <v>0</v>
      </c>
      <c r="AJ793" s="329">
        <f t="shared" si="633"/>
        <v>0</v>
      </c>
      <c r="AK793" s="329">
        <f t="shared" si="633"/>
        <v>0</v>
      </c>
      <c r="AL793" s="329">
        <f t="shared" si="635"/>
        <v>0</v>
      </c>
    </row>
    <row r="794" spans="1:38">
      <c r="A794" s="618" t="s">
        <v>1810</v>
      </c>
      <c r="B794" s="618"/>
      <c r="C794" s="619">
        <f>IF(G794&lt;&gt;0,1,)</f>
        <v>1</v>
      </c>
      <c r="D794" s="622"/>
      <c r="E794" s="733" t="s">
        <v>1715</v>
      </c>
      <c r="F794" s="622" t="s">
        <v>24</v>
      </c>
      <c r="G794" s="622">
        <f>U794</f>
        <v>30</v>
      </c>
      <c r="H794" s="623"/>
      <c r="I794" s="623"/>
      <c r="J794" s="623"/>
      <c r="K794" s="623"/>
      <c r="L794" s="623"/>
      <c r="M794" s="623"/>
      <c r="N794" s="623">
        <f t="shared" ref="N794:S794" si="663">SUM(N796:N799)</f>
        <v>687250</v>
      </c>
      <c r="O794" s="623">
        <f t="shared" si="663"/>
        <v>0</v>
      </c>
      <c r="P794" s="623">
        <f t="shared" si="663"/>
        <v>0</v>
      </c>
      <c r="Q794" s="623">
        <f t="shared" si="663"/>
        <v>59709</v>
      </c>
      <c r="R794" s="623">
        <f t="shared" si="663"/>
        <v>0</v>
      </c>
      <c r="S794" s="623">
        <f t="shared" si="663"/>
        <v>0</v>
      </c>
      <c r="U794" s="623">
        <f>SUM(V794:AB794)</f>
        <v>30</v>
      </c>
      <c r="V794" s="623">
        <f>IFERROR(HLOOKUP($A794,BK3P,V$3,0),)</f>
        <v>30</v>
      </c>
      <c r="W794" s="623">
        <f>IFERROR(HLOOKUP($A794,BK3P,W$3,0),)</f>
        <v>0</v>
      </c>
      <c r="X794" s="623">
        <f>IFERROR(HLOOKUP($A794,BK3P,X$3,0),)</f>
        <v>0</v>
      </c>
      <c r="Y794" s="623">
        <f>IFERROR(HLOOKUP($A794,BK1P,Y$3,0),)</f>
        <v>0</v>
      </c>
      <c r="Z794" s="623">
        <f>IFERROR(HLOOKUP($A794,BK1P,Z$3,0),)</f>
        <v>0</v>
      </c>
      <c r="AA794" s="623">
        <f>IFERROR(HLOOKUP($A794,BK1P,AA$3,0),)</f>
        <v>0</v>
      </c>
      <c r="AB794" s="623">
        <f>IFERROR(HLOOKUP($A794,BKHT,AB$3,0),)</f>
        <v>0</v>
      </c>
      <c r="AD794" s="405">
        <f t="shared" si="630"/>
        <v>0</v>
      </c>
      <c r="AE794" s="525">
        <f t="shared" si="631"/>
        <v>0</v>
      </c>
      <c r="AF794" s="525">
        <f t="shared" si="632"/>
        <v>0</v>
      </c>
      <c r="AG794" s="525">
        <f t="shared" si="632"/>
        <v>0</v>
      </c>
      <c r="AH794" s="525">
        <f t="shared" si="632"/>
        <v>0</v>
      </c>
      <c r="AI794" s="525">
        <f t="shared" si="633"/>
        <v>0</v>
      </c>
      <c r="AJ794" s="525">
        <f t="shared" si="633"/>
        <v>0</v>
      </c>
      <c r="AK794" s="525">
        <f t="shared" si="633"/>
        <v>0</v>
      </c>
      <c r="AL794" s="525">
        <f t="shared" si="635"/>
        <v>0</v>
      </c>
    </row>
    <row r="795" spans="1:38" s="542" customFormat="1">
      <c r="A795" s="624"/>
      <c r="B795" s="624"/>
      <c r="C795" s="625">
        <f>C794</f>
        <v>1</v>
      </c>
      <c r="D795" s="544"/>
      <c r="E795" s="734" t="s">
        <v>1659</v>
      </c>
      <c r="F795" s="544"/>
      <c r="G795" s="545"/>
      <c r="H795" s="545"/>
      <c r="I795" s="545"/>
      <c r="J795" s="545"/>
      <c r="K795" s="545"/>
      <c r="L795" s="545"/>
      <c r="M795" s="545"/>
      <c r="N795" s="545"/>
      <c r="O795" s="545"/>
      <c r="P795" s="545"/>
      <c r="Q795" s="545"/>
      <c r="R795" s="545"/>
      <c r="S795" s="545"/>
      <c r="U795" s="545"/>
      <c r="V795" s="545"/>
      <c r="W795" s="545"/>
      <c r="X795" s="545"/>
      <c r="Y795" s="545"/>
      <c r="Z795" s="545"/>
      <c r="AA795" s="545"/>
      <c r="AB795" s="545"/>
      <c r="AD795" s="405">
        <f t="shared" si="630"/>
        <v>0</v>
      </c>
      <c r="AE795" s="525">
        <f t="shared" si="631"/>
        <v>0</v>
      </c>
      <c r="AF795" s="525">
        <f t="shared" si="632"/>
        <v>0</v>
      </c>
      <c r="AG795" s="525">
        <f t="shared" si="632"/>
        <v>0</v>
      </c>
      <c r="AH795" s="525">
        <f t="shared" si="632"/>
        <v>0</v>
      </c>
      <c r="AI795" s="525">
        <f t="shared" si="633"/>
        <v>0</v>
      </c>
      <c r="AJ795" s="525">
        <f t="shared" si="633"/>
        <v>0</v>
      </c>
      <c r="AK795" s="525">
        <f t="shared" si="633"/>
        <v>0</v>
      </c>
      <c r="AL795" s="525">
        <f t="shared" si="635"/>
        <v>0</v>
      </c>
    </row>
    <row r="796" spans="1:38">
      <c r="A796" s="618"/>
      <c r="B796" s="618" t="s">
        <v>1708</v>
      </c>
      <c r="C796" s="619">
        <f>IF(G796&lt;&gt;0,$C$794,)</f>
        <v>1</v>
      </c>
      <c r="D796" s="523" t="str">
        <f>VLOOKUP(B796,DONGIA,DG!$B$6,0)</f>
        <v>D3.2411</v>
      </c>
      <c r="E796" s="666" t="str">
        <f>VLOOKUP(B796,DONGIA,DG!$C$6,0)</f>
        <v>Sứ treo polymer</v>
      </c>
      <c r="F796" s="523" t="str">
        <f>VLOOKUP(B796,DONGIA,DG!$D$6,0)</f>
        <v>chuỗi</v>
      </c>
      <c r="G796" s="525">
        <v>1</v>
      </c>
      <c r="H796" s="525">
        <f>VLOOKUP($B796,DONGIA,DG!$E$6,0)</f>
        <v>200000</v>
      </c>
      <c r="I796" s="525"/>
      <c r="J796" s="525"/>
      <c r="K796" s="525">
        <f>VLOOKUP($B796,DONGIA,DG!$F$6,0)</f>
        <v>59709</v>
      </c>
      <c r="L796" s="525"/>
      <c r="M796" s="525">
        <f>VLOOKUP($B796,DONGIA,DG!$G$6,0)</f>
        <v>0</v>
      </c>
      <c r="N796" s="525">
        <f>$G796*H796</f>
        <v>200000</v>
      </c>
      <c r="O796" s="525">
        <f t="shared" ref="O796:S799" si="664">$G796*I796</f>
        <v>0</v>
      </c>
      <c r="P796" s="525">
        <f t="shared" si="664"/>
        <v>0</v>
      </c>
      <c r="Q796" s="525">
        <f t="shared" si="664"/>
        <v>59709</v>
      </c>
      <c r="R796" s="525">
        <f t="shared" si="664"/>
        <v>0</v>
      </c>
      <c r="S796" s="525">
        <f t="shared" si="664"/>
        <v>0</v>
      </c>
      <c r="U796" s="525">
        <f>U$794*$G796</f>
        <v>30</v>
      </c>
      <c r="V796" s="525">
        <f t="shared" ref="V796:AB796" si="665">V$794*$G796</f>
        <v>30</v>
      </c>
      <c r="W796" s="525">
        <f t="shared" si="665"/>
        <v>0</v>
      </c>
      <c r="X796" s="525">
        <f t="shared" si="665"/>
        <v>0</v>
      </c>
      <c r="Y796" s="525">
        <f t="shared" si="665"/>
        <v>0</v>
      </c>
      <c r="Z796" s="525">
        <f t="shared" si="665"/>
        <v>0</v>
      </c>
      <c r="AA796" s="525">
        <f t="shared" si="665"/>
        <v>0</v>
      </c>
      <c r="AB796" s="525">
        <f t="shared" si="665"/>
        <v>0</v>
      </c>
      <c r="AD796" s="405">
        <f t="shared" si="630"/>
        <v>0.3</v>
      </c>
      <c r="AE796" s="525">
        <f t="shared" si="631"/>
        <v>9</v>
      </c>
      <c r="AF796" s="525">
        <f t="shared" si="632"/>
        <v>9</v>
      </c>
      <c r="AG796" s="525">
        <f t="shared" si="632"/>
        <v>0</v>
      </c>
      <c r="AH796" s="525">
        <f t="shared" si="632"/>
        <v>0</v>
      </c>
      <c r="AI796" s="525">
        <f t="shared" si="633"/>
        <v>0</v>
      </c>
      <c r="AJ796" s="525">
        <f t="shared" si="633"/>
        <v>0</v>
      </c>
      <c r="AK796" s="525">
        <f t="shared" si="633"/>
        <v>0</v>
      </c>
      <c r="AL796" s="525">
        <f t="shared" si="635"/>
        <v>0</v>
      </c>
    </row>
    <row r="797" spans="1:38">
      <c r="A797" s="618"/>
      <c r="B797" s="618" t="s">
        <v>367</v>
      </c>
      <c r="C797" s="619">
        <f>IF(G797&lt;&gt;0,$C$794,)</f>
        <v>1</v>
      </c>
      <c r="D797" s="523">
        <f>VLOOKUP(B797,DONGIA,DG!$B$6,0)</f>
        <v>0</v>
      </c>
      <c r="E797" s="666" t="str">
        <f>VLOOKUP(B797,DONGIA,DG!$C$6,0)</f>
        <v>Giáp níu dừng dây bọc 50 + Yếm móng U + Mắt nối yếm</v>
      </c>
      <c r="F797" s="523" t="str">
        <f>VLOOKUP(B797,DONGIA,DG!$D$6,0)</f>
        <v>bộ</v>
      </c>
      <c r="G797" s="525">
        <v>1</v>
      </c>
      <c r="H797" s="525">
        <f>VLOOKUP($B797,DONGIA,DG!$E$6,0)</f>
        <v>408250</v>
      </c>
      <c r="I797" s="525"/>
      <c r="J797" s="525"/>
      <c r="K797" s="525">
        <f>VLOOKUP($B797,DONGIA,DG!$F$6,0)</f>
        <v>0</v>
      </c>
      <c r="L797" s="525"/>
      <c r="M797" s="525">
        <f>VLOOKUP($B797,DONGIA,DG!$G$6,0)</f>
        <v>0</v>
      </c>
      <c r="N797" s="525">
        <f>$G797*H797</f>
        <v>408250</v>
      </c>
      <c r="O797" s="525">
        <f t="shared" si="664"/>
        <v>0</v>
      </c>
      <c r="P797" s="525">
        <f t="shared" si="664"/>
        <v>0</v>
      </c>
      <c r="Q797" s="525">
        <f t="shared" si="664"/>
        <v>0</v>
      </c>
      <c r="R797" s="525">
        <f t="shared" si="664"/>
        <v>0</v>
      </c>
      <c r="S797" s="525">
        <f t="shared" si="664"/>
        <v>0</v>
      </c>
      <c r="U797" s="525">
        <f t="shared" ref="U797:AB799" si="666">U$794*$G797</f>
        <v>30</v>
      </c>
      <c r="V797" s="525">
        <f t="shared" si="666"/>
        <v>30</v>
      </c>
      <c r="W797" s="525">
        <f t="shared" si="666"/>
        <v>0</v>
      </c>
      <c r="X797" s="525">
        <f t="shared" si="666"/>
        <v>0</v>
      </c>
      <c r="Y797" s="525">
        <f t="shared" si="666"/>
        <v>0</v>
      </c>
      <c r="Z797" s="525">
        <f t="shared" si="666"/>
        <v>0</v>
      </c>
      <c r="AA797" s="525">
        <f t="shared" si="666"/>
        <v>0</v>
      </c>
      <c r="AB797" s="525">
        <f t="shared" si="666"/>
        <v>0</v>
      </c>
      <c r="AD797" s="405">
        <f t="shared" si="630"/>
        <v>0.5</v>
      </c>
      <c r="AE797" s="525">
        <f t="shared" si="631"/>
        <v>15</v>
      </c>
      <c r="AF797" s="525">
        <f t="shared" si="632"/>
        <v>15</v>
      </c>
      <c r="AG797" s="525">
        <f t="shared" si="632"/>
        <v>0</v>
      </c>
      <c r="AH797" s="525">
        <f t="shared" si="632"/>
        <v>0</v>
      </c>
      <c r="AI797" s="525">
        <f t="shared" si="633"/>
        <v>0</v>
      </c>
      <c r="AJ797" s="525">
        <f t="shared" si="633"/>
        <v>0</v>
      </c>
      <c r="AK797" s="525">
        <f t="shared" si="633"/>
        <v>0</v>
      </c>
      <c r="AL797" s="525">
        <f t="shared" si="635"/>
        <v>0</v>
      </c>
    </row>
    <row r="798" spans="1:38">
      <c r="A798" s="618"/>
      <c r="B798" s="618" t="s">
        <v>376</v>
      </c>
      <c r="C798" s="619">
        <f>IF(G798&lt;&gt;0,$C$794,)</f>
        <v>1</v>
      </c>
      <c r="D798" s="523">
        <f>VLOOKUP(B798,DONGIA,DG!$B$6,0)</f>
        <v>0</v>
      </c>
      <c r="E798" s="666" t="str">
        <f>VLOOKUP(B798,DONGIA,DG!$C$6,0)</f>
        <v>Móc treo chữ U D16-100</v>
      </c>
      <c r="F798" s="523" t="str">
        <f>VLOOKUP(B798,DONGIA,DG!$D$6,0)</f>
        <v>cái</v>
      </c>
      <c r="G798" s="525">
        <v>2</v>
      </c>
      <c r="H798" s="525">
        <f>VLOOKUP($B798,DONGIA,DG!$E$6,0)</f>
        <v>25000</v>
      </c>
      <c r="I798" s="525"/>
      <c r="J798" s="525"/>
      <c r="K798" s="525">
        <f>VLOOKUP($B798,DONGIA,DG!$F$6,0)</f>
        <v>0</v>
      </c>
      <c r="L798" s="525"/>
      <c r="M798" s="525">
        <f>VLOOKUP($B798,DONGIA,DG!$G$6,0)</f>
        <v>0</v>
      </c>
      <c r="N798" s="525">
        <f>$G798*H798</f>
        <v>50000</v>
      </c>
      <c r="O798" s="525">
        <f t="shared" ref="O798" si="667">$G798*I798</f>
        <v>0</v>
      </c>
      <c r="P798" s="525">
        <f t="shared" ref="P798" si="668">$G798*J798</f>
        <v>0</v>
      </c>
      <c r="Q798" s="525">
        <f t="shared" ref="Q798" si="669">$G798*K798</f>
        <v>0</v>
      </c>
      <c r="R798" s="525">
        <f t="shared" ref="R798" si="670">$G798*L798</f>
        <v>0</v>
      </c>
      <c r="S798" s="525">
        <f t="shared" ref="S798" si="671">$G798*M798</f>
        <v>0</v>
      </c>
      <c r="U798" s="525">
        <f t="shared" si="666"/>
        <v>60</v>
      </c>
      <c r="V798" s="525">
        <f t="shared" si="666"/>
        <v>60</v>
      </c>
      <c r="W798" s="525">
        <f t="shared" si="666"/>
        <v>0</v>
      </c>
      <c r="X798" s="525">
        <f t="shared" si="666"/>
        <v>0</v>
      </c>
      <c r="Y798" s="525">
        <f t="shared" si="666"/>
        <v>0</v>
      </c>
      <c r="Z798" s="525">
        <f t="shared" si="666"/>
        <v>0</v>
      </c>
      <c r="AA798" s="525">
        <f t="shared" si="666"/>
        <v>0</v>
      </c>
      <c r="AB798" s="525">
        <f t="shared" si="666"/>
        <v>0</v>
      </c>
      <c r="AD798" s="405">
        <f t="shared" ref="AD798" si="672">IFERROR(VLOOKUP(B798,DONGIA,$AD$3,0),0)</f>
        <v>0.3</v>
      </c>
      <c r="AE798" s="525">
        <f t="shared" ref="AE798" si="673">U798*$AD798</f>
        <v>18</v>
      </c>
      <c r="AF798" s="525">
        <f t="shared" ref="AF798" si="674">V798*$AD798</f>
        <v>18</v>
      </c>
      <c r="AG798" s="525">
        <f t="shared" ref="AG798" si="675">W798*$AD798</f>
        <v>0</v>
      </c>
      <c r="AH798" s="525">
        <f t="shared" ref="AH798" si="676">X798*$AD798</f>
        <v>0</v>
      </c>
      <c r="AI798" s="525">
        <f t="shared" ref="AI798" si="677">Y798*$AD798</f>
        <v>0</v>
      </c>
      <c r="AJ798" s="525">
        <f t="shared" ref="AJ798" si="678">Z798*$AD798</f>
        <v>0</v>
      </c>
      <c r="AK798" s="525">
        <f t="shared" ref="AK798" si="679">AA798*$AD798</f>
        <v>0</v>
      </c>
      <c r="AL798" s="525">
        <f t="shared" ref="AL798" si="680">AB798*$AD798</f>
        <v>0</v>
      </c>
    </row>
    <row r="799" spans="1:38">
      <c r="A799" s="618"/>
      <c r="B799" s="618" t="s">
        <v>109</v>
      </c>
      <c r="C799" s="619">
        <f>IF(G799&lt;&gt;0,$C$794,)</f>
        <v>1</v>
      </c>
      <c r="D799" s="523">
        <f>VLOOKUP(B799,DONGIA,DG!$B$6,0)</f>
        <v>0</v>
      </c>
      <c r="E799" s="666" t="str">
        <f>VLOOKUP(B799,DONGIA,DG!$C$6,0)</f>
        <v>Boulon mắt 16x250+ long đền vuông D18-50x50x3/Zn</v>
      </c>
      <c r="F799" s="523" t="str">
        <f>VLOOKUP(B799,DONGIA,DG!$D$6,0)</f>
        <v>bộ</v>
      </c>
      <c r="G799" s="525">
        <v>1</v>
      </c>
      <c r="H799" s="525">
        <f>VLOOKUP($B799,DONGIA,DG!$E$6,0)</f>
        <v>29000</v>
      </c>
      <c r="I799" s="525"/>
      <c r="J799" s="525"/>
      <c r="K799" s="525">
        <f>VLOOKUP($B799,DONGIA,DG!$F$6,0)</f>
        <v>0</v>
      </c>
      <c r="L799" s="525"/>
      <c r="M799" s="525">
        <f>VLOOKUP($B799,DONGIA,DG!$G$6,0)</f>
        <v>0</v>
      </c>
      <c r="N799" s="525">
        <f>$G799*H799</f>
        <v>29000</v>
      </c>
      <c r="O799" s="525">
        <f t="shared" si="664"/>
        <v>0</v>
      </c>
      <c r="P799" s="525">
        <f t="shared" si="664"/>
        <v>0</v>
      </c>
      <c r="Q799" s="525">
        <f t="shared" si="664"/>
        <v>0</v>
      </c>
      <c r="R799" s="525">
        <f t="shared" si="664"/>
        <v>0</v>
      </c>
      <c r="S799" s="525">
        <f t="shared" si="664"/>
        <v>0</v>
      </c>
      <c r="U799" s="525">
        <f t="shared" si="666"/>
        <v>30</v>
      </c>
      <c r="V799" s="525">
        <f t="shared" si="666"/>
        <v>30</v>
      </c>
      <c r="W799" s="525">
        <f t="shared" si="666"/>
        <v>0</v>
      </c>
      <c r="X799" s="525">
        <f t="shared" si="666"/>
        <v>0</v>
      </c>
      <c r="Y799" s="525">
        <f t="shared" si="666"/>
        <v>0</v>
      </c>
      <c r="Z799" s="525">
        <f t="shared" si="666"/>
        <v>0</v>
      </c>
      <c r="AA799" s="525">
        <f t="shared" si="666"/>
        <v>0</v>
      </c>
      <c r="AB799" s="525">
        <f t="shared" si="666"/>
        <v>0</v>
      </c>
      <c r="AD799" s="405">
        <f t="shared" si="630"/>
        <v>0.3</v>
      </c>
      <c r="AE799" s="525">
        <f t="shared" si="631"/>
        <v>9</v>
      </c>
      <c r="AF799" s="525">
        <f t="shared" si="632"/>
        <v>9</v>
      </c>
      <c r="AG799" s="525">
        <f t="shared" si="632"/>
        <v>0</v>
      </c>
      <c r="AH799" s="525">
        <f t="shared" si="632"/>
        <v>0</v>
      </c>
      <c r="AI799" s="525">
        <f t="shared" si="633"/>
        <v>0</v>
      </c>
      <c r="AJ799" s="525">
        <f t="shared" si="633"/>
        <v>0</v>
      </c>
      <c r="AK799" s="525">
        <f t="shared" si="633"/>
        <v>0</v>
      </c>
      <c r="AL799" s="525">
        <f t="shared" si="635"/>
        <v>0</v>
      </c>
    </row>
    <row r="800" spans="1:38">
      <c r="A800" s="618" t="s">
        <v>1811</v>
      </c>
      <c r="B800" s="618"/>
      <c r="C800" s="619">
        <f>IF(G800&lt;&gt;0,1,)</f>
        <v>0</v>
      </c>
      <c r="D800" s="622"/>
      <c r="E800" s="623" t="s">
        <v>1716</v>
      </c>
      <c r="F800" s="622" t="s">
        <v>24</v>
      </c>
      <c r="G800" s="622">
        <f>U800</f>
        <v>0</v>
      </c>
      <c r="H800" s="623"/>
      <c r="I800" s="623"/>
      <c r="J800" s="623"/>
      <c r="K800" s="623"/>
      <c r="L800" s="623"/>
      <c r="M800" s="623"/>
      <c r="N800" s="623">
        <f t="shared" ref="N800:S800" si="681">SUM(N802:N804)</f>
        <v>1103000</v>
      </c>
      <c r="O800" s="623">
        <f t="shared" si="681"/>
        <v>0</v>
      </c>
      <c r="P800" s="623">
        <f t="shared" si="681"/>
        <v>0</v>
      </c>
      <c r="Q800" s="623">
        <f t="shared" si="681"/>
        <v>59709</v>
      </c>
      <c r="R800" s="623">
        <f t="shared" si="681"/>
        <v>0</v>
      </c>
      <c r="S800" s="623">
        <f t="shared" si="681"/>
        <v>0</v>
      </c>
      <c r="U800" s="623">
        <f>SUM(V800:AB800)</f>
        <v>0</v>
      </c>
      <c r="V800" s="623">
        <f>IFERROR(HLOOKUP($A800,BK3P,V$3,0),)</f>
        <v>0</v>
      </c>
      <c r="W800" s="623">
        <f>IFERROR(HLOOKUP($A800,BK3P,W$3,0),)</f>
        <v>0</v>
      </c>
      <c r="X800" s="623">
        <f>IFERROR(HLOOKUP($A800,BK3P,X$3,0),)</f>
        <v>0</v>
      </c>
      <c r="Y800" s="623">
        <f>IFERROR(HLOOKUP($A800,BK1P,Y$3,0),)</f>
        <v>0</v>
      </c>
      <c r="Z800" s="623">
        <f>IFERROR(HLOOKUP($A800,BK1P,Z$3,0),)</f>
        <v>0</v>
      </c>
      <c r="AA800" s="623">
        <f>IFERROR(HLOOKUP($A800,BK1P,AA$3,0),)</f>
        <v>0</v>
      </c>
      <c r="AB800" s="623">
        <f>IFERROR(HLOOKUP($A800,BKHT,AB$3,0),)</f>
        <v>0</v>
      </c>
      <c r="AD800" s="405">
        <f t="shared" si="630"/>
        <v>0</v>
      </c>
      <c r="AE800" s="525">
        <f t="shared" si="631"/>
        <v>0</v>
      </c>
      <c r="AF800" s="525">
        <f t="shared" si="632"/>
        <v>0</v>
      </c>
      <c r="AG800" s="525">
        <f t="shared" si="632"/>
        <v>0</v>
      </c>
      <c r="AH800" s="525">
        <f t="shared" si="632"/>
        <v>0</v>
      </c>
      <c r="AI800" s="525">
        <f t="shared" si="633"/>
        <v>0</v>
      </c>
      <c r="AJ800" s="525">
        <f t="shared" si="633"/>
        <v>0</v>
      </c>
      <c r="AK800" s="525">
        <f t="shared" si="633"/>
        <v>0</v>
      </c>
      <c r="AL800" s="525">
        <f t="shared" si="635"/>
        <v>0</v>
      </c>
    </row>
    <row r="801" spans="1:38" s="542" customFormat="1">
      <c r="A801" s="624"/>
      <c r="B801" s="624"/>
      <c r="C801" s="625">
        <f>C800</f>
        <v>0</v>
      </c>
      <c r="D801" s="544"/>
      <c r="E801" s="545" t="s">
        <v>1659</v>
      </c>
      <c r="F801" s="544"/>
      <c r="G801" s="545"/>
      <c r="H801" s="545"/>
      <c r="I801" s="545"/>
      <c r="J801" s="545"/>
      <c r="K801" s="545"/>
      <c r="L801" s="545"/>
      <c r="M801" s="545"/>
      <c r="N801" s="545"/>
      <c r="O801" s="545"/>
      <c r="P801" s="545"/>
      <c r="Q801" s="545"/>
      <c r="R801" s="545"/>
      <c r="S801" s="545"/>
      <c r="U801" s="545"/>
      <c r="V801" s="545"/>
      <c r="W801" s="545"/>
      <c r="X801" s="545"/>
      <c r="Y801" s="545"/>
      <c r="Z801" s="545"/>
      <c r="AA801" s="545"/>
      <c r="AB801" s="545"/>
      <c r="AD801" s="405">
        <f t="shared" si="630"/>
        <v>0</v>
      </c>
      <c r="AE801" s="525">
        <f t="shared" si="631"/>
        <v>0</v>
      </c>
      <c r="AF801" s="525">
        <f t="shared" si="632"/>
        <v>0</v>
      </c>
      <c r="AG801" s="525">
        <f t="shared" si="632"/>
        <v>0</v>
      </c>
      <c r="AH801" s="525">
        <f t="shared" si="632"/>
        <v>0</v>
      </c>
      <c r="AI801" s="525">
        <f t="shared" si="633"/>
        <v>0</v>
      </c>
      <c r="AJ801" s="525">
        <f t="shared" si="633"/>
        <v>0</v>
      </c>
      <c r="AK801" s="525">
        <f t="shared" si="633"/>
        <v>0</v>
      </c>
      <c r="AL801" s="525">
        <f t="shared" si="635"/>
        <v>0</v>
      </c>
    </row>
    <row r="802" spans="1:38">
      <c r="A802" s="618"/>
      <c r="B802" s="618" t="s">
        <v>1708</v>
      </c>
      <c r="C802" s="619">
        <f>IF(G802&lt;&gt;0,$C$800,)</f>
        <v>0</v>
      </c>
      <c r="D802" s="523" t="str">
        <f>VLOOKUP(B802,DONGIA,DG!$B$6,0)</f>
        <v>D3.2411</v>
      </c>
      <c r="E802" s="525" t="str">
        <f>VLOOKUP(B802,DONGIA,DG!$C$6,0)</f>
        <v>Sứ treo polymer</v>
      </c>
      <c r="F802" s="523" t="str">
        <f>VLOOKUP(B802,DONGIA,DG!$D$6,0)</f>
        <v>chuỗi</v>
      </c>
      <c r="G802" s="525">
        <v>1</v>
      </c>
      <c r="H802" s="525">
        <f>VLOOKUP($B802,DONGIA,DG!$E$6,0)</f>
        <v>200000</v>
      </c>
      <c r="I802" s="525"/>
      <c r="J802" s="525"/>
      <c r="K802" s="525">
        <f>VLOOKUP($B802,DONGIA,DG!$F$6,0)</f>
        <v>59709</v>
      </c>
      <c r="L802" s="525"/>
      <c r="M802" s="525">
        <f>VLOOKUP($B802,DONGIA,DG!$G$6,0)</f>
        <v>0</v>
      </c>
      <c r="N802" s="525">
        <f>$G802*H802</f>
        <v>200000</v>
      </c>
      <c r="O802" s="525">
        <f t="shared" ref="O802:S804" si="682">$G802*I802</f>
        <v>0</v>
      </c>
      <c r="P802" s="525">
        <f t="shared" si="682"/>
        <v>0</v>
      </c>
      <c r="Q802" s="525">
        <f t="shared" si="682"/>
        <v>59709</v>
      </c>
      <c r="R802" s="525">
        <f t="shared" si="682"/>
        <v>0</v>
      </c>
      <c r="S802" s="525">
        <f t="shared" si="682"/>
        <v>0</v>
      </c>
      <c r="U802" s="525">
        <f>U$800*$G802</f>
        <v>0</v>
      </c>
      <c r="V802" s="525">
        <f t="shared" ref="V802:AB802" si="683">V$800*$G802</f>
        <v>0</v>
      </c>
      <c r="W802" s="525">
        <f t="shared" si="683"/>
        <v>0</v>
      </c>
      <c r="X802" s="525">
        <f t="shared" si="683"/>
        <v>0</v>
      </c>
      <c r="Y802" s="525">
        <f t="shared" si="683"/>
        <v>0</v>
      </c>
      <c r="Z802" s="525">
        <f t="shared" si="683"/>
        <v>0</v>
      </c>
      <c r="AA802" s="525">
        <f t="shared" si="683"/>
        <v>0</v>
      </c>
      <c r="AB802" s="525">
        <f t="shared" si="683"/>
        <v>0</v>
      </c>
      <c r="AD802" s="405">
        <f t="shared" si="630"/>
        <v>0.3</v>
      </c>
      <c r="AE802" s="525">
        <f t="shared" si="631"/>
        <v>0</v>
      </c>
      <c r="AF802" s="525">
        <f t="shared" si="632"/>
        <v>0</v>
      </c>
      <c r="AG802" s="525">
        <f t="shared" si="632"/>
        <v>0</v>
      </c>
      <c r="AH802" s="525">
        <f t="shared" si="632"/>
        <v>0</v>
      </c>
      <c r="AI802" s="525">
        <f t="shared" si="633"/>
        <v>0</v>
      </c>
      <c r="AJ802" s="525">
        <f t="shared" si="633"/>
        <v>0</v>
      </c>
      <c r="AK802" s="525">
        <f t="shared" si="633"/>
        <v>0</v>
      </c>
      <c r="AL802" s="525">
        <f t="shared" si="635"/>
        <v>0</v>
      </c>
    </row>
    <row r="803" spans="1:38">
      <c r="A803" s="618"/>
      <c r="B803" s="618" t="s">
        <v>365</v>
      </c>
      <c r="C803" s="619">
        <f>IF(G803&lt;&gt;0,$C$800,)</f>
        <v>0</v>
      </c>
      <c r="D803" s="523">
        <f>VLOOKUP(B803,DONGIA,DG!$B$6,0)</f>
        <v>0</v>
      </c>
      <c r="E803" s="525" t="str">
        <f>VLOOKUP(B803,DONGIA,DG!$C$6,0)</f>
        <v>Giáp níu dừng dây bọc 70 + Yếm móng U + Mắt nối yếm</v>
      </c>
      <c r="F803" s="523" t="str">
        <f>VLOOKUP(B803,DONGIA,DG!$D$6,0)</f>
        <v>bộ</v>
      </c>
      <c r="G803" s="525">
        <v>2</v>
      </c>
      <c r="H803" s="525">
        <f>VLOOKUP($B803,DONGIA,DG!$E$6,0)</f>
        <v>437000</v>
      </c>
      <c r="I803" s="525"/>
      <c r="J803" s="525"/>
      <c r="K803" s="525">
        <f>VLOOKUP($B803,DONGIA,DG!$F$6,0)</f>
        <v>0</v>
      </c>
      <c r="L803" s="525"/>
      <c r="M803" s="525">
        <f>VLOOKUP($B803,DONGIA,DG!$G$6,0)</f>
        <v>0</v>
      </c>
      <c r="N803" s="525">
        <f>$G803*H803</f>
        <v>874000</v>
      </c>
      <c r="O803" s="525">
        <f t="shared" si="682"/>
        <v>0</v>
      </c>
      <c r="P803" s="525">
        <f t="shared" si="682"/>
        <v>0</v>
      </c>
      <c r="Q803" s="525">
        <f t="shared" si="682"/>
        <v>0</v>
      </c>
      <c r="R803" s="525">
        <f t="shared" si="682"/>
        <v>0</v>
      </c>
      <c r="S803" s="525">
        <f t="shared" si="682"/>
        <v>0</v>
      </c>
      <c r="U803" s="525">
        <f t="shared" ref="U803:AB804" si="684">U$800*$G803</f>
        <v>0</v>
      </c>
      <c r="V803" s="525">
        <f t="shared" si="684"/>
        <v>0</v>
      </c>
      <c r="W803" s="525">
        <f t="shared" si="684"/>
        <v>0</v>
      </c>
      <c r="X803" s="525">
        <f t="shared" si="684"/>
        <v>0</v>
      </c>
      <c r="Y803" s="525">
        <f t="shared" si="684"/>
        <v>0</v>
      </c>
      <c r="Z803" s="525">
        <f t="shared" si="684"/>
        <v>0</v>
      </c>
      <c r="AA803" s="525">
        <f t="shared" si="684"/>
        <v>0</v>
      </c>
      <c r="AB803" s="525">
        <f t="shared" si="684"/>
        <v>0</v>
      </c>
      <c r="AD803" s="405">
        <f t="shared" si="630"/>
        <v>0.5</v>
      </c>
      <c r="AE803" s="525">
        <f t="shared" si="631"/>
        <v>0</v>
      </c>
      <c r="AF803" s="525">
        <f t="shared" si="632"/>
        <v>0</v>
      </c>
      <c r="AG803" s="525">
        <f t="shared" si="632"/>
        <v>0</v>
      </c>
      <c r="AH803" s="525">
        <f t="shared" si="632"/>
        <v>0</v>
      </c>
      <c r="AI803" s="525">
        <f t="shared" si="633"/>
        <v>0</v>
      </c>
      <c r="AJ803" s="525">
        <f t="shared" si="633"/>
        <v>0</v>
      </c>
      <c r="AK803" s="525">
        <f t="shared" si="633"/>
        <v>0</v>
      </c>
      <c r="AL803" s="525">
        <f t="shared" si="635"/>
        <v>0</v>
      </c>
    </row>
    <row r="804" spans="1:38">
      <c r="A804" s="618"/>
      <c r="B804" s="618" t="s">
        <v>109</v>
      </c>
      <c r="C804" s="619">
        <f>IF(G804&lt;&gt;0,$C$800,)</f>
        <v>0</v>
      </c>
      <c r="D804" s="523">
        <f>VLOOKUP(B804,DONGIA,DG!$B$6,0)</f>
        <v>0</v>
      </c>
      <c r="E804" s="525" t="str">
        <f>VLOOKUP(B804,DONGIA,DG!$C$6,0)</f>
        <v>Boulon mắt 16x250+ long đền vuông D18-50x50x3/Zn</v>
      </c>
      <c r="F804" s="523" t="str">
        <f>VLOOKUP(B804,DONGIA,DG!$D$6,0)</f>
        <v>bộ</v>
      </c>
      <c r="G804" s="525">
        <v>1</v>
      </c>
      <c r="H804" s="525">
        <f>VLOOKUP($B804,DONGIA,DG!$E$6,0)</f>
        <v>29000</v>
      </c>
      <c r="I804" s="525"/>
      <c r="J804" s="525"/>
      <c r="K804" s="525">
        <f>VLOOKUP($B804,DONGIA,DG!$F$6,0)</f>
        <v>0</v>
      </c>
      <c r="L804" s="525"/>
      <c r="M804" s="525">
        <f>VLOOKUP($B804,DONGIA,DG!$G$6,0)</f>
        <v>0</v>
      </c>
      <c r="N804" s="525">
        <f>$G804*H804</f>
        <v>29000</v>
      </c>
      <c r="O804" s="525">
        <f t="shared" si="682"/>
        <v>0</v>
      </c>
      <c r="P804" s="525">
        <f t="shared" si="682"/>
        <v>0</v>
      </c>
      <c r="Q804" s="525">
        <f t="shared" si="682"/>
        <v>0</v>
      </c>
      <c r="R804" s="525">
        <f t="shared" si="682"/>
        <v>0</v>
      </c>
      <c r="S804" s="525">
        <f t="shared" si="682"/>
        <v>0</v>
      </c>
      <c r="U804" s="525">
        <f t="shared" si="684"/>
        <v>0</v>
      </c>
      <c r="V804" s="525">
        <f t="shared" si="684"/>
        <v>0</v>
      </c>
      <c r="W804" s="525">
        <f t="shared" si="684"/>
        <v>0</v>
      </c>
      <c r="X804" s="525">
        <f t="shared" si="684"/>
        <v>0</v>
      </c>
      <c r="Y804" s="525">
        <f t="shared" si="684"/>
        <v>0</v>
      </c>
      <c r="Z804" s="525">
        <f t="shared" si="684"/>
        <v>0</v>
      </c>
      <c r="AA804" s="525">
        <f t="shared" si="684"/>
        <v>0</v>
      </c>
      <c r="AB804" s="525">
        <f t="shared" si="684"/>
        <v>0</v>
      </c>
      <c r="AD804" s="405">
        <f t="shared" si="630"/>
        <v>0.3</v>
      </c>
      <c r="AE804" s="525">
        <f t="shared" si="631"/>
        <v>0</v>
      </c>
      <c r="AF804" s="525">
        <f t="shared" si="632"/>
        <v>0</v>
      </c>
      <c r="AG804" s="525">
        <f t="shared" si="632"/>
        <v>0</v>
      </c>
      <c r="AH804" s="525">
        <f t="shared" si="632"/>
        <v>0</v>
      </c>
      <c r="AI804" s="525">
        <f t="shared" si="633"/>
        <v>0</v>
      </c>
      <c r="AJ804" s="525">
        <f t="shared" si="633"/>
        <v>0</v>
      </c>
      <c r="AK804" s="525">
        <f t="shared" si="633"/>
        <v>0</v>
      </c>
      <c r="AL804" s="525">
        <f t="shared" si="635"/>
        <v>0</v>
      </c>
    </row>
    <row r="805" spans="1:38">
      <c r="A805" s="618"/>
      <c r="B805" s="618"/>
      <c r="C805" s="619">
        <f>IF(SUM(C806:C960)&lt;&gt;0,1,)</f>
        <v>1</v>
      </c>
      <c r="D805" s="620" t="s">
        <v>1717</v>
      </c>
      <c r="E805" s="732" t="s">
        <v>1718</v>
      </c>
      <c r="F805" s="620"/>
      <c r="G805" s="621"/>
      <c r="H805" s="621"/>
      <c r="I805" s="621"/>
      <c r="J805" s="621"/>
      <c r="K805" s="621"/>
      <c r="L805" s="621"/>
      <c r="M805" s="621"/>
      <c r="N805" s="621"/>
      <c r="O805" s="621"/>
      <c r="P805" s="621"/>
      <c r="Q805" s="621"/>
      <c r="R805" s="621"/>
      <c r="S805" s="621"/>
      <c r="U805" s="621"/>
      <c r="V805" s="621"/>
      <c r="W805" s="621"/>
      <c r="X805" s="621"/>
      <c r="Y805" s="621"/>
      <c r="Z805" s="621"/>
      <c r="AA805" s="621"/>
      <c r="AB805" s="621"/>
      <c r="AD805" s="405">
        <f t="shared" si="630"/>
        <v>0</v>
      </c>
      <c r="AE805" s="525">
        <f t="shared" si="631"/>
        <v>0</v>
      </c>
      <c r="AF805" s="525">
        <f t="shared" si="632"/>
        <v>0</v>
      </c>
      <c r="AG805" s="525">
        <f t="shared" si="632"/>
        <v>0</v>
      </c>
      <c r="AH805" s="525">
        <f t="shared" si="632"/>
        <v>0</v>
      </c>
      <c r="AI805" s="525">
        <f t="shared" si="633"/>
        <v>0</v>
      </c>
      <c r="AJ805" s="525">
        <f t="shared" si="633"/>
        <v>0</v>
      </c>
      <c r="AK805" s="525">
        <f t="shared" si="633"/>
        <v>0</v>
      </c>
      <c r="AL805" s="525">
        <f t="shared" si="635"/>
        <v>0</v>
      </c>
    </row>
    <row r="806" spans="1:38">
      <c r="A806" s="618" t="s">
        <v>2043</v>
      </c>
      <c r="B806" s="618" t="s">
        <v>1743</v>
      </c>
      <c r="C806" s="619">
        <f>IF(G806&lt;&gt;0,1,)</f>
        <v>1</v>
      </c>
      <c r="D806" s="622">
        <v>1</v>
      </c>
      <c r="E806" s="733" t="s">
        <v>3226</v>
      </c>
      <c r="F806" s="622" t="s">
        <v>1719</v>
      </c>
      <c r="G806" s="623">
        <f>IF(SUM(N806:S806)&lt;&gt;0,1,)</f>
        <v>1</v>
      </c>
      <c r="H806" s="623"/>
      <c r="I806" s="623"/>
      <c r="J806" s="623"/>
      <c r="K806" s="623"/>
      <c r="L806" s="623"/>
      <c r="M806" s="623"/>
      <c r="N806" s="623">
        <f t="shared" ref="N806:S806" si="685">SUM(N807:N864)</f>
        <v>856535754</v>
      </c>
      <c r="O806" s="623">
        <f t="shared" si="685"/>
        <v>0</v>
      </c>
      <c r="P806" s="623">
        <f t="shared" si="685"/>
        <v>0</v>
      </c>
      <c r="Q806" s="623">
        <f t="shared" si="685"/>
        <v>46213394.611000001</v>
      </c>
      <c r="R806" s="623">
        <f t="shared" si="685"/>
        <v>0</v>
      </c>
      <c r="S806" s="623">
        <f t="shared" si="685"/>
        <v>2211691.7069999999</v>
      </c>
      <c r="U806" s="623"/>
      <c r="V806" s="623">
        <f>G806</f>
        <v>1</v>
      </c>
      <c r="W806" s="623"/>
      <c r="X806" s="623"/>
      <c r="Y806" s="623"/>
      <c r="Z806" s="623"/>
      <c r="AA806" s="623"/>
      <c r="AB806" s="623"/>
      <c r="AD806" s="405">
        <f t="shared" si="630"/>
        <v>0</v>
      </c>
      <c r="AE806" s="525">
        <f t="shared" si="631"/>
        <v>0</v>
      </c>
      <c r="AF806" s="525">
        <f t="shared" si="632"/>
        <v>0</v>
      </c>
      <c r="AG806" s="525">
        <f t="shared" si="632"/>
        <v>0</v>
      </c>
      <c r="AH806" s="525">
        <f t="shared" si="632"/>
        <v>0</v>
      </c>
      <c r="AI806" s="525">
        <f t="shared" si="633"/>
        <v>0</v>
      </c>
      <c r="AJ806" s="525">
        <f t="shared" si="633"/>
        <v>0</v>
      </c>
      <c r="AK806" s="525">
        <f t="shared" si="633"/>
        <v>0</v>
      </c>
      <c r="AL806" s="525">
        <f t="shared" si="635"/>
        <v>0</v>
      </c>
    </row>
    <row r="807" spans="1:38">
      <c r="A807" s="618"/>
      <c r="B807" s="618" t="s">
        <v>177</v>
      </c>
      <c r="C807" s="619">
        <f t="shared" ref="C807:C868" si="686">IF(G807&lt;&gt;0,1,)</f>
        <v>1</v>
      </c>
      <c r="D807" s="523">
        <v>0.19500000000000001</v>
      </c>
      <c r="E807" s="666" t="str">
        <f>VLOOKUP(B807,DONGIA,DG!$C$6,0)</f>
        <v>Cáp nhôm lõi thép AC-50/8</v>
      </c>
      <c r="F807" s="523" t="str">
        <f>VLOOKUP(B807,DONGIA,DG!$D$6,0)</f>
        <v>kg</v>
      </c>
      <c r="G807" s="554">
        <f>ROUNDUP(HLOOKUP(B807,BK3P,$V$3,0)*1.02*D807,1)</f>
        <v>1260.8</v>
      </c>
      <c r="H807" s="525">
        <f>VLOOKUP($B807,DONGIA,DG!$E$6,0)</f>
        <v>59680</v>
      </c>
      <c r="I807" s="525"/>
      <c r="J807" s="525"/>
      <c r="K807" s="525">
        <f>VLOOKUP($B807,DONGIA,DG!$F$6,0)</f>
        <v>0</v>
      </c>
      <c r="L807" s="525"/>
      <c r="M807" s="525">
        <f>VLOOKUP($B807,DONGIA,DG!$G$6,0)</f>
        <v>0</v>
      </c>
      <c r="N807" s="525">
        <f>$G807*H807</f>
        <v>75244544</v>
      </c>
      <c r="O807" s="525">
        <f t="shared" ref="O807:S822" si="687">$G807*I807</f>
        <v>0</v>
      </c>
      <c r="P807" s="525">
        <f t="shared" si="687"/>
        <v>0</v>
      </c>
      <c r="Q807" s="525">
        <f t="shared" si="687"/>
        <v>0</v>
      </c>
      <c r="R807" s="525">
        <f t="shared" si="687"/>
        <v>0</v>
      </c>
      <c r="S807" s="525">
        <f t="shared" si="687"/>
        <v>0</v>
      </c>
      <c r="U807" s="525"/>
      <c r="V807" s="525">
        <f>V$806*$G807</f>
        <v>1260.8</v>
      </c>
      <c r="W807" s="525"/>
      <c r="X807" s="525"/>
      <c r="Y807" s="525"/>
      <c r="Z807" s="525"/>
      <c r="AA807" s="525"/>
      <c r="AB807" s="525"/>
      <c r="AD807" s="627">
        <f t="shared" si="630"/>
        <v>1</v>
      </c>
      <c r="AE807" s="525">
        <f t="shared" si="631"/>
        <v>0</v>
      </c>
      <c r="AF807" s="525">
        <f t="shared" si="632"/>
        <v>1260.8</v>
      </c>
      <c r="AG807" s="525">
        <f t="shared" si="632"/>
        <v>0</v>
      </c>
      <c r="AH807" s="525">
        <f t="shared" si="632"/>
        <v>0</v>
      </c>
      <c r="AI807" s="525">
        <f t="shared" si="633"/>
        <v>0</v>
      </c>
      <c r="AJ807" s="525">
        <f t="shared" si="633"/>
        <v>0</v>
      </c>
      <c r="AK807" s="525">
        <f t="shared" si="633"/>
        <v>0</v>
      </c>
      <c r="AL807" s="525">
        <f t="shared" si="635"/>
        <v>0</v>
      </c>
    </row>
    <row r="808" spans="1:38" s="332" customFormat="1">
      <c r="A808" s="356"/>
      <c r="B808" s="356" t="s">
        <v>179</v>
      </c>
      <c r="C808" s="355">
        <f t="shared" si="686"/>
        <v>0</v>
      </c>
      <c r="D808" s="341">
        <v>0.27600000000000002</v>
      </c>
      <c r="E808" s="340" t="str">
        <f>VLOOKUP(B808,DONGIA,DG!$C$6,0)</f>
        <v>Cáp nhôm lõi thép AC-70/11</v>
      </c>
      <c r="F808" s="341" t="str">
        <f>VLOOKUP(B808,DONGIA,DG!$D$6,0)</f>
        <v>kg</v>
      </c>
      <c r="G808" s="489">
        <f>ROUNDUP(HLOOKUP(B808,BK3P,$V$3,0)*1.02*D808,1)</f>
        <v>0</v>
      </c>
      <c r="H808" s="329">
        <f>VLOOKUP($B808,DONGIA,DG!$E$6,0)</f>
        <v>64200</v>
      </c>
      <c r="I808" s="329"/>
      <c r="J808" s="329"/>
      <c r="K808" s="329">
        <f>VLOOKUP($B808,DONGIA,DG!$F$6,0)</f>
        <v>0</v>
      </c>
      <c r="L808" s="329"/>
      <c r="M808" s="329">
        <f>VLOOKUP($B808,DONGIA,DG!$G$6,0)</f>
        <v>0</v>
      </c>
      <c r="N808" s="329">
        <f t="shared" ref="N808:N864" si="688">$G808*H808</f>
        <v>0</v>
      </c>
      <c r="O808" s="329">
        <f t="shared" si="687"/>
        <v>0</v>
      </c>
      <c r="P808" s="329">
        <f t="shared" si="687"/>
        <v>0</v>
      </c>
      <c r="Q808" s="329">
        <f t="shared" si="687"/>
        <v>0</v>
      </c>
      <c r="R808" s="329">
        <f t="shared" si="687"/>
        <v>0</v>
      </c>
      <c r="S808" s="329">
        <f t="shared" si="687"/>
        <v>0</v>
      </c>
      <c r="U808" s="329"/>
      <c r="V808" s="329">
        <f t="shared" ref="V808:V864" si="689">V$806*$G808</f>
        <v>0</v>
      </c>
      <c r="W808" s="329"/>
      <c r="X808" s="329"/>
      <c r="Y808" s="329"/>
      <c r="Z808" s="329"/>
      <c r="AA808" s="329"/>
      <c r="AB808" s="329"/>
      <c r="AD808" s="564">
        <f t="shared" si="630"/>
        <v>1</v>
      </c>
      <c r="AE808" s="329">
        <f t="shared" si="631"/>
        <v>0</v>
      </c>
      <c r="AF808" s="329">
        <f t="shared" si="632"/>
        <v>0</v>
      </c>
      <c r="AG808" s="329">
        <f t="shared" si="632"/>
        <v>0</v>
      </c>
      <c r="AH808" s="329">
        <f t="shared" si="632"/>
        <v>0</v>
      </c>
      <c r="AI808" s="329">
        <f t="shared" si="633"/>
        <v>0</v>
      </c>
      <c r="AJ808" s="329">
        <f t="shared" si="633"/>
        <v>0</v>
      </c>
      <c r="AK808" s="329">
        <f t="shared" si="633"/>
        <v>0</v>
      </c>
      <c r="AL808" s="329">
        <f t="shared" si="635"/>
        <v>0</v>
      </c>
    </row>
    <row r="809" spans="1:38" s="332" customFormat="1">
      <c r="A809" s="356"/>
      <c r="B809" s="356" t="s">
        <v>181</v>
      </c>
      <c r="C809" s="355">
        <f t="shared" si="686"/>
        <v>0</v>
      </c>
      <c r="D809" s="341">
        <v>0.38500000000000001</v>
      </c>
      <c r="E809" s="340" t="str">
        <f>VLOOKUP(B809,DONGIA,DG!$C$6,0)</f>
        <v>Cáp nhôm lõi thép AC-95/16</v>
      </c>
      <c r="F809" s="341" t="str">
        <f>VLOOKUP(B809,DONGIA,DG!$D$6,0)</f>
        <v>kg</v>
      </c>
      <c r="G809" s="489">
        <f>ROUNDUP(HLOOKUP(B809,BK3P,$V$3,0)*1.02*D809,1)</f>
        <v>0</v>
      </c>
      <c r="H809" s="329">
        <f>VLOOKUP($B809,DONGIA,DG!$E$6,0)</f>
        <v>78435</v>
      </c>
      <c r="I809" s="329"/>
      <c r="J809" s="329"/>
      <c r="K809" s="329">
        <f>VLOOKUP($B809,DONGIA,DG!$F$6,0)</f>
        <v>0</v>
      </c>
      <c r="L809" s="329"/>
      <c r="M809" s="329">
        <f>VLOOKUP($B809,DONGIA,DG!$G$6,0)</f>
        <v>0</v>
      </c>
      <c r="N809" s="329">
        <f t="shared" si="688"/>
        <v>0</v>
      </c>
      <c r="O809" s="329">
        <f t="shared" si="687"/>
        <v>0</v>
      </c>
      <c r="P809" s="329">
        <f t="shared" si="687"/>
        <v>0</v>
      </c>
      <c r="Q809" s="329">
        <f t="shared" si="687"/>
        <v>0</v>
      </c>
      <c r="R809" s="329">
        <f t="shared" si="687"/>
        <v>0</v>
      </c>
      <c r="S809" s="329">
        <f t="shared" si="687"/>
        <v>0</v>
      </c>
      <c r="U809" s="329"/>
      <c r="V809" s="329">
        <f t="shared" si="689"/>
        <v>0</v>
      </c>
      <c r="W809" s="329"/>
      <c r="X809" s="329"/>
      <c r="Y809" s="329"/>
      <c r="Z809" s="329"/>
      <c r="AA809" s="329"/>
      <c r="AB809" s="329"/>
      <c r="AD809" s="564">
        <f t="shared" si="630"/>
        <v>1</v>
      </c>
      <c r="AE809" s="329">
        <f t="shared" si="631"/>
        <v>0</v>
      </c>
      <c r="AF809" s="329">
        <f t="shared" si="632"/>
        <v>0</v>
      </c>
      <c r="AG809" s="329">
        <f t="shared" si="632"/>
        <v>0</v>
      </c>
      <c r="AH809" s="329">
        <f t="shared" si="632"/>
        <v>0</v>
      </c>
      <c r="AI809" s="329">
        <f t="shared" si="633"/>
        <v>0</v>
      </c>
      <c r="AJ809" s="329">
        <f t="shared" si="633"/>
        <v>0</v>
      </c>
      <c r="AK809" s="329">
        <f t="shared" si="633"/>
        <v>0</v>
      </c>
      <c r="AL809" s="329">
        <f t="shared" si="635"/>
        <v>0</v>
      </c>
    </row>
    <row r="810" spans="1:38" s="332" customFormat="1">
      <c r="A810" s="356"/>
      <c r="B810" s="356" t="s">
        <v>183</v>
      </c>
      <c r="C810" s="355">
        <f t="shared" si="686"/>
        <v>0</v>
      </c>
      <c r="D810" s="341">
        <v>0.47099999999999997</v>
      </c>
      <c r="E810" s="340" t="str">
        <f>VLOOKUP(B810,DONGIA,DG!$C$6,0)</f>
        <v>Cáp nhôm lõi thép AC-120/19</v>
      </c>
      <c r="F810" s="341" t="str">
        <f>VLOOKUP(B810,DONGIA,DG!$D$6,0)</f>
        <v>kg</v>
      </c>
      <c r="G810" s="489">
        <f>ROUNDUP(HLOOKUP(B810,BK3P,$V$3,0)*1.02*D810,1)</f>
        <v>0</v>
      </c>
      <c r="H810" s="329">
        <f>VLOOKUP($B810,DONGIA,DG!$E$6,0)</f>
        <v>55210</v>
      </c>
      <c r="I810" s="329"/>
      <c r="J810" s="329"/>
      <c r="K810" s="329">
        <f>VLOOKUP($B810,DONGIA,DG!$F$6,0)</f>
        <v>0</v>
      </c>
      <c r="L810" s="329"/>
      <c r="M810" s="329">
        <f>VLOOKUP($B810,DONGIA,DG!$G$6,0)</f>
        <v>0</v>
      </c>
      <c r="N810" s="329">
        <f t="shared" si="688"/>
        <v>0</v>
      </c>
      <c r="O810" s="329">
        <f t="shared" si="687"/>
        <v>0</v>
      </c>
      <c r="P810" s="329">
        <f t="shared" si="687"/>
        <v>0</v>
      </c>
      <c r="Q810" s="329">
        <f t="shared" si="687"/>
        <v>0</v>
      </c>
      <c r="R810" s="329">
        <f t="shared" si="687"/>
        <v>0</v>
      </c>
      <c r="S810" s="329">
        <f t="shared" si="687"/>
        <v>0</v>
      </c>
      <c r="U810" s="329"/>
      <c r="V810" s="329">
        <f t="shared" si="689"/>
        <v>0</v>
      </c>
      <c r="W810" s="329"/>
      <c r="X810" s="329"/>
      <c r="Y810" s="329"/>
      <c r="Z810" s="329"/>
      <c r="AA810" s="329"/>
      <c r="AB810" s="329"/>
      <c r="AD810" s="564">
        <f t="shared" si="630"/>
        <v>1</v>
      </c>
      <c r="AE810" s="329">
        <f t="shared" si="631"/>
        <v>0</v>
      </c>
      <c r="AF810" s="329">
        <f t="shared" si="632"/>
        <v>0</v>
      </c>
      <c r="AG810" s="329">
        <f t="shared" si="632"/>
        <v>0</v>
      </c>
      <c r="AH810" s="329">
        <f t="shared" si="632"/>
        <v>0</v>
      </c>
      <c r="AI810" s="329">
        <f t="shared" si="633"/>
        <v>0</v>
      </c>
      <c r="AJ810" s="329">
        <f t="shared" si="633"/>
        <v>0</v>
      </c>
      <c r="AK810" s="329">
        <f t="shared" si="633"/>
        <v>0</v>
      </c>
      <c r="AL810" s="329">
        <f t="shared" si="635"/>
        <v>0</v>
      </c>
    </row>
    <row r="811" spans="1:38">
      <c r="A811" s="618"/>
      <c r="B811" s="618" t="s">
        <v>1363</v>
      </c>
      <c r="C811" s="619">
        <f t="shared" si="686"/>
        <v>1</v>
      </c>
      <c r="D811" s="523">
        <f>VLOOKUP(B811,DONGIA,DG!$B$6,0)</f>
        <v>0</v>
      </c>
      <c r="E811" s="666" t="str">
        <f>VLOOKUP(B811,DONGIA,DG!$C$6,0)</f>
        <v>Cáp 24KV ACX 50mm2</v>
      </c>
      <c r="F811" s="523" t="str">
        <f>VLOOKUP(B811,DONGIA,DG!$D$6,0)</f>
        <v>mét</v>
      </c>
      <c r="G811" s="554">
        <f t="shared" ref="G811:G817" si="690">ROUNDUP(HLOOKUP(B811,BK3P,$V$3,0)*1.02,0)</f>
        <v>14906</v>
      </c>
      <c r="H811" s="525">
        <f>VLOOKUP($B811,DONGIA,DG!$E$6,0)</f>
        <v>39790</v>
      </c>
      <c r="I811" s="525"/>
      <c r="J811" s="525"/>
      <c r="K811" s="525">
        <f>VLOOKUP($B811,DONGIA,DG!$F$6,0)</f>
        <v>0</v>
      </c>
      <c r="L811" s="525"/>
      <c r="M811" s="525">
        <f>VLOOKUP($B811,DONGIA,DG!$G$6,0)</f>
        <v>0</v>
      </c>
      <c r="N811" s="525">
        <f t="shared" si="688"/>
        <v>593109740</v>
      </c>
      <c r="O811" s="525">
        <f t="shared" si="687"/>
        <v>0</v>
      </c>
      <c r="P811" s="525">
        <f t="shared" si="687"/>
        <v>0</v>
      </c>
      <c r="Q811" s="525">
        <f t="shared" si="687"/>
        <v>0</v>
      </c>
      <c r="R811" s="525">
        <f t="shared" si="687"/>
        <v>0</v>
      </c>
      <c r="S811" s="525">
        <f t="shared" si="687"/>
        <v>0</v>
      </c>
      <c r="U811" s="525"/>
      <c r="V811" s="525">
        <f t="shared" si="689"/>
        <v>14906</v>
      </c>
      <c r="W811" s="525"/>
      <c r="X811" s="525"/>
      <c r="Y811" s="525"/>
      <c r="Z811" s="525"/>
      <c r="AA811" s="525"/>
      <c r="AB811" s="525"/>
      <c r="AD811" s="627">
        <f t="shared" si="630"/>
        <v>0.65</v>
      </c>
      <c r="AE811" s="525">
        <f t="shared" si="631"/>
        <v>0</v>
      </c>
      <c r="AF811" s="525">
        <f t="shared" si="632"/>
        <v>9688.9</v>
      </c>
      <c r="AG811" s="525">
        <f t="shared" si="632"/>
        <v>0</v>
      </c>
      <c r="AH811" s="525">
        <f t="shared" si="632"/>
        <v>0</v>
      </c>
      <c r="AI811" s="525">
        <f t="shared" si="633"/>
        <v>0</v>
      </c>
      <c r="AJ811" s="525">
        <f t="shared" si="633"/>
        <v>0</v>
      </c>
      <c r="AK811" s="525">
        <f t="shared" si="633"/>
        <v>0</v>
      </c>
      <c r="AL811" s="525">
        <f t="shared" si="635"/>
        <v>0</v>
      </c>
    </row>
    <row r="812" spans="1:38">
      <c r="A812" s="618"/>
      <c r="B812" s="618" t="s">
        <v>1364</v>
      </c>
      <c r="C812" s="619">
        <f t="shared" si="686"/>
        <v>0</v>
      </c>
      <c r="D812" s="523">
        <f>VLOOKUP(B812,DONGIA,DG!$B$6,0)</f>
        <v>0</v>
      </c>
      <c r="E812" s="525" t="str">
        <f>VLOOKUP(B812,DONGIA,DG!$C$6,0)</f>
        <v>Cáp 24KV ACX 70mm2</v>
      </c>
      <c r="F812" s="523" t="str">
        <f>VLOOKUP(B812,DONGIA,DG!$D$6,0)</f>
        <v>mét</v>
      </c>
      <c r="G812" s="554">
        <f t="shared" si="690"/>
        <v>0</v>
      </c>
      <c r="H812" s="525">
        <f>VLOOKUP($B812,DONGIA,DG!$E$6,0)</f>
        <v>48240</v>
      </c>
      <c r="I812" s="525"/>
      <c r="J812" s="525"/>
      <c r="K812" s="525">
        <f>VLOOKUP($B812,DONGIA,DG!$F$6,0)</f>
        <v>0</v>
      </c>
      <c r="L812" s="525"/>
      <c r="M812" s="525">
        <f>VLOOKUP($B812,DONGIA,DG!$G$6,0)</f>
        <v>0</v>
      </c>
      <c r="N812" s="525">
        <f t="shared" si="688"/>
        <v>0</v>
      </c>
      <c r="O812" s="525">
        <f t="shared" si="687"/>
        <v>0</v>
      </c>
      <c r="P812" s="525">
        <f t="shared" si="687"/>
        <v>0</v>
      </c>
      <c r="Q812" s="525">
        <f t="shared" si="687"/>
        <v>0</v>
      </c>
      <c r="R812" s="525">
        <f t="shared" si="687"/>
        <v>0</v>
      </c>
      <c r="S812" s="525">
        <f t="shared" si="687"/>
        <v>0</v>
      </c>
      <c r="U812" s="525"/>
      <c r="V812" s="525">
        <f t="shared" si="689"/>
        <v>0</v>
      </c>
      <c r="W812" s="525"/>
      <c r="X812" s="525"/>
      <c r="Y812" s="525"/>
      <c r="Z812" s="525"/>
      <c r="AA812" s="525"/>
      <c r="AB812" s="525"/>
      <c r="AD812" s="627">
        <f t="shared" si="630"/>
        <v>0.72</v>
      </c>
      <c r="AE812" s="525">
        <f t="shared" si="631"/>
        <v>0</v>
      </c>
      <c r="AF812" s="525">
        <f t="shared" si="632"/>
        <v>0</v>
      </c>
      <c r="AG812" s="525">
        <f t="shared" si="632"/>
        <v>0</v>
      </c>
      <c r="AH812" s="525">
        <f t="shared" si="632"/>
        <v>0</v>
      </c>
      <c r="AI812" s="525">
        <f t="shared" si="633"/>
        <v>0</v>
      </c>
      <c r="AJ812" s="525">
        <f t="shared" si="633"/>
        <v>0</v>
      </c>
      <c r="AK812" s="525">
        <f t="shared" si="633"/>
        <v>0</v>
      </c>
      <c r="AL812" s="525">
        <f t="shared" si="635"/>
        <v>0</v>
      </c>
    </row>
    <row r="813" spans="1:38" s="332" customFormat="1">
      <c r="A813" s="356"/>
      <c r="B813" s="356" t="s">
        <v>1365</v>
      </c>
      <c r="C813" s="355">
        <f t="shared" si="686"/>
        <v>0</v>
      </c>
      <c r="D813" s="341">
        <f>VLOOKUP(B813,DONGIA,DG!$B$6,0)</f>
        <v>0</v>
      </c>
      <c r="E813" s="340" t="str">
        <f>VLOOKUP(B813,DONGIA,DG!$C$6,0)</f>
        <v>Cáp 24KV ACX 95mm2</v>
      </c>
      <c r="F813" s="341" t="str">
        <f>VLOOKUP(B813,DONGIA,DG!$D$6,0)</f>
        <v>mét</v>
      </c>
      <c r="G813" s="489">
        <f t="shared" si="690"/>
        <v>0</v>
      </c>
      <c r="H813" s="329">
        <f>VLOOKUP($B813,DONGIA,DG!$E$6,0)</f>
        <v>61425</v>
      </c>
      <c r="I813" s="329"/>
      <c r="J813" s="329"/>
      <c r="K813" s="329">
        <f>VLOOKUP($B813,DONGIA,DG!$F$6,0)</f>
        <v>0</v>
      </c>
      <c r="L813" s="329"/>
      <c r="M813" s="329">
        <f>VLOOKUP($B813,DONGIA,DG!$G$6,0)</f>
        <v>0</v>
      </c>
      <c r="N813" s="329">
        <f t="shared" si="688"/>
        <v>0</v>
      </c>
      <c r="O813" s="329">
        <f t="shared" si="687"/>
        <v>0</v>
      </c>
      <c r="P813" s="329">
        <f t="shared" si="687"/>
        <v>0</v>
      </c>
      <c r="Q813" s="329">
        <f t="shared" si="687"/>
        <v>0</v>
      </c>
      <c r="R813" s="329">
        <f t="shared" si="687"/>
        <v>0</v>
      </c>
      <c r="S813" s="329">
        <f t="shared" si="687"/>
        <v>0</v>
      </c>
      <c r="U813" s="329"/>
      <c r="V813" s="329">
        <f t="shared" si="689"/>
        <v>0</v>
      </c>
      <c r="W813" s="329"/>
      <c r="X813" s="329"/>
      <c r="Y813" s="329"/>
      <c r="Z813" s="329"/>
      <c r="AA813" s="329"/>
      <c r="AB813" s="329"/>
      <c r="AD813" s="564">
        <f t="shared" si="630"/>
        <v>0.87</v>
      </c>
      <c r="AE813" s="329">
        <f t="shared" si="631"/>
        <v>0</v>
      </c>
      <c r="AF813" s="329">
        <f t="shared" si="632"/>
        <v>0</v>
      </c>
      <c r="AG813" s="329">
        <f t="shared" si="632"/>
        <v>0</v>
      </c>
      <c r="AH813" s="329">
        <f t="shared" si="632"/>
        <v>0</v>
      </c>
      <c r="AI813" s="329">
        <f t="shared" si="633"/>
        <v>0</v>
      </c>
      <c r="AJ813" s="329">
        <f t="shared" si="633"/>
        <v>0</v>
      </c>
      <c r="AK813" s="329">
        <f t="shared" si="633"/>
        <v>0</v>
      </c>
      <c r="AL813" s="329">
        <f t="shared" si="635"/>
        <v>0</v>
      </c>
    </row>
    <row r="814" spans="1:38" s="332" customFormat="1">
      <c r="A814" s="356"/>
      <c r="B814" s="356" t="s">
        <v>1366</v>
      </c>
      <c r="C814" s="355">
        <f t="shared" si="686"/>
        <v>0</v>
      </c>
      <c r="D814" s="341">
        <f>VLOOKUP(B814,DONGIA,DG!$B$6,0)</f>
        <v>0</v>
      </c>
      <c r="E814" s="340" t="str">
        <f>VLOOKUP(B814,DONGIA,DG!$C$6,0)</f>
        <v>Cáp 24KV ACX 120mm2</v>
      </c>
      <c r="F814" s="341" t="str">
        <f>VLOOKUP(B814,DONGIA,DG!$D$6,0)</f>
        <v>mét</v>
      </c>
      <c r="G814" s="489">
        <f t="shared" si="690"/>
        <v>0</v>
      </c>
      <c r="H814" s="329">
        <f>VLOOKUP($B814,DONGIA,DG!$E$6,0)</f>
        <v>83160</v>
      </c>
      <c r="I814" s="329"/>
      <c r="J814" s="329"/>
      <c r="K814" s="329">
        <f>VLOOKUP($B814,DONGIA,DG!$F$6,0)</f>
        <v>0</v>
      </c>
      <c r="L814" s="329"/>
      <c r="M814" s="329">
        <f>VLOOKUP($B814,DONGIA,DG!$G$6,0)</f>
        <v>0</v>
      </c>
      <c r="N814" s="329">
        <f t="shared" si="688"/>
        <v>0</v>
      </c>
      <c r="O814" s="329">
        <f t="shared" si="687"/>
        <v>0</v>
      </c>
      <c r="P814" s="329">
        <f t="shared" si="687"/>
        <v>0</v>
      </c>
      <c r="Q814" s="329">
        <f t="shared" si="687"/>
        <v>0</v>
      </c>
      <c r="R814" s="329">
        <f t="shared" si="687"/>
        <v>0</v>
      </c>
      <c r="S814" s="329">
        <f t="shared" si="687"/>
        <v>0</v>
      </c>
      <c r="U814" s="329"/>
      <c r="V814" s="329">
        <f t="shared" si="689"/>
        <v>0</v>
      </c>
      <c r="W814" s="329"/>
      <c r="X814" s="329"/>
      <c r="Y814" s="329"/>
      <c r="Z814" s="329"/>
      <c r="AA814" s="329"/>
      <c r="AB814" s="329"/>
      <c r="AD814" s="564">
        <f t="shared" si="630"/>
        <v>0.93</v>
      </c>
      <c r="AE814" s="329">
        <f t="shared" si="631"/>
        <v>0</v>
      </c>
      <c r="AF814" s="329">
        <f t="shared" si="632"/>
        <v>0</v>
      </c>
      <c r="AG814" s="329">
        <f t="shared" si="632"/>
        <v>0</v>
      </c>
      <c r="AH814" s="329">
        <f t="shared" si="632"/>
        <v>0</v>
      </c>
      <c r="AI814" s="329">
        <f t="shared" si="633"/>
        <v>0</v>
      </c>
      <c r="AJ814" s="329">
        <f t="shared" si="633"/>
        <v>0</v>
      </c>
      <c r="AK814" s="329">
        <f t="shared" si="633"/>
        <v>0</v>
      </c>
      <c r="AL814" s="329">
        <f t="shared" si="635"/>
        <v>0</v>
      </c>
    </row>
    <row r="815" spans="1:38" s="332" customFormat="1">
      <c r="A815" s="356"/>
      <c r="B815" s="356" t="s">
        <v>1367</v>
      </c>
      <c r="C815" s="355">
        <f t="shared" si="686"/>
        <v>0</v>
      </c>
      <c r="D815" s="341">
        <f>VLOOKUP(B815,DONGIA,DG!$B$6,0)</f>
        <v>0</v>
      </c>
      <c r="E815" s="340" t="str">
        <f>VLOOKUP(B815,DONGIA,DG!$C$6,0)</f>
        <v>Cáp 24KV ACX 150mm2</v>
      </c>
      <c r="F815" s="341" t="str">
        <f>VLOOKUP(B815,DONGIA,DG!$D$6,0)</f>
        <v>mét</v>
      </c>
      <c r="G815" s="489">
        <f t="shared" si="690"/>
        <v>0</v>
      </c>
      <c r="H815" s="329">
        <f>VLOOKUP($B815,DONGIA,DG!$E$6,0)</f>
        <v>83160</v>
      </c>
      <c r="I815" s="329"/>
      <c r="J815" s="329"/>
      <c r="K815" s="329">
        <f>VLOOKUP($B815,DONGIA,DG!$F$6,0)</f>
        <v>0</v>
      </c>
      <c r="L815" s="329"/>
      <c r="M815" s="329">
        <f>VLOOKUP($B815,DONGIA,DG!$G$6,0)</f>
        <v>0</v>
      </c>
      <c r="N815" s="329">
        <f t="shared" si="688"/>
        <v>0</v>
      </c>
      <c r="O815" s="329">
        <f t="shared" si="687"/>
        <v>0</v>
      </c>
      <c r="P815" s="329">
        <f t="shared" si="687"/>
        <v>0</v>
      </c>
      <c r="Q815" s="329">
        <f t="shared" si="687"/>
        <v>0</v>
      </c>
      <c r="R815" s="329">
        <f t="shared" si="687"/>
        <v>0</v>
      </c>
      <c r="S815" s="329">
        <f t="shared" si="687"/>
        <v>0</v>
      </c>
      <c r="U815" s="329"/>
      <c r="V815" s="329">
        <f t="shared" si="689"/>
        <v>0</v>
      </c>
      <c r="W815" s="329"/>
      <c r="X815" s="329"/>
      <c r="Y815" s="329"/>
      <c r="Z815" s="329"/>
      <c r="AA815" s="329"/>
      <c r="AB815" s="329"/>
      <c r="AD815" s="564">
        <f t="shared" si="630"/>
        <v>1.22</v>
      </c>
      <c r="AE815" s="329">
        <f t="shared" si="631"/>
        <v>0</v>
      </c>
      <c r="AF815" s="329">
        <f t="shared" si="632"/>
        <v>0</v>
      </c>
      <c r="AG815" s="329">
        <f t="shared" si="632"/>
        <v>0</v>
      </c>
      <c r="AH815" s="329">
        <f t="shared" si="632"/>
        <v>0</v>
      </c>
      <c r="AI815" s="329">
        <f t="shared" si="633"/>
        <v>0</v>
      </c>
      <c r="AJ815" s="329">
        <f t="shared" si="633"/>
        <v>0</v>
      </c>
      <c r="AK815" s="329">
        <f t="shared" si="633"/>
        <v>0</v>
      </c>
      <c r="AL815" s="329">
        <f t="shared" si="635"/>
        <v>0</v>
      </c>
    </row>
    <row r="816" spans="1:38" s="332" customFormat="1">
      <c r="A816" s="356"/>
      <c r="B816" s="356" t="s">
        <v>1368</v>
      </c>
      <c r="C816" s="355">
        <f t="shared" si="686"/>
        <v>0</v>
      </c>
      <c r="D816" s="341">
        <f>VLOOKUP(B816,DONGIA,DG!$B$6,0)</f>
        <v>0</v>
      </c>
      <c r="E816" s="340" t="str">
        <f>VLOOKUP(B816,DONGIA,DG!$C$6,0)</f>
        <v>Cáp 24KV ACX 185mm2</v>
      </c>
      <c r="F816" s="341" t="str">
        <f>VLOOKUP(B816,DONGIA,DG!$D$6,0)</f>
        <v>mét</v>
      </c>
      <c r="G816" s="489">
        <f t="shared" si="690"/>
        <v>0</v>
      </c>
      <c r="H816" s="329">
        <f>VLOOKUP($B816,DONGIA,DG!$E$6,0)</f>
        <v>116500</v>
      </c>
      <c r="I816" s="329"/>
      <c r="J816" s="329"/>
      <c r="K816" s="329">
        <f>VLOOKUP($B816,DONGIA,DG!$F$6,0)</f>
        <v>0</v>
      </c>
      <c r="L816" s="329"/>
      <c r="M816" s="329">
        <f>VLOOKUP($B816,DONGIA,DG!$G$6,0)</f>
        <v>0</v>
      </c>
      <c r="N816" s="329">
        <f t="shared" si="688"/>
        <v>0</v>
      </c>
      <c r="O816" s="329">
        <f t="shared" si="687"/>
        <v>0</v>
      </c>
      <c r="P816" s="329">
        <f t="shared" si="687"/>
        <v>0</v>
      </c>
      <c r="Q816" s="329">
        <f t="shared" si="687"/>
        <v>0</v>
      </c>
      <c r="R816" s="329">
        <f t="shared" si="687"/>
        <v>0</v>
      </c>
      <c r="S816" s="329">
        <f t="shared" si="687"/>
        <v>0</v>
      </c>
      <c r="U816" s="329"/>
      <c r="V816" s="329">
        <f t="shared" si="689"/>
        <v>0</v>
      </c>
      <c r="W816" s="329"/>
      <c r="X816" s="329"/>
      <c r="Y816" s="329"/>
      <c r="Z816" s="329"/>
      <c r="AA816" s="329"/>
      <c r="AB816" s="329"/>
      <c r="AD816" s="564">
        <f t="shared" si="630"/>
        <v>1.53</v>
      </c>
      <c r="AE816" s="329">
        <f t="shared" si="631"/>
        <v>0</v>
      </c>
      <c r="AF816" s="329">
        <f t="shared" si="632"/>
        <v>0</v>
      </c>
      <c r="AG816" s="329">
        <f t="shared" si="632"/>
        <v>0</v>
      </c>
      <c r="AH816" s="329">
        <f t="shared" si="632"/>
        <v>0</v>
      </c>
      <c r="AI816" s="329">
        <f t="shared" si="633"/>
        <v>0</v>
      </c>
      <c r="AJ816" s="329">
        <f t="shared" si="633"/>
        <v>0</v>
      </c>
      <c r="AK816" s="329">
        <f t="shared" si="633"/>
        <v>0</v>
      </c>
      <c r="AL816" s="329">
        <f t="shared" si="635"/>
        <v>0</v>
      </c>
    </row>
    <row r="817" spans="1:38" s="332" customFormat="1">
      <c r="A817" s="356"/>
      <c r="B817" s="356" t="s">
        <v>1369</v>
      </c>
      <c r="C817" s="355">
        <f t="shared" si="686"/>
        <v>0</v>
      </c>
      <c r="D817" s="341">
        <f>VLOOKUP(B817,DONGIA,DG!$B$6,0)</f>
        <v>0</v>
      </c>
      <c r="E817" s="340" t="str">
        <f>VLOOKUP(B817,DONGIA,DG!$C$6,0)</f>
        <v>Cáp 24KV ACX 240mm2</v>
      </c>
      <c r="F817" s="341" t="str">
        <f>VLOOKUP(B817,DONGIA,DG!$D$6,0)</f>
        <v>mét</v>
      </c>
      <c r="G817" s="489">
        <f t="shared" si="690"/>
        <v>0</v>
      </c>
      <c r="H817" s="329">
        <f>VLOOKUP($B817,DONGIA,DG!$E$6,0)</f>
        <v>122850</v>
      </c>
      <c r="I817" s="329"/>
      <c r="J817" s="329"/>
      <c r="K817" s="329">
        <f>VLOOKUP($B817,DONGIA,DG!$F$6,0)</f>
        <v>0</v>
      </c>
      <c r="L817" s="329"/>
      <c r="M817" s="329">
        <f>VLOOKUP($B817,DONGIA,DG!$G$6,0)</f>
        <v>0</v>
      </c>
      <c r="N817" s="329">
        <f t="shared" si="688"/>
        <v>0</v>
      </c>
      <c r="O817" s="329">
        <f t="shared" si="687"/>
        <v>0</v>
      </c>
      <c r="P817" s="329">
        <f t="shared" si="687"/>
        <v>0</v>
      </c>
      <c r="Q817" s="329">
        <f t="shared" si="687"/>
        <v>0</v>
      </c>
      <c r="R817" s="329">
        <f t="shared" si="687"/>
        <v>0</v>
      </c>
      <c r="S817" s="329">
        <f t="shared" si="687"/>
        <v>0</v>
      </c>
      <c r="U817" s="329"/>
      <c r="V817" s="329">
        <f t="shared" si="689"/>
        <v>0</v>
      </c>
      <c r="W817" s="329"/>
      <c r="X817" s="329"/>
      <c r="Y817" s="329"/>
      <c r="Z817" s="329"/>
      <c r="AA817" s="329"/>
      <c r="AB817" s="329"/>
      <c r="AD817" s="564">
        <f t="shared" si="630"/>
        <v>1.86</v>
      </c>
      <c r="AE817" s="329">
        <f t="shared" si="631"/>
        <v>0</v>
      </c>
      <c r="AF817" s="329">
        <f t="shared" si="632"/>
        <v>0</v>
      </c>
      <c r="AG817" s="329">
        <f t="shared" si="632"/>
        <v>0</v>
      </c>
      <c r="AH817" s="329">
        <f t="shared" si="632"/>
        <v>0</v>
      </c>
      <c r="AI817" s="329">
        <f t="shared" si="633"/>
        <v>0</v>
      </c>
      <c r="AJ817" s="329">
        <f t="shared" si="633"/>
        <v>0</v>
      </c>
      <c r="AK817" s="329">
        <f t="shared" si="633"/>
        <v>0</v>
      </c>
      <c r="AL817" s="329">
        <f t="shared" si="635"/>
        <v>0</v>
      </c>
    </row>
    <row r="818" spans="1:38">
      <c r="A818" s="618"/>
      <c r="B818" s="618" t="s">
        <v>1468</v>
      </c>
      <c r="C818" s="619">
        <f t="shared" si="686"/>
        <v>1</v>
      </c>
      <c r="D818" s="523">
        <f>VLOOKUP(B818,DONGIA,DG!$B$6,0)</f>
        <v>0</v>
      </c>
      <c r="E818" s="666" t="str">
        <f>VLOOKUP(B818,DONGIA,DG!$C$6,0)</f>
        <v>Cáp 24KV C/XLPE/PVC 25mm2</v>
      </c>
      <c r="F818" s="523" t="str">
        <f>VLOOKUP(B818,DONGIA,DG!$D$6,0)</f>
        <v>mét</v>
      </c>
      <c r="G818" s="554">
        <f t="shared" ref="G818:G841" si="691">HLOOKUP(B818,BK3P,$V$3,0)</f>
        <v>148</v>
      </c>
      <c r="H818" s="525">
        <f>VLOOKUP($B818,DONGIA,DG!$E$6,0)</f>
        <v>87540</v>
      </c>
      <c r="I818" s="525"/>
      <c r="J818" s="525"/>
      <c r="K818" s="525">
        <f>VLOOKUP($B818,DONGIA,DG!$F$6,0)</f>
        <v>0</v>
      </c>
      <c r="L818" s="525"/>
      <c r="M818" s="525">
        <f>VLOOKUP($B818,DONGIA,DG!$G$6,0)</f>
        <v>0</v>
      </c>
      <c r="N818" s="525">
        <f t="shared" si="688"/>
        <v>12955920</v>
      </c>
      <c r="O818" s="525">
        <f t="shared" si="687"/>
        <v>0</v>
      </c>
      <c r="P818" s="525">
        <f t="shared" si="687"/>
        <v>0</v>
      </c>
      <c r="Q818" s="525">
        <f t="shared" si="687"/>
        <v>0</v>
      </c>
      <c r="R818" s="525">
        <f t="shared" si="687"/>
        <v>0</v>
      </c>
      <c r="S818" s="525">
        <f t="shared" si="687"/>
        <v>0</v>
      </c>
      <c r="U818" s="525"/>
      <c r="V818" s="525">
        <f t="shared" si="689"/>
        <v>148</v>
      </c>
      <c r="W818" s="525"/>
      <c r="X818" s="525"/>
      <c r="Y818" s="525"/>
      <c r="Z818" s="525"/>
      <c r="AA818" s="525"/>
      <c r="AB818" s="525"/>
      <c r="AD818" s="627">
        <f t="shared" si="630"/>
        <v>0.75</v>
      </c>
      <c r="AE818" s="525">
        <f t="shared" si="631"/>
        <v>0</v>
      </c>
      <c r="AF818" s="525">
        <f t="shared" si="632"/>
        <v>111</v>
      </c>
      <c r="AG818" s="525">
        <f t="shared" si="632"/>
        <v>0</v>
      </c>
      <c r="AH818" s="525">
        <f t="shared" si="632"/>
        <v>0</v>
      </c>
      <c r="AI818" s="525">
        <f t="shared" si="633"/>
        <v>0</v>
      </c>
      <c r="AJ818" s="525">
        <f t="shared" si="633"/>
        <v>0</v>
      </c>
      <c r="AK818" s="525">
        <f t="shared" si="633"/>
        <v>0</v>
      </c>
      <c r="AL818" s="525">
        <f t="shared" si="635"/>
        <v>0</v>
      </c>
    </row>
    <row r="819" spans="1:38" s="332" customFormat="1">
      <c r="A819" s="356"/>
      <c r="B819" s="356" t="s">
        <v>1469</v>
      </c>
      <c r="C819" s="355">
        <f t="shared" si="686"/>
        <v>0</v>
      </c>
      <c r="D819" s="341">
        <f>VLOOKUP(B819,DONGIA,DG!$B$6,0)</f>
        <v>0</v>
      </c>
      <c r="E819" s="340" t="str">
        <f>VLOOKUP(B819,DONGIA,DG!$C$6,0)</f>
        <v>Cáp 24KV C/XLPE/PVC 50mm2</v>
      </c>
      <c r="F819" s="341" t="str">
        <f>VLOOKUP(B819,DONGIA,DG!$D$6,0)</f>
        <v>mét</v>
      </c>
      <c r="G819" s="489">
        <f t="shared" si="691"/>
        <v>0</v>
      </c>
      <c r="H819" s="329">
        <f>VLOOKUP($B819,DONGIA,DG!$E$6,0)</f>
        <v>154035</v>
      </c>
      <c r="I819" s="329"/>
      <c r="J819" s="329"/>
      <c r="K819" s="329">
        <f>VLOOKUP($B819,DONGIA,DG!$F$6,0)</f>
        <v>0</v>
      </c>
      <c r="L819" s="329"/>
      <c r="M819" s="329">
        <f>VLOOKUP($B819,DONGIA,DG!$G$6,0)</f>
        <v>0</v>
      </c>
      <c r="N819" s="329">
        <f t="shared" si="688"/>
        <v>0</v>
      </c>
      <c r="O819" s="329">
        <f t="shared" si="687"/>
        <v>0</v>
      </c>
      <c r="P819" s="329">
        <f t="shared" si="687"/>
        <v>0</v>
      </c>
      <c r="Q819" s="329">
        <f t="shared" si="687"/>
        <v>0</v>
      </c>
      <c r="R819" s="329">
        <f t="shared" si="687"/>
        <v>0</v>
      </c>
      <c r="S819" s="329">
        <f t="shared" si="687"/>
        <v>0</v>
      </c>
      <c r="U819" s="329"/>
      <c r="V819" s="329">
        <f t="shared" si="689"/>
        <v>0</v>
      </c>
      <c r="W819" s="329"/>
      <c r="X819" s="329"/>
      <c r="Y819" s="329"/>
      <c r="Z819" s="329"/>
      <c r="AA819" s="329"/>
      <c r="AB819" s="329"/>
      <c r="AD819" s="564">
        <f t="shared" si="630"/>
        <v>0.86</v>
      </c>
      <c r="AE819" s="329">
        <f t="shared" si="631"/>
        <v>0</v>
      </c>
      <c r="AF819" s="329">
        <f t="shared" si="632"/>
        <v>0</v>
      </c>
      <c r="AG819" s="329">
        <f t="shared" si="632"/>
        <v>0</v>
      </c>
      <c r="AH819" s="329">
        <f t="shared" si="632"/>
        <v>0</v>
      </c>
      <c r="AI819" s="329">
        <f t="shared" si="633"/>
        <v>0</v>
      </c>
      <c r="AJ819" s="329">
        <f t="shared" si="633"/>
        <v>0</v>
      </c>
      <c r="AK819" s="329">
        <f t="shared" si="633"/>
        <v>0</v>
      </c>
      <c r="AL819" s="329">
        <f t="shared" si="635"/>
        <v>0</v>
      </c>
    </row>
    <row r="820" spans="1:38">
      <c r="A820" s="618"/>
      <c r="B820" s="618" t="s">
        <v>1662</v>
      </c>
      <c r="C820" s="619">
        <f t="shared" si="686"/>
        <v>1</v>
      </c>
      <c r="D820" s="523">
        <f>VLOOKUP(B820,DONGIA,DG!$B$6,0)</f>
        <v>0</v>
      </c>
      <c r="E820" s="666" t="str">
        <f>VLOOKUP(B820,DONGIA,DG!$C$6,0)</f>
        <v>Kẹp ép WR cỡ dây 50mm2</v>
      </c>
      <c r="F820" s="523" t="str">
        <f>VLOOKUP(B820,DONGIA,DG!$D$6,0)</f>
        <v>cái</v>
      </c>
      <c r="G820" s="525">
        <f t="shared" si="691"/>
        <v>18</v>
      </c>
      <c r="H820" s="525">
        <f>VLOOKUP($B820,DONGIA,DG!$E$6,0)</f>
        <v>10000</v>
      </c>
      <c r="I820" s="525"/>
      <c r="J820" s="525"/>
      <c r="K820" s="525">
        <f>VLOOKUP($B820,DONGIA,DG!$F$6,0)</f>
        <v>0</v>
      </c>
      <c r="L820" s="525"/>
      <c r="M820" s="525">
        <f>VLOOKUP($B820,DONGIA,DG!$G$6,0)</f>
        <v>0</v>
      </c>
      <c r="N820" s="525">
        <f t="shared" si="688"/>
        <v>180000</v>
      </c>
      <c r="O820" s="525">
        <f t="shared" si="687"/>
        <v>0</v>
      </c>
      <c r="P820" s="525">
        <f t="shared" si="687"/>
        <v>0</v>
      </c>
      <c r="Q820" s="525">
        <f t="shared" si="687"/>
        <v>0</v>
      </c>
      <c r="R820" s="525">
        <f t="shared" si="687"/>
        <v>0</v>
      </c>
      <c r="S820" s="525">
        <f t="shared" si="687"/>
        <v>0</v>
      </c>
      <c r="U820" s="525"/>
      <c r="V820" s="525">
        <f t="shared" si="689"/>
        <v>18</v>
      </c>
      <c r="W820" s="525"/>
      <c r="X820" s="525"/>
      <c r="Y820" s="525"/>
      <c r="Z820" s="525"/>
      <c r="AA820" s="525"/>
      <c r="AB820" s="525"/>
      <c r="AD820" s="405">
        <f t="shared" si="630"/>
        <v>0.2</v>
      </c>
      <c r="AE820" s="525">
        <f t="shared" si="631"/>
        <v>0</v>
      </c>
      <c r="AF820" s="525">
        <f t="shared" si="632"/>
        <v>3.6</v>
      </c>
      <c r="AG820" s="525">
        <f t="shared" si="632"/>
        <v>0</v>
      </c>
      <c r="AH820" s="525">
        <f t="shared" si="632"/>
        <v>0</v>
      </c>
      <c r="AI820" s="525">
        <f t="shared" si="633"/>
        <v>0</v>
      </c>
      <c r="AJ820" s="525">
        <f t="shared" si="633"/>
        <v>0</v>
      </c>
      <c r="AK820" s="525">
        <f t="shared" si="633"/>
        <v>0</v>
      </c>
      <c r="AL820" s="525">
        <f t="shared" si="635"/>
        <v>0</v>
      </c>
    </row>
    <row r="821" spans="1:38">
      <c r="A821" s="618"/>
      <c r="B821" s="618" t="s">
        <v>1720</v>
      </c>
      <c r="C821" s="619">
        <f t="shared" si="686"/>
        <v>1</v>
      </c>
      <c r="D821" s="523">
        <f>VLOOKUP(B821,DONGIA,DG!$B$6,0)</f>
        <v>0</v>
      </c>
      <c r="E821" s="666" t="str">
        <f>VLOOKUP(B821,DONGIA,DG!$C$6,0)</f>
        <v>Kẹp ép WR cỡ dây 70mm2</v>
      </c>
      <c r="F821" s="523" t="str">
        <f>VLOOKUP(B821,DONGIA,DG!$D$6,0)</f>
        <v>cái</v>
      </c>
      <c r="G821" s="525">
        <f t="shared" si="691"/>
        <v>6</v>
      </c>
      <c r="H821" s="525">
        <f>VLOOKUP($B821,DONGIA,DG!$E$6,0)</f>
        <v>14700</v>
      </c>
      <c r="I821" s="525"/>
      <c r="J821" s="525"/>
      <c r="K821" s="525">
        <f>VLOOKUP($B821,DONGIA,DG!$F$6,0)</f>
        <v>0</v>
      </c>
      <c r="L821" s="525"/>
      <c r="M821" s="525">
        <f>VLOOKUP($B821,DONGIA,DG!$G$6,0)</f>
        <v>0</v>
      </c>
      <c r="N821" s="525">
        <f t="shared" si="688"/>
        <v>88200</v>
      </c>
      <c r="O821" s="525">
        <f t="shared" si="687"/>
        <v>0</v>
      </c>
      <c r="P821" s="525">
        <f t="shared" si="687"/>
        <v>0</v>
      </c>
      <c r="Q821" s="525">
        <f t="shared" si="687"/>
        <v>0</v>
      </c>
      <c r="R821" s="525">
        <f t="shared" si="687"/>
        <v>0</v>
      </c>
      <c r="S821" s="525">
        <f t="shared" si="687"/>
        <v>0</v>
      </c>
      <c r="U821" s="525"/>
      <c r="V821" s="525">
        <f t="shared" si="689"/>
        <v>6</v>
      </c>
      <c r="W821" s="525"/>
      <c r="X821" s="525"/>
      <c r="Y821" s="525"/>
      <c r="Z821" s="525"/>
      <c r="AA821" s="525"/>
      <c r="AB821" s="525"/>
      <c r="AD821" s="405">
        <f t="shared" si="630"/>
        <v>0.2</v>
      </c>
      <c r="AE821" s="525">
        <f t="shared" si="631"/>
        <v>0</v>
      </c>
      <c r="AF821" s="525">
        <f t="shared" si="632"/>
        <v>1.2000000000000002</v>
      </c>
      <c r="AG821" s="525">
        <f t="shared" si="632"/>
        <v>0</v>
      </c>
      <c r="AH821" s="525">
        <f t="shared" si="632"/>
        <v>0</v>
      </c>
      <c r="AI821" s="525">
        <f t="shared" si="633"/>
        <v>0</v>
      </c>
      <c r="AJ821" s="525">
        <f t="shared" si="633"/>
        <v>0</v>
      </c>
      <c r="AK821" s="525">
        <f t="shared" si="633"/>
        <v>0</v>
      </c>
      <c r="AL821" s="525">
        <f t="shared" si="635"/>
        <v>0</v>
      </c>
    </row>
    <row r="822" spans="1:38">
      <c r="A822" s="618"/>
      <c r="B822" s="618" t="s">
        <v>1724</v>
      </c>
      <c r="C822" s="619">
        <f t="shared" si="686"/>
        <v>1</v>
      </c>
      <c r="D822" s="523">
        <f>VLOOKUP(B822,DONGIA,DG!$B$6,0)</f>
        <v>0</v>
      </c>
      <c r="E822" s="666" t="str">
        <f>VLOOKUP(B822,DONGIA,DG!$C$6,0)</f>
        <v>Kẹp ép WR cỡ dây 95mm2</v>
      </c>
      <c r="F822" s="523" t="str">
        <f>VLOOKUP(B822,DONGIA,DG!$D$6,0)</f>
        <v>cái</v>
      </c>
      <c r="G822" s="525">
        <f t="shared" si="691"/>
        <v>8</v>
      </c>
      <c r="H822" s="525">
        <f>VLOOKUP($B822,DONGIA,DG!$E$6,0)</f>
        <v>14700</v>
      </c>
      <c r="I822" s="525"/>
      <c r="J822" s="525"/>
      <c r="K822" s="525">
        <f>VLOOKUP($B822,DONGIA,DG!$F$6,0)</f>
        <v>0</v>
      </c>
      <c r="L822" s="525"/>
      <c r="M822" s="525">
        <f>VLOOKUP($B822,DONGIA,DG!$G$6,0)</f>
        <v>0</v>
      </c>
      <c r="N822" s="525">
        <f t="shared" si="688"/>
        <v>117600</v>
      </c>
      <c r="O822" s="525">
        <f t="shared" si="687"/>
        <v>0</v>
      </c>
      <c r="P822" s="525">
        <f t="shared" si="687"/>
        <v>0</v>
      </c>
      <c r="Q822" s="525">
        <f t="shared" si="687"/>
        <v>0</v>
      </c>
      <c r="R822" s="525">
        <f t="shared" si="687"/>
        <v>0</v>
      </c>
      <c r="S822" s="525">
        <f t="shared" si="687"/>
        <v>0</v>
      </c>
      <c r="U822" s="525"/>
      <c r="V822" s="525">
        <f t="shared" si="689"/>
        <v>8</v>
      </c>
      <c r="W822" s="525"/>
      <c r="X822" s="525"/>
      <c r="Y822" s="525"/>
      <c r="Z822" s="525"/>
      <c r="AA822" s="525"/>
      <c r="AB822" s="525"/>
      <c r="AD822" s="405">
        <f t="shared" si="630"/>
        <v>0.2</v>
      </c>
      <c r="AE822" s="525">
        <f t="shared" si="631"/>
        <v>0</v>
      </c>
      <c r="AF822" s="525">
        <f t="shared" si="632"/>
        <v>1.6</v>
      </c>
      <c r="AG822" s="525">
        <f t="shared" si="632"/>
        <v>0</v>
      </c>
      <c r="AH822" s="525">
        <f t="shared" si="632"/>
        <v>0</v>
      </c>
      <c r="AI822" s="525">
        <f t="shared" si="633"/>
        <v>0</v>
      </c>
      <c r="AJ822" s="525">
        <f t="shared" si="633"/>
        <v>0</v>
      </c>
      <c r="AK822" s="525">
        <f t="shared" si="633"/>
        <v>0</v>
      </c>
      <c r="AL822" s="525">
        <f t="shared" si="635"/>
        <v>0</v>
      </c>
    </row>
    <row r="823" spans="1:38" s="332" customFormat="1">
      <c r="A823" s="356"/>
      <c r="B823" s="356" t="s">
        <v>1722</v>
      </c>
      <c r="C823" s="355">
        <f t="shared" si="686"/>
        <v>0</v>
      </c>
      <c r="D823" s="341">
        <f>VLOOKUP(B823,DONGIA,DG!$B$6,0)</f>
        <v>0</v>
      </c>
      <c r="E823" s="340" t="str">
        <f>VLOOKUP(B823,DONGIA,DG!$C$6,0)</f>
        <v>Kẹp ép WR cỡ dây 120mm2</v>
      </c>
      <c r="F823" s="341" t="str">
        <f>VLOOKUP(B823,DONGIA,DG!$D$6,0)</f>
        <v>cái</v>
      </c>
      <c r="G823" s="329">
        <f t="shared" si="691"/>
        <v>0</v>
      </c>
      <c r="H823" s="329">
        <f>VLOOKUP($B823,DONGIA,DG!$E$6,0)</f>
        <v>18900</v>
      </c>
      <c r="I823" s="329"/>
      <c r="J823" s="329"/>
      <c r="K823" s="329">
        <f>VLOOKUP($B823,DONGIA,DG!$F$6,0)</f>
        <v>0</v>
      </c>
      <c r="L823" s="329"/>
      <c r="M823" s="329">
        <f>VLOOKUP($B823,DONGIA,DG!$G$6,0)</f>
        <v>0</v>
      </c>
      <c r="N823" s="329">
        <f t="shared" si="688"/>
        <v>0</v>
      </c>
      <c r="O823" s="329">
        <f t="shared" ref="O823:O864" si="692">$G823*I823</f>
        <v>0</v>
      </c>
      <c r="P823" s="329">
        <f t="shared" ref="P823:P864" si="693">$G823*J823</f>
        <v>0</v>
      </c>
      <c r="Q823" s="329">
        <f t="shared" ref="Q823:Q864" si="694">$G823*K823</f>
        <v>0</v>
      </c>
      <c r="R823" s="329">
        <f t="shared" ref="R823:R864" si="695">$G823*L823</f>
        <v>0</v>
      </c>
      <c r="S823" s="329">
        <f t="shared" ref="S823:S864" si="696">$G823*M823</f>
        <v>0</v>
      </c>
      <c r="U823" s="329"/>
      <c r="V823" s="329">
        <f t="shared" si="689"/>
        <v>0</v>
      </c>
      <c r="W823" s="329"/>
      <c r="X823" s="329"/>
      <c r="Y823" s="329"/>
      <c r="Z823" s="329"/>
      <c r="AA823" s="329"/>
      <c r="AB823" s="329"/>
      <c r="AD823" s="332">
        <f t="shared" ref="AD823:AD868" si="697">IFERROR(VLOOKUP(B823,DONGIA,$AD$3,0),0)</f>
        <v>0.2</v>
      </c>
      <c r="AE823" s="329">
        <f t="shared" ref="AE823:AE868" si="698">U823*$AD823</f>
        <v>0</v>
      </c>
      <c r="AF823" s="329">
        <f t="shared" ref="AF823:AH868" si="699">V823*$AD823</f>
        <v>0</v>
      </c>
      <c r="AG823" s="329">
        <f t="shared" si="699"/>
        <v>0</v>
      </c>
      <c r="AH823" s="329">
        <f t="shared" si="699"/>
        <v>0</v>
      </c>
      <c r="AI823" s="329">
        <f t="shared" ref="AI823:AK868" si="700">Y823*$AD823</f>
        <v>0</v>
      </c>
      <c r="AJ823" s="329">
        <f t="shared" si="700"/>
        <v>0</v>
      </c>
      <c r="AK823" s="329">
        <f t="shared" si="700"/>
        <v>0</v>
      </c>
      <c r="AL823" s="329">
        <f t="shared" si="635"/>
        <v>0</v>
      </c>
    </row>
    <row r="824" spans="1:38" s="332" customFormat="1">
      <c r="A824" s="356"/>
      <c r="B824" s="356" t="s">
        <v>1725</v>
      </c>
      <c r="C824" s="355">
        <f t="shared" si="686"/>
        <v>0</v>
      </c>
      <c r="D824" s="341">
        <f>VLOOKUP(B824,DONGIA,DG!$B$6,0)</f>
        <v>0</v>
      </c>
      <c r="E824" s="340" t="str">
        <f>VLOOKUP(B824,DONGIA,DG!$C$6,0)</f>
        <v>Kẹp ép WR cỡ dây 150mm2</v>
      </c>
      <c r="F824" s="341" t="str">
        <f>VLOOKUP(B824,DONGIA,DG!$D$6,0)</f>
        <v>cái</v>
      </c>
      <c r="G824" s="329">
        <f t="shared" si="691"/>
        <v>0</v>
      </c>
      <c r="H824" s="329">
        <f>VLOOKUP($B824,DONGIA,DG!$E$6,0)</f>
        <v>29000</v>
      </c>
      <c r="I824" s="329"/>
      <c r="J824" s="329"/>
      <c r="K824" s="329">
        <f>VLOOKUP($B824,DONGIA,DG!$F$6,0)</f>
        <v>0</v>
      </c>
      <c r="L824" s="329"/>
      <c r="M824" s="329">
        <f>VLOOKUP($B824,DONGIA,DG!$G$6,0)</f>
        <v>0</v>
      </c>
      <c r="N824" s="329">
        <f t="shared" si="688"/>
        <v>0</v>
      </c>
      <c r="O824" s="329">
        <f t="shared" si="692"/>
        <v>0</v>
      </c>
      <c r="P824" s="329">
        <f t="shared" si="693"/>
        <v>0</v>
      </c>
      <c r="Q824" s="329">
        <f t="shared" si="694"/>
        <v>0</v>
      </c>
      <c r="R824" s="329">
        <f t="shared" si="695"/>
        <v>0</v>
      </c>
      <c r="S824" s="329">
        <f t="shared" si="696"/>
        <v>0</v>
      </c>
      <c r="U824" s="329"/>
      <c r="V824" s="329">
        <f t="shared" si="689"/>
        <v>0</v>
      </c>
      <c r="W824" s="329"/>
      <c r="X824" s="329"/>
      <c r="Y824" s="329"/>
      <c r="Z824" s="329"/>
      <c r="AA824" s="329"/>
      <c r="AB824" s="329"/>
      <c r="AD824" s="332">
        <f t="shared" si="697"/>
        <v>0.2</v>
      </c>
      <c r="AE824" s="329">
        <f t="shared" si="698"/>
        <v>0</v>
      </c>
      <c r="AF824" s="329">
        <f t="shared" si="699"/>
        <v>0</v>
      </c>
      <c r="AG824" s="329">
        <f t="shared" si="699"/>
        <v>0</v>
      </c>
      <c r="AH824" s="329">
        <f t="shared" si="699"/>
        <v>0</v>
      </c>
      <c r="AI824" s="329">
        <f t="shared" si="700"/>
        <v>0</v>
      </c>
      <c r="AJ824" s="329">
        <f t="shared" si="700"/>
        <v>0</v>
      </c>
      <c r="AK824" s="329">
        <f t="shared" si="700"/>
        <v>0</v>
      </c>
      <c r="AL824" s="329">
        <f t="shared" ref="AL824:AL868" si="701">AB824*$AD824</f>
        <v>0</v>
      </c>
    </row>
    <row r="825" spans="1:38" s="332" customFormat="1">
      <c r="A825" s="356"/>
      <c r="B825" s="356" t="s">
        <v>1721</v>
      </c>
      <c r="C825" s="355">
        <f t="shared" si="686"/>
        <v>0</v>
      </c>
      <c r="D825" s="341">
        <f>VLOOKUP(B825,DONGIA,DG!$B$6,0)</f>
        <v>0</v>
      </c>
      <c r="E825" s="340" t="str">
        <f>VLOOKUP(B825,DONGIA,DG!$C$6,0)</f>
        <v>Kẹp ép WR cỡ dây 185mm2</v>
      </c>
      <c r="F825" s="341" t="str">
        <f>VLOOKUP(B825,DONGIA,DG!$D$6,0)</f>
        <v>cái</v>
      </c>
      <c r="G825" s="329">
        <f t="shared" si="691"/>
        <v>0</v>
      </c>
      <c r="H825" s="329">
        <f>VLOOKUP($B825,DONGIA,DG!$E$6,0)</f>
        <v>29000</v>
      </c>
      <c r="I825" s="329"/>
      <c r="J825" s="329"/>
      <c r="K825" s="329">
        <f>VLOOKUP($B825,DONGIA,DG!$F$6,0)</f>
        <v>0</v>
      </c>
      <c r="L825" s="329"/>
      <c r="M825" s="329">
        <f>VLOOKUP($B825,DONGIA,DG!$G$6,0)</f>
        <v>0</v>
      </c>
      <c r="N825" s="329">
        <f t="shared" si="688"/>
        <v>0</v>
      </c>
      <c r="O825" s="329">
        <f t="shared" si="692"/>
        <v>0</v>
      </c>
      <c r="P825" s="329">
        <f t="shared" si="693"/>
        <v>0</v>
      </c>
      <c r="Q825" s="329">
        <f t="shared" si="694"/>
        <v>0</v>
      </c>
      <c r="R825" s="329">
        <f t="shared" si="695"/>
        <v>0</v>
      </c>
      <c r="S825" s="329">
        <f t="shared" si="696"/>
        <v>0</v>
      </c>
      <c r="U825" s="329"/>
      <c r="V825" s="329">
        <f t="shared" si="689"/>
        <v>0</v>
      </c>
      <c r="W825" s="329"/>
      <c r="X825" s="329"/>
      <c r="Y825" s="329"/>
      <c r="Z825" s="329"/>
      <c r="AA825" s="329"/>
      <c r="AB825" s="329"/>
      <c r="AD825" s="332">
        <f t="shared" si="697"/>
        <v>0.2</v>
      </c>
      <c r="AE825" s="329">
        <f t="shared" si="698"/>
        <v>0</v>
      </c>
      <c r="AF825" s="329">
        <f t="shared" si="699"/>
        <v>0</v>
      </c>
      <c r="AG825" s="329">
        <f t="shared" si="699"/>
        <v>0</v>
      </c>
      <c r="AH825" s="329">
        <f t="shared" si="699"/>
        <v>0</v>
      </c>
      <c r="AI825" s="329">
        <f t="shared" si="700"/>
        <v>0</v>
      </c>
      <c r="AJ825" s="329">
        <f t="shared" si="700"/>
        <v>0</v>
      </c>
      <c r="AK825" s="329">
        <f t="shared" si="700"/>
        <v>0</v>
      </c>
      <c r="AL825" s="329">
        <f t="shared" si="701"/>
        <v>0</v>
      </c>
    </row>
    <row r="826" spans="1:38" s="332" customFormat="1">
      <c r="A826" s="356"/>
      <c r="B826" s="356" t="s">
        <v>1723</v>
      </c>
      <c r="C826" s="355">
        <f t="shared" si="686"/>
        <v>0</v>
      </c>
      <c r="D826" s="341">
        <f>VLOOKUP(B826,DONGIA,DG!$B$6,0)</f>
        <v>0</v>
      </c>
      <c r="E826" s="340" t="str">
        <f>VLOOKUP(B826,DONGIA,DG!$C$6,0)</f>
        <v>Kẹp ép WR cỡ dây 240mm2</v>
      </c>
      <c r="F826" s="341" t="str">
        <f>VLOOKUP(B826,DONGIA,DG!$D$6,0)</f>
        <v>cái</v>
      </c>
      <c r="G826" s="329">
        <f t="shared" si="691"/>
        <v>0</v>
      </c>
      <c r="H826" s="329">
        <f>VLOOKUP($B826,DONGIA,DG!$E$6,0)</f>
        <v>42000</v>
      </c>
      <c r="I826" s="329"/>
      <c r="J826" s="329"/>
      <c r="K826" s="329">
        <f>VLOOKUP($B826,DONGIA,DG!$F$6,0)</f>
        <v>0</v>
      </c>
      <c r="L826" s="329"/>
      <c r="M826" s="329">
        <f>VLOOKUP($B826,DONGIA,DG!$G$6,0)</f>
        <v>0</v>
      </c>
      <c r="N826" s="329">
        <f t="shared" si="688"/>
        <v>0</v>
      </c>
      <c r="O826" s="329">
        <f t="shared" si="692"/>
        <v>0</v>
      </c>
      <c r="P826" s="329">
        <f t="shared" si="693"/>
        <v>0</v>
      </c>
      <c r="Q826" s="329">
        <f t="shared" si="694"/>
        <v>0</v>
      </c>
      <c r="R826" s="329">
        <f t="shared" si="695"/>
        <v>0</v>
      </c>
      <c r="S826" s="329">
        <f t="shared" si="696"/>
        <v>0</v>
      </c>
      <c r="U826" s="329"/>
      <c r="V826" s="329">
        <f t="shared" si="689"/>
        <v>0</v>
      </c>
      <c r="W826" s="329"/>
      <c r="X826" s="329"/>
      <c r="Y826" s="329"/>
      <c r="Z826" s="329"/>
      <c r="AA826" s="329"/>
      <c r="AB826" s="329"/>
      <c r="AD826" s="332">
        <f t="shared" si="697"/>
        <v>0.2</v>
      </c>
      <c r="AE826" s="329">
        <f t="shared" si="698"/>
        <v>0</v>
      </c>
      <c r="AF826" s="329">
        <f t="shared" si="699"/>
        <v>0</v>
      </c>
      <c r="AG826" s="329">
        <f t="shared" si="699"/>
        <v>0</v>
      </c>
      <c r="AH826" s="329">
        <f t="shared" si="699"/>
        <v>0</v>
      </c>
      <c r="AI826" s="329">
        <f t="shared" si="700"/>
        <v>0</v>
      </c>
      <c r="AJ826" s="329">
        <f t="shared" si="700"/>
        <v>0</v>
      </c>
      <c r="AK826" s="329">
        <f t="shared" si="700"/>
        <v>0</v>
      </c>
      <c r="AL826" s="329">
        <f t="shared" si="701"/>
        <v>0</v>
      </c>
    </row>
    <row r="827" spans="1:38" s="332" customFormat="1">
      <c r="A827" s="356"/>
      <c r="B827" s="356" t="s">
        <v>1509</v>
      </c>
      <c r="C827" s="355">
        <f t="shared" si="686"/>
        <v>0</v>
      </c>
      <c r="D827" s="341" t="str">
        <f>VLOOKUP(B827,DONGIA,DG!$B$6,0)</f>
        <v>D6.6201</v>
      </c>
      <c r="E827" s="340" t="str">
        <f>VLOOKUP(B827,DONGIA,DG!$C$6,0)</f>
        <v>Kẹp quai 2/0 (quai đồng 8mm)</v>
      </c>
      <c r="F827" s="341" t="str">
        <f>VLOOKUP(B827,DONGIA,DG!$D$6,0)</f>
        <v>cái</v>
      </c>
      <c r="G827" s="329">
        <f t="shared" si="691"/>
        <v>0</v>
      </c>
      <c r="H827" s="329">
        <f>VLOOKUP($B827,DONGIA,DG!$E$6,0)</f>
        <v>78000</v>
      </c>
      <c r="I827" s="329"/>
      <c r="J827" s="329"/>
      <c r="K827" s="329">
        <f>VLOOKUP($B827,DONGIA,DG!$F$6,0)</f>
        <v>87817</v>
      </c>
      <c r="L827" s="329"/>
      <c r="M827" s="329">
        <f>VLOOKUP($B827,DONGIA,DG!$G$6,0)</f>
        <v>0</v>
      </c>
      <c r="N827" s="329">
        <f t="shared" si="688"/>
        <v>0</v>
      </c>
      <c r="O827" s="329">
        <f t="shared" si="692"/>
        <v>0</v>
      </c>
      <c r="P827" s="329">
        <f t="shared" si="693"/>
        <v>0</v>
      </c>
      <c r="Q827" s="329">
        <f t="shared" si="694"/>
        <v>0</v>
      </c>
      <c r="R827" s="329">
        <f t="shared" si="695"/>
        <v>0</v>
      </c>
      <c r="S827" s="329">
        <f t="shared" si="696"/>
        <v>0</v>
      </c>
      <c r="U827" s="329"/>
      <c r="V827" s="329">
        <f t="shared" si="689"/>
        <v>0</v>
      </c>
      <c r="W827" s="329"/>
      <c r="X827" s="329"/>
      <c r="Y827" s="329"/>
      <c r="Z827" s="329"/>
      <c r="AA827" s="329"/>
      <c r="AB827" s="329"/>
      <c r="AD827" s="332">
        <f t="shared" si="697"/>
        <v>0.3</v>
      </c>
      <c r="AE827" s="329">
        <f t="shared" si="698"/>
        <v>0</v>
      </c>
      <c r="AF827" s="329">
        <f t="shared" si="699"/>
        <v>0</v>
      </c>
      <c r="AG827" s="329">
        <f t="shared" si="699"/>
        <v>0</v>
      </c>
      <c r="AH827" s="329">
        <f t="shared" si="699"/>
        <v>0</v>
      </c>
      <c r="AI827" s="329">
        <f t="shared" si="700"/>
        <v>0</v>
      </c>
      <c r="AJ827" s="329">
        <f t="shared" si="700"/>
        <v>0</v>
      </c>
      <c r="AK827" s="329">
        <f t="shared" si="700"/>
        <v>0</v>
      </c>
      <c r="AL827" s="329">
        <f t="shared" si="701"/>
        <v>0</v>
      </c>
    </row>
    <row r="828" spans="1:38">
      <c r="A828" s="618"/>
      <c r="B828" s="618" t="s">
        <v>1507</v>
      </c>
      <c r="C828" s="619">
        <f t="shared" si="686"/>
        <v>1</v>
      </c>
      <c r="D828" s="523"/>
      <c r="E828" s="666" t="str">
        <f>VLOOKUP(B828,DONGIA,DG!$C$6,0)</f>
        <v>Kẹp quai 4/0 (quai đồng 8mm)</v>
      </c>
      <c r="F828" s="523" t="str">
        <f>VLOOKUP(B828,DONGIA,DG!$D$6,0)</f>
        <v>cái</v>
      </c>
      <c r="G828" s="525">
        <f t="shared" si="691"/>
        <v>77</v>
      </c>
      <c r="H828" s="525">
        <f>VLOOKUP($B828,DONGIA,DG!$E$6,0)</f>
        <v>145000</v>
      </c>
      <c r="I828" s="525"/>
      <c r="J828" s="525"/>
      <c r="K828" s="525"/>
      <c r="L828" s="525"/>
      <c r="M828" s="525">
        <f>VLOOKUP($B828,DONGIA,DG!$G$6,0)</f>
        <v>0</v>
      </c>
      <c r="N828" s="525">
        <f t="shared" si="688"/>
        <v>11165000</v>
      </c>
      <c r="O828" s="525">
        <f t="shared" si="692"/>
        <v>0</v>
      </c>
      <c r="P828" s="525">
        <f t="shared" si="693"/>
        <v>0</v>
      </c>
      <c r="Q828" s="525">
        <f t="shared" si="694"/>
        <v>0</v>
      </c>
      <c r="R828" s="525">
        <f t="shared" si="695"/>
        <v>0</v>
      </c>
      <c r="S828" s="525">
        <f t="shared" si="696"/>
        <v>0</v>
      </c>
      <c r="U828" s="525"/>
      <c r="V828" s="525">
        <f t="shared" si="689"/>
        <v>77</v>
      </c>
      <c r="W828" s="525"/>
      <c r="X828" s="525"/>
      <c r="Y828" s="525"/>
      <c r="Z828" s="525"/>
      <c r="AA828" s="525"/>
      <c r="AB828" s="525"/>
      <c r="AD828" s="405">
        <f t="shared" si="697"/>
        <v>0.3</v>
      </c>
      <c r="AE828" s="525">
        <f t="shared" si="698"/>
        <v>0</v>
      </c>
      <c r="AF828" s="525">
        <f t="shared" si="699"/>
        <v>23.099999999999998</v>
      </c>
      <c r="AG828" s="525">
        <f t="shared" si="699"/>
        <v>0</v>
      </c>
      <c r="AH828" s="525">
        <f t="shared" si="699"/>
        <v>0</v>
      </c>
      <c r="AI828" s="525">
        <f t="shared" si="700"/>
        <v>0</v>
      </c>
      <c r="AJ828" s="525">
        <f t="shared" si="700"/>
        <v>0</v>
      </c>
      <c r="AK828" s="525">
        <f t="shared" si="700"/>
        <v>0</v>
      </c>
      <c r="AL828" s="525">
        <f t="shared" si="701"/>
        <v>0</v>
      </c>
    </row>
    <row r="829" spans="1:38">
      <c r="A829" s="618"/>
      <c r="B829" s="618" t="s">
        <v>1511</v>
      </c>
      <c r="C829" s="619">
        <f t="shared" si="686"/>
        <v>1</v>
      </c>
      <c r="D829" s="523">
        <f>VLOOKUP(B829,DONGIA,DG!$B$6,0)</f>
        <v>0</v>
      </c>
      <c r="E829" s="666" t="str">
        <f>VLOOKUP(B829,DONGIA,DG!$C$6,0)</f>
        <v>Chụp cách điện kẹp quai</v>
      </c>
      <c r="F829" s="523" t="str">
        <f>VLOOKUP(B829,DONGIA,DG!$D$6,0)</f>
        <v>cái</v>
      </c>
      <c r="G829" s="525">
        <f t="shared" si="691"/>
        <v>74</v>
      </c>
      <c r="H829" s="525">
        <f>VLOOKUP($B829,DONGIA,DG!$E$6,0)</f>
        <v>122000</v>
      </c>
      <c r="I829" s="525"/>
      <c r="J829" s="525"/>
      <c r="K829" s="525">
        <f>VLOOKUP($B829,DONGIA,DG!$F$6,0)</f>
        <v>0</v>
      </c>
      <c r="L829" s="525"/>
      <c r="M829" s="525">
        <f>VLOOKUP($B829,DONGIA,DG!$G$6,0)</f>
        <v>0</v>
      </c>
      <c r="N829" s="525">
        <f t="shared" si="688"/>
        <v>9028000</v>
      </c>
      <c r="O829" s="525">
        <f t="shared" si="692"/>
        <v>0</v>
      </c>
      <c r="P829" s="525">
        <f t="shared" si="693"/>
        <v>0</v>
      </c>
      <c r="Q829" s="525">
        <f t="shared" si="694"/>
        <v>0</v>
      </c>
      <c r="R829" s="525">
        <f t="shared" si="695"/>
        <v>0</v>
      </c>
      <c r="S829" s="525">
        <f t="shared" si="696"/>
        <v>0</v>
      </c>
      <c r="U829" s="525"/>
      <c r="V829" s="525">
        <f t="shared" si="689"/>
        <v>74</v>
      </c>
      <c r="W829" s="525"/>
      <c r="X829" s="525"/>
      <c r="Y829" s="525"/>
      <c r="Z829" s="525"/>
      <c r="AA829" s="525"/>
      <c r="AB829" s="525"/>
      <c r="AD829" s="405">
        <f t="shared" si="697"/>
        <v>0.2</v>
      </c>
      <c r="AE829" s="525">
        <f t="shared" si="698"/>
        <v>0</v>
      </c>
      <c r="AF829" s="525">
        <f t="shared" si="699"/>
        <v>14.8</v>
      </c>
      <c r="AG829" s="525">
        <f t="shared" si="699"/>
        <v>0</v>
      </c>
      <c r="AH829" s="525">
        <f t="shared" si="699"/>
        <v>0</v>
      </c>
      <c r="AI829" s="525">
        <f t="shared" si="700"/>
        <v>0</v>
      </c>
      <c r="AJ829" s="525">
        <f t="shared" si="700"/>
        <v>0</v>
      </c>
      <c r="AK829" s="525">
        <f t="shared" si="700"/>
        <v>0</v>
      </c>
      <c r="AL829" s="525">
        <f t="shared" si="701"/>
        <v>0</v>
      </c>
    </row>
    <row r="830" spans="1:38">
      <c r="A830" s="618"/>
      <c r="B830" s="618" t="s">
        <v>1508</v>
      </c>
      <c r="C830" s="619">
        <f t="shared" si="686"/>
        <v>1</v>
      </c>
      <c r="D830" s="523"/>
      <c r="E830" s="666" t="str">
        <f>VLOOKUP(B830,DONGIA,DG!$C$6,0)</f>
        <v>Kẹp hotline 2/0</v>
      </c>
      <c r="F830" s="523" t="str">
        <f>VLOOKUP(B830,DONGIA,DG!$D$6,0)</f>
        <v>cái</v>
      </c>
      <c r="G830" s="525">
        <f t="shared" si="691"/>
        <v>49</v>
      </c>
      <c r="H830" s="525">
        <f>VLOOKUP($B830,DONGIA,DG!$E$6,0)</f>
        <v>68000</v>
      </c>
      <c r="I830" s="525"/>
      <c r="J830" s="525"/>
      <c r="K830" s="525"/>
      <c r="L830" s="525"/>
      <c r="M830" s="525">
        <f>VLOOKUP($B830,DONGIA,DG!$G$6,0)</f>
        <v>0</v>
      </c>
      <c r="N830" s="525">
        <f t="shared" si="688"/>
        <v>3332000</v>
      </c>
      <c r="O830" s="525">
        <f t="shared" si="692"/>
        <v>0</v>
      </c>
      <c r="P830" s="525">
        <f t="shared" si="693"/>
        <v>0</v>
      </c>
      <c r="Q830" s="525">
        <f t="shared" si="694"/>
        <v>0</v>
      </c>
      <c r="R830" s="525">
        <f t="shared" si="695"/>
        <v>0</v>
      </c>
      <c r="S830" s="525">
        <f t="shared" si="696"/>
        <v>0</v>
      </c>
      <c r="U830" s="525"/>
      <c r="V830" s="525">
        <f t="shared" si="689"/>
        <v>49</v>
      </c>
      <c r="W830" s="525"/>
      <c r="X830" s="525"/>
      <c r="Y830" s="525"/>
      <c r="Z830" s="525"/>
      <c r="AA830" s="525"/>
      <c r="AB830" s="525"/>
      <c r="AD830" s="405">
        <f t="shared" si="697"/>
        <v>0.1</v>
      </c>
      <c r="AE830" s="525">
        <f t="shared" si="698"/>
        <v>0</v>
      </c>
      <c r="AF830" s="525">
        <f t="shared" si="699"/>
        <v>4.9000000000000004</v>
      </c>
      <c r="AG830" s="525">
        <f t="shared" si="699"/>
        <v>0</v>
      </c>
      <c r="AH830" s="525">
        <f t="shared" si="699"/>
        <v>0</v>
      </c>
      <c r="AI830" s="525">
        <f t="shared" si="700"/>
        <v>0</v>
      </c>
      <c r="AJ830" s="525">
        <f t="shared" si="700"/>
        <v>0</v>
      </c>
      <c r="AK830" s="525">
        <f t="shared" si="700"/>
        <v>0</v>
      </c>
      <c r="AL830" s="525">
        <f t="shared" si="701"/>
        <v>0</v>
      </c>
    </row>
    <row r="831" spans="1:38" s="332" customFormat="1">
      <c r="A831" s="356"/>
      <c r="B831" s="356" t="s">
        <v>1510</v>
      </c>
      <c r="C831" s="355">
        <f t="shared" si="686"/>
        <v>0</v>
      </c>
      <c r="D831" s="341" t="str">
        <f>VLOOKUP(B831,DONGIA,DG!$B$6,0)</f>
        <v>D6.6202</v>
      </c>
      <c r="E831" s="340" t="str">
        <f>VLOOKUP(B831,DONGIA,DG!$C$6,0)</f>
        <v>Kẹp hotline 4/0</v>
      </c>
      <c r="F831" s="341" t="str">
        <f>VLOOKUP(B831,DONGIA,DG!$D$6,0)</f>
        <v>cái</v>
      </c>
      <c r="G831" s="329">
        <f t="shared" si="691"/>
        <v>0</v>
      </c>
      <c r="H831" s="329">
        <f>VLOOKUP($B831,DONGIA,DG!$E$6,0)</f>
        <v>94000</v>
      </c>
      <c r="I831" s="329"/>
      <c r="J831" s="329"/>
      <c r="K831" s="329">
        <f>VLOOKUP($B831,DONGIA,DG!$F$6,0)</f>
        <v>109771</v>
      </c>
      <c r="L831" s="329"/>
      <c r="M831" s="329">
        <f>VLOOKUP($B831,DONGIA,DG!$G$6,0)</f>
        <v>0</v>
      </c>
      <c r="N831" s="329">
        <f t="shared" si="688"/>
        <v>0</v>
      </c>
      <c r="O831" s="329">
        <f t="shared" si="692"/>
        <v>0</v>
      </c>
      <c r="P831" s="329">
        <f t="shared" si="693"/>
        <v>0</v>
      </c>
      <c r="Q831" s="329">
        <f t="shared" si="694"/>
        <v>0</v>
      </c>
      <c r="R831" s="329">
        <f t="shared" si="695"/>
        <v>0</v>
      </c>
      <c r="S831" s="329">
        <f t="shared" si="696"/>
        <v>0</v>
      </c>
      <c r="U831" s="329"/>
      <c r="V831" s="329">
        <f t="shared" si="689"/>
        <v>0</v>
      </c>
      <c r="W831" s="329"/>
      <c r="X831" s="329"/>
      <c r="Y831" s="329"/>
      <c r="Z831" s="329"/>
      <c r="AA831" s="329"/>
      <c r="AB831" s="329"/>
      <c r="AD831" s="332">
        <f t="shared" si="697"/>
        <v>0.1</v>
      </c>
      <c r="AE831" s="329">
        <f t="shared" si="698"/>
        <v>0</v>
      </c>
      <c r="AF831" s="329">
        <f t="shared" si="699"/>
        <v>0</v>
      </c>
      <c r="AG831" s="329">
        <f t="shared" si="699"/>
        <v>0</v>
      </c>
      <c r="AH831" s="329">
        <f t="shared" si="699"/>
        <v>0</v>
      </c>
      <c r="AI831" s="329">
        <f t="shared" si="700"/>
        <v>0</v>
      </c>
      <c r="AJ831" s="329">
        <f t="shared" si="700"/>
        <v>0</v>
      </c>
      <c r="AK831" s="329">
        <f t="shared" si="700"/>
        <v>0</v>
      </c>
      <c r="AL831" s="329">
        <f t="shared" si="701"/>
        <v>0</v>
      </c>
    </row>
    <row r="832" spans="1:38">
      <c r="A832" s="618"/>
      <c r="B832" s="618" t="s">
        <v>388</v>
      </c>
      <c r="C832" s="619">
        <f t="shared" si="686"/>
        <v>1</v>
      </c>
      <c r="D832" s="523"/>
      <c r="E832" s="666" t="str">
        <f>VLOOKUP(B832,DONGIA,DG!$C$6,0)</f>
        <v>Ống nối dây AC cỡ 50mm2 (Không lõi thép)</v>
      </c>
      <c r="F832" s="523" t="str">
        <f>VLOOKUP(B832,DONGIA,DG!$D$6,0)</f>
        <v>cái</v>
      </c>
      <c r="G832" s="554">
        <f t="shared" si="691"/>
        <v>66</v>
      </c>
      <c r="H832" s="525">
        <f>VLOOKUP($B832,DONGIA,DG!$E$6,0)</f>
        <v>35000</v>
      </c>
      <c r="I832" s="525"/>
      <c r="J832" s="525"/>
      <c r="K832" s="525"/>
      <c r="L832" s="525"/>
      <c r="M832" s="525"/>
      <c r="N832" s="525">
        <f t="shared" si="688"/>
        <v>2310000</v>
      </c>
      <c r="O832" s="525">
        <f t="shared" si="692"/>
        <v>0</v>
      </c>
      <c r="P832" s="525">
        <f t="shared" si="693"/>
        <v>0</v>
      </c>
      <c r="Q832" s="525">
        <f t="shared" si="694"/>
        <v>0</v>
      </c>
      <c r="R832" s="525">
        <f t="shared" si="695"/>
        <v>0</v>
      </c>
      <c r="S832" s="525">
        <f t="shared" si="696"/>
        <v>0</v>
      </c>
      <c r="U832" s="525"/>
      <c r="V832" s="525">
        <f t="shared" si="689"/>
        <v>66</v>
      </c>
      <c r="W832" s="525"/>
      <c r="X832" s="525"/>
      <c r="Y832" s="525"/>
      <c r="Z832" s="525"/>
      <c r="AA832" s="525"/>
      <c r="AB832" s="525"/>
      <c r="AD832" s="405">
        <f t="shared" si="697"/>
        <v>2</v>
      </c>
      <c r="AE832" s="525">
        <f t="shared" si="698"/>
        <v>0</v>
      </c>
      <c r="AF832" s="525">
        <f t="shared" si="699"/>
        <v>132</v>
      </c>
      <c r="AG832" s="525">
        <f t="shared" si="699"/>
        <v>0</v>
      </c>
      <c r="AH832" s="525">
        <f t="shared" si="699"/>
        <v>0</v>
      </c>
      <c r="AI832" s="525">
        <f t="shared" si="700"/>
        <v>0</v>
      </c>
      <c r="AJ832" s="525">
        <f t="shared" si="700"/>
        <v>0</v>
      </c>
      <c r="AK832" s="525">
        <f t="shared" si="700"/>
        <v>0</v>
      </c>
      <c r="AL832" s="525">
        <f t="shared" si="701"/>
        <v>0</v>
      </c>
    </row>
    <row r="833" spans="1:38">
      <c r="A833" s="618"/>
      <c r="B833" s="618" t="s">
        <v>389</v>
      </c>
      <c r="C833" s="619">
        <f t="shared" si="686"/>
        <v>1</v>
      </c>
      <c r="D833" s="523"/>
      <c r="E833" s="666" t="str">
        <f>VLOOKUP(B833,DONGIA,DG!$C$6,0)</f>
        <v>Ống nối dây AC cỡ 70mm2 (Không lõi thép)</v>
      </c>
      <c r="F833" s="523" t="str">
        <f>VLOOKUP(B833,DONGIA,DG!$D$6,0)</f>
        <v>cái</v>
      </c>
      <c r="G833" s="554">
        <f t="shared" si="691"/>
        <v>3</v>
      </c>
      <c r="H833" s="525">
        <f>VLOOKUP($B833,DONGIA,DG!$E$6,0)</f>
        <v>42000</v>
      </c>
      <c r="I833" s="525"/>
      <c r="J833" s="525"/>
      <c r="K833" s="525"/>
      <c r="L833" s="525"/>
      <c r="M833" s="525"/>
      <c r="N833" s="525">
        <f t="shared" si="688"/>
        <v>126000</v>
      </c>
      <c r="O833" s="525">
        <f t="shared" si="692"/>
        <v>0</v>
      </c>
      <c r="P833" s="525">
        <f t="shared" si="693"/>
        <v>0</v>
      </c>
      <c r="Q833" s="525">
        <f t="shared" si="694"/>
        <v>0</v>
      </c>
      <c r="R833" s="525">
        <f t="shared" si="695"/>
        <v>0</v>
      </c>
      <c r="S833" s="525">
        <f t="shared" si="696"/>
        <v>0</v>
      </c>
      <c r="U833" s="525"/>
      <c r="V833" s="525">
        <f t="shared" si="689"/>
        <v>3</v>
      </c>
      <c r="W833" s="525"/>
      <c r="X833" s="525"/>
      <c r="Y833" s="525"/>
      <c r="Z833" s="525"/>
      <c r="AA833" s="525"/>
      <c r="AB833" s="525"/>
      <c r="AD833" s="405">
        <f t="shared" si="697"/>
        <v>2</v>
      </c>
      <c r="AE833" s="525">
        <f t="shared" si="698"/>
        <v>0</v>
      </c>
      <c r="AF833" s="525">
        <f t="shared" si="699"/>
        <v>6</v>
      </c>
      <c r="AG833" s="525">
        <f t="shared" si="699"/>
        <v>0</v>
      </c>
      <c r="AH833" s="525">
        <f t="shared" si="699"/>
        <v>0</v>
      </c>
      <c r="AI833" s="525">
        <f t="shared" si="700"/>
        <v>0</v>
      </c>
      <c r="AJ833" s="525">
        <f t="shared" si="700"/>
        <v>0</v>
      </c>
      <c r="AK833" s="525">
        <f t="shared" si="700"/>
        <v>0</v>
      </c>
      <c r="AL833" s="525">
        <f t="shared" si="701"/>
        <v>0</v>
      </c>
    </row>
    <row r="834" spans="1:38" s="332" customFormat="1">
      <c r="A834" s="356"/>
      <c r="B834" s="356" t="s">
        <v>390</v>
      </c>
      <c r="C834" s="355">
        <f t="shared" si="686"/>
        <v>0</v>
      </c>
      <c r="D834" s="341" t="str">
        <f>VLOOKUP(B834,DONGIA,DG!$B$6,0)</f>
        <v>D3.4011</v>
      </c>
      <c r="E834" s="340" t="str">
        <f>VLOOKUP(B834,DONGIA,DG!$C$6,0)</f>
        <v>Ống nối dây AC cỡ 95mm2 (Không lõi thép)</v>
      </c>
      <c r="F834" s="341" t="str">
        <f>VLOOKUP(B834,DONGIA,DG!$D$6,0)</f>
        <v>cái</v>
      </c>
      <c r="G834" s="489">
        <f t="shared" si="691"/>
        <v>0</v>
      </c>
      <c r="H834" s="329">
        <f>VLOOKUP($B834,DONGIA,DG!$E$6,0)</f>
        <v>48000</v>
      </c>
      <c r="I834" s="329"/>
      <c r="J834" s="329"/>
      <c r="K834" s="329">
        <f>VLOOKUP($B834,DONGIA,DG!$F$6,0)</f>
        <v>259649</v>
      </c>
      <c r="L834" s="329"/>
      <c r="M834" s="329">
        <f>VLOOKUP($B834,DONGIA,DG!$G$6,0)</f>
        <v>4713</v>
      </c>
      <c r="N834" s="329">
        <f t="shared" si="688"/>
        <v>0</v>
      </c>
      <c r="O834" s="329">
        <f t="shared" si="692"/>
        <v>0</v>
      </c>
      <c r="P834" s="329">
        <f t="shared" si="693"/>
        <v>0</v>
      </c>
      <c r="Q834" s="329">
        <f t="shared" si="694"/>
        <v>0</v>
      </c>
      <c r="R834" s="329">
        <f t="shared" si="695"/>
        <v>0</v>
      </c>
      <c r="S834" s="329">
        <f t="shared" si="696"/>
        <v>0</v>
      </c>
      <c r="U834" s="329"/>
      <c r="V834" s="329">
        <f t="shared" si="689"/>
        <v>0</v>
      </c>
      <c r="W834" s="329"/>
      <c r="X834" s="329"/>
      <c r="Y834" s="329"/>
      <c r="Z834" s="329"/>
      <c r="AA834" s="329"/>
      <c r="AB834" s="329"/>
      <c r="AD834" s="332">
        <f t="shared" si="697"/>
        <v>2.5</v>
      </c>
      <c r="AE834" s="329">
        <f t="shared" si="698"/>
        <v>0</v>
      </c>
      <c r="AF834" s="329">
        <f t="shared" si="699"/>
        <v>0</v>
      </c>
      <c r="AG834" s="329">
        <f t="shared" si="699"/>
        <v>0</v>
      </c>
      <c r="AH834" s="329">
        <f t="shared" si="699"/>
        <v>0</v>
      </c>
      <c r="AI834" s="329">
        <f t="shared" si="700"/>
        <v>0</v>
      </c>
      <c r="AJ834" s="329">
        <f t="shared" si="700"/>
        <v>0</v>
      </c>
      <c r="AK834" s="329">
        <f t="shared" si="700"/>
        <v>0</v>
      </c>
      <c r="AL834" s="329">
        <f t="shared" si="701"/>
        <v>0</v>
      </c>
    </row>
    <row r="835" spans="1:38" s="332" customFormat="1">
      <c r="A835" s="356"/>
      <c r="B835" s="356" t="s">
        <v>391</v>
      </c>
      <c r="C835" s="355">
        <f t="shared" si="686"/>
        <v>0</v>
      </c>
      <c r="D835" s="341" t="str">
        <f>VLOOKUP(B835,DONGIA,DG!$B$6,0)</f>
        <v>D3.4011</v>
      </c>
      <c r="E835" s="340" t="str">
        <f>VLOOKUP(B835,DONGIA,DG!$C$6,0)</f>
        <v>Ống nối dây AC cỡ 120mm2 (Không lõi thép)</v>
      </c>
      <c r="F835" s="341" t="str">
        <f>VLOOKUP(B835,DONGIA,DG!$D$6,0)</f>
        <v>cái</v>
      </c>
      <c r="G835" s="489">
        <f t="shared" si="691"/>
        <v>0</v>
      </c>
      <c r="H835" s="329">
        <f>VLOOKUP($B835,DONGIA,DG!$E$6,0)</f>
        <v>69000</v>
      </c>
      <c r="I835" s="329"/>
      <c r="J835" s="329"/>
      <c r="K835" s="329">
        <f>VLOOKUP($B835,DONGIA,DG!$F$6,0)</f>
        <v>259649</v>
      </c>
      <c r="L835" s="329"/>
      <c r="M835" s="329">
        <f>VLOOKUP($B835,DONGIA,DG!$G$6,0)</f>
        <v>4713</v>
      </c>
      <c r="N835" s="329">
        <f t="shared" si="688"/>
        <v>0</v>
      </c>
      <c r="O835" s="329">
        <f t="shared" si="692"/>
        <v>0</v>
      </c>
      <c r="P835" s="329">
        <f t="shared" si="693"/>
        <v>0</v>
      </c>
      <c r="Q835" s="329">
        <f t="shared" si="694"/>
        <v>0</v>
      </c>
      <c r="R835" s="329">
        <f t="shared" si="695"/>
        <v>0</v>
      </c>
      <c r="S835" s="329">
        <f t="shared" si="696"/>
        <v>0</v>
      </c>
      <c r="U835" s="329"/>
      <c r="V835" s="329">
        <f t="shared" si="689"/>
        <v>0</v>
      </c>
      <c r="W835" s="329"/>
      <c r="X835" s="329"/>
      <c r="Y835" s="329"/>
      <c r="Z835" s="329"/>
      <c r="AA835" s="329"/>
      <c r="AB835" s="329"/>
      <c r="AD835" s="332">
        <f t="shared" si="697"/>
        <v>2</v>
      </c>
      <c r="AE835" s="329">
        <f t="shared" si="698"/>
        <v>0</v>
      </c>
      <c r="AF835" s="329">
        <f t="shared" si="699"/>
        <v>0</v>
      </c>
      <c r="AG835" s="329">
        <f t="shared" si="699"/>
        <v>0</v>
      </c>
      <c r="AH835" s="329">
        <f t="shared" si="699"/>
        <v>0</v>
      </c>
      <c r="AI835" s="329">
        <f t="shared" si="700"/>
        <v>0</v>
      </c>
      <c r="AJ835" s="329">
        <f t="shared" si="700"/>
        <v>0</v>
      </c>
      <c r="AK835" s="329">
        <f t="shared" si="700"/>
        <v>0</v>
      </c>
      <c r="AL835" s="329">
        <f t="shared" si="701"/>
        <v>0</v>
      </c>
    </row>
    <row r="836" spans="1:38" s="332" customFormat="1">
      <c r="A836" s="356"/>
      <c r="B836" s="356" t="s">
        <v>392</v>
      </c>
      <c r="C836" s="355">
        <f t="shared" si="686"/>
        <v>0</v>
      </c>
      <c r="D836" s="341" t="str">
        <f>VLOOKUP(B836,DONGIA,DG!$B$6,0)</f>
        <v>D3.4012</v>
      </c>
      <c r="E836" s="340" t="str">
        <f>VLOOKUP(B836,DONGIA,DG!$C$6,0)</f>
        <v>Ống nối dây AC cỡ 150mm2 (Không lõi thép)</v>
      </c>
      <c r="F836" s="341" t="str">
        <f>VLOOKUP(B836,DONGIA,DG!$D$6,0)</f>
        <v>cái</v>
      </c>
      <c r="G836" s="489">
        <f t="shared" si="691"/>
        <v>0</v>
      </c>
      <c r="H836" s="329">
        <f>VLOOKUP($B836,DONGIA,DG!$E$6,0)</f>
        <v>92000</v>
      </c>
      <c r="I836" s="329"/>
      <c r="J836" s="329"/>
      <c r="K836" s="329">
        <f>VLOOKUP($B836,DONGIA,DG!$F$6,0)</f>
        <v>326655</v>
      </c>
      <c r="L836" s="329"/>
      <c r="M836" s="329">
        <f>VLOOKUP($B836,DONGIA,DG!$G$6,0)</f>
        <v>4713</v>
      </c>
      <c r="N836" s="329">
        <f t="shared" si="688"/>
        <v>0</v>
      </c>
      <c r="O836" s="329">
        <f t="shared" si="692"/>
        <v>0</v>
      </c>
      <c r="P836" s="329">
        <f t="shared" si="693"/>
        <v>0</v>
      </c>
      <c r="Q836" s="329">
        <f t="shared" si="694"/>
        <v>0</v>
      </c>
      <c r="R836" s="329">
        <f t="shared" si="695"/>
        <v>0</v>
      </c>
      <c r="S836" s="329">
        <f t="shared" si="696"/>
        <v>0</v>
      </c>
      <c r="U836" s="329"/>
      <c r="V836" s="329">
        <f t="shared" si="689"/>
        <v>0</v>
      </c>
      <c r="W836" s="329"/>
      <c r="X836" s="329"/>
      <c r="Y836" s="329"/>
      <c r="Z836" s="329"/>
      <c r="AA836" s="329"/>
      <c r="AB836" s="329"/>
      <c r="AD836" s="332">
        <f t="shared" si="697"/>
        <v>2</v>
      </c>
      <c r="AE836" s="329">
        <f t="shared" si="698"/>
        <v>0</v>
      </c>
      <c r="AF836" s="329">
        <f t="shared" si="699"/>
        <v>0</v>
      </c>
      <c r="AG836" s="329">
        <f t="shared" si="699"/>
        <v>0</v>
      </c>
      <c r="AH836" s="329">
        <f t="shared" si="699"/>
        <v>0</v>
      </c>
      <c r="AI836" s="329">
        <f t="shared" si="700"/>
        <v>0</v>
      </c>
      <c r="AJ836" s="329">
        <f t="shared" si="700"/>
        <v>0</v>
      </c>
      <c r="AK836" s="329">
        <f t="shared" si="700"/>
        <v>0</v>
      </c>
      <c r="AL836" s="329">
        <f t="shared" si="701"/>
        <v>0</v>
      </c>
    </row>
    <row r="837" spans="1:38" s="332" customFormat="1">
      <c r="A837" s="356"/>
      <c r="B837" s="356" t="s">
        <v>394</v>
      </c>
      <c r="C837" s="355">
        <f t="shared" si="686"/>
        <v>0</v>
      </c>
      <c r="D837" s="341" t="str">
        <f>VLOOKUP(B837,DONGIA,DG!$B$6,0)</f>
        <v>D3.4013</v>
      </c>
      <c r="E837" s="340" t="str">
        <f>VLOOKUP(B837,DONGIA,DG!$C$6,0)</f>
        <v>Ống nối dây AC cỡ 185mm2 (Không lõi thép)</v>
      </c>
      <c r="F837" s="341" t="str">
        <f>VLOOKUP(B837,DONGIA,DG!$D$6,0)</f>
        <v>cái</v>
      </c>
      <c r="G837" s="489">
        <f t="shared" si="691"/>
        <v>0</v>
      </c>
      <c r="H837" s="329">
        <f>VLOOKUP($B837,DONGIA,DG!$E$6,0)</f>
        <v>105000</v>
      </c>
      <c r="I837" s="329"/>
      <c r="J837" s="329"/>
      <c r="K837" s="329">
        <f>VLOOKUP($B837,DONGIA,DG!$F$6,0)</f>
        <v>402036</v>
      </c>
      <c r="L837" s="329"/>
      <c r="M837" s="329">
        <f>VLOOKUP($B837,DONGIA,DG!$G$6,0)</f>
        <v>4713</v>
      </c>
      <c r="N837" s="329">
        <f t="shared" si="688"/>
        <v>0</v>
      </c>
      <c r="O837" s="329">
        <f t="shared" si="692"/>
        <v>0</v>
      </c>
      <c r="P837" s="329">
        <f t="shared" si="693"/>
        <v>0</v>
      </c>
      <c r="Q837" s="329">
        <f t="shared" si="694"/>
        <v>0</v>
      </c>
      <c r="R837" s="329">
        <f t="shared" si="695"/>
        <v>0</v>
      </c>
      <c r="S837" s="329">
        <f t="shared" si="696"/>
        <v>0</v>
      </c>
      <c r="U837" s="329"/>
      <c r="V837" s="329">
        <f t="shared" si="689"/>
        <v>0</v>
      </c>
      <c r="W837" s="329"/>
      <c r="X837" s="329"/>
      <c r="Y837" s="329"/>
      <c r="Z837" s="329"/>
      <c r="AA837" s="329"/>
      <c r="AB837" s="329"/>
      <c r="AD837" s="332">
        <f t="shared" si="697"/>
        <v>2.5</v>
      </c>
      <c r="AE837" s="329">
        <f t="shared" si="698"/>
        <v>0</v>
      </c>
      <c r="AF837" s="329">
        <f t="shared" si="699"/>
        <v>0</v>
      </c>
      <c r="AG837" s="329">
        <f t="shared" si="699"/>
        <v>0</v>
      </c>
      <c r="AH837" s="329">
        <f t="shared" si="699"/>
        <v>0</v>
      </c>
      <c r="AI837" s="329">
        <f t="shared" si="700"/>
        <v>0</v>
      </c>
      <c r="AJ837" s="329">
        <f t="shared" si="700"/>
        <v>0</v>
      </c>
      <c r="AK837" s="329">
        <f t="shared" si="700"/>
        <v>0</v>
      </c>
      <c r="AL837" s="329">
        <f t="shared" si="701"/>
        <v>0</v>
      </c>
    </row>
    <row r="838" spans="1:38" s="332" customFormat="1">
      <c r="A838" s="356"/>
      <c r="B838" s="356" t="s">
        <v>395</v>
      </c>
      <c r="C838" s="355">
        <f t="shared" si="686"/>
        <v>0</v>
      </c>
      <c r="D838" s="341" t="str">
        <f>VLOOKUP(B838,DONGIA,DG!$B$6,0)</f>
        <v>D3.4014</v>
      </c>
      <c r="E838" s="340" t="str">
        <f>VLOOKUP(B838,DONGIA,DG!$C$6,0)</f>
        <v>Ống nối dây AC cỡ 240mm2 (Không lõi thép)</v>
      </c>
      <c r="F838" s="341" t="str">
        <f>VLOOKUP(B838,DONGIA,DG!$D$6,0)</f>
        <v>cái</v>
      </c>
      <c r="G838" s="489">
        <f t="shared" si="691"/>
        <v>0</v>
      </c>
      <c r="H838" s="329">
        <f>VLOOKUP($B838,DONGIA,DG!$E$6,0)</f>
        <v>120000</v>
      </c>
      <c r="I838" s="329"/>
      <c r="J838" s="329"/>
      <c r="K838" s="329">
        <f>VLOOKUP($B838,DONGIA,DG!$F$6,0)</f>
        <v>522089</v>
      </c>
      <c r="L838" s="329"/>
      <c r="M838" s="329">
        <f>VLOOKUP($B838,DONGIA,DG!$G$6,0)</f>
        <v>5891</v>
      </c>
      <c r="N838" s="329">
        <f t="shared" si="688"/>
        <v>0</v>
      </c>
      <c r="O838" s="329">
        <f t="shared" si="692"/>
        <v>0</v>
      </c>
      <c r="P838" s="329">
        <f t="shared" si="693"/>
        <v>0</v>
      </c>
      <c r="Q838" s="329">
        <f t="shared" si="694"/>
        <v>0</v>
      </c>
      <c r="R838" s="329">
        <f t="shared" si="695"/>
        <v>0</v>
      </c>
      <c r="S838" s="329">
        <f t="shared" si="696"/>
        <v>0</v>
      </c>
      <c r="U838" s="329"/>
      <c r="V838" s="329">
        <f t="shared" si="689"/>
        <v>0</v>
      </c>
      <c r="W838" s="329"/>
      <c r="X838" s="329"/>
      <c r="Y838" s="329"/>
      <c r="Z838" s="329"/>
      <c r="AA838" s="329"/>
      <c r="AB838" s="329"/>
      <c r="AD838" s="332">
        <f t="shared" si="697"/>
        <v>2.5</v>
      </c>
      <c r="AE838" s="329">
        <f t="shared" si="698"/>
        <v>0</v>
      </c>
      <c r="AF838" s="329">
        <f t="shared" si="699"/>
        <v>0</v>
      </c>
      <c r="AG838" s="329">
        <f t="shared" si="699"/>
        <v>0</v>
      </c>
      <c r="AH838" s="329">
        <f t="shared" si="699"/>
        <v>0</v>
      </c>
      <c r="AI838" s="329">
        <f t="shared" si="700"/>
        <v>0</v>
      </c>
      <c r="AJ838" s="329">
        <f t="shared" si="700"/>
        <v>0</v>
      </c>
      <c r="AK838" s="329">
        <f t="shared" si="700"/>
        <v>0</v>
      </c>
      <c r="AL838" s="329">
        <f t="shared" si="701"/>
        <v>0</v>
      </c>
    </row>
    <row r="839" spans="1:38">
      <c r="A839" s="618"/>
      <c r="B839" s="618" t="s">
        <v>3386</v>
      </c>
      <c r="C839" s="619">
        <f t="shared" si="686"/>
        <v>1</v>
      </c>
      <c r="D839" s="523">
        <f>VLOOKUP(B839,DONGIA,DG!$B$6,0)</f>
        <v>0</v>
      </c>
      <c r="E839" s="666" t="str">
        <f>VLOOKUP(B839,DONGIA,DG!$C$6,0)</f>
        <v>Dây phi kim buộc cổ sứ (trụ thẳng)</v>
      </c>
      <c r="F839" s="523" t="str">
        <f>VLOOKUP(B839,DONGIA,DG!$D$6,0)</f>
        <v>sợi</v>
      </c>
      <c r="G839" s="554">
        <f t="shared" si="691"/>
        <v>194</v>
      </c>
      <c r="H839" s="525">
        <f>VLOOKUP($B839,DONGIA,DG!$E$6,0)</f>
        <v>247250</v>
      </c>
      <c r="I839" s="525"/>
      <c r="J839" s="525"/>
      <c r="K839" s="525">
        <f>VLOOKUP($B839,DONGIA,DG!$F$6,0)</f>
        <v>0</v>
      </c>
      <c r="L839" s="525"/>
      <c r="M839" s="525">
        <f>VLOOKUP($B839,DONGIA,DG!$G$6,0)</f>
        <v>0</v>
      </c>
      <c r="N839" s="525">
        <f t="shared" ref="N839:S840" si="702">$G839*H839</f>
        <v>47966500</v>
      </c>
      <c r="O839" s="525">
        <f t="shared" si="702"/>
        <v>0</v>
      </c>
      <c r="P839" s="525">
        <f t="shared" si="702"/>
        <v>0</v>
      </c>
      <c r="Q839" s="525">
        <f t="shared" si="702"/>
        <v>0</v>
      </c>
      <c r="R839" s="525">
        <f t="shared" si="702"/>
        <v>0</v>
      </c>
      <c r="S839" s="525">
        <f t="shared" si="702"/>
        <v>0</v>
      </c>
      <c r="U839" s="525"/>
      <c r="V839" s="525">
        <f t="shared" si="689"/>
        <v>194</v>
      </c>
      <c r="W839" s="525"/>
      <c r="X839" s="525"/>
      <c r="Y839" s="525"/>
      <c r="Z839" s="525"/>
      <c r="AA839" s="525"/>
      <c r="AB839" s="525"/>
      <c r="AD839" s="405">
        <f>IFERROR(VLOOKUP(B839,DONGIA,$AD$3,0),0)</f>
        <v>1</v>
      </c>
      <c r="AE839" s="525">
        <f t="shared" ref="AE839:AL840" si="703">U839*$AD839</f>
        <v>0</v>
      </c>
      <c r="AF839" s="525">
        <f t="shared" si="703"/>
        <v>194</v>
      </c>
      <c r="AG839" s="525">
        <f t="shared" si="703"/>
        <v>0</v>
      </c>
      <c r="AH839" s="525">
        <f t="shared" si="703"/>
        <v>0</v>
      </c>
      <c r="AI839" s="525">
        <f t="shared" si="703"/>
        <v>0</v>
      </c>
      <c r="AJ839" s="525">
        <f t="shared" si="703"/>
        <v>0</v>
      </c>
      <c r="AK839" s="525">
        <f t="shared" si="703"/>
        <v>0</v>
      </c>
      <c r="AL839" s="525">
        <f t="shared" si="703"/>
        <v>0</v>
      </c>
    </row>
    <row r="840" spans="1:38">
      <c r="A840" s="618"/>
      <c r="B840" s="618" t="s">
        <v>3387</v>
      </c>
      <c r="C840" s="619">
        <f>IF(G840&lt;&gt;0,1,)</f>
        <v>1</v>
      </c>
      <c r="D840" s="523">
        <f>VLOOKUP(B840,DONGIA,DG!$B$6,0)</f>
        <v>0</v>
      </c>
      <c r="E840" s="666" t="str">
        <f>VLOOKUP(B840,DONGIA,DG!$C$6,0)</f>
        <v>Dây phi kim buộc cổ sứ (trụ góc)</v>
      </c>
      <c r="F840" s="523" t="str">
        <f>VLOOKUP(B840,DONGIA,DG!$D$6,0)</f>
        <v>sợi</v>
      </c>
      <c r="G840" s="554">
        <f t="shared" si="691"/>
        <v>313</v>
      </c>
      <c r="H840" s="525">
        <f>VLOOKUP($B840,DONGIA,DG!$E$6,0)</f>
        <v>258750</v>
      </c>
      <c r="I840" s="525"/>
      <c r="J840" s="525"/>
      <c r="K840" s="525">
        <f>VLOOKUP($B840,DONGIA,DG!$F$6,0)</f>
        <v>0</v>
      </c>
      <c r="L840" s="525"/>
      <c r="M840" s="525">
        <f>VLOOKUP($B840,DONGIA,DG!$G$6,0)</f>
        <v>0</v>
      </c>
      <c r="N840" s="525">
        <f t="shared" si="702"/>
        <v>80988750</v>
      </c>
      <c r="O840" s="525">
        <f t="shared" si="702"/>
        <v>0</v>
      </c>
      <c r="P840" s="525">
        <f t="shared" si="702"/>
        <v>0</v>
      </c>
      <c r="Q840" s="525">
        <f t="shared" si="702"/>
        <v>0</v>
      </c>
      <c r="R840" s="525">
        <f t="shared" si="702"/>
        <v>0</v>
      </c>
      <c r="S840" s="525">
        <f t="shared" si="702"/>
        <v>0</v>
      </c>
      <c r="U840" s="525"/>
      <c r="V840" s="525">
        <f t="shared" si="689"/>
        <v>313</v>
      </c>
      <c r="W840" s="525"/>
      <c r="X840" s="525"/>
      <c r="Y840" s="525"/>
      <c r="Z840" s="525"/>
      <c r="AA840" s="525"/>
      <c r="AB840" s="525"/>
      <c r="AD840" s="405">
        <f>IFERROR(VLOOKUP(B840,DONGIA,$AD$3,0),0)</f>
        <v>1</v>
      </c>
      <c r="AE840" s="525">
        <f t="shared" si="703"/>
        <v>0</v>
      </c>
      <c r="AF840" s="525">
        <f t="shared" si="703"/>
        <v>313</v>
      </c>
      <c r="AG840" s="525">
        <f t="shared" si="703"/>
        <v>0</v>
      </c>
      <c r="AH840" s="525">
        <f t="shared" si="703"/>
        <v>0</v>
      </c>
      <c r="AI840" s="525">
        <f t="shared" si="703"/>
        <v>0</v>
      </c>
      <c r="AJ840" s="525">
        <f t="shared" si="703"/>
        <v>0</v>
      </c>
      <c r="AK840" s="525">
        <f t="shared" si="703"/>
        <v>0</v>
      </c>
      <c r="AL840" s="525">
        <f t="shared" si="703"/>
        <v>0</v>
      </c>
    </row>
    <row r="841" spans="1:38">
      <c r="A841" s="618"/>
      <c r="B841" s="618" t="s">
        <v>396</v>
      </c>
      <c r="C841" s="619">
        <f t="shared" si="686"/>
        <v>1</v>
      </c>
      <c r="D841" s="523">
        <f>VLOOKUP(B841,DONGIA,DG!$B$6,0)</f>
        <v>0</v>
      </c>
      <c r="E841" s="666" t="str">
        <f>VLOOKUP(B841,DONGIA,DG!$C$6,0)</f>
        <v>Ống bọc cách điện D30/15</v>
      </c>
      <c r="F841" s="523" t="str">
        <f>VLOOKUP(B841,DONGIA,DG!$D$6,0)</f>
        <v>mét</v>
      </c>
      <c r="G841" s="549">
        <f t="shared" si="691"/>
        <v>58</v>
      </c>
      <c r="H841" s="525">
        <f>VLOOKUP($B841,DONGIA,DG!$E$6,0)</f>
        <v>95000</v>
      </c>
      <c r="I841" s="525"/>
      <c r="J841" s="525"/>
      <c r="K841" s="525"/>
      <c r="L841" s="525"/>
      <c r="M841" s="525"/>
      <c r="N841" s="525">
        <f>$G841*H841</f>
        <v>5510000</v>
      </c>
      <c r="O841" s="525">
        <f t="shared" si="692"/>
        <v>0</v>
      </c>
      <c r="P841" s="525">
        <f t="shared" si="693"/>
        <v>0</v>
      </c>
      <c r="Q841" s="525">
        <f t="shared" si="694"/>
        <v>0</v>
      </c>
      <c r="R841" s="525">
        <f t="shared" si="695"/>
        <v>0</v>
      </c>
      <c r="S841" s="525">
        <f t="shared" si="696"/>
        <v>0</v>
      </c>
      <c r="U841" s="525"/>
      <c r="V841" s="525">
        <f t="shared" si="689"/>
        <v>58</v>
      </c>
      <c r="W841" s="525"/>
      <c r="X841" s="525"/>
      <c r="Y841" s="525"/>
      <c r="Z841" s="525"/>
      <c r="AA841" s="525"/>
      <c r="AB841" s="525"/>
      <c r="AD841" s="405">
        <f t="shared" si="697"/>
        <v>0</v>
      </c>
      <c r="AE841" s="525">
        <f t="shared" si="698"/>
        <v>0</v>
      </c>
      <c r="AF841" s="525">
        <f t="shared" si="699"/>
        <v>0</v>
      </c>
      <c r="AG841" s="525">
        <f t="shared" si="699"/>
        <v>0</v>
      </c>
      <c r="AH841" s="525">
        <f t="shared" si="699"/>
        <v>0</v>
      </c>
      <c r="AI841" s="525">
        <f t="shared" si="700"/>
        <v>0</v>
      </c>
      <c r="AJ841" s="525">
        <f t="shared" si="700"/>
        <v>0</v>
      </c>
      <c r="AK841" s="525">
        <f t="shared" si="700"/>
        <v>0</v>
      </c>
      <c r="AL841" s="525">
        <f t="shared" si="701"/>
        <v>0</v>
      </c>
    </row>
    <row r="842" spans="1:38">
      <c r="A842" s="618"/>
      <c r="B842" s="618" t="s">
        <v>3382</v>
      </c>
      <c r="C842" s="619">
        <f>IF(G842&lt;&gt;0,1,)</f>
        <v>0</v>
      </c>
      <c r="D842" s="523">
        <f>VLOOKUP(B842,DONGIA,DG!$B$6,0)</f>
        <v>0</v>
      </c>
      <c r="E842" s="525" t="str">
        <f>VLOOKUP(B842,DONGIA,DG!$C$6,0)</f>
        <v>Băng keo cách điện trung thế</v>
      </c>
      <c r="F842" s="523" t="str">
        <f>VLOOKUP(B842,DONGIA,DG!$D$6,0)</f>
        <v>cuộn</v>
      </c>
      <c r="G842" s="549"/>
      <c r="H842" s="525">
        <f>VLOOKUP($B842,DONGIA,DG!$E$6,0)</f>
        <v>280000</v>
      </c>
      <c r="I842" s="525"/>
      <c r="J842" s="525"/>
      <c r="K842" s="525"/>
      <c r="L842" s="525"/>
      <c r="M842" s="525"/>
      <c r="N842" s="525">
        <f>$G842*H842</f>
        <v>0</v>
      </c>
      <c r="O842" s="525">
        <f>$G842*I842</f>
        <v>0</v>
      </c>
      <c r="P842" s="525">
        <f>$G842*J842</f>
        <v>0</v>
      </c>
      <c r="Q842" s="525">
        <f>$G842*K842</f>
        <v>0</v>
      </c>
      <c r="R842" s="525">
        <f>$G842*L842</f>
        <v>0</v>
      </c>
      <c r="S842" s="525">
        <f>$G842*M842</f>
        <v>0</v>
      </c>
      <c r="U842" s="525"/>
      <c r="V842" s="525">
        <f t="shared" si="689"/>
        <v>0</v>
      </c>
      <c r="W842" s="525"/>
      <c r="X842" s="525"/>
      <c r="Y842" s="525"/>
      <c r="Z842" s="525"/>
      <c r="AA842" s="525"/>
      <c r="AB842" s="525"/>
      <c r="AD842" s="405">
        <f>IFERROR(VLOOKUP(B842,DONGIA,$AD$3,0),0)</f>
        <v>0</v>
      </c>
      <c r="AE842" s="525">
        <f t="shared" ref="AE842:AL842" si="704">U842*$AD842</f>
        <v>0</v>
      </c>
      <c r="AF842" s="525">
        <f t="shared" si="704"/>
        <v>0</v>
      </c>
      <c r="AG842" s="525">
        <f t="shared" si="704"/>
        <v>0</v>
      </c>
      <c r="AH842" s="525">
        <f t="shared" si="704"/>
        <v>0</v>
      </c>
      <c r="AI842" s="525">
        <f t="shared" si="704"/>
        <v>0</v>
      </c>
      <c r="AJ842" s="525">
        <f t="shared" si="704"/>
        <v>0</v>
      </c>
      <c r="AK842" s="525">
        <f t="shared" si="704"/>
        <v>0</v>
      </c>
      <c r="AL842" s="525">
        <f t="shared" si="704"/>
        <v>0</v>
      </c>
    </row>
    <row r="843" spans="1:38">
      <c r="A843" s="618"/>
      <c r="B843" s="618" t="s">
        <v>255</v>
      </c>
      <c r="C843" s="619">
        <f t="shared" si="686"/>
        <v>1</v>
      </c>
      <c r="D843" s="523">
        <f>VLOOKUP(B843,DONGIA,DG!$B$6,0)</f>
        <v>0</v>
      </c>
      <c r="E843" s="666" t="str">
        <f>VLOOKUP(B843,DONGIA,DG!$C$6,0)</f>
        <v>Cáp nhôm A-70 (Buộc cổ sứ)</v>
      </c>
      <c r="F843" s="523" t="str">
        <f>VLOOKUP(B843,DONGIA,DG!$D$6,0)</f>
        <v>kg</v>
      </c>
      <c r="G843" s="554">
        <f>ROUND(((PP3P!CQ361+PP3P!CR361)*1/7)*0.135+(PP3P!CE361+PP3P!CC361+PP3P!CD361*2-G839-G840)*2/7*0.135,1)</f>
        <v>2.7</v>
      </c>
      <c r="H843" s="525">
        <f>VLOOKUP($B843,DONGIA,DG!$E$6,0)</f>
        <v>85000</v>
      </c>
      <c r="I843" s="525"/>
      <c r="J843" s="525"/>
      <c r="K843" s="525">
        <f>VLOOKUP($B843,DONGIA,DG!$F$6,0)</f>
        <v>0</v>
      </c>
      <c r="L843" s="525"/>
      <c r="M843" s="525">
        <f>VLOOKUP($B843,DONGIA,DG!$G$6,0)</f>
        <v>0</v>
      </c>
      <c r="N843" s="525">
        <f t="shared" si="688"/>
        <v>229500.00000000003</v>
      </c>
      <c r="O843" s="525">
        <f t="shared" si="692"/>
        <v>0</v>
      </c>
      <c r="P843" s="525">
        <f t="shared" si="693"/>
        <v>0</v>
      </c>
      <c r="Q843" s="525">
        <f t="shared" si="694"/>
        <v>0</v>
      </c>
      <c r="R843" s="525">
        <f t="shared" si="695"/>
        <v>0</v>
      </c>
      <c r="S843" s="525">
        <f t="shared" si="696"/>
        <v>0</v>
      </c>
      <c r="U843" s="525"/>
      <c r="V843" s="525">
        <f t="shared" si="689"/>
        <v>2.7</v>
      </c>
      <c r="W843" s="525"/>
      <c r="X843" s="525"/>
      <c r="Y843" s="525"/>
      <c r="Z843" s="525"/>
      <c r="AA843" s="525"/>
      <c r="AB843" s="525"/>
      <c r="AD843" s="405">
        <f t="shared" si="697"/>
        <v>1</v>
      </c>
      <c r="AE843" s="525">
        <f t="shared" si="698"/>
        <v>0</v>
      </c>
      <c r="AF843" s="525">
        <f t="shared" si="699"/>
        <v>2.7</v>
      </c>
      <c r="AG843" s="525">
        <f t="shared" si="699"/>
        <v>0</v>
      </c>
      <c r="AH843" s="525">
        <f t="shared" si="699"/>
        <v>0</v>
      </c>
      <c r="AI843" s="525">
        <f t="shared" si="700"/>
        <v>0</v>
      </c>
      <c r="AJ843" s="525">
        <f t="shared" si="700"/>
        <v>0</v>
      </c>
      <c r="AK843" s="525">
        <f t="shared" si="700"/>
        <v>0</v>
      </c>
      <c r="AL843" s="525">
        <f t="shared" si="701"/>
        <v>0</v>
      </c>
    </row>
    <row r="844" spans="1:38">
      <c r="A844" s="618"/>
      <c r="B844" s="618" t="s">
        <v>1731</v>
      </c>
      <c r="C844" s="619">
        <f>IF(G844&lt;&gt;0,1,)</f>
        <v>1</v>
      </c>
      <c r="D844" s="523">
        <f>VLOOKUP(B844,DONGIA,DG!$B$6,0)</f>
        <v>0</v>
      </c>
      <c r="E844" s="666" t="str">
        <f>VLOOKUP(B844,DONGIA,DG!$C$6,0)</f>
        <v>Dây chảy 8K</v>
      </c>
      <c r="F844" s="523" t="str">
        <f>VLOOKUP(B844,DONGIA,DG!$D$6,0)</f>
        <v>Sợi</v>
      </c>
      <c r="G844" s="525">
        <f>G866</f>
        <v>34</v>
      </c>
      <c r="H844" s="525">
        <f>VLOOKUP($B844,DONGIA,DG!$E$6,0)</f>
        <v>47000</v>
      </c>
      <c r="I844" s="525"/>
      <c r="J844" s="525"/>
      <c r="K844" s="525">
        <f>VLOOKUP($B844,DONGIA,DG!$F$6,0)</f>
        <v>0</v>
      </c>
      <c r="L844" s="525"/>
      <c r="M844" s="525">
        <f>VLOOKUP($B844,DONGIA,DG!$G$6,0)</f>
        <v>0</v>
      </c>
      <c r="N844" s="525">
        <f t="shared" ref="N844:S847" si="705">$G844*H844</f>
        <v>1598000</v>
      </c>
      <c r="O844" s="525">
        <f t="shared" si="705"/>
        <v>0</v>
      </c>
      <c r="P844" s="525">
        <f t="shared" si="705"/>
        <v>0</v>
      </c>
      <c r="Q844" s="525">
        <f t="shared" si="705"/>
        <v>0</v>
      </c>
      <c r="R844" s="525">
        <f t="shared" si="705"/>
        <v>0</v>
      </c>
      <c r="S844" s="525">
        <f t="shared" si="705"/>
        <v>0</v>
      </c>
      <c r="U844" s="525"/>
      <c r="V844" s="525">
        <f t="shared" si="689"/>
        <v>34</v>
      </c>
      <c r="W844" s="525"/>
      <c r="X844" s="525"/>
      <c r="Y844" s="525"/>
      <c r="Z844" s="525"/>
      <c r="AA844" s="525"/>
      <c r="AB844" s="525"/>
      <c r="AD844" s="405">
        <f>IFERROR(VLOOKUP(B844,DONGIA,$AD$3,0),0)</f>
        <v>0</v>
      </c>
      <c r="AE844" s="525">
        <f t="shared" ref="AE844:AL847" si="706">U844*$AD844</f>
        <v>0</v>
      </c>
      <c r="AF844" s="525">
        <f t="shared" si="706"/>
        <v>0</v>
      </c>
      <c r="AG844" s="525">
        <f t="shared" si="706"/>
        <v>0</v>
      </c>
      <c r="AH844" s="525">
        <f t="shared" si="706"/>
        <v>0</v>
      </c>
      <c r="AI844" s="525">
        <f t="shared" si="706"/>
        <v>0</v>
      </c>
      <c r="AJ844" s="525">
        <f t="shared" si="706"/>
        <v>0</v>
      </c>
      <c r="AK844" s="525">
        <f t="shared" si="706"/>
        <v>0</v>
      </c>
      <c r="AL844" s="525">
        <f t="shared" si="706"/>
        <v>0</v>
      </c>
    </row>
    <row r="845" spans="1:38">
      <c r="A845" s="618"/>
      <c r="B845" s="618" t="s">
        <v>1726</v>
      </c>
      <c r="C845" s="619">
        <f>IF(G845&lt;&gt;0,1,)</f>
        <v>1</v>
      </c>
      <c r="D845" s="523">
        <f>VLOOKUP(B845,DONGIA,DG!$B$6,0)</f>
        <v>0</v>
      </c>
      <c r="E845" s="666" t="str">
        <f>VLOOKUP(B845,DONGIA,DG!$C$6,0)</f>
        <v>Chụp đầu FCO (Trên + Dưới)</v>
      </c>
      <c r="F845" s="523" t="str">
        <f>VLOOKUP(B845,DONGIA,DG!$D$6,0)</f>
        <v>bộ</v>
      </c>
      <c r="G845" s="525">
        <f>G866</f>
        <v>34</v>
      </c>
      <c r="H845" s="525">
        <f>VLOOKUP($B845,DONGIA,DG!$E$6,0)</f>
        <v>190000</v>
      </c>
      <c r="I845" s="525"/>
      <c r="J845" s="525"/>
      <c r="K845" s="525">
        <f>VLOOKUP($B845,DONGIA,DG!$F$6,0)</f>
        <v>0</v>
      </c>
      <c r="L845" s="525"/>
      <c r="M845" s="525">
        <f>VLOOKUP($B845,DONGIA,DG!$G$6,0)</f>
        <v>0</v>
      </c>
      <c r="N845" s="525">
        <f t="shared" si="705"/>
        <v>6460000</v>
      </c>
      <c r="O845" s="525">
        <f t="shared" si="705"/>
        <v>0</v>
      </c>
      <c r="P845" s="525">
        <f t="shared" si="705"/>
        <v>0</v>
      </c>
      <c r="Q845" s="525">
        <f t="shared" si="705"/>
        <v>0</v>
      </c>
      <c r="R845" s="525">
        <f t="shared" si="705"/>
        <v>0</v>
      </c>
      <c r="S845" s="525">
        <f t="shared" si="705"/>
        <v>0</v>
      </c>
      <c r="U845" s="525"/>
      <c r="V845" s="525">
        <f t="shared" si="689"/>
        <v>34</v>
      </c>
      <c r="W845" s="525"/>
      <c r="X845" s="525"/>
      <c r="Y845" s="525"/>
      <c r="Z845" s="525"/>
      <c r="AA845" s="525"/>
      <c r="AB845" s="525"/>
      <c r="AD845" s="405">
        <f>IFERROR(VLOOKUP(B845,DONGIA,$AD$3,0),0)</f>
        <v>0</v>
      </c>
      <c r="AE845" s="525">
        <f t="shared" si="706"/>
        <v>0</v>
      </c>
      <c r="AF845" s="525">
        <f t="shared" si="706"/>
        <v>0</v>
      </c>
      <c r="AG845" s="525">
        <f t="shared" si="706"/>
        <v>0</v>
      </c>
      <c r="AH845" s="525">
        <f t="shared" si="706"/>
        <v>0</v>
      </c>
      <c r="AI845" s="525">
        <f t="shared" si="706"/>
        <v>0</v>
      </c>
      <c r="AJ845" s="525">
        <f t="shared" si="706"/>
        <v>0</v>
      </c>
      <c r="AK845" s="525">
        <f t="shared" si="706"/>
        <v>0</v>
      </c>
      <c r="AL845" s="525">
        <f t="shared" si="706"/>
        <v>0</v>
      </c>
    </row>
    <row r="846" spans="1:38">
      <c r="A846" s="618"/>
      <c r="B846" s="618" t="s">
        <v>3384</v>
      </c>
      <c r="C846" s="619">
        <f>IF(G846&lt;&gt;0,1,)</f>
        <v>1</v>
      </c>
      <c r="D846" s="523">
        <f>VLOOKUP(B846,DONGIA,DG!$B$6,0)</f>
        <v>0</v>
      </c>
      <c r="E846" s="666" t="str">
        <f>VLOOKUP(B846,DONGIA,DG!$C$6,0)</f>
        <v>Bảng chỉ danh thiết bị</v>
      </c>
      <c r="F846" s="523" t="str">
        <f>VLOOKUP(B846,DONGIA,DG!$D$6,0)</f>
        <v>bộ</v>
      </c>
      <c r="G846" s="525">
        <f>G866</f>
        <v>34</v>
      </c>
      <c r="H846" s="525">
        <f>VLOOKUP($B846,DONGIA,DG!$E$6,0)</f>
        <v>150000</v>
      </c>
      <c r="I846" s="525"/>
      <c r="J846" s="525"/>
      <c r="K846" s="525">
        <f>VLOOKUP($B846,DONGIA,DG!$F$6,0)</f>
        <v>0</v>
      </c>
      <c r="L846" s="525"/>
      <c r="M846" s="525">
        <f>VLOOKUP($B846,DONGIA,DG!$G$6,0)</f>
        <v>0</v>
      </c>
      <c r="N846" s="525">
        <f t="shared" si="705"/>
        <v>5100000</v>
      </c>
      <c r="O846" s="525">
        <f t="shared" si="705"/>
        <v>0</v>
      </c>
      <c r="P846" s="525">
        <f t="shared" si="705"/>
        <v>0</v>
      </c>
      <c r="Q846" s="525">
        <f t="shared" si="705"/>
        <v>0</v>
      </c>
      <c r="R846" s="525">
        <f t="shared" si="705"/>
        <v>0</v>
      </c>
      <c r="S846" s="525">
        <f t="shared" si="705"/>
        <v>0</v>
      </c>
      <c r="U846" s="525"/>
      <c r="V846" s="525">
        <f t="shared" si="689"/>
        <v>34</v>
      </c>
      <c r="W846" s="525"/>
      <c r="X846" s="525"/>
      <c r="Y846" s="525"/>
      <c r="Z846" s="525"/>
      <c r="AA846" s="525"/>
      <c r="AB846" s="525"/>
      <c r="AD846" s="405">
        <f>IFERROR(VLOOKUP(B846,DONGIA,$AD$3,0),0)</f>
        <v>0</v>
      </c>
      <c r="AE846" s="525">
        <f t="shared" si="706"/>
        <v>0</v>
      </c>
      <c r="AF846" s="525">
        <f t="shared" si="706"/>
        <v>0</v>
      </c>
      <c r="AG846" s="525">
        <f t="shared" si="706"/>
        <v>0</v>
      </c>
      <c r="AH846" s="525">
        <f t="shared" si="706"/>
        <v>0</v>
      </c>
      <c r="AI846" s="525">
        <f t="shared" si="706"/>
        <v>0</v>
      </c>
      <c r="AJ846" s="525">
        <f t="shared" si="706"/>
        <v>0</v>
      </c>
      <c r="AK846" s="525">
        <f t="shared" si="706"/>
        <v>0</v>
      </c>
      <c r="AL846" s="525">
        <f t="shared" si="706"/>
        <v>0</v>
      </c>
    </row>
    <row r="847" spans="1:38">
      <c r="A847" s="618"/>
      <c r="B847" s="618" t="s">
        <v>137</v>
      </c>
      <c r="C847" s="619">
        <f>IF(G847&lt;&gt;0,1,)</f>
        <v>1</v>
      </c>
      <c r="D847" s="523">
        <f>VLOOKUP(B847,DONGIA,DG!$B$6,0)</f>
        <v>0</v>
      </c>
      <c r="E847" s="666" t="str">
        <f>VLOOKUP(B847,DONGIA,DG!$C$6,0)</f>
        <v>Bass LI bắt FCO, LA</v>
      </c>
      <c r="F847" s="523" t="str">
        <f>VLOOKUP(B847,DONGIA,DG!$D$6,0)</f>
        <v>Bộ</v>
      </c>
      <c r="G847" s="525">
        <f>G867</f>
        <v>27</v>
      </c>
      <c r="H847" s="525">
        <f>VLOOKUP($B847,DONGIA,DG!$E$6,0)</f>
        <v>38000</v>
      </c>
      <c r="I847" s="525"/>
      <c r="J847" s="525"/>
      <c r="K847" s="525">
        <f>VLOOKUP($B847,DONGIA,DG!$F$6,0)</f>
        <v>0</v>
      </c>
      <c r="L847" s="525"/>
      <c r="M847" s="525">
        <f>VLOOKUP($B847,DONGIA,DG!$G$6,0)</f>
        <v>0</v>
      </c>
      <c r="N847" s="525">
        <f t="shared" si="705"/>
        <v>1026000</v>
      </c>
      <c r="O847" s="525">
        <f t="shared" si="705"/>
        <v>0</v>
      </c>
      <c r="P847" s="525">
        <f t="shared" si="705"/>
        <v>0</v>
      </c>
      <c r="Q847" s="525">
        <f t="shared" si="705"/>
        <v>0</v>
      </c>
      <c r="R847" s="525">
        <f t="shared" si="705"/>
        <v>0</v>
      </c>
      <c r="S847" s="525">
        <f t="shared" si="705"/>
        <v>0</v>
      </c>
      <c r="U847" s="525"/>
      <c r="V847" s="525">
        <f t="shared" si="689"/>
        <v>27</v>
      </c>
      <c r="W847" s="525"/>
      <c r="X847" s="525"/>
      <c r="Y847" s="525"/>
      <c r="Z847" s="525"/>
      <c r="AA847" s="525"/>
      <c r="AB847" s="525"/>
      <c r="AD847" s="405">
        <f>IFERROR(VLOOKUP(B847,DONGIA,$AD$3,0),0)</f>
        <v>0.4</v>
      </c>
      <c r="AE847" s="525">
        <f t="shared" si="706"/>
        <v>0</v>
      </c>
      <c r="AF847" s="525">
        <f t="shared" si="706"/>
        <v>10.8</v>
      </c>
      <c r="AG847" s="525">
        <f t="shared" si="706"/>
        <v>0</v>
      </c>
      <c r="AH847" s="525">
        <f t="shared" si="706"/>
        <v>0</v>
      </c>
      <c r="AI847" s="525">
        <f t="shared" si="706"/>
        <v>0</v>
      </c>
      <c r="AJ847" s="525">
        <f t="shared" si="706"/>
        <v>0</v>
      </c>
      <c r="AK847" s="525">
        <f t="shared" si="706"/>
        <v>0</v>
      </c>
      <c r="AL847" s="525">
        <f t="shared" si="706"/>
        <v>0</v>
      </c>
    </row>
    <row r="848" spans="1:38">
      <c r="A848" s="618"/>
      <c r="B848" s="618" t="s">
        <v>779</v>
      </c>
      <c r="C848" s="619">
        <f t="shared" si="686"/>
        <v>1</v>
      </c>
      <c r="D848" s="523" t="str">
        <f>VLOOKUP(B848,DONGIA,DG!$B$6,0)</f>
        <v>D3.6211</v>
      </c>
      <c r="E848" s="666" t="str">
        <f>VLOOKUP(B848,DONGIA,DG!$C$6,0)</f>
        <v>Kéo dây nhôm lõi thép cỡ dây 50mm2 (&lt;10m)</v>
      </c>
      <c r="F848" s="523" t="str">
        <f>VLOOKUP(B848,DONGIA,DG!$D$6,0)</f>
        <v>km</v>
      </c>
      <c r="G848" s="626">
        <f>ROUND(PP3P!L361/1000,3)</f>
        <v>6.3390000000000004</v>
      </c>
      <c r="H848" s="525">
        <f>VLOOKUP($B848,DONGIA,DG!$E$6,0)</f>
        <v>0</v>
      </c>
      <c r="I848" s="525"/>
      <c r="J848" s="525"/>
      <c r="K848" s="525">
        <f>VLOOKUP($B848,DONGIA,DG!$F$6,0)</f>
        <v>1577041</v>
      </c>
      <c r="L848" s="525"/>
      <c r="M848" s="525">
        <f>VLOOKUP($B848,DONGIA,DG!$G$6,0)</f>
        <v>98673</v>
      </c>
      <c r="N848" s="525">
        <f t="shared" si="688"/>
        <v>0</v>
      </c>
      <c r="O848" s="525">
        <f t="shared" si="692"/>
        <v>0</v>
      </c>
      <c r="P848" s="525">
        <f t="shared" si="693"/>
        <v>0</v>
      </c>
      <c r="Q848" s="525">
        <f t="shared" si="694"/>
        <v>9996862.8990000002</v>
      </c>
      <c r="R848" s="525">
        <f t="shared" si="695"/>
        <v>0</v>
      </c>
      <c r="S848" s="525">
        <f t="shared" si="696"/>
        <v>625488.147</v>
      </c>
      <c r="U848" s="525"/>
      <c r="V848" s="525">
        <f t="shared" si="689"/>
        <v>6.3390000000000004</v>
      </c>
      <c r="W848" s="525"/>
      <c r="X848" s="525"/>
      <c r="Y848" s="525"/>
      <c r="Z848" s="525"/>
      <c r="AA848" s="525"/>
      <c r="AB848" s="525"/>
      <c r="AD848" s="405">
        <f t="shared" si="697"/>
        <v>0</v>
      </c>
      <c r="AE848" s="525">
        <f t="shared" si="698"/>
        <v>0</v>
      </c>
      <c r="AF848" s="525">
        <f t="shared" si="699"/>
        <v>0</v>
      </c>
      <c r="AG848" s="525">
        <f t="shared" si="699"/>
        <v>0</v>
      </c>
      <c r="AH848" s="525">
        <f t="shared" si="699"/>
        <v>0</v>
      </c>
      <c r="AI848" s="525">
        <f t="shared" si="700"/>
        <v>0</v>
      </c>
      <c r="AJ848" s="525">
        <f t="shared" si="700"/>
        <v>0</v>
      </c>
      <c r="AK848" s="525">
        <f t="shared" si="700"/>
        <v>0</v>
      </c>
      <c r="AL848" s="525">
        <f t="shared" si="701"/>
        <v>0</v>
      </c>
    </row>
    <row r="849" spans="1:38" s="332" customFormat="1">
      <c r="A849" s="356"/>
      <c r="B849" s="356" t="s">
        <v>783</v>
      </c>
      <c r="C849" s="355">
        <f t="shared" si="686"/>
        <v>0</v>
      </c>
      <c r="D849" s="341" t="str">
        <f>VLOOKUP(B849,DONGIA,DG!$B$6,0)</f>
        <v>D3.6211</v>
      </c>
      <c r="E849" s="340" t="str">
        <f>VLOOKUP(B849,DONGIA,DG!$C$6,0)</f>
        <v>Kéo dây nhôm lõi thép cỡ dây 70mm2</v>
      </c>
      <c r="F849" s="341" t="str">
        <f>VLOOKUP(B849,DONGIA,DG!$D$6,0)</f>
        <v>km</v>
      </c>
      <c r="G849" s="52">
        <f>ROUND(G808/D808/1000/1.02,3)</f>
        <v>0</v>
      </c>
      <c r="H849" s="329">
        <f>VLOOKUP($B849,DONGIA,DG!$E$6,0)</f>
        <v>0</v>
      </c>
      <c r="I849" s="329"/>
      <c r="J849" s="329"/>
      <c r="K849" s="329">
        <f>VLOOKUP($B849,DONGIA,DG!$F$6,0)</f>
        <v>1577041</v>
      </c>
      <c r="L849" s="329"/>
      <c r="M849" s="329">
        <f>VLOOKUP($B849,DONGIA,DG!$G$6,0)</f>
        <v>98673</v>
      </c>
      <c r="N849" s="329">
        <f t="shared" si="688"/>
        <v>0</v>
      </c>
      <c r="O849" s="329">
        <f t="shared" si="692"/>
        <v>0</v>
      </c>
      <c r="P849" s="329">
        <f t="shared" si="693"/>
        <v>0</v>
      </c>
      <c r="Q849" s="329">
        <f t="shared" si="694"/>
        <v>0</v>
      </c>
      <c r="R849" s="329">
        <f t="shared" si="695"/>
        <v>0</v>
      </c>
      <c r="S849" s="329">
        <f t="shared" si="696"/>
        <v>0</v>
      </c>
      <c r="U849" s="329"/>
      <c r="V849" s="329">
        <f t="shared" si="689"/>
        <v>0</v>
      </c>
      <c r="W849" s="329"/>
      <c r="X849" s="329"/>
      <c r="Y849" s="329"/>
      <c r="Z849" s="329"/>
      <c r="AA849" s="329"/>
      <c r="AB849" s="329"/>
      <c r="AD849" s="332">
        <f t="shared" si="697"/>
        <v>0</v>
      </c>
      <c r="AE849" s="329">
        <f t="shared" si="698"/>
        <v>0</v>
      </c>
      <c r="AF849" s="329">
        <f t="shared" si="699"/>
        <v>0</v>
      </c>
      <c r="AG849" s="329">
        <f t="shared" si="699"/>
        <v>0</v>
      </c>
      <c r="AH849" s="329">
        <f t="shared" si="699"/>
        <v>0</v>
      </c>
      <c r="AI849" s="329">
        <f t="shared" si="700"/>
        <v>0</v>
      </c>
      <c r="AJ849" s="329">
        <f t="shared" si="700"/>
        <v>0</v>
      </c>
      <c r="AK849" s="329">
        <f t="shared" si="700"/>
        <v>0</v>
      </c>
      <c r="AL849" s="329">
        <f t="shared" si="701"/>
        <v>0</v>
      </c>
    </row>
    <row r="850" spans="1:38" s="332" customFormat="1">
      <c r="A850" s="356"/>
      <c r="B850" s="356" t="s">
        <v>785</v>
      </c>
      <c r="C850" s="355">
        <f t="shared" si="686"/>
        <v>0</v>
      </c>
      <c r="D850" s="341" t="str">
        <f>VLOOKUP(B850,DONGIA,DG!$B$6,0)</f>
        <v>D3.6212</v>
      </c>
      <c r="E850" s="340" t="str">
        <f>VLOOKUP(B850,DONGIA,DG!$C$6,0)</f>
        <v>Kéo dây nhôm lõi thép cỡ dây 95mm2</v>
      </c>
      <c r="F850" s="341" t="str">
        <f>VLOOKUP(B850,DONGIA,DG!$D$6,0)</f>
        <v>km</v>
      </c>
      <c r="G850" s="52">
        <f>ROUND(G809/D809/1000/1.02,3)</f>
        <v>0</v>
      </c>
      <c r="H850" s="329">
        <f>VLOOKUP($B850,DONGIA,DG!$E$6,0)</f>
        <v>0</v>
      </c>
      <c r="I850" s="329"/>
      <c r="J850" s="329"/>
      <c r="K850" s="329">
        <f>VLOOKUP($B850,DONGIA,DG!$F$6,0)</f>
        <v>2140657</v>
      </c>
      <c r="L850" s="329"/>
      <c r="M850" s="329">
        <f>VLOOKUP($B850,DONGIA,DG!$G$6,0)</f>
        <v>133386</v>
      </c>
      <c r="N850" s="329">
        <f t="shared" si="688"/>
        <v>0</v>
      </c>
      <c r="O850" s="329">
        <f t="shared" si="692"/>
        <v>0</v>
      </c>
      <c r="P850" s="329">
        <f t="shared" si="693"/>
        <v>0</v>
      </c>
      <c r="Q850" s="329">
        <f t="shared" si="694"/>
        <v>0</v>
      </c>
      <c r="R850" s="329">
        <f t="shared" si="695"/>
        <v>0</v>
      </c>
      <c r="S850" s="329">
        <f t="shared" si="696"/>
        <v>0</v>
      </c>
      <c r="U850" s="329"/>
      <c r="V850" s="329">
        <f t="shared" si="689"/>
        <v>0</v>
      </c>
      <c r="W850" s="329"/>
      <c r="X850" s="329"/>
      <c r="Y850" s="329"/>
      <c r="Z850" s="329"/>
      <c r="AA850" s="329"/>
      <c r="AB850" s="329"/>
      <c r="AD850" s="332">
        <f t="shared" si="697"/>
        <v>0</v>
      </c>
      <c r="AE850" s="329">
        <f t="shared" si="698"/>
        <v>0</v>
      </c>
      <c r="AF850" s="329">
        <f t="shared" si="699"/>
        <v>0</v>
      </c>
      <c r="AG850" s="329">
        <f t="shared" si="699"/>
        <v>0</v>
      </c>
      <c r="AH850" s="329">
        <f t="shared" si="699"/>
        <v>0</v>
      </c>
      <c r="AI850" s="329">
        <f t="shared" si="700"/>
        <v>0</v>
      </c>
      <c r="AJ850" s="329">
        <f t="shared" si="700"/>
        <v>0</v>
      </c>
      <c r="AK850" s="329">
        <f t="shared" si="700"/>
        <v>0</v>
      </c>
      <c r="AL850" s="329">
        <f t="shared" si="701"/>
        <v>0</v>
      </c>
    </row>
    <row r="851" spans="1:38" s="332" customFormat="1">
      <c r="A851" s="356"/>
      <c r="B851" s="356" t="s">
        <v>797</v>
      </c>
      <c r="C851" s="355">
        <f t="shared" si="686"/>
        <v>0</v>
      </c>
      <c r="D851" s="341" t="str">
        <f>VLOOKUP(B851,DONGIA,DG!$B$6,0)</f>
        <v>06.6161</v>
      </c>
      <c r="E851" s="340" t="str">
        <f>VLOOKUP(B851,DONGIA,DG!$C$6,0)</f>
        <v>Kéo dây nhôm lõi thép cỡ dây 120mm2</v>
      </c>
      <c r="F851" s="341" t="str">
        <f>VLOOKUP(B851,DONGIA,DG!$D$6,0)</f>
        <v>km</v>
      </c>
      <c r="G851" s="52">
        <f>ROUND(G810/D810/1000/1.02,3)</f>
        <v>0</v>
      </c>
      <c r="H851" s="329">
        <f>VLOOKUP($B851,DONGIA,DG!$E$6,0)</f>
        <v>0</v>
      </c>
      <c r="I851" s="329"/>
      <c r="J851" s="329"/>
      <c r="K851" s="329">
        <f>VLOOKUP($B851,DONGIA,DG!$F$6,0)</f>
        <v>0</v>
      </c>
      <c r="L851" s="329"/>
      <c r="M851" s="329">
        <f>VLOOKUP($B851,DONGIA,DG!$G$6,0)</f>
        <v>0</v>
      </c>
      <c r="N851" s="329">
        <f t="shared" si="688"/>
        <v>0</v>
      </c>
      <c r="O851" s="329">
        <f t="shared" si="692"/>
        <v>0</v>
      </c>
      <c r="P851" s="329">
        <f t="shared" si="693"/>
        <v>0</v>
      </c>
      <c r="Q851" s="329">
        <f t="shared" si="694"/>
        <v>0</v>
      </c>
      <c r="R851" s="329">
        <f t="shared" si="695"/>
        <v>0</v>
      </c>
      <c r="S851" s="329">
        <f t="shared" si="696"/>
        <v>0</v>
      </c>
      <c r="U851" s="329"/>
      <c r="V851" s="329">
        <f t="shared" si="689"/>
        <v>0</v>
      </c>
      <c r="W851" s="329"/>
      <c r="X851" s="329"/>
      <c r="Y851" s="329"/>
      <c r="Z851" s="329"/>
      <c r="AA851" s="329"/>
      <c r="AB851" s="329"/>
      <c r="AD851" s="332">
        <f t="shared" si="697"/>
        <v>0</v>
      </c>
      <c r="AE851" s="329">
        <f t="shared" si="698"/>
        <v>0</v>
      </c>
      <c r="AF851" s="329">
        <f t="shared" si="699"/>
        <v>0</v>
      </c>
      <c r="AG851" s="329">
        <f t="shared" si="699"/>
        <v>0</v>
      </c>
      <c r="AH851" s="329">
        <f t="shared" si="699"/>
        <v>0</v>
      </c>
      <c r="AI851" s="329">
        <f t="shared" si="700"/>
        <v>0</v>
      </c>
      <c r="AJ851" s="329">
        <f t="shared" si="700"/>
        <v>0</v>
      </c>
      <c r="AK851" s="329">
        <f t="shared" si="700"/>
        <v>0</v>
      </c>
      <c r="AL851" s="329">
        <f t="shared" si="701"/>
        <v>0</v>
      </c>
    </row>
    <row r="852" spans="1:38" s="332" customFormat="1">
      <c r="A852" s="356"/>
      <c r="B852" s="356" t="s">
        <v>800</v>
      </c>
      <c r="C852" s="355">
        <f t="shared" si="686"/>
        <v>0</v>
      </c>
      <c r="D852" s="341" t="str">
        <f>VLOOKUP(B852,DONGIA,DG!$B$6,0)</f>
        <v>06.6162</v>
      </c>
      <c r="E852" s="340" t="str">
        <f>VLOOKUP(B852,DONGIA,DG!$C$6,0)</f>
        <v>Kéo dây nhôm lõi thép cỡ dây 150mm2</v>
      </c>
      <c r="F852" s="341" t="str">
        <f>VLOOKUP(B852,DONGIA,DG!$D$6,0)</f>
        <v>km</v>
      </c>
      <c r="G852" s="52"/>
      <c r="H852" s="329">
        <f>VLOOKUP($B852,DONGIA,DG!$E$6,0)</f>
        <v>0</v>
      </c>
      <c r="I852" s="329"/>
      <c r="J852" s="329"/>
      <c r="K852" s="329">
        <f>VLOOKUP($B852,DONGIA,DG!$F$6,0)</f>
        <v>0</v>
      </c>
      <c r="L852" s="329"/>
      <c r="M852" s="329">
        <f>VLOOKUP($B852,DONGIA,DG!$G$6,0)</f>
        <v>0</v>
      </c>
      <c r="N852" s="329">
        <f t="shared" si="688"/>
        <v>0</v>
      </c>
      <c r="O852" s="329">
        <f t="shared" si="692"/>
        <v>0</v>
      </c>
      <c r="P852" s="329">
        <f t="shared" si="693"/>
        <v>0</v>
      </c>
      <c r="Q852" s="329">
        <f t="shared" si="694"/>
        <v>0</v>
      </c>
      <c r="R852" s="329">
        <f t="shared" si="695"/>
        <v>0</v>
      </c>
      <c r="S852" s="329">
        <f t="shared" si="696"/>
        <v>0</v>
      </c>
      <c r="U852" s="329"/>
      <c r="V852" s="329">
        <f t="shared" si="689"/>
        <v>0</v>
      </c>
      <c r="W852" s="329"/>
      <c r="X852" s="329"/>
      <c r="Y852" s="329"/>
      <c r="Z852" s="329"/>
      <c r="AA852" s="329"/>
      <c r="AB852" s="329"/>
      <c r="AD852" s="332">
        <f t="shared" si="697"/>
        <v>0</v>
      </c>
      <c r="AE852" s="329">
        <f t="shared" si="698"/>
        <v>0</v>
      </c>
      <c r="AF852" s="329">
        <f t="shared" si="699"/>
        <v>0</v>
      </c>
      <c r="AG852" s="329">
        <f t="shared" si="699"/>
        <v>0</v>
      </c>
      <c r="AH852" s="329">
        <f t="shared" si="699"/>
        <v>0</v>
      </c>
      <c r="AI852" s="329">
        <f t="shared" si="700"/>
        <v>0</v>
      </c>
      <c r="AJ852" s="329">
        <f t="shared" si="700"/>
        <v>0</v>
      </c>
      <c r="AK852" s="329">
        <f t="shared" si="700"/>
        <v>0</v>
      </c>
      <c r="AL852" s="329">
        <f t="shared" si="701"/>
        <v>0</v>
      </c>
    </row>
    <row r="853" spans="1:38" s="332" customFormat="1">
      <c r="A853" s="356"/>
      <c r="B853" s="356" t="s">
        <v>806</v>
      </c>
      <c r="C853" s="355">
        <f t="shared" si="686"/>
        <v>0</v>
      </c>
      <c r="D853" s="341" t="str">
        <f>VLOOKUP(B853,DONGIA,DG!$B$6,0)</f>
        <v>06.6163</v>
      </c>
      <c r="E853" s="340" t="str">
        <f>VLOOKUP(B853,DONGIA,DG!$C$6,0)</f>
        <v>Kéo dây nhôm lõi thép cỡ dây 185mm2</v>
      </c>
      <c r="F853" s="341" t="str">
        <f>VLOOKUP(B853,DONGIA,DG!$D$6,0)</f>
        <v>km</v>
      </c>
      <c r="G853" s="52"/>
      <c r="H853" s="329">
        <f>VLOOKUP($B853,DONGIA,DG!$E$6,0)</f>
        <v>0</v>
      </c>
      <c r="I853" s="329"/>
      <c r="J853" s="329"/>
      <c r="K853" s="329">
        <f>VLOOKUP($B853,DONGIA,DG!$F$6,0)</f>
        <v>0</v>
      </c>
      <c r="L853" s="329"/>
      <c r="M853" s="329">
        <f>VLOOKUP($B853,DONGIA,DG!$G$6,0)</f>
        <v>0</v>
      </c>
      <c r="N853" s="329">
        <f t="shared" si="688"/>
        <v>0</v>
      </c>
      <c r="O853" s="329">
        <f t="shared" si="692"/>
        <v>0</v>
      </c>
      <c r="P853" s="329">
        <f t="shared" si="693"/>
        <v>0</v>
      </c>
      <c r="Q853" s="329">
        <f t="shared" si="694"/>
        <v>0</v>
      </c>
      <c r="R853" s="329">
        <f t="shared" si="695"/>
        <v>0</v>
      </c>
      <c r="S853" s="329">
        <f t="shared" si="696"/>
        <v>0</v>
      </c>
      <c r="U853" s="329"/>
      <c r="V853" s="329">
        <f t="shared" si="689"/>
        <v>0</v>
      </c>
      <c r="W853" s="329"/>
      <c r="X853" s="329"/>
      <c r="Y853" s="329"/>
      <c r="Z853" s="329"/>
      <c r="AA853" s="329"/>
      <c r="AB853" s="329"/>
      <c r="AD853" s="332">
        <f t="shared" si="697"/>
        <v>0</v>
      </c>
      <c r="AE853" s="329">
        <f t="shared" si="698"/>
        <v>0</v>
      </c>
      <c r="AF853" s="329">
        <f t="shared" si="699"/>
        <v>0</v>
      </c>
      <c r="AG853" s="329">
        <f t="shared" si="699"/>
        <v>0</v>
      </c>
      <c r="AH853" s="329">
        <f t="shared" si="699"/>
        <v>0</v>
      </c>
      <c r="AI853" s="329">
        <f t="shared" si="700"/>
        <v>0</v>
      </c>
      <c r="AJ853" s="329">
        <f t="shared" si="700"/>
        <v>0</v>
      </c>
      <c r="AK853" s="329">
        <f t="shared" si="700"/>
        <v>0</v>
      </c>
      <c r="AL853" s="329">
        <f t="shared" si="701"/>
        <v>0</v>
      </c>
    </row>
    <row r="854" spans="1:38" s="332" customFormat="1">
      <c r="A854" s="356"/>
      <c r="B854" s="356" t="s">
        <v>809</v>
      </c>
      <c r="C854" s="355">
        <f t="shared" si="686"/>
        <v>0</v>
      </c>
      <c r="D854" s="341" t="str">
        <f>VLOOKUP(B854,DONGIA,DG!$B$6,0)</f>
        <v>06.6164</v>
      </c>
      <c r="E854" s="340" t="str">
        <f>VLOOKUP(B854,DONGIA,DG!$C$6,0)</f>
        <v>Kéo dây nhôm lõi thép cỡ dây 240mm2</v>
      </c>
      <c r="F854" s="341" t="str">
        <f>VLOOKUP(B854,DONGIA,DG!$D$6,0)</f>
        <v>km</v>
      </c>
      <c r="G854" s="52"/>
      <c r="H854" s="329">
        <f>VLOOKUP($B854,DONGIA,DG!$E$6,0)</f>
        <v>0</v>
      </c>
      <c r="I854" s="329"/>
      <c r="J854" s="329"/>
      <c r="K854" s="329">
        <f>VLOOKUP($B854,DONGIA,DG!$F$6,0)</f>
        <v>0</v>
      </c>
      <c r="L854" s="329"/>
      <c r="M854" s="329">
        <f>VLOOKUP($B854,DONGIA,DG!$G$6,0)</f>
        <v>0</v>
      </c>
      <c r="N854" s="329">
        <f t="shared" si="688"/>
        <v>0</v>
      </c>
      <c r="O854" s="329">
        <f t="shared" si="692"/>
        <v>0</v>
      </c>
      <c r="P854" s="329">
        <f t="shared" si="693"/>
        <v>0</v>
      </c>
      <c r="Q854" s="329">
        <f t="shared" si="694"/>
        <v>0</v>
      </c>
      <c r="R854" s="329">
        <f t="shared" si="695"/>
        <v>0</v>
      </c>
      <c r="S854" s="329">
        <f t="shared" si="696"/>
        <v>0</v>
      </c>
      <c r="U854" s="329"/>
      <c r="V854" s="329">
        <f t="shared" si="689"/>
        <v>0</v>
      </c>
      <c r="W854" s="329"/>
      <c r="X854" s="329"/>
      <c r="Y854" s="329"/>
      <c r="Z854" s="329"/>
      <c r="AA854" s="329"/>
      <c r="AB854" s="329"/>
      <c r="AD854" s="332">
        <f t="shared" si="697"/>
        <v>0</v>
      </c>
      <c r="AE854" s="329">
        <f t="shared" si="698"/>
        <v>0</v>
      </c>
      <c r="AF854" s="329">
        <f t="shared" si="699"/>
        <v>0</v>
      </c>
      <c r="AG854" s="329">
        <f t="shared" si="699"/>
        <v>0</v>
      </c>
      <c r="AH854" s="329">
        <f t="shared" si="699"/>
        <v>0</v>
      </c>
      <c r="AI854" s="329">
        <f t="shared" si="700"/>
        <v>0</v>
      </c>
      <c r="AJ854" s="329">
        <f t="shared" si="700"/>
        <v>0</v>
      </c>
      <c r="AK854" s="329">
        <f t="shared" si="700"/>
        <v>0</v>
      </c>
      <c r="AL854" s="329">
        <f t="shared" si="701"/>
        <v>0</v>
      </c>
    </row>
    <row r="855" spans="1:38" s="332" customFormat="1">
      <c r="A855" s="356"/>
      <c r="B855" s="356" t="s">
        <v>788</v>
      </c>
      <c r="C855" s="355">
        <f t="shared" si="686"/>
        <v>0</v>
      </c>
      <c r="D855" s="341" t="str">
        <f>VLOOKUP(B855,DONGIA,DG!$B$6,0)</f>
        <v>06.6114</v>
      </c>
      <c r="E855" s="340" t="str">
        <f>VLOOKUP(B855,DONGIA,DG!$C$6,0)</f>
        <v>Kéo dây nhôm lõi thép cỡ dây 50mm2 (TC)</v>
      </c>
      <c r="F855" s="341" t="str">
        <f>VLOOKUP(B855,DONGIA,DG!$D$6,0)</f>
        <v>km</v>
      </c>
      <c r="G855" s="52"/>
      <c r="H855" s="329">
        <f>VLOOKUP($B855,DONGIA,DG!$E$6,0)</f>
        <v>0</v>
      </c>
      <c r="I855" s="329"/>
      <c r="J855" s="329"/>
      <c r="K855" s="329">
        <f>VLOOKUP($B855,DONGIA,DG!$F$6,0)</f>
        <v>2665338</v>
      </c>
      <c r="L855" s="329"/>
      <c r="M855" s="329">
        <f>VLOOKUP($B855,DONGIA,DG!$G$6,0)</f>
        <v>0</v>
      </c>
      <c r="N855" s="329">
        <f t="shared" ref="N855:S855" si="707">$G855*H855</f>
        <v>0</v>
      </c>
      <c r="O855" s="329">
        <f t="shared" si="707"/>
        <v>0</v>
      </c>
      <c r="P855" s="329">
        <f t="shared" si="707"/>
        <v>0</v>
      </c>
      <c r="Q855" s="329">
        <f t="shared" si="707"/>
        <v>0</v>
      </c>
      <c r="R855" s="329">
        <f t="shared" si="707"/>
        <v>0</v>
      </c>
      <c r="S855" s="329">
        <f t="shared" si="707"/>
        <v>0</v>
      </c>
      <c r="U855" s="329"/>
      <c r="V855" s="329">
        <f t="shared" si="689"/>
        <v>0</v>
      </c>
      <c r="W855" s="329"/>
      <c r="X855" s="329"/>
      <c r="Y855" s="329"/>
      <c r="Z855" s="329"/>
      <c r="AA855" s="329"/>
      <c r="AB855" s="329"/>
      <c r="AD855" s="332">
        <f>IFERROR(VLOOKUP(B855,DONGIA,$AD$3,0),0)</f>
        <v>0</v>
      </c>
      <c r="AE855" s="329">
        <f t="shared" ref="AE855:AL855" si="708">U855*$AD855</f>
        <v>0</v>
      </c>
      <c r="AF855" s="329">
        <f t="shared" si="708"/>
        <v>0</v>
      </c>
      <c r="AG855" s="329">
        <f t="shared" si="708"/>
        <v>0</v>
      </c>
      <c r="AH855" s="329">
        <f t="shared" si="708"/>
        <v>0</v>
      </c>
      <c r="AI855" s="329">
        <f t="shared" si="708"/>
        <v>0</v>
      </c>
      <c r="AJ855" s="329">
        <f t="shared" si="708"/>
        <v>0</v>
      </c>
      <c r="AK855" s="329">
        <f t="shared" si="708"/>
        <v>0</v>
      </c>
      <c r="AL855" s="329">
        <f t="shared" si="708"/>
        <v>0</v>
      </c>
    </row>
    <row r="856" spans="1:38" s="332" customFormat="1">
      <c r="A856" s="356"/>
      <c r="B856" s="356" t="s">
        <v>833</v>
      </c>
      <c r="C856" s="355">
        <f t="shared" si="686"/>
        <v>0</v>
      </c>
      <c r="D856" s="341" t="str">
        <f>VLOOKUP(B856,DONGIA,DG!$B$6,0)</f>
        <v>06.6142</v>
      </c>
      <c r="E856" s="340" t="str">
        <f>VLOOKUP(B856,DONGIA,DG!$C$6,0)</f>
        <v>Kéo dây đồng trần 25mm2</v>
      </c>
      <c r="F856" s="341" t="str">
        <f>VLOOKUP(B856,DONGIA,DG!$D$6,0)</f>
        <v>km</v>
      </c>
      <c r="G856" s="52"/>
      <c r="H856" s="329">
        <f>VLOOKUP($B856,DONGIA,DG!$E$6,0)</f>
        <v>0</v>
      </c>
      <c r="I856" s="329"/>
      <c r="J856" s="329"/>
      <c r="K856" s="329">
        <f>VLOOKUP($B856,DONGIA,DG!$F$6,0)</f>
        <v>2717702</v>
      </c>
      <c r="L856" s="329"/>
      <c r="M856" s="329">
        <f>VLOOKUP($B856,DONGIA,DG!$G$6,0)</f>
        <v>0</v>
      </c>
      <c r="N856" s="329">
        <f t="shared" si="688"/>
        <v>0</v>
      </c>
      <c r="O856" s="329">
        <f t="shared" si="692"/>
        <v>0</v>
      </c>
      <c r="P856" s="329">
        <f t="shared" si="693"/>
        <v>0</v>
      </c>
      <c r="Q856" s="329">
        <f t="shared" si="694"/>
        <v>0</v>
      </c>
      <c r="R856" s="329">
        <f t="shared" si="695"/>
        <v>0</v>
      </c>
      <c r="S856" s="329">
        <f t="shared" si="696"/>
        <v>0</v>
      </c>
      <c r="U856" s="329"/>
      <c r="V856" s="329">
        <f t="shared" si="689"/>
        <v>0</v>
      </c>
      <c r="W856" s="329"/>
      <c r="X856" s="329"/>
      <c r="Y856" s="329"/>
      <c r="Z856" s="329"/>
      <c r="AA856" s="329"/>
      <c r="AB856" s="329"/>
      <c r="AD856" s="332">
        <f t="shared" si="697"/>
        <v>0</v>
      </c>
      <c r="AE856" s="329">
        <f t="shared" si="698"/>
        <v>0</v>
      </c>
      <c r="AF856" s="329">
        <f t="shared" si="699"/>
        <v>0</v>
      </c>
      <c r="AG856" s="329">
        <f t="shared" si="699"/>
        <v>0</v>
      </c>
      <c r="AH856" s="329">
        <f t="shared" si="699"/>
        <v>0</v>
      </c>
      <c r="AI856" s="329">
        <f t="shared" si="700"/>
        <v>0</v>
      </c>
      <c r="AJ856" s="329">
        <f t="shared" si="700"/>
        <v>0</v>
      </c>
      <c r="AK856" s="329">
        <f t="shared" si="700"/>
        <v>0</v>
      </c>
      <c r="AL856" s="329">
        <f t="shared" si="701"/>
        <v>0</v>
      </c>
    </row>
    <row r="857" spans="1:38" s="332" customFormat="1">
      <c r="A857" s="356"/>
      <c r="B857" s="356" t="s">
        <v>1727</v>
      </c>
      <c r="C857" s="355">
        <f t="shared" si="686"/>
        <v>0</v>
      </c>
      <c r="D857" s="341" t="str">
        <f>VLOOKUP(B857,DONGIA,DG!$B$6,0)</f>
        <v>06.6142</v>
      </c>
      <c r="E857" s="340" t="str">
        <f>VLOOKUP(B857,DONGIA,DG!$C$6,0)</f>
        <v>Kéo dây đồng bọc 25mm2</v>
      </c>
      <c r="F857" s="341" t="str">
        <f>VLOOKUP(B857,DONGIA,DG!$D$6,0)</f>
        <v>km</v>
      </c>
      <c r="G857" s="52"/>
      <c r="H857" s="329">
        <f>VLOOKUP($B857,DONGIA,DG!$E$6,0)</f>
        <v>0</v>
      </c>
      <c r="I857" s="329"/>
      <c r="J857" s="329"/>
      <c r="K857" s="329">
        <f>VLOOKUP($B857,DONGIA,DG!$F$6,0)</f>
        <v>0</v>
      </c>
      <c r="L857" s="329"/>
      <c r="M857" s="329">
        <f>VLOOKUP($B857,DONGIA,DG!$G$6,0)</f>
        <v>0</v>
      </c>
      <c r="N857" s="329">
        <f t="shared" si="688"/>
        <v>0</v>
      </c>
      <c r="O857" s="329">
        <f t="shared" si="692"/>
        <v>0</v>
      </c>
      <c r="P857" s="329">
        <f t="shared" si="693"/>
        <v>0</v>
      </c>
      <c r="Q857" s="329">
        <f t="shared" si="694"/>
        <v>0</v>
      </c>
      <c r="R857" s="329">
        <f t="shared" si="695"/>
        <v>0</v>
      </c>
      <c r="S857" s="329">
        <f t="shared" si="696"/>
        <v>0</v>
      </c>
      <c r="U857" s="329"/>
      <c r="V857" s="329">
        <f t="shared" si="689"/>
        <v>0</v>
      </c>
      <c r="W857" s="329"/>
      <c r="X857" s="329"/>
      <c r="Y857" s="329"/>
      <c r="Z857" s="329"/>
      <c r="AA857" s="329"/>
      <c r="AB857" s="329"/>
      <c r="AD857" s="332">
        <f t="shared" si="697"/>
        <v>0</v>
      </c>
      <c r="AE857" s="329">
        <f t="shared" si="698"/>
        <v>0</v>
      </c>
      <c r="AF857" s="329">
        <f t="shared" si="699"/>
        <v>0</v>
      </c>
      <c r="AG857" s="329">
        <f t="shared" si="699"/>
        <v>0</v>
      </c>
      <c r="AH857" s="329">
        <f t="shared" si="699"/>
        <v>0</v>
      </c>
      <c r="AI857" s="329">
        <f t="shared" si="700"/>
        <v>0</v>
      </c>
      <c r="AJ857" s="329">
        <f t="shared" si="700"/>
        <v>0</v>
      </c>
      <c r="AK857" s="329">
        <f t="shared" si="700"/>
        <v>0</v>
      </c>
      <c r="AL857" s="329">
        <f t="shared" si="701"/>
        <v>0</v>
      </c>
    </row>
    <row r="858" spans="1:38" s="332" customFormat="1">
      <c r="A858" s="356"/>
      <c r="B858" s="356" t="s">
        <v>1728</v>
      </c>
      <c r="C858" s="355">
        <f t="shared" si="686"/>
        <v>0</v>
      </c>
      <c r="D858" s="341" t="str">
        <f>VLOOKUP(B858,DONGIA,DG!$B$6,0)</f>
        <v>06.6144</v>
      </c>
      <c r="E858" s="340" t="str">
        <f>VLOOKUP(B858,DONGIA,DG!$C$6,0)</f>
        <v>Kéo dây đồng bọc 50mm3</v>
      </c>
      <c r="F858" s="341" t="str">
        <f>VLOOKUP(B858,DONGIA,DG!$D$6,0)</f>
        <v>km</v>
      </c>
      <c r="G858" s="52"/>
      <c r="H858" s="329">
        <f>VLOOKUP($B858,DONGIA,DG!$E$6,0)</f>
        <v>0</v>
      </c>
      <c r="I858" s="329"/>
      <c r="J858" s="329"/>
      <c r="K858" s="329">
        <f>VLOOKUP($B858,DONGIA,DG!$F$6,0)</f>
        <v>0</v>
      </c>
      <c r="L858" s="329"/>
      <c r="M858" s="329">
        <f>VLOOKUP($B858,DONGIA,DG!$G$6,0)</f>
        <v>0</v>
      </c>
      <c r="N858" s="329">
        <f t="shared" si="688"/>
        <v>0</v>
      </c>
      <c r="O858" s="329">
        <f t="shared" si="692"/>
        <v>0</v>
      </c>
      <c r="P858" s="329">
        <f t="shared" si="693"/>
        <v>0</v>
      </c>
      <c r="Q858" s="329">
        <f t="shared" si="694"/>
        <v>0</v>
      </c>
      <c r="R858" s="329">
        <f t="shared" si="695"/>
        <v>0</v>
      </c>
      <c r="S858" s="329">
        <f t="shared" si="696"/>
        <v>0</v>
      </c>
      <c r="U858" s="329"/>
      <c r="V858" s="329">
        <f t="shared" si="689"/>
        <v>0</v>
      </c>
      <c r="W858" s="329"/>
      <c r="X858" s="329"/>
      <c r="Y858" s="329"/>
      <c r="Z858" s="329"/>
      <c r="AA858" s="329"/>
      <c r="AB858" s="329"/>
      <c r="AD858" s="332">
        <f t="shared" si="697"/>
        <v>0</v>
      </c>
      <c r="AE858" s="329">
        <f t="shared" si="698"/>
        <v>0</v>
      </c>
      <c r="AF858" s="329">
        <f t="shared" si="699"/>
        <v>0</v>
      </c>
      <c r="AG858" s="329">
        <f t="shared" si="699"/>
        <v>0</v>
      </c>
      <c r="AH858" s="329">
        <f t="shared" si="699"/>
        <v>0</v>
      </c>
      <c r="AI858" s="329">
        <f t="shared" si="700"/>
        <v>0</v>
      </c>
      <c r="AJ858" s="329">
        <f t="shared" si="700"/>
        <v>0</v>
      </c>
      <c r="AK858" s="329">
        <f t="shared" si="700"/>
        <v>0</v>
      </c>
      <c r="AL858" s="329">
        <f t="shared" si="701"/>
        <v>0</v>
      </c>
    </row>
    <row r="859" spans="1:38">
      <c r="A859" s="618"/>
      <c r="B859" s="618" t="s">
        <v>812</v>
      </c>
      <c r="C859" s="619">
        <f t="shared" si="686"/>
        <v>1</v>
      </c>
      <c r="D859" s="523" t="str">
        <f>VLOOKUP(B859,DONGIA,DG!$B$6,0)</f>
        <v>D3.6211</v>
      </c>
      <c r="E859" s="666" t="str">
        <f>VLOOKUP(B859,DONGIA,DG!$C$6,0)</f>
        <v>Kéo dây nhôm lõi thép bọc XLPE cỡ dây 50mm2 (≥10m)</v>
      </c>
      <c r="F859" s="523" t="str">
        <f>VLOOKUP(B859,DONGIA,DG!$D$6,0)</f>
        <v>km</v>
      </c>
      <c r="G859" s="626">
        <f>ROUND(G811/1000/1.02,3)-G861</f>
        <v>14.614000000000001</v>
      </c>
      <c r="H859" s="525">
        <f>VLOOKUP($B859,DONGIA,DG!$E$6,0)</f>
        <v>0</v>
      </c>
      <c r="I859" s="525"/>
      <c r="J859" s="525"/>
      <c r="K859" s="525">
        <f>VLOOKUP($B859,DONGIA,DG!$F$6,0)</f>
        <v>2478208</v>
      </c>
      <c r="L859" s="525"/>
      <c r="M859" s="525">
        <f>VLOOKUP($B859,DONGIA,DG!$G$6,0)</f>
        <v>108540</v>
      </c>
      <c r="N859" s="525">
        <f t="shared" si="688"/>
        <v>0</v>
      </c>
      <c r="O859" s="525">
        <f t="shared" si="692"/>
        <v>0</v>
      </c>
      <c r="P859" s="525">
        <f t="shared" si="693"/>
        <v>0</v>
      </c>
      <c r="Q859" s="525">
        <f t="shared" si="694"/>
        <v>36216531.712000005</v>
      </c>
      <c r="R859" s="525">
        <f t="shared" si="695"/>
        <v>0</v>
      </c>
      <c r="S859" s="525">
        <f t="shared" si="696"/>
        <v>1586203.56</v>
      </c>
      <c r="U859" s="525"/>
      <c r="V859" s="525">
        <f t="shared" si="689"/>
        <v>14.614000000000001</v>
      </c>
      <c r="W859" s="525"/>
      <c r="X859" s="525"/>
      <c r="Y859" s="525"/>
      <c r="Z859" s="525"/>
      <c r="AA859" s="525"/>
      <c r="AB859" s="525"/>
      <c r="AD859" s="405">
        <f t="shared" si="697"/>
        <v>0</v>
      </c>
      <c r="AE859" s="525">
        <f t="shared" si="698"/>
        <v>0</v>
      </c>
      <c r="AF859" s="525">
        <f t="shared" si="699"/>
        <v>0</v>
      </c>
      <c r="AG859" s="525">
        <f t="shared" si="699"/>
        <v>0</v>
      </c>
      <c r="AH859" s="525">
        <f t="shared" si="699"/>
        <v>0</v>
      </c>
      <c r="AI859" s="525">
        <f t="shared" si="700"/>
        <v>0</v>
      </c>
      <c r="AJ859" s="525">
        <f t="shared" si="700"/>
        <v>0</v>
      </c>
      <c r="AK859" s="525">
        <f t="shared" si="700"/>
        <v>0</v>
      </c>
      <c r="AL859" s="525">
        <f t="shared" si="701"/>
        <v>0</v>
      </c>
    </row>
    <row r="860" spans="1:38">
      <c r="A860" s="618"/>
      <c r="B860" s="618" t="s">
        <v>813</v>
      </c>
      <c r="C860" s="619">
        <f t="shared" si="686"/>
        <v>0</v>
      </c>
      <c r="D860" s="523" t="str">
        <f>VLOOKUP(B860,DONGIA,DG!$B$6,0)</f>
        <v>D3.6211</v>
      </c>
      <c r="E860" s="525" t="str">
        <f>VLOOKUP(B860,DONGIA,DG!$C$6,0)</f>
        <v>Kéo dây nhôm lõi thép bọc XLPE cỡ dây 70mm2 (≥10m)</v>
      </c>
      <c r="F860" s="523" t="str">
        <f>VLOOKUP(B860,DONGIA,DG!$D$6,0)</f>
        <v>km</v>
      </c>
      <c r="G860" s="626">
        <f>ROUND(G812/1000/1.02,3)</f>
        <v>0</v>
      </c>
      <c r="H860" s="525">
        <f>VLOOKUP($B860,DONGIA,DG!$E$6,0)</f>
        <v>0</v>
      </c>
      <c r="I860" s="525"/>
      <c r="J860" s="525"/>
      <c r="K860" s="525">
        <f>VLOOKUP($B860,DONGIA,DG!$F$6,0)</f>
        <v>2478208</v>
      </c>
      <c r="L860" s="525"/>
      <c r="M860" s="525">
        <f>VLOOKUP($B860,DONGIA,DG!$G$6,0)</f>
        <v>108540</v>
      </c>
      <c r="N860" s="525">
        <f t="shared" si="688"/>
        <v>0</v>
      </c>
      <c r="O860" s="525">
        <f t="shared" si="692"/>
        <v>0</v>
      </c>
      <c r="P860" s="525">
        <f t="shared" si="693"/>
        <v>0</v>
      </c>
      <c r="Q860" s="525">
        <f t="shared" si="694"/>
        <v>0</v>
      </c>
      <c r="R860" s="525">
        <f t="shared" si="695"/>
        <v>0</v>
      </c>
      <c r="S860" s="525">
        <f t="shared" si="696"/>
        <v>0</v>
      </c>
      <c r="U860" s="525"/>
      <c r="V860" s="525">
        <f t="shared" si="689"/>
        <v>0</v>
      </c>
      <c r="W860" s="525"/>
      <c r="X860" s="525"/>
      <c r="Y860" s="525"/>
      <c r="Z860" s="525"/>
      <c r="AA860" s="525"/>
      <c r="AB860" s="525"/>
      <c r="AD860" s="405">
        <f t="shared" si="697"/>
        <v>0</v>
      </c>
      <c r="AE860" s="525">
        <f t="shared" si="698"/>
        <v>0</v>
      </c>
      <c r="AF860" s="525">
        <f t="shared" si="699"/>
        <v>0</v>
      </c>
      <c r="AG860" s="525">
        <f t="shared" si="699"/>
        <v>0</v>
      </c>
      <c r="AH860" s="525">
        <f t="shared" si="699"/>
        <v>0</v>
      </c>
      <c r="AI860" s="525">
        <f t="shared" si="700"/>
        <v>0</v>
      </c>
      <c r="AJ860" s="525">
        <f t="shared" si="700"/>
        <v>0</v>
      </c>
      <c r="AK860" s="525">
        <f t="shared" si="700"/>
        <v>0</v>
      </c>
      <c r="AL860" s="525">
        <f t="shared" si="701"/>
        <v>0</v>
      </c>
    </row>
    <row r="861" spans="1:38" s="332" customFormat="1">
      <c r="A861" s="356"/>
      <c r="B861" s="356" t="s">
        <v>816</v>
      </c>
      <c r="C861" s="355">
        <f t="shared" si="686"/>
        <v>0</v>
      </c>
      <c r="D861" s="341" t="str">
        <f>VLOOKUP(B861,DONGIA,DG!$B$6,0)</f>
        <v>D3.6114</v>
      </c>
      <c r="E861" s="340" t="str">
        <f>VLOOKUP(B861,DONGIA,DG!$C$6,0)</f>
        <v>Kéo dây nhôm lõi thép bọc XLPE cỡ dây 50mm2 (TC)</v>
      </c>
      <c r="F861" s="341" t="str">
        <f>VLOOKUP(B861,DONGIA,DG!$D$6,0)</f>
        <v>km</v>
      </c>
      <c r="G861" s="52">
        <f>SUM(PP3P!E25:E25)/1000</f>
        <v>0</v>
      </c>
      <c r="H861" s="329">
        <f>VLOOKUP($B861,DONGIA,DG!$E$6,0)</f>
        <v>0</v>
      </c>
      <c r="I861" s="329"/>
      <c r="J861" s="329"/>
      <c r="K861" s="329">
        <f>VLOOKUP($B861,DONGIA,DG!$F$6,0)</f>
        <v>3807626</v>
      </c>
      <c r="L861" s="329"/>
      <c r="M861" s="329">
        <f>VLOOKUP($B861,DONGIA,DG!$G$6,0)</f>
        <v>0</v>
      </c>
      <c r="N861" s="329">
        <f t="shared" ref="N861:S861" si="709">$G861*H861</f>
        <v>0</v>
      </c>
      <c r="O861" s="329">
        <f t="shared" si="709"/>
        <v>0</v>
      </c>
      <c r="P861" s="329">
        <f t="shared" si="709"/>
        <v>0</v>
      </c>
      <c r="Q861" s="329">
        <f t="shared" si="709"/>
        <v>0</v>
      </c>
      <c r="R861" s="329">
        <f t="shared" si="709"/>
        <v>0</v>
      </c>
      <c r="S861" s="329">
        <f t="shared" si="709"/>
        <v>0</v>
      </c>
      <c r="U861" s="329"/>
      <c r="V861" s="329">
        <f t="shared" si="689"/>
        <v>0</v>
      </c>
      <c r="W861" s="329"/>
      <c r="X861" s="329"/>
      <c r="Y861" s="329"/>
      <c r="Z861" s="329"/>
      <c r="AA861" s="329"/>
      <c r="AB861" s="329"/>
      <c r="AD861" s="332">
        <f>IFERROR(VLOOKUP(B861,DONGIA,$AD$3,0),0)</f>
        <v>0</v>
      </c>
      <c r="AE861" s="329">
        <f t="shared" ref="AE861:AL861" si="710">U861*$AD861</f>
        <v>0</v>
      </c>
      <c r="AF861" s="329">
        <f t="shared" si="710"/>
        <v>0</v>
      </c>
      <c r="AG861" s="329">
        <f t="shared" si="710"/>
        <v>0</v>
      </c>
      <c r="AH861" s="329">
        <f t="shared" si="710"/>
        <v>0</v>
      </c>
      <c r="AI861" s="329">
        <f t="shared" si="710"/>
        <v>0</v>
      </c>
      <c r="AJ861" s="329">
        <f t="shared" si="710"/>
        <v>0</v>
      </c>
      <c r="AK861" s="329">
        <f t="shared" si="710"/>
        <v>0</v>
      </c>
      <c r="AL861" s="329">
        <f t="shared" si="710"/>
        <v>0</v>
      </c>
    </row>
    <row r="862" spans="1:38" s="332" customFormat="1">
      <c r="A862" s="356"/>
      <c r="B862" s="356" t="s">
        <v>861</v>
      </c>
      <c r="C862" s="355">
        <f t="shared" si="686"/>
        <v>0</v>
      </c>
      <c r="D862" s="341" t="str">
        <f>VLOOKUP(B862,DONGIA,DG!$B$6,0)</f>
        <v>D3.1115</v>
      </c>
      <c r="E862" s="340" t="str">
        <f>VLOOKUP(B862,DONGIA,DG!$C$6,0)</f>
        <v>Lắp sứ đứng 24KV</v>
      </c>
      <c r="F862" s="341" t="str">
        <f>VLOOKUP(B862,DONGIA,DG!$D$6,0)</f>
        <v>bộ</v>
      </c>
      <c r="G862" s="329"/>
      <c r="H862" s="329">
        <f>VLOOKUP($B862,DONGIA,DG!$E$6,0)</f>
        <v>0</v>
      </c>
      <c r="I862" s="329"/>
      <c r="J862" s="329"/>
      <c r="K862" s="329">
        <f>VLOOKUP($B862,DONGIA,DG!$F$6,0)</f>
        <v>49616</v>
      </c>
      <c r="L862" s="329"/>
      <c r="M862" s="329">
        <f>VLOOKUP($B862,DONGIA,DG!$G$6,0)</f>
        <v>0</v>
      </c>
      <c r="N862" s="329">
        <f t="shared" si="688"/>
        <v>0</v>
      </c>
      <c r="O862" s="329">
        <f t="shared" si="692"/>
        <v>0</v>
      </c>
      <c r="P862" s="329">
        <f t="shared" si="693"/>
        <v>0</v>
      </c>
      <c r="Q862" s="329">
        <f t="shared" si="694"/>
        <v>0</v>
      </c>
      <c r="R862" s="329">
        <f t="shared" si="695"/>
        <v>0</v>
      </c>
      <c r="S862" s="329">
        <f t="shared" si="696"/>
        <v>0</v>
      </c>
      <c r="U862" s="329"/>
      <c r="V862" s="329">
        <f t="shared" si="689"/>
        <v>0</v>
      </c>
      <c r="W862" s="329"/>
      <c r="X862" s="329"/>
      <c r="Y862" s="329"/>
      <c r="Z862" s="329"/>
      <c r="AA862" s="329"/>
      <c r="AB862" s="329"/>
      <c r="AD862" s="332">
        <f t="shared" si="697"/>
        <v>0</v>
      </c>
      <c r="AE862" s="329">
        <f t="shared" si="698"/>
        <v>0</v>
      </c>
      <c r="AF862" s="329">
        <f t="shared" si="699"/>
        <v>0</v>
      </c>
      <c r="AG862" s="329">
        <f t="shared" si="699"/>
        <v>0</v>
      </c>
      <c r="AH862" s="329">
        <f t="shared" si="699"/>
        <v>0</v>
      </c>
      <c r="AI862" s="329">
        <f t="shared" si="700"/>
        <v>0</v>
      </c>
      <c r="AJ862" s="329">
        <f t="shared" si="700"/>
        <v>0</v>
      </c>
      <c r="AK862" s="329">
        <f t="shared" si="700"/>
        <v>0</v>
      </c>
      <c r="AL862" s="329">
        <f t="shared" si="701"/>
        <v>0</v>
      </c>
    </row>
    <row r="863" spans="1:38" s="332" customFormat="1">
      <c r="A863" s="356"/>
      <c r="B863" s="356" t="s">
        <v>686</v>
      </c>
      <c r="C863" s="355">
        <f t="shared" si="686"/>
        <v>0</v>
      </c>
      <c r="D863" s="341" t="str">
        <f>VLOOKUP(B863,DONGIA,DG!$B$6,0)</f>
        <v>06.2110</v>
      </c>
      <c r="E863" s="340" t="str">
        <f>VLOOKUP(B863,DONGIA,DG!$C$6,0)</f>
        <v>Lắp chân sứ đỉnh</v>
      </c>
      <c r="F863" s="341" t="str">
        <f>VLOOKUP(B863,DONGIA,DG!$D$6,0)</f>
        <v>cái</v>
      </c>
      <c r="G863" s="329"/>
      <c r="H863" s="329">
        <f>VLOOKUP($B863,DONGIA,DG!$E$6,0)</f>
        <v>0</v>
      </c>
      <c r="I863" s="329"/>
      <c r="J863" s="329"/>
      <c r="K863" s="329">
        <f>VLOOKUP($B863,DONGIA,DG!$F$6,0)</f>
        <v>0</v>
      </c>
      <c r="L863" s="329"/>
      <c r="M863" s="329">
        <f>VLOOKUP($B863,DONGIA,DG!$G$6,0)</f>
        <v>0</v>
      </c>
      <c r="N863" s="329">
        <f t="shared" si="688"/>
        <v>0</v>
      </c>
      <c r="O863" s="329">
        <f t="shared" si="692"/>
        <v>0</v>
      </c>
      <c r="P863" s="329">
        <f t="shared" si="693"/>
        <v>0</v>
      </c>
      <c r="Q863" s="329">
        <f t="shared" si="694"/>
        <v>0</v>
      </c>
      <c r="R863" s="329">
        <f t="shared" si="695"/>
        <v>0</v>
      </c>
      <c r="S863" s="329">
        <f t="shared" si="696"/>
        <v>0</v>
      </c>
      <c r="U863" s="329"/>
      <c r="V863" s="329">
        <f t="shared" si="689"/>
        <v>0</v>
      </c>
      <c r="W863" s="329"/>
      <c r="X863" s="329"/>
      <c r="Y863" s="329"/>
      <c r="Z863" s="329"/>
      <c r="AA863" s="329"/>
      <c r="AB863" s="329"/>
      <c r="AD863" s="332">
        <f t="shared" si="697"/>
        <v>0</v>
      </c>
      <c r="AE863" s="329">
        <f t="shared" si="698"/>
        <v>0</v>
      </c>
      <c r="AF863" s="329">
        <f t="shared" si="699"/>
        <v>0</v>
      </c>
      <c r="AG863" s="329">
        <f t="shared" si="699"/>
        <v>0</v>
      </c>
      <c r="AH863" s="329">
        <f t="shared" si="699"/>
        <v>0</v>
      </c>
      <c r="AI863" s="329">
        <f t="shared" si="700"/>
        <v>0</v>
      </c>
      <c r="AJ863" s="329">
        <f t="shared" si="700"/>
        <v>0</v>
      </c>
      <c r="AK863" s="329">
        <f t="shared" si="700"/>
        <v>0</v>
      </c>
      <c r="AL863" s="329">
        <f t="shared" si="701"/>
        <v>0</v>
      </c>
    </row>
    <row r="864" spans="1:38" s="332" customFormat="1">
      <c r="A864" s="356"/>
      <c r="B864" s="356" t="s">
        <v>869</v>
      </c>
      <c r="C864" s="355">
        <f t="shared" si="686"/>
        <v>0</v>
      </c>
      <c r="D864" s="341" t="str">
        <f>VLOOKUP(B864,DONGIA,DG!$B$6,0)</f>
        <v>D3.2411</v>
      </c>
      <c r="E864" s="340" t="str">
        <f>VLOOKUP(B864,DONGIA,DG!$C$6,0)</f>
        <v>Lắp chuỗi sứ néo Polymer</v>
      </c>
      <c r="F864" s="341" t="str">
        <f>VLOOKUP(B864,DONGIA,DG!$D$6,0)</f>
        <v>chuỗi</v>
      </c>
      <c r="G864" s="329"/>
      <c r="H864" s="329">
        <f>VLOOKUP($B864,DONGIA,DG!$E$6,0)</f>
        <v>0</v>
      </c>
      <c r="I864" s="329"/>
      <c r="J864" s="329"/>
      <c r="K864" s="329">
        <f>VLOOKUP($B864,DONGIA,DG!$F$6,0)</f>
        <v>59709</v>
      </c>
      <c r="L864" s="329"/>
      <c r="M864" s="329">
        <f>VLOOKUP($B864,DONGIA,DG!$G$6,0)</f>
        <v>0</v>
      </c>
      <c r="N864" s="329">
        <f t="shared" si="688"/>
        <v>0</v>
      </c>
      <c r="O864" s="329">
        <f t="shared" si="692"/>
        <v>0</v>
      </c>
      <c r="P864" s="329">
        <f t="shared" si="693"/>
        <v>0</v>
      </c>
      <c r="Q864" s="329">
        <f t="shared" si="694"/>
        <v>0</v>
      </c>
      <c r="R864" s="329">
        <f t="shared" si="695"/>
        <v>0</v>
      </c>
      <c r="S864" s="329">
        <f t="shared" si="696"/>
        <v>0</v>
      </c>
      <c r="U864" s="329"/>
      <c r="V864" s="329">
        <f t="shared" si="689"/>
        <v>0</v>
      </c>
      <c r="W864" s="329"/>
      <c r="X864" s="329"/>
      <c r="Y864" s="329"/>
      <c r="Z864" s="329"/>
      <c r="AA864" s="329"/>
      <c r="AB864" s="329"/>
      <c r="AD864" s="332">
        <f t="shared" si="697"/>
        <v>0</v>
      </c>
      <c r="AE864" s="329">
        <f t="shared" si="698"/>
        <v>0</v>
      </c>
      <c r="AF864" s="329">
        <f t="shared" si="699"/>
        <v>0</v>
      </c>
      <c r="AG864" s="329">
        <f t="shared" si="699"/>
        <v>0</v>
      </c>
      <c r="AH864" s="329">
        <f t="shared" si="699"/>
        <v>0</v>
      </c>
      <c r="AI864" s="329">
        <f t="shared" si="700"/>
        <v>0</v>
      </c>
      <c r="AJ864" s="329">
        <f t="shared" si="700"/>
        <v>0</v>
      </c>
      <c r="AK864" s="329">
        <f t="shared" si="700"/>
        <v>0</v>
      </c>
      <c r="AL864" s="329">
        <f t="shared" si="701"/>
        <v>0</v>
      </c>
    </row>
    <row r="865" spans="1:38">
      <c r="A865" s="618" t="s">
        <v>2044</v>
      </c>
      <c r="B865" s="618"/>
      <c r="C865" s="619">
        <f t="shared" si="686"/>
        <v>1</v>
      </c>
      <c r="D865" s="622"/>
      <c r="E865" s="733" t="s">
        <v>2769</v>
      </c>
      <c r="F865" s="622"/>
      <c r="G865" s="623">
        <f>IF(SUM(N865:S865)&lt;&gt;0,1,)</f>
        <v>1</v>
      </c>
      <c r="H865" s="623"/>
      <c r="I865" s="623"/>
      <c r="J865" s="623"/>
      <c r="K865" s="623"/>
      <c r="L865" s="623"/>
      <c r="M865" s="623"/>
      <c r="N865" s="623">
        <f t="shared" ref="N865:S865" si="711">SUM(N866:N868)</f>
        <v>60005000</v>
      </c>
      <c r="O865" s="623">
        <f t="shared" si="711"/>
        <v>0</v>
      </c>
      <c r="P865" s="623">
        <f t="shared" si="711"/>
        <v>0</v>
      </c>
      <c r="Q865" s="623">
        <f t="shared" si="711"/>
        <v>8363982</v>
      </c>
      <c r="R865" s="623">
        <f t="shared" si="711"/>
        <v>0</v>
      </c>
      <c r="S865" s="623">
        <f t="shared" si="711"/>
        <v>0</v>
      </c>
      <c r="U865" s="623"/>
      <c r="V865" s="623">
        <f>G865</f>
        <v>1</v>
      </c>
      <c r="W865" s="623"/>
      <c r="X865" s="623"/>
      <c r="Y865" s="623"/>
      <c r="Z865" s="623"/>
      <c r="AA865" s="623"/>
      <c r="AB865" s="623"/>
      <c r="AD865" s="405">
        <f t="shared" si="697"/>
        <v>0</v>
      </c>
      <c r="AE865" s="525">
        <f t="shared" si="698"/>
        <v>0</v>
      </c>
      <c r="AF865" s="525">
        <f t="shared" si="699"/>
        <v>0</v>
      </c>
      <c r="AG865" s="525">
        <f t="shared" si="699"/>
        <v>0</v>
      </c>
      <c r="AH865" s="525">
        <f t="shared" si="699"/>
        <v>0</v>
      </c>
      <c r="AI865" s="525">
        <f t="shared" si="700"/>
        <v>0</v>
      </c>
      <c r="AJ865" s="525">
        <f t="shared" si="700"/>
        <v>0</v>
      </c>
      <c r="AK865" s="525">
        <f t="shared" si="700"/>
        <v>0</v>
      </c>
      <c r="AL865" s="525">
        <f t="shared" si="701"/>
        <v>0</v>
      </c>
    </row>
    <row r="866" spans="1:38">
      <c r="A866" s="618"/>
      <c r="B866" s="618" t="s">
        <v>1444</v>
      </c>
      <c r="C866" s="619">
        <f t="shared" si="686"/>
        <v>1</v>
      </c>
      <c r="D866" s="523" t="str">
        <f>VLOOKUP(B866,DONGIA,DG!$B$6,0)</f>
        <v>T2.3505</v>
      </c>
      <c r="E866" s="666" t="str">
        <f>VLOOKUP(B866,DONGIA,DG!$C$6,0)</f>
        <v>FCO 27kV - 100A</v>
      </c>
      <c r="F866" s="523" t="str">
        <f>VLOOKUP(B866,DONGIA,DG!$D$6,0)</f>
        <v>cái</v>
      </c>
      <c r="G866" s="525">
        <f>HLOOKUP(B866,BK3P,$V$3,0)</f>
        <v>34</v>
      </c>
      <c r="H866" s="525">
        <f>VLOOKUP($B866,DONGIA,DG!$E$6,0)</f>
        <v>1070000</v>
      </c>
      <c r="I866" s="525"/>
      <c r="J866" s="525"/>
      <c r="K866" s="525">
        <f>VLOOKUP($B866,DONGIA,DG!$F$6,0)</f>
        <v>189552</v>
      </c>
      <c r="L866" s="525"/>
      <c r="M866" s="525">
        <f>VLOOKUP($B866,DONGIA,DG!$G$6,0)</f>
        <v>0</v>
      </c>
      <c r="N866" s="525">
        <f>$G866*H866</f>
        <v>36380000</v>
      </c>
      <c r="O866" s="525">
        <f t="shared" ref="O866:S868" si="712">$G866*I866</f>
        <v>0</v>
      </c>
      <c r="P866" s="525">
        <f t="shared" si="712"/>
        <v>0</v>
      </c>
      <c r="Q866" s="525">
        <f t="shared" si="712"/>
        <v>6444768</v>
      </c>
      <c r="R866" s="525">
        <f t="shared" si="712"/>
        <v>0</v>
      </c>
      <c r="S866" s="525">
        <f t="shared" si="712"/>
        <v>0</v>
      </c>
      <c r="U866" s="525"/>
      <c r="V866" s="525">
        <f>V$865*$G866</f>
        <v>34</v>
      </c>
      <c r="W866" s="525"/>
      <c r="X866" s="525"/>
      <c r="Y866" s="525"/>
      <c r="Z866" s="525"/>
      <c r="AA866" s="525"/>
      <c r="AB866" s="525"/>
      <c r="AD866" s="405">
        <f t="shared" si="697"/>
        <v>1.5</v>
      </c>
      <c r="AE866" s="525">
        <f t="shared" si="698"/>
        <v>0</v>
      </c>
      <c r="AF866" s="525">
        <f t="shared" si="699"/>
        <v>51</v>
      </c>
      <c r="AG866" s="525">
        <f t="shared" si="699"/>
        <v>0</v>
      </c>
      <c r="AH866" s="525">
        <f t="shared" si="699"/>
        <v>0</v>
      </c>
      <c r="AI866" s="525">
        <f t="shared" si="700"/>
        <v>0</v>
      </c>
      <c r="AJ866" s="525">
        <f t="shared" si="700"/>
        <v>0</v>
      </c>
      <c r="AK866" s="525">
        <f t="shared" si="700"/>
        <v>0</v>
      </c>
      <c r="AL866" s="525">
        <f t="shared" si="701"/>
        <v>0</v>
      </c>
    </row>
    <row r="867" spans="1:38">
      <c r="A867" s="618"/>
      <c r="B867" s="618" t="s">
        <v>943</v>
      </c>
      <c r="C867" s="619">
        <f t="shared" si="686"/>
        <v>1</v>
      </c>
      <c r="D867" s="523" t="str">
        <f>VLOOKUP(B867,DONGIA,DG!$B$6,0)</f>
        <v>T2.5004</v>
      </c>
      <c r="E867" s="666" t="str">
        <f>VLOOKUP(B867,DONGIA,DG!$C$6,0)</f>
        <v>LA 18kV 10kA</v>
      </c>
      <c r="F867" s="523" t="str">
        <f>VLOOKUP(B867,DONGIA,DG!$D$6,0)</f>
        <v>cái</v>
      </c>
      <c r="G867" s="525">
        <f>HLOOKUP(B867,BK3P,$V$3,0)</f>
        <v>27</v>
      </c>
      <c r="H867" s="525">
        <f>VLOOKUP($B867,DONGIA,DG!$E$6,0)</f>
        <v>875000</v>
      </c>
      <c r="I867" s="525"/>
      <c r="J867" s="525"/>
      <c r="K867" s="525">
        <f>VLOOKUP($B867,DONGIA,DG!$F$6,0)</f>
        <v>71082</v>
      </c>
      <c r="L867" s="525"/>
      <c r="M867" s="525">
        <f>VLOOKUP($B867,DONGIA,DG!$G$6,0)</f>
        <v>0</v>
      </c>
      <c r="N867" s="525">
        <f>$G867*H867</f>
        <v>23625000</v>
      </c>
      <c r="O867" s="525">
        <f t="shared" si="712"/>
        <v>0</v>
      </c>
      <c r="P867" s="525">
        <f t="shared" si="712"/>
        <v>0</v>
      </c>
      <c r="Q867" s="525">
        <f t="shared" si="712"/>
        <v>1919214</v>
      </c>
      <c r="R867" s="525">
        <f t="shared" si="712"/>
        <v>0</v>
      </c>
      <c r="S867" s="525">
        <f t="shared" si="712"/>
        <v>0</v>
      </c>
      <c r="U867" s="525"/>
      <c r="V867" s="525">
        <f>V$865*$G867</f>
        <v>27</v>
      </c>
      <c r="W867" s="525"/>
      <c r="X867" s="525"/>
      <c r="Y867" s="525"/>
      <c r="Z867" s="525"/>
      <c r="AA867" s="525"/>
      <c r="AB867" s="525"/>
      <c r="AD867" s="405">
        <f t="shared" si="697"/>
        <v>0.8</v>
      </c>
      <c r="AE867" s="525">
        <f t="shared" si="698"/>
        <v>0</v>
      </c>
      <c r="AF867" s="525">
        <f t="shared" si="699"/>
        <v>21.6</v>
      </c>
      <c r="AG867" s="525">
        <f t="shared" si="699"/>
        <v>0</v>
      </c>
      <c r="AH867" s="525">
        <f t="shared" si="699"/>
        <v>0</v>
      </c>
      <c r="AI867" s="525">
        <f t="shared" si="700"/>
        <v>0</v>
      </c>
      <c r="AJ867" s="525">
        <f t="shared" si="700"/>
        <v>0</v>
      </c>
      <c r="AK867" s="525">
        <f t="shared" si="700"/>
        <v>0</v>
      </c>
      <c r="AL867" s="525">
        <f t="shared" si="701"/>
        <v>0</v>
      </c>
    </row>
    <row r="868" spans="1:38" s="332" customFormat="1">
      <c r="A868" s="356"/>
      <c r="B868" s="356" t="s">
        <v>1726</v>
      </c>
      <c r="C868" s="355">
        <f t="shared" si="686"/>
        <v>0</v>
      </c>
      <c r="D868" s="341">
        <f>VLOOKUP(B868,DONGIA,DG!$B$6,0)</f>
        <v>0</v>
      </c>
      <c r="E868" s="362" t="str">
        <f>VLOOKUP(B868,DONGIA,DG!$C$6,0)</f>
        <v>Chụp đầu FCO (Trên + Dưới)</v>
      </c>
      <c r="F868" s="363" t="str">
        <f>VLOOKUP(B868,DONGIA,DG!$D$6,0)</f>
        <v>bộ</v>
      </c>
      <c r="G868" s="362"/>
      <c r="H868" s="362">
        <f>VLOOKUP($B868,DONGIA,DG!$E$6,0)</f>
        <v>190000</v>
      </c>
      <c r="I868" s="362"/>
      <c r="J868" s="362"/>
      <c r="K868" s="362">
        <f>VLOOKUP($B868,DONGIA,DG!$F$6,0)</f>
        <v>0</v>
      </c>
      <c r="L868" s="362"/>
      <c r="M868" s="362">
        <f>VLOOKUP($B868,DONGIA,DG!$G$6,0)</f>
        <v>0</v>
      </c>
      <c r="N868" s="362">
        <f>$G868*H868</f>
        <v>0</v>
      </c>
      <c r="O868" s="362">
        <f t="shared" si="712"/>
        <v>0</v>
      </c>
      <c r="P868" s="362">
        <f t="shared" si="712"/>
        <v>0</v>
      </c>
      <c r="Q868" s="362">
        <f t="shared" si="712"/>
        <v>0</v>
      </c>
      <c r="R868" s="362">
        <f t="shared" si="712"/>
        <v>0</v>
      </c>
      <c r="S868" s="362">
        <f t="shared" si="712"/>
        <v>0</v>
      </c>
      <c r="U868" s="329"/>
      <c r="V868" s="329">
        <f>V$865*$G868</f>
        <v>0</v>
      </c>
      <c r="W868" s="329"/>
      <c r="X868" s="329"/>
      <c r="Y868" s="329"/>
      <c r="Z868" s="329"/>
      <c r="AA868" s="329"/>
      <c r="AB868" s="329"/>
      <c r="AD868" s="332">
        <f t="shared" si="697"/>
        <v>0</v>
      </c>
      <c r="AE868" s="329">
        <f t="shared" si="698"/>
        <v>0</v>
      </c>
      <c r="AF868" s="329">
        <f t="shared" si="699"/>
        <v>0</v>
      </c>
      <c r="AG868" s="329">
        <f t="shared" si="699"/>
        <v>0</v>
      </c>
      <c r="AH868" s="329">
        <f t="shared" si="699"/>
        <v>0</v>
      </c>
      <c r="AI868" s="329">
        <f t="shared" si="700"/>
        <v>0</v>
      </c>
      <c r="AJ868" s="329">
        <f t="shared" si="700"/>
        <v>0</v>
      </c>
      <c r="AK868" s="329">
        <f t="shared" si="700"/>
        <v>0</v>
      </c>
      <c r="AL868" s="329">
        <f t="shared" si="701"/>
        <v>0</v>
      </c>
    </row>
    <row r="869" spans="1:38">
      <c r="A869" s="618" t="s">
        <v>2045</v>
      </c>
      <c r="B869" s="618"/>
      <c r="C869" s="619">
        <f t="shared" ref="C869:C915" si="713">IF(G869&lt;&gt;0,1,)</f>
        <v>1</v>
      </c>
      <c r="D869" s="622">
        <v>7</v>
      </c>
      <c r="E869" s="733" t="s">
        <v>2572</v>
      </c>
      <c r="F869" s="622" t="s">
        <v>1719</v>
      </c>
      <c r="G869" s="623">
        <f>IF(SUM(N869:S869)&lt;&gt;0,1,)</f>
        <v>1</v>
      </c>
      <c r="H869" s="623"/>
      <c r="I869" s="623"/>
      <c r="J869" s="623"/>
      <c r="K869" s="623"/>
      <c r="L869" s="623"/>
      <c r="M869" s="623"/>
      <c r="N869" s="623">
        <f t="shared" ref="N869:S869" si="714">SUM(N870:N955)</f>
        <v>2354657570</v>
      </c>
      <c r="O869" s="623">
        <f t="shared" si="714"/>
        <v>0</v>
      </c>
      <c r="P869" s="623">
        <f t="shared" si="714"/>
        <v>0</v>
      </c>
      <c r="Q869" s="623">
        <f t="shared" si="714"/>
        <v>183262203.56620002</v>
      </c>
      <c r="R869" s="623">
        <f t="shared" si="714"/>
        <v>0</v>
      </c>
      <c r="S869" s="623">
        <f t="shared" si="714"/>
        <v>0</v>
      </c>
      <c r="U869" s="623"/>
      <c r="V869" s="623"/>
      <c r="W869" s="623"/>
      <c r="X869" s="623"/>
      <c r="Y869" s="623"/>
      <c r="Z869" s="623"/>
      <c r="AA869" s="623"/>
      <c r="AB869" s="623">
        <f>G869</f>
        <v>1</v>
      </c>
      <c r="AD869" s="405">
        <f t="shared" ref="AD869:AD923" si="715">IFERROR(VLOOKUP(B869,DONGIA,$AD$3,0),0)</f>
        <v>0</v>
      </c>
      <c r="AE869" s="525">
        <f t="shared" ref="AE869:AE923" si="716">U869*$AD869</f>
        <v>0</v>
      </c>
      <c r="AF869" s="525">
        <f t="shared" ref="AF869:AH923" si="717">V869*$AD869</f>
        <v>0</v>
      </c>
      <c r="AG869" s="525">
        <f t="shared" si="717"/>
        <v>0</v>
      </c>
      <c r="AH869" s="525">
        <f t="shared" si="717"/>
        <v>0</v>
      </c>
      <c r="AI869" s="525">
        <f t="shared" ref="AI869:AK923" si="718">Y869*$AD869</f>
        <v>0</v>
      </c>
      <c r="AJ869" s="525">
        <f t="shared" si="718"/>
        <v>0</v>
      </c>
      <c r="AK869" s="525">
        <f t="shared" si="718"/>
        <v>0</v>
      </c>
      <c r="AL869" s="525">
        <f t="shared" ref="AL869:AL939" si="719">AB869*$AD869</f>
        <v>0</v>
      </c>
    </row>
    <row r="870" spans="1:38" s="332" customFormat="1">
      <c r="A870" s="356"/>
      <c r="B870" s="356" t="s">
        <v>1577</v>
      </c>
      <c r="C870" s="355">
        <f t="shared" si="713"/>
        <v>0</v>
      </c>
      <c r="D870" s="341">
        <f>VLOOKUP(B870,DONGIA,DG!$B$6,0)</f>
        <v>0</v>
      </c>
      <c r="E870" s="340" t="str">
        <f>VLOOKUP(B870,DONGIA,DG!$C$6,0)</f>
        <v>Cáp nhôm bọc AV95</v>
      </c>
      <c r="F870" s="341" t="str">
        <f>VLOOKUP(B870,DONGIA,DG!$D$6,0)</f>
        <v>mét</v>
      </c>
      <c r="G870" s="489">
        <f>ROUND(HLOOKUP(B870,BKHT,PPHT!$A$700,0)*1.02,0)</f>
        <v>0</v>
      </c>
      <c r="H870" s="329">
        <f>VLOOKUP($B870,DONGIA,DG!$E$6,0)</f>
        <v>31185</v>
      </c>
      <c r="I870" s="329"/>
      <c r="J870" s="329"/>
      <c r="K870" s="329">
        <f>VLOOKUP($B870,DONGIA,DG!$F$6,0)</f>
        <v>0</v>
      </c>
      <c r="L870" s="329"/>
      <c r="M870" s="329">
        <f>VLOOKUP($B870,DONGIA,DG!$G$6,0)</f>
        <v>0</v>
      </c>
      <c r="N870" s="329">
        <f>$G870*H870</f>
        <v>0</v>
      </c>
      <c r="O870" s="329">
        <f t="shared" ref="O870:S887" si="720">$G870*I870</f>
        <v>0</v>
      </c>
      <c r="P870" s="329">
        <f t="shared" si="720"/>
        <v>0</v>
      </c>
      <c r="Q870" s="329">
        <f t="shared" si="720"/>
        <v>0</v>
      </c>
      <c r="R870" s="329">
        <f t="shared" si="720"/>
        <v>0</v>
      </c>
      <c r="S870" s="329">
        <f t="shared" si="720"/>
        <v>0</v>
      </c>
      <c r="U870" s="329"/>
      <c r="V870" s="329"/>
      <c r="W870" s="329"/>
      <c r="X870" s="329"/>
      <c r="Y870" s="329"/>
      <c r="Z870" s="329"/>
      <c r="AA870" s="329"/>
      <c r="AB870" s="329">
        <f>AB$869*$G870</f>
        <v>0</v>
      </c>
      <c r="AD870" s="564">
        <f t="shared" si="715"/>
        <v>0.41</v>
      </c>
      <c r="AE870" s="329">
        <f t="shared" si="716"/>
        <v>0</v>
      </c>
      <c r="AF870" s="329">
        <f t="shared" si="717"/>
        <v>0</v>
      </c>
      <c r="AG870" s="329">
        <f t="shared" si="717"/>
        <v>0</v>
      </c>
      <c r="AH870" s="329">
        <f t="shared" si="717"/>
        <v>0</v>
      </c>
      <c r="AI870" s="329">
        <f t="shared" si="718"/>
        <v>0</v>
      </c>
      <c r="AJ870" s="329">
        <f t="shared" si="718"/>
        <v>0</v>
      </c>
      <c r="AK870" s="329">
        <f t="shared" si="718"/>
        <v>0</v>
      </c>
      <c r="AL870" s="329">
        <f t="shared" si="719"/>
        <v>0</v>
      </c>
    </row>
    <row r="871" spans="1:38" s="332" customFormat="1">
      <c r="A871" s="356"/>
      <c r="B871" s="356" t="s">
        <v>1578</v>
      </c>
      <c r="C871" s="355">
        <f t="shared" si="713"/>
        <v>0</v>
      </c>
      <c r="D871" s="341">
        <f>VLOOKUP(B871,DONGIA,DG!$B$6,0)</f>
        <v>0</v>
      </c>
      <c r="E871" s="340" t="str">
        <f>VLOOKUP(B871,DONGIA,DG!$C$6,0)</f>
        <v>Cáp nhôm bọc AV120</v>
      </c>
      <c r="F871" s="341" t="str">
        <f>VLOOKUP(B871,DONGIA,DG!$D$6,0)</f>
        <v>mét</v>
      </c>
      <c r="G871" s="489">
        <f>ROUND(HLOOKUP(B871,BKHT,PPHT!$A$700,0)*1.02,0)</f>
        <v>0</v>
      </c>
      <c r="H871" s="329">
        <f>VLOOKUP($B871,DONGIA,DG!$E$6,0)</f>
        <v>33500</v>
      </c>
      <c r="I871" s="329"/>
      <c r="J871" s="329"/>
      <c r="K871" s="329">
        <f>VLOOKUP($B871,DONGIA,DG!$F$6,0)</f>
        <v>0</v>
      </c>
      <c r="L871" s="329"/>
      <c r="M871" s="329">
        <f>VLOOKUP($B871,DONGIA,DG!$G$6,0)</f>
        <v>0</v>
      </c>
      <c r="N871" s="329">
        <f t="shared" ref="N871:N951" si="721">$G871*H871</f>
        <v>0</v>
      </c>
      <c r="O871" s="329">
        <f t="shared" si="720"/>
        <v>0</v>
      </c>
      <c r="P871" s="329">
        <f t="shared" si="720"/>
        <v>0</v>
      </c>
      <c r="Q871" s="329">
        <f t="shared" si="720"/>
        <v>0</v>
      </c>
      <c r="R871" s="329">
        <f t="shared" si="720"/>
        <v>0</v>
      </c>
      <c r="S871" s="329">
        <f t="shared" si="720"/>
        <v>0</v>
      </c>
      <c r="U871" s="329"/>
      <c r="V871" s="329"/>
      <c r="W871" s="329"/>
      <c r="X871" s="329"/>
      <c r="Y871" s="329"/>
      <c r="Z871" s="329"/>
      <c r="AA871" s="329"/>
      <c r="AB871" s="329">
        <f t="shared" ref="AB871:AB951" si="722">AB$869*$G871</f>
        <v>0</v>
      </c>
      <c r="AD871" s="564">
        <f t="shared" si="715"/>
        <v>0.496</v>
      </c>
      <c r="AE871" s="329">
        <f t="shared" si="716"/>
        <v>0</v>
      </c>
      <c r="AF871" s="329">
        <f t="shared" si="717"/>
        <v>0</v>
      </c>
      <c r="AG871" s="329">
        <f t="shared" si="717"/>
        <v>0</v>
      </c>
      <c r="AH871" s="329">
        <f t="shared" si="717"/>
        <v>0</v>
      </c>
      <c r="AI871" s="329">
        <f t="shared" si="718"/>
        <v>0</v>
      </c>
      <c r="AJ871" s="329">
        <f t="shared" si="718"/>
        <v>0</v>
      </c>
      <c r="AK871" s="329">
        <f t="shared" si="718"/>
        <v>0</v>
      </c>
      <c r="AL871" s="329">
        <f t="shared" si="719"/>
        <v>0</v>
      </c>
    </row>
    <row r="872" spans="1:38" s="332" customFormat="1">
      <c r="A872" s="356"/>
      <c r="B872" s="356" t="s">
        <v>1579</v>
      </c>
      <c r="C872" s="355">
        <f t="shared" si="713"/>
        <v>0</v>
      </c>
      <c r="D872" s="341">
        <f>VLOOKUP(B872,DONGIA,DG!$B$6,0)</f>
        <v>0</v>
      </c>
      <c r="E872" s="340" t="str">
        <f>VLOOKUP(B872,DONGIA,DG!$C$6,0)</f>
        <v>Cáp nhôm bọc AV150</v>
      </c>
      <c r="F872" s="341" t="str">
        <f>VLOOKUP(B872,DONGIA,DG!$D$6,0)</f>
        <v>mét</v>
      </c>
      <c r="G872" s="489">
        <f>ROUND(HLOOKUP(B872,BKHT,PPHT!$A$700,0)*1.02,0)</f>
        <v>0</v>
      </c>
      <c r="H872" s="329">
        <f>VLOOKUP($B872,DONGIA,DG!$E$6,0)</f>
        <v>42300</v>
      </c>
      <c r="I872" s="329"/>
      <c r="J872" s="329"/>
      <c r="K872" s="329">
        <f>VLOOKUP($B872,DONGIA,DG!$F$6,0)</f>
        <v>0</v>
      </c>
      <c r="L872" s="329"/>
      <c r="M872" s="329">
        <f>VLOOKUP($B872,DONGIA,DG!$G$6,0)</f>
        <v>0</v>
      </c>
      <c r="N872" s="329">
        <f t="shared" si="721"/>
        <v>0</v>
      </c>
      <c r="O872" s="329">
        <f t="shared" si="720"/>
        <v>0</v>
      </c>
      <c r="P872" s="329">
        <f t="shared" si="720"/>
        <v>0</v>
      </c>
      <c r="Q872" s="329">
        <f t="shared" si="720"/>
        <v>0</v>
      </c>
      <c r="R872" s="329">
        <f t="shared" si="720"/>
        <v>0</v>
      </c>
      <c r="S872" s="329">
        <f t="shared" si="720"/>
        <v>0</v>
      </c>
      <c r="U872" s="329"/>
      <c r="V872" s="329"/>
      <c r="W872" s="329"/>
      <c r="X872" s="329"/>
      <c r="Y872" s="329"/>
      <c r="Z872" s="329"/>
      <c r="AA872" s="329"/>
      <c r="AB872" s="329">
        <f t="shared" si="722"/>
        <v>0</v>
      </c>
      <c r="AD872" s="564">
        <f t="shared" si="715"/>
        <v>0.628</v>
      </c>
      <c r="AE872" s="329">
        <f t="shared" si="716"/>
        <v>0</v>
      </c>
      <c r="AF872" s="329">
        <f t="shared" si="717"/>
        <v>0</v>
      </c>
      <c r="AG872" s="329">
        <f t="shared" si="717"/>
        <v>0</v>
      </c>
      <c r="AH872" s="329">
        <f t="shared" si="717"/>
        <v>0</v>
      </c>
      <c r="AI872" s="329">
        <f t="shared" si="718"/>
        <v>0</v>
      </c>
      <c r="AJ872" s="329">
        <f t="shared" si="718"/>
        <v>0</v>
      </c>
      <c r="AK872" s="329">
        <f t="shared" si="718"/>
        <v>0</v>
      </c>
      <c r="AL872" s="329">
        <f t="shared" si="719"/>
        <v>0</v>
      </c>
    </row>
    <row r="873" spans="1:38">
      <c r="A873" s="618"/>
      <c r="B873" s="618" t="s">
        <v>179</v>
      </c>
      <c r="C873" s="619">
        <f t="shared" si="713"/>
        <v>1</v>
      </c>
      <c r="D873" s="523">
        <f>VLOOKUP(B873,DONGIA,DG!$B$6,0)</f>
        <v>0</v>
      </c>
      <c r="E873" s="666" t="str">
        <f>VLOOKUP(B873,DONGIA,DG!$C$6,0)</f>
        <v>Cáp nhôm lõi thép AC-70/11</v>
      </c>
      <c r="F873" s="523" t="str">
        <f>VLOOKUP(B873,DONGIA,DG!$D$6,0)</f>
        <v>kg</v>
      </c>
      <c r="G873" s="554">
        <f>ROUND(HLOOKUP(B873,BKHT,PPHT!$A$700,0)*1.02*0.274,0)</f>
        <v>755</v>
      </c>
      <c r="H873" s="525">
        <f>VLOOKUP($B873,DONGIA,DG!$E$6,0)</f>
        <v>64200</v>
      </c>
      <c r="I873" s="525"/>
      <c r="J873" s="525"/>
      <c r="K873" s="525">
        <f>VLOOKUP($B873,DONGIA,DG!$F$6,0)</f>
        <v>0</v>
      </c>
      <c r="L873" s="525"/>
      <c r="M873" s="525">
        <f>VLOOKUP($B873,DONGIA,DG!$G$6,0)</f>
        <v>0</v>
      </c>
      <c r="N873" s="525">
        <f t="shared" si="721"/>
        <v>48471000</v>
      </c>
      <c r="O873" s="525">
        <f t="shared" si="720"/>
        <v>0</v>
      </c>
      <c r="P873" s="525">
        <f t="shared" si="720"/>
        <v>0</v>
      </c>
      <c r="Q873" s="525">
        <f t="shared" si="720"/>
        <v>0</v>
      </c>
      <c r="R873" s="525">
        <f t="shared" si="720"/>
        <v>0</v>
      </c>
      <c r="S873" s="525">
        <f t="shared" si="720"/>
        <v>0</v>
      </c>
      <c r="U873" s="525"/>
      <c r="V873" s="525"/>
      <c r="W873" s="525"/>
      <c r="X873" s="525"/>
      <c r="Y873" s="525"/>
      <c r="Z873" s="525"/>
      <c r="AA873" s="525"/>
      <c r="AB873" s="525">
        <f t="shared" si="722"/>
        <v>755</v>
      </c>
      <c r="AD873" s="627">
        <f t="shared" si="715"/>
        <v>1</v>
      </c>
      <c r="AE873" s="525">
        <f t="shared" si="716"/>
        <v>0</v>
      </c>
      <c r="AF873" s="525">
        <f t="shared" si="717"/>
        <v>0</v>
      </c>
      <c r="AG873" s="525">
        <f t="shared" si="717"/>
        <v>0</v>
      </c>
      <c r="AH873" s="525">
        <f t="shared" si="717"/>
        <v>0</v>
      </c>
      <c r="AI873" s="525">
        <f t="shared" si="718"/>
        <v>0</v>
      </c>
      <c r="AJ873" s="525">
        <f t="shared" si="718"/>
        <v>0</v>
      </c>
      <c r="AK873" s="525">
        <f t="shared" si="718"/>
        <v>0</v>
      </c>
      <c r="AL873" s="525">
        <f t="shared" si="719"/>
        <v>755</v>
      </c>
    </row>
    <row r="874" spans="1:38" s="332" customFormat="1">
      <c r="A874" s="356"/>
      <c r="B874" s="356" t="s">
        <v>181</v>
      </c>
      <c r="C874" s="355">
        <f t="shared" si="713"/>
        <v>0</v>
      </c>
      <c r="D874" s="341">
        <f>VLOOKUP(B874,DONGIA,DG!$B$6,0)</f>
        <v>0</v>
      </c>
      <c r="E874" s="340" t="str">
        <f>VLOOKUP(B874,DONGIA,DG!$C$6,0)</f>
        <v>Cáp nhôm lõi thép AC-95/16</v>
      </c>
      <c r="F874" s="341" t="str">
        <f>VLOOKUP(B874,DONGIA,DG!$D$6,0)</f>
        <v>kg</v>
      </c>
      <c r="G874" s="489">
        <f>ROUND(HLOOKUP(B874,BKHT,PPHT!$A$700,0)*1.02,0)</f>
        <v>0</v>
      </c>
      <c r="H874" s="329">
        <f>VLOOKUP($B874,DONGIA,DG!$E$6,0)</f>
        <v>78435</v>
      </c>
      <c r="I874" s="329"/>
      <c r="J874" s="329"/>
      <c r="K874" s="329">
        <f>VLOOKUP($B874,DONGIA,DG!$F$6,0)</f>
        <v>0</v>
      </c>
      <c r="L874" s="329"/>
      <c r="M874" s="329">
        <f>VLOOKUP($B874,DONGIA,DG!$G$6,0)</f>
        <v>0</v>
      </c>
      <c r="N874" s="329">
        <f t="shared" si="721"/>
        <v>0</v>
      </c>
      <c r="O874" s="329">
        <f t="shared" si="720"/>
        <v>0</v>
      </c>
      <c r="P874" s="329">
        <f t="shared" si="720"/>
        <v>0</v>
      </c>
      <c r="Q874" s="329">
        <f t="shared" si="720"/>
        <v>0</v>
      </c>
      <c r="R874" s="329">
        <f t="shared" si="720"/>
        <v>0</v>
      </c>
      <c r="S874" s="329">
        <f t="shared" si="720"/>
        <v>0</v>
      </c>
      <c r="U874" s="329"/>
      <c r="V874" s="329"/>
      <c r="W874" s="329"/>
      <c r="X874" s="329"/>
      <c r="Y874" s="329"/>
      <c r="Z874" s="329"/>
      <c r="AA874" s="329"/>
      <c r="AB874" s="329">
        <f t="shared" si="722"/>
        <v>0</v>
      </c>
      <c r="AD874" s="564">
        <f t="shared" si="715"/>
        <v>1</v>
      </c>
      <c r="AE874" s="329">
        <f t="shared" si="716"/>
        <v>0</v>
      </c>
      <c r="AF874" s="329">
        <f t="shared" si="717"/>
        <v>0</v>
      </c>
      <c r="AG874" s="329">
        <f t="shared" si="717"/>
        <v>0</v>
      </c>
      <c r="AH874" s="329">
        <f t="shared" si="717"/>
        <v>0</v>
      </c>
      <c r="AI874" s="329">
        <f t="shared" si="718"/>
        <v>0</v>
      </c>
      <c r="AJ874" s="329">
        <f t="shared" si="718"/>
        <v>0</v>
      </c>
      <c r="AK874" s="329">
        <f t="shared" si="718"/>
        <v>0</v>
      </c>
      <c r="AL874" s="329">
        <f t="shared" si="719"/>
        <v>0</v>
      </c>
    </row>
    <row r="875" spans="1:38" s="332" customFormat="1">
      <c r="A875" s="356"/>
      <c r="B875" s="356" t="s">
        <v>215</v>
      </c>
      <c r="C875" s="355">
        <f>IF(G875&lt;&gt;0,1,)</f>
        <v>0</v>
      </c>
      <c r="D875" s="341">
        <f>VLOOKUP(B875,DONGIA,DG!$B$6,0)</f>
        <v>0</v>
      </c>
      <c r="E875" s="340" t="str">
        <f>VLOOKUP(B875,DONGIA,DG!$C$6,0)</f>
        <v>Cáp nhôm ABC 3x70mm2</v>
      </c>
      <c r="F875" s="341" t="str">
        <f>VLOOKUP(B875,DONGIA,DG!$D$6,0)</f>
        <v>mét</v>
      </c>
      <c r="G875" s="489">
        <f>ROUND(HLOOKUP(B875,BKHT,PPHT!$A$700,0)*1.02,0)</f>
        <v>0</v>
      </c>
      <c r="H875" s="329">
        <f>VLOOKUP($B875,DONGIA,DG!$E$6,0)</f>
        <v>83360</v>
      </c>
      <c r="I875" s="329"/>
      <c r="J875" s="329"/>
      <c r="K875" s="329">
        <f>VLOOKUP($B875,DONGIA,DG!$F$6,0)</f>
        <v>0</v>
      </c>
      <c r="L875" s="329"/>
      <c r="M875" s="329">
        <f>VLOOKUP($B875,DONGIA,DG!$G$6,0)</f>
        <v>0</v>
      </c>
      <c r="N875" s="329">
        <f t="shared" ref="N875:S875" si="723">$G875*H875</f>
        <v>0</v>
      </c>
      <c r="O875" s="329">
        <f t="shared" si="723"/>
        <v>0</v>
      </c>
      <c r="P875" s="329">
        <f t="shared" si="723"/>
        <v>0</v>
      </c>
      <c r="Q875" s="329">
        <f t="shared" si="723"/>
        <v>0</v>
      </c>
      <c r="R875" s="329">
        <f t="shared" si="723"/>
        <v>0</v>
      </c>
      <c r="S875" s="329">
        <f t="shared" si="723"/>
        <v>0</v>
      </c>
      <c r="U875" s="329"/>
      <c r="V875" s="329"/>
      <c r="W875" s="329"/>
      <c r="X875" s="329"/>
      <c r="Y875" s="329"/>
      <c r="Z875" s="329"/>
      <c r="AA875" s="329"/>
      <c r="AB875" s="329">
        <f t="shared" si="722"/>
        <v>0</v>
      </c>
      <c r="AD875" s="564">
        <f>IFERROR(VLOOKUP(B875,DONGIA,$AD$3,0),0)</f>
        <v>0</v>
      </c>
      <c r="AE875" s="329">
        <f t="shared" ref="AE875:AK875" si="724">U875*$AD875</f>
        <v>0</v>
      </c>
      <c r="AF875" s="329">
        <f t="shared" si="724"/>
        <v>0</v>
      </c>
      <c r="AG875" s="329">
        <f t="shared" si="724"/>
        <v>0</v>
      </c>
      <c r="AH875" s="329">
        <f t="shared" si="724"/>
        <v>0</v>
      </c>
      <c r="AI875" s="329">
        <f t="shared" si="724"/>
        <v>0</v>
      </c>
      <c r="AJ875" s="329">
        <f t="shared" si="724"/>
        <v>0</v>
      </c>
      <c r="AK875" s="329">
        <f t="shared" si="724"/>
        <v>0</v>
      </c>
      <c r="AL875" s="329">
        <f>AB875*$AD875</f>
        <v>0</v>
      </c>
    </row>
    <row r="876" spans="1:38" s="332" customFormat="1">
      <c r="A876" s="356"/>
      <c r="B876" s="356" t="s">
        <v>213</v>
      </c>
      <c r="C876" s="355">
        <f t="shared" si="713"/>
        <v>0</v>
      </c>
      <c r="D876" s="341">
        <f>VLOOKUP(B876,DONGIA,DG!$B$6,0)</f>
        <v>0</v>
      </c>
      <c r="E876" s="340" t="str">
        <f>VLOOKUP(B876,DONGIA,DG!$C$6,0)</f>
        <v>Cáp nhôm ABC 4x70mm2</v>
      </c>
      <c r="F876" s="341" t="str">
        <f>VLOOKUP(B876,DONGIA,DG!$D$6,0)</f>
        <v>mét</v>
      </c>
      <c r="G876" s="489">
        <f>ROUND(HLOOKUP(B876,BKHT,PPHT!$A$700,0)*1.02,0)</f>
        <v>0</v>
      </c>
      <c r="H876" s="329">
        <f>VLOOKUP($B876,DONGIA,DG!$E$6,0)</f>
        <v>83360</v>
      </c>
      <c r="I876" s="329"/>
      <c r="J876" s="329"/>
      <c r="K876" s="329">
        <f>VLOOKUP($B876,DONGIA,DG!$F$6,0)</f>
        <v>0</v>
      </c>
      <c r="L876" s="329"/>
      <c r="M876" s="329">
        <f>VLOOKUP($B876,DONGIA,DG!$G$6,0)</f>
        <v>0</v>
      </c>
      <c r="N876" s="329">
        <f t="shared" si="721"/>
        <v>0</v>
      </c>
      <c r="O876" s="329">
        <f t="shared" si="720"/>
        <v>0</v>
      </c>
      <c r="P876" s="329">
        <f t="shared" si="720"/>
        <v>0</v>
      </c>
      <c r="Q876" s="329">
        <f t="shared" si="720"/>
        <v>0</v>
      </c>
      <c r="R876" s="329">
        <f t="shared" si="720"/>
        <v>0</v>
      </c>
      <c r="S876" s="329">
        <f t="shared" si="720"/>
        <v>0</v>
      </c>
      <c r="U876" s="329"/>
      <c r="V876" s="329"/>
      <c r="W876" s="329"/>
      <c r="X876" s="329"/>
      <c r="Y876" s="329"/>
      <c r="Z876" s="329"/>
      <c r="AA876" s="329"/>
      <c r="AB876" s="329">
        <f t="shared" si="722"/>
        <v>0</v>
      </c>
      <c r="AD876" s="564">
        <f t="shared" si="715"/>
        <v>0</v>
      </c>
      <c r="AE876" s="329">
        <f t="shared" si="716"/>
        <v>0</v>
      </c>
      <c r="AF876" s="329">
        <f t="shared" si="717"/>
        <v>0</v>
      </c>
      <c r="AG876" s="329">
        <f t="shared" si="717"/>
        <v>0</v>
      </c>
      <c r="AH876" s="329">
        <f t="shared" si="717"/>
        <v>0</v>
      </c>
      <c r="AI876" s="329">
        <f t="shared" si="718"/>
        <v>0</v>
      </c>
      <c r="AJ876" s="329">
        <f t="shared" si="718"/>
        <v>0</v>
      </c>
      <c r="AK876" s="329">
        <f t="shared" si="718"/>
        <v>0</v>
      </c>
      <c r="AL876" s="329">
        <f t="shared" si="719"/>
        <v>0</v>
      </c>
    </row>
    <row r="877" spans="1:38" s="332" customFormat="1">
      <c r="A877" s="356"/>
      <c r="B877" s="356" t="s">
        <v>219</v>
      </c>
      <c r="C877" s="355">
        <f t="shared" si="713"/>
        <v>0</v>
      </c>
      <c r="D877" s="341">
        <f>VLOOKUP(B877,DONGIA,DG!$B$6,0)</f>
        <v>0</v>
      </c>
      <c r="E877" s="735" t="str">
        <f>VLOOKUP(B877,DONGIA,DG!$C$6,0)</f>
        <v>Cáp nhôm ABC 3x95mm2</v>
      </c>
      <c r="F877" s="341" t="str">
        <f>VLOOKUP(B877,DONGIA,DG!$D$6,0)</f>
        <v>mét</v>
      </c>
      <c r="G877" s="489">
        <f>ROUND(HLOOKUP(B877,BKHT,PPHT!$A$700,0)*1.02,0)</f>
        <v>0</v>
      </c>
      <c r="H877" s="329">
        <f>VLOOKUP($B877,DONGIA,DG!$E$6,0)</f>
        <v>83900</v>
      </c>
      <c r="I877" s="329"/>
      <c r="J877" s="329"/>
      <c r="K877" s="329">
        <f>VLOOKUP($B877,DONGIA,DG!$F$6,0)</f>
        <v>0</v>
      </c>
      <c r="L877" s="329"/>
      <c r="M877" s="329">
        <f>VLOOKUP($B877,DONGIA,DG!$G$6,0)</f>
        <v>0</v>
      </c>
      <c r="N877" s="329">
        <f t="shared" si="721"/>
        <v>0</v>
      </c>
      <c r="O877" s="329">
        <f t="shared" si="720"/>
        <v>0</v>
      </c>
      <c r="P877" s="329">
        <f t="shared" si="720"/>
        <v>0</v>
      </c>
      <c r="Q877" s="329">
        <f t="shared" si="720"/>
        <v>0</v>
      </c>
      <c r="R877" s="329">
        <f t="shared" si="720"/>
        <v>0</v>
      </c>
      <c r="S877" s="329">
        <f t="shared" si="720"/>
        <v>0</v>
      </c>
      <c r="U877" s="329"/>
      <c r="V877" s="329"/>
      <c r="W877" s="329"/>
      <c r="X877" s="329"/>
      <c r="Y877" s="329"/>
      <c r="Z877" s="329"/>
      <c r="AA877" s="329"/>
      <c r="AB877" s="329">
        <f t="shared" si="722"/>
        <v>0</v>
      </c>
      <c r="AD877" s="564">
        <f t="shared" si="715"/>
        <v>0.97799999999999998</v>
      </c>
      <c r="AE877" s="329">
        <f t="shared" si="716"/>
        <v>0</v>
      </c>
      <c r="AF877" s="329">
        <f t="shared" si="717"/>
        <v>0</v>
      </c>
      <c r="AG877" s="329">
        <f t="shared" si="717"/>
        <v>0</v>
      </c>
      <c r="AH877" s="329">
        <f t="shared" si="717"/>
        <v>0</v>
      </c>
      <c r="AI877" s="329">
        <f t="shared" si="718"/>
        <v>0</v>
      </c>
      <c r="AJ877" s="329">
        <f t="shared" si="718"/>
        <v>0</v>
      </c>
      <c r="AK877" s="329">
        <f t="shared" si="718"/>
        <v>0</v>
      </c>
      <c r="AL877" s="329">
        <f t="shared" si="719"/>
        <v>0</v>
      </c>
    </row>
    <row r="878" spans="1:38">
      <c r="A878" s="618"/>
      <c r="B878" s="618" t="s">
        <v>217</v>
      </c>
      <c r="C878" s="619">
        <f t="shared" si="713"/>
        <v>1</v>
      </c>
      <c r="D878" s="523">
        <f>VLOOKUP(B878,DONGIA,DG!$B$6,0)</f>
        <v>0</v>
      </c>
      <c r="E878" s="666" t="str">
        <f>VLOOKUP(B878,DONGIA,DG!$C$6,0)</f>
        <v>Cáp nhôm ABC 4x95mm2</v>
      </c>
      <c r="F878" s="523" t="str">
        <f>VLOOKUP(B878,DONGIA,DG!$D$6,0)</f>
        <v>mét</v>
      </c>
      <c r="G878" s="554">
        <f>ROUND(HLOOKUP(B878,BKHT,PPHT!$A$700,0)*1.02,0)</f>
        <v>7636</v>
      </c>
      <c r="H878" s="525">
        <f>VLOOKUP($B878,DONGIA,DG!$E$6,0)</f>
        <v>100080</v>
      </c>
      <c r="I878" s="525"/>
      <c r="J878" s="525"/>
      <c r="K878" s="525">
        <f>VLOOKUP($B878,DONGIA,DG!$F$6,0)</f>
        <v>0</v>
      </c>
      <c r="L878" s="525"/>
      <c r="M878" s="525">
        <f>VLOOKUP($B878,DONGIA,DG!$G$6,0)</f>
        <v>0</v>
      </c>
      <c r="N878" s="525">
        <f t="shared" si="721"/>
        <v>764210880</v>
      </c>
      <c r="O878" s="525">
        <f t="shared" si="720"/>
        <v>0</v>
      </c>
      <c r="P878" s="525">
        <f t="shared" si="720"/>
        <v>0</v>
      </c>
      <c r="Q878" s="525">
        <f t="shared" si="720"/>
        <v>0</v>
      </c>
      <c r="R878" s="525">
        <f t="shared" si="720"/>
        <v>0</v>
      </c>
      <c r="S878" s="525">
        <f t="shared" si="720"/>
        <v>0</v>
      </c>
      <c r="U878" s="525"/>
      <c r="V878" s="525"/>
      <c r="W878" s="525"/>
      <c r="X878" s="525"/>
      <c r="Y878" s="525"/>
      <c r="Z878" s="525"/>
      <c r="AA878" s="525"/>
      <c r="AB878" s="525">
        <f t="shared" si="722"/>
        <v>7636</v>
      </c>
      <c r="AD878" s="627">
        <f t="shared" si="715"/>
        <v>1.3160000000000001</v>
      </c>
      <c r="AE878" s="525">
        <f t="shared" si="716"/>
        <v>0</v>
      </c>
      <c r="AF878" s="525">
        <f t="shared" si="717"/>
        <v>0</v>
      </c>
      <c r="AG878" s="525">
        <f t="shared" si="717"/>
        <v>0</v>
      </c>
      <c r="AH878" s="525">
        <f t="shared" si="717"/>
        <v>0</v>
      </c>
      <c r="AI878" s="525">
        <f t="shared" si="718"/>
        <v>0</v>
      </c>
      <c r="AJ878" s="525">
        <f t="shared" si="718"/>
        <v>0</v>
      </c>
      <c r="AK878" s="525">
        <f t="shared" si="718"/>
        <v>0</v>
      </c>
      <c r="AL878" s="525">
        <f t="shared" si="719"/>
        <v>10048.976000000001</v>
      </c>
    </row>
    <row r="879" spans="1:38">
      <c r="A879" s="618"/>
      <c r="B879" s="618" t="s">
        <v>221</v>
      </c>
      <c r="C879" s="619">
        <f t="shared" si="713"/>
        <v>0</v>
      </c>
      <c r="D879" s="523">
        <f>VLOOKUP(B879,DONGIA,DG!$B$6,0)</f>
        <v>0</v>
      </c>
      <c r="E879" s="666" t="str">
        <f>VLOOKUP(B879,DONGIA,DG!$C$6,0)</f>
        <v>Cáp nhôm ABC 3x120mm2</v>
      </c>
      <c r="F879" s="523" t="str">
        <f>VLOOKUP(B879,DONGIA,DG!$D$6,0)</f>
        <v>mét</v>
      </c>
      <c r="G879" s="554">
        <f>ROUND(HLOOKUP(B879,BKHT,PPHT!$A$700,0)*1.02,0)</f>
        <v>0</v>
      </c>
      <c r="H879" s="525">
        <f>VLOOKUP($B879,DONGIA,DG!$E$6,0)</f>
        <v>122300</v>
      </c>
      <c r="I879" s="525"/>
      <c r="J879" s="525"/>
      <c r="K879" s="525">
        <f>VLOOKUP($B879,DONGIA,DG!$F$6,0)</f>
        <v>0</v>
      </c>
      <c r="L879" s="525"/>
      <c r="M879" s="525">
        <f>VLOOKUP($B879,DONGIA,DG!$G$6,0)</f>
        <v>0</v>
      </c>
      <c r="N879" s="525">
        <f t="shared" si="721"/>
        <v>0</v>
      </c>
      <c r="O879" s="525">
        <f t="shared" si="720"/>
        <v>0</v>
      </c>
      <c r="P879" s="525">
        <f t="shared" si="720"/>
        <v>0</v>
      </c>
      <c r="Q879" s="525">
        <f t="shared" si="720"/>
        <v>0</v>
      </c>
      <c r="R879" s="525">
        <f t="shared" si="720"/>
        <v>0</v>
      </c>
      <c r="S879" s="525">
        <f t="shared" si="720"/>
        <v>0</v>
      </c>
      <c r="U879" s="525"/>
      <c r="V879" s="525"/>
      <c r="W879" s="525"/>
      <c r="X879" s="525"/>
      <c r="Y879" s="525"/>
      <c r="Z879" s="525"/>
      <c r="AA879" s="525"/>
      <c r="AB879" s="525">
        <f t="shared" si="722"/>
        <v>0</v>
      </c>
      <c r="AD879" s="627">
        <f t="shared" si="715"/>
        <v>1.2130000000000001</v>
      </c>
      <c r="AE879" s="525">
        <f t="shared" si="716"/>
        <v>0</v>
      </c>
      <c r="AF879" s="525">
        <f t="shared" si="717"/>
        <v>0</v>
      </c>
      <c r="AG879" s="525">
        <f t="shared" si="717"/>
        <v>0</v>
      </c>
      <c r="AH879" s="525">
        <f t="shared" si="717"/>
        <v>0</v>
      </c>
      <c r="AI879" s="525">
        <f t="shared" si="718"/>
        <v>0</v>
      </c>
      <c r="AJ879" s="525">
        <f t="shared" si="718"/>
        <v>0</v>
      </c>
      <c r="AK879" s="525">
        <f t="shared" si="718"/>
        <v>0</v>
      </c>
      <c r="AL879" s="525">
        <f t="shared" si="719"/>
        <v>0</v>
      </c>
    </row>
    <row r="880" spans="1:38">
      <c r="A880" s="618"/>
      <c r="B880" s="618" t="s">
        <v>223</v>
      </c>
      <c r="C880" s="619">
        <f t="shared" si="713"/>
        <v>1</v>
      </c>
      <c r="D880" s="523">
        <f>VLOOKUP(B880,DONGIA,DG!$B$6,0)</f>
        <v>0</v>
      </c>
      <c r="E880" s="666" t="str">
        <f>VLOOKUP(B880,DONGIA,DG!$C$6,0)</f>
        <v>Cáp nhôm ABC 4x120mm2</v>
      </c>
      <c r="F880" s="523" t="str">
        <f>VLOOKUP(B880,DONGIA,DG!$D$6,0)</f>
        <v>mét</v>
      </c>
      <c r="G880" s="554">
        <f>ROUND(HLOOKUP(B880,BKHT,PPHT!$A$700,0)*1.02,0)</f>
        <v>7960</v>
      </c>
      <c r="H880" s="525">
        <f>VLOOKUP($B880,DONGIA,DG!$E$6,0)</f>
        <v>124370</v>
      </c>
      <c r="I880" s="525"/>
      <c r="J880" s="525"/>
      <c r="K880" s="525">
        <f>VLOOKUP($B880,DONGIA,DG!$F$6,0)</f>
        <v>0</v>
      </c>
      <c r="L880" s="525"/>
      <c r="M880" s="525">
        <f>VLOOKUP($B880,DONGIA,DG!$G$6,0)</f>
        <v>0</v>
      </c>
      <c r="N880" s="525">
        <f t="shared" si="721"/>
        <v>989985200</v>
      </c>
      <c r="O880" s="525">
        <f t="shared" si="720"/>
        <v>0</v>
      </c>
      <c r="P880" s="525">
        <f t="shared" si="720"/>
        <v>0</v>
      </c>
      <c r="Q880" s="525">
        <f t="shared" si="720"/>
        <v>0</v>
      </c>
      <c r="R880" s="525">
        <f t="shared" si="720"/>
        <v>0</v>
      </c>
      <c r="S880" s="525">
        <f t="shared" si="720"/>
        <v>0</v>
      </c>
      <c r="U880" s="525"/>
      <c r="V880" s="525"/>
      <c r="W880" s="525"/>
      <c r="X880" s="525"/>
      <c r="Y880" s="525"/>
      <c r="Z880" s="525"/>
      <c r="AA880" s="525"/>
      <c r="AB880" s="525">
        <f t="shared" si="722"/>
        <v>7960</v>
      </c>
      <c r="AD880" s="627">
        <f t="shared" si="715"/>
        <v>1.6180000000000001</v>
      </c>
      <c r="AE880" s="525">
        <f t="shared" si="716"/>
        <v>0</v>
      </c>
      <c r="AF880" s="525">
        <f t="shared" si="717"/>
        <v>0</v>
      </c>
      <c r="AG880" s="525">
        <f t="shared" si="717"/>
        <v>0</v>
      </c>
      <c r="AH880" s="525">
        <f t="shared" si="717"/>
        <v>0</v>
      </c>
      <c r="AI880" s="525">
        <f t="shared" si="718"/>
        <v>0</v>
      </c>
      <c r="AJ880" s="525">
        <f t="shared" si="718"/>
        <v>0</v>
      </c>
      <c r="AK880" s="525">
        <f t="shared" si="718"/>
        <v>0</v>
      </c>
      <c r="AL880" s="525">
        <f t="shared" si="719"/>
        <v>12879.28</v>
      </c>
    </row>
    <row r="881" spans="1:38" s="332" customFormat="1">
      <c r="A881" s="356"/>
      <c r="B881" s="356" t="s">
        <v>225</v>
      </c>
      <c r="C881" s="355">
        <f>IF(G881&lt;&gt;0,1,)</f>
        <v>0</v>
      </c>
      <c r="D881" s="341">
        <f>VLOOKUP(B881,DONGIA,DG!$B$6,0)</f>
        <v>0</v>
      </c>
      <c r="E881" s="340" t="str">
        <f>VLOOKUP(B881,DONGIA,DG!$C$6,0)</f>
        <v>Cáp nhôm ABC 4x150mm2</v>
      </c>
      <c r="F881" s="341" t="str">
        <f>VLOOKUP(B881,DONGIA,DG!$D$6,0)</f>
        <v>mét</v>
      </c>
      <c r="G881" s="489">
        <f>ROUND(HLOOKUP(B881,BKHT,PPHT!$A$700,0)*1.02,0)</f>
        <v>0</v>
      </c>
      <c r="H881" s="329">
        <f>VLOOKUP($B881,DONGIA,DG!$E$6,0)</f>
        <v>184275</v>
      </c>
      <c r="I881" s="329"/>
      <c r="J881" s="329"/>
      <c r="K881" s="329">
        <f>VLOOKUP($B881,DONGIA,DG!$F$6,0)</f>
        <v>0</v>
      </c>
      <c r="L881" s="329"/>
      <c r="M881" s="329">
        <f>VLOOKUP($B881,DONGIA,DG!$G$6,0)</f>
        <v>0</v>
      </c>
      <c r="N881" s="329">
        <f t="shared" ref="N881:S881" si="725">$G881*H881</f>
        <v>0</v>
      </c>
      <c r="O881" s="329">
        <f t="shared" si="725"/>
        <v>0</v>
      </c>
      <c r="P881" s="329">
        <f t="shared" si="725"/>
        <v>0</v>
      </c>
      <c r="Q881" s="329">
        <f t="shared" si="725"/>
        <v>0</v>
      </c>
      <c r="R881" s="329">
        <f t="shared" si="725"/>
        <v>0</v>
      </c>
      <c r="S881" s="329">
        <f t="shared" si="725"/>
        <v>0</v>
      </c>
      <c r="U881" s="329"/>
      <c r="V881" s="329"/>
      <c r="W881" s="329"/>
      <c r="X881" s="329"/>
      <c r="Y881" s="329"/>
      <c r="Z881" s="329"/>
      <c r="AA881" s="329"/>
      <c r="AB881" s="329">
        <f t="shared" si="722"/>
        <v>0</v>
      </c>
      <c r="AD881" s="564">
        <f>IFERROR(VLOOKUP(B881,DONGIA,$AD$3,0),0)</f>
        <v>0</v>
      </c>
      <c r="AE881" s="329">
        <f t="shared" ref="AE881:AK881" si="726">U881*$AD881</f>
        <v>0</v>
      </c>
      <c r="AF881" s="329">
        <f t="shared" si="726"/>
        <v>0</v>
      </c>
      <c r="AG881" s="329">
        <f t="shared" si="726"/>
        <v>0</v>
      </c>
      <c r="AH881" s="329">
        <f t="shared" si="726"/>
        <v>0</v>
      </c>
      <c r="AI881" s="329">
        <f t="shared" si="726"/>
        <v>0</v>
      </c>
      <c r="AJ881" s="329">
        <f t="shared" si="726"/>
        <v>0</v>
      </c>
      <c r="AK881" s="329">
        <f t="shared" si="726"/>
        <v>0</v>
      </c>
      <c r="AL881" s="329">
        <f>AB881*$AD881</f>
        <v>0</v>
      </c>
    </row>
    <row r="882" spans="1:38" s="332" customFormat="1">
      <c r="A882" s="356"/>
      <c r="B882" s="356" t="s">
        <v>1241</v>
      </c>
      <c r="C882" s="355">
        <f t="shared" si="713"/>
        <v>0</v>
      </c>
      <c r="D882" s="341" t="str">
        <f>VLOOKUP(B882,DONGIA,DG!$B$6,0)</f>
        <v>D4.6203</v>
      </c>
      <c r="E882" s="340" t="str">
        <f>VLOOKUP(B882,DONGIA,DG!$C$6,0)</f>
        <v>Ghíp nối IPC 70-35</v>
      </c>
      <c r="F882" s="341" t="str">
        <f>VLOOKUP(B882,DONGIA,DG!$D$6,0)</f>
        <v>cái</v>
      </c>
      <c r="G882" s="329">
        <f>HLOOKUP(B882,BKHT,PPHT!$A$700,0)</f>
        <v>0</v>
      </c>
      <c r="H882" s="329">
        <f>VLOOKUP($B882,DONGIA,DG!$E$6,0)</f>
        <v>42000</v>
      </c>
      <c r="I882" s="329"/>
      <c r="J882" s="329"/>
      <c r="K882" s="329">
        <f>VLOOKUP($B882,DONGIA,DG!$F$6,0)</f>
        <v>109771</v>
      </c>
      <c r="L882" s="329"/>
      <c r="M882" s="329">
        <f>VLOOKUP($B882,DONGIA,DG!$G$6,0)</f>
        <v>0</v>
      </c>
      <c r="N882" s="329">
        <f t="shared" si="721"/>
        <v>0</v>
      </c>
      <c r="O882" s="329">
        <f t="shared" si="720"/>
        <v>0</v>
      </c>
      <c r="P882" s="329">
        <f t="shared" si="720"/>
        <v>0</v>
      </c>
      <c r="Q882" s="329">
        <f t="shared" si="720"/>
        <v>0</v>
      </c>
      <c r="R882" s="329">
        <f t="shared" si="720"/>
        <v>0</v>
      </c>
      <c r="S882" s="329">
        <f t="shared" si="720"/>
        <v>0</v>
      </c>
      <c r="U882" s="329"/>
      <c r="V882" s="329"/>
      <c r="W882" s="329"/>
      <c r="X882" s="329"/>
      <c r="Y882" s="329"/>
      <c r="Z882" s="329"/>
      <c r="AA882" s="329"/>
      <c r="AB882" s="329">
        <f t="shared" si="722"/>
        <v>0</v>
      </c>
      <c r="AD882" s="332">
        <f t="shared" si="715"/>
        <v>0.1</v>
      </c>
      <c r="AE882" s="329">
        <f t="shared" si="716"/>
        <v>0</v>
      </c>
      <c r="AF882" s="329">
        <f t="shared" si="717"/>
        <v>0</v>
      </c>
      <c r="AG882" s="329">
        <f t="shared" si="717"/>
        <v>0</v>
      </c>
      <c r="AH882" s="329">
        <f t="shared" si="717"/>
        <v>0</v>
      </c>
      <c r="AI882" s="329">
        <f t="shared" si="718"/>
        <v>0</v>
      </c>
      <c r="AJ882" s="329">
        <f t="shared" si="718"/>
        <v>0</v>
      </c>
      <c r="AK882" s="329">
        <f t="shared" si="718"/>
        <v>0</v>
      </c>
      <c r="AL882" s="329">
        <f t="shared" si="719"/>
        <v>0</v>
      </c>
    </row>
    <row r="883" spans="1:38">
      <c r="A883" s="618"/>
      <c r="B883" s="618" t="s">
        <v>1243</v>
      </c>
      <c r="C883" s="619">
        <f t="shared" si="713"/>
        <v>1</v>
      </c>
      <c r="D883" s="523" t="str">
        <f>VLOOKUP(B883,DONGIA,DG!$B$6,0)</f>
        <v>D4.6203</v>
      </c>
      <c r="E883" s="666" t="str">
        <f>VLOOKUP(B883,DONGIA,DG!$C$6,0)</f>
        <v>Ghíp nối IPC 2 Boulon 95-35</v>
      </c>
      <c r="F883" s="523" t="str">
        <f>VLOOKUP(B883,DONGIA,DG!$D$6,0)</f>
        <v>cái</v>
      </c>
      <c r="G883" s="525">
        <f>HLOOKUP(B883,BKHT,PPHT!$A$700,0)</f>
        <v>851</v>
      </c>
      <c r="H883" s="525">
        <f>VLOOKUP($B883,DONGIA,DG!$E$6,0)</f>
        <v>75000</v>
      </c>
      <c r="I883" s="525"/>
      <c r="J883" s="525"/>
      <c r="K883" s="525">
        <f>VLOOKUP($B883,DONGIA,DG!$F$6,0)*0</f>
        <v>0</v>
      </c>
      <c r="L883" s="525"/>
      <c r="M883" s="525">
        <f>VLOOKUP($B883,DONGIA,DG!$G$6,0)</f>
        <v>0</v>
      </c>
      <c r="N883" s="525">
        <f t="shared" si="721"/>
        <v>63825000</v>
      </c>
      <c r="O883" s="525">
        <f t="shared" si="720"/>
        <v>0</v>
      </c>
      <c r="P883" s="525">
        <f t="shared" si="720"/>
        <v>0</v>
      </c>
      <c r="Q883" s="525">
        <f t="shared" si="720"/>
        <v>0</v>
      </c>
      <c r="R883" s="525">
        <f t="shared" si="720"/>
        <v>0</v>
      </c>
      <c r="S883" s="525">
        <f t="shared" si="720"/>
        <v>0</v>
      </c>
      <c r="U883" s="525"/>
      <c r="V883" s="525"/>
      <c r="W883" s="525"/>
      <c r="X883" s="525"/>
      <c r="Y883" s="525"/>
      <c r="Z883" s="525"/>
      <c r="AA883" s="525"/>
      <c r="AB883" s="525">
        <f t="shared" si="722"/>
        <v>851</v>
      </c>
      <c r="AD883" s="405">
        <f t="shared" si="715"/>
        <v>0.1</v>
      </c>
      <c r="AE883" s="525">
        <f t="shared" si="716"/>
        <v>0</v>
      </c>
      <c r="AF883" s="525">
        <f t="shared" si="717"/>
        <v>0</v>
      </c>
      <c r="AG883" s="525">
        <f t="shared" si="717"/>
        <v>0</v>
      </c>
      <c r="AH883" s="525">
        <f t="shared" si="717"/>
        <v>0</v>
      </c>
      <c r="AI883" s="525">
        <f t="shared" si="718"/>
        <v>0</v>
      </c>
      <c r="AJ883" s="525">
        <f t="shared" si="718"/>
        <v>0</v>
      </c>
      <c r="AK883" s="525">
        <f t="shared" si="718"/>
        <v>0</v>
      </c>
      <c r="AL883" s="525">
        <f t="shared" si="719"/>
        <v>85.100000000000009</v>
      </c>
    </row>
    <row r="884" spans="1:38">
      <c r="A884" s="618"/>
      <c r="B884" s="618" t="s">
        <v>1244</v>
      </c>
      <c r="C884" s="619">
        <f t="shared" si="713"/>
        <v>1</v>
      </c>
      <c r="D884" s="523"/>
      <c r="E884" s="666" t="str">
        <f>VLOOKUP(B884,DONGIA,DG!$C$6,0)</f>
        <v>Ghíp nối IPC 2 Boulon 120-35</v>
      </c>
      <c r="F884" s="523" t="str">
        <f>VLOOKUP(B884,DONGIA,DG!$D$6,0)</f>
        <v>cái</v>
      </c>
      <c r="G884" s="525">
        <f>HLOOKUP(B884,BKHT,PPHT!$A$700,0)</f>
        <v>1186</v>
      </c>
      <c r="H884" s="525">
        <f>VLOOKUP($B884,DONGIA,DG!$E$6,0)</f>
        <v>75000</v>
      </c>
      <c r="I884" s="525"/>
      <c r="J884" s="525"/>
      <c r="K884" s="525"/>
      <c r="L884" s="525"/>
      <c r="M884" s="525">
        <f>VLOOKUP($B884,DONGIA,DG!$G$6,0)</f>
        <v>0</v>
      </c>
      <c r="N884" s="525">
        <f t="shared" si="721"/>
        <v>88950000</v>
      </c>
      <c r="O884" s="525">
        <f t="shared" si="720"/>
        <v>0</v>
      </c>
      <c r="P884" s="525">
        <f t="shared" si="720"/>
        <v>0</v>
      </c>
      <c r="Q884" s="525">
        <f t="shared" si="720"/>
        <v>0</v>
      </c>
      <c r="R884" s="525">
        <f t="shared" si="720"/>
        <v>0</v>
      </c>
      <c r="S884" s="525">
        <f t="shared" si="720"/>
        <v>0</v>
      </c>
      <c r="U884" s="525"/>
      <c r="V884" s="525"/>
      <c r="W884" s="525"/>
      <c r="X884" s="525"/>
      <c r="Y884" s="525"/>
      <c r="Z884" s="525"/>
      <c r="AA884" s="525"/>
      <c r="AB884" s="525">
        <f t="shared" si="722"/>
        <v>1186</v>
      </c>
      <c r="AD884" s="405">
        <f t="shared" si="715"/>
        <v>0.1</v>
      </c>
      <c r="AE884" s="525">
        <f t="shared" si="716"/>
        <v>0</v>
      </c>
      <c r="AF884" s="525">
        <f t="shared" si="717"/>
        <v>0</v>
      </c>
      <c r="AG884" s="525">
        <f t="shared" si="717"/>
        <v>0</v>
      </c>
      <c r="AH884" s="525">
        <f t="shared" si="717"/>
        <v>0</v>
      </c>
      <c r="AI884" s="525">
        <f t="shared" si="718"/>
        <v>0</v>
      </c>
      <c r="AJ884" s="525">
        <f t="shared" si="718"/>
        <v>0</v>
      </c>
      <c r="AK884" s="525">
        <f t="shared" si="718"/>
        <v>0</v>
      </c>
      <c r="AL884" s="525">
        <f t="shared" si="719"/>
        <v>118.60000000000001</v>
      </c>
    </row>
    <row r="885" spans="1:38" s="332" customFormat="1">
      <c r="A885" s="356"/>
      <c r="B885" s="356" t="s">
        <v>2020</v>
      </c>
      <c r="C885" s="355">
        <f t="shared" si="713"/>
        <v>0</v>
      </c>
      <c r="D885" s="341" t="str">
        <f>VLOOKUP(B885,DONGIA,DG!$B$6,0)</f>
        <v>D4.6203</v>
      </c>
      <c r="E885" s="340" t="str">
        <f>VLOOKUP(B885,DONGIA,DG!$C$6,0)</f>
        <v>Ghíp nối IPC 150-35</v>
      </c>
      <c r="F885" s="341" t="str">
        <f>VLOOKUP(B885,DONGIA,DG!$D$6,0)</f>
        <v>cái</v>
      </c>
      <c r="G885" s="329">
        <f>HLOOKUP(B885,BKHT,PPHT!$A$700,0)</f>
        <v>0</v>
      </c>
      <c r="H885" s="329">
        <f>VLOOKUP($B885,DONGIA,DG!$E$6,0)</f>
        <v>40000</v>
      </c>
      <c r="I885" s="329"/>
      <c r="J885" s="329"/>
      <c r="K885" s="329">
        <f>VLOOKUP($B885,DONGIA,DG!$F$6,0)</f>
        <v>109771</v>
      </c>
      <c r="L885" s="329"/>
      <c r="M885" s="329">
        <f>VLOOKUP($B885,DONGIA,DG!$G$6,0)</f>
        <v>0</v>
      </c>
      <c r="N885" s="329">
        <f t="shared" si="721"/>
        <v>0</v>
      </c>
      <c r="O885" s="329">
        <f t="shared" si="720"/>
        <v>0</v>
      </c>
      <c r="P885" s="329">
        <f t="shared" si="720"/>
        <v>0</v>
      </c>
      <c r="Q885" s="329">
        <f t="shared" si="720"/>
        <v>0</v>
      </c>
      <c r="R885" s="329">
        <f t="shared" si="720"/>
        <v>0</v>
      </c>
      <c r="S885" s="329">
        <f t="shared" si="720"/>
        <v>0</v>
      </c>
      <c r="U885" s="329"/>
      <c r="V885" s="329"/>
      <c r="W885" s="329"/>
      <c r="X885" s="329"/>
      <c r="Y885" s="329"/>
      <c r="Z885" s="329"/>
      <c r="AA885" s="329"/>
      <c r="AB885" s="329">
        <f t="shared" si="722"/>
        <v>0</v>
      </c>
      <c r="AD885" s="332">
        <f t="shared" si="715"/>
        <v>0.1</v>
      </c>
      <c r="AE885" s="329">
        <f t="shared" si="716"/>
        <v>0</v>
      </c>
      <c r="AF885" s="329">
        <f t="shared" si="717"/>
        <v>0</v>
      </c>
      <c r="AG885" s="329">
        <f t="shared" si="717"/>
        <v>0</v>
      </c>
      <c r="AH885" s="329">
        <f t="shared" si="717"/>
        <v>0</v>
      </c>
      <c r="AI885" s="329">
        <f t="shared" si="718"/>
        <v>0</v>
      </c>
      <c r="AJ885" s="329">
        <f t="shared" si="718"/>
        <v>0</v>
      </c>
      <c r="AK885" s="329">
        <f t="shared" si="718"/>
        <v>0</v>
      </c>
      <c r="AL885" s="329">
        <f t="shared" si="719"/>
        <v>0</v>
      </c>
    </row>
    <row r="886" spans="1:38" s="332" customFormat="1">
      <c r="A886" s="356"/>
      <c r="B886" s="356" t="s">
        <v>2021</v>
      </c>
      <c r="C886" s="355">
        <f t="shared" si="713"/>
        <v>0</v>
      </c>
      <c r="D886" s="341" t="str">
        <f>VLOOKUP(B886,DONGIA,DG!$B$6,0)</f>
        <v>D4.6203</v>
      </c>
      <c r="E886" s="340" t="str">
        <f>VLOOKUP(B886,DONGIA,DG!$C$6,0)</f>
        <v>Ghíp nối IPC 120-120</v>
      </c>
      <c r="F886" s="341" t="str">
        <f>VLOOKUP(B886,DONGIA,DG!$D$6,0)</f>
        <v>cái</v>
      </c>
      <c r="G886" s="329">
        <f>HLOOKUP(B886,BKHT,PPHT!$A$700,0)</f>
        <v>0</v>
      </c>
      <c r="H886" s="329">
        <f>VLOOKUP($B886,DONGIA,DG!$E$6,0)</f>
        <v>145000</v>
      </c>
      <c r="I886" s="329"/>
      <c r="J886" s="329"/>
      <c r="K886" s="329">
        <f>VLOOKUP($B886,DONGIA,DG!$F$6,0)</f>
        <v>109771</v>
      </c>
      <c r="L886" s="329"/>
      <c r="M886" s="329">
        <f>VLOOKUP($B886,DONGIA,DG!$G$6,0)</f>
        <v>0</v>
      </c>
      <c r="N886" s="329">
        <f t="shared" si="721"/>
        <v>0</v>
      </c>
      <c r="O886" s="329">
        <f t="shared" si="720"/>
        <v>0</v>
      </c>
      <c r="P886" s="329">
        <f t="shared" si="720"/>
        <v>0</v>
      </c>
      <c r="Q886" s="329">
        <f t="shared" si="720"/>
        <v>0</v>
      </c>
      <c r="R886" s="329">
        <f t="shared" si="720"/>
        <v>0</v>
      </c>
      <c r="S886" s="329">
        <f t="shared" si="720"/>
        <v>0</v>
      </c>
      <c r="U886" s="329"/>
      <c r="V886" s="329"/>
      <c r="W886" s="329"/>
      <c r="X886" s="329"/>
      <c r="Y886" s="329"/>
      <c r="Z886" s="329"/>
      <c r="AA886" s="329"/>
      <c r="AB886" s="329">
        <f t="shared" si="722"/>
        <v>0</v>
      </c>
      <c r="AD886" s="332">
        <f t="shared" si="715"/>
        <v>0.1</v>
      </c>
      <c r="AE886" s="329">
        <f t="shared" si="716"/>
        <v>0</v>
      </c>
      <c r="AF886" s="329">
        <f t="shared" si="717"/>
        <v>0</v>
      </c>
      <c r="AG886" s="329">
        <f t="shared" si="717"/>
        <v>0</v>
      </c>
      <c r="AH886" s="329">
        <f t="shared" si="717"/>
        <v>0</v>
      </c>
      <c r="AI886" s="329">
        <f t="shared" si="718"/>
        <v>0</v>
      </c>
      <c r="AJ886" s="329">
        <f t="shared" si="718"/>
        <v>0</v>
      </c>
      <c r="AK886" s="329">
        <f t="shared" si="718"/>
        <v>0</v>
      </c>
      <c r="AL886" s="329">
        <f t="shared" si="719"/>
        <v>0</v>
      </c>
    </row>
    <row r="887" spans="1:38">
      <c r="A887" s="618"/>
      <c r="B887" s="618" t="s">
        <v>306</v>
      </c>
      <c r="C887" s="619">
        <f t="shared" si="713"/>
        <v>1</v>
      </c>
      <c r="D887" s="523">
        <f>VLOOKUP(B887,DONGIA,DG!$B$6,0)</f>
        <v>0</v>
      </c>
      <c r="E887" s="666" t="str">
        <f>VLOOKUP(B887,DONGIA,DG!$C$6,0)</f>
        <v>Hộp gắn CB phân đoạn</v>
      </c>
      <c r="F887" s="523" t="str">
        <f>VLOOKUP(B887,DONGIA,DG!$D$6,0)</f>
        <v>cái</v>
      </c>
      <c r="G887" s="525">
        <f>HLOOKUP(B887,BKHT,PPHT!$A$700,0)</f>
        <v>8</v>
      </c>
      <c r="H887" s="525">
        <f>VLOOKUP($B887,DONGIA,DG!$E$6,0)</f>
        <v>446000</v>
      </c>
      <c r="I887" s="525"/>
      <c r="J887" s="525"/>
      <c r="K887" s="525">
        <f>VLOOKUP($B887,DONGIA,DG!$F$6,0)</f>
        <v>0</v>
      </c>
      <c r="L887" s="525"/>
      <c r="M887" s="525">
        <f>VLOOKUP($B887,DONGIA,DG!$G$6,0)</f>
        <v>0</v>
      </c>
      <c r="N887" s="525">
        <f t="shared" si="721"/>
        <v>3568000</v>
      </c>
      <c r="O887" s="525">
        <f t="shared" si="720"/>
        <v>0</v>
      </c>
      <c r="P887" s="525">
        <f t="shared" si="720"/>
        <v>0</v>
      </c>
      <c r="Q887" s="525">
        <f t="shared" si="720"/>
        <v>0</v>
      </c>
      <c r="R887" s="525">
        <f t="shared" si="720"/>
        <v>0</v>
      </c>
      <c r="S887" s="525">
        <f t="shared" si="720"/>
        <v>0</v>
      </c>
      <c r="U887" s="525"/>
      <c r="V887" s="525"/>
      <c r="W887" s="525"/>
      <c r="X887" s="525"/>
      <c r="Y887" s="525"/>
      <c r="Z887" s="525"/>
      <c r="AA887" s="525"/>
      <c r="AB887" s="525">
        <f t="shared" si="722"/>
        <v>8</v>
      </c>
      <c r="AD887" s="405">
        <f t="shared" si="715"/>
        <v>0.85</v>
      </c>
      <c r="AE887" s="525">
        <f t="shared" si="716"/>
        <v>0</v>
      </c>
      <c r="AF887" s="525">
        <f t="shared" si="717"/>
        <v>0</v>
      </c>
      <c r="AG887" s="525">
        <f t="shared" si="717"/>
        <v>0</v>
      </c>
      <c r="AH887" s="525">
        <f t="shared" si="717"/>
        <v>0</v>
      </c>
      <c r="AI887" s="525">
        <f t="shared" si="718"/>
        <v>0</v>
      </c>
      <c r="AJ887" s="525">
        <f t="shared" si="718"/>
        <v>0</v>
      </c>
      <c r="AK887" s="525">
        <f t="shared" si="718"/>
        <v>0</v>
      </c>
      <c r="AL887" s="525">
        <f t="shared" si="719"/>
        <v>6.8</v>
      </c>
    </row>
    <row r="888" spans="1:38">
      <c r="A888" s="618"/>
      <c r="B888" s="618" t="s">
        <v>301</v>
      </c>
      <c r="C888" s="619">
        <f t="shared" si="713"/>
        <v>1</v>
      </c>
      <c r="D888" s="523" t="str">
        <f>VLOOKUP(B888,DONGIA,DG!$B$6,0)</f>
        <v>11.03.204</v>
      </c>
      <c r="E888" s="666" t="str">
        <f>VLOOKUP(B888,DONGIA,DG!$C$6,0)</f>
        <v>Hộp phân phối 9 cực bắt trực tiếp</v>
      </c>
      <c r="F888" s="523" t="str">
        <f>VLOOKUP(B888,DONGIA,DG!$D$6,0)</f>
        <v>cái</v>
      </c>
      <c r="G888" s="525">
        <f>HLOOKUP(B888,BKHT,PPHT!$A$700,0)</f>
        <v>365</v>
      </c>
      <c r="H888" s="525">
        <f>VLOOKUP($B888,DONGIA,DG!$E$6,0)</f>
        <v>430000</v>
      </c>
      <c r="I888" s="525"/>
      <c r="J888" s="525"/>
      <c r="K888" s="525">
        <f>VLOOKUP($B888,DONGIA,DG!$F$6,0)</f>
        <v>186523</v>
      </c>
      <c r="L888" s="525"/>
      <c r="M888" s="525">
        <f>VLOOKUP($B888,DONGIA,DG!$G$6,0)</f>
        <v>0</v>
      </c>
      <c r="N888" s="525">
        <f t="shared" si="721"/>
        <v>156950000</v>
      </c>
      <c r="O888" s="525">
        <f t="shared" ref="O888:O955" si="727">$G888*I888</f>
        <v>0</v>
      </c>
      <c r="P888" s="525">
        <f t="shared" ref="P888:P955" si="728">$G888*J888</f>
        <v>0</v>
      </c>
      <c r="Q888" s="525">
        <f t="shared" ref="Q888:Q955" si="729">$G888*K888</f>
        <v>68080895</v>
      </c>
      <c r="R888" s="525">
        <f t="shared" ref="R888:R955" si="730">$G888*L888</f>
        <v>0</v>
      </c>
      <c r="S888" s="525">
        <f t="shared" ref="S888:S955" si="731">$G888*M888</f>
        <v>0</v>
      </c>
      <c r="U888" s="525"/>
      <c r="V888" s="525"/>
      <c r="W888" s="525"/>
      <c r="X888" s="525"/>
      <c r="Y888" s="525"/>
      <c r="Z888" s="525"/>
      <c r="AA888" s="525"/>
      <c r="AB888" s="525">
        <f t="shared" si="722"/>
        <v>365</v>
      </c>
      <c r="AD888" s="405">
        <f t="shared" si="715"/>
        <v>0.65</v>
      </c>
      <c r="AE888" s="525">
        <f t="shared" si="716"/>
        <v>0</v>
      </c>
      <c r="AF888" s="525">
        <f t="shared" si="717"/>
        <v>0</v>
      </c>
      <c r="AG888" s="525">
        <f t="shared" si="717"/>
        <v>0</v>
      </c>
      <c r="AH888" s="525">
        <f t="shared" si="717"/>
        <v>0</v>
      </c>
      <c r="AI888" s="525">
        <f t="shared" si="718"/>
        <v>0</v>
      </c>
      <c r="AJ888" s="525">
        <f t="shared" si="718"/>
        <v>0</v>
      </c>
      <c r="AK888" s="525">
        <f t="shared" si="718"/>
        <v>0</v>
      </c>
      <c r="AL888" s="525">
        <f t="shared" si="719"/>
        <v>237.25</v>
      </c>
    </row>
    <row r="889" spans="1:38" s="332" customFormat="1">
      <c r="A889" s="356"/>
      <c r="B889" s="356" t="s">
        <v>304</v>
      </c>
      <c r="C889" s="355">
        <f t="shared" si="713"/>
        <v>0</v>
      </c>
      <c r="D889" s="341" t="str">
        <f>VLOOKUP(B889,DONGIA,DG!$B$6,0)</f>
        <v>11.03.204</v>
      </c>
      <c r="E889" s="340" t="str">
        <f>VLOOKUP(B889,DONGIA,DG!$C$6,0)</f>
        <v>Hộp phân phối 6 cực bắt trực tiếp</v>
      </c>
      <c r="F889" s="341" t="str">
        <f>VLOOKUP(B889,DONGIA,DG!$D$6,0)</f>
        <v>cái</v>
      </c>
      <c r="G889" s="329">
        <f>HLOOKUP(B889,BKHT,PPHT!$A$700,0)</f>
        <v>0</v>
      </c>
      <c r="H889" s="329">
        <f>VLOOKUP($B889,DONGIA,DG!$E$6,0)</f>
        <v>455000</v>
      </c>
      <c r="I889" s="329"/>
      <c r="J889" s="329"/>
      <c r="K889" s="329">
        <f>VLOOKUP($B889,DONGIA,DG!$F$6,0)</f>
        <v>186523</v>
      </c>
      <c r="L889" s="329"/>
      <c r="M889" s="329">
        <f>VLOOKUP($B889,DONGIA,DG!$G$6,0)</f>
        <v>0</v>
      </c>
      <c r="N889" s="329">
        <f t="shared" si="721"/>
        <v>0</v>
      </c>
      <c r="O889" s="329">
        <f t="shared" si="727"/>
        <v>0</v>
      </c>
      <c r="P889" s="329">
        <f t="shared" si="728"/>
        <v>0</v>
      </c>
      <c r="Q889" s="329">
        <f t="shared" si="729"/>
        <v>0</v>
      </c>
      <c r="R889" s="329">
        <f t="shared" si="730"/>
        <v>0</v>
      </c>
      <c r="S889" s="329">
        <f t="shared" si="731"/>
        <v>0</v>
      </c>
      <c r="U889" s="329"/>
      <c r="V889" s="329"/>
      <c r="W889" s="329"/>
      <c r="X889" s="329"/>
      <c r="Y889" s="329"/>
      <c r="Z889" s="329"/>
      <c r="AA889" s="329"/>
      <c r="AB889" s="329">
        <f t="shared" si="722"/>
        <v>0</v>
      </c>
      <c r="AD889" s="332">
        <f t="shared" si="715"/>
        <v>0.6</v>
      </c>
      <c r="AE889" s="329">
        <f t="shared" si="716"/>
        <v>0</v>
      </c>
      <c r="AF889" s="329">
        <f t="shared" si="717"/>
        <v>0</v>
      </c>
      <c r="AG889" s="329">
        <f t="shared" si="717"/>
        <v>0</v>
      </c>
      <c r="AH889" s="329">
        <f t="shared" si="717"/>
        <v>0</v>
      </c>
      <c r="AI889" s="329">
        <f t="shared" si="718"/>
        <v>0</v>
      </c>
      <c r="AJ889" s="329">
        <f t="shared" si="718"/>
        <v>0</v>
      </c>
      <c r="AK889" s="329">
        <f t="shared" si="718"/>
        <v>0</v>
      </c>
      <c r="AL889" s="329">
        <f t="shared" si="719"/>
        <v>0</v>
      </c>
    </row>
    <row r="890" spans="1:38">
      <c r="A890" s="618"/>
      <c r="B890" s="618" t="s">
        <v>1733</v>
      </c>
      <c r="C890" s="619">
        <f t="shared" si="713"/>
        <v>1</v>
      </c>
      <c r="D890" s="523">
        <f>VLOOKUP(B890,DONGIA,DG!$B$6,0)</f>
        <v>0</v>
      </c>
      <c r="E890" s="666" t="str">
        <f>VLOOKUP(B890,DONGIA,DG!$C$6,0)</f>
        <v>Cáp đồng bọc CV25</v>
      </c>
      <c r="F890" s="523" t="str">
        <f>VLOOKUP(B890,DONGIA,DG!$D$6,0)</f>
        <v>mét</v>
      </c>
      <c r="G890" s="525">
        <f>G888*4+G889*3</f>
        <v>1460</v>
      </c>
      <c r="H890" s="525">
        <f>VLOOKUP($B890,DONGIA,DG!$E$6,0)</f>
        <v>53520</v>
      </c>
      <c r="I890" s="525"/>
      <c r="J890" s="525"/>
      <c r="K890" s="525">
        <f>VLOOKUP($B890,DONGIA,DG!$F$6,0)</f>
        <v>0</v>
      </c>
      <c r="L890" s="525"/>
      <c r="M890" s="525">
        <f>VLOOKUP($B890,DONGIA,DG!$G$6,0)</f>
        <v>0</v>
      </c>
      <c r="N890" s="525">
        <f t="shared" si="721"/>
        <v>78139200</v>
      </c>
      <c r="O890" s="525">
        <f t="shared" si="727"/>
        <v>0</v>
      </c>
      <c r="P890" s="525">
        <f t="shared" si="728"/>
        <v>0</v>
      </c>
      <c r="Q890" s="525">
        <f t="shared" si="729"/>
        <v>0</v>
      </c>
      <c r="R890" s="525">
        <f t="shared" si="730"/>
        <v>0</v>
      </c>
      <c r="S890" s="525">
        <f t="shared" si="731"/>
        <v>0</v>
      </c>
      <c r="U890" s="525"/>
      <c r="V890" s="525"/>
      <c r="W890" s="525"/>
      <c r="X890" s="525"/>
      <c r="Y890" s="525"/>
      <c r="Z890" s="525"/>
      <c r="AA890" s="525"/>
      <c r="AB890" s="525">
        <f t="shared" si="722"/>
        <v>1460</v>
      </c>
      <c r="AD890" s="405">
        <f t="shared" si="715"/>
        <v>0.29099999999999998</v>
      </c>
      <c r="AE890" s="525">
        <f t="shared" si="716"/>
        <v>0</v>
      </c>
      <c r="AF890" s="525">
        <f t="shared" si="717"/>
        <v>0</v>
      </c>
      <c r="AG890" s="525">
        <f t="shared" si="717"/>
        <v>0</v>
      </c>
      <c r="AH890" s="525">
        <f t="shared" si="717"/>
        <v>0</v>
      </c>
      <c r="AI890" s="525">
        <f t="shared" si="718"/>
        <v>0</v>
      </c>
      <c r="AJ890" s="525">
        <f t="shared" si="718"/>
        <v>0</v>
      </c>
      <c r="AK890" s="525">
        <f t="shared" si="718"/>
        <v>0</v>
      </c>
      <c r="AL890" s="525">
        <f t="shared" si="719"/>
        <v>424.85999999999996</v>
      </c>
    </row>
    <row r="891" spans="1:38" s="332" customFormat="1">
      <c r="A891" s="356"/>
      <c r="B891" s="356" t="s">
        <v>1612</v>
      </c>
      <c r="C891" s="355">
        <f t="shared" si="713"/>
        <v>0</v>
      </c>
      <c r="D891" s="341">
        <f>VLOOKUP(B891,DONGIA,DG!$B$6,0)</f>
        <v>0</v>
      </c>
      <c r="E891" s="340" t="str">
        <f>VLOOKUP(B891,DONGIA,DG!$C$6,0)</f>
        <v>Kẹp treo cáp ABC4x70mm2</v>
      </c>
      <c r="F891" s="341" t="str">
        <f>VLOOKUP(B891,DONGIA,DG!$D$6,0)</f>
        <v>cái</v>
      </c>
      <c r="G891" s="329">
        <f>HLOOKUP(B891,BKHT,PPHT!$A$700,0)</f>
        <v>0</v>
      </c>
      <c r="H891" s="329">
        <f>VLOOKUP($B891,DONGIA,DG!$E$6,0)</f>
        <v>22000</v>
      </c>
      <c r="I891" s="329"/>
      <c r="J891" s="329"/>
      <c r="K891" s="329">
        <f>VLOOKUP($B891,DONGIA,DG!$F$6,0)</f>
        <v>0</v>
      </c>
      <c r="L891" s="329"/>
      <c r="M891" s="329">
        <f>VLOOKUP($B891,DONGIA,DG!$G$6,0)</f>
        <v>0</v>
      </c>
      <c r="N891" s="329">
        <f t="shared" si="721"/>
        <v>0</v>
      </c>
      <c r="O891" s="329">
        <f t="shared" si="727"/>
        <v>0</v>
      </c>
      <c r="P891" s="329">
        <f t="shared" si="728"/>
        <v>0</v>
      </c>
      <c r="Q891" s="329">
        <f t="shared" si="729"/>
        <v>0</v>
      </c>
      <c r="R891" s="329">
        <f t="shared" si="730"/>
        <v>0</v>
      </c>
      <c r="S891" s="329">
        <f t="shared" si="731"/>
        <v>0</v>
      </c>
      <c r="U891" s="329"/>
      <c r="V891" s="329"/>
      <c r="W891" s="329"/>
      <c r="X891" s="329"/>
      <c r="Y891" s="329"/>
      <c r="Z891" s="329"/>
      <c r="AA891" s="329"/>
      <c r="AB891" s="329">
        <f t="shared" si="722"/>
        <v>0</v>
      </c>
      <c r="AD891" s="332">
        <f t="shared" si="715"/>
        <v>0.4</v>
      </c>
      <c r="AE891" s="329">
        <f t="shared" si="716"/>
        <v>0</v>
      </c>
      <c r="AF891" s="329">
        <f t="shared" si="717"/>
        <v>0</v>
      </c>
      <c r="AG891" s="329">
        <f t="shared" si="717"/>
        <v>0</v>
      </c>
      <c r="AH891" s="329">
        <f t="shared" si="717"/>
        <v>0</v>
      </c>
      <c r="AI891" s="329">
        <f t="shared" si="718"/>
        <v>0</v>
      </c>
      <c r="AJ891" s="329">
        <f t="shared" si="718"/>
        <v>0</v>
      </c>
      <c r="AK891" s="329">
        <f t="shared" si="718"/>
        <v>0</v>
      </c>
      <c r="AL891" s="329">
        <f t="shared" si="719"/>
        <v>0</v>
      </c>
    </row>
    <row r="892" spans="1:38">
      <c r="A892" s="618"/>
      <c r="B892" s="618" t="s">
        <v>2024</v>
      </c>
      <c r="C892" s="619">
        <f t="shared" si="713"/>
        <v>1</v>
      </c>
      <c r="D892" s="523">
        <f>VLOOKUP(B892,DONGIA,DG!$B$6,0)</f>
        <v>0</v>
      </c>
      <c r="E892" s="666" t="str">
        <f>VLOOKUP(B892,DONGIA,DG!$C$6,0)</f>
        <v>Kẹp treo cáp ABC4x95mm2</v>
      </c>
      <c r="F892" s="523" t="str">
        <f>VLOOKUP(B892,DONGIA,DG!$D$6,0)</f>
        <v>cái</v>
      </c>
      <c r="G892" s="525">
        <f>HLOOKUP(B892,BKHT,PPHT!$A$700,0)</f>
        <v>184</v>
      </c>
      <c r="H892" s="525">
        <f>VLOOKUP($B892,DONGIA,DG!$E$6,0)</f>
        <v>22000</v>
      </c>
      <c r="I892" s="525"/>
      <c r="J892" s="525"/>
      <c r="K892" s="525">
        <f>VLOOKUP($B892,DONGIA,DG!$F$6,0)</f>
        <v>0</v>
      </c>
      <c r="L892" s="525"/>
      <c r="M892" s="525">
        <f>VLOOKUP($B892,DONGIA,DG!$G$6,0)</f>
        <v>0</v>
      </c>
      <c r="N892" s="525">
        <f t="shared" si="721"/>
        <v>4048000</v>
      </c>
      <c r="O892" s="525">
        <f t="shared" si="727"/>
        <v>0</v>
      </c>
      <c r="P892" s="525">
        <f t="shared" si="728"/>
        <v>0</v>
      </c>
      <c r="Q892" s="525">
        <f t="shared" si="729"/>
        <v>0</v>
      </c>
      <c r="R892" s="525">
        <f t="shared" si="730"/>
        <v>0</v>
      </c>
      <c r="S892" s="525">
        <f t="shared" si="731"/>
        <v>0</v>
      </c>
      <c r="U892" s="525"/>
      <c r="V892" s="525"/>
      <c r="W892" s="525"/>
      <c r="X892" s="525"/>
      <c r="Y892" s="525"/>
      <c r="Z892" s="525"/>
      <c r="AA892" s="525"/>
      <c r="AB892" s="525">
        <f t="shared" si="722"/>
        <v>184</v>
      </c>
      <c r="AD892" s="405">
        <f t="shared" si="715"/>
        <v>0.4</v>
      </c>
      <c r="AE892" s="525">
        <f t="shared" si="716"/>
        <v>0</v>
      </c>
      <c r="AF892" s="525">
        <f t="shared" si="717"/>
        <v>0</v>
      </c>
      <c r="AG892" s="525">
        <f t="shared" si="717"/>
        <v>0</v>
      </c>
      <c r="AH892" s="525">
        <f t="shared" si="717"/>
        <v>0</v>
      </c>
      <c r="AI892" s="525">
        <f t="shared" si="718"/>
        <v>0</v>
      </c>
      <c r="AJ892" s="525">
        <f t="shared" si="718"/>
        <v>0</v>
      </c>
      <c r="AK892" s="525">
        <f t="shared" si="718"/>
        <v>0</v>
      </c>
      <c r="AL892" s="525">
        <f t="shared" si="719"/>
        <v>73.600000000000009</v>
      </c>
    </row>
    <row r="893" spans="1:38">
      <c r="A893" s="618"/>
      <c r="B893" s="618" t="s">
        <v>2025</v>
      </c>
      <c r="C893" s="619">
        <f t="shared" si="713"/>
        <v>1</v>
      </c>
      <c r="D893" s="523">
        <f>VLOOKUP(B893,DONGIA,DG!$B$6,0)</f>
        <v>0</v>
      </c>
      <c r="E893" s="666" t="str">
        <f>VLOOKUP(B893,DONGIA,DG!$C$6,0)</f>
        <v>Kẹp treo cáp ABC4x120mm2</v>
      </c>
      <c r="F893" s="523" t="str">
        <f>VLOOKUP(B893,DONGIA,DG!$D$6,0)</f>
        <v>cái</v>
      </c>
      <c r="G893" s="525">
        <f>HLOOKUP(B893,BKHT,PPHT!$A$700,0)</f>
        <v>208</v>
      </c>
      <c r="H893" s="525">
        <f>VLOOKUP($B893,DONGIA,DG!$E$6,0)</f>
        <v>50000</v>
      </c>
      <c r="I893" s="525"/>
      <c r="J893" s="525"/>
      <c r="K893" s="525">
        <f>VLOOKUP($B893,DONGIA,DG!$F$6,0)</f>
        <v>0</v>
      </c>
      <c r="L893" s="525"/>
      <c r="M893" s="525">
        <f>VLOOKUP($B893,DONGIA,DG!$G$6,0)</f>
        <v>0</v>
      </c>
      <c r="N893" s="525">
        <f t="shared" si="721"/>
        <v>10400000</v>
      </c>
      <c r="O893" s="525">
        <f t="shared" si="727"/>
        <v>0</v>
      </c>
      <c r="P893" s="525">
        <f t="shared" si="728"/>
        <v>0</v>
      </c>
      <c r="Q893" s="525">
        <f t="shared" si="729"/>
        <v>0</v>
      </c>
      <c r="R893" s="525">
        <f t="shared" si="730"/>
        <v>0</v>
      </c>
      <c r="S893" s="525">
        <f t="shared" si="731"/>
        <v>0</v>
      </c>
      <c r="U893" s="525"/>
      <c r="V893" s="525"/>
      <c r="W893" s="525"/>
      <c r="X893" s="525"/>
      <c r="Y893" s="525"/>
      <c r="Z893" s="525"/>
      <c r="AA893" s="525"/>
      <c r="AB893" s="525">
        <f t="shared" si="722"/>
        <v>208</v>
      </c>
      <c r="AD893" s="405">
        <f t="shared" si="715"/>
        <v>0.4</v>
      </c>
      <c r="AE893" s="525">
        <f t="shared" si="716"/>
        <v>0</v>
      </c>
      <c r="AF893" s="525">
        <f t="shared" si="717"/>
        <v>0</v>
      </c>
      <c r="AG893" s="525">
        <f t="shared" si="717"/>
        <v>0</v>
      </c>
      <c r="AH893" s="525">
        <f t="shared" si="717"/>
        <v>0</v>
      </c>
      <c r="AI893" s="525">
        <f t="shared" si="718"/>
        <v>0</v>
      </c>
      <c r="AJ893" s="525">
        <f t="shared" si="718"/>
        <v>0</v>
      </c>
      <c r="AK893" s="525">
        <f t="shared" si="718"/>
        <v>0</v>
      </c>
      <c r="AL893" s="525">
        <f t="shared" si="719"/>
        <v>83.2</v>
      </c>
    </row>
    <row r="894" spans="1:38" s="332" customFormat="1">
      <c r="A894" s="356"/>
      <c r="B894" s="356" t="s">
        <v>1613</v>
      </c>
      <c r="C894" s="355">
        <f t="shared" si="713"/>
        <v>0</v>
      </c>
      <c r="D894" s="341">
        <f>VLOOKUP(B894,DONGIA,DG!$B$6,0)</f>
        <v>0</v>
      </c>
      <c r="E894" s="340" t="str">
        <f>VLOOKUP(B894,DONGIA,DG!$C$6,0)</f>
        <v>Kẹp treo cáp ABC4x150mm2</v>
      </c>
      <c r="F894" s="341" t="str">
        <f>VLOOKUP(B894,DONGIA,DG!$D$6,0)</f>
        <v>cái</v>
      </c>
      <c r="G894" s="329">
        <f>HLOOKUP(B894,BKHT,PPHT!$A$700,0)</f>
        <v>0</v>
      </c>
      <c r="H894" s="329">
        <f>VLOOKUP($B894,DONGIA,DG!$E$6,0)</f>
        <v>50000</v>
      </c>
      <c r="I894" s="329"/>
      <c r="J894" s="329"/>
      <c r="K894" s="329">
        <f>VLOOKUP($B894,DONGIA,DG!$F$6,0)</f>
        <v>0</v>
      </c>
      <c r="L894" s="329"/>
      <c r="M894" s="329">
        <f>VLOOKUP($B894,DONGIA,DG!$G$6,0)</f>
        <v>0</v>
      </c>
      <c r="N894" s="329">
        <f t="shared" si="721"/>
        <v>0</v>
      </c>
      <c r="O894" s="329">
        <f t="shared" si="727"/>
        <v>0</v>
      </c>
      <c r="P894" s="329">
        <f t="shared" si="728"/>
        <v>0</v>
      </c>
      <c r="Q894" s="329">
        <f t="shared" si="729"/>
        <v>0</v>
      </c>
      <c r="R894" s="329">
        <f t="shared" si="730"/>
        <v>0</v>
      </c>
      <c r="S894" s="329">
        <f t="shared" si="731"/>
        <v>0</v>
      </c>
      <c r="U894" s="329"/>
      <c r="V894" s="329"/>
      <c r="W894" s="329"/>
      <c r="X894" s="329"/>
      <c r="Y894" s="329"/>
      <c r="Z894" s="329"/>
      <c r="AA894" s="329"/>
      <c r="AB894" s="329">
        <f t="shared" si="722"/>
        <v>0</v>
      </c>
      <c r="AD894" s="332">
        <f t="shared" si="715"/>
        <v>0.4</v>
      </c>
      <c r="AE894" s="329">
        <f t="shared" si="716"/>
        <v>0</v>
      </c>
      <c r="AF894" s="329">
        <f t="shared" si="717"/>
        <v>0</v>
      </c>
      <c r="AG894" s="329">
        <f t="shared" si="717"/>
        <v>0</v>
      </c>
      <c r="AH894" s="329">
        <f t="shared" si="717"/>
        <v>0</v>
      </c>
      <c r="AI894" s="329">
        <f t="shared" si="718"/>
        <v>0</v>
      </c>
      <c r="AJ894" s="329">
        <f t="shared" si="718"/>
        <v>0</v>
      </c>
      <c r="AK894" s="329">
        <f t="shared" si="718"/>
        <v>0</v>
      </c>
      <c r="AL894" s="329">
        <f t="shared" si="719"/>
        <v>0</v>
      </c>
    </row>
    <row r="895" spans="1:38">
      <c r="A895" s="618"/>
      <c r="B895" s="618" t="s">
        <v>1611</v>
      </c>
      <c r="C895" s="619">
        <f t="shared" si="713"/>
        <v>1</v>
      </c>
      <c r="D895" s="523">
        <f>VLOOKUP(B895,DONGIA,DG!$B$6,0)</f>
        <v>0</v>
      </c>
      <c r="E895" s="666" t="str">
        <f>VLOOKUP(B895,DONGIA,DG!$C$6,0)</f>
        <v>Móc treo chữ A</v>
      </c>
      <c r="F895" s="523" t="str">
        <f>VLOOKUP(B895,DONGIA,DG!$D$6,0)</f>
        <v>cái</v>
      </c>
      <c r="G895" s="525">
        <f>HLOOKUP(B895,BKHT,PPHT!$A$700,0)</f>
        <v>71</v>
      </c>
      <c r="H895" s="525">
        <f>VLOOKUP($B895,DONGIA,DG!$E$6,0)</f>
        <v>37000</v>
      </c>
      <c r="I895" s="525"/>
      <c r="J895" s="525"/>
      <c r="K895" s="525">
        <f>VLOOKUP($B895,DONGIA,DG!$F$6,0)</f>
        <v>0</v>
      </c>
      <c r="L895" s="525"/>
      <c r="M895" s="525">
        <f>VLOOKUP($B895,DONGIA,DG!$G$6,0)</f>
        <v>0</v>
      </c>
      <c r="N895" s="525">
        <f t="shared" si="721"/>
        <v>2627000</v>
      </c>
      <c r="O895" s="525">
        <f t="shared" si="727"/>
        <v>0</v>
      </c>
      <c r="P895" s="525">
        <f t="shared" si="728"/>
        <v>0</v>
      </c>
      <c r="Q895" s="525">
        <f t="shared" si="729"/>
        <v>0</v>
      </c>
      <c r="R895" s="525">
        <f t="shared" si="730"/>
        <v>0</v>
      </c>
      <c r="S895" s="525">
        <f t="shared" si="731"/>
        <v>0</v>
      </c>
      <c r="U895" s="525"/>
      <c r="V895" s="525"/>
      <c r="W895" s="525"/>
      <c r="X895" s="525"/>
      <c r="Y895" s="525"/>
      <c r="Z895" s="525"/>
      <c r="AA895" s="525"/>
      <c r="AB895" s="525">
        <f t="shared" si="722"/>
        <v>71</v>
      </c>
      <c r="AD895" s="405">
        <f t="shared" si="715"/>
        <v>0.5</v>
      </c>
      <c r="AE895" s="525">
        <f t="shared" si="716"/>
        <v>0</v>
      </c>
      <c r="AF895" s="525">
        <f t="shared" si="717"/>
        <v>0</v>
      </c>
      <c r="AG895" s="525">
        <f t="shared" si="717"/>
        <v>0</v>
      </c>
      <c r="AH895" s="525">
        <f t="shared" si="717"/>
        <v>0</v>
      </c>
      <c r="AI895" s="525">
        <f t="shared" si="718"/>
        <v>0</v>
      </c>
      <c r="AJ895" s="525">
        <f t="shared" si="718"/>
        <v>0</v>
      </c>
      <c r="AK895" s="525">
        <f t="shared" si="718"/>
        <v>0</v>
      </c>
      <c r="AL895" s="525">
        <f t="shared" si="719"/>
        <v>35.5</v>
      </c>
    </row>
    <row r="896" spans="1:38" s="332" customFormat="1">
      <c r="A896" s="356"/>
      <c r="B896" s="356" t="s">
        <v>292</v>
      </c>
      <c r="C896" s="355">
        <f t="shared" si="713"/>
        <v>0</v>
      </c>
      <c r="D896" s="341" t="str">
        <f>VLOOKUP(B896,DONGIA,DG!$B$6,0)</f>
        <v>D4.6204</v>
      </c>
      <c r="E896" s="340" t="str">
        <f>VLOOKUP(B896,DONGIA,DG!$C$6,0)</f>
        <v>Kẹp ngừng cáp ABC4x70mm2</v>
      </c>
      <c r="F896" s="341" t="str">
        <f>VLOOKUP(B896,DONGIA,DG!$D$6,0)</f>
        <v>cái</v>
      </c>
      <c r="G896" s="329">
        <f>HLOOKUP(B896,BKHT,PPHT!$A$700,0)</f>
        <v>0</v>
      </c>
      <c r="H896" s="329">
        <f>VLOOKUP($B896,DONGIA,DG!$E$6,0)</f>
        <v>58000</v>
      </c>
      <c r="I896" s="329"/>
      <c r="J896" s="329"/>
      <c r="K896" s="329"/>
      <c r="L896" s="329"/>
      <c r="M896" s="329">
        <f>VLOOKUP($B896,DONGIA,DG!$G$6,0)</f>
        <v>0</v>
      </c>
      <c r="N896" s="329">
        <f t="shared" si="721"/>
        <v>0</v>
      </c>
      <c r="O896" s="329">
        <f t="shared" si="727"/>
        <v>0</v>
      </c>
      <c r="P896" s="329">
        <f t="shared" si="728"/>
        <v>0</v>
      </c>
      <c r="Q896" s="329">
        <f t="shared" si="729"/>
        <v>0</v>
      </c>
      <c r="R896" s="329">
        <f t="shared" si="730"/>
        <v>0</v>
      </c>
      <c r="S896" s="329">
        <f t="shared" si="731"/>
        <v>0</v>
      </c>
      <c r="U896" s="329"/>
      <c r="V896" s="329"/>
      <c r="W896" s="329"/>
      <c r="X896" s="329"/>
      <c r="Y896" s="329"/>
      <c r="Z896" s="329"/>
      <c r="AA896" s="329"/>
      <c r="AB896" s="329">
        <f t="shared" si="722"/>
        <v>0</v>
      </c>
      <c r="AD896" s="332">
        <f t="shared" si="715"/>
        <v>0</v>
      </c>
      <c r="AE896" s="329">
        <f t="shared" si="716"/>
        <v>0</v>
      </c>
      <c r="AF896" s="329">
        <f t="shared" si="717"/>
        <v>0</v>
      </c>
      <c r="AG896" s="329">
        <f t="shared" si="717"/>
        <v>0</v>
      </c>
      <c r="AH896" s="329">
        <f t="shared" si="717"/>
        <v>0</v>
      </c>
      <c r="AI896" s="329">
        <f t="shared" si="718"/>
        <v>0</v>
      </c>
      <c r="AJ896" s="329">
        <f t="shared" si="718"/>
        <v>0</v>
      </c>
      <c r="AK896" s="329">
        <f t="shared" si="718"/>
        <v>0</v>
      </c>
      <c r="AL896" s="329">
        <f t="shared" si="719"/>
        <v>0</v>
      </c>
    </row>
    <row r="897" spans="1:38">
      <c r="A897" s="618"/>
      <c r="B897" s="618" t="s">
        <v>294</v>
      </c>
      <c r="C897" s="619">
        <f t="shared" si="713"/>
        <v>1</v>
      </c>
      <c r="D897" s="523" t="str">
        <f>VLOOKUP(B897,DONGIA,DG!$B$6,0)</f>
        <v>D4.6205</v>
      </c>
      <c r="E897" s="666" t="str">
        <f>VLOOKUP(B897,DONGIA,DG!$C$6,0)</f>
        <v>Kẹp ngừng cáp ABC4x95mm2</v>
      </c>
      <c r="F897" s="523" t="str">
        <f>VLOOKUP(B897,DONGIA,DG!$D$6,0)</f>
        <v>cái</v>
      </c>
      <c r="G897" s="525">
        <f>HLOOKUP(B897,BKHT,PPHT!$A$700,0)</f>
        <v>153</v>
      </c>
      <c r="H897" s="525">
        <f>VLOOKUP($B897,DONGIA,DG!$E$6,0)</f>
        <v>58000</v>
      </c>
      <c r="I897" s="525"/>
      <c r="J897" s="525"/>
      <c r="K897" s="525">
        <f>VLOOKUP($B897,DONGIA,DG!$F$6,0)*0</f>
        <v>0</v>
      </c>
      <c r="L897" s="525"/>
      <c r="M897" s="525">
        <f>VLOOKUP($B897,DONGIA,DG!$G$6,0)</f>
        <v>0</v>
      </c>
      <c r="N897" s="525">
        <f t="shared" si="721"/>
        <v>8874000</v>
      </c>
      <c r="O897" s="525">
        <f t="shared" si="727"/>
        <v>0</v>
      </c>
      <c r="P897" s="525">
        <f t="shared" si="728"/>
        <v>0</v>
      </c>
      <c r="Q897" s="525">
        <f t="shared" si="729"/>
        <v>0</v>
      </c>
      <c r="R897" s="525">
        <f t="shared" si="730"/>
        <v>0</v>
      </c>
      <c r="S897" s="525">
        <f t="shared" si="731"/>
        <v>0</v>
      </c>
      <c r="U897" s="525"/>
      <c r="V897" s="525"/>
      <c r="W897" s="525"/>
      <c r="X897" s="525"/>
      <c r="Y897" s="525"/>
      <c r="Z897" s="525"/>
      <c r="AA897" s="525"/>
      <c r="AB897" s="525">
        <f t="shared" si="722"/>
        <v>153</v>
      </c>
      <c r="AD897" s="405">
        <f t="shared" si="715"/>
        <v>0</v>
      </c>
      <c r="AE897" s="525">
        <f t="shared" si="716"/>
        <v>0</v>
      </c>
      <c r="AF897" s="525">
        <f t="shared" si="717"/>
        <v>0</v>
      </c>
      <c r="AG897" s="525">
        <f t="shared" si="717"/>
        <v>0</v>
      </c>
      <c r="AH897" s="525">
        <f t="shared" si="717"/>
        <v>0</v>
      </c>
      <c r="AI897" s="525">
        <f t="shared" si="718"/>
        <v>0</v>
      </c>
      <c r="AJ897" s="525">
        <f t="shared" si="718"/>
        <v>0</v>
      </c>
      <c r="AK897" s="525">
        <f t="shared" si="718"/>
        <v>0</v>
      </c>
      <c r="AL897" s="525">
        <f t="shared" si="719"/>
        <v>0</v>
      </c>
    </row>
    <row r="898" spans="1:38">
      <c r="A898" s="618"/>
      <c r="B898" s="618" t="s">
        <v>297</v>
      </c>
      <c r="C898" s="619">
        <f t="shared" si="713"/>
        <v>1</v>
      </c>
      <c r="D898" s="523"/>
      <c r="E898" s="666" t="str">
        <f>VLOOKUP(B898,DONGIA,DG!$C$6,0)</f>
        <v>Kẹp ngừng cáp ABC4x120mm2</v>
      </c>
      <c r="F898" s="523" t="str">
        <f>VLOOKUP(B898,DONGIA,DG!$D$6,0)</f>
        <v>cái</v>
      </c>
      <c r="G898" s="525">
        <f>HLOOKUP(B898,BKHT,PPHT!$A$700,0)</f>
        <v>171</v>
      </c>
      <c r="H898" s="525">
        <f>VLOOKUP($B898,DONGIA,DG!$E$6,0)</f>
        <v>74000</v>
      </c>
      <c r="I898" s="525"/>
      <c r="J898" s="525"/>
      <c r="K898" s="525"/>
      <c r="L898" s="525"/>
      <c r="M898" s="525">
        <f>VLOOKUP($B898,DONGIA,DG!$G$6,0)</f>
        <v>0</v>
      </c>
      <c r="N898" s="525">
        <f t="shared" si="721"/>
        <v>12654000</v>
      </c>
      <c r="O898" s="525">
        <f t="shared" si="727"/>
        <v>0</v>
      </c>
      <c r="P898" s="525">
        <f t="shared" si="728"/>
        <v>0</v>
      </c>
      <c r="Q898" s="525">
        <f t="shared" si="729"/>
        <v>0</v>
      </c>
      <c r="R898" s="525">
        <f t="shared" si="730"/>
        <v>0</v>
      </c>
      <c r="S898" s="525">
        <f t="shared" si="731"/>
        <v>0</v>
      </c>
      <c r="U898" s="525"/>
      <c r="V898" s="525"/>
      <c r="W898" s="525"/>
      <c r="X898" s="525"/>
      <c r="Y898" s="525"/>
      <c r="Z898" s="525"/>
      <c r="AA898" s="525"/>
      <c r="AB898" s="525">
        <f t="shared" si="722"/>
        <v>171</v>
      </c>
      <c r="AD898" s="405">
        <f t="shared" si="715"/>
        <v>0</v>
      </c>
      <c r="AE898" s="525">
        <f t="shared" si="716"/>
        <v>0</v>
      </c>
      <c r="AF898" s="525">
        <f t="shared" si="717"/>
        <v>0</v>
      </c>
      <c r="AG898" s="525">
        <f t="shared" si="717"/>
        <v>0</v>
      </c>
      <c r="AH898" s="525">
        <f t="shared" si="717"/>
        <v>0</v>
      </c>
      <c r="AI898" s="525">
        <f t="shared" si="718"/>
        <v>0</v>
      </c>
      <c r="AJ898" s="525">
        <f t="shared" si="718"/>
        <v>0</v>
      </c>
      <c r="AK898" s="525">
        <f t="shared" si="718"/>
        <v>0</v>
      </c>
      <c r="AL898" s="525">
        <f t="shared" si="719"/>
        <v>0</v>
      </c>
    </row>
    <row r="899" spans="1:38" s="332" customFormat="1">
      <c r="A899" s="356"/>
      <c r="B899" s="356" t="s">
        <v>299</v>
      </c>
      <c r="C899" s="355">
        <f t="shared" si="713"/>
        <v>0</v>
      </c>
      <c r="D899" s="341" t="str">
        <f>VLOOKUP(B899,DONGIA,DG!$B$6,0)</f>
        <v>D4.6205</v>
      </c>
      <c r="E899" s="340" t="str">
        <f>VLOOKUP(B899,DONGIA,DG!$C$6,0)</f>
        <v>Kẹp ngừng cáp ABC4x150mm2</v>
      </c>
      <c r="F899" s="341" t="str">
        <f>VLOOKUP(B899,DONGIA,DG!$D$6,0)</f>
        <v>cái</v>
      </c>
      <c r="G899" s="329">
        <f>HLOOKUP(B899,BKHT,PPHT!$A$700,0)</f>
        <v>0</v>
      </c>
      <c r="H899" s="329">
        <f>VLOOKUP($B899,DONGIA,DG!$E$6,0)</f>
        <v>85000</v>
      </c>
      <c r="I899" s="329"/>
      <c r="J899" s="329"/>
      <c r="K899" s="329">
        <f>VLOOKUP($B899,DONGIA,DG!$F$6,0)</f>
        <v>0</v>
      </c>
      <c r="L899" s="329"/>
      <c r="M899" s="329">
        <f>VLOOKUP($B899,DONGIA,DG!$G$6,0)</f>
        <v>0</v>
      </c>
      <c r="N899" s="329">
        <f t="shared" si="721"/>
        <v>0</v>
      </c>
      <c r="O899" s="329">
        <f t="shared" si="727"/>
        <v>0</v>
      </c>
      <c r="P899" s="329">
        <f t="shared" si="728"/>
        <v>0</v>
      </c>
      <c r="Q899" s="329">
        <f t="shared" si="729"/>
        <v>0</v>
      </c>
      <c r="R899" s="329">
        <f t="shared" si="730"/>
        <v>0</v>
      </c>
      <c r="S899" s="329">
        <f t="shared" si="731"/>
        <v>0</v>
      </c>
      <c r="U899" s="329"/>
      <c r="V899" s="329"/>
      <c r="W899" s="329"/>
      <c r="X899" s="329"/>
      <c r="Y899" s="329"/>
      <c r="Z899" s="329"/>
      <c r="AA899" s="329"/>
      <c r="AB899" s="329">
        <f t="shared" si="722"/>
        <v>0</v>
      </c>
      <c r="AD899" s="332">
        <f t="shared" si="715"/>
        <v>0</v>
      </c>
      <c r="AE899" s="329">
        <f t="shared" si="716"/>
        <v>0</v>
      </c>
      <c r="AF899" s="329">
        <f t="shared" si="717"/>
        <v>0</v>
      </c>
      <c r="AG899" s="329">
        <f t="shared" si="717"/>
        <v>0</v>
      </c>
      <c r="AH899" s="329">
        <f t="shared" si="717"/>
        <v>0</v>
      </c>
      <c r="AI899" s="329">
        <f t="shared" si="718"/>
        <v>0</v>
      </c>
      <c r="AJ899" s="329">
        <f t="shared" si="718"/>
        <v>0</v>
      </c>
      <c r="AK899" s="329">
        <f t="shared" si="718"/>
        <v>0</v>
      </c>
      <c r="AL899" s="329">
        <f t="shared" si="719"/>
        <v>0</v>
      </c>
    </row>
    <row r="900" spans="1:38" s="332" customFormat="1">
      <c r="A900" s="356"/>
      <c r="B900" s="356" t="s">
        <v>316</v>
      </c>
      <c r="C900" s="355">
        <f t="shared" si="713"/>
        <v>0</v>
      </c>
      <c r="D900" s="341">
        <f>VLOOKUP(B900,DONGIA,DG!$B$6,0)</f>
        <v>0</v>
      </c>
      <c r="E900" s="340" t="str">
        <f>VLOOKUP(B900,DONGIA,DG!$C$6,0)</f>
        <v>Nắp bịt đầu cáp ABC70mm2</v>
      </c>
      <c r="F900" s="341" t="str">
        <f>VLOOKUP(B900,DONGIA,DG!$D$6,0)</f>
        <v>cái</v>
      </c>
      <c r="G900" s="329">
        <f>HLOOKUP(B900,BKHT,PPHT!$A$700,0)</f>
        <v>0</v>
      </c>
      <c r="H900" s="329">
        <f>VLOOKUP($B900,DONGIA,DG!$E$6,0)</f>
        <v>0</v>
      </c>
      <c r="I900" s="329"/>
      <c r="J900" s="329"/>
      <c r="K900" s="329">
        <f>VLOOKUP($B900,DONGIA,DG!$F$6,0)</f>
        <v>0</v>
      </c>
      <c r="L900" s="329"/>
      <c r="M900" s="329">
        <f>VLOOKUP($B900,DONGIA,DG!$G$6,0)</f>
        <v>0</v>
      </c>
      <c r="N900" s="329">
        <f t="shared" si="721"/>
        <v>0</v>
      </c>
      <c r="O900" s="329">
        <f t="shared" si="727"/>
        <v>0</v>
      </c>
      <c r="P900" s="329">
        <f t="shared" si="728"/>
        <v>0</v>
      </c>
      <c r="Q900" s="329">
        <f t="shared" si="729"/>
        <v>0</v>
      </c>
      <c r="R900" s="329">
        <f t="shared" si="730"/>
        <v>0</v>
      </c>
      <c r="S900" s="329">
        <f t="shared" si="731"/>
        <v>0</v>
      </c>
      <c r="U900" s="329"/>
      <c r="V900" s="329"/>
      <c r="W900" s="329"/>
      <c r="X900" s="329"/>
      <c r="Y900" s="329"/>
      <c r="Z900" s="329"/>
      <c r="AA900" s="329"/>
      <c r="AB900" s="329">
        <f t="shared" si="722"/>
        <v>0</v>
      </c>
      <c r="AD900" s="332">
        <f t="shared" si="715"/>
        <v>0</v>
      </c>
      <c r="AE900" s="329">
        <f t="shared" si="716"/>
        <v>0</v>
      </c>
      <c r="AF900" s="329">
        <f t="shared" si="717"/>
        <v>0</v>
      </c>
      <c r="AG900" s="329">
        <f t="shared" si="717"/>
        <v>0</v>
      </c>
      <c r="AH900" s="329">
        <f t="shared" si="717"/>
        <v>0</v>
      </c>
      <c r="AI900" s="329">
        <f t="shared" si="718"/>
        <v>0</v>
      </c>
      <c r="AJ900" s="329">
        <f t="shared" si="718"/>
        <v>0</v>
      </c>
      <c r="AK900" s="329">
        <f t="shared" si="718"/>
        <v>0</v>
      </c>
      <c r="AL900" s="329">
        <f t="shared" si="719"/>
        <v>0</v>
      </c>
    </row>
    <row r="901" spans="1:38" s="332" customFormat="1">
      <c r="A901" s="356"/>
      <c r="B901" s="356" t="s">
        <v>314</v>
      </c>
      <c r="C901" s="355">
        <f t="shared" si="713"/>
        <v>0</v>
      </c>
      <c r="D901" s="341">
        <f>VLOOKUP(B901,DONGIA,DG!$B$6,0)</f>
        <v>0</v>
      </c>
      <c r="E901" s="340" t="str">
        <f>VLOOKUP(B901,DONGIA,DG!$C$6,0)</f>
        <v>Nắp bịt đầu cáp ABC95mm2</v>
      </c>
      <c r="F901" s="341" t="str">
        <f>VLOOKUP(B901,DONGIA,DG!$D$6,0)</f>
        <v>cái</v>
      </c>
      <c r="G901" s="329">
        <f>HLOOKUP(B901,BKHT,PPHT!$A$700,0)</f>
        <v>0</v>
      </c>
      <c r="H901" s="329">
        <f>VLOOKUP($B901,DONGIA,DG!$E$6,0)</f>
        <v>0</v>
      </c>
      <c r="I901" s="329"/>
      <c r="J901" s="329"/>
      <c r="K901" s="329">
        <f>VLOOKUP($B901,DONGIA,DG!$F$6,0)</f>
        <v>0</v>
      </c>
      <c r="L901" s="329"/>
      <c r="M901" s="329">
        <f>VLOOKUP($B901,DONGIA,DG!$G$6,0)</f>
        <v>0</v>
      </c>
      <c r="N901" s="329">
        <f t="shared" si="721"/>
        <v>0</v>
      </c>
      <c r="O901" s="329">
        <f t="shared" si="727"/>
        <v>0</v>
      </c>
      <c r="P901" s="329">
        <f t="shared" si="728"/>
        <v>0</v>
      </c>
      <c r="Q901" s="329">
        <f t="shared" si="729"/>
        <v>0</v>
      </c>
      <c r="R901" s="329">
        <f t="shared" si="730"/>
        <v>0</v>
      </c>
      <c r="S901" s="329">
        <f t="shared" si="731"/>
        <v>0</v>
      </c>
      <c r="U901" s="329"/>
      <c r="V901" s="329"/>
      <c r="W901" s="329"/>
      <c r="X901" s="329"/>
      <c r="Y901" s="329"/>
      <c r="Z901" s="329"/>
      <c r="AA901" s="329"/>
      <c r="AB901" s="329">
        <f t="shared" si="722"/>
        <v>0</v>
      </c>
      <c r="AD901" s="332">
        <f t="shared" si="715"/>
        <v>0</v>
      </c>
      <c r="AE901" s="329">
        <f t="shared" si="716"/>
        <v>0</v>
      </c>
      <c r="AF901" s="329">
        <f t="shared" si="717"/>
        <v>0</v>
      </c>
      <c r="AG901" s="329">
        <f t="shared" si="717"/>
        <v>0</v>
      </c>
      <c r="AH901" s="329">
        <f t="shared" si="717"/>
        <v>0</v>
      </c>
      <c r="AI901" s="329">
        <f t="shared" si="718"/>
        <v>0</v>
      </c>
      <c r="AJ901" s="329">
        <f t="shared" si="718"/>
        <v>0</v>
      </c>
      <c r="AK901" s="329">
        <f t="shared" si="718"/>
        <v>0</v>
      </c>
      <c r="AL901" s="329">
        <f t="shared" si="719"/>
        <v>0</v>
      </c>
    </row>
    <row r="902" spans="1:38" s="332" customFormat="1">
      <c r="A902" s="356"/>
      <c r="B902" s="356" t="s">
        <v>312</v>
      </c>
      <c r="C902" s="355">
        <f t="shared" si="713"/>
        <v>0</v>
      </c>
      <c r="D902" s="341">
        <f>VLOOKUP(B902,DONGIA,DG!$B$6,0)</f>
        <v>0</v>
      </c>
      <c r="E902" s="340" t="str">
        <f>VLOOKUP(B902,DONGIA,DG!$C$6,0)</f>
        <v>Nắp bịt đầu cáp ABC120mm2</v>
      </c>
      <c r="F902" s="341" t="str">
        <f>VLOOKUP(B902,DONGIA,DG!$D$6,0)</f>
        <v>cái</v>
      </c>
      <c r="G902" s="329">
        <f>HLOOKUP(B902,BKHT,PPHT!$A$700,0)</f>
        <v>0</v>
      </c>
      <c r="H902" s="329">
        <f>VLOOKUP($B902,DONGIA,DG!$E$6,0)</f>
        <v>0</v>
      </c>
      <c r="I902" s="329"/>
      <c r="J902" s="329"/>
      <c r="K902" s="329">
        <f>VLOOKUP($B902,DONGIA,DG!$F$6,0)</f>
        <v>0</v>
      </c>
      <c r="L902" s="329"/>
      <c r="M902" s="329">
        <f>VLOOKUP($B902,DONGIA,DG!$G$6,0)</f>
        <v>0</v>
      </c>
      <c r="N902" s="329">
        <f t="shared" si="721"/>
        <v>0</v>
      </c>
      <c r="O902" s="329">
        <f t="shared" si="727"/>
        <v>0</v>
      </c>
      <c r="P902" s="329">
        <f t="shared" si="728"/>
        <v>0</v>
      </c>
      <c r="Q902" s="329">
        <f t="shared" si="729"/>
        <v>0</v>
      </c>
      <c r="R902" s="329">
        <f t="shared" si="730"/>
        <v>0</v>
      </c>
      <c r="S902" s="329">
        <f t="shared" si="731"/>
        <v>0</v>
      </c>
      <c r="U902" s="329"/>
      <c r="V902" s="329"/>
      <c r="W902" s="329"/>
      <c r="X902" s="329"/>
      <c r="Y902" s="329"/>
      <c r="Z902" s="329"/>
      <c r="AA902" s="329"/>
      <c r="AB902" s="329">
        <f t="shared" si="722"/>
        <v>0</v>
      </c>
      <c r="AD902" s="332">
        <f t="shared" si="715"/>
        <v>0</v>
      </c>
      <c r="AE902" s="329">
        <f t="shared" si="716"/>
        <v>0</v>
      </c>
      <c r="AF902" s="329">
        <f t="shared" si="717"/>
        <v>0</v>
      </c>
      <c r="AG902" s="329">
        <f t="shared" si="717"/>
        <v>0</v>
      </c>
      <c r="AH902" s="329">
        <f t="shared" si="717"/>
        <v>0</v>
      </c>
      <c r="AI902" s="329">
        <f t="shared" si="718"/>
        <v>0</v>
      </c>
      <c r="AJ902" s="329">
        <f t="shared" si="718"/>
        <v>0</v>
      </c>
      <c r="AK902" s="329">
        <f t="shared" si="718"/>
        <v>0</v>
      </c>
      <c r="AL902" s="329">
        <f t="shared" si="719"/>
        <v>0</v>
      </c>
    </row>
    <row r="903" spans="1:38" s="332" customFormat="1">
      <c r="A903" s="356"/>
      <c r="B903" s="356" t="s">
        <v>310</v>
      </c>
      <c r="C903" s="355">
        <f t="shared" si="713"/>
        <v>0</v>
      </c>
      <c r="D903" s="341">
        <f>VLOOKUP(B903,DONGIA,DG!$B$6,0)</f>
        <v>0</v>
      </c>
      <c r="E903" s="340" t="str">
        <f>VLOOKUP(B903,DONGIA,DG!$C$6,0)</f>
        <v>Nắp bịt đầu cáp ABC150mm2</v>
      </c>
      <c r="F903" s="341" t="str">
        <f>VLOOKUP(B903,DONGIA,DG!$D$6,0)</f>
        <v>cái</v>
      </c>
      <c r="G903" s="329">
        <f>HLOOKUP(B903,BKHT,PPHT!$A$700,0)</f>
        <v>0</v>
      </c>
      <c r="H903" s="329">
        <f>VLOOKUP($B903,DONGIA,DG!$E$6,0)</f>
        <v>0</v>
      </c>
      <c r="I903" s="329"/>
      <c r="J903" s="329"/>
      <c r="K903" s="329">
        <f>VLOOKUP($B903,DONGIA,DG!$F$6,0)</f>
        <v>0</v>
      </c>
      <c r="L903" s="329"/>
      <c r="M903" s="329">
        <f>VLOOKUP($B903,DONGIA,DG!$G$6,0)</f>
        <v>0</v>
      </c>
      <c r="N903" s="329">
        <f t="shared" si="721"/>
        <v>0</v>
      </c>
      <c r="O903" s="329">
        <f t="shared" si="727"/>
        <v>0</v>
      </c>
      <c r="P903" s="329">
        <f t="shared" si="728"/>
        <v>0</v>
      </c>
      <c r="Q903" s="329">
        <f t="shared" si="729"/>
        <v>0</v>
      </c>
      <c r="R903" s="329">
        <f t="shared" si="730"/>
        <v>0</v>
      </c>
      <c r="S903" s="329">
        <f t="shared" si="731"/>
        <v>0</v>
      </c>
      <c r="U903" s="329"/>
      <c r="V903" s="329"/>
      <c r="W903" s="329"/>
      <c r="X903" s="329"/>
      <c r="Y903" s="329"/>
      <c r="Z903" s="329"/>
      <c r="AA903" s="329"/>
      <c r="AB903" s="329">
        <f t="shared" si="722"/>
        <v>0</v>
      </c>
      <c r="AD903" s="332">
        <f t="shared" si="715"/>
        <v>0</v>
      </c>
      <c r="AE903" s="329">
        <f t="shared" si="716"/>
        <v>0</v>
      </c>
      <c r="AF903" s="329">
        <f t="shared" si="717"/>
        <v>0</v>
      </c>
      <c r="AG903" s="329">
        <f t="shared" si="717"/>
        <v>0</v>
      </c>
      <c r="AH903" s="329">
        <f t="shared" si="717"/>
        <v>0</v>
      </c>
      <c r="AI903" s="329">
        <f t="shared" si="718"/>
        <v>0</v>
      </c>
      <c r="AJ903" s="329">
        <f t="shared" si="718"/>
        <v>0</v>
      </c>
      <c r="AK903" s="329">
        <f t="shared" si="718"/>
        <v>0</v>
      </c>
      <c r="AL903" s="329">
        <f t="shared" si="719"/>
        <v>0</v>
      </c>
    </row>
    <row r="904" spans="1:38" s="332" customFormat="1">
      <c r="A904" s="356"/>
      <c r="B904" s="356" t="s">
        <v>397</v>
      </c>
      <c r="C904" s="355">
        <f t="shared" si="713"/>
        <v>0</v>
      </c>
      <c r="D904" s="341">
        <f>VLOOKUP(B904,DONGIA,DG!$B$6,0)</f>
        <v>0</v>
      </c>
      <c r="E904" s="340" t="str">
        <f>VLOOKUP(B904,DONGIA,DG!$C$6,0)</f>
        <v>Uclevis - 3mm</v>
      </c>
      <c r="F904" s="341" t="str">
        <f>VLOOKUP(B904,DONGIA,DG!$D$6,0)</f>
        <v>bộ</v>
      </c>
      <c r="G904" s="329"/>
      <c r="H904" s="329">
        <f>VLOOKUP($B904,DONGIA,DG!$E$6,0)</f>
        <v>17000</v>
      </c>
      <c r="I904" s="329"/>
      <c r="J904" s="329"/>
      <c r="K904" s="329">
        <f>VLOOKUP($B904,DONGIA,DG!$F$6,0)</f>
        <v>0</v>
      </c>
      <c r="L904" s="329"/>
      <c r="M904" s="329">
        <f>VLOOKUP($B904,DONGIA,DG!$G$6,0)</f>
        <v>0</v>
      </c>
      <c r="N904" s="329">
        <f t="shared" si="721"/>
        <v>0</v>
      </c>
      <c r="O904" s="329">
        <f t="shared" si="727"/>
        <v>0</v>
      </c>
      <c r="P904" s="329">
        <f t="shared" si="728"/>
        <v>0</v>
      </c>
      <c r="Q904" s="329">
        <f t="shared" si="729"/>
        <v>0</v>
      </c>
      <c r="R904" s="329">
        <f t="shared" si="730"/>
        <v>0</v>
      </c>
      <c r="S904" s="329">
        <f t="shared" si="731"/>
        <v>0</v>
      </c>
      <c r="U904" s="329"/>
      <c r="V904" s="329"/>
      <c r="W904" s="329"/>
      <c r="X904" s="329"/>
      <c r="Y904" s="329"/>
      <c r="Z904" s="329"/>
      <c r="AA904" s="329"/>
      <c r="AB904" s="329">
        <f t="shared" si="722"/>
        <v>0</v>
      </c>
      <c r="AD904" s="332">
        <f t="shared" si="715"/>
        <v>2.5</v>
      </c>
      <c r="AE904" s="329">
        <f t="shared" si="716"/>
        <v>0</v>
      </c>
      <c r="AF904" s="329">
        <f t="shared" si="717"/>
        <v>0</v>
      </c>
      <c r="AG904" s="329">
        <f t="shared" si="717"/>
        <v>0</v>
      </c>
      <c r="AH904" s="329">
        <f t="shared" si="717"/>
        <v>0</v>
      </c>
      <c r="AI904" s="329">
        <f t="shared" si="718"/>
        <v>0</v>
      </c>
      <c r="AJ904" s="329">
        <f t="shared" si="718"/>
        <v>0</v>
      </c>
      <c r="AK904" s="329">
        <f t="shared" si="718"/>
        <v>0</v>
      </c>
      <c r="AL904" s="329">
        <f t="shared" si="719"/>
        <v>0</v>
      </c>
    </row>
    <row r="905" spans="1:38">
      <c r="A905" s="618"/>
      <c r="B905" s="618" t="s">
        <v>1734</v>
      </c>
      <c r="C905" s="619">
        <f t="shared" si="713"/>
        <v>1</v>
      </c>
      <c r="D905" s="523">
        <f>VLOOKUP(B905,DONGIA,DG!$B$6,0)</f>
        <v>0</v>
      </c>
      <c r="E905" s="525" t="str">
        <f>VLOOKUP(B905,DONGIA,DG!$C$6,0)</f>
        <v>Rack 3 sứ - 3mm (ty 14)</v>
      </c>
      <c r="F905" s="523" t="str">
        <f>VLOOKUP(B905,DONGIA,DG!$D$6,0)</f>
        <v>bộ</v>
      </c>
      <c r="G905" s="525">
        <f>HLOOKUP(B905,BKHT,PPHT!$A$700,0)</f>
        <v>4</v>
      </c>
      <c r="H905" s="525">
        <f>VLOOKUP($B905,DONGIA,DG!$E$6,0)</f>
        <v>98000</v>
      </c>
      <c r="I905" s="525"/>
      <c r="J905" s="525"/>
      <c r="K905" s="525">
        <f>VLOOKUP($B905,DONGIA,DG!$F$6,0)</f>
        <v>0</v>
      </c>
      <c r="L905" s="525"/>
      <c r="M905" s="525">
        <f>VLOOKUP($B905,DONGIA,DG!$G$6,0)</f>
        <v>0</v>
      </c>
      <c r="N905" s="525">
        <f t="shared" si="721"/>
        <v>392000</v>
      </c>
      <c r="O905" s="525">
        <f t="shared" si="727"/>
        <v>0</v>
      </c>
      <c r="P905" s="525">
        <f t="shared" si="728"/>
        <v>0</v>
      </c>
      <c r="Q905" s="525">
        <f t="shared" si="729"/>
        <v>0</v>
      </c>
      <c r="R905" s="525">
        <f t="shared" si="730"/>
        <v>0</v>
      </c>
      <c r="S905" s="525">
        <f t="shared" si="731"/>
        <v>0</v>
      </c>
      <c r="U905" s="525"/>
      <c r="V905" s="525"/>
      <c r="W905" s="525"/>
      <c r="X905" s="525"/>
      <c r="Y905" s="525"/>
      <c r="Z905" s="525"/>
      <c r="AA905" s="525"/>
      <c r="AB905" s="525">
        <f t="shared" si="722"/>
        <v>4</v>
      </c>
      <c r="AD905" s="405">
        <f t="shared" si="715"/>
        <v>3.5</v>
      </c>
      <c r="AE905" s="525">
        <f t="shared" si="716"/>
        <v>0</v>
      </c>
      <c r="AF905" s="525">
        <f t="shared" si="717"/>
        <v>0</v>
      </c>
      <c r="AG905" s="525">
        <f t="shared" si="717"/>
        <v>0</v>
      </c>
      <c r="AH905" s="525">
        <f t="shared" si="717"/>
        <v>0</v>
      </c>
      <c r="AI905" s="525">
        <f t="shared" si="718"/>
        <v>0</v>
      </c>
      <c r="AJ905" s="525">
        <f t="shared" si="718"/>
        <v>0</v>
      </c>
      <c r="AK905" s="525">
        <f t="shared" si="718"/>
        <v>0</v>
      </c>
      <c r="AL905" s="525">
        <f t="shared" si="719"/>
        <v>14</v>
      </c>
    </row>
    <row r="906" spans="1:38">
      <c r="A906" s="618"/>
      <c r="B906" s="618" t="s">
        <v>1735</v>
      </c>
      <c r="C906" s="619">
        <f t="shared" si="713"/>
        <v>1</v>
      </c>
      <c r="D906" s="523">
        <f>VLOOKUP(B906,DONGIA,DG!$B$6,0)</f>
        <v>0</v>
      </c>
      <c r="E906" s="666" t="str">
        <f>VLOOKUP(B906,DONGIA,DG!$C$6,0)</f>
        <v>Rack 4 sứ - 3mm (ty 14) + Sứ ống chỉ</v>
      </c>
      <c r="F906" s="523" t="str">
        <f>VLOOKUP(B906,DONGIA,DG!$D$6,0)</f>
        <v>bộ</v>
      </c>
      <c r="G906" s="525">
        <f>HLOOKUP(B906,BKHT,PPHT!$A$700,0)</f>
        <v>2</v>
      </c>
      <c r="H906" s="525">
        <f>VLOOKUP($B906,DONGIA,DG!$E$6,0)</f>
        <v>135000</v>
      </c>
      <c r="I906" s="525"/>
      <c r="J906" s="525"/>
      <c r="K906" s="525">
        <f>VLOOKUP($B906,DONGIA,DG!$F$6,0)</f>
        <v>0</v>
      </c>
      <c r="L906" s="525"/>
      <c r="M906" s="525">
        <f>VLOOKUP($B906,DONGIA,DG!$G$6,0)</f>
        <v>0</v>
      </c>
      <c r="N906" s="525">
        <f t="shared" si="721"/>
        <v>270000</v>
      </c>
      <c r="O906" s="525">
        <f t="shared" si="727"/>
        <v>0</v>
      </c>
      <c r="P906" s="525">
        <f t="shared" si="728"/>
        <v>0</v>
      </c>
      <c r="Q906" s="525">
        <f t="shared" si="729"/>
        <v>0</v>
      </c>
      <c r="R906" s="525">
        <f t="shared" si="730"/>
        <v>0</v>
      </c>
      <c r="S906" s="525">
        <f t="shared" si="731"/>
        <v>0</v>
      </c>
      <c r="U906" s="525"/>
      <c r="V906" s="525"/>
      <c r="W906" s="525"/>
      <c r="X906" s="525"/>
      <c r="Y906" s="525"/>
      <c r="Z906" s="525"/>
      <c r="AA906" s="525"/>
      <c r="AB906" s="525">
        <f t="shared" si="722"/>
        <v>2</v>
      </c>
      <c r="AD906" s="405">
        <f t="shared" si="715"/>
        <v>3.5</v>
      </c>
      <c r="AE906" s="525">
        <f t="shared" si="716"/>
        <v>0</v>
      </c>
      <c r="AF906" s="525">
        <f t="shared" si="717"/>
        <v>0</v>
      </c>
      <c r="AG906" s="525">
        <f t="shared" si="717"/>
        <v>0</v>
      </c>
      <c r="AH906" s="525">
        <f t="shared" ref="AH906:AH923" si="732">X906*$AD906</f>
        <v>0</v>
      </c>
      <c r="AI906" s="525">
        <f t="shared" si="718"/>
        <v>0</v>
      </c>
      <c r="AJ906" s="525">
        <f t="shared" si="718"/>
        <v>0</v>
      </c>
      <c r="AK906" s="525">
        <f t="shared" ref="AK906:AK923" si="733">AA906*$AD906</f>
        <v>0</v>
      </c>
      <c r="AL906" s="525">
        <f t="shared" si="719"/>
        <v>7</v>
      </c>
    </row>
    <row r="907" spans="1:38" s="332" customFormat="1">
      <c r="A907" s="356"/>
      <c r="B907" s="356" t="s">
        <v>409</v>
      </c>
      <c r="C907" s="355">
        <f t="shared" si="713"/>
        <v>0</v>
      </c>
      <c r="D907" s="341" t="str">
        <f>VLOOKUP(B907,DONGIA,DG!$B$6,0)</f>
        <v>D3.1201</v>
      </c>
      <c r="E907" s="340" t="str">
        <f>VLOOKUP(B907,DONGIA,DG!$C$6,0)</f>
        <v xml:space="preserve">Sứ ống chỉ </v>
      </c>
      <c r="F907" s="341" t="str">
        <f>VLOOKUP(B907,DONGIA,DG!$D$6,0)</f>
        <v>cái</v>
      </c>
      <c r="G907" s="329">
        <f>G904</f>
        <v>0</v>
      </c>
      <c r="H907" s="329">
        <f>VLOOKUP($B907,DONGIA,DG!$E$6,0)</f>
        <v>20000</v>
      </c>
      <c r="I907" s="329"/>
      <c r="J907" s="329"/>
      <c r="K907" s="329">
        <f>VLOOKUP($B907,DONGIA,DG!$F$6,0)</f>
        <v>13173</v>
      </c>
      <c r="L907" s="329"/>
      <c r="M907" s="329">
        <f>VLOOKUP($B907,DONGIA,DG!$G$6,0)</f>
        <v>0</v>
      </c>
      <c r="N907" s="329">
        <f t="shared" si="721"/>
        <v>0</v>
      </c>
      <c r="O907" s="329">
        <f t="shared" si="727"/>
        <v>0</v>
      </c>
      <c r="P907" s="329">
        <f t="shared" si="728"/>
        <v>0</v>
      </c>
      <c r="Q907" s="329">
        <f t="shared" si="729"/>
        <v>0</v>
      </c>
      <c r="R907" s="329">
        <f t="shared" si="730"/>
        <v>0</v>
      </c>
      <c r="S907" s="329">
        <f t="shared" si="731"/>
        <v>0</v>
      </c>
      <c r="U907" s="329"/>
      <c r="V907" s="329"/>
      <c r="W907" s="329"/>
      <c r="X907" s="329"/>
      <c r="Y907" s="329"/>
      <c r="Z907" s="329"/>
      <c r="AA907" s="329"/>
      <c r="AB907" s="329">
        <f t="shared" si="722"/>
        <v>0</v>
      </c>
      <c r="AD907" s="332">
        <f t="shared" si="715"/>
        <v>0.2</v>
      </c>
      <c r="AE907" s="329">
        <f t="shared" si="716"/>
        <v>0</v>
      </c>
      <c r="AF907" s="329">
        <f t="shared" si="717"/>
        <v>0</v>
      </c>
      <c r="AG907" s="329">
        <f t="shared" si="717"/>
        <v>0</v>
      </c>
      <c r="AH907" s="329">
        <f t="shared" si="732"/>
        <v>0</v>
      </c>
      <c r="AI907" s="329">
        <f t="shared" si="718"/>
        <v>0</v>
      </c>
      <c r="AJ907" s="329">
        <f t="shared" si="718"/>
        <v>0</v>
      </c>
      <c r="AK907" s="329">
        <f t="shared" si="733"/>
        <v>0</v>
      </c>
      <c r="AL907" s="329">
        <f t="shared" si="719"/>
        <v>0</v>
      </c>
    </row>
    <row r="908" spans="1:38">
      <c r="A908" s="618"/>
      <c r="B908" s="618" t="s">
        <v>33</v>
      </c>
      <c r="C908" s="619">
        <f t="shared" si="713"/>
        <v>1</v>
      </c>
      <c r="D908" s="523">
        <f>VLOOKUP(B908,DONGIA,DG!$B$6,0)</f>
        <v>0</v>
      </c>
      <c r="E908" s="666" t="str">
        <f>VLOOKUP(B908,DONGIA,DG!$C$6,0)</f>
        <v>Boulon 16x250+ 2 long đền vuông D18-50x50x3/Zn</v>
      </c>
      <c r="F908" s="523" t="str">
        <f>VLOOKUP(B908,DONGIA,DG!$D$6,0)</f>
        <v>bộ</v>
      </c>
      <c r="G908" s="525">
        <f>HLOOKUP(B908,BKHT,PPHT!$A$700,0)</f>
        <v>471</v>
      </c>
      <c r="H908" s="525">
        <f>VLOOKUP($B908,DONGIA,DG!$E$6,0)</f>
        <v>28000</v>
      </c>
      <c r="I908" s="525"/>
      <c r="J908" s="525"/>
      <c r="K908" s="525">
        <f>VLOOKUP($B908,DONGIA,DG!$F$6,0)</f>
        <v>0</v>
      </c>
      <c r="L908" s="525"/>
      <c r="M908" s="525">
        <f>VLOOKUP($B908,DONGIA,DG!$G$6,0)</f>
        <v>0</v>
      </c>
      <c r="N908" s="525">
        <f t="shared" si="721"/>
        <v>13188000</v>
      </c>
      <c r="O908" s="525">
        <f t="shared" si="727"/>
        <v>0</v>
      </c>
      <c r="P908" s="525">
        <f t="shared" si="728"/>
        <v>0</v>
      </c>
      <c r="Q908" s="525">
        <f t="shared" si="729"/>
        <v>0</v>
      </c>
      <c r="R908" s="525">
        <f t="shared" si="730"/>
        <v>0</v>
      </c>
      <c r="S908" s="525">
        <f t="shared" si="731"/>
        <v>0</v>
      </c>
      <c r="U908" s="525"/>
      <c r="V908" s="525"/>
      <c r="W908" s="525"/>
      <c r="X908" s="525"/>
      <c r="Y908" s="525"/>
      <c r="Z908" s="525"/>
      <c r="AA908" s="525"/>
      <c r="AB908" s="525">
        <f t="shared" si="722"/>
        <v>471</v>
      </c>
      <c r="AD908" s="405">
        <f t="shared" si="715"/>
        <v>0.23</v>
      </c>
      <c r="AE908" s="525">
        <f t="shared" si="716"/>
        <v>0</v>
      </c>
      <c r="AF908" s="525">
        <f t="shared" si="717"/>
        <v>0</v>
      </c>
      <c r="AG908" s="525">
        <f t="shared" si="717"/>
        <v>0</v>
      </c>
      <c r="AH908" s="525">
        <f t="shared" si="732"/>
        <v>0</v>
      </c>
      <c r="AI908" s="525">
        <f t="shared" si="718"/>
        <v>0</v>
      </c>
      <c r="AJ908" s="525">
        <f t="shared" si="718"/>
        <v>0</v>
      </c>
      <c r="AK908" s="525">
        <f t="shared" si="733"/>
        <v>0</v>
      </c>
      <c r="AL908" s="525">
        <f t="shared" si="719"/>
        <v>108.33</v>
      </c>
    </row>
    <row r="909" spans="1:38">
      <c r="A909" s="618"/>
      <c r="B909" s="618" t="s">
        <v>35</v>
      </c>
      <c r="C909" s="619">
        <f t="shared" si="713"/>
        <v>1</v>
      </c>
      <c r="D909" s="523">
        <f>VLOOKUP(B909,DONGIA,DG!$B$6,0)</f>
        <v>0</v>
      </c>
      <c r="E909" s="666" t="str">
        <f>VLOOKUP(B909,DONGIA,DG!$C$6,0)</f>
        <v>Boulon 16x300+ 2 long đền vuông D18-50x50x3/Zn</v>
      </c>
      <c r="F909" s="523" t="str">
        <f>VLOOKUP(B909,DONGIA,DG!$D$6,0)</f>
        <v>bộ</v>
      </c>
      <c r="G909" s="525">
        <f>HLOOKUP(B909,BKHT,PPHT!$A$700,0)</f>
        <v>193</v>
      </c>
      <c r="H909" s="525">
        <f>VLOOKUP($B909,DONGIA,DG!$E$6,0)</f>
        <v>30000</v>
      </c>
      <c r="I909" s="525"/>
      <c r="J909" s="525"/>
      <c r="K909" s="525">
        <f>VLOOKUP($B909,DONGIA,DG!$F$6,0)</f>
        <v>0</v>
      </c>
      <c r="L909" s="525"/>
      <c r="M909" s="525">
        <f>VLOOKUP($B909,DONGIA,DG!$G$6,0)</f>
        <v>0</v>
      </c>
      <c r="N909" s="525">
        <f t="shared" si="721"/>
        <v>5790000</v>
      </c>
      <c r="O909" s="525">
        <f t="shared" si="727"/>
        <v>0</v>
      </c>
      <c r="P909" s="525">
        <f t="shared" si="728"/>
        <v>0</v>
      </c>
      <c r="Q909" s="525">
        <f t="shared" si="729"/>
        <v>0</v>
      </c>
      <c r="R909" s="525">
        <f t="shared" si="730"/>
        <v>0</v>
      </c>
      <c r="S909" s="525">
        <f t="shared" si="731"/>
        <v>0</v>
      </c>
      <c r="U909" s="525"/>
      <c r="V909" s="525"/>
      <c r="W909" s="525"/>
      <c r="X909" s="525"/>
      <c r="Y909" s="525"/>
      <c r="Z909" s="525"/>
      <c r="AA909" s="525"/>
      <c r="AB909" s="525">
        <f t="shared" si="722"/>
        <v>193</v>
      </c>
      <c r="AD909" s="405">
        <f t="shared" si="715"/>
        <v>0.25</v>
      </c>
      <c r="AE909" s="525">
        <f t="shared" si="716"/>
        <v>0</v>
      </c>
      <c r="AF909" s="525">
        <f t="shared" si="717"/>
        <v>0</v>
      </c>
      <c r="AG909" s="525">
        <f t="shared" si="717"/>
        <v>0</v>
      </c>
      <c r="AH909" s="525">
        <f t="shared" si="732"/>
        <v>0</v>
      </c>
      <c r="AI909" s="525">
        <f t="shared" si="718"/>
        <v>0</v>
      </c>
      <c r="AJ909" s="525">
        <f t="shared" si="718"/>
        <v>0</v>
      </c>
      <c r="AK909" s="525">
        <f t="shared" si="733"/>
        <v>0</v>
      </c>
      <c r="AL909" s="525">
        <f t="shared" si="719"/>
        <v>48.25</v>
      </c>
    </row>
    <row r="910" spans="1:38" s="332" customFormat="1">
      <c r="A910" s="356"/>
      <c r="B910" s="356" t="s">
        <v>37</v>
      </c>
      <c r="C910" s="355">
        <f t="shared" si="713"/>
        <v>0</v>
      </c>
      <c r="D910" s="341">
        <f>VLOOKUP(B910,DONGIA,DG!$B$6,0)</f>
        <v>0</v>
      </c>
      <c r="E910" s="735" t="str">
        <f>VLOOKUP(B910,DONGIA,DG!$C$6,0)</f>
        <v>Boulon 16x350+ 2 long đền vuông D18-50x50x3/Zn</v>
      </c>
      <c r="F910" s="341" t="str">
        <f>VLOOKUP(B910,DONGIA,DG!$D$6,0)</f>
        <v>bộ</v>
      </c>
      <c r="G910" s="329">
        <f>HLOOKUP(B910,BKHT,PPHT!$A$700,0)</f>
        <v>0</v>
      </c>
      <c r="H910" s="329">
        <f>VLOOKUP($B910,DONGIA,DG!$E$6,0)</f>
        <v>32000</v>
      </c>
      <c r="I910" s="329"/>
      <c r="J910" s="329"/>
      <c r="K910" s="329">
        <f>VLOOKUP($B910,DONGIA,DG!$F$6,0)</f>
        <v>0</v>
      </c>
      <c r="L910" s="329"/>
      <c r="M910" s="329">
        <f>VLOOKUP($B910,DONGIA,DG!$G$6,0)</f>
        <v>0</v>
      </c>
      <c r="N910" s="329">
        <f t="shared" si="721"/>
        <v>0</v>
      </c>
      <c r="O910" s="329">
        <f t="shared" si="727"/>
        <v>0</v>
      </c>
      <c r="P910" s="329">
        <f t="shared" si="728"/>
        <v>0</v>
      </c>
      <c r="Q910" s="329">
        <f t="shared" si="729"/>
        <v>0</v>
      </c>
      <c r="R910" s="329">
        <f t="shared" si="730"/>
        <v>0</v>
      </c>
      <c r="S910" s="329">
        <f t="shared" si="731"/>
        <v>0</v>
      </c>
      <c r="U910" s="329"/>
      <c r="V910" s="329"/>
      <c r="W910" s="329"/>
      <c r="X910" s="329"/>
      <c r="Y910" s="329"/>
      <c r="Z910" s="329"/>
      <c r="AA910" s="329"/>
      <c r="AB910" s="329">
        <f t="shared" si="722"/>
        <v>0</v>
      </c>
      <c r="AD910" s="332">
        <f t="shared" si="715"/>
        <v>0.3</v>
      </c>
      <c r="AE910" s="329">
        <f t="shared" si="716"/>
        <v>0</v>
      </c>
      <c r="AF910" s="329">
        <f t="shared" si="717"/>
        <v>0</v>
      </c>
      <c r="AG910" s="329">
        <f t="shared" si="717"/>
        <v>0</v>
      </c>
      <c r="AH910" s="329">
        <f t="shared" si="732"/>
        <v>0</v>
      </c>
      <c r="AI910" s="329">
        <f t="shared" si="718"/>
        <v>0</v>
      </c>
      <c r="AJ910" s="329">
        <f t="shared" si="718"/>
        <v>0</v>
      </c>
      <c r="AK910" s="329">
        <f t="shared" si="733"/>
        <v>0</v>
      </c>
      <c r="AL910" s="329">
        <f t="shared" si="719"/>
        <v>0</v>
      </c>
    </row>
    <row r="911" spans="1:38" s="332" customFormat="1">
      <c r="A911" s="356"/>
      <c r="B911" s="356" t="s">
        <v>39</v>
      </c>
      <c r="C911" s="355">
        <f t="shared" si="713"/>
        <v>0</v>
      </c>
      <c r="D911" s="341">
        <f>VLOOKUP(B911,DONGIA,DG!$B$6,0)</f>
        <v>0</v>
      </c>
      <c r="E911" s="340" t="str">
        <f>VLOOKUP(B911,DONGIA,DG!$C$6,0)</f>
        <v>Boulon 16x400+ 2 long đền vuông D18-50x50x3/Zn</v>
      </c>
      <c r="F911" s="341" t="str">
        <f>VLOOKUP(B911,DONGIA,DG!$D$6,0)</f>
        <v>bộ</v>
      </c>
      <c r="G911" s="329">
        <f>HLOOKUP(B911,BKHT,PPHT!$A$700,0)</f>
        <v>0</v>
      </c>
      <c r="H911" s="329">
        <f>VLOOKUP($B911,DONGIA,DG!$E$6,0)</f>
        <v>34000</v>
      </c>
      <c r="I911" s="329"/>
      <c r="J911" s="329"/>
      <c r="K911" s="329">
        <f>VLOOKUP($B911,DONGIA,DG!$F$6,0)</f>
        <v>0</v>
      </c>
      <c r="L911" s="329"/>
      <c r="M911" s="329">
        <f>VLOOKUP($B911,DONGIA,DG!$G$6,0)</f>
        <v>0</v>
      </c>
      <c r="N911" s="329">
        <f t="shared" si="721"/>
        <v>0</v>
      </c>
      <c r="O911" s="329">
        <f t="shared" si="727"/>
        <v>0</v>
      </c>
      <c r="P911" s="329">
        <f t="shared" si="728"/>
        <v>0</v>
      </c>
      <c r="Q911" s="329">
        <f t="shared" si="729"/>
        <v>0</v>
      </c>
      <c r="R911" s="329">
        <f t="shared" si="730"/>
        <v>0</v>
      </c>
      <c r="S911" s="329">
        <f t="shared" si="731"/>
        <v>0</v>
      </c>
      <c r="U911" s="329"/>
      <c r="V911" s="329"/>
      <c r="W911" s="329"/>
      <c r="X911" s="329"/>
      <c r="Y911" s="329"/>
      <c r="Z911" s="329"/>
      <c r="AA911" s="329"/>
      <c r="AB911" s="329">
        <f t="shared" si="722"/>
        <v>0</v>
      </c>
      <c r="AD911" s="332">
        <f t="shared" si="715"/>
        <v>0.33</v>
      </c>
      <c r="AE911" s="329">
        <f t="shared" si="716"/>
        <v>0</v>
      </c>
      <c r="AF911" s="329">
        <f t="shared" si="717"/>
        <v>0</v>
      </c>
      <c r="AG911" s="329">
        <f t="shared" si="717"/>
        <v>0</v>
      </c>
      <c r="AH911" s="329">
        <f t="shared" si="732"/>
        <v>0</v>
      </c>
      <c r="AI911" s="329">
        <f t="shared" si="718"/>
        <v>0</v>
      </c>
      <c r="AJ911" s="329">
        <f t="shared" si="718"/>
        <v>0</v>
      </c>
      <c r="AK911" s="329">
        <f t="shared" si="733"/>
        <v>0</v>
      </c>
      <c r="AL911" s="329">
        <f t="shared" si="719"/>
        <v>0</v>
      </c>
    </row>
    <row r="912" spans="1:38">
      <c r="A912" s="618"/>
      <c r="B912" s="618" t="s">
        <v>1738</v>
      </c>
      <c r="C912" s="619">
        <f t="shared" si="713"/>
        <v>1</v>
      </c>
      <c r="D912" s="523">
        <f>VLOOKUP(B912,DONGIA,DG!$B$6,0)</f>
        <v>0</v>
      </c>
      <c r="E912" s="666" t="str">
        <f>VLOOKUP(B912,DONGIA,DG!$C$6,0)</f>
        <v>Boulon móc 16x250+ long đền vuông D18-50x50x3/Zn</v>
      </c>
      <c r="F912" s="523" t="str">
        <f>VLOOKUP(B912,DONGIA,DG!$D$6,0)</f>
        <v>bộ</v>
      </c>
      <c r="G912" s="525">
        <f>HLOOKUP(B912,BKHT,PPHT!$A$700,0)</f>
        <v>359</v>
      </c>
      <c r="H912" s="525">
        <f>VLOOKUP($B912,DONGIA,DG!$E$6,0)</f>
        <v>35000</v>
      </c>
      <c r="I912" s="525"/>
      <c r="J912" s="525"/>
      <c r="K912" s="525">
        <f>VLOOKUP($B912,DONGIA,DG!$F$6,0)</f>
        <v>0</v>
      </c>
      <c r="L912" s="525"/>
      <c r="M912" s="525">
        <f>VLOOKUP($B912,DONGIA,DG!$G$6,0)</f>
        <v>0</v>
      </c>
      <c r="N912" s="525">
        <f t="shared" si="721"/>
        <v>12565000</v>
      </c>
      <c r="O912" s="525">
        <f t="shared" si="727"/>
        <v>0</v>
      </c>
      <c r="P912" s="525">
        <f t="shared" si="728"/>
        <v>0</v>
      </c>
      <c r="Q912" s="525">
        <f t="shared" si="729"/>
        <v>0</v>
      </c>
      <c r="R912" s="525">
        <f t="shared" si="730"/>
        <v>0</v>
      </c>
      <c r="S912" s="525">
        <f t="shared" si="731"/>
        <v>0</v>
      </c>
      <c r="U912" s="525"/>
      <c r="V912" s="525"/>
      <c r="W912" s="525"/>
      <c r="X912" s="525"/>
      <c r="Y912" s="525"/>
      <c r="Z912" s="525"/>
      <c r="AA912" s="525"/>
      <c r="AB912" s="525">
        <f t="shared" si="722"/>
        <v>359</v>
      </c>
      <c r="AD912" s="405">
        <f t="shared" si="715"/>
        <v>0.25</v>
      </c>
      <c r="AE912" s="525">
        <f t="shared" si="716"/>
        <v>0</v>
      </c>
      <c r="AF912" s="525">
        <f t="shared" si="717"/>
        <v>0</v>
      </c>
      <c r="AG912" s="525">
        <f t="shared" si="717"/>
        <v>0</v>
      </c>
      <c r="AH912" s="525">
        <f t="shared" si="732"/>
        <v>0</v>
      </c>
      <c r="AI912" s="525">
        <f t="shared" si="718"/>
        <v>0</v>
      </c>
      <c r="AJ912" s="525">
        <f t="shared" si="718"/>
        <v>0</v>
      </c>
      <c r="AK912" s="525">
        <f t="shared" si="733"/>
        <v>0</v>
      </c>
      <c r="AL912" s="525">
        <f t="shared" si="719"/>
        <v>89.75</v>
      </c>
    </row>
    <row r="913" spans="1:38">
      <c r="A913" s="618"/>
      <c r="B913" s="618" t="s">
        <v>1739</v>
      </c>
      <c r="C913" s="619">
        <f t="shared" si="713"/>
        <v>1</v>
      </c>
      <c r="D913" s="523">
        <f>VLOOKUP(B913,DONGIA,DG!$B$6,0)</f>
        <v>0</v>
      </c>
      <c r="E913" s="666" t="str">
        <f>VLOOKUP(B913,DONGIA,DG!$C$6,0)</f>
        <v>Boulon móc 16x300+ long đền vuông D18-50x50x3/Zn</v>
      </c>
      <c r="F913" s="523" t="str">
        <f>VLOOKUP(B913,DONGIA,DG!$D$6,0)</f>
        <v>bộ</v>
      </c>
      <c r="G913" s="525">
        <f>HLOOKUP(B913,BKHT,PPHT!$A$700,0)</f>
        <v>221</v>
      </c>
      <c r="H913" s="525">
        <f>VLOOKUP($B913,DONGIA,DG!$E$6,0)</f>
        <v>40000</v>
      </c>
      <c r="I913" s="525"/>
      <c r="J913" s="525"/>
      <c r="K913" s="525">
        <f>VLOOKUP($B913,DONGIA,DG!$F$6,0)</f>
        <v>0</v>
      </c>
      <c r="L913" s="525"/>
      <c r="M913" s="525">
        <f>VLOOKUP($B913,DONGIA,DG!$G$6,0)</f>
        <v>0</v>
      </c>
      <c r="N913" s="525">
        <f t="shared" si="721"/>
        <v>8840000</v>
      </c>
      <c r="O913" s="525">
        <f t="shared" si="727"/>
        <v>0</v>
      </c>
      <c r="P913" s="525">
        <f t="shared" si="728"/>
        <v>0</v>
      </c>
      <c r="Q913" s="525">
        <f t="shared" si="729"/>
        <v>0</v>
      </c>
      <c r="R913" s="525">
        <f t="shared" si="730"/>
        <v>0</v>
      </c>
      <c r="S913" s="525">
        <f t="shared" si="731"/>
        <v>0</v>
      </c>
      <c r="U913" s="525"/>
      <c r="V913" s="525"/>
      <c r="W913" s="525"/>
      <c r="X913" s="525"/>
      <c r="Y913" s="525"/>
      <c r="Z913" s="525"/>
      <c r="AA913" s="525"/>
      <c r="AB913" s="525">
        <f t="shared" si="722"/>
        <v>221</v>
      </c>
      <c r="AD913" s="405">
        <f t="shared" si="715"/>
        <v>0.3</v>
      </c>
      <c r="AE913" s="525">
        <f t="shared" si="716"/>
        <v>0</v>
      </c>
      <c r="AF913" s="525">
        <f t="shared" si="717"/>
        <v>0</v>
      </c>
      <c r="AG913" s="525">
        <f t="shared" si="717"/>
        <v>0</v>
      </c>
      <c r="AH913" s="525">
        <f t="shared" si="732"/>
        <v>0</v>
      </c>
      <c r="AI913" s="525">
        <f t="shared" si="718"/>
        <v>0</v>
      </c>
      <c r="AJ913" s="525">
        <f t="shared" si="718"/>
        <v>0</v>
      </c>
      <c r="AK913" s="525">
        <f t="shared" si="733"/>
        <v>0</v>
      </c>
      <c r="AL913" s="525">
        <f t="shared" si="719"/>
        <v>66.3</v>
      </c>
    </row>
    <row r="914" spans="1:38">
      <c r="A914" s="618"/>
      <c r="B914" s="618" t="s">
        <v>1740</v>
      </c>
      <c r="C914" s="619">
        <f t="shared" si="713"/>
        <v>1</v>
      </c>
      <c r="D914" s="523">
        <f>VLOOKUP(B914,DONGIA,DG!$B$6,0)</f>
        <v>0</v>
      </c>
      <c r="E914" s="666" t="str">
        <f>VLOOKUP(B914,DONGIA,DG!$C$6,0)</f>
        <v>Boulon móc 16x350+ long đền vuông D18-50x50x3/Zn</v>
      </c>
      <c r="F914" s="523" t="str">
        <f>VLOOKUP(B914,DONGIA,DG!$D$6,0)</f>
        <v>bộ</v>
      </c>
      <c r="G914" s="525">
        <f>HLOOKUP(B914,BKHT,PPHT!$A$700,0)</f>
        <v>52</v>
      </c>
      <c r="H914" s="525">
        <f>VLOOKUP($B914,DONGIA,DG!$E$6,0)</f>
        <v>43500</v>
      </c>
      <c r="I914" s="525"/>
      <c r="J914" s="525"/>
      <c r="K914" s="525">
        <f>VLOOKUP($B914,DONGIA,DG!$F$6,0)</f>
        <v>0</v>
      </c>
      <c r="L914" s="525"/>
      <c r="M914" s="525">
        <f>VLOOKUP($B914,DONGIA,DG!$G$6,0)</f>
        <v>0</v>
      </c>
      <c r="N914" s="525">
        <f t="shared" si="721"/>
        <v>2262000</v>
      </c>
      <c r="O914" s="525">
        <f t="shared" si="727"/>
        <v>0</v>
      </c>
      <c r="P914" s="525">
        <f t="shared" si="728"/>
        <v>0</v>
      </c>
      <c r="Q914" s="525">
        <f t="shared" si="729"/>
        <v>0</v>
      </c>
      <c r="R914" s="525">
        <f t="shared" si="730"/>
        <v>0</v>
      </c>
      <c r="S914" s="525">
        <f t="shared" si="731"/>
        <v>0</v>
      </c>
      <c r="U914" s="525"/>
      <c r="V914" s="525"/>
      <c r="W914" s="525"/>
      <c r="X914" s="525"/>
      <c r="Y914" s="525"/>
      <c r="Z914" s="525"/>
      <c r="AA914" s="525"/>
      <c r="AB914" s="525">
        <f t="shared" si="722"/>
        <v>52</v>
      </c>
      <c r="AD914" s="405">
        <f t="shared" si="715"/>
        <v>0.35</v>
      </c>
      <c r="AE914" s="525">
        <f t="shared" si="716"/>
        <v>0</v>
      </c>
      <c r="AF914" s="525">
        <f t="shared" si="717"/>
        <v>0</v>
      </c>
      <c r="AG914" s="525">
        <f t="shared" si="717"/>
        <v>0</v>
      </c>
      <c r="AH914" s="525">
        <f t="shared" si="732"/>
        <v>0</v>
      </c>
      <c r="AI914" s="525">
        <f t="shared" si="718"/>
        <v>0</v>
      </c>
      <c r="AJ914" s="525">
        <f t="shared" si="718"/>
        <v>0</v>
      </c>
      <c r="AK914" s="525">
        <f t="shared" si="733"/>
        <v>0</v>
      </c>
      <c r="AL914" s="525">
        <f t="shared" si="719"/>
        <v>18.2</v>
      </c>
    </row>
    <row r="915" spans="1:38" s="332" customFormat="1">
      <c r="A915" s="356"/>
      <c r="B915" s="356" t="s">
        <v>1741</v>
      </c>
      <c r="C915" s="355">
        <f t="shared" si="713"/>
        <v>0</v>
      </c>
      <c r="D915" s="341">
        <f>VLOOKUP(B915,DONGIA,DG!$B$6,0)</f>
        <v>0</v>
      </c>
      <c r="E915" s="340" t="str">
        <f>VLOOKUP(B915,DONGIA,DG!$C$6,0)</f>
        <v>Boulon móc 16x400+ long đền vuông D18-50x50x3/Zn</v>
      </c>
      <c r="F915" s="341" t="str">
        <f>VLOOKUP(B915,DONGIA,DG!$D$6,0)</f>
        <v>bộ</v>
      </c>
      <c r="G915" s="329">
        <f>HLOOKUP(B915,BKHT,PPHT!$A$700,0)</f>
        <v>0</v>
      </c>
      <c r="H915" s="329">
        <f>VLOOKUP($B915,DONGIA,DG!$E$6,0)</f>
        <v>43500</v>
      </c>
      <c r="I915" s="329"/>
      <c r="J915" s="329"/>
      <c r="K915" s="329">
        <f>VLOOKUP($B915,DONGIA,DG!$F$6,0)</f>
        <v>0</v>
      </c>
      <c r="L915" s="329"/>
      <c r="M915" s="329">
        <f>VLOOKUP($B915,DONGIA,DG!$G$6,0)</f>
        <v>0</v>
      </c>
      <c r="N915" s="329">
        <f t="shared" si="721"/>
        <v>0</v>
      </c>
      <c r="O915" s="329">
        <f t="shared" si="727"/>
        <v>0</v>
      </c>
      <c r="P915" s="329">
        <f t="shared" si="728"/>
        <v>0</v>
      </c>
      <c r="Q915" s="329">
        <f t="shared" si="729"/>
        <v>0</v>
      </c>
      <c r="R915" s="329">
        <f t="shared" si="730"/>
        <v>0</v>
      </c>
      <c r="S915" s="329">
        <f t="shared" si="731"/>
        <v>0</v>
      </c>
      <c r="U915" s="329"/>
      <c r="V915" s="329"/>
      <c r="W915" s="329"/>
      <c r="X915" s="329"/>
      <c r="Y915" s="329"/>
      <c r="Z915" s="329"/>
      <c r="AA915" s="329"/>
      <c r="AB915" s="329">
        <f t="shared" si="722"/>
        <v>0</v>
      </c>
      <c r="AD915" s="332">
        <f t="shared" si="715"/>
        <v>0.4</v>
      </c>
      <c r="AE915" s="329">
        <f t="shared" si="716"/>
        <v>0</v>
      </c>
      <c r="AF915" s="329">
        <f t="shared" si="717"/>
        <v>0</v>
      </c>
      <c r="AG915" s="329">
        <f t="shared" si="717"/>
        <v>0</v>
      </c>
      <c r="AH915" s="329">
        <f t="shared" si="732"/>
        <v>0</v>
      </c>
      <c r="AI915" s="329">
        <f t="shared" si="718"/>
        <v>0</v>
      </c>
      <c r="AJ915" s="329">
        <f t="shared" si="718"/>
        <v>0</v>
      </c>
      <c r="AK915" s="329">
        <f t="shared" si="733"/>
        <v>0</v>
      </c>
      <c r="AL915" s="329">
        <f t="shared" si="719"/>
        <v>0</v>
      </c>
    </row>
    <row r="916" spans="1:38" s="332" customFormat="1">
      <c r="A916" s="356"/>
      <c r="B916" s="356" t="s">
        <v>39</v>
      </c>
      <c r="C916" s="355">
        <f t="shared" ref="C916:C958" si="734">IF(G916&lt;&gt;0,1,)</f>
        <v>0</v>
      </c>
      <c r="D916" s="341">
        <f>VLOOKUP(B916,DONGIA,DG!$B$6,0)</f>
        <v>0</v>
      </c>
      <c r="E916" s="340" t="str">
        <f>VLOOKUP(B916,DONGIA,DG!$C$6,0)</f>
        <v>Boulon 16x400+ 2 long đền vuông D18-50x50x3/Zn</v>
      </c>
      <c r="F916" s="341" t="str">
        <f>VLOOKUP(B916,DONGIA,DG!$D$6,0)</f>
        <v>bộ</v>
      </c>
      <c r="G916" s="329">
        <f>HLOOKUP(B916,BKHT,PPHT!$A$700,0)</f>
        <v>0</v>
      </c>
      <c r="H916" s="329">
        <f>VLOOKUP($B916,DONGIA,DG!$E$6,0)</f>
        <v>34000</v>
      </c>
      <c r="I916" s="329"/>
      <c r="J916" s="329"/>
      <c r="K916" s="329">
        <f>VLOOKUP($B916,DONGIA,DG!$F$6,0)</f>
        <v>0</v>
      </c>
      <c r="L916" s="329"/>
      <c r="M916" s="329">
        <f>VLOOKUP($B916,DONGIA,DG!$G$6,0)</f>
        <v>0</v>
      </c>
      <c r="N916" s="329">
        <f t="shared" si="721"/>
        <v>0</v>
      </c>
      <c r="O916" s="329">
        <f t="shared" si="727"/>
        <v>0</v>
      </c>
      <c r="P916" s="329">
        <f t="shared" si="728"/>
        <v>0</v>
      </c>
      <c r="Q916" s="329">
        <f t="shared" si="729"/>
        <v>0</v>
      </c>
      <c r="R916" s="329">
        <f t="shared" si="730"/>
        <v>0</v>
      </c>
      <c r="S916" s="329">
        <f t="shared" si="731"/>
        <v>0</v>
      </c>
      <c r="U916" s="329"/>
      <c r="V916" s="329"/>
      <c r="W916" s="329"/>
      <c r="X916" s="329"/>
      <c r="Y916" s="329"/>
      <c r="Z916" s="329"/>
      <c r="AA916" s="329"/>
      <c r="AB916" s="329">
        <f t="shared" si="722"/>
        <v>0</v>
      </c>
      <c r="AD916" s="332">
        <f t="shared" si="715"/>
        <v>0.33</v>
      </c>
      <c r="AE916" s="329">
        <f t="shared" si="716"/>
        <v>0</v>
      </c>
      <c r="AF916" s="329">
        <f t="shared" si="717"/>
        <v>0</v>
      </c>
      <c r="AG916" s="329">
        <f t="shared" si="717"/>
        <v>0</v>
      </c>
      <c r="AH916" s="329">
        <f t="shared" si="732"/>
        <v>0</v>
      </c>
      <c r="AI916" s="329">
        <f t="shared" si="718"/>
        <v>0</v>
      </c>
      <c r="AJ916" s="329">
        <f t="shared" si="718"/>
        <v>0</v>
      </c>
      <c r="AK916" s="329">
        <f t="shared" si="733"/>
        <v>0</v>
      </c>
      <c r="AL916" s="329">
        <f t="shared" si="719"/>
        <v>0</v>
      </c>
    </row>
    <row r="917" spans="1:38" s="332" customFormat="1">
      <c r="A917" s="356"/>
      <c r="B917" s="356" t="s">
        <v>383</v>
      </c>
      <c r="C917" s="355">
        <f t="shared" si="734"/>
        <v>0</v>
      </c>
      <c r="D917" s="341">
        <f>VLOOKUP(B917,DONGIA,DG!$B$6,0)</f>
        <v>0</v>
      </c>
      <c r="E917" s="340" t="str">
        <f>VLOOKUP(B917,DONGIA,DG!$C$6,0)</f>
        <v>Ống nối dây LV-ABC cỡ 70mm2</v>
      </c>
      <c r="F917" s="341" t="str">
        <f>VLOOKUP(B917,DONGIA,DG!$D$6,0)</f>
        <v>cái</v>
      </c>
      <c r="G917" s="329"/>
      <c r="H917" s="329">
        <f>VLOOKUP($B917,DONGIA,DG!$E$6,0)</f>
        <v>34000</v>
      </c>
      <c r="I917" s="329"/>
      <c r="J917" s="329"/>
      <c r="K917" s="329">
        <f>VLOOKUP($B917,DONGIA,DG!$F$6,0)</f>
        <v>0</v>
      </c>
      <c r="L917" s="329"/>
      <c r="M917" s="329">
        <f>VLOOKUP($B917,DONGIA,DG!$G$6,0)</f>
        <v>0</v>
      </c>
      <c r="N917" s="329">
        <f t="shared" si="721"/>
        <v>0</v>
      </c>
      <c r="O917" s="329">
        <f t="shared" si="727"/>
        <v>0</v>
      </c>
      <c r="P917" s="329">
        <f t="shared" si="728"/>
        <v>0</v>
      </c>
      <c r="Q917" s="329">
        <f t="shared" si="729"/>
        <v>0</v>
      </c>
      <c r="R917" s="329">
        <f t="shared" si="730"/>
        <v>0</v>
      </c>
      <c r="S917" s="329">
        <f t="shared" si="731"/>
        <v>0</v>
      </c>
      <c r="U917" s="329"/>
      <c r="V917" s="329"/>
      <c r="W917" s="329"/>
      <c r="X917" s="329"/>
      <c r="Y917" s="329"/>
      <c r="Z917" s="329"/>
      <c r="AA917" s="329"/>
      <c r="AB917" s="329">
        <f t="shared" si="722"/>
        <v>0</v>
      </c>
      <c r="AD917" s="332">
        <f t="shared" si="715"/>
        <v>0.3</v>
      </c>
      <c r="AE917" s="329">
        <f t="shared" si="716"/>
        <v>0</v>
      </c>
      <c r="AF917" s="329">
        <f t="shared" si="717"/>
        <v>0</v>
      </c>
      <c r="AG917" s="329">
        <f t="shared" si="717"/>
        <v>0</v>
      </c>
      <c r="AH917" s="329">
        <f t="shared" si="732"/>
        <v>0</v>
      </c>
      <c r="AI917" s="329">
        <f t="shared" si="718"/>
        <v>0</v>
      </c>
      <c r="AJ917" s="329">
        <f t="shared" si="718"/>
        <v>0</v>
      </c>
      <c r="AK917" s="329">
        <f t="shared" si="733"/>
        <v>0</v>
      </c>
      <c r="AL917" s="329">
        <f t="shared" si="719"/>
        <v>0</v>
      </c>
    </row>
    <row r="918" spans="1:38">
      <c r="A918" s="618"/>
      <c r="B918" s="618" t="s">
        <v>385</v>
      </c>
      <c r="C918" s="619">
        <f t="shared" si="734"/>
        <v>1</v>
      </c>
      <c r="D918" s="523">
        <f>VLOOKUP(B918,DONGIA,DG!$B$6,0)</f>
        <v>0</v>
      </c>
      <c r="E918" s="666" t="str">
        <f>VLOOKUP(B918,DONGIA,DG!$C$6,0)</f>
        <v>Ống nối dây LV-ABC cỡ 95mm2</v>
      </c>
      <c r="F918" s="523" t="str">
        <f>VLOOKUP(B918,DONGIA,DG!$D$6,0)</f>
        <v>cái</v>
      </c>
      <c r="G918" s="525">
        <f>ROUND(G878/500,0)*4</f>
        <v>60</v>
      </c>
      <c r="H918" s="525">
        <f>VLOOKUP($B918,DONGIA,DG!$E$6,0)</f>
        <v>36000</v>
      </c>
      <c r="I918" s="525"/>
      <c r="J918" s="525"/>
      <c r="K918" s="525">
        <f>VLOOKUP($B918,DONGIA,DG!$F$6,0)</f>
        <v>0</v>
      </c>
      <c r="L918" s="525"/>
      <c r="M918" s="525">
        <f>VLOOKUP($B918,DONGIA,DG!$G$6,0)</f>
        <v>0</v>
      </c>
      <c r="N918" s="525">
        <f t="shared" si="721"/>
        <v>2160000</v>
      </c>
      <c r="O918" s="525">
        <f t="shared" si="727"/>
        <v>0</v>
      </c>
      <c r="P918" s="525">
        <f t="shared" si="728"/>
        <v>0</v>
      </c>
      <c r="Q918" s="525">
        <f t="shared" si="729"/>
        <v>0</v>
      </c>
      <c r="R918" s="525">
        <f t="shared" si="730"/>
        <v>0</v>
      </c>
      <c r="S918" s="525">
        <f t="shared" si="731"/>
        <v>0</v>
      </c>
      <c r="U918" s="525"/>
      <c r="V918" s="525"/>
      <c r="W918" s="525"/>
      <c r="X918" s="525"/>
      <c r="Y918" s="525"/>
      <c r="Z918" s="525"/>
      <c r="AA918" s="525"/>
      <c r="AB918" s="525">
        <f t="shared" si="722"/>
        <v>60</v>
      </c>
      <c r="AD918" s="405">
        <f t="shared" si="715"/>
        <v>0</v>
      </c>
      <c r="AE918" s="525">
        <f t="shared" si="716"/>
        <v>0</v>
      </c>
      <c r="AF918" s="525">
        <f t="shared" si="717"/>
        <v>0</v>
      </c>
      <c r="AG918" s="525">
        <f t="shared" si="717"/>
        <v>0</v>
      </c>
      <c r="AH918" s="525">
        <f t="shared" si="732"/>
        <v>0</v>
      </c>
      <c r="AI918" s="525">
        <f t="shared" si="718"/>
        <v>0</v>
      </c>
      <c r="AJ918" s="525">
        <f t="shared" si="718"/>
        <v>0</v>
      </c>
      <c r="AK918" s="525">
        <f t="shared" si="733"/>
        <v>0</v>
      </c>
      <c r="AL918" s="525">
        <f t="shared" si="719"/>
        <v>0</v>
      </c>
    </row>
    <row r="919" spans="1:38">
      <c r="A919" s="618"/>
      <c r="B919" s="618" t="s">
        <v>387</v>
      </c>
      <c r="C919" s="619">
        <f t="shared" si="734"/>
        <v>1</v>
      </c>
      <c r="D919" s="523">
        <f>VLOOKUP(B919,DONGIA,DG!$B$6,0)</f>
        <v>0</v>
      </c>
      <c r="E919" s="666" t="str">
        <f>VLOOKUP(B919,DONGIA,DG!$C$6,0)</f>
        <v>Ống nối MJPB 120 (LV-ABC cỡ 120mm2)</v>
      </c>
      <c r="F919" s="523" t="str">
        <f>VLOOKUP(B919,DONGIA,DG!$D$6,0)</f>
        <v>cái</v>
      </c>
      <c r="G919" s="525">
        <f>ROUND(G880/500*4,0)+ROUND(G879/500*3,0)</f>
        <v>64</v>
      </c>
      <c r="H919" s="525">
        <f>VLOOKUP($B919,DONGIA,DG!$E$6,0)</f>
        <v>36000</v>
      </c>
      <c r="I919" s="525"/>
      <c r="J919" s="525"/>
      <c r="K919" s="525">
        <f>VLOOKUP($B919,DONGIA,DG!$F$6,0)</f>
        <v>0</v>
      </c>
      <c r="L919" s="525"/>
      <c r="M919" s="525">
        <f>VLOOKUP($B919,DONGIA,DG!$G$6,0)</f>
        <v>0</v>
      </c>
      <c r="N919" s="525">
        <f t="shared" si="721"/>
        <v>2304000</v>
      </c>
      <c r="O919" s="525">
        <f t="shared" si="727"/>
        <v>0</v>
      </c>
      <c r="P919" s="525">
        <f t="shared" si="728"/>
        <v>0</v>
      </c>
      <c r="Q919" s="525">
        <f t="shared" si="729"/>
        <v>0</v>
      </c>
      <c r="R919" s="525">
        <f t="shared" si="730"/>
        <v>0</v>
      </c>
      <c r="S919" s="525">
        <f t="shared" si="731"/>
        <v>0</v>
      </c>
      <c r="U919" s="525"/>
      <c r="V919" s="525"/>
      <c r="W919" s="525"/>
      <c r="X919" s="525"/>
      <c r="Y919" s="525"/>
      <c r="Z919" s="525"/>
      <c r="AA919" s="525"/>
      <c r="AB919" s="525">
        <f t="shared" si="722"/>
        <v>64</v>
      </c>
      <c r="AD919" s="405">
        <f t="shared" si="715"/>
        <v>0</v>
      </c>
      <c r="AE919" s="525">
        <f t="shared" si="716"/>
        <v>0</v>
      </c>
      <c r="AF919" s="525">
        <f t="shared" si="717"/>
        <v>0</v>
      </c>
      <c r="AG919" s="525">
        <f t="shared" si="717"/>
        <v>0</v>
      </c>
      <c r="AH919" s="525">
        <f t="shared" si="732"/>
        <v>0</v>
      </c>
      <c r="AI919" s="525">
        <f t="shared" si="718"/>
        <v>0</v>
      </c>
      <c r="AJ919" s="525">
        <f t="shared" si="718"/>
        <v>0</v>
      </c>
      <c r="AK919" s="525">
        <f t="shared" si="733"/>
        <v>0</v>
      </c>
      <c r="AL919" s="525">
        <f t="shared" si="719"/>
        <v>0</v>
      </c>
    </row>
    <row r="920" spans="1:38" s="332" customFormat="1">
      <c r="A920" s="356"/>
      <c r="B920" s="356" t="s">
        <v>2027</v>
      </c>
      <c r="C920" s="355">
        <f t="shared" si="734"/>
        <v>0</v>
      </c>
      <c r="D920" s="341">
        <f>VLOOKUP(B920,DONGIA,DG!$B$6,0)</f>
        <v>0</v>
      </c>
      <c r="E920" s="340" t="str">
        <f>VLOOKUP(B920,DONGIA,DG!$C$6,0)</f>
        <v>Ống nối dây LV-ABC cỡ 150mm2</v>
      </c>
      <c r="F920" s="341" t="str">
        <f>VLOOKUP(B920,DONGIA,DG!$D$6,0)</f>
        <v>cái</v>
      </c>
      <c r="G920" s="329"/>
      <c r="H920" s="329">
        <f>VLOOKUP($B920,DONGIA,DG!$E$6,0)</f>
        <v>0</v>
      </c>
      <c r="I920" s="329"/>
      <c r="J920" s="329"/>
      <c r="K920" s="329">
        <f>VLOOKUP($B920,DONGIA,DG!$F$6,0)</f>
        <v>0</v>
      </c>
      <c r="L920" s="329"/>
      <c r="M920" s="329">
        <f>VLOOKUP($B920,DONGIA,DG!$G$6,0)</f>
        <v>0</v>
      </c>
      <c r="N920" s="329">
        <f t="shared" si="721"/>
        <v>0</v>
      </c>
      <c r="O920" s="329">
        <f t="shared" si="727"/>
        <v>0</v>
      </c>
      <c r="P920" s="329">
        <f t="shared" si="728"/>
        <v>0</v>
      </c>
      <c r="Q920" s="329">
        <f t="shared" si="729"/>
        <v>0</v>
      </c>
      <c r="R920" s="329">
        <f t="shared" si="730"/>
        <v>0</v>
      </c>
      <c r="S920" s="329">
        <f t="shared" si="731"/>
        <v>0</v>
      </c>
      <c r="U920" s="329"/>
      <c r="V920" s="329"/>
      <c r="W920" s="329"/>
      <c r="X920" s="329"/>
      <c r="Y920" s="329"/>
      <c r="Z920" s="329"/>
      <c r="AA920" s="329"/>
      <c r="AB920" s="329">
        <f t="shared" si="722"/>
        <v>0</v>
      </c>
      <c r="AD920" s="332">
        <f t="shared" si="715"/>
        <v>0</v>
      </c>
      <c r="AE920" s="329">
        <f t="shared" si="716"/>
        <v>0</v>
      </c>
      <c r="AF920" s="329">
        <f t="shared" si="717"/>
        <v>0</v>
      </c>
      <c r="AG920" s="329">
        <f t="shared" si="717"/>
        <v>0</v>
      </c>
      <c r="AH920" s="329">
        <f t="shared" si="732"/>
        <v>0</v>
      </c>
      <c r="AI920" s="329">
        <f t="shared" si="718"/>
        <v>0</v>
      </c>
      <c r="AJ920" s="329">
        <f t="shared" si="718"/>
        <v>0</v>
      </c>
      <c r="AK920" s="329">
        <f t="shared" si="733"/>
        <v>0</v>
      </c>
      <c r="AL920" s="329">
        <f t="shared" si="719"/>
        <v>0</v>
      </c>
    </row>
    <row r="921" spans="1:38">
      <c r="A921" s="618"/>
      <c r="B921" s="618" t="s">
        <v>325</v>
      </c>
      <c r="C921" s="619">
        <f t="shared" si="734"/>
        <v>1</v>
      </c>
      <c r="D921" s="523">
        <f>VLOOKUP(B921,DONGIA,DG!$B$6,0)</f>
        <v>0</v>
      </c>
      <c r="E921" s="666" t="str">
        <f>VLOOKUP(B921,DONGIA,DG!$C$6,0)</f>
        <v>Kẹp ép WR cỡ dây 70mm2</v>
      </c>
      <c r="F921" s="523" t="str">
        <f>VLOOKUP(B921,DONGIA,DG!$D$6,0)</f>
        <v>cái</v>
      </c>
      <c r="G921" s="525">
        <f>HLOOKUP(B921,BKHT,PPHT!$A$700,0)</f>
        <v>86</v>
      </c>
      <c r="H921" s="525">
        <f>VLOOKUP($B921,DONGIA,DG!$E$6,0)</f>
        <v>14700</v>
      </c>
      <c r="I921" s="525"/>
      <c r="J921" s="525"/>
      <c r="K921" s="525">
        <f>VLOOKUP($B921,DONGIA,DG!$F$6,0)</f>
        <v>0</v>
      </c>
      <c r="L921" s="525"/>
      <c r="M921" s="525">
        <f>VLOOKUP($B921,DONGIA,DG!$G$6,0)</f>
        <v>0</v>
      </c>
      <c r="N921" s="525">
        <f t="shared" si="721"/>
        <v>1264200</v>
      </c>
      <c r="O921" s="525">
        <f t="shared" si="727"/>
        <v>0</v>
      </c>
      <c r="P921" s="525">
        <f t="shared" si="728"/>
        <v>0</v>
      </c>
      <c r="Q921" s="525">
        <f t="shared" si="729"/>
        <v>0</v>
      </c>
      <c r="R921" s="525">
        <f t="shared" si="730"/>
        <v>0</v>
      </c>
      <c r="S921" s="525">
        <f t="shared" si="731"/>
        <v>0</v>
      </c>
      <c r="U921" s="525"/>
      <c r="V921" s="525"/>
      <c r="W921" s="525"/>
      <c r="X921" s="525"/>
      <c r="Y921" s="525"/>
      <c r="Z921" s="525"/>
      <c r="AA921" s="525"/>
      <c r="AB921" s="525">
        <f t="shared" si="722"/>
        <v>86</v>
      </c>
      <c r="AD921" s="405">
        <f t="shared" si="715"/>
        <v>0.2</v>
      </c>
      <c r="AE921" s="525">
        <f t="shared" si="716"/>
        <v>0</v>
      </c>
      <c r="AF921" s="525">
        <f t="shared" si="717"/>
        <v>0</v>
      </c>
      <c r="AG921" s="525">
        <f t="shared" si="717"/>
        <v>0</v>
      </c>
      <c r="AH921" s="525">
        <f t="shared" si="732"/>
        <v>0</v>
      </c>
      <c r="AI921" s="525">
        <f t="shared" si="718"/>
        <v>0</v>
      </c>
      <c r="AJ921" s="525">
        <f t="shared" si="718"/>
        <v>0</v>
      </c>
      <c r="AK921" s="525">
        <f t="shared" si="733"/>
        <v>0</v>
      </c>
      <c r="AL921" s="525">
        <f t="shared" si="719"/>
        <v>17.2</v>
      </c>
    </row>
    <row r="922" spans="1:38">
      <c r="A922" s="618"/>
      <c r="B922" s="618" t="s">
        <v>327</v>
      </c>
      <c r="C922" s="619">
        <f t="shared" si="734"/>
        <v>1</v>
      </c>
      <c r="D922" s="523">
        <f>VLOOKUP(B922,DONGIA,DG!$B$6,0)</f>
        <v>0</v>
      </c>
      <c r="E922" s="666" t="str">
        <f>VLOOKUP(B922,DONGIA,DG!$C$6,0)</f>
        <v>Kẹp ép WR cỡ dây 95mm2</v>
      </c>
      <c r="F922" s="523" t="str">
        <f>VLOOKUP(B922,DONGIA,DG!$D$6,0)</f>
        <v>cái</v>
      </c>
      <c r="G922" s="525">
        <f>HLOOKUP(B922,BKHT,PPHT!$A$700,0)</f>
        <v>88</v>
      </c>
      <c r="H922" s="525">
        <f>VLOOKUP($B922,DONGIA,DG!$E$6,0)</f>
        <v>14700</v>
      </c>
      <c r="I922" s="525"/>
      <c r="J922" s="525"/>
      <c r="K922" s="525">
        <f>VLOOKUP($B922,DONGIA,DG!$F$6,0)</f>
        <v>0</v>
      </c>
      <c r="L922" s="525"/>
      <c r="M922" s="525">
        <f>VLOOKUP($B922,DONGIA,DG!$G$6,0)</f>
        <v>0</v>
      </c>
      <c r="N922" s="525">
        <f t="shared" si="721"/>
        <v>1293600</v>
      </c>
      <c r="O922" s="525">
        <f t="shared" si="727"/>
        <v>0</v>
      </c>
      <c r="P922" s="525">
        <f t="shared" si="728"/>
        <v>0</v>
      </c>
      <c r="Q922" s="525">
        <f t="shared" si="729"/>
        <v>0</v>
      </c>
      <c r="R922" s="525">
        <f t="shared" si="730"/>
        <v>0</v>
      </c>
      <c r="S922" s="525">
        <f t="shared" si="731"/>
        <v>0</v>
      </c>
      <c r="U922" s="525"/>
      <c r="V922" s="525"/>
      <c r="W922" s="525"/>
      <c r="X922" s="525"/>
      <c r="Y922" s="525"/>
      <c r="Z922" s="525"/>
      <c r="AA922" s="525"/>
      <c r="AB922" s="525">
        <f t="shared" si="722"/>
        <v>88</v>
      </c>
      <c r="AD922" s="405">
        <f t="shared" si="715"/>
        <v>0.2</v>
      </c>
      <c r="AE922" s="525">
        <f t="shared" si="716"/>
        <v>0</v>
      </c>
      <c r="AF922" s="525">
        <f t="shared" si="717"/>
        <v>0</v>
      </c>
      <c r="AG922" s="525">
        <f t="shared" si="717"/>
        <v>0</v>
      </c>
      <c r="AH922" s="525">
        <f t="shared" si="732"/>
        <v>0</v>
      </c>
      <c r="AI922" s="525">
        <f t="shared" si="718"/>
        <v>0</v>
      </c>
      <c r="AJ922" s="525">
        <f t="shared" si="718"/>
        <v>0</v>
      </c>
      <c r="AK922" s="525">
        <f t="shared" si="733"/>
        <v>0</v>
      </c>
      <c r="AL922" s="525">
        <f t="shared" si="719"/>
        <v>17.600000000000001</v>
      </c>
    </row>
    <row r="923" spans="1:38">
      <c r="A923" s="618"/>
      <c r="B923" s="618" t="s">
        <v>329</v>
      </c>
      <c r="C923" s="619">
        <f t="shared" si="734"/>
        <v>1</v>
      </c>
      <c r="D923" s="523">
        <f>VLOOKUP(B923,DONGIA,DG!$B$6,0)</f>
        <v>0</v>
      </c>
      <c r="E923" s="666" t="str">
        <f>VLOOKUP(B923,DONGIA,DG!$C$6,0)</f>
        <v>Kẹp ép WR cỡ dây 120mm2</v>
      </c>
      <c r="F923" s="523" t="str">
        <f>VLOOKUP(B923,DONGIA,DG!$D$6,0)</f>
        <v>cái</v>
      </c>
      <c r="G923" s="525">
        <f>HLOOKUP(B923,BKHT,PPHT!$A$700,0)</f>
        <v>116</v>
      </c>
      <c r="H923" s="525">
        <f>VLOOKUP($B923,DONGIA,DG!$E$6,0)</f>
        <v>18900</v>
      </c>
      <c r="I923" s="525"/>
      <c r="J923" s="525"/>
      <c r="K923" s="525">
        <f>VLOOKUP($B923,DONGIA,DG!$F$6,0)</f>
        <v>0</v>
      </c>
      <c r="L923" s="525"/>
      <c r="M923" s="525">
        <f>VLOOKUP($B923,DONGIA,DG!$G$6,0)</f>
        <v>0</v>
      </c>
      <c r="N923" s="525">
        <f t="shared" si="721"/>
        <v>2192400</v>
      </c>
      <c r="O923" s="525">
        <f t="shared" si="727"/>
        <v>0</v>
      </c>
      <c r="P923" s="525">
        <f t="shared" si="728"/>
        <v>0</v>
      </c>
      <c r="Q923" s="525">
        <f t="shared" si="729"/>
        <v>0</v>
      </c>
      <c r="R923" s="525">
        <f t="shared" si="730"/>
        <v>0</v>
      </c>
      <c r="S923" s="525">
        <f t="shared" si="731"/>
        <v>0</v>
      </c>
      <c r="U923" s="525"/>
      <c r="V923" s="525"/>
      <c r="W923" s="525"/>
      <c r="X923" s="525"/>
      <c r="Y923" s="525"/>
      <c r="Z923" s="525"/>
      <c r="AA923" s="525"/>
      <c r="AB923" s="525">
        <f t="shared" si="722"/>
        <v>116</v>
      </c>
      <c r="AD923" s="405">
        <f t="shared" si="715"/>
        <v>0.2</v>
      </c>
      <c r="AE923" s="525">
        <f t="shared" si="716"/>
        <v>0</v>
      </c>
      <c r="AF923" s="525">
        <f t="shared" si="717"/>
        <v>0</v>
      </c>
      <c r="AG923" s="525">
        <f t="shared" si="717"/>
        <v>0</v>
      </c>
      <c r="AH923" s="525">
        <f t="shared" si="732"/>
        <v>0</v>
      </c>
      <c r="AI923" s="525">
        <f t="shared" si="718"/>
        <v>0</v>
      </c>
      <c r="AJ923" s="525">
        <f t="shared" si="718"/>
        <v>0</v>
      </c>
      <c r="AK923" s="525">
        <f t="shared" si="733"/>
        <v>0</v>
      </c>
      <c r="AL923" s="525">
        <f t="shared" si="719"/>
        <v>23.200000000000003</v>
      </c>
    </row>
    <row r="924" spans="1:38">
      <c r="A924" s="618"/>
      <c r="B924" s="618" t="s">
        <v>3425</v>
      </c>
      <c r="C924" s="619">
        <f t="shared" ref="C924:C930" si="735">IF(G924&lt;&gt;0,1,)</f>
        <v>1</v>
      </c>
      <c r="D924" s="523">
        <f>VLOOKUP(B924,DONGIA,DG!$B$6,0)</f>
        <v>0</v>
      </c>
      <c r="E924" s="666" t="str">
        <f>VLOOKUP(B924,DONGIA,DG!$C$6,0)</f>
        <v>Bộ tiếp địa hạ thế cáp LV-ABC (95-120)</v>
      </c>
      <c r="F924" s="523" t="str">
        <f>VLOOKUP(B924,DONGIA,DG!$D$6,0)</f>
        <v>cái</v>
      </c>
      <c r="G924" s="525">
        <f>HLOOKUP(B924,BKHT,PPHT!$A$700,0)</f>
        <v>159</v>
      </c>
      <c r="H924" s="525">
        <f>VLOOKUP($B924,DONGIA,DG!$E$6,0)</f>
        <v>160000</v>
      </c>
      <c r="I924" s="525"/>
      <c r="J924" s="525"/>
      <c r="K924" s="525">
        <f>VLOOKUP($B924,DONGIA,DG!$F$6,0)</f>
        <v>0</v>
      </c>
      <c r="L924" s="525"/>
      <c r="M924" s="525">
        <f>VLOOKUP($B924,DONGIA,DG!$G$6,0)</f>
        <v>0</v>
      </c>
      <c r="N924" s="525">
        <f t="shared" ref="N924:S930" si="736">$G924*H924</f>
        <v>25440000</v>
      </c>
      <c r="O924" s="525">
        <f t="shared" si="736"/>
        <v>0</v>
      </c>
      <c r="P924" s="525">
        <f t="shared" si="736"/>
        <v>0</v>
      </c>
      <c r="Q924" s="525">
        <f t="shared" si="736"/>
        <v>0</v>
      </c>
      <c r="R924" s="525">
        <f t="shared" si="736"/>
        <v>0</v>
      </c>
      <c r="S924" s="525">
        <f t="shared" si="736"/>
        <v>0</v>
      </c>
      <c r="U924" s="525"/>
      <c r="V924" s="525"/>
      <c r="W924" s="525"/>
      <c r="X924" s="525"/>
      <c r="Y924" s="525"/>
      <c r="Z924" s="525"/>
      <c r="AA924" s="525"/>
      <c r="AB924" s="525">
        <f t="shared" si="722"/>
        <v>159</v>
      </c>
      <c r="AD924" s="405">
        <f t="shared" ref="AD924:AD930" si="737">IFERROR(VLOOKUP(B924,DONGIA,$AD$3,0),0)</f>
        <v>0.3</v>
      </c>
      <c r="AE924" s="525">
        <f t="shared" ref="AE924:AL930" si="738">U924*$AD924</f>
        <v>0</v>
      </c>
      <c r="AF924" s="525">
        <f t="shared" si="738"/>
        <v>0</v>
      </c>
      <c r="AG924" s="525">
        <f t="shared" si="738"/>
        <v>0</v>
      </c>
      <c r="AH924" s="525">
        <f t="shared" si="738"/>
        <v>0</v>
      </c>
      <c r="AI924" s="525">
        <f t="shared" si="738"/>
        <v>0</v>
      </c>
      <c r="AJ924" s="525">
        <f t="shared" si="738"/>
        <v>0</v>
      </c>
      <c r="AK924" s="525">
        <f t="shared" si="738"/>
        <v>0</v>
      </c>
      <c r="AL924" s="525">
        <f t="shared" si="738"/>
        <v>47.699999999999996</v>
      </c>
    </row>
    <row r="925" spans="1:38" s="332" customFormat="1">
      <c r="A925" s="356"/>
      <c r="B925" s="356" t="s">
        <v>389</v>
      </c>
      <c r="C925" s="355">
        <f t="shared" si="735"/>
        <v>0</v>
      </c>
      <c r="D925" s="341" t="str">
        <f>VLOOKUP(B925,DONGIA,DG!$B$6,0)</f>
        <v>D3.4011</v>
      </c>
      <c r="E925" s="340" t="str">
        <f>VLOOKUP(B925,DONGIA,DG!$C$6,0)</f>
        <v>Ống nối dây AC cỡ 70mm2 (Không lõi thép)</v>
      </c>
      <c r="F925" s="341" t="str">
        <f>VLOOKUP(B925,DONGIA,DG!$D$6,0)</f>
        <v>cái</v>
      </c>
      <c r="G925" s="329"/>
      <c r="H925" s="329">
        <f>VLOOKUP($B925,DONGIA,DG!$E$6,0)</f>
        <v>42000</v>
      </c>
      <c r="I925" s="329"/>
      <c r="J925" s="329"/>
      <c r="K925" s="329"/>
      <c r="L925" s="329"/>
      <c r="M925" s="329"/>
      <c r="N925" s="329">
        <f t="shared" si="736"/>
        <v>0</v>
      </c>
      <c r="O925" s="329">
        <f t="shared" si="736"/>
        <v>0</v>
      </c>
      <c r="P925" s="329">
        <f t="shared" si="736"/>
        <v>0</v>
      </c>
      <c r="Q925" s="329">
        <f t="shared" si="736"/>
        <v>0</v>
      </c>
      <c r="R925" s="329">
        <f t="shared" si="736"/>
        <v>0</v>
      </c>
      <c r="S925" s="329">
        <f t="shared" si="736"/>
        <v>0</v>
      </c>
      <c r="U925" s="329"/>
      <c r="V925" s="329"/>
      <c r="W925" s="329"/>
      <c r="X925" s="329"/>
      <c r="Y925" s="329"/>
      <c r="Z925" s="329"/>
      <c r="AA925" s="329"/>
      <c r="AB925" s="329">
        <f t="shared" si="722"/>
        <v>0</v>
      </c>
      <c r="AD925" s="332">
        <f t="shared" si="737"/>
        <v>2</v>
      </c>
      <c r="AE925" s="329">
        <f t="shared" si="738"/>
        <v>0</v>
      </c>
      <c r="AF925" s="329">
        <f t="shared" si="738"/>
        <v>0</v>
      </c>
      <c r="AG925" s="329">
        <f t="shared" si="738"/>
        <v>0</v>
      </c>
      <c r="AH925" s="329">
        <f t="shared" si="738"/>
        <v>0</v>
      </c>
      <c r="AI925" s="329">
        <f t="shared" si="738"/>
        <v>0</v>
      </c>
      <c r="AJ925" s="329">
        <f t="shared" si="738"/>
        <v>0</v>
      </c>
      <c r="AK925" s="329">
        <f t="shared" si="738"/>
        <v>0</v>
      </c>
      <c r="AL925" s="329">
        <f t="shared" si="738"/>
        <v>0</v>
      </c>
    </row>
    <row r="926" spans="1:38">
      <c r="A926" s="618"/>
      <c r="B926" s="618" t="s">
        <v>3342</v>
      </c>
      <c r="C926" s="619">
        <f t="shared" si="735"/>
        <v>0</v>
      </c>
      <c r="D926" s="523" t="str">
        <f>VLOOKUP(B926,DONGIA,DG!$B$6,0)</f>
        <v>D4.5001</v>
      </c>
      <c r="E926" s="525" t="str">
        <f>VLOOKUP(B926,DONGIA,DG!$C$6,0)</f>
        <v>Ống nối Al 16mm2</v>
      </c>
      <c r="F926" s="523" t="str">
        <f>VLOOKUP(B926,DONGIA,DG!$D$6,0)</f>
        <v>cái</v>
      </c>
      <c r="G926" s="525">
        <f>PPHT!FN700*2</f>
        <v>0</v>
      </c>
      <c r="H926" s="525">
        <f>VLOOKUP($B926,DONGIA,DG!$E$6,0)</f>
        <v>6600</v>
      </c>
      <c r="I926" s="525"/>
      <c r="J926" s="525"/>
      <c r="K926" s="525">
        <f>VLOOKUP($B926,DONGIA,DG!$F$6,0)</f>
        <v>5161</v>
      </c>
      <c r="L926" s="525"/>
      <c r="M926" s="525">
        <f>VLOOKUP($B926,DONGIA,DG!$G$6,0)</f>
        <v>1473</v>
      </c>
      <c r="N926" s="525">
        <f t="shared" si="736"/>
        <v>0</v>
      </c>
      <c r="O926" s="525">
        <f t="shared" si="736"/>
        <v>0</v>
      </c>
      <c r="P926" s="525">
        <f t="shared" si="736"/>
        <v>0</v>
      </c>
      <c r="Q926" s="525">
        <f t="shared" si="736"/>
        <v>0</v>
      </c>
      <c r="R926" s="525">
        <f t="shared" si="736"/>
        <v>0</v>
      </c>
      <c r="S926" s="525">
        <f t="shared" si="736"/>
        <v>0</v>
      </c>
      <c r="U926" s="525"/>
      <c r="V926" s="525"/>
      <c r="W926" s="525"/>
      <c r="X926" s="525"/>
      <c r="Y926" s="525"/>
      <c r="Z926" s="525"/>
      <c r="AA926" s="525"/>
      <c r="AB926" s="525">
        <f t="shared" si="722"/>
        <v>0</v>
      </c>
      <c r="AD926" s="405">
        <f t="shared" si="737"/>
        <v>0</v>
      </c>
      <c r="AE926" s="525">
        <f t="shared" si="738"/>
        <v>0</v>
      </c>
      <c r="AF926" s="525">
        <f t="shared" si="738"/>
        <v>0</v>
      </c>
      <c r="AG926" s="525">
        <f t="shared" si="738"/>
        <v>0</v>
      </c>
      <c r="AH926" s="525">
        <f t="shared" si="738"/>
        <v>0</v>
      </c>
      <c r="AI926" s="525">
        <f t="shared" si="738"/>
        <v>0</v>
      </c>
      <c r="AJ926" s="525">
        <f t="shared" si="738"/>
        <v>0</v>
      </c>
      <c r="AK926" s="525">
        <f t="shared" si="738"/>
        <v>0</v>
      </c>
      <c r="AL926" s="525">
        <f t="shared" si="738"/>
        <v>0</v>
      </c>
    </row>
    <row r="927" spans="1:38">
      <c r="A927" s="618"/>
      <c r="B927" s="618" t="s">
        <v>1193</v>
      </c>
      <c r="C927" s="619">
        <f t="shared" si="735"/>
        <v>0</v>
      </c>
      <c r="D927" s="523">
        <f>VLOOKUP(B927,DONGIA,DG!$B$6,0)</f>
        <v>0</v>
      </c>
      <c r="E927" s="525" t="str">
        <f>VLOOKUP(B927,DONGIA,DG!$C$6,0)</f>
        <v>Băng keo cách điện</v>
      </c>
      <c r="F927" s="523" t="str">
        <f>VLOOKUP(B927,DONGIA,DG!$D$6,0)</f>
        <v>cuộn</v>
      </c>
      <c r="G927" s="525">
        <f>ROUND(G926/15,0)</f>
        <v>0</v>
      </c>
      <c r="H927" s="525">
        <f>VLOOKUP($B927,DONGIA,DG!$E$6,0)</f>
        <v>6500</v>
      </c>
      <c r="I927" s="525"/>
      <c r="J927" s="525"/>
      <c r="K927" s="525">
        <f>VLOOKUP($B927,DONGIA,DG!$F$6,0)</f>
        <v>0</v>
      </c>
      <c r="L927" s="525"/>
      <c r="M927" s="525">
        <f>VLOOKUP($B927,DONGIA,DG!$G$6,0)</f>
        <v>0</v>
      </c>
      <c r="N927" s="525">
        <f t="shared" si="736"/>
        <v>0</v>
      </c>
      <c r="O927" s="525">
        <f t="shared" si="736"/>
        <v>0</v>
      </c>
      <c r="P927" s="525">
        <f t="shared" si="736"/>
        <v>0</v>
      </c>
      <c r="Q927" s="525">
        <f t="shared" si="736"/>
        <v>0</v>
      </c>
      <c r="R927" s="525">
        <f t="shared" si="736"/>
        <v>0</v>
      </c>
      <c r="S927" s="525">
        <f t="shared" si="736"/>
        <v>0</v>
      </c>
      <c r="U927" s="525"/>
      <c r="V927" s="525"/>
      <c r="W927" s="525"/>
      <c r="X927" s="525"/>
      <c r="Y927" s="525"/>
      <c r="Z927" s="525"/>
      <c r="AA927" s="525"/>
      <c r="AB927" s="525">
        <f t="shared" si="722"/>
        <v>0</v>
      </c>
      <c r="AD927" s="405">
        <f t="shared" si="737"/>
        <v>0</v>
      </c>
      <c r="AE927" s="525">
        <f t="shared" si="738"/>
        <v>0</v>
      </c>
      <c r="AF927" s="525">
        <f t="shared" si="738"/>
        <v>0</v>
      </c>
      <c r="AG927" s="525">
        <f t="shared" si="738"/>
        <v>0</v>
      </c>
      <c r="AH927" s="525">
        <f t="shared" si="738"/>
        <v>0</v>
      </c>
      <c r="AI927" s="525">
        <f t="shared" si="738"/>
        <v>0</v>
      </c>
      <c r="AJ927" s="525">
        <f t="shared" si="738"/>
        <v>0</v>
      </c>
      <c r="AK927" s="525">
        <f t="shared" si="738"/>
        <v>0</v>
      </c>
      <c r="AL927" s="525">
        <f t="shared" si="738"/>
        <v>0</v>
      </c>
    </row>
    <row r="928" spans="1:38" s="332" customFormat="1">
      <c r="A928" s="356"/>
      <c r="B928" s="356" t="s">
        <v>396</v>
      </c>
      <c r="C928" s="355">
        <f t="shared" si="735"/>
        <v>0</v>
      </c>
      <c r="D928" s="341">
        <f>VLOOKUP(B928,DONGIA,DG!$B$6,0)</f>
        <v>0</v>
      </c>
      <c r="E928" s="340" t="str">
        <f>VLOOKUP(B928,DONGIA,DG!$C$6,0)</f>
        <v>Ống bọc cách điện D30/15</v>
      </c>
      <c r="F928" s="341" t="str">
        <f>VLOOKUP(B928,DONGIA,DG!$D$6,0)</f>
        <v>mét</v>
      </c>
      <c r="G928" s="329"/>
      <c r="H928" s="329">
        <f>VLOOKUP($B928,DONGIA,DG!$E$6,0)</f>
        <v>95000</v>
      </c>
      <c r="I928" s="329"/>
      <c r="J928" s="329"/>
      <c r="K928" s="329">
        <f>VLOOKUP($B928,DONGIA,DG!$F$6,0)</f>
        <v>0</v>
      </c>
      <c r="L928" s="329"/>
      <c r="M928" s="329">
        <f>VLOOKUP($B928,DONGIA,DG!$G$6,0)</f>
        <v>0</v>
      </c>
      <c r="N928" s="329">
        <f t="shared" si="736"/>
        <v>0</v>
      </c>
      <c r="O928" s="329">
        <f t="shared" si="736"/>
        <v>0</v>
      </c>
      <c r="P928" s="329">
        <f t="shared" si="736"/>
        <v>0</v>
      </c>
      <c r="Q928" s="329">
        <f t="shared" si="736"/>
        <v>0</v>
      </c>
      <c r="R928" s="329">
        <f t="shared" si="736"/>
        <v>0</v>
      </c>
      <c r="S928" s="329">
        <f t="shared" si="736"/>
        <v>0</v>
      </c>
      <c r="U928" s="329"/>
      <c r="V928" s="329"/>
      <c r="W928" s="329"/>
      <c r="X928" s="329"/>
      <c r="Y928" s="329"/>
      <c r="Z928" s="329"/>
      <c r="AA928" s="329"/>
      <c r="AB928" s="329">
        <f t="shared" si="722"/>
        <v>0</v>
      </c>
      <c r="AD928" s="332">
        <f t="shared" si="737"/>
        <v>0</v>
      </c>
      <c r="AE928" s="329">
        <f t="shared" si="738"/>
        <v>0</v>
      </c>
      <c r="AF928" s="329">
        <f t="shared" si="738"/>
        <v>0</v>
      </c>
      <c r="AG928" s="329">
        <f t="shared" si="738"/>
        <v>0</v>
      </c>
      <c r="AH928" s="329">
        <f t="shared" si="738"/>
        <v>0</v>
      </c>
      <c r="AI928" s="329">
        <f t="shared" si="738"/>
        <v>0</v>
      </c>
      <c r="AJ928" s="329">
        <f t="shared" si="738"/>
        <v>0</v>
      </c>
      <c r="AK928" s="329">
        <f t="shared" si="738"/>
        <v>0</v>
      </c>
      <c r="AL928" s="329">
        <f t="shared" si="738"/>
        <v>0</v>
      </c>
    </row>
    <row r="929" spans="1:38" s="332" customFormat="1">
      <c r="A929" s="356"/>
      <c r="B929" s="356" t="s">
        <v>255</v>
      </c>
      <c r="C929" s="355">
        <f t="shared" si="735"/>
        <v>0</v>
      </c>
      <c r="D929" s="341">
        <f>VLOOKUP(B929,DONGIA,DG!$B$6,0)</f>
        <v>0</v>
      </c>
      <c r="E929" s="340" t="str">
        <f>VLOOKUP(B929,DONGIA,DG!$C$6,0)</f>
        <v>Cáp nhôm A-70 (Buộc cổ sứ)</v>
      </c>
      <c r="F929" s="341" t="str">
        <f>VLOOKUP(B929,DONGIA,DG!$D$6,0)</f>
        <v>kg</v>
      </c>
      <c r="G929" s="455"/>
      <c r="H929" s="329">
        <f>VLOOKUP($B929,DONGIA,DG!$E$6,0)</f>
        <v>85000</v>
      </c>
      <c r="I929" s="329"/>
      <c r="J929" s="329"/>
      <c r="K929" s="329">
        <f>VLOOKUP($B929,DONGIA,DG!$F$6,0)</f>
        <v>0</v>
      </c>
      <c r="L929" s="329"/>
      <c r="M929" s="329">
        <f>VLOOKUP($B929,DONGIA,DG!$G$6,0)</f>
        <v>0</v>
      </c>
      <c r="N929" s="329">
        <f t="shared" si="736"/>
        <v>0</v>
      </c>
      <c r="O929" s="329">
        <f t="shared" si="736"/>
        <v>0</v>
      </c>
      <c r="P929" s="329">
        <f t="shared" si="736"/>
        <v>0</v>
      </c>
      <c r="Q929" s="329">
        <f t="shared" si="736"/>
        <v>0</v>
      </c>
      <c r="R929" s="329">
        <f t="shared" si="736"/>
        <v>0</v>
      </c>
      <c r="S929" s="329">
        <f t="shared" si="736"/>
        <v>0</v>
      </c>
      <c r="U929" s="329"/>
      <c r="V929" s="329"/>
      <c r="W929" s="329"/>
      <c r="X929" s="329"/>
      <c r="Y929" s="329"/>
      <c r="Z929" s="329"/>
      <c r="AA929" s="329"/>
      <c r="AB929" s="329">
        <f t="shared" si="722"/>
        <v>0</v>
      </c>
      <c r="AD929" s="332">
        <f t="shared" si="737"/>
        <v>1</v>
      </c>
      <c r="AE929" s="329">
        <f t="shared" si="738"/>
        <v>0</v>
      </c>
      <c r="AF929" s="329">
        <f t="shared" si="738"/>
        <v>0</v>
      </c>
      <c r="AG929" s="329">
        <f t="shared" si="738"/>
        <v>0</v>
      </c>
      <c r="AH929" s="329">
        <f t="shared" si="738"/>
        <v>0</v>
      </c>
      <c r="AI929" s="329">
        <f t="shared" si="738"/>
        <v>0</v>
      </c>
      <c r="AJ929" s="329">
        <f t="shared" si="738"/>
        <v>0</v>
      </c>
      <c r="AK929" s="329">
        <f t="shared" si="738"/>
        <v>0</v>
      </c>
      <c r="AL929" s="329">
        <f t="shared" si="738"/>
        <v>0</v>
      </c>
    </row>
    <row r="930" spans="1:38">
      <c r="A930" s="618"/>
      <c r="B930" s="618" t="s">
        <v>3522</v>
      </c>
      <c r="C930" s="619">
        <f t="shared" si="735"/>
        <v>0</v>
      </c>
      <c r="D930" s="523">
        <f>VLOOKUP(B930,DONGIA,DG!$B$6,0)</f>
        <v>0</v>
      </c>
      <c r="E930" s="666" t="str">
        <f>VLOOKUP(B930,DONGIA,DG!$C$6,0)</f>
        <v>Cáp Duplex đồng 2x7mm2</v>
      </c>
      <c r="F930" s="523" t="str">
        <f>VLOOKUP(B930,DONGIA,DG!$D$6,0)</f>
        <v>m</v>
      </c>
      <c r="G930" s="549">
        <f>PPHT!FH700/2</f>
        <v>0</v>
      </c>
      <c r="H930" s="525">
        <f>VLOOKUP($B930,DONGIA,DG!$E$6,0)</f>
        <v>36500</v>
      </c>
      <c r="I930" s="525"/>
      <c r="J930" s="525"/>
      <c r="K930" s="525">
        <f>VLOOKUP($B930,DONGIA,DG!$F$6,0)</f>
        <v>0</v>
      </c>
      <c r="L930" s="525"/>
      <c r="M930" s="525">
        <f>VLOOKUP($B930,DONGIA,DG!$G$6,0)</f>
        <v>0</v>
      </c>
      <c r="N930" s="525">
        <f t="shared" si="736"/>
        <v>0</v>
      </c>
      <c r="O930" s="525">
        <f t="shared" si="736"/>
        <v>0</v>
      </c>
      <c r="P930" s="525">
        <f t="shared" si="736"/>
        <v>0</v>
      </c>
      <c r="Q930" s="525">
        <f t="shared" si="736"/>
        <v>0</v>
      </c>
      <c r="R930" s="525">
        <f t="shared" si="736"/>
        <v>0</v>
      </c>
      <c r="S930" s="525">
        <f t="shared" si="736"/>
        <v>0</v>
      </c>
      <c r="U930" s="525"/>
      <c r="V930" s="525"/>
      <c r="W930" s="525"/>
      <c r="X930" s="525"/>
      <c r="Y930" s="525"/>
      <c r="Z930" s="525"/>
      <c r="AA930" s="525"/>
      <c r="AB930" s="525">
        <f t="shared" si="722"/>
        <v>0</v>
      </c>
      <c r="AD930" s="405">
        <f t="shared" si="737"/>
        <v>0</v>
      </c>
      <c r="AE930" s="525">
        <f t="shared" si="738"/>
        <v>0</v>
      </c>
      <c r="AF930" s="525">
        <f t="shared" si="738"/>
        <v>0</v>
      </c>
      <c r="AG930" s="525">
        <f t="shared" si="738"/>
        <v>0</v>
      </c>
      <c r="AH930" s="525">
        <f t="shared" si="738"/>
        <v>0</v>
      </c>
      <c r="AI930" s="525">
        <f t="shared" si="738"/>
        <v>0</v>
      </c>
      <c r="AJ930" s="525">
        <f t="shared" si="738"/>
        <v>0</v>
      </c>
      <c r="AK930" s="525">
        <f t="shared" si="738"/>
        <v>0</v>
      </c>
      <c r="AL930" s="525">
        <f t="shared" si="738"/>
        <v>0</v>
      </c>
    </row>
    <row r="931" spans="1:38">
      <c r="A931" s="618"/>
      <c r="B931" s="618" t="s">
        <v>3338</v>
      </c>
      <c r="C931" s="619">
        <f t="shared" ref="C931:C937" si="739">IF(G931&lt;&gt;0,1,)</f>
        <v>1</v>
      </c>
      <c r="D931" s="523">
        <f>VLOOKUP(B931,DONGIA,DG!$B$6,0)</f>
        <v>0</v>
      </c>
      <c r="E931" s="666" t="str">
        <f>VLOOKUP(B931,DONGIA,DG!$C$6,0)</f>
        <v>Hộp bắt 1 công tơ + dây rút thép + khóa đai</v>
      </c>
      <c r="F931" s="523" t="str">
        <f>VLOOKUP(B931,DONGIA,DG!$D$6,0)</f>
        <v>bộ</v>
      </c>
      <c r="G931" s="549">
        <f>BKTL!EY507</f>
        <v>26</v>
      </c>
      <c r="H931" s="525">
        <f>VLOOKUP($B931,DONGIA,DG!$E$6,0)</f>
        <v>220000</v>
      </c>
      <c r="I931" s="525"/>
      <c r="J931" s="525"/>
      <c r="K931" s="525">
        <f>VLOOKUP($B931,DONGIA,DG!$F$6,0)</f>
        <v>0</v>
      </c>
      <c r="L931" s="525"/>
      <c r="M931" s="525">
        <f>VLOOKUP($B931,DONGIA,DG!$G$6,0)</f>
        <v>0</v>
      </c>
      <c r="N931" s="525">
        <f t="shared" ref="N931:N938" si="740">$G931*H931</f>
        <v>5720000</v>
      </c>
      <c r="O931" s="525">
        <f t="shared" ref="O931:O937" si="741">$G931*I931</f>
        <v>0</v>
      </c>
      <c r="P931" s="525">
        <f t="shared" ref="P931:P937" si="742">$G931*J931</f>
        <v>0</v>
      </c>
      <c r="Q931" s="525">
        <f t="shared" ref="Q931:Q937" si="743">$G931*K931</f>
        <v>0</v>
      </c>
      <c r="R931" s="525">
        <f t="shared" ref="R931:R937" si="744">$G931*L931</f>
        <v>0</v>
      </c>
      <c r="S931" s="525">
        <f t="shared" ref="S931:S937" si="745">$G931*M931</f>
        <v>0</v>
      </c>
      <c r="U931" s="525"/>
      <c r="V931" s="525"/>
      <c r="W931" s="525"/>
      <c r="X931" s="525"/>
      <c r="Y931" s="525"/>
      <c r="Z931" s="525"/>
      <c r="AA931" s="525"/>
      <c r="AB931" s="525">
        <f t="shared" si="722"/>
        <v>26</v>
      </c>
      <c r="AD931" s="405">
        <f t="shared" ref="AD931:AD937" si="746">IFERROR(VLOOKUP(B931,DONGIA,$AD$3,0),0)</f>
        <v>0</v>
      </c>
      <c r="AE931" s="525">
        <f t="shared" ref="AE931:AE937" si="747">U931*$AD931</f>
        <v>0</v>
      </c>
      <c r="AF931" s="525">
        <f t="shared" ref="AF931:AF937" si="748">V931*$AD931</f>
        <v>0</v>
      </c>
      <c r="AG931" s="525">
        <f t="shared" ref="AG931:AG937" si="749">W931*$AD931</f>
        <v>0</v>
      </c>
      <c r="AH931" s="525">
        <f t="shared" ref="AH931:AH937" si="750">X931*$AD931</f>
        <v>0</v>
      </c>
      <c r="AI931" s="525">
        <f t="shared" ref="AI931:AI937" si="751">Y931*$AD931</f>
        <v>0</v>
      </c>
      <c r="AJ931" s="525">
        <f t="shared" ref="AJ931:AJ937" si="752">Z931*$AD931</f>
        <v>0</v>
      </c>
      <c r="AK931" s="525">
        <f t="shared" ref="AK931:AK937" si="753">AA931*$AD931</f>
        <v>0</v>
      </c>
      <c r="AL931" s="525">
        <f t="shared" ref="AL931:AL937" si="754">AB931*$AD931</f>
        <v>0</v>
      </c>
    </row>
    <row r="932" spans="1:38">
      <c r="A932" s="618"/>
      <c r="B932" s="618" t="s">
        <v>1907</v>
      </c>
      <c r="C932" s="619">
        <f>IF(G932&lt;&gt;0,1,)</f>
        <v>1</v>
      </c>
      <c r="D932" s="523">
        <f>VLOOKUP(B932,DONGIA,DG!$B$6,0)</f>
        <v>0</v>
      </c>
      <c r="E932" s="666" t="str">
        <f>VLOOKUP(B932,DONGIA,DG!$C$6,0)</f>
        <v>Cáp đồng bọc CV70</v>
      </c>
      <c r="F932" s="523" t="str">
        <f>VLOOKUP(B932,DONGIA,DG!$D$6,0)</f>
        <v>mét</v>
      </c>
      <c r="G932" s="525">
        <f>HLOOKUP(B932,BKHT,PPHT!$A$700,0)</f>
        <v>123</v>
      </c>
      <c r="H932" s="525">
        <f>VLOOKUP($B932,DONGIA,DG!$E$6,0)</f>
        <v>142880</v>
      </c>
      <c r="I932" s="525"/>
      <c r="J932" s="525"/>
      <c r="K932" s="525">
        <f>VLOOKUP($B932,DONGIA,DG!$F$6,0)</f>
        <v>0</v>
      </c>
      <c r="L932" s="525"/>
      <c r="M932" s="525">
        <f>VLOOKUP($B932,DONGIA,DG!$G$6,0)</f>
        <v>0</v>
      </c>
      <c r="N932" s="525">
        <f t="shared" si="740"/>
        <v>17574240</v>
      </c>
      <c r="O932" s="525">
        <f>$G932*I932</f>
        <v>0</v>
      </c>
      <c r="P932" s="525">
        <f>$G932*J932</f>
        <v>0</v>
      </c>
      <c r="Q932" s="525">
        <f>$G932*K932</f>
        <v>0</v>
      </c>
      <c r="R932" s="525">
        <f>$G932*L932</f>
        <v>0</v>
      </c>
      <c r="S932" s="525">
        <f>$G932*M932</f>
        <v>0</v>
      </c>
      <c r="U932" s="525"/>
      <c r="V932" s="525"/>
      <c r="W932" s="525"/>
      <c r="X932" s="525"/>
      <c r="Y932" s="525"/>
      <c r="Z932" s="525"/>
      <c r="AA932" s="525"/>
      <c r="AB932" s="525">
        <f t="shared" ref="AB932:AB938" si="755">AB$956*$G932</f>
        <v>123</v>
      </c>
      <c r="AD932" s="405">
        <f>IFERROR(VLOOKUP(B932,DONGIA,$AD$3,0),0)</f>
        <v>0.73899999999999999</v>
      </c>
      <c r="AE932" s="525">
        <f t="shared" ref="AE932:AL932" si="756">U932*$AD932</f>
        <v>0</v>
      </c>
      <c r="AF932" s="525">
        <f t="shared" si="756"/>
        <v>0</v>
      </c>
      <c r="AG932" s="525">
        <f t="shared" si="756"/>
        <v>0</v>
      </c>
      <c r="AH932" s="525">
        <f t="shared" si="756"/>
        <v>0</v>
      </c>
      <c r="AI932" s="525">
        <f t="shared" si="756"/>
        <v>0</v>
      </c>
      <c r="AJ932" s="525">
        <f t="shared" si="756"/>
        <v>0</v>
      </c>
      <c r="AK932" s="525">
        <f t="shared" si="756"/>
        <v>0</v>
      </c>
      <c r="AL932" s="525">
        <f t="shared" si="756"/>
        <v>90.897000000000006</v>
      </c>
    </row>
    <row r="933" spans="1:38">
      <c r="A933" s="618"/>
      <c r="B933" s="618" t="s">
        <v>1742</v>
      </c>
      <c r="C933" s="619">
        <f t="shared" si="739"/>
        <v>1</v>
      </c>
      <c r="D933" s="523">
        <f>VLOOKUP(B933,DONGIA,DG!$B$6,0)</f>
        <v>0</v>
      </c>
      <c r="E933" s="666" t="str">
        <f>VLOOKUP(B933,DONGIA,DG!$C$6,0)</f>
        <v>Cáp đồng bọc CV95</v>
      </c>
      <c r="F933" s="523" t="str">
        <f>VLOOKUP(B933,DONGIA,DG!$D$6,0)</f>
        <v>mét</v>
      </c>
      <c r="G933" s="525">
        <f>HLOOKUP(B933,BKHT,PPHT!$A$700,0)</f>
        <v>45</v>
      </c>
      <c r="H933" s="525">
        <f>VLOOKUP($B933,DONGIA,DG!$E$6,0)</f>
        <v>196130</v>
      </c>
      <c r="I933" s="525"/>
      <c r="J933" s="525"/>
      <c r="K933" s="525">
        <f>VLOOKUP($B933,DONGIA,DG!$F$6,0)</f>
        <v>0</v>
      </c>
      <c r="L933" s="525"/>
      <c r="M933" s="525">
        <f>VLOOKUP($B933,DONGIA,DG!$G$6,0)</f>
        <v>0</v>
      </c>
      <c r="N933" s="525">
        <f t="shared" si="740"/>
        <v>8825850</v>
      </c>
      <c r="O933" s="525">
        <f t="shared" si="741"/>
        <v>0</v>
      </c>
      <c r="P933" s="525">
        <f t="shared" si="742"/>
        <v>0</v>
      </c>
      <c r="Q933" s="525">
        <f t="shared" si="743"/>
        <v>0</v>
      </c>
      <c r="R933" s="525">
        <f t="shared" si="744"/>
        <v>0</v>
      </c>
      <c r="S933" s="525">
        <f t="shared" si="745"/>
        <v>0</v>
      </c>
      <c r="U933" s="525"/>
      <c r="V933" s="525"/>
      <c r="W933" s="525"/>
      <c r="X933" s="525"/>
      <c r="Y933" s="525"/>
      <c r="Z933" s="525"/>
      <c r="AA933" s="525"/>
      <c r="AB933" s="525">
        <f t="shared" si="755"/>
        <v>45</v>
      </c>
      <c r="AD933" s="405">
        <f t="shared" si="746"/>
        <v>1.008</v>
      </c>
      <c r="AE933" s="525">
        <f t="shared" si="747"/>
        <v>0</v>
      </c>
      <c r="AF933" s="525">
        <f t="shared" si="748"/>
        <v>0</v>
      </c>
      <c r="AG933" s="525">
        <f t="shared" si="749"/>
        <v>0</v>
      </c>
      <c r="AH933" s="525">
        <f t="shared" si="750"/>
        <v>0</v>
      </c>
      <c r="AI933" s="525">
        <f t="shared" si="751"/>
        <v>0</v>
      </c>
      <c r="AJ933" s="525">
        <f t="shared" si="752"/>
        <v>0</v>
      </c>
      <c r="AK933" s="525">
        <f t="shared" si="753"/>
        <v>0</v>
      </c>
      <c r="AL933" s="525">
        <f t="shared" si="754"/>
        <v>45.36</v>
      </c>
    </row>
    <row r="934" spans="1:38">
      <c r="A934" s="618"/>
      <c r="B934" s="618" t="s">
        <v>1113</v>
      </c>
      <c r="C934" s="619">
        <f>IF(G934&lt;&gt;0,1,)</f>
        <v>1</v>
      </c>
      <c r="D934" s="523"/>
      <c r="E934" s="666" t="str">
        <f>VLOOKUP(B934,DONGIA,DG!$C$6,0)</f>
        <v>Đầu cosse ép Cu 70mm2</v>
      </c>
      <c r="F934" s="523" t="str">
        <f>VLOOKUP(B934,DONGIA,DG!$D$6,0)</f>
        <v>cái</v>
      </c>
      <c r="G934" s="525">
        <f>HLOOKUP(B934,BKHT,PPHT!$A$700,0)</f>
        <v>218</v>
      </c>
      <c r="H934" s="525">
        <f>VLOOKUP($B934,DONGIA,DG!$E$6,0)</f>
        <v>33000</v>
      </c>
      <c r="I934" s="525"/>
      <c r="J934" s="525"/>
      <c r="K934" s="525"/>
      <c r="L934" s="525"/>
      <c r="M934" s="525"/>
      <c r="N934" s="525">
        <f t="shared" si="740"/>
        <v>7194000</v>
      </c>
      <c r="O934" s="525">
        <f>$G934*I934</f>
        <v>0</v>
      </c>
      <c r="P934" s="525">
        <f>$G934*J934</f>
        <v>0</v>
      </c>
      <c r="Q934" s="525">
        <f>$G934*K934</f>
        <v>0</v>
      </c>
      <c r="R934" s="525">
        <f>$G934*L934</f>
        <v>0</v>
      </c>
      <c r="S934" s="525">
        <f>$G934*M934</f>
        <v>0</v>
      </c>
      <c r="U934" s="525"/>
      <c r="V934" s="525"/>
      <c r="W934" s="525"/>
      <c r="X934" s="525"/>
      <c r="Y934" s="525"/>
      <c r="Z934" s="525"/>
      <c r="AA934" s="525"/>
      <c r="AB934" s="525">
        <f t="shared" si="755"/>
        <v>218</v>
      </c>
      <c r="AD934" s="405">
        <f>IFERROR(VLOOKUP(B934,DONGIA,$AD$3,0),0)</f>
        <v>0.2</v>
      </c>
      <c r="AE934" s="525">
        <f t="shared" ref="AE934:AL934" si="757">U934*$AD934</f>
        <v>0</v>
      </c>
      <c r="AF934" s="525">
        <f t="shared" si="757"/>
        <v>0</v>
      </c>
      <c r="AG934" s="525">
        <f t="shared" si="757"/>
        <v>0</v>
      </c>
      <c r="AH934" s="525">
        <f t="shared" si="757"/>
        <v>0</v>
      </c>
      <c r="AI934" s="525">
        <f t="shared" si="757"/>
        <v>0</v>
      </c>
      <c r="AJ934" s="525">
        <f t="shared" si="757"/>
        <v>0</v>
      </c>
      <c r="AK934" s="525">
        <f t="shared" si="757"/>
        <v>0</v>
      </c>
      <c r="AL934" s="525">
        <f t="shared" si="757"/>
        <v>43.6</v>
      </c>
    </row>
    <row r="935" spans="1:38">
      <c r="A935" s="618"/>
      <c r="B935" s="618" t="s">
        <v>1116</v>
      </c>
      <c r="C935" s="619">
        <f t="shared" si="739"/>
        <v>1</v>
      </c>
      <c r="D935" s="523"/>
      <c r="E935" s="666" t="str">
        <f>VLOOKUP(B935,DONGIA,DG!$C$6,0)</f>
        <v>Đầu cosse ép Cu 95mm2</v>
      </c>
      <c r="F935" s="523" t="str">
        <f>VLOOKUP(B935,DONGIA,DG!$D$6,0)</f>
        <v>cái</v>
      </c>
      <c r="G935" s="525">
        <f>HLOOKUP(B935,BKHT,PPHT!$A$700,0)</f>
        <v>78</v>
      </c>
      <c r="H935" s="525">
        <f>VLOOKUP($B935,DONGIA,DG!$E$6,0)</f>
        <v>45000</v>
      </c>
      <c r="I935" s="525"/>
      <c r="J935" s="525"/>
      <c r="K935" s="525"/>
      <c r="L935" s="525"/>
      <c r="M935" s="525"/>
      <c r="N935" s="525">
        <f t="shared" si="740"/>
        <v>3510000</v>
      </c>
      <c r="O935" s="525">
        <f t="shared" si="741"/>
        <v>0</v>
      </c>
      <c r="P935" s="525">
        <f t="shared" si="742"/>
        <v>0</v>
      </c>
      <c r="Q935" s="525">
        <f t="shared" si="743"/>
        <v>0</v>
      </c>
      <c r="R935" s="525">
        <f t="shared" si="744"/>
        <v>0</v>
      </c>
      <c r="S935" s="525">
        <f t="shared" si="745"/>
        <v>0</v>
      </c>
      <c r="U935" s="525"/>
      <c r="V935" s="525"/>
      <c r="W935" s="525"/>
      <c r="X935" s="525"/>
      <c r="Y935" s="525"/>
      <c r="Z935" s="525"/>
      <c r="AA935" s="525"/>
      <c r="AB935" s="525">
        <f t="shared" si="755"/>
        <v>78</v>
      </c>
      <c r="AD935" s="405">
        <f t="shared" si="746"/>
        <v>0.2</v>
      </c>
      <c r="AE935" s="525">
        <f t="shared" si="747"/>
        <v>0</v>
      </c>
      <c r="AF935" s="525">
        <f t="shared" si="748"/>
        <v>0</v>
      </c>
      <c r="AG935" s="525">
        <f t="shared" si="749"/>
        <v>0</v>
      </c>
      <c r="AH935" s="525">
        <f t="shared" si="750"/>
        <v>0</v>
      </c>
      <c r="AI935" s="525">
        <f t="shared" si="751"/>
        <v>0</v>
      </c>
      <c r="AJ935" s="525">
        <f t="shared" si="752"/>
        <v>0</v>
      </c>
      <c r="AK935" s="525">
        <f t="shared" si="753"/>
        <v>0</v>
      </c>
      <c r="AL935" s="525">
        <f t="shared" si="754"/>
        <v>15.600000000000001</v>
      </c>
    </row>
    <row r="936" spans="1:38">
      <c r="A936" s="618"/>
      <c r="B936" s="618" t="s">
        <v>1147</v>
      </c>
      <c r="C936" s="619">
        <f>IF(G936&lt;&gt;0,1,)</f>
        <v>1</v>
      </c>
      <c r="D936" s="523">
        <f>VLOOKUP(B936,DONGIA,DG!$B$6,0)</f>
        <v>0</v>
      </c>
      <c r="E936" s="666" t="str">
        <f>VLOOKUP(B936,DONGIA,DG!$C$6,0)</f>
        <v>Chụp đầu cosse  70mm2</v>
      </c>
      <c r="F936" s="523" t="str">
        <f>VLOOKUP(B936,DONGIA,DG!$D$6,0)</f>
        <v>cái</v>
      </c>
      <c r="G936" s="525">
        <f>G934</f>
        <v>218</v>
      </c>
      <c r="H936" s="525">
        <f>VLOOKUP($B936,DONGIA,DG!$E$6,0)</f>
        <v>2000</v>
      </c>
      <c r="I936" s="525"/>
      <c r="J936" s="525"/>
      <c r="K936" s="525">
        <f>VLOOKUP($B936,DONGIA,DG!$F$6,0)</f>
        <v>0</v>
      </c>
      <c r="L936" s="525"/>
      <c r="M936" s="525">
        <f>VLOOKUP($B936,DONGIA,DG!$G$6,0)</f>
        <v>0</v>
      </c>
      <c r="N936" s="525">
        <f t="shared" si="740"/>
        <v>436000</v>
      </c>
      <c r="O936" s="525">
        <f>$G936*I936</f>
        <v>0</v>
      </c>
      <c r="P936" s="525">
        <f>$G936*J936</f>
        <v>0</v>
      </c>
      <c r="Q936" s="525">
        <f>$G936*K936</f>
        <v>0</v>
      </c>
      <c r="R936" s="525">
        <f>$G936*L936</f>
        <v>0</v>
      </c>
      <c r="S936" s="525">
        <f>$G936*M936</f>
        <v>0</v>
      </c>
      <c r="U936" s="525"/>
      <c r="V936" s="525"/>
      <c r="W936" s="525"/>
      <c r="X936" s="525"/>
      <c r="Y936" s="525"/>
      <c r="Z936" s="525"/>
      <c r="AA936" s="525"/>
      <c r="AB936" s="525">
        <f t="shared" si="755"/>
        <v>218</v>
      </c>
      <c r="AD936" s="405">
        <f>IFERROR(VLOOKUP(B936,DONGIA,$AD$3,0),0)</f>
        <v>0</v>
      </c>
      <c r="AE936" s="525">
        <f t="shared" ref="AE936:AL936" si="758">U936*$AD936</f>
        <v>0</v>
      </c>
      <c r="AF936" s="525">
        <f t="shared" si="758"/>
        <v>0</v>
      </c>
      <c r="AG936" s="525">
        <f t="shared" si="758"/>
        <v>0</v>
      </c>
      <c r="AH936" s="525">
        <f t="shared" si="758"/>
        <v>0</v>
      </c>
      <c r="AI936" s="525">
        <f t="shared" si="758"/>
        <v>0</v>
      </c>
      <c r="AJ936" s="525">
        <f t="shared" si="758"/>
        <v>0</v>
      </c>
      <c r="AK936" s="525">
        <f t="shared" si="758"/>
        <v>0</v>
      </c>
      <c r="AL936" s="525">
        <f t="shared" si="758"/>
        <v>0</v>
      </c>
    </row>
    <row r="937" spans="1:38">
      <c r="A937" s="618"/>
      <c r="B937" s="618" t="s">
        <v>1149</v>
      </c>
      <c r="C937" s="619">
        <f t="shared" si="739"/>
        <v>1</v>
      </c>
      <c r="D937" s="523">
        <f>VLOOKUP(B937,DONGIA,DG!$B$6,0)</f>
        <v>0</v>
      </c>
      <c r="E937" s="666" t="str">
        <f>VLOOKUP(B937,DONGIA,DG!$C$6,0)</f>
        <v>Chụp đầu cosse  95mm2</v>
      </c>
      <c r="F937" s="523" t="str">
        <f>VLOOKUP(B937,DONGIA,DG!$D$6,0)</f>
        <v>cái</v>
      </c>
      <c r="G937" s="525">
        <f>G935</f>
        <v>78</v>
      </c>
      <c r="H937" s="525">
        <f>VLOOKUP($B937,DONGIA,DG!$E$6,0)</f>
        <v>3000</v>
      </c>
      <c r="I937" s="525"/>
      <c r="J937" s="525"/>
      <c r="K937" s="525">
        <f>VLOOKUP($B937,DONGIA,DG!$F$6,0)</f>
        <v>0</v>
      </c>
      <c r="L937" s="525"/>
      <c r="M937" s="525">
        <f>VLOOKUP($B937,DONGIA,DG!$G$6,0)</f>
        <v>0</v>
      </c>
      <c r="N937" s="525">
        <f t="shared" si="740"/>
        <v>234000</v>
      </c>
      <c r="O937" s="525">
        <f t="shared" si="741"/>
        <v>0</v>
      </c>
      <c r="P937" s="525">
        <f t="shared" si="742"/>
        <v>0</v>
      </c>
      <c r="Q937" s="525">
        <f t="shared" si="743"/>
        <v>0</v>
      </c>
      <c r="R937" s="525">
        <f t="shared" si="744"/>
        <v>0</v>
      </c>
      <c r="S937" s="525">
        <f t="shared" si="745"/>
        <v>0</v>
      </c>
      <c r="U937" s="525"/>
      <c r="V937" s="525"/>
      <c r="W937" s="525"/>
      <c r="X937" s="525"/>
      <c r="Y937" s="525"/>
      <c r="Z937" s="525"/>
      <c r="AA937" s="525"/>
      <c r="AB937" s="525">
        <f t="shared" si="755"/>
        <v>78</v>
      </c>
      <c r="AD937" s="405">
        <f t="shared" si="746"/>
        <v>0</v>
      </c>
      <c r="AE937" s="525">
        <f t="shared" si="747"/>
        <v>0</v>
      </c>
      <c r="AF937" s="525">
        <f t="shared" si="748"/>
        <v>0</v>
      </c>
      <c r="AG937" s="525">
        <f t="shared" si="749"/>
        <v>0</v>
      </c>
      <c r="AH937" s="525">
        <f t="shared" si="750"/>
        <v>0</v>
      </c>
      <c r="AI937" s="525">
        <f t="shared" si="751"/>
        <v>0</v>
      </c>
      <c r="AJ937" s="525">
        <f t="shared" si="752"/>
        <v>0</v>
      </c>
      <c r="AK937" s="525">
        <f t="shared" si="753"/>
        <v>0</v>
      </c>
      <c r="AL937" s="525">
        <f t="shared" si="754"/>
        <v>0</v>
      </c>
    </row>
    <row r="938" spans="1:38">
      <c r="A938" s="618"/>
      <c r="B938" s="618" t="s">
        <v>3892</v>
      </c>
      <c r="C938" s="619">
        <f>IF(G938&lt;&gt;0,1,)</f>
        <v>1</v>
      </c>
      <c r="D938" s="523">
        <f>VLOOKUP(B938,DONGIA,DG!$B$6,0)</f>
        <v>0</v>
      </c>
      <c r="E938" s="666" t="str">
        <f>VLOOKUP(B938,DONGIA,DG!$C$6,0)</f>
        <v>Cổ dê kẹp rack trụ ghép</v>
      </c>
      <c r="F938" s="523" t="str">
        <f>VLOOKUP(B938,DONGIA,DG!$D$6,0)</f>
        <v>bộ</v>
      </c>
      <c r="G938" s="525">
        <f>HLOOKUP(B938,BKHT,PPHT!$A$700,0)</f>
        <v>4</v>
      </c>
      <c r="H938" s="525">
        <f>VLOOKUP($B938,DONGIA,DG!$E$6,0)</f>
        <v>125000</v>
      </c>
      <c r="I938" s="525"/>
      <c r="J938" s="525"/>
      <c r="K938" s="525">
        <f>VLOOKUP($B938,DONGIA,DG!$F$6,0)</f>
        <v>0</v>
      </c>
      <c r="L938" s="525"/>
      <c r="M938" s="525">
        <f>VLOOKUP($B938,DONGIA,DG!$G$6,0)</f>
        <v>0</v>
      </c>
      <c r="N938" s="525">
        <f t="shared" si="740"/>
        <v>500000</v>
      </c>
      <c r="O938" s="525">
        <f>$G938*I938</f>
        <v>0</v>
      </c>
      <c r="P938" s="525">
        <f>$G938*J938</f>
        <v>0</v>
      </c>
      <c r="Q938" s="525">
        <f>$G938*K938</f>
        <v>0</v>
      </c>
      <c r="R938" s="525">
        <f>$G938*L938</f>
        <v>0</v>
      </c>
      <c r="S938" s="525">
        <f>$G938*M938</f>
        <v>0</v>
      </c>
      <c r="U938" s="525"/>
      <c r="V938" s="525"/>
      <c r="W938" s="525"/>
      <c r="X938" s="525"/>
      <c r="Y938" s="525"/>
      <c r="Z938" s="525"/>
      <c r="AA938" s="525"/>
      <c r="AB938" s="525">
        <f t="shared" si="755"/>
        <v>4</v>
      </c>
      <c r="AD938" s="405">
        <f>IFERROR(VLOOKUP(B938,DONGIA,$AD$3,0),0)</f>
        <v>1.5</v>
      </c>
      <c r="AE938" s="525">
        <f t="shared" ref="AE938:AL938" si="759">U938*$AD938</f>
        <v>0</v>
      </c>
      <c r="AF938" s="525">
        <f t="shared" si="759"/>
        <v>0</v>
      </c>
      <c r="AG938" s="525">
        <f t="shared" si="759"/>
        <v>0</v>
      </c>
      <c r="AH938" s="525">
        <f t="shared" si="759"/>
        <v>0</v>
      </c>
      <c r="AI938" s="525">
        <f t="shared" si="759"/>
        <v>0</v>
      </c>
      <c r="AJ938" s="525">
        <f t="shared" si="759"/>
        <v>0</v>
      </c>
      <c r="AK938" s="525">
        <f t="shared" si="759"/>
        <v>0</v>
      </c>
      <c r="AL938" s="525">
        <f t="shared" si="759"/>
        <v>6</v>
      </c>
    </row>
    <row r="939" spans="1:38" s="332" customFormat="1">
      <c r="A939" s="356"/>
      <c r="B939" s="356" t="s">
        <v>746</v>
      </c>
      <c r="C939" s="355">
        <f t="shared" si="734"/>
        <v>0</v>
      </c>
      <c r="D939" s="341" t="str">
        <f>VLOOKUP(B939,DONGIA,DG!$B$6,0)</f>
        <v>06.6105</v>
      </c>
      <c r="E939" s="340" t="str">
        <f>VLOOKUP(B939,DONGIA,DG!$C$6,0)</f>
        <v>Kéo dây nhôm bọc 70mm2</v>
      </c>
      <c r="F939" s="341" t="str">
        <f>VLOOKUP(B939,DONGIA,DG!$D$6,0)</f>
        <v>km</v>
      </c>
      <c r="G939" s="52"/>
      <c r="H939" s="329">
        <f>VLOOKUP($B939,DONGIA,DG!$E$6,0)</f>
        <v>0</v>
      </c>
      <c r="I939" s="329"/>
      <c r="J939" s="329"/>
      <c r="K939" s="329">
        <f>VLOOKUP($B939,DONGIA,DG!$F$6,0)</f>
        <v>0</v>
      </c>
      <c r="L939" s="329"/>
      <c r="M939" s="329">
        <f>VLOOKUP($B939,DONGIA,DG!$G$6,0)</f>
        <v>0</v>
      </c>
      <c r="N939" s="329">
        <f t="shared" si="721"/>
        <v>0</v>
      </c>
      <c r="O939" s="329">
        <f t="shared" si="727"/>
        <v>0</v>
      </c>
      <c r="P939" s="329">
        <f t="shared" si="728"/>
        <v>0</v>
      </c>
      <c r="Q939" s="329">
        <f t="shared" si="729"/>
        <v>0</v>
      </c>
      <c r="R939" s="329">
        <f t="shared" si="730"/>
        <v>0</v>
      </c>
      <c r="S939" s="329">
        <f t="shared" si="731"/>
        <v>0</v>
      </c>
      <c r="U939" s="329"/>
      <c r="V939" s="329"/>
      <c r="W939" s="329"/>
      <c r="X939" s="329"/>
      <c r="Y939" s="329"/>
      <c r="Z939" s="329"/>
      <c r="AA939" s="329"/>
      <c r="AB939" s="329">
        <f t="shared" si="722"/>
        <v>0</v>
      </c>
      <c r="AD939" s="332">
        <f t="shared" ref="AD939:AD958" si="760">IFERROR(VLOOKUP(B939,DONGIA,$AD$3,0),0)</f>
        <v>0</v>
      </c>
      <c r="AE939" s="329">
        <f t="shared" ref="AE939:AE958" si="761">U939*$AD939</f>
        <v>0</v>
      </c>
      <c r="AF939" s="329">
        <f t="shared" ref="AF939:AH958" si="762">V939*$AD939</f>
        <v>0</v>
      </c>
      <c r="AG939" s="329">
        <f t="shared" si="762"/>
        <v>0</v>
      </c>
      <c r="AH939" s="329">
        <f t="shared" si="762"/>
        <v>0</v>
      </c>
      <c r="AI939" s="329">
        <f t="shared" ref="AI939:AK958" si="763">Y939*$AD939</f>
        <v>0</v>
      </c>
      <c r="AJ939" s="329">
        <f t="shared" si="763"/>
        <v>0</v>
      </c>
      <c r="AK939" s="329">
        <f t="shared" si="763"/>
        <v>0</v>
      </c>
      <c r="AL939" s="329">
        <f t="shared" si="719"/>
        <v>0</v>
      </c>
    </row>
    <row r="940" spans="1:38" s="332" customFormat="1">
      <c r="A940" s="356"/>
      <c r="B940" s="356" t="s">
        <v>749</v>
      </c>
      <c r="C940" s="355">
        <f t="shared" si="734"/>
        <v>0</v>
      </c>
      <c r="D940" s="341" t="str">
        <f>VLOOKUP(B940,DONGIA,DG!$B$6,0)</f>
        <v>06.6106</v>
      </c>
      <c r="E940" s="340" t="str">
        <f>VLOOKUP(B940,DONGIA,DG!$C$6,0)</f>
        <v>Kéo dây nhôm bọc 95mm2</v>
      </c>
      <c r="F940" s="341" t="str">
        <f>VLOOKUP(B940,DONGIA,DG!$D$6,0)</f>
        <v>km</v>
      </c>
      <c r="G940" s="52"/>
      <c r="H940" s="329">
        <f>VLOOKUP($B940,DONGIA,DG!$E$6,0)</f>
        <v>0</v>
      </c>
      <c r="I940" s="329"/>
      <c r="J940" s="329"/>
      <c r="K940" s="329">
        <f>VLOOKUP($B940,DONGIA,DG!$F$6,0)</f>
        <v>0</v>
      </c>
      <c r="L940" s="329"/>
      <c r="M940" s="329">
        <f>VLOOKUP($B940,DONGIA,DG!$G$6,0)</f>
        <v>0</v>
      </c>
      <c r="N940" s="329">
        <f t="shared" si="721"/>
        <v>0</v>
      </c>
      <c r="O940" s="329">
        <f t="shared" si="727"/>
        <v>0</v>
      </c>
      <c r="P940" s="329">
        <f t="shared" si="728"/>
        <v>0</v>
      </c>
      <c r="Q940" s="329">
        <f t="shared" si="729"/>
        <v>0</v>
      </c>
      <c r="R940" s="329">
        <f t="shared" si="730"/>
        <v>0</v>
      </c>
      <c r="S940" s="329">
        <f t="shared" si="731"/>
        <v>0</v>
      </c>
      <c r="U940" s="329"/>
      <c r="V940" s="329"/>
      <c r="W940" s="329"/>
      <c r="X940" s="329"/>
      <c r="Y940" s="329"/>
      <c r="Z940" s="329"/>
      <c r="AA940" s="329"/>
      <c r="AB940" s="329">
        <f t="shared" si="722"/>
        <v>0</v>
      </c>
      <c r="AD940" s="332">
        <f t="shared" si="760"/>
        <v>0</v>
      </c>
      <c r="AE940" s="329">
        <f t="shared" si="761"/>
        <v>0</v>
      </c>
      <c r="AF940" s="329">
        <f t="shared" si="762"/>
        <v>0</v>
      </c>
      <c r="AG940" s="329">
        <f t="shared" si="762"/>
        <v>0</v>
      </c>
      <c r="AH940" s="329">
        <f t="shared" si="762"/>
        <v>0</v>
      </c>
      <c r="AI940" s="329">
        <f t="shared" si="763"/>
        <v>0</v>
      </c>
      <c r="AJ940" s="329">
        <f t="shared" si="763"/>
        <v>0</v>
      </c>
      <c r="AK940" s="329">
        <f t="shared" si="763"/>
        <v>0</v>
      </c>
      <c r="AL940" s="329">
        <f t="shared" ref="AL940:AL958" si="764">AB940*$AD940</f>
        <v>0</v>
      </c>
    </row>
    <row r="941" spans="1:38" s="332" customFormat="1">
      <c r="A941" s="356"/>
      <c r="B941" s="356" t="s">
        <v>752</v>
      </c>
      <c r="C941" s="355">
        <f t="shared" si="734"/>
        <v>0</v>
      </c>
      <c r="D941" s="341" t="str">
        <f>VLOOKUP(B941,DONGIA,DG!$B$6,0)</f>
        <v>06.6107</v>
      </c>
      <c r="E941" s="340" t="str">
        <f>VLOOKUP(B941,DONGIA,DG!$C$6,0)</f>
        <v>Kéo dây nhôm bọc 120mm2</v>
      </c>
      <c r="F941" s="341" t="str">
        <f>VLOOKUP(B941,DONGIA,DG!$D$6,0)</f>
        <v>km</v>
      </c>
      <c r="G941" s="52"/>
      <c r="H941" s="329">
        <f>VLOOKUP($B941,DONGIA,DG!$E$6,0)</f>
        <v>0</v>
      </c>
      <c r="I941" s="329"/>
      <c r="J941" s="329"/>
      <c r="K941" s="329">
        <f>VLOOKUP($B941,DONGIA,DG!$F$6,0)</f>
        <v>0</v>
      </c>
      <c r="L941" s="329"/>
      <c r="M941" s="329">
        <f>VLOOKUP($B941,DONGIA,DG!$G$6,0)</f>
        <v>0</v>
      </c>
      <c r="N941" s="329">
        <f t="shared" si="721"/>
        <v>0</v>
      </c>
      <c r="O941" s="329">
        <f t="shared" si="727"/>
        <v>0</v>
      </c>
      <c r="P941" s="329">
        <f t="shared" si="728"/>
        <v>0</v>
      </c>
      <c r="Q941" s="329">
        <f t="shared" si="729"/>
        <v>0</v>
      </c>
      <c r="R941" s="329">
        <f t="shared" si="730"/>
        <v>0</v>
      </c>
      <c r="S941" s="329">
        <f t="shared" si="731"/>
        <v>0</v>
      </c>
      <c r="U941" s="329"/>
      <c r="V941" s="329"/>
      <c r="W941" s="329"/>
      <c r="X941" s="329"/>
      <c r="Y941" s="329"/>
      <c r="Z941" s="329"/>
      <c r="AA941" s="329"/>
      <c r="AB941" s="329">
        <f t="shared" si="722"/>
        <v>0</v>
      </c>
      <c r="AD941" s="332">
        <f t="shared" si="760"/>
        <v>0</v>
      </c>
      <c r="AE941" s="329">
        <f t="shared" si="761"/>
        <v>0</v>
      </c>
      <c r="AF941" s="329">
        <f t="shared" si="762"/>
        <v>0</v>
      </c>
      <c r="AG941" s="329">
        <f t="shared" si="762"/>
        <v>0</v>
      </c>
      <c r="AH941" s="329">
        <f t="shared" si="762"/>
        <v>0</v>
      </c>
      <c r="AI941" s="329">
        <f t="shared" si="763"/>
        <v>0</v>
      </c>
      <c r="AJ941" s="329">
        <f t="shared" si="763"/>
        <v>0</v>
      </c>
      <c r="AK941" s="329">
        <f t="shared" si="763"/>
        <v>0</v>
      </c>
      <c r="AL941" s="329">
        <f t="shared" si="764"/>
        <v>0</v>
      </c>
    </row>
    <row r="942" spans="1:38" s="332" customFormat="1">
      <c r="A942" s="356"/>
      <c r="B942" s="356" t="s">
        <v>755</v>
      </c>
      <c r="C942" s="355">
        <f t="shared" si="734"/>
        <v>0</v>
      </c>
      <c r="D942" s="341" t="str">
        <f>VLOOKUP(B942,DONGIA,DG!$B$6,0)</f>
        <v>06.6108</v>
      </c>
      <c r="E942" s="340" t="str">
        <f>VLOOKUP(B942,DONGIA,DG!$C$6,0)</f>
        <v>Kéo dây nhôm bọc 150mm2</v>
      </c>
      <c r="F942" s="341" t="str">
        <f>VLOOKUP(B942,DONGIA,DG!$D$6,0)</f>
        <v>km</v>
      </c>
      <c r="G942" s="52"/>
      <c r="H942" s="329">
        <f>VLOOKUP($B942,DONGIA,DG!$E$6,0)</f>
        <v>0</v>
      </c>
      <c r="I942" s="329"/>
      <c r="J942" s="329"/>
      <c r="K942" s="329">
        <f>VLOOKUP($B942,DONGIA,DG!$F$6,0)</f>
        <v>0</v>
      </c>
      <c r="L942" s="329"/>
      <c r="M942" s="329">
        <f>VLOOKUP($B942,DONGIA,DG!$G$6,0)</f>
        <v>0</v>
      </c>
      <c r="N942" s="329">
        <f t="shared" si="721"/>
        <v>0</v>
      </c>
      <c r="O942" s="329">
        <f t="shared" si="727"/>
        <v>0</v>
      </c>
      <c r="P942" s="329">
        <f t="shared" si="728"/>
        <v>0</v>
      </c>
      <c r="Q942" s="329">
        <f t="shared" si="729"/>
        <v>0</v>
      </c>
      <c r="R942" s="329">
        <f t="shared" si="730"/>
        <v>0</v>
      </c>
      <c r="S942" s="329">
        <f t="shared" si="731"/>
        <v>0</v>
      </c>
      <c r="U942" s="329"/>
      <c r="V942" s="329"/>
      <c r="W942" s="329"/>
      <c r="X942" s="329"/>
      <c r="Y942" s="329"/>
      <c r="Z942" s="329"/>
      <c r="AA942" s="329"/>
      <c r="AB942" s="329">
        <f t="shared" si="722"/>
        <v>0</v>
      </c>
      <c r="AD942" s="332">
        <f t="shared" si="760"/>
        <v>0</v>
      </c>
      <c r="AE942" s="329">
        <f t="shared" si="761"/>
        <v>0</v>
      </c>
      <c r="AF942" s="329">
        <f t="shared" si="762"/>
        <v>0</v>
      </c>
      <c r="AG942" s="329">
        <f t="shared" si="762"/>
        <v>0</v>
      </c>
      <c r="AH942" s="329">
        <f t="shared" si="762"/>
        <v>0</v>
      </c>
      <c r="AI942" s="329">
        <f t="shared" si="763"/>
        <v>0</v>
      </c>
      <c r="AJ942" s="329">
        <f t="shared" si="763"/>
        <v>0</v>
      </c>
      <c r="AK942" s="329">
        <f t="shared" si="763"/>
        <v>0</v>
      </c>
      <c r="AL942" s="329">
        <f t="shared" si="764"/>
        <v>0</v>
      </c>
    </row>
    <row r="943" spans="1:38" s="332" customFormat="1">
      <c r="A943" s="356"/>
      <c r="B943" s="356" t="s">
        <v>783</v>
      </c>
      <c r="C943" s="355">
        <f t="shared" si="734"/>
        <v>0</v>
      </c>
      <c r="D943" s="341" t="str">
        <f>VLOOKUP(B943,DONGIA,DG!$B$6,0)</f>
        <v>D3.6211</v>
      </c>
      <c r="E943" s="340" t="str">
        <f>VLOOKUP(B943,DONGIA,DG!$C$6,0)</f>
        <v>Kéo dây nhôm lõi thép cỡ dây 70mm2</v>
      </c>
      <c r="F943" s="341" t="str">
        <f>VLOOKUP(B943,DONGIA,DG!$D$6,0)</f>
        <v>km</v>
      </c>
      <c r="G943" s="52"/>
      <c r="H943" s="329">
        <f>VLOOKUP($B943,DONGIA,DG!$E$6,0)</f>
        <v>0</v>
      </c>
      <c r="I943" s="329"/>
      <c r="J943" s="329"/>
      <c r="K943" s="329">
        <f>VLOOKUP($B943,DONGIA,DG!$F$6,0)</f>
        <v>1577041</v>
      </c>
      <c r="L943" s="329"/>
      <c r="M943" s="329">
        <f>VLOOKUP($B943,DONGIA,DG!$G$6,0)</f>
        <v>98673</v>
      </c>
      <c r="N943" s="329">
        <f t="shared" si="721"/>
        <v>0</v>
      </c>
      <c r="O943" s="329">
        <f t="shared" si="727"/>
        <v>0</v>
      </c>
      <c r="P943" s="329">
        <f t="shared" si="728"/>
        <v>0</v>
      </c>
      <c r="Q943" s="329">
        <f t="shared" si="729"/>
        <v>0</v>
      </c>
      <c r="R943" s="329">
        <f t="shared" si="730"/>
        <v>0</v>
      </c>
      <c r="S943" s="329">
        <f t="shared" si="731"/>
        <v>0</v>
      </c>
      <c r="U943" s="329"/>
      <c r="V943" s="329"/>
      <c r="W943" s="329"/>
      <c r="X943" s="329"/>
      <c r="Y943" s="329"/>
      <c r="Z943" s="329"/>
      <c r="AA943" s="329"/>
      <c r="AB943" s="329">
        <f t="shared" si="722"/>
        <v>0</v>
      </c>
      <c r="AD943" s="332">
        <f t="shared" si="760"/>
        <v>0</v>
      </c>
      <c r="AE943" s="329">
        <f t="shared" si="761"/>
        <v>0</v>
      </c>
      <c r="AF943" s="329">
        <f t="shared" si="762"/>
        <v>0</v>
      </c>
      <c r="AG943" s="329">
        <f t="shared" si="762"/>
        <v>0</v>
      </c>
      <c r="AH943" s="329">
        <f t="shared" si="762"/>
        <v>0</v>
      </c>
      <c r="AI943" s="329">
        <f t="shared" si="763"/>
        <v>0</v>
      </c>
      <c r="AJ943" s="329">
        <f t="shared" si="763"/>
        <v>0</v>
      </c>
      <c r="AK943" s="329">
        <f t="shared" si="763"/>
        <v>0</v>
      </c>
      <c r="AL943" s="329">
        <f t="shared" si="764"/>
        <v>0</v>
      </c>
    </row>
    <row r="944" spans="1:38" s="332" customFormat="1">
      <c r="A944" s="356"/>
      <c r="B944" s="356" t="s">
        <v>785</v>
      </c>
      <c r="C944" s="355">
        <f t="shared" si="734"/>
        <v>0</v>
      </c>
      <c r="D944" s="341" t="str">
        <f>VLOOKUP(B944,DONGIA,DG!$B$6,0)</f>
        <v>D3.6212</v>
      </c>
      <c r="E944" s="340" t="str">
        <f>VLOOKUP(B944,DONGIA,DG!$C$6,0)</f>
        <v>Kéo dây nhôm lõi thép cỡ dây 95mm2</v>
      </c>
      <c r="F944" s="341" t="str">
        <f>VLOOKUP(B944,DONGIA,DG!$D$6,0)</f>
        <v>km</v>
      </c>
      <c r="G944" s="52"/>
      <c r="H944" s="329">
        <f>VLOOKUP($B944,DONGIA,DG!$E$6,0)</f>
        <v>0</v>
      </c>
      <c r="I944" s="329"/>
      <c r="J944" s="329"/>
      <c r="K944" s="329">
        <f>VLOOKUP($B944,DONGIA,DG!$F$6,0)</f>
        <v>2140657</v>
      </c>
      <c r="L944" s="329"/>
      <c r="M944" s="329">
        <f>VLOOKUP($B944,DONGIA,DG!$G$6,0)</f>
        <v>133386</v>
      </c>
      <c r="N944" s="329">
        <f t="shared" si="721"/>
        <v>0</v>
      </c>
      <c r="O944" s="329">
        <f t="shared" si="727"/>
        <v>0</v>
      </c>
      <c r="P944" s="329">
        <f t="shared" si="728"/>
        <v>0</v>
      </c>
      <c r="Q944" s="329">
        <f t="shared" si="729"/>
        <v>0</v>
      </c>
      <c r="R944" s="329">
        <f t="shared" si="730"/>
        <v>0</v>
      </c>
      <c r="S944" s="329">
        <f t="shared" si="731"/>
        <v>0</v>
      </c>
      <c r="U944" s="329"/>
      <c r="V944" s="329"/>
      <c r="W944" s="329"/>
      <c r="X944" s="329"/>
      <c r="Y944" s="329"/>
      <c r="Z944" s="329"/>
      <c r="AA944" s="329"/>
      <c r="AB944" s="329">
        <f t="shared" si="722"/>
        <v>0</v>
      </c>
      <c r="AD944" s="332">
        <f t="shared" si="760"/>
        <v>0</v>
      </c>
      <c r="AE944" s="329">
        <f t="shared" si="761"/>
        <v>0</v>
      </c>
      <c r="AF944" s="329">
        <f t="shared" si="762"/>
        <v>0</v>
      </c>
      <c r="AG944" s="329">
        <f t="shared" si="762"/>
        <v>0</v>
      </c>
      <c r="AH944" s="329">
        <f t="shared" si="762"/>
        <v>0</v>
      </c>
      <c r="AI944" s="329">
        <f t="shared" si="763"/>
        <v>0</v>
      </c>
      <c r="AJ944" s="329">
        <f t="shared" si="763"/>
        <v>0</v>
      </c>
      <c r="AK944" s="329">
        <f t="shared" si="763"/>
        <v>0</v>
      </c>
      <c r="AL944" s="329">
        <f t="shared" si="764"/>
        <v>0</v>
      </c>
    </row>
    <row r="945" spans="1:38" s="332" customFormat="1">
      <c r="A945" s="356"/>
      <c r="B945" s="356" t="s">
        <v>766</v>
      </c>
      <c r="C945" s="355">
        <f t="shared" si="734"/>
        <v>0</v>
      </c>
      <c r="D945" s="341" t="str">
        <f>VLOOKUP(B945,DONGIA,DG!$B$6,0)</f>
        <v>D3.6305</v>
      </c>
      <c r="E945" s="340" t="str">
        <f>VLOOKUP(B945,DONGIA,DG!$C$6,0)</f>
        <v>Kéo dây ABC 4x70mm2 (&lt;10m)</v>
      </c>
      <c r="F945" s="341" t="str">
        <f>VLOOKUP(B945,DONGIA,DG!$D$6,0)</f>
        <v>km</v>
      </c>
      <c r="G945" s="52"/>
      <c r="H945" s="329">
        <f>VLOOKUP($B945,DONGIA,DG!$E$6,0)</f>
        <v>0</v>
      </c>
      <c r="I945" s="329"/>
      <c r="J945" s="329"/>
      <c r="K945" s="329">
        <f>VLOOKUP($B945,DONGIA,DG!$F$6,0)</f>
        <v>4668903</v>
      </c>
      <c r="L945" s="329"/>
      <c r="M945" s="329">
        <f>VLOOKUP($B945,DONGIA,DG!$G$6,0)</f>
        <v>0</v>
      </c>
      <c r="N945" s="329">
        <f t="shared" si="721"/>
        <v>0</v>
      </c>
      <c r="O945" s="329">
        <f t="shared" si="727"/>
        <v>0</v>
      </c>
      <c r="P945" s="329">
        <f t="shared" si="728"/>
        <v>0</v>
      </c>
      <c r="Q945" s="329">
        <f t="shared" si="729"/>
        <v>0</v>
      </c>
      <c r="R945" s="329">
        <f t="shared" si="730"/>
        <v>0</v>
      </c>
      <c r="S945" s="329">
        <f t="shared" si="731"/>
        <v>0</v>
      </c>
      <c r="U945" s="329"/>
      <c r="V945" s="329"/>
      <c r="W945" s="329"/>
      <c r="X945" s="329"/>
      <c r="Y945" s="329"/>
      <c r="Z945" s="329"/>
      <c r="AA945" s="329"/>
      <c r="AB945" s="329">
        <f t="shared" si="722"/>
        <v>0</v>
      </c>
      <c r="AD945" s="332">
        <f t="shared" si="760"/>
        <v>0</v>
      </c>
      <c r="AE945" s="329">
        <f t="shared" si="761"/>
        <v>0</v>
      </c>
      <c r="AF945" s="329">
        <f t="shared" si="762"/>
        <v>0</v>
      </c>
      <c r="AG945" s="329">
        <f t="shared" si="762"/>
        <v>0</v>
      </c>
      <c r="AH945" s="329">
        <f t="shared" si="762"/>
        <v>0</v>
      </c>
      <c r="AI945" s="329">
        <f t="shared" si="763"/>
        <v>0</v>
      </c>
      <c r="AJ945" s="329">
        <f t="shared" si="763"/>
        <v>0</v>
      </c>
      <c r="AK945" s="329">
        <f t="shared" si="763"/>
        <v>0</v>
      </c>
      <c r="AL945" s="329">
        <f t="shared" si="764"/>
        <v>0</v>
      </c>
    </row>
    <row r="946" spans="1:38">
      <c r="A946" s="618"/>
      <c r="B946" s="618" t="s">
        <v>768</v>
      </c>
      <c r="C946" s="619">
        <f t="shared" si="734"/>
        <v>1</v>
      </c>
      <c r="D946" s="523" t="str">
        <f>VLOOKUP(B946,DONGIA,DG!$B$6,0)</f>
        <v>D3.6306</v>
      </c>
      <c r="E946" s="666" t="str">
        <f>VLOOKUP(B946,DONGIA,DG!$C$6,0)</f>
        <v>Kéo dây ABC 4x95mm2 (&lt;10m)</v>
      </c>
      <c r="F946" s="523" t="str">
        <f>VLOOKUP(B946,DONGIA,DG!$D$6,0)</f>
        <v>km</v>
      </c>
      <c r="G946" s="626">
        <f>PPHT!O700/1000</f>
        <v>7.4858999999999982</v>
      </c>
      <c r="H946" s="525">
        <f>VLOOKUP($B946,DONGIA,DG!$E$6,0)</f>
        <v>0</v>
      </c>
      <c r="I946" s="525"/>
      <c r="J946" s="525"/>
      <c r="K946" s="525">
        <f>VLOOKUP($B946,DONGIA,DG!$F$6,0)</f>
        <v>6475096</v>
      </c>
      <c r="L946" s="525"/>
      <c r="M946" s="525">
        <f>VLOOKUP($B946,DONGIA,DG!$G$6,0)</f>
        <v>0</v>
      </c>
      <c r="N946" s="525">
        <f t="shared" si="721"/>
        <v>0</v>
      </c>
      <c r="O946" s="525">
        <f t="shared" si="727"/>
        <v>0</v>
      </c>
      <c r="P946" s="525">
        <f t="shared" si="728"/>
        <v>0</v>
      </c>
      <c r="Q946" s="525">
        <f t="shared" si="729"/>
        <v>48471921.14639999</v>
      </c>
      <c r="R946" s="525">
        <f t="shared" si="730"/>
        <v>0</v>
      </c>
      <c r="S946" s="525">
        <f t="shared" si="731"/>
        <v>0</v>
      </c>
      <c r="U946" s="525"/>
      <c r="V946" s="525"/>
      <c r="W946" s="525"/>
      <c r="X946" s="525"/>
      <c r="Y946" s="525"/>
      <c r="Z946" s="525"/>
      <c r="AA946" s="525"/>
      <c r="AB946" s="525">
        <f t="shared" si="722"/>
        <v>7.4858999999999982</v>
      </c>
      <c r="AD946" s="405">
        <f t="shared" si="760"/>
        <v>0</v>
      </c>
      <c r="AE946" s="525">
        <f t="shared" si="761"/>
        <v>0</v>
      </c>
      <c r="AF946" s="525">
        <f t="shared" si="762"/>
        <v>0</v>
      </c>
      <c r="AG946" s="525">
        <f t="shared" si="762"/>
        <v>0</v>
      </c>
      <c r="AH946" s="525">
        <f t="shared" si="762"/>
        <v>0</v>
      </c>
      <c r="AI946" s="525">
        <f t="shared" si="763"/>
        <v>0</v>
      </c>
      <c r="AJ946" s="525">
        <f t="shared" si="763"/>
        <v>0</v>
      </c>
      <c r="AK946" s="525">
        <f t="shared" si="763"/>
        <v>0</v>
      </c>
      <c r="AL946" s="525">
        <f t="shared" si="764"/>
        <v>0</v>
      </c>
    </row>
    <row r="947" spans="1:38">
      <c r="A947" s="618"/>
      <c r="B947" s="618" t="s">
        <v>770</v>
      </c>
      <c r="C947" s="619">
        <f t="shared" si="734"/>
        <v>1</v>
      </c>
      <c r="D947" s="523" t="str">
        <f>VLOOKUP(B947,DONGIA,DG!$B$6,0)</f>
        <v>D3.6307</v>
      </c>
      <c r="E947" s="666" t="str">
        <f>VLOOKUP(B947,DONGIA,DG!$C$6,0)</f>
        <v>Kéo dây ABC 4x120mm2 (&lt;10m)</v>
      </c>
      <c r="F947" s="523" t="str">
        <f>VLOOKUP(B947,DONGIA,DG!$D$6,0)</f>
        <v>km</v>
      </c>
      <c r="G947" s="626">
        <f>PPHT!P700/1000</f>
        <v>7.8038000000000016</v>
      </c>
      <c r="H947" s="525">
        <f>VLOOKUP($B947,DONGIA,DG!$E$6,0)</f>
        <v>0</v>
      </c>
      <c r="I947" s="525"/>
      <c r="J947" s="525"/>
      <c r="K947" s="525">
        <f>VLOOKUP($B947,DONGIA,DG!$F$6,0)</f>
        <v>8548321</v>
      </c>
      <c r="L947" s="525"/>
      <c r="M947" s="525">
        <f>VLOOKUP($B947,DONGIA,DG!$G$6,0)</f>
        <v>0</v>
      </c>
      <c r="N947" s="525">
        <f t="shared" si="721"/>
        <v>0</v>
      </c>
      <c r="O947" s="525">
        <f t="shared" si="727"/>
        <v>0</v>
      </c>
      <c r="P947" s="525">
        <f t="shared" si="728"/>
        <v>0</v>
      </c>
      <c r="Q947" s="525">
        <f t="shared" si="729"/>
        <v>66709387.419800013</v>
      </c>
      <c r="R947" s="525">
        <f t="shared" si="730"/>
        <v>0</v>
      </c>
      <c r="S947" s="525">
        <f t="shared" si="731"/>
        <v>0</v>
      </c>
      <c r="U947" s="525"/>
      <c r="V947" s="525"/>
      <c r="W947" s="525"/>
      <c r="X947" s="525"/>
      <c r="Y947" s="525"/>
      <c r="Z947" s="525"/>
      <c r="AA947" s="525"/>
      <c r="AB947" s="525">
        <f t="shared" si="722"/>
        <v>7.8038000000000016</v>
      </c>
      <c r="AD947" s="405">
        <f t="shared" si="760"/>
        <v>0</v>
      </c>
      <c r="AE947" s="525">
        <f t="shared" si="761"/>
        <v>0</v>
      </c>
      <c r="AF947" s="525">
        <f t="shared" si="762"/>
        <v>0</v>
      </c>
      <c r="AG947" s="525">
        <f t="shared" si="762"/>
        <v>0</v>
      </c>
      <c r="AH947" s="525">
        <f t="shared" si="762"/>
        <v>0</v>
      </c>
      <c r="AI947" s="525">
        <f t="shared" si="763"/>
        <v>0</v>
      </c>
      <c r="AJ947" s="525">
        <f t="shared" si="763"/>
        <v>0</v>
      </c>
      <c r="AK947" s="525">
        <f t="shared" si="763"/>
        <v>0</v>
      </c>
      <c r="AL947" s="525">
        <f t="shared" si="764"/>
        <v>0</v>
      </c>
    </row>
    <row r="948" spans="1:38" s="332" customFormat="1">
      <c r="A948" s="356"/>
      <c r="B948" s="356" t="s">
        <v>772</v>
      </c>
      <c r="C948" s="355">
        <f t="shared" si="734"/>
        <v>0</v>
      </c>
      <c r="D948" s="341" t="str">
        <f>VLOOKUP(B948,DONGIA,DG!$B$6,0)</f>
        <v>D3.6308</v>
      </c>
      <c r="E948" s="340" t="str">
        <f>VLOOKUP(B948,DONGIA,DG!$C$6,0)</f>
        <v>Kéo dây ABC 4x150mm2 (&lt;10m)</v>
      </c>
      <c r="F948" s="341" t="str">
        <f>VLOOKUP(B948,DONGIA,DG!$D$6,0)</f>
        <v>km</v>
      </c>
      <c r="G948" s="52">
        <f>PPHT!Q700/1000</f>
        <v>0</v>
      </c>
      <c r="H948" s="329">
        <f>VLOOKUP($B948,DONGIA,DG!$E$6,0)</f>
        <v>0</v>
      </c>
      <c r="I948" s="329"/>
      <c r="J948" s="329"/>
      <c r="K948" s="329">
        <f>VLOOKUP($B948,DONGIA,DG!$F$6,0)</f>
        <v>10258317</v>
      </c>
      <c r="L948" s="329"/>
      <c r="M948" s="329">
        <f>VLOOKUP($B948,DONGIA,DG!$G$6,0)</f>
        <v>0</v>
      </c>
      <c r="N948" s="329">
        <f t="shared" si="721"/>
        <v>0</v>
      </c>
      <c r="O948" s="329">
        <f t="shared" si="727"/>
        <v>0</v>
      </c>
      <c r="P948" s="329">
        <f t="shared" si="728"/>
        <v>0</v>
      </c>
      <c r="Q948" s="329">
        <f t="shared" si="729"/>
        <v>0</v>
      </c>
      <c r="R948" s="329">
        <f t="shared" si="730"/>
        <v>0</v>
      </c>
      <c r="S948" s="329">
        <f t="shared" si="731"/>
        <v>0</v>
      </c>
      <c r="U948" s="329"/>
      <c r="V948" s="329"/>
      <c r="W948" s="329"/>
      <c r="X948" s="329"/>
      <c r="Y948" s="329"/>
      <c r="Z948" s="329"/>
      <c r="AA948" s="329"/>
      <c r="AB948" s="329">
        <f t="shared" si="722"/>
        <v>0</v>
      </c>
      <c r="AD948" s="332">
        <f t="shared" si="760"/>
        <v>0</v>
      </c>
      <c r="AE948" s="329">
        <f t="shared" si="761"/>
        <v>0</v>
      </c>
      <c r="AF948" s="329">
        <f t="shared" si="762"/>
        <v>0</v>
      </c>
      <c r="AG948" s="329">
        <f t="shared" si="762"/>
        <v>0</v>
      </c>
      <c r="AH948" s="329">
        <f t="shared" si="762"/>
        <v>0</v>
      </c>
      <c r="AI948" s="329">
        <f t="shared" si="763"/>
        <v>0</v>
      </c>
      <c r="AJ948" s="329">
        <f t="shared" si="763"/>
        <v>0</v>
      </c>
      <c r="AK948" s="329">
        <f t="shared" si="763"/>
        <v>0</v>
      </c>
      <c r="AL948" s="329">
        <f t="shared" si="764"/>
        <v>0</v>
      </c>
    </row>
    <row r="949" spans="1:38" s="332" customFormat="1">
      <c r="A949" s="356"/>
      <c r="B949" s="356" t="s">
        <v>2029</v>
      </c>
      <c r="C949" s="355">
        <f t="shared" si="734"/>
        <v>0</v>
      </c>
      <c r="D949" s="341" t="str">
        <f>VLOOKUP(B949,DONGIA,DG!$B$6,0)</f>
        <v>D3.6305</v>
      </c>
      <c r="E949" s="340" t="str">
        <f>VLOOKUP(B949,DONGIA,DG!$C$6,0)</f>
        <v>Kéo dây ABC 3x70mm2 (&lt;10m)</v>
      </c>
      <c r="F949" s="341" t="str">
        <f>VLOOKUP(B949,DONGIA,DG!$D$6,0)</f>
        <v>km</v>
      </c>
      <c r="G949" s="52">
        <f>G875/1000</f>
        <v>0</v>
      </c>
      <c r="H949" s="329">
        <f>VLOOKUP($B949,DONGIA,DG!$E$6,0)</f>
        <v>0</v>
      </c>
      <c r="I949" s="329"/>
      <c r="J949" s="329"/>
      <c r="K949" s="329">
        <f>VLOOKUP($B949,DONGIA,DG!$F$6,0)</f>
        <v>3968567</v>
      </c>
      <c r="L949" s="329"/>
      <c r="M949" s="329">
        <f>VLOOKUP($B949,DONGIA,DG!$G$6,0)</f>
        <v>0</v>
      </c>
      <c r="N949" s="329">
        <f t="shared" si="721"/>
        <v>0</v>
      </c>
      <c r="O949" s="329">
        <f t="shared" si="727"/>
        <v>0</v>
      </c>
      <c r="P949" s="329">
        <f t="shared" si="728"/>
        <v>0</v>
      </c>
      <c r="Q949" s="329">
        <f t="shared" si="729"/>
        <v>0</v>
      </c>
      <c r="R949" s="329">
        <f t="shared" si="730"/>
        <v>0</v>
      </c>
      <c r="S949" s="329">
        <f t="shared" si="731"/>
        <v>0</v>
      </c>
      <c r="U949" s="329"/>
      <c r="V949" s="329"/>
      <c r="W949" s="329"/>
      <c r="X949" s="329"/>
      <c r="Y949" s="329"/>
      <c r="Z949" s="329"/>
      <c r="AA949" s="329"/>
      <c r="AB949" s="329">
        <f t="shared" si="722"/>
        <v>0</v>
      </c>
      <c r="AD949" s="332">
        <f t="shared" si="760"/>
        <v>0</v>
      </c>
      <c r="AE949" s="329">
        <f t="shared" si="761"/>
        <v>0</v>
      </c>
      <c r="AF949" s="329">
        <f t="shared" si="762"/>
        <v>0</v>
      </c>
      <c r="AG949" s="329">
        <f t="shared" si="762"/>
        <v>0</v>
      </c>
      <c r="AH949" s="329">
        <f t="shared" si="762"/>
        <v>0</v>
      </c>
      <c r="AI949" s="329">
        <f t="shared" si="763"/>
        <v>0</v>
      </c>
      <c r="AJ949" s="329">
        <f t="shared" si="763"/>
        <v>0</v>
      </c>
      <c r="AK949" s="329">
        <f t="shared" si="763"/>
        <v>0</v>
      </c>
      <c r="AL949" s="329">
        <f t="shared" si="764"/>
        <v>0</v>
      </c>
    </row>
    <row r="950" spans="1:38" s="332" customFormat="1">
      <c r="A950" s="356"/>
      <c r="B950" s="356" t="s">
        <v>774</v>
      </c>
      <c r="C950" s="355">
        <f t="shared" si="734"/>
        <v>0</v>
      </c>
      <c r="D950" s="341" t="str">
        <f>VLOOKUP(B950,DONGIA,DG!$B$6,0)</f>
        <v>D3.6306</v>
      </c>
      <c r="E950" s="735" t="str">
        <f>VLOOKUP(B950,DONGIA,DG!$C$6,0)</f>
        <v>Kéo dây ABC 3x95mm2 (&lt;10m)</v>
      </c>
      <c r="F950" s="341" t="str">
        <f>VLOOKUP(B950,DONGIA,DG!$D$6,0)</f>
        <v>km</v>
      </c>
      <c r="G950" s="52">
        <f>PPHT!L700/1000</f>
        <v>0</v>
      </c>
      <c r="H950" s="329">
        <f>VLOOKUP($B950,DONGIA,DG!$E$6,0)</f>
        <v>0</v>
      </c>
      <c r="I950" s="329"/>
      <c r="J950" s="329"/>
      <c r="K950" s="329">
        <f>VLOOKUP($B950,DONGIA,DG!$F$6,0)</f>
        <v>5503832</v>
      </c>
      <c r="L950" s="329"/>
      <c r="M950" s="329">
        <f>VLOOKUP($B950,DONGIA,DG!$G$6,0)</f>
        <v>0</v>
      </c>
      <c r="N950" s="329">
        <f t="shared" si="721"/>
        <v>0</v>
      </c>
      <c r="O950" s="329">
        <f t="shared" si="727"/>
        <v>0</v>
      </c>
      <c r="P950" s="329">
        <f t="shared" si="728"/>
        <v>0</v>
      </c>
      <c r="Q950" s="329">
        <f t="shared" si="729"/>
        <v>0</v>
      </c>
      <c r="R950" s="329">
        <f t="shared" si="730"/>
        <v>0</v>
      </c>
      <c r="S950" s="329">
        <f t="shared" si="731"/>
        <v>0</v>
      </c>
      <c r="U950" s="329"/>
      <c r="V950" s="329"/>
      <c r="W950" s="329"/>
      <c r="X950" s="329"/>
      <c r="Y950" s="329"/>
      <c r="Z950" s="329"/>
      <c r="AA950" s="329"/>
      <c r="AB950" s="329">
        <f t="shared" si="722"/>
        <v>0</v>
      </c>
      <c r="AD950" s="332">
        <f t="shared" si="760"/>
        <v>0</v>
      </c>
      <c r="AE950" s="329">
        <f t="shared" si="761"/>
        <v>0</v>
      </c>
      <c r="AF950" s="329">
        <f t="shared" si="762"/>
        <v>0</v>
      </c>
      <c r="AG950" s="329">
        <f t="shared" si="762"/>
        <v>0</v>
      </c>
      <c r="AH950" s="329">
        <f t="shared" si="762"/>
        <v>0</v>
      </c>
      <c r="AI950" s="329">
        <f t="shared" si="763"/>
        <v>0</v>
      </c>
      <c r="AJ950" s="329">
        <f t="shared" si="763"/>
        <v>0</v>
      </c>
      <c r="AK950" s="329">
        <f t="shared" si="763"/>
        <v>0</v>
      </c>
      <c r="AL950" s="329">
        <f t="shared" si="764"/>
        <v>0</v>
      </c>
    </row>
    <row r="951" spans="1:38">
      <c r="A951" s="618"/>
      <c r="B951" s="618" t="s">
        <v>775</v>
      </c>
      <c r="C951" s="619">
        <f t="shared" si="734"/>
        <v>0</v>
      </c>
      <c r="D951" s="523" t="str">
        <f>VLOOKUP(B951,DONGIA,DG!$B$6,0)</f>
        <v>D3.6307</v>
      </c>
      <c r="E951" s="666" t="str">
        <f>VLOOKUP(B951,DONGIA,DG!$C$6,0)</f>
        <v>Kéo dây ABC 3x120mm2 (&lt;10m)</v>
      </c>
      <c r="F951" s="523" t="str">
        <f>VLOOKUP(B951,DONGIA,DG!$D$6,0)</f>
        <v>km</v>
      </c>
      <c r="G951" s="626">
        <f>PPHT!M700/1000</f>
        <v>0</v>
      </c>
      <c r="H951" s="525">
        <f>VLOOKUP($B951,DONGIA,DG!$E$6,0)</f>
        <v>0</v>
      </c>
      <c r="I951" s="525"/>
      <c r="J951" s="525"/>
      <c r="K951" s="525">
        <f>VLOOKUP($B951,DONGIA,DG!$F$6,0)</f>
        <v>7266073</v>
      </c>
      <c r="L951" s="525"/>
      <c r="M951" s="525">
        <f>VLOOKUP($B951,DONGIA,DG!$G$6,0)</f>
        <v>0</v>
      </c>
      <c r="N951" s="525">
        <f t="shared" si="721"/>
        <v>0</v>
      </c>
      <c r="O951" s="525">
        <f t="shared" si="727"/>
        <v>0</v>
      </c>
      <c r="P951" s="525">
        <f t="shared" si="728"/>
        <v>0</v>
      </c>
      <c r="Q951" s="525">
        <f t="shared" si="729"/>
        <v>0</v>
      </c>
      <c r="R951" s="525">
        <f t="shared" si="730"/>
        <v>0</v>
      </c>
      <c r="S951" s="525">
        <f t="shared" si="731"/>
        <v>0</v>
      </c>
      <c r="U951" s="525"/>
      <c r="V951" s="525"/>
      <c r="W951" s="525"/>
      <c r="X951" s="525"/>
      <c r="Y951" s="525"/>
      <c r="Z951" s="525"/>
      <c r="AA951" s="525"/>
      <c r="AB951" s="525">
        <f t="shared" si="722"/>
        <v>0</v>
      </c>
      <c r="AD951" s="405">
        <f t="shared" si="760"/>
        <v>0</v>
      </c>
      <c r="AE951" s="525">
        <f t="shared" si="761"/>
        <v>0</v>
      </c>
      <c r="AF951" s="525">
        <f t="shared" si="762"/>
        <v>0</v>
      </c>
      <c r="AG951" s="525">
        <f t="shared" si="762"/>
        <v>0</v>
      </c>
      <c r="AH951" s="525">
        <f t="shared" si="762"/>
        <v>0</v>
      </c>
      <c r="AI951" s="525">
        <f t="shared" si="763"/>
        <v>0</v>
      </c>
      <c r="AJ951" s="525">
        <f t="shared" si="763"/>
        <v>0</v>
      </c>
      <c r="AK951" s="525">
        <f t="shared" si="763"/>
        <v>0</v>
      </c>
      <c r="AL951" s="525">
        <f t="shared" si="764"/>
        <v>0</v>
      </c>
    </row>
    <row r="952" spans="1:38" s="332" customFormat="1">
      <c r="A952" s="356"/>
      <c r="B952" s="356" t="s">
        <v>776</v>
      </c>
      <c r="C952" s="355">
        <f t="shared" si="734"/>
        <v>0</v>
      </c>
      <c r="D952" s="341" t="str">
        <f>VLOOKUP(B952,DONGIA,DG!$B$6,0)</f>
        <v>D3.6308</v>
      </c>
      <c r="E952" s="340" t="str">
        <f>VLOOKUP(B952,DONGIA,DG!$C$6,0)</f>
        <v>Kéo dây ABC 3x150mm2 (&lt;10m)</v>
      </c>
      <c r="F952" s="341" t="str">
        <f>VLOOKUP(B952,DONGIA,DG!$D$6,0)</f>
        <v>km</v>
      </c>
      <c r="G952" s="52"/>
      <c r="H952" s="329">
        <f>VLOOKUP($B952,DONGIA,DG!$E$6,0)</f>
        <v>0</v>
      </c>
      <c r="I952" s="329"/>
      <c r="J952" s="329"/>
      <c r="K952" s="329">
        <f>VLOOKUP($B952,DONGIA,DG!$F$6,0)</f>
        <v>8719570</v>
      </c>
      <c r="L952" s="329"/>
      <c r="M952" s="329">
        <f>VLOOKUP($B952,DONGIA,DG!$G$6,0)</f>
        <v>0</v>
      </c>
      <c r="N952" s="329">
        <f>$G952*H952</f>
        <v>0</v>
      </c>
      <c r="O952" s="329">
        <f t="shared" si="727"/>
        <v>0</v>
      </c>
      <c r="P952" s="329">
        <f t="shared" si="728"/>
        <v>0</v>
      </c>
      <c r="Q952" s="329">
        <f t="shared" si="729"/>
        <v>0</v>
      </c>
      <c r="R952" s="329">
        <f t="shared" si="730"/>
        <v>0</v>
      </c>
      <c r="S952" s="329">
        <f t="shared" si="731"/>
        <v>0</v>
      </c>
      <c r="U952" s="329"/>
      <c r="V952" s="329"/>
      <c r="W952" s="329"/>
      <c r="X952" s="329"/>
      <c r="Y952" s="329"/>
      <c r="Z952" s="329"/>
      <c r="AA952" s="329"/>
      <c r="AB952" s="329">
        <f>AB$869*$G952</f>
        <v>0</v>
      </c>
      <c r="AD952" s="332">
        <f t="shared" si="760"/>
        <v>0</v>
      </c>
      <c r="AE952" s="329">
        <f t="shared" si="761"/>
        <v>0</v>
      </c>
      <c r="AF952" s="329">
        <f t="shared" si="762"/>
        <v>0</v>
      </c>
      <c r="AG952" s="329">
        <f t="shared" si="762"/>
        <v>0</v>
      </c>
      <c r="AH952" s="329">
        <f t="shared" si="762"/>
        <v>0</v>
      </c>
      <c r="AI952" s="329">
        <f t="shared" si="763"/>
        <v>0</v>
      </c>
      <c r="AJ952" s="329">
        <f t="shared" si="763"/>
        <v>0</v>
      </c>
      <c r="AK952" s="329">
        <f t="shared" si="763"/>
        <v>0</v>
      </c>
      <c r="AL952" s="329">
        <f t="shared" si="764"/>
        <v>0</v>
      </c>
    </row>
    <row r="953" spans="1:38" s="332" customFormat="1">
      <c r="A953" s="356"/>
      <c r="B953" s="356" t="s">
        <v>872</v>
      </c>
      <c r="C953" s="355">
        <f t="shared" si="734"/>
        <v>0</v>
      </c>
      <c r="D953" s="341" t="str">
        <f>VLOOKUP(B953,DONGIA,DG!$B$6,0)</f>
        <v>D3.1201</v>
      </c>
      <c r="E953" s="340" t="str">
        <f>VLOOKUP(B953,DONGIA,DG!$C$6,0)</f>
        <v>Lắp rack sứ + sứ ống chỉ</v>
      </c>
      <c r="F953" s="341" t="str">
        <f>VLOOKUP(B953,DONGIA,DG!$D$6,0)</f>
        <v>bộ</v>
      </c>
      <c r="G953" s="329"/>
      <c r="H953" s="329">
        <f>VLOOKUP($B953,DONGIA,DG!$E$6,0)</f>
        <v>0</v>
      </c>
      <c r="I953" s="329"/>
      <c r="J953" s="329"/>
      <c r="K953" s="329">
        <f>VLOOKUP($B953,DONGIA,DG!$F$6,0)</f>
        <v>13173</v>
      </c>
      <c r="L953" s="329"/>
      <c r="M953" s="329">
        <f>VLOOKUP($B953,DONGIA,DG!$G$6,0)</f>
        <v>0</v>
      </c>
      <c r="N953" s="329">
        <f>$G953*H953</f>
        <v>0</v>
      </c>
      <c r="O953" s="329">
        <f t="shared" si="727"/>
        <v>0</v>
      </c>
      <c r="P953" s="329">
        <f t="shared" si="728"/>
        <v>0</v>
      </c>
      <c r="Q953" s="329">
        <f t="shared" si="729"/>
        <v>0</v>
      </c>
      <c r="R953" s="329">
        <f t="shared" si="730"/>
        <v>0</v>
      </c>
      <c r="S953" s="329">
        <f t="shared" si="731"/>
        <v>0</v>
      </c>
      <c r="U953" s="329"/>
      <c r="V953" s="329"/>
      <c r="W953" s="329"/>
      <c r="X953" s="329"/>
      <c r="Y953" s="329"/>
      <c r="Z953" s="329"/>
      <c r="AA953" s="329"/>
      <c r="AB953" s="329">
        <f>AB$869*$G953</f>
        <v>0</v>
      </c>
      <c r="AD953" s="332">
        <f t="shared" si="760"/>
        <v>0</v>
      </c>
      <c r="AE953" s="329">
        <f t="shared" si="761"/>
        <v>0</v>
      </c>
      <c r="AF953" s="329">
        <f t="shared" si="762"/>
        <v>0</v>
      </c>
      <c r="AG953" s="329">
        <f t="shared" si="762"/>
        <v>0</v>
      </c>
      <c r="AH953" s="329">
        <f t="shared" si="762"/>
        <v>0</v>
      </c>
      <c r="AI953" s="329">
        <f t="shared" si="763"/>
        <v>0</v>
      </c>
      <c r="AJ953" s="329">
        <f t="shared" si="763"/>
        <v>0</v>
      </c>
      <c r="AK953" s="329">
        <f t="shared" si="763"/>
        <v>0</v>
      </c>
      <c r="AL953" s="329">
        <f t="shared" si="764"/>
        <v>0</v>
      </c>
    </row>
    <row r="954" spans="1:38" s="332" customFormat="1">
      <c r="A954" s="356"/>
      <c r="B954" s="356" t="s">
        <v>878</v>
      </c>
      <c r="C954" s="355">
        <f t="shared" si="734"/>
        <v>0</v>
      </c>
      <c r="D954" s="341" t="str">
        <f>VLOOKUP(B954,DONGIA,DG!$B$6,0)</f>
        <v>06.1214</v>
      </c>
      <c r="E954" s="340" t="str">
        <f>VLOOKUP(B954,DONGIA,DG!$C$6,0)</f>
        <v>Lắp rack 3 sứ + sứ ống chỉ</v>
      </c>
      <c r="F954" s="341" t="str">
        <f>VLOOKUP(B954,DONGIA,DG!$D$6,0)</f>
        <v>bộ</v>
      </c>
      <c r="G954" s="329"/>
      <c r="H954" s="329">
        <f>VLOOKUP($B954,DONGIA,DG!$E$6,0)</f>
        <v>0</v>
      </c>
      <c r="I954" s="329"/>
      <c r="J954" s="329"/>
      <c r="K954" s="329">
        <f>VLOOKUP($B954,DONGIA,DG!$F$6,0)</f>
        <v>0</v>
      </c>
      <c r="L954" s="329"/>
      <c r="M954" s="329">
        <f>VLOOKUP($B954,DONGIA,DG!$G$6,0)</f>
        <v>0</v>
      </c>
      <c r="N954" s="329">
        <f>$G954*H954</f>
        <v>0</v>
      </c>
      <c r="O954" s="329">
        <f t="shared" si="727"/>
        <v>0</v>
      </c>
      <c r="P954" s="329">
        <f t="shared" si="728"/>
        <v>0</v>
      </c>
      <c r="Q954" s="329">
        <f t="shared" si="729"/>
        <v>0</v>
      </c>
      <c r="R954" s="329">
        <f t="shared" si="730"/>
        <v>0</v>
      </c>
      <c r="S954" s="329">
        <f t="shared" si="731"/>
        <v>0</v>
      </c>
      <c r="U954" s="329"/>
      <c r="V954" s="329"/>
      <c r="W954" s="329"/>
      <c r="X954" s="329"/>
      <c r="Y954" s="329"/>
      <c r="Z954" s="329"/>
      <c r="AA954" s="329"/>
      <c r="AB954" s="329">
        <f>AB$869*$G954</f>
        <v>0</v>
      </c>
      <c r="AD954" s="332">
        <f t="shared" si="760"/>
        <v>0</v>
      </c>
      <c r="AE954" s="329">
        <f t="shared" si="761"/>
        <v>0</v>
      </c>
      <c r="AF954" s="329">
        <f t="shared" si="762"/>
        <v>0</v>
      </c>
      <c r="AG954" s="329">
        <f t="shared" si="762"/>
        <v>0</v>
      </c>
      <c r="AH954" s="329">
        <f t="shared" si="762"/>
        <v>0</v>
      </c>
      <c r="AI954" s="329">
        <f t="shared" si="763"/>
        <v>0</v>
      </c>
      <c r="AJ954" s="329">
        <f t="shared" si="763"/>
        <v>0</v>
      </c>
      <c r="AK954" s="329">
        <f t="shared" si="763"/>
        <v>0</v>
      </c>
      <c r="AL954" s="329">
        <f t="shared" si="764"/>
        <v>0</v>
      </c>
    </row>
    <row r="955" spans="1:38" s="332" customFormat="1">
      <c r="A955" s="356"/>
      <c r="B955" s="356" t="s">
        <v>881</v>
      </c>
      <c r="C955" s="355">
        <f t="shared" si="734"/>
        <v>0</v>
      </c>
      <c r="D955" s="341" t="str">
        <f>VLOOKUP(B955,DONGIA,DG!$B$6,0)</f>
        <v>06.1215</v>
      </c>
      <c r="E955" s="340" t="str">
        <f>VLOOKUP(B955,DONGIA,DG!$C$6,0)</f>
        <v>Lắp rack 4 sứ + sứ ống chỉ</v>
      </c>
      <c r="F955" s="341" t="str">
        <f>VLOOKUP(B955,DONGIA,DG!$D$6,0)</f>
        <v>bộ</v>
      </c>
      <c r="G955" s="329"/>
      <c r="H955" s="329">
        <f>VLOOKUP($B955,DONGIA,DG!$E$6,0)</f>
        <v>0</v>
      </c>
      <c r="I955" s="329"/>
      <c r="J955" s="329"/>
      <c r="K955" s="329">
        <f>VLOOKUP($B955,DONGIA,DG!$F$6,0)</f>
        <v>0</v>
      </c>
      <c r="L955" s="329"/>
      <c r="M955" s="329">
        <f>VLOOKUP($B955,DONGIA,DG!$G$6,0)</f>
        <v>0</v>
      </c>
      <c r="N955" s="329">
        <f>$G955*H955</f>
        <v>0</v>
      </c>
      <c r="O955" s="329">
        <f t="shared" si="727"/>
        <v>0</v>
      </c>
      <c r="P955" s="329">
        <f t="shared" si="728"/>
        <v>0</v>
      </c>
      <c r="Q955" s="329">
        <f t="shared" si="729"/>
        <v>0</v>
      </c>
      <c r="R955" s="329">
        <f t="shared" si="730"/>
        <v>0</v>
      </c>
      <c r="S955" s="329">
        <f t="shared" si="731"/>
        <v>0</v>
      </c>
      <c r="U955" s="329"/>
      <c r="V955" s="329"/>
      <c r="W955" s="329"/>
      <c r="X955" s="329"/>
      <c r="Y955" s="329"/>
      <c r="Z955" s="329"/>
      <c r="AA955" s="329"/>
      <c r="AB955" s="329">
        <f>AB$869*$G955</f>
        <v>0</v>
      </c>
      <c r="AD955" s="332">
        <f t="shared" si="760"/>
        <v>0</v>
      </c>
      <c r="AE955" s="329">
        <f t="shared" si="761"/>
        <v>0</v>
      </c>
      <c r="AF955" s="329">
        <f t="shared" si="762"/>
        <v>0</v>
      </c>
      <c r="AG955" s="329">
        <f t="shared" si="762"/>
        <v>0</v>
      </c>
      <c r="AH955" s="329">
        <f t="shared" si="762"/>
        <v>0</v>
      </c>
      <c r="AI955" s="329">
        <f t="shared" si="763"/>
        <v>0</v>
      </c>
      <c r="AJ955" s="329">
        <f t="shared" si="763"/>
        <v>0</v>
      </c>
      <c r="AK955" s="329">
        <f t="shared" si="763"/>
        <v>0</v>
      </c>
      <c r="AL955" s="329">
        <f t="shared" si="764"/>
        <v>0</v>
      </c>
    </row>
    <row r="956" spans="1:38">
      <c r="A956" s="618" t="s">
        <v>2046</v>
      </c>
      <c r="B956" s="618"/>
      <c r="C956" s="619">
        <f t="shared" si="734"/>
        <v>1</v>
      </c>
      <c r="D956" s="622"/>
      <c r="E956" s="733" t="s">
        <v>2950</v>
      </c>
      <c r="F956" s="622"/>
      <c r="G956" s="622">
        <f>IF(SUM(N956:S956)&lt;&gt;0,1,)</f>
        <v>1</v>
      </c>
      <c r="H956" s="623"/>
      <c r="I956" s="623"/>
      <c r="J956" s="623"/>
      <c r="K956" s="623"/>
      <c r="L956" s="623"/>
      <c r="M956" s="623"/>
      <c r="N956" s="623">
        <f t="shared" ref="N956:S956" si="765">SUM(N957:N960)</f>
        <v>74880000</v>
      </c>
      <c r="O956" s="623">
        <f t="shared" si="765"/>
        <v>0</v>
      </c>
      <c r="P956" s="623">
        <f t="shared" si="765"/>
        <v>0</v>
      </c>
      <c r="Q956" s="623">
        <f t="shared" si="765"/>
        <v>23978328</v>
      </c>
      <c r="R956" s="623">
        <f t="shared" si="765"/>
        <v>0</v>
      </c>
      <c r="S956" s="623">
        <f t="shared" si="765"/>
        <v>0</v>
      </c>
      <c r="U956" s="623"/>
      <c r="V956" s="623"/>
      <c r="W956" s="623"/>
      <c r="X956" s="623"/>
      <c r="Y956" s="623"/>
      <c r="Z956" s="623"/>
      <c r="AA956" s="623"/>
      <c r="AB956" s="623">
        <f>G956</f>
        <v>1</v>
      </c>
      <c r="AD956" s="405">
        <f t="shared" si="760"/>
        <v>0</v>
      </c>
      <c r="AE956" s="525">
        <f t="shared" si="761"/>
        <v>0</v>
      </c>
      <c r="AF956" s="525">
        <f t="shared" si="762"/>
        <v>0</v>
      </c>
      <c r="AG956" s="525">
        <f t="shared" si="762"/>
        <v>0</v>
      </c>
      <c r="AH956" s="525">
        <f t="shared" si="762"/>
        <v>0</v>
      </c>
      <c r="AI956" s="525">
        <f t="shared" si="763"/>
        <v>0</v>
      </c>
      <c r="AJ956" s="525">
        <f t="shared" si="763"/>
        <v>0</v>
      </c>
      <c r="AK956" s="525">
        <f t="shared" si="763"/>
        <v>0</v>
      </c>
      <c r="AL956" s="525">
        <f t="shared" si="764"/>
        <v>0</v>
      </c>
    </row>
    <row r="957" spans="1:38" s="332" customFormat="1">
      <c r="A957" s="356"/>
      <c r="B957" s="356" t="s">
        <v>992</v>
      </c>
      <c r="C957" s="355">
        <f t="shared" si="734"/>
        <v>0</v>
      </c>
      <c r="D957" s="341" t="str">
        <f>VLOOKUP(B957,DONGIA,DG!$B$6,0)</f>
        <v>T2.8403</v>
      </c>
      <c r="E957" s="340" t="str">
        <f>VLOOKUP(B957,DONGIA,DG!$C$6,0)</f>
        <v>MCCB 3 cực 400V - 125A - 30KA (80-125A)</v>
      </c>
      <c r="F957" s="341" t="str">
        <f>VLOOKUP(B957,DONGIA,DG!$D$6,0)</f>
        <v>cái</v>
      </c>
      <c r="G957" s="329">
        <f>PPHT!CP700+PPHT!CT700</f>
        <v>0</v>
      </c>
      <c r="H957" s="329">
        <f>VLOOKUP($B957,DONGIA,DG!$E$6,0)</f>
        <v>980000</v>
      </c>
      <c r="I957" s="329"/>
      <c r="J957" s="329"/>
      <c r="K957" s="329">
        <f>VLOOKUP($B957,DONGIA,DG!$F$6,0)</f>
        <v>450186</v>
      </c>
      <c r="L957" s="329"/>
      <c r="M957" s="329">
        <f>VLOOKUP($B957,DONGIA,DG!$G$6,0)</f>
        <v>0</v>
      </c>
      <c r="N957" s="329">
        <f>$G957*H957</f>
        <v>0</v>
      </c>
      <c r="O957" s="329">
        <f t="shared" ref="O957:S958" si="766">$G957*I957</f>
        <v>0</v>
      </c>
      <c r="P957" s="329">
        <f t="shared" si="766"/>
        <v>0</v>
      </c>
      <c r="Q957" s="329">
        <f t="shared" si="766"/>
        <v>0</v>
      </c>
      <c r="R957" s="329">
        <f t="shared" si="766"/>
        <v>0</v>
      </c>
      <c r="S957" s="329">
        <f t="shared" si="766"/>
        <v>0</v>
      </c>
      <c r="U957" s="329"/>
      <c r="V957" s="329"/>
      <c r="W957" s="329"/>
      <c r="X957" s="329"/>
      <c r="Y957" s="329"/>
      <c r="Z957" s="329"/>
      <c r="AA957" s="329"/>
      <c r="AB957" s="329">
        <f>AB$956*$G957</f>
        <v>0</v>
      </c>
      <c r="AD957" s="332">
        <f t="shared" si="760"/>
        <v>2</v>
      </c>
      <c r="AE957" s="329">
        <f t="shared" si="761"/>
        <v>0</v>
      </c>
      <c r="AF957" s="329">
        <f t="shared" si="762"/>
        <v>0</v>
      </c>
      <c r="AG957" s="329">
        <f t="shared" si="762"/>
        <v>0</v>
      </c>
      <c r="AH957" s="329">
        <f t="shared" si="762"/>
        <v>0</v>
      </c>
      <c r="AI957" s="329">
        <f t="shared" si="763"/>
        <v>0</v>
      </c>
      <c r="AJ957" s="329">
        <f t="shared" si="763"/>
        <v>0</v>
      </c>
      <c r="AK957" s="329">
        <f t="shared" si="763"/>
        <v>0</v>
      </c>
      <c r="AL957" s="329">
        <f t="shared" si="764"/>
        <v>0</v>
      </c>
    </row>
    <row r="958" spans="1:38">
      <c r="A958" s="618"/>
      <c r="B958" s="618" t="s">
        <v>2948</v>
      </c>
      <c r="C958" s="619">
        <f t="shared" si="734"/>
        <v>1</v>
      </c>
      <c r="D958" s="523" t="str">
        <f>VLOOKUP(B958,DONGIA,DG!$B$6,0)</f>
        <v>T2.8403</v>
      </c>
      <c r="E958" s="525" t="str">
        <f>VLOOKUP(B958,DONGIA,DG!$C$6,0)</f>
        <v>MCCB 3 cực 400V - 160A - 35KA (100-160A)</v>
      </c>
      <c r="F958" s="523" t="str">
        <f>VLOOKUP(B958,DONGIA,DG!$D$6,0)</f>
        <v>cái</v>
      </c>
      <c r="G958" s="525">
        <f>PPHT!CQ700+PPHT!CU700</f>
        <v>42</v>
      </c>
      <c r="H958" s="525">
        <f>VLOOKUP($B958,DONGIA,DG!$E$6,0)</f>
        <v>1440000</v>
      </c>
      <c r="I958" s="525"/>
      <c r="J958" s="525"/>
      <c r="K958" s="525">
        <f>VLOOKUP($B958,DONGIA,DG!$F$6,0)</f>
        <v>450186</v>
      </c>
      <c r="L958" s="525"/>
      <c r="M958" s="525">
        <f>VLOOKUP($B958,DONGIA,DG!$G$6,0)</f>
        <v>0</v>
      </c>
      <c r="N958" s="525">
        <f>$G958*H958</f>
        <v>60480000</v>
      </c>
      <c r="O958" s="525">
        <f t="shared" si="766"/>
        <v>0</v>
      </c>
      <c r="P958" s="525">
        <f t="shared" si="766"/>
        <v>0</v>
      </c>
      <c r="Q958" s="525">
        <f t="shared" si="766"/>
        <v>18907812</v>
      </c>
      <c r="R958" s="525">
        <f t="shared" si="766"/>
        <v>0</v>
      </c>
      <c r="S958" s="525">
        <f t="shared" si="766"/>
        <v>0</v>
      </c>
      <c r="U958" s="525"/>
      <c r="V958" s="525"/>
      <c r="W958" s="525"/>
      <c r="X958" s="525"/>
      <c r="Y958" s="525"/>
      <c r="Z958" s="525"/>
      <c r="AA958" s="525"/>
      <c r="AB958" s="525">
        <f>AB$956*$G958</f>
        <v>42</v>
      </c>
      <c r="AD958" s="405">
        <f t="shared" si="760"/>
        <v>2</v>
      </c>
      <c r="AE958" s="525">
        <f t="shared" si="761"/>
        <v>0</v>
      </c>
      <c r="AF958" s="525">
        <f t="shared" si="762"/>
        <v>0</v>
      </c>
      <c r="AG958" s="525">
        <f t="shared" si="762"/>
        <v>0</v>
      </c>
      <c r="AH958" s="525">
        <f t="shared" si="762"/>
        <v>0</v>
      </c>
      <c r="AI958" s="525">
        <f t="shared" si="763"/>
        <v>0</v>
      </c>
      <c r="AJ958" s="525">
        <f t="shared" si="763"/>
        <v>0</v>
      </c>
      <c r="AK958" s="525">
        <f t="shared" si="763"/>
        <v>0</v>
      </c>
      <c r="AL958" s="525">
        <f t="shared" si="764"/>
        <v>84</v>
      </c>
    </row>
    <row r="959" spans="1:38">
      <c r="A959" s="618"/>
      <c r="B959" s="618" t="s">
        <v>995</v>
      </c>
      <c r="C959" s="619">
        <f>IF(G959&lt;&gt;0,1,)</f>
        <v>1</v>
      </c>
      <c r="D959" s="523"/>
      <c r="E959" s="525" t="str">
        <f>VLOOKUP(B959,DONGIA,DG!$C$6,0)</f>
        <v>MCCB 3 cực 400V - 200A - 35KA (125-200A)</v>
      </c>
      <c r="F959" s="523" t="str">
        <f>VLOOKUP(B959,DONGIA,DG!$D$6,0)</f>
        <v>cái</v>
      </c>
      <c r="G959" s="525">
        <f>PPHT!CR700+PPHT!CV700</f>
        <v>6</v>
      </c>
      <c r="H959" s="525">
        <f>VLOOKUP($B959,DONGIA,DG!$E$6,0)</f>
        <v>1440000</v>
      </c>
      <c r="I959" s="525"/>
      <c r="J959" s="525"/>
      <c r="K959" s="525">
        <f>VLOOKUP($B959,DONGIA,DG!$F$6,0)</f>
        <v>450186</v>
      </c>
      <c r="L959" s="525"/>
      <c r="M959" s="525"/>
      <c r="N959" s="525">
        <f>$G959*H959</f>
        <v>8640000</v>
      </c>
      <c r="O959" s="525">
        <f t="shared" ref="O959:S960" si="767">$G959*I959</f>
        <v>0</v>
      </c>
      <c r="P959" s="525">
        <f t="shared" si="767"/>
        <v>0</v>
      </c>
      <c r="Q959" s="525">
        <f t="shared" si="767"/>
        <v>2701116</v>
      </c>
      <c r="R959" s="525">
        <f t="shared" si="767"/>
        <v>0</v>
      </c>
      <c r="S959" s="525">
        <f t="shared" si="767"/>
        <v>0</v>
      </c>
      <c r="U959" s="525"/>
      <c r="V959" s="525"/>
      <c r="W959" s="525"/>
      <c r="X959" s="525"/>
      <c r="Y959" s="525"/>
      <c r="Z959" s="525"/>
      <c r="AA959" s="525"/>
      <c r="AB959" s="525">
        <f>AB$956*$G959</f>
        <v>6</v>
      </c>
      <c r="AD959" s="405">
        <f>IFERROR(VLOOKUP(B959,DONGIA,$AD$3,0),0)</f>
        <v>2</v>
      </c>
      <c r="AE959" s="525">
        <f t="shared" ref="AE959:AL960" si="768">U959*$AD959</f>
        <v>0</v>
      </c>
      <c r="AF959" s="525">
        <f t="shared" si="768"/>
        <v>0</v>
      </c>
      <c r="AG959" s="525">
        <f t="shared" si="768"/>
        <v>0</v>
      </c>
      <c r="AH959" s="525">
        <f t="shared" si="768"/>
        <v>0</v>
      </c>
      <c r="AI959" s="525">
        <f t="shared" si="768"/>
        <v>0</v>
      </c>
      <c r="AJ959" s="525">
        <f t="shared" si="768"/>
        <v>0</v>
      </c>
      <c r="AK959" s="525">
        <f t="shared" si="768"/>
        <v>0</v>
      </c>
      <c r="AL959" s="525">
        <f t="shared" si="768"/>
        <v>12</v>
      </c>
    </row>
    <row r="960" spans="1:38">
      <c r="A960" s="618"/>
      <c r="B960" s="618" t="s">
        <v>996</v>
      </c>
      <c r="C960" s="619">
        <f>IF(G960&lt;&gt;0,1,)</f>
        <v>1</v>
      </c>
      <c r="D960" s="523" t="str">
        <f>VLOOKUP(B960,DONGIA,DG!$B$6,0)</f>
        <v>T2.8404</v>
      </c>
      <c r="E960" s="525" t="str">
        <f>VLOOKUP(B960,DONGIA,DG!$C$6,0)</f>
        <v>MCCB 3 cực 600V - 250A - 35KA (160-250A)</v>
      </c>
      <c r="F960" s="523" t="str">
        <f>VLOOKUP(B960,DONGIA,DG!$D$6,0)</f>
        <v>cái</v>
      </c>
      <c r="G960" s="525">
        <f>PPHT!CS700+PPHT!CW700</f>
        <v>4</v>
      </c>
      <c r="H960" s="525">
        <f>VLOOKUP($B960,DONGIA,DG!$E$6,0)</f>
        <v>1440000</v>
      </c>
      <c r="I960" s="525"/>
      <c r="J960" s="525"/>
      <c r="K960" s="525">
        <f>VLOOKUP($B960,DONGIA,DG!$F$6,0)</f>
        <v>592350</v>
      </c>
      <c r="L960" s="525"/>
      <c r="M960" s="525">
        <f>VLOOKUP($B960,DONGIA,DG!$G$6,0)</f>
        <v>0</v>
      </c>
      <c r="N960" s="525">
        <f>$G960*H960</f>
        <v>5760000</v>
      </c>
      <c r="O960" s="525">
        <f t="shared" si="767"/>
        <v>0</v>
      </c>
      <c r="P960" s="525">
        <f t="shared" si="767"/>
        <v>0</v>
      </c>
      <c r="Q960" s="525">
        <f t="shared" si="767"/>
        <v>2369400</v>
      </c>
      <c r="R960" s="525">
        <f t="shared" si="767"/>
        <v>0</v>
      </c>
      <c r="S960" s="525">
        <f t="shared" si="767"/>
        <v>0</v>
      </c>
      <c r="U960" s="525"/>
      <c r="V960" s="525"/>
      <c r="W960" s="525"/>
      <c r="X960" s="525"/>
      <c r="Y960" s="525"/>
      <c r="Z960" s="525"/>
      <c r="AA960" s="525"/>
      <c r="AB960" s="525">
        <f>AB$956*$G960</f>
        <v>4</v>
      </c>
      <c r="AD960" s="405">
        <f>IFERROR(VLOOKUP(B960,DONGIA,$AD$3,0),0)</f>
        <v>2</v>
      </c>
      <c r="AE960" s="525">
        <f t="shared" si="768"/>
        <v>0</v>
      </c>
      <c r="AF960" s="525">
        <f t="shared" si="768"/>
        <v>0</v>
      </c>
      <c r="AG960" s="525">
        <f t="shared" si="768"/>
        <v>0</v>
      </c>
      <c r="AH960" s="525">
        <f t="shared" si="768"/>
        <v>0</v>
      </c>
      <c r="AI960" s="525">
        <f t="shared" si="768"/>
        <v>0</v>
      </c>
      <c r="AJ960" s="525">
        <f t="shared" si="768"/>
        <v>0</v>
      </c>
      <c r="AK960" s="525">
        <f t="shared" si="768"/>
        <v>0</v>
      </c>
      <c r="AL960" s="525">
        <f t="shared" si="768"/>
        <v>8</v>
      </c>
    </row>
  </sheetData>
  <autoFilter ref="C4:C960" xr:uid="{00000000-0009-0000-0000-000006000000}"/>
  <mergeCells count="7">
    <mergeCell ref="AD4:AD5"/>
    <mergeCell ref="N4:S4"/>
    <mergeCell ref="D4:D5"/>
    <mergeCell ref="E4:E5"/>
    <mergeCell ref="F4:F5"/>
    <mergeCell ref="G4:G5"/>
    <mergeCell ref="H4:M4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B1:I380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20" style="332" customWidth="1"/>
    <col min="3" max="3" width="6.5546875" style="332" customWidth="1"/>
    <col min="4" max="4" width="47.6640625" style="332" bestFit="1" customWidth="1"/>
    <col min="5" max="5" width="9.109375" style="332"/>
    <col min="6" max="6" width="15.6640625" style="332" bestFit="1" customWidth="1"/>
    <col min="7" max="7" width="15.6640625" style="332" customWidth="1"/>
    <col min="8" max="16384" width="9.109375" style="332"/>
  </cols>
  <sheetData>
    <row r="1" spans="2:9">
      <c r="C1" s="332" t="s">
        <v>1623</v>
      </c>
    </row>
    <row r="2" spans="2:9">
      <c r="B2" s="364">
        <v>1</v>
      </c>
      <c r="C2" s="364">
        <v>2</v>
      </c>
      <c r="D2" s="364">
        <v>3</v>
      </c>
      <c r="E2" s="364">
        <v>4</v>
      </c>
      <c r="F2" s="364">
        <v>5</v>
      </c>
      <c r="G2" s="364">
        <v>6</v>
      </c>
    </row>
    <row r="3" spans="2:9" s="334" customFormat="1">
      <c r="C3" s="336" t="s">
        <v>1943</v>
      </c>
      <c r="D3" s="336"/>
      <c r="E3" s="336"/>
      <c r="F3" s="336"/>
      <c r="G3" s="336"/>
    </row>
    <row r="5" spans="2:9" s="334" customFormat="1" ht="31.2">
      <c r="C5" s="338" t="s">
        <v>1763</v>
      </c>
      <c r="D5" s="338" t="s">
        <v>1839</v>
      </c>
      <c r="E5" s="338" t="s">
        <v>1840</v>
      </c>
      <c r="F5" s="1019" t="s">
        <v>1841</v>
      </c>
      <c r="G5" s="1019"/>
    </row>
    <row r="6" spans="2:9" s="334" customFormat="1" hidden="1">
      <c r="B6" s="334" t="s">
        <v>2088</v>
      </c>
      <c r="C6" s="365"/>
      <c r="D6" s="366" t="str">
        <f>VLOOKUP(B6,CTTBA,'7.CT-TBA'!$E$25,0)</f>
        <v>0 Trạm 1 pha 25kVA</v>
      </c>
      <c r="E6" s="365"/>
      <c r="F6" s="365"/>
      <c r="G6" s="365"/>
      <c r="H6" s="334">
        <f>IF(SUM(H7:H22)&lt;&gt;0,1,)</f>
        <v>0</v>
      </c>
    </row>
    <row r="7" spans="2:9" hidden="1">
      <c r="C7" s="346" t="s">
        <v>1631</v>
      </c>
      <c r="D7" s="347" t="s">
        <v>1845</v>
      </c>
      <c r="E7" s="346" t="s">
        <v>1846</v>
      </c>
      <c r="F7" s="346" t="s">
        <v>1875</v>
      </c>
      <c r="G7" s="347">
        <f>G8+G11+G14</f>
        <v>0</v>
      </c>
      <c r="H7" s="332">
        <f>IF(G7&lt;&gt;0,1,)</f>
        <v>0</v>
      </c>
    </row>
    <row r="8" spans="2:9" ht="18.600000000000001" hidden="1">
      <c r="C8" s="348">
        <v>1</v>
      </c>
      <c r="D8" s="349" t="s">
        <v>1847</v>
      </c>
      <c r="E8" s="348" t="s">
        <v>1765</v>
      </c>
      <c r="F8" s="348" t="s">
        <v>2753</v>
      </c>
      <c r="G8" s="349">
        <f>G9+G10</f>
        <v>0</v>
      </c>
      <c r="H8" s="332">
        <f>H9</f>
        <v>0</v>
      </c>
    </row>
    <row r="9" spans="2:9" ht="18" hidden="1">
      <c r="B9" s="332" t="str">
        <f>"VL"&amp;B6</f>
        <v>VLTR25</v>
      </c>
      <c r="C9" s="350"/>
      <c r="D9" s="351" t="s">
        <v>2579</v>
      </c>
      <c r="E9" s="350" t="s">
        <v>2754</v>
      </c>
      <c r="F9" s="350" t="s">
        <v>1849</v>
      </c>
      <c r="G9" s="351">
        <f>ROUND(VLOOKUP(B9,CTTBA,I9,0),0)</f>
        <v>0</v>
      </c>
      <c r="H9" s="332">
        <f>IF(SUM(H10:H22)&lt;&gt;0,1,)</f>
        <v>0</v>
      </c>
      <c r="I9" s="332">
        <f>'7.CT-TBA'!$N$25</f>
        <v>14</v>
      </c>
    </row>
    <row r="10" spans="2:9" ht="18" hidden="1">
      <c r="C10" s="350"/>
      <c r="D10" s="351" t="s">
        <v>1945</v>
      </c>
      <c r="E10" s="350" t="s">
        <v>2757</v>
      </c>
      <c r="F10" s="350" t="s">
        <v>2779</v>
      </c>
      <c r="G10" s="351"/>
      <c r="H10" s="332">
        <f t="shared" ref="H10:H22" si="0">IF(G10&lt;&gt;0,1,)</f>
        <v>0</v>
      </c>
    </row>
    <row r="11" spans="2:9" ht="18.600000000000001" hidden="1">
      <c r="C11" s="348">
        <v>2</v>
      </c>
      <c r="D11" s="349" t="s">
        <v>1946</v>
      </c>
      <c r="E11" s="348" t="s">
        <v>1764</v>
      </c>
      <c r="F11" s="348" t="s">
        <v>2759</v>
      </c>
      <c r="G11" s="349">
        <f>G12+G13</f>
        <v>0</v>
      </c>
      <c r="H11" s="332">
        <f t="shared" si="0"/>
        <v>0</v>
      </c>
    </row>
    <row r="12" spans="2:9" ht="18" hidden="1">
      <c r="B12" s="332" t="str">
        <f>B9</f>
        <v>VLTR25</v>
      </c>
      <c r="C12" s="350"/>
      <c r="D12" s="351" t="s">
        <v>1952</v>
      </c>
      <c r="E12" s="350" t="s">
        <v>2755</v>
      </c>
      <c r="F12" s="350" t="s">
        <v>3288</v>
      </c>
      <c r="G12" s="351">
        <f>ROUND(VLOOKUP(B12,CTTBA,I12,0)*NCTBA,0)</f>
        <v>0</v>
      </c>
      <c r="H12" s="332">
        <f t="shared" si="0"/>
        <v>0</v>
      </c>
      <c r="I12" s="332">
        <f>'7.CT-TBA'!$O$25</f>
        <v>15</v>
      </c>
    </row>
    <row r="13" spans="2:9" ht="18" hidden="1">
      <c r="C13" s="350"/>
      <c r="D13" s="351" t="s">
        <v>1951</v>
      </c>
      <c r="E13" s="350" t="s">
        <v>2758</v>
      </c>
      <c r="F13" s="350" t="s">
        <v>3289</v>
      </c>
      <c r="G13" s="351">
        <f>ROUND(VLOOKUP(B6,NCTL,'11.CP-VTTH'!$M$2,0)*NCTBA,0)</f>
        <v>0</v>
      </c>
      <c r="H13" s="332">
        <f t="shared" si="0"/>
        <v>0</v>
      </c>
    </row>
    <row r="14" spans="2:9" ht="18.600000000000001" hidden="1">
      <c r="C14" s="348">
        <v>3</v>
      </c>
      <c r="D14" s="349" t="s">
        <v>1855</v>
      </c>
      <c r="E14" s="348" t="s">
        <v>1774</v>
      </c>
      <c r="F14" s="348" t="s">
        <v>2761</v>
      </c>
      <c r="G14" s="349">
        <f>G15+G16</f>
        <v>0</v>
      </c>
      <c r="H14" s="332">
        <f>H15</f>
        <v>0</v>
      </c>
    </row>
    <row r="15" spans="2:9" ht="18" hidden="1">
      <c r="B15" s="332" t="str">
        <f>B9</f>
        <v>VLTR25</v>
      </c>
      <c r="C15" s="350"/>
      <c r="D15" s="351" t="s">
        <v>1953</v>
      </c>
      <c r="E15" s="350" t="s">
        <v>2756</v>
      </c>
      <c r="F15" s="350" t="s">
        <v>2766</v>
      </c>
      <c r="G15" s="351">
        <f>ROUND(VLOOKUP(B15,CTTBA,I15,0),0)</f>
        <v>0</v>
      </c>
      <c r="H15" s="332">
        <f>IF(SUM(H16:H22)&lt;&gt;0,1,)</f>
        <v>0</v>
      </c>
      <c r="I15" s="332">
        <f>'7.CT-TBA'!$P$25</f>
        <v>16</v>
      </c>
    </row>
    <row r="16" spans="2:9" ht="18" hidden="1">
      <c r="C16" s="350"/>
      <c r="D16" s="351" t="s">
        <v>1954</v>
      </c>
      <c r="E16" s="350" t="s">
        <v>2760</v>
      </c>
      <c r="F16" s="350" t="s">
        <v>2767</v>
      </c>
      <c r="G16" s="351">
        <f>ROUND(VLOOKUP(B6,NCTL,'11.CP-VTTH'!$N$2,0),0)</f>
        <v>0</v>
      </c>
      <c r="H16" s="332">
        <f t="shared" si="0"/>
        <v>0</v>
      </c>
    </row>
    <row r="17" spans="2:9" hidden="1">
      <c r="C17" s="346" t="s">
        <v>1663</v>
      </c>
      <c r="D17" s="347" t="s">
        <v>1858</v>
      </c>
      <c r="E17" s="346" t="s">
        <v>1776</v>
      </c>
      <c r="F17" s="346" t="s">
        <v>1860</v>
      </c>
      <c r="G17" s="347">
        <f>ROUND(5.5%*G7,0)</f>
        <v>0</v>
      </c>
      <c r="H17" s="332">
        <f t="shared" si="0"/>
        <v>0</v>
      </c>
    </row>
    <row r="18" spans="2:9" ht="18" hidden="1">
      <c r="C18" s="346"/>
      <c r="D18" s="347" t="s">
        <v>1861</v>
      </c>
      <c r="E18" s="346" t="s">
        <v>2775</v>
      </c>
      <c r="F18" s="346" t="s">
        <v>2807</v>
      </c>
      <c r="G18" s="347">
        <f>G7+G17</f>
        <v>0</v>
      </c>
      <c r="H18" s="332">
        <f t="shared" si="0"/>
        <v>0</v>
      </c>
    </row>
    <row r="19" spans="2:9" ht="18" hidden="1">
      <c r="C19" s="346" t="s">
        <v>1673</v>
      </c>
      <c r="D19" s="347" t="s">
        <v>1862</v>
      </c>
      <c r="E19" s="346" t="s">
        <v>1863</v>
      </c>
      <c r="F19" s="346" t="s">
        <v>2770</v>
      </c>
      <c r="G19" s="347">
        <f>ROUND(6%*G18,0)</f>
        <v>0</v>
      </c>
      <c r="H19" s="332">
        <f t="shared" si="0"/>
        <v>0</v>
      </c>
    </row>
    <row r="20" spans="2:9" ht="18" hidden="1">
      <c r="B20" s="332" t="str">
        <f>"XL"&amp;B6</f>
        <v>XLTR25</v>
      </c>
      <c r="C20" s="346"/>
      <c r="D20" s="347" t="s">
        <v>1949</v>
      </c>
      <c r="E20" s="346" t="s">
        <v>1866</v>
      </c>
      <c r="F20" s="346" t="s">
        <v>2771</v>
      </c>
      <c r="G20" s="347">
        <f>G18+G19</f>
        <v>0</v>
      </c>
      <c r="H20" s="332">
        <f t="shared" si="0"/>
        <v>0</v>
      </c>
    </row>
    <row r="21" spans="2:9" hidden="1">
      <c r="C21" s="346" t="s">
        <v>1717</v>
      </c>
      <c r="D21" s="347" t="s">
        <v>1867</v>
      </c>
      <c r="E21" s="346" t="s">
        <v>1868</v>
      </c>
      <c r="F21" s="346" t="s">
        <v>1869</v>
      </c>
      <c r="G21" s="347">
        <f>ROUND(10%*G20,0)</f>
        <v>0</v>
      </c>
      <c r="H21" s="332">
        <f t="shared" si="0"/>
        <v>0</v>
      </c>
    </row>
    <row r="22" spans="2:9" ht="18" hidden="1">
      <c r="C22" s="346" t="s">
        <v>1729</v>
      </c>
      <c r="D22" s="347" t="s">
        <v>1950</v>
      </c>
      <c r="E22" s="346" t="s">
        <v>2765</v>
      </c>
      <c r="F22" s="346" t="s">
        <v>1871</v>
      </c>
      <c r="G22" s="347">
        <f>G20+G21</f>
        <v>0</v>
      </c>
      <c r="H22" s="332">
        <f t="shared" si="0"/>
        <v>0</v>
      </c>
    </row>
    <row r="23" spans="2:9" s="334" customFormat="1" hidden="1">
      <c r="B23" s="334" t="s">
        <v>2089</v>
      </c>
      <c r="C23" s="365"/>
      <c r="D23" s="366" t="str">
        <f>VLOOKUP(B23,CTTBA,'7.CT-TBA'!$E$25,0)</f>
        <v>0 Trạm 1 pha 37,5kVA</v>
      </c>
      <c r="E23" s="365"/>
      <c r="F23" s="365"/>
      <c r="G23" s="365"/>
      <c r="H23" s="334">
        <f>IF(SUM(H24:H39)&lt;&gt;0,1,)</f>
        <v>0</v>
      </c>
    </row>
    <row r="24" spans="2:9" hidden="1">
      <c r="C24" s="346" t="s">
        <v>1631</v>
      </c>
      <c r="D24" s="347" t="s">
        <v>1845</v>
      </c>
      <c r="E24" s="346" t="s">
        <v>1846</v>
      </c>
      <c r="F24" s="346" t="s">
        <v>1875</v>
      </c>
      <c r="G24" s="347">
        <f>G25+G28+G31</f>
        <v>0</v>
      </c>
      <c r="H24" s="332">
        <f>IF(G24&lt;&gt;0,1,)</f>
        <v>0</v>
      </c>
    </row>
    <row r="25" spans="2:9" ht="18.600000000000001" hidden="1">
      <c r="C25" s="348">
        <v>1</v>
      </c>
      <c r="D25" s="349" t="s">
        <v>1847</v>
      </c>
      <c r="E25" s="348" t="s">
        <v>1765</v>
      </c>
      <c r="F25" s="348" t="s">
        <v>2753</v>
      </c>
      <c r="G25" s="349">
        <f>G26+G27</f>
        <v>0</v>
      </c>
      <c r="H25" s="332">
        <f>H26</f>
        <v>0</v>
      </c>
    </row>
    <row r="26" spans="2:9" ht="18" hidden="1">
      <c r="B26" s="332" t="str">
        <f>"VL"&amp;B23</f>
        <v>VLTR375</v>
      </c>
      <c r="C26" s="350"/>
      <c r="D26" s="351" t="s">
        <v>2579</v>
      </c>
      <c r="E26" s="350" t="s">
        <v>2754</v>
      </c>
      <c r="F26" s="350" t="s">
        <v>1849</v>
      </c>
      <c r="G26" s="351">
        <f>ROUND(VLOOKUP(B26,CTTBA,I26,0),0)</f>
        <v>0</v>
      </c>
      <c r="H26" s="332">
        <f>IF(SUM(H27:H39)&lt;&gt;0,1,)</f>
        <v>0</v>
      </c>
      <c r="I26" s="332">
        <f>'7.CT-TBA'!$N$25</f>
        <v>14</v>
      </c>
    </row>
    <row r="27" spans="2:9" ht="18" hidden="1">
      <c r="C27" s="350"/>
      <c r="D27" s="351" t="s">
        <v>1945</v>
      </c>
      <c r="E27" s="350" t="s">
        <v>2757</v>
      </c>
      <c r="F27" s="350" t="s">
        <v>2779</v>
      </c>
      <c r="G27" s="351"/>
      <c r="H27" s="332">
        <f t="shared" ref="H27:H39" si="1">IF(G27&lt;&gt;0,1,)</f>
        <v>0</v>
      </c>
    </row>
    <row r="28" spans="2:9" ht="18.600000000000001" hidden="1">
      <c r="C28" s="348">
        <v>2</v>
      </c>
      <c r="D28" s="349" t="s">
        <v>1946</v>
      </c>
      <c r="E28" s="348" t="s">
        <v>1764</v>
      </c>
      <c r="F28" s="348" t="s">
        <v>2759</v>
      </c>
      <c r="G28" s="349">
        <f>G29+G30</f>
        <v>0</v>
      </c>
      <c r="H28" s="332">
        <f t="shared" si="1"/>
        <v>0</v>
      </c>
    </row>
    <row r="29" spans="2:9" ht="18" hidden="1">
      <c r="B29" s="332" t="str">
        <f>B26</f>
        <v>VLTR375</v>
      </c>
      <c r="C29" s="350"/>
      <c r="D29" s="351" t="s">
        <v>1952</v>
      </c>
      <c r="E29" s="350" t="s">
        <v>2755</v>
      </c>
      <c r="F29" s="350" t="s">
        <v>3288</v>
      </c>
      <c r="G29" s="351">
        <f>ROUND(VLOOKUP(B29,CTTBA,I29,0)*NCTBA,0)</f>
        <v>0</v>
      </c>
      <c r="H29" s="332">
        <f t="shared" si="1"/>
        <v>0</v>
      </c>
      <c r="I29" s="332">
        <f>'7.CT-TBA'!$O$25</f>
        <v>15</v>
      </c>
    </row>
    <row r="30" spans="2:9" ht="18" hidden="1">
      <c r="C30" s="350"/>
      <c r="D30" s="351" t="s">
        <v>1951</v>
      </c>
      <c r="E30" s="350" t="s">
        <v>2758</v>
      </c>
      <c r="F30" s="350" t="s">
        <v>3289</v>
      </c>
      <c r="G30" s="351">
        <f>ROUND(VLOOKUP(B23,NCTL,'11.CP-VTTH'!$M$2,0)*NCTBA,0)</f>
        <v>0</v>
      </c>
      <c r="H30" s="332">
        <f t="shared" si="1"/>
        <v>0</v>
      </c>
    </row>
    <row r="31" spans="2:9" ht="18.600000000000001" hidden="1">
      <c r="C31" s="348">
        <v>3</v>
      </c>
      <c r="D31" s="349" t="s">
        <v>1855</v>
      </c>
      <c r="E31" s="348" t="s">
        <v>1774</v>
      </c>
      <c r="F31" s="348" t="s">
        <v>2761</v>
      </c>
      <c r="G31" s="349">
        <f>G32+G33</f>
        <v>0</v>
      </c>
      <c r="H31" s="332">
        <f>H32</f>
        <v>0</v>
      </c>
    </row>
    <row r="32" spans="2:9" ht="18" hidden="1">
      <c r="B32" s="332" t="str">
        <f>B26</f>
        <v>VLTR375</v>
      </c>
      <c r="C32" s="350"/>
      <c r="D32" s="351" t="s">
        <v>1953</v>
      </c>
      <c r="E32" s="350" t="s">
        <v>2756</v>
      </c>
      <c r="F32" s="350" t="s">
        <v>2766</v>
      </c>
      <c r="G32" s="351">
        <f>ROUND(VLOOKUP(B32,CTTBA,I32,0),0)</f>
        <v>0</v>
      </c>
      <c r="H32" s="332">
        <f>IF(SUM(H33:H39)&lt;&gt;0,1,)</f>
        <v>0</v>
      </c>
      <c r="I32" s="332">
        <f>'7.CT-TBA'!$P$25</f>
        <v>16</v>
      </c>
    </row>
    <row r="33" spans="2:9" ht="18" hidden="1">
      <c r="C33" s="350"/>
      <c r="D33" s="351" t="s">
        <v>1954</v>
      </c>
      <c r="E33" s="350" t="s">
        <v>2760</v>
      </c>
      <c r="F33" s="350" t="s">
        <v>2767</v>
      </c>
      <c r="G33" s="351">
        <f>ROUND(VLOOKUP(B23,NCTL,'11.CP-VTTH'!$N$2,0),0)</f>
        <v>0</v>
      </c>
      <c r="H33" s="332">
        <f t="shared" si="1"/>
        <v>0</v>
      </c>
    </row>
    <row r="34" spans="2:9" hidden="1">
      <c r="C34" s="346" t="s">
        <v>1663</v>
      </c>
      <c r="D34" s="347" t="s">
        <v>1858</v>
      </c>
      <c r="E34" s="346" t="s">
        <v>1776</v>
      </c>
      <c r="F34" s="346" t="s">
        <v>1860</v>
      </c>
      <c r="G34" s="347">
        <f>ROUND(5.5%*G24,0)</f>
        <v>0</v>
      </c>
      <c r="H34" s="332">
        <f t="shared" si="1"/>
        <v>0</v>
      </c>
    </row>
    <row r="35" spans="2:9" ht="18" hidden="1">
      <c r="C35" s="346"/>
      <c r="D35" s="347" t="s">
        <v>1861</v>
      </c>
      <c r="E35" s="346" t="s">
        <v>2775</v>
      </c>
      <c r="F35" s="346" t="s">
        <v>2807</v>
      </c>
      <c r="G35" s="347">
        <f>G24+G34</f>
        <v>0</v>
      </c>
      <c r="H35" s="332">
        <f t="shared" si="1"/>
        <v>0</v>
      </c>
    </row>
    <row r="36" spans="2:9" ht="18" hidden="1">
      <c r="C36" s="346" t="s">
        <v>1673</v>
      </c>
      <c r="D36" s="347" t="s">
        <v>1862</v>
      </c>
      <c r="E36" s="346" t="s">
        <v>1863</v>
      </c>
      <c r="F36" s="346" t="s">
        <v>2770</v>
      </c>
      <c r="G36" s="347">
        <f>ROUND(6%*G35,0)</f>
        <v>0</v>
      </c>
      <c r="H36" s="332">
        <f t="shared" si="1"/>
        <v>0</v>
      </c>
    </row>
    <row r="37" spans="2:9" ht="18" hidden="1">
      <c r="B37" s="332" t="str">
        <f>"XL"&amp;B23</f>
        <v>XLTR375</v>
      </c>
      <c r="C37" s="346"/>
      <c r="D37" s="347" t="s">
        <v>1949</v>
      </c>
      <c r="E37" s="346" t="s">
        <v>1866</v>
      </c>
      <c r="F37" s="346" t="s">
        <v>2771</v>
      </c>
      <c r="G37" s="347">
        <f>G35+G36</f>
        <v>0</v>
      </c>
      <c r="H37" s="332">
        <f t="shared" si="1"/>
        <v>0</v>
      </c>
    </row>
    <row r="38" spans="2:9" hidden="1">
      <c r="C38" s="346" t="s">
        <v>1717</v>
      </c>
      <c r="D38" s="347" t="s">
        <v>1867</v>
      </c>
      <c r="E38" s="346" t="s">
        <v>1868</v>
      </c>
      <c r="F38" s="346" t="s">
        <v>1869</v>
      </c>
      <c r="G38" s="347">
        <f>ROUND(10%*G37,0)</f>
        <v>0</v>
      </c>
      <c r="H38" s="332">
        <f t="shared" si="1"/>
        <v>0</v>
      </c>
    </row>
    <row r="39" spans="2:9" ht="18" hidden="1">
      <c r="C39" s="346" t="s">
        <v>1729</v>
      </c>
      <c r="D39" s="347" t="s">
        <v>1950</v>
      </c>
      <c r="E39" s="346" t="s">
        <v>2765</v>
      </c>
      <c r="F39" s="346" t="s">
        <v>1871</v>
      </c>
      <c r="G39" s="347">
        <f>G37+G38</f>
        <v>0</v>
      </c>
      <c r="H39" s="332">
        <f t="shared" si="1"/>
        <v>0</v>
      </c>
    </row>
    <row r="40" spans="2:9" s="334" customFormat="1" hidden="1">
      <c r="B40" s="334" t="s">
        <v>2090</v>
      </c>
      <c r="C40" s="365"/>
      <c r="D40" s="366" t="str">
        <f>VLOOKUP(B40,CTTBA,'7.CT-TBA'!$E$25,0)</f>
        <v>0 Trạm 1 pha 50kVA</v>
      </c>
      <c r="E40" s="365"/>
      <c r="F40" s="365"/>
      <c r="G40" s="365"/>
      <c r="H40" s="334">
        <f>IF(SUM(H41:H56)&lt;&gt;0,1,)</f>
        <v>0</v>
      </c>
    </row>
    <row r="41" spans="2:9" hidden="1">
      <c r="C41" s="346" t="s">
        <v>1631</v>
      </c>
      <c r="D41" s="347" t="s">
        <v>1845</v>
      </c>
      <c r="E41" s="346" t="s">
        <v>1846</v>
      </c>
      <c r="F41" s="346" t="s">
        <v>1875</v>
      </c>
      <c r="G41" s="347">
        <f>G42+G45+G48</f>
        <v>0</v>
      </c>
      <c r="H41" s="332">
        <f>IF(G41&lt;&gt;0,1,)</f>
        <v>0</v>
      </c>
    </row>
    <row r="42" spans="2:9" ht="18.600000000000001" hidden="1">
      <c r="C42" s="348">
        <v>1</v>
      </c>
      <c r="D42" s="349" t="s">
        <v>1847</v>
      </c>
      <c r="E42" s="348" t="s">
        <v>1765</v>
      </c>
      <c r="F42" s="348" t="s">
        <v>2753</v>
      </c>
      <c r="G42" s="349">
        <f>G43+G44</f>
        <v>0</v>
      </c>
      <c r="H42" s="332">
        <f>H43</f>
        <v>0</v>
      </c>
    </row>
    <row r="43" spans="2:9" ht="18" hidden="1">
      <c r="B43" s="332" t="str">
        <f>"VL"&amp;B40</f>
        <v>VLTR50</v>
      </c>
      <c r="C43" s="350"/>
      <c r="D43" s="351" t="s">
        <v>2579</v>
      </c>
      <c r="E43" s="350" t="s">
        <v>2754</v>
      </c>
      <c r="F43" s="350" t="s">
        <v>1849</v>
      </c>
      <c r="G43" s="351">
        <f>ROUND(VLOOKUP(B43,CTTBA,I43,0),0)</f>
        <v>0</v>
      </c>
      <c r="H43" s="332">
        <f>IF(SUM(H44:H56)&lt;&gt;0,1,)</f>
        <v>0</v>
      </c>
      <c r="I43" s="332">
        <f>'7.CT-TBA'!$N$25</f>
        <v>14</v>
      </c>
    </row>
    <row r="44" spans="2:9" ht="18" hidden="1">
      <c r="C44" s="350"/>
      <c r="D44" s="351" t="s">
        <v>1945</v>
      </c>
      <c r="E44" s="350" t="s">
        <v>2757</v>
      </c>
      <c r="F44" s="350" t="s">
        <v>2779</v>
      </c>
      <c r="G44" s="351"/>
      <c r="H44" s="332">
        <f t="shared" ref="H44:H56" si="2">IF(G44&lt;&gt;0,1,)</f>
        <v>0</v>
      </c>
    </row>
    <row r="45" spans="2:9" ht="18.600000000000001" hidden="1">
      <c r="C45" s="348">
        <v>2</v>
      </c>
      <c r="D45" s="349" t="s">
        <v>1946</v>
      </c>
      <c r="E45" s="348" t="s">
        <v>1764</v>
      </c>
      <c r="F45" s="348" t="s">
        <v>2759</v>
      </c>
      <c r="G45" s="349">
        <f>G46+G47</f>
        <v>0</v>
      </c>
      <c r="H45" s="332">
        <f t="shared" si="2"/>
        <v>0</v>
      </c>
    </row>
    <row r="46" spans="2:9" ht="18" hidden="1">
      <c r="B46" s="332" t="str">
        <f>B43</f>
        <v>VLTR50</v>
      </c>
      <c r="C46" s="350"/>
      <c r="D46" s="351" t="s">
        <v>1952</v>
      </c>
      <c r="E46" s="350" t="s">
        <v>2755</v>
      </c>
      <c r="F46" s="350" t="s">
        <v>3288</v>
      </c>
      <c r="G46" s="351">
        <f>ROUND(VLOOKUP(B46,CTTBA,I46,0)*NCTBA,0)</f>
        <v>0</v>
      </c>
      <c r="H46" s="332">
        <f t="shared" si="2"/>
        <v>0</v>
      </c>
      <c r="I46" s="332">
        <f>'7.CT-TBA'!$O$25</f>
        <v>15</v>
      </c>
    </row>
    <row r="47" spans="2:9" ht="18" hidden="1">
      <c r="C47" s="350"/>
      <c r="D47" s="351" t="s">
        <v>1951</v>
      </c>
      <c r="E47" s="350" t="s">
        <v>2758</v>
      </c>
      <c r="F47" s="350" t="s">
        <v>3289</v>
      </c>
      <c r="G47" s="351">
        <f>ROUND(VLOOKUP(B40,NCTL,'11.CP-VTTH'!$M$2,0)*NCTBA,0)</f>
        <v>0</v>
      </c>
      <c r="H47" s="332">
        <f t="shared" si="2"/>
        <v>0</v>
      </c>
    </row>
    <row r="48" spans="2:9" ht="18.600000000000001" hidden="1">
      <c r="C48" s="348">
        <v>3</v>
      </c>
      <c r="D48" s="349" t="s">
        <v>1855</v>
      </c>
      <c r="E48" s="348" t="s">
        <v>1774</v>
      </c>
      <c r="F48" s="348" t="s">
        <v>2761</v>
      </c>
      <c r="G48" s="349">
        <f>G49+G50</f>
        <v>0</v>
      </c>
      <c r="H48" s="332">
        <f>H49</f>
        <v>0</v>
      </c>
    </row>
    <row r="49" spans="2:9" ht="18" hidden="1">
      <c r="B49" s="332" t="str">
        <f>B43</f>
        <v>VLTR50</v>
      </c>
      <c r="C49" s="350"/>
      <c r="D49" s="351" t="s">
        <v>1953</v>
      </c>
      <c r="E49" s="350" t="s">
        <v>2756</v>
      </c>
      <c r="F49" s="350" t="s">
        <v>2766</v>
      </c>
      <c r="G49" s="351">
        <f>ROUND(VLOOKUP(B49,CTTBA,I49,0),0)</f>
        <v>0</v>
      </c>
      <c r="H49" s="332">
        <f>IF(SUM(H50:H56)&lt;&gt;0,1,)</f>
        <v>0</v>
      </c>
      <c r="I49" s="332">
        <f>'7.CT-TBA'!$P$25</f>
        <v>16</v>
      </c>
    </row>
    <row r="50" spans="2:9" ht="18" hidden="1">
      <c r="C50" s="350"/>
      <c r="D50" s="351" t="s">
        <v>1954</v>
      </c>
      <c r="E50" s="350" t="s">
        <v>2760</v>
      </c>
      <c r="F50" s="350" t="s">
        <v>2767</v>
      </c>
      <c r="G50" s="351">
        <f>ROUND(VLOOKUP(B40,NCTL,'11.CP-VTTH'!$N$2,0),0)</f>
        <v>0</v>
      </c>
      <c r="H50" s="332">
        <f t="shared" si="2"/>
        <v>0</v>
      </c>
    </row>
    <row r="51" spans="2:9" hidden="1">
      <c r="C51" s="346" t="s">
        <v>1663</v>
      </c>
      <c r="D51" s="347" t="s">
        <v>1858</v>
      </c>
      <c r="E51" s="346" t="s">
        <v>1776</v>
      </c>
      <c r="F51" s="346" t="s">
        <v>1860</v>
      </c>
      <c r="G51" s="347">
        <f>ROUND(5.5%*G41,0)</f>
        <v>0</v>
      </c>
      <c r="H51" s="332">
        <f t="shared" si="2"/>
        <v>0</v>
      </c>
    </row>
    <row r="52" spans="2:9" ht="18" hidden="1">
      <c r="C52" s="346"/>
      <c r="D52" s="347" t="s">
        <v>1861</v>
      </c>
      <c r="E52" s="346" t="s">
        <v>2775</v>
      </c>
      <c r="F52" s="346" t="s">
        <v>2807</v>
      </c>
      <c r="G52" s="347">
        <f>G41+G51</f>
        <v>0</v>
      </c>
      <c r="H52" s="332">
        <f t="shared" si="2"/>
        <v>0</v>
      </c>
    </row>
    <row r="53" spans="2:9" ht="18" hidden="1">
      <c r="C53" s="346" t="s">
        <v>1673</v>
      </c>
      <c r="D53" s="347" t="s">
        <v>1862</v>
      </c>
      <c r="E53" s="346" t="s">
        <v>1863</v>
      </c>
      <c r="F53" s="346" t="s">
        <v>2770</v>
      </c>
      <c r="G53" s="347">
        <f>ROUND(6%*G52,0)</f>
        <v>0</v>
      </c>
      <c r="H53" s="332">
        <f t="shared" si="2"/>
        <v>0</v>
      </c>
    </row>
    <row r="54" spans="2:9" ht="18" hidden="1">
      <c r="B54" s="332" t="str">
        <f>"XL"&amp;B40</f>
        <v>XLTR50</v>
      </c>
      <c r="C54" s="346"/>
      <c r="D54" s="347" t="s">
        <v>1949</v>
      </c>
      <c r="E54" s="346" t="s">
        <v>1866</v>
      </c>
      <c r="F54" s="346" t="s">
        <v>2771</v>
      </c>
      <c r="G54" s="347">
        <f>G52+G53</f>
        <v>0</v>
      </c>
      <c r="H54" s="332">
        <f t="shared" si="2"/>
        <v>0</v>
      </c>
    </row>
    <row r="55" spans="2:9" hidden="1">
      <c r="C55" s="346" t="s">
        <v>1717</v>
      </c>
      <c r="D55" s="347" t="s">
        <v>1867</v>
      </c>
      <c r="E55" s="346" t="s">
        <v>1868</v>
      </c>
      <c r="F55" s="346" t="s">
        <v>1869</v>
      </c>
      <c r="G55" s="347">
        <f>ROUND(10%*G54,0)</f>
        <v>0</v>
      </c>
      <c r="H55" s="332">
        <f t="shared" si="2"/>
        <v>0</v>
      </c>
    </row>
    <row r="56" spans="2:9" ht="18" hidden="1">
      <c r="C56" s="346" t="s">
        <v>1729</v>
      </c>
      <c r="D56" s="347" t="s">
        <v>1950</v>
      </c>
      <c r="E56" s="346" t="s">
        <v>2765</v>
      </c>
      <c r="F56" s="346" t="s">
        <v>1871</v>
      </c>
      <c r="G56" s="347">
        <f>G54+G55</f>
        <v>0</v>
      </c>
      <c r="H56" s="332">
        <f t="shared" si="2"/>
        <v>0</v>
      </c>
    </row>
    <row r="57" spans="2:9" s="334" customFormat="1" hidden="1">
      <c r="B57" s="334" t="s">
        <v>2812</v>
      </c>
      <c r="C57" s="365"/>
      <c r="D57" s="366" t="str">
        <f>VLOOKUP(B57,CTTBA,'7.CT-TBA'!$E$25,0)</f>
        <v>0 Trạm 1 pha 2x25kVA</v>
      </c>
      <c r="E57" s="365"/>
      <c r="F57" s="365"/>
      <c r="G57" s="365"/>
      <c r="H57" s="334">
        <f>IF(SUM(H58:H73)&lt;&gt;0,1,)</f>
        <v>0</v>
      </c>
    </row>
    <row r="58" spans="2:9" hidden="1">
      <c r="C58" s="346" t="s">
        <v>1631</v>
      </c>
      <c r="D58" s="347" t="s">
        <v>1845</v>
      </c>
      <c r="E58" s="346" t="s">
        <v>1846</v>
      </c>
      <c r="F58" s="346" t="s">
        <v>1875</v>
      </c>
      <c r="G58" s="347">
        <f>G59+G62+G65</f>
        <v>0</v>
      </c>
      <c r="H58" s="332">
        <f>IF(G58&lt;&gt;0,1,)</f>
        <v>0</v>
      </c>
    </row>
    <row r="59" spans="2:9" ht="18.600000000000001" hidden="1">
      <c r="C59" s="348">
        <v>1</v>
      </c>
      <c r="D59" s="349" t="s">
        <v>1847</v>
      </c>
      <c r="E59" s="348" t="s">
        <v>1765</v>
      </c>
      <c r="F59" s="348" t="s">
        <v>2753</v>
      </c>
      <c r="G59" s="349">
        <f>G60+G61</f>
        <v>0</v>
      </c>
      <c r="H59" s="332">
        <f>H60</f>
        <v>0</v>
      </c>
    </row>
    <row r="60" spans="2:9" ht="18" hidden="1">
      <c r="B60" s="332" t="str">
        <f>"VL"&amp;B57</f>
        <v>VLTR2X25</v>
      </c>
      <c r="C60" s="350"/>
      <c r="D60" s="351" t="s">
        <v>2579</v>
      </c>
      <c r="E60" s="350" t="s">
        <v>2754</v>
      </c>
      <c r="F60" s="350" t="s">
        <v>1849</v>
      </c>
      <c r="G60" s="351">
        <f>ROUND(VLOOKUP(B60,CTTBA,I60,0),0)</f>
        <v>0</v>
      </c>
      <c r="H60" s="332">
        <f>IF(SUM(H61:H73)&lt;&gt;0,1,)</f>
        <v>0</v>
      </c>
      <c r="I60" s="332">
        <f>'7.CT-TBA'!$N$25</f>
        <v>14</v>
      </c>
    </row>
    <row r="61" spans="2:9" ht="18" hidden="1">
      <c r="C61" s="350"/>
      <c r="D61" s="351" t="s">
        <v>1945</v>
      </c>
      <c r="E61" s="350" t="s">
        <v>2757</v>
      </c>
      <c r="F61" s="350" t="s">
        <v>2779</v>
      </c>
      <c r="G61" s="351"/>
      <c r="H61" s="332">
        <f>IF(G61&lt;&gt;0,1,)</f>
        <v>0</v>
      </c>
    </row>
    <row r="62" spans="2:9" ht="18.600000000000001" hidden="1">
      <c r="C62" s="348">
        <v>2</v>
      </c>
      <c r="D62" s="349" t="s">
        <v>1946</v>
      </c>
      <c r="E62" s="348" t="s">
        <v>1764</v>
      </c>
      <c r="F62" s="348" t="s">
        <v>2759</v>
      </c>
      <c r="G62" s="349">
        <f>G63+G64</f>
        <v>0</v>
      </c>
      <c r="H62" s="332">
        <f>IF(G62&lt;&gt;0,1,)</f>
        <v>0</v>
      </c>
    </row>
    <row r="63" spans="2:9" ht="18" hidden="1">
      <c r="B63" s="332" t="str">
        <f>B60</f>
        <v>VLTR2X25</v>
      </c>
      <c r="C63" s="350"/>
      <c r="D63" s="351" t="s">
        <v>1952</v>
      </c>
      <c r="E63" s="350" t="s">
        <v>2755</v>
      </c>
      <c r="F63" s="350" t="s">
        <v>3288</v>
      </c>
      <c r="G63" s="351">
        <f>ROUND(VLOOKUP(B63,CTTBA,I63,0)*NCTBA,0)</f>
        <v>0</v>
      </c>
      <c r="H63" s="332">
        <f>IF(G63&lt;&gt;0,1,)</f>
        <v>0</v>
      </c>
      <c r="I63" s="332">
        <f>'7.CT-TBA'!$O$25</f>
        <v>15</v>
      </c>
    </row>
    <row r="64" spans="2:9" ht="18" hidden="1">
      <c r="C64" s="350"/>
      <c r="D64" s="351" t="s">
        <v>1951</v>
      </c>
      <c r="E64" s="350" t="s">
        <v>2758</v>
      </c>
      <c r="F64" s="350" t="s">
        <v>3289</v>
      </c>
      <c r="G64" s="351">
        <f>ROUND(VLOOKUP(B57,NCTL,'11.CP-VTTH'!$M$2,0)*NCTBA,0)</f>
        <v>0</v>
      </c>
      <c r="H64" s="332">
        <f>IF(G64&lt;&gt;0,1,)</f>
        <v>0</v>
      </c>
    </row>
    <row r="65" spans="2:9" ht="18.600000000000001" hidden="1">
      <c r="C65" s="348">
        <v>3</v>
      </c>
      <c r="D65" s="349" t="s">
        <v>1855</v>
      </c>
      <c r="E65" s="348" t="s">
        <v>1774</v>
      </c>
      <c r="F65" s="348" t="s">
        <v>2761</v>
      </c>
      <c r="G65" s="349">
        <f>G66+G67</f>
        <v>0</v>
      </c>
      <c r="H65" s="332">
        <f>H66</f>
        <v>0</v>
      </c>
    </row>
    <row r="66" spans="2:9" ht="18" hidden="1">
      <c r="B66" s="332" t="str">
        <f>B60</f>
        <v>VLTR2X25</v>
      </c>
      <c r="C66" s="350"/>
      <c r="D66" s="351" t="s">
        <v>1953</v>
      </c>
      <c r="E66" s="350" t="s">
        <v>2756</v>
      </c>
      <c r="F66" s="350" t="s">
        <v>2766</v>
      </c>
      <c r="G66" s="351">
        <f>ROUND(VLOOKUP(B66,CTTBA,I66,0),0)</f>
        <v>0</v>
      </c>
      <c r="H66" s="332">
        <f>IF(SUM(H67:H73)&lt;&gt;0,1,)</f>
        <v>0</v>
      </c>
      <c r="I66" s="332">
        <f>'7.CT-TBA'!$P$25</f>
        <v>16</v>
      </c>
    </row>
    <row r="67" spans="2:9" ht="18" hidden="1">
      <c r="C67" s="350"/>
      <c r="D67" s="351" t="s">
        <v>1954</v>
      </c>
      <c r="E67" s="350" t="s">
        <v>2760</v>
      </c>
      <c r="F67" s="350" t="s">
        <v>2767</v>
      </c>
      <c r="G67" s="351">
        <f>ROUND(VLOOKUP(B57,NCTL,'11.CP-VTTH'!$N$2,0),0)</f>
        <v>0</v>
      </c>
      <c r="H67" s="332">
        <f t="shared" ref="H67:H73" si="3">IF(G67&lt;&gt;0,1,)</f>
        <v>0</v>
      </c>
    </row>
    <row r="68" spans="2:9" hidden="1">
      <c r="C68" s="346" t="s">
        <v>1663</v>
      </c>
      <c r="D68" s="347" t="s">
        <v>1858</v>
      </c>
      <c r="E68" s="346" t="s">
        <v>1776</v>
      </c>
      <c r="F68" s="346" t="s">
        <v>1860</v>
      </c>
      <c r="G68" s="347">
        <f>ROUND(5.5%*G58,0)</f>
        <v>0</v>
      </c>
      <c r="H68" s="332">
        <f t="shared" si="3"/>
        <v>0</v>
      </c>
    </row>
    <row r="69" spans="2:9" ht="18" hidden="1">
      <c r="C69" s="346"/>
      <c r="D69" s="347" t="s">
        <v>1861</v>
      </c>
      <c r="E69" s="346" t="s">
        <v>2775</v>
      </c>
      <c r="F69" s="346" t="s">
        <v>2807</v>
      </c>
      <c r="G69" s="347">
        <f>G58+G68</f>
        <v>0</v>
      </c>
      <c r="H69" s="332">
        <f t="shared" si="3"/>
        <v>0</v>
      </c>
    </row>
    <row r="70" spans="2:9" ht="18" hidden="1">
      <c r="C70" s="346" t="s">
        <v>1673</v>
      </c>
      <c r="D70" s="347" t="s">
        <v>1862</v>
      </c>
      <c r="E70" s="346" t="s">
        <v>1863</v>
      </c>
      <c r="F70" s="346" t="s">
        <v>2770</v>
      </c>
      <c r="G70" s="347">
        <f>ROUND(6%*G69,0)</f>
        <v>0</v>
      </c>
      <c r="H70" s="332">
        <f t="shared" si="3"/>
        <v>0</v>
      </c>
    </row>
    <row r="71" spans="2:9" ht="18" hidden="1">
      <c r="B71" s="332" t="str">
        <f>"XL"&amp;B57</f>
        <v>XLTR2X25</v>
      </c>
      <c r="C71" s="346"/>
      <c r="D71" s="347" t="s">
        <v>1949</v>
      </c>
      <c r="E71" s="346" t="s">
        <v>1866</v>
      </c>
      <c r="F71" s="346" t="s">
        <v>2771</v>
      </c>
      <c r="G71" s="347">
        <f>G69+G70</f>
        <v>0</v>
      </c>
      <c r="H71" s="332">
        <f t="shared" si="3"/>
        <v>0</v>
      </c>
    </row>
    <row r="72" spans="2:9" hidden="1">
      <c r="C72" s="346" t="s">
        <v>1717</v>
      </c>
      <c r="D72" s="347" t="s">
        <v>1867</v>
      </c>
      <c r="E72" s="346" t="s">
        <v>1868</v>
      </c>
      <c r="F72" s="346" t="s">
        <v>1869</v>
      </c>
      <c r="G72" s="347">
        <f>ROUND(10%*G71,0)</f>
        <v>0</v>
      </c>
      <c r="H72" s="332">
        <f t="shared" si="3"/>
        <v>0</v>
      </c>
    </row>
    <row r="73" spans="2:9" ht="18" hidden="1">
      <c r="C73" s="346" t="s">
        <v>1729</v>
      </c>
      <c r="D73" s="347" t="s">
        <v>1950</v>
      </c>
      <c r="E73" s="346" t="s">
        <v>2765</v>
      </c>
      <c r="F73" s="346" t="s">
        <v>1871</v>
      </c>
      <c r="G73" s="347">
        <f>G71+G72</f>
        <v>0</v>
      </c>
      <c r="H73" s="332">
        <f t="shared" si="3"/>
        <v>0</v>
      </c>
    </row>
    <row r="74" spans="2:9" s="334" customFormat="1">
      <c r="B74" s="334" t="s">
        <v>2071</v>
      </c>
      <c r="C74" s="365"/>
      <c r="D74" s="366" t="str">
        <f>VLOOKUP(B74,CTTBA,'7.CT-TBA'!$E$25,0)</f>
        <v>3 Trạm 1 pha 75kVA</v>
      </c>
      <c r="E74" s="365"/>
      <c r="F74" s="365"/>
      <c r="G74" s="365"/>
      <c r="H74" s="334">
        <f>IF(SUM(H75:H90)&lt;&gt;0,1,)</f>
        <v>1</v>
      </c>
    </row>
    <row r="75" spans="2:9">
      <c r="C75" s="346" t="s">
        <v>1631</v>
      </c>
      <c r="D75" s="347" t="s">
        <v>1845</v>
      </c>
      <c r="E75" s="346" t="s">
        <v>1846</v>
      </c>
      <c r="F75" s="346" t="s">
        <v>1875</v>
      </c>
      <c r="G75" s="347">
        <f>G76+G79+G82</f>
        <v>14893783</v>
      </c>
      <c r="H75" s="332">
        <f>IF(G75&lt;&gt;0,1,)</f>
        <v>1</v>
      </c>
    </row>
    <row r="76" spans="2:9" ht="18.600000000000001">
      <c r="C76" s="348">
        <v>1</v>
      </c>
      <c r="D76" s="349" t="s">
        <v>1847</v>
      </c>
      <c r="E76" s="348" t="s">
        <v>1765</v>
      </c>
      <c r="F76" s="348" t="s">
        <v>2753</v>
      </c>
      <c r="G76" s="349">
        <f>G77+G78</f>
        <v>0</v>
      </c>
      <c r="H76" s="332">
        <f>H77</f>
        <v>1</v>
      </c>
    </row>
    <row r="77" spans="2:9" ht="18">
      <c r="B77" s="332" t="str">
        <f>"VL"&amp;B74</f>
        <v>VLTR75</v>
      </c>
      <c r="C77" s="350"/>
      <c r="D77" s="351" t="s">
        <v>2579</v>
      </c>
      <c r="E77" s="350" t="s">
        <v>2754</v>
      </c>
      <c r="F77" s="350" t="s">
        <v>1849</v>
      </c>
      <c r="G77" s="351">
        <f>ROUND(VLOOKUP(B77,CTTBA,I77,0),0)</f>
        <v>0</v>
      </c>
      <c r="H77" s="332">
        <f>IF(SUM(H78:H90)&lt;&gt;0,1,)</f>
        <v>1</v>
      </c>
      <c r="I77" s="332">
        <f>'7.CT-TBA'!$N$25</f>
        <v>14</v>
      </c>
    </row>
    <row r="78" spans="2:9" ht="18" hidden="1">
      <c r="C78" s="350"/>
      <c r="D78" s="351" t="s">
        <v>1945</v>
      </c>
      <c r="E78" s="350" t="s">
        <v>2757</v>
      </c>
      <c r="F78" s="350" t="s">
        <v>2779</v>
      </c>
      <c r="G78" s="351"/>
      <c r="H78" s="332">
        <f t="shared" ref="H78:H90" si="4">IF(G78&lt;&gt;0,1,)</f>
        <v>0</v>
      </c>
    </row>
    <row r="79" spans="2:9" ht="18.600000000000001">
      <c r="C79" s="348">
        <v>2</v>
      </c>
      <c r="D79" s="349" t="s">
        <v>1946</v>
      </c>
      <c r="E79" s="348" t="s">
        <v>1764</v>
      </c>
      <c r="F79" s="348" t="s">
        <v>2759</v>
      </c>
      <c r="G79" s="349">
        <f>G80+G81</f>
        <v>14449679</v>
      </c>
      <c r="H79" s="332">
        <f t="shared" si="4"/>
        <v>1</v>
      </c>
    </row>
    <row r="80" spans="2:9" ht="18">
      <c r="B80" s="332" t="str">
        <f>B77</f>
        <v>VLTR75</v>
      </c>
      <c r="C80" s="350"/>
      <c r="D80" s="351" t="s">
        <v>1952</v>
      </c>
      <c r="E80" s="350" t="s">
        <v>2755</v>
      </c>
      <c r="F80" s="350" t="s">
        <v>3377</v>
      </c>
      <c r="G80" s="351">
        <f>ROUND(VLOOKUP(B80,CTTBA,I80,0)*NCTBA,0)</f>
        <v>14449679</v>
      </c>
      <c r="H80" s="332">
        <f t="shared" si="4"/>
        <v>1</v>
      </c>
      <c r="I80" s="332">
        <f>'7.CT-TBA'!$O$25</f>
        <v>15</v>
      </c>
    </row>
    <row r="81" spans="2:9" ht="18" hidden="1">
      <c r="C81" s="350"/>
      <c r="D81" s="351" t="s">
        <v>1951</v>
      </c>
      <c r="E81" s="350" t="s">
        <v>2758</v>
      </c>
      <c r="F81" s="350" t="s">
        <v>3289</v>
      </c>
      <c r="G81" s="351">
        <f>ROUND(VLOOKUP(B74,NCTL,'11.CP-VTTH'!$M$2,0)*NCTBA,0)</f>
        <v>0</v>
      </c>
      <c r="H81" s="332">
        <f t="shared" si="4"/>
        <v>0</v>
      </c>
    </row>
    <row r="82" spans="2:9" ht="18.600000000000001">
      <c r="C82" s="348">
        <v>3</v>
      </c>
      <c r="D82" s="349" t="s">
        <v>1855</v>
      </c>
      <c r="E82" s="348" t="s">
        <v>1774</v>
      </c>
      <c r="F82" s="348" t="s">
        <v>2761</v>
      </c>
      <c r="G82" s="349">
        <f>G83+G84</f>
        <v>444104</v>
      </c>
      <c r="H82" s="332">
        <f>H83</f>
        <v>1</v>
      </c>
    </row>
    <row r="83" spans="2:9" ht="18">
      <c r="B83" s="332" t="str">
        <f>B77</f>
        <v>VLTR75</v>
      </c>
      <c r="C83" s="350"/>
      <c r="D83" s="351" t="s">
        <v>1953</v>
      </c>
      <c r="E83" s="350" t="s">
        <v>2756</v>
      </c>
      <c r="F83" s="350" t="s">
        <v>2766</v>
      </c>
      <c r="G83" s="351">
        <f>ROUND(VLOOKUP(B83,CTTBA,I83,0),0)</f>
        <v>444104</v>
      </c>
      <c r="H83" s="332">
        <f>IF(SUM(H84:H90)&lt;&gt;0,1,)</f>
        <v>1</v>
      </c>
      <c r="I83" s="332">
        <f>'7.CT-TBA'!$P$25</f>
        <v>16</v>
      </c>
    </row>
    <row r="84" spans="2:9" ht="18" hidden="1">
      <c r="C84" s="350"/>
      <c r="D84" s="351" t="s">
        <v>1954</v>
      </c>
      <c r="E84" s="350" t="s">
        <v>2760</v>
      </c>
      <c r="F84" s="350" t="s">
        <v>2767</v>
      </c>
      <c r="G84" s="351">
        <f>ROUND(VLOOKUP(B74,NCTL,'11.CP-VTTH'!$N$2,0),0)</f>
        <v>0</v>
      </c>
      <c r="H84" s="332">
        <f t="shared" si="4"/>
        <v>0</v>
      </c>
    </row>
    <row r="85" spans="2:9">
      <c r="C85" s="346" t="s">
        <v>1663</v>
      </c>
      <c r="D85" s="347" t="s">
        <v>1858</v>
      </c>
      <c r="E85" s="346" t="s">
        <v>1776</v>
      </c>
      <c r="F85" s="346" t="s">
        <v>1860</v>
      </c>
      <c r="G85" s="347">
        <f>ROUND(5.5%*G75,0)</f>
        <v>819158</v>
      </c>
      <c r="H85" s="332">
        <f t="shared" si="4"/>
        <v>1</v>
      </c>
    </row>
    <row r="86" spans="2:9" ht="18">
      <c r="C86" s="346"/>
      <c r="D86" s="347" t="s">
        <v>1861</v>
      </c>
      <c r="E86" s="346" t="s">
        <v>2775</v>
      </c>
      <c r="F86" s="346" t="s">
        <v>2807</v>
      </c>
      <c r="G86" s="347">
        <f>G75+G85</f>
        <v>15712941</v>
      </c>
      <c r="H86" s="332">
        <f t="shared" si="4"/>
        <v>1</v>
      </c>
    </row>
    <row r="87" spans="2:9" ht="18">
      <c r="C87" s="346" t="s">
        <v>1673</v>
      </c>
      <c r="D87" s="347" t="s">
        <v>1862</v>
      </c>
      <c r="E87" s="346" t="s">
        <v>1863</v>
      </c>
      <c r="F87" s="346" t="s">
        <v>2770</v>
      </c>
      <c r="G87" s="347">
        <f>ROUND(6%*G86,0)</f>
        <v>942776</v>
      </c>
      <c r="H87" s="332">
        <f t="shared" si="4"/>
        <v>1</v>
      </c>
    </row>
    <row r="88" spans="2:9" ht="18">
      <c r="B88" s="332" t="str">
        <f>"XL"&amp;B74</f>
        <v>XLTR75</v>
      </c>
      <c r="C88" s="634"/>
      <c r="D88" s="635" t="s">
        <v>1949</v>
      </c>
      <c r="E88" s="634" t="s">
        <v>1866</v>
      </c>
      <c r="F88" s="634" t="s">
        <v>2771</v>
      </c>
      <c r="G88" s="635">
        <f>G86+G87</f>
        <v>16655717</v>
      </c>
      <c r="H88" s="332">
        <f t="shared" si="4"/>
        <v>1</v>
      </c>
    </row>
    <row r="89" spans="2:9">
      <c r="C89" s="346" t="s">
        <v>1717</v>
      </c>
      <c r="D89" s="347" t="s">
        <v>1867</v>
      </c>
      <c r="E89" s="346" t="s">
        <v>1868</v>
      </c>
      <c r="F89" s="346" t="s">
        <v>1869</v>
      </c>
      <c r="G89" s="347">
        <f>ROUND(10%*G88,0)</f>
        <v>1665572</v>
      </c>
      <c r="H89" s="332">
        <f t="shared" si="4"/>
        <v>1</v>
      </c>
    </row>
    <row r="90" spans="2:9" ht="18">
      <c r="C90" s="346" t="s">
        <v>1729</v>
      </c>
      <c r="D90" s="347" t="s">
        <v>1950</v>
      </c>
      <c r="E90" s="346" t="s">
        <v>2765</v>
      </c>
      <c r="F90" s="346" t="s">
        <v>1871</v>
      </c>
      <c r="G90" s="347">
        <f>G88+G89</f>
        <v>18321289</v>
      </c>
      <c r="H90" s="332">
        <f t="shared" si="4"/>
        <v>1</v>
      </c>
    </row>
    <row r="91" spans="2:9" s="334" customFormat="1" hidden="1">
      <c r="B91" s="334" t="s">
        <v>2813</v>
      </c>
      <c r="C91" s="365"/>
      <c r="D91" s="366" t="str">
        <f>VLOOKUP(B91,CTTBA,'7.CT-TBA'!$E$25,0)</f>
        <v>0 Trạm 1 pha 2x37,5kVA</v>
      </c>
      <c r="E91" s="365"/>
      <c r="F91" s="365"/>
      <c r="G91" s="365"/>
      <c r="H91" s="334">
        <f>IF(SUM(H92:H107)&lt;&gt;0,1,)</f>
        <v>0</v>
      </c>
    </row>
    <row r="92" spans="2:9" hidden="1">
      <c r="C92" s="346" t="s">
        <v>1631</v>
      </c>
      <c r="D92" s="347" t="s">
        <v>1845</v>
      </c>
      <c r="E92" s="346" t="s">
        <v>1846</v>
      </c>
      <c r="F92" s="346" t="s">
        <v>1875</v>
      </c>
      <c r="G92" s="347">
        <f>G93+G96+G99</f>
        <v>0</v>
      </c>
      <c r="H92" s="332">
        <f>IF(G92&lt;&gt;0,1,)</f>
        <v>0</v>
      </c>
    </row>
    <row r="93" spans="2:9" ht="18.600000000000001" hidden="1">
      <c r="C93" s="348">
        <v>1</v>
      </c>
      <c r="D93" s="349" t="s">
        <v>1847</v>
      </c>
      <c r="E93" s="348" t="s">
        <v>1765</v>
      </c>
      <c r="F93" s="348" t="s">
        <v>2753</v>
      </c>
      <c r="G93" s="349">
        <f>G94+G95</f>
        <v>0</v>
      </c>
      <c r="H93" s="332">
        <f>H94</f>
        <v>0</v>
      </c>
    </row>
    <row r="94" spans="2:9" ht="18" hidden="1">
      <c r="B94" s="332" t="str">
        <f>"VL"&amp;B91</f>
        <v>VLTR2X375</v>
      </c>
      <c r="C94" s="350"/>
      <c r="D94" s="351" t="s">
        <v>2579</v>
      </c>
      <c r="E94" s="350" t="s">
        <v>2754</v>
      </c>
      <c r="F94" s="350" t="s">
        <v>1849</v>
      </c>
      <c r="G94" s="351">
        <f>ROUND(VLOOKUP(B94,CTTBA,I94,0),0)</f>
        <v>0</v>
      </c>
      <c r="H94" s="332">
        <f>IF(SUM(H95:H107)&lt;&gt;0,1,)</f>
        <v>0</v>
      </c>
      <c r="I94" s="332">
        <f>'7.CT-TBA'!$N$25</f>
        <v>14</v>
      </c>
    </row>
    <row r="95" spans="2:9" ht="18" hidden="1">
      <c r="C95" s="350"/>
      <c r="D95" s="351" t="s">
        <v>1945</v>
      </c>
      <c r="E95" s="350" t="s">
        <v>2757</v>
      </c>
      <c r="F95" s="350" t="s">
        <v>2779</v>
      </c>
      <c r="G95" s="351"/>
      <c r="H95" s="332">
        <f>IF(G95&lt;&gt;0,1,)</f>
        <v>0</v>
      </c>
    </row>
    <row r="96" spans="2:9" ht="18.600000000000001" hidden="1">
      <c r="C96" s="348">
        <v>2</v>
      </c>
      <c r="D96" s="349" t="s">
        <v>1946</v>
      </c>
      <c r="E96" s="348" t="s">
        <v>1764</v>
      </c>
      <c r="F96" s="348" t="s">
        <v>2759</v>
      </c>
      <c r="G96" s="349">
        <f>G97+G98</f>
        <v>0</v>
      </c>
      <c r="H96" s="332">
        <f>IF(G96&lt;&gt;0,1,)</f>
        <v>0</v>
      </c>
    </row>
    <row r="97" spans="2:9" ht="18" hidden="1">
      <c r="B97" s="332" t="str">
        <f>B94</f>
        <v>VLTR2X375</v>
      </c>
      <c r="C97" s="350"/>
      <c r="D97" s="351" t="s">
        <v>1952</v>
      </c>
      <c r="E97" s="350" t="s">
        <v>2755</v>
      </c>
      <c r="F97" s="350" t="s">
        <v>3288</v>
      </c>
      <c r="G97" s="351">
        <f>ROUND(VLOOKUP(B97,CTTBA,I97,0)*NCTBA,0)</f>
        <v>0</v>
      </c>
      <c r="H97" s="332">
        <f>IF(G97&lt;&gt;0,1,)</f>
        <v>0</v>
      </c>
      <c r="I97" s="332">
        <f>'7.CT-TBA'!$O$25</f>
        <v>15</v>
      </c>
    </row>
    <row r="98" spans="2:9" ht="18" hidden="1">
      <c r="C98" s="350"/>
      <c r="D98" s="351" t="s">
        <v>1951</v>
      </c>
      <c r="E98" s="350" t="s">
        <v>2758</v>
      </c>
      <c r="F98" s="350" t="s">
        <v>3289</v>
      </c>
      <c r="G98" s="351">
        <f>ROUND(VLOOKUP(B91,NCTL,'11.CP-VTTH'!$M$2,0)*NCTBA,0)</f>
        <v>0</v>
      </c>
      <c r="H98" s="332">
        <f>IF(G98&lt;&gt;0,1,)</f>
        <v>0</v>
      </c>
    </row>
    <row r="99" spans="2:9" ht="18.600000000000001" hidden="1">
      <c r="C99" s="348">
        <v>3</v>
      </c>
      <c r="D99" s="349" t="s">
        <v>1855</v>
      </c>
      <c r="E99" s="348" t="s">
        <v>1774</v>
      </c>
      <c r="F99" s="348" t="s">
        <v>2761</v>
      </c>
      <c r="G99" s="349">
        <f>G100+G101</f>
        <v>0</v>
      </c>
      <c r="H99" s="332">
        <f>H100</f>
        <v>0</v>
      </c>
    </row>
    <row r="100" spans="2:9" ht="18" hidden="1">
      <c r="B100" s="332" t="str">
        <f>B94</f>
        <v>VLTR2X375</v>
      </c>
      <c r="C100" s="350"/>
      <c r="D100" s="351" t="s">
        <v>1953</v>
      </c>
      <c r="E100" s="350" t="s">
        <v>2756</v>
      </c>
      <c r="F100" s="350" t="s">
        <v>2766</v>
      </c>
      <c r="G100" s="351">
        <f>ROUND(VLOOKUP(B100,CTTBA,I100,0),0)</f>
        <v>0</v>
      </c>
      <c r="H100" s="332">
        <f>IF(SUM(H101:H107)&lt;&gt;0,1,)</f>
        <v>0</v>
      </c>
      <c r="I100" s="332">
        <f>'7.CT-TBA'!$P$25</f>
        <v>16</v>
      </c>
    </row>
    <row r="101" spans="2:9" ht="18" hidden="1">
      <c r="C101" s="350"/>
      <c r="D101" s="351" t="s">
        <v>1954</v>
      </c>
      <c r="E101" s="350" t="s">
        <v>2760</v>
      </c>
      <c r="F101" s="350" t="s">
        <v>2767</v>
      </c>
      <c r="G101" s="351">
        <f>ROUND(VLOOKUP(B91,NCTL,'11.CP-VTTH'!$N$2,0),0)</f>
        <v>0</v>
      </c>
      <c r="H101" s="332">
        <f t="shared" ref="H101:H107" si="5">IF(G101&lt;&gt;0,1,)</f>
        <v>0</v>
      </c>
    </row>
    <row r="102" spans="2:9" hidden="1">
      <c r="C102" s="346" t="s">
        <v>1663</v>
      </c>
      <c r="D102" s="347" t="s">
        <v>1858</v>
      </c>
      <c r="E102" s="346" t="s">
        <v>1776</v>
      </c>
      <c r="F102" s="346" t="s">
        <v>1860</v>
      </c>
      <c r="G102" s="347">
        <f>ROUND(5.5%*G92,0)</f>
        <v>0</v>
      </c>
      <c r="H102" s="332">
        <f t="shared" si="5"/>
        <v>0</v>
      </c>
    </row>
    <row r="103" spans="2:9" ht="18" hidden="1">
      <c r="C103" s="346"/>
      <c r="D103" s="347" t="s">
        <v>1861</v>
      </c>
      <c r="E103" s="346" t="s">
        <v>2775</v>
      </c>
      <c r="F103" s="346" t="s">
        <v>2807</v>
      </c>
      <c r="G103" s="347">
        <f>G92+G102</f>
        <v>0</v>
      </c>
      <c r="H103" s="332">
        <f t="shared" si="5"/>
        <v>0</v>
      </c>
    </row>
    <row r="104" spans="2:9" ht="18" hidden="1">
      <c r="C104" s="346" t="s">
        <v>1673</v>
      </c>
      <c r="D104" s="347" t="s">
        <v>1862</v>
      </c>
      <c r="E104" s="346" t="s">
        <v>1863</v>
      </c>
      <c r="F104" s="346" t="s">
        <v>2770</v>
      </c>
      <c r="G104" s="347">
        <f>ROUND(6%*G103,0)</f>
        <v>0</v>
      </c>
      <c r="H104" s="332">
        <f t="shared" si="5"/>
        <v>0</v>
      </c>
    </row>
    <row r="105" spans="2:9" ht="18" hidden="1">
      <c r="B105" s="332" t="str">
        <f>"XL"&amp;B91</f>
        <v>XLTR2X375</v>
      </c>
      <c r="C105" s="346"/>
      <c r="D105" s="347" t="s">
        <v>1949</v>
      </c>
      <c r="E105" s="346" t="s">
        <v>1866</v>
      </c>
      <c r="F105" s="346" t="s">
        <v>2771</v>
      </c>
      <c r="G105" s="347">
        <f>G103+G104</f>
        <v>0</v>
      </c>
      <c r="H105" s="332">
        <f t="shared" si="5"/>
        <v>0</v>
      </c>
    </row>
    <row r="106" spans="2:9" hidden="1">
      <c r="C106" s="346" t="s">
        <v>1717</v>
      </c>
      <c r="D106" s="347" t="s">
        <v>1867</v>
      </c>
      <c r="E106" s="346" t="s">
        <v>1868</v>
      </c>
      <c r="F106" s="346" t="s">
        <v>1869</v>
      </c>
      <c r="G106" s="347">
        <f>ROUND(10%*G105,0)</f>
        <v>0</v>
      </c>
      <c r="H106" s="332">
        <f t="shared" si="5"/>
        <v>0</v>
      </c>
    </row>
    <row r="107" spans="2:9" ht="18" hidden="1">
      <c r="C107" s="346" t="s">
        <v>1729</v>
      </c>
      <c r="D107" s="347" t="s">
        <v>1950</v>
      </c>
      <c r="E107" s="346" t="s">
        <v>2765</v>
      </c>
      <c r="F107" s="346" t="s">
        <v>1871</v>
      </c>
      <c r="G107" s="347">
        <f>G105+G106</f>
        <v>0</v>
      </c>
      <c r="H107" s="332">
        <f t="shared" si="5"/>
        <v>0</v>
      </c>
    </row>
    <row r="108" spans="2:9" s="334" customFormat="1" hidden="1">
      <c r="B108" s="334" t="s">
        <v>2073</v>
      </c>
      <c r="C108" s="365"/>
      <c r="D108" s="366" t="str">
        <f>VLOOKUP(B108,CTTBA,'7.CT-TBA'!$E$25,0)</f>
        <v>0 Trạm 1 pha 100kVA</v>
      </c>
      <c r="E108" s="365"/>
      <c r="F108" s="365"/>
      <c r="G108" s="365"/>
      <c r="H108" s="334">
        <f>IF(SUM(H109:H124)&lt;&gt;0,1,)</f>
        <v>0</v>
      </c>
    </row>
    <row r="109" spans="2:9" hidden="1">
      <c r="C109" s="346" t="s">
        <v>1631</v>
      </c>
      <c r="D109" s="347" t="s">
        <v>1845</v>
      </c>
      <c r="E109" s="346" t="s">
        <v>1846</v>
      </c>
      <c r="F109" s="346" t="s">
        <v>1875</v>
      </c>
      <c r="G109" s="347">
        <f>G110+G113+G116</f>
        <v>0</v>
      </c>
      <c r="H109" s="332">
        <f>IF(G109&lt;&gt;0,1,)</f>
        <v>0</v>
      </c>
    </row>
    <row r="110" spans="2:9" ht="18.600000000000001" hidden="1">
      <c r="C110" s="348">
        <v>1</v>
      </c>
      <c r="D110" s="349" t="s">
        <v>1847</v>
      </c>
      <c r="E110" s="348" t="s">
        <v>1765</v>
      </c>
      <c r="F110" s="348" t="s">
        <v>2753</v>
      </c>
      <c r="G110" s="349">
        <f>G111+G112</f>
        <v>0</v>
      </c>
      <c r="H110" s="332">
        <f>H111</f>
        <v>0</v>
      </c>
    </row>
    <row r="111" spans="2:9" ht="18" hidden="1">
      <c r="B111" s="332" t="str">
        <f>"VL"&amp;B108</f>
        <v>VLTR100</v>
      </c>
      <c r="C111" s="350"/>
      <c r="D111" s="351" t="s">
        <v>2579</v>
      </c>
      <c r="E111" s="350" t="s">
        <v>2754</v>
      </c>
      <c r="F111" s="350" t="s">
        <v>1849</v>
      </c>
      <c r="G111" s="351">
        <f>ROUND(VLOOKUP(B111,CTTBA,I111,0),0)</f>
        <v>0</v>
      </c>
      <c r="H111" s="332">
        <f>IF(SUM(H112:H124)&lt;&gt;0,1,)</f>
        <v>0</v>
      </c>
      <c r="I111" s="332">
        <f>'7.CT-TBA'!$N$25</f>
        <v>14</v>
      </c>
    </row>
    <row r="112" spans="2:9" ht="18" hidden="1">
      <c r="C112" s="350"/>
      <c r="D112" s="351" t="s">
        <v>1945</v>
      </c>
      <c r="E112" s="350" t="s">
        <v>2757</v>
      </c>
      <c r="F112" s="350" t="s">
        <v>2779</v>
      </c>
      <c r="G112" s="351"/>
      <c r="H112" s="332">
        <f t="shared" ref="H112:H124" si="6">IF(G112&lt;&gt;0,1,)</f>
        <v>0</v>
      </c>
    </row>
    <row r="113" spans="2:9" ht="18.600000000000001" hidden="1">
      <c r="C113" s="348">
        <v>2</v>
      </c>
      <c r="D113" s="349" t="s">
        <v>1946</v>
      </c>
      <c r="E113" s="348" t="s">
        <v>1764</v>
      </c>
      <c r="F113" s="348" t="s">
        <v>2759</v>
      </c>
      <c r="G113" s="349">
        <f>G114+G115</f>
        <v>0</v>
      </c>
      <c r="H113" s="332">
        <f t="shared" si="6"/>
        <v>0</v>
      </c>
    </row>
    <row r="114" spans="2:9" ht="18" hidden="1">
      <c r="B114" s="332" t="str">
        <f>B111</f>
        <v>VLTR100</v>
      </c>
      <c r="C114" s="350"/>
      <c r="D114" s="351" t="s">
        <v>1952</v>
      </c>
      <c r="E114" s="350" t="s">
        <v>2755</v>
      </c>
      <c r="F114" s="350" t="s">
        <v>3288</v>
      </c>
      <c r="G114" s="351">
        <f>ROUND(VLOOKUP(B114,CTTBA,I114,0)*NCTBA,0)</f>
        <v>0</v>
      </c>
      <c r="H114" s="332">
        <f t="shared" si="6"/>
        <v>0</v>
      </c>
      <c r="I114" s="332">
        <f>'7.CT-TBA'!$O$25</f>
        <v>15</v>
      </c>
    </row>
    <row r="115" spans="2:9" ht="18" hidden="1">
      <c r="C115" s="350"/>
      <c r="D115" s="351" t="s">
        <v>1951</v>
      </c>
      <c r="E115" s="350" t="s">
        <v>2758</v>
      </c>
      <c r="F115" s="350" t="s">
        <v>3289</v>
      </c>
      <c r="G115" s="351">
        <f>ROUND(VLOOKUP(B108,NCTL,'11.CP-VTTH'!$M$2,0)*NCTBA,0)</f>
        <v>0</v>
      </c>
      <c r="H115" s="332">
        <f t="shared" si="6"/>
        <v>0</v>
      </c>
    </row>
    <row r="116" spans="2:9" ht="18.600000000000001" hidden="1">
      <c r="C116" s="348">
        <v>3</v>
      </c>
      <c r="D116" s="349" t="s">
        <v>1855</v>
      </c>
      <c r="E116" s="348" t="s">
        <v>1774</v>
      </c>
      <c r="F116" s="348" t="s">
        <v>2761</v>
      </c>
      <c r="G116" s="349">
        <f>G117+G118</f>
        <v>0</v>
      </c>
      <c r="H116" s="332">
        <f>H117</f>
        <v>0</v>
      </c>
    </row>
    <row r="117" spans="2:9" ht="18" hidden="1">
      <c r="B117" s="332" t="str">
        <f>B111</f>
        <v>VLTR100</v>
      </c>
      <c r="C117" s="350"/>
      <c r="D117" s="351" t="s">
        <v>1953</v>
      </c>
      <c r="E117" s="350" t="s">
        <v>2756</v>
      </c>
      <c r="F117" s="350" t="s">
        <v>2766</v>
      </c>
      <c r="G117" s="351">
        <f>ROUND(VLOOKUP(B117,CTTBA,I117,0),0)</f>
        <v>0</v>
      </c>
      <c r="H117" s="332">
        <f>IF(SUM(H118:H124)&lt;&gt;0,1,)</f>
        <v>0</v>
      </c>
      <c r="I117" s="332">
        <f>'7.CT-TBA'!$P$25</f>
        <v>16</v>
      </c>
    </row>
    <row r="118" spans="2:9" ht="18" hidden="1">
      <c r="C118" s="350"/>
      <c r="D118" s="351" t="s">
        <v>1954</v>
      </c>
      <c r="E118" s="350" t="s">
        <v>2760</v>
      </c>
      <c r="F118" s="350" t="s">
        <v>2767</v>
      </c>
      <c r="G118" s="351">
        <f>ROUND(VLOOKUP(B108,NCTL,'11.CP-VTTH'!$N$2,0),0)</f>
        <v>0</v>
      </c>
      <c r="H118" s="332">
        <f t="shared" si="6"/>
        <v>0</v>
      </c>
    </row>
    <row r="119" spans="2:9" hidden="1">
      <c r="C119" s="346" t="s">
        <v>1663</v>
      </c>
      <c r="D119" s="347" t="s">
        <v>1858</v>
      </c>
      <c r="E119" s="346" t="s">
        <v>1776</v>
      </c>
      <c r="F119" s="346" t="s">
        <v>1860</v>
      </c>
      <c r="G119" s="347">
        <f>ROUND(5.5%*G109,0)</f>
        <v>0</v>
      </c>
      <c r="H119" s="332">
        <f t="shared" si="6"/>
        <v>0</v>
      </c>
    </row>
    <row r="120" spans="2:9" ht="18" hidden="1">
      <c r="C120" s="346"/>
      <c r="D120" s="347" t="s">
        <v>1861</v>
      </c>
      <c r="E120" s="346" t="s">
        <v>2775</v>
      </c>
      <c r="F120" s="346" t="s">
        <v>2807</v>
      </c>
      <c r="G120" s="347">
        <f>G109+G119</f>
        <v>0</v>
      </c>
      <c r="H120" s="332">
        <f t="shared" si="6"/>
        <v>0</v>
      </c>
    </row>
    <row r="121" spans="2:9" ht="18" hidden="1">
      <c r="C121" s="346" t="s">
        <v>1673</v>
      </c>
      <c r="D121" s="347" t="s">
        <v>1862</v>
      </c>
      <c r="E121" s="346" t="s">
        <v>1863</v>
      </c>
      <c r="F121" s="346" t="s">
        <v>2770</v>
      </c>
      <c r="G121" s="347">
        <f>ROUND(6%*G120,0)</f>
        <v>0</v>
      </c>
      <c r="H121" s="332">
        <f t="shared" si="6"/>
        <v>0</v>
      </c>
    </row>
    <row r="122" spans="2:9" ht="18" hidden="1">
      <c r="B122" s="332" t="str">
        <f>"XL"&amp;B108</f>
        <v>XLTR100</v>
      </c>
      <c r="C122" s="346"/>
      <c r="D122" s="347" t="s">
        <v>1949</v>
      </c>
      <c r="E122" s="346" t="s">
        <v>1866</v>
      </c>
      <c r="F122" s="346" t="s">
        <v>2771</v>
      </c>
      <c r="G122" s="347">
        <f>G120+G121</f>
        <v>0</v>
      </c>
      <c r="H122" s="332">
        <f t="shared" si="6"/>
        <v>0</v>
      </c>
    </row>
    <row r="123" spans="2:9" hidden="1">
      <c r="C123" s="346" t="s">
        <v>1717</v>
      </c>
      <c r="D123" s="347" t="s">
        <v>1867</v>
      </c>
      <c r="E123" s="346" t="s">
        <v>1868</v>
      </c>
      <c r="F123" s="346" t="s">
        <v>1869</v>
      </c>
      <c r="G123" s="347">
        <f>ROUND(10%*G122,0)</f>
        <v>0</v>
      </c>
      <c r="H123" s="332">
        <f t="shared" si="6"/>
        <v>0</v>
      </c>
    </row>
    <row r="124" spans="2:9" ht="18" hidden="1">
      <c r="C124" s="346" t="s">
        <v>1729</v>
      </c>
      <c r="D124" s="347" t="s">
        <v>1950</v>
      </c>
      <c r="E124" s="346" t="s">
        <v>2765</v>
      </c>
      <c r="F124" s="346" t="s">
        <v>1871</v>
      </c>
      <c r="G124" s="347">
        <f>G122+G123</f>
        <v>0</v>
      </c>
      <c r="H124" s="332">
        <f t="shared" si="6"/>
        <v>0</v>
      </c>
    </row>
    <row r="125" spans="2:9" s="334" customFormat="1" hidden="1">
      <c r="B125" s="334" t="s">
        <v>2076</v>
      </c>
      <c r="C125" s="365"/>
      <c r="D125" s="366" t="str">
        <f>VLOOKUP(B125,CTTBA,'7.CT-TBA'!$E$25,0)</f>
        <v>0 Trạm 3 pha 3x25kVA</v>
      </c>
      <c r="E125" s="365"/>
      <c r="F125" s="365"/>
      <c r="G125" s="365"/>
      <c r="H125" s="334">
        <f>IF(SUM(H126:H141)&lt;&gt;0,1,)</f>
        <v>0</v>
      </c>
    </row>
    <row r="126" spans="2:9" hidden="1">
      <c r="C126" s="346" t="s">
        <v>1631</v>
      </c>
      <c r="D126" s="347" t="s">
        <v>1845</v>
      </c>
      <c r="E126" s="346" t="s">
        <v>1846</v>
      </c>
      <c r="F126" s="346" t="s">
        <v>1875</v>
      </c>
      <c r="G126" s="347">
        <f>G127+G130+G133</f>
        <v>0</v>
      </c>
      <c r="H126" s="332">
        <f>IF(G126&lt;&gt;0,1,)</f>
        <v>0</v>
      </c>
    </row>
    <row r="127" spans="2:9" ht="18.600000000000001" hidden="1">
      <c r="C127" s="348">
        <v>1</v>
      </c>
      <c r="D127" s="349" t="s">
        <v>1847</v>
      </c>
      <c r="E127" s="348" t="s">
        <v>1765</v>
      </c>
      <c r="F127" s="348" t="s">
        <v>2753</v>
      </c>
      <c r="G127" s="349">
        <f>G128+G129</f>
        <v>0</v>
      </c>
      <c r="H127" s="332">
        <f>H128</f>
        <v>0</v>
      </c>
    </row>
    <row r="128" spans="2:9" ht="18" hidden="1">
      <c r="B128" s="332" t="str">
        <f>"VL"&amp;B125</f>
        <v>VLTR3X25</v>
      </c>
      <c r="C128" s="350"/>
      <c r="D128" s="351" t="s">
        <v>2579</v>
      </c>
      <c r="E128" s="350" t="s">
        <v>2754</v>
      </c>
      <c r="F128" s="350" t="s">
        <v>1849</v>
      </c>
      <c r="G128" s="351">
        <f>ROUND(VLOOKUP(B128,CTTBA,I128,0),0)</f>
        <v>0</v>
      </c>
      <c r="H128" s="332">
        <f>IF(SUM(H129:H141)&lt;&gt;0,1,)</f>
        <v>0</v>
      </c>
      <c r="I128" s="332">
        <f>'7.CT-TBA'!$N$25</f>
        <v>14</v>
      </c>
    </row>
    <row r="129" spans="2:9" ht="18" hidden="1">
      <c r="C129" s="350"/>
      <c r="D129" s="351" t="s">
        <v>1945</v>
      </c>
      <c r="E129" s="350" t="s">
        <v>2757</v>
      </c>
      <c r="F129" s="350" t="s">
        <v>2779</v>
      </c>
      <c r="G129" s="351"/>
      <c r="H129" s="332">
        <f t="shared" ref="H129:H141" si="7">IF(G129&lt;&gt;0,1,)</f>
        <v>0</v>
      </c>
    </row>
    <row r="130" spans="2:9" ht="18.600000000000001" hidden="1">
      <c r="C130" s="348">
        <v>2</v>
      </c>
      <c r="D130" s="349" t="s">
        <v>1946</v>
      </c>
      <c r="E130" s="348" t="s">
        <v>1764</v>
      </c>
      <c r="F130" s="348" t="s">
        <v>2759</v>
      </c>
      <c r="G130" s="349">
        <f>G131+G132</f>
        <v>0</v>
      </c>
      <c r="H130" s="332">
        <f t="shared" si="7"/>
        <v>0</v>
      </c>
    </row>
    <row r="131" spans="2:9" ht="18" hidden="1">
      <c r="B131" s="332" t="str">
        <f>B128</f>
        <v>VLTR3X25</v>
      </c>
      <c r="C131" s="350"/>
      <c r="D131" s="351" t="s">
        <v>1952</v>
      </c>
      <c r="E131" s="350" t="s">
        <v>2755</v>
      </c>
      <c r="F131" s="350" t="s">
        <v>3288</v>
      </c>
      <c r="G131" s="351">
        <f>ROUND(VLOOKUP(B131,CTTBA,I131,0)*NCTBA,0)</f>
        <v>0</v>
      </c>
      <c r="H131" s="332">
        <f t="shared" si="7"/>
        <v>0</v>
      </c>
      <c r="I131" s="332">
        <f>'7.CT-TBA'!$O$25</f>
        <v>15</v>
      </c>
    </row>
    <row r="132" spans="2:9" ht="18" hidden="1">
      <c r="C132" s="350"/>
      <c r="D132" s="351" t="s">
        <v>1951</v>
      </c>
      <c r="E132" s="350" t="s">
        <v>2758</v>
      </c>
      <c r="F132" s="350" t="s">
        <v>3289</v>
      </c>
      <c r="G132" s="351">
        <f>ROUND(VLOOKUP(B125,NCTL,'11.CP-VTTH'!$M$2,0)*NCTBA,0)</f>
        <v>0</v>
      </c>
      <c r="H132" s="332">
        <f t="shared" si="7"/>
        <v>0</v>
      </c>
    </row>
    <row r="133" spans="2:9" ht="18.600000000000001" hidden="1">
      <c r="C133" s="348">
        <v>3</v>
      </c>
      <c r="D133" s="349" t="s">
        <v>1855</v>
      </c>
      <c r="E133" s="348" t="s">
        <v>1774</v>
      </c>
      <c r="F133" s="348" t="s">
        <v>2761</v>
      </c>
      <c r="G133" s="349">
        <f>G134+G135</f>
        <v>0</v>
      </c>
      <c r="H133" s="332">
        <f>H134</f>
        <v>0</v>
      </c>
    </row>
    <row r="134" spans="2:9" ht="18" hidden="1">
      <c r="B134" s="332" t="str">
        <f>B128</f>
        <v>VLTR3X25</v>
      </c>
      <c r="C134" s="350"/>
      <c r="D134" s="351" t="s">
        <v>1953</v>
      </c>
      <c r="E134" s="350" t="s">
        <v>2756</v>
      </c>
      <c r="F134" s="350" t="s">
        <v>2766</v>
      </c>
      <c r="G134" s="351">
        <f>ROUND(VLOOKUP(B134,CTTBA,I134,0),0)</f>
        <v>0</v>
      </c>
      <c r="H134" s="332">
        <f>IF(SUM(H135:H141)&lt;&gt;0,1,)</f>
        <v>0</v>
      </c>
      <c r="I134" s="332">
        <f>'7.CT-TBA'!$P$25</f>
        <v>16</v>
      </c>
    </row>
    <row r="135" spans="2:9" ht="18" hidden="1">
      <c r="C135" s="350"/>
      <c r="D135" s="351" t="s">
        <v>1954</v>
      </c>
      <c r="E135" s="350" t="s">
        <v>2760</v>
      </c>
      <c r="F135" s="350" t="s">
        <v>2767</v>
      </c>
      <c r="G135" s="351">
        <f>ROUND(VLOOKUP(B125,NCTL,'11.CP-VTTH'!$N$2,0),0)</f>
        <v>0</v>
      </c>
      <c r="H135" s="332">
        <f t="shared" si="7"/>
        <v>0</v>
      </c>
    </row>
    <row r="136" spans="2:9" hidden="1">
      <c r="C136" s="346" t="s">
        <v>1663</v>
      </c>
      <c r="D136" s="347" t="s">
        <v>1858</v>
      </c>
      <c r="E136" s="346" t="s">
        <v>1776</v>
      </c>
      <c r="F136" s="346" t="s">
        <v>1860</v>
      </c>
      <c r="G136" s="347">
        <f>ROUND(5.5%*G126,0)</f>
        <v>0</v>
      </c>
      <c r="H136" s="332">
        <f t="shared" si="7"/>
        <v>0</v>
      </c>
    </row>
    <row r="137" spans="2:9" ht="18" hidden="1">
      <c r="C137" s="346"/>
      <c r="D137" s="347" t="s">
        <v>1861</v>
      </c>
      <c r="E137" s="346" t="s">
        <v>2775</v>
      </c>
      <c r="F137" s="346" t="s">
        <v>2807</v>
      </c>
      <c r="G137" s="347">
        <f>G126+G136</f>
        <v>0</v>
      </c>
      <c r="H137" s="332">
        <f t="shared" si="7"/>
        <v>0</v>
      </c>
    </row>
    <row r="138" spans="2:9" ht="18" hidden="1">
      <c r="C138" s="346" t="s">
        <v>1673</v>
      </c>
      <c r="D138" s="347" t="s">
        <v>1862</v>
      </c>
      <c r="E138" s="346" t="s">
        <v>1863</v>
      </c>
      <c r="F138" s="346" t="s">
        <v>2770</v>
      </c>
      <c r="G138" s="347">
        <f>ROUND(6%*G137,0)</f>
        <v>0</v>
      </c>
      <c r="H138" s="332">
        <f t="shared" si="7"/>
        <v>0</v>
      </c>
    </row>
    <row r="139" spans="2:9" ht="18" hidden="1">
      <c r="B139" s="332" t="str">
        <f>"XL"&amp;B125</f>
        <v>XLTR3X25</v>
      </c>
      <c r="C139" s="346"/>
      <c r="D139" s="347" t="s">
        <v>1949</v>
      </c>
      <c r="E139" s="346" t="s">
        <v>1866</v>
      </c>
      <c r="F139" s="346" t="s">
        <v>2771</v>
      </c>
      <c r="G139" s="347">
        <f>G137+G138</f>
        <v>0</v>
      </c>
      <c r="H139" s="332">
        <f t="shared" si="7"/>
        <v>0</v>
      </c>
    </row>
    <row r="140" spans="2:9" hidden="1">
      <c r="C140" s="346" t="s">
        <v>1717</v>
      </c>
      <c r="D140" s="347" t="s">
        <v>1867</v>
      </c>
      <c r="E140" s="346" t="s">
        <v>1868</v>
      </c>
      <c r="F140" s="346" t="s">
        <v>1869</v>
      </c>
      <c r="G140" s="347">
        <f>ROUND(10%*G139,0)</f>
        <v>0</v>
      </c>
      <c r="H140" s="332">
        <f t="shared" si="7"/>
        <v>0</v>
      </c>
    </row>
    <row r="141" spans="2:9" ht="18" hidden="1">
      <c r="C141" s="346" t="s">
        <v>1729</v>
      </c>
      <c r="D141" s="347" t="s">
        <v>1950</v>
      </c>
      <c r="E141" s="346" t="s">
        <v>2765</v>
      </c>
      <c r="F141" s="346" t="s">
        <v>1871</v>
      </c>
      <c r="G141" s="347">
        <f>G139+G140</f>
        <v>0</v>
      </c>
      <c r="H141" s="332">
        <f t="shared" si="7"/>
        <v>0</v>
      </c>
    </row>
    <row r="142" spans="2:9" s="334" customFormat="1" hidden="1">
      <c r="B142" s="334" t="s">
        <v>2079</v>
      </c>
      <c r="C142" s="365"/>
      <c r="D142" s="366" t="str">
        <f>VLOOKUP(B142,CTTBA,'7.CT-TBA'!$E$25,0)</f>
        <v>0 Trạm 3 pha 3x37,5kVA</v>
      </c>
      <c r="E142" s="365"/>
      <c r="F142" s="365"/>
      <c r="G142" s="365"/>
      <c r="H142" s="334">
        <f>IF(SUM(H143:H158)&lt;&gt;0,1,)</f>
        <v>0</v>
      </c>
    </row>
    <row r="143" spans="2:9" hidden="1">
      <c r="C143" s="346" t="s">
        <v>1631</v>
      </c>
      <c r="D143" s="347" t="s">
        <v>1845</v>
      </c>
      <c r="E143" s="346" t="s">
        <v>1846</v>
      </c>
      <c r="F143" s="346" t="s">
        <v>1875</v>
      </c>
      <c r="G143" s="347">
        <f>G144+G147+G150</f>
        <v>0</v>
      </c>
      <c r="H143" s="332">
        <f>IF(G143&lt;&gt;0,1,)</f>
        <v>0</v>
      </c>
    </row>
    <row r="144" spans="2:9" ht="18.600000000000001" hidden="1">
      <c r="C144" s="348">
        <v>1</v>
      </c>
      <c r="D144" s="349" t="s">
        <v>1847</v>
      </c>
      <c r="E144" s="348" t="s">
        <v>1765</v>
      </c>
      <c r="F144" s="348" t="s">
        <v>2753</v>
      </c>
      <c r="G144" s="349">
        <f>G145+G146</f>
        <v>0</v>
      </c>
      <c r="H144" s="332">
        <f>H145</f>
        <v>0</v>
      </c>
    </row>
    <row r="145" spans="2:9" ht="18" hidden="1">
      <c r="B145" s="332" t="str">
        <f>"VL"&amp;B142</f>
        <v>VLTR3X375</v>
      </c>
      <c r="C145" s="350"/>
      <c r="D145" s="351" t="s">
        <v>2579</v>
      </c>
      <c r="E145" s="350" t="s">
        <v>2754</v>
      </c>
      <c r="F145" s="350" t="s">
        <v>1849</v>
      </c>
      <c r="G145" s="351">
        <f>ROUND(VLOOKUP(B145,CTTBA,I145,0),0)</f>
        <v>0</v>
      </c>
      <c r="H145" s="332">
        <f>IF(SUM(H146:H158)&lt;&gt;0,1,)</f>
        <v>0</v>
      </c>
      <c r="I145" s="332">
        <f>'7.CT-TBA'!$N$25</f>
        <v>14</v>
      </c>
    </row>
    <row r="146" spans="2:9" ht="18" hidden="1">
      <c r="C146" s="350"/>
      <c r="D146" s="351" t="s">
        <v>1945</v>
      </c>
      <c r="E146" s="350" t="s">
        <v>2757</v>
      </c>
      <c r="F146" s="350" t="s">
        <v>2779</v>
      </c>
      <c r="G146" s="351"/>
      <c r="H146" s="332">
        <f t="shared" ref="H146:H158" si="8">IF(G146&lt;&gt;0,1,)</f>
        <v>0</v>
      </c>
    </row>
    <row r="147" spans="2:9" ht="18.600000000000001" hidden="1">
      <c r="C147" s="348">
        <v>2</v>
      </c>
      <c r="D147" s="349" t="s">
        <v>1946</v>
      </c>
      <c r="E147" s="348" t="s">
        <v>1764</v>
      </c>
      <c r="F147" s="348" t="s">
        <v>2759</v>
      </c>
      <c r="G147" s="349">
        <f>G148+G149</f>
        <v>0</v>
      </c>
      <c r="H147" s="332">
        <f t="shared" si="8"/>
        <v>0</v>
      </c>
    </row>
    <row r="148" spans="2:9" ht="18" hidden="1">
      <c r="B148" s="332" t="str">
        <f>B145</f>
        <v>VLTR3X375</v>
      </c>
      <c r="C148" s="350"/>
      <c r="D148" s="351" t="s">
        <v>1952</v>
      </c>
      <c r="E148" s="350" t="s">
        <v>2755</v>
      </c>
      <c r="F148" s="350" t="s">
        <v>3288</v>
      </c>
      <c r="G148" s="351">
        <f>ROUND(VLOOKUP(B148,CTTBA,I148,0)*NCTBA,0)</f>
        <v>0</v>
      </c>
      <c r="H148" s="332">
        <f t="shared" si="8"/>
        <v>0</v>
      </c>
      <c r="I148" s="332">
        <f>'7.CT-TBA'!$O$25</f>
        <v>15</v>
      </c>
    </row>
    <row r="149" spans="2:9" ht="18" hidden="1">
      <c r="C149" s="350"/>
      <c r="D149" s="351" t="s">
        <v>1951</v>
      </c>
      <c r="E149" s="350" t="s">
        <v>2758</v>
      </c>
      <c r="F149" s="350" t="s">
        <v>3289</v>
      </c>
      <c r="G149" s="351">
        <f>ROUND(VLOOKUP(B142,NCTL,'11.CP-VTTH'!$M$2,0)*NCTBA,0)</f>
        <v>0</v>
      </c>
      <c r="H149" s="332">
        <f t="shared" si="8"/>
        <v>0</v>
      </c>
    </row>
    <row r="150" spans="2:9" ht="18.600000000000001" hidden="1">
      <c r="C150" s="348">
        <v>3</v>
      </c>
      <c r="D150" s="349" t="s">
        <v>1855</v>
      </c>
      <c r="E150" s="348" t="s">
        <v>1774</v>
      </c>
      <c r="F150" s="348" t="s">
        <v>2761</v>
      </c>
      <c r="G150" s="349">
        <f>G151+G152</f>
        <v>0</v>
      </c>
      <c r="H150" s="332">
        <f>H151</f>
        <v>0</v>
      </c>
    </row>
    <row r="151" spans="2:9" ht="18" hidden="1">
      <c r="B151" s="332" t="str">
        <f>B145</f>
        <v>VLTR3X375</v>
      </c>
      <c r="C151" s="350"/>
      <c r="D151" s="351" t="s">
        <v>1953</v>
      </c>
      <c r="E151" s="350" t="s">
        <v>2756</v>
      </c>
      <c r="F151" s="350" t="s">
        <v>2766</v>
      </c>
      <c r="G151" s="351">
        <f>ROUND(VLOOKUP(B151,CTTBA,I151,0),0)</f>
        <v>0</v>
      </c>
      <c r="H151" s="332">
        <f>IF(SUM(H152:H158)&lt;&gt;0,1,)</f>
        <v>0</v>
      </c>
      <c r="I151" s="332">
        <f>'7.CT-TBA'!$P$25</f>
        <v>16</v>
      </c>
    </row>
    <row r="152" spans="2:9" ht="18" hidden="1">
      <c r="C152" s="350"/>
      <c r="D152" s="351" t="s">
        <v>1954</v>
      </c>
      <c r="E152" s="350" t="s">
        <v>2760</v>
      </c>
      <c r="F152" s="350" t="s">
        <v>2767</v>
      </c>
      <c r="G152" s="351">
        <f>ROUND(VLOOKUP(B142,NCTL,'11.CP-VTTH'!$N$2,0),0)</f>
        <v>0</v>
      </c>
      <c r="H152" s="332">
        <f t="shared" si="8"/>
        <v>0</v>
      </c>
    </row>
    <row r="153" spans="2:9" hidden="1">
      <c r="C153" s="346" t="s">
        <v>1663</v>
      </c>
      <c r="D153" s="347" t="s">
        <v>1858</v>
      </c>
      <c r="E153" s="346" t="s">
        <v>1776</v>
      </c>
      <c r="F153" s="346" t="s">
        <v>1860</v>
      </c>
      <c r="G153" s="347">
        <f>ROUND(5.5%*G143,0)</f>
        <v>0</v>
      </c>
      <c r="H153" s="332">
        <f t="shared" si="8"/>
        <v>0</v>
      </c>
    </row>
    <row r="154" spans="2:9" ht="18" hidden="1">
      <c r="C154" s="346"/>
      <c r="D154" s="347" t="s">
        <v>1861</v>
      </c>
      <c r="E154" s="346" t="s">
        <v>2775</v>
      </c>
      <c r="F154" s="346" t="s">
        <v>2807</v>
      </c>
      <c r="G154" s="347">
        <f>G143+G153</f>
        <v>0</v>
      </c>
      <c r="H154" s="332">
        <f t="shared" si="8"/>
        <v>0</v>
      </c>
    </row>
    <row r="155" spans="2:9" ht="18" hidden="1">
      <c r="C155" s="346" t="s">
        <v>1673</v>
      </c>
      <c r="D155" s="347" t="s">
        <v>1862</v>
      </c>
      <c r="E155" s="346" t="s">
        <v>1863</v>
      </c>
      <c r="F155" s="346" t="s">
        <v>2770</v>
      </c>
      <c r="G155" s="347">
        <f>ROUND(6%*G154,0)</f>
        <v>0</v>
      </c>
      <c r="H155" s="332">
        <f t="shared" si="8"/>
        <v>0</v>
      </c>
    </row>
    <row r="156" spans="2:9" ht="18" hidden="1">
      <c r="B156" s="332" t="str">
        <f>"XL"&amp;B142</f>
        <v>XLTR3X375</v>
      </c>
      <c r="C156" s="346"/>
      <c r="D156" s="347" t="s">
        <v>1949</v>
      </c>
      <c r="E156" s="346" t="s">
        <v>1866</v>
      </c>
      <c r="F156" s="346" t="s">
        <v>2771</v>
      </c>
      <c r="G156" s="347">
        <f>G154+G155</f>
        <v>0</v>
      </c>
      <c r="H156" s="332">
        <f t="shared" si="8"/>
        <v>0</v>
      </c>
    </row>
    <row r="157" spans="2:9" hidden="1">
      <c r="C157" s="346" t="s">
        <v>1717</v>
      </c>
      <c r="D157" s="347" t="s">
        <v>1867</v>
      </c>
      <c r="E157" s="346" t="s">
        <v>1868</v>
      </c>
      <c r="F157" s="346" t="s">
        <v>1869</v>
      </c>
      <c r="G157" s="347">
        <f>ROUND(10%*G156,0)</f>
        <v>0</v>
      </c>
      <c r="H157" s="332">
        <f t="shared" si="8"/>
        <v>0</v>
      </c>
    </row>
    <row r="158" spans="2:9" ht="18" hidden="1">
      <c r="C158" s="346" t="s">
        <v>1729</v>
      </c>
      <c r="D158" s="347" t="s">
        <v>1950</v>
      </c>
      <c r="E158" s="346" t="s">
        <v>2765</v>
      </c>
      <c r="F158" s="346" t="s">
        <v>1871</v>
      </c>
      <c r="G158" s="347">
        <f>G156+G157</f>
        <v>0</v>
      </c>
      <c r="H158" s="332">
        <f t="shared" si="8"/>
        <v>0</v>
      </c>
    </row>
    <row r="159" spans="2:9" s="334" customFormat="1">
      <c r="B159" s="334" t="s">
        <v>2082</v>
      </c>
      <c r="C159" s="365"/>
      <c r="D159" s="366" t="str">
        <f>VLOOKUP(B159,CTTBA,'7.CT-TBA'!$E$25,0)</f>
        <v>9 Trạm 3 pha 3x50kVA</v>
      </c>
      <c r="E159" s="365"/>
      <c r="F159" s="365"/>
      <c r="G159" s="365"/>
      <c r="H159" s="334">
        <f>IF(SUM(H160:H175)&lt;&gt;0,1,)</f>
        <v>1</v>
      </c>
    </row>
    <row r="160" spans="2:9">
      <c r="C160" s="346" t="s">
        <v>1631</v>
      </c>
      <c r="D160" s="347" t="s">
        <v>1845</v>
      </c>
      <c r="E160" s="346" t="s">
        <v>1846</v>
      </c>
      <c r="F160" s="346" t="s">
        <v>1875</v>
      </c>
      <c r="G160" s="347">
        <f>G161+G164+G167</f>
        <v>53187288</v>
      </c>
      <c r="H160" s="332">
        <f>IF(G160&lt;&gt;0,1,)</f>
        <v>1</v>
      </c>
    </row>
    <row r="161" spans="2:9" ht="18.600000000000001">
      <c r="C161" s="348">
        <v>1</v>
      </c>
      <c r="D161" s="349" t="s">
        <v>1847</v>
      </c>
      <c r="E161" s="348" t="s">
        <v>1765</v>
      </c>
      <c r="F161" s="348" t="s">
        <v>2753</v>
      </c>
      <c r="G161" s="349">
        <f>G162+G163</f>
        <v>0</v>
      </c>
      <c r="H161" s="332">
        <f>H162</f>
        <v>1</v>
      </c>
    </row>
    <row r="162" spans="2:9" ht="18">
      <c r="B162" s="332" t="str">
        <f>"VL"&amp;B159</f>
        <v>VLTR3X50</v>
      </c>
      <c r="C162" s="350"/>
      <c r="D162" s="351" t="s">
        <v>2579</v>
      </c>
      <c r="E162" s="350" t="s">
        <v>2754</v>
      </c>
      <c r="F162" s="350" t="s">
        <v>1849</v>
      </c>
      <c r="G162" s="351">
        <f>ROUND(VLOOKUP(B162,CTTBA,I162,0),0)</f>
        <v>0</v>
      </c>
      <c r="H162" s="332">
        <f>IF(SUM(H163:H175)&lt;&gt;0,1,)</f>
        <v>1</v>
      </c>
      <c r="I162" s="332">
        <f>'7.CT-TBA'!$N$25</f>
        <v>14</v>
      </c>
    </row>
    <row r="163" spans="2:9" ht="18" hidden="1">
      <c r="C163" s="350"/>
      <c r="D163" s="351" t="s">
        <v>1945</v>
      </c>
      <c r="E163" s="350" t="s">
        <v>2757</v>
      </c>
      <c r="F163" s="350" t="s">
        <v>2779</v>
      </c>
      <c r="G163" s="351"/>
      <c r="H163" s="332">
        <f t="shared" ref="H163:H175" si="9">IF(G163&lt;&gt;0,1,)</f>
        <v>0</v>
      </c>
    </row>
    <row r="164" spans="2:9" ht="18.600000000000001">
      <c r="C164" s="348">
        <v>2</v>
      </c>
      <c r="D164" s="349" t="s">
        <v>1946</v>
      </c>
      <c r="E164" s="348" t="s">
        <v>1764</v>
      </c>
      <c r="F164" s="348" t="s">
        <v>2759</v>
      </c>
      <c r="G164" s="349">
        <f>G165+G166</f>
        <v>51854975</v>
      </c>
      <c r="H164" s="332">
        <f t="shared" si="9"/>
        <v>1</v>
      </c>
    </row>
    <row r="165" spans="2:9" ht="18">
      <c r="B165" s="332" t="str">
        <f>B162</f>
        <v>VLTR3X50</v>
      </c>
      <c r="C165" s="350"/>
      <c r="D165" s="351" t="s">
        <v>1952</v>
      </c>
      <c r="E165" s="350" t="s">
        <v>2755</v>
      </c>
      <c r="F165" s="350" t="s">
        <v>3377</v>
      </c>
      <c r="G165" s="351">
        <f>ROUND(VLOOKUP(B165,CTTBA,I165,0)*NCTBA,0)</f>
        <v>51854975</v>
      </c>
      <c r="H165" s="332">
        <f t="shared" si="9"/>
        <v>1</v>
      </c>
      <c r="I165" s="332">
        <f>'7.CT-TBA'!$O$25</f>
        <v>15</v>
      </c>
    </row>
    <row r="166" spans="2:9" ht="18" hidden="1">
      <c r="C166" s="350"/>
      <c r="D166" s="351" t="s">
        <v>1951</v>
      </c>
      <c r="E166" s="350" t="s">
        <v>2758</v>
      </c>
      <c r="F166" s="350" t="s">
        <v>3289</v>
      </c>
      <c r="G166" s="351">
        <f>ROUND(VLOOKUP(B159,NCTL,'11.CP-VTTH'!$M$2,0)*NCTBA,0)</f>
        <v>0</v>
      </c>
      <c r="H166" s="332">
        <f t="shared" si="9"/>
        <v>0</v>
      </c>
    </row>
    <row r="167" spans="2:9" ht="18.600000000000001">
      <c r="C167" s="348">
        <v>3</v>
      </c>
      <c r="D167" s="349" t="s">
        <v>1855</v>
      </c>
      <c r="E167" s="348" t="s">
        <v>1774</v>
      </c>
      <c r="F167" s="348" t="s">
        <v>2761</v>
      </c>
      <c r="G167" s="349">
        <f>G168+G169</f>
        <v>1332313</v>
      </c>
      <c r="H167" s="332">
        <f>H168</f>
        <v>1</v>
      </c>
    </row>
    <row r="168" spans="2:9" ht="18">
      <c r="B168" s="332" t="str">
        <f>B162</f>
        <v>VLTR3X50</v>
      </c>
      <c r="C168" s="350"/>
      <c r="D168" s="351" t="s">
        <v>1953</v>
      </c>
      <c r="E168" s="350" t="s">
        <v>2756</v>
      </c>
      <c r="F168" s="350" t="s">
        <v>2766</v>
      </c>
      <c r="G168" s="351">
        <f>ROUND(VLOOKUP(B168,CTTBA,I168,0),0)</f>
        <v>1332313</v>
      </c>
      <c r="H168" s="332">
        <f>IF(SUM(H169:H175)&lt;&gt;0,1,)</f>
        <v>1</v>
      </c>
      <c r="I168" s="332">
        <f>'7.CT-TBA'!$P$25</f>
        <v>16</v>
      </c>
    </row>
    <row r="169" spans="2:9" ht="18" hidden="1">
      <c r="C169" s="350"/>
      <c r="D169" s="351" t="s">
        <v>1954</v>
      </c>
      <c r="E169" s="350" t="s">
        <v>2760</v>
      </c>
      <c r="F169" s="350" t="s">
        <v>2767</v>
      </c>
      <c r="G169" s="351">
        <f>ROUND(VLOOKUP(B159,NCTL,'11.CP-VTTH'!$N$2,0),0)</f>
        <v>0</v>
      </c>
      <c r="H169" s="332">
        <f t="shared" si="9"/>
        <v>0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1860</v>
      </c>
      <c r="G170" s="347">
        <f>ROUND(5.5%*G160,0)</f>
        <v>2925301</v>
      </c>
      <c r="H170" s="332">
        <f t="shared" si="9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G160+G170</f>
        <v>56112589</v>
      </c>
      <c r="H171" s="332">
        <f t="shared" si="9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3366755</v>
      </c>
      <c r="H172" s="332">
        <f t="shared" si="9"/>
        <v>1</v>
      </c>
    </row>
    <row r="173" spans="2:9" ht="18">
      <c r="B173" s="332" t="str">
        <f>"XL"&amp;B159</f>
        <v>XLTR3X50</v>
      </c>
      <c r="C173" s="634"/>
      <c r="D173" s="635" t="s">
        <v>1949</v>
      </c>
      <c r="E173" s="634" t="s">
        <v>1866</v>
      </c>
      <c r="F173" s="634" t="s">
        <v>2771</v>
      </c>
      <c r="G173" s="635">
        <f>G171+G172</f>
        <v>59479344</v>
      </c>
      <c r="H173" s="332">
        <f t="shared" si="9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5947934</v>
      </c>
      <c r="H174" s="332">
        <f t="shared" si="9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65427278</v>
      </c>
      <c r="H175" s="332">
        <f t="shared" si="9"/>
        <v>1</v>
      </c>
    </row>
    <row r="176" spans="2:9" s="334" customFormat="1" hidden="1">
      <c r="B176" s="334" t="s">
        <v>2085</v>
      </c>
      <c r="C176" s="365"/>
      <c r="D176" s="366" t="str">
        <f>VLOOKUP(B176,CTTBA,'7.CT-TBA'!$E$25,0)</f>
        <v>0 Trạm 3 pha 3x75kVA</v>
      </c>
      <c r="E176" s="365"/>
      <c r="F176" s="365"/>
      <c r="G176" s="365"/>
      <c r="H176" s="334">
        <f>IF(SUM(H177:H192)&lt;&gt;0,1,)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G178+G181+G184</f>
        <v>0</v>
      </c>
      <c r="H177" s="332">
        <f>IF(G177&lt;&gt;0,1,)</f>
        <v>0</v>
      </c>
    </row>
    <row r="178" spans="2:9" ht="18.600000000000001" hidden="1">
      <c r="C178" s="348">
        <v>1</v>
      </c>
      <c r="D178" s="349" t="s">
        <v>1847</v>
      </c>
      <c r="E178" s="348" t="s">
        <v>1765</v>
      </c>
      <c r="F178" s="348" t="s">
        <v>2753</v>
      </c>
      <c r="G178" s="349">
        <f>G179+G180</f>
        <v>0</v>
      </c>
      <c r="H178" s="332">
        <f>H179</f>
        <v>0</v>
      </c>
    </row>
    <row r="179" spans="2:9" ht="18" hidden="1">
      <c r="B179" s="332" t="str">
        <f>"VL"&amp;B176</f>
        <v>VLTR3X75</v>
      </c>
      <c r="C179" s="350"/>
      <c r="D179" s="351" t="s">
        <v>2579</v>
      </c>
      <c r="E179" s="350" t="s">
        <v>2754</v>
      </c>
      <c r="F179" s="350" t="s">
        <v>1849</v>
      </c>
      <c r="G179" s="351">
        <f>ROUND(VLOOKUP(B179,CTTBA,I179,0),0)</f>
        <v>0</v>
      </c>
      <c r="H179" s="332">
        <f>IF(SUM(H180:H192)&lt;&gt;0,1,)</f>
        <v>0</v>
      </c>
      <c r="I179" s="332">
        <f>'7.CT-TBA'!$N$25</f>
        <v>14</v>
      </c>
    </row>
    <row r="180" spans="2:9" ht="18" hidden="1">
      <c r="C180" s="350"/>
      <c r="D180" s="351" t="s">
        <v>1945</v>
      </c>
      <c r="E180" s="350" t="s">
        <v>2757</v>
      </c>
      <c r="F180" s="350" t="s">
        <v>2779</v>
      </c>
      <c r="G180" s="351"/>
      <c r="H180" s="332">
        <f t="shared" ref="H180:H192" si="10">IF(G180&lt;&gt;0,1,)</f>
        <v>0</v>
      </c>
    </row>
    <row r="181" spans="2:9" ht="18.600000000000001" hidden="1">
      <c r="C181" s="348">
        <v>2</v>
      </c>
      <c r="D181" s="349" t="s">
        <v>1946</v>
      </c>
      <c r="E181" s="348" t="s">
        <v>1764</v>
      </c>
      <c r="F181" s="348" t="s">
        <v>2759</v>
      </c>
      <c r="G181" s="349">
        <f>G182+G183</f>
        <v>0</v>
      </c>
      <c r="H181" s="332">
        <f t="shared" si="10"/>
        <v>0</v>
      </c>
    </row>
    <row r="182" spans="2:9" ht="18" hidden="1">
      <c r="B182" s="332" t="str">
        <f>B179</f>
        <v>VLTR3X75</v>
      </c>
      <c r="C182" s="350"/>
      <c r="D182" s="351" t="s">
        <v>1952</v>
      </c>
      <c r="E182" s="350" t="s">
        <v>2755</v>
      </c>
      <c r="F182" s="350" t="s">
        <v>3288</v>
      </c>
      <c r="G182" s="351">
        <f>ROUND(VLOOKUP(B182,CTTBA,I182,0)*NCTBA,0)</f>
        <v>0</v>
      </c>
      <c r="H182" s="332">
        <f t="shared" si="10"/>
        <v>0</v>
      </c>
      <c r="I182" s="332">
        <f>'7.CT-TBA'!$O$25</f>
        <v>15</v>
      </c>
    </row>
    <row r="183" spans="2:9" ht="18" hidden="1">
      <c r="C183" s="350"/>
      <c r="D183" s="351" t="s">
        <v>1951</v>
      </c>
      <c r="E183" s="350" t="s">
        <v>2758</v>
      </c>
      <c r="F183" s="350" t="s">
        <v>3289</v>
      </c>
      <c r="G183" s="351">
        <f>ROUND(VLOOKUP(B176,NCTL,'11.CP-VTTH'!$M$2,0)*NCTBA,0)</f>
        <v>0</v>
      </c>
      <c r="H183" s="332">
        <f t="shared" si="10"/>
        <v>0</v>
      </c>
    </row>
    <row r="184" spans="2:9" ht="18.600000000000001" hidden="1">
      <c r="C184" s="348">
        <v>3</v>
      </c>
      <c r="D184" s="349" t="s">
        <v>1855</v>
      </c>
      <c r="E184" s="348" t="s">
        <v>1774</v>
      </c>
      <c r="F184" s="348" t="s">
        <v>2761</v>
      </c>
      <c r="G184" s="349">
        <f>G185+G186</f>
        <v>0</v>
      </c>
      <c r="H184" s="332">
        <f>H185</f>
        <v>0</v>
      </c>
    </row>
    <row r="185" spans="2:9" ht="18" hidden="1">
      <c r="B185" s="332" t="str">
        <f>B179</f>
        <v>VLTR3X75</v>
      </c>
      <c r="C185" s="350"/>
      <c r="D185" s="351" t="s">
        <v>1953</v>
      </c>
      <c r="E185" s="350" t="s">
        <v>2756</v>
      </c>
      <c r="F185" s="350" t="s">
        <v>2766</v>
      </c>
      <c r="G185" s="351">
        <f>ROUND(VLOOKUP(B185,CTTBA,I185,0),0)</f>
        <v>0</v>
      </c>
      <c r="H185" s="332">
        <f>IF(SUM(H186:H192)&lt;&gt;0,1,)</f>
        <v>0</v>
      </c>
      <c r="I185" s="332">
        <f>'7.CT-TBA'!$P$25</f>
        <v>16</v>
      </c>
    </row>
    <row r="186" spans="2:9" ht="18" hidden="1">
      <c r="C186" s="350"/>
      <c r="D186" s="351" t="s">
        <v>1954</v>
      </c>
      <c r="E186" s="350" t="s">
        <v>2760</v>
      </c>
      <c r="F186" s="350" t="s">
        <v>2767</v>
      </c>
      <c r="G186" s="351">
        <f>ROUND(VLOOKUP(B176,NCTL,'11.CP-VTTH'!$N$2,0),0)</f>
        <v>0</v>
      </c>
      <c r="H186" s="332">
        <f t="shared" si="10"/>
        <v>0</v>
      </c>
    </row>
    <row r="187" spans="2:9" hidden="1">
      <c r="C187" s="346" t="s">
        <v>1663</v>
      </c>
      <c r="D187" s="347" t="s">
        <v>1858</v>
      </c>
      <c r="E187" s="346" t="s">
        <v>1776</v>
      </c>
      <c r="F187" s="346" t="s">
        <v>1860</v>
      </c>
      <c r="G187" s="347">
        <f>ROUND(5.5%*G177,0)</f>
        <v>0</v>
      </c>
      <c r="H187" s="332">
        <f t="shared" si="10"/>
        <v>0</v>
      </c>
    </row>
    <row r="188" spans="2:9" ht="18" hidden="1">
      <c r="C188" s="346"/>
      <c r="D188" s="347" t="s">
        <v>1861</v>
      </c>
      <c r="E188" s="346" t="s">
        <v>2775</v>
      </c>
      <c r="F188" s="346" t="s">
        <v>2807</v>
      </c>
      <c r="G188" s="347">
        <f>G177+G187</f>
        <v>0</v>
      </c>
      <c r="H188" s="332">
        <f t="shared" si="10"/>
        <v>0</v>
      </c>
    </row>
    <row r="189" spans="2:9" ht="18" hidden="1">
      <c r="C189" s="346" t="s">
        <v>1673</v>
      </c>
      <c r="D189" s="347" t="s">
        <v>1862</v>
      </c>
      <c r="E189" s="346" t="s">
        <v>1863</v>
      </c>
      <c r="F189" s="346" t="s">
        <v>2770</v>
      </c>
      <c r="G189" s="347">
        <f>ROUND(6%*G188,0)</f>
        <v>0</v>
      </c>
      <c r="H189" s="332">
        <f t="shared" si="10"/>
        <v>0</v>
      </c>
    </row>
    <row r="190" spans="2:9" ht="18" hidden="1">
      <c r="B190" s="332" t="str">
        <f>"XL"&amp;B176</f>
        <v>XLTR3X75</v>
      </c>
      <c r="C190" s="346"/>
      <c r="D190" s="347" t="s">
        <v>1949</v>
      </c>
      <c r="E190" s="346" t="s">
        <v>1866</v>
      </c>
      <c r="F190" s="346" t="s">
        <v>2771</v>
      </c>
      <c r="G190" s="347">
        <f>G188+G189</f>
        <v>0</v>
      </c>
      <c r="H190" s="332">
        <f t="shared" si="10"/>
        <v>0</v>
      </c>
    </row>
    <row r="191" spans="2:9" hidden="1">
      <c r="C191" s="346" t="s">
        <v>1717</v>
      </c>
      <c r="D191" s="347" t="s">
        <v>1867</v>
      </c>
      <c r="E191" s="346" t="s">
        <v>1868</v>
      </c>
      <c r="F191" s="346" t="s">
        <v>1869</v>
      </c>
      <c r="G191" s="347">
        <f>ROUND(10%*G190,0)</f>
        <v>0</v>
      </c>
      <c r="H191" s="332">
        <f t="shared" si="10"/>
        <v>0</v>
      </c>
    </row>
    <row r="192" spans="2:9" ht="18" hidden="1">
      <c r="C192" s="346" t="s">
        <v>1729</v>
      </c>
      <c r="D192" s="347" t="s">
        <v>1950</v>
      </c>
      <c r="E192" s="346" t="s">
        <v>2765</v>
      </c>
      <c r="F192" s="346" t="s">
        <v>1871</v>
      </c>
      <c r="G192" s="347">
        <f>G190+G191</f>
        <v>0</v>
      </c>
      <c r="H192" s="332">
        <f t="shared" si="10"/>
        <v>0</v>
      </c>
    </row>
    <row r="193" spans="2:9" s="334" customFormat="1" hidden="1">
      <c r="B193" s="334" t="s">
        <v>2094</v>
      </c>
      <c r="C193" s="365"/>
      <c r="D193" s="366" t="str">
        <f>VLOOKUP(B193,CTTBA,'7.CT-TBA'!$E$25,0)</f>
        <v>0 Trạm 3 pha 3x100kVA</v>
      </c>
      <c r="E193" s="365"/>
      <c r="F193" s="365"/>
      <c r="G193" s="365"/>
      <c r="H193" s="334">
        <f>IF(SUM(H194:H209)&lt;&gt;0,1,)</f>
        <v>0</v>
      </c>
    </row>
    <row r="194" spans="2:9" hidden="1">
      <c r="C194" s="346" t="s">
        <v>1631</v>
      </c>
      <c r="D194" s="347" t="s">
        <v>1845</v>
      </c>
      <c r="E194" s="346" t="s">
        <v>1846</v>
      </c>
      <c r="F194" s="346" t="s">
        <v>1875</v>
      </c>
      <c r="G194" s="347">
        <f>G195+G198+G201</f>
        <v>0</v>
      </c>
      <c r="H194" s="332">
        <f>IF(G194&lt;&gt;0,1,)</f>
        <v>0</v>
      </c>
    </row>
    <row r="195" spans="2:9" ht="18.600000000000001" hidden="1">
      <c r="C195" s="348">
        <v>1</v>
      </c>
      <c r="D195" s="349" t="s">
        <v>1847</v>
      </c>
      <c r="E195" s="348" t="s">
        <v>1765</v>
      </c>
      <c r="F195" s="348" t="s">
        <v>2753</v>
      </c>
      <c r="G195" s="349">
        <f>G196+G197</f>
        <v>0</v>
      </c>
      <c r="H195" s="332">
        <f>H196</f>
        <v>0</v>
      </c>
    </row>
    <row r="196" spans="2:9" ht="18" hidden="1">
      <c r="B196" s="332" t="str">
        <f>"VL"&amp;B193</f>
        <v>VLTR3X100</v>
      </c>
      <c r="C196" s="350"/>
      <c r="D196" s="351" t="s">
        <v>2579</v>
      </c>
      <c r="E196" s="350" t="s">
        <v>2754</v>
      </c>
      <c r="F196" s="350" t="s">
        <v>1849</v>
      </c>
      <c r="G196" s="351">
        <f>ROUND(VLOOKUP(B196,CTTBA,I196,0),0)</f>
        <v>0</v>
      </c>
      <c r="H196" s="332">
        <f>IF(SUM(H197:H209)&lt;&gt;0,1,)</f>
        <v>0</v>
      </c>
      <c r="I196" s="332">
        <f>'7.CT-TBA'!$N$25</f>
        <v>14</v>
      </c>
    </row>
    <row r="197" spans="2:9" ht="18" hidden="1">
      <c r="C197" s="350"/>
      <c r="D197" s="351" t="s">
        <v>1945</v>
      </c>
      <c r="E197" s="350" t="s">
        <v>2757</v>
      </c>
      <c r="F197" s="350" t="s">
        <v>2779</v>
      </c>
      <c r="G197" s="351"/>
      <c r="H197" s="332">
        <f t="shared" ref="H197:H209" si="11">IF(G197&lt;&gt;0,1,)</f>
        <v>0</v>
      </c>
    </row>
    <row r="198" spans="2:9" ht="18.600000000000001" hidden="1">
      <c r="C198" s="348">
        <v>2</v>
      </c>
      <c r="D198" s="349" t="s">
        <v>1946</v>
      </c>
      <c r="E198" s="348" t="s">
        <v>1764</v>
      </c>
      <c r="F198" s="348" t="s">
        <v>2759</v>
      </c>
      <c r="G198" s="349">
        <f>G199+G200</f>
        <v>0</v>
      </c>
      <c r="H198" s="332">
        <f t="shared" si="11"/>
        <v>0</v>
      </c>
    </row>
    <row r="199" spans="2:9" ht="18" hidden="1">
      <c r="B199" s="332" t="str">
        <f>B196</f>
        <v>VLTR3X100</v>
      </c>
      <c r="C199" s="350"/>
      <c r="D199" s="351" t="s">
        <v>1952</v>
      </c>
      <c r="E199" s="350" t="s">
        <v>2755</v>
      </c>
      <c r="F199" s="350" t="s">
        <v>3288</v>
      </c>
      <c r="G199" s="351">
        <f>ROUND(VLOOKUP(B199,CTTBA,I199,0)*NCTBA,0)</f>
        <v>0</v>
      </c>
      <c r="H199" s="332">
        <f t="shared" si="11"/>
        <v>0</v>
      </c>
      <c r="I199" s="332">
        <f>'7.CT-TBA'!$O$25</f>
        <v>15</v>
      </c>
    </row>
    <row r="200" spans="2:9" ht="18" hidden="1">
      <c r="C200" s="350"/>
      <c r="D200" s="351" t="s">
        <v>1951</v>
      </c>
      <c r="E200" s="350" t="s">
        <v>2758</v>
      </c>
      <c r="F200" s="350" t="s">
        <v>3289</v>
      </c>
      <c r="G200" s="351">
        <f>ROUND(VLOOKUP(B193,NCTL,'11.CP-VTTH'!$M$2,0)*NCTBA,0)</f>
        <v>0</v>
      </c>
      <c r="H200" s="332">
        <f t="shared" si="11"/>
        <v>0</v>
      </c>
    </row>
    <row r="201" spans="2:9" ht="18.600000000000001" hidden="1">
      <c r="C201" s="348">
        <v>3</v>
      </c>
      <c r="D201" s="349" t="s">
        <v>1855</v>
      </c>
      <c r="E201" s="348" t="s">
        <v>1774</v>
      </c>
      <c r="F201" s="348" t="s">
        <v>2761</v>
      </c>
      <c r="G201" s="349">
        <f>G202+G203</f>
        <v>0</v>
      </c>
      <c r="H201" s="332">
        <f>H202</f>
        <v>0</v>
      </c>
    </row>
    <row r="202" spans="2:9" ht="18" hidden="1">
      <c r="B202" s="332" t="str">
        <f>B196</f>
        <v>VLTR3X100</v>
      </c>
      <c r="C202" s="350"/>
      <c r="D202" s="351" t="s">
        <v>1953</v>
      </c>
      <c r="E202" s="350" t="s">
        <v>2756</v>
      </c>
      <c r="F202" s="350" t="s">
        <v>2766</v>
      </c>
      <c r="G202" s="351">
        <f>ROUND(VLOOKUP(B202,CTTBA,I202,0),0)</f>
        <v>0</v>
      </c>
      <c r="H202" s="332">
        <f>IF(SUM(H203:H209)&lt;&gt;0,1,)</f>
        <v>0</v>
      </c>
      <c r="I202" s="332">
        <f>'7.CT-TBA'!$P$25</f>
        <v>16</v>
      </c>
    </row>
    <row r="203" spans="2:9" ht="18" hidden="1">
      <c r="C203" s="350"/>
      <c r="D203" s="351" t="s">
        <v>1954</v>
      </c>
      <c r="E203" s="350" t="s">
        <v>2760</v>
      </c>
      <c r="F203" s="350" t="s">
        <v>2767</v>
      </c>
      <c r="G203" s="351">
        <f>ROUND(VLOOKUP(B193,NCTL,'11.CP-VTTH'!$N$2,0),0)</f>
        <v>0</v>
      </c>
      <c r="H203" s="332">
        <f t="shared" si="11"/>
        <v>0</v>
      </c>
    </row>
    <row r="204" spans="2:9" hidden="1">
      <c r="C204" s="346" t="s">
        <v>1663</v>
      </c>
      <c r="D204" s="347" t="s">
        <v>1858</v>
      </c>
      <c r="E204" s="346" t="s">
        <v>1776</v>
      </c>
      <c r="F204" s="346" t="s">
        <v>1860</v>
      </c>
      <c r="G204" s="347">
        <f>ROUND(5.5%*G194,0)</f>
        <v>0</v>
      </c>
      <c r="H204" s="332">
        <f t="shared" si="11"/>
        <v>0</v>
      </c>
    </row>
    <row r="205" spans="2:9" ht="18" hidden="1">
      <c r="C205" s="346"/>
      <c r="D205" s="347" t="s">
        <v>1861</v>
      </c>
      <c r="E205" s="346" t="s">
        <v>2775</v>
      </c>
      <c r="F205" s="346" t="s">
        <v>2807</v>
      </c>
      <c r="G205" s="347">
        <f>G194+G204</f>
        <v>0</v>
      </c>
      <c r="H205" s="332">
        <f t="shared" si="11"/>
        <v>0</v>
      </c>
    </row>
    <row r="206" spans="2:9" ht="18" hidden="1">
      <c r="C206" s="346" t="s">
        <v>1673</v>
      </c>
      <c r="D206" s="347" t="s">
        <v>1862</v>
      </c>
      <c r="E206" s="346" t="s">
        <v>1863</v>
      </c>
      <c r="F206" s="346" t="s">
        <v>2770</v>
      </c>
      <c r="G206" s="347">
        <f>ROUND(6%*G205,0)</f>
        <v>0</v>
      </c>
      <c r="H206" s="332">
        <f t="shared" si="11"/>
        <v>0</v>
      </c>
    </row>
    <row r="207" spans="2:9" ht="18" hidden="1">
      <c r="B207" s="332" t="str">
        <f>"XL"&amp;B193</f>
        <v>XLTR3X100</v>
      </c>
      <c r="C207" s="346"/>
      <c r="D207" s="347" t="s">
        <v>1949</v>
      </c>
      <c r="E207" s="346" t="s">
        <v>1866</v>
      </c>
      <c r="F207" s="346" t="s">
        <v>2771</v>
      </c>
      <c r="G207" s="347">
        <f>G205+G206</f>
        <v>0</v>
      </c>
      <c r="H207" s="332">
        <f t="shared" si="11"/>
        <v>0</v>
      </c>
    </row>
    <row r="208" spans="2:9" hidden="1">
      <c r="C208" s="346" t="s">
        <v>1717</v>
      </c>
      <c r="D208" s="347" t="s">
        <v>1867</v>
      </c>
      <c r="E208" s="346" t="s">
        <v>1868</v>
      </c>
      <c r="F208" s="346" t="s">
        <v>1869</v>
      </c>
      <c r="G208" s="347">
        <f>ROUND(10%*G207,0)</f>
        <v>0</v>
      </c>
      <c r="H208" s="332">
        <f t="shared" si="11"/>
        <v>0</v>
      </c>
    </row>
    <row r="209" spans="2:9" ht="18" hidden="1">
      <c r="C209" s="346" t="s">
        <v>1729</v>
      </c>
      <c r="D209" s="347" t="s">
        <v>1950</v>
      </c>
      <c r="E209" s="346" t="s">
        <v>2765</v>
      </c>
      <c r="F209" s="346" t="s">
        <v>1871</v>
      </c>
      <c r="G209" s="347">
        <f>G207+G208</f>
        <v>0</v>
      </c>
      <c r="H209" s="332">
        <f t="shared" si="11"/>
        <v>0</v>
      </c>
    </row>
    <row r="210" spans="2:9" s="334" customFormat="1" hidden="1">
      <c r="B210" s="334" t="s">
        <v>2468</v>
      </c>
      <c r="C210" s="365"/>
      <c r="D210" s="366" t="str">
        <f>VLOOKUP(B210,CTTBA,'7.CT-TBA'!$E$25,0)</f>
        <v xml:space="preserve"> Trạm NC từ 50kVA lên 3x50kVA</v>
      </c>
      <c r="E210" s="365"/>
      <c r="F210" s="365"/>
      <c r="G210" s="365"/>
      <c r="H210" s="334">
        <f>IF(SUM(H211:H226)&lt;&gt;0,1,)</f>
        <v>0</v>
      </c>
    </row>
    <row r="211" spans="2:9" hidden="1">
      <c r="C211" s="346" t="s">
        <v>1631</v>
      </c>
      <c r="D211" s="347" t="s">
        <v>1845</v>
      </c>
      <c r="E211" s="346" t="s">
        <v>1846</v>
      </c>
      <c r="F211" s="346" t="s">
        <v>1875</v>
      </c>
      <c r="G211" s="347">
        <f>G212+G215+G218</f>
        <v>0</v>
      </c>
      <c r="H211" s="332">
        <f>IF(G211&lt;&gt;0,1,)</f>
        <v>0</v>
      </c>
    </row>
    <row r="212" spans="2:9" ht="18.600000000000001" hidden="1">
      <c r="C212" s="348">
        <v>1</v>
      </c>
      <c r="D212" s="349" t="s">
        <v>1847</v>
      </c>
      <c r="E212" s="348" t="s">
        <v>1765</v>
      </c>
      <c r="F212" s="348" t="s">
        <v>2753</v>
      </c>
      <c r="G212" s="349">
        <f>G213+G214</f>
        <v>0</v>
      </c>
      <c r="H212" s="332">
        <f>H213</f>
        <v>0</v>
      </c>
    </row>
    <row r="213" spans="2:9" ht="18" hidden="1">
      <c r="B213" s="332" t="str">
        <f>"VL"&amp;B210</f>
        <v>VLTRNC3X50</v>
      </c>
      <c r="C213" s="350"/>
      <c r="D213" s="351" t="s">
        <v>2579</v>
      </c>
      <c r="E213" s="350" t="s">
        <v>2754</v>
      </c>
      <c r="F213" s="350" t="s">
        <v>1849</v>
      </c>
      <c r="G213" s="351">
        <f>ROUND(VLOOKUP(B213,CTTBA,I213,0),0)</f>
        <v>0</v>
      </c>
      <c r="H213" s="332">
        <f>IF(SUM(H214:H226)&lt;&gt;0,1,)</f>
        <v>0</v>
      </c>
      <c r="I213" s="332">
        <f>'7.CT-TBA'!$N$25</f>
        <v>14</v>
      </c>
    </row>
    <row r="214" spans="2:9" ht="18" hidden="1">
      <c r="C214" s="350"/>
      <c r="D214" s="351" t="s">
        <v>1945</v>
      </c>
      <c r="E214" s="350" t="s">
        <v>2757</v>
      </c>
      <c r="F214" s="350" t="s">
        <v>2779</v>
      </c>
      <c r="G214" s="351"/>
      <c r="H214" s="332">
        <f t="shared" ref="H214:H226" si="12">IF(G214&lt;&gt;0,1,)</f>
        <v>0</v>
      </c>
    </row>
    <row r="215" spans="2:9" ht="18.600000000000001" hidden="1">
      <c r="C215" s="348">
        <v>2</v>
      </c>
      <c r="D215" s="349" t="s">
        <v>1946</v>
      </c>
      <c r="E215" s="348" t="s">
        <v>1764</v>
      </c>
      <c r="F215" s="348" t="s">
        <v>2759</v>
      </c>
      <c r="G215" s="349">
        <f>G216+G217</f>
        <v>0</v>
      </c>
      <c r="H215" s="332">
        <f t="shared" si="12"/>
        <v>0</v>
      </c>
    </row>
    <row r="216" spans="2:9" ht="18" hidden="1">
      <c r="B216" s="332" t="str">
        <f>B213</f>
        <v>VLTRNC3X50</v>
      </c>
      <c r="C216" s="350"/>
      <c r="D216" s="351" t="s">
        <v>1952</v>
      </c>
      <c r="E216" s="350" t="s">
        <v>2755</v>
      </c>
      <c r="F216" s="350" t="s">
        <v>3288</v>
      </c>
      <c r="G216" s="351">
        <f>ROUND(VLOOKUP(B216,CTTBA,I216,0)*NCTBA,0)</f>
        <v>0</v>
      </c>
      <c r="H216" s="332">
        <f t="shared" si="12"/>
        <v>0</v>
      </c>
      <c r="I216" s="332">
        <f>'7.CT-TBA'!$O$25</f>
        <v>15</v>
      </c>
    </row>
    <row r="217" spans="2:9" ht="18" hidden="1">
      <c r="C217" s="350"/>
      <c r="D217" s="351" t="s">
        <v>1951</v>
      </c>
      <c r="E217" s="350" t="s">
        <v>2758</v>
      </c>
      <c r="F217" s="350" t="s">
        <v>3289</v>
      </c>
      <c r="G217" s="351">
        <f>ROUND(VLOOKUP(B210,NCTL,'11.CP-VTTH'!$M$2,0)*NCTBA,0)</f>
        <v>0</v>
      </c>
      <c r="H217" s="332">
        <f t="shared" si="12"/>
        <v>0</v>
      </c>
    </row>
    <row r="218" spans="2:9" ht="18.600000000000001" hidden="1">
      <c r="C218" s="348">
        <v>3</v>
      </c>
      <c r="D218" s="349" t="s">
        <v>1855</v>
      </c>
      <c r="E218" s="348" t="s">
        <v>1774</v>
      </c>
      <c r="F218" s="348" t="s">
        <v>2761</v>
      </c>
      <c r="G218" s="349">
        <f>G219+G220</f>
        <v>0</v>
      </c>
      <c r="H218" s="332">
        <f>H219</f>
        <v>0</v>
      </c>
    </row>
    <row r="219" spans="2:9" ht="18" hidden="1">
      <c r="B219" s="332" t="str">
        <f>B213</f>
        <v>VLTRNC3X50</v>
      </c>
      <c r="C219" s="350"/>
      <c r="D219" s="351" t="s">
        <v>1953</v>
      </c>
      <c r="E219" s="350" t="s">
        <v>2756</v>
      </c>
      <c r="F219" s="350" t="s">
        <v>2766</v>
      </c>
      <c r="G219" s="351">
        <f>ROUND(VLOOKUP(B219,CTTBA,I219,0),0)</f>
        <v>0</v>
      </c>
      <c r="H219" s="332">
        <f>IF(SUM(H220:H226)&lt;&gt;0,1,)</f>
        <v>0</v>
      </c>
      <c r="I219" s="332">
        <f>'7.CT-TBA'!$P$25</f>
        <v>16</v>
      </c>
    </row>
    <row r="220" spans="2:9" ht="18" hidden="1">
      <c r="C220" s="350"/>
      <c r="D220" s="351" t="s">
        <v>1954</v>
      </c>
      <c r="E220" s="350" t="s">
        <v>2760</v>
      </c>
      <c r="F220" s="350" t="s">
        <v>2767</v>
      </c>
      <c r="G220" s="351">
        <f>ROUND(VLOOKUP(B210,NCTL,'11.CP-VTTH'!$N$2,0),0)</f>
        <v>0</v>
      </c>
      <c r="H220" s="332">
        <f t="shared" si="12"/>
        <v>0</v>
      </c>
    </row>
    <row r="221" spans="2:9" hidden="1">
      <c r="C221" s="346" t="s">
        <v>1663</v>
      </c>
      <c r="D221" s="347" t="s">
        <v>1858</v>
      </c>
      <c r="E221" s="346" t="s">
        <v>1776</v>
      </c>
      <c r="F221" s="346" t="s">
        <v>1860</v>
      </c>
      <c r="G221" s="347">
        <f>ROUND(5.5%*G211,0)</f>
        <v>0</v>
      </c>
      <c r="H221" s="332">
        <f t="shared" si="12"/>
        <v>0</v>
      </c>
    </row>
    <row r="222" spans="2:9" ht="18" hidden="1">
      <c r="C222" s="346"/>
      <c r="D222" s="347" t="s">
        <v>1861</v>
      </c>
      <c r="E222" s="346" t="s">
        <v>2775</v>
      </c>
      <c r="F222" s="346" t="s">
        <v>2807</v>
      </c>
      <c r="G222" s="347">
        <f>G211+G221</f>
        <v>0</v>
      </c>
      <c r="H222" s="332">
        <f t="shared" si="12"/>
        <v>0</v>
      </c>
    </row>
    <row r="223" spans="2:9" ht="18" hidden="1">
      <c r="C223" s="346" t="s">
        <v>1673</v>
      </c>
      <c r="D223" s="347" t="s">
        <v>1862</v>
      </c>
      <c r="E223" s="346" t="s">
        <v>1863</v>
      </c>
      <c r="F223" s="346" t="s">
        <v>2770</v>
      </c>
      <c r="G223" s="347">
        <f>ROUND(6%*G222,0)</f>
        <v>0</v>
      </c>
      <c r="H223" s="332">
        <f t="shared" si="12"/>
        <v>0</v>
      </c>
    </row>
    <row r="224" spans="2:9" ht="18" hidden="1">
      <c r="B224" s="332" t="str">
        <f>"XL"&amp;B210</f>
        <v>XLTRNC3X50</v>
      </c>
      <c r="C224" s="346"/>
      <c r="D224" s="347" t="s">
        <v>1949</v>
      </c>
      <c r="E224" s="346" t="s">
        <v>1866</v>
      </c>
      <c r="F224" s="346" t="s">
        <v>2771</v>
      </c>
      <c r="G224" s="347">
        <f>G222+G223</f>
        <v>0</v>
      </c>
      <c r="H224" s="332">
        <f t="shared" si="12"/>
        <v>0</v>
      </c>
    </row>
    <row r="225" spans="2:9" hidden="1">
      <c r="C225" s="346" t="s">
        <v>1717</v>
      </c>
      <c r="D225" s="347" t="s">
        <v>1867</v>
      </c>
      <c r="E225" s="346" t="s">
        <v>1868</v>
      </c>
      <c r="F225" s="346" t="s">
        <v>1869</v>
      </c>
      <c r="G225" s="347">
        <f>ROUND(10%*G224,0)</f>
        <v>0</v>
      </c>
      <c r="H225" s="332">
        <f t="shared" si="12"/>
        <v>0</v>
      </c>
    </row>
    <row r="226" spans="2:9" ht="18" hidden="1">
      <c r="C226" s="346" t="s">
        <v>1729</v>
      </c>
      <c r="D226" s="347" t="s">
        <v>1950</v>
      </c>
      <c r="E226" s="346" t="s">
        <v>2765</v>
      </c>
      <c r="F226" s="346" t="s">
        <v>1871</v>
      </c>
      <c r="G226" s="347">
        <f>G224+G225</f>
        <v>0</v>
      </c>
      <c r="H226" s="332">
        <f t="shared" si="12"/>
        <v>0</v>
      </c>
    </row>
    <row r="227" spans="2:9" s="334" customFormat="1" hidden="1">
      <c r="B227" s="334" t="s">
        <v>3218</v>
      </c>
      <c r="C227" s="365"/>
      <c r="D227" s="366" t="str">
        <f>VLOOKUP(B227,CTTBA,'7.CT-TBA'!$E$25,0)</f>
        <v xml:space="preserve"> Trạm NC từ 2x37,5kVA lên 3x37,5kVA</v>
      </c>
      <c r="E227" s="365"/>
      <c r="F227" s="365"/>
      <c r="G227" s="365"/>
      <c r="H227" s="334">
        <f>IF(SUM(H228:H243)&lt;&gt;0,1,)</f>
        <v>0</v>
      </c>
    </row>
    <row r="228" spans="2:9" hidden="1">
      <c r="C228" s="346" t="s">
        <v>1631</v>
      </c>
      <c r="D228" s="347" t="s">
        <v>1845</v>
      </c>
      <c r="E228" s="346" t="s">
        <v>1846</v>
      </c>
      <c r="F228" s="346" t="s">
        <v>1875</v>
      </c>
      <c r="G228" s="347">
        <f>G229+G232+G235</f>
        <v>0</v>
      </c>
      <c r="H228" s="332">
        <f>IF(G228&lt;&gt;0,1,)</f>
        <v>0</v>
      </c>
    </row>
    <row r="229" spans="2:9" ht="18.600000000000001" hidden="1">
      <c r="C229" s="348">
        <v>1</v>
      </c>
      <c r="D229" s="349" t="s">
        <v>1847</v>
      </c>
      <c r="E229" s="348" t="s">
        <v>1765</v>
      </c>
      <c r="F229" s="348" t="s">
        <v>2753</v>
      </c>
      <c r="G229" s="349">
        <f>G230+G231</f>
        <v>0</v>
      </c>
      <c r="H229" s="332">
        <f>H230</f>
        <v>0</v>
      </c>
    </row>
    <row r="230" spans="2:9" ht="18" hidden="1">
      <c r="B230" s="332" t="str">
        <f>"VL"&amp;B227</f>
        <v>VLTRNC3X375</v>
      </c>
      <c r="C230" s="350"/>
      <c r="D230" s="351" t="s">
        <v>2579</v>
      </c>
      <c r="E230" s="350" t="s">
        <v>2754</v>
      </c>
      <c r="F230" s="350" t="s">
        <v>1849</v>
      </c>
      <c r="G230" s="351">
        <f>ROUND(VLOOKUP(B230,CTTBA,I230,0),0)</f>
        <v>0</v>
      </c>
      <c r="H230" s="332">
        <f>IF(SUM(H231:H243)&lt;&gt;0,1,)</f>
        <v>0</v>
      </c>
      <c r="I230" s="332">
        <f>'7.CT-TBA'!$N$25</f>
        <v>14</v>
      </c>
    </row>
    <row r="231" spans="2:9" ht="18" hidden="1">
      <c r="C231" s="350"/>
      <c r="D231" s="351" t="s">
        <v>1945</v>
      </c>
      <c r="E231" s="350" t="s">
        <v>2757</v>
      </c>
      <c r="F231" s="350" t="s">
        <v>2779</v>
      </c>
      <c r="G231" s="351"/>
      <c r="H231" s="332">
        <f>IF(G231&lt;&gt;0,1,)</f>
        <v>0</v>
      </c>
    </row>
    <row r="232" spans="2:9" ht="18.600000000000001" hidden="1">
      <c r="C232" s="348">
        <v>2</v>
      </c>
      <c r="D232" s="349" t="s">
        <v>1946</v>
      </c>
      <c r="E232" s="348" t="s">
        <v>1764</v>
      </c>
      <c r="F232" s="348" t="s">
        <v>2759</v>
      </c>
      <c r="G232" s="349">
        <f>G233+G234</f>
        <v>0</v>
      </c>
      <c r="H232" s="332">
        <f>IF(G232&lt;&gt;0,1,)</f>
        <v>0</v>
      </c>
    </row>
    <row r="233" spans="2:9" ht="18" hidden="1">
      <c r="B233" s="332" t="str">
        <f>B230</f>
        <v>VLTRNC3X375</v>
      </c>
      <c r="C233" s="350"/>
      <c r="D233" s="351" t="s">
        <v>1952</v>
      </c>
      <c r="E233" s="350" t="s">
        <v>2755</v>
      </c>
      <c r="F233" s="350" t="s">
        <v>3377</v>
      </c>
      <c r="G233" s="351">
        <f>ROUND(VLOOKUP(B233,CTTBA,I233,0)*NCTBA,0)</f>
        <v>0</v>
      </c>
      <c r="H233" s="332">
        <f>IF(G233&lt;&gt;0,1,)</f>
        <v>0</v>
      </c>
      <c r="I233" s="332">
        <f>'7.CT-TBA'!$O$25</f>
        <v>15</v>
      </c>
    </row>
    <row r="234" spans="2:9" ht="18" hidden="1">
      <c r="C234" s="350"/>
      <c r="D234" s="351" t="s">
        <v>1951</v>
      </c>
      <c r="E234" s="350" t="s">
        <v>2758</v>
      </c>
      <c r="F234" s="350" t="s">
        <v>3378</v>
      </c>
      <c r="G234" s="351">
        <f>ROUND(VLOOKUP(B227,NCTL,'11.CP-VTTH'!$M$2,0)*NCTBA,0)</f>
        <v>0</v>
      </c>
      <c r="H234" s="332">
        <f>IF(G234&lt;&gt;0,1,)</f>
        <v>0</v>
      </c>
    </row>
    <row r="235" spans="2:9" ht="18.600000000000001" hidden="1">
      <c r="C235" s="348">
        <v>3</v>
      </c>
      <c r="D235" s="349" t="s">
        <v>1855</v>
      </c>
      <c r="E235" s="348" t="s">
        <v>1774</v>
      </c>
      <c r="F235" s="348" t="s">
        <v>2761</v>
      </c>
      <c r="G235" s="349">
        <f>G236+G237</f>
        <v>0</v>
      </c>
      <c r="H235" s="332">
        <f>H236</f>
        <v>0</v>
      </c>
    </row>
    <row r="236" spans="2:9" ht="18" hidden="1">
      <c r="B236" s="332" t="str">
        <f>B230</f>
        <v>VLTRNC3X375</v>
      </c>
      <c r="C236" s="350"/>
      <c r="D236" s="351" t="s">
        <v>1953</v>
      </c>
      <c r="E236" s="350" t="s">
        <v>2756</v>
      </c>
      <c r="F236" s="350" t="s">
        <v>2766</v>
      </c>
      <c r="G236" s="351">
        <f>ROUND(VLOOKUP(B236,CTTBA,I236,0),0)</f>
        <v>0</v>
      </c>
      <c r="H236" s="332">
        <f>IF(SUM(H237:H243)&lt;&gt;0,1,)</f>
        <v>0</v>
      </c>
      <c r="I236" s="332">
        <f>'7.CT-TBA'!$P$25</f>
        <v>16</v>
      </c>
    </row>
    <row r="237" spans="2:9" ht="18" hidden="1">
      <c r="C237" s="350"/>
      <c r="D237" s="351" t="s">
        <v>1954</v>
      </c>
      <c r="E237" s="350" t="s">
        <v>2760</v>
      </c>
      <c r="F237" s="350" t="s">
        <v>2767</v>
      </c>
      <c r="G237" s="351">
        <f>ROUND(VLOOKUP(B227,NCTL,'11.CP-VTTH'!$N$2,0),0)</f>
        <v>0</v>
      </c>
      <c r="H237" s="332">
        <f t="shared" ref="H237:H243" si="13">IF(G237&lt;&gt;0,1,)</f>
        <v>0</v>
      </c>
    </row>
    <row r="238" spans="2:9" hidden="1">
      <c r="C238" s="346" t="s">
        <v>1663</v>
      </c>
      <c r="D238" s="347" t="s">
        <v>1858</v>
      </c>
      <c r="E238" s="346" t="s">
        <v>1776</v>
      </c>
      <c r="F238" s="346" t="s">
        <v>1860</v>
      </c>
      <c r="G238" s="347">
        <f>ROUND(5.5%*G228,0)</f>
        <v>0</v>
      </c>
      <c r="H238" s="332">
        <f t="shared" si="13"/>
        <v>0</v>
      </c>
    </row>
    <row r="239" spans="2:9" ht="18" hidden="1">
      <c r="C239" s="346"/>
      <c r="D239" s="347" t="s">
        <v>1861</v>
      </c>
      <c r="E239" s="346" t="s">
        <v>2775</v>
      </c>
      <c r="F239" s="346" t="s">
        <v>2807</v>
      </c>
      <c r="G239" s="347">
        <f>G228+G238</f>
        <v>0</v>
      </c>
      <c r="H239" s="332">
        <f t="shared" si="13"/>
        <v>0</v>
      </c>
    </row>
    <row r="240" spans="2:9" ht="18" hidden="1">
      <c r="C240" s="346" t="s">
        <v>1673</v>
      </c>
      <c r="D240" s="347" t="s">
        <v>1862</v>
      </c>
      <c r="E240" s="346" t="s">
        <v>1863</v>
      </c>
      <c r="F240" s="346" t="s">
        <v>2770</v>
      </c>
      <c r="G240" s="347">
        <f>ROUND(6%*G239,0)</f>
        <v>0</v>
      </c>
      <c r="H240" s="332">
        <f t="shared" si="13"/>
        <v>0</v>
      </c>
    </row>
    <row r="241" spans="2:9" ht="18" hidden="1">
      <c r="B241" s="332" t="str">
        <f>"XL"&amp;B227</f>
        <v>XLTRNC3X375</v>
      </c>
      <c r="C241" s="634"/>
      <c r="D241" s="635" t="s">
        <v>1949</v>
      </c>
      <c r="E241" s="634" t="s">
        <v>1866</v>
      </c>
      <c r="F241" s="634" t="s">
        <v>2771</v>
      </c>
      <c r="G241" s="635">
        <f>G239+G240</f>
        <v>0</v>
      </c>
      <c r="H241" s="332">
        <f t="shared" si="13"/>
        <v>0</v>
      </c>
    </row>
    <row r="242" spans="2:9" hidden="1">
      <c r="C242" s="346" t="s">
        <v>1717</v>
      </c>
      <c r="D242" s="347" t="s">
        <v>1867</v>
      </c>
      <c r="E242" s="346" t="s">
        <v>1868</v>
      </c>
      <c r="F242" s="346" t="s">
        <v>1869</v>
      </c>
      <c r="G242" s="347">
        <f>ROUND(10%*G241,0)</f>
        <v>0</v>
      </c>
      <c r="H242" s="332">
        <f t="shared" si="13"/>
        <v>0</v>
      </c>
    </row>
    <row r="243" spans="2:9" ht="18" hidden="1">
      <c r="C243" s="346" t="s">
        <v>1729</v>
      </c>
      <c r="D243" s="347" t="s">
        <v>1950</v>
      </c>
      <c r="E243" s="346" t="s">
        <v>2765</v>
      </c>
      <c r="F243" s="346" t="s">
        <v>1871</v>
      </c>
      <c r="G243" s="347">
        <f>G241+G242</f>
        <v>0</v>
      </c>
      <c r="H243" s="332">
        <f t="shared" si="13"/>
        <v>0</v>
      </c>
    </row>
    <row r="244" spans="2:9" s="334" customFormat="1">
      <c r="B244" s="334" t="s">
        <v>3219</v>
      </c>
      <c r="C244" s="365"/>
      <c r="D244" s="366" t="str">
        <f>VLOOKUP(B244,CTTBA,'7.CT-TBA'!$E$25,0)</f>
        <v>2 Trạm NC từ 100kVA lên 100+2x50kVA</v>
      </c>
      <c r="E244" s="365"/>
      <c r="F244" s="365"/>
      <c r="G244" s="365"/>
      <c r="H244" s="334">
        <f>IF(SUM(H245:H260)&lt;&gt;0,1,)</f>
        <v>1</v>
      </c>
    </row>
    <row r="245" spans="2:9">
      <c r="C245" s="346" t="s">
        <v>1631</v>
      </c>
      <c r="D245" s="347" t="s">
        <v>1845</v>
      </c>
      <c r="E245" s="346" t="s">
        <v>1846</v>
      </c>
      <c r="F245" s="346" t="s">
        <v>1875</v>
      </c>
      <c r="G245" s="347">
        <f>G246+G249+G252</f>
        <v>10829937</v>
      </c>
      <c r="H245" s="332">
        <f>IF(G245&lt;&gt;0,1,)</f>
        <v>1</v>
      </c>
    </row>
    <row r="246" spans="2:9" ht="18.600000000000001">
      <c r="C246" s="348">
        <v>1</v>
      </c>
      <c r="D246" s="349" t="s">
        <v>1847</v>
      </c>
      <c r="E246" s="348" t="s">
        <v>1765</v>
      </c>
      <c r="F246" s="348" t="s">
        <v>2753</v>
      </c>
      <c r="G246" s="349">
        <f>G247+G248</f>
        <v>0</v>
      </c>
      <c r="H246" s="332">
        <f>H247</f>
        <v>1</v>
      </c>
    </row>
    <row r="247" spans="2:9" ht="18">
      <c r="B247" s="332" t="str">
        <f>"VL"&amp;B244</f>
        <v>VLTRNC100</v>
      </c>
      <c r="C247" s="350"/>
      <c r="D247" s="351" t="s">
        <v>2579</v>
      </c>
      <c r="E247" s="350" t="s">
        <v>2754</v>
      </c>
      <c r="F247" s="350" t="s">
        <v>1849</v>
      </c>
      <c r="G247" s="351">
        <f>ROUND(VLOOKUP(B247,CTTBA,I247,0),0)</f>
        <v>0</v>
      </c>
      <c r="H247" s="332">
        <f>IF(SUM(H248:H260)&lt;&gt;0,1,)</f>
        <v>1</v>
      </c>
      <c r="I247" s="332">
        <f>'7.CT-TBA'!$N$25</f>
        <v>14</v>
      </c>
    </row>
    <row r="248" spans="2:9" ht="18" hidden="1">
      <c r="C248" s="350"/>
      <c r="D248" s="351" t="s">
        <v>1945</v>
      </c>
      <c r="E248" s="350" t="s">
        <v>2757</v>
      </c>
      <c r="F248" s="350" t="s">
        <v>2779</v>
      </c>
      <c r="G248" s="351"/>
      <c r="H248" s="332">
        <f>IF(G248&lt;&gt;0,1,)</f>
        <v>0</v>
      </c>
    </row>
    <row r="249" spans="2:9" ht="18.600000000000001">
      <c r="C249" s="348">
        <v>2</v>
      </c>
      <c r="D249" s="349" t="s">
        <v>1946</v>
      </c>
      <c r="E249" s="348" t="s">
        <v>1764</v>
      </c>
      <c r="F249" s="348" t="s">
        <v>2759</v>
      </c>
      <c r="G249" s="349">
        <f>G250+G251</f>
        <v>10533867</v>
      </c>
      <c r="H249" s="332">
        <f>IF(G249&lt;&gt;0,1,)</f>
        <v>1</v>
      </c>
    </row>
    <row r="250" spans="2:9" ht="18">
      <c r="B250" s="332" t="str">
        <f>B247</f>
        <v>VLTRNC100</v>
      </c>
      <c r="C250" s="350"/>
      <c r="D250" s="351" t="s">
        <v>1952</v>
      </c>
      <c r="E250" s="350" t="s">
        <v>2755</v>
      </c>
      <c r="F250" s="350" t="s">
        <v>3377</v>
      </c>
      <c r="G250" s="351">
        <f>ROUND(VLOOKUP(B250,CTTBA,I250,0)*NCTBA,0)</f>
        <v>10533867</v>
      </c>
      <c r="H250" s="332">
        <f>IF(G250&lt;&gt;0,1,)</f>
        <v>1</v>
      </c>
      <c r="I250" s="332">
        <f>'7.CT-TBA'!$O$25</f>
        <v>15</v>
      </c>
    </row>
    <row r="251" spans="2:9" ht="18" hidden="1">
      <c r="C251" s="350"/>
      <c r="D251" s="351" t="s">
        <v>1951</v>
      </c>
      <c r="E251" s="350" t="s">
        <v>2758</v>
      </c>
      <c r="F251" s="350" t="s">
        <v>3378</v>
      </c>
      <c r="G251" s="351">
        <f>ROUND(VLOOKUP(B244,NCTL,'11.CP-VTTH'!$M$2,0)*NCTBA,0)</f>
        <v>0</v>
      </c>
      <c r="H251" s="332">
        <f>IF(G251&lt;&gt;0,1,)</f>
        <v>0</v>
      </c>
    </row>
    <row r="252" spans="2:9" ht="18.600000000000001">
      <c r="C252" s="348">
        <v>3</v>
      </c>
      <c r="D252" s="349" t="s">
        <v>1855</v>
      </c>
      <c r="E252" s="348" t="s">
        <v>1774</v>
      </c>
      <c r="F252" s="348" t="s">
        <v>2761</v>
      </c>
      <c r="G252" s="349">
        <f>G253+G254</f>
        <v>296070</v>
      </c>
      <c r="H252" s="332">
        <f>H253</f>
        <v>1</v>
      </c>
    </row>
    <row r="253" spans="2:9" ht="18">
      <c r="B253" s="332" t="str">
        <f>B247</f>
        <v>VLTRNC100</v>
      </c>
      <c r="C253" s="350"/>
      <c r="D253" s="351" t="s">
        <v>1953</v>
      </c>
      <c r="E253" s="350" t="s">
        <v>2756</v>
      </c>
      <c r="F253" s="350" t="s">
        <v>2766</v>
      </c>
      <c r="G253" s="351">
        <f>ROUND(VLOOKUP(B253,CTTBA,I253,0),0)</f>
        <v>296070</v>
      </c>
      <c r="H253" s="332">
        <f>IF(SUM(H254:H260)&lt;&gt;0,1,)</f>
        <v>1</v>
      </c>
      <c r="I253" s="332">
        <f>'7.CT-TBA'!$P$25</f>
        <v>16</v>
      </c>
    </row>
    <row r="254" spans="2:9" ht="18" hidden="1">
      <c r="C254" s="350"/>
      <c r="D254" s="351" t="s">
        <v>1954</v>
      </c>
      <c r="E254" s="350" t="s">
        <v>2760</v>
      </c>
      <c r="F254" s="350" t="s">
        <v>2767</v>
      </c>
      <c r="G254" s="351">
        <f>ROUND(VLOOKUP(B244,NCTL,'11.CP-VTTH'!$N$2,0),0)</f>
        <v>0</v>
      </c>
      <c r="H254" s="332">
        <f t="shared" ref="H254:H260" si="14">IF(G254&lt;&gt;0,1,)</f>
        <v>0</v>
      </c>
    </row>
    <row r="255" spans="2:9">
      <c r="C255" s="346" t="s">
        <v>1663</v>
      </c>
      <c r="D255" s="347" t="s">
        <v>1858</v>
      </c>
      <c r="E255" s="346" t="s">
        <v>1776</v>
      </c>
      <c r="F255" s="346" t="s">
        <v>1860</v>
      </c>
      <c r="G255" s="347">
        <f>ROUND(5.5%*G245,0)</f>
        <v>595647</v>
      </c>
      <c r="H255" s="332">
        <f t="shared" si="14"/>
        <v>1</v>
      </c>
    </row>
    <row r="256" spans="2:9" ht="18">
      <c r="C256" s="346"/>
      <c r="D256" s="347" t="s">
        <v>1861</v>
      </c>
      <c r="E256" s="346" t="s">
        <v>2775</v>
      </c>
      <c r="F256" s="346" t="s">
        <v>2807</v>
      </c>
      <c r="G256" s="347">
        <f>G245+G255</f>
        <v>11425584</v>
      </c>
      <c r="H256" s="332">
        <f t="shared" si="14"/>
        <v>1</v>
      </c>
    </row>
    <row r="257" spans="2:9" ht="18">
      <c r="C257" s="346" t="s">
        <v>1673</v>
      </c>
      <c r="D257" s="347" t="s">
        <v>1862</v>
      </c>
      <c r="E257" s="346" t="s">
        <v>1863</v>
      </c>
      <c r="F257" s="346" t="s">
        <v>2770</v>
      </c>
      <c r="G257" s="347">
        <f>ROUND(6%*G256,0)</f>
        <v>685535</v>
      </c>
      <c r="H257" s="332">
        <f t="shared" si="14"/>
        <v>1</v>
      </c>
    </row>
    <row r="258" spans="2:9" ht="18">
      <c r="B258" s="332" t="str">
        <f>"XL"&amp;B244</f>
        <v>XLTRNC100</v>
      </c>
      <c r="C258" s="634"/>
      <c r="D258" s="635" t="s">
        <v>1949</v>
      </c>
      <c r="E258" s="634" t="s">
        <v>1866</v>
      </c>
      <c r="F258" s="634" t="s">
        <v>2771</v>
      </c>
      <c r="G258" s="635">
        <f>G256+G257</f>
        <v>12111119</v>
      </c>
      <c r="H258" s="332">
        <f t="shared" si="14"/>
        <v>1</v>
      </c>
    </row>
    <row r="259" spans="2:9">
      <c r="C259" s="346" t="s">
        <v>1717</v>
      </c>
      <c r="D259" s="347" t="s">
        <v>1867</v>
      </c>
      <c r="E259" s="346" t="s">
        <v>1868</v>
      </c>
      <c r="F259" s="346" t="s">
        <v>1869</v>
      </c>
      <c r="G259" s="347">
        <f>ROUND(10%*G258,0)</f>
        <v>1211112</v>
      </c>
      <c r="H259" s="332">
        <f t="shared" si="14"/>
        <v>1</v>
      </c>
    </row>
    <row r="260" spans="2:9" ht="18">
      <c r="C260" s="346" t="s">
        <v>1729</v>
      </c>
      <c r="D260" s="347" t="s">
        <v>1950</v>
      </c>
      <c r="E260" s="346" t="s">
        <v>2765</v>
      </c>
      <c r="F260" s="346" t="s">
        <v>1871</v>
      </c>
      <c r="G260" s="347">
        <f>G258+G259</f>
        <v>13322231</v>
      </c>
      <c r="H260" s="332">
        <f t="shared" si="14"/>
        <v>1</v>
      </c>
    </row>
    <row r="261" spans="2:9" s="334" customFormat="1">
      <c r="B261" s="334" t="s">
        <v>3457</v>
      </c>
      <c r="C261" s="365"/>
      <c r="D261" s="366" t="str">
        <f>VLOOKUP(B261,CTTBA,'7.CT-TBA'!$E$25,0)</f>
        <v xml:space="preserve"> Trạm NC từ 2x50kVA lên 3x50kVA</v>
      </c>
      <c r="E261" s="365"/>
      <c r="F261" s="365"/>
      <c r="G261" s="365"/>
      <c r="H261" s="334">
        <f>IF(SUM(H262:H277)&lt;&gt;0,1,)</f>
        <v>1</v>
      </c>
    </row>
    <row r="262" spans="2:9">
      <c r="C262" s="642" t="s">
        <v>1631</v>
      </c>
      <c r="D262" s="347" t="s">
        <v>1845</v>
      </c>
      <c r="E262" s="642" t="s">
        <v>1846</v>
      </c>
      <c r="F262" s="642" t="s">
        <v>1875</v>
      </c>
      <c r="G262" s="347">
        <f>G263+G266+G269</f>
        <v>2342525</v>
      </c>
      <c r="H262" s="332">
        <f>IF(G262&lt;&gt;0,1,)</f>
        <v>1</v>
      </c>
    </row>
    <row r="263" spans="2:9" ht="18.600000000000001">
      <c r="C263" s="348">
        <v>1</v>
      </c>
      <c r="D263" s="349" t="s">
        <v>1847</v>
      </c>
      <c r="E263" s="348" t="s">
        <v>1765</v>
      </c>
      <c r="F263" s="348" t="s">
        <v>2753</v>
      </c>
      <c r="G263" s="349">
        <f>G264+G265</f>
        <v>0</v>
      </c>
      <c r="H263" s="332">
        <f>H264</f>
        <v>1</v>
      </c>
    </row>
    <row r="264" spans="2:9" ht="18">
      <c r="B264" s="332" t="str">
        <f>"VL"&amp;B261</f>
        <v>VLTRNC2X50</v>
      </c>
      <c r="C264" s="350"/>
      <c r="D264" s="351" t="s">
        <v>2579</v>
      </c>
      <c r="E264" s="350" t="s">
        <v>2754</v>
      </c>
      <c r="F264" s="350" t="s">
        <v>1849</v>
      </c>
      <c r="G264" s="351">
        <f>ROUND(VLOOKUP(B264,CTTBA,I264,0),0)</f>
        <v>0</v>
      </c>
      <c r="H264" s="332">
        <f>IF(SUM(H265:H277)&lt;&gt;0,1,)</f>
        <v>1</v>
      </c>
      <c r="I264" s="332">
        <f>'7.CT-TBA'!$N$25</f>
        <v>14</v>
      </c>
    </row>
    <row r="265" spans="2:9" ht="18" hidden="1">
      <c r="C265" s="350"/>
      <c r="D265" s="351" t="s">
        <v>1945</v>
      </c>
      <c r="E265" s="350" t="s">
        <v>2757</v>
      </c>
      <c r="F265" s="350" t="s">
        <v>2779</v>
      </c>
      <c r="G265" s="351"/>
      <c r="H265" s="332">
        <f>IF(G265&lt;&gt;0,1,)</f>
        <v>0</v>
      </c>
    </row>
    <row r="266" spans="2:9" ht="18.600000000000001">
      <c r="C266" s="348">
        <v>2</v>
      </c>
      <c r="D266" s="349" t="s">
        <v>1946</v>
      </c>
      <c r="E266" s="348" t="s">
        <v>1764</v>
      </c>
      <c r="F266" s="348" t="s">
        <v>2759</v>
      </c>
      <c r="G266" s="349">
        <f>G267+G268</f>
        <v>2120217</v>
      </c>
      <c r="H266" s="332">
        <f>IF(G266&lt;&gt;0,1,)</f>
        <v>1</v>
      </c>
    </row>
    <row r="267" spans="2:9" ht="18" hidden="1">
      <c r="B267" s="332" t="str">
        <f>B264</f>
        <v>VLTRNC2X50</v>
      </c>
      <c r="C267" s="350"/>
      <c r="D267" s="351" t="s">
        <v>1952</v>
      </c>
      <c r="E267" s="350" t="s">
        <v>2755</v>
      </c>
      <c r="F267" s="350" t="s">
        <v>3377</v>
      </c>
      <c r="G267" s="351">
        <f>ROUND(VLOOKUP(B267,CTTBA,I267,0)*NCTBA,0)</f>
        <v>0</v>
      </c>
      <c r="H267" s="332">
        <f>IF(G267&lt;&gt;0,1,)</f>
        <v>0</v>
      </c>
      <c r="I267" s="332">
        <f>'7.CT-TBA'!$O$25</f>
        <v>15</v>
      </c>
    </row>
    <row r="268" spans="2:9" ht="18">
      <c r="C268" s="350"/>
      <c r="D268" s="351" t="s">
        <v>1951</v>
      </c>
      <c r="E268" s="350" t="s">
        <v>2758</v>
      </c>
      <c r="F268" s="350" t="s">
        <v>3378</v>
      </c>
      <c r="G268" s="351">
        <f>ROUND(VLOOKUP(B261,NCTL,'11.CP-VTTH'!$M$2,0)*NCTBA,0)</f>
        <v>2120217</v>
      </c>
      <c r="H268" s="332">
        <f>IF(G268&lt;&gt;0,1,)</f>
        <v>1</v>
      </c>
    </row>
    <row r="269" spans="2:9" ht="18.600000000000001">
      <c r="C269" s="348">
        <v>3</v>
      </c>
      <c r="D269" s="349" t="s">
        <v>1855</v>
      </c>
      <c r="E269" s="348" t="s">
        <v>1774</v>
      </c>
      <c r="F269" s="348" t="s">
        <v>2761</v>
      </c>
      <c r="G269" s="349">
        <f>G270+G271</f>
        <v>222308</v>
      </c>
      <c r="H269" s="332">
        <f>H270</f>
        <v>1</v>
      </c>
    </row>
    <row r="270" spans="2:9" ht="18">
      <c r="B270" s="332" t="str">
        <f>B264</f>
        <v>VLTRNC2X50</v>
      </c>
      <c r="C270" s="350"/>
      <c r="D270" s="351" t="s">
        <v>1953</v>
      </c>
      <c r="E270" s="350" t="s">
        <v>2756</v>
      </c>
      <c r="F270" s="350" t="s">
        <v>2766</v>
      </c>
      <c r="G270" s="351">
        <f>ROUND(VLOOKUP(B270,CTTBA,I270,0),0)</f>
        <v>0</v>
      </c>
      <c r="H270" s="332">
        <f>IF(SUM(H271:H277)&lt;&gt;0,1,)</f>
        <v>1</v>
      </c>
      <c r="I270" s="332">
        <f>'7.CT-TBA'!$P$25</f>
        <v>16</v>
      </c>
    </row>
    <row r="271" spans="2:9" ht="18">
      <c r="C271" s="350"/>
      <c r="D271" s="351" t="s">
        <v>1954</v>
      </c>
      <c r="E271" s="350" t="s">
        <v>2760</v>
      </c>
      <c r="F271" s="350" t="s">
        <v>2767</v>
      </c>
      <c r="G271" s="351">
        <f>ROUND(VLOOKUP(B261,NCTL,'11.CP-VTTH'!$N$2,0),0)</f>
        <v>222308</v>
      </c>
      <c r="H271" s="332">
        <f t="shared" ref="H271:H277" si="15">IF(G271&lt;&gt;0,1,)</f>
        <v>1</v>
      </c>
    </row>
    <row r="272" spans="2:9">
      <c r="C272" s="642" t="s">
        <v>1663</v>
      </c>
      <c r="D272" s="347" t="s">
        <v>1858</v>
      </c>
      <c r="E272" s="642" t="s">
        <v>1776</v>
      </c>
      <c r="F272" s="642" t="s">
        <v>1860</v>
      </c>
      <c r="G272" s="347">
        <f>ROUND(5.5%*G262,0)</f>
        <v>128839</v>
      </c>
      <c r="H272" s="332">
        <f t="shared" si="15"/>
        <v>1</v>
      </c>
    </row>
    <row r="273" spans="2:9" ht="18">
      <c r="C273" s="642"/>
      <c r="D273" s="347" t="s">
        <v>1861</v>
      </c>
      <c r="E273" s="642" t="s">
        <v>2775</v>
      </c>
      <c r="F273" s="642" t="s">
        <v>2807</v>
      </c>
      <c r="G273" s="347">
        <f>G262+G272</f>
        <v>2471364</v>
      </c>
      <c r="H273" s="332">
        <f t="shared" si="15"/>
        <v>1</v>
      </c>
    </row>
    <row r="274" spans="2:9" ht="18">
      <c r="C274" s="642" t="s">
        <v>1673</v>
      </c>
      <c r="D274" s="347" t="s">
        <v>1862</v>
      </c>
      <c r="E274" s="642" t="s">
        <v>1863</v>
      </c>
      <c r="F274" s="642" t="s">
        <v>2770</v>
      </c>
      <c r="G274" s="347">
        <f>ROUND(6%*G273,0)</f>
        <v>148282</v>
      </c>
      <c r="H274" s="332">
        <f t="shared" si="15"/>
        <v>1</v>
      </c>
    </row>
    <row r="275" spans="2:9" ht="18">
      <c r="B275" s="332" t="str">
        <f>"XL"&amp;B261</f>
        <v>XLTRNC2X50</v>
      </c>
      <c r="C275" s="634"/>
      <c r="D275" s="635" t="s">
        <v>1949</v>
      </c>
      <c r="E275" s="634" t="s">
        <v>1866</v>
      </c>
      <c r="F275" s="634" t="s">
        <v>2771</v>
      </c>
      <c r="G275" s="635">
        <f>G273+G274</f>
        <v>2619646</v>
      </c>
      <c r="H275" s="332">
        <f t="shared" si="15"/>
        <v>1</v>
      </c>
    </row>
    <row r="276" spans="2:9">
      <c r="C276" s="642" t="s">
        <v>1717</v>
      </c>
      <c r="D276" s="347" t="s">
        <v>1867</v>
      </c>
      <c r="E276" s="642" t="s">
        <v>1868</v>
      </c>
      <c r="F276" s="642" t="s">
        <v>1869</v>
      </c>
      <c r="G276" s="347">
        <f>ROUND(10%*G275,0)</f>
        <v>261965</v>
      </c>
      <c r="H276" s="332">
        <f t="shared" si="15"/>
        <v>1</v>
      </c>
    </row>
    <row r="277" spans="2:9" ht="18">
      <c r="C277" s="642" t="s">
        <v>1729</v>
      </c>
      <c r="D277" s="347" t="s">
        <v>1950</v>
      </c>
      <c r="E277" s="642" t="s">
        <v>2765</v>
      </c>
      <c r="F277" s="642" t="s">
        <v>1871</v>
      </c>
      <c r="G277" s="347">
        <f>G275+G276</f>
        <v>2881611</v>
      </c>
      <c r="H277" s="332">
        <f t="shared" si="15"/>
        <v>1</v>
      </c>
    </row>
    <row r="278" spans="2:9" s="334" customFormat="1">
      <c r="B278" s="334" t="s">
        <v>3222</v>
      </c>
      <c r="C278" s="365"/>
      <c r="D278" s="366" t="str">
        <f>VLOOKUP(B278,CTTBA,'7.CT-TBA'!$E$25,0)</f>
        <v>2 Trạm NC từ 2x75kVA lên 3x75kVA</v>
      </c>
      <c r="E278" s="365"/>
      <c r="F278" s="365"/>
      <c r="G278" s="365"/>
      <c r="H278" s="334">
        <f>IF(SUM(H279:H294)&lt;&gt;0,1,)</f>
        <v>1</v>
      </c>
    </row>
    <row r="279" spans="2:9">
      <c r="C279" s="346" t="s">
        <v>1631</v>
      </c>
      <c r="D279" s="347" t="s">
        <v>1845</v>
      </c>
      <c r="E279" s="346" t="s">
        <v>1846</v>
      </c>
      <c r="F279" s="346" t="s">
        <v>1875</v>
      </c>
      <c r="G279" s="347">
        <f>G280+G283+G286</f>
        <v>16462007</v>
      </c>
      <c r="H279" s="332">
        <f>IF(G279&lt;&gt;0,1,)</f>
        <v>1</v>
      </c>
    </row>
    <row r="280" spans="2:9" ht="18.600000000000001">
      <c r="C280" s="348">
        <v>1</v>
      </c>
      <c r="D280" s="349" t="s">
        <v>1847</v>
      </c>
      <c r="E280" s="348" t="s">
        <v>1765</v>
      </c>
      <c r="F280" s="348" t="s">
        <v>2753</v>
      </c>
      <c r="G280" s="349">
        <f>G281+G282</f>
        <v>0</v>
      </c>
      <c r="H280" s="332">
        <f>H281</f>
        <v>1</v>
      </c>
    </row>
    <row r="281" spans="2:9" ht="18">
      <c r="B281" s="332" t="str">
        <f>"VL"&amp;B278</f>
        <v>VLTRNC2X75</v>
      </c>
      <c r="C281" s="350"/>
      <c r="D281" s="351" t="s">
        <v>2579</v>
      </c>
      <c r="E281" s="350" t="s">
        <v>2754</v>
      </c>
      <c r="F281" s="350" t="s">
        <v>1849</v>
      </c>
      <c r="G281" s="351">
        <f>ROUND(VLOOKUP(B281,CTTBA,I281,0),0)</f>
        <v>0</v>
      </c>
      <c r="H281" s="332">
        <f>IF(SUM(H282:H294)&lt;&gt;0,1,)</f>
        <v>1</v>
      </c>
      <c r="I281" s="332">
        <f>'7.CT-TBA'!$N$25</f>
        <v>14</v>
      </c>
    </row>
    <row r="282" spans="2:9" ht="18" hidden="1">
      <c r="C282" s="350"/>
      <c r="D282" s="351" t="s">
        <v>1945</v>
      </c>
      <c r="E282" s="350" t="s">
        <v>2757</v>
      </c>
      <c r="F282" s="350" t="s">
        <v>2779</v>
      </c>
      <c r="G282" s="351"/>
      <c r="H282" s="332">
        <f>IF(G282&lt;&gt;0,1,)</f>
        <v>0</v>
      </c>
    </row>
    <row r="283" spans="2:9" ht="18.600000000000001">
      <c r="C283" s="348">
        <v>2</v>
      </c>
      <c r="D283" s="349" t="s">
        <v>1946</v>
      </c>
      <c r="E283" s="348" t="s">
        <v>1764</v>
      </c>
      <c r="F283" s="348" t="s">
        <v>2759</v>
      </c>
      <c r="G283" s="349">
        <f>G284+G285</f>
        <v>14536323</v>
      </c>
      <c r="H283" s="332">
        <f>IF(G283&lt;&gt;0,1,)</f>
        <v>1</v>
      </c>
    </row>
    <row r="284" spans="2:9" ht="18">
      <c r="B284" s="332" t="str">
        <f>B281</f>
        <v>VLTRNC2X75</v>
      </c>
      <c r="C284" s="350"/>
      <c r="D284" s="351" t="s">
        <v>1952</v>
      </c>
      <c r="E284" s="350" t="s">
        <v>2755</v>
      </c>
      <c r="F284" s="350" t="s">
        <v>3377</v>
      </c>
      <c r="G284" s="351">
        <f>ROUND(VLOOKUP(B284,CTTBA,I284,0)*NCTBA,0)</f>
        <v>10352170</v>
      </c>
      <c r="H284" s="332">
        <f>IF(G284&lt;&gt;0,1,)</f>
        <v>1</v>
      </c>
      <c r="I284" s="332">
        <f>'7.CT-TBA'!$O$25</f>
        <v>15</v>
      </c>
    </row>
    <row r="285" spans="2:9" ht="18">
      <c r="C285" s="350"/>
      <c r="D285" s="351" t="s">
        <v>1951</v>
      </c>
      <c r="E285" s="350" t="s">
        <v>2758</v>
      </c>
      <c r="F285" s="350" t="s">
        <v>3378</v>
      </c>
      <c r="G285" s="351">
        <f>ROUND(VLOOKUP(B278,NCTL,'11.CP-VTTH'!$M$2,0)*NCTBA,0)</f>
        <v>4184153</v>
      </c>
      <c r="H285" s="332">
        <f>IF(G285&lt;&gt;0,1,)</f>
        <v>1</v>
      </c>
    </row>
    <row r="286" spans="2:9" ht="18.600000000000001">
      <c r="C286" s="348">
        <v>3</v>
      </c>
      <c r="D286" s="349" t="s">
        <v>1855</v>
      </c>
      <c r="E286" s="348" t="s">
        <v>1774</v>
      </c>
      <c r="F286" s="348" t="s">
        <v>2761</v>
      </c>
      <c r="G286" s="349">
        <f>G287+G288</f>
        <v>1925684</v>
      </c>
      <c r="H286" s="332">
        <f>H287</f>
        <v>1</v>
      </c>
    </row>
    <row r="287" spans="2:9" ht="18">
      <c r="B287" s="332" t="str">
        <f>B281</f>
        <v>VLTRNC2X75</v>
      </c>
      <c r="C287" s="350"/>
      <c r="D287" s="351" t="s">
        <v>1953</v>
      </c>
      <c r="E287" s="350" t="s">
        <v>2756</v>
      </c>
      <c r="F287" s="350" t="s">
        <v>2766</v>
      </c>
      <c r="G287" s="351">
        <f>ROUND(VLOOKUP(B287,CTTBA,I287,0),0)</f>
        <v>260956</v>
      </c>
      <c r="H287" s="332">
        <f>IF(SUM(H288:H294)&lt;&gt;0,1,)</f>
        <v>1</v>
      </c>
      <c r="I287" s="332">
        <f>'7.CT-TBA'!$P$25</f>
        <v>16</v>
      </c>
    </row>
    <row r="288" spans="2:9" ht="18">
      <c r="C288" s="350"/>
      <c r="D288" s="351" t="s">
        <v>1954</v>
      </c>
      <c r="E288" s="350" t="s">
        <v>2760</v>
      </c>
      <c r="F288" s="350" t="s">
        <v>2767</v>
      </c>
      <c r="G288" s="351">
        <f>ROUND(VLOOKUP(B278,NCTL,'11.CP-VTTH'!$N$2,0),0)</f>
        <v>1664728</v>
      </c>
      <c r="H288" s="332">
        <f t="shared" ref="H288:H294" si="16">IF(G288&lt;&gt;0,1,)</f>
        <v>1</v>
      </c>
    </row>
    <row r="289" spans="2:9">
      <c r="C289" s="346" t="s">
        <v>1663</v>
      </c>
      <c r="D289" s="347" t="s">
        <v>1858</v>
      </c>
      <c r="E289" s="346" t="s">
        <v>1776</v>
      </c>
      <c r="F289" s="346" t="s">
        <v>1860</v>
      </c>
      <c r="G289" s="347">
        <f>ROUND(5.5%*G279,0)</f>
        <v>905410</v>
      </c>
      <c r="H289" s="332">
        <f t="shared" si="16"/>
        <v>1</v>
      </c>
    </row>
    <row r="290" spans="2:9" ht="18">
      <c r="C290" s="346"/>
      <c r="D290" s="347" t="s">
        <v>1861</v>
      </c>
      <c r="E290" s="346" t="s">
        <v>2775</v>
      </c>
      <c r="F290" s="346" t="s">
        <v>2807</v>
      </c>
      <c r="G290" s="347">
        <f>G279+G289</f>
        <v>17367417</v>
      </c>
      <c r="H290" s="332">
        <f t="shared" si="16"/>
        <v>1</v>
      </c>
    </row>
    <row r="291" spans="2:9" ht="18">
      <c r="C291" s="346" t="s">
        <v>1673</v>
      </c>
      <c r="D291" s="347" t="s">
        <v>1862</v>
      </c>
      <c r="E291" s="346" t="s">
        <v>1863</v>
      </c>
      <c r="F291" s="346" t="s">
        <v>2770</v>
      </c>
      <c r="G291" s="347">
        <f>ROUND(6%*G290,0)</f>
        <v>1042045</v>
      </c>
      <c r="H291" s="332">
        <f t="shared" si="16"/>
        <v>1</v>
      </c>
    </row>
    <row r="292" spans="2:9" ht="18">
      <c r="B292" s="332" t="str">
        <f>"XL"&amp;B278</f>
        <v>XLTRNC2X75</v>
      </c>
      <c r="C292" s="634"/>
      <c r="D292" s="635" t="s">
        <v>1949</v>
      </c>
      <c r="E292" s="634" t="s">
        <v>1866</v>
      </c>
      <c r="F292" s="634" t="s">
        <v>2771</v>
      </c>
      <c r="G292" s="635">
        <f>G290+G291</f>
        <v>18409462</v>
      </c>
      <c r="H292" s="332">
        <f t="shared" si="16"/>
        <v>1</v>
      </c>
    </row>
    <row r="293" spans="2:9">
      <c r="C293" s="346" t="s">
        <v>1717</v>
      </c>
      <c r="D293" s="347" t="s">
        <v>1867</v>
      </c>
      <c r="E293" s="346" t="s">
        <v>1868</v>
      </c>
      <c r="F293" s="346" t="s">
        <v>1869</v>
      </c>
      <c r="G293" s="347">
        <f>ROUND(10%*G292,0)</f>
        <v>1840946</v>
      </c>
      <c r="H293" s="332">
        <f t="shared" si="16"/>
        <v>1</v>
      </c>
    </row>
    <row r="294" spans="2:9" ht="18">
      <c r="C294" s="346" t="s">
        <v>1729</v>
      </c>
      <c r="D294" s="347" t="s">
        <v>1950</v>
      </c>
      <c r="E294" s="346" t="s">
        <v>2765</v>
      </c>
      <c r="F294" s="346" t="s">
        <v>1871</v>
      </c>
      <c r="G294" s="347">
        <f>G292+G293</f>
        <v>20250408</v>
      </c>
      <c r="H294" s="332">
        <f t="shared" si="16"/>
        <v>1</v>
      </c>
    </row>
    <row r="295" spans="2:9" s="334" customFormat="1">
      <c r="B295" s="334" t="s">
        <v>3223</v>
      </c>
      <c r="C295" s="365"/>
      <c r="D295" s="366" t="str">
        <f>VLOOKUP(B295,CTTBA,'7.CT-TBA'!$E$25,0)</f>
        <v>1 Trạm NC từ 2x100kVA lên 3x100kVA</v>
      </c>
      <c r="E295" s="365"/>
      <c r="F295" s="365"/>
      <c r="G295" s="365"/>
      <c r="H295" s="334">
        <f>IF(SUM(H296:H311)&lt;&gt;0,1,)</f>
        <v>1</v>
      </c>
    </row>
    <row r="296" spans="2:9">
      <c r="C296" s="346" t="s">
        <v>1631</v>
      </c>
      <c r="D296" s="347" t="s">
        <v>1845</v>
      </c>
      <c r="E296" s="346" t="s">
        <v>1846</v>
      </c>
      <c r="F296" s="346" t="s">
        <v>1875</v>
      </c>
      <c r="G296" s="347">
        <f>G297+G300+G303</f>
        <v>5830077</v>
      </c>
      <c r="H296" s="332">
        <f>IF(G296&lt;&gt;0,1,)</f>
        <v>1</v>
      </c>
    </row>
    <row r="297" spans="2:9" ht="18.600000000000001">
      <c r="C297" s="348">
        <v>1</v>
      </c>
      <c r="D297" s="349" t="s">
        <v>1847</v>
      </c>
      <c r="E297" s="348" t="s">
        <v>1765</v>
      </c>
      <c r="F297" s="348" t="s">
        <v>2753</v>
      </c>
      <c r="G297" s="349">
        <f>G298+G299</f>
        <v>0</v>
      </c>
      <c r="H297" s="332">
        <f>H298</f>
        <v>1</v>
      </c>
    </row>
    <row r="298" spans="2:9" ht="18">
      <c r="B298" s="332" t="str">
        <f>"VL"&amp;B295</f>
        <v>VLTRNC2X100</v>
      </c>
      <c r="C298" s="350"/>
      <c r="D298" s="351" t="s">
        <v>2579</v>
      </c>
      <c r="E298" s="350" t="s">
        <v>2754</v>
      </c>
      <c r="F298" s="350" t="s">
        <v>1849</v>
      </c>
      <c r="G298" s="351">
        <f>ROUND(VLOOKUP(B298,CTTBA,I298,0),0)</f>
        <v>0</v>
      </c>
      <c r="H298" s="332">
        <f>IF(SUM(H299:H311)&lt;&gt;0,1,)</f>
        <v>1</v>
      </c>
      <c r="I298" s="332">
        <f>'7.CT-TBA'!$N$25</f>
        <v>14</v>
      </c>
    </row>
    <row r="299" spans="2:9" ht="18" hidden="1">
      <c r="C299" s="350"/>
      <c r="D299" s="351" t="s">
        <v>1945</v>
      </c>
      <c r="E299" s="350" t="s">
        <v>2757</v>
      </c>
      <c r="F299" s="350" t="s">
        <v>2779</v>
      </c>
      <c r="G299" s="351"/>
      <c r="H299" s="332">
        <f>IF(G299&lt;&gt;0,1,)</f>
        <v>0</v>
      </c>
    </row>
    <row r="300" spans="2:9" ht="18.600000000000001">
      <c r="C300" s="348">
        <v>2</v>
      </c>
      <c r="D300" s="349" t="s">
        <v>1946</v>
      </c>
      <c r="E300" s="348" t="s">
        <v>1764</v>
      </c>
      <c r="F300" s="348" t="s">
        <v>2759</v>
      </c>
      <c r="G300" s="349">
        <f>G301+G302</f>
        <v>5247164</v>
      </c>
      <c r="H300" s="332">
        <f>IF(G300&lt;&gt;0,1,)</f>
        <v>1</v>
      </c>
    </row>
    <row r="301" spans="2:9" ht="18">
      <c r="B301" s="332" t="str">
        <f>B298</f>
        <v>VLTRNC2X100</v>
      </c>
      <c r="C301" s="350"/>
      <c r="D301" s="351" t="s">
        <v>1952</v>
      </c>
      <c r="E301" s="350" t="s">
        <v>2755</v>
      </c>
      <c r="F301" s="350" t="s">
        <v>3377</v>
      </c>
      <c r="G301" s="351">
        <f>ROUND(VLOOKUP(B301,CTTBA,I301,0)*NCTBA,0)</f>
        <v>4021299</v>
      </c>
      <c r="H301" s="332">
        <f>IF(G301&lt;&gt;0,1,)</f>
        <v>1</v>
      </c>
      <c r="I301" s="332">
        <f>'7.CT-TBA'!$O$25</f>
        <v>15</v>
      </c>
    </row>
    <row r="302" spans="2:9" ht="18">
      <c r="C302" s="350"/>
      <c r="D302" s="351" t="s">
        <v>1951</v>
      </c>
      <c r="E302" s="350" t="s">
        <v>2758</v>
      </c>
      <c r="F302" s="350" t="s">
        <v>3378</v>
      </c>
      <c r="G302" s="351">
        <f>ROUND(VLOOKUP(B295,NCTL,'11.CP-VTTH'!$M$2,0)*NCTBA,0)</f>
        <v>1225865</v>
      </c>
      <c r="H302" s="332">
        <f>IF(G302&lt;&gt;0,1,)</f>
        <v>1</v>
      </c>
    </row>
    <row r="303" spans="2:9" ht="18.600000000000001">
      <c r="C303" s="348">
        <v>3</v>
      </c>
      <c r="D303" s="349" t="s">
        <v>1855</v>
      </c>
      <c r="E303" s="348" t="s">
        <v>1774</v>
      </c>
      <c r="F303" s="348" t="s">
        <v>2761</v>
      </c>
      <c r="G303" s="349">
        <f>G304+G305</f>
        <v>582913</v>
      </c>
      <c r="H303" s="332">
        <f>H304</f>
        <v>1</v>
      </c>
    </row>
    <row r="304" spans="2:9" ht="18">
      <c r="B304" s="332" t="str">
        <f>B298</f>
        <v>VLTRNC2X100</v>
      </c>
      <c r="C304" s="350"/>
      <c r="D304" s="351" t="s">
        <v>1953</v>
      </c>
      <c r="E304" s="350" t="s">
        <v>2756</v>
      </c>
      <c r="F304" s="350" t="s">
        <v>2766</v>
      </c>
      <c r="G304" s="351">
        <f>ROUND(VLOOKUP(B304,CTTBA,I304,0),0)</f>
        <v>111154</v>
      </c>
      <c r="H304" s="332">
        <f>IF(SUM(H305:H311)&lt;&gt;0,1,)</f>
        <v>1</v>
      </c>
      <c r="I304" s="332">
        <f>'7.CT-TBA'!$P$25</f>
        <v>16</v>
      </c>
    </row>
    <row r="305" spans="2:9" ht="18">
      <c r="C305" s="350"/>
      <c r="D305" s="351" t="s">
        <v>1954</v>
      </c>
      <c r="E305" s="350" t="s">
        <v>2760</v>
      </c>
      <c r="F305" s="350" t="s">
        <v>2767</v>
      </c>
      <c r="G305" s="351">
        <f>ROUND(VLOOKUP(B295,NCTL,'11.CP-VTTH'!$N$2,0),0)</f>
        <v>471759</v>
      </c>
      <c r="H305" s="332">
        <f t="shared" ref="H305:H311" si="17">IF(G305&lt;&gt;0,1,)</f>
        <v>1</v>
      </c>
    </row>
    <row r="306" spans="2:9">
      <c r="C306" s="346" t="s">
        <v>1663</v>
      </c>
      <c r="D306" s="347" t="s">
        <v>1858</v>
      </c>
      <c r="E306" s="346" t="s">
        <v>1776</v>
      </c>
      <c r="F306" s="346" t="s">
        <v>1860</v>
      </c>
      <c r="G306" s="347">
        <f>ROUND(5.5%*G296,0)</f>
        <v>320654</v>
      </c>
      <c r="H306" s="332">
        <f t="shared" si="17"/>
        <v>1</v>
      </c>
    </row>
    <row r="307" spans="2:9" ht="18">
      <c r="C307" s="346"/>
      <c r="D307" s="347" t="s">
        <v>1861</v>
      </c>
      <c r="E307" s="346" t="s">
        <v>2775</v>
      </c>
      <c r="F307" s="346" t="s">
        <v>2807</v>
      </c>
      <c r="G307" s="347">
        <f>G296+G306</f>
        <v>6150731</v>
      </c>
      <c r="H307" s="332">
        <f t="shared" si="17"/>
        <v>1</v>
      </c>
    </row>
    <row r="308" spans="2:9" ht="18">
      <c r="C308" s="346" t="s">
        <v>1673</v>
      </c>
      <c r="D308" s="347" t="s">
        <v>1862</v>
      </c>
      <c r="E308" s="346" t="s">
        <v>1863</v>
      </c>
      <c r="F308" s="346" t="s">
        <v>2770</v>
      </c>
      <c r="G308" s="347">
        <f>ROUND(6%*G307,0)</f>
        <v>369044</v>
      </c>
      <c r="H308" s="332">
        <f t="shared" si="17"/>
        <v>1</v>
      </c>
    </row>
    <row r="309" spans="2:9" ht="18">
      <c r="B309" s="332" t="str">
        <f>"XL"&amp;B295</f>
        <v>XLTRNC2X100</v>
      </c>
      <c r="C309" s="634"/>
      <c r="D309" s="635" t="s">
        <v>1949</v>
      </c>
      <c r="E309" s="634" t="s">
        <v>1866</v>
      </c>
      <c r="F309" s="634" t="s">
        <v>2771</v>
      </c>
      <c r="G309" s="635">
        <f>G307+G308</f>
        <v>6519775</v>
      </c>
      <c r="H309" s="332">
        <f t="shared" si="17"/>
        <v>1</v>
      </c>
    </row>
    <row r="310" spans="2:9">
      <c r="C310" s="346" t="s">
        <v>1717</v>
      </c>
      <c r="D310" s="347" t="s">
        <v>1867</v>
      </c>
      <c r="E310" s="346" t="s">
        <v>1868</v>
      </c>
      <c r="F310" s="346" t="s">
        <v>1869</v>
      </c>
      <c r="G310" s="347">
        <f>ROUND(10%*G309,0)</f>
        <v>651978</v>
      </c>
      <c r="H310" s="332">
        <f t="shared" si="17"/>
        <v>1</v>
      </c>
    </row>
    <row r="311" spans="2:9" ht="18">
      <c r="C311" s="346" t="s">
        <v>1729</v>
      </c>
      <c r="D311" s="347" t="s">
        <v>1950</v>
      </c>
      <c r="E311" s="346" t="s">
        <v>2765</v>
      </c>
      <c r="F311" s="346" t="s">
        <v>1871</v>
      </c>
      <c r="G311" s="347">
        <f>G309+G310</f>
        <v>7171753</v>
      </c>
      <c r="H311" s="332">
        <f t="shared" si="17"/>
        <v>1</v>
      </c>
    </row>
    <row r="312" spans="2:9" s="334" customFormat="1">
      <c r="B312" s="334" t="s">
        <v>3243</v>
      </c>
      <c r="C312" s="365"/>
      <c r="D312" s="366" t="str">
        <f>VLOOKUP(B312,CTTBA,'7.CT-TBA'!$E$25,0)</f>
        <v>2 Trạm 1 pha di dời</v>
      </c>
      <c r="E312" s="365"/>
      <c r="F312" s="365"/>
      <c r="G312" s="365"/>
      <c r="H312" s="334">
        <f>IF(SUM(H313:H328)&lt;&gt;0,1,)</f>
        <v>1</v>
      </c>
    </row>
    <row r="313" spans="2:9">
      <c r="C313" s="346" t="s">
        <v>1631</v>
      </c>
      <c r="D313" s="347" t="s">
        <v>1845</v>
      </c>
      <c r="E313" s="346" t="s">
        <v>1846</v>
      </c>
      <c r="F313" s="346" t="s">
        <v>1875</v>
      </c>
      <c r="G313" s="347">
        <f>G314+G317+G320</f>
        <v>25234996</v>
      </c>
      <c r="H313" s="332">
        <f>IF(G313&lt;&gt;0,1,)</f>
        <v>1</v>
      </c>
    </row>
    <row r="314" spans="2:9" ht="18.600000000000001">
      <c r="C314" s="348">
        <v>1</v>
      </c>
      <c r="D314" s="349" t="s">
        <v>1847</v>
      </c>
      <c r="E314" s="348" t="s">
        <v>1765</v>
      </c>
      <c r="F314" s="348" t="s">
        <v>2753</v>
      </c>
      <c r="G314" s="349">
        <f>G315+G316</f>
        <v>0</v>
      </c>
      <c r="H314" s="332">
        <f>H315</f>
        <v>1</v>
      </c>
    </row>
    <row r="315" spans="2:9" ht="18">
      <c r="B315" s="332" t="str">
        <f>"VL"&amp;B312</f>
        <v>VLDTR1P</v>
      </c>
      <c r="C315" s="350"/>
      <c r="D315" s="351" t="s">
        <v>2579</v>
      </c>
      <c r="E315" s="350" t="s">
        <v>2754</v>
      </c>
      <c r="F315" s="350" t="s">
        <v>1849</v>
      </c>
      <c r="G315" s="351">
        <f>ROUND(VLOOKUP(B315,CTTBA,I315,0),0)</f>
        <v>0</v>
      </c>
      <c r="H315" s="332">
        <f>IF(SUM(H316:H328)&lt;&gt;0,1,)</f>
        <v>1</v>
      </c>
      <c r="I315" s="332">
        <f>'7.CT-TBA'!$N$25</f>
        <v>14</v>
      </c>
    </row>
    <row r="316" spans="2:9" ht="18" hidden="1">
      <c r="C316" s="350"/>
      <c r="D316" s="351" t="s">
        <v>1945</v>
      </c>
      <c r="E316" s="350" t="s">
        <v>2757</v>
      </c>
      <c r="F316" s="350" t="s">
        <v>2779</v>
      </c>
      <c r="G316" s="351"/>
      <c r="H316" s="332">
        <f>IF(G316&lt;&gt;0,1,)</f>
        <v>0</v>
      </c>
    </row>
    <row r="317" spans="2:9" ht="18.600000000000001">
      <c r="C317" s="348">
        <v>2</v>
      </c>
      <c r="D317" s="349" t="s">
        <v>1946</v>
      </c>
      <c r="E317" s="348" t="s">
        <v>1764</v>
      </c>
      <c r="F317" s="348" t="s">
        <v>2759</v>
      </c>
      <c r="G317" s="349">
        <f>G318+G319</f>
        <v>20883253</v>
      </c>
      <c r="H317" s="332">
        <f>IF(G317&lt;&gt;0,1,)</f>
        <v>1</v>
      </c>
    </row>
    <row r="318" spans="2:9" ht="18">
      <c r="B318" s="332" t="str">
        <f>B315</f>
        <v>VLDTR1P</v>
      </c>
      <c r="C318" s="350"/>
      <c r="D318" s="351" t="s">
        <v>1952</v>
      </c>
      <c r="E318" s="350" t="s">
        <v>2755</v>
      </c>
      <c r="F318" s="350" t="s">
        <v>3377</v>
      </c>
      <c r="G318" s="351">
        <f>ROUND(VLOOKUP(B318,CTTBA,I318,0)*NCTBA,0)</f>
        <v>9640922</v>
      </c>
      <c r="H318" s="332">
        <f>IF(G318&lt;&gt;0,1,)</f>
        <v>1</v>
      </c>
      <c r="I318" s="332">
        <f>'7.CT-TBA'!$O$25</f>
        <v>15</v>
      </c>
    </row>
    <row r="319" spans="2:9" ht="18">
      <c r="C319" s="350"/>
      <c r="D319" s="351" t="s">
        <v>1951</v>
      </c>
      <c r="E319" s="350" t="s">
        <v>2758</v>
      </c>
      <c r="F319" s="350" t="s">
        <v>3378</v>
      </c>
      <c r="G319" s="351">
        <f>ROUND(VLOOKUP(B312,NCTL,'11.CP-VTTH'!$M$2,0)*NCTBA,0)</f>
        <v>11242331</v>
      </c>
      <c r="H319" s="332">
        <f>IF(G319&lt;&gt;0,1,)</f>
        <v>1</v>
      </c>
    </row>
    <row r="320" spans="2:9" ht="18.600000000000001">
      <c r="C320" s="348">
        <v>3</v>
      </c>
      <c r="D320" s="349" t="s">
        <v>1855</v>
      </c>
      <c r="E320" s="348" t="s">
        <v>1774</v>
      </c>
      <c r="F320" s="348" t="s">
        <v>2761</v>
      </c>
      <c r="G320" s="349">
        <f>G321+G322</f>
        <v>4351743</v>
      </c>
      <c r="H320" s="332">
        <f>H321</f>
        <v>1</v>
      </c>
    </row>
    <row r="321" spans="2:9" ht="18">
      <c r="B321" s="332" t="str">
        <f>B315</f>
        <v>VLDTR1P</v>
      </c>
      <c r="C321" s="350"/>
      <c r="D321" s="351" t="s">
        <v>1953</v>
      </c>
      <c r="E321" s="350" t="s">
        <v>2756</v>
      </c>
      <c r="F321" s="350" t="s">
        <v>2766</v>
      </c>
      <c r="G321" s="351">
        <f>ROUND(VLOOKUP(B321,CTTBA,I321,0),0)</f>
        <v>301077</v>
      </c>
      <c r="H321" s="332">
        <f>IF(SUM(H322:H328)&lt;&gt;0,1,)</f>
        <v>1</v>
      </c>
      <c r="I321" s="332">
        <f>'7.CT-TBA'!$P$25</f>
        <v>16</v>
      </c>
    </row>
    <row r="322" spans="2:9" ht="18">
      <c r="C322" s="350"/>
      <c r="D322" s="351" t="s">
        <v>1954</v>
      </c>
      <c r="E322" s="350" t="s">
        <v>2760</v>
      </c>
      <c r="F322" s="350" t="s">
        <v>2767</v>
      </c>
      <c r="G322" s="351">
        <f>ROUND(VLOOKUP(B312,NCTL,'11.CP-VTTH'!$N$2,0),0)</f>
        <v>4050666</v>
      </c>
      <c r="H322" s="332">
        <f t="shared" ref="H322:H328" si="18">IF(G322&lt;&gt;0,1,)</f>
        <v>1</v>
      </c>
    </row>
    <row r="323" spans="2:9">
      <c r="C323" s="346" t="s">
        <v>1663</v>
      </c>
      <c r="D323" s="347" t="s">
        <v>1858</v>
      </c>
      <c r="E323" s="346" t="s">
        <v>1776</v>
      </c>
      <c r="F323" s="346" t="s">
        <v>1860</v>
      </c>
      <c r="G323" s="347">
        <f>ROUND(5.5%*G313,0)</f>
        <v>1387925</v>
      </c>
      <c r="H323" s="332">
        <f t="shared" si="18"/>
        <v>1</v>
      </c>
    </row>
    <row r="324" spans="2:9" ht="18">
      <c r="C324" s="346"/>
      <c r="D324" s="347" t="s">
        <v>1861</v>
      </c>
      <c r="E324" s="346" t="s">
        <v>2775</v>
      </c>
      <c r="F324" s="346" t="s">
        <v>2807</v>
      </c>
      <c r="G324" s="347">
        <f>G313+G323</f>
        <v>26622921</v>
      </c>
      <c r="H324" s="332">
        <f t="shared" si="18"/>
        <v>1</v>
      </c>
    </row>
    <row r="325" spans="2:9" ht="18">
      <c r="C325" s="346" t="s">
        <v>1673</v>
      </c>
      <c r="D325" s="347" t="s">
        <v>1862</v>
      </c>
      <c r="E325" s="346" t="s">
        <v>1863</v>
      </c>
      <c r="F325" s="346" t="s">
        <v>2770</v>
      </c>
      <c r="G325" s="347">
        <f>ROUND(6%*G324,0)</f>
        <v>1597375</v>
      </c>
      <c r="H325" s="332">
        <f t="shared" si="18"/>
        <v>1</v>
      </c>
    </row>
    <row r="326" spans="2:9" ht="18">
      <c r="B326" s="332" t="str">
        <f>"XL"&amp;B312</f>
        <v>XLDTR1P</v>
      </c>
      <c r="C326" s="634"/>
      <c r="D326" s="635" t="s">
        <v>1949</v>
      </c>
      <c r="E326" s="634" t="s">
        <v>1866</v>
      </c>
      <c r="F326" s="634" t="s">
        <v>2771</v>
      </c>
      <c r="G326" s="635">
        <f>G324+G325</f>
        <v>28220296</v>
      </c>
      <c r="H326" s="332">
        <f t="shared" si="18"/>
        <v>1</v>
      </c>
    </row>
    <row r="327" spans="2:9">
      <c r="C327" s="346" t="s">
        <v>1717</v>
      </c>
      <c r="D327" s="347" t="s">
        <v>1867</v>
      </c>
      <c r="E327" s="346" t="s">
        <v>1868</v>
      </c>
      <c r="F327" s="346" t="s">
        <v>1869</v>
      </c>
      <c r="G327" s="347">
        <f>ROUND(10%*G326,0)</f>
        <v>2822030</v>
      </c>
      <c r="H327" s="332">
        <f t="shared" si="18"/>
        <v>1</v>
      </c>
    </row>
    <row r="328" spans="2:9" ht="18">
      <c r="C328" s="346" t="s">
        <v>1729</v>
      </c>
      <c r="D328" s="347" t="s">
        <v>1950</v>
      </c>
      <c r="E328" s="346" t="s">
        <v>2765</v>
      </c>
      <c r="F328" s="346" t="s">
        <v>1871</v>
      </c>
      <c r="G328" s="347">
        <f>G326+G327</f>
        <v>31042326</v>
      </c>
      <c r="H328" s="332">
        <f t="shared" si="18"/>
        <v>1</v>
      </c>
    </row>
    <row r="329" spans="2:9" s="334" customFormat="1">
      <c r="B329" s="334" t="s">
        <v>3244</v>
      </c>
      <c r="C329" s="365"/>
      <c r="D329" s="366" t="str">
        <f>VLOOKUP(B329,CTTBA,'7.CT-TBA'!$E$25,0)</f>
        <v>2 Trạm 3 pha di dời</v>
      </c>
      <c r="E329" s="365"/>
      <c r="F329" s="365"/>
      <c r="G329" s="365"/>
      <c r="H329" s="334">
        <f>IF(SUM(H330:H345)&lt;&gt;0,1,)</f>
        <v>1</v>
      </c>
    </row>
    <row r="330" spans="2:9">
      <c r="C330" s="346" t="s">
        <v>1631</v>
      </c>
      <c r="D330" s="347" t="s">
        <v>1845</v>
      </c>
      <c r="E330" s="346" t="s">
        <v>1846</v>
      </c>
      <c r="F330" s="346" t="s">
        <v>1875</v>
      </c>
      <c r="G330" s="347">
        <f>G331+G334+G337</f>
        <v>11098468</v>
      </c>
      <c r="H330" s="332">
        <f>IF(G330&lt;&gt;0,1,)</f>
        <v>1</v>
      </c>
    </row>
    <row r="331" spans="2:9" ht="18.600000000000001">
      <c r="C331" s="348">
        <v>1</v>
      </c>
      <c r="D331" s="349" t="s">
        <v>1847</v>
      </c>
      <c r="E331" s="348" t="s">
        <v>1765</v>
      </c>
      <c r="F331" s="348" t="s">
        <v>2753</v>
      </c>
      <c r="G331" s="349">
        <f>G332+G333</f>
        <v>0</v>
      </c>
      <c r="H331" s="332">
        <f>H332</f>
        <v>1</v>
      </c>
    </row>
    <row r="332" spans="2:9" ht="18">
      <c r="B332" s="332" t="str">
        <f>"VL"&amp;B329</f>
        <v>VLDTR3P</v>
      </c>
      <c r="C332" s="350"/>
      <c r="D332" s="351" t="s">
        <v>2579</v>
      </c>
      <c r="E332" s="350" t="s">
        <v>2754</v>
      </c>
      <c r="F332" s="350" t="s">
        <v>1849</v>
      </c>
      <c r="G332" s="351">
        <f>ROUND(VLOOKUP(B332,CTTBA,I332,0),0)</f>
        <v>0</v>
      </c>
      <c r="H332" s="332">
        <f>IF(SUM(H333:H345)&lt;&gt;0,1,)</f>
        <v>1</v>
      </c>
      <c r="I332" s="332">
        <f>'7.CT-TBA'!$N$25</f>
        <v>14</v>
      </c>
    </row>
    <row r="333" spans="2:9" ht="18" hidden="1">
      <c r="C333" s="350"/>
      <c r="D333" s="351" t="s">
        <v>1945</v>
      </c>
      <c r="E333" s="350" t="s">
        <v>2757</v>
      </c>
      <c r="F333" s="350" t="s">
        <v>2779</v>
      </c>
      <c r="G333" s="351"/>
      <c r="H333" s="332">
        <f>IF(G333&lt;&gt;0,1,)</f>
        <v>0</v>
      </c>
    </row>
    <row r="334" spans="2:9" ht="18.600000000000001">
      <c r="C334" s="348">
        <v>2</v>
      </c>
      <c r="D334" s="349" t="s">
        <v>1946</v>
      </c>
      <c r="E334" s="348" t="s">
        <v>1764</v>
      </c>
      <c r="F334" s="348" t="s">
        <v>2759</v>
      </c>
      <c r="G334" s="349">
        <f>G335+G336</f>
        <v>10822515</v>
      </c>
      <c r="H334" s="332">
        <f>IF(G334&lt;&gt;0,1,)</f>
        <v>1</v>
      </c>
    </row>
    <row r="335" spans="2:9" ht="18">
      <c r="B335" s="332" t="str">
        <f>B332</f>
        <v>VLDTR3P</v>
      </c>
      <c r="C335" s="350"/>
      <c r="D335" s="351" t="s">
        <v>1952</v>
      </c>
      <c r="E335" s="350" t="s">
        <v>2755</v>
      </c>
      <c r="F335" s="350" t="s">
        <v>3377</v>
      </c>
      <c r="G335" s="351">
        <f>ROUND(VLOOKUP(B335,CTTBA,I335,0)*NCTBA,0)</f>
        <v>10822515</v>
      </c>
      <c r="H335" s="332">
        <f>IF(G335&lt;&gt;0,1,)</f>
        <v>1</v>
      </c>
      <c r="I335" s="332">
        <f>'7.CT-TBA'!$O$25</f>
        <v>15</v>
      </c>
    </row>
    <row r="336" spans="2:9" ht="18" hidden="1">
      <c r="C336" s="350"/>
      <c r="D336" s="351" t="s">
        <v>1951</v>
      </c>
      <c r="E336" s="350" t="s">
        <v>2758</v>
      </c>
      <c r="F336" s="350" t="s">
        <v>3378</v>
      </c>
      <c r="G336" s="351">
        <f>ROUND(VLOOKUP(B329,NCTL,'11.CP-VTTH'!$M$2,0)*NCTBA,0)</f>
        <v>0</v>
      </c>
      <c r="H336" s="332">
        <f>IF(G336&lt;&gt;0,1,)</f>
        <v>0</v>
      </c>
    </row>
    <row r="337" spans="2:9" ht="18.600000000000001">
      <c r="C337" s="348">
        <v>3</v>
      </c>
      <c r="D337" s="349" t="s">
        <v>1855</v>
      </c>
      <c r="E337" s="348" t="s">
        <v>1774</v>
      </c>
      <c r="F337" s="348" t="s">
        <v>2761</v>
      </c>
      <c r="G337" s="349">
        <f>G338+G339</f>
        <v>275953</v>
      </c>
      <c r="H337" s="332">
        <f>H338</f>
        <v>1</v>
      </c>
    </row>
    <row r="338" spans="2:9" ht="18">
      <c r="B338" s="332" t="str">
        <f>B332</f>
        <v>VLDTR3P</v>
      </c>
      <c r="C338" s="350"/>
      <c r="D338" s="351" t="s">
        <v>1953</v>
      </c>
      <c r="E338" s="350" t="s">
        <v>2756</v>
      </c>
      <c r="F338" s="350" t="s">
        <v>2766</v>
      </c>
      <c r="G338" s="351">
        <f>ROUND(VLOOKUP(B338,CTTBA,I338,0),0)</f>
        <v>275953</v>
      </c>
      <c r="H338" s="332">
        <f>IF(SUM(H339:H345)&lt;&gt;0,1,)</f>
        <v>1</v>
      </c>
      <c r="I338" s="332">
        <f>'7.CT-TBA'!$P$25</f>
        <v>16</v>
      </c>
    </row>
    <row r="339" spans="2:9" ht="18" hidden="1">
      <c r="C339" s="350"/>
      <c r="D339" s="351" t="s">
        <v>1954</v>
      </c>
      <c r="E339" s="350" t="s">
        <v>2760</v>
      </c>
      <c r="F339" s="350" t="s">
        <v>2767</v>
      </c>
      <c r="G339" s="351">
        <f>ROUND(VLOOKUP(B329,NCTL,'11.CP-VTTH'!$N$2,0),0)</f>
        <v>0</v>
      </c>
      <c r="H339" s="332">
        <f t="shared" ref="H339:H345" si="19">IF(G339&lt;&gt;0,1,)</f>
        <v>0</v>
      </c>
    </row>
    <row r="340" spans="2:9">
      <c r="C340" s="346" t="s">
        <v>1663</v>
      </c>
      <c r="D340" s="347" t="s">
        <v>1858</v>
      </c>
      <c r="E340" s="346" t="s">
        <v>1776</v>
      </c>
      <c r="F340" s="346" t="s">
        <v>1860</v>
      </c>
      <c r="G340" s="347">
        <f>ROUND(5.5%*G330,0)</f>
        <v>610416</v>
      </c>
      <c r="H340" s="332">
        <f t="shared" si="19"/>
        <v>1</v>
      </c>
    </row>
    <row r="341" spans="2:9" ht="18">
      <c r="C341" s="346"/>
      <c r="D341" s="347" t="s">
        <v>1861</v>
      </c>
      <c r="E341" s="346" t="s">
        <v>2775</v>
      </c>
      <c r="F341" s="346" t="s">
        <v>2807</v>
      </c>
      <c r="G341" s="347">
        <f>G330+G340</f>
        <v>11708884</v>
      </c>
      <c r="H341" s="332">
        <f t="shared" si="19"/>
        <v>1</v>
      </c>
    </row>
    <row r="342" spans="2:9" ht="18">
      <c r="C342" s="346" t="s">
        <v>1673</v>
      </c>
      <c r="D342" s="347" t="s">
        <v>1862</v>
      </c>
      <c r="E342" s="346" t="s">
        <v>1863</v>
      </c>
      <c r="F342" s="346" t="s">
        <v>2770</v>
      </c>
      <c r="G342" s="347">
        <f>ROUND(6%*G341,0)</f>
        <v>702533</v>
      </c>
      <c r="H342" s="332">
        <f t="shared" si="19"/>
        <v>1</v>
      </c>
    </row>
    <row r="343" spans="2:9" ht="18">
      <c r="B343" s="332" t="str">
        <f>"XL"&amp;B329</f>
        <v>XLDTR3P</v>
      </c>
      <c r="C343" s="634"/>
      <c r="D343" s="635" t="s">
        <v>1949</v>
      </c>
      <c r="E343" s="634" t="s">
        <v>1866</v>
      </c>
      <c r="F343" s="634" t="s">
        <v>2771</v>
      </c>
      <c r="G343" s="635">
        <f>G341+G342</f>
        <v>12411417</v>
      </c>
      <c r="H343" s="332">
        <f t="shared" si="19"/>
        <v>1</v>
      </c>
    </row>
    <row r="344" spans="2:9">
      <c r="C344" s="346" t="s">
        <v>1717</v>
      </c>
      <c r="D344" s="347" t="s">
        <v>1867</v>
      </c>
      <c r="E344" s="346" t="s">
        <v>1868</v>
      </c>
      <c r="F344" s="346" t="s">
        <v>1869</v>
      </c>
      <c r="G344" s="347">
        <f>ROUND(10%*G343,0)</f>
        <v>1241142</v>
      </c>
      <c r="H344" s="332">
        <f t="shared" si="19"/>
        <v>1</v>
      </c>
    </row>
    <row r="345" spans="2:9" ht="18">
      <c r="C345" s="346" t="s">
        <v>1729</v>
      </c>
      <c r="D345" s="347" t="s">
        <v>1950</v>
      </c>
      <c r="E345" s="346" t="s">
        <v>2765</v>
      </c>
      <c r="F345" s="346" t="s">
        <v>1871</v>
      </c>
      <c r="G345" s="347">
        <f>G343+G344</f>
        <v>13652559</v>
      </c>
      <c r="H345" s="332">
        <f t="shared" si="19"/>
        <v>1</v>
      </c>
    </row>
    <row r="346" spans="2:9" s="334" customFormat="1" hidden="1">
      <c r="B346" s="334" t="s">
        <v>2838</v>
      </c>
      <c r="C346" s="365"/>
      <c r="D346" s="366" t="str">
        <f>VLOOKUP(B346,CTTBA,'7.CT-TBA'!$E$25,0)</f>
        <v>0 Trạm 3 pha 160kVA (trạm giàn)</v>
      </c>
      <c r="E346" s="365"/>
      <c r="F346" s="365"/>
      <c r="G346" s="365"/>
      <c r="H346" s="334">
        <f>IF(SUM(H347:H362)&lt;&gt;0,1,)</f>
        <v>0</v>
      </c>
    </row>
    <row r="347" spans="2:9" hidden="1">
      <c r="C347" s="346" t="s">
        <v>1631</v>
      </c>
      <c r="D347" s="347" t="s">
        <v>1845</v>
      </c>
      <c r="E347" s="346" t="s">
        <v>1846</v>
      </c>
      <c r="F347" s="346" t="s">
        <v>1875</v>
      </c>
      <c r="G347" s="347">
        <f>G348+G351+G354</f>
        <v>0</v>
      </c>
      <c r="H347" s="332">
        <f>IF(G347&lt;&gt;0,1,)</f>
        <v>0</v>
      </c>
    </row>
    <row r="348" spans="2:9" ht="18.600000000000001" hidden="1">
      <c r="C348" s="348">
        <v>1</v>
      </c>
      <c r="D348" s="349" t="s">
        <v>1847</v>
      </c>
      <c r="E348" s="348" t="s">
        <v>1765</v>
      </c>
      <c r="F348" s="348" t="s">
        <v>2753</v>
      </c>
      <c r="G348" s="349">
        <f>G349+G350</f>
        <v>0</v>
      </c>
      <c r="H348" s="332">
        <f>H349</f>
        <v>0</v>
      </c>
    </row>
    <row r="349" spans="2:9" ht="18" hidden="1">
      <c r="B349" s="332" t="str">
        <f>"VL"&amp;B346</f>
        <v>VLT3P160</v>
      </c>
      <c r="C349" s="350"/>
      <c r="D349" s="351" t="s">
        <v>2579</v>
      </c>
      <c r="E349" s="350" t="s">
        <v>2754</v>
      </c>
      <c r="F349" s="350" t="s">
        <v>1849</v>
      </c>
      <c r="G349" s="351">
        <f>ROUND(VLOOKUP(B349,CTTBA,I349,0),0)</f>
        <v>0</v>
      </c>
      <c r="H349" s="332">
        <f>IF(SUM(H350:H362)&lt;&gt;0,1,)</f>
        <v>0</v>
      </c>
      <c r="I349" s="332">
        <f>'7.CT-TBA'!$N$25</f>
        <v>14</v>
      </c>
    </row>
    <row r="350" spans="2:9" ht="18" hidden="1">
      <c r="C350" s="350"/>
      <c r="D350" s="351" t="s">
        <v>1945</v>
      </c>
      <c r="E350" s="350" t="s">
        <v>2757</v>
      </c>
      <c r="F350" s="350" t="s">
        <v>2779</v>
      </c>
      <c r="G350" s="351"/>
      <c r="H350" s="332">
        <f>IF(G350&lt;&gt;0,1,)</f>
        <v>0</v>
      </c>
    </row>
    <row r="351" spans="2:9" ht="18.600000000000001" hidden="1">
      <c r="C351" s="348">
        <v>2</v>
      </c>
      <c r="D351" s="349" t="s">
        <v>1946</v>
      </c>
      <c r="E351" s="348" t="s">
        <v>1764</v>
      </c>
      <c r="F351" s="348" t="s">
        <v>2759</v>
      </c>
      <c r="G351" s="349">
        <f>G352+G353</f>
        <v>0</v>
      </c>
      <c r="H351" s="332">
        <f>IF(G351&lt;&gt;0,1,)</f>
        <v>0</v>
      </c>
    </row>
    <row r="352" spans="2:9" ht="18" hidden="1">
      <c r="B352" s="332" t="str">
        <f>B349</f>
        <v>VLT3P160</v>
      </c>
      <c r="C352" s="350"/>
      <c r="D352" s="351" t="s">
        <v>1952</v>
      </c>
      <c r="E352" s="350" t="s">
        <v>2755</v>
      </c>
      <c r="F352" s="350" t="s">
        <v>3288</v>
      </c>
      <c r="G352" s="351">
        <f>ROUND(VLOOKUP(B352,CTTBA,I352,0)*NCTBA,0)</f>
        <v>0</v>
      </c>
      <c r="H352" s="332">
        <f>IF(G352&lt;&gt;0,1,)</f>
        <v>0</v>
      </c>
      <c r="I352" s="332">
        <f>'7.CT-TBA'!$O$25</f>
        <v>15</v>
      </c>
    </row>
    <row r="353" spans="2:9" ht="18" hidden="1">
      <c r="C353" s="350"/>
      <c r="D353" s="351" t="s">
        <v>1951</v>
      </c>
      <c r="E353" s="350" t="s">
        <v>2758</v>
      </c>
      <c r="F353" s="350" t="s">
        <v>3289</v>
      </c>
      <c r="G353" s="351"/>
      <c r="H353" s="332">
        <f>IF(G353&lt;&gt;0,1,)</f>
        <v>0</v>
      </c>
    </row>
    <row r="354" spans="2:9" ht="18.600000000000001" hidden="1">
      <c r="C354" s="348">
        <v>3</v>
      </c>
      <c r="D354" s="349" t="s">
        <v>1855</v>
      </c>
      <c r="E354" s="348" t="s">
        <v>1774</v>
      </c>
      <c r="F354" s="348" t="s">
        <v>2761</v>
      </c>
      <c r="G354" s="349">
        <f>G355+G356</f>
        <v>0</v>
      </c>
      <c r="H354" s="332">
        <f>H355</f>
        <v>0</v>
      </c>
    </row>
    <row r="355" spans="2:9" ht="18" hidden="1">
      <c r="B355" s="332" t="str">
        <f>B349</f>
        <v>VLT3P160</v>
      </c>
      <c r="C355" s="350"/>
      <c r="D355" s="351" t="s">
        <v>1953</v>
      </c>
      <c r="E355" s="350" t="s">
        <v>2756</v>
      </c>
      <c r="F355" s="350" t="s">
        <v>2766</v>
      </c>
      <c r="G355" s="351">
        <f>ROUND(VLOOKUP(B355,CTTBA,I355,0),0)</f>
        <v>0</v>
      </c>
      <c r="H355" s="332">
        <f>IF(SUM(H356:H362)&lt;&gt;0,1,)</f>
        <v>0</v>
      </c>
      <c r="I355" s="332">
        <f>'7.CT-TBA'!$P$25</f>
        <v>16</v>
      </c>
    </row>
    <row r="356" spans="2:9" ht="18" hidden="1">
      <c r="C356" s="350"/>
      <c r="D356" s="351" t="s">
        <v>1954</v>
      </c>
      <c r="E356" s="350" t="s">
        <v>2760</v>
      </c>
      <c r="F356" s="350" t="s">
        <v>2767</v>
      </c>
      <c r="G356" s="351"/>
      <c r="H356" s="332">
        <f t="shared" ref="H356:H362" si="20">IF(G356&lt;&gt;0,1,)</f>
        <v>0</v>
      </c>
    </row>
    <row r="357" spans="2:9" hidden="1">
      <c r="C357" s="346" t="s">
        <v>1663</v>
      </c>
      <c r="D357" s="347" t="s">
        <v>1858</v>
      </c>
      <c r="E357" s="346" t="s">
        <v>1776</v>
      </c>
      <c r="F357" s="346" t="s">
        <v>1860</v>
      </c>
      <c r="G357" s="347">
        <f>ROUND(5.5%*G347,0)</f>
        <v>0</v>
      </c>
      <c r="H357" s="332">
        <f t="shared" si="20"/>
        <v>0</v>
      </c>
    </row>
    <row r="358" spans="2:9" ht="18" hidden="1">
      <c r="C358" s="346"/>
      <c r="D358" s="347" t="s">
        <v>1861</v>
      </c>
      <c r="E358" s="346" t="s">
        <v>2775</v>
      </c>
      <c r="F358" s="346" t="s">
        <v>2807</v>
      </c>
      <c r="G358" s="347">
        <f>G347+G357</f>
        <v>0</v>
      </c>
      <c r="H358" s="332">
        <f t="shared" si="20"/>
        <v>0</v>
      </c>
    </row>
    <row r="359" spans="2:9" ht="18" hidden="1">
      <c r="C359" s="346" t="s">
        <v>1673</v>
      </c>
      <c r="D359" s="347" t="s">
        <v>1862</v>
      </c>
      <c r="E359" s="346" t="s">
        <v>1863</v>
      </c>
      <c r="F359" s="346" t="s">
        <v>2770</v>
      </c>
      <c r="G359" s="347">
        <f>ROUND(6%*G358,0)</f>
        <v>0</v>
      </c>
      <c r="H359" s="332">
        <f t="shared" si="20"/>
        <v>0</v>
      </c>
    </row>
    <row r="360" spans="2:9" ht="18" hidden="1">
      <c r="B360" s="332" t="str">
        <f>"XL"&amp;B346</f>
        <v>XLT3P160</v>
      </c>
      <c r="C360" s="346"/>
      <c r="D360" s="347" t="s">
        <v>1949</v>
      </c>
      <c r="E360" s="346" t="s">
        <v>1866</v>
      </c>
      <c r="F360" s="346" t="s">
        <v>2771</v>
      </c>
      <c r="G360" s="347">
        <f>G358+G359</f>
        <v>0</v>
      </c>
      <c r="H360" s="332">
        <f t="shared" si="20"/>
        <v>0</v>
      </c>
    </row>
    <row r="361" spans="2:9" hidden="1">
      <c r="C361" s="346" t="s">
        <v>1717</v>
      </c>
      <c r="D361" s="347" t="s">
        <v>1867</v>
      </c>
      <c r="E361" s="346" t="s">
        <v>1868</v>
      </c>
      <c r="F361" s="346" t="s">
        <v>1869</v>
      </c>
      <c r="G361" s="347">
        <f>ROUND(10%*G360,0)</f>
        <v>0</v>
      </c>
      <c r="H361" s="332">
        <f t="shared" si="20"/>
        <v>0</v>
      </c>
    </row>
    <row r="362" spans="2:9" ht="18" hidden="1">
      <c r="C362" s="346" t="s">
        <v>1729</v>
      </c>
      <c r="D362" s="347" t="s">
        <v>1950</v>
      </c>
      <c r="E362" s="346" t="s">
        <v>2765</v>
      </c>
      <c r="F362" s="346" t="s">
        <v>1871</v>
      </c>
      <c r="G362" s="347">
        <f>G360+G361</f>
        <v>0</v>
      </c>
      <c r="H362" s="332">
        <f t="shared" si="20"/>
        <v>0</v>
      </c>
    </row>
    <row r="363" spans="2:9" s="334" customFormat="1" hidden="1">
      <c r="B363" s="334" t="s">
        <v>2839</v>
      </c>
      <c r="C363" s="365"/>
      <c r="D363" s="366" t="str">
        <f>VLOOKUP(B363,CTTBA,'7.CT-TBA'!$E$25,0)</f>
        <v>0 Trạm 3 pha 160kVA (trạm ngồi)</v>
      </c>
      <c r="E363" s="365"/>
      <c r="F363" s="365"/>
      <c r="G363" s="365"/>
      <c r="H363" s="334">
        <f>IF(SUM(H364:H379)&lt;&gt;0,1,)</f>
        <v>0</v>
      </c>
    </row>
    <row r="364" spans="2:9" hidden="1">
      <c r="C364" s="346" t="s">
        <v>1631</v>
      </c>
      <c r="D364" s="347" t="s">
        <v>1845</v>
      </c>
      <c r="E364" s="346" t="s">
        <v>1846</v>
      </c>
      <c r="F364" s="346" t="s">
        <v>1875</v>
      </c>
      <c r="G364" s="347">
        <f>G365+G368+G371</f>
        <v>0</v>
      </c>
      <c r="H364" s="332">
        <f>IF(G364&lt;&gt;0,1,)</f>
        <v>0</v>
      </c>
    </row>
    <row r="365" spans="2:9" ht="18.600000000000001" hidden="1">
      <c r="C365" s="348">
        <v>1</v>
      </c>
      <c r="D365" s="349" t="s">
        <v>1847</v>
      </c>
      <c r="E365" s="348" t="s">
        <v>1765</v>
      </c>
      <c r="F365" s="348" t="s">
        <v>2753</v>
      </c>
      <c r="G365" s="349">
        <f>G366+G367</f>
        <v>0</v>
      </c>
      <c r="H365" s="332">
        <f>H366</f>
        <v>0</v>
      </c>
    </row>
    <row r="366" spans="2:9" ht="18" hidden="1">
      <c r="B366" s="332" t="str">
        <f>"VL"&amp;B363</f>
        <v>VLT3P160N</v>
      </c>
      <c r="C366" s="350"/>
      <c r="D366" s="351" t="s">
        <v>2579</v>
      </c>
      <c r="E366" s="350" t="s">
        <v>2754</v>
      </c>
      <c r="F366" s="350" t="s">
        <v>1849</v>
      </c>
      <c r="G366" s="351">
        <f>ROUND(VLOOKUP(B366,CTTBA,I366,0),0)</f>
        <v>0</v>
      </c>
      <c r="H366" s="332">
        <f>IF(SUM(H367:H379)&lt;&gt;0,1,)</f>
        <v>0</v>
      </c>
      <c r="I366" s="332">
        <f>'7.CT-TBA'!$N$25</f>
        <v>14</v>
      </c>
    </row>
    <row r="367" spans="2:9" ht="18" hidden="1">
      <c r="C367" s="350"/>
      <c r="D367" s="351" t="s">
        <v>1945</v>
      </c>
      <c r="E367" s="350" t="s">
        <v>2757</v>
      </c>
      <c r="F367" s="350" t="s">
        <v>2779</v>
      </c>
      <c r="G367" s="351"/>
      <c r="H367" s="332">
        <f>IF(G367&lt;&gt;0,1,)</f>
        <v>0</v>
      </c>
    </row>
    <row r="368" spans="2:9" ht="18.600000000000001" hidden="1">
      <c r="C368" s="348">
        <v>2</v>
      </c>
      <c r="D368" s="349" t="s">
        <v>1946</v>
      </c>
      <c r="E368" s="348" t="s">
        <v>1764</v>
      </c>
      <c r="F368" s="348" t="s">
        <v>2759</v>
      </c>
      <c r="G368" s="349">
        <f>G369+G370</f>
        <v>0</v>
      </c>
      <c r="H368" s="332">
        <f>IF(G368&lt;&gt;0,1,)</f>
        <v>0</v>
      </c>
    </row>
    <row r="369" spans="2:9" ht="18" hidden="1">
      <c r="B369" s="332" t="str">
        <f>B366</f>
        <v>VLT3P160N</v>
      </c>
      <c r="C369" s="350"/>
      <c r="D369" s="351" t="s">
        <v>1952</v>
      </c>
      <c r="E369" s="350" t="s">
        <v>2755</v>
      </c>
      <c r="F369" s="350" t="s">
        <v>3288</v>
      </c>
      <c r="G369" s="351">
        <f>ROUND(VLOOKUP(B369,CTTBA,I369,0)*NCTBA,0)</f>
        <v>0</v>
      </c>
      <c r="H369" s="332">
        <f>IF(G369&lt;&gt;0,1,)</f>
        <v>0</v>
      </c>
      <c r="I369" s="332">
        <f>'7.CT-TBA'!$O$25</f>
        <v>15</v>
      </c>
    </row>
    <row r="370" spans="2:9" ht="18" hidden="1">
      <c r="C370" s="350"/>
      <c r="D370" s="351" t="s">
        <v>1951</v>
      </c>
      <c r="E370" s="350" t="s">
        <v>2758</v>
      </c>
      <c r="F370" s="350" t="s">
        <v>3289</v>
      </c>
      <c r="G370" s="351">
        <f>'11.CP-VTTH'!M42</f>
        <v>0</v>
      </c>
      <c r="H370" s="332">
        <f>IF(G370&lt;&gt;0,1,)</f>
        <v>0</v>
      </c>
    </row>
    <row r="371" spans="2:9" ht="18.600000000000001" hidden="1">
      <c r="C371" s="348">
        <v>3</v>
      </c>
      <c r="D371" s="349" t="s">
        <v>1855</v>
      </c>
      <c r="E371" s="348" t="s">
        <v>1774</v>
      </c>
      <c r="F371" s="348" t="s">
        <v>2761</v>
      </c>
      <c r="G371" s="349">
        <f>G372+G373</f>
        <v>0</v>
      </c>
      <c r="H371" s="332">
        <f>H372</f>
        <v>0</v>
      </c>
    </row>
    <row r="372" spans="2:9" ht="18" hidden="1">
      <c r="B372" s="332" t="str">
        <f>B366</f>
        <v>VLT3P160N</v>
      </c>
      <c r="C372" s="350"/>
      <c r="D372" s="351" t="s">
        <v>1953</v>
      </c>
      <c r="E372" s="350" t="s">
        <v>2756</v>
      </c>
      <c r="F372" s="350" t="s">
        <v>2766</v>
      </c>
      <c r="G372" s="351">
        <f>ROUND(VLOOKUP(B372,CTTBA,I372,0),0)</f>
        <v>0</v>
      </c>
      <c r="H372" s="332">
        <f>IF(SUM(H373:H379)&lt;&gt;0,1,)</f>
        <v>0</v>
      </c>
      <c r="I372" s="332">
        <f>'7.CT-TBA'!$P$25</f>
        <v>16</v>
      </c>
    </row>
    <row r="373" spans="2:9" ht="18" hidden="1">
      <c r="C373" s="350"/>
      <c r="D373" s="351" t="s">
        <v>1954</v>
      </c>
      <c r="E373" s="350" t="s">
        <v>2760</v>
      </c>
      <c r="F373" s="350" t="s">
        <v>2767</v>
      </c>
      <c r="G373" s="351">
        <f>'11.CP-VTTH'!N42</f>
        <v>0</v>
      </c>
      <c r="H373" s="332">
        <f t="shared" ref="H373:H379" si="21">IF(G373&lt;&gt;0,1,)</f>
        <v>0</v>
      </c>
    </row>
    <row r="374" spans="2:9" hidden="1">
      <c r="C374" s="346" t="s">
        <v>1663</v>
      </c>
      <c r="D374" s="347" t="s">
        <v>1858</v>
      </c>
      <c r="E374" s="346" t="s">
        <v>1776</v>
      </c>
      <c r="F374" s="346" t="s">
        <v>1860</v>
      </c>
      <c r="G374" s="347">
        <f>ROUND(5.5%*G364,0)</f>
        <v>0</v>
      </c>
      <c r="H374" s="332">
        <f t="shared" si="21"/>
        <v>0</v>
      </c>
    </row>
    <row r="375" spans="2:9" ht="18" hidden="1">
      <c r="C375" s="346"/>
      <c r="D375" s="347" t="s">
        <v>1861</v>
      </c>
      <c r="E375" s="346" t="s">
        <v>2775</v>
      </c>
      <c r="F375" s="346" t="s">
        <v>2807</v>
      </c>
      <c r="G375" s="347">
        <f>G364+G374</f>
        <v>0</v>
      </c>
      <c r="H375" s="332">
        <f t="shared" si="21"/>
        <v>0</v>
      </c>
    </row>
    <row r="376" spans="2:9" ht="18" hidden="1">
      <c r="C376" s="346" t="s">
        <v>1673</v>
      </c>
      <c r="D376" s="347" t="s">
        <v>1862</v>
      </c>
      <c r="E376" s="346" t="s">
        <v>1863</v>
      </c>
      <c r="F376" s="346" t="s">
        <v>2770</v>
      </c>
      <c r="G376" s="347">
        <f>ROUND(6%*G375,0)</f>
        <v>0</v>
      </c>
      <c r="H376" s="332">
        <f t="shared" si="21"/>
        <v>0</v>
      </c>
    </row>
    <row r="377" spans="2:9" ht="18" hidden="1">
      <c r="B377" s="332" t="str">
        <f>"XL"&amp;B363</f>
        <v>XLT3P160N</v>
      </c>
      <c r="C377" s="346"/>
      <c r="D377" s="347" t="s">
        <v>1949</v>
      </c>
      <c r="E377" s="346" t="s">
        <v>1866</v>
      </c>
      <c r="F377" s="346" t="s">
        <v>2771</v>
      </c>
      <c r="G377" s="347">
        <f>G375+G376</f>
        <v>0</v>
      </c>
      <c r="H377" s="332">
        <f t="shared" si="21"/>
        <v>0</v>
      </c>
    </row>
    <row r="378" spans="2:9" hidden="1">
      <c r="C378" s="346" t="s">
        <v>1717</v>
      </c>
      <c r="D378" s="347" t="s">
        <v>1867</v>
      </c>
      <c r="E378" s="346" t="s">
        <v>1868</v>
      </c>
      <c r="F378" s="346" t="s">
        <v>1869</v>
      </c>
      <c r="G378" s="347">
        <f>ROUND(10%*G377,0)</f>
        <v>0</v>
      </c>
      <c r="H378" s="332">
        <f t="shared" si="21"/>
        <v>0</v>
      </c>
    </row>
    <row r="379" spans="2:9" ht="18" hidden="1">
      <c r="C379" s="346" t="s">
        <v>1729</v>
      </c>
      <c r="D379" s="347" t="s">
        <v>1950</v>
      </c>
      <c r="E379" s="346" t="s">
        <v>2765</v>
      </c>
      <c r="F379" s="346" t="s">
        <v>1871</v>
      </c>
      <c r="G379" s="347">
        <f>G377+G378</f>
        <v>0</v>
      </c>
      <c r="H379" s="332">
        <f t="shared" si="21"/>
        <v>0</v>
      </c>
    </row>
    <row r="380" spans="2:9" hidden="1">
      <c r="D380" s="332" t="s">
        <v>85</v>
      </c>
    </row>
  </sheetData>
  <autoFilter ref="H5:H380" xr:uid="{00000000-0009-0000-0000-000007000000}">
    <filterColumn colId="0">
      <customFilters>
        <customFilter operator="notEqual" val=" "/>
      </customFilters>
    </filterColumn>
  </autoFilter>
  <mergeCells count="1">
    <mergeCell ref="F5:G5"/>
  </mergeCells>
  <printOptions horizontalCentered="1"/>
  <pageMargins left="0.59055118110236227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T2745"/>
  <sheetViews>
    <sheetView showZeros="0" view="pageBreakPreview" topLeftCell="A563" zoomScale="85" zoomScaleNormal="100" zoomScaleSheetLayoutView="85" workbookViewId="0">
      <selection activeCell="B599" sqref="B599"/>
    </sheetView>
  </sheetViews>
  <sheetFormatPr defaultColWidth="9.109375" defaultRowHeight="15.6"/>
  <cols>
    <col min="1" max="1" width="15.33203125" style="332" customWidth="1"/>
    <col min="2" max="2" width="21.33203125" style="332" customWidth="1"/>
    <col min="3" max="3" width="17.44140625" style="332" customWidth="1"/>
    <col min="4" max="4" width="9.33203125" style="332" bestFit="1" customWidth="1"/>
    <col min="5" max="5" width="10.33203125" style="332" customWidth="1"/>
    <col min="6" max="6" width="61.44140625" style="771" customWidth="1"/>
    <col min="7" max="7" width="9.33203125" style="332" bestFit="1" customWidth="1"/>
    <col min="8" max="8" width="10.33203125" style="332" customWidth="1"/>
    <col min="9" max="9" width="12.6640625" style="332" customWidth="1"/>
    <col min="10" max="10" width="10.88671875" style="332" customWidth="1"/>
    <col min="11" max="11" width="12.6640625" style="332" customWidth="1"/>
    <col min="12" max="12" width="11.33203125" style="332" customWidth="1"/>
    <col min="13" max="13" width="15.109375" style="332" bestFit="1" customWidth="1"/>
    <col min="14" max="14" width="12.44140625" style="332" customWidth="1"/>
    <col min="15" max="15" width="13.44140625" style="332" customWidth="1"/>
    <col min="16" max="16" width="12.44140625" style="332" customWidth="1"/>
    <col min="17" max="17" width="12.6640625" style="332" customWidth="1"/>
    <col min="18" max="19" width="9.33203125" style="332" bestFit="1" customWidth="1"/>
    <col min="20" max="20" width="9.88671875" style="332" bestFit="1" customWidth="1"/>
    <col min="21" max="16384" width="9.109375" style="332"/>
  </cols>
  <sheetData>
    <row r="1" spans="1:8">
      <c r="A1" s="352"/>
      <c r="B1" s="352"/>
      <c r="C1" s="352"/>
      <c r="D1" s="352"/>
    </row>
    <row r="2" spans="1:8">
      <c r="A2" s="1027" t="s">
        <v>2470</v>
      </c>
      <c r="B2" s="1028"/>
      <c r="C2" s="1029" t="s">
        <v>2471</v>
      </c>
      <c r="D2" s="1029"/>
      <c r="F2" s="772" t="s">
        <v>2059</v>
      </c>
      <c r="G2" s="352">
        <f>45+3*3</f>
        <v>54</v>
      </c>
      <c r="H2" s="593">
        <f>TDTR1P*0.225</f>
        <v>12.15</v>
      </c>
    </row>
    <row r="3" spans="1:8">
      <c r="A3" s="362" t="s">
        <v>1878</v>
      </c>
      <c r="B3" s="470">
        <v>0</v>
      </c>
      <c r="C3" s="362" t="s">
        <v>2472</v>
      </c>
      <c r="D3" s="362"/>
      <c r="F3" s="772" t="s">
        <v>2060</v>
      </c>
      <c r="G3" s="352">
        <f>52+3*3</f>
        <v>61</v>
      </c>
      <c r="H3" s="593">
        <f>TDTR3P*0.224</f>
        <v>13.664</v>
      </c>
    </row>
    <row r="4" spans="1:8">
      <c r="A4" s="362" t="s">
        <v>1880</v>
      </c>
      <c r="B4" s="470">
        <f>'SO LIEU'!C35</f>
        <v>0</v>
      </c>
      <c r="C4" s="362" t="s">
        <v>3214</v>
      </c>
      <c r="D4" s="362"/>
      <c r="E4" s="367"/>
      <c r="F4" s="772" t="s">
        <v>2061</v>
      </c>
      <c r="G4" s="352"/>
      <c r="H4" s="352"/>
    </row>
    <row r="5" spans="1:8">
      <c r="A5" s="362" t="s">
        <v>1882</v>
      </c>
      <c r="B5" s="470">
        <f>'SO LIEU'!C36</f>
        <v>0</v>
      </c>
      <c r="C5" s="362" t="s">
        <v>3215</v>
      </c>
      <c r="D5" s="362">
        <v>2</v>
      </c>
      <c r="E5" s="367"/>
      <c r="F5" s="772" t="s">
        <v>2786</v>
      </c>
      <c r="G5" s="475">
        <f>3*11*0.5*0.2</f>
        <v>3.3000000000000003</v>
      </c>
      <c r="H5" s="352"/>
    </row>
    <row r="6" spans="1:8">
      <c r="A6" s="362" t="s">
        <v>1885</v>
      </c>
      <c r="B6" s="470">
        <v>3</v>
      </c>
      <c r="C6" s="362" t="s">
        <v>3216</v>
      </c>
      <c r="D6" s="362">
        <v>2</v>
      </c>
      <c r="E6" s="367"/>
      <c r="F6" s="773"/>
      <c r="G6" s="475"/>
      <c r="H6" s="352"/>
    </row>
    <row r="7" spans="1:8">
      <c r="A7" s="362" t="s">
        <v>1886</v>
      </c>
      <c r="B7" s="470">
        <f>'SO LIEU'!C38</f>
        <v>0</v>
      </c>
      <c r="C7" s="362" t="s">
        <v>3217</v>
      </c>
      <c r="D7" s="362">
        <v>1</v>
      </c>
      <c r="E7" s="367"/>
      <c r="F7" s="774"/>
      <c r="G7" s="367"/>
    </row>
    <row r="8" spans="1:8">
      <c r="A8" s="471" t="s">
        <v>2810</v>
      </c>
      <c r="B8" s="472">
        <f>'SO LIEU'!C39</f>
        <v>0</v>
      </c>
      <c r="C8" s="471" t="s">
        <v>3241</v>
      </c>
      <c r="D8" s="471">
        <v>2</v>
      </c>
      <c r="E8" s="367"/>
      <c r="F8" s="774"/>
      <c r="G8" s="367"/>
    </row>
    <row r="9" spans="1:8">
      <c r="A9" s="471" t="s">
        <v>2811</v>
      </c>
      <c r="B9" s="472">
        <f>'SO LIEU'!C40</f>
        <v>0</v>
      </c>
      <c r="C9" s="471" t="s">
        <v>3242</v>
      </c>
      <c r="D9" s="471">
        <v>2</v>
      </c>
      <c r="E9" s="367"/>
      <c r="F9" s="774"/>
      <c r="G9" s="367"/>
    </row>
    <row r="10" spans="1:8">
      <c r="A10" s="362" t="s">
        <v>1879</v>
      </c>
      <c r="B10" s="470">
        <f>'SO LIEU'!F34</f>
        <v>0</v>
      </c>
      <c r="C10" s="362" t="s">
        <v>3455</v>
      </c>
      <c r="D10" s="362"/>
      <c r="E10" s="367"/>
      <c r="F10" s="774"/>
      <c r="G10" s="367"/>
    </row>
    <row r="11" spans="1:8">
      <c r="A11" s="362" t="s">
        <v>1881</v>
      </c>
      <c r="B11" s="470">
        <f>'SO LIEU'!F35</f>
        <v>0</v>
      </c>
      <c r="C11" s="362"/>
      <c r="D11" s="362"/>
      <c r="E11" s="367"/>
      <c r="F11" s="774"/>
      <c r="G11" s="367"/>
    </row>
    <row r="12" spans="1:8">
      <c r="A12" s="362" t="s">
        <v>1883</v>
      </c>
      <c r="B12" s="470">
        <v>9</v>
      </c>
      <c r="C12" s="362"/>
      <c r="D12" s="362"/>
      <c r="E12" s="367"/>
      <c r="F12" s="774"/>
      <c r="G12" s="367"/>
    </row>
    <row r="13" spans="1:8">
      <c r="A13" s="362" t="s">
        <v>1884</v>
      </c>
      <c r="B13" s="470">
        <f>'SO LIEU'!F37</f>
        <v>0</v>
      </c>
      <c r="C13" s="362"/>
      <c r="D13" s="362"/>
      <c r="E13" s="367"/>
      <c r="F13" s="774"/>
      <c r="G13" s="367"/>
    </row>
    <row r="14" spans="1:8">
      <c r="A14" s="362" t="s">
        <v>2058</v>
      </c>
      <c r="B14" s="470">
        <f>'SO LIEU'!F38</f>
        <v>0</v>
      </c>
      <c r="C14" s="362"/>
      <c r="D14" s="362"/>
      <c r="E14" s="367"/>
      <c r="F14" s="774"/>
      <c r="G14" s="367"/>
    </row>
    <row r="15" spans="1:8">
      <c r="A15" s="362" t="s">
        <v>2831</v>
      </c>
      <c r="B15" s="470">
        <f>'SO LIEU'!F39</f>
        <v>0</v>
      </c>
      <c r="C15" s="362"/>
      <c r="D15" s="362"/>
      <c r="E15" s="367"/>
      <c r="F15" s="774"/>
      <c r="G15" s="367"/>
    </row>
    <row r="16" spans="1:8">
      <c r="A16" s="362" t="s">
        <v>2832</v>
      </c>
      <c r="B16" s="470">
        <f>'SO LIEU'!C41</f>
        <v>0</v>
      </c>
      <c r="C16" s="362"/>
      <c r="D16" s="362"/>
      <c r="E16" s="367"/>
      <c r="F16" s="774"/>
      <c r="G16" s="367"/>
    </row>
    <row r="17" spans="1:20">
      <c r="A17" s="362" t="s">
        <v>1887</v>
      </c>
      <c r="B17" s="470">
        <f>'SO LIEU'!F40</f>
        <v>0</v>
      </c>
      <c r="C17" s="362"/>
      <c r="D17" s="362"/>
      <c r="E17" s="367"/>
      <c r="F17" s="773"/>
      <c r="G17" s="367"/>
    </row>
    <row r="18" spans="1:20">
      <c r="A18" s="362" t="s">
        <v>1888</v>
      </c>
      <c r="B18" s="470">
        <f>'SO LIEU'!F41</f>
        <v>0</v>
      </c>
      <c r="C18" s="362"/>
      <c r="D18" s="362"/>
      <c r="E18" s="367"/>
      <c r="F18" s="774"/>
      <c r="G18" s="367"/>
    </row>
    <row r="19" spans="1:20">
      <c r="A19" s="362" t="s">
        <v>1889</v>
      </c>
      <c r="B19" s="470">
        <f>'SO LIEU'!F42</f>
        <v>0</v>
      </c>
      <c r="C19" s="362"/>
      <c r="D19" s="362"/>
      <c r="E19" s="367"/>
      <c r="F19" s="774"/>
      <c r="G19" s="367"/>
    </row>
    <row r="20" spans="1:20">
      <c r="A20" s="362" t="s">
        <v>1890</v>
      </c>
      <c r="B20" s="470">
        <f>'SO LIEU'!F43</f>
        <v>0</v>
      </c>
      <c r="C20" s="362"/>
      <c r="D20" s="362"/>
      <c r="E20" s="367"/>
      <c r="F20" s="774"/>
      <c r="G20" s="367"/>
    </row>
    <row r="21" spans="1:20">
      <c r="A21" s="362" t="s">
        <v>1891</v>
      </c>
      <c r="B21" s="470">
        <f>'SO LIEU'!F44</f>
        <v>0</v>
      </c>
      <c r="C21" s="362"/>
      <c r="D21" s="362"/>
      <c r="E21" s="367"/>
      <c r="F21" s="774"/>
      <c r="G21" s="367"/>
    </row>
    <row r="22" spans="1:20">
      <c r="A22" s="367"/>
      <c r="B22" s="367"/>
      <c r="C22" s="367"/>
      <c r="D22" s="367"/>
      <c r="E22" s="367"/>
      <c r="F22" s="774"/>
      <c r="G22" s="367"/>
    </row>
    <row r="23" spans="1:20">
      <c r="A23" s="367"/>
      <c r="B23" s="367"/>
      <c r="C23" s="367"/>
      <c r="D23" s="367"/>
      <c r="E23" s="367"/>
      <c r="F23" s="774"/>
      <c r="G23" s="367"/>
    </row>
    <row r="25" spans="1:20">
      <c r="A25" s="364">
        <v>1</v>
      </c>
      <c r="B25" s="364">
        <v>2</v>
      </c>
      <c r="C25" s="364">
        <v>3</v>
      </c>
      <c r="D25" s="364">
        <v>4</v>
      </c>
      <c r="E25" s="364">
        <v>5</v>
      </c>
      <c r="F25" s="775">
        <v>6</v>
      </c>
      <c r="G25" s="364">
        <v>7</v>
      </c>
      <c r="H25" s="364">
        <v>8</v>
      </c>
      <c r="I25" s="364">
        <v>9</v>
      </c>
      <c r="J25" s="364">
        <v>10</v>
      </c>
      <c r="K25" s="364">
        <v>11</v>
      </c>
      <c r="L25" s="364">
        <v>12</v>
      </c>
      <c r="M25" s="364">
        <v>13</v>
      </c>
      <c r="N25" s="364">
        <v>14</v>
      </c>
      <c r="O25" s="364">
        <v>15</v>
      </c>
      <c r="P25" s="364">
        <v>16</v>
      </c>
      <c r="Q25" s="364">
        <v>17</v>
      </c>
      <c r="R25" s="364">
        <v>18</v>
      </c>
      <c r="S25" s="332">
        <f>DG!$H$6</f>
        <v>8</v>
      </c>
      <c r="T25" s="364">
        <v>20</v>
      </c>
    </row>
    <row r="26" spans="1:20" s="334" customFormat="1">
      <c r="A26" s="334" t="s">
        <v>85</v>
      </c>
      <c r="C26" s="335"/>
      <c r="D26" s="336" t="s">
        <v>1892</v>
      </c>
      <c r="E26" s="336"/>
      <c r="F26" s="77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</row>
    <row r="27" spans="1:20">
      <c r="C27" s="333"/>
    </row>
    <row r="28" spans="1:20" s="353" customFormat="1">
      <c r="A28" s="353" t="s">
        <v>477</v>
      </c>
      <c r="B28" s="353" t="s">
        <v>1625</v>
      </c>
      <c r="C28" s="337"/>
      <c r="D28" s="1014" t="s">
        <v>1763</v>
      </c>
      <c r="E28" s="1014" t="s">
        <v>1930</v>
      </c>
      <c r="F28" s="1014" t="s">
        <v>1894</v>
      </c>
      <c r="G28" s="1014" t="s">
        <v>1747</v>
      </c>
      <c r="H28" s="1014" t="s">
        <v>1748</v>
      </c>
      <c r="I28" s="1016" t="s">
        <v>1626</v>
      </c>
      <c r="J28" s="1018"/>
      <c r="K28" s="1018"/>
      <c r="L28" s="1017"/>
      <c r="M28" s="1016" t="s">
        <v>1895</v>
      </c>
      <c r="N28" s="1018"/>
      <c r="O28" s="1018"/>
      <c r="P28" s="1017"/>
      <c r="Q28" s="1014" t="s">
        <v>1398</v>
      </c>
      <c r="S28" s="1026" t="s">
        <v>2550</v>
      </c>
      <c r="T28" s="1026" t="s">
        <v>1748</v>
      </c>
    </row>
    <row r="29" spans="1:20" s="353" customFormat="1">
      <c r="A29" s="353" t="s">
        <v>477</v>
      </c>
      <c r="C29" s="337"/>
      <c r="D29" s="1015"/>
      <c r="E29" s="1015"/>
      <c r="F29" s="1015"/>
      <c r="G29" s="1015"/>
      <c r="H29" s="1015"/>
      <c r="I29" s="338" t="s">
        <v>1896</v>
      </c>
      <c r="J29" s="338" t="s">
        <v>1897</v>
      </c>
      <c r="K29" s="338" t="s">
        <v>1898</v>
      </c>
      <c r="L29" s="338" t="s">
        <v>1899</v>
      </c>
      <c r="M29" s="338" t="s">
        <v>1896</v>
      </c>
      <c r="N29" s="338" t="s">
        <v>1897</v>
      </c>
      <c r="O29" s="338" t="s">
        <v>1898</v>
      </c>
      <c r="P29" s="338" t="s">
        <v>1899</v>
      </c>
      <c r="Q29" s="1015"/>
      <c r="S29" s="1026"/>
      <c r="T29" s="1026"/>
    </row>
    <row r="30" spans="1:20" s="353" customFormat="1" hidden="1">
      <c r="A30" s="353" t="s">
        <v>2088</v>
      </c>
      <c r="C30" s="337">
        <f>IF((C31+C38)&lt;&gt;0,1,)</f>
        <v>0</v>
      </c>
      <c r="D30" s="368"/>
      <c r="E30" s="369" t="str">
        <f>T1P25&amp;" Trạm 1 pha 25kVA"</f>
        <v>0 Trạm 1 pha 25kVA</v>
      </c>
      <c r="F30" s="368"/>
      <c r="G30" s="368"/>
      <c r="H30" s="368"/>
      <c r="I30" s="325"/>
      <c r="J30" s="325"/>
      <c r="K30" s="325"/>
      <c r="L30" s="325"/>
      <c r="M30" s="325"/>
      <c r="N30" s="325"/>
      <c r="O30" s="325"/>
      <c r="P30" s="325"/>
      <c r="Q30" s="368"/>
    </row>
    <row r="31" spans="1:20" hidden="1">
      <c r="A31" s="332" t="s">
        <v>2091</v>
      </c>
      <c r="C31" s="333">
        <f>IF(SUM(C32:C37)&lt;&gt;0,1,)</f>
        <v>0</v>
      </c>
      <c r="D31" s="344"/>
      <c r="E31" s="344"/>
      <c r="F31" s="345" t="s">
        <v>1900</v>
      </c>
      <c r="G31" s="344"/>
      <c r="H31" s="345"/>
      <c r="I31" s="345"/>
      <c r="J31" s="345"/>
      <c r="K31" s="345"/>
      <c r="L31" s="345"/>
      <c r="M31" s="345">
        <f>SUM(M32:M37)</f>
        <v>0</v>
      </c>
      <c r="N31" s="345">
        <f>SUM(N32:N37)</f>
        <v>0</v>
      </c>
      <c r="O31" s="345">
        <f>SUM(O32:O37)</f>
        <v>0</v>
      </c>
      <c r="P31" s="345">
        <f>SUM(P32:P37)</f>
        <v>0</v>
      </c>
      <c r="Q31" s="345"/>
      <c r="S31" s="370"/>
      <c r="T31" s="371">
        <f>SUM(T32:T37)</f>
        <v>0</v>
      </c>
    </row>
    <row r="32" spans="1:20" hidden="1">
      <c r="A32" s="332" t="s">
        <v>477</v>
      </c>
      <c r="B32" s="332" t="s">
        <v>899</v>
      </c>
      <c r="C32" s="333">
        <f>IF(H32&lt;&gt;0,1,)</f>
        <v>0</v>
      </c>
      <c r="D32" s="328"/>
      <c r="E32" s="328" t="str">
        <f>VLOOKUP(B32,DONGIA,DG!$B$6,0)</f>
        <v>T1.1431</v>
      </c>
      <c r="F32" s="329" t="str">
        <f>VLOOKUP(B32,DONGIA,DG!$C$6,0)</f>
        <v>Máy biến áp 12,7/0,22-0,44kV  25kVA</v>
      </c>
      <c r="G32" s="328" t="str">
        <f>VLOOKUP(B32,DONGIA,DG!$D$6,0)</f>
        <v>máy</v>
      </c>
      <c r="H32" s="329">
        <f>T1P25</f>
        <v>0</v>
      </c>
      <c r="I32" s="329">
        <f>VLOOKUP(B32,DONGIA,DG!$E$6,0)</f>
        <v>0</v>
      </c>
      <c r="J32" s="329"/>
      <c r="K32" s="329">
        <f>VLOOKUP(B32,DONGIA,DG!$F$6,0)</f>
        <v>647230</v>
      </c>
      <c r="L32" s="329">
        <f>VLOOKUP(B32,DONGIA,DG!$G$6,0)</f>
        <v>360605</v>
      </c>
      <c r="M32" s="329">
        <f t="shared" ref="M32:P37" si="0">$H32*I32</f>
        <v>0</v>
      </c>
      <c r="N32" s="329">
        <f t="shared" si="0"/>
        <v>0</v>
      </c>
      <c r="O32" s="329">
        <f t="shared" si="0"/>
        <v>0</v>
      </c>
      <c r="P32" s="329">
        <f t="shared" si="0"/>
        <v>0</v>
      </c>
      <c r="Q32" s="329"/>
      <c r="S32" s="332">
        <f t="shared" ref="S32:S96" si="1">IFERROR(VLOOKUP(B32,DONGIA,$S$25,0),0)</f>
        <v>320</v>
      </c>
      <c r="T32" s="332">
        <f>H32*S32</f>
        <v>0</v>
      </c>
    </row>
    <row r="33" spans="1:20" hidden="1">
      <c r="A33" s="332" t="s">
        <v>477</v>
      </c>
      <c r="B33" s="332" t="s">
        <v>1444</v>
      </c>
      <c r="C33" s="333">
        <f t="shared" ref="C33:C97" si="2">IF(H33&lt;&gt;0,1,)</f>
        <v>0</v>
      </c>
      <c r="D33" s="328"/>
      <c r="E33" s="328" t="str">
        <f>VLOOKUP(B33,DONGIA,DG!$B$6,0)</f>
        <v>T2.3505</v>
      </c>
      <c r="F33" s="329" t="str">
        <f>VLOOKUP(B33,DONGIA,DG!$C$6,0)</f>
        <v>FCO 27kV - 100A</v>
      </c>
      <c r="G33" s="328" t="str">
        <f>VLOOKUP(B33,DONGIA,DG!$D$6,0)</f>
        <v>cái</v>
      </c>
      <c r="H33" s="329">
        <f>H32</f>
        <v>0</v>
      </c>
      <c r="I33" s="329">
        <f>VLOOKUP(B33,DONGIA,DG!$E$6,0)</f>
        <v>1070000</v>
      </c>
      <c r="J33" s="329"/>
      <c r="K33" s="329">
        <f>VLOOKUP(B33,DONGIA,DG!$F$6,0)</f>
        <v>189552</v>
      </c>
      <c r="L33" s="329">
        <f>VLOOKUP(B33,DONGIA,DG!$G$6,0)</f>
        <v>0</v>
      </c>
      <c r="M33" s="329">
        <f t="shared" si="0"/>
        <v>0</v>
      </c>
      <c r="N33" s="329">
        <f t="shared" si="0"/>
        <v>0</v>
      </c>
      <c r="O33" s="329">
        <f t="shared" si="0"/>
        <v>0</v>
      </c>
      <c r="P33" s="329">
        <f t="shared" si="0"/>
        <v>0</v>
      </c>
      <c r="Q33" s="329"/>
      <c r="S33" s="332">
        <f t="shared" si="1"/>
        <v>1.5</v>
      </c>
      <c r="T33" s="332">
        <f t="shared" ref="T33:T97" si="3">H33*S33</f>
        <v>0</v>
      </c>
    </row>
    <row r="34" spans="1:20" hidden="1">
      <c r="A34" s="332" t="s">
        <v>477</v>
      </c>
      <c r="B34" s="332" t="s">
        <v>943</v>
      </c>
      <c r="C34" s="333">
        <f t="shared" si="2"/>
        <v>0</v>
      </c>
      <c r="D34" s="328"/>
      <c r="E34" s="328" t="str">
        <f>VLOOKUP(B34,DONGIA,DG!$B$6,0)</f>
        <v>T2.5004</v>
      </c>
      <c r="F34" s="329" t="str">
        <f>VLOOKUP(B34,DONGIA,DG!$C$6,0)</f>
        <v>LA 18kV 10kA</v>
      </c>
      <c r="G34" s="328" t="str">
        <f>VLOOKUP(B34,DONGIA,DG!$D$6,0)</f>
        <v>cái</v>
      </c>
      <c r="H34" s="329">
        <f>H32</f>
        <v>0</v>
      </c>
      <c r="I34" s="329">
        <f>VLOOKUP(B34,DONGIA,DG!$E$6,0)</f>
        <v>875000</v>
      </c>
      <c r="J34" s="329"/>
      <c r="K34" s="329">
        <f>VLOOKUP(B34,DONGIA,DG!$F$6,0)</f>
        <v>71082</v>
      </c>
      <c r="L34" s="329">
        <f>VLOOKUP(B34,DONGIA,DG!$G$6,0)</f>
        <v>0</v>
      </c>
      <c r="M34" s="329">
        <f t="shared" si="0"/>
        <v>0</v>
      </c>
      <c r="N34" s="329">
        <f t="shared" si="0"/>
        <v>0</v>
      </c>
      <c r="O34" s="329">
        <f t="shared" si="0"/>
        <v>0</v>
      </c>
      <c r="P34" s="329">
        <f t="shared" si="0"/>
        <v>0</v>
      </c>
      <c r="Q34" s="329"/>
      <c r="S34" s="332">
        <f t="shared" si="1"/>
        <v>0.8</v>
      </c>
      <c r="T34" s="332">
        <f t="shared" si="3"/>
        <v>0</v>
      </c>
    </row>
    <row r="35" spans="1:20" hidden="1">
      <c r="A35" s="332" t="s">
        <v>477</v>
      </c>
      <c r="B35" s="332" t="s">
        <v>992</v>
      </c>
      <c r="C35" s="333">
        <f t="shared" si="2"/>
        <v>0</v>
      </c>
      <c r="D35" s="328"/>
      <c r="E35" s="328" t="str">
        <f>VLOOKUP(B35,DONGIA,DG!$B$6,0)</f>
        <v>T2.8403</v>
      </c>
      <c r="F35" s="329" t="str">
        <f>VLOOKUP(B35,DONGIA,DG!$C$6,0)</f>
        <v>MCCB 3 cực 400V - 125A - 30KA (80-125A)</v>
      </c>
      <c r="G35" s="328" t="str">
        <f>VLOOKUP(B35,DONGIA,DG!$D$6,0)</f>
        <v>cái</v>
      </c>
      <c r="H35" s="329">
        <f>H32</f>
        <v>0</v>
      </c>
      <c r="I35" s="329">
        <f>VLOOKUP(B35,DONGIA,DG!$E$6,0)</f>
        <v>980000</v>
      </c>
      <c r="J35" s="329"/>
      <c r="K35" s="329">
        <f>VLOOKUP(B35,DONGIA,DG!$F$6,0)</f>
        <v>450186</v>
      </c>
      <c r="L35" s="329">
        <f>VLOOKUP(B35,DONGIA,DG!$G$6,0)</f>
        <v>0</v>
      </c>
      <c r="M35" s="329">
        <f t="shared" si="0"/>
        <v>0</v>
      </c>
      <c r="N35" s="329">
        <f t="shared" si="0"/>
        <v>0</v>
      </c>
      <c r="O35" s="329">
        <f t="shared" si="0"/>
        <v>0</v>
      </c>
      <c r="P35" s="329">
        <f t="shared" si="0"/>
        <v>0</v>
      </c>
      <c r="Q35" s="329"/>
      <c r="S35" s="332">
        <f t="shared" si="1"/>
        <v>2</v>
      </c>
      <c r="T35" s="332">
        <f t="shared" si="3"/>
        <v>0</v>
      </c>
    </row>
    <row r="36" spans="1:20" hidden="1">
      <c r="A36" s="332" t="s">
        <v>477</v>
      </c>
      <c r="B36" s="332" t="s">
        <v>946</v>
      </c>
      <c r="C36" s="333">
        <f t="shared" si="2"/>
        <v>0</v>
      </c>
      <c r="D36" s="328"/>
      <c r="E36" s="328">
        <f>VLOOKUP(B36,DONGIA,DG!$B$6,0)</f>
        <v>0</v>
      </c>
      <c r="F36" s="329" t="str">
        <f>VLOOKUP(B36,DONGIA,DG!$C$6,0)</f>
        <v>Biến dòng 600V - 100/5A</v>
      </c>
      <c r="G36" s="328" t="str">
        <f>VLOOKUP(B36,DONGIA,DG!$D$6,0)</f>
        <v>cái</v>
      </c>
      <c r="H36" s="329"/>
      <c r="I36" s="329">
        <f>VLOOKUP(B36,DONGIA,DG!$E$6,0)</f>
        <v>0</v>
      </c>
      <c r="J36" s="329"/>
      <c r="K36" s="329">
        <f>VLOOKUP(B36,DONGIA,DG!$F$6,0)</f>
        <v>0</v>
      </c>
      <c r="L36" s="329">
        <f>VLOOKUP(B36,DONGIA,DG!$G$6,0)</f>
        <v>0</v>
      </c>
      <c r="M36" s="329">
        <f t="shared" si="0"/>
        <v>0</v>
      </c>
      <c r="N36" s="329">
        <f t="shared" si="0"/>
        <v>0</v>
      </c>
      <c r="O36" s="329">
        <f t="shared" si="0"/>
        <v>0</v>
      </c>
      <c r="P36" s="329">
        <f t="shared" si="0"/>
        <v>0</v>
      </c>
      <c r="Q36" s="329"/>
      <c r="S36" s="332">
        <f t="shared" si="1"/>
        <v>0</v>
      </c>
      <c r="T36" s="332">
        <f t="shared" si="3"/>
        <v>0</v>
      </c>
    </row>
    <row r="37" spans="1:20" hidden="1">
      <c r="A37" s="332" t="s">
        <v>477</v>
      </c>
      <c r="B37" s="332" t="s">
        <v>1040</v>
      </c>
      <c r="C37" s="333">
        <f t="shared" si="2"/>
        <v>0</v>
      </c>
      <c r="D37" s="328"/>
      <c r="E37" s="328">
        <f>VLOOKUP(B37,DONGIA,DG!$B$6,0)</f>
        <v>0</v>
      </c>
      <c r="F37" s="329" t="str">
        <f>VLOOKUP(B37,DONGIA,DG!$C$6,0)</f>
        <v>Điện kế 1 pha 2 dây 220V-80A</v>
      </c>
      <c r="G37" s="328" t="str">
        <f>VLOOKUP(B37,DONGIA,DG!$D$6,0)</f>
        <v>cái</v>
      </c>
      <c r="H37" s="329"/>
      <c r="I37" s="329">
        <f>VLOOKUP(B37,DONGIA,DG!$E$6,0)</f>
        <v>0</v>
      </c>
      <c r="J37" s="329"/>
      <c r="K37" s="329">
        <f>VLOOKUP(B37,DONGIA,DG!$F$6,0)</f>
        <v>0</v>
      </c>
      <c r="L37" s="329">
        <f>VLOOKUP(B37,DONGIA,DG!$G$6,0)</f>
        <v>0</v>
      </c>
      <c r="M37" s="329">
        <f t="shared" si="0"/>
        <v>0</v>
      </c>
      <c r="N37" s="329">
        <f t="shared" si="0"/>
        <v>0</v>
      </c>
      <c r="O37" s="329">
        <f t="shared" si="0"/>
        <v>0</v>
      </c>
      <c r="P37" s="329">
        <f t="shared" si="0"/>
        <v>0</v>
      </c>
      <c r="Q37" s="329"/>
      <c r="S37" s="332">
        <f t="shared" si="1"/>
        <v>0</v>
      </c>
      <c r="T37" s="332">
        <f t="shared" si="3"/>
        <v>0</v>
      </c>
    </row>
    <row r="38" spans="1:20" hidden="1">
      <c r="A38" s="332" t="s">
        <v>2095</v>
      </c>
      <c r="C38" s="333">
        <f>IF(SUM(C39:C113)&lt;&gt;0,1,)</f>
        <v>0</v>
      </c>
      <c r="D38" s="344"/>
      <c r="E38" s="344"/>
      <c r="F38" s="345" t="s">
        <v>1901</v>
      </c>
      <c r="G38" s="344"/>
      <c r="H38" s="345"/>
      <c r="I38" s="345"/>
      <c r="J38" s="345"/>
      <c r="K38" s="345"/>
      <c r="L38" s="345"/>
      <c r="M38" s="345">
        <f>SUM(M39:M113)</f>
        <v>0</v>
      </c>
      <c r="N38" s="345">
        <f>SUM(N39:N113)</f>
        <v>0</v>
      </c>
      <c r="O38" s="345">
        <f>SUM(O39:O113)</f>
        <v>0</v>
      </c>
      <c r="P38" s="345">
        <f>SUM(P39:P113)</f>
        <v>0</v>
      </c>
      <c r="Q38" s="345"/>
      <c r="T38" s="371">
        <f>SUM(T39:T113)</f>
        <v>0</v>
      </c>
    </row>
    <row r="39" spans="1:20" hidden="1">
      <c r="C39" s="333">
        <f t="shared" si="2"/>
        <v>0</v>
      </c>
      <c r="D39" s="372">
        <f>IF(H39&lt;&gt;0,1,)</f>
        <v>0</v>
      </c>
      <c r="E39" s="372"/>
      <c r="F39" s="373" t="s">
        <v>1931</v>
      </c>
      <c r="G39" s="372" t="s">
        <v>138</v>
      </c>
      <c r="H39" s="373">
        <f>T1P25</f>
        <v>0</v>
      </c>
      <c r="I39" s="373"/>
      <c r="J39" s="373"/>
      <c r="K39" s="373"/>
      <c r="L39" s="373"/>
      <c r="M39" s="373"/>
      <c r="N39" s="373"/>
      <c r="O39" s="373"/>
      <c r="P39" s="373"/>
      <c r="Q39" s="373"/>
      <c r="S39" s="332">
        <f t="shared" si="1"/>
        <v>0</v>
      </c>
      <c r="T39" s="332">
        <f t="shared" si="3"/>
        <v>0</v>
      </c>
    </row>
    <row r="40" spans="1:20" s="361" customFormat="1" hidden="1">
      <c r="A40" s="361" t="s">
        <v>477</v>
      </c>
      <c r="C40" s="374">
        <f>C39</f>
        <v>0</v>
      </c>
      <c r="D40" s="350"/>
      <c r="E40" s="350"/>
      <c r="F40" s="351" t="s">
        <v>1902</v>
      </c>
      <c r="G40" s="350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S40" s="361">
        <f>IFERROR(VLOOKUP(B40,DONGIA,$S$25,0),0)</f>
        <v>0</v>
      </c>
      <c r="T40" s="361">
        <f>H40*S40</f>
        <v>0</v>
      </c>
    </row>
    <row r="41" spans="1:20" hidden="1">
      <c r="A41" s="332" t="s">
        <v>477</v>
      </c>
      <c r="B41" s="332" t="s">
        <v>1007</v>
      </c>
      <c r="C41" s="333">
        <f t="shared" si="2"/>
        <v>0</v>
      </c>
      <c r="D41" s="328"/>
      <c r="E41" s="328">
        <f>VLOOKUP(B41,DONGIA,DG!$B$6,0)</f>
        <v>0</v>
      </c>
      <c r="F41" s="329" t="str">
        <f>VLOOKUP(B41,DONGIA,DG!$C$6,0)</f>
        <v>Dây chảy 3K</v>
      </c>
      <c r="G41" s="328" t="str">
        <f>VLOOKUP(B41,DONGIA,DG!$D$6,0)</f>
        <v>Sợi</v>
      </c>
      <c r="H41" s="329">
        <f>H39</f>
        <v>0</v>
      </c>
      <c r="I41" s="329">
        <f>VLOOKUP(B41,DONGIA,DG!$E$6,0)</f>
        <v>47000</v>
      </c>
      <c r="J41" s="329"/>
      <c r="K41" s="329">
        <f>VLOOKUP(B41,DONGIA,DG!$F$6,0)</f>
        <v>0</v>
      </c>
      <c r="L41" s="329">
        <f>VLOOKUP(B41,DONGIA,DG!$G$6,0)</f>
        <v>0</v>
      </c>
      <c r="M41" s="329">
        <f t="shared" ref="M41:P44" si="4">$H41*I41</f>
        <v>0</v>
      </c>
      <c r="N41" s="329">
        <f t="shared" si="4"/>
        <v>0</v>
      </c>
      <c r="O41" s="329">
        <f t="shared" si="4"/>
        <v>0</v>
      </c>
      <c r="P41" s="329">
        <f t="shared" si="4"/>
        <v>0</v>
      </c>
      <c r="Q41" s="329"/>
      <c r="S41" s="332">
        <f t="shared" si="1"/>
        <v>0</v>
      </c>
      <c r="T41" s="332">
        <f t="shared" si="3"/>
        <v>0</v>
      </c>
    </row>
    <row r="42" spans="1:20" hidden="1">
      <c r="A42" s="332" t="s">
        <v>477</v>
      </c>
      <c r="B42" s="332" t="s">
        <v>131</v>
      </c>
      <c r="C42" s="333">
        <f t="shared" si="2"/>
        <v>0</v>
      </c>
      <c r="D42" s="328"/>
      <c r="E42" s="328">
        <f>VLOOKUP(B42,DONGIA,DG!$B$6,0)</f>
        <v>0</v>
      </c>
      <c r="F42" s="329" t="str">
        <f>VLOOKUP(B42,DONGIA,DG!$C$6,0)</f>
        <v>Chụp đầu FCO (Trên + Dưới)</v>
      </c>
      <c r="G42" s="328" t="str">
        <f>VLOOKUP(B42,DONGIA,DG!$D$6,0)</f>
        <v>bộ</v>
      </c>
      <c r="H42" s="329">
        <f>H39</f>
        <v>0</v>
      </c>
      <c r="I42" s="329">
        <f>VLOOKUP(B42,DONGIA,DG!$E$6,0)</f>
        <v>190000</v>
      </c>
      <c r="J42" s="329"/>
      <c r="K42" s="329">
        <f>VLOOKUP(B42,DONGIA,DG!$F$6,0)</f>
        <v>0</v>
      </c>
      <c r="L42" s="329">
        <f>VLOOKUP(B42,DONGIA,DG!$G$6,0)</f>
        <v>0</v>
      </c>
      <c r="M42" s="329">
        <f t="shared" si="4"/>
        <v>0</v>
      </c>
      <c r="N42" s="329">
        <f t="shared" si="4"/>
        <v>0</v>
      </c>
      <c r="O42" s="329">
        <f t="shared" si="4"/>
        <v>0</v>
      </c>
      <c r="P42" s="329">
        <f t="shared" si="4"/>
        <v>0</v>
      </c>
      <c r="Q42" s="329"/>
      <c r="S42" s="332">
        <f t="shared" si="1"/>
        <v>0</v>
      </c>
      <c r="T42" s="332">
        <f t="shared" si="3"/>
        <v>0</v>
      </c>
    </row>
    <row r="43" spans="1:20" hidden="1">
      <c r="A43" s="332" t="s">
        <v>477</v>
      </c>
      <c r="B43" s="332" t="s">
        <v>133</v>
      </c>
      <c r="C43" s="333">
        <f t="shared" si="2"/>
        <v>0</v>
      </c>
      <c r="D43" s="328"/>
      <c r="E43" s="328">
        <f>VLOOKUP(B43,DONGIA,DG!$B$6,0)</f>
        <v>0</v>
      </c>
      <c r="F43" s="329" t="str">
        <f>VLOOKUP(B43,DONGIA,DG!$C$6,0)</f>
        <v>Chụp đầu LA</v>
      </c>
      <c r="G43" s="328" t="str">
        <f>VLOOKUP(B43,DONGIA,DG!$D$6,0)</f>
        <v>cái</v>
      </c>
      <c r="H43" s="329">
        <f>H39</f>
        <v>0</v>
      </c>
      <c r="I43" s="329">
        <f>VLOOKUP(B43,DONGIA,DG!$E$6,0)</f>
        <v>32000</v>
      </c>
      <c r="J43" s="329"/>
      <c r="K43" s="329">
        <f>VLOOKUP(B43,DONGIA,DG!$F$6,0)</f>
        <v>0</v>
      </c>
      <c r="L43" s="329">
        <f>VLOOKUP(B43,DONGIA,DG!$G$6,0)</f>
        <v>0</v>
      </c>
      <c r="M43" s="329">
        <f t="shared" si="4"/>
        <v>0</v>
      </c>
      <c r="N43" s="329">
        <f t="shared" si="4"/>
        <v>0</v>
      </c>
      <c r="O43" s="329">
        <f t="shared" si="4"/>
        <v>0</v>
      </c>
      <c r="P43" s="329">
        <f t="shared" si="4"/>
        <v>0</v>
      </c>
      <c r="Q43" s="329"/>
      <c r="S43" s="332">
        <f t="shared" si="1"/>
        <v>0</v>
      </c>
      <c r="T43" s="332">
        <f t="shared" si="3"/>
        <v>0</v>
      </c>
    </row>
    <row r="44" spans="1:20" hidden="1">
      <c r="A44" s="332" t="s">
        <v>477</v>
      </c>
      <c r="B44" s="332" t="s">
        <v>135</v>
      </c>
      <c r="C44" s="333">
        <f t="shared" si="2"/>
        <v>0</v>
      </c>
      <c r="D44" s="328"/>
      <c r="E44" s="328">
        <f>VLOOKUP(B44,DONGIA,DG!$B$6,0)</f>
        <v>0</v>
      </c>
      <c r="F44" s="329" t="str">
        <f>VLOOKUP(B44,DONGIA,DG!$C$6,0)</f>
        <v>Chụp đầu cực MBA</v>
      </c>
      <c r="G44" s="328" t="str">
        <f>VLOOKUP(B44,DONGIA,DG!$D$6,0)</f>
        <v>cái</v>
      </c>
      <c r="H44" s="329">
        <f>H39</f>
        <v>0</v>
      </c>
      <c r="I44" s="329">
        <f>VLOOKUP(B44,DONGIA,DG!$E$6,0)</f>
        <v>52000</v>
      </c>
      <c r="J44" s="329"/>
      <c r="K44" s="329">
        <f>VLOOKUP(B44,DONGIA,DG!$F$6,0)</f>
        <v>0</v>
      </c>
      <c r="L44" s="329">
        <f>VLOOKUP(B44,DONGIA,DG!$G$6,0)</f>
        <v>0</v>
      </c>
      <c r="M44" s="329">
        <f t="shared" si="4"/>
        <v>0</v>
      </c>
      <c r="N44" s="329">
        <f t="shared" si="4"/>
        <v>0</v>
      </c>
      <c r="O44" s="329">
        <f t="shared" si="4"/>
        <v>0</v>
      </c>
      <c r="P44" s="329">
        <f t="shared" si="4"/>
        <v>0</v>
      </c>
      <c r="Q44" s="329"/>
      <c r="S44" s="332">
        <f t="shared" si="1"/>
        <v>0</v>
      </c>
      <c r="T44" s="332">
        <f t="shared" si="3"/>
        <v>0</v>
      </c>
    </row>
    <row r="45" spans="1:20" hidden="1">
      <c r="A45" s="332" t="s">
        <v>477</v>
      </c>
      <c r="C45" s="333">
        <f t="shared" si="2"/>
        <v>0</v>
      </c>
      <c r="D45" s="372">
        <f>IF(H45&lt;&gt;0,D39+1,D39)</f>
        <v>0</v>
      </c>
      <c r="E45" s="372"/>
      <c r="F45" s="373" t="s">
        <v>1932</v>
      </c>
      <c r="G45" s="372" t="s">
        <v>138</v>
      </c>
      <c r="H45" s="373">
        <f>T1P25</f>
        <v>0</v>
      </c>
      <c r="I45" s="373"/>
      <c r="J45" s="373"/>
      <c r="K45" s="373"/>
      <c r="L45" s="373"/>
      <c r="M45" s="373"/>
      <c r="N45" s="373"/>
      <c r="O45" s="373"/>
      <c r="P45" s="373"/>
      <c r="Q45" s="373"/>
      <c r="S45" s="332">
        <f t="shared" si="1"/>
        <v>0</v>
      </c>
      <c r="T45" s="332">
        <f t="shared" si="3"/>
        <v>0</v>
      </c>
    </row>
    <row r="46" spans="1:20" s="361" customFormat="1" hidden="1">
      <c r="A46" s="361" t="s">
        <v>477</v>
      </c>
      <c r="C46" s="374">
        <f>C45</f>
        <v>0</v>
      </c>
      <c r="D46" s="350"/>
      <c r="E46" s="350"/>
      <c r="F46" s="351" t="s">
        <v>1902</v>
      </c>
      <c r="G46" s="350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S46" s="361">
        <f t="shared" si="1"/>
        <v>0</v>
      </c>
      <c r="T46" s="361">
        <f t="shared" si="3"/>
        <v>0</v>
      </c>
    </row>
    <row r="47" spans="1:20" hidden="1">
      <c r="A47" s="332" t="s">
        <v>477</v>
      </c>
      <c r="B47" s="332" t="s">
        <v>15</v>
      </c>
      <c r="C47" s="333">
        <f t="shared" si="2"/>
        <v>0</v>
      </c>
      <c r="D47" s="328"/>
      <c r="E47" s="328">
        <f>VLOOKUP(B47,DONGIA,DG!$B$6,0)</f>
        <v>0</v>
      </c>
      <c r="F47" s="329" t="str">
        <f>VLOOKUP(B47,DONGIA,DG!$C$6,0)</f>
        <v>Đà hộp composite 110x80x5-800</v>
      </c>
      <c r="G47" s="328" t="str">
        <f>VLOOKUP(B47,DONGIA,DG!$D$6,0)</f>
        <v>cái</v>
      </c>
      <c r="H47" s="329">
        <f>H45*2</f>
        <v>0</v>
      </c>
      <c r="I47" s="329">
        <f>VLOOKUP(B47,DONGIA,DG!$E$6,0)</f>
        <v>541200</v>
      </c>
      <c r="J47" s="329"/>
      <c r="K47" s="329">
        <f>VLOOKUP(B47,DONGIA,DG!$F$6,0)</f>
        <v>0</v>
      </c>
      <c r="L47" s="329">
        <f>VLOOKUP(B47,DONGIA,DG!$G$6,0)</f>
        <v>0</v>
      </c>
      <c r="M47" s="329">
        <f t="shared" ref="M47:P52" si="5">$H47*I47</f>
        <v>0</v>
      </c>
      <c r="N47" s="329">
        <f t="shared" si="5"/>
        <v>0</v>
      </c>
      <c r="O47" s="329">
        <f t="shared" si="5"/>
        <v>0</v>
      </c>
      <c r="P47" s="329">
        <f t="shared" si="5"/>
        <v>0</v>
      </c>
      <c r="Q47" s="329"/>
      <c r="S47" s="332">
        <f t="shared" si="1"/>
        <v>3.2</v>
      </c>
      <c r="T47" s="332">
        <f t="shared" si="3"/>
        <v>0</v>
      </c>
    </row>
    <row r="48" spans="1:20" hidden="1">
      <c r="A48" s="332" t="s">
        <v>477</v>
      </c>
      <c r="B48" s="332" t="s">
        <v>17</v>
      </c>
      <c r="C48" s="333">
        <f t="shared" si="2"/>
        <v>0</v>
      </c>
      <c r="D48" s="328"/>
      <c r="E48" s="328">
        <f>VLOOKUP(B48,DONGIA,DG!$B$6,0)</f>
        <v>0</v>
      </c>
      <c r="F48" s="329" t="str">
        <f>VLOOKUP(B48,DONGIA,DG!$C$6,0)</f>
        <v>Thanh chống 10x40x710</v>
      </c>
      <c r="G48" s="328" t="str">
        <f>VLOOKUP(B48,DONGIA,DG!$D$6,0)</f>
        <v>cái</v>
      </c>
      <c r="H48" s="329">
        <f>H47</f>
        <v>0</v>
      </c>
      <c r="I48" s="329">
        <f>VLOOKUP(B48,DONGIA,DG!$E$6,0)</f>
        <v>79800</v>
      </c>
      <c r="J48" s="329"/>
      <c r="K48" s="329">
        <f>VLOOKUP(B48,DONGIA,DG!$F$6,0)</f>
        <v>0</v>
      </c>
      <c r="L48" s="329">
        <f>VLOOKUP(B48,DONGIA,DG!$G$6,0)</f>
        <v>0</v>
      </c>
      <c r="M48" s="329">
        <f t="shared" si="5"/>
        <v>0</v>
      </c>
      <c r="N48" s="329">
        <f t="shared" si="5"/>
        <v>0</v>
      </c>
      <c r="O48" s="329">
        <f t="shared" si="5"/>
        <v>0</v>
      </c>
      <c r="P48" s="329">
        <f t="shared" si="5"/>
        <v>0</v>
      </c>
      <c r="Q48" s="329"/>
      <c r="S48" s="332">
        <f t="shared" si="1"/>
        <v>0.5</v>
      </c>
      <c r="T48" s="332">
        <f t="shared" si="3"/>
        <v>0</v>
      </c>
    </row>
    <row r="49" spans="1:20" hidden="1">
      <c r="A49" s="332" t="s">
        <v>477</v>
      </c>
      <c r="B49" s="332" t="s">
        <v>137</v>
      </c>
      <c r="C49" s="333">
        <f t="shared" si="2"/>
        <v>0</v>
      </c>
      <c r="D49" s="328"/>
      <c r="E49" s="328">
        <f>VLOOKUP(B49,DONGIA,DG!$B$6,0)</f>
        <v>0</v>
      </c>
      <c r="F49" s="329" t="str">
        <f>VLOOKUP(B49,DONGIA,DG!$C$6,0)</f>
        <v>Bass LI bắt FCO, LA</v>
      </c>
      <c r="G49" s="328" t="str">
        <f>VLOOKUP(B49,DONGIA,DG!$D$6,0)</f>
        <v>Bộ</v>
      </c>
      <c r="H49" s="329">
        <f>H45*2</f>
        <v>0</v>
      </c>
      <c r="I49" s="329">
        <f>VLOOKUP(B49,DONGIA,DG!$E$6,0)</f>
        <v>38000</v>
      </c>
      <c r="J49" s="329"/>
      <c r="K49" s="329">
        <f>VLOOKUP(B49,DONGIA,DG!$F$6,0)</f>
        <v>0</v>
      </c>
      <c r="L49" s="329">
        <f>VLOOKUP(B49,DONGIA,DG!$G$6,0)</f>
        <v>0</v>
      </c>
      <c r="M49" s="329">
        <f t="shared" si="5"/>
        <v>0</v>
      </c>
      <c r="N49" s="329">
        <f t="shared" si="5"/>
        <v>0</v>
      </c>
      <c r="O49" s="329">
        <f t="shared" si="5"/>
        <v>0</v>
      </c>
      <c r="P49" s="329">
        <f t="shared" si="5"/>
        <v>0</v>
      </c>
      <c r="Q49" s="329"/>
      <c r="S49" s="332">
        <f t="shared" si="1"/>
        <v>0.4</v>
      </c>
      <c r="T49" s="332">
        <f t="shared" si="3"/>
        <v>0</v>
      </c>
    </row>
    <row r="50" spans="1:20" hidden="1">
      <c r="A50" s="332" t="s">
        <v>477</v>
      </c>
      <c r="B50" s="332" t="s">
        <v>1686</v>
      </c>
      <c r="C50" s="333">
        <f t="shared" si="2"/>
        <v>0</v>
      </c>
      <c r="D50" s="328"/>
      <c r="E50" s="328">
        <f>VLOOKUP(B50,DONGIA,DG!$B$6,0)</f>
        <v>0</v>
      </c>
      <c r="F50" s="329" t="str">
        <f>VLOOKUP(B50,DONGIA,DG!$C$6,0)</f>
        <v>Boulon 16x400VRS + 4 long đền vuông D18-50x50x3/Zn</v>
      </c>
      <c r="G50" s="328" t="str">
        <f>VLOOKUP(B50,DONGIA,DG!$D$6,0)</f>
        <v>bộ</v>
      </c>
      <c r="H50" s="329">
        <f>H45*2</f>
        <v>0</v>
      </c>
      <c r="I50" s="329">
        <f>VLOOKUP(B50,DONGIA,DG!$E$6,0)</f>
        <v>45000</v>
      </c>
      <c r="J50" s="329"/>
      <c r="K50" s="329">
        <f>VLOOKUP(B50,DONGIA,DG!$F$6,0)</f>
        <v>0</v>
      </c>
      <c r="L50" s="329">
        <f>VLOOKUP(B50,DONGIA,DG!$G$6,0)</f>
        <v>0</v>
      </c>
      <c r="M50" s="329">
        <f t="shared" si="5"/>
        <v>0</v>
      </c>
      <c r="N50" s="329">
        <f t="shared" si="5"/>
        <v>0</v>
      </c>
      <c r="O50" s="329">
        <f t="shared" si="5"/>
        <v>0</v>
      </c>
      <c r="P50" s="329">
        <f t="shared" si="5"/>
        <v>0</v>
      </c>
      <c r="Q50" s="329"/>
      <c r="S50" s="332">
        <f t="shared" si="1"/>
        <v>0.39999999999999997</v>
      </c>
      <c r="T50" s="332">
        <f t="shared" si="3"/>
        <v>0</v>
      </c>
    </row>
    <row r="51" spans="1:20" hidden="1">
      <c r="A51" s="332" t="s">
        <v>477</v>
      </c>
      <c r="B51" s="332" t="s">
        <v>35</v>
      </c>
      <c r="C51" s="333">
        <f t="shared" si="2"/>
        <v>0</v>
      </c>
      <c r="D51" s="328"/>
      <c r="E51" s="328">
        <f>VLOOKUP(B51,DONGIA,DG!$B$6,0)</f>
        <v>0</v>
      </c>
      <c r="F51" s="329" t="str">
        <f>VLOOKUP(B51,DONGIA,DG!$C$6,0)</f>
        <v>Boulon 16x300+ 2 long đền vuông D18-50x50x3/Zn</v>
      </c>
      <c r="G51" s="328" t="str">
        <f>VLOOKUP(B51,DONGIA,DG!$D$6,0)</f>
        <v>bộ</v>
      </c>
      <c r="H51" s="329">
        <f>H45</f>
        <v>0</v>
      </c>
      <c r="I51" s="329">
        <f>VLOOKUP(B51,DONGIA,DG!$E$6,0)</f>
        <v>30000</v>
      </c>
      <c r="J51" s="329"/>
      <c r="K51" s="329">
        <f>VLOOKUP(B51,DONGIA,DG!$F$6,0)</f>
        <v>0</v>
      </c>
      <c r="L51" s="329">
        <f>VLOOKUP(B51,DONGIA,DG!$G$6,0)</f>
        <v>0</v>
      </c>
      <c r="M51" s="329">
        <f t="shared" si="5"/>
        <v>0</v>
      </c>
      <c r="N51" s="329">
        <f t="shared" si="5"/>
        <v>0</v>
      </c>
      <c r="O51" s="329">
        <f t="shared" si="5"/>
        <v>0</v>
      </c>
      <c r="P51" s="329">
        <f t="shared" si="5"/>
        <v>0</v>
      </c>
      <c r="Q51" s="329"/>
      <c r="S51" s="332">
        <f t="shared" si="1"/>
        <v>0.25</v>
      </c>
      <c r="T51" s="332">
        <f t="shared" si="3"/>
        <v>0</v>
      </c>
    </row>
    <row r="52" spans="1:20" hidden="1">
      <c r="A52" s="332" t="s">
        <v>477</v>
      </c>
      <c r="B52" s="332" t="s">
        <v>27</v>
      </c>
      <c r="C52" s="333">
        <f t="shared" si="2"/>
        <v>0</v>
      </c>
      <c r="D52" s="328"/>
      <c r="E52" s="328">
        <f>VLOOKUP(B52,DONGIA,DG!$B$6,0)</f>
        <v>0</v>
      </c>
      <c r="F52" s="329" t="str">
        <f>VLOOKUP(B52,DONGIA,DG!$C$6,0)</f>
        <v>Boulon 14x120+ 2 long đền vuông D16-50x50x3/Zn</v>
      </c>
      <c r="G52" s="328" t="str">
        <f>VLOOKUP(B52,DONGIA,DG!$D$6,0)</f>
        <v>bộ</v>
      </c>
      <c r="H52" s="329">
        <f>H48</f>
        <v>0</v>
      </c>
      <c r="I52" s="329">
        <f>VLOOKUP(B52,DONGIA,DG!$E$6,0)</f>
        <v>19000</v>
      </c>
      <c r="J52" s="329"/>
      <c r="K52" s="329">
        <f>VLOOKUP(B52,DONGIA,DG!$F$6,0)</f>
        <v>0</v>
      </c>
      <c r="L52" s="329">
        <f>VLOOKUP(B52,DONGIA,DG!$G$6,0)</f>
        <v>0</v>
      </c>
      <c r="M52" s="329">
        <f t="shared" si="5"/>
        <v>0</v>
      </c>
      <c r="N52" s="329">
        <f t="shared" si="5"/>
        <v>0</v>
      </c>
      <c r="O52" s="329">
        <f t="shared" si="5"/>
        <v>0</v>
      </c>
      <c r="P52" s="329">
        <f t="shared" si="5"/>
        <v>0</v>
      </c>
      <c r="Q52" s="329"/>
      <c r="S52" s="332">
        <f t="shared" si="1"/>
        <v>0.2</v>
      </c>
      <c r="T52" s="332">
        <f t="shared" si="3"/>
        <v>0</v>
      </c>
    </row>
    <row r="53" spans="1:20" hidden="1">
      <c r="A53" s="332" t="s">
        <v>477</v>
      </c>
      <c r="C53" s="333">
        <f t="shared" si="2"/>
        <v>0</v>
      </c>
      <c r="D53" s="372">
        <f>IF(H53&lt;&gt;0,D45+1,D45)</f>
        <v>0</v>
      </c>
      <c r="E53" s="372"/>
      <c r="F53" s="373" t="s">
        <v>1933</v>
      </c>
      <c r="G53" s="372" t="s">
        <v>138</v>
      </c>
      <c r="H53" s="373">
        <f>T1P25</f>
        <v>0</v>
      </c>
      <c r="I53" s="373"/>
      <c r="J53" s="373"/>
      <c r="K53" s="373"/>
      <c r="L53" s="373"/>
      <c r="M53" s="373"/>
      <c r="N53" s="373"/>
      <c r="O53" s="373"/>
      <c r="P53" s="373"/>
      <c r="Q53" s="373"/>
      <c r="S53" s="332">
        <f t="shared" si="1"/>
        <v>0</v>
      </c>
      <c r="T53" s="332">
        <f t="shared" si="3"/>
        <v>0</v>
      </c>
    </row>
    <row r="54" spans="1:20" s="361" customFormat="1" hidden="1">
      <c r="A54" s="361" t="s">
        <v>477</v>
      </c>
      <c r="C54" s="374">
        <f t="shared" si="2"/>
        <v>0</v>
      </c>
      <c r="D54" s="350"/>
      <c r="E54" s="350"/>
      <c r="F54" s="351" t="s">
        <v>1902</v>
      </c>
      <c r="G54" s="350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S54" s="361">
        <f t="shared" si="1"/>
        <v>0</v>
      </c>
      <c r="T54" s="361">
        <f t="shared" si="3"/>
        <v>0</v>
      </c>
    </row>
    <row r="55" spans="1:20" hidden="1">
      <c r="A55" s="332" t="s">
        <v>477</v>
      </c>
      <c r="B55" s="332" t="s">
        <v>144</v>
      </c>
      <c r="C55" s="333">
        <f t="shared" si="2"/>
        <v>0</v>
      </c>
      <c r="D55" s="328"/>
      <c r="E55" s="328">
        <f>VLOOKUP(B55,DONGIA,DG!$B$6,0)</f>
        <v>0</v>
      </c>
      <c r="F55" s="329" t="str">
        <f>VLOOKUP(B55,DONGIA,DG!$C$6,0)</f>
        <v>Cáp đồng trần M25mm2</v>
      </c>
      <c r="G55" s="328" t="str">
        <f>VLOOKUP(B55,DONGIA,DG!$D$6,0)</f>
        <v>kg</v>
      </c>
      <c r="H55" s="329">
        <f>H53*TDTR1P*0.224</f>
        <v>0</v>
      </c>
      <c r="I55" s="329">
        <f>VLOOKUP(B55,DONGIA,DG!$E$6,0)</f>
        <v>201380</v>
      </c>
      <c r="J55" s="329"/>
      <c r="K55" s="329">
        <f>VLOOKUP(B55,DONGIA,DG!$F$6,0)</f>
        <v>0</v>
      </c>
      <c r="L55" s="329">
        <f>VLOOKUP(B55,DONGIA,DG!$G$6,0)</f>
        <v>0</v>
      </c>
      <c r="M55" s="329">
        <f>$H55*I55</f>
        <v>0</v>
      </c>
      <c r="N55" s="329">
        <f>$H55*J55</f>
        <v>0</v>
      </c>
      <c r="O55" s="329">
        <f>$H55*K55</f>
        <v>0</v>
      </c>
      <c r="P55" s="329">
        <f>$H55*L55</f>
        <v>0</v>
      </c>
      <c r="Q55" s="329"/>
      <c r="S55" s="332">
        <f t="shared" si="1"/>
        <v>1</v>
      </c>
      <c r="T55" s="332">
        <f t="shared" si="3"/>
        <v>0</v>
      </c>
    </row>
    <row r="56" spans="1:20" hidden="1">
      <c r="A56" s="332" t="s">
        <v>477</v>
      </c>
      <c r="B56" s="332" t="s">
        <v>278</v>
      </c>
      <c r="C56" s="333">
        <f t="shared" si="2"/>
        <v>0</v>
      </c>
      <c r="D56" s="328"/>
      <c r="E56" s="328">
        <f>VLOOKUP(B56,DONGIA,DG!$B$6,0)</f>
        <v>0</v>
      </c>
      <c r="F56" s="329" t="str">
        <f>VLOOKUP(B56,DONGIA,DG!$C$6,0)</f>
        <v>Cọc tiếp đất φ16 - 2,4m (mạ đồng 16µm)</v>
      </c>
      <c r="G56" s="328" t="str">
        <f>VLOOKUP(B56,DONGIA,DG!$D$6,0)</f>
        <v>cọc</v>
      </c>
      <c r="H56" s="329">
        <f>H53*9</f>
        <v>0</v>
      </c>
      <c r="I56" s="329">
        <f>VLOOKUP(B56,DONGIA,DG!$E$6,0)</f>
        <v>130000</v>
      </c>
      <c r="J56" s="329"/>
      <c r="K56" s="329">
        <f>VLOOKUP(B56,DONGIA,DG!$F$6,0)</f>
        <v>0</v>
      </c>
      <c r="L56" s="329">
        <f>VLOOKUP(B56,DONGIA,DG!$G$6,0)</f>
        <v>0</v>
      </c>
      <c r="M56" s="329">
        <f t="shared" ref="M56:M62" si="6">$H56*I56</f>
        <v>0</v>
      </c>
      <c r="N56" s="329">
        <f t="shared" ref="N56:N62" si="7">$H56*J56</f>
        <v>0</v>
      </c>
      <c r="O56" s="329">
        <f t="shared" ref="O56:O62" si="8">$H56*K56</f>
        <v>0</v>
      </c>
      <c r="P56" s="329">
        <f t="shared" ref="P56:P62" si="9">$H56*L56</f>
        <v>0</v>
      </c>
      <c r="Q56" s="329"/>
      <c r="S56" s="332">
        <f t="shared" si="1"/>
        <v>5.3</v>
      </c>
      <c r="T56" s="332">
        <f t="shared" si="3"/>
        <v>0</v>
      </c>
    </row>
    <row r="57" spans="1:20" hidden="1">
      <c r="A57" s="332" t="s">
        <v>477</v>
      </c>
      <c r="B57" s="332" t="s">
        <v>280</v>
      </c>
      <c r="C57" s="333">
        <f t="shared" si="2"/>
        <v>0</v>
      </c>
      <c r="D57" s="328"/>
      <c r="E57" s="328">
        <f>VLOOKUP(B57,DONGIA,DG!$B$6,0)</f>
        <v>0</v>
      </c>
      <c r="F57" s="329" t="str">
        <f>VLOOKUP(B57,DONGIA,DG!$C$6,0)</f>
        <v>Kẹp cọc tiếp địa</v>
      </c>
      <c r="G57" s="328" t="str">
        <f>VLOOKUP(B57,DONGIA,DG!$D$6,0)</f>
        <v>bộ</v>
      </c>
      <c r="H57" s="329">
        <f>H56</f>
        <v>0</v>
      </c>
      <c r="I57" s="329">
        <f>VLOOKUP(B57,DONGIA,DG!$E$6,0)</f>
        <v>25000</v>
      </c>
      <c r="J57" s="329"/>
      <c r="K57" s="329">
        <f>VLOOKUP(B57,DONGIA,DG!$F$6,0)</f>
        <v>0</v>
      </c>
      <c r="L57" s="329">
        <f>VLOOKUP(B57,DONGIA,DG!$G$6,0)</f>
        <v>0</v>
      </c>
      <c r="M57" s="329">
        <f t="shared" si="6"/>
        <v>0</v>
      </c>
      <c r="N57" s="329">
        <f t="shared" si="7"/>
        <v>0</v>
      </c>
      <c r="O57" s="329">
        <f t="shared" si="8"/>
        <v>0</v>
      </c>
      <c r="P57" s="329">
        <f t="shared" si="9"/>
        <v>0</v>
      </c>
      <c r="Q57" s="329"/>
      <c r="S57" s="332">
        <f t="shared" si="1"/>
        <v>0.05</v>
      </c>
      <c r="T57" s="332">
        <f t="shared" si="3"/>
        <v>0</v>
      </c>
    </row>
    <row r="58" spans="1:20" hidden="1">
      <c r="A58" s="332" t="s">
        <v>477</v>
      </c>
      <c r="B58" s="332" t="s">
        <v>1217</v>
      </c>
      <c r="C58" s="333">
        <f t="shared" si="2"/>
        <v>0</v>
      </c>
      <c r="D58" s="328"/>
      <c r="E58" s="328">
        <f>VLOOKUP(B58,DONGIA,DG!$B$6,0)</f>
        <v>0</v>
      </c>
      <c r="F58" s="329" t="str">
        <f>VLOOKUP(B58,DONGIA,DG!$C$6,0)</f>
        <v xml:space="preserve">Ốc xiết cáp cỡ 38mm2 </v>
      </c>
      <c r="G58" s="328" t="str">
        <f>VLOOKUP(B58,DONGIA,DG!$D$6,0)</f>
        <v>cái</v>
      </c>
      <c r="H58" s="329">
        <f>H53*6</f>
        <v>0</v>
      </c>
      <c r="I58" s="329">
        <f>VLOOKUP(B58,DONGIA,DG!$E$6,0)</f>
        <v>18000</v>
      </c>
      <c r="J58" s="329"/>
      <c r="K58" s="329">
        <f>VLOOKUP(B58,DONGIA,DG!$F$6,0)</f>
        <v>0</v>
      </c>
      <c r="L58" s="329">
        <f>VLOOKUP(B58,DONGIA,DG!$G$6,0)</f>
        <v>0</v>
      </c>
      <c r="M58" s="329">
        <f t="shared" si="6"/>
        <v>0</v>
      </c>
      <c r="N58" s="329">
        <f t="shared" si="7"/>
        <v>0</v>
      </c>
      <c r="O58" s="329">
        <f t="shared" si="8"/>
        <v>0</v>
      </c>
      <c r="P58" s="329">
        <f t="shared" si="9"/>
        <v>0</v>
      </c>
      <c r="Q58" s="329"/>
      <c r="S58" s="332">
        <f t="shared" si="1"/>
        <v>0</v>
      </c>
      <c r="T58" s="332">
        <f t="shared" si="3"/>
        <v>0</v>
      </c>
    </row>
    <row r="59" spans="1:20" hidden="1">
      <c r="A59" s="332" t="s">
        <v>477</v>
      </c>
      <c r="B59" s="332" t="s">
        <v>573</v>
      </c>
      <c r="C59" s="333">
        <f t="shared" si="2"/>
        <v>0</v>
      </c>
      <c r="D59" s="328"/>
      <c r="E59" s="328" t="str">
        <f>VLOOKUP(B59,DONGIA,DG!$B$6,0)</f>
        <v>T4.7001</v>
      </c>
      <c r="F59" s="329" t="str">
        <f>VLOOKUP(B59,DONGIA,DG!$C$6,0)</f>
        <v>Kéo dây tiếp địa trong TBA</v>
      </c>
      <c r="G59" s="328" t="str">
        <f>VLOOKUP(B59,DONGIA,DG!$D$6,0)</f>
        <v>mét</v>
      </c>
      <c r="H59" s="329">
        <f>TDTR1P*H53</f>
        <v>0</v>
      </c>
      <c r="I59" s="329">
        <f>VLOOKUP(B59,DONGIA,DG!$E$6,0)</f>
        <v>0</v>
      </c>
      <c r="J59" s="329"/>
      <c r="K59" s="329">
        <f>VLOOKUP(B59,DONGIA,DG!$F$6,0)</f>
        <v>6871</v>
      </c>
      <c r="L59" s="329">
        <f>VLOOKUP(B59,DONGIA,DG!$G$6,0)</f>
        <v>0</v>
      </c>
      <c r="M59" s="329">
        <f t="shared" si="6"/>
        <v>0</v>
      </c>
      <c r="N59" s="329">
        <f t="shared" si="7"/>
        <v>0</v>
      </c>
      <c r="O59" s="329">
        <f t="shared" si="8"/>
        <v>0</v>
      </c>
      <c r="P59" s="329">
        <f t="shared" si="9"/>
        <v>0</v>
      </c>
      <c r="Q59" s="329"/>
      <c r="S59" s="332">
        <f t="shared" si="1"/>
        <v>0</v>
      </c>
      <c r="T59" s="332">
        <f t="shared" si="3"/>
        <v>0</v>
      </c>
    </row>
    <row r="60" spans="1:20" hidden="1">
      <c r="A60" s="332" t="s">
        <v>477</v>
      </c>
      <c r="B60" s="332" t="s">
        <v>581</v>
      </c>
      <c r="C60" s="333">
        <f t="shared" si="2"/>
        <v>0</v>
      </c>
      <c r="D60" s="328"/>
      <c r="E60" s="328" t="str">
        <f>VLOOKUP(B60,DONGIA,DG!$B$6,0)</f>
        <v>D2.8103</v>
      </c>
      <c r="F60" s="329" t="str">
        <f>VLOOKUP(B60,DONGIA,DG!$C$6,0)</f>
        <v>Đóng cọc tiếp địa trong TBA (đất cấp 3)</v>
      </c>
      <c r="G60" s="328" t="str">
        <f>VLOOKUP(B60,DONGIA,DG!$D$6,0)</f>
        <v>cọc</v>
      </c>
      <c r="H60" s="329">
        <f>H56</f>
        <v>0</v>
      </c>
      <c r="I60" s="329">
        <f>VLOOKUP(B60,DONGIA,DG!$E$6,0)</f>
        <v>0</v>
      </c>
      <c r="J60" s="329"/>
      <c r="K60" s="329">
        <f>VLOOKUP(B60,DONGIA,DG!$F$6,0)</f>
        <v>76928</v>
      </c>
      <c r="L60" s="329">
        <f>VLOOKUP(B60,DONGIA,DG!$G$6,0)</f>
        <v>0</v>
      </c>
      <c r="M60" s="329">
        <f t="shared" si="6"/>
        <v>0</v>
      </c>
      <c r="N60" s="329">
        <f t="shared" si="7"/>
        <v>0</v>
      </c>
      <c r="O60" s="329">
        <f t="shared" si="8"/>
        <v>0</v>
      </c>
      <c r="P60" s="329">
        <f t="shared" si="9"/>
        <v>0</v>
      </c>
      <c r="Q60" s="329"/>
      <c r="S60" s="332">
        <f t="shared" si="1"/>
        <v>0</v>
      </c>
      <c r="T60" s="332">
        <f t="shared" si="3"/>
        <v>0</v>
      </c>
    </row>
    <row r="61" spans="1:20" hidden="1">
      <c r="A61" s="332" t="s">
        <v>477</v>
      </c>
      <c r="B61" s="332" t="s">
        <v>540</v>
      </c>
      <c r="C61" s="333">
        <f t="shared" si="2"/>
        <v>0</v>
      </c>
      <c r="D61" s="328"/>
      <c r="E61" s="328" t="str">
        <f>VLOOKUP(B61,DONGIA,DG!$B$6,0)</f>
        <v>AB.11513</v>
      </c>
      <c r="F61" s="329" t="str">
        <f>VLOOKUP(B61,DONGIA,DG!$C$6,0)</f>
        <v>Đào rãnh tiếp địa đất cấp 3</v>
      </c>
      <c r="G61" s="328" t="str">
        <f>VLOOKUP(B61,DONGIA,DG!$D$6,0)</f>
        <v>m3</v>
      </c>
      <c r="H61" s="329">
        <f>H53*4.05</f>
        <v>0</v>
      </c>
      <c r="I61" s="329">
        <f>VLOOKUP(B61,DONGIA,DG!$E$6,0)</f>
        <v>0</v>
      </c>
      <c r="J61" s="329"/>
      <c r="K61" s="329">
        <f>VLOOKUP(B61,DONGIA,DG!$F$6,0)</f>
        <v>241580</v>
      </c>
      <c r="L61" s="329">
        <f>VLOOKUP(B61,DONGIA,DG!$G$6,0)</f>
        <v>0</v>
      </c>
      <c r="M61" s="329">
        <f t="shared" si="6"/>
        <v>0</v>
      </c>
      <c r="N61" s="329">
        <f t="shared" si="7"/>
        <v>0</v>
      </c>
      <c r="O61" s="329">
        <f t="shared" si="8"/>
        <v>0</v>
      </c>
      <c r="P61" s="329">
        <f t="shared" si="9"/>
        <v>0</v>
      </c>
      <c r="Q61" s="329"/>
      <c r="S61" s="332">
        <f t="shared" si="1"/>
        <v>0</v>
      </c>
      <c r="T61" s="332">
        <f t="shared" si="3"/>
        <v>0</v>
      </c>
    </row>
    <row r="62" spans="1:20" hidden="1">
      <c r="A62" s="332" t="s">
        <v>477</v>
      </c>
      <c r="B62" s="332" t="s">
        <v>547</v>
      </c>
      <c r="C62" s="333">
        <f t="shared" si="2"/>
        <v>0</v>
      </c>
      <c r="D62" s="328"/>
      <c r="E62" s="328" t="str">
        <f>VLOOKUP(B62,DONGIA,DG!$B$6,0)</f>
        <v>AB.65110</v>
      </c>
      <c r="F62" s="329" t="str">
        <f>VLOOKUP(B62,DONGIA,DG!$C$6,0)</f>
        <v>Đắp đất rãnh tiếp địa (K=0,85)</v>
      </c>
      <c r="G62" s="328" t="str">
        <f>VLOOKUP(B62,DONGIA,DG!$D$6,0)</f>
        <v>m3</v>
      </c>
      <c r="H62" s="329">
        <f>H61</f>
        <v>0</v>
      </c>
      <c r="I62" s="329">
        <f>VLOOKUP(B62,DONGIA,DG!$E$6,0)</f>
        <v>0</v>
      </c>
      <c r="J62" s="329"/>
      <c r="K62" s="329">
        <f>VLOOKUP(B62,DONGIA,DG!$F$6,0)</f>
        <v>16267</v>
      </c>
      <c r="L62" s="329">
        <f>VLOOKUP(B62,DONGIA,DG!$G$6,0)</f>
        <v>11176</v>
      </c>
      <c r="M62" s="329">
        <f t="shared" si="6"/>
        <v>0</v>
      </c>
      <c r="N62" s="329">
        <f t="shared" si="7"/>
        <v>0</v>
      </c>
      <c r="O62" s="329">
        <f t="shared" si="8"/>
        <v>0</v>
      </c>
      <c r="P62" s="329">
        <f t="shared" si="9"/>
        <v>0</v>
      </c>
      <c r="Q62" s="329"/>
      <c r="S62" s="332">
        <f t="shared" si="1"/>
        <v>0</v>
      </c>
      <c r="T62" s="332">
        <f t="shared" si="3"/>
        <v>0</v>
      </c>
    </row>
    <row r="63" spans="1:20" hidden="1">
      <c r="A63" s="332" t="s">
        <v>477</v>
      </c>
      <c r="C63" s="333">
        <f t="shared" si="2"/>
        <v>0</v>
      </c>
      <c r="D63" s="372">
        <f>IF(H63&lt;&gt;0,D53+1,D53)</f>
        <v>0</v>
      </c>
      <c r="E63" s="372"/>
      <c r="F63" s="373" t="s">
        <v>1934</v>
      </c>
      <c r="G63" s="372" t="s">
        <v>138</v>
      </c>
      <c r="H63" s="373">
        <f>T1P25</f>
        <v>0</v>
      </c>
      <c r="I63" s="373"/>
      <c r="J63" s="373"/>
      <c r="K63" s="373"/>
      <c r="L63" s="373"/>
      <c r="M63" s="373"/>
      <c r="N63" s="373"/>
      <c r="O63" s="373"/>
      <c r="P63" s="373"/>
      <c r="Q63" s="373"/>
      <c r="S63" s="332">
        <f t="shared" si="1"/>
        <v>0</v>
      </c>
      <c r="T63" s="332">
        <f t="shared" si="3"/>
        <v>0</v>
      </c>
    </row>
    <row r="64" spans="1:20" s="361" customFormat="1" hidden="1">
      <c r="A64" s="361" t="s">
        <v>477</v>
      </c>
      <c r="C64" s="374">
        <f t="shared" si="2"/>
        <v>0</v>
      </c>
      <c r="D64" s="350"/>
      <c r="E64" s="350"/>
      <c r="F64" s="351" t="s">
        <v>1902</v>
      </c>
      <c r="G64" s="350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S64" s="361">
        <f t="shared" si="1"/>
        <v>0</v>
      </c>
      <c r="T64" s="361">
        <f t="shared" si="3"/>
        <v>0</v>
      </c>
    </row>
    <row r="65" spans="1:20" hidden="1">
      <c r="A65" s="332" t="s">
        <v>477</v>
      </c>
      <c r="B65" s="332" t="s">
        <v>989</v>
      </c>
      <c r="C65" s="333">
        <f t="shared" si="2"/>
        <v>0</v>
      </c>
      <c r="D65" s="328"/>
      <c r="E65" s="328" t="str">
        <f>VLOOKUP(B65,DONGIA,DG!$B$6,0)</f>
        <v>T5.1001</v>
      </c>
      <c r="F65" s="329" t="str">
        <f>VLOOKUP(B65,DONGIA,DG!$C$6,0)</f>
        <v>Tủ trạm treo + khóa + boulon + Bakelit + Collier (1 pha)</v>
      </c>
      <c r="G65" s="328" t="str">
        <f>VLOOKUP(B65,DONGIA,DG!$D$6,0)</f>
        <v>bộ</v>
      </c>
      <c r="H65" s="329">
        <f>H63</f>
        <v>0</v>
      </c>
      <c r="I65" s="329">
        <f>VLOOKUP(B65,DONGIA,DG!$E$6,0)</f>
        <v>5446000</v>
      </c>
      <c r="J65" s="329"/>
      <c r="K65" s="329">
        <f>VLOOKUP(B65,DONGIA,DG!$F$6,0)</f>
        <v>645165</v>
      </c>
      <c r="L65" s="329">
        <f>VLOOKUP(B65,DONGIA,DG!$G$6,0)</f>
        <v>111154</v>
      </c>
      <c r="M65" s="329">
        <f>$H65*I65</f>
        <v>0</v>
      </c>
      <c r="N65" s="329">
        <f>$H65*J65</f>
        <v>0</v>
      </c>
      <c r="O65" s="329">
        <f>$H65*K65</f>
        <v>0</v>
      </c>
      <c r="P65" s="329">
        <f>$H65*L65</f>
        <v>0</v>
      </c>
      <c r="Q65" s="329"/>
      <c r="S65" s="332">
        <f t="shared" si="1"/>
        <v>45</v>
      </c>
      <c r="T65" s="332">
        <f t="shared" si="3"/>
        <v>0</v>
      </c>
    </row>
    <row r="66" spans="1:20" hidden="1">
      <c r="C66" s="333">
        <f t="shared" si="2"/>
        <v>0</v>
      </c>
      <c r="D66" s="372">
        <f>IF(H66&lt;&gt;0,D63+1,D63)</f>
        <v>0</v>
      </c>
      <c r="E66" s="372"/>
      <c r="F66" s="373" t="s">
        <v>1935</v>
      </c>
      <c r="G66" s="372" t="s">
        <v>138</v>
      </c>
      <c r="H66" s="373">
        <f>T1P25</f>
        <v>0</v>
      </c>
      <c r="I66" s="373"/>
      <c r="J66" s="373"/>
      <c r="K66" s="373"/>
      <c r="L66" s="373"/>
      <c r="M66" s="373"/>
      <c r="N66" s="373"/>
      <c r="O66" s="373"/>
      <c r="P66" s="373"/>
      <c r="Q66" s="373"/>
      <c r="S66" s="332">
        <f t="shared" si="1"/>
        <v>0</v>
      </c>
      <c r="T66" s="332">
        <f t="shared" si="3"/>
        <v>0</v>
      </c>
    </row>
    <row r="67" spans="1:20" s="361" customFormat="1" hidden="1">
      <c r="C67" s="374">
        <f t="shared" si="2"/>
        <v>0</v>
      </c>
      <c r="D67" s="350"/>
      <c r="E67" s="350"/>
      <c r="F67" s="351" t="s">
        <v>1902</v>
      </c>
      <c r="G67" s="350"/>
      <c r="H67" s="351"/>
      <c r="I67" s="351"/>
      <c r="J67" s="351"/>
      <c r="K67" s="351"/>
      <c r="L67" s="351"/>
      <c r="M67" s="351"/>
      <c r="N67" s="351"/>
      <c r="O67" s="351"/>
      <c r="P67" s="351"/>
      <c r="Q67" s="351"/>
      <c r="S67" s="361">
        <f t="shared" si="1"/>
        <v>0</v>
      </c>
      <c r="T67" s="361">
        <f t="shared" si="3"/>
        <v>0</v>
      </c>
    </row>
    <row r="68" spans="1:20" hidden="1">
      <c r="B68" s="332" t="s">
        <v>1468</v>
      </c>
      <c r="C68" s="333">
        <f t="shared" si="2"/>
        <v>0</v>
      </c>
      <c r="D68" s="328"/>
      <c r="E68" s="328">
        <f>VLOOKUP(B68,DONGIA,DG!$B$6,0)</f>
        <v>0</v>
      </c>
      <c r="F68" s="329" t="str">
        <f>VLOOKUP(B68,DONGIA,DG!$C$6,0)</f>
        <v>Cáp 24KV C/XLPE/PVC 25mm2</v>
      </c>
      <c r="G68" s="328" t="str">
        <f>VLOOKUP(B68,DONGIA,DG!$D$6,0)</f>
        <v>mét</v>
      </c>
      <c r="H68" s="329"/>
      <c r="I68" s="329">
        <f>VLOOKUP(B68,DONGIA,DG!$E$6,0)</f>
        <v>87540</v>
      </c>
      <c r="J68" s="329"/>
      <c r="K68" s="329">
        <f>VLOOKUP(B68,DONGIA,DG!$F$6,0)</f>
        <v>0</v>
      </c>
      <c r="L68" s="329">
        <f>VLOOKUP(B68,DONGIA,DG!$G$6,0)</f>
        <v>0</v>
      </c>
      <c r="M68" s="329">
        <f t="shared" ref="M68:P72" si="10">$H68*I68</f>
        <v>0</v>
      </c>
      <c r="N68" s="329">
        <f t="shared" si="10"/>
        <v>0</v>
      </c>
      <c r="O68" s="329">
        <f t="shared" si="10"/>
        <v>0</v>
      </c>
      <c r="P68" s="329">
        <f t="shared" si="10"/>
        <v>0</v>
      </c>
      <c r="Q68" s="329"/>
      <c r="S68" s="332">
        <f t="shared" si="1"/>
        <v>0.75</v>
      </c>
      <c r="T68" s="332">
        <f t="shared" si="3"/>
        <v>0</v>
      </c>
    </row>
    <row r="69" spans="1:20" hidden="1">
      <c r="B69" s="332" t="s">
        <v>1507</v>
      </c>
      <c r="C69" s="333">
        <f t="shared" si="2"/>
        <v>0</v>
      </c>
      <c r="D69" s="328"/>
      <c r="E69" s="328" t="str">
        <f>VLOOKUP(B69,DONGIA,DG!$B$6,0)</f>
        <v>D6.6201</v>
      </c>
      <c r="F69" s="329" t="str">
        <f>VLOOKUP(B69,DONGIA,DG!$C$6,0)</f>
        <v>Kẹp quai 4/0 (quai đồng 8mm)</v>
      </c>
      <c r="G69" s="328" t="str">
        <f>VLOOKUP(B69,DONGIA,DG!$D$6,0)</f>
        <v>cái</v>
      </c>
      <c r="H69" s="329"/>
      <c r="I69" s="329">
        <f>VLOOKUP(B69,DONGIA,DG!$E$6,0)</f>
        <v>145000</v>
      </c>
      <c r="J69" s="329"/>
      <c r="K69" s="329">
        <f>VLOOKUP(B69,DONGIA,DG!$F$6,0)</f>
        <v>87817</v>
      </c>
      <c r="L69" s="329">
        <f>VLOOKUP(B69,DONGIA,DG!$G$6,0)</f>
        <v>0</v>
      </c>
      <c r="M69" s="329">
        <f t="shared" si="10"/>
        <v>0</v>
      </c>
      <c r="N69" s="329">
        <f t="shared" si="10"/>
        <v>0</v>
      </c>
      <c r="O69" s="329">
        <f t="shared" si="10"/>
        <v>0</v>
      </c>
      <c r="P69" s="329">
        <f t="shared" si="10"/>
        <v>0</v>
      </c>
      <c r="Q69" s="329"/>
      <c r="S69" s="332">
        <f t="shared" si="1"/>
        <v>0.3</v>
      </c>
      <c r="T69" s="332">
        <f t="shared" si="3"/>
        <v>0</v>
      </c>
    </row>
    <row r="70" spans="1:20" hidden="1">
      <c r="B70" s="332" t="s">
        <v>1511</v>
      </c>
      <c r="C70" s="333">
        <f t="shared" si="2"/>
        <v>0</v>
      </c>
      <c r="D70" s="328"/>
      <c r="E70" s="328">
        <f>VLOOKUP(B70,DONGIA,DG!$B$6,0)</f>
        <v>0</v>
      </c>
      <c r="F70" s="329" t="str">
        <f>VLOOKUP(B70,DONGIA,DG!$C$6,0)</f>
        <v>Chụp cách điện kẹp quai</v>
      </c>
      <c r="G70" s="328" t="str">
        <f>VLOOKUP(B70,DONGIA,DG!$D$6,0)</f>
        <v>cái</v>
      </c>
      <c r="H70" s="329"/>
      <c r="I70" s="329">
        <f>VLOOKUP(B70,DONGIA,DG!$E$6,0)</f>
        <v>122000</v>
      </c>
      <c r="J70" s="329"/>
      <c r="K70" s="329">
        <f>VLOOKUP(B70,DONGIA,DG!$F$6,0)</f>
        <v>0</v>
      </c>
      <c r="L70" s="329">
        <f>VLOOKUP(B70,DONGIA,DG!$G$6,0)</f>
        <v>0</v>
      </c>
      <c r="M70" s="329">
        <f t="shared" si="10"/>
        <v>0</v>
      </c>
      <c r="N70" s="329">
        <f t="shared" si="10"/>
        <v>0</v>
      </c>
      <c r="O70" s="329">
        <f t="shared" si="10"/>
        <v>0</v>
      </c>
      <c r="P70" s="329">
        <f t="shared" si="10"/>
        <v>0</v>
      </c>
      <c r="Q70" s="329"/>
      <c r="S70" s="332">
        <f t="shared" si="1"/>
        <v>0.2</v>
      </c>
      <c r="T70" s="332">
        <f t="shared" si="3"/>
        <v>0</v>
      </c>
    </row>
    <row r="71" spans="1:20" hidden="1">
      <c r="B71" s="332" t="s">
        <v>1508</v>
      </c>
      <c r="C71" s="333">
        <f t="shared" si="2"/>
        <v>0</v>
      </c>
      <c r="D71" s="328"/>
      <c r="E71" s="328" t="str">
        <f>VLOOKUP(B71,DONGIA,DG!$B$6,0)</f>
        <v>D6.6202</v>
      </c>
      <c r="F71" s="329" t="str">
        <f>VLOOKUP(B71,DONGIA,DG!$C$6,0)</f>
        <v>Kẹp hotline 2/0</v>
      </c>
      <c r="G71" s="328" t="str">
        <f>VLOOKUP(B71,DONGIA,DG!$D$6,0)</f>
        <v>cái</v>
      </c>
      <c r="H71" s="329"/>
      <c r="I71" s="329">
        <f>VLOOKUP(B71,DONGIA,DG!$E$6,0)</f>
        <v>68000</v>
      </c>
      <c r="J71" s="329"/>
      <c r="K71" s="329">
        <f>VLOOKUP(B71,DONGIA,DG!$F$6,0)</f>
        <v>109771</v>
      </c>
      <c r="L71" s="329">
        <f>VLOOKUP(B71,DONGIA,DG!$G$6,0)</f>
        <v>0</v>
      </c>
      <c r="M71" s="329">
        <f t="shared" si="10"/>
        <v>0</v>
      </c>
      <c r="N71" s="329">
        <f t="shared" si="10"/>
        <v>0</v>
      </c>
      <c r="O71" s="329">
        <f t="shared" si="10"/>
        <v>0</v>
      </c>
      <c r="P71" s="329">
        <f t="shared" si="10"/>
        <v>0</v>
      </c>
      <c r="Q71" s="329"/>
      <c r="S71" s="332">
        <f t="shared" si="1"/>
        <v>0.1</v>
      </c>
      <c r="T71" s="332">
        <f t="shared" si="3"/>
        <v>0</v>
      </c>
    </row>
    <row r="72" spans="1:20" hidden="1">
      <c r="B72" s="332" t="s">
        <v>1939</v>
      </c>
      <c r="C72" s="333">
        <f t="shared" si="2"/>
        <v>0</v>
      </c>
      <c r="D72" s="328"/>
      <c r="E72" s="328" t="str">
        <f>VLOOKUP(B72,DONGIA,DG!$B$6,0)</f>
        <v>T4.4201</v>
      </c>
      <c r="F72" s="329" t="str">
        <f>VLOOKUP(B72,DONGIA,DG!$C$6,0)</f>
        <v>Lắp cáp đồng xuống thiết bị D ≤ 95mm2</v>
      </c>
      <c r="G72" s="328" t="str">
        <f>VLOOKUP(B72,DONGIA,DG!$D$6,0)</f>
        <v>m</v>
      </c>
      <c r="H72" s="329"/>
      <c r="I72" s="329">
        <f>VLOOKUP(B72,DONGIA,DG!$E$6,0)</f>
        <v>0</v>
      </c>
      <c r="J72" s="329"/>
      <c r="K72" s="329">
        <f>VLOOKUP(B72,DONGIA,DG!$F$6,0)</f>
        <v>11847</v>
      </c>
      <c r="L72" s="329">
        <f>VLOOKUP(B72,DONGIA,DG!$G$6,0)</f>
        <v>0</v>
      </c>
      <c r="M72" s="329">
        <f t="shared" si="10"/>
        <v>0</v>
      </c>
      <c r="N72" s="329">
        <f t="shared" si="10"/>
        <v>0</v>
      </c>
      <c r="O72" s="329">
        <f t="shared" si="10"/>
        <v>0</v>
      </c>
      <c r="P72" s="329">
        <f t="shared" si="10"/>
        <v>0</v>
      </c>
      <c r="Q72" s="329"/>
      <c r="S72" s="332">
        <f t="shared" si="1"/>
        <v>0</v>
      </c>
      <c r="T72" s="332">
        <f t="shared" si="3"/>
        <v>0</v>
      </c>
    </row>
    <row r="73" spans="1:20" hidden="1">
      <c r="C73" s="333">
        <f t="shared" si="2"/>
        <v>0</v>
      </c>
      <c r="D73" s="372">
        <f>IF(H73&lt;&gt;0,D66+1,D66)</f>
        <v>0</v>
      </c>
      <c r="E73" s="372"/>
      <c r="F73" s="373" t="s">
        <v>1936</v>
      </c>
      <c r="G73" s="372" t="s">
        <v>138</v>
      </c>
      <c r="H73" s="373">
        <f>T1P25</f>
        <v>0</v>
      </c>
      <c r="I73" s="373"/>
      <c r="J73" s="373"/>
      <c r="K73" s="373"/>
      <c r="L73" s="373"/>
      <c r="M73" s="373"/>
      <c r="N73" s="373"/>
      <c r="O73" s="373"/>
      <c r="P73" s="373"/>
      <c r="Q73" s="373"/>
      <c r="S73" s="332">
        <f t="shared" si="1"/>
        <v>0</v>
      </c>
      <c r="T73" s="332">
        <f t="shared" si="3"/>
        <v>0</v>
      </c>
    </row>
    <row r="74" spans="1:20" s="361" customFormat="1" hidden="1">
      <c r="C74" s="374">
        <f t="shared" si="2"/>
        <v>0</v>
      </c>
      <c r="D74" s="350"/>
      <c r="E74" s="350"/>
      <c r="F74" s="351" t="s">
        <v>1902</v>
      </c>
      <c r="G74" s="350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S74" s="361">
        <f t="shared" si="1"/>
        <v>0</v>
      </c>
      <c r="T74" s="361">
        <f t="shared" si="3"/>
        <v>0</v>
      </c>
    </row>
    <row r="75" spans="1:20" hidden="1">
      <c r="B75" s="332" t="s">
        <v>1907</v>
      </c>
      <c r="C75" s="333">
        <f t="shared" si="2"/>
        <v>0</v>
      </c>
      <c r="D75" s="328"/>
      <c r="E75" s="328">
        <f>VLOOKUP(B75,DONGIA,DG!$B$6,0)</f>
        <v>0</v>
      </c>
      <c r="F75" s="329" t="str">
        <f>VLOOKUP(B75,DONGIA,DG!$C$6,0)</f>
        <v>Cáp đồng bọc CV70</v>
      </c>
      <c r="G75" s="328" t="str">
        <f>VLOOKUP(B75,DONGIA,DG!$D$6,0)</f>
        <v>mét</v>
      </c>
      <c r="H75" s="329"/>
      <c r="I75" s="329">
        <f>VLOOKUP(B75,DONGIA,DG!$E$6,0)</f>
        <v>142880</v>
      </c>
      <c r="J75" s="329"/>
      <c r="K75" s="329">
        <f>VLOOKUP(B75,DONGIA,DG!$F$6,0)</f>
        <v>0</v>
      </c>
      <c r="L75" s="329">
        <f>VLOOKUP(B75,DONGIA,DG!$G$6,0)</f>
        <v>0</v>
      </c>
      <c r="M75" s="329">
        <f>$H75*I75</f>
        <v>0</v>
      </c>
      <c r="N75" s="329">
        <f>$H75*J75</f>
        <v>0</v>
      </c>
      <c r="O75" s="329">
        <f>$H75*K75</f>
        <v>0</v>
      </c>
      <c r="P75" s="329">
        <f>$H75*L75</f>
        <v>0</v>
      </c>
      <c r="Q75" s="329"/>
      <c r="S75" s="332">
        <f t="shared" si="1"/>
        <v>0.73899999999999999</v>
      </c>
      <c r="T75" s="332">
        <f t="shared" si="3"/>
        <v>0</v>
      </c>
    </row>
    <row r="76" spans="1:20" hidden="1">
      <c r="B76" s="332" t="s">
        <v>1906</v>
      </c>
      <c r="C76" s="333">
        <f t="shared" si="2"/>
        <v>0</v>
      </c>
      <c r="D76" s="328"/>
      <c r="E76" s="328">
        <f>VLOOKUP(B76,DONGIA,DG!$B$6,0)</f>
        <v>0</v>
      </c>
      <c r="F76" s="329" t="str">
        <f>VLOOKUP(B76,DONGIA,DG!$C$6,0)</f>
        <v>Cáp đồng bọc CV50</v>
      </c>
      <c r="G76" s="328" t="str">
        <f>VLOOKUP(B76,DONGIA,DG!$D$6,0)</f>
        <v>mét</v>
      </c>
      <c r="H76" s="329"/>
      <c r="I76" s="329">
        <f>VLOOKUP(B76,DONGIA,DG!$E$6,0)</f>
        <v>104370</v>
      </c>
      <c r="J76" s="329"/>
      <c r="K76" s="329">
        <f>VLOOKUP(B76,DONGIA,DG!$F$6,0)</f>
        <v>0</v>
      </c>
      <c r="L76" s="329">
        <f>VLOOKUP(B76,DONGIA,DG!$G$6,0)</f>
        <v>0</v>
      </c>
      <c r="M76" s="329">
        <f t="shared" ref="M76:M93" si="11">$H76*I76</f>
        <v>0</v>
      </c>
      <c r="N76" s="329">
        <f t="shared" ref="N76:N93" si="12">$H76*J76</f>
        <v>0</v>
      </c>
      <c r="O76" s="329">
        <f t="shared" ref="O76:O93" si="13">$H76*K76</f>
        <v>0</v>
      </c>
      <c r="P76" s="329">
        <f t="shared" ref="P76:P93" si="14">$H76*L76</f>
        <v>0</v>
      </c>
      <c r="Q76" s="329"/>
      <c r="S76" s="332">
        <f t="shared" si="1"/>
        <v>0.53400000000000003</v>
      </c>
      <c r="T76" s="332">
        <f t="shared" si="3"/>
        <v>0</v>
      </c>
    </row>
    <row r="77" spans="1:20" hidden="1">
      <c r="B77" s="332" t="s">
        <v>1937</v>
      </c>
      <c r="C77" s="333">
        <f t="shared" si="2"/>
        <v>0</v>
      </c>
      <c r="D77" s="328"/>
      <c r="E77" s="328">
        <f>VLOOKUP(B77,DONGIA,DG!$B$6,0)</f>
        <v>0</v>
      </c>
      <c r="F77" s="329" t="str">
        <f>VLOOKUP(B77,DONGIA,DG!$C$6,0)</f>
        <v>Cáp điều khiển CVV 4x4,0mm2</v>
      </c>
      <c r="G77" s="328" t="str">
        <f>VLOOKUP(B77,DONGIA,DG!$D$6,0)</f>
        <v>mét</v>
      </c>
      <c r="H77" s="329"/>
      <c r="I77" s="329">
        <f>VLOOKUP(B77,DONGIA,DG!$E$6,0)</f>
        <v>52400</v>
      </c>
      <c r="J77" s="329"/>
      <c r="K77" s="329">
        <f>VLOOKUP(B77,DONGIA,DG!$F$6,0)</f>
        <v>0</v>
      </c>
      <c r="L77" s="329">
        <f>VLOOKUP(B77,DONGIA,DG!$G$6,0)</f>
        <v>0</v>
      </c>
      <c r="M77" s="329">
        <f t="shared" si="11"/>
        <v>0</v>
      </c>
      <c r="N77" s="329">
        <f t="shared" si="12"/>
        <v>0</v>
      </c>
      <c r="O77" s="329">
        <f t="shared" si="13"/>
        <v>0</v>
      </c>
      <c r="P77" s="329">
        <f t="shared" si="14"/>
        <v>0</v>
      </c>
      <c r="Q77" s="329"/>
      <c r="S77" s="332">
        <f t="shared" si="1"/>
        <v>3.024</v>
      </c>
      <c r="T77" s="332">
        <f t="shared" si="3"/>
        <v>0</v>
      </c>
    </row>
    <row r="78" spans="1:20" hidden="1">
      <c r="B78" s="332" t="s">
        <v>1113</v>
      </c>
      <c r="C78" s="333">
        <f t="shared" si="2"/>
        <v>0</v>
      </c>
      <c r="D78" s="328"/>
      <c r="E78" s="328" t="str">
        <f>VLOOKUP(B78,DONGIA,DG!$B$6,0)</f>
        <v>D4.5003</v>
      </c>
      <c r="F78" s="329" t="str">
        <f>VLOOKUP(B78,DONGIA,DG!$C$6,0)</f>
        <v>Đầu cosse ép Cu 70mm2</v>
      </c>
      <c r="G78" s="328" t="str">
        <f>VLOOKUP(B78,DONGIA,DG!$D$6,0)</f>
        <v>cái</v>
      </c>
      <c r="H78" s="329"/>
      <c r="I78" s="329">
        <f>VLOOKUP(B78,DONGIA,DG!$E$6,0)</f>
        <v>33000</v>
      </c>
      <c r="J78" s="329"/>
      <c r="K78" s="329">
        <f>VLOOKUP(B78,DONGIA,DG!$F$6,0)</f>
        <v>14194</v>
      </c>
      <c r="L78" s="329">
        <f>VLOOKUP(B78,DONGIA,DG!$G$6,0)</f>
        <v>1767</v>
      </c>
      <c r="M78" s="329">
        <f t="shared" si="11"/>
        <v>0</v>
      </c>
      <c r="N78" s="329">
        <f t="shared" si="12"/>
        <v>0</v>
      </c>
      <c r="O78" s="329">
        <f t="shared" si="13"/>
        <v>0</v>
      </c>
      <c r="P78" s="329">
        <f t="shared" si="14"/>
        <v>0</v>
      </c>
      <c r="Q78" s="329"/>
      <c r="S78" s="332">
        <f t="shared" si="1"/>
        <v>0.2</v>
      </c>
      <c r="T78" s="332">
        <f t="shared" si="3"/>
        <v>0</v>
      </c>
    </row>
    <row r="79" spans="1:20" hidden="1">
      <c r="B79" s="332" t="s">
        <v>1110</v>
      </c>
      <c r="C79" s="333">
        <f t="shared" si="2"/>
        <v>0</v>
      </c>
      <c r="D79" s="328"/>
      <c r="E79" s="328" t="str">
        <f>VLOOKUP(B79,DONGIA,DG!$B$6,0)</f>
        <v>D4.5002</v>
      </c>
      <c r="F79" s="329" t="str">
        <f>VLOOKUP(B79,DONGIA,DG!$C$6,0)</f>
        <v>Đầu cosse ép Cu 50mm2</v>
      </c>
      <c r="G79" s="328" t="str">
        <f>VLOOKUP(B79,DONGIA,DG!$D$6,0)</f>
        <v>cái</v>
      </c>
      <c r="H79" s="329"/>
      <c r="I79" s="329">
        <f>VLOOKUP(B79,DONGIA,DG!$E$6,0)</f>
        <v>23000</v>
      </c>
      <c r="J79" s="329"/>
      <c r="K79" s="329">
        <f>VLOOKUP(B79,DONGIA,DG!$F$6,0)</f>
        <v>9032</v>
      </c>
      <c r="L79" s="329">
        <f>VLOOKUP(B79,DONGIA,DG!$G$6,0)</f>
        <v>1473</v>
      </c>
      <c r="M79" s="329">
        <f t="shared" si="11"/>
        <v>0</v>
      </c>
      <c r="N79" s="329">
        <f t="shared" si="12"/>
        <v>0</v>
      </c>
      <c r="O79" s="329">
        <f t="shared" si="13"/>
        <v>0</v>
      </c>
      <c r="P79" s="329">
        <f t="shared" si="14"/>
        <v>0</v>
      </c>
      <c r="Q79" s="329"/>
      <c r="S79" s="332">
        <f t="shared" si="1"/>
        <v>0.1</v>
      </c>
      <c r="T79" s="332">
        <f t="shared" si="3"/>
        <v>0</v>
      </c>
    </row>
    <row r="80" spans="1:20" hidden="1">
      <c r="B80" s="332" t="s">
        <v>1147</v>
      </c>
      <c r="C80" s="333">
        <f t="shared" si="2"/>
        <v>0</v>
      </c>
      <c r="D80" s="328"/>
      <c r="E80" s="328">
        <f>VLOOKUP(B80,DONGIA,DG!$B$6,0)</f>
        <v>0</v>
      </c>
      <c r="F80" s="329" t="str">
        <f>VLOOKUP(B80,DONGIA,DG!$C$6,0)</f>
        <v>Chụp đầu cosse  70mm2</v>
      </c>
      <c r="G80" s="328" t="str">
        <f>VLOOKUP(B80,DONGIA,DG!$D$6,0)</f>
        <v>cái</v>
      </c>
      <c r="H80" s="329"/>
      <c r="I80" s="329">
        <f>VLOOKUP(B80,DONGIA,DG!$E$6,0)</f>
        <v>2000</v>
      </c>
      <c r="J80" s="329"/>
      <c r="K80" s="329">
        <f>VLOOKUP(B80,DONGIA,DG!$F$6,0)</f>
        <v>0</v>
      </c>
      <c r="L80" s="329">
        <f>VLOOKUP(B80,DONGIA,DG!$G$6,0)</f>
        <v>0</v>
      </c>
      <c r="M80" s="329">
        <f t="shared" si="11"/>
        <v>0</v>
      </c>
      <c r="N80" s="329">
        <f t="shared" si="12"/>
        <v>0</v>
      </c>
      <c r="O80" s="329">
        <f t="shared" si="13"/>
        <v>0</v>
      </c>
      <c r="P80" s="329">
        <f t="shared" si="14"/>
        <v>0</v>
      </c>
      <c r="Q80" s="329"/>
      <c r="S80" s="332">
        <f t="shared" si="1"/>
        <v>0</v>
      </c>
      <c r="T80" s="332">
        <f t="shared" si="3"/>
        <v>0</v>
      </c>
    </row>
    <row r="81" spans="2:20" hidden="1">
      <c r="B81" s="332" t="s">
        <v>1145</v>
      </c>
      <c r="C81" s="333">
        <f t="shared" si="2"/>
        <v>0</v>
      </c>
      <c r="D81" s="328"/>
      <c r="E81" s="328">
        <f>VLOOKUP(B81,DONGIA,DG!$B$6,0)</f>
        <v>0</v>
      </c>
      <c r="F81" s="329" t="str">
        <f>VLOOKUP(B81,DONGIA,DG!$C$6,0)</f>
        <v>Chụp đầu cosse  50mm2</v>
      </c>
      <c r="G81" s="328" t="str">
        <f>VLOOKUP(B81,DONGIA,DG!$D$6,0)</f>
        <v>cái</v>
      </c>
      <c r="H81" s="329"/>
      <c r="I81" s="329">
        <f>VLOOKUP(B81,DONGIA,DG!$E$6,0)</f>
        <v>2000</v>
      </c>
      <c r="J81" s="329"/>
      <c r="K81" s="329">
        <f>VLOOKUP(B81,DONGIA,DG!$F$6,0)</f>
        <v>0</v>
      </c>
      <c r="L81" s="329">
        <f>VLOOKUP(B81,DONGIA,DG!$G$6,0)</f>
        <v>0</v>
      </c>
      <c r="M81" s="329">
        <f t="shared" si="11"/>
        <v>0</v>
      </c>
      <c r="N81" s="329">
        <f t="shared" si="12"/>
        <v>0</v>
      </c>
      <c r="O81" s="329">
        <f t="shared" si="13"/>
        <v>0</v>
      </c>
      <c r="P81" s="329">
        <f t="shared" si="14"/>
        <v>0</v>
      </c>
      <c r="Q81" s="329"/>
      <c r="S81" s="332">
        <f t="shared" si="1"/>
        <v>0</v>
      </c>
      <c r="T81" s="332">
        <f t="shared" si="3"/>
        <v>0</v>
      </c>
    </row>
    <row r="82" spans="2:20" hidden="1">
      <c r="B82" s="332" t="s">
        <v>1177</v>
      </c>
      <c r="C82" s="333">
        <f t="shared" si="2"/>
        <v>0</v>
      </c>
      <c r="D82" s="328"/>
      <c r="E82" s="328">
        <f>VLOOKUP(B82,DONGIA,DG!$B$6,0)</f>
        <v>0</v>
      </c>
      <c r="F82" s="329" t="str">
        <f>VLOOKUP(B82,DONGIA,DG!$C$6,0)</f>
        <v xml:space="preserve">Ống PVC D90x3,8mm </v>
      </c>
      <c r="G82" s="328" t="str">
        <f>VLOOKUP(B82,DONGIA,DG!$D$6,0)</f>
        <v>m</v>
      </c>
      <c r="H82" s="329"/>
      <c r="I82" s="329">
        <f>VLOOKUP(B82,DONGIA,DG!$E$6,0)</f>
        <v>57000</v>
      </c>
      <c r="J82" s="329"/>
      <c r="K82" s="329">
        <f>VLOOKUP(B82,DONGIA,DG!$F$6,0)</f>
        <v>0</v>
      </c>
      <c r="L82" s="329">
        <f>VLOOKUP(B82,DONGIA,DG!$G$6,0)</f>
        <v>0</v>
      </c>
      <c r="M82" s="329">
        <f t="shared" si="11"/>
        <v>0</v>
      </c>
      <c r="N82" s="329">
        <f t="shared" si="12"/>
        <v>0</v>
      </c>
      <c r="O82" s="329">
        <f t="shared" si="13"/>
        <v>0</v>
      </c>
      <c r="P82" s="329">
        <f t="shared" si="14"/>
        <v>0</v>
      </c>
      <c r="Q82" s="329"/>
      <c r="S82" s="332">
        <f t="shared" si="1"/>
        <v>2</v>
      </c>
      <c r="T82" s="332">
        <f t="shared" si="3"/>
        <v>0</v>
      </c>
    </row>
    <row r="83" spans="2:20" hidden="1">
      <c r="B83" s="332" t="s">
        <v>455</v>
      </c>
      <c r="C83" s="333">
        <f t="shared" si="2"/>
        <v>0</v>
      </c>
      <c r="D83" s="328"/>
      <c r="E83" s="328">
        <f>VLOOKUP(B83,DONGIA,DG!$B$6,0)</f>
        <v>0</v>
      </c>
      <c r="F83" s="329" t="str">
        <f>VLOOKUP(B83,DONGIA,DG!$C$6,0)</f>
        <v>Cổ dê kẹp ống PVC φ 90 (có giá nới)</v>
      </c>
      <c r="G83" s="328" t="str">
        <f>VLOOKUP(B83,DONGIA,DG!$D$6,0)</f>
        <v>bộ</v>
      </c>
      <c r="H83" s="329"/>
      <c r="I83" s="329">
        <f>VLOOKUP(B83,DONGIA,DG!$E$6,0)</f>
        <v>60000</v>
      </c>
      <c r="J83" s="329"/>
      <c r="K83" s="329">
        <f>VLOOKUP(B83,DONGIA,DG!$F$6,0)</f>
        <v>0</v>
      </c>
      <c r="L83" s="329">
        <f>VLOOKUP(B83,DONGIA,DG!$G$6,0)</f>
        <v>0</v>
      </c>
      <c r="M83" s="329">
        <f t="shared" si="11"/>
        <v>0</v>
      </c>
      <c r="N83" s="329">
        <f t="shared" si="12"/>
        <v>0</v>
      </c>
      <c r="O83" s="329">
        <f t="shared" si="13"/>
        <v>0</v>
      </c>
      <c r="P83" s="329">
        <f t="shared" si="14"/>
        <v>0</v>
      </c>
      <c r="Q83" s="329"/>
      <c r="S83" s="332">
        <f t="shared" si="1"/>
        <v>1.5</v>
      </c>
      <c r="T83" s="332">
        <f t="shared" si="3"/>
        <v>0</v>
      </c>
    </row>
    <row r="84" spans="2:20" hidden="1">
      <c r="B84" s="332" t="s">
        <v>455</v>
      </c>
      <c r="C84" s="333">
        <f t="shared" si="2"/>
        <v>0</v>
      </c>
      <c r="D84" s="328"/>
      <c r="E84" s="328">
        <f>VLOOKUP(B84,DONGIA,DG!$B$6,0)</f>
        <v>0</v>
      </c>
      <c r="F84" s="329" t="str">
        <f>VLOOKUP(B84,DONGIA,DG!$C$6,0)</f>
        <v>Cổ dê kẹp ống PVC φ 90 (có giá nới)</v>
      </c>
      <c r="G84" s="328" t="str">
        <f>VLOOKUP(B84,DONGIA,DG!$D$6,0)</f>
        <v>bộ</v>
      </c>
      <c r="H84" s="329"/>
      <c r="I84" s="329">
        <f>VLOOKUP(B84,DONGIA,DG!$E$6,0)</f>
        <v>60000</v>
      </c>
      <c r="J84" s="329"/>
      <c r="K84" s="329">
        <f>VLOOKUP(B84,DONGIA,DG!$F$6,0)</f>
        <v>0</v>
      </c>
      <c r="L84" s="329">
        <f>VLOOKUP(B84,DONGIA,DG!$G$6,0)</f>
        <v>0</v>
      </c>
      <c r="M84" s="329">
        <f t="shared" si="11"/>
        <v>0</v>
      </c>
      <c r="N84" s="329">
        <f t="shared" si="12"/>
        <v>0</v>
      </c>
      <c r="O84" s="329">
        <f t="shared" si="13"/>
        <v>0</v>
      </c>
      <c r="P84" s="329">
        <f t="shared" si="14"/>
        <v>0</v>
      </c>
      <c r="Q84" s="329"/>
      <c r="S84" s="332">
        <f t="shared" si="1"/>
        <v>1.5</v>
      </c>
      <c r="T84" s="332">
        <f t="shared" si="3"/>
        <v>0</v>
      </c>
    </row>
    <row r="85" spans="2:20" hidden="1">
      <c r="B85" s="332" t="s">
        <v>455</v>
      </c>
      <c r="C85" s="333">
        <f t="shared" si="2"/>
        <v>0</v>
      </c>
      <c r="D85" s="328"/>
      <c r="E85" s="328">
        <f>VLOOKUP(B85,DONGIA,DG!$B$6,0)</f>
        <v>0</v>
      </c>
      <c r="F85" s="329" t="str">
        <f>VLOOKUP(B85,DONGIA,DG!$C$6,0)</f>
        <v>Cổ dê kẹp ống PVC φ 90 (có giá nới)</v>
      </c>
      <c r="G85" s="328" t="str">
        <f>VLOOKUP(B85,DONGIA,DG!$D$6,0)</f>
        <v>bộ</v>
      </c>
      <c r="H85" s="329"/>
      <c r="I85" s="329">
        <f>VLOOKUP(B85,DONGIA,DG!$E$6,0)</f>
        <v>60000</v>
      </c>
      <c r="J85" s="329"/>
      <c r="K85" s="329">
        <f>VLOOKUP(B85,DONGIA,DG!$F$6,0)</f>
        <v>0</v>
      </c>
      <c r="L85" s="329">
        <f>VLOOKUP(B85,DONGIA,DG!$G$6,0)</f>
        <v>0</v>
      </c>
      <c r="M85" s="329">
        <f t="shared" si="11"/>
        <v>0</v>
      </c>
      <c r="N85" s="329">
        <f t="shared" si="12"/>
        <v>0</v>
      </c>
      <c r="O85" s="329">
        <f t="shared" si="13"/>
        <v>0</v>
      </c>
      <c r="P85" s="329">
        <f t="shared" si="14"/>
        <v>0</v>
      </c>
      <c r="Q85" s="329"/>
      <c r="S85" s="332">
        <f t="shared" si="1"/>
        <v>1.5</v>
      </c>
      <c r="T85" s="332">
        <f t="shared" si="3"/>
        <v>0</v>
      </c>
    </row>
    <row r="86" spans="2:20" hidden="1">
      <c r="B86" s="332" t="s">
        <v>1183</v>
      </c>
      <c r="C86" s="333">
        <f t="shared" si="2"/>
        <v>0</v>
      </c>
      <c r="D86" s="328"/>
      <c r="E86" s="328">
        <f>VLOOKUP(B86,DONGIA,DG!$B$6,0)</f>
        <v>0</v>
      </c>
      <c r="F86" s="329" t="str">
        <f>VLOOKUP(B86,DONGIA,DG!$C$6,0)</f>
        <v>Co  90 độ PVC 90</v>
      </c>
      <c r="G86" s="328" t="str">
        <f>VLOOKUP(B86,DONGIA,DG!$D$6,0)</f>
        <v>cái</v>
      </c>
      <c r="H86" s="329"/>
      <c r="I86" s="329">
        <f>VLOOKUP(B86,DONGIA,DG!$E$6,0)</f>
        <v>45400</v>
      </c>
      <c r="J86" s="329"/>
      <c r="K86" s="329">
        <f>VLOOKUP(B86,DONGIA,DG!$F$6,0)</f>
        <v>0</v>
      </c>
      <c r="L86" s="329">
        <f>VLOOKUP(B86,DONGIA,DG!$G$6,0)</f>
        <v>0</v>
      </c>
      <c r="M86" s="329">
        <f t="shared" si="11"/>
        <v>0</v>
      </c>
      <c r="N86" s="329">
        <f t="shared" si="12"/>
        <v>0</v>
      </c>
      <c r="O86" s="329">
        <f t="shared" si="13"/>
        <v>0</v>
      </c>
      <c r="P86" s="329">
        <f t="shared" si="14"/>
        <v>0</v>
      </c>
      <c r="Q86" s="329"/>
      <c r="S86" s="332">
        <f t="shared" si="1"/>
        <v>0</v>
      </c>
      <c r="T86" s="332">
        <f t="shared" si="3"/>
        <v>0</v>
      </c>
    </row>
    <row r="87" spans="2:20" hidden="1">
      <c r="B87" s="332" t="s">
        <v>1940</v>
      </c>
      <c r="C87" s="333">
        <f t="shared" si="2"/>
        <v>0</v>
      </c>
      <c r="D87" s="328"/>
      <c r="E87" s="328">
        <f>VLOOKUP(B87,DONGIA,DG!$B$6,0)</f>
        <v>0</v>
      </c>
      <c r="F87" s="329" t="str">
        <f>VLOOKUP(B87,DONGIA,DG!$C$6,0)</f>
        <v>Nối giảm PVC 114-90</v>
      </c>
      <c r="G87" s="328" t="str">
        <f>VLOOKUP(B87,DONGIA,DG!$D$6,0)</f>
        <v>cái</v>
      </c>
      <c r="H87" s="329"/>
      <c r="I87" s="329">
        <f>VLOOKUP(B87,DONGIA,DG!$E$6,0)</f>
        <v>52800</v>
      </c>
      <c r="J87" s="329"/>
      <c r="K87" s="329">
        <f>VLOOKUP(B87,DONGIA,DG!$F$6,0)</f>
        <v>0</v>
      </c>
      <c r="L87" s="329">
        <f>VLOOKUP(B87,DONGIA,DG!$G$6,0)</f>
        <v>0</v>
      </c>
      <c r="M87" s="329">
        <f t="shared" si="11"/>
        <v>0</v>
      </c>
      <c r="N87" s="329">
        <f t="shared" si="12"/>
        <v>0</v>
      </c>
      <c r="O87" s="329">
        <f t="shared" si="13"/>
        <v>0</v>
      </c>
      <c r="P87" s="329">
        <f t="shared" si="14"/>
        <v>0</v>
      </c>
      <c r="Q87" s="329"/>
      <c r="S87" s="332">
        <f t="shared" si="1"/>
        <v>0</v>
      </c>
      <c r="T87" s="332">
        <f t="shared" si="3"/>
        <v>0</v>
      </c>
    </row>
    <row r="88" spans="2:20" hidden="1">
      <c r="B88" s="332" t="s">
        <v>1181</v>
      </c>
      <c r="C88" s="333">
        <f t="shared" si="2"/>
        <v>0</v>
      </c>
      <c r="D88" s="328"/>
      <c r="E88" s="328">
        <f>VLOOKUP(B88,DONGIA,DG!$B$6,0)</f>
        <v>0</v>
      </c>
      <c r="F88" s="329" t="str">
        <f>VLOOKUP(B88,DONGIA,DG!$C$6,0)</f>
        <v>Co 135 độ PVC 90</v>
      </c>
      <c r="G88" s="328" t="str">
        <f>VLOOKUP(B88,DONGIA,DG!$D$6,0)</f>
        <v>cái</v>
      </c>
      <c r="H88" s="329"/>
      <c r="I88" s="329">
        <f>VLOOKUP(B88,DONGIA,DG!$E$6,0)</f>
        <v>34800</v>
      </c>
      <c r="J88" s="329"/>
      <c r="K88" s="329">
        <f>VLOOKUP(B88,DONGIA,DG!$F$6,0)</f>
        <v>0</v>
      </c>
      <c r="L88" s="329">
        <f>VLOOKUP(B88,DONGIA,DG!$G$6,0)</f>
        <v>0</v>
      </c>
      <c r="M88" s="329">
        <f t="shared" si="11"/>
        <v>0</v>
      </c>
      <c r="N88" s="329">
        <f t="shared" si="12"/>
        <v>0</v>
      </c>
      <c r="O88" s="329">
        <f t="shared" si="13"/>
        <v>0</v>
      </c>
      <c r="P88" s="329">
        <f t="shared" si="14"/>
        <v>0</v>
      </c>
      <c r="Q88" s="329"/>
      <c r="S88" s="332">
        <f t="shared" si="1"/>
        <v>0</v>
      </c>
      <c r="T88" s="332">
        <f t="shared" si="3"/>
        <v>0</v>
      </c>
    </row>
    <row r="89" spans="2:20" hidden="1">
      <c r="B89" s="332" t="s">
        <v>1914</v>
      </c>
      <c r="C89" s="333">
        <f t="shared" si="2"/>
        <v>0</v>
      </c>
      <c r="D89" s="328"/>
      <c r="E89" s="328">
        <f>VLOOKUP(B89,DONGIA,DG!$B$6,0)</f>
        <v>0</v>
      </c>
      <c r="F89" s="329" t="str">
        <f>VLOOKUP(B89,DONGIA,DG!$C$6,0)</f>
        <v>Keo dán ống PVC (100gr)</v>
      </c>
      <c r="G89" s="328" t="str">
        <f>VLOOKUP(B89,DONGIA,DG!$D$6,0)</f>
        <v>tuýp</v>
      </c>
      <c r="H89" s="329"/>
      <c r="I89" s="329">
        <f>VLOOKUP(B89,DONGIA,DG!$E$6,0)</f>
        <v>11500</v>
      </c>
      <c r="J89" s="329"/>
      <c r="K89" s="329">
        <f>VLOOKUP(B89,DONGIA,DG!$F$6,0)</f>
        <v>0</v>
      </c>
      <c r="L89" s="329">
        <f>VLOOKUP(B89,DONGIA,DG!$G$6,0)</f>
        <v>0</v>
      </c>
      <c r="M89" s="329">
        <f t="shared" si="11"/>
        <v>0</v>
      </c>
      <c r="N89" s="329">
        <f t="shared" si="12"/>
        <v>0</v>
      </c>
      <c r="O89" s="329">
        <f t="shared" si="13"/>
        <v>0</v>
      </c>
      <c r="P89" s="329">
        <f t="shared" si="14"/>
        <v>0</v>
      </c>
      <c r="Q89" s="329"/>
      <c r="S89" s="332">
        <f t="shared" si="1"/>
        <v>0</v>
      </c>
      <c r="T89" s="332">
        <f t="shared" si="3"/>
        <v>0</v>
      </c>
    </row>
    <row r="90" spans="2:20" hidden="1">
      <c r="B90" s="332" t="s">
        <v>1195</v>
      </c>
      <c r="C90" s="333">
        <f t="shared" si="2"/>
        <v>0</v>
      </c>
      <c r="D90" s="328"/>
      <c r="E90" s="328">
        <f>VLOOKUP(B90,DONGIA,DG!$B$6,0)</f>
        <v>0</v>
      </c>
      <c r="F90" s="329" t="str">
        <f>VLOOKUP(B90,DONGIA,DG!$C$6,0)</f>
        <v>Keo silicon bít miệng ống</v>
      </c>
      <c r="G90" s="328" t="str">
        <f>VLOOKUP(B90,DONGIA,DG!$D$6,0)</f>
        <v>ống</v>
      </c>
      <c r="H90" s="329"/>
      <c r="I90" s="329">
        <f>VLOOKUP(B90,DONGIA,DG!$E$6,0)</f>
        <v>45000</v>
      </c>
      <c r="J90" s="329"/>
      <c r="K90" s="329">
        <f>VLOOKUP(B90,DONGIA,DG!$F$6,0)</f>
        <v>0</v>
      </c>
      <c r="L90" s="329">
        <f>VLOOKUP(B90,DONGIA,DG!$G$6,0)</f>
        <v>0</v>
      </c>
      <c r="M90" s="329">
        <f t="shared" si="11"/>
        <v>0</v>
      </c>
      <c r="N90" s="329">
        <f t="shared" si="12"/>
        <v>0</v>
      </c>
      <c r="O90" s="329">
        <f t="shared" si="13"/>
        <v>0</v>
      </c>
      <c r="P90" s="329">
        <f t="shared" si="14"/>
        <v>0</v>
      </c>
      <c r="Q90" s="329"/>
      <c r="S90" s="332">
        <f t="shared" si="1"/>
        <v>0</v>
      </c>
      <c r="T90" s="332">
        <f t="shared" si="3"/>
        <v>0</v>
      </c>
    </row>
    <row r="91" spans="2:20" hidden="1">
      <c r="B91" s="332" t="s">
        <v>1193</v>
      </c>
      <c r="C91" s="333">
        <f t="shared" si="2"/>
        <v>0</v>
      </c>
      <c r="D91" s="328"/>
      <c r="E91" s="328">
        <f>VLOOKUP(B91,DONGIA,DG!$B$6,0)</f>
        <v>0</v>
      </c>
      <c r="F91" s="329" t="str">
        <f>VLOOKUP(B91,DONGIA,DG!$C$6,0)</f>
        <v>Băng keo cách điện</v>
      </c>
      <c r="G91" s="328" t="str">
        <f>VLOOKUP(B91,DONGIA,DG!$D$6,0)</f>
        <v>cuộn</v>
      </c>
      <c r="H91" s="329"/>
      <c r="I91" s="329">
        <f>VLOOKUP(B91,DONGIA,DG!$E$6,0)</f>
        <v>6500</v>
      </c>
      <c r="J91" s="329"/>
      <c r="K91" s="329">
        <f>VLOOKUP(B91,DONGIA,DG!$F$6,0)</f>
        <v>0</v>
      </c>
      <c r="L91" s="329">
        <f>VLOOKUP(B91,DONGIA,DG!$G$6,0)</f>
        <v>0</v>
      </c>
      <c r="M91" s="329">
        <f t="shared" si="11"/>
        <v>0</v>
      </c>
      <c r="N91" s="329">
        <f t="shared" si="12"/>
        <v>0</v>
      </c>
      <c r="O91" s="329">
        <f t="shared" si="13"/>
        <v>0</v>
      </c>
      <c r="P91" s="329">
        <f t="shared" si="14"/>
        <v>0</v>
      </c>
      <c r="Q91" s="329"/>
      <c r="S91" s="332">
        <f t="shared" si="1"/>
        <v>0</v>
      </c>
      <c r="T91" s="332">
        <f t="shared" si="3"/>
        <v>0</v>
      </c>
    </row>
    <row r="92" spans="2:20" hidden="1">
      <c r="B92" s="332" t="s">
        <v>855</v>
      </c>
      <c r="C92" s="333">
        <f t="shared" si="2"/>
        <v>0</v>
      </c>
      <c r="D92" s="328"/>
      <c r="E92" s="328" t="str">
        <f>VLOOKUP(B92,DONGIA,DG!$B$6,0)</f>
        <v>T4.8003</v>
      </c>
      <c r="F92" s="329" t="str">
        <f>VLOOKUP(B92,DONGIA,DG!$C$6,0)</f>
        <v>Lắp ống nhựa PVC D90</v>
      </c>
      <c r="G92" s="328" t="str">
        <f>VLOOKUP(B92,DONGIA,DG!$D$6,0)</f>
        <v>mét</v>
      </c>
      <c r="H92" s="329"/>
      <c r="I92" s="329">
        <f>VLOOKUP(B92,DONGIA,DG!$E$6,0)</f>
        <v>0</v>
      </c>
      <c r="J92" s="329"/>
      <c r="K92" s="329">
        <f>VLOOKUP(B92,DONGIA,DG!$F$6,0)</f>
        <v>35541</v>
      </c>
      <c r="L92" s="329">
        <f>VLOOKUP(B92,DONGIA,DG!$G$6,0)</f>
        <v>0</v>
      </c>
      <c r="M92" s="329">
        <f t="shared" si="11"/>
        <v>0</v>
      </c>
      <c r="N92" s="329">
        <f t="shared" si="12"/>
        <v>0</v>
      </c>
      <c r="O92" s="329">
        <f t="shared" si="13"/>
        <v>0</v>
      </c>
      <c r="P92" s="329">
        <f t="shared" si="14"/>
        <v>0</v>
      </c>
      <c r="Q92" s="329"/>
      <c r="S92" s="332">
        <f t="shared" si="1"/>
        <v>0</v>
      </c>
      <c r="T92" s="332">
        <f t="shared" si="3"/>
        <v>0</v>
      </c>
    </row>
    <row r="93" spans="2:20" hidden="1">
      <c r="B93" s="332" t="s">
        <v>1939</v>
      </c>
      <c r="C93" s="333">
        <f t="shared" si="2"/>
        <v>0</v>
      </c>
      <c r="D93" s="328"/>
      <c r="E93" s="328" t="str">
        <f>VLOOKUP(B93,DONGIA,DG!$B$6,0)</f>
        <v>T4.4201</v>
      </c>
      <c r="F93" s="329" t="str">
        <f>VLOOKUP(B93,DONGIA,DG!$C$6,0)</f>
        <v>Lắp cáp đồng xuống thiết bị D ≤ 95mm2</v>
      </c>
      <c r="G93" s="328" t="str">
        <f>VLOOKUP(B93,DONGIA,DG!$D$6,0)</f>
        <v>m</v>
      </c>
      <c r="H93" s="329"/>
      <c r="I93" s="329">
        <f>VLOOKUP(B93,DONGIA,DG!$E$6,0)</f>
        <v>0</v>
      </c>
      <c r="J93" s="329"/>
      <c r="K93" s="329">
        <f>VLOOKUP(B93,DONGIA,DG!$F$6,0)</f>
        <v>11847</v>
      </c>
      <c r="L93" s="329">
        <f>VLOOKUP(B93,DONGIA,DG!$G$6,0)</f>
        <v>0</v>
      </c>
      <c r="M93" s="329">
        <f t="shared" si="11"/>
        <v>0</v>
      </c>
      <c r="N93" s="329">
        <f t="shared" si="12"/>
        <v>0</v>
      </c>
      <c r="O93" s="329">
        <f t="shared" si="13"/>
        <v>0</v>
      </c>
      <c r="P93" s="329">
        <f t="shared" si="14"/>
        <v>0</v>
      </c>
      <c r="Q93" s="329"/>
      <c r="S93" s="332">
        <f t="shared" si="1"/>
        <v>0</v>
      </c>
      <c r="T93" s="332">
        <f t="shared" si="3"/>
        <v>0</v>
      </c>
    </row>
    <row r="94" spans="2:20" hidden="1">
      <c r="C94" s="333">
        <f t="shared" si="2"/>
        <v>0</v>
      </c>
      <c r="D94" s="372">
        <f>IF(H94&lt;&gt;0,D73+1,D73)</f>
        <v>0</v>
      </c>
      <c r="E94" s="372"/>
      <c r="F94" s="373" t="s">
        <v>1938</v>
      </c>
      <c r="G94" s="372" t="s">
        <v>138</v>
      </c>
      <c r="H94" s="373"/>
      <c r="I94" s="373"/>
      <c r="J94" s="373"/>
      <c r="K94" s="373"/>
      <c r="L94" s="373"/>
      <c r="M94" s="373"/>
      <c r="N94" s="373"/>
      <c r="O94" s="373"/>
      <c r="P94" s="373"/>
      <c r="Q94" s="373"/>
      <c r="S94" s="332">
        <f t="shared" si="1"/>
        <v>0</v>
      </c>
      <c r="T94" s="332">
        <f t="shared" si="3"/>
        <v>0</v>
      </c>
    </row>
    <row r="95" spans="2:20" s="361" customFormat="1" hidden="1">
      <c r="C95" s="374">
        <f t="shared" si="2"/>
        <v>0</v>
      </c>
      <c r="D95" s="350"/>
      <c r="E95" s="350"/>
      <c r="F95" s="351" t="s">
        <v>1902</v>
      </c>
      <c r="G95" s="350"/>
      <c r="H95" s="351"/>
      <c r="I95" s="351"/>
      <c r="J95" s="351"/>
      <c r="K95" s="351"/>
      <c r="L95" s="351"/>
      <c r="M95" s="351"/>
      <c r="N95" s="351"/>
      <c r="O95" s="351"/>
      <c r="P95" s="351"/>
      <c r="Q95" s="351"/>
      <c r="S95" s="361">
        <f t="shared" si="1"/>
        <v>0</v>
      </c>
      <c r="T95" s="361">
        <f t="shared" si="3"/>
        <v>0</v>
      </c>
    </row>
    <row r="96" spans="2:20" hidden="1">
      <c r="B96" s="332" t="s">
        <v>1907</v>
      </c>
      <c r="C96" s="333">
        <f t="shared" si="2"/>
        <v>0</v>
      </c>
      <c r="D96" s="328"/>
      <c r="E96" s="328">
        <f>VLOOKUP(B96,DONGIA,DG!$B$6,0)</f>
        <v>0</v>
      </c>
      <c r="F96" s="329" t="str">
        <f>VLOOKUP(B96,DONGIA,DG!$C$6,0)</f>
        <v>Cáp đồng bọc CV70</v>
      </c>
      <c r="G96" s="328" t="str">
        <f>VLOOKUP(B96,DONGIA,DG!$D$6,0)</f>
        <v>mét</v>
      </c>
      <c r="H96" s="329"/>
      <c r="I96" s="329">
        <f>VLOOKUP(B96,DONGIA,DG!$E$6,0)</f>
        <v>142880</v>
      </c>
      <c r="J96" s="329"/>
      <c r="K96" s="329">
        <f>VLOOKUP(B96,DONGIA,DG!$F$6,0)</f>
        <v>0</v>
      </c>
      <c r="L96" s="329">
        <f>VLOOKUP(B96,DONGIA,DG!$G$6,0)</f>
        <v>0</v>
      </c>
      <c r="M96" s="329">
        <f>$H96*I96</f>
        <v>0</v>
      </c>
      <c r="N96" s="329">
        <f>$H96*J96</f>
        <v>0</v>
      </c>
      <c r="O96" s="329">
        <f>$H96*K96</f>
        <v>0</v>
      </c>
      <c r="P96" s="329">
        <f>$H96*L96</f>
        <v>0</v>
      </c>
      <c r="Q96" s="329"/>
      <c r="S96" s="332">
        <f t="shared" si="1"/>
        <v>0.73899999999999999</v>
      </c>
      <c r="T96" s="332">
        <f t="shared" si="3"/>
        <v>0</v>
      </c>
    </row>
    <row r="97" spans="2:20" hidden="1">
      <c r="B97" s="332" t="s">
        <v>1906</v>
      </c>
      <c r="C97" s="333">
        <f t="shared" si="2"/>
        <v>0</v>
      </c>
      <c r="D97" s="328"/>
      <c r="E97" s="328">
        <f>VLOOKUP(B97,DONGIA,DG!$B$6,0)</f>
        <v>0</v>
      </c>
      <c r="F97" s="329" t="str">
        <f>VLOOKUP(B97,DONGIA,DG!$C$6,0)</f>
        <v>Cáp đồng bọc CV50</v>
      </c>
      <c r="G97" s="328" t="str">
        <f>VLOOKUP(B97,DONGIA,DG!$D$6,0)</f>
        <v>mét</v>
      </c>
      <c r="H97" s="329"/>
      <c r="I97" s="329">
        <f>VLOOKUP(B97,DONGIA,DG!$E$6,0)</f>
        <v>104370</v>
      </c>
      <c r="J97" s="329"/>
      <c r="K97" s="329">
        <f>VLOOKUP(B97,DONGIA,DG!$F$6,0)</f>
        <v>0</v>
      </c>
      <c r="L97" s="329">
        <f>VLOOKUP(B97,DONGIA,DG!$G$6,0)</f>
        <v>0</v>
      </c>
      <c r="M97" s="329">
        <f t="shared" ref="M97:M112" si="15">$H97*I97</f>
        <v>0</v>
      </c>
      <c r="N97" s="329">
        <f t="shared" ref="N97:N112" si="16">$H97*J97</f>
        <v>0</v>
      </c>
      <c r="O97" s="329">
        <f t="shared" ref="O97:O112" si="17">$H97*K97</f>
        <v>0</v>
      </c>
      <c r="P97" s="329">
        <f t="shared" ref="P97:P112" si="18">$H97*L97</f>
        <v>0</v>
      </c>
      <c r="Q97" s="329"/>
      <c r="S97" s="332">
        <f t="shared" ref="S97:S160" si="19">IFERROR(VLOOKUP(B97,DONGIA,$S$25,0),0)</f>
        <v>0.53400000000000003</v>
      </c>
      <c r="T97" s="332">
        <f t="shared" si="3"/>
        <v>0</v>
      </c>
    </row>
    <row r="98" spans="2:20" hidden="1">
      <c r="B98" s="332" t="s">
        <v>1113</v>
      </c>
      <c r="C98" s="333">
        <f t="shared" ref="C98:C161" si="20">IF(H98&lt;&gt;0,1,)</f>
        <v>0</v>
      </c>
      <c r="D98" s="328"/>
      <c r="E98" s="328" t="str">
        <f>VLOOKUP(B98,DONGIA,DG!$B$6,0)</f>
        <v>D4.5003</v>
      </c>
      <c r="F98" s="329" t="str">
        <f>VLOOKUP(B98,DONGIA,DG!$C$6,0)</f>
        <v>Đầu cosse ép Cu 70mm2</v>
      </c>
      <c r="G98" s="328" t="str">
        <f>VLOOKUP(B98,DONGIA,DG!$D$6,0)</f>
        <v>cái</v>
      </c>
      <c r="H98" s="329"/>
      <c r="I98" s="329">
        <f>VLOOKUP(B98,DONGIA,DG!$E$6,0)</f>
        <v>33000</v>
      </c>
      <c r="J98" s="329"/>
      <c r="K98" s="329">
        <f>VLOOKUP(B98,DONGIA,DG!$F$6,0)</f>
        <v>14194</v>
      </c>
      <c r="L98" s="329">
        <f>VLOOKUP(B98,DONGIA,DG!$G$6,0)</f>
        <v>1767</v>
      </c>
      <c r="M98" s="329">
        <f t="shared" si="15"/>
        <v>0</v>
      </c>
      <c r="N98" s="329">
        <f t="shared" si="16"/>
        <v>0</v>
      </c>
      <c r="O98" s="329">
        <f t="shared" si="17"/>
        <v>0</v>
      </c>
      <c r="P98" s="329">
        <f t="shared" si="18"/>
        <v>0</v>
      </c>
      <c r="Q98" s="329"/>
      <c r="S98" s="332">
        <f t="shared" si="19"/>
        <v>0.2</v>
      </c>
      <c r="T98" s="332">
        <f t="shared" ref="T98:T161" si="21">H98*S98</f>
        <v>0</v>
      </c>
    </row>
    <row r="99" spans="2:20" hidden="1">
      <c r="B99" s="332" t="s">
        <v>1110</v>
      </c>
      <c r="C99" s="333">
        <f t="shared" si="20"/>
        <v>0</v>
      </c>
      <c r="D99" s="328"/>
      <c r="E99" s="328" t="str">
        <f>VLOOKUP(B99,DONGIA,DG!$B$6,0)</f>
        <v>D4.5002</v>
      </c>
      <c r="F99" s="329" t="str">
        <f>VLOOKUP(B99,DONGIA,DG!$C$6,0)</f>
        <v>Đầu cosse ép Cu 50mm2</v>
      </c>
      <c r="G99" s="328" t="str">
        <f>VLOOKUP(B99,DONGIA,DG!$D$6,0)</f>
        <v>cái</v>
      </c>
      <c r="H99" s="329"/>
      <c r="I99" s="329">
        <f>VLOOKUP(B99,DONGIA,DG!$E$6,0)</f>
        <v>23000</v>
      </c>
      <c r="J99" s="329"/>
      <c r="K99" s="329">
        <f>VLOOKUP(B99,DONGIA,DG!$F$6,0)</f>
        <v>9032</v>
      </c>
      <c r="L99" s="329">
        <f>VLOOKUP(B99,DONGIA,DG!$G$6,0)</f>
        <v>1473</v>
      </c>
      <c r="M99" s="329">
        <f t="shared" si="15"/>
        <v>0</v>
      </c>
      <c r="N99" s="329">
        <f t="shared" si="16"/>
        <v>0</v>
      </c>
      <c r="O99" s="329">
        <f t="shared" si="17"/>
        <v>0</v>
      </c>
      <c r="P99" s="329">
        <f t="shared" si="18"/>
        <v>0</v>
      </c>
      <c r="Q99" s="329"/>
      <c r="S99" s="332">
        <f t="shared" si="19"/>
        <v>0.1</v>
      </c>
      <c r="T99" s="332">
        <f t="shared" si="21"/>
        <v>0</v>
      </c>
    </row>
    <row r="100" spans="2:20" hidden="1">
      <c r="B100" s="332" t="s">
        <v>1147</v>
      </c>
      <c r="C100" s="333">
        <f t="shared" si="20"/>
        <v>0</v>
      </c>
      <c r="D100" s="328"/>
      <c r="E100" s="328">
        <f>VLOOKUP(B100,DONGIA,DG!$B$6,0)</f>
        <v>0</v>
      </c>
      <c r="F100" s="329" t="str">
        <f>VLOOKUP(B100,DONGIA,DG!$C$6,0)</f>
        <v>Chụp đầu cosse  70mm2</v>
      </c>
      <c r="G100" s="328" t="str">
        <f>VLOOKUP(B100,DONGIA,DG!$D$6,0)</f>
        <v>cái</v>
      </c>
      <c r="H100" s="329"/>
      <c r="I100" s="329">
        <f>VLOOKUP(B100,DONGIA,DG!$E$6,0)</f>
        <v>2000</v>
      </c>
      <c r="J100" s="329"/>
      <c r="K100" s="329">
        <f>VLOOKUP(B100,DONGIA,DG!$F$6,0)</f>
        <v>0</v>
      </c>
      <c r="L100" s="329">
        <f>VLOOKUP(B100,DONGIA,DG!$G$6,0)</f>
        <v>0</v>
      </c>
      <c r="M100" s="329">
        <f t="shared" si="15"/>
        <v>0</v>
      </c>
      <c r="N100" s="329">
        <f t="shared" si="16"/>
        <v>0</v>
      </c>
      <c r="O100" s="329">
        <f t="shared" si="17"/>
        <v>0</v>
      </c>
      <c r="P100" s="329">
        <f t="shared" si="18"/>
        <v>0</v>
      </c>
      <c r="Q100" s="329"/>
      <c r="S100" s="332">
        <f t="shared" si="19"/>
        <v>0</v>
      </c>
      <c r="T100" s="332">
        <f t="shared" si="21"/>
        <v>0</v>
      </c>
    </row>
    <row r="101" spans="2:20" hidden="1">
      <c r="B101" s="332" t="s">
        <v>1145</v>
      </c>
      <c r="C101" s="333">
        <f t="shared" si="20"/>
        <v>0</v>
      </c>
      <c r="D101" s="328"/>
      <c r="E101" s="328">
        <f>VLOOKUP(B101,DONGIA,DG!$B$6,0)</f>
        <v>0</v>
      </c>
      <c r="F101" s="329" t="str">
        <f>VLOOKUP(B101,DONGIA,DG!$C$6,0)</f>
        <v>Chụp đầu cosse  50mm2</v>
      </c>
      <c r="G101" s="328" t="str">
        <f>VLOOKUP(B101,DONGIA,DG!$D$6,0)</f>
        <v>cái</v>
      </c>
      <c r="H101" s="329"/>
      <c r="I101" s="329">
        <f>VLOOKUP(B101,DONGIA,DG!$E$6,0)</f>
        <v>2000</v>
      </c>
      <c r="J101" s="329"/>
      <c r="K101" s="329">
        <f>VLOOKUP(B101,DONGIA,DG!$F$6,0)</f>
        <v>0</v>
      </c>
      <c r="L101" s="329">
        <f>VLOOKUP(B101,DONGIA,DG!$G$6,0)</f>
        <v>0</v>
      </c>
      <c r="M101" s="329">
        <f t="shared" si="15"/>
        <v>0</v>
      </c>
      <c r="N101" s="329">
        <f t="shared" si="16"/>
        <v>0</v>
      </c>
      <c r="O101" s="329">
        <f t="shared" si="17"/>
        <v>0</v>
      </c>
      <c r="P101" s="329">
        <f t="shared" si="18"/>
        <v>0</v>
      </c>
      <c r="Q101" s="329"/>
      <c r="S101" s="332">
        <f t="shared" si="19"/>
        <v>0</v>
      </c>
      <c r="T101" s="332">
        <f t="shared" si="21"/>
        <v>0</v>
      </c>
    </row>
    <row r="102" spans="2:20" hidden="1">
      <c r="B102" s="332" t="s">
        <v>1177</v>
      </c>
      <c r="C102" s="333">
        <f t="shared" si="20"/>
        <v>0</v>
      </c>
      <c r="D102" s="328"/>
      <c r="E102" s="328">
        <f>VLOOKUP(B102,DONGIA,DG!$B$6,0)</f>
        <v>0</v>
      </c>
      <c r="F102" s="329" t="str">
        <f>VLOOKUP(B102,DONGIA,DG!$C$6,0)</f>
        <v xml:space="preserve">Ống PVC D90x3,8mm </v>
      </c>
      <c r="G102" s="328" t="str">
        <f>VLOOKUP(B102,DONGIA,DG!$D$6,0)</f>
        <v>m</v>
      </c>
      <c r="H102" s="329"/>
      <c r="I102" s="329">
        <f>VLOOKUP(B102,DONGIA,DG!$E$6,0)</f>
        <v>57000</v>
      </c>
      <c r="J102" s="329"/>
      <c r="K102" s="329">
        <f>VLOOKUP(B102,DONGIA,DG!$F$6,0)</f>
        <v>0</v>
      </c>
      <c r="L102" s="329">
        <f>VLOOKUP(B102,DONGIA,DG!$G$6,0)</f>
        <v>0</v>
      </c>
      <c r="M102" s="329">
        <f t="shared" si="15"/>
        <v>0</v>
      </c>
      <c r="N102" s="329">
        <f t="shared" si="16"/>
        <v>0</v>
      </c>
      <c r="O102" s="329">
        <f t="shared" si="17"/>
        <v>0</v>
      </c>
      <c r="P102" s="329">
        <f t="shared" si="18"/>
        <v>0</v>
      </c>
      <c r="Q102" s="329"/>
      <c r="S102" s="332">
        <f t="shared" si="19"/>
        <v>2</v>
      </c>
      <c r="T102" s="332">
        <f t="shared" si="21"/>
        <v>0</v>
      </c>
    </row>
    <row r="103" spans="2:20" hidden="1">
      <c r="B103" s="332" t="s">
        <v>455</v>
      </c>
      <c r="C103" s="333">
        <f t="shared" si="20"/>
        <v>0</v>
      </c>
      <c r="D103" s="328"/>
      <c r="E103" s="328">
        <f>VLOOKUP(B103,DONGIA,DG!$B$6,0)</f>
        <v>0</v>
      </c>
      <c r="F103" s="329" t="str">
        <f>VLOOKUP(B103,DONGIA,DG!$C$6,0)</f>
        <v>Cổ dê kẹp ống PVC φ 90 (có giá nới)</v>
      </c>
      <c r="G103" s="328" t="str">
        <f>VLOOKUP(B103,DONGIA,DG!$D$6,0)</f>
        <v>bộ</v>
      </c>
      <c r="H103" s="329"/>
      <c r="I103" s="329">
        <f>VLOOKUP(B103,DONGIA,DG!$E$6,0)</f>
        <v>60000</v>
      </c>
      <c r="J103" s="329"/>
      <c r="K103" s="329">
        <f>VLOOKUP(B103,DONGIA,DG!$F$6,0)</f>
        <v>0</v>
      </c>
      <c r="L103" s="329">
        <f>VLOOKUP(B103,DONGIA,DG!$G$6,0)</f>
        <v>0</v>
      </c>
      <c r="M103" s="329">
        <f t="shared" si="15"/>
        <v>0</v>
      </c>
      <c r="N103" s="329">
        <f t="shared" si="16"/>
        <v>0</v>
      </c>
      <c r="O103" s="329">
        <f t="shared" si="17"/>
        <v>0</v>
      </c>
      <c r="P103" s="329">
        <f t="shared" si="18"/>
        <v>0</v>
      </c>
      <c r="Q103" s="329"/>
      <c r="S103" s="332">
        <f t="shared" si="19"/>
        <v>1.5</v>
      </c>
      <c r="T103" s="332">
        <f t="shared" si="21"/>
        <v>0</v>
      </c>
    </row>
    <row r="104" spans="2:20" hidden="1">
      <c r="B104" s="332" t="s">
        <v>455</v>
      </c>
      <c r="C104" s="333">
        <f t="shared" si="20"/>
        <v>0</v>
      </c>
      <c r="D104" s="328"/>
      <c r="E104" s="328">
        <f>VLOOKUP(B104,DONGIA,DG!$B$6,0)</f>
        <v>0</v>
      </c>
      <c r="F104" s="329" t="str">
        <f>VLOOKUP(B104,DONGIA,DG!$C$6,0)</f>
        <v>Cổ dê kẹp ống PVC φ 90 (có giá nới)</v>
      </c>
      <c r="G104" s="328" t="str">
        <f>VLOOKUP(B104,DONGIA,DG!$D$6,0)</f>
        <v>bộ</v>
      </c>
      <c r="H104" s="329"/>
      <c r="I104" s="329">
        <f>VLOOKUP(B104,DONGIA,DG!$E$6,0)</f>
        <v>60000</v>
      </c>
      <c r="J104" s="329"/>
      <c r="K104" s="329">
        <f>VLOOKUP(B104,DONGIA,DG!$F$6,0)</f>
        <v>0</v>
      </c>
      <c r="L104" s="329">
        <f>VLOOKUP(B104,DONGIA,DG!$G$6,0)</f>
        <v>0</v>
      </c>
      <c r="M104" s="329">
        <f t="shared" si="15"/>
        <v>0</v>
      </c>
      <c r="N104" s="329">
        <f t="shared" si="16"/>
        <v>0</v>
      </c>
      <c r="O104" s="329">
        <f t="shared" si="17"/>
        <v>0</v>
      </c>
      <c r="P104" s="329">
        <f t="shared" si="18"/>
        <v>0</v>
      </c>
      <c r="Q104" s="329"/>
      <c r="S104" s="332">
        <f t="shared" si="19"/>
        <v>1.5</v>
      </c>
      <c r="T104" s="332">
        <f t="shared" si="21"/>
        <v>0</v>
      </c>
    </row>
    <row r="105" spans="2:20" hidden="1">
      <c r="B105" s="332" t="s">
        <v>455</v>
      </c>
      <c r="C105" s="333">
        <f t="shared" si="20"/>
        <v>0</v>
      </c>
      <c r="D105" s="328"/>
      <c r="E105" s="328">
        <f>VLOOKUP(B105,DONGIA,DG!$B$6,0)</f>
        <v>0</v>
      </c>
      <c r="F105" s="329" t="str">
        <f>VLOOKUP(B105,DONGIA,DG!$C$6,0)</f>
        <v>Cổ dê kẹp ống PVC φ 90 (có giá nới)</v>
      </c>
      <c r="G105" s="328" t="str">
        <f>VLOOKUP(B105,DONGIA,DG!$D$6,0)</f>
        <v>bộ</v>
      </c>
      <c r="H105" s="329"/>
      <c r="I105" s="329">
        <f>VLOOKUP(B105,DONGIA,DG!$E$6,0)</f>
        <v>60000</v>
      </c>
      <c r="J105" s="329"/>
      <c r="K105" s="329">
        <f>VLOOKUP(B105,DONGIA,DG!$F$6,0)</f>
        <v>0</v>
      </c>
      <c r="L105" s="329">
        <f>VLOOKUP(B105,DONGIA,DG!$G$6,0)</f>
        <v>0</v>
      </c>
      <c r="M105" s="329">
        <f t="shared" si="15"/>
        <v>0</v>
      </c>
      <c r="N105" s="329">
        <f t="shared" si="16"/>
        <v>0</v>
      </c>
      <c r="O105" s="329">
        <f t="shared" si="17"/>
        <v>0</v>
      </c>
      <c r="P105" s="329">
        <f t="shared" si="18"/>
        <v>0</v>
      </c>
      <c r="Q105" s="329"/>
      <c r="S105" s="332">
        <f t="shared" si="19"/>
        <v>1.5</v>
      </c>
      <c r="T105" s="332">
        <f t="shared" si="21"/>
        <v>0</v>
      </c>
    </row>
    <row r="106" spans="2:20" hidden="1">
      <c r="B106" s="332" t="s">
        <v>1183</v>
      </c>
      <c r="C106" s="333">
        <f t="shared" si="20"/>
        <v>0</v>
      </c>
      <c r="D106" s="328"/>
      <c r="E106" s="328">
        <f>VLOOKUP(B106,DONGIA,DG!$B$6,0)</f>
        <v>0</v>
      </c>
      <c r="F106" s="329" t="str">
        <f>VLOOKUP(B106,DONGIA,DG!$C$6,0)</f>
        <v>Co  90 độ PVC 90</v>
      </c>
      <c r="G106" s="328" t="str">
        <f>VLOOKUP(B106,DONGIA,DG!$D$6,0)</f>
        <v>cái</v>
      </c>
      <c r="H106" s="329"/>
      <c r="I106" s="329">
        <f>VLOOKUP(B106,DONGIA,DG!$E$6,0)</f>
        <v>45400</v>
      </c>
      <c r="J106" s="329"/>
      <c r="K106" s="329">
        <f>VLOOKUP(B106,DONGIA,DG!$F$6,0)</f>
        <v>0</v>
      </c>
      <c r="L106" s="329">
        <f>VLOOKUP(B106,DONGIA,DG!$G$6,0)</f>
        <v>0</v>
      </c>
      <c r="M106" s="329">
        <f t="shared" si="15"/>
        <v>0</v>
      </c>
      <c r="N106" s="329">
        <f t="shared" si="16"/>
        <v>0</v>
      </c>
      <c r="O106" s="329">
        <f t="shared" si="17"/>
        <v>0</v>
      </c>
      <c r="P106" s="329">
        <f t="shared" si="18"/>
        <v>0</v>
      </c>
      <c r="Q106" s="329"/>
      <c r="S106" s="332">
        <f t="shared" si="19"/>
        <v>0</v>
      </c>
      <c r="T106" s="332">
        <f t="shared" si="21"/>
        <v>0</v>
      </c>
    </row>
    <row r="107" spans="2:20" hidden="1">
      <c r="B107" s="332" t="s">
        <v>1181</v>
      </c>
      <c r="C107" s="333">
        <f t="shared" si="20"/>
        <v>0</v>
      </c>
      <c r="D107" s="328"/>
      <c r="E107" s="328">
        <f>VLOOKUP(B107,DONGIA,DG!$B$6,0)</f>
        <v>0</v>
      </c>
      <c r="F107" s="329" t="str">
        <f>VLOOKUP(B107,DONGIA,DG!$C$6,0)</f>
        <v>Co 135 độ PVC 90</v>
      </c>
      <c r="G107" s="328" t="str">
        <f>VLOOKUP(B107,DONGIA,DG!$D$6,0)</f>
        <v>cái</v>
      </c>
      <c r="H107" s="329"/>
      <c r="I107" s="329">
        <f>VLOOKUP(B107,DONGIA,DG!$E$6,0)</f>
        <v>34800</v>
      </c>
      <c r="J107" s="329"/>
      <c r="K107" s="329">
        <f>VLOOKUP(B107,DONGIA,DG!$F$6,0)</f>
        <v>0</v>
      </c>
      <c r="L107" s="329">
        <f>VLOOKUP(B107,DONGIA,DG!$G$6,0)</f>
        <v>0</v>
      </c>
      <c r="M107" s="329">
        <f t="shared" si="15"/>
        <v>0</v>
      </c>
      <c r="N107" s="329">
        <f t="shared" si="16"/>
        <v>0</v>
      </c>
      <c r="O107" s="329">
        <f t="shared" si="17"/>
        <v>0</v>
      </c>
      <c r="P107" s="329">
        <f t="shared" si="18"/>
        <v>0</v>
      </c>
      <c r="Q107" s="329"/>
      <c r="S107" s="332">
        <f t="shared" si="19"/>
        <v>0</v>
      </c>
      <c r="T107" s="332">
        <f t="shared" si="21"/>
        <v>0</v>
      </c>
    </row>
    <row r="108" spans="2:20" hidden="1">
      <c r="B108" s="332" t="s">
        <v>1914</v>
      </c>
      <c r="C108" s="333">
        <f t="shared" si="20"/>
        <v>0</v>
      </c>
      <c r="D108" s="328"/>
      <c r="E108" s="328">
        <f>VLOOKUP(B108,DONGIA,DG!$B$6,0)</f>
        <v>0</v>
      </c>
      <c r="F108" s="329" t="str">
        <f>VLOOKUP(B108,DONGIA,DG!$C$6,0)</f>
        <v>Keo dán ống PVC (100gr)</v>
      </c>
      <c r="G108" s="328" t="str">
        <f>VLOOKUP(B108,DONGIA,DG!$D$6,0)</f>
        <v>tuýp</v>
      </c>
      <c r="H108" s="329"/>
      <c r="I108" s="329">
        <f>VLOOKUP(B108,DONGIA,DG!$E$6,0)</f>
        <v>11500</v>
      </c>
      <c r="J108" s="329"/>
      <c r="K108" s="329">
        <f>VLOOKUP(B108,DONGIA,DG!$F$6,0)</f>
        <v>0</v>
      </c>
      <c r="L108" s="329">
        <f>VLOOKUP(B108,DONGIA,DG!$G$6,0)</f>
        <v>0</v>
      </c>
      <c r="M108" s="329">
        <f t="shared" si="15"/>
        <v>0</v>
      </c>
      <c r="N108" s="329">
        <f t="shared" si="16"/>
        <v>0</v>
      </c>
      <c r="O108" s="329">
        <f t="shared" si="17"/>
        <v>0</v>
      </c>
      <c r="P108" s="329">
        <f t="shared" si="18"/>
        <v>0</v>
      </c>
      <c r="Q108" s="329"/>
      <c r="S108" s="332">
        <f t="shared" si="19"/>
        <v>0</v>
      </c>
      <c r="T108" s="332">
        <f t="shared" si="21"/>
        <v>0</v>
      </c>
    </row>
    <row r="109" spans="2:20" hidden="1">
      <c r="B109" s="332" t="s">
        <v>1195</v>
      </c>
      <c r="C109" s="333">
        <f t="shared" si="20"/>
        <v>0</v>
      </c>
      <c r="D109" s="328"/>
      <c r="E109" s="328">
        <f>VLOOKUP(B109,DONGIA,DG!$B$6,0)</f>
        <v>0</v>
      </c>
      <c r="F109" s="329" t="str">
        <f>VLOOKUP(B109,DONGIA,DG!$C$6,0)</f>
        <v>Keo silicon bít miệng ống</v>
      </c>
      <c r="G109" s="328" t="str">
        <f>VLOOKUP(B109,DONGIA,DG!$D$6,0)</f>
        <v>ống</v>
      </c>
      <c r="H109" s="329"/>
      <c r="I109" s="329">
        <f>VLOOKUP(B109,DONGIA,DG!$E$6,0)</f>
        <v>45000</v>
      </c>
      <c r="J109" s="329"/>
      <c r="K109" s="329">
        <f>VLOOKUP(B109,DONGIA,DG!$F$6,0)</f>
        <v>0</v>
      </c>
      <c r="L109" s="329">
        <f>VLOOKUP(B109,DONGIA,DG!$G$6,0)</f>
        <v>0</v>
      </c>
      <c r="M109" s="329">
        <f t="shared" si="15"/>
        <v>0</v>
      </c>
      <c r="N109" s="329">
        <f t="shared" si="16"/>
        <v>0</v>
      </c>
      <c r="O109" s="329">
        <f t="shared" si="17"/>
        <v>0</v>
      </c>
      <c r="P109" s="329">
        <f t="shared" si="18"/>
        <v>0</v>
      </c>
      <c r="Q109" s="329"/>
      <c r="S109" s="332">
        <f t="shared" si="19"/>
        <v>0</v>
      </c>
      <c r="T109" s="332">
        <f t="shared" si="21"/>
        <v>0</v>
      </c>
    </row>
    <row r="110" spans="2:20" hidden="1">
      <c r="B110" s="332" t="s">
        <v>1193</v>
      </c>
      <c r="C110" s="333">
        <f t="shared" si="20"/>
        <v>0</v>
      </c>
      <c r="D110" s="328"/>
      <c r="E110" s="328">
        <f>VLOOKUP(B110,DONGIA,DG!$B$6,0)</f>
        <v>0</v>
      </c>
      <c r="F110" s="329" t="str">
        <f>VLOOKUP(B110,DONGIA,DG!$C$6,0)</f>
        <v>Băng keo cách điện</v>
      </c>
      <c r="G110" s="328" t="str">
        <f>VLOOKUP(B110,DONGIA,DG!$D$6,0)</f>
        <v>cuộn</v>
      </c>
      <c r="H110" s="329"/>
      <c r="I110" s="329">
        <f>VLOOKUP(B110,DONGIA,DG!$E$6,0)</f>
        <v>6500</v>
      </c>
      <c r="J110" s="329"/>
      <c r="K110" s="329">
        <f>VLOOKUP(B110,DONGIA,DG!$F$6,0)</f>
        <v>0</v>
      </c>
      <c r="L110" s="329">
        <f>VLOOKUP(B110,DONGIA,DG!$G$6,0)</f>
        <v>0</v>
      </c>
      <c r="M110" s="329">
        <f t="shared" si="15"/>
        <v>0</v>
      </c>
      <c r="N110" s="329">
        <f t="shared" si="16"/>
        <v>0</v>
      </c>
      <c r="O110" s="329">
        <f t="shared" si="17"/>
        <v>0</v>
      </c>
      <c r="P110" s="329">
        <f t="shared" si="18"/>
        <v>0</v>
      </c>
      <c r="Q110" s="329"/>
      <c r="S110" s="332">
        <f t="shared" si="19"/>
        <v>0</v>
      </c>
      <c r="T110" s="332">
        <f t="shared" si="21"/>
        <v>0</v>
      </c>
    </row>
    <row r="111" spans="2:20" hidden="1">
      <c r="B111" s="332" t="s">
        <v>855</v>
      </c>
      <c r="C111" s="333">
        <f t="shared" si="20"/>
        <v>0</v>
      </c>
      <c r="D111" s="328"/>
      <c r="E111" s="328" t="str">
        <f>VLOOKUP(B111,DONGIA,DG!$B$6,0)</f>
        <v>T4.8003</v>
      </c>
      <c r="F111" s="329" t="str">
        <f>VLOOKUP(B111,DONGIA,DG!$C$6,0)</f>
        <v>Lắp ống nhựa PVC D90</v>
      </c>
      <c r="G111" s="328" t="str">
        <f>VLOOKUP(B111,DONGIA,DG!$D$6,0)</f>
        <v>mét</v>
      </c>
      <c r="H111" s="329"/>
      <c r="I111" s="329">
        <f>VLOOKUP(B111,DONGIA,DG!$E$6,0)</f>
        <v>0</v>
      </c>
      <c r="J111" s="329"/>
      <c r="K111" s="329">
        <f>VLOOKUP(B111,DONGIA,DG!$F$6,0)</f>
        <v>35541</v>
      </c>
      <c r="L111" s="329">
        <f>VLOOKUP(B111,DONGIA,DG!$G$6,0)</f>
        <v>0</v>
      </c>
      <c r="M111" s="329">
        <f t="shared" si="15"/>
        <v>0</v>
      </c>
      <c r="N111" s="329">
        <f t="shared" si="16"/>
        <v>0</v>
      </c>
      <c r="O111" s="329">
        <f t="shared" si="17"/>
        <v>0</v>
      </c>
      <c r="P111" s="329">
        <f t="shared" si="18"/>
        <v>0</v>
      </c>
      <c r="Q111" s="329"/>
      <c r="S111" s="332">
        <f t="shared" si="19"/>
        <v>0</v>
      </c>
      <c r="T111" s="332">
        <f t="shared" si="21"/>
        <v>0</v>
      </c>
    </row>
    <row r="112" spans="2:20" hidden="1">
      <c r="B112" s="332" t="s">
        <v>1939</v>
      </c>
      <c r="C112" s="333">
        <f t="shared" si="20"/>
        <v>0</v>
      </c>
      <c r="D112" s="328"/>
      <c r="E112" s="328" t="str">
        <f>VLOOKUP(B112,DONGIA,DG!$B$6,0)</f>
        <v>T4.4201</v>
      </c>
      <c r="F112" s="329" t="str">
        <f>VLOOKUP(B112,DONGIA,DG!$C$6,0)</f>
        <v>Lắp cáp đồng xuống thiết bị D ≤ 95mm2</v>
      </c>
      <c r="G112" s="328" t="str">
        <f>VLOOKUP(B112,DONGIA,DG!$D$6,0)</f>
        <v>m</v>
      </c>
      <c r="H112" s="329"/>
      <c r="I112" s="329">
        <f>VLOOKUP(B112,DONGIA,DG!$E$6,0)</f>
        <v>0</v>
      </c>
      <c r="J112" s="329"/>
      <c r="K112" s="329">
        <f>VLOOKUP(B112,DONGIA,DG!$F$6,0)</f>
        <v>11847</v>
      </c>
      <c r="L112" s="329">
        <f>VLOOKUP(B112,DONGIA,DG!$G$6,0)</f>
        <v>0</v>
      </c>
      <c r="M112" s="329">
        <f t="shared" si="15"/>
        <v>0</v>
      </c>
      <c r="N112" s="329">
        <f t="shared" si="16"/>
        <v>0</v>
      </c>
      <c r="O112" s="329">
        <f t="shared" si="17"/>
        <v>0</v>
      </c>
      <c r="P112" s="329">
        <f t="shared" si="18"/>
        <v>0</v>
      </c>
      <c r="Q112" s="329"/>
      <c r="S112" s="332">
        <f t="shared" si="19"/>
        <v>0</v>
      </c>
      <c r="T112" s="332">
        <f t="shared" si="21"/>
        <v>0</v>
      </c>
    </row>
    <row r="113" spans="1:20" hidden="1">
      <c r="B113" s="332" t="s">
        <v>1058</v>
      </c>
      <c r="C113" s="333">
        <f t="shared" si="20"/>
        <v>0</v>
      </c>
      <c r="D113" s="372">
        <f>IF(H113&lt;&gt;0,D94+1,D94)</f>
        <v>0</v>
      </c>
      <c r="E113" s="372">
        <f>VLOOKUP(B113,DONGIA,DG!$B$6,0)</f>
        <v>0</v>
      </c>
      <c r="F113" s="373" t="str">
        <f>VLOOKUP(B113,DONGIA,DG!$C$6,0)</f>
        <v>Bảng tên trạm + bulon</v>
      </c>
      <c r="G113" s="372" t="str">
        <f>VLOOKUP(B113,DONGIA,DG!$D$6,0)</f>
        <v>bộ</v>
      </c>
      <c r="H113" s="373">
        <f>T1P25</f>
        <v>0</v>
      </c>
      <c r="I113" s="373"/>
      <c r="J113" s="373"/>
      <c r="K113" s="373"/>
      <c r="L113" s="373"/>
      <c r="M113" s="373"/>
      <c r="N113" s="373"/>
      <c r="O113" s="373"/>
      <c r="P113" s="373"/>
      <c r="Q113" s="373"/>
      <c r="S113" s="332">
        <f t="shared" si="19"/>
        <v>0</v>
      </c>
      <c r="T113" s="332">
        <f t="shared" si="21"/>
        <v>0</v>
      </c>
    </row>
    <row r="114" spans="1:20" s="353" customFormat="1" hidden="1">
      <c r="A114" s="353" t="s">
        <v>2089</v>
      </c>
      <c r="C114" s="333">
        <f t="shared" si="20"/>
        <v>0</v>
      </c>
      <c r="D114" s="368"/>
      <c r="E114" s="369" t="str">
        <f>T1P375&amp;" Trạm 1 pha 37,5kVA"</f>
        <v>0 Trạm 1 pha 37,5kVA</v>
      </c>
      <c r="F114" s="368"/>
      <c r="G114" s="368"/>
      <c r="H114" s="368"/>
      <c r="I114" s="325"/>
      <c r="J114" s="325"/>
      <c r="K114" s="325"/>
      <c r="L114" s="325"/>
      <c r="M114" s="325"/>
      <c r="N114" s="325"/>
      <c r="O114" s="325"/>
      <c r="P114" s="325"/>
      <c r="Q114" s="368"/>
      <c r="S114" s="332">
        <f t="shared" si="19"/>
        <v>0</v>
      </c>
      <c r="T114" s="332">
        <f t="shared" si="21"/>
        <v>0</v>
      </c>
    </row>
    <row r="115" spans="1:20" hidden="1">
      <c r="A115" s="332" t="s">
        <v>2092</v>
      </c>
      <c r="C115" s="333">
        <f t="shared" si="20"/>
        <v>0</v>
      </c>
      <c r="D115" s="344"/>
      <c r="E115" s="344"/>
      <c r="F115" s="345" t="s">
        <v>1900</v>
      </c>
      <c r="G115" s="344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S115" s="332">
        <f t="shared" si="19"/>
        <v>0</v>
      </c>
      <c r="T115" s="371">
        <f>SUM(T116:T121)</f>
        <v>0</v>
      </c>
    </row>
    <row r="116" spans="1:20" hidden="1">
      <c r="A116" s="332" t="s">
        <v>477</v>
      </c>
      <c r="B116" s="332" t="s">
        <v>899</v>
      </c>
      <c r="C116" s="333">
        <f t="shared" si="20"/>
        <v>0</v>
      </c>
      <c r="D116" s="328"/>
      <c r="E116" s="328" t="str">
        <f>VLOOKUP(B116,DONGIA,DG!$B$6,0)</f>
        <v>T1.1431</v>
      </c>
      <c r="F116" s="329" t="str">
        <f>VLOOKUP(B116,DONGIA,DG!$C$6,0)</f>
        <v>Máy biến áp 12,7/0,22-0,44kV  25kVA</v>
      </c>
      <c r="G116" s="328" t="str">
        <f>VLOOKUP(B116,DONGIA,DG!$D$6,0)</f>
        <v>máy</v>
      </c>
      <c r="H116" s="329">
        <f>T1P375</f>
        <v>0</v>
      </c>
      <c r="I116" s="329"/>
      <c r="J116" s="329"/>
      <c r="K116" s="329"/>
      <c r="L116" s="329"/>
      <c r="M116" s="329"/>
      <c r="N116" s="329"/>
      <c r="O116" s="329"/>
      <c r="P116" s="329"/>
      <c r="Q116" s="329"/>
      <c r="S116" s="332">
        <f t="shared" si="19"/>
        <v>320</v>
      </c>
      <c r="T116" s="332">
        <f t="shared" si="21"/>
        <v>0</v>
      </c>
    </row>
    <row r="117" spans="1:20" hidden="1">
      <c r="A117" s="332" t="s">
        <v>477</v>
      </c>
      <c r="B117" s="332" t="s">
        <v>1444</v>
      </c>
      <c r="C117" s="333">
        <f t="shared" si="20"/>
        <v>0</v>
      </c>
      <c r="D117" s="328"/>
      <c r="E117" s="328" t="str">
        <f>VLOOKUP(B117,DONGIA,DG!$B$6,0)</f>
        <v>T2.3505</v>
      </c>
      <c r="F117" s="329" t="str">
        <f>VLOOKUP(B117,DONGIA,DG!$C$6,0)</f>
        <v>FCO 27kV - 100A</v>
      </c>
      <c r="G117" s="328" t="str">
        <f>VLOOKUP(B117,DONGIA,DG!$D$6,0)</f>
        <v>cái</v>
      </c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S117" s="332">
        <f t="shared" si="19"/>
        <v>1.5</v>
      </c>
      <c r="T117" s="332">
        <f t="shared" si="21"/>
        <v>0</v>
      </c>
    </row>
    <row r="118" spans="1:20" hidden="1">
      <c r="A118" s="332" t="s">
        <v>477</v>
      </c>
      <c r="B118" s="332" t="s">
        <v>943</v>
      </c>
      <c r="C118" s="333">
        <f t="shared" si="20"/>
        <v>0</v>
      </c>
      <c r="D118" s="328"/>
      <c r="E118" s="328" t="str">
        <f>VLOOKUP(B118,DONGIA,DG!$B$6,0)</f>
        <v>T2.5004</v>
      </c>
      <c r="F118" s="329" t="str">
        <f>VLOOKUP(B118,DONGIA,DG!$C$6,0)</f>
        <v>LA 18kV 10kA</v>
      </c>
      <c r="G118" s="328" t="str">
        <f>VLOOKUP(B118,DONGIA,DG!$D$6,0)</f>
        <v>cái</v>
      </c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S118" s="332">
        <f t="shared" si="19"/>
        <v>0.8</v>
      </c>
      <c r="T118" s="332">
        <f t="shared" si="21"/>
        <v>0</v>
      </c>
    </row>
    <row r="119" spans="1:20" hidden="1">
      <c r="A119" s="332" t="s">
        <v>477</v>
      </c>
      <c r="B119" s="332" t="s">
        <v>992</v>
      </c>
      <c r="C119" s="333">
        <f t="shared" si="20"/>
        <v>0</v>
      </c>
      <c r="D119" s="328"/>
      <c r="E119" s="328" t="str">
        <f>VLOOKUP(B119,DONGIA,DG!$B$6,0)</f>
        <v>T2.8403</v>
      </c>
      <c r="F119" s="329" t="str">
        <f>VLOOKUP(B119,DONGIA,DG!$C$6,0)</f>
        <v>MCCB 3 cực 400V - 125A - 30KA (80-125A)</v>
      </c>
      <c r="G119" s="328" t="str">
        <f>VLOOKUP(B119,DONGIA,DG!$D$6,0)</f>
        <v>cái</v>
      </c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S119" s="332">
        <f t="shared" si="19"/>
        <v>2</v>
      </c>
      <c r="T119" s="332">
        <f t="shared" si="21"/>
        <v>0</v>
      </c>
    </row>
    <row r="120" spans="1:20" hidden="1">
      <c r="A120" s="332" t="s">
        <v>477</v>
      </c>
      <c r="B120" s="332" t="s">
        <v>946</v>
      </c>
      <c r="C120" s="333">
        <f t="shared" si="20"/>
        <v>0</v>
      </c>
      <c r="D120" s="328"/>
      <c r="E120" s="328">
        <f>VLOOKUP(B120,DONGIA,DG!$B$6,0)</f>
        <v>0</v>
      </c>
      <c r="F120" s="329" t="str">
        <f>VLOOKUP(B120,DONGIA,DG!$C$6,0)</f>
        <v>Biến dòng 600V - 100/5A</v>
      </c>
      <c r="G120" s="328" t="str">
        <f>VLOOKUP(B120,DONGIA,DG!$D$6,0)</f>
        <v>cái</v>
      </c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S120" s="332">
        <f t="shared" si="19"/>
        <v>0</v>
      </c>
      <c r="T120" s="332">
        <f t="shared" si="21"/>
        <v>0</v>
      </c>
    </row>
    <row r="121" spans="1:20" hidden="1">
      <c r="A121" s="332" t="s">
        <v>477</v>
      </c>
      <c r="B121" s="332" t="s">
        <v>1040</v>
      </c>
      <c r="C121" s="333">
        <f t="shared" si="20"/>
        <v>0</v>
      </c>
      <c r="D121" s="328"/>
      <c r="E121" s="328">
        <f>VLOOKUP(B121,DONGIA,DG!$B$6,0)</f>
        <v>0</v>
      </c>
      <c r="F121" s="329" t="str">
        <f>VLOOKUP(B121,DONGIA,DG!$C$6,0)</f>
        <v>Điện kế 1 pha 2 dây 220V-80A</v>
      </c>
      <c r="G121" s="328" t="str">
        <f>VLOOKUP(B121,DONGIA,DG!$D$6,0)</f>
        <v>cái</v>
      </c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S121" s="332">
        <f t="shared" si="19"/>
        <v>0</v>
      </c>
      <c r="T121" s="332">
        <f t="shared" si="21"/>
        <v>0</v>
      </c>
    </row>
    <row r="122" spans="1:20" hidden="1">
      <c r="A122" s="332" t="s">
        <v>2096</v>
      </c>
      <c r="C122" s="333">
        <f t="shared" si="20"/>
        <v>0</v>
      </c>
      <c r="D122" s="344"/>
      <c r="E122" s="344"/>
      <c r="F122" s="345" t="s">
        <v>1901</v>
      </c>
      <c r="G122" s="344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S122" s="332">
        <f t="shared" si="19"/>
        <v>0</v>
      </c>
      <c r="T122" s="371">
        <f>SUM(T123:T196)</f>
        <v>0</v>
      </c>
    </row>
    <row r="123" spans="1:20" hidden="1">
      <c r="C123" s="333">
        <f t="shared" si="20"/>
        <v>0</v>
      </c>
      <c r="D123" s="372">
        <f>IF(H123&lt;&gt;0,1,)</f>
        <v>0</v>
      </c>
      <c r="E123" s="372"/>
      <c r="F123" s="373" t="s">
        <v>1931</v>
      </c>
      <c r="G123" s="372" t="s">
        <v>138</v>
      </c>
      <c r="H123" s="373">
        <f>T1P375</f>
        <v>0</v>
      </c>
      <c r="I123" s="373"/>
      <c r="J123" s="373"/>
      <c r="K123" s="373"/>
      <c r="L123" s="373"/>
      <c r="M123" s="373"/>
      <c r="N123" s="373"/>
      <c r="O123" s="373"/>
      <c r="P123" s="373"/>
      <c r="Q123" s="373"/>
      <c r="S123" s="332">
        <f t="shared" si="19"/>
        <v>0</v>
      </c>
      <c r="T123" s="332">
        <f t="shared" si="21"/>
        <v>0</v>
      </c>
    </row>
    <row r="124" spans="1:20" hidden="1">
      <c r="A124" s="332" t="s">
        <v>477</v>
      </c>
      <c r="B124" s="332" t="s">
        <v>1007</v>
      </c>
      <c r="C124" s="333">
        <f t="shared" si="20"/>
        <v>0</v>
      </c>
      <c r="D124" s="328"/>
      <c r="E124" s="328">
        <f>VLOOKUP(B124,DONGIA,DG!$B$6,0)</f>
        <v>0</v>
      </c>
      <c r="F124" s="329" t="str">
        <f>VLOOKUP(B124,DONGIA,DG!$C$6,0)</f>
        <v>Dây chảy 3K</v>
      </c>
      <c r="G124" s="328" t="str">
        <f>VLOOKUP(B124,DONGIA,DG!$D$6,0)</f>
        <v>Sợi</v>
      </c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S124" s="332">
        <f t="shared" si="19"/>
        <v>0</v>
      </c>
      <c r="T124" s="332">
        <f t="shared" si="21"/>
        <v>0</v>
      </c>
    </row>
    <row r="125" spans="1:20" hidden="1">
      <c r="A125" s="332" t="s">
        <v>477</v>
      </c>
      <c r="B125" s="332" t="s">
        <v>131</v>
      </c>
      <c r="C125" s="333">
        <f t="shared" si="20"/>
        <v>0</v>
      </c>
      <c r="D125" s="328"/>
      <c r="E125" s="328">
        <f>VLOOKUP(B125,DONGIA,DG!$B$6,0)</f>
        <v>0</v>
      </c>
      <c r="F125" s="329" t="str">
        <f>VLOOKUP(B125,DONGIA,DG!$C$6,0)</f>
        <v>Chụp đầu FCO (Trên + Dưới)</v>
      </c>
      <c r="G125" s="328" t="str">
        <f>VLOOKUP(B125,DONGIA,DG!$D$6,0)</f>
        <v>bộ</v>
      </c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S125" s="332">
        <f t="shared" si="19"/>
        <v>0</v>
      </c>
      <c r="T125" s="332">
        <f t="shared" si="21"/>
        <v>0</v>
      </c>
    </row>
    <row r="126" spans="1:20" hidden="1">
      <c r="A126" s="332" t="s">
        <v>477</v>
      </c>
      <c r="B126" s="332" t="s">
        <v>133</v>
      </c>
      <c r="C126" s="333">
        <f t="shared" si="20"/>
        <v>0</v>
      </c>
      <c r="D126" s="328"/>
      <c r="E126" s="328">
        <f>VLOOKUP(B126,DONGIA,DG!$B$6,0)</f>
        <v>0</v>
      </c>
      <c r="F126" s="329" t="str">
        <f>VLOOKUP(B126,DONGIA,DG!$C$6,0)</f>
        <v>Chụp đầu LA</v>
      </c>
      <c r="G126" s="328" t="str">
        <f>VLOOKUP(B126,DONGIA,DG!$D$6,0)</f>
        <v>cái</v>
      </c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S126" s="332">
        <f t="shared" si="19"/>
        <v>0</v>
      </c>
      <c r="T126" s="332">
        <f t="shared" si="21"/>
        <v>0</v>
      </c>
    </row>
    <row r="127" spans="1:20" hidden="1">
      <c r="A127" s="332" t="s">
        <v>477</v>
      </c>
      <c r="B127" s="332" t="s">
        <v>135</v>
      </c>
      <c r="C127" s="333">
        <f t="shared" si="20"/>
        <v>0</v>
      </c>
      <c r="D127" s="328"/>
      <c r="E127" s="328">
        <f>VLOOKUP(B127,DONGIA,DG!$B$6,0)</f>
        <v>0</v>
      </c>
      <c r="F127" s="329" t="str">
        <f>VLOOKUP(B127,DONGIA,DG!$C$6,0)</f>
        <v>Chụp đầu cực MBA</v>
      </c>
      <c r="G127" s="328" t="str">
        <f>VLOOKUP(B127,DONGIA,DG!$D$6,0)</f>
        <v>cái</v>
      </c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S127" s="332">
        <f t="shared" si="19"/>
        <v>0</v>
      </c>
      <c r="T127" s="332">
        <f t="shared" si="21"/>
        <v>0</v>
      </c>
    </row>
    <row r="128" spans="1:20" hidden="1">
      <c r="A128" s="332" t="s">
        <v>477</v>
      </c>
      <c r="C128" s="333">
        <f t="shared" si="20"/>
        <v>0</v>
      </c>
      <c r="D128" s="372">
        <f>IF(H128&lt;&gt;0,D123+1,D123)</f>
        <v>0</v>
      </c>
      <c r="E128" s="372"/>
      <c r="F128" s="373" t="s">
        <v>1932</v>
      </c>
      <c r="G128" s="372" t="s">
        <v>138</v>
      </c>
      <c r="H128" s="373">
        <f>T1P375</f>
        <v>0</v>
      </c>
      <c r="I128" s="373"/>
      <c r="J128" s="373"/>
      <c r="K128" s="373"/>
      <c r="L128" s="373"/>
      <c r="M128" s="373"/>
      <c r="N128" s="373"/>
      <c r="O128" s="373"/>
      <c r="P128" s="373"/>
      <c r="Q128" s="373"/>
      <c r="S128" s="332">
        <f t="shared" si="19"/>
        <v>0</v>
      </c>
      <c r="T128" s="332">
        <f t="shared" si="21"/>
        <v>0</v>
      </c>
    </row>
    <row r="129" spans="1:20" s="361" customFormat="1" hidden="1">
      <c r="A129" s="361" t="s">
        <v>477</v>
      </c>
      <c r="C129" s="374">
        <f t="shared" si="20"/>
        <v>0</v>
      </c>
      <c r="D129" s="350"/>
      <c r="E129" s="350"/>
      <c r="F129" s="351" t="s">
        <v>1902</v>
      </c>
      <c r="G129" s="350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S129" s="361">
        <f t="shared" si="19"/>
        <v>0</v>
      </c>
      <c r="T129" s="361">
        <f t="shared" si="21"/>
        <v>0</v>
      </c>
    </row>
    <row r="130" spans="1:20" hidden="1">
      <c r="A130" s="332" t="s">
        <v>477</v>
      </c>
      <c r="B130" s="332" t="s">
        <v>15</v>
      </c>
      <c r="C130" s="333">
        <f t="shared" si="20"/>
        <v>0</v>
      </c>
      <c r="D130" s="328"/>
      <c r="E130" s="328">
        <f>VLOOKUP(B130,DONGIA,DG!$B$6,0)</f>
        <v>0</v>
      </c>
      <c r="F130" s="329" t="str">
        <f>VLOOKUP(B130,DONGIA,DG!$C$6,0)</f>
        <v>Đà hộp composite 110x80x5-800</v>
      </c>
      <c r="G130" s="328" t="str">
        <f>VLOOKUP(B130,DONGIA,DG!$D$6,0)</f>
        <v>cái</v>
      </c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S130" s="332">
        <f t="shared" si="19"/>
        <v>3.2</v>
      </c>
      <c r="T130" s="332">
        <f t="shared" si="21"/>
        <v>0</v>
      </c>
    </row>
    <row r="131" spans="1:20" hidden="1">
      <c r="A131" s="332" t="s">
        <v>477</v>
      </c>
      <c r="B131" s="332" t="s">
        <v>17</v>
      </c>
      <c r="C131" s="333">
        <f t="shared" si="20"/>
        <v>0</v>
      </c>
      <c r="D131" s="328"/>
      <c r="E131" s="328">
        <f>VLOOKUP(B131,DONGIA,DG!$B$6,0)</f>
        <v>0</v>
      </c>
      <c r="F131" s="329" t="str">
        <f>VLOOKUP(B131,DONGIA,DG!$C$6,0)</f>
        <v>Thanh chống 10x40x710</v>
      </c>
      <c r="G131" s="328" t="str">
        <f>VLOOKUP(B131,DONGIA,DG!$D$6,0)</f>
        <v>cái</v>
      </c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S131" s="332">
        <f t="shared" si="19"/>
        <v>0.5</v>
      </c>
      <c r="T131" s="332">
        <f t="shared" si="21"/>
        <v>0</v>
      </c>
    </row>
    <row r="132" spans="1:20" hidden="1">
      <c r="A132" s="332" t="s">
        <v>477</v>
      </c>
      <c r="B132" s="332" t="s">
        <v>137</v>
      </c>
      <c r="C132" s="333">
        <f t="shared" si="20"/>
        <v>0</v>
      </c>
      <c r="D132" s="328"/>
      <c r="E132" s="328">
        <f>VLOOKUP(B132,DONGIA,DG!$B$6,0)</f>
        <v>0</v>
      </c>
      <c r="F132" s="329" t="str">
        <f>VLOOKUP(B132,DONGIA,DG!$C$6,0)</f>
        <v>Bass LI bắt FCO, LA</v>
      </c>
      <c r="G132" s="328" t="str">
        <f>VLOOKUP(B132,DONGIA,DG!$D$6,0)</f>
        <v>Bộ</v>
      </c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S132" s="332">
        <f t="shared" si="19"/>
        <v>0.4</v>
      </c>
      <c r="T132" s="332">
        <f t="shared" si="21"/>
        <v>0</v>
      </c>
    </row>
    <row r="133" spans="1:20" hidden="1">
      <c r="A133" s="332" t="s">
        <v>477</v>
      </c>
      <c r="B133" s="332" t="s">
        <v>1686</v>
      </c>
      <c r="C133" s="333">
        <f t="shared" si="20"/>
        <v>0</v>
      </c>
      <c r="D133" s="328"/>
      <c r="E133" s="328">
        <f>VLOOKUP(B133,DONGIA,DG!$B$6,0)</f>
        <v>0</v>
      </c>
      <c r="F133" s="329" t="str">
        <f>VLOOKUP(B133,DONGIA,DG!$C$6,0)</f>
        <v>Boulon 16x400VRS + 4 long đền vuông D18-50x50x3/Zn</v>
      </c>
      <c r="G133" s="328" t="str">
        <f>VLOOKUP(B133,DONGIA,DG!$D$6,0)</f>
        <v>bộ</v>
      </c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S133" s="332">
        <f t="shared" si="19"/>
        <v>0.39999999999999997</v>
      </c>
      <c r="T133" s="332">
        <f t="shared" si="21"/>
        <v>0</v>
      </c>
    </row>
    <row r="134" spans="1:20" hidden="1">
      <c r="A134" s="332" t="s">
        <v>477</v>
      </c>
      <c r="B134" s="332" t="s">
        <v>35</v>
      </c>
      <c r="C134" s="333">
        <f t="shared" si="20"/>
        <v>0</v>
      </c>
      <c r="D134" s="328"/>
      <c r="E134" s="328">
        <f>VLOOKUP(B134,DONGIA,DG!$B$6,0)</f>
        <v>0</v>
      </c>
      <c r="F134" s="329" t="str">
        <f>VLOOKUP(B134,DONGIA,DG!$C$6,0)</f>
        <v>Boulon 16x300+ 2 long đền vuông D18-50x50x3/Zn</v>
      </c>
      <c r="G134" s="328" t="str">
        <f>VLOOKUP(B134,DONGIA,DG!$D$6,0)</f>
        <v>bộ</v>
      </c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S134" s="332">
        <f t="shared" si="19"/>
        <v>0.25</v>
      </c>
      <c r="T134" s="332">
        <f t="shared" si="21"/>
        <v>0</v>
      </c>
    </row>
    <row r="135" spans="1:20" hidden="1">
      <c r="A135" s="332" t="s">
        <v>477</v>
      </c>
      <c r="B135" s="332" t="s">
        <v>27</v>
      </c>
      <c r="C135" s="333">
        <f t="shared" si="20"/>
        <v>0</v>
      </c>
      <c r="D135" s="328"/>
      <c r="E135" s="328">
        <f>VLOOKUP(B135,DONGIA,DG!$B$6,0)</f>
        <v>0</v>
      </c>
      <c r="F135" s="329" t="str">
        <f>VLOOKUP(B135,DONGIA,DG!$C$6,0)</f>
        <v>Boulon 14x120+ 2 long đền vuông D16-50x50x3/Zn</v>
      </c>
      <c r="G135" s="328" t="str">
        <f>VLOOKUP(B135,DONGIA,DG!$D$6,0)</f>
        <v>bộ</v>
      </c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S135" s="332">
        <f t="shared" si="19"/>
        <v>0.2</v>
      </c>
      <c r="T135" s="332">
        <f t="shared" si="21"/>
        <v>0</v>
      </c>
    </row>
    <row r="136" spans="1:20" hidden="1">
      <c r="A136" s="332" t="s">
        <v>477</v>
      </c>
      <c r="C136" s="333">
        <f t="shared" si="20"/>
        <v>0</v>
      </c>
      <c r="D136" s="372">
        <f>IF(H136&lt;&gt;0,D128+1,D128)</f>
        <v>0</v>
      </c>
      <c r="E136" s="372"/>
      <c r="F136" s="373" t="s">
        <v>1933</v>
      </c>
      <c r="G136" s="372" t="s">
        <v>138</v>
      </c>
      <c r="H136" s="373">
        <f>T1P375</f>
        <v>0</v>
      </c>
      <c r="I136" s="373"/>
      <c r="J136" s="373"/>
      <c r="K136" s="373"/>
      <c r="L136" s="373"/>
      <c r="M136" s="373"/>
      <c r="N136" s="373"/>
      <c r="O136" s="373"/>
      <c r="P136" s="373"/>
      <c r="Q136" s="373"/>
      <c r="S136" s="332">
        <f t="shared" si="19"/>
        <v>0</v>
      </c>
      <c r="T136" s="332">
        <f t="shared" si="21"/>
        <v>0</v>
      </c>
    </row>
    <row r="137" spans="1:20" s="361" customFormat="1" hidden="1">
      <c r="A137" s="361" t="s">
        <v>477</v>
      </c>
      <c r="C137" s="374">
        <f t="shared" si="20"/>
        <v>0</v>
      </c>
      <c r="D137" s="350"/>
      <c r="E137" s="350"/>
      <c r="F137" s="351" t="s">
        <v>1902</v>
      </c>
      <c r="G137" s="350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S137" s="361">
        <f t="shared" si="19"/>
        <v>0</v>
      </c>
      <c r="T137" s="361">
        <f t="shared" si="21"/>
        <v>0</v>
      </c>
    </row>
    <row r="138" spans="1:20" hidden="1">
      <c r="A138" s="332" t="s">
        <v>477</v>
      </c>
      <c r="B138" s="332" t="s">
        <v>144</v>
      </c>
      <c r="C138" s="333">
        <f t="shared" si="20"/>
        <v>0</v>
      </c>
      <c r="D138" s="328"/>
      <c r="E138" s="328">
        <f>VLOOKUP(B138,DONGIA,DG!$B$6,0)</f>
        <v>0</v>
      </c>
      <c r="F138" s="329" t="str">
        <f>VLOOKUP(B138,DONGIA,DG!$C$6,0)</f>
        <v>Cáp đồng trần M25mm2</v>
      </c>
      <c r="G138" s="328" t="str">
        <f>VLOOKUP(B138,DONGIA,DG!$D$6,0)</f>
        <v>kg</v>
      </c>
      <c r="H138" s="329">
        <f>H136*TDTR1P*0.224</f>
        <v>0</v>
      </c>
      <c r="I138" s="329"/>
      <c r="J138" s="329"/>
      <c r="K138" s="329"/>
      <c r="L138" s="329"/>
      <c r="M138" s="329"/>
      <c r="N138" s="329"/>
      <c r="O138" s="329"/>
      <c r="P138" s="329"/>
      <c r="Q138" s="329"/>
      <c r="S138" s="332">
        <f t="shared" si="19"/>
        <v>1</v>
      </c>
      <c r="T138" s="332">
        <f t="shared" si="21"/>
        <v>0</v>
      </c>
    </row>
    <row r="139" spans="1:20" hidden="1">
      <c r="A139" s="332" t="s">
        <v>477</v>
      </c>
      <c r="B139" s="332" t="s">
        <v>278</v>
      </c>
      <c r="C139" s="333">
        <f t="shared" si="20"/>
        <v>0</v>
      </c>
      <c r="D139" s="328"/>
      <c r="E139" s="328">
        <f>VLOOKUP(B139,DONGIA,DG!$B$6,0)</f>
        <v>0</v>
      </c>
      <c r="F139" s="329" t="str">
        <f>VLOOKUP(B139,DONGIA,DG!$C$6,0)</f>
        <v>Cọc tiếp đất φ16 - 2,4m (mạ đồng 16µm)</v>
      </c>
      <c r="G139" s="328" t="str">
        <f>VLOOKUP(B139,DONGIA,DG!$D$6,0)</f>
        <v>cọc</v>
      </c>
      <c r="H139" s="329">
        <f>H136*9</f>
        <v>0</v>
      </c>
      <c r="I139" s="329"/>
      <c r="J139" s="329"/>
      <c r="K139" s="329"/>
      <c r="L139" s="329"/>
      <c r="M139" s="329"/>
      <c r="N139" s="329"/>
      <c r="O139" s="329"/>
      <c r="P139" s="329"/>
      <c r="Q139" s="329"/>
      <c r="S139" s="332">
        <f t="shared" si="19"/>
        <v>5.3</v>
      </c>
      <c r="T139" s="332">
        <f t="shared" si="21"/>
        <v>0</v>
      </c>
    </row>
    <row r="140" spans="1:20" hidden="1">
      <c r="A140" s="332" t="s">
        <v>477</v>
      </c>
      <c r="B140" s="332" t="s">
        <v>280</v>
      </c>
      <c r="C140" s="333">
        <f t="shared" si="20"/>
        <v>0</v>
      </c>
      <c r="D140" s="328"/>
      <c r="E140" s="328">
        <f>VLOOKUP(B140,DONGIA,DG!$B$6,0)</f>
        <v>0</v>
      </c>
      <c r="F140" s="329" t="str">
        <f>VLOOKUP(B140,DONGIA,DG!$C$6,0)</f>
        <v>Kẹp cọc tiếp địa</v>
      </c>
      <c r="G140" s="328" t="str">
        <f>VLOOKUP(B140,DONGIA,DG!$D$6,0)</f>
        <v>bộ</v>
      </c>
      <c r="H140" s="329">
        <f>H139</f>
        <v>0</v>
      </c>
      <c r="I140" s="329"/>
      <c r="J140" s="329"/>
      <c r="K140" s="329"/>
      <c r="L140" s="329"/>
      <c r="M140" s="329"/>
      <c r="N140" s="329"/>
      <c r="O140" s="329"/>
      <c r="P140" s="329"/>
      <c r="Q140" s="329"/>
      <c r="S140" s="332">
        <f t="shared" si="19"/>
        <v>0.05</v>
      </c>
      <c r="T140" s="332">
        <f t="shared" si="21"/>
        <v>0</v>
      </c>
    </row>
    <row r="141" spans="1:20" hidden="1">
      <c r="A141" s="332" t="s">
        <v>477</v>
      </c>
      <c r="B141" s="332" t="s">
        <v>1217</v>
      </c>
      <c r="C141" s="333">
        <f t="shared" si="20"/>
        <v>0</v>
      </c>
      <c r="D141" s="328"/>
      <c r="E141" s="328">
        <f>VLOOKUP(B141,DONGIA,DG!$B$6,0)</f>
        <v>0</v>
      </c>
      <c r="F141" s="329" t="str">
        <f>VLOOKUP(B141,DONGIA,DG!$C$6,0)</f>
        <v xml:space="preserve">Ốc xiết cáp cỡ 38mm2 </v>
      </c>
      <c r="G141" s="328" t="str">
        <f>VLOOKUP(B141,DONGIA,DG!$D$6,0)</f>
        <v>cái</v>
      </c>
      <c r="H141" s="329">
        <f>H136*6</f>
        <v>0</v>
      </c>
      <c r="I141" s="329"/>
      <c r="J141" s="329"/>
      <c r="K141" s="329"/>
      <c r="L141" s="329"/>
      <c r="M141" s="329"/>
      <c r="N141" s="329"/>
      <c r="O141" s="329"/>
      <c r="P141" s="329"/>
      <c r="Q141" s="329"/>
      <c r="S141" s="332">
        <f t="shared" si="19"/>
        <v>0</v>
      </c>
      <c r="T141" s="332">
        <f t="shared" si="21"/>
        <v>0</v>
      </c>
    </row>
    <row r="142" spans="1:20" hidden="1">
      <c r="A142" s="332" t="s">
        <v>477</v>
      </c>
      <c r="B142" s="332" t="s">
        <v>573</v>
      </c>
      <c r="C142" s="333">
        <f t="shared" si="20"/>
        <v>0</v>
      </c>
      <c r="D142" s="328"/>
      <c r="E142" s="328" t="str">
        <f>VLOOKUP(B142,DONGIA,DG!$B$6,0)</f>
        <v>T4.7001</v>
      </c>
      <c r="F142" s="329" t="str">
        <f>VLOOKUP(B142,DONGIA,DG!$C$6,0)</f>
        <v>Kéo dây tiếp địa trong TBA</v>
      </c>
      <c r="G142" s="328" t="str">
        <f>VLOOKUP(B142,DONGIA,DG!$D$6,0)</f>
        <v>mét</v>
      </c>
      <c r="H142" s="329">
        <f>TDTR1P*H136</f>
        <v>0</v>
      </c>
      <c r="I142" s="329"/>
      <c r="J142" s="329"/>
      <c r="K142" s="329"/>
      <c r="L142" s="329"/>
      <c r="M142" s="329"/>
      <c r="N142" s="329"/>
      <c r="O142" s="329"/>
      <c r="P142" s="329"/>
      <c r="Q142" s="329"/>
      <c r="S142" s="332">
        <f t="shared" si="19"/>
        <v>0</v>
      </c>
      <c r="T142" s="332">
        <f t="shared" si="21"/>
        <v>0</v>
      </c>
    </row>
    <row r="143" spans="1:20" hidden="1">
      <c r="A143" s="332" t="s">
        <v>477</v>
      </c>
      <c r="B143" s="332" t="s">
        <v>581</v>
      </c>
      <c r="C143" s="333">
        <f t="shared" si="20"/>
        <v>0</v>
      </c>
      <c r="D143" s="328"/>
      <c r="E143" s="328" t="str">
        <f>VLOOKUP(B143,DONGIA,DG!$B$6,0)</f>
        <v>D2.8103</v>
      </c>
      <c r="F143" s="329" t="str">
        <f>VLOOKUP(B143,DONGIA,DG!$C$6,0)</f>
        <v>Đóng cọc tiếp địa trong TBA (đất cấp 3)</v>
      </c>
      <c r="G143" s="328" t="str">
        <f>VLOOKUP(B143,DONGIA,DG!$D$6,0)</f>
        <v>cọc</v>
      </c>
      <c r="H143" s="329">
        <f>H139</f>
        <v>0</v>
      </c>
      <c r="I143" s="329"/>
      <c r="J143" s="329"/>
      <c r="K143" s="329"/>
      <c r="L143" s="329"/>
      <c r="M143" s="329"/>
      <c r="N143" s="329"/>
      <c r="O143" s="329"/>
      <c r="P143" s="329"/>
      <c r="Q143" s="329"/>
      <c r="S143" s="332">
        <f t="shared" si="19"/>
        <v>0</v>
      </c>
      <c r="T143" s="332">
        <f t="shared" si="21"/>
        <v>0</v>
      </c>
    </row>
    <row r="144" spans="1:20" hidden="1">
      <c r="A144" s="332" t="s">
        <v>477</v>
      </c>
      <c r="B144" s="332" t="s">
        <v>540</v>
      </c>
      <c r="C144" s="333">
        <f t="shared" si="20"/>
        <v>0</v>
      </c>
      <c r="D144" s="328"/>
      <c r="E144" s="328" t="str">
        <f>VLOOKUP(B144,DONGIA,DG!$B$6,0)</f>
        <v>AB.11513</v>
      </c>
      <c r="F144" s="329" t="str">
        <f>VLOOKUP(B144,DONGIA,DG!$C$6,0)</f>
        <v>Đào rãnh tiếp địa đất cấp 3</v>
      </c>
      <c r="G144" s="328" t="str">
        <f>VLOOKUP(B144,DONGIA,DG!$D$6,0)</f>
        <v>m3</v>
      </c>
      <c r="H144" s="329">
        <f>H136*4.05</f>
        <v>0</v>
      </c>
      <c r="I144" s="329"/>
      <c r="J144" s="329"/>
      <c r="K144" s="329"/>
      <c r="L144" s="329"/>
      <c r="M144" s="329"/>
      <c r="N144" s="329"/>
      <c r="O144" s="329"/>
      <c r="P144" s="329"/>
      <c r="Q144" s="329"/>
      <c r="S144" s="332">
        <f t="shared" si="19"/>
        <v>0</v>
      </c>
      <c r="T144" s="332">
        <f t="shared" si="21"/>
        <v>0</v>
      </c>
    </row>
    <row r="145" spans="1:20" hidden="1">
      <c r="A145" s="332" t="s">
        <v>477</v>
      </c>
      <c r="B145" s="332" t="s">
        <v>547</v>
      </c>
      <c r="C145" s="333">
        <f t="shared" si="20"/>
        <v>0</v>
      </c>
      <c r="D145" s="328"/>
      <c r="E145" s="328" t="str">
        <f>VLOOKUP(B145,DONGIA,DG!$B$6,0)</f>
        <v>AB.65110</v>
      </c>
      <c r="F145" s="329" t="str">
        <f>VLOOKUP(B145,DONGIA,DG!$C$6,0)</f>
        <v>Đắp đất rãnh tiếp địa (K=0,85)</v>
      </c>
      <c r="G145" s="328" t="str">
        <f>VLOOKUP(B145,DONGIA,DG!$D$6,0)</f>
        <v>m3</v>
      </c>
      <c r="H145" s="329">
        <f>H144</f>
        <v>0</v>
      </c>
      <c r="I145" s="329"/>
      <c r="J145" s="329"/>
      <c r="K145" s="329"/>
      <c r="L145" s="329"/>
      <c r="M145" s="329"/>
      <c r="N145" s="329"/>
      <c r="O145" s="329"/>
      <c r="P145" s="329"/>
      <c r="Q145" s="329"/>
      <c r="S145" s="332">
        <f t="shared" si="19"/>
        <v>0</v>
      </c>
      <c r="T145" s="332">
        <f t="shared" si="21"/>
        <v>0</v>
      </c>
    </row>
    <row r="146" spans="1:20" hidden="1">
      <c r="A146" s="332" t="s">
        <v>477</v>
      </c>
      <c r="C146" s="333">
        <f t="shared" si="20"/>
        <v>0</v>
      </c>
      <c r="D146" s="372">
        <f>IF(H146&lt;&gt;0,D136+1,D136)</f>
        <v>0</v>
      </c>
      <c r="E146" s="372"/>
      <c r="F146" s="373" t="s">
        <v>1934</v>
      </c>
      <c r="G146" s="372" t="s">
        <v>138</v>
      </c>
      <c r="H146" s="373">
        <f>T1P375</f>
        <v>0</v>
      </c>
      <c r="I146" s="373"/>
      <c r="J146" s="373"/>
      <c r="K146" s="373"/>
      <c r="L146" s="373"/>
      <c r="M146" s="373"/>
      <c r="N146" s="373"/>
      <c r="O146" s="373"/>
      <c r="P146" s="373"/>
      <c r="Q146" s="373"/>
      <c r="S146" s="332">
        <f t="shared" si="19"/>
        <v>0</v>
      </c>
      <c r="T146" s="332">
        <f t="shared" si="21"/>
        <v>0</v>
      </c>
    </row>
    <row r="147" spans="1:20" s="361" customFormat="1" hidden="1">
      <c r="A147" s="361" t="s">
        <v>477</v>
      </c>
      <c r="C147" s="374">
        <f t="shared" si="20"/>
        <v>0</v>
      </c>
      <c r="D147" s="350"/>
      <c r="E147" s="350"/>
      <c r="F147" s="351" t="s">
        <v>1902</v>
      </c>
      <c r="G147" s="350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S147" s="361">
        <f t="shared" si="19"/>
        <v>0</v>
      </c>
      <c r="T147" s="361">
        <f t="shared" si="21"/>
        <v>0</v>
      </c>
    </row>
    <row r="148" spans="1:20" hidden="1">
      <c r="A148" s="332" t="s">
        <v>477</v>
      </c>
      <c r="B148" s="332" t="s">
        <v>989</v>
      </c>
      <c r="C148" s="333">
        <f t="shared" si="20"/>
        <v>0</v>
      </c>
      <c r="D148" s="328"/>
      <c r="E148" s="328" t="str">
        <f>VLOOKUP(B148,DONGIA,DG!$B$6,0)</f>
        <v>T5.1001</v>
      </c>
      <c r="F148" s="329" t="str">
        <f>VLOOKUP(B148,DONGIA,DG!$C$6,0)</f>
        <v>Tủ trạm treo + khóa + boulon + Bakelit + Collier (1 pha)</v>
      </c>
      <c r="G148" s="328" t="str">
        <f>VLOOKUP(B148,DONGIA,DG!$D$6,0)</f>
        <v>bộ</v>
      </c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S148" s="332">
        <f t="shared" si="19"/>
        <v>45</v>
      </c>
      <c r="T148" s="332">
        <f t="shared" si="21"/>
        <v>0</v>
      </c>
    </row>
    <row r="149" spans="1:20" hidden="1">
      <c r="C149" s="333">
        <f t="shared" si="20"/>
        <v>0</v>
      </c>
      <c r="D149" s="372">
        <f>IF(H149&lt;&gt;0,D146+1,D146)</f>
        <v>0</v>
      </c>
      <c r="E149" s="372"/>
      <c r="F149" s="373" t="s">
        <v>1935</v>
      </c>
      <c r="G149" s="372" t="s">
        <v>138</v>
      </c>
      <c r="H149" s="373">
        <f>T1P375</f>
        <v>0</v>
      </c>
      <c r="I149" s="373"/>
      <c r="J149" s="373"/>
      <c r="K149" s="373"/>
      <c r="L149" s="373"/>
      <c r="M149" s="373"/>
      <c r="N149" s="373"/>
      <c r="O149" s="373"/>
      <c r="P149" s="373"/>
      <c r="Q149" s="373"/>
      <c r="S149" s="332">
        <f t="shared" si="19"/>
        <v>0</v>
      </c>
      <c r="T149" s="332">
        <f t="shared" si="21"/>
        <v>0</v>
      </c>
    </row>
    <row r="150" spans="1:20" s="361" customFormat="1" hidden="1">
      <c r="C150" s="374">
        <f t="shared" si="20"/>
        <v>0</v>
      </c>
      <c r="D150" s="350"/>
      <c r="E150" s="350"/>
      <c r="F150" s="351" t="s">
        <v>1902</v>
      </c>
      <c r="G150" s="350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S150" s="361">
        <f t="shared" si="19"/>
        <v>0</v>
      </c>
      <c r="T150" s="361">
        <f t="shared" si="21"/>
        <v>0</v>
      </c>
    </row>
    <row r="151" spans="1:20" hidden="1">
      <c r="B151" s="332" t="s">
        <v>1468</v>
      </c>
      <c r="C151" s="333">
        <f t="shared" si="20"/>
        <v>0</v>
      </c>
      <c r="D151" s="328"/>
      <c r="E151" s="328">
        <f>VLOOKUP(B151,DONGIA,DG!$B$6,0)</f>
        <v>0</v>
      </c>
      <c r="F151" s="329" t="str">
        <f>VLOOKUP(B151,DONGIA,DG!$C$6,0)</f>
        <v>Cáp 24KV C/XLPE/PVC 25mm2</v>
      </c>
      <c r="G151" s="328" t="str">
        <f>VLOOKUP(B151,DONGIA,DG!$D$6,0)</f>
        <v>mét</v>
      </c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S151" s="332">
        <f t="shared" si="19"/>
        <v>0.75</v>
      </c>
      <c r="T151" s="332">
        <f t="shared" si="21"/>
        <v>0</v>
      </c>
    </row>
    <row r="152" spans="1:20" hidden="1">
      <c r="B152" s="332" t="s">
        <v>1507</v>
      </c>
      <c r="C152" s="333">
        <f t="shared" si="20"/>
        <v>0</v>
      </c>
      <c r="D152" s="328"/>
      <c r="E152" s="328" t="str">
        <f>VLOOKUP(B152,DONGIA,DG!$B$6,0)</f>
        <v>D6.6201</v>
      </c>
      <c r="F152" s="329" t="str">
        <f>VLOOKUP(B152,DONGIA,DG!$C$6,0)</f>
        <v>Kẹp quai 4/0 (quai đồng 8mm)</v>
      </c>
      <c r="G152" s="328" t="str">
        <f>VLOOKUP(B152,DONGIA,DG!$D$6,0)</f>
        <v>cái</v>
      </c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S152" s="332">
        <f t="shared" si="19"/>
        <v>0.3</v>
      </c>
      <c r="T152" s="332">
        <f t="shared" si="21"/>
        <v>0</v>
      </c>
    </row>
    <row r="153" spans="1:20" hidden="1">
      <c r="B153" s="332" t="s">
        <v>1511</v>
      </c>
      <c r="C153" s="333">
        <f t="shared" si="20"/>
        <v>0</v>
      </c>
      <c r="D153" s="328"/>
      <c r="E153" s="328">
        <f>VLOOKUP(B153,DONGIA,DG!$B$6,0)</f>
        <v>0</v>
      </c>
      <c r="F153" s="329" t="str">
        <f>VLOOKUP(B153,DONGIA,DG!$C$6,0)</f>
        <v>Chụp cách điện kẹp quai</v>
      </c>
      <c r="G153" s="328" t="str">
        <f>VLOOKUP(B153,DONGIA,DG!$D$6,0)</f>
        <v>cái</v>
      </c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S153" s="332">
        <f t="shared" si="19"/>
        <v>0.2</v>
      </c>
      <c r="T153" s="332">
        <f t="shared" si="21"/>
        <v>0</v>
      </c>
    </row>
    <row r="154" spans="1:20" hidden="1">
      <c r="B154" s="332" t="s">
        <v>1508</v>
      </c>
      <c r="C154" s="333">
        <f t="shared" si="20"/>
        <v>0</v>
      </c>
      <c r="D154" s="328"/>
      <c r="E154" s="328" t="str">
        <f>VLOOKUP(B154,DONGIA,DG!$B$6,0)</f>
        <v>D6.6202</v>
      </c>
      <c r="F154" s="329" t="str">
        <f>VLOOKUP(B154,DONGIA,DG!$C$6,0)</f>
        <v>Kẹp hotline 2/0</v>
      </c>
      <c r="G154" s="328" t="str">
        <f>VLOOKUP(B154,DONGIA,DG!$D$6,0)</f>
        <v>cái</v>
      </c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S154" s="332">
        <f t="shared" si="19"/>
        <v>0.1</v>
      </c>
      <c r="T154" s="332">
        <f t="shared" si="21"/>
        <v>0</v>
      </c>
    </row>
    <row r="155" spans="1:20" hidden="1">
      <c r="B155" s="332" t="s">
        <v>1939</v>
      </c>
      <c r="C155" s="333">
        <f t="shared" si="20"/>
        <v>0</v>
      </c>
      <c r="D155" s="328"/>
      <c r="E155" s="328" t="str">
        <f>VLOOKUP(B155,DONGIA,DG!$B$6,0)</f>
        <v>T4.4201</v>
      </c>
      <c r="F155" s="329" t="str">
        <f>VLOOKUP(B155,DONGIA,DG!$C$6,0)</f>
        <v>Lắp cáp đồng xuống thiết bị D ≤ 95mm2</v>
      </c>
      <c r="G155" s="328" t="str">
        <f>VLOOKUP(B155,DONGIA,DG!$D$6,0)</f>
        <v>m</v>
      </c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S155" s="332">
        <f t="shared" si="19"/>
        <v>0</v>
      </c>
      <c r="T155" s="332">
        <f t="shared" si="21"/>
        <v>0</v>
      </c>
    </row>
    <row r="156" spans="1:20" hidden="1">
      <c r="C156" s="333">
        <f t="shared" si="20"/>
        <v>0</v>
      </c>
      <c r="D156" s="372">
        <f>IF(H156&lt;&gt;0,D149+1,D149)</f>
        <v>0</v>
      </c>
      <c r="E156" s="372"/>
      <c r="F156" s="373" t="s">
        <v>1936</v>
      </c>
      <c r="G156" s="372" t="s">
        <v>138</v>
      </c>
      <c r="H156" s="373">
        <f>T1P375</f>
        <v>0</v>
      </c>
      <c r="I156" s="373"/>
      <c r="J156" s="373"/>
      <c r="K156" s="373"/>
      <c r="L156" s="373"/>
      <c r="M156" s="373"/>
      <c r="N156" s="373"/>
      <c r="O156" s="373"/>
      <c r="P156" s="373"/>
      <c r="Q156" s="373"/>
      <c r="S156" s="332">
        <f t="shared" si="19"/>
        <v>0</v>
      </c>
      <c r="T156" s="332">
        <f t="shared" si="21"/>
        <v>0</v>
      </c>
    </row>
    <row r="157" spans="1:20" s="361" customFormat="1" hidden="1">
      <c r="C157" s="374">
        <f t="shared" si="20"/>
        <v>0</v>
      </c>
      <c r="D157" s="350"/>
      <c r="E157" s="350"/>
      <c r="F157" s="351" t="s">
        <v>1902</v>
      </c>
      <c r="G157" s="350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S157" s="361">
        <f t="shared" si="19"/>
        <v>0</v>
      </c>
      <c r="T157" s="361">
        <f t="shared" si="21"/>
        <v>0</v>
      </c>
    </row>
    <row r="158" spans="1:20" hidden="1">
      <c r="B158" s="332" t="s">
        <v>1907</v>
      </c>
      <c r="C158" s="333">
        <f t="shared" si="20"/>
        <v>0</v>
      </c>
      <c r="D158" s="328"/>
      <c r="E158" s="328">
        <f>VLOOKUP(B158,DONGIA,DG!$B$6,0)</f>
        <v>0</v>
      </c>
      <c r="F158" s="329" t="str">
        <f>VLOOKUP(B158,DONGIA,DG!$C$6,0)</f>
        <v>Cáp đồng bọc CV70</v>
      </c>
      <c r="G158" s="328" t="str">
        <f>VLOOKUP(B158,DONGIA,DG!$D$6,0)</f>
        <v>mét</v>
      </c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S158" s="332">
        <f t="shared" si="19"/>
        <v>0.73899999999999999</v>
      </c>
      <c r="T158" s="332">
        <f t="shared" si="21"/>
        <v>0</v>
      </c>
    </row>
    <row r="159" spans="1:20" hidden="1">
      <c r="B159" s="332" t="s">
        <v>1906</v>
      </c>
      <c r="C159" s="333">
        <f t="shared" si="20"/>
        <v>0</v>
      </c>
      <c r="D159" s="328"/>
      <c r="E159" s="328">
        <f>VLOOKUP(B159,DONGIA,DG!$B$6,0)</f>
        <v>0</v>
      </c>
      <c r="F159" s="329" t="str">
        <f>VLOOKUP(B159,DONGIA,DG!$C$6,0)</f>
        <v>Cáp đồng bọc CV50</v>
      </c>
      <c r="G159" s="328" t="str">
        <f>VLOOKUP(B159,DONGIA,DG!$D$6,0)</f>
        <v>mét</v>
      </c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S159" s="332">
        <f t="shared" si="19"/>
        <v>0.53400000000000003</v>
      </c>
      <c r="T159" s="332">
        <f t="shared" si="21"/>
        <v>0</v>
      </c>
    </row>
    <row r="160" spans="1:20" hidden="1">
      <c r="B160" s="332" t="s">
        <v>1937</v>
      </c>
      <c r="C160" s="333">
        <f t="shared" si="20"/>
        <v>0</v>
      </c>
      <c r="D160" s="328"/>
      <c r="E160" s="328">
        <f>VLOOKUP(B160,DONGIA,DG!$B$6,0)</f>
        <v>0</v>
      </c>
      <c r="F160" s="329" t="str">
        <f>VLOOKUP(B160,DONGIA,DG!$C$6,0)</f>
        <v>Cáp điều khiển CVV 4x4,0mm2</v>
      </c>
      <c r="G160" s="328" t="str">
        <f>VLOOKUP(B160,DONGIA,DG!$D$6,0)</f>
        <v>mét</v>
      </c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S160" s="332">
        <f t="shared" si="19"/>
        <v>3.024</v>
      </c>
      <c r="T160" s="332">
        <f t="shared" si="21"/>
        <v>0</v>
      </c>
    </row>
    <row r="161" spans="2:20" hidden="1">
      <c r="B161" s="332" t="s">
        <v>1113</v>
      </c>
      <c r="C161" s="333">
        <f t="shared" si="20"/>
        <v>0</v>
      </c>
      <c r="D161" s="328"/>
      <c r="E161" s="328" t="str">
        <f>VLOOKUP(B161,DONGIA,DG!$B$6,0)</f>
        <v>D4.5003</v>
      </c>
      <c r="F161" s="329" t="str">
        <f>VLOOKUP(B161,DONGIA,DG!$C$6,0)</f>
        <v>Đầu cosse ép Cu 70mm2</v>
      </c>
      <c r="G161" s="328" t="str">
        <f>VLOOKUP(B161,DONGIA,DG!$D$6,0)</f>
        <v>cái</v>
      </c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S161" s="332">
        <f t="shared" ref="S161:S225" si="22">IFERROR(VLOOKUP(B161,DONGIA,$S$25,0),0)</f>
        <v>0.2</v>
      </c>
      <c r="T161" s="332">
        <f t="shared" si="21"/>
        <v>0</v>
      </c>
    </row>
    <row r="162" spans="2:20" hidden="1">
      <c r="B162" s="332" t="s">
        <v>1110</v>
      </c>
      <c r="C162" s="333">
        <f t="shared" ref="C162:C226" si="23">IF(H162&lt;&gt;0,1,)</f>
        <v>0</v>
      </c>
      <c r="D162" s="328"/>
      <c r="E162" s="328" t="str">
        <f>VLOOKUP(B162,DONGIA,DG!$B$6,0)</f>
        <v>D4.5002</v>
      </c>
      <c r="F162" s="329" t="str">
        <f>VLOOKUP(B162,DONGIA,DG!$C$6,0)</f>
        <v>Đầu cosse ép Cu 50mm2</v>
      </c>
      <c r="G162" s="328" t="str">
        <f>VLOOKUP(B162,DONGIA,DG!$D$6,0)</f>
        <v>cái</v>
      </c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S162" s="332">
        <f t="shared" si="22"/>
        <v>0.1</v>
      </c>
      <c r="T162" s="332">
        <f t="shared" ref="T162:T226" si="24">H162*S162</f>
        <v>0</v>
      </c>
    </row>
    <row r="163" spans="2:20" hidden="1">
      <c r="B163" s="332" t="s">
        <v>1147</v>
      </c>
      <c r="C163" s="333">
        <f t="shared" si="23"/>
        <v>0</v>
      </c>
      <c r="D163" s="328"/>
      <c r="E163" s="328">
        <f>VLOOKUP(B163,DONGIA,DG!$B$6,0)</f>
        <v>0</v>
      </c>
      <c r="F163" s="329" t="str">
        <f>VLOOKUP(B163,DONGIA,DG!$C$6,0)</f>
        <v>Chụp đầu cosse  70mm2</v>
      </c>
      <c r="G163" s="328" t="str">
        <f>VLOOKUP(B163,DONGIA,DG!$D$6,0)</f>
        <v>cái</v>
      </c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S163" s="332">
        <f t="shared" si="22"/>
        <v>0</v>
      </c>
      <c r="T163" s="332">
        <f t="shared" si="24"/>
        <v>0</v>
      </c>
    </row>
    <row r="164" spans="2:20" hidden="1">
      <c r="B164" s="332" t="s">
        <v>1145</v>
      </c>
      <c r="C164" s="333">
        <f t="shared" si="23"/>
        <v>0</v>
      </c>
      <c r="D164" s="328"/>
      <c r="E164" s="328">
        <f>VLOOKUP(B164,DONGIA,DG!$B$6,0)</f>
        <v>0</v>
      </c>
      <c r="F164" s="329" t="str">
        <f>VLOOKUP(B164,DONGIA,DG!$C$6,0)</f>
        <v>Chụp đầu cosse  50mm2</v>
      </c>
      <c r="G164" s="328" t="str">
        <f>VLOOKUP(B164,DONGIA,DG!$D$6,0)</f>
        <v>cái</v>
      </c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S164" s="332">
        <f t="shared" si="22"/>
        <v>0</v>
      </c>
      <c r="T164" s="332">
        <f t="shared" si="24"/>
        <v>0</v>
      </c>
    </row>
    <row r="165" spans="2:20" hidden="1">
      <c r="B165" s="332" t="s">
        <v>1177</v>
      </c>
      <c r="C165" s="333">
        <f t="shared" si="23"/>
        <v>0</v>
      </c>
      <c r="D165" s="328"/>
      <c r="E165" s="328">
        <f>VLOOKUP(B165,DONGIA,DG!$B$6,0)</f>
        <v>0</v>
      </c>
      <c r="F165" s="329" t="str">
        <f>VLOOKUP(B165,DONGIA,DG!$C$6,0)</f>
        <v xml:space="preserve">Ống PVC D90x3,8mm </v>
      </c>
      <c r="G165" s="328" t="str">
        <f>VLOOKUP(B165,DONGIA,DG!$D$6,0)</f>
        <v>m</v>
      </c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S165" s="332">
        <f t="shared" si="22"/>
        <v>2</v>
      </c>
      <c r="T165" s="332">
        <f t="shared" si="24"/>
        <v>0</v>
      </c>
    </row>
    <row r="166" spans="2:20" hidden="1">
      <c r="B166" s="332" t="s">
        <v>455</v>
      </c>
      <c r="C166" s="333">
        <f t="shared" si="23"/>
        <v>0</v>
      </c>
      <c r="D166" s="328"/>
      <c r="E166" s="328">
        <f>VLOOKUP(B166,DONGIA,DG!$B$6,0)</f>
        <v>0</v>
      </c>
      <c r="F166" s="329" t="str">
        <f>VLOOKUP(B166,DONGIA,DG!$C$6,0)</f>
        <v>Cổ dê kẹp ống PVC φ 90 (có giá nới)</v>
      </c>
      <c r="G166" s="328" t="str">
        <f>VLOOKUP(B166,DONGIA,DG!$D$6,0)</f>
        <v>bộ</v>
      </c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S166" s="332">
        <f t="shared" si="22"/>
        <v>1.5</v>
      </c>
      <c r="T166" s="332">
        <f t="shared" si="24"/>
        <v>0</v>
      </c>
    </row>
    <row r="167" spans="2:20" hidden="1">
      <c r="B167" s="332" t="s">
        <v>455</v>
      </c>
      <c r="C167" s="333">
        <f t="shared" si="23"/>
        <v>0</v>
      </c>
      <c r="D167" s="328"/>
      <c r="E167" s="328">
        <f>VLOOKUP(B167,DONGIA,DG!$B$6,0)</f>
        <v>0</v>
      </c>
      <c r="F167" s="329" t="str">
        <f>VLOOKUP(B167,DONGIA,DG!$C$6,0)</f>
        <v>Cổ dê kẹp ống PVC φ 90 (có giá nới)</v>
      </c>
      <c r="G167" s="328" t="str">
        <f>VLOOKUP(B167,DONGIA,DG!$D$6,0)</f>
        <v>bộ</v>
      </c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S167" s="332">
        <f t="shared" si="22"/>
        <v>1.5</v>
      </c>
      <c r="T167" s="332">
        <f t="shared" si="24"/>
        <v>0</v>
      </c>
    </row>
    <row r="168" spans="2:20" hidden="1">
      <c r="B168" s="332" t="s">
        <v>455</v>
      </c>
      <c r="C168" s="333">
        <f t="shared" si="23"/>
        <v>0</v>
      </c>
      <c r="D168" s="328"/>
      <c r="E168" s="328">
        <f>VLOOKUP(B168,DONGIA,DG!$B$6,0)</f>
        <v>0</v>
      </c>
      <c r="F168" s="329" t="str">
        <f>VLOOKUP(B168,DONGIA,DG!$C$6,0)</f>
        <v>Cổ dê kẹp ống PVC φ 90 (có giá nới)</v>
      </c>
      <c r="G168" s="328" t="str">
        <f>VLOOKUP(B168,DONGIA,DG!$D$6,0)</f>
        <v>bộ</v>
      </c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S168" s="332">
        <f t="shared" si="22"/>
        <v>1.5</v>
      </c>
      <c r="T168" s="332">
        <f t="shared" si="24"/>
        <v>0</v>
      </c>
    </row>
    <row r="169" spans="2:20" hidden="1">
      <c r="B169" s="332" t="s">
        <v>1183</v>
      </c>
      <c r="C169" s="333">
        <f t="shared" si="23"/>
        <v>0</v>
      </c>
      <c r="D169" s="328"/>
      <c r="E169" s="328">
        <f>VLOOKUP(B169,DONGIA,DG!$B$6,0)</f>
        <v>0</v>
      </c>
      <c r="F169" s="329" t="str">
        <f>VLOOKUP(B169,DONGIA,DG!$C$6,0)</f>
        <v>Co  90 độ PVC 90</v>
      </c>
      <c r="G169" s="328" t="str">
        <f>VLOOKUP(B169,DONGIA,DG!$D$6,0)</f>
        <v>cái</v>
      </c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S169" s="332">
        <f t="shared" si="22"/>
        <v>0</v>
      </c>
      <c r="T169" s="332">
        <f t="shared" si="24"/>
        <v>0</v>
      </c>
    </row>
    <row r="170" spans="2:20" hidden="1">
      <c r="B170" s="332" t="s">
        <v>1940</v>
      </c>
      <c r="C170" s="333">
        <f t="shared" si="23"/>
        <v>0</v>
      </c>
      <c r="D170" s="328"/>
      <c r="E170" s="328">
        <f>VLOOKUP(B170,DONGIA,DG!$B$6,0)</f>
        <v>0</v>
      </c>
      <c r="F170" s="329" t="str">
        <f>VLOOKUP(B170,DONGIA,DG!$C$6,0)</f>
        <v>Nối giảm PVC 114-90</v>
      </c>
      <c r="G170" s="328" t="str">
        <f>VLOOKUP(B170,DONGIA,DG!$D$6,0)</f>
        <v>cái</v>
      </c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S170" s="332">
        <f t="shared" si="22"/>
        <v>0</v>
      </c>
      <c r="T170" s="332">
        <f t="shared" si="24"/>
        <v>0</v>
      </c>
    </row>
    <row r="171" spans="2:20" hidden="1">
      <c r="B171" s="332" t="s">
        <v>1181</v>
      </c>
      <c r="C171" s="333">
        <f t="shared" si="23"/>
        <v>0</v>
      </c>
      <c r="D171" s="328"/>
      <c r="E171" s="328">
        <f>VLOOKUP(B171,DONGIA,DG!$B$6,0)</f>
        <v>0</v>
      </c>
      <c r="F171" s="329" t="str">
        <f>VLOOKUP(B171,DONGIA,DG!$C$6,0)</f>
        <v>Co 135 độ PVC 90</v>
      </c>
      <c r="G171" s="328" t="str">
        <f>VLOOKUP(B171,DONGIA,DG!$D$6,0)</f>
        <v>cái</v>
      </c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S171" s="332">
        <f t="shared" si="22"/>
        <v>0</v>
      </c>
      <c r="T171" s="332">
        <f t="shared" si="24"/>
        <v>0</v>
      </c>
    </row>
    <row r="172" spans="2:20" hidden="1">
      <c r="B172" s="332" t="s">
        <v>1914</v>
      </c>
      <c r="C172" s="333">
        <f t="shared" si="23"/>
        <v>0</v>
      </c>
      <c r="D172" s="328"/>
      <c r="E172" s="328">
        <f>VLOOKUP(B172,DONGIA,DG!$B$6,0)</f>
        <v>0</v>
      </c>
      <c r="F172" s="329" t="str">
        <f>VLOOKUP(B172,DONGIA,DG!$C$6,0)</f>
        <v>Keo dán ống PVC (100gr)</v>
      </c>
      <c r="G172" s="328" t="str">
        <f>VLOOKUP(B172,DONGIA,DG!$D$6,0)</f>
        <v>tuýp</v>
      </c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S172" s="332">
        <f t="shared" si="22"/>
        <v>0</v>
      </c>
      <c r="T172" s="332">
        <f t="shared" si="24"/>
        <v>0</v>
      </c>
    </row>
    <row r="173" spans="2:20" hidden="1">
      <c r="B173" s="332" t="s">
        <v>1195</v>
      </c>
      <c r="C173" s="333">
        <f t="shared" si="23"/>
        <v>0</v>
      </c>
      <c r="D173" s="328"/>
      <c r="E173" s="328">
        <f>VLOOKUP(B173,DONGIA,DG!$B$6,0)</f>
        <v>0</v>
      </c>
      <c r="F173" s="329" t="str">
        <f>VLOOKUP(B173,DONGIA,DG!$C$6,0)</f>
        <v>Keo silicon bít miệng ống</v>
      </c>
      <c r="G173" s="328" t="str">
        <f>VLOOKUP(B173,DONGIA,DG!$D$6,0)</f>
        <v>ống</v>
      </c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S173" s="332">
        <f t="shared" si="22"/>
        <v>0</v>
      </c>
      <c r="T173" s="332">
        <f t="shared" si="24"/>
        <v>0</v>
      </c>
    </row>
    <row r="174" spans="2:20" hidden="1">
      <c r="B174" s="332" t="s">
        <v>1193</v>
      </c>
      <c r="C174" s="333">
        <f t="shared" si="23"/>
        <v>0</v>
      </c>
      <c r="D174" s="328"/>
      <c r="E174" s="328">
        <f>VLOOKUP(B174,DONGIA,DG!$B$6,0)</f>
        <v>0</v>
      </c>
      <c r="F174" s="329" t="str">
        <f>VLOOKUP(B174,DONGIA,DG!$C$6,0)</f>
        <v>Băng keo cách điện</v>
      </c>
      <c r="G174" s="328" t="str">
        <f>VLOOKUP(B174,DONGIA,DG!$D$6,0)</f>
        <v>cuộn</v>
      </c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S174" s="332">
        <f t="shared" si="22"/>
        <v>0</v>
      </c>
      <c r="T174" s="332">
        <f t="shared" si="24"/>
        <v>0</v>
      </c>
    </row>
    <row r="175" spans="2:20" hidden="1">
      <c r="B175" s="332" t="s">
        <v>855</v>
      </c>
      <c r="C175" s="333">
        <f t="shared" si="23"/>
        <v>0</v>
      </c>
      <c r="D175" s="328"/>
      <c r="E175" s="328" t="str">
        <f>VLOOKUP(B175,DONGIA,DG!$B$6,0)</f>
        <v>T4.8003</v>
      </c>
      <c r="F175" s="329" t="str">
        <f>VLOOKUP(B175,DONGIA,DG!$C$6,0)</f>
        <v>Lắp ống nhựa PVC D90</v>
      </c>
      <c r="G175" s="328" t="str">
        <f>VLOOKUP(B175,DONGIA,DG!$D$6,0)</f>
        <v>mét</v>
      </c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S175" s="332">
        <f t="shared" si="22"/>
        <v>0</v>
      </c>
      <c r="T175" s="332">
        <f t="shared" si="24"/>
        <v>0</v>
      </c>
    </row>
    <row r="176" spans="2:20" hidden="1">
      <c r="B176" s="332" t="s">
        <v>1939</v>
      </c>
      <c r="C176" s="333">
        <f t="shared" si="23"/>
        <v>0</v>
      </c>
      <c r="D176" s="328"/>
      <c r="E176" s="328" t="str">
        <f>VLOOKUP(B176,DONGIA,DG!$B$6,0)</f>
        <v>T4.4201</v>
      </c>
      <c r="F176" s="329" t="str">
        <f>VLOOKUP(B176,DONGIA,DG!$C$6,0)</f>
        <v>Lắp cáp đồng xuống thiết bị D ≤ 95mm2</v>
      </c>
      <c r="G176" s="328" t="str">
        <f>VLOOKUP(B176,DONGIA,DG!$D$6,0)</f>
        <v>m</v>
      </c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S176" s="332">
        <f t="shared" si="22"/>
        <v>0</v>
      </c>
      <c r="T176" s="332">
        <f t="shared" si="24"/>
        <v>0</v>
      </c>
    </row>
    <row r="177" spans="2:20" hidden="1">
      <c r="C177" s="333">
        <f t="shared" si="23"/>
        <v>0</v>
      </c>
      <c r="D177" s="372">
        <f>IF(H177&lt;&gt;0,D156+1,D156)</f>
        <v>0</v>
      </c>
      <c r="E177" s="372"/>
      <c r="F177" s="373" t="s">
        <v>1938</v>
      </c>
      <c r="G177" s="372" t="s">
        <v>138</v>
      </c>
      <c r="H177" s="373"/>
      <c r="I177" s="373"/>
      <c r="J177" s="373"/>
      <c r="K177" s="373"/>
      <c r="L177" s="373"/>
      <c r="M177" s="373"/>
      <c r="N177" s="373"/>
      <c r="O177" s="373"/>
      <c r="P177" s="373"/>
      <c r="Q177" s="373"/>
      <c r="S177" s="332">
        <f t="shared" si="22"/>
        <v>0</v>
      </c>
      <c r="T177" s="332">
        <f t="shared" si="24"/>
        <v>0</v>
      </c>
    </row>
    <row r="178" spans="2:20" s="361" customFormat="1" hidden="1">
      <c r="C178" s="374">
        <f t="shared" si="23"/>
        <v>0</v>
      </c>
      <c r="D178" s="350"/>
      <c r="E178" s="350"/>
      <c r="F178" s="351" t="s">
        <v>1902</v>
      </c>
      <c r="G178" s="350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S178" s="361">
        <f t="shared" si="22"/>
        <v>0</v>
      </c>
      <c r="T178" s="361">
        <f t="shared" si="24"/>
        <v>0</v>
      </c>
    </row>
    <row r="179" spans="2:20" hidden="1">
      <c r="B179" s="332" t="s">
        <v>1907</v>
      </c>
      <c r="C179" s="333">
        <f t="shared" si="23"/>
        <v>0</v>
      </c>
      <c r="D179" s="328"/>
      <c r="E179" s="328">
        <f>VLOOKUP(B179,DONGIA,DG!$B$6,0)</f>
        <v>0</v>
      </c>
      <c r="F179" s="329" t="str">
        <f>VLOOKUP(B179,DONGIA,DG!$C$6,0)</f>
        <v>Cáp đồng bọc CV70</v>
      </c>
      <c r="G179" s="328" t="str">
        <f>VLOOKUP(B179,DONGIA,DG!$D$6,0)</f>
        <v>mét</v>
      </c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S179" s="332">
        <f t="shared" si="22"/>
        <v>0.73899999999999999</v>
      </c>
      <c r="T179" s="332">
        <f t="shared" si="24"/>
        <v>0</v>
      </c>
    </row>
    <row r="180" spans="2:20" hidden="1">
      <c r="B180" s="332" t="s">
        <v>1906</v>
      </c>
      <c r="C180" s="333">
        <f t="shared" si="23"/>
        <v>0</v>
      </c>
      <c r="D180" s="328"/>
      <c r="E180" s="328">
        <f>VLOOKUP(B180,DONGIA,DG!$B$6,0)</f>
        <v>0</v>
      </c>
      <c r="F180" s="329" t="str">
        <f>VLOOKUP(B180,DONGIA,DG!$C$6,0)</f>
        <v>Cáp đồng bọc CV50</v>
      </c>
      <c r="G180" s="328" t="str">
        <f>VLOOKUP(B180,DONGIA,DG!$D$6,0)</f>
        <v>mét</v>
      </c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S180" s="332">
        <f t="shared" si="22"/>
        <v>0.53400000000000003</v>
      </c>
      <c r="T180" s="332">
        <f t="shared" si="24"/>
        <v>0</v>
      </c>
    </row>
    <row r="181" spans="2:20" hidden="1">
      <c r="B181" s="332" t="s">
        <v>1113</v>
      </c>
      <c r="C181" s="333">
        <f t="shared" si="23"/>
        <v>0</v>
      </c>
      <c r="D181" s="328"/>
      <c r="E181" s="328" t="str">
        <f>VLOOKUP(B181,DONGIA,DG!$B$6,0)</f>
        <v>D4.5003</v>
      </c>
      <c r="F181" s="329" t="str">
        <f>VLOOKUP(B181,DONGIA,DG!$C$6,0)</f>
        <v>Đầu cosse ép Cu 70mm2</v>
      </c>
      <c r="G181" s="328" t="str">
        <f>VLOOKUP(B181,DONGIA,DG!$D$6,0)</f>
        <v>cái</v>
      </c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S181" s="332">
        <f t="shared" si="22"/>
        <v>0.2</v>
      </c>
      <c r="T181" s="332">
        <f t="shared" si="24"/>
        <v>0</v>
      </c>
    </row>
    <row r="182" spans="2:20" hidden="1">
      <c r="B182" s="332" t="s">
        <v>1110</v>
      </c>
      <c r="C182" s="333">
        <f t="shared" si="23"/>
        <v>0</v>
      </c>
      <c r="D182" s="328"/>
      <c r="E182" s="328" t="str">
        <f>VLOOKUP(B182,DONGIA,DG!$B$6,0)</f>
        <v>D4.5002</v>
      </c>
      <c r="F182" s="329" t="str">
        <f>VLOOKUP(B182,DONGIA,DG!$C$6,0)</f>
        <v>Đầu cosse ép Cu 50mm2</v>
      </c>
      <c r="G182" s="328" t="str">
        <f>VLOOKUP(B182,DONGIA,DG!$D$6,0)</f>
        <v>cái</v>
      </c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S182" s="332">
        <f t="shared" si="22"/>
        <v>0.1</v>
      </c>
      <c r="T182" s="332">
        <f t="shared" si="24"/>
        <v>0</v>
      </c>
    </row>
    <row r="183" spans="2:20" hidden="1">
      <c r="B183" s="332" t="s">
        <v>1147</v>
      </c>
      <c r="C183" s="333">
        <f t="shared" si="23"/>
        <v>0</v>
      </c>
      <c r="D183" s="328"/>
      <c r="E183" s="328">
        <f>VLOOKUP(B183,DONGIA,DG!$B$6,0)</f>
        <v>0</v>
      </c>
      <c r="F183" s="329" t="str">
        <f>VLOOKUP(B183,DONGIA,DG!$C$6,0)</f>
        <v>Chụp đầu cosse  70mm2</v>
      </c>
      <c r="G183" s="328" t="str">
        <f>VLOOKUP(B183,DONGIA,DG!$D$6,0)</f>
        <v>cái</v>
      </c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S183" s="332">
        <f t="shared" si="22"/>
        <v>0</v>
      </c>
      <c r="T183" s="332">
        <f t="shared" si="24"/>
        <v>0</v>
      </c>
    </row>
    <row r="184" spans="2:20" hidden="1">
      <c r="B184" s="332" t="s">
        <v>1145</v>
      </c>
      <c r="C184" s="333">
        <f t="shared" si="23"/>
        <v>0</v>
      </c>
      <c r="D184" s="328"/>
      <c r="E184" s="328">
        <f>VLOOKUP(B184,DONGIA,DG!$B$6,0)</f>
        <v>0</v>
      </c>
      <c r="F184" s="329" t="str">
        <f>VLOOKUP(B184,DONGIA,DG!$C$6,0)</f>
        <v>Chụp đầu cosse  50mm2</v>
      </c>
      <c r="G184" s="328" t="str">
        <f>VLOOKUP(B184,DONGIA,DG!$D$6,0)</f>
        <v>cái</v>
      </c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S184" s="332">
        <f t="shared" si="22"/>
        <v>0</v>
      </c>
      <c r="T184" s="332">
        <f t="shared" si="24"/>
        <v>0</v>
      </c>
    </row>
    <row r="185" spans="2:20" hidden="1">
      <c r="B185" s="332" t="s">
        <v>1177</v>
      </c>
      <c r="C185" s="333">
        <f t="shared" si="23"/>
        <v>0</v>
      </c>
      <c r="D185" s="328"/>
      <c r="E185" s="328">
        <f>VLOOKUP(B185,DONGIA,DG!$B$6,0)</f>
        <v>0</v>
      </c>
      <c r="F185" s="329" t="str">
        <f>VLOOKUP(B185,DONGIA,DG!$C$6,0)</f>
        <v xml:space="preserve">Ống PVC D90x3,8mm </v>
      </c>
      <c r="G185" s="328" t="str">
        <f>VLOOKUP(B185,DONGIA,DG!$D$6,0)</f>
        <v>m</v>
      </c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S185" s="332">
        <f t="shared" si="22"/>
        <v>2</v>
      </c>
      <c r="T185" s="332">
        <f t="shared" si="24"/>
        <v>0</v>
      </c>
    </row>
    <row r="186" spans="2:20" hidden="1">
      <c r="B186" s="332" t="s">
        <v>455</v>
      </c>
      <c r="C186" s="333">
        <f t="shared" si="23"/>
        <v>0</v>
      </c>
      <c r="D186" s="328"/>
      <c r="E186" s="328">
        <f>VLOOKUP(B186,DONGIA,DG!$B$6,0)</f>
        <v>0</v>
      </c>
      <c r="F186" s="329" t="str">
        <f>VLOOKUP(B186,DONGIA,DG!$C$6,0)</f>
        <v>Cổ dê kẹp ống PVC φ 90 (có giá nới)</v>
      </c>
      <c r="G186" s="328" t="str">
        <f>VLOOKUP(B186,DONGIA,DG!$D$6,0)</f>
        <v>bộ</v>
      </c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S186" s="332">
        <f t="shared" si="22"/>
        <v>1.5</v>
      </c>
      <c r="T186" s="332">
        <f t="shared" si="24"/>
        <v>0</v>
      </c>
    </row>
    <row r="187" spans="2:20" hidden="1">
      <c r="B187" s="332" t="s">
        <v>455</v>
      </c>
      <c r="C187" s="333">
        <f t="shared" si="23"/>
        <v>0</v>
      </c>
      <c r="D187" s="328"/>
      <c r="E187" s="328">
        <f>VLOOKUP(B187,DONGIA,DG!$B$6,0)</f>
        <v>0</v>
      </c>
      <c r="F187" s="329" t="str">
        <f>VLOOKUP(B187,DONGIA,DG!$C$6,0)</f>
        <v>Cổ dê kẹp ống PVC φ 90 (có giá nới)</v>
      </c>
      <c r="G187" s="328" t="str">
        <f>VLOOKUP(B187,DONGIA,DG!$D$6,0)</f>
        <v>bộ</v>
      </c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S187" s="332">
        <f t="shared" si="22"/>
        <v>1.5</v>
      </c>
      <c r="T187" s="332">
        <f t="shared" si="24"/>
        <v>0</v>
      </c>
    </row>
    <row r="188" spans="2:20" hidden="1">
      <c r="B188" s="332" t="s">
        <v>455</v>
      </c>
      <c r="C188" s="333">
        <f t="shared" si="23"/>
        <v>0</v>
      </c>
      <c r="D188" s="328"/>
      <c r="E188" s="328">
        <f>VLOOKUP(B188,DONGIA,DG!$B$6,0)</f>
        <v>0</v>
      </c>
      <c r="F188" s="329" t="str">
        <f>VLOOKUP(B188,DONGIA,DG!$C$6,0)</f>
        <v>Cổ dê kẹp ống PVC φ 90 (có giá nới)</v>
      </c>
      <c r="G188" s="328" t="str">
        <f>VLOOKUP(B188,DONGIA,DG!$D$6,0)</f>
        <v>bộ</v>
      </c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S188" s="332">
        <f t="shared" si="22"/>
        <v>1.5</v>
      </c>
      <c r="T188" s="332">
        <f t="shared" si="24"/>
        <v>0</v>
      </c>
    </row>
    <row r="189" spans="2:20" hidden="1">
      <c r="B189" s="332" t="s">
        <v>1183</v>
      </c>
      <c r="C189" s="333">
        <f t="shared" si="23"/>
        <v>0</v>
      </c>
      <c r="D189" s="328"/>
      <c r="E189" s="328">
        <f>VLOOKUP(B189,DONGIA,DG!$B$6,0)</f>
        <v>0</v>
      </c>
      <c r="F189" s="329" t="str">
        <f>VLOOKUP(B189,DONGIA,DG!$C$6,0)</f>
        <v>Co  90 độ PVC 90</v>
      </c>
      <c r="G189" s="328" t="str">
        <f>VLOOKUP(B189,DONGIA,DG!$D$6,0)</f>
        <v>cái</v>
      </c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S189" s="332">
        <f t="shared" si="22"/>
        <v>0</v>
      </c>
      <c r="T189" s="332">
        <f t="shared" si="24"/>
        <v>0</v>
      </c>
    </row>
    <row r="190" spans="2:20" hidden="1">
      <c r="B190" s="332" t="s">
        <v>1181</v>
      </c>
      <c r="C190" s="333">
        <f t="shared" si="23"/>
        <v>0</v>
      </c>
      <c r="D190" s="328"/>
      <c r="E190" s="328">
        <f>VLOOKUP(B190,DONGIA,DG!$B$6,0)</f>
        <v>0</v>
      </c>
      <c r="F190" s="329" t="str">
        <f>VLOOKUP(B190,DONGIA,DG!$C$6,0)</f>
        <v>Co 135 độ PVC 90</v>
      </c>
      <c r="G190" s="328" t="str">
        <f>VLOOKUP(B190,DONGIA,DG!$D$6,0)</f>
        <v>cái</v>
      </c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S190" s="332">
        <f t="shared" si="22"/>
        <v>0</v>
      </c>
      <c r="T190" s="332">
        <f t="shared" si="24"/>
        <v>0</v>
      </c>
    </row>
    <row r="191" spans="2:20" hidden="1">
      <c r="B191" s="332" t="s">
        <v>1914</v>
      </c>
      <c r="C191" s="333">
        <f t="shared" si="23"/>
        <v>0</v>
      </c>
      <c r="D191" s="328"/>
      <c r="E191" s="328">
        <f>VLOOKUP(B191,DONGIA,DG!$B$6,0)</f>
        <v>0</v>
      </c>
      <c r="F191" s="329" t="str">
        <f>VLOOKUP(B191,DONGIA,DG!$C$6,0)</f>
        <v>Keo dán ống PVC (100gr)</v>
      </c>
      <c r="G191" s="328" t="str">
        <f>VLOOKUP(B191,DONGIA,DG!$D$6,0)</f>
        <v>tuýp</v>
      </c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S191" s="332">
        <f t="shared" si="22"/>
        <v>0</v>
      </c>
      <c r="T191" s="332">
        <f t="shared" si="24"/>
        <v>0</v>
      </c>
    </row>
    <row r="192" spans="2:20" hidden="1">
      <c r="B192" s="332" t="s">
        <v>1195</v>
      </c>
      <c r="C192" s="333">
        <f t="shared" si="23"/>
        <v>0</v>
      </c>
      <c r="D192" s="328"/>
      <c r="E192" s="328">
        <f>VLOOKUP(B192,DONGIA,DG!$B$6,0)</f>
        <v>0</v>
      </c>
      <c r="F192" s="329" t="str">
        <f>VLOOKUP(B192,DONGIA,DG!$C$6,0)</f>
        <v>Keo silicon bít miệng ống</v>
      </c>
      <c r="G192" s="328" t="str">
        <f>VLOOKUP(B192,DONGIA,DG!$D$6,0)</f>
        <v>ống</v>
      </c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S192" s="332">
        <f t="shared" si="22"/>
        <v>0</v>
      </c>
      <c r="T192" s="332">
        <f t="shared" si="24"/>
        <v>0</v>
      </c>
    </row>
    <row r="193" spans="1:20" hidden="1">
      <c r="B193" s="332" t="s">
        <v>1193</v>
      </c>
      <c r="C193" s="333">
        <f t="shared" si="23"/>
        <v>0</v>
      </c>
      <c r="D193" s="328"/>
      <c r="E193" s="328">
        <f>VLOOKUP(B193,DONGIA,DG!$B$6,0)</f>
        <v>0</v>
      </c>
      <c r="F193" s="329" t="str">
        <f>VLOOKUP(B193,DONGIA,DG!$C$6,0)</f>
        <v>Băng keo cách điện</v>
      </c>
      <c r="G193" s="328" t="str">
        <f>VLOOKUP(B193,DONGIA,DG!$D$6,0)</f>
        <v>cuộn</v>
      </c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S193" s="332">
        <f t="shared" si="22"/>
        <v>0</v>
      </c>
      <c r="T193" s="332">
        <f t="shared" si="24"/>
        <v>0</v>
      </c>
    </row>
    <row r="194" spans="1:20" hidden="1">
      <c r="B194" s="332" t="s">
        <v>855</v>
      </c>
      <c r="C194" s="333">
        <f t="shared" si="23"/>
        <v>0</v>
      </c>
      <c r="D194" s="328"/>
      <c r="E194" s="328" t="str">
        <f>VLOOKUP(B194,DONGIA,DG!$B$6,0)</f>
        <v>T4.8003</v>
      </c>
      <c r="F194" s="329" t="str">
        <f>VLOOKUP(B194,DONGIA,DG!$C$6,0)</f>
        <v>Lắp ống nhựa PVC D90</v>
      </c>
      <c r="G194" s="328" t="str">
        <f>VLOOKUP(B194,DONGIA,DG!$D$6,0)</f>
        <v>mét</v>
      </c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S194" s="332">
        <f t="shared" si="22"/>
        <v>0</v>
      </c>
      <c r="T194" s="332">
        <f t="shared" si="24"/>
        <v>0</v>
      </c>
    </row>
    <row r="195" spans="1:20" hidden="1">
      <c r="B195" s="332" t="s">
        <v>1939</v>
      </c>
      <c r="C195" s="333">
        <f t="shared" si="23"/>
        <v>0</v>
      </c>
      <c r="D195" s="328"/>
      <c r="E195" s="328" t="str">
        <f>VLOOKUP(B195,DONGIA,DG!$B$6,0)</f>
        <v>T4.4201</v>
      </c>
      <c r="F195" s="329" t="str">
        <f>VLOOKUP(B195,DONGIA,DG!$C$6,0)</f>
        <v>Lắp cáp đồng xuống thiết bị D ≤ 95mm2</v>
      </c>
      <c r="G195" s="328" t="str">
        <f>VLOOKUP(B195,DONGIA,DG!$D$6,0)</f>
        <v>m</v>
      </c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S195" s="332">
        <f t="shared" si="22"/>
        <v>0</v>
      </c>
      <c r="T195" s="332">
        <f t="shared" si="24"/>
        <v>0</v>
      </c>
    </row>
    <row r="196" spans="1:20" hidden="1">
      <c r="B196" s="332" t="s">
        <v>1058</v>
      </c>
      <c r="C196" s="333">
        <f t="shared" si="23"/>
        <v>0</v>
      </c>
      <c r="D196" s="372">
        <f>IF(H196&lt;&gt;0,D177+1,D177)</f>
        <v>0</v>
      </c>
      <c r="E196" s="372">
        <f>VLOOKUP(B196,DONGIA,DG!$B$6,0)</f>
        <v>0</v>
      </c>
      <c r="F196" s="373" t="str">
        <f>VLOOKUP(B196,DONGIA,DG!$C$6,0)</f>
        <v>Bảng tên trạm + bulon</v>
      </c>
      <c r="G196" s="372" t="str">
        <f>VLOOKUP(B196,DONGIA,DG!$D$6,0)</f>
        <v>bộ</v>
      </c>
      <c r="H196" s="373">
        <f>T1P375</f>
        <v>0</v>
      </c>
      <c r="I196" s="373"/>
      <c r="J196" s="373"/>
      <c r="K196" s="373"/>
      <c r="L196" s="373"/>
      <c r="M196" s="373"/>
      <c r="N196" s="373"/>
      <c r="O196" s="373"/>
      <c r="P196" s="373"/>
      <c r="Q196" s="373"/>
      <c r="S196" s="332">
        <f t="shared" si="22"/>
        <v>0</v>
      </c>
      <c r="T196" s="332">
        <f t="shared" si="24"/>
        <v>0</v>
      </c>
    </row>
    <row r="197" spans="1:20" s="353" customFormat="1" hidden="1">
      <c r="A197" s="353" t="s">
        <v>2090</v>
      </c>
      <c r="C197" s="333">
        <f t="shared" si="23"/>
        <v>0</v>
      </c>
      <c r="D197" s="368"/>
      <c r="E197" s="369" t="str">
        <f>T1P50&amp;" Trạm 1 pha 50kVA"</f>
        <v>0 Trạm 1 pha 50kVA</v>
      </c>
      <c r="F197" s="368"/>
      <c r="G197" s="368"/>
      <c r="H197" s="368"/>
      <c r="I197" s="325"/>
      <c r="J197" s="325"/>
      <c r="K197" s="325"/>
      <c r="L197" s="325"/>
      <c r="M197" s="325"/>
      <c r="N197" s="325"/>
      <c r="O197" s="325"/>
      <c r="P197" s="325"/>
      <c r="Q197" s="368"/>
      <c r="S197" s="332">
        <f t="shared" si="22"/>
        <v>0</v>
      </c>
      <c r="T197" s="332">
        <f t="shared" si="24"/>
        <v>0</v>
      </c>
    </row>
    <row r="198" spans="1:20" hidden="1">
      <c r="A198" s="332" t="s">
        <v>2093</v>
      </c>
      <c r="C198" s="333">
        <f t="shared" si="23"/>
        <v>0</v>
      </c>
      <c r="D198" s="344"/>
      <c r="E198" s="344"/>
      <c r="F198" s="345" t="s">
        <v>1900</v>
      </c>
      <c r="G198" s="344"/>
      <c r="H198" s="345"/>
      <c r="I198" s="345"/>
      <c r="J198" s="345"/>
      <c r="K198" s="345"/>
      <c r="L198" s="345"/>
      <c r="M198" s="345"/>
      <c r="N198" s="345"/>
      <c r="O198" s="345"/>
      <c r="P198" s="345"/>
      <c r="Q198" s="345"/>
      <c r="S198" s="332">
        <f t="shared" si="22"/>
        <v>0</v>
      </c>
      <c r="T198" s="371">
        <f>SUM(T199:T204)</f>
        <v>0</v>
      </c>
    </row>
    <row r="199" spans="1:20" hidden="1">
      <c r="B199" s="332" t="s">
        <v>899</v>
      </c>
      <c r="C199" s="333">
        <f t="shared" si="23"/>
        <v>0</v>
      </c>
      <c r="D199" s="328"/>
      <c r="E199" s="328" t="str">
        <f>VLOOKUP(B199,DONGIA,DG!$B$6,0)</f>
        <v>T1.1431</v>
      </c>
      <c r="F199" s="329" t="str">
        <f>VLOOKUP(B199,DONGIA,DG!$C$6,0)</f>
        <v>Máy biến áp 12,7/0,22-0,44kV  25kVA</v>
      </c>
      <c r="G199" s="328" t="str">
        <f>VLOOKUP(B199,DONGIA,DG!$D$6,0)</f>
        <v>máy</v>
      </c>
      <c r="H199" s="329">
        <f>T1P50</f>
        <v>0</v>
      </c>
      <c r="I199" s="329"/>
      <c r="J199" s="329"/>
      <c r="K199" s="329"/>
      <c r="L199" s="329"/>
      <c r="M199" s="329"/>
      <c r="N199" s="329"/>
      <c r="O199" s="329"/>
      <c r="P199" s="329"/>
      <c r="Q199" s="329"/>
      <c r="S199" s="332">
        <f t="shared" si="22"/>
        <v>320</v>
      </c>
      <c r="T199" s="332">
        <f t="shared" si="24"/>
        <v>0</v>
      </c>
    </row>
    <row r="200" spans="1:20" hidden="1">
      <c r="A200" s="332" t="s">
        <v>477</v>
      </c>
      <c r="B200" s="332" t="s">
        <v>1444</v>
      </c>
      <c r="C200" s="333">
        <f t="shared" si="23"/>
        <v>0</v>
      </c>
      <c r="D200" s="328"/>
      <c r="E200" s="328" t="str">
        <f>VLOOKUP(B200,DONGIA,DG!$B$6,0)</f>
        <v>T2.3505</v>
      </c>
      <c r="F200" s="329" t="str">
        <f>VLOOKUP(B200,DONGIA,DG!$C$6,0)</f>
        <v>FCO 27kV - 100A</v>
      </c>
      <c r="G200" s="328" t="str">
        <f>VLOOKUP(B200,DONGIA,DG!$D$6,0)</f>
        <v>cái</v>
      </c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S200" s="332">
        <f t="shared" si="22"/>
        <v>1.5</v>
      </c>
      <c r="T200" s="332">
        <f t="shared" si="24"/>
        <v>0</v>
      </c>
    </row>
    <row r="201" spans="1:20" hidden="1">
      <c r="A201" s="332" t="s">
        <v>477</v>
      </c>
      <c r="B201" s="332" t="s">
        <v>943</v>
      </c>
      <c r="C201" s="333">
        <f t="shared" si="23"/>
        <v>0</v>
      </c>
      <c r="D201" s="328"/>
      <c r="E201" s="328" t="str">
        <f>VLOOKUP(B201,DONGIA,DG!$B$6,0)</f>
        <v>T2.5004</v>
      </c>
      <c r="F201" s="329" t="str">
        <f>VLOOKUP(B201,DONGIA,DG!$C$6,0)</f>
        <v>LA 18kV 10kA</v>
      </c>
      <c r="G201" s="328" t="str">
        <f>VLOOKUP(B201,DONGIA,DG!$D$6,0)</f>
        <v>cái</v>
      </c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S201" s="332">
        <f t="shared" si="22"/>
        <v>0.8</v>
      </c>
      <c r="T201" s="332">
        <f t="shared" si="24"/>
        <v>0</v>
      </c>
    </row>
    <row r="202" spans="1:20" hidden="1">
      <c r="A202" s="332" t="s">
        <v>477</v>
      </c>
      <c r="B202" s="332" t="s">
        <v>992</v>
      </c>
      <c r="C202" s="333">
        <f t="shared" si="23"/>
        <v>0</v>
      </c>
      <c r="D202" s="328"/>
      <c r="E202" s="328" t="str">
        <f>VLOOKUP(B202,DONGIA,DG!$B$6,0)</f>
        <v>T2.8403</v>
      </c>
      <c r="F202" s="329" t="str">
        <f>VLOOKUP(B202,DONGIA,DG!$C$6,0)</f>
        <v>MCCB 3 cực 400V - 125A - 30KA (80-125A)</v>
      </c>
      <c r="G202" s="328" t="str">
        <f>VLOOKUP(B202,DONGIA,DG!$D$6,0)</f>
        <v>cái</v>
      </c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S202" s="332">
        <f t="shared" si="22"/>
        <v>2</v>
      </c>
      <c r="T202" s="332">
        <f t="shared" si="24"/>
        <v>0</v>
      </c>
    </row>
    <row r="203" spans="1:20" hidden="1">
      <c r="A203" s="332" t="s">
        <v>477</v>
      </c>
      <c r="B203" s="332" t="s">
        <v>946</v>
      </c>
      <c r="C203" s="333">
        <f t="shared" si="23"/>
        <v>0</v>
      </c>
      <c r="D203" s="328"/>
      <c r="E203" s="328">
        <f>VLOOKUP(B203,DONGIA,DG!$B$6,0)</f>
        <v>0</v>
      </c>
      <c r="F203" s="329" t="str">
        <f>VLOOKUP(B203,DONGIA,DG!$C$6,0)</f>
        <v>Biến dòng 600V - 100/5A</v>
      </c>
      <c r="G203" s="328" t="str">
        <f>VLOOKUP(B203,DONGIA,DG!$D$6,0)</f>
        <v>cái</v>
      </c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S203" s="332">
        <f t="shared" si="22"/>
        <v>0</v>
      </c>
      <c r="T203" s="332">
        <f t="shared" si="24"/>
        <v>0</v>
      </c>
    </row>
    <row r="204" spans="1:20" hidden="1">
      <c r="A204" s="332" t="s">
        <v>477</v>
      </c>
      <c r="B204" s="332" t="s">
        <v>1040</v>
      </c>
      <c r="C204" s="333">
        <f t="shared" si="23"/>
        <v>0</v>
      </c>
      <c r="D204" s="328"/>
      <c r="E204" s="328">
        <f>VLOOKUP(B204,DONGIA,DG!$B$6,0)</f>
        <v>0</v>
      </c>
      <c r="F204" s="329" t="str">
        <f>VLOOKUP(B204,DONGIA,DG!$C$6,0)</f>
        <v>Điện kế 1 pha 2 dây 220V-80A</v>
      </c>
      <c r="G204" s="328" t="str">
        <f>VLOOKUP(B204,DONGIA,DG!$D$6,0)</f>
        <v>cái</v>
      </c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S204" s="332">
        <f t="shared" si="22"/>
        <v>0</v>
      </c>
      <c r="T204" s="332">
        <f t="shared" si="24"/>
        <v>0</v>
      </c>
    </row>
    <row r="205" spans="1:20" hidden="1">
      <c r="A205" s="332" t="s">
        <v>2097</v>
      </c>
      <c r="C205" s="333">
        <f t="shared" si="23"/>
        <v>0</v>
      </c>
      <c r="D205" s="344"/>
      <c r="E205" s="344"/>
      <c r="F205" s="345" t="s">
        <v>1901</v>
      </c>
      <c r="G205" s="344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S205" s="332">
        <f t="shared" si="22"/>
        <v>0</v>
      </c>
      <c r="T205" s="371">
        <f>SUM(T206:T280)</f>
        <v>0</v>
      </c>
    </row>
    <row r="206" spans="1:20" hidden="1">
      <c r="C206" s="333">
        <f t="shared" si="23"/>
        <v>0</v>
      </c>
      <c r="D206" s="372">
        <f>IF(H206&lt;&gt;0,1,)</f>
        <v>0</v>
      </c>
      <c r="E206" s="372"/>
      <c r="F206" s="373" t="s">
        <v>1931</v>
      </c>
      <c r="G206" s="372" t="s">
        <v>138</v>
      </c>
      <c r="H206" s="372">
        <f>T1P50</f>
        <v>0</v>
      </c>
      <c r="I206" s="373"/>
      <c r="J206" s="373"/>
      <c r="K206" s="373"/>
      <c r="L206" s="373"/>
      <c r="M206" s="373"/>
      <c r="N206" s="373"/>
      <c r="O206" s="373"/>
      <c r="P206" s="373"/>
      <c r="Q206" s="373"/>
      <c r="S206" s="332">
        <f t="shared" si="22"/>
        <v>0</v>
      </c>
      <c r="T206" s="332">
        <f t="shared" si="24"/>
        <v>0</v>
      </c>
    </row>
    <row r="207" spans="1:20" hidden="1">
      <c r="A207" s="332" t="s">
        <v>477</v>
      </c>
      <c r="B207" s="332" t="s">
        <v>1007</v>
      </c>
      <c r="C207" s="333">
        <f t="shared" si="23"/>
        <v>0</v>
      </c>
      <c r="D207" s="328"/>
      <c r="E207" s="328">
        <f>VLOOKUP(B207,DONGIA,DG!$B$6,0)</f>
        <v>0</v>
      </c>
      <c r="F207" s="329" t="str">
        <f>VLOOKUP(B207,DONGIA,DG!$C$6,0)</f>
        <v>Dây chảy 3K</v>
      </c>
      <c r="G207" s="328" t="str">
        <f>VLOOKUP(B207,DONGIA,DG!$D$6,0)</f>
        <v>Sợi</v>
      </c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S207" s="332">
        <f t="shared" si="22"/>
        <v>0</v>
      </c>
      <c r="T207" s="332">
        <f t="shared" si="24"/>
        <v>0</v>
      </c>
    </row>
    <row r="208" spans="1:20" hidden="1">
      <c r="A208" s="332" t="s">
        <v>477</v>
      </c>
      <c r="B208" s="332" t="s">
        <v>131</v>
      </c>
      <c r="C208" s="333">
        <f t="shared" si="23"/>
        <v>0</v>
      </c>
      <c r="D208" s="328"/>
      <c r="E208" s="328">
        <f>VLOOKUP(B208,DONGIA,DG!$B$6,0)</f>
        <v>0</v>
      </c>
      <c r="F208" s="329" t="str">
        <f>VLOOKUP(B208,DONGIA,DG!$C$6,0)</f>
        <v>Chụp đầu FCO (Trên + Dưới)</v>
      </c>
      <c r="G208" s="328" t="str">
        <f>VLOOKUP(B208,DONGIA,DG!$D$6,0)</f>
        <v>bộ</v>
      </c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S208" s="332">
        <f t="shared" si="22"/>
        <v>0</v>
      </c>
      <c r="T208" s="332">
        <f t="shared" si="24"/>
        <v>0</v>
      </c>
    </row>
    <row r="209" spans="1:20" hidden="1">
      <c r="A209" s="332" t="s">
        <v>477</v>
      </c>
      <c r="B209" s="332" t="s">
        <v>133</v>
      </c>
      <c r="C209" s="333">
        <f t="shared" si="23"/>
        <v>0</v>
      </c>
      <c r="D209" s="328"/>
      <c r="E209" s="328">
        <f>VLOOKUP(B209,DONGIA,DG!$B$6,0)</f>
        <v>0</v>
      </c>
      <c r="F209" s="329" t="str">
        <f>VLOOKUP(B209,DONGIA,DG!$C$6,0)</f>
        <v>Chụp đầu LA</v>
      </c>
      <c r="G209" s="328" t="str">
        <f>VLOOKUP(B209,DONGIA,DG!$D$6,0)</f>
        <v>cái</v>
      </c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S209" s="332">
        <f t="shared" si="22"/>
        <v>0</v>
      </c>
      <c r="T209" s="332">
        <f t="shared" si="24"/>
        <v>0</v>
      </c>
    </row>
    <row r="210" spans="1:20" hidden="1">
      <c r="A210" s="332" t="s">
        <v>477</v>
      </c>
      <c r="B210" s="332" t="s">
        <v>135</v>
      </c>
      <c r="C210" s="333">
        <f t="shared" si="23"/>
        <v>0</v>
      </c>
      <c r="D210" s="328"/>
      <c r="E210" s="328">
        <f>VLOOKUP(B210,DONGIA,DG!$B$6,0)</f>
        <v>0</v>
      </c>
      <c r="F210" s="329" t="str">
        <f>VLOOKUP(B210,DONGIA,DG!$C$6,0)</f>
        <v>Chụp đầu cực MBA</v>
      </c>
      <c r="G210" s="328" t="str">
        <f>VLOOKUP(B210,DONGIA,DG!$D$6,0)</f>
        <v>cái</v>
      </c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S210" s="332">
        <f t="shared" si="22"/>
        <v>0</v>
      </c>
      <c r="T210" s="332">
        <f t="shared" si="24"/>
        <v>0</v>
      </c>
    </row>
    <row r="211" spans="1:20" hidden="1">
      <c r="A211" s="332" t="s">
        <v>477</v>
      </c>
      <c r="B211" s="332" t="s">
        <v>35</v>
      </c>
      <c r="C211" s="333">
        <f>IF(H211&lt;&gt;0,1,)</f>
        <v>0</v>
      </c>
      <c r="D211" s="328"/>
      <c r="E211" s="328">
        <f>VLOOKUP(B211,DONGIA,DG!$B$6,0)</f>
        <v>0</v>
      </c>
      <c r="F211" s="329" t="str">
        <f>VLOOKUP(B211,DONGIA,DG!$C$6,0)</f>
        <v>Boulon 16x300+ 2 long đền vuông D18-50x50x3/Zn</v>
      </c>
      <c r="G211" s="328" t="str">
        <f>VLOOKUP(B211,DONGIA,DG!$D$6,0)</f>
        <v>bộ</v>
      </c>
      <c r="H211" s="329">
        <f>H206*2</f>
        <v>0</v>
      </c>
      <c r="I211" s="329"/>
      <c r="J211" s="329"/>
      <c r="K211" s="329"/>
      <c r="L211" s="329"/>
      <c r="M211" s="329"/>
      <c r="N211" s="329"/>
      <c r="O211" s="329"/>
      <c r="P211" s="329"/>
      <c r="Q211" s="329"/>
      <c r="S211" s="332">
        <f>IFERROR(VLOOKUP(B211,DONGIA,$S$25,0),0)</f>
        <v>0.25</v>
      </c>
      <c r="T211" s="332">
        <f>H211*S211</f>
        <v>0</v>
      </c>
    </row>
    <row r="212" spans="1:20" hidden="1">
      <c r="A212" s="332" t="s">
        <v>477</v>
      </c>
      <c r="C212" s="333">
        <f t="shared" si="23"/>
        <v>0</v>
      </c>
      <c r="D212" s="372">
        <f>IF(H212&lt;&gt;0,D206+1,D206)</f>
        <v>0</v>
      </c>
      <c r="E212" s="372"/>
      <c r="F212" s="373" t="s">
        <v>1932</v>
      </c>
      <c r="G212" s="372" t="s">
        <v>138</v>
      </c>
      <c r="H212" s="372">
        <f>T1P50</f>
        <v>0</v>
      </c>
      <c r="I212" s="373"/>
      <c r="J212" s="373"/>
      <c r="K212" s="373"/>
      <c r="L212" s="373"/>
      <c r="M212" s="373"/>
      <c r="N212" s="373"/>
      <c r="O212" s="373"/>
      <c r="P212" s="373"/>
      <c r="Q212" s="373"/>
      <c r="S212" s="332">
        <f t="shared" si="22"/>
        <v>0</v>
      </c>
      <c r="T212" s="332">
        <f t="shared" si="24"/>
        <v>0</v>
      </c>
    </row>
    <row r="213" spans="1:20" s="361" customFormat="1" hidden="1">
      <c r="A213" s="361" t="s">
        <v>477</v>
      </c>
      <c r="C213" s="374">
        <f t="shared" si="23"/>
        <v>0</v>
      </c>
      <c r="D213" s="350"/>
      <c r="E213" s="350"/>
      <c r="F213" s="351" t="s">
        <v>1902</v>
      </c>
      <c r="G213" s="350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S213" s="361">
        <f t="shared" si="22"/>
        <v>0</v>
      </c>
      <c r="T213" s="361">
        <f t="shared" si="24"/>
        <v>0</v>
      </c>
    </row>
    <row r="214" spans="1:20" hidden="1">
      <c r="A214" s="332" t="s">
        <v>477</v>
      </c>
      <c r="B214" s="332" t="s">
        <v>15</v>
      </c>
      <c r="C214" s="333">
        <f t="shared" si="23"/>
        <v>0</v>
      </c>
      <c r="D214" s="328"/>
      <c r="E214" s="328">
        <f>VLOOKUP(B214,DONGIA,DG!$B$6,0)</f>
        <v>0</v>
      </c>
      <c r="F214" s="329" t="str">
        <f>VLOOKUP(B214,DONGIA,DG!$C$6,0)</f>
        <v>Đà hộp composite 110x80x5-800</v>
      </c>
      <c r="G214" s="328" t="str">
        <f>VLOOKUP(B214,DONGIA,DG!$D$6,0)</f>
        <v>cái</v>
      </c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S214" s="332">
        <f t="shared" si="22"/>
        <v>3.2</v>
      </c>
      <c r="T214" s="332">
        <f t="shared" si="24"/>
        <v>0</v>
      </c>
    </row>
    <row r="215" spans="1:20" hidden="1">
      <c r="A215" s="332" t="s">
        <v>477</v>
      </c>
      <c r="B215" s="332" t="s">
        <v>17</v>
      </c>
      <c r="C215" s="333">
        <f t="shared" si="23"/>
        <v>0</v>
      </c>
      <c r="D215" s="328"/>
      <c r="E215" s="328">
        <f>VLOOKUP(B215,DONGIA,DG!$B$6,0)</f>
        <v>0</v>
      </c>
      <c r="F215" s="329" t="str">
        <f>VLOOKUP(B215,DONGIA,DG!$C$6,0)</f>
        <v>Thanh chống 10x40x710</v>
      </c>
      <c r="G215" s="328" t="str">
        <f>VLOOKUP(B215,DONGIA,DG!$D$6,0)</f>
        <v>cái</v>
      </c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S215" s="332">
        <f t="shared" si="22"/>
        <v>0.5</v>
      </c>
      <c r="T215" s="332">
        <f t="shared" si="24"/>
        <v>0</v>
      </c>
    </row>
    <row r="216" spans="1:20" hidden="1">
      <c r="A216" s="332" t="s">
        <v>477</v>
      </c>
      <c r="B216" s="332" t="s">
        <v>137</v>
      </c>
      <c r="C216" s="333">
        <f t="shared" si="23"/>
        <v>0</v>
      </c>
      <c r="D216" s="328"/>
      <c r="E216" s="328">
        <f>VLOOKUP(B216,DONGIA,DG!$B$6,0)</f>
        <v>0</v>
      </c>
      <c r="F216" s="329" t="str">
        <f>VLOOKUP(B216,DONGIA,DG!$C$6,0)</f>
        <v>Bass LI bắt FCO, LA</v>
      </c>
      <c r="G216" s="328" t="str">
        <f>VLOOKUP(B216,DONGIA,DG!$D$6,0)</f>
        <v>Bộ</v>
      </c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S216" s="332">
        <f t="shared" si="22"/>
        <v>0.4</v>
      </c>
      <c r="T216" s="332">
        <f t="shared" si="24"/>
        <v>0</v>
      </c>
    </row>
    <row r="217" spans="1:20" hidden="1">
      <c r="A217" s="332" t="s">
        <v>477</v>
      </c>
      <c r="B217" s="332" t="s">
        <v>1686</v>
      </c>
      <c r="C217" s="333">
        <f t="shared" si="23"/>
        <v>0</v>
      </c>
      <c r="D217" s="328"/>
      <c r="E217" s="328">
        <f>VLOOKUP(B217,DONGIA,DG!$B$6,0)</f>
        <v>0</v>
      </c>
      <c r="F217" s="329" t="str">
        <f>VLOOKUP(B217,DONGIA,DG!$C$6,0)</f>
        <v>Boulon 16x400VRS + 4 long đền vuông D18-50x50x3/Zn</v>
      </c>
      <c r="G217" s="328" t="str">
        <f>VLOOKUP(B217,DONGIA,DG!$D$6,0)</f>
        <v>bộ</v>
      </c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S217" s="332">
        <f t="shared" si="22"/>
        <v>0.39999999999999997</v>
      </c>
      <c r="T217" s="332">
        <f t="shared" si="24"/>
        <v>0</v>
      </c>
    </row>
    <row r="218" spans="1:20" hidden="1">
      <c r="A218" s="332" t="s">
        <v>477</v>
      </c>
      <c r="B218" s="332" t="s">
        <v>35</v>
      </c>
      <c r="C218" s="333">
        <f t="shared" si="23"/>
        <v>0</v>
      </c>
      <c r="D218" s="328"/>
      <c r="E218" s="328">
        <f>VLOOKUP(B218,DONGIA,DG!$B$6,0)</f>
        <v>0</v>
      </c>
      <c r="F218" s="329" t="str">
        <f>VLOOKUP(B218,DONGIA,DG!$C$6,0)</f>
        <v>Boulon 16x300+ 2 long đền vuông D18-50x50x3/Zn</v>
      </c>
      <c r="G218" s="328" t="str">
        <f>VLOOKUP(B218,DONGIA,DG!$D$6,0)</f>
        <v>bộ</v>
      </c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S218" s="332">
        <f t="shared" si="22"/>
        <v>0.25</v>
      </c>
      <c r="T218" s="332">
        <f t="shared" si="24"/>
        <v>0</v>
      </c>
    </row>
    <row r="219" spans="1:20" hidden="1">
      <c r="A219" s="332" t="s">
        <v>477</v>
      </c>
      <c r="B219" s="332" t="s">
        <v>27</v>
      </c>
      <c r="C219" s="333">
        <f t="shared" si="23"/>
        <v>0</v>
      </c>
      <c r="D219" s="328"/>
      <c r="E219" s="328">
        <f>VLOOKUP(B219,DONGIA,DG!$B$6,0)</f>
        <v>0</v>
      </c>
      <c r="F219" s="329" t="str">
        <f>VLOOKUP(B219,DONGIA,DG!$C$6,0)</f>
        <v>Boulon 14x120+ 2 long đền vuông D16-50x50x3/Zn</v>
      </c>
      <c r="G219" s="328" t="str">
        <f>VLOOKUP(B219,DONGIA,DG!$D$6,0)</f>
        <v>bộ</v>
      </c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S219" s="332">
        <f t="shared" si="22"/>
        <v>0.2</v>
      </c>
      <c r="T219" s="332">
        <f t="shared" si="24"/>
        <v>0</v>
      </c>
    </row>
    <row r="220" spans="1:20" hidden="1">
      <c r="A220" s="332" t="s">
        <v>477</v>
      </c>
      <c r="C220" s="333">
        <f t="shared" si="23"/>
        <v>0</v>
      </c>
      <c r="D220" s="372">
        <f>IF(H220&lt;&gt;0,D212+1,D212)</f>
        <v>0</v>
      </c>
      <c r="E220" s="372"/>
      <c r="F220" s="373" t="s">
        <v>1933</v>
      </c>
      <c r="G220" s="372" t="s">
        <v>138</v>
      </c>
      <c r="H220" s="372">
        <f>T1P50</f>
        <v>0</v>
      </c>
      <c r="I220" s="373"/>
      <c r="J220" s="373"/>
      <c r="K220" s="373"/>
      <c r="L220" s="373"/>
      <c r="M220" s="373"/>
      <c r="N220" s="373"/>
      <c r="O220" s="373"/>
      <c r="P220" s="373"/>
      <c r="Q220" s="373"/>
      <c r="S220" s="332">
        <f t="shared" si="22"/>
        <v>0</v>
      </c>
      <c r="T220" s="332">
        <f t="shared" si="24"/>
        <v>0</v>
      </c>
    </row>
    <row r="221" spans="1:20" s="361" customFormat="1" hidden="1">
      <c r="A221" s="361" t="s">
        <v>477</v>
      </c>
      <c r="C221" s="374">
        <f t="shared" si="23"/>
        <v>0</v>
      </c>
      <c r="D221" s="350"/>
      <c r="E221" s="350"/>
      <c r="F221" s="351" t="s">
        <v>1902</v>
      </c>
      <c r="G221" s="350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S221" s="361">
        <f t="shared" si="22"/>
        <v>0</v>
      </c>
      <c r="T221" s="361">
        <f t="shared" si="24"/>
        <v>0</v>
      </c>
    </row>
    <row r="222" spans="1:20" hidden="1">
      <c r="A222" s="332" t="s">
        <v>477</v>
      </c>
      <c r="B222" s="332" t="s">
        <v>144</v>
      </c>
      <c r="C222" s="333">
        <f t="shared" si="23"/>
        <v>0</v>
      </c>
      <c r="D222" s="328"/>
      <c r="E222" s="328">
        <f>VLOOKUP(B222,DONGIA,DG!$B$6,0)</f>
        <v>0</v>
      </c>
      <c r="F222" s="329" t="str">
        <f>VLOOKUP(B222,DONGIA,DG!$C$6,0)</f>
        <v>Cáp đồng trần M25mm2</v>
      </c>
      <c r="G222" s="328" t="str">
        <f>VLOOKUP(B222,DONGIA,DG!$D$6,0)</f>
        <v>kg</v>
      </c>
      <c r="H222" s="329">
        <f>H220*TDTR1P*0.224</f>
        <v>0</v>
      </c>
      <c r="I222" s="329"/>
      <c r="J222" s="329"/>
      <c r="K222" s="329"/>
      <c r="L222" s="329"/>
      <c r="M222" s="329"/>
      <c r="N222" s="329"/>
      <c r="O222" s="329"/>
      <c r="P222" s="329"/>
      <c r="Q222" s="329"/>
      <c r="S222" s="332">
        <f t="shared" si="22"/>
        <v>1</v>
      </c>
      <c r="T222" s="332">
        <f t="shared" si="24"/>
        <v>0</v>
      </c>
    </row>
    <row r="223" spans="1:20" hidden="1">
      <c r="A223" s="332" t="s">
        <v>477</v>
      </c>
      <c r="B223" s="332" t="s">
        <v>278</v>
      </c>
      <c r="C223" s="333">
        <f t="shared" si="23"/>
        <v>0</v>
      </c>
      <c r="D223" s="328"/>
      <c r="E223" s="328">
        <f>VLOOKUP(B223,DONGIA,DG!$B$6,0)</f>
        <v>0</v>
      </c>
      <c r="F223" s="329" t="str">
        <f>VLOOKUP(B223,DONGIA,DG!$C$6,0)</f>
        <v>Cọc tiếp đất φ16 - 2,4m (mạ đồng 16µm)</v>
      </c>
      <c r="G223" s="328" t="str">
        <f>VLOOKUP(B223,DONGIA,DG!$D$6,0)</f>
        <v>cọc</v>
      </c>
      <c r="H223" s="329">
        <f>H220*9</f>
        <v>0</v>
      </c>
      <c r="I223" s="329"/>
      <c r="J223" s="329"/>
      <c r="K223" s="329"/>
      <c r="L223" s="329"/>
      <c r="M223" s="329"/>
      <c r="N223" s="329"/>
      <c r="O223" s="329"/>
      <c r="P223" s="329"/>
      <c r="Q223" s="329"/>
      <c r="S223" s="332">
        <f t="shared" si="22"/>
        <v>5.3</v>
      </c>
      <c r="T223" s="332">
        <f t="shared" si="24"/>
        <v>0</v>
      </c>
    </row>
    <row r="224" spans="1:20" hidden="1">
      <c r="A224" s="332" t="s">
        <v>477</v>
      </c>
      <c r="B224" s="332" t="s">
        <v>280</v>
      </c>
      <c r="C224" s="333">
        <f t="shared" si="23"/>
        <v>0</v>
      </c>
      <c r="D224" s="328"/>
      <c r="E224" s="328">
        <f>VLOOKUP(B224,DONGIA,DG!$B$6,0)</f>
        <v>0</v>
      </c>
      <c r="F224" s="329" t="str">
        <f>VLOOKUP(B224,DONGIA,DG!$C$6,0)</f>
        <v>Kẹp cọc tiếp địa</v>
      </c>
      <c r="G224" s="328" t="str">
        <f>VLOOKUP(B224,DONGIA,DG!$D$6,0)</f>
        <v>bộ</v>
      </c>
      <c r="H224" s="329">
        <f>H223</f>
        <v>0</v>
      </c>
      <c r="I224" s="329"/>
      <c r="J224" s="329"/>
      <c r="K224" s="329"/>
      <c r="L224" s="329"/>
      <c r="M224" s="329"/>
      <c r="N224" s="329"/>
      <c r="O224" s="329"/>
      <c r="P224" s="329"/>
      <c r="Q224" s="329"/>
      <c r="S224" s="332">
        <f t="shared" si="22"/>
        <v>0.05</v>
      </c>
      <c r="T224" s="332">
        <f t="shared" si="24"/>
        <v>0</v>
      </c>
    </row>
    <row r="225" spans="1:20" hidden="1">
      <c r="A225" s="332" t="s">
        <v>477</v>
      </c>
      <c r="B225" s="332" t="s">
        <v>1217</v>
      </c>
      <c r="C225" s="333">
        <f t="shared" si="23"/>
        <v>0</v>
      </c>
      <c r="D225" s="328"/>
      <c r="E225" s="328">
        <f>VLOOKUP(B225,DONGIA,DG!$B$6,0)</f>
        <v>0</v>
      </c>
      <c r="F225" s="329" t="str">
        <f>VLOOKUP(B225,DONGIA,DG!$C$6,0)</f>
        <v xml:space="preserve">Ốc xiết cáp cỡ 38mm2 </v>
      </c>
      <c r="G225" s="328" t="str">
        <f>VLOOKUP(B225,DONGIA,DG!$D$6,0)</f>
        <v>cái</v>
      </c>
      <c r="H225" s="329">
        <f>H220*6</f>
        <v>0</v>
      </c>
      <c r="I225" s="329"/>
      <c r="J225" s="329"/>
      <c r="K225" s="329"/>
      <c r="L225" s="329"/>
      <c r="M225" s="329"/>
      <c r="N225" s="329"/>
      <c r="O225" s="329"/>
      <c r="P225" s="329"/>
      <c r="Q225" s="329"/>
      <c r="S225" s="332">
        <f t="shared" si="22"/>
        <v>0</v>
      </c>
      <c r="T225" s="332">
        <f t="shared" si="24"/>
        <v>0</v>
      </c>
    </row>
    <row r="226" spans="1:20" hidden="1">
      <c r="A226" s="332" t="s">
        <v>477</v>
      </c>
      <c r="B226" s="332" t="s">
        <v>573</v>
      </c>
      <c r="C226" s="333">
        <f t="shared" si="23"/>
        <v>0</v>
      </c>
      <c r="D226" s="328"/>
      <c r="E226" s="328" t="str">
        <f>VLOOKUP(B226,DONGIA,DG!$B$6,0)</f>
        <v>T4.7001</v>
      </c>
      <c r="F226" s="329" t="str">
        <f>VLOOKUP(B226,DONGIA,DG!$C$6,0)</f>
        <v>Kéo dây tiếp địa trong TBA</v>
      </c>
      <c r="G226" s="328" t="str">
        <f>VLOOKUP(B226,DONGIA,DG!$D$6,0)</f>
        <v>mét</v>
      </c>
      <c r="H226" s="329">
        <f>TDTR1P*H220</f>
        <v>0</v>
      </c>
      <c r="I226" s="329"/>
      <c r="J226" s="329"/>
      <c r="K226" s="329"/>
      <c r="L226" s="329"/>
      <c r="M226" s="329"/>
      <c r="N226" s="329"/>
      <c r="O226" s="329"/>
      <c r="P226" s="329"/>
      <c r="Q226" s="329"/>
      <c r="S226" s="332">
        <f t="shared" ref="S226:S257" si="25">IFERROR(VLOOKUP(B226,DONGIA,$S$25,0),0)</f>
        <v>0</v>
      </c>
      <c r="T226" s="332">
        <f t="shared" si="24"/>
        <v>0</v>
      </c>
    </row>
    <row r="227" spans="1:20" hidden="1">
      <c r="A227" s="332" t="s">
        <v>477</v>
      </c>
      <c r="B227" s="332" t="s">
        <v>581</v>
      </c>
      <c r="C227" s="333">
        <f t="shared" ref="C227:C258" si="26">IF(H227&lt;&gt;0,1,)</f>
        <v>0</v>
      </c>
      <c r="D227" s="328"/>
      <c r="E227" s="328" t="str">
        <f>VLOOKUP(B227,DONGIA,DG!$B$6,0)</f>
        <v>D2.8103</v>
      </c>
      <c r="F227" s="329" t="str">
        <f>VLOOKUP(B227,DONGIA,DG!$C$6,0)</f>
        <v>Đóng cọc tiếp địa trong TBA (đất cấp 3)</v>
      </c>
      <c r="G227" s="328" t="str">
        <f>VLOOKUP(B227,DONGIA,DG!$D$6,0)</f>
        <v>cọc</v>
      </c>
      <c r="H227" s="329">
        <f>H223</f>
        <v>0</v>
      </c>
      <c r="I227" s="329"/>
      <c r="J227" s="329"/>
      <c r="K227" s="329"/>
      <c r="L227" s="329"/>
      <c r="M227" s="329"/>
      <c r="N227" s="329"/>
      <c r="O227" s="329"/>
      <c r="P227" s="329"/>
      <c r="Q227" s="329"/>
      <c r="S227" s="332">
        <f t="shared" si="25"/>
        <v>0</v>
      </c>
      <c r="T227" s="332">
        <f t="shared" ref="T227:T258" si="27">H227*S227</f>
        <v>0</v>
      </c>
    </row>
    <row r="228" spans="1:20" hidden="1">
      <c r="A228" s="332" t="s">
        <v>477</v>
      </c>
      <c r="B228" s="332" t="s">
        <v>540</v>
      </c>
      <c r="C228" s="333">
        <f t="shared" si="26"/>
        <v>0</v>
      </c>
      <c r="D228" s="328"/>
      <c r="E228" s="328" t="str">
        <f>VLOOKUP(B228,DONGIA,DG!$B$6,0)</f>
        <v>AB.11513</v>
      </c>
      <c r="F228" s="329" t="str">
        <f>VLOOKUP(B228,DONGIA,DG!$C$6,0)</f>
        <v>Đào rãnh tiếp địa đất cấp 3</v>
      </c>
      <c r="G228" s="328" t="str">
        <f>VLOOKUP(B228,DONGIA,DG!$D$6,0)</f>
        <v>m3</v>
      </c>
      <c r="H228" s="329">
        <f>H220*4.05</f>
        <v>0</v>
      </c>
      <c r="I228" s="329"/>
      <c r="J228" s="329"/>
      <c r="K228" s="329"/>
      <c r="L228" s="329"/>
      <c r="M228" s="329"/>
      <c r="N228" s="329"/>
      <c r="O228" s="329"/>
      <c r="P228" s="329"/>
      <c r="Q228" s="329"/>
      <c r="S228" s="332">
        <f t="shared" si="25"/>
        <v>0</v>
      </c>
      <c r="T228" s="332">
        <f t="shared" si="27"/>
        <v>0</v>
      </c>
    </row>
    <row r="229" spans="1:20" hidden="1">
      <c r="A229" s="332" t="s">
        <v>477</v>
      </c>
      <c r="B229" s="332" t="s">
        <v>547</v>
      </c>
      <c r="C229" s="333">
        <f t="shared" si="26"/>
        <v>0</v>
      </c>
      <c r="D229" s="328"/>
      <c r="E229" s="328" t="str">
        <f>VLOOKUP(B229,DONGIA,DG!$B$6,0)</f>
        <v>AB.65110</v>
      </c>
      <c r="F229" s="329" t="str">
        <f>VLOOKUP(B229,DONGIA,DG!$C$6,0)</f>
        <v>Đắp đất rãnh tiếp địa (K=0,85)</v>
      </c>
      <c r="G229" s="328" t="str">
        <f>VLOOKUP(B229,DONGIA,DG!$D$6,0)</f>
        <v>m3</v>
      </c>
      <c r="H229" s="329">
        <f>H228</f>
        <v>0</v>
      </c>
      <c r="I229" s="329"/>
      <c r="J229" s="329"/>
      <c r="K229" s="329"/>
      <c r="L229" s="329"/>
      <c r="M229" s="329"/>
      <c r="N229" s="329"/>
      <c r="O229" s="329"/>
      <c r="P229" s="329"/>
      <c r="Q229" s="329"/>
      <c r="S229" s="332">
        <f t="shared" si="25"/>
        <v>0</v>
      </c>
      <c r="T229" s="332">
        <f t="shared" si="27"/>
        <v>0</v>
      </c>
    </row>
    <row r="230" spans="1:20" hidden="1">
      <c r="A230" s="332" t="s">
        <v>477</v>
      </c>
      <c r="C230" s="333">
        <f t="shared" si="26"/>
        <v>0</v>
      </c>
      <c r="D230" s="372">
        <f>IF(H230&lt;&gt;0,D220+1,D220)</f>
        <v>0</v>
      </c>
      <c r="E230" s="372"/>
      <c r="F230" s="373" t="s">
        <v>1934</v>
      </c>
      <c r="G230" s="372" t="s">
        <v>138</v>
      </c>
      <c r="H230" s="372">
        <f>T1P50</f>
        <v>0</v>
      </c>
      <c r="I230" s="373"/>
      <c r="J230" s="373"/>
      <c r="K230" s="373"/>
      <c r="L230" s="373"/>
      <c r="M230" s="373"/>
      <c r="N230" s="373"/>
      <c r="O230" s="373"/>
      <c r="P230" s="373"/>
      <c r="Q230" s="373"/>
      <c r="S230" s="332">
        <f t="shared" si="25"/>
        <v>0</v>
      </c>
      <c r="T230" s="332">
        <f t="shared" si="27"/>
        <v>0</v>
      </c>
    </row>
    <row r="231" spans="1:20" s="361" customFormat="1" hidden="1">
      <c r="A231" s="361" t="s">
        <v>477</v>
      </c>
      <c r="C231" s="374">
        <f t="shared" si="26"/>
        <v>0</v>
      </c>
      <c r="D231" s="350"/>
      <c r="E231" s="350"/>
      <c r="F231" s="351" t="s">
        <v>1902</v>
      </c>
      <c r="G231" s="350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S231" s="361">
        <f t="shared" si="25"/>
        <v>0</v>
      </c>
      <c r="T231" s="361">
        <f t="shared" si="27"/>
        <v>0</v>
      </c>
    </row>
    <row r="232" spans="1:20" hidden="1">
      <c r="A232" s="332" t="s">
        <v>477</v>
      </c>
      <c r="B232" s="332" t="s">
        <v>989</v>
      </c>
      <c r="C232" s="333">
        <f t="shared" si="26"/>
        <v>0</v>
      </c>
      <c r="D232" s="328"/>
      <c r="E232" s="328" t="str">
        <f>VLOOKUP(B232,DONGIA,DG!$B$6,0)</f>
        <v>T5.1001</v>
      </c>
      <c r="F232" s="329" t="str">
        <f>VLOOKUP(B232,DONGIA,DG!$C$6,0)</f>
        <v>Tủ trạm treo + khóa + boulon + Bakelit + Collier (1 pha)</v>
      </c>
      <c r="G232" s="328" t="str">
        <f>VLOOKUP(B232,DONGIA,DG!$D$6,0)</f>
        <v>bộ</v>
      </c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S232" s="332">
        <f t="shared" si="25"/>
        <v>45</v>
      </c>
      <c r="T232" s="332">
        <f t="shared" si="27"/>
        <v>0</v>
      </c>
    </row>
    <row r="233" spans="1:20" hidden="1">
      <c r="C233" s="333">
        <f t="shared" si="26"/>
        <v>0</v>
      </c>
      <c r="D233" s="372">
        <f>IF(H233&lt;&gt;0,D230+1,D230)</f>
        <v>0</v>
      </c>
      <c r="E233" s="372"/>
      <c r="F233" s="373" t="s">
        <v>1935</v>
      </c>
      <c r="G233" s="372" t="s">
        <v>138</v>
      </c>
      <c r="H233" s="372">
        <f>T1P50</f>
        <v>0</v>
      </c>
      <c r="I233" s="373"/>
      <c r="J233" s="373"/>
      <c r="K233" s="373"/>
      <c r="L233" s="373"/>
      <c r="M233" s="373"/>
      <c r="N233" s="373"/>
      <c r="O233" s="373"/>
      <c r="P233" s="373"/>
      <c r="Q233" s="373"/>
      <c r="S233" s="332">
        <f t="shared" si="25"/>
        <v>0</v>
      </c>
      <c r="T233" s="332">
        <f t="shared" si="27"/>
        <v>0</v>
      </c>
    </row>
    <row r="234" spans="1:20" s="361" customFormat="1" hidden="1">
      <c r="C234" s="374">
        <f t="shared" si="26"/>
        <v>0</v>
      </c>
      <c r="D234" s="350"/>
      <c r="E234" s="350"/>
      <c r="F234" s="351" t="s">
        <v>1902</v>
      </c>
      <c r="G234" s="350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S234" s="361">
        <f t="shared" si="25"/>
        <v>0</v>
      </c>
      <c r="T234" s="361">
        <f t="shared" si="27"/>
        <v>0</v>
      </c>
    </row>
    <row r="235" spans="1:20" hidden="1">
      <c r="B235" s="332" t="s">
        <v>1468</v>
      </c>
      <c r="C235" s="333">
        <f t="shared" si="26"/>
        <v>0</v>
      </c>
      <c r="D235" s="328"/>
      <c r="E235" s="328">
        <f>VLOOKUP(B235,DONGIA,DG!$B$6,0)</f>
        <v>0</v>
      </c>
      <c r="F235" s="329" t="str">
        <f>VLOOKUP(B235,DONGIA,DG!$C$6,0)</f>
        <v>Cáp 24KV C/XLPE/PVC 25mm2</v>
      </c>
      <c r="G235" s="328" t="str">
        <f>VLOOKUP(B235,DONGIA,DG!$D$6,0)</f>
        <v>mét</v>
      </c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S235" s="332">
        <f t="shared" si="25"/>
        <v>0.75</v>
      </c>
      <c r="T235" s="332">
        <f t="shared" si="27"/>
        <v>0</v>
      </c>
    </row>
    <row r="236" spans="1:20" hidden="1">
      <c r="B236" s="332" t="s">
        <v>1507</v>
      </c>
      <c r="C236" s="333">
        <f t="shared" si="26"/>
        <v>0</v>
      </c>
      <c r="D236" s="328"/>
      <c r="E236" s="328" t="str">
        <f>VLOOKUP(B236,DONGIA,DG!$B$6,0)</f>
        <v>D6.6201</v>
      </c>
      <c r="F236" s="329" t="str">
        <f>VLOOKUP(B236,DONGIA,DG!$C$6,0)</f>
        <v>Kẹp quai 4/0 (quai đồng 8mm)</v>
      </c>
      <c r="G236" s="328" t="str">
        <f>VLOOKUP(B236,DONGIA,DG!$D$6,0)</f>
        <v>cái</v>
      </c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S236" s="332">
        <f t="shared" si="25"/>
        <v>0.3</v>
      </c>
      <c r="T236" s="332">
        <f t="shared" si="27"/>
        <v>0</v>
      </c>
    </row>
    <row r="237" spans="1:20" hidden="1">
      <c r="B237" s="332" t="s">
        <v>1511</v>
      </c>
      <c r="C237" s="333">
        <f t="shared" si="26"/>
        <v>0</v>
      </c>
      <c r="D237" s="328"/>
      <c r="E237" s="328">
        <f>VLOOKUP(B237,DONGIA,DG!$B$6,0)</f>
        <v>0</v>
      </c>
      <c r="F237" s="329" t="str">
        <f>VLOOKUP(B237,DONGIA,DG!$C$6,0)</f>
        <v>Chụp cách điện kẹp quai</v>
      </c>
      <c r="G237" s="328" t="str">
        <f>VLOOKUP(B237,DONGIA,DG!$D$6,0)</f>
        <v>cái</v>
      </c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S237" s="332">
        <f t="shared" si="25"/>
        <v>0.2</v>
      </c>
      <c r="T237" s="332">
        <f t="shared" si="27"/>
        <v>0</v>
      </c>
    </row>
    <row r="238" spans="1:20" hidden="1">
      <c r="B238" s="332" t="s">
        <v>1508</v>
      </c>
      <c r="C238" s="333">
        <f t="shared" si="26"/>
        <v>0</v>
      </c>
      <c r="D238" s="328"/>
      <c r="E238" s="328" t="str">
        <f>VLOOKUP(B238,DONGIA,DG!$B$6,0)</f>
        <v>D6.6202</v>
      </c>
      <c r="F238" s="329" t="str">
        <f>VLOOKUP(B238,DONGIA,DG!$C$6,0)</f>
        <v>Kẹp hotline 2/0</v>
      </c>
      <c r="G238" s="328" t="str">
        <f>VLOOKUP(B238,DONGIA,DG!$D$6,0)</f>
        <v>cái</v>
      </c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S238" s="332">
        <f t="shared" si="25"/>
        <v>0.1</v>
      </c>
      <c r="T238" s="332">
        <f t="shared" si="27"/>
        <v>0</v>
      </c>
    </row>
    <row r="239" spans="1:20" hidden="1">
      <c r="B239" s="332" t="s">
        <v>1939</v>
      </c>
      <c r="C239" s="333">
        <f t="shared" si="26"/>
        <v>0</v>
      </c>
      <c r="D239" s="328"/>
      <c r="E239" s="328" t="str">
        <f>VLOOKUP(B239,DONGIA,DG!$B$6,0)</f>
        <v>T4.4201</v>
      </c>
      <c r="F239" s="329" t="str">
        <f>VLOOKUP(B239,DONGIA,DG!$C$6,0)</f>
        <v>Lắp cáp đồng xuống thiết bị D ≤ 95mm2</v>
      </c>
      <c r="G239" s="328" t="str">
        <f>VLOOKUP(B239,DONGIA,DG!$D$6,0)</f>
        <v>m</v>
      </c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S239" s="332">
        <f t="shared" si="25"/>
        <v>0</v>
      </c>
      <c r="T239" s="332">
        <f t="shared" si="27"/>
        <v>0</v>
      </c>
    </row>
    <row r="240" spans="1:20" hidden="1">
      <c r="C240" s="333">
        <f t="shared" si="26"/>
        <v>0</v>
      </c>
      <c r="D240" s="372">
        <f>IF(H240&lt;&gt;0,D233+1,D233)</f>
        <v>0</v>
      </c>
      <c r="E240" s="372"/>
      <c r="F240" s="373" t="s">
        <v>1936</v>
      </c>
      <c r="G240" s="372" t="s">
        <v>138</v>
      </c>
      <c r="H240" s="372">
        <f>T1P50</f>
        <v>0</v>
      </c>
      <c r="I240" s="373"/>
      <c r="J240" s="373"/>
      <c r="K240" s="373"/>
      <c r="L240" s="373"/>
      <c r="M240" s="373"/>
      <c r="N240" s="373"/>
      <c r="O240" s="373"/>
      <c r="P240" s="373"/>
      <c r="Q240" s="373"/>
      <c r="S240" s="332">
        <f t="shared" si="25"/>
        <v>0</v>
      </c>
      <c r="T240" s="332">
        <f t="shared" si="27"/>
        <v>0</v>
      </c>
    </row>
    <row r="241" spans="2:20" s="361" customFormat="1" hidden="1">
      <c r="C241" s="374">
        <f t="shared" si="26"/>
        <v>0</v>
      </c>
      <c r="D241" s="350"/>
      <c r="E241" s="350"/>
      <c r="F241" s="351" t="s">
        <v>1902</v>
      </c>
      <c r="G241" s="350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S241" s="361">
        <f t="shared" si="25"/>
        <v>0</v>
      </c>
      <c r="T241" s="361">
        <f t="shared" si="27"/>
        <v>0</v>
      </c>
    </row>
    <row r="242" spans="2:20" hidden="1">
      <c r="B242" s="332" t="s">
        <v>1907</v>
      </c>
      <c r="C242" s="333">
        <f t="shared" si="26"/>
        <v>0</v>
      </c>
      <c r="D242" s="328"/>
      <c r="E242" s="328">
        <f>VLOOKUP(B242,DONGIA,DG!$B$6,0)</f>
        <v>0</v>
      </c>
      <c r="F242" s="329" t="str">
        <f>VLOOKUP(B242,DONGIA,DG!$C$6,0)</f>
        <v>Cáp đồng bọc CV70</v>
      </c>
      <c r="G242" s="328" t="str">
        <f>VLOOKUP(B242,DONGIA,DG!$D$6,0)</f>
        <v>mét</v>
      </c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S242" s="332">
        <f t="shared" si="25"/>
        <v>0.73899999999999999</v>
      </c>
      <c r="T242" s="332">
        <f t="shared" si="27"/>
        <v>0</v>
      </c>
    </row>
    <row r="243" spans="2:20" hidden="1">
      <c r="B243" s="332" t="s">
        <v>1906</v>
      </c>
      <c r="C243" s="333">
        <f t="shared" si="26"/>
        <v>0</v>
      </c>
      <c r="D243" s="328"/>
      <c r="E243" s="328">
        <f>VLOOKUP(B243,DONGIA,DG!$B$6,0)</f>
        <v>0</v>
      </c>
      <c r="F243" s="329" t="str">
        <f>VLOOKUP(B243,DONGIA,DG!$C$6,0)</f>
        <v>Cáp đồng bọc CV50</v>
      </c>
      <c r="G243" s="328" t="str">
        <f>VLOOKUP(B243,DONGIA,DG!$D$6,0)</f>
        <v>mét</v>
      </c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S243" s="332">
        <f t="shared" si="25"/>
        <v>0.53400000000000003</v>
      </c>
      <c r="T243" s="332">
        <f t="shared" si="27"/>
        <v>0</v>
      </c>
    </row>
    <row r="244" spans="2:20" hidden="1">
      <c r="B244" s="332" t="s">
        <v>1937</v>
      </c>
      <c r="C244" s="333">
        <f t="shared" si="26"/>
        <v>0</v>
      </c>
      <c r="D244" s="328"/>
      <c r="E244" s="328">
        <f>VLOOKUP(B244,DONGIA,DG!$B$6,0)</f>
        <v>0</v>
      </c>
      <c r="F244" s="329" t="str">
        <f>VLOOKUP(B244,DONGIA,DG!$C$6,0)</f>
        <v>Cáp điều khiển CVV 4x4,0mm2</v>
      </c>
      <c r="G244" s="328" t="str">
        <f>VLOOKUP(B244,DONGIA,DG!$D$6,0)</f>
        <v>mét</v>
      </c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S244" s="332">
        <f t="shared" si="25"/>
        <v>3.024</v>
      </c>
      <c r="T244" s="332">
        <f t="shared" si="27"/>
        <v>0</v>
      </c>
    </row>
    <row r="245" spans="2:20" hidden="1">
      <c r="B245" s="332" t="s">
        <v>1113</v>
      </c>
      <c r="C245" s="333">
        <f t="shared" si="26"/>
        <v>0</v>
      </c>
      <c r="D245" s="328"/>
      <c r="E245" s="328" t="str">
        <f>VLOOKUP(B245,DONGIA,DG!$B$6,0)</f>
        <v>D4.5003</v>
      </c>
      <c r="F245" s="329" t="str">
        <f>VLOOKUP(B245,DONGIA,DG!$C$6,0)</f>
        <v>Đầu cosse ép Cu 70mm2</v>
      </c>
      <c r="G245" s="328" t="str">
        <f>VLOOKUP(B245,DONGIA,DG!$D$6,0)</f>
        <v>cái</v>
      </c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S245" s="332">
        <f t="shared" si="25"/>
        <v>0.2</v>
      </c>
      <c r="T245" s="332">
        <f t="shared" si="27"/>
        <v>0</v>
      </c>
    </row>
    <row r="246" spans="2:20" hidden="1">
      <c r="B246" s="332" t="s">
        <v>1110</v>
      </c>
      <c r="C246" s="333">
        <f t="shared" si="26"/>
        <v>0</v>
      </c>
      <c r="D246" s="328"/>
      <c r="E246" s="328" t="str">
        <f>VLOOKUP(B246,DONGIA,DG!$B$6,0)</f>
        <v>D4.5002</v>
      </c>
      <c r="F246" s="329" t="str">
        <f>VLOOKUP(B246,DONGIA,DG!$C$6,0)</f>
        <v>Đầu cosse ép Cu 50mm2</v>
      </c>
      <c r="G246" s="328" t="str">
        <f>VLOOKUP(B246,DONGIA,DG!$D$6,0)</f>
        <v>cái</v>
      </c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S246" s="332">
        <f t="shared" si="25"/>
        <v>0.1</v>
      </c>
      <c r="T246" s="332">
        <f t="shared" si="27"/>
        <v>0</v>
      </c>
    </row>
    <row r="247" spans="2:20" hidden="1">
      <c r="B247" s="332" t="s">
        <v>1147</v>
      </c>
      <c r="C247" s="333">
        <f t="shared" si="26"/>
        <v>0</v>
      </c>
      <c r="D247" s="328"/>
      <c r="E247" s="328">
        <f>VLOOKUP(B247,DONGIA,DG!$B$6,0)</f>
        <v>0</v>
      </c>
      <c r="F247" s="329" t="str">
        <f>VLOOKUP(B247,DONGIA,DG!$C$6,0)</f>
        <v>Chụp đầu cosse  70mm2</v>
      </c>
      <c r="G247" s="328" t="str">
        <f>VLOOKUP(B247,DONGIA,DG!$D$6,0)</f>
        <v>cái</v>
      </c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S247" s="332">
        <f t="shared" si="25"/>
        <v>0</v>
      </c>
      <c r="T247" s="332">
        <f t="shared" si="27"/>
        <v>0</v>
      </c>
    </row>
    <row r="248" spans="2:20" hidden="1">
      <c r="B248" s="332" t="s">
        <v>1145</v>
      </c>
      <c r="C248" s="333">
        <f t="shared" si="26"/>
        <v>0</v>
      </c>
      <c r="D248" s="328"/>
      <c r="E248" s="328">
        <f>VLOOKUP(B248,DONGIA,DG!$B$6,0)</f>
        <v>0</v>
      </c>
      <c r="F248" s="329" t="str">
        <f>VLOOKUP(B248,DONGIA,DG!$C$6,0)</f>
        <v>Chụp đầu cosse  50mm2</v>
      </c>
      <c r="G248" s="328" t="str">
        <f>VLOOKUP(B248,DONGIA,DG!$D$6,0)</f>
        <v>cái</v>
      </c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S248" s="332">
        <f t="shared" si="25"/>
        <v>0</v>
      </c>
      <c r="T248" s="332">
        <f t="shared" si="27"/>
        <v>0</v>
      </c>
    </row>
    <row r="249" spans="2:20" hidden="1">
      <c r="B249" s="332" t="s">
        <v>1177</v>
      </c>
      <c r="C249" s="333">
        <f t="shared" si="26"/>
        <v>0</v>
      </c>
      <c r="D249" s="328"/>
      <c r="E249" s="328">
        <f>VLOOKUP(B249,DONGIA,DG!$B$6,0)</f>
        <v>0</v>
      </c>
      <c r="F249" s="329" t="str">
        <f>VLOOKUP(B249,DONGIA,DG!$C$6,0)</f>
        <v xml:space="preserve">Ống PVC D90x3,8mm </v>
      </c>
      <c r="G249" s="328" t="str">
        <f>VLOOKUP(B249,DONGIA,DG!$D$6,0)</f>
        <v>m</v>
      </c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S249" s="332">
        <f t="shared" si="25"/>
        <v>2</v>
      </c>
      <c r="T249" s="332">
        <f t="shared" si="27"/>
        <v>0</v>
      </c>
    </row>
    <row r="250" spans="2:20" hidden="1">
      <c r="B250" s="332" t="s">
        <v>455</v>
      </c>
      <c r="C250" s="333">
        <f t="shared" si="26"/>
        <v>0</v>
      </c>
      <c r="D250" s="328"/>
      <c r="E250" s="328">
        <f>VLOOKUP(B250,DONGIA,DG!$B$6,0)</f>
        <v>0</v>
      </c>
      <c r="F250" s="329" t="str">
        <f>VLOOKUP(B250,DONGIA,DG!$C$6,0)</f>
        <v>Cổ dê kẹp ống PVC φ 90 (có giá nới)</v>
      </c>
      <c r="G250" s="328" t="str">
        <f>VLOOKUP(B250,DONGIA,DG!$D$6,0)</f>
        <v>bộ</v>
      </c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S250" s="332">
        <f t="shared" si="25"/>
        <v>1.5</v>
      </c>
      <c r="T250" s="332">
        <f t="shared" si="27"/>
        <v>0</v>
      </c>
    </row>
    <row r="251" spans="2:20" hidden="1">
      <c r="B251" s="332" t="s">
        <v>455</v>
      </c>
      <c r="C251" s="333">
        <f t="shared" si="26"/>
        <v>0</v>
      </c>
      <c r="D251" s="328"/>
      <c r="E251" s="328">
        <f>VLOOKUP(B251,DONGIA,DG!$B$6,0)</f>
        <v>0</v>
      </c>
      <c r="F251" s="329" t="str">
        <f>VLOOKUP(B251,DONGIA,DG!$C$6,0)</f>
        <v>Cổ dê kẹp ống PVC φ 90 (có giá nới)</v>
      </c>
      <c r="G251" s="328" t="str">
        <f>VLOOKUP(B251,DONGIA,DG!$D$6,0)</f>
        <v>bộ</v>
      </c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S251" s="332">
        <f t="shared" si="25"/>
        <v>1.5</v>
      </c>
      <c r="T251" s="332">
        <f t="shared" si="27"/>
        <v>0</v>
      </c>
    </row>
    <row r="252" spans="2:20" hidden="1">
      <c r="B252" s="332" t="s">
        <v>455</v>
      </c>
      <c r="C252" s="333">
        <f t="shared" si="26"/>
        <v>0</v>
      </c>
      <c r="D252" s="328"/>
      <c r="E252" s="328">
        <f>VLOOKUP(B252,DONGIA,DG!$B$6,0)</f>
        <v>0</v>
      </c>
      <c r="F252" s="329" t="str">
        <f>VLOOKUP(B252,DONGIA,DG!$C$6,0)</f>
        <v>Cổ dê kẹp ống PVC φ 90 (có giá nới)</v>
      </c>
      <c r="G252" s="328" t="str">
        <f>VLOOKUP(B252,DONGIA,DG!$D$6,0)</f>
        <v>bộ</v>
      </c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S252" s="332">
        <f t="shared" si="25"/>
        <v>1.5</v>
      </c>
      <c r="T252" s="332">
        <f t="shared" si="27"/>
        <v>0</v>
      </c>
    </row>
    <row r="253" spans="2:20" hidden="1">
      <c r="B253" s="332" t="s">
        <v>1183</v>
      </c>
      <c r="C253" s="333">
        <f t="shared" si="26"/>
        <v>0</v>
      </c>
      <c r="D253" s="328"/>
      <c r="E253" s="328">
        <f>VLOOKUP(B253,DONGIA,DG!$B$6,0)</f>
        <v>0</v>
      </c>
      <c r="F253" s="329" t="str">
        <f>VLOOKUP(B253,DONGIA,DG!$C$6,0)</f>
        <v>Co  90 độ PVC 90</v>
      </c>
      <c r="G253" s="328" t="str">
        <f>VLOOKUP(B253,DONGIA,DG!$D$6,0)</f>
        <v>cái</v>
      </c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S253" s="332">
        <f t="shared" si="25"/>
        <v>0</v>
      </c>
      <c r="T253" s="332">
        <f t="shared" si="27"/>
        <v>0</v>
      </c>
    </row>
    <row r="254" spans="2:20" hidden="1">
      <c r="B254" s="332" t="s">
        <v>1940</v>
      </c>
      <c r="C254" s="333">
        <f t="shared" si="26"/>
        <v>0</v>
      </c>
      <c r="D254" s="328"/>
      <c r="E254" s="328">
        <f>VLOOKUP(B254,DONGIA,DG!$B$6,0)</f>
        <v>0</v>
      </c>
      <c r="F254" s="329" t="str">
        <f>VLOOKUP(B254,DONGIA,DG!$C$6,0)</f>
        <v>Nối giảm PVC 114-90</v>
      </c>
      <c r="G254" s="328" t="str">
        <f>VLOOKUP(B254,DONGIA,DG!$D$6,0)</f>
        <v>cái</v>
      </c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S254" s="332">
        <f t="shared" si="25"/>
        <v>0</v>
      </c>
      <c r="T254" s="332">
        <f t="shared" si="27"/>
        <v>0</v>
      </c>
    </row>
    <row r="255" spans="2:20" hidden="1">
      <c r="B255" s="332" t="s">
        <v>1181</v>
      </c>
      <c r="C255" s="333">
        <f t="shared" si="26"/>
        <v>0</v>
      </c>
      <c r="D255" s="328"/>
      <c r="E255" s="328">
        <f>VLOOKUP(B255,DONGIA,DG!$B$6,0)</f>
        <v>0</v>
      </c>
      <c r="F255" s="329" t="str">
        <f>VLOOKUP(B255,DONGIA,DG!$C$6,0)</f>
        <v>Co 135 độ PVC 90</v>
      </c>
      <c r="G255" s="328" t="str">
        <f>VLOOKUP(B255,DONGIA,DG!$D$6,0)</f>
        <v>cái</v>
      </c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S255" s="332">
        <f t="shared" si="25"/>
        <v>0</v>
      </c>
      <c r="T255" s="332">
        <f t="shared" si="27"/>
        <v>0</v>
      </c>
    </row>
    <row r="256" spans="2:20" hidden="1">
      <c r="B256" s="332" t="s">
        <v>1914</v>
      </c>
      <c r="C256" s="333">
        <f t="shared" si="26"/>
        <v>0</v>
      </c>
      <c r="D256" s="328"/>
      <c r="E256" s="328">
        <f>VLOOKUP(B256,DONGIA,DG!$B$6,0)</f>
        <v>0</v>
      </c>
      <c r="F256" s="329" t="str">
        <f>VLOOKUP(B256,DONGIA,DG!$C$6,0)</f>
        <v>Keo dán ống PVC (100gr)</v>
      </c>
      <c r="G256" s="328" t="str">
        <f>VLOOKUP(B256,DONGIA,DG!$D$6,0)</f>
        <v>tuýp</v>
      </c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S256" s="332">
        <f t="shared" si="25"/>
        <v>0</v>
      </c>
      <c r="T256" s="332">
        <f t="shared" si="27"/>
        <v>0</v>
      </c>
    </row>
    <row r="257" spans="2:20" hidden="1">
      <c r="B257" s="332" t="s">
        <v>1195</v>
      </c>
      <c r="C257" s="333">
        <f t="shared" si="26"/>
        <v>0</v>
      </c>
      <c r="D257" s="328"/>
      <c r="E257" s="328">
        <f>VLOOKUP(B257,DONGIA,DG!$B$6,0)</f>
        <v>0</v>
      </c>
      <c r="F257" s="329" t="str">
        <f>VLOOKUP(B257,DONGIA,DG!$C$6,0)</f>
        <v>Keo silicon bít miệng ống</v>
      </c>
      <c r="G257" s="328" t="str">
        <f>VLOOKUP(B257,DONGIA,DG!$D$6,0)</f>
        <v>ống</v>
      </c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S257" s="332">
        <f t="shared" si="25"/>
        <v>0</v>
      </c>
      <c r="T257" s="332">
        <f t="shared" si="27"/>
        <v>0</v>
      </c>
    </row>
    <row r="258" spans="2:20" hidden="1">
      <c r="B258" s="332" t="s">
        <v>1193</v>
      </c>
      <c r="C258" s="333">
        <f t="shared" si="26"/>
        <v>0</v>
      </c>
      <c r="D258" s="328"/>
      <c r="E258" s="328">
        <f>VLOOKUP(B258,DONGIA,DG!$B$6,0)</f>
        <v>0</v>
      </c>
      <c r="F258" s="329" t="str">
        <f>VLOOKUP(B258,DONGIA,DG!$C$6,0)</f>
        <v>Băng keo cách điện</v>
      </c>
      <c r="G258" s="328" t="str">
        <f>VLOOKUP(B258,DONGIA,DG!$D$6,0)</f>
        <v>cuộn</v>
      </c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S258" s="332">
        <f t="shared" ref="S258:S289" si="28">IFERROR(VLOOKUP(B258,DONGIA,$S$25,0),0)</f>
        <v>0</v>
      </c>
      <c r="T258" s="332">
        <f t="shared" si="27"/>
        <v>0</v>
      </c>
    </row>
    <row r="259" spans="2:20" hidden="1">
      <c r="B259" s="332" t="s">
        <v>855</v>
      </c>
      <c r="C259" s="333">
        <f t="shared" ref="C259:C280" si="29">IF(H259&lt;&gt;0,1,)</f>
        <v>0</v>
      </c>
      <c r="D259" s="328"/>
      <c r="E259" s="328" t="str">
        <f>VLOOKUP(B259,DONGIA,DG!$B$6,0)</f>
        <v>T4.8003</v>
      </c>
      <c r="F259" s="329" t="str">
        <f>VLOOKUP(B259,DONGIA,DG!$C$6,0)</f>
        <v>Lắp ống nhựa PVC D90</v>
      </c>
      <c r="G259" s="328" t="str">
        <f>VLOOKUP(B259,DONGIA,DG!$D$6,0)</f>
        <v>mét</v>
      </c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S259" s="332">
        <f t="shared" si="28"/>
        <v>0</v>
      </c>
      <c r="T259" s="332">
        <f t="shared" ref="T259:T281" si="30">H259*S259</f>
        <v>0</v>
      </c>
    </row>
    <row r="260" spans="2:20" hidden="1">
      <c r="B260" s="332" t="s">
        <v>1939</v>
      </c>
      <c r="C260" s="333">
        <f t="shared" si="29"/>
        <v>0</v>
      </c>
      <c r="D260" s="328"/>
      <c r="E260" s="328" t="str">
        <f>VLOOKUP(B260,DONGIA,DG!$B$6,0)</f>
        <v>T4.4201</v>
      </c>
      <c r="F260" s="329" t="str">
        <f>VLOOKUP(B260,DONGIA,DG!$C$6,0)</f>
        <v>Lắp cáp đồng xuống thiết bị D ≤ 95mm2</v>
      </c>
      <c r="G260" s="328" t="str">
        <f>VLOOKUP(B260,DONGIA,DG!$D$6,0)</f>
        <v>m</v>
      </c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S260" s="332">
        <f t="shared" si="28"/>
        <v>0</v>
      </c>
      <c r="T260" s="332">
        <f t="shared" si="30"/>
        <v>0</v>
      </c>
    </row>
    <row r="261" spans="2:20" hidden="1">
      <c r="C261" s="333">
        <f t="shared" si="29"/>
        <v>0</v>
      </c>
      <c r="D261" s="372">
        <f>IF(H261&lt;&gt;0,D240+1,D240)</f>
        <v>0</v>
      </c>
      <c r="E261" s="372"/>
      <c r="F261" s="373" t="s">
        <v>1938</v>
      </c>
      <c r="G261" s="372" t="s">
        <v>138</v>
      </c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S261" s="332">
        <f t="shared" si="28"/>
        <v>0</v>
      </c>
      <c r="T261" s="332">
        <f t="shared" si="30"/>
        <v>0</v>
      </c>
    </row>
    <row r="262" spans="2:20" s="361" customFormat="1" hidden="1">
      <c r="C262" s="374">
        <f t="shared" si="29"/>
        <v>0</v>
      </c>
      <c r="D262" s="350"/>
      <c r="E262" s="350"/>
      <c r="F262" s="351" t="s">
        <v>1902</v>
      </c>
      <c r="G262" s="350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S262" s="361">
        <f t="shared" si="28"/>
        <v>0</v>
      </c>
      <c r="T262" s="361">
        <f t="shared" si="30"/>
        <v>0</v>
      </c>
    </row>
    <row r="263" spans="2:20" hidden="1">
      <c r="B263" s="332" t="s">
        <v>1907</v>
      </c>
      <c r="C263" s="333">
        <f t="shared" si="29"/>
        <v>0</v>
      </c>
      <c r="D263" s="328"/>
      <c r="E263" s="328">
        <f>VLOOKUP(B263,DONGIA,DG!$B$6,0)</f>
        <v>0</v>
      </c>
      <c r="F263" s="329" t="str">
        <f>VLOOKUP(B263,DONGIA,DG!$C$6,0)</f>
        <v>Cáp đồng bọc CV70</v>
      </c>
      <c r="G263" s="328" t="str">
        <f>VLOOKUP(B263,DONGIA,DG!$D$6,0)</f>
        <v>mét</v>
      </c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S263" s="332">
        <f t="shared" si="28"/>
        <v>0.73899999999999999</v>
      </c>
      <c r="T263" s="332">
        <f t="shared" si="30"/>
        <v>0</v>
      </c>
    </row>
    <row r="264" spans="2:20" hidden="1">
      <c r="B264" s="332" t="s">
        <v>1906</v>
      </c>
      <c r="C264" s="333">
        <f t="shared" si="29"/>
        <v>0</v>
      </c>
      <c r="D264" s="328"/>
      <c r="E264" s="328">
        <f>VLOOKUP(B264,DONGIA,DG!$B$6,0)</f>
        <v>0</v>
      </c>
      <c r="F264" s="329" t="str">
        <f>VLOOKUP(B264,DONGIA,DG!$C$6,0)</f>
        <v>Cáp đồng bọc CV50</v>
      </c>
      <c r="G264" s="328" t="str">
        <f>VLOOKUP(B264,DONGIA,DG!$D$6,0)</f>
        <v>mét</v>
      </c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S264" s="332">
        <f t="shared" si="28"/>
        <v>0.53400000000000003</v>
      </c>
      <c r="T264" s="332">
        <f t="shared" si="30"/>
        <v>0</v>
      </c>
    </row>
    <row r="265" spans="2:20" hidden="1">
      <c r="B265" s="332" t="s">
        <v>1113</v>
      </c>
      <c r="C265" s="333">
        <f t="shared" si="29"/>
        <v>0</v>
      </c>
      <c r="D265" s="328"/>
      <c r="E265" s="328" t="str">
        <f>VLOOKUP(B265,DONGIA,DG!$B$6,0)</f>
        <v>D4.5003</v>
      </c>
      <c r="F265" s="329" t="str">
        <f>VLOOKUP(B265,DONGIA,DG!$C$6,0)</f>
        <v>Đầu cosse ép Cu 70mm2</v>
      </c>
      <c r="G265" s="328" t="str">
        <f>VLOOKUP(B265,DONGIA,DG!$D$6,0)</f>
        <v>cái</v>
      </c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S265" s="332">
        <f t="shared" si="28"/>
        <v>0.2</v>
      </c>
      <c r="T265" s="332">
        <f t="shared" si="30"/>
        <v>0</v>
      </c>
    </row>
    <row r="266" spans="2:20" hidden="1">
      <c r="B266" s="332" t="s">
        <v>1110</v>
      </c>
      <c r="C266" s="333">
        <f t="shared" si="29"/>
        <v>0</v>
      </c>
      <c r="D266" s="328"/>
      <c r="E266" s="328" t="str">
        <f>VLOOKUP(B266,DONGIA,DG!$B$6,0)</f>
        <v>D4.5002</v>
      </c>
      <c r="F266" s="329" t="str">
        <f>VLOOKUP(B266,DONGIA,DG!$C$6,0)</f>
        <v>Đầu cosse ép Cu 50mm2</v>
      </c>
      <c r="G266" s="328" t="str">
        <f>VLOOKUP(B266,DONGIA,DG!$D$6,0)</f>
        <v>cái</v>
      </c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S266" s="332">
        <f t="shared" si="28"/>
        <v>0.1</v>
      </c>
      <c r="T266" s="332">
        <f t="shared" si="30"/>
        <v>0</v>
      </c>
    </row>
    <row r="267" spans="2:20" hidden="1">
      <c r="B267" s="332" t="s">
        <v>1147</v>
      </c>
      <c r="C267" s="333">
        <f t="shared" si="29"/>
        <v>0</v>
      </c>
      <c r="D267" s="328"/>
      <c r="E267" s="328">
        <f>VLOOKUP(B267,DONGIA,DG!$B$6,0)</f>
        <v>0</v>
      </c>
      <c r="F267" s="329" t="str">
        <f>VLOOKUP(B267,DONGIA,DG!$C$6,0)</f>
        <v>Chụp đầu cosse  70mm2</v>
      </c>
      <c r="G267" s="328" t="str">
        <f>VLOOKUP(B267,DONGIA,DG!$D$6,0)</f>
        <v>cái</v>
      </c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S267" s="332">
        <f t="shared" si="28"/>
        <v>0</v>
      </c>
      <c r="T267" s="332">
        <f t="shared" si="30"/>
        <v>0</v>
      </c>
    </row>
    <row r="268" spans="2:20" hidden="1">
      <c r="B268" s="332" t="s">
        <v>1145</v>
      </c>
      <c r="C268" s="333">
        <f t="shared" si="29"/>
        <v>0</v>
      </c>
      <c r="D268" s="328"/>
      <c r="E268" s="328">
        <f>VLOOKUP(B268,DONGIA,DG!$B$6,0)</f>
        <v>0</v>
      </c>
      <c r="F268" s="329" t="str">
        <f>VLOOKUP(B268,DONGIA,DG!$C$6,0)</f>
        <v>Chụp đầu cosse  50mm2</v>
      </c>
      <c r="G268" s="328" t="str">
        <f>VLOOKUP(B268,DONGIA,DG!$D$6,0)</f>
        <v>cái</v>
      </c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S268" s="332">
        <f t="shared" si="28"/>
        <v>0</v>
      </c>
      <c r="T268" s="332">
        <f t="shared" si="30"/>
        <v>0</v>
      </c>
    </row>
    <row r="269" spans="2:20" hidden="1">
      <c r="B269" s="332" t="s">
        <v>1177</v>
      </c>
      <c r="C269" s="333">
        <f t="shared" si="29"/>
        <v>0</v>
      </c>
      <c r="D269" s="328"/>
      <c r="E269" s="328">
        <f>VLOOKUP(B269,DONGIA,DG!$B$6,0)</f>
        <v>0</v>
      </c>
      <c r="F269" s="329" t="str">
        <f>VLOOKUP(B269,DONGIA,DG!$C$6,0)</f>
        <v xml:space="preserve">Ống PVC D90x3,8mm </v>
      </c>
      <c r="G269" s="328" t="str">
        <f>VLOOKUP(B269,DONGIA,DG!$D$6,0)</f>
        <v>m</v>
      </c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S269" s="332">
        <f t="shared" si="28"/>
        <v>2</v>
      </c>
      <c r="T269" s="332">
        <f t="shared" si="30"/>
        <v>0</v>
      </c>
    </row>
    <row r="270" spans="2:20" hidden="1">
      <c r="B270" s="332" t="s">
        <v>455</v>
      </c>
      <c r="C270" s="333">
        <f t="shared" si="29"/>
        <v>0</v>
      </c>
      <c r="D270" s="328"/>
      <c r="E270" s="328">
        <f>VLOOKUP(B270,DONGIA,DG!$B$6,0)</f>
        <v>0</v>
      </c>
      <c r="F270" s="329" t="str">
        <f>VLOOKUP(B270,DONGIA,DG!$C$6,0)</f>
        <v>Cổ dê kẹp ống PVC φ 90 (có giá nới)</v>
      </c>
      <c r="G270" s="328" t="str">
        <f>VLOOKUP(B270,DONGIA,DG!$D$6,0)</f>
        <v>bộ</v>
      </c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S270" s="332">
        <f t="shared" si="28"/>
        <v>1.5</v>
      </c>
      <c r="T270" s="332">
        <f t="shared" si="30"/>
        <v>0</v>
      </c>
    </row>
    <row r="271" spans="2:20" hidden="1">
      <c r="B271" s="332" t="s">
        <v>455</v>
      </c>
      <c r="C271" s="333">
        <f t="shared" si="29"/>
        <v>0</v>
      </c>
      <c r="D271" s="328"/>
      <c r="E271" s="328">
        <f>VLOOKUP(B271,DONGIA,DG!$B$6,0)</f>
        <v>0</v>
      </c>
      <c r="F271" s="329" t="str">
        <f>VLOOKUP(B271,DONGIA,DG!$C$6,0)</f>
        <v>Cổ dê kẹp ống PVC φ 90 (có giá nới)</v>
      </c>
      <c r="G271" s="328" t="str">
        <f>VLOOKUP(B271,DONGIA,DG!$D$6,0)</f>
        <v>bộ</v>
      </c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S271" s="332">
        <f t="shared" si="28"/>
        <v>1.5</v>
      </c>
      <c r="T271" s="332">
        <f t="shared" si="30"/>
        <v>0</v>
      </c>
    </row>
    <row r="272" spans="2:20" hidden="1">
      <c r="B272" s="332" t="s">
        <v>455</v>
      </c>
      <c r="C272" s="333">
        <f t="shared" si="29"/>
        <v>0</v>
      </c>
      <c r="D272" s="328"/>
      <c r="E272" s="328">
        <f>VLOOKUP(B272,DONGIA,DG!$B$6,0)</f>
        <v>0</v>
      </c>
      <c r="F272" s="329" t="str">
        <f>VLOOKUP(B272,DONGIA,DG!$C$6,0)</f>
        <v>Cổ dê kẹp ống PVC φ 90 (có giá nới)</v>
      </c>
      <c r="G272" s="328" t="str">
        <f>VLOOKUP(B272,DONGIA,DG!$D$6,0)</f>
        <v>bộ</v>
      </c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S272" s="332">
        <f t="shared" si="28"/>
        <v>1.5</v>
      </c>
      <c r="T272" s="332">
        <f t="shared" si="30"/>
        <v>0</v>
      </c>
    </row>
    <row r="273" spans="1:20" hidden="1">
      <c r="B273" s="332" t="s">
        <v>1183</v>
      </c>
      <c r="C273" s="333">
        <f t="shared" si="29"/>
        <v>0</v>
      </c>
      <c r="D273" s="328"/>
      <c r="E273" s="328">
        <f>VLOOKUP(B273,DONGIA,DG!$B$6,0)</f>
        <v>0</v>
      </c>
      <c r="F273" s="329" t="str">
        <f>VLOOKUP(B273,DONGIA,DG!$C$6,0)</f>
        <v>Co  90 độ PVC 90</v>
      </c>
      <c r="G273" s="328" t="str">
        <f>VLOOKUP(B273,DONGIA,DG!$D$6,0)</f>
        <v>cái</v>
      </c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S273" s="332">
        <f t="shared" si="28"/>
        <v>0</v>
      </c>
      <c r="T273" s="332">
        <f t="shared" si="30"/>
        <v>0</v>
      </c>
    </row>
    <row r="274" spans="1:20" hidden="1">
      <c r="B274" s="332" t="s">
        <v>1181</v>
      </c>
      <c r="C274" s="333">
        <f t="shared" si="29"/>
        <v>0</v>
      </c>
      <c r="D274" s="328"/>
      <c r="E274" s="328">
        <f>VLOOKUP(B274,DONGIA,DG!$B$6,0)</f>
        <v>0</v>
      </c>
      <c r="F274" s="329" t="str">
        <f>VLOOKUP(B274,DONGIA,DG!$C$6,0)</f>
        <v>Co 135 độ PVC 90</v>
      </c>
      <c r="G274" s="328" t="str">
        <f>VLOOKUP(B274,DONGIA,DG!$D$6,0)</f>
        <v>cái</v>
      </c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S274" s="332">
        <f t="shared" si="28"/>
        <v>0</v>
      </c>
      <c r="T274" s="332">
        <f t="shared" si="30"/>
        <v>0</v>
      </c>
    </row>
    <row r="275" spans="1:20" hidden="1">
      <c r="B275" s="332" t="s">
        <v>1914</v>
      </c>
      <c r="C275" s="333">
        <f t="shared" si="29"/>
        <v>0</v>
      </c>
      <c r="D275" s="328"/>
      <c r="E275" s="328">
        <f>VLOOKUP(B275,DONGIA,DG!$B$6,0)</f>
        <v>0</v>
      </c>
      <c r="F275" s="329" t="str">
        <f>VLOOKUP(B275,DONGIA,DG!$C$6,0)</f>
        <v>Keo dán ống PVC (100gr)</v>
      </c>
      <c r="G275" s="328" t="str">
        <f>VLOOKUP(B275,DONGIA,DG!$D$6,0)</f>
        <v>tuýp</v>
      </c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S275" s="332">
        <f t="shared" si="28"/>
        <v>0</v>
      </c>
      <c r="T275" s="332">
        <f t="shared" si="30"/>
        <v>0</v>
      </c>
    </row>
    <row r="276" spans="1:20" hidden="1">
      <c r="B276" s="332" t="s">
        <v>1195</v>
      </c>
      <c r="C276" s="333">
        <f t="shared" si="29"/>
        <v>0</v>
      </c>
      <c r="D276" s="328"/>
      <c r="E276" s="328">
        <f>VLOOKUP(B276,DONGIA,DG!$B$6,0)</f>
        <v>0</v>
      </c>
      <c r="F276" s="329" t="str">
        <f>VLOOKUP(B276,DONGIA,DG!$C$6,0)</f>
        <v>Keo silicon bít miệng ống</v>
      </c>
      <c r="G276" s="328" t="str">
        <f>VLOOKUP(B276,DONGIA,DG!$D$6,0)</f>
        <v>ống</v>
      </c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S276" s="332">
        <f t="shared" si="28"/>
        <v>0</v>
      </c>
      <c r="T276" s="332">
        <f t="shared" si="30"/>
        <v>0</v>
      </c>
    </row>
    <row r="277" spans="1:20" hidden="1">
      <c r="B277" s="332" t="s">
        <v>1193</v>
      </c>
      <c r="C277" s="333">
        <f t="shared" si="29"/>
        <v>0</v>
      </c>
      <c r="D277" s="328"/>
      <c r="E277" s="328">
        <f>VLOOKUP(B277,DONGIA,DG!$B$6,0)</f>
        <v>0</v>
      </c>
      <c r="F277" s="329" t="str">
        <f>VLOOKUP(B277,DONGIA,DG!$C$6,0)</f>
        <v>Băng keo cách điện</v>
      </c>
      <c r="G277" s="328" t="str">
        <f>VLOOKUP(B277,DONGIA,DG!$D$6,0)</f>
        <v>cuộn</v>
      </c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S277" s="332">
        <f t="shared" si="28"/>
        <v>0</v>
      </c>
      <c r="T277" s="332">
        <f t="shared" si="30"/>
        <v>0</v>
      </c>
    </row>
    <row r="278" spans="1:20" hidden="1">
      <c r="B278" s="332" t="s">
        <v>855</v>
      </c>
      <c r="C278" s="333">
        <f t="shared" si="29"/>
        <v>0</v>
      </c>
      <c r="D278" s="328"/>
      <c r="E278" s="328" t="str">
        <f>VLOOKUP(B278,DONGIA,DG!$B$6,0)</f>
        <v>T4.8003</v>
      </c>
      <c r="F278" s="329" t="str">
        <f>VLOOKUP(B278,DONGIA,DG!$C$6,0)</f>
        <v>Lắp ống nhựa PVC D90</v>
      </c>
      <c r="G278" s="328" t="str">
        <f>VLOOKUP(B278,DONGIA,DG!$D$6,0)</f>
        <v>mét</v>
      </c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S278" s="332">
        <f t="shared" si="28"/>
        <v>0</v>
      </c>
      <c r="T278" s="332">
        <f t="shared" si="30"/>
        <v>0</v>
      </c>
    </row>
    <row r="279" spans="1:20" hidden="1">
      <c r="B279" s="332" t="s">
        <v>1939</v>
      </c>
      <c r="C279" s="333">
        <f t="shared" si="29"/>
        <v>0</v>
      </c>
      <c r="D279" s="328"/>
      <c r="E279" s="328" t="str">
        <f>VLOOKUP(B279,DONGIA,DG!$B$6,0)</f>
        <v>T4.4201</v>
      </c>
      <c r="F279" s="329" t="str">
        <f>VLOOKUP(B279,DONGIA,DG!$C$6,0)</f>
        <v>Lắp cáp đồng xuống thiết bị D ≤ 95mm2</v>
      </c>
      <c r="G279" s="328" t="str">
        <f>VLOOKUP(B279,DONGIA,DG!$D$6,0)</f>
        <v>m</v>
      </c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S279" s="332">
        <f t="shared" si="28"/>
        <v>0</v>
      </c>
      <c r="T279" s="332">
        <f t="shared" si="30"/>
        <v>0</v>
      </c>
    </row>
    <row r="280" spans="1:20" hidden="1">
      <c r="B280" s="332" t="s">
        <v>1058</v>
      </c>
      <c r="C280" s="333">
        <f t="shared" si="29"/>
        <v>0</v>
      </c>
      <c r="D280" s="372">
        <f>IF(H280&lt;&gt;0,D261+1,D261)</f>
        <v>0</v>
      </c>
      <c r="E280" s="372">
        <f>VLOOKUP(B280,DONGIA,DG!$B$6,0)</f>
        <v>0</v>
      </c>
      <c r="F280" s="373" t="str">
        <f>VLOOKUP(B280,DONGIA,DG!$C$6,0)</f>
        <v>Bảng tên trạm + bulon</v>
      </c>
      <c r="G280" s="372" t="str">
        <f>VLOOKUP(B280,DONGIA,DG!$D$6,0)</f>
        <v>bộ</v>
      </c>
      <c r="H280" s="372">
        <f>T1P50</f>
        <v>0</v>
      </c>
      <c r="I280" s="373"/>
      <c r="J280" s="373"/>
      <c r="K280" s="373"/>
      <c r="L280" s="373"/>
      <c r="M280" s="373"/>
      <c r="N280" s="373"/>
      <c r="O280" s="373"/>
      <c r="P280" s="373"/>
      <c r="Q280" s="373"/>
      <c r="S280" s="332">
        <f t="shared" si="28"/>
        <v>0</v>
      </c>
      <c r="T280" s="332">
        <f t="shared" si="30"/>
        <v>0</v>
      </c>
    </row>
    <row r="281" spans="1:20" s="353" customFormat="1" hidden="1">
      <c r="A281" s="353" t="s">
        <v>2812</v>
      </c>
      <c r="C281" s="333">
        <f>C282</f>
        <v>0</v>
      </c>
      <c r="D281" s="368"/>
      <c r="E281" s="369" t="str">
        <f>T1P2X25&amp;" Trạm 1 pha 2x25kVA"</f>
        <v>0 Trạm 1 pha 2x25kVA</v>
      </c>
      <c r="F281" s="368"/>
      <c r="G281" s="368"/>
      <c r="H281" s="368"/>
      <c r="I281" s="325"/>
      <c r="J281" s="325"/>
      <c r="K281" s="325"/>
      <c r="L281" s="325"/>
      <c r="M281" s="325"/>
      <c r="N281" s="325"/>
      <c r="O281" s="325"/>
      <c r="P281" s="325"/>
      <c r="Q281" s="368"/>
      <c r="S281" s="332">
        <f t="shared" si="28"/>
        <v>0</v>
      </c>
      <c r="T281" s="332">
        <f t="shared" si="30"/>
        <v>0</v>
      </c>
    </row>
    <row r="282" spans="1:20" hidden="1">
      <c r="A282" s="332" t="str">
        <f>"TB"&amp;A281</f>
        <v>TBTR2X25</v>
      </c>
      <c r="C282" s="333">
        <f>IF(M282&lt;&gt;0,1,)</f>
        <v>0</v>
      </c>
      <c r="D282" s="344"/>
      <c r="E282" s="344"/>
      <c r="F282" s="345" t="s">
        <v>1900</v>
      </c>
      <c r="G282" s="344"/>
      <c r="H282" s="345"/>
      <c r="I282" s="345"/>
      <c r="J282" s="345"/>
      <c r="K282" s="345"/>
      <c r="L282" s="345"/>
      <c r="M282" s="345">
        <f>SUM(M283:M289)</f>
        <v>0</v>
      </c>
      <c r="N282" s="345">
        <f>SUM(N283:N289)</f>
        <v>0</v>
      </c>
      <c r="O282" s="345">
        <f>SUM(O283:O289)</f>
        <v>0</v>
      </c>
      <c r="P282" s="345">
        <f>SUM(P283:P289)</f>
        <v>0</v>
      </c>
      <c r="Q282" s="345"/>
      <c r="S282" s="332">
        <f t="shared" si="28"/>
        <v>0</v>
      </c>
      <c r="T282" s="371">
        <f>SUM(T283:T289)</f>
        <v>0</v>
      </c>
    </row>
    <row r="283" spans="1:20" hidden="1">
      <c r="B283" s="332" t="s">
        <v>899</v>
      </c>
      <c r="C283" s="333">
        <f t="shared" ref="C283:C289" si="31">IF(H283&lt;&gt;0,1,)</f>
        <v>0</v>
      </c>
      <c r="D283" s="328"/>
      <c r="E283" s="328" t="str">
        <f>VLOOKUP(B283,DONGIA,DG!$B$6,0)</f>
        <v>T1.1431</v>
      </c>
      <c r="F283" s="329" t="str">
        <f>VLOOKUP(B283,DONGIA,DG!$C$6,0)</f>
        <v>Máy biến áp 12,7/0,22-0,44kV  25kVA</v>
      </c>
      <c r="G283" s="328" t="str">
        <f>VLOOKUP(B283,DONGIA,DG!$D$6,0)</f>
        <v>máy</v>
      </c>
      <c r="H283" s="329">
        <f>T1P2X25*2</f>
        <v>0</v>
      </c>
      <c r="I283" s="329">
        <f>VLOOKUP(B283,DONGIA,DG!$E$6,0)</f>
        <v>0</v>
      </c>
      <c r="J283" s="329"/>
      <c r="K283" s="329">
        <f>VLOOKUP(B283,DONGIA,DG!$F$6,0)</f>
        <v>647230</v>
      </c>
      <c r="L283" s="329">
        <f>VLOOKUP(B283,DONGIA,DG!$G$6,0)</f>
        <v>360605</v>
      </c>
      <c r="M283" s="329">
        <f>$H283*I283</f>
        <v>0</v>
      </c>
      <c r="N283" s="329">
        <f>$H283*J283</f>
        <v>0</v>
      </c>
      <c r="O283" s="329">
        <f>$H283*K283</f>
        <v>0</v>
      </c>
      <c r="P283" s="329">
        <f>$H283*L283</f>
        <v>0</v>
      </c>
      <c r="Q283" s="329"/>
      <c r="S283" s="332">
        <f t="shared" si="28"/>
        <v>320</v>
      </c>
      <c r="T283" s="332">
        <f t="shared" ref="T283:T289" si="32">H283*S283</f>
        <v>0</v>
      </c>
    </row>
    <row r="284" spans="1:20" hidden="1">
      <c r="A284" s="332" t="s">
        <v>477</v>
      </c>
      <c r="B284" s="332" t="s">
        <v>1444</v>
      </c>
      <c r="C284" s="333">
        <f t="shared" si="31"/>
        <v>0</v>
      </c>
      <c r="D284" s="328"/>
      <c r="E284" s="328" t="str">
        <f>VLOOKUP(B284,DONGIA,DG!$B$6,0)</f>
        <v>T2.3505</v>
      </c>
      <c r="F284" s="329" t="str">
        <f>VLOOKUP(B284,DONGIA,DG!$C$6,0)</f>
        <v>FCO 27kV - 100A</v>
      </c>
      <c r="G284" s="328" t="str">
        <f>VLOOKUP(B284,DONGIA,DG!$D$6,0)</f>
        <v>cái</v>
      </c>
      <c r="H284" s="329">
        <f>T1P2X25</f>
        <v>0</v>
      </c>
      <c r="I284" s="329">
        <f>VLOOKUP(B284,DONGIA,DG!$E$6,0)</f>
        <v>1070000</v>
      </c>
      <c r="J284" s="329"/>
      <c r="K284" s="329">
        <f>VLOOKUP(B284,DONGIA,DG!$F$6,0)</f>
        <v>189552</v>
      </c>
      <c r="L284" s="329">
        <f>VLOOKUP(B284,DONGIA,DG!$G$6,0)</f>
        <v>0</v>
      </c>
      <c r="M284" s="329">
        <f t="shared" ref="M284:M289" si="33">$H284*I284</f>
        <v>0</v>
      </c>
      <c r="N284" s="329">
        <f t="shared" ref="N284:N289" si="34">$H284*J284</f>
        <v>0</v>
      </c>
      <c r="O284" s="329">
        <f t="shared" ref="O284:O289" si="35">$H284*K284</f>
        <v>0</v>
      </c>
      <c r="P284" s="329">
        <f t="shared" ref="P284:P289" si="36">$H284*L284</f>
        <v>0</v>
      </c>
      <c r="Q284" s="329"/>
      <c r="S284" s="332">
        <f t="shared" si="28"/>
        <v>1.5</v>
      </c>
      <c r="T284" s="332">
        <f t="shared" si="32"/>
        <v>0</v>
      </c>
    </row>
    <row r="285" spans="1:20" hidden="1">
      <c r="A285" s="332" t="s">
        <v>477</v>
      </c>
      <c r="B285" s="332" t="s">
        <v>943</v>
      </c>
      <c r="C285" s="333">
        <f t="shared" si="31"/>
        <v>0</v>
      </c>
      <c r="D285" s="328"/>
      <c r="E285" s="328" t="str">
        <f>VLOOKUP(B285,DONGIA,DG!$B$6,0)</f>
        <v>T2.5004</v>
      </c>
      <c r="F285" s="329" t="str">
        <f>VLOOKUP(B285,DONGIA,DG!$C$6,0)</f>
        <v>LA 18kV 10kA</v>
      </c>
      <c r="G285" s="328" t="str">
        <f>VLOOKUP(B285,DONGIA,DG!$D$6,0)</f>
        <v>cái</v>
      </c>
      <c r="H285" s="329">
        <f>T1P2X25</f>
        <v>0</v>
      </c>
      <c r="I285" s="329">
        <f>VLOOKUP(B285,DONGIA,DG!$E$6,0)</f>
        <v>875000</v>
      </c>
      <c r="J285" s="329"/>
      <c r="K285" s="329">
        <f>VLOOKUP(B285,DONGIA,DG!$F$6,0)</f>
        <v>71082</v>
      </c>
      <c r="L285" s="329">
        <f>VLOOKUP(B285,DONGIA,DG!$G$6,0)</f>
        <v>0</v>
      </c>
      <c r="M285" s="329">
        <f t="shared" si="33"/>
        <v>0</v>
      </c>
      <c r="N285" s="329">
        <f t="shared" si="34"/>
        <v>0</v>
      </c>
      <c r="O285" s="329">
        <f t="shared" si="35"/>
        <v>0</v>
      </c>
      <c r="P285" s="329">
        <f t="shared" si="36"/>
        <v>0</v>
      </c>
      <c r="Q285" s="329"/>
      <c r="S285" s="332">
        <f t="shared" si="28"/>
        <v>0.8</v>
      </c>
      <c r="T285" s="332">
        <f t="shared" si="32"/>
        <v>0</v>
      </c>
    </row>
    <row r="286" spans="1:20" hidden="1">
      <c r="A286" s="332" t="s">
        <v>477</v>
      </c>
      <c r="B286" s="332" t="s">
        <v>2948</v>
      </c>
      <c r="C286" s="333">
        <f t="shared" si="31"/>
        <v>0</v>
      </c>
      <c r="D286" s="328"/>
      <c r="E286" s="328"/>
      <c r="F286" s="329" t="str">
        <f>VLOOKUP(B286,DONGIA,DG!$C$6,0)</f>
        <v>MCCB 3 cực 400V - 160A - 35KA (100-160A)</v>
      </c>
      <c r="G286" s="328" t="str">
        <f>VLOOKUP(B286,DONGIA,DG!$D$6,0)</f>
        <v>cái</v>
      </c>
      <c r="H286" s="329">
        <f>T1P2X25</f>
        <v>0</v>
      </c>
      <c r="I286" s="329">
        <f>VLOOKUP(B286,DONGIA,DG!$E$6,0)</f>
        <v>1440000</v>
      </c>
      <c r="J286" s="329"/>
      <c r="K286" s="329"/>
      <c r="L286" s="329">
        <f>VLOOKUP(B286,DONGIA,DG!$G$6,0)</f>
        <v>0</v>
      </c>
      <c r="M286" s="329">
        <f t="shared" si="33"/>
        <v>0</v>
      </c>
      <c r="N286" s="329">
        <f t="shared" si="34"/>
        <v>0</v>
      </c>
      <c r="O286" s="329">
        <f t="shared" si="35"/>
        <v>0</v>
      </c>
      <c r="P286" s="329">
        <f t="shared" si="36"/>
        <v>0</v>
      </c>
      <c r="Q286" s="329"/>
      <c r="S286" s="332">
        <f t="shared" si="28"/>
        <v>2</v>
      </c>
      <c r="T286" s="332">
        <f t="shared" si="32"/>
        <v>0</v>
      </c>
    </row>
    <row r="287" spans="1:20" hidden="1">
      <c r="A287" s="332" t="s">
        <v>477</v>
      </c>
      <c r="B287" s="332" t="s">
        <v>992</v>
      </c>
      <c r="C287" s="333">
        <f t="shared" si="31"/>
        <v>0</v>
      </c>
      <c r="D287" s="328"/>
      <c r="E287" s="328"/>
      <c r="F287" s="329" t="str">
        <f>VLOOKUP(B287,DONGIA,DG!$C$6,0)&amp;" (Phân đoạn)"</f>
        <v>MCCB 3 cực 400V - 125A - 30KA (80-125A) (Phân đoạn)</v>
      </c>
      <c r="G287" s="328" t="str">
        <f>VLOOKUP(B287,DONGIA,DG!$D$6,0)</f>
        <v>cái</v>
      </c>
      <c r="H287" s="329">
        <f>T1P2X25*2</f>
        <v>0</v>
      </c>
      <c r="I287" s="329">
        <f>VLOOKUP(B287,DONGIA,DG!$E$6,0)</f>
        <v>980000</v>
      </c>
      <c r="J287" s="329"/>
      <c r="K287" s="329"/>
      <c r="L287" s="329">
        <f>VLOOKUP(B287,DONGIA,DG!$G$6,0)</f>
        <v>0</v>
      </c>
      <c r="M287" s="329">
        <f>$H287*I287</f>
        <v>0</v>
      </c>
      <c r="N287" s="329">
        <f>$H287*J287</f>
        <v>0</v>
      </c>
      <c r="O287" s="329">
        <f>$H287*K287</f>
        <v>0</v>
      </c>
      <c r="P287" s="329">
        <f>$H287*L287</f>
        <v>0</v>
      </c>
      <c r="Q287" s="329"/>
      <c r="S287" s="332">
        <f t="shared" si="28"/>
        <v>2</v>
      </c>
      <c r="T287" s="332">
        <f>H287*S287</f>
        <v>0</v>
      </c>
    </row>
    <row r="288" spans="1:20" hidden="1">
      <c r="A288" s="332" t="s">
        <v>477</v>
      </c>
      <c r="B288" s="332" t="s">
        <v>946</v>
      </c>
      <c r="C288" s="333">
        <f t="shared" si="31"/>
        <v>0</v>
      </c>
      <c r="D288" s="328"/>
      <c r="E288" s="328">
        <f>VLOOKUP(B288,DONGIA,DG!$B$6,0)</f>
        <v>0</v>
      </c>
      <c r="F288" s="329" t="str">
        <f>VLOOKUP(B288,DONGIA,DG!$C$6,0)</f>
        <v>Biến dòng 600V - 100/5A</v>
      </c>
      <c r="G288" s="328" t="str">
        <f>VLOOKUP(B288,DONGIA,DG!$D$6,0)</f>
        <v>cái</v>
      </c>
      <c r="H288" s="329">
        <f>T1P2X25*2</f>
        <v>0</v>
      </c>
      <c r="I288" s="329">
        <f>VLOOKUP(B288,DONGIA,DG!$E$6,0)</f>
        <v>0</v>
      </c>
      <c r="J288" s="329"/>
      <c r="K288" s="329">
        <f>VLOOKUP(B288,DONGIA,DG!$F$6,0)</f>
        <v>0</v>
      </c>
      <c r="L288" s="329">
        <f>VLOOKUP(B288,DONGIA,DG!$G$6,0)</f>
        <v>0</v>
      </c>
      <c r="M288" s="329">
        <f t="shared" si="33"/>
        <v>0</v>
      </c>
      <c r="N288" s="329">
        <f t="shared" si="34"/>
        <v>0</v>
      </c>
      <c r="O288" s="329">
        <f t="shared" si="35"/>
        <v>0</v>
      </c>
      <c r="P288" s="329">
        <f t="shared" si="36"/>
        <v>0</v>
      </c>
      <c r="Q288" s="329"/>
      <c r="S288" s="332">
        <f t="shared" si="28"/>
        <v>0</v>
      </c>
      <c r="T288" s="332">
        <f t="shared" si="32"/>
        <v>0</v>
      </c>
    </row>
    <row r="289" spans="1:20" hidden="1">
      <c r="A289" s="332" t="s">
        <v>477</v>
      </c>
      <c r="B289" s="332" t="s">
        <v>2062</v>
      </c>
      <c r="C289" s="333">
        <f t="shared" si="31"/>
        <v>0</v>
      </c>
      <c r="D289" s="328"/>
      <c r="E289" s="328">
        <f>VLOOKUP(B289,DONGIA,DG!$B$6,0)</f>
        <v>0</v>
      </c>
      <c r="F289" s="329" t="str">
        <f>VLOOKUP(B289,DONGIA,DG!$C$6,0)</f>
        <v>Điện kế 3 pha 4 dây 220/380V-5A</v>
      </c>
      <c r="G289" s="328" t="str">
        <f>VLOOKUP(B289,DONGIA,DG!$D$6,0)</f>
        <v>cái</v>
      </c>
      <c r="H289" s="329">
        <f>T1P2X25</f>
        <v>0</v>
      </c>
      <c r="I289" s="329">
        <f>VLOOKUP(B289,DONGIA,DG!$E$6,0)</f>
        <v>0</v>
      </c>
      <c r="J289" s="329"/>
      <c r="K289" s="329">
        <f>VLOOKUP(B289,DONGIA,DG!$F$6,0)</f>
        <v>0</v>
      </c>
      <c r="L289" s="329">
        <f>VLOOKUP(B289,DONGIA,DG!$G$6,0)</f>
        <v>0</v>
      </c>
      <c r="M289" s="329">
        <f t="shared" si="33"/>
        <v>0</v>
      </c>
      <c r="N289" s="329">
        <f t="shared" si="34"/>
        <v>0</v>
      </c>
      <c r="O289" s="329">
        <f t="shared" si="35"/>
        <v>0</v>
      </c>
      <c r="P289" s="329">
        <f t="shared" si="36"/>
        <v>0</v>
      </c>
      <c r="Q289" s="329"/>
      <c r="S289" s="332">
        <f t="shared" si="28"/>
        <v>1.5</v>
      </c>
      <c r="T289" s="332">
        <f t="shared" si="32"/>
        <v>0</v>
      </c>
    </row>
    <row r="290" spans="1:20" hidden="1">
      <c r="A290" s="332" t="str">
        <f>"VL"&amp;A281</f>
        <v>VLTR2X25</v>
      </c>
      <c r="C290" s="333">
        <f>IF(M290&lt;&gt;0,1,)</f>
        <v>0</v>
      </c>
      <c r="D290" s="344"/>
      <c r="E290" s="344"/>
      <c r="F290" s="345" t="s">
        <v>1901</v>
      </c>
      <c r="G290" s="344"/>
      <c r="H290" s="345"/>
      <c r="I290" s="345"/>
      <c r="J290" s="345"/>
      <c r="K290" s="345"/>
      <c r="L290" s="345"/>
      <c r="M290" s="345">
        <f>SUM(M291:M407)</f>
        <v>0</v>
      </c>
      <c r="N290" s="345">
        <f>SUM(N291:N407)</f>
        <v>0</v>
      </c>
      <c r="O290" s="345">
        <f>SUM(O291:O407)</f>
        <v>0</v>
      </c>
      <c r="P290" s="345">
        <f>SUM(P291:P407)</f>
        <v>0</v>
      </c>
      <c r="Q290" s="345"/>
      <c r="S290" s="332">
        <f t="shared" ref="S290:S311" si="37">IFERROR(VLOOKUP(B290,DONGIA,$S$25,0),0)</f>
        <v>0</v>
      </c>
      <c r="T290" s="371">
        <f>SUM(T291:T407)</f>
        <v>0</v>
      </c>
    </row>
    <row r="291" spans="1:20" hidden="1">
      <c r="C291" s="333">
        <f t="shared" ref="C291:C297" si="38">IF(H291&lt;&gt;0,1,)</f>
        <v>0</v>
      </c>
      <c r="D291" s="372">
        <f>IF(H291&lt;&gt;0,1,)</f>
        <v>0</v>
      </c>
      <c r="E291" s="372"/>
      <c r="F291" s="373" t="s">
        <v>1931</v>
      </c>
      <c r="G291" s="372" t="s">
        <v>138</v>
      </c>
      <c r="H291" s="372">
        <f>T1P2X25</f>
        <v>0</v>
      </c>
      <c r="I291" s="373"/>
      <c r="J291" s="373"/>
      <c r="K291" s="373"/>
      <c r="L291" s="373"/>
      <c r="M291" s="373"/>
      <c r="N291" s="373"/>
      <c r="O291" s="373"/>
      <c r="P291" s="373"/>
      <c r="Q291" s="373"/>
      <c r="S291" s="332">
        <f t="shared" si="37"/>
        <v>0</v>
      </c>
      <c r="T291" s="332">
        <f t="shared" ref="T291:T361" si="39">H291*S291</f>
        <v>0</v>
      </c>
    </row>
    <row r="292" spans="1:20" hidden="1">
      <c r="A292" s="332" t="s">
        <v>477</v>
      </c>
      <c r="B292" s="332" t="s">
        <v>1007</v>
      </c>
      <c r="C292" s="333">
        <f t="shared" si="38"/>
        <v>0</v>
      </c>
      <c r="D292" s="328"/>
      <c r="E292" s="328">
        <f>VLOOKUP(B292,DONGIA,DG!$B$6,0)</f>
        <v>0</v>
      </c>
      <c r="F292" s="329" t="str">
        <f>VLOOKUP(B292,DONGIA,DG!$C$6,0)</f>
        <v>Dây chảy 3K</v>
      </c>
      <c r="G292" s="328" t="str">
        <f>VLOOKUP(B292,DONGIA,DG!$D$6,0)</f>
        <v>Sợi</v>
      </c>
      <c r="H292" s="329">
        <f>H291</f>
        <v>0</v>
      </c>
      <c r="I292" s="329">
        <f>VLOOKUP(B292,DONGIA,DG!$E$6,0)</f>
        <v>47000</v>
      </c>
      <c r="J292" s="329"/>
      <c r="K292" s="329">
        <f>VLOOKUP(B292,DONGIA,DG!$F$6,0)</f>
        <v>0</v>
      </c>
      <c r="L292" s="329">
        <f>VLOOKUP(B292,DONGIA,DG!$G$6,0)</f>
        <v>0</v>
      </c>
      <c r="M292" s="329">
        <f t="shared" ref="M292:P296" si="40">$H292*I292</f>
        <v>0</v>
      </c>
      <c r="N292" s="329">
        <f t="shared" si="40"/>
        <v>0</v>
      </c>
      <c r="O292" s="329">
        <f t="shared" si="40"/>
        <v>0</v>
      </c>
      <c r="P292" s="329">
        <f t="shared" si="40"/>
        <v>0</v>
      </c>
      <c r="Q292" s="329"/>
      <c r="S292" s="332">
        <f t="shared" si="37"/>
        <v>0</v>
      </c>
      <c r="T292" s="332">
        <f t="shared" si="39"/>
        <v>0</v>
      </c>
    </row>
    <row r="293" spans="1:20" hidden="1">
      <c r="A293" s="332" t="s">
        <v>477</v>
      </c>
      <c r="B293" s="332" t="s">
        <v>131</v>
      </c>
      <c r="C293" s="333">
        <f t="shared" si="38"/>
        <v>0</v>
      </c>
      <c r="D293" s="328"/>
      <c r="E293" s="328">
        <f>VLOOKUP(B293,DONGIA,DG!$B$6,0)</f>
        <v>0</v>
      </c>
      <c r="F293" s="329" t="str">
        <f>VLOOKUP(B293,DONGIA,DG!$C$6,0)</f>
        <v>Chụp đầu FCO (Trên + Dưới)</v>
      </c>
      <c r="G293" s="328" t="str">
        <f>VLOOKUP(B293,DONGIA,DG!$D$6,0)</f>
        <v>bộ</v>
      </c>
      <c r="H293" s="329">
        <f>H291</f>
        <v>0</v>
      </c>
      <c r="I293" s="329">
        <f>VLOOKUP(B293,DONGIA,DG!$E$6,0)</f>
        <v>190000</v>
      </c>
      <c r="J293" s="329"/>
      <c r="K293" s="329">
        <f>VLOOKUP(B293,DONGIA,DG!$F$6,0)</f>
        <v>0</v>
      </c>
      <c r="L293" s="329">
        <f>VLOOKUP(B293,DONGIA,DG!$G$6,0)</f>
        <v>0</v>
      </c>
      <c r="M293" s="329">
        <f t="shared" si="40"/>
        <v>0</v>
      </c>
      <c r="N293" s="329">
        <f t="shared" si="40"/>
        <v>0</v>
      </c>
      <c r="O293" s="329">
        <f t="shared" si="40"/>
        <v>0</v>
      </c>
      <c r="P293" s="329">
        <f t="shared" si="40"/>
        <v>0</v>
      </c>
      <c r="Q293" s="329"/>
      <c r="S293" s="332">
        <f t="shared" si="37"/>
        <v>0</v>
      </c>
      <c r="T293" s="332">
        <f t="shared" si="39"/>
        <v>0</v>
      </c>
    </row>
    <row r="294" spans="1:20" hidden="1">
      <c r="A294" s="332" t="s">
        <v>477</v>
      </c>
      <c r="B294" s="332" t="s">
        <v>133</v>
      </c>
      <c r="C294" s="333">
        <f t="shared" si="38"/>
        <v>0</v>
      </c>
      <c r="D294" s="328"/>
      <c r="E294" s="328">
        <f>VLOOKUP(B294,DONGIA,DG!$B$6,0)</f>
        <v>0</v>
      </c>
      <c r="F294" s="329" t="str">
        <f>VLOOKUP(B294,DONGIA,DG!$C$6,0)</f>
        <v>Chụp đầu LA</v>
      </c>
      <c r="G294" s="328" t="str">
        <f>VLOOKUP(B294,DONGIA,DG!$D$6,0)</f>
        <v>cái</v>
      </c>
      <c r="H294" s="329">
        <f>H291</f>
        <v>0</v>
      </c>
      <c r="I294" s="329">
        <f>VLOOKUP(B294,DONGIA,DG!$E$6,0)</f>
        <v>32000</v>
      </c>
      <c r="J294" s="329"/>
      <c r="K294" s="329">
        <f>VLOOKUP(B294,DONGIA,DG!$F$6,0)</f>
        <v>0</v>
      </c>
      <c r="L294" s="329">
        <f>VLOOKUP(B294,DONGIA,DG!$G$6,0)</f>
        <v>0</v>
      </c>
      <c r="M294" s="329">
        <f t="shared" si="40"/>
        <v>0</v>
      </c>
      <c r="N294" s="329">
        <f t="shared" si="40"/>
        <v>0</v>
      </c>
      <c r="O294" s="329">
        <f t="shared" si="40"/>
        <v>0</v>
      </c>
      <c r="P294" s="329">
        <f t="shared" si="40"/>
        <v>0</v>
      </c>
      <c r="Q294" s="329"/>
      <c r="S294" s="332">
        <f t="shared" si="37"/>
        <v>0</v>
      </c>
      <c r="T294" s="332">
        <f t="shared" si="39"/>
        <v>0</v>
      </c>
    </row>
    <row r="295" spans="1:20" hidden="1">
      <c r="A295" s="332" t="s">
        <v>477</v>
      </c>
      <c r="B295" s="332" t="s">
        <v>135</v>
      </c>
      <c r="C295" s="333">
        <f t="shared" si="38"/>
        <v>0</v>
      </c>
      <c r="D295" s="328"/>
      <c r="E295" s="328">
        <f>VLOOKUP(B295,DONGIA,DG!$B$6,0)</f>
        <v>0</v>
      </c>
      <c r="F295" s="329" t="str">
        <f>VLOOKUP(B295,DONGIA,DG!$C$6,0)</f>
        <v>Chụp đầu cực MBA</v>
      </c>
      <c r="G295" s="328" t="str">
        <f>VLOOKUP(B295,DONGIA,DG!$D$6,0)</f>
        <v>cái</v>
      </c>
      <c r="H295" s="329">
        <f>H291*2</f>
        <v>0</v>
      </c>
      <c r="I295" s="329">
        <f>VLOOKUP(B295,DONGIA,DG!$E$6,0)</f>
        <v>52000</v>
      </c>
      <c r="J295" s="329"/>
      <c r="K295" s="329">
        <f>VLOOKUP(B295,DONGIA,DG!$F$6,0)</f>
        <v>0</v>
      </c>
      <c r="L295" s="329">
        <f>VLOOKUP(B295,DONGIA,DG!$G$6,0)</f>
        <v>0</v>
      </c>
      <c r="M295" s="329">
        <f t="shared" si="40"/>
        <v>0</v>
      </c>
      <c r="N295" s="329">
        <f t="shared" si="40"/>
        <v>0</v>
      </c>
      <c r="O295" s="329">
        <f t="shared" si="40"/>
        <v>0</v>
      </c>
      <c r="P295" s="329">
        <f t="shared" si="40"/>
        <v>0</v>
      </c>
      <c r="Q295" s="329"/>
      <c r="S295" s="332">
        <f t="shared" si="37"/>
        <v>0</v>
      </c>
      <c r="T295" s="332">
        <f t="shared" si="39"/>
        <v>0</v>
      </c>
    </row>
    <row r="296" spans="1:20" hidden="1">
      <c r="A296" s="332" t="s">
        <v>477</v>
      </c>
      <c r="B296" s="332" t="s">
        <v>35</v>
      </c>
      <c r="C296" s="333">
        <f t="shared" si="38"/>
        <v>0</v>
      </c>
      <c r="D296" s="328"/>
      <c r="E296" s="328">
        <f>VLOOKUP(B296,DONGIA,DG!$B$6,0)</f>
        <v>0</v>
      </c>
      <c r="F296" s="329" t="str">
        <f>VLOOKUP(B296,DONGIA,DG!$C$6,0)</f>
        <v>Boulon 16x300+ 2 long đền vuông D18-50x50x3/Zn</v>
      </c>
      <c r="G296" s="328" t="str">
        <f>VLOOKUP(B296,DONGIA,DG!$D$6,0)</f>
        <v>bộ</v>
      </c>
      <c r="H296" s="329">
        <f>H291*2*2</f>
        <v>0</v>
      </c>
      <c r="I296" s="329">
        <f>VLOOKUP(B296,DONGIA,DG!$E$6,0)</f>
        <v>30000</v>
      </c>
      <c r="J296" s="329"/>
      <c r="K296" s="329">
        <f>VLOOKUP(B296,DONGIA,DG!$F$6,0)</f>
        <v>0</v>
      </c>
      <c r="L296" s="329">
        <f>VLOOKUP(B296,DONGIA,DG!$G$6,0)</f>
        <v>0</v>
      </c>
      <c r="M296" s="329">
        <f t="shared" si="40"/>
        <v>0</v>
      </c>
      <c r="N296" s="329">
        <f t="shared" si="40"/>
        <v>0</v>
      </c>
      <c r="O296" s="329">
        <f t="shared" si="40"/>
        <v>0</v>
      </c>
      <c r="P296" s="329">
        <f t="shared" si="40"/>
        <v>0</v>
      </c>
      <c r="Q296" s="329"/>
      <c r="S296" s="332">
        <f t="shared" si="37"/>
        <v>0.25</v>
      </c>
      <c r="T296" s="332">
        <f>H296*S296</f>
        <v>0</v>
      </c>
    </row>
    <row r="297" spans="1:20" hidden="1">
      <c r="A297" s="332" t="s">
        <v>477</v>
      </c>
      <c r="C297" s="333">
        <f t="shared" si="38"/>
        <v>0</v>
      </c>
      <c r="D297" s="372">
        <f>IF(H297&lt;&gt;0,D291+1,D291)</f>
        <v>0</v>
      </c>
      <c r="E297" s="372"/>
      <c r="F297" s="373" t="s">
        <v>1932</v>
      </c>
      <c r="G297" s="372" t="s">
        <v>138</v>
      </c>
      <c r="H297" s="372">
        <f>T1P2X25</f>
        <v>0</v>
      </c>
      <c r="I297" s="373"/>
      <c r="J297" s="373"/>
      <c r="K297" s="373"/>
      <c r="L297" s="373"/>
      <c r="M297" s="373"/>
      <c r="N297" s="373"/>
      <c r="O297" s="373"/>
      <c r="P297" s="373"/>
      <c r="Q297" s="373"/>
      <c r="S297" s="332">
        <f t="shared" si="37"/>
        <v>0</v>
      </c>
      <c r="T297" s="332">
        <f t="shared" si="39"/>
        <v>0</v>
      </c>
    </row>
    <row r="298" spans="1:20" s="361" customFormat="1" hidden="1">
      <c r="A298" s="361" t="s">
        <v>477</v>
      </c>
      <c r="C298" s="374">
        <f>C297</f>
        <v>0</v>
      </c>
      <c r="D298" s="350"/>
      <c r="E298" s="350"/>
      <c r="F298" s="351" t="s">
        <v>1902</v>
      </c>
      <c r="G298" s="350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S298" s="361">
        <f t="shared" si="37"/>
        <v>0</v>
      </c>
      <c r="T298" s="361">
        <f t="shared" si="39"/>
        <v>0</v>
      </c>
    </row>
    <row r="299" spans="1:20" hidden="1">
      <c r="A299" s="332" t="s">
        <v>477</v>
      </c>
      <c r="B299" s="332" t="s">
        <v>15</v>
      </c>
      <c r="C299" s="333">
        <f t="shared" ref="C299:C306" si="41">IF(H299&lt;&gt;0,1,)</f>
        <v>0</v>
      </c>
      <c r="D299" s="328"/>
      <c r="E299" s="328">
        <f>VLOOKUP(B299,DONGIA,DG!$B$6,0)</f>
        <v>0</v>
      </c>
      <c r="F299" s="329" t="str">
        <f>VLOOKUP(B299,DONGIA,DG!$C$6,0)</f>
        <v>Đà hộp composite 110x80x5-800</v>
      </c>
      <c r="G299" s="328" t="str">
        <f>VLOOKUP(B299,DONGIA,DG!$D$6,0)</f>
        <v>cái</v>
      </c>
      <c r="H299" s="329">
        <f>H297*2</f>
        <v>0</v>
      </c>
      <c r="I299" s="329">
        <f>VLOOKUP(B299,DONGIA,DG!$E$6,0)</f>
        <v>541200</v>
      </c>
      <c r="J299" s="329"/>
      <c r="K299" s="329">
        <f>VLOOKUP(B299,DONGIA,DG!$F$6,0)</f>
        <v>0</v>
      </c>
      <c r="L299" s="329">
        <f>VLOOKUP(B299,DONGIA,DG!$G$6,0)</f>
        <v>0</v>
      </c>
      <c r="M299" s="329">
        <f t="shared" ref="M299:P305" si="42">$H299*I299</f>
        <v>0</v>
      </c>
      <c r="N299" s="329">
        <f t="shared" si="42"/>
        <v>0</v>
      </c>
      <c r="O299" s="329">
        <f t="shared" si="42"/>
        <v>0</v>
      </c>
      <c r="P299" s="329">
        <f t="shared" si="42"/>
        <v>0</v>
      </c>
      <c r="Q299" s="329"/>
      <c r="S299" s="332">
        <f t="shared" si="37"/>
        <v>3.2</v>
      </c>
      <c r="T299" s="332">
        <f t="shared" si="39"/>
        <v>0</v>
      </c>
    </row>
    <row r="300" spans="1:20" hidden="1">
      <c r="A300" s="332" t="s">
        <v>477</v>
      </c>
      <c r="B300" s="332" t="s">
        <v>17</v>
      </c>
      <c r="C300" s="333">
        <f t="shared" si="41"/>
        <v>0</v>
      </c>
      <c r="D300" s="328"/>
      <c r="E300" s="328">
        <f>VLOOKUP(B300,DONGIA,DG!$B$6,0)</f>
        <v>0</v>
      </c>
      <c r="F300" s="329" t="str">
        <f>VLOOKUP(B300,DONGIA,DG!$C$6,0)</f>
        <v>Thanh chống 10x40x710</v>
      </c>
      <c r="G300" s="328" t="str">
        <f>VLOOKUP(B300,DONGIA,DG!$D$6,0)</f>
        <v>cái</v>
      </c>
      <c r="H300" s="329">
        <f>H299</f>
        <v>0</v>
      </c>
      <c r="I300" s="329">
        <f>VLOOKUP(B300,DONGIA,DG!$E$6,0)</f>
        <v>79800</v>
      </c>
      <c r="J300" s="329"/>
      <c r="K300" s="329">
        <f>VLOOKUP(B300,DONGIA,DG!$F$6,0)</f>
        <v>0</v>
      </c>
      <c r="L300" s="329">
        <f>VLOOKUP(B300,DONGIA,DG!$G$6,0)</f>
        <v>0</v>
      </c>
      <c r="M300" s="329">
        <f t="shared" si="42"/>
        <v>0</v>
      </c>
      <c r="N300" s="329">
        <f t="shared" si="42"/>
        <v>0</v>
      </c>
      <c r="O300" s="329">
        <f t="shared" si="42"/>
        <v>0</v>
      </c>
      <c r="P300" s="329">
        <f t="shared" si="42"/>
        <v>0</v>
      </c>
      <c r="Q300" s="329"/>
      <c r="S300" s="332">
        <f t="shared" si="37"/>
        <v>0.5</v>
      </c>
      <c r="T300" s="332">
        <f t="shared" si="39"/>
        <v>0</v>
      </c>
    </row>
    <row r="301" spans="1:20" hidden="1">
      <c r="A301" s="332" t="s">
        <v>477</v>
      </c>
      <c r="B301" s="332" t="s">
        <v>137</v>
      </c>
      <c r="C301" s="333">
        <f t="shared" si="41"/>
        <v>0</v>
      </c>
      <c r="D301" s="328"/>
      <c r="E301" s="328">
        <f>VLOOKUP(B301,DONGIA,DG!$B$6,0)</f>
        <v>0</v>
      </c>
      <c r="F301" s="329" t="str">
        <f>VLOOKUP(B301,DONGIA,DG!$C$6,0)</f>
        <v>Bass LI bắt FCO, LA</v>
      </c>
      <c r="G301" s="328" t="str">
        <f>VLOOKUP(B301,DONGIA,DG!$D$6,0)</f>
        <v>Bộ</v>
      </c>
      <c r="H301" s="329">
        <f>H297*2</f>
        <v>0</v>
      </c>
      <c r="I301" s="329">
        <f>VLOOKUP(B301,DONGIA,DG!$E$6,0)</f>
        <v>38000</v>
      </c>
      <c r="J301" s="329"/>
      <c r="K301" s="329">
        <f>VLOOKUP(B301,DONGIA,DG!$F$6,0)</f>
        <v>0</v>
      </c>
      <c r="L301" s="329">
        <f>VLOOKUP(B301,DONGIA,DG!$G$6,0)</f>
        <v>0</v>
      </c>
      <c r="M301" s="329">
        <f t="shared" si="42"/>
        <v>0</v>
      </c>
      <c r="N301" s="329">
        <f t="shared" si="42"/>
        <v>0</v>
      </c>
      <c r="O301" s="329">
        <f t="shared" si="42"/>
        <v>0</v>
      </c>
      <c r="P301" s="329">
        <f t="shared" si="42"/>
        <v>0</v>
      </c>
      <c r="Q301" s="329"/>
      <c r="S301" s="332">
        <f t="shared" si="37"/>
        <v>0.4</v>
      </c>
      <c r="T301" s="332">
        <f t="shared" si="39"/>
        <v>0</v>
      </c>
    </row>
    <row r="302" spans="1:20" hidden="1">
      <c r="A302" s="332" t="s">
        <v>477</v>
      </c>
      <c r="B302" s="332" t="s">
        <v>1686</v>
      </c>
      <c r="C302" s="333">
        <f t="shared" si="41"/>
        <v>0</v>
      </c>
      <c r="D302" s="328"/>
      <c r="E302" s="328">
        <f>VLOOKUP(B302,DONGIA,DG!$B$6,0)</f>
        <v>0</v>
      </c>
      <c r="F302" s="329" t="str">
        <f>VLOOKUP(B302,DONGIA,DG!$C$6,0)</f>
        <v>Boulon 16x400VRS + 4 long đền vuông D18-50x50x3/Zn</v>
      </c>
      <c r="G302" s="328" t="str">
        <f>VLOOKUP(B302,DONGIA,DG!$D$6,0)</f>
        <v>bộ</v>
      </c>
      <c r="H302" s="329">
        <f>H297*2</f>
        <v>0</v>
      </c>
      <c r="I302" s="329">
        <f>VLOOKUP(B302,DONGIA,DG!$E$6,0)</f>
        <v>45000</v>
      </c>
      <c r="J302" s="329"/>
      <c r="K302" s="329">
        <f>VLOOKUP(B302,DONGIA,DG!$F$6,0)</f>
        <v>0</v>
      </c>
      <c r="L302" s="329">
        <f>VLOOKUP(B302,DONGIA,DG!$G$6,0)</f>
        <v>0</v>
      </c>
      <c r="M302" s="329">
        <f t="shared" si="42"/>
        <v>0</v>
      </c>
      <c r="N302" s="329">
        <f t="shared" si="42"/>
        <v>0</v>
      </c>
      <c r="O302" s="329">
        <f t="shared" si="42"/>
        <v>0</v>
      </c>
      <c r="P302" s="329">
        <f t="shared" si="42"/>
        <v>0</v>
      </c>
      <c r="Q302" s="329"/>
      <c r="S302" s="332">
        <f t="shared" si="37"/>
        <v>0.39999999999999997</v>
      </c>
      <c r="T302" s="332">
        <f t="shared" si="39"/>
        <v>0</v>
      </c>
    </row>
    <row r="303" spans="1:20" hidden="1">
      <c r="A303" s="332" t="s">
        <v>477</v>
      </c>
      <c r="B303" s="332" t="s">
        <v>35</v>
      </c>
      <c r="C303" s="333">
        <f t="shared" si="41"/>
        <v>0</v>
      </c>
      <c r="D303" s="328"/>
      <c r="E303" s="328">
        <f>VLOOKUP(B303,DONGIA,DG!$B$6,0)</f>
        <v>0</v>
      </c>
      <c r="F303" s="329" t="str">
        <f>VLOOKUP(B303,DONGIA,DG!$C$6,0)</f>
        <v>Boulon 16x300+ 2 long đền vuông D18-50x50x3/Zn</v>
      </c>
      <c r="G303" s="328" t="str">
        <f>VLOOKUP(B303,DONGIA,DG!$D$6,0)</f>
        <v>bộ</v>
      </c>
      <c r="H303" s="329">
        <f>H297</f>
        <v>0</v>
      </c>
      <c r="I303" s="329">
        <f>VLOOKUP(B303,DONGIA,DG!$E$6,0)</f>
        <v>30000</v>
      </c>
      <c r="J303" s="329"/>
      <c r="K303" s="329">
        <f>VLOOKUP(B303,DONGIA,DG!$F$6,0)</f>
        <v>0</v>
      </c>
      <c r="L303" s="329">
        <f>VLOOKUP(B303,DONGIA,DG!$G$6,0)</f>
        <v>0</v>
      </c>
      <c r="M303" s="329">
        <f t="shared" si="42"/>
        <v>0</v>
      </c>
      <c r="N303" s="329">
        <f t="shared" si="42"/>
        <v>0</v>
      </c>
      <c r="O303" s="329">
        <f t="shared" si="42"/>
        <v>0</v>
      </c>
      <c r="P303" s="329">
        <f t="shared" si="42"/>
        <v>0</v>
      </c>
      <c r="Q303" s="329"/>
      <c r="S303" s="332">
        <f t="shared" si="37"/>
        <v>0.25</v>
      </c>
      <c r="T303" s="332">
        <f t="shared" si="39"/>
        <v>0</v>
      </c>
    </row>
    <row r="304" spans="1:20" hidden="1">
      <c r="A304" s="332" t="s">
        <v>477</v>
      </c>
      <c r="B304" s="332" t="s">
        <v>27</v>
      </c>
      <c r="C304" s="333">
        <f t="shared" si="41"/>
        <v>0</v>
      </c>
      <c r="D304" s="328"/>
      <c r="E304" s="328">
        <f>VLOOKUP(B304,DONGIA,DG!$B$6,0)</f>
        <v>0</v>
      </c>
      <c r="F304" s="329" t="str">
        <f>VLOOKUP(B304,DONGIA,DG!$C$6,0)</f>
        <v>Boulon 14x120+ 2 long đền vuông D16-50x50x3/Zn</v>
      </c>
      <c r="G304" s="328" t="str">
        <f>VLOOKUP(B304,DONGIA,DG!$D$6,0)</f>
        <v>bộ</v>
      </c>
      <c r="H304" s="329">
        <f>H300</f>
        <v>0</v>
      </c>
      <c r="I304" s="329">
        <f>VLOOKUP(B304,DONGIA,DG!$E$6,0)</f>
        <v>19000</v>
      </c>
      <c r="J304" s="329"/>
      <c r="K304" s="329">
        <f>VLOOKUP(B304,DONGIA,DG!$F$6,0)</f>
        <v>0</v>
      </c>
      <c r="L304" s="329">
        <f>VLOOKUP(B304,DONGIA,DG!$G$6,0)</f>
        <v>0</v>
      </c>
      <c r="M304" s="329">
        <f t="shared" si="42"/>
        <v>0</v>
      </c>
      <c r="N304" s="329">
        <f t="shared" si="42"/>
        <v>0</v>
      </c>
      <c r="O304" s="329">
        <f t="shared" si="42"/>
        <v>0</v>
      </c>
      <c r="P304" s="329">
        <f t="shared" si="42"/>
        <v>0</v>
      </c>
      <c r="Q304" s="329"/>
      <c r="S304" s="332">
        <f t="shared" si="37"/>
        <v>0.2</v>
      </c>
      <c r="T304" s="332">
        <f t="shared" si="39"/>
        <v>0</v>
      </c>
    </row>
    <row r="305" spans="1:20" hidden="1">
      <c r="A305" s="332" t="s">
        <v>477</v>
      </c>
      <c r="B305" s="332" t="s">
        <v>619</v>
      </c>
      <c r="C305" s="333">
        <f t="shared" si="41"/>
        <v>0</v>
      </c>
      <c r="D305" s="328"/>
      <c r="E305" s="328" t="str">
        <f>VLOOKUP(B305,DONGIA,DG!$B$6,0)</f>
        <v>D2.6011</v>
      </c>
      <c r="F305" s="329" t="str">
        <f>VLOOKUP(B305,DONGIA,DG!$C$6,0)</f>
        <v>Lắp đà composite 800mm kép (KL &lt;=15kg, trụ BTLT, tính = 0.8 đà sắt)</v>
      </c>
      <c r="G305" s="328" t="str">
        <f>VLOOKUP(B305,DONGIA,DG!$D$6,0)</f>
        <v>bộ</v>
      </c>
      <c r="H305" s="329">
        <f>H297</f>
        <v>0</v>
      </c>
      <c r="I305" s="329">
        <f>VLOOKUP(B305,DONGIA,DG!$E$6,0)</f>
        <v>0</v>
      </c>
      <c r="J305" s="329"/>
      <c r="K305" s="329">
        <f>VLOOKUP(B305,DONGIA,DG!$F$6,0)</f>
        <v>134360</v>
      </c>
      <c r="L305" s="329">
        <f>VLOOKUP(B305,DONGIA,DG!$G$6,0)</f>
        <v>0</v>
      </c>
      <c r="M305" s="329">
        <f t="shared" si="42"/>
        <v>0</v>
      </c>
      <c r="N305" s="329">
        <f t="shared" si="42"/>
        <v>0</v>
      </c>
      <c r="O305" s="329">
        <f t="shared" si="42"/>
        <v>0</v>
      </c>
      <c r="P305" s="329">
        <f t="shared" si="42"/>
        <v>0</v>
      </c>
      <c r="Q305" s="329"/>
      <c r="S305" s="332">
        <f t="shared" si="37"/>
        <v>0</v>
      </c>
      <c r="T305" s="332">
        <f>H305*S305</f>
        <v>0</v>
      </c>
    </row>
    <row r="306" spans="1:20" hidden="1">
      <c r="A306" s="332" t="s">
        <v>477</v>
      </c>
      <c r="C306" s="333">
        <f t="shared" si="41"/>
        <v>0</v>
      </c>
      <c r="D306" s="372">
        <f>IF(H306&lt;&gt;0,D297+1,D297)</f>
        <v>0</v>
      </c>
      <c r="E306" s="372"/>
      <c r="F306" s="373" t="s">
        <v>1933</v>
      </c>
      <c r="G306" s="372" t="s">
        <v>138</v>
      </c>
      <c r="H306" s="372">
        <f>T1P2X25</f>
        <v>0</v>
      </c>
      <c r="I306" s="373"/>
      <c r="J306" s="373"/>
      <c r="K306" s="373"/>
      <c r="L306" s="373"/>
      <c r="M306" s="373"/>
      <c r="N306" s="373"/>
      <c r="O306" s="373"/>
      <c r="P306" s="373"/>
      <c r="Q306" s="373"/>
      <c r="S306" s="332">
        <f t="shared" si="37"/>
        <v>0</v>
      </c>
      <c r="T306" s="332">
        <f t="shared" si="39"/>
        <v>0</v>
      </c>
    </row>
    <row r="307" spans="1:20" s="361" customFormat="1" hidden="1">
      <c r="A307" s="361" t="s">
        <v>477</v>
      </c>
      <c r="C307" s="374">
        <f>C306</f>
        <v>0</v>
      </c>
      <c r="D307" s="350"/>
      <c r="E307" s="350"/>
      <c r="F307" s="351" t="s">
        <v>1902</v>
      </c>
      <c r="G307" s="350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S307" s="361">
        <f t="shared" si="37"/>
        <v>0</v>
      </c>
      <c r="T307" s="361">
        <f t="shared" si="39"/>
        <v>0</v>
      </c>
    </row>
    <row r="308" spans="1:20" hidden="1">
      <c r="A308" s="332" t="s">
        <v>477</v>
      </c>
      <c r="B308" s="332" t="s">
        <v>144</v>
      </c>
      <c r="C308" s="333">
        <f>IF(H308&lt;&gt;0,1,)</f>
        <v>0</v>
      </c>
      <c r="D308" s="328"/>
      <c r="E308" s="328">
        <f>VLOOKUP(B308,DONGIA,DG!$B$6,0)</f>
        <v>0</v>
      </c>
      <c r="F308" s="329" t="str">
        <f>VLOOKUP(B308,DONGIA,DG!$C$6,0)&amp;" ("&amp;TDTR1P&amp;" mét/trạm)"</f>
        <v>Cáp đồng trần M25mm2 (54 mét/trạm)</v>
      </c>
      <c r="G308" s="328" t="str">
        <f>VLOOKUP(B308,DONGIA,DG!$D$6,0)</f>
        <v>kg</v>
      </c>
      <c r="H308" s="442">
        <f>H306*TDTR1P*0.224</f>
        <v>0</v>
      </c>
      <c r="I308" s="329">
        <f>VLOOKUP(B308,DONGIA,DG!$E$6,0)</f>
        <v>201380</v>
      </c>
      <c r="J308" s="329"/>
      <c r="K308" s="329">
        <f>VLOOKUP(B308,DONGIA,DG!$F$6,0)</f>
        <v>0</v>
      </c>
      <c r="L308" s="329">
        <f>VLOOKUP(B308,DONGIA,DG!$G$6,0)</f>
        <v>0</v>
      </c>
      <c r="M308" s="329">
        <f>$H308*I308</f>
        <v>0</v>
      </c>
      <c r="N308" s="329">
        <f>$H308*J308</f>
        <v>0</v>
      </c>
      <c r="O308" s="329">
        <f>$H308*K308</f>
        <v>0</v>
      </c>
      <c r="P308" s="329">
        <f>$H308*L308</f>
        <v>0</v>
      </c>
      <c r="Q308" s="329"/>
      <c r="S308" s="332">
        <f t="shared" si="37"/>
        <v>1</v>
      </c>
      <c r="T308" s="332">
        <f t="shared" si="39"/>
        <v>0</v>
      </c>
    </row>
    <row r="309" spans="1:20" hidden="1">
      <c r="A309" s="332" t="s">
        <v>477</v>
      </c>
      <c r="B309" s="332" t="s">
        <v>278</v>
      </c>
      <c r="C309" s="333">
        <f>IF(H309&lt;&gt;0,1,)</f>
        <v>0</v>
      </c>
      <c r="D309" s="328"/>
      <c r="E309" s="328">
        <f>VLOOKUP(B309,DONGIA,DG!$B$6,0)</f>
        <v>0</v>
      </c>
      <c r="F309" s="329" t="str">
        <f>VLOOKUP(B309,DONGIA,DG!$C$6,0)</f>
        <v>Cọc tiếp đất φ16 - 2,4m (mạ đồng 16µm)</v>
      </c>
      <c r="G309" s="328" t="str">
        <f>VLOOKUP(B309,DONGIA,DG!$D$6,0)</f>
        <v>cọc</v>
      </c>
      <c r="H309" s="329">
        <f>H306*9</f>
        <v>0</v>
      </c>
      <c r="I309" s="329">
        <f>VLOOKUP(B309,DONGIA,DG!$E$6,0)</f>
        <v>130000</v>
      </c>
      <c r="J309" s="329"/>
      <c r="K309" s="329">
        <f>VLOOKUP(B309,DONGIA,DG!$F$6,0)</f>
        <v>0</v>
      </c>
      <c r="L309" s="329">
        <f>VLOOKUP(B309,DONGIA,DG!$G$6,0)</f>
        <v>0</v>
      </c>
      <c r="M309" s="329">
        <f t="shared" ref="M309:M315" si="43">$H309*I309</f>
        <v>0</v>
      </c>
      <c r="N309" s="329">
        <f t="shared" ref="N309:N315" si="44">$H309*J309</f>
        <v>0</v>
      </c>
      <c r="O309" s="329">
        <f t="shared" ref="O309:O315" si="45">$H309*K309</f>
        <v>0</v>
      </c>
      <c r="P309" s="329">
        <f t="shared" ref="P309:P315" si="46">$H309*L309</f>
        <v>0</v>
      </c>
      <c r="Q309" s="329"/>
      <c r="S309" s="332">
        <f t="shared" si="37"/>
        <v>5.3</v>
      </c>
      <c r="T309" s="332">
        <f t="shared" si="39"/>
        <v>0</v>
      </c>
    </row>
    <row r="310" spans="1:20" hidden="1">
      <c r="A310" s="332" t="s">
        <v>477</v>
      </c>
      <c r="B310" s="332" t="s">
        <v>280</v>
      </c>
      <c r="C310" s="333">
        <f>IF(H310&lt;&gt;0,1,)</f>
        <v>0</v>
      </c>
      <c r="D310" s="328"/>
      <c r="E310" s="328">
        <f>VLOOKUP(B310,DONGIA,DG!$B$6,0)</f>
        <v>0</v>
      </c>
      <c r="F310" s="329" t="str">
        <f>VLOOKUP(B310,DONGIA,DG!$C$6,0)</f>
        <v>Kẹp cọc tiếp địa</v>
      </c>
      <c r="G310" s="328" t="str">
        <f>VLOOKUP(B310,DONGIA,DG!$D$6,0)</f>
        <v>bộ</v>
      </c>
      <c r="H310" s="329">
        <f>H309</f>
        <v>0</v>
      </c>
      <c r="I310" s="329">
        <f>VLOOKUP(B310,DONGIA,DG!$E$6,0)</f>
        <v>25000</v>
      </c>
      <c r="J310" s="329"/>
      <c r="K310" s="329">
        <f>VLOOKUP(B310,DONGIA,DG!$F$6,0)</f>
        <v>0</v>
      </c>
      <c r="L310" s="329">
        <f>VLOOKUP(B310,DONGIA,DG!$G$6,0)</f>
        <v>0</v>
      </c>
      <c r="M310" s="329">
        <f t="shared" si="43"/>
        <v>0</v>
      </c>
      <c r="N310" s="329">
        <f t="shared" si="44"/>
        <v>0</v>
      </c>
      <c r="O310" s="329">
        <f t="shared" si="45"/>
        <v>0</v>
      </c>
      <c r="P310" s="329">
        <f t="shared" si="46"/>
        <v>0</v>
      </c>
      <c r="Q310" s="329"/>
      <c r="S310" s="332">
        <f t="shared" si="37"/>
        <v>0.05</v>
      </c>
      <c r="T310" s="332">
        <f t="shared" si="39"/>
        <v>0</v>
      </c>
    </row>
    <row r="311" spans="1:20" hidden="1">
      <c r="A311" s="332" t="s">
        <v>477</v>
      </c>
      <c r="B311" s="332" t="s">
        <v>1217</v>
      </c>
      <c r="C311" s="333">
        <f>IF(H311&lt;&gt;0,1,)</f>
        <v>0</v>
      </c>
      <c r="D311" s="328"/>
      <c r="E311" s="328">
        <f>VLOOKUP(B311,DONGIA,DG!$B$6,0)</f>
        <v>0</v>
      </c>
      <c r="F311" s="329" t="str">
        <f>VLOOKUP(B311,DONGIA,DG!$C$6,0)</f>
        <v xml:space="preserve">Ốc xiết cáp cỡ 38mm2 </v>
      </c>
      <c r="G311" s="328" t="str">
        <f>VLOOKUP(B311,DONGIA,DG!$D$6,0)</f>
        <v>cái</v>
      </c>
      <c r="H311" s="329">
        <f>H306*6</f>
        <v>0</v>
      </c>
      <c r="I311" s="329">
        <f>VLOOKUP(B311,DONGIA,DG!$E$6,0)</f>
        <v>18000</v>
      </c>
      <c r="J311" s="329"/>
      <c r="K311" s="329">
        <f>VLOOKUP(B311,DONGIA,DG!$F$6,0)</f>
        <v>0</v>
      </c>
      <c r="L311" s="329">
        <f>VLOOKUP(B311,DONGIA,DG!$G$6,0)</f>
        <v>0</v>
      </c>
      <c r="M311" s="329">
        <f t="shared" si="43"/>
        <v>0</v>
      </c>
      <c r="N311" s="329">
        <f t="shared" si="44"/>
        <v>0</v>
      </c>
      <c r="O311" s="329">
        <f t="shared" si="45"/>
        <v>0</v>
      </c>
      <c r="P311" s="329">
        <f t="shared" si="46"/>
        <v>0</v>
      </c>
      <c r="Q311" s="329"/>
      <c r="S311" s="332">
        <f t="shared" si="37"/>
        <v>0</v>
      </c>
      <c r="T311" s="332">
        <f t="shared" si="39"/>
        <v>0</v>
      </c>
    </row>
    <row r="312" spans="1:20" hidden="1">
      <c r="A312" s="332" t="s">
        <v>477</v>
      </c>
      <c r="B312" s="332" t="s">
        <v>573</v>
      </c>
      <c r="C312" s="333">
        <f>IF(H312&lt;&gt;0,1,)</f>
        <v>0</v>
      </c>
      <c r="D312" s="328"/>
      <c r="E312" s="328" t="str">
        <f>VLOOKUP(B312,DONGIA,DG!$B$6,0)</f>
        <v>T4.7001</v>
      </c>
      <c r="F312" s="329" t="str">
        <f>VLOOKUP(B312,DONGIA,DG!$C$6,0)</f>
        <v>Kéo dây tiếp địa trong TBA</v>
      </c>
      <c r="G312" s="328" t="str">
        <f>VLOOKUP(B312,DONGIA,DG!$D$6,0)</f>
        <v>mét</v>
      </c>
      <c r="H312" s="329">
        <f>TDTR1P*H306</f>
        <v>0</v>
      </c>
      <c r="I312" s="329">
        <f>VLOOKUP(B312,DONGIA,DG!$E$6,0)</f>
        <v>0</v>
      </c>
      <c r="J312" s="329"/>
      <c r="K312" s="329">
        <f>VLOOKUP(B312,DONGIA,DG!$F$6,0)</f>
        <v>6871</v>
      </c>
      <c r="L312" s="329">
        <f>VLOOKUP(B312,DONGIA,DG!$G$6,0)</f>
        <v>0</v>
      </c>
      <c r="M312" s="329">
        <f t="shared" si="43"/>
        <v>0</v>
      </c>
      <c r="N312" s="329">
        <f t="shared" si="44"/>
        <v>0</v>
      </c>
      <c r="O312" s="329">
        <f t="shared" si="45"/>
        <v>0</v>
      </c>
      <c r="P312" s="329">
        <f t="shared" si="46"/>
        <v>0</v>
      </c>
      <c r="Q312" s="329"/>
      <c r="S312" s="332">
        <f t="shared" ref="S312:S415" si="47">IFERROR(VLOOKUP(B312,DONGIA,$S$25,0),0)</f>
        <v>0</v>
      </c>
      <c r="T312" s="332">
        <f t="shared" si="39"/>
        <v>0</v>
      </c>
    </row>
    <row r="313" spans="1:20" hidden="1">
      <c r="A313" s="332" t="s">
        <v>477</v>
      </c>
      <c r="B313" s="332" t="s">
        <v>581</v>
      </c>
      <c r="C313" s="333">
        <f t="shared" ref="C313:C416" si="48">IF(H313&lt;&gt;0,1,)</f>
        <v>0</v>
      </c>
      <c r="D313" s="328"/>
      <c r="E313" s="328" t="str">
        <f>VLOOKUP(B313,DONGIA,DG!$B$6,0)</f>
        <v>D2.8103</v>
      </c>
      <c r="F313" s="329" t="str">
        <f>VLOOKUP(B313,DONGIA,DG!$C$6,0)</f>
        <v>Đóng cọc tiếp địa trong TBA (đất cấp 3)</v>
      </c>
      <c r="G313" s="328" t="str">
        <f>VLOOKUP(B313,DONGIA,DG!$D$6,0)</f>
        <v>cọc</v>
      </c>
      <c r="H313" s="329">
        <f>H309</f>
        <v>0</v>
      </c>
      <c r="I313" s="329">
        <f>VLOOKUP(B313,DONGIA,DG!$E$6,0)</f>
        <v>0</v>
      </c>
      <c r="J313" s="329"/>
      <c r="K313" s="329">
        <f>VLOOKUP(B313,DONGIA,DG!$F$6,0)</f>
        <v>76928</v>
      </c>
      <c r="L313" s="329">
        <f>VLOOKUP(B313,DONGIA,DG!$G$6,0)</f>
        <v>0</v>
      </c>
      <c r="M313" s="329">
        <f t="shared" si="43"/>
        <v>0</v>
      </c>
      <c r="N313" s="329">
        <f t="shared" si="44"/>
        <v>0</v>
      </c>
      <c r="O313" s="329">
        <f t="shared" si="45"/>
        <v>0</v>
      </c>
      <c r="P313" s="329">
        <f t="shared" si="46"/>
        <v>0</v>
      </c>
      <c r="Q313" s="329"/>
      <c r="S313" s="332">
        <f t="shared" si="47"/>
        <v>0</v>
      </c>
      <c r="T313" s="332">
        <f t="shared" si="39"/>
        <v>0</v>
      </c>
    </row>
    <row r="314" spans="1:20" hidden="1">
      <c r="A314" s="332" t="s">
        <v>477</v>
      </c>
      <c r="B314" s="332" t="s">
        <v>540</v>
      </c>
      <c r="C314" s="333">
        <f t="shared" si="48"/>
        <v>0</v>
      </c>
      <c r="D314" s="328"/>
      <c r="E314" s="363" t="str">
        <f>VLOOKUP(B314,DONGIA,DG!$B$6,0)</f>
        <v>AB.11513</v>
      </c>
      <c r="F314" s="362" t="str">
        <f>VLOOKUP(B314,DONGIA,DG!$C$6,0)&amp;" (ĐC hệ số 0,9)"</f>
        <v>Đào rãnh tiếp địa đất cấp 3 (ĐC hệ số 0,9)</v>
      </c>
      <c r="G314" s="363" t="str">
        <f>VLOOKUP(B314,DONGIA,DG!$D$6,0)</f>
        <v>m3</v>
      </c>
      <c r="H314" s="362">
        <f>H306*4.05</f>
        <v>0</v>
      </c>
      <c r="I314" s="362">
        <f>VLOOKUP(B314,DONGIA,DG!$E$6,0)</f>
        <v>0</v>
      </c>
      <c r="J314" s="362"/>
      <c r="K314" s="362">
        <f>ROUND(VLOOKUP(B314,DONGIA,DG!$F$6,0)/NCTBA,0)</f>
        <v>241580</v>
      </c>
      <c r="L314" s="362">
        <f>VLOOKUP(B314,DONGIA,DG!$G$6,0)</f>
        <v>0</v>
      </c>
      <c r="M314" s="362">
        <f t="shared" si="43"/>
        <v>0</v>
      </c>
      <c r="N314" s="362">
        <f t="shared" si="44"/>
        <v>0</v>
      </c>
      <c r="O314" s="362">
        <f t="shared" si="45"/>
        <v>0</v>
      </c>
      <c r="P314" s="362">
        <f t="shared" si="46"/>
        <v>0</v>
      </c>
      <c r="Q314" s="362"/>
      <c r="S314" s="332">
        <f t="shared" si="47"/>
        <v>0</v>
      </c>
      <c r="T314" s="332">
        <f t="shared" si="39"/>
        <v>0</v>
      </c>
    </row>
    <row r="315" spans="1:20" hidden="1">
      <c r="A315" s="332" t="s">
        <v>477</v>
      </c>
      <c r="B315" s="332" t="s">
        <v>547</v>
      </c>
      <c r="C315" s="333">
        <f t="shared" si="48"/>
        <v>0</v>
      </c>
      <c r="D315" s="328"/>
      <c r="E315" s="363" t="str">
        <f>VLOOKUP(B315,DONGIA,DG!$B$6,0)</f>
        <v>AB.65110</v>
      </c>
      <c r="F315" s="362" t="str">
        <f>VLOOKUP(B315,DONGIA,DG!$C$6,0)&amp;" (ĐC hệ số 0,9)"</f>
        <v>Đắp đất rãnh tiếp địa (K=0,85) (ĐC hệ số 0,9)</v>
      </c>
      <c r="G315" s="363" t="str">
        <f>VLOOKUP(B315,DONGIA,DG!$D$6,0)</f>
        <v>m3</v>
      </c>
      <c r="H315" s="362">
        <f>H314</f>
        <v>0</v>
      </c>
      <c r="I315" s="362">
        <f>VLOOKUP(B315,DONGIA,DG!$E$6,0)</f>
        <v>0</v>
      </c>
      <c r="J315" s="362"/>
      <c r="K315" s="362">
        <f>ROUND(VLOOKUP(B315,DONGIA,DG!$F$6,0)/NCTBA,0)</f>
        <v>16267</v>
      </c>
      <c r="L315" s="362">
        <f>VLOOKUP(B315,DONGIA,DG!$G$6,0)</f>
        <v>11176</v>
      </c>
      <c r="M315" s="362">
        <f t="shared" si="43"/>
        <v>0</v>
      </c>
      <c r="N315" s="362">
        <f t="shared" si="44"/>
        <v>0</v>
      </c>
      <c r="O315" s="362">
        <f t="shared" si="45"/>
        <v>0</v>
      </c>
      <c r="P315" s="362">
        <f t="shared" si="46"/>
        <v>0</v>
      </c>
      <c r="Q315" s="362"/>
      <c r="S315" s="332">
        <f t="shared" si="47"/>
        <v>0</v>
      </c>
      <c r="T315" s="332">
        <f t="shared" si="39"/>
        <v>0</v>
      </c>
    </row>
    <row r="316" spans="1:20" hidden="1">
      <c r="A316" s="332" t="s">
        <v>477</v>
      </c>
      <c r="C316" s="333">
        <f t="shared" si="48"/>
        <v>0</v>
      </c>
      <c r="D316" s="372">
        <f>IF(H316&lt;&gt;0,D306+1,D306)</f>
        <v>0</v>
      </c>
      <c r="E316" s="372"/>
      <c r="F316" s="373" t="s">
        <v>1934</v>
      </c>
      <c r="G316" s="372" t="s">
        <v>138</v>
      </c>
      <c r="H316" s="372">
        <f>T1P2X25</f>
        <v>0</v>
      </c>
      <c r="I316" s="373"/>
      <c r="J316" s="373"/>
      <c r="K316" s="373"/>
      <c r="L316" s="373"/>
      <c r="M316" s="373"/>
      <c r="N316" s="373"/>
      <c r="O316" s="373"/>
      <c r="P316" s="373"/>
      <c r="Q316" s="373"/>
      <c r="S316" s="332">
        <f t="shared" si="47"/>
        <v>0</v>
      </c>
      <c r="T316" s="332">
        <f t="shared" si="39"/>
        <v>0</v>
      </c>
    </row>
    <row r="317" spans="1:20" s="361" customFormat="1" hidden="1">
      <c r="A317" s="361" t="s">
        <v>477</v>
      </c>
      <c r="C317" s="374">
        <f>C316</f>
        <v>0</v>
      </c>
      <c r="D317" s="350"/>
      <c r="E317" s="350"/>
      <c r="F317" s="351" t="s">
        <v>1902</v>
      </c>
      <c r="G317" s="350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S317" s="361">
        <f t="shared" si="47"/>
        <v>0</v>
      </c>
      <c r="T317" s="361">
        <f t="shared" si="39"/>
        <v>0</v>
      </c>
    </row>
    <row r="318" spans="1:20" hidden="1">
      <c r="A318" s="332" t="s">
        <v>477</v>
      </c>
      <c r="B318" s="332" t="s">
        <v>989</v>
      </c>
      <c r="C318" s="333">
        <f t="shared" si="48"/>
        <v>0</v>
      </c>
      <c r="D318" s="328"/>
      <c r="E318" s="328" t="str">
        <f>VLOOKUP(B318,DONGIA,DG!$B$6,0)</f>
        <v>T5.1001</v>
      </c>
      <c r="F318" s="329" t="str">
        <f>VLOOKUP(B318,DONGIA,DG!$C$6,0)</f>
        <v>Tủ trạm treo + khóa + boulon + Bakelit + Collier (1 pha)</v>
      </c>
      <c r="G318" s="328" t="str">
        <f>VLOOKUP(B318,DONGIA,DG!$D$6,0)</f>
        <v>bộ</v>
      </c>
      <c r="H318" s="329">
        <f>H316</f>
        <v>0</v>
      </c>
      <c r="I318" s="329">
        <f>VLOOKUP(B318,DONGIA,DG!$E$6,0)</f>
        <v>5446000</v>
      </c>
      <c r="J318" s="329"/>
      <c r="K318" s="329">
        <f>VLOOKUP(B318,DONGIA,DG!$F$6,0)</f>
        <v>645165</v>
      </c>
      <c r="L318" s="329">
        <f>VLOOKUP(B318,DONGIA,DG!$G$6,0)</f>
        <v>111154</v>
      </c>
      <c r="M318" s="329">
        <f>$H318*I318</f>
        <v>0</v>
      </c>
      <c r="N318" s="329">
        <f>$H318*J318</f>
        <v>0</v>
      </c>
      <c r="O318" s="329">
        <f>$H318*K318</f>
        <v>0</v>
      </c>
      <c r="P318" s="329">
        <f>$H318*L318</f>
        <v>0</v>
      </c>
      <c r="Q318" s="329"/>
      <c r="S318" s="332">
        <f t="shared" si="47"/>
        <v>45</v>
      </c>
      <c r="T318" s="332">
        <f t="shared" si="39"/>
        <v>0</v>
      </c>
    </row>
    <row r="319" spans="1:20" hidden="1">
      <c r="C319" s="333">
        <f t="shared" si="48"/>
        <v>0</v>
      </c>
      <c r="D319" s="372">
        <f>IF(H319&lt;&gt;0,D316+1,D316)</f>
        <v>0</v>
      </c>
      <c r="E319" s="372"/>
      <c r="F319" s="373" t="s">
        <v>1935</v>
      </c>
      <c r="G319" s="372" t="s">
        <v>138</v>
      </c>
      <c r="H319" s="372">
        <f>T1P2X25</f>
        <v>0</v>
      </c>
      <c r="I319" s="373"/>
      <c r="J319" s="373"/>
      <c r="K319" s="373"/>
      <c r="L319" s="373"/>
      <c r="M319" s="373"/>
      <c r="N319" s="373"/>
      <c r="O319" s="373"/>
      <c r="P319" s="373"/>
      <c r="Q319" s="373"/>
      <c r="S319" s="332">
        <f t="shared" si="47"/>
        <v>0</v>
      </c>
      <c r="T319" s="332">
        <f t="shared" si="39"/>
        <v>0</v>
      </c>
    </row>
    <row r="320" spans="1:20" s="361" customFormat="1" hidden="1">
      <c r="C320" s="374">
        <f>C319</f>
        <v>0</v>
      </c>
      <c r="D320" s="350"/>
      <c r="E320" s="350"/>
      <c r="F320" s="351" t="s">
        <v>1902</v>
      </c>
      <c r="G320" s="350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S320" s="361">
        <f t="shared" si="47"/>
        <v>0</v>
      </c>
      <c r="T320" s="361">
        <f t="shared" si="39"/>
        <v>0</v>
      </c>
    </row>
    <row r="321" spans="2:20" hidden="1">
      <c r="B321" s="332" t="s">
        <v>1468</v>
      </c>
      <c r="C321" s="333">
        <f t="shared" si="48"/>
        <v>0</v>
      </c>
      <c r="D321" s="328"/>
      <c r="E321" s="328">
        <f>VLOOKUP(B321,DONGIA,DG!$B$6,0)</f>
        <v>0</v>
      </c>
      <c r="F321" s="329" t="str">
        <f>VLOOKUP(B321,DONGIA,DG!$C$6,0)</f>
        <v>Cáp 24KV C/XLPE/PVC 25mm2</v>
      </c>
      <c r="G321" s="328" t="str">
        <f>VLOOKUP(B321,DONGIA,DG!$D$6,0)</f>
        <v>mét</v>
      </c>
      <c r="H321" s="455">
        <f>H319*4.5</f>
        <v>0</v>
      </c>
      <c r="I321" s="329">
        <f>VLOOKUP(B321,DONGIA,DG!$E$6,0)</f>
        <v>87540</v>
      </c>
      <c r="J321" s="329"/>
      <c r="K321" s="329">
        <f>VLOOKUP(B321,DONGIA,DG!$F$6,0)</f>
        <v>0</v>
      </c>
      <c r="L321" s="329">
        <f>VLOOKUP(B321,DONGIA,DG!$G$6,0)</f>
        <v>0</v>
      </c>
      <c r="M321" s="329">
        <f t="shared" ref="M321:P325" si="49">$H321*I321</f>
        <v>0</v>
      </c>
      <c r="N321" s="329">
        <f t="shared" si="49"/>
        <v>0</v>
      </c>
      <c r="O321" s="329">
        <f t="shared" si="49"/>
        <v>0</v>
      </c>
      <c r="P321" s="329">
        <f t="shared" si="49"/>
        <v>0</v>
      </c>
      <c r="Q321" s="329"/>
      <c r="S321" s="332">
        <f t="shared" si="47"/>
        <v>0.75</v>
      </c>
      <c r="T321" s="332">
        <f t="shared" si="39"/>
        <v>0</v>
      </c>
    </row>
    <row r="322" spans="2:20" hidden="1">
      <c r="B322" s="332" t="s">
        <v>1507</v>
      </c>
      <c r="C322" s="333">
        <f t="shared" si="48"/>
        <v>0</v>
      </c>
      <c r="D322" s="328"/>
      <c r="E322" s="328"/>
      <c r="F322" s="329" t="str">
        <f>VLOOKUP(B322,DONGIA,DG!$C$6,0)</f>
        <v>Kẹp quai 4/0 (quai đồng 8mm)</v>
      </c>
      <c r="G322" s="328" t="str">
        <f>VLOOKUP(B322,DONGIA,DG!$D$6,0)</f>
        <v>cái</v>
      </c>
      <c r="H322" s="329">
        <f>H319</f>
        <v>0</v>
      </c>
      <c r="I322" s="329">
        <f>VLOOKUP(B322,DONGIA,DG!$E$6,0)</f>
        <v>145000</v>
      </c>
      <c r="J322" s="329"/>
      <c r="K322" s="329"/>
      <c r="L322" s="329">
        <f>VLOOKUP(B322,DONGIA,DG!$G$6,0)</f>
        <v>0</v>
      </c>
      <c r="M322" s="329">
        <f t="shared" si="49"/>
        <v>0</v>
      </c>
      <c r="N322" s="329">
        <f t="shared" si="49"/>
        <v>0</v>
      </c>
      <c r="O322" s="329">
        <f t="shared" si="49"/>
        <v>0</v>
      </c>
      <c r="P322" s="329">
        <f t="shared" si="49"/>
        <v>0</v>
      </c>
      <c r="Q322" s="329"/>
      <c r="S322" s="332">
        <f t="shared" si="47"/>
        <v>0.3</v>
      </c>
      <c r="T322" s="332">
        <f t="shared" si="39"/>
        <v>0</v>
      </c>
    </row>
    <row r="323" spans="2:20" hidden="1">
      <c r="B323" s="332" t="s">
        <v>1511</v>
      </c>
      <c r="C323" s="333">
        <f t="shared" si="48"/>
        <v>0</v>
      </c>
      <c r="D323" s="328"/>
      <c r="E323" s="328">
        <f>VLOOKUP(B323,DONGIA,DG!$B$6,0)</f>
        <v>0</v>
      </c>
      <c r="F323" s="329" t="str">
        <f>VLOOKUP(B323,DONGIA,DG!$C$6,0)</f>
        <v>Chụp cách điện kẹp quai</v>
      </c>
      <c r="G323" s="328" t="str">
        <f>VLOOKUP(B323,DONGIA,DG!$D$6,0)</f>
        <v>cái</v>
      </c>
      <c r="H323" s="329">
        <f>H322</f>
        <v>0</v>
      </c>
      <c r="I323" s="329">
        <f>VLOOKUP(B323,DONGIA,DG!$E$6,0)</f>
        <v>122000</v>
      </c>
      <c r="J323" s="329"/>
      <c r="K323" s="329">
        <f>VLOOKUP(B323,DONGIA,DG!$F$6,0)</f>
        <v>0</v>
      </c>
      <c r="L323" s="329">
        <f>VLOOKUP(B323,DONGIA,DG!$G$6,0)</f>
        <v>0</v>
      </c>
      <c r="M323" s="329">
        <f t="shared" si="49"/>
        <v>0</v>
      </c>
      <c r="N323" s="329">
        <f t="shared" si="49"/>
        <v>0</v>
      </c>
      <c r="O323" s="329">
        <f t="shared" si="49"/>
        <v>0</v>
      </c>
      <c r="P323" s="329">
        <f t="shared" si="49"/>
        <v>0</v>
      </c>
      <c r="Q323" s="329"/>
      <c r="S323" s="332">
        <f t="shared" si="47"/>
        <v>0.2</v>
      </c>
      <c r="T323" s="332">
        <f t="shared" si="39"/>
        <v>0</v>
      </c>
    </row>
    <row r="324" spans="2:20" hidden="1">
      <c r="B324" s="332" t="s">
        <v>1508</v>
      </c>
      <c r="C324" s="333">
        <f t="shared" si="48"/>
        <v>0</v>
      </c>
      <c r="D324" s="328"/>
      <c r="E324" s="328"/>
      <c r="F324" s="329" t="str">
        <f>VLOOKUP(B324,DONGIA,DG!$C$6,0)</f>
        <v>Kẹp hotline 2/0</v>
      </c>
      <c r="G324" s="328" t="str">
        <f>VLOOKUP(B324,DONGIA,DG!$D$6,0)</f>
        <v>cái</v>
      </c>
      <c r="H324" s="329">
        <f>H322</f>
        <v>0</v>
      </c>
      <c r="I324" s="329">
        <f>VLOOKUP(B324,DONGIA,DG!$E$6,0)</f>
        <v>68000</v>
      </c>
      <c r="J324" s="329"/>
      <c r="K324" s="329"/>
      <c r="L324" s="329">
        <f>VLOOKUP(B324,DONGIA,DG!$G$6,0)</f>
        <v>0</v>
      </c>
      <c r="M324" s="329">
        <f t="shared" si="49"/>
        <v>0</v>
      </c>
      <c r="N324" s="329">
        <f t="shared" si="49"/>
        <v>0</v>
      </c>
      <c r="O324" s="329">
        <f t="shared" si="49"/>
        <v>0</v>
      </c>
      <c r="P324" s="329">
        <f t="shared" si="49"/>
        <v>0</v>
      </c>
      <c r="Q324" s="329"/>
      <c r="S324" s="332">
        <f t="shared" si="47"/>
        <v>0.1</v>
      </c>
      <c r="T324" s="332">
        <f t="shared" si="39"/>
        <v>0</v>
      </c>
    </row>
    <row r="325" spans="2:20" hidden="1">
      <c r="B325" s="332" t="s">
        <v>1939</v>
      </c>
      <c r="C325" s="333">
        <f t="shared" si="48"/>
        <v>0</v>
      </c>
      <c r="D325" s="328"/>
      <c r="E325" s="328" t="str">
        <f>VLOOKUP(B325,DONGIA,DG!$B$6,0)</f>
        <v>T4.4201</v>
      </c>
      <c r="F325" s="329" t="str">
        <f>VLOOKUP(B325,DONGIA,DG!$C$6,0)</f>
        <v>Lắp cáp đồng xuống thiết bị D ≤ 95mm2</v>
      </c>
      <c r="G325" s="328" t="str">
        <f>VLOOKUP(B325,DONGIA,DG!$D$6,0)</f>
        <v>m</v>
      </c>
      <c r="H325" s="455">
        <f>H321</f>
        <v>0</v>
      </c>
      <c r="I325" s="329">
        <f>VLOOKUP(B325,DONGIA,DG!$E$6,0)</f>
        <v>0</v>
      </c>
      <c r="J325" s="329"/>
      <c r="K325" s="329">
        <f>VLOOKUP(B325,DONGIA,DG!$F$6,0)</f>
        <v>11847</v>
      </c>
      <c r="L325" s="329">
        <f>VLOOKUP(B325,DONGIA,DG!$G$6,0)</f>
        <v>0</v>
      </c>
      <c r="M325" s="329">
        <f t="shared" si="49"/>
        <v>0</v>
      </c>
      <c r="N325" s="329">
        <f t="shared" si="49"/>
        <v>0</v>
      </c>
      <c r="O325" s="329">
        <f t="shared" si="49"/>
        <v>0</v>
      </c>
      <c r="P325" s="329">
        <f t="shared" si="49"/>
        <v>0</v>
      </c>
      <c r="Q325" s="329"/>
      <c r="S325" s="332">
        <f t="shared" si="47"/>
        <v>0</v>
      </c>
      <c r="T325" s="332">
        <f t="shared" si="39"/>
        <v>0</v>
      </c>
    </row>
    <row r="326" spans="2:20" hidden="1">
      <c r="C326" s="333">
        <f t="shared" si="48"/>
        <v>0</v>
      </c>
      <c r="D326" s="372">
        <f>IF(H326&lt;&gt;0,D319+1,D319)</f>
        <v>0</v>
      </c>
      <c r="E326" s="372"/>
      <c r="F326" s="373" t="s">
        <v>1936</v>
      </c>
      <c r="G326" s="372" t="s">
        <v>138</v>
      </c>
      <c r="H326" s="372">
        <f>T1P2X25</f>
        <v>0</v>
      </c>
      <c r="I326" s="373"/>
      <c r="J326" s="373"/>
      <c r="K326" s="373"/>
      <c r="L326" s="373"/>
      <c r="M326" s="373"/>
      <c r="N326" s="373"/>
      <c r="O326" s="373"/>
      <c r="P326" s="373"/>
      <c r="Q326" s="373"/>
      <c r="S326" s="332">
        <f t="shared" si="47"/>
        <v>0</v>
      </c>
      <c r="T326" s="332">
        <f t="shared" si="39"/>
        <v>0</v>
      </c>
    </row>
    <row r="327" spans="2:20" s="361" customFormat="1" hidden="1">
      <c r="C327" s="374">
        <f>C326</f>
        <v>0</v>
      </c>
      <c r="D327" s="350"/>
      <c r="E327" s="350"/>
      <c r="F327" s="351" t="s">
        <v>1902</v>
      </c>
      <c r="G327" s="350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S327" s="361">
        <f t="shared" si="47"/>
        <v>0</v>
      </c>
      <c r="T327" s="361">
        <f t="shared" si="39"/>
        <v>0</v>
      </c>
    </row>
    <row r="328" spans="2:20" hidden="1">
      <c r="B328" s="332" t="s">
        <v>1908</v>
      </c>
      <c r="C328" s="333">
        <f t="shared" si="48"/>
        <v>0</v>
      </c>
      <c r="D328" s="328"/>
      <c r="E328" s="328">
        <f>VLOOKUP(B328,DONGIA,DG!$B$6,0)</f>
        <v>0</v>
      </c>
      <c r="F328" s="329" t="str">
        <f>VLOOKUP(B328,DONGIA,DG!$C$6,0)</f>
        <v>Cáp đồng bọc CV120</v>
      </c>
      <c r="G328" s="328" t="str">
        <f>VLOOKUP(B328,DONGIA,DG!$D$6,0)</f>
        <v>mét</v>
      </c>
      <c r="H328" s="455">
        <f>H326*2*9.5</f>
        <v>0</v>
      </c>
      <c r="I328" s="329">
        <f>VLOOKUP(B328,DONGIA,DG!$E$6,0)</f>
        <v>245040</v>
      </c>
      <c r="J328" s="329"/>
      <c r="K328" s="329">
        <f>VLOOKUP(B328,DONGIA,DG!$F$6,0)</f>
        <v>0</v>
      </c>
      <c r="L328" s="329">
        <f>VLOOKUP(B328,DONGIA,DG!$G$6,0)</f>
        <v>0</v>
      </c>
      <c r="M328" s="329">
        <f>$H328*I328</f>
        <v>0</v>
      </c>
      <c r="N328" s="329">
        <f>$H328*J328</f>
        <v>0</v>
      </c>
      <c r="O328" s="329">
        <f>$H328*K328</f>
        <v>0</v>
      </c>
      <c r="P328" s="329">
        <f>$H328*L328</f>
        <v>0</v>
      </c>
      <c r="Q328" s="329"/>
      <c r="S328" s="332">
        <f t="shared" si="47"/>
        <v>1.2350000000000001</v>
      </c>
      <c r="T328" s="332">
        <f t="shared" si="39"/>
        <v>0</v>
      </c>
    </row>
    <row r="329" spans="2:20" hidden="1">
      <c r="B329" s="332" t="s">
        <v>1742</v>
      </c>
      <c r="C329" s="333">
        <f t="shared" si="48"/>
        <v>0</v>
      </c>
      <c r="D329" s="328"/>
      <c r="E329" s="328">
        <f>VLOOKUP(B329,DONGIA,DG!$B$6,0)</f>
        <v>0</v>
      </c>
      <c r="F329" s="329" t="str">
        <f>VLOOKUP(B329,DONGIA,DG!$C$6,0)</f>
        <v>Cáp đồng bọc CV95</v>
      </c>
      <c r="G329" s="328" t="str">
        <f>VLOOKUP(B329,DONGIA,DG!$D$6,0)</f>
        <v>mét</v>
      </c>
      <c r="H329" s="455">
        <f>H326*(9.5+1.5)</f>
        <v>0</v>
      </c>
      <c r="I329" s="329">
        <f>VLOOKUP(B329,DONGIA,DG!$E$6,0)</f>
        <v>196130</v>
      </c>
      <c r="J329" s="329"/>
      <c r="K329" s="329">
        <f>VLOOKUP(B329,DONGIA,DG!$F$6,0)</f>
        <v>0</v>
      </c>
      <c r="L329" s="329">
        <f>VLOOKUP(B329,DONGIA,DG!$G$6,0)</f>
        <v>0</v>
      </c>
      <c r="M329" s="329">
        <f t="shared" ref="M329:M349" si="50">$H329*I329</f>
        <v>0</v>
      </c>
      <c r="N329" s="329">
        <f t="shared" ref="N329:N349" si="51">$H329*J329</f>
        <v>0</v>
      </c>
      <c r="O329" s="329">
        <f t="shared" ref="O329:O349" si="52">$H329*K329</f>
        <v>0</v>
      </c>
      <c r="P329" s="329">
        <f t="shared" ref="P329:P349" si="53">$H329*L329</f>
        <v>0</v>
      </c>
      <c r="Q329" s="329"/>
      <c r="S329" s="332">
        <f t="shared" si="47"/>
        <v>1.008</v>
      </c>
      <c r="T329" s="332">
        <f t="shared" si="39"/>
        <v>0</v>
      </c>
    </row>
    <row r="330" spans="2:20" hidden="1">
      <c r="B330" s="332" t="s">
        <v>1937</v>
      </c>
      <c r="C330" s="333">
        <f t="shared" si="48"/>
        <v>0</v>
      </c>
      <c r="D330" s="328"/>
      <c r="E330" s="328">
        <f>VLOOKUP(B330,DONGIA,DG!$B$6,0)</f>
        <v>0</v>
      </c>
      <c r="F330" s="329" t="str">
        <f>VLOOKUP(B330,DONGIA,DG!$C$6,0)</f>
        <v>Cáp điều khiển CVV 4x4,0mm2</v>
      </c>
      <c r="G330" s="328" t="str">
        <f>VLOOKUP(B330,DONGIA,DG!$D$6,0)</f>
        <v>mét</v>
      </c>
      <c r="H330" s="329">
        <f>H326*3</f>
        <v>0</v>
      </c>
      <c r="I330" s="329">
        <f>VLOOKUP(B330,DONGIA,DG!$E$6,0)</f>
        <v>52400</v>
      </c>
      <c r="J330" s="329"/>
      <c r="K330" s="329">
        <f>VLOOKUP(B330,DONGIA,DG!$F$6,0)</f>
        <v>0</v>
      </c>
      <c r="L330" s="329">
        <f>VLOOKUP(B330,DONGIA,DG!$G$6,0)</f>
        <v>0</v>
      </c>
      <c r="M330" s="329">
        <f t="shared" si="50"/>
        <v>0</v>
      </c>
      <c r="N330" s="329">
        <f t="shared" si="51"/>
        <v>0</v>
      </c>
      <c r="O330" s="329">
        <f t="shared" si="52"/>
        <v>0</v>
      </c>
      <c r="P330" s="329">
        <f t="shared" si="53"/>
        <v>0</v>
      </c>
      <c r="Q330" s="329"/>
      <c r="S330" s="332">
        <f t="shared" si="47"/>
        <v>3.024</v>
      </c>
      <c r="T330" s="332">
        <f t="shared" si="39"/>
        <v>0</v>
      </c>
    </row>
    <row r="331" spans="2:20" hidden="1">
      <c r="B331" s="332" t="s">
        <v>1119</v>
      </c>
      <c r="C331" s="333">
        <f t="shared" si="48"/>
        <v>0</v>
      </c>
      <c r="D331" s="328"/>
      <c r="E331" s="328"/>
      <c r="F331" s="329" t="str">
        <f>VLOOKUP(B331,DONGIA,DG!$C$6,0)</f>
        <v>Đầu cosse ép Cu 120mm2</v>
      </c>
      <c r="G331" s="328" t="str">
        <f>VLOOKUP(B331,DONGIA,DG!$D$6,0)</f>
        <v>cái</v>
      </c>
      <c r="H331" s="329">
        <f>H326*2</f>
        <v>0</v>
      </c>
      <c r="I331" s="329">
        <f>VLOOKUP(B331,DONGIA,DG!$E$6,0)</f>
        <v>65000</v>
      </c>
      <c r="J331" s="329"/>
      <c r="K331" s="329"/>
      <c r="L331" s="329"/>
      <c r="M331" s="329">
        <f t="shared" si="50"/>
        <v>0</v>
      </c>
      <c r="N331" s="329">
        <f t="shared" si="51"/>
        <v>0</v>
      </c>
      <c r="O331" s="329">
        <f t="shared" si="52"/>
        <v>0</v>
      </c>
      <c r="P331" s="329">
        <f t="shared" si="53"/>
        <v>0</v>
      </c>
      <c r="Q331" s="329"/>
      <c r="S331" s="332">
        <f t="shared" si="47"/>
        <v>0.1</v>
      </c>
      <c r="T331" s="332">
        <f t="shared" si="39"/>
        <v>0</v>
      </c>
    </row>
    <row r="332" spans="2:20" hidden="1">
      <c r="B332" s="332" t="s">
        <v>1116</v>
      </c>
      <c r="C332" s="333">
        <f t="shared" si="48"/>
        <v>0</v>
      </c>
      <c r="D332" s="328"/>
      <c r="E332" s="328"/>
      <c r="F332" s="329" t="str">
        <f>VLOOKUP(B332,DONGIA,DG!$C$6,0)</f>
        <v>Đầu cosse ép Cu 95mm2</v>
      </c>
      <c r="G332" s="328" t="str">
        <f>VLOOKUP(B332,DONGIA,DG!$D$6,0)</f>
        <v>cái</v>
      </c>
      <c r="H332" s="329">
        <f>H326</f>
        <v>0</v>
      </c>
      <c r="I332" s="329">
        <f>VLOOKUP(B332,DONGIA,DG!$E$6,0)</f>
        <v>45000</v>
      </c>
      <c r="J332" s="329"/>
      <c r="K332" s="329"/>
      <c r="L332" s="329"/>
      <c r="M332" s="329">
        <f t="shared" si="50"/>
        <v>0</v>
      </c>
      <c r="N332" s="329">
        <f t="shared" si="51"/>
        <v>0</v>
      </c>
      <c r="O332" s="329">
        <f t="shared" si="52"/>
        <v>0</v>
      </c>
      <c r="P332" s="329">
        <f t="shared" si="53"/>
        <v>0</v>
      </c>
      <c r="Q332" s="329"/>
      <c r="S332" s="332">
        <f t="shared" si="47"/>
        <v>0.2</v>
      </c>
      <c r="T332" s="332">
        <f t="shared" si="39"/>
        <v>0</v>
      </c>
    </row>
    <row r="333" spans="2:20" hidden="1">
      <c r="B333" s="332" t="s">
        <v>1151</v>
      </c>
      <c r="C333" s="333">
        <f t="shared" si="48"/>
        <v>0</v>
      </c>
      <c r="D333" s="328"/>
      <c r="E333" s="328">
        <f>VLOOKUP(B333,DONGIA,DG!$B$6,0)</f>
        <v>0</v>
      </c>
      <c r="F333" s="329" t="str">
        <f>VLOOKUP(B333,DONGIA,DG!$C$6,0)</f>
        <v>Chụp đầu cosse  120mm2</v>
      </c>
      <c r="G333" s="328" t="str">
        <f>VLOOKUP(B333,DONGIA,DG!$D$6,0)</f>
        <v>cái</v>
      </c>
      <c r="H333" s="329">
        <f>H331</f>
        <v>0</v>
      </c>
      <c r="I333" s="329">
        <f>VLOOKUP(B333,DONGIA,DG!$E$6,0)</f>
        <v>3500</v>
      </c>
      <c r="J333" s="329"/>
      <c r="K333" s="329">
        <f>VLOOKUP(B333,DONGIA,DG!$F$6,0)</f>
        <v>0</v>
      </c>
      <c r="L333" s="329">
        <f>VLOOKUP(B333,DONGIA,DG!$G$6,0)</f>
        <v>0</v>
      </c>
      <c r="M333" s="329">
        <f t="shared" si="50"/>
        <v>0</v>
      </c>
      <c r="N333" s="329">
        <f t="shared" si="51"/>
        <v>0</v>
      </c>
      <c r="O333" s="329">
        <f t="shared" si="52"/>
        <v>0</v>
      </c>
      <c r="P333" s="329">
        <f t="shared" si="53"/>
        <v>0</v>
      </c>
      <c r="Q333" s="329"/>
      <c r="S333" s="332">
        <f t="shared" si="47"/>
        <v>0</v>
      </c>
      <c r="T333" s="332">
        <f t="shared" si="39"/>
        <v>0</v>
      </c>
    </row>
    <row r="334" spans="2:20" hidden="1">
      <c r="B334" s="332" t="s">
        <v>1149</v>
      </c>
      <c r="C334" s="333">
        <f t="shared" si="48"/>
        <v>0</v>
      </c>
      <c r="D334" s="328"/>
      <c r="E334" s="328">
        <f>VLOOKUP(B334,DONGIA,DG!$B$6,0)</f>
        <v>0</v>
      </c>
      <c r="F334" s="329" t="str">
        <f>VLOOKUP(B334,DONGIA,DG!$C$6,0)</f>
        <v>Chụp đầu cosse  95mm2</v>
      </c>
      <c r="G334" s="328" t="str">
        <f>VLOOKUP(B334,DONGIA,DG!$D$6,0)</f>
        <v>cái</v>
      </c>
      <c r="H334" s="329">
        <f>H332</f>
        <v>0</v>
      </c>
      <c r="I334" s="329">
        <f>VLOOKUP(B334,DONGIA,DG!$E$6,0)</f>
        <v>3000</v>
      </c>
      <c r="J334" s="329"/>
      <c r="K334" s="329">
        <f>VLOOKUP(B334,DONGIA,DG!$F$6,0)</f>
        <v>0</v>
      </c>
      <c r="L334" s="329">
        <f>VLOOKUP(B334,DONGIA,DG!$G$6,0)</f>
        <v>0</v>
      </c>
      <c r="M334" s="329">
        <f t="shared" si="50"/>
        <v>0</v>
      </c>
      <c r="N334" s="329">
        <f t="shared" si="51"/>
        <v>0</v>
      </c>
      <c r="O334" s="329">
        <f t="shared" si="52"/>
        <v>0</v>
      </c>
      <c r="P334" s="329">
        <f t="shared" si="53"/>
        <v>0</v>
      </c>
      <c r="Q334" s="329"/>
      <c r="S334" s="332">
        <f t="shared" si="47"/>
        <v>0</v>
      </c>
      <c r="T334" s="332">
        <f t="shared" si="39"/>
        <v>0</v>
      </c>
    </row>
    <row r="335" spans="2:20" hidden="1">
      <c r="B335" s="332" t="s">
        <v>1177</v>
      </c>
      <c r="C335" s="333">
        <f t="shared" si="48"/>
        <v>0</v>
      </c>
      <c r="D335" s="328"/>
      <c r="E335" s="328">
        <f>VLOOKUP(B335,DONGIA,DG!$B$6,0)</f>
        <v>0</v>
      </c>
      <c r="F335" s="329" t="str">
        <f>VLOOKUP(B335,DONGIA,DG!$C$6,0)</f>
        <v xml:space="preserve">Ống PVC D90x3,8mm </v>
      </c>
      <c r="G335" s="328" t="str">
        <f>VLOOKUP(B335,DONGIA,DG!$D$6,0)</f>
        <v>m</v>
      </c>
      <c r="H335" s="329">
        <f>H326*6</f>
        <v>0</v>
      </c>
      <c r="I335" s="329">
        <f>VLOOKUP(B335,DONGIA,DG!$E$6,0)</f>
        <v>57000</v>
      </c>
      <c r="J335" s="329"/>
      <c r="K335" s="329">
        <f>VLOOKUP(B335,DONGIA,DG!$F$6,0)</f>
        <v>0</v>
      </c>
      <c r="L335" s="329">
        <f>VLOOKUP(B335,DONGIA,DG!$G$6,0)</f>
        <v>0</v>
      </c>
      <c r="M335" s="329">
        <f t="shared" si="50"/>
        <v>0</v>
      </c>
      <c r="N335" s="329">
        <f t="shared" si="51"/>
        <v>0</v>
      </c>
      <c r="O335" s="329">
        <f t="shared" si="52"/>
        <v>0</v>
      </c>
      <c r="P335" s="329">
        <f t="shared" si="53"/>
        <v>0</v>
      </c>
      <c r="Q335" s="329"/>
      <c r="S335" s="332">
        <f t="shared" si="47"/>
        <v>2</v>
      </c>
      <c r="T335" s="332">
        <f t="shared" si="39"/>
        <v>0</v>
      </c>
    </row>
    <row r="336" spans="2:20" hidden="1">
      <c r="B336" s="332" t="s">
        <v>455</v>
      </c>
      <c r="C336" s="333">
        <f t="shared" si="48"/>
        <v>0</v>
      </c>
      <c r="D336" s="328"/>
      <c r="E336" s="328">
        <f>VLOOKUP(B336,DONGIA,DG!$B$6,0)</f>
        <v>0</v>
      </c>
      <c r="F336" s="329" t="str">
        <f>VLOOKUP(B336,DONGIA,DG!$C$6,0)&amp;" (CD-230)"</f>
        <v>Cổ dê kẹp ống PVC φ 90 (có giá nới) (CD-230)</v>
      </c>
      <c r="G336" s="328" t="str">
        <f>VLOOKUP(B336,DONGIA,DG!$D$6,0)</f>
        <v>bộ</v>
      </c>
      <c r="H336" s="329">
        <f>H326</f>
        <v>0</v>
      </c>
      <c r="I336" s="329">
        <f>VLOOKUP(B336,DONGIA,DG!$E$6,0)</f>
        <v>60000</v>
      </c>
      <c r="J336" s="329"/>
      <c r="K336" s="329">
        <f>VLOOKUP(B336,DONGIA,DG!$F$6,0)</f>
        <v>0</v>
      </c>
      <c r="L336" s="329">
        <f>VLOOKUP(B336,DONGIA,DG!$G$6,0)</f>
        <v>0</v>
      </c>
      <c r="M336" s="329">
        <f t="shared" si="50"/>
        <v>0</v>
      </c>
      <c r="N336" s="329">
        <f t="shared" si="51"/>
        <v>0</v>
      </c>
      <c r="O336" s="329">
        <f t="shared" si="52"/>
        <v>0</v>
      </c>
      <c r="P336" s="329">
        <f t="shared" si="53"/>
        <v>0</v>
      </c>
      <c r="Q336" s="329"/>
      <c r="S336" s="332">
        <f t="shared" si="47"/>
        <v>1.5</v>
      </c>
      <c r="T336" s="332">
        <f t="shared" si="39"/>
        <v>0</v>
      </c>
    </row>
    <row r="337" spans="2:20" hidden="1">
      <c r="B337" s="332" t="s">
        <v>455</v>
      </c>
      <c r="C337" s="333">
        <f t="shared" si="48"/>
        <v>0</v>
      </c>
      <c r="D337" s="328"/>
      <c r="E337" s="328">
        <f>VLOOKUP(B337,DONGIA,DG!$B$6,0)</f>
        <v>0</v>
      </c>
      <c r="F337" s="329" t="str">
        <f>VLOOKUP(B337,DONGIA,DG!$C$6,0)&amp;" (CD-250)"</f>
        <v>Cổ dê kẹp ống PVC φ 90 (có giá nới) (CD-250)</v>
      </c>
      <c r="G337" s="328" t="str">
        <f>VLOOKUP(B337,DONGIA,DG!$D$6,0)</f>
        <v>bộ</v>
      </c>
      <c r="H337" s="329">
        <f>H326</f>
        <v>0</v>
      </c>
      <c r="I337" s="329">
        <f>VLOOKUP(B337,DONGIA,DG!$E$6,0)</f>
        <v>60000</v>
      </c>
      <c r="J337" s="329"/>
      <c r="K337" s="329">
        <f>VLOOKUP(B337,DONGIA,DG!$F$6,0)</f>
        <v>0</v>
      </c>
      <c r="L337" s="329">
        <f>VLOOKUP(B337,DONGIA,DG!$G$6,0)</f>
        <v>0</v>
      </c>
      <c r="M337" s="329">
        <f t="shared" si="50"/>
        <v>0</v>
      </c>
      <c r="N337" s="329">
        <f t="shared" si="51"/>
        <v>0</v>
      </c>
      <c r="O337" s="329">
        <f t="shared" si="52"/>
        <v>0</v>
      </c>
      <c r="P337" s="329">
        <f t="shared" si="53"/>
        <v>0</v>
      </c>
      <c r="Q337" s="329"/>
      <c r="S337" s="332">
        <f t="shared" si="47"/>
        <v>1.5</v>
      </c>
      <c r="T337" s="332">
        <f t="shared" si="39"/>
        <v>0</v>
      </c>
    </row>
    <row r="338" spans="2:20" hidden="1">
      <c r="B338" s="332" t="s">
        <v>455</v>
      </c>
      <c r="C338" s="333">
        <f t="shared" si="48"/>
        <v>0</v>
      </c>
      <c r="D338" s="328"/>
      <c r="E338" s="328">
        <f>VLOOKUP(B338,DONGIA,DG!$B$6,0)</f>
        <v>0</v>
      </c>
      <c r="F338" s="329" t="str">
        <f>VLOOKUP(B338,DONGIA,DG!$C$6,0)&amp;" (CD-280)"</f>
        <v>Cổ dê kẹp ống PVC φ 90 (có giá nới) (CD-280)</v>
      </c>
      <c r="G338" s="328" t="str">
        <f>VLOOKUP(B338,DONGIA,DG!$D$6,0)</f>
        <v>bộ</v>
      </c>
      <c r="H338" s="329">
        <f>H326</f>
        <v>0</v>
      </c>
      <c r="I338" s="329">
        <f>VLOOKUP(B338,DONGIA,DG!$E$6,0)</f>
        <v>60000</v>
      </c>
      <c r="J338" s="329"/>
      <c r="K338" s="329">
        <f>VLOOKUP(B338,DONGIA,DG!$F$6,0)</f>
        <v>0</v>
      </c>
      <c r="L338" s="329">
        <f>VLOOKUP(B338,DONGIA,DG!$G$6,0)</f>
        <v>0</v>
      </c>
      <c r="M338" s="329">
        <f t="shared" si="50"/>
        <v>0</v>
      </c>
      <c r="N338" s="329">
        <f t="shared" si="51"/>
        <v>0</v>
      </c>
      <c r="O338" s="329">
        <f t="shared" si="52"/>
        <v>0</v>
      </c>
      <c r="P338" s="329">
        <f t="shared" si="53"/>
        <v>0</v>
      </c>
      <c r="Q338" s="329"/>
      <c r="S338" s="332">
        <f t="shared" si="47"/>
        <v>1.5</v>
      </c>
      <c r="T338" s="332">
        <f t="shared" si="39"/>
        <v>0</v>
      </c>
    </row>
    <row r="339" spans="2:20" hidden="1">
      <c r="B339" s="332" t="s">
        <v>2956</v>
      </c>
      <c r="C339" s="333">
        <f t="shared" si="48"/>
        <v>0</v>
      </c>
      <c r="D339" s="328"/>
      <c r="E339" s="328">
        <f>VLOOKUP(B339,DONGIA,DG!$B$6,0)</f>
        <v>0</v>
      </c>
      <c r="F339" s="329" t="str">
        <f>VLOOKUP(B339,DONGIA,DG!$C$6,0)</f>
        <v>Co  90 độ PVC 90 (Loại dày)</v>
      </c>
      <c r="G339" s="328" t="str">
        <f>VLOOKUP(B339,DONGIA,DG!$D$6,0)</f>
        <v>cái</v>
      </c>
      <c r="H339" s="329">
        <f>H326</f>
        <v>0</v>
      </c>
      <c r="I339" s="329">
        <f>VLOOKUP(B339,DONGIA,DG!$E$6,0)</f>
        <v>45400</v>
      </c>
      <c r="J339" s="329"/>
      <c r="K339" s="329">
        <f>VLOOKUP(B339,DONGIA,DG!$F$6,0)</f>
        <v>0</v>
      </c>
      <c r="L339" s="329">
        <f>VLOOKUP(B339,DONGIA,DG!$G$6,0)</f>
        <v>0</v>
      </c>
      <c r="M339" s="329">
        <f t="shared" si="50"/>
        <v>0</v>
      </c>
      <c r="N339" s="329">
        <f t="shared" si="51"/>
        <v>0</v>
      </c>
      <c r="O339" s="329">
        <f t="shared" si="52"/>
        <v>0</v>
      </c>
      <c r="P339" s="329">
        <f t="shared" si="53"/>
        <v>0</v>
      </c>
      <c r="Q339" s="329"/>
      <c r="S339" s="332">
        <f t="shared" si="47"/>
        <v>0</v>
      </c>
      <c r="T339" s="332">
        <f t="shared" si="39"/>
        <v>0</v>
      </c>
    </row>
    <row r="340" spans="2:20" hidden="1">
      <c r="B340" s="332" t="s">
        <v>1940</v>
      </c>
      <c r="C340" s="333">
        <f t="shared" si="48"/>
        <v>0</v>
      </c>
      <c r="D340" s="328"/>
      <c r="E340" s="328">
        <f>VLOOKUP(B340,DONGIA,DG!$B$6,0)</f>
        <v>0</v>
      </c>
      <c r="F340" s="329" t="str">
        <f>VLOOKUP(B340,DONGIA,DG!$C$6,0)</f>
        <v>Nối giảm PVC 114-90</v>
      </c>
      <c r="G340" s="328" t="str">
        <f>VLOOKUP(B340,DONGIA,DG!$D$6,0)</f>
        <v>cái</v>
      </c>
      <c r="H340" s="329">
        <f>H326</f>
        <v>0</v>
      </c>
      <c r="I340" s="329">
        <f>VLOOKUP(B340,DONGIA,DG!$E$6,0)</f>
        <v>52800</v>
      </c>
      <c r="J340" s="329"/>
      <c r="K340" s="329">
        <f>VLOOKUP(B340,DONGIA,DG!$F$6,0)</f>
        <v>0</v>
      </c>
      <c r="L340" s="329">
        <f>VLOOKUP(B340,DONGIA,DG!$G$6,0)</f>
        <v>0</v>
      </c>
      <c r="M340" s="329">
        <f t="shared" si="50"/>
        <v>0</v>
      </c>
      <c r="N340" s="329">
        <f t="shared" si="51"/>
        <v>0</v>
      </c>
      <c r="O340" s="329">
        <f t="shared" si="52"/>
        <v>0</v>
      </c>
      <c r="P340" s="329">
        <f t="shared" si="53"/>
        <v>0</v>
      </c>
      <c r="Q340" s="329"/>
      <c r="S340" s="332">
        <f t="shared" si="47"/>
        <v>0</v>
      </c>
      <c r="T340" s="332">
        <f t="shared" si="39"/>
        <v>0</v>
      </c>
    </row>
    <row r="341" spans="2:20" hidden="1">
      <c r="B341" s="332" t="s">
        <v>1181</v>
      </c>
      <c r="C341" s="333">
        <f t="shared" si="48"/>
        <v>0</v>
      </c>
      <c r="D341" s="328"/>
      <c r="E341" s="328">
        <f>VLOOKUP(B341,DONGIA,DG!$B$6,0)</f>
        <v>0</v>
      </c>
      <c r="F341" s="329" t="str">
        <f>VLOOKUP(B341,DONGIA,DG!$C$6,0)</f>
        <v>Co 135 độ PVC 90</v>
      </c>
      <c r="G341" s="328" t="str">
        <f>VLOOKUP(B341,DONGIA,DG!$D$6,0)</f>
        <v>cái</v>
      </c>
      <c r="H341" s="329">
        <f>H326</f>
        <v>0</v>
      </c>
      <c r="I341" s="329">
        <f>VLOOKUP(B341,DONGIA,DG!$E$6,0)</f>
        <v>34800</v>
      </c>
      <c r="J341" s="329"/>
      <c r="K341" s="329">
        <f>VLOOKUP(B341,DONGIA,DG!$F$6,0)</f>
        <v>0</v>
      </c>
      <c r="L341" s="329">
        <f>VLOOKUP(B341,DONGIA,DG!$G$6,0)</f>
        <v>0</v>
      </c>
      <c r="M341" s="329">
        <f t="shared" si="50"/>
        <v>0</v>
      </c>
      <c r="N341" s="329">
        <f t="shared" si="51"/>
        <v>0</v>
      </c>
      <c r="O341" s="329">
        <f t="shared" si="52"/>
        <v>0</v>
      </c>
      <c r="P341" s="329">
        <f t="shared" si="53"/>
        <v>0</v>
      </c>
      <c r="Q341" s="329"/>
      <c r="S341" s="332">
        <f t="shared" si="47"/>
        <v>0</v>
      </c>
      <c r="T341" s="332">
        <f t="shared" si="39"/>
        <v>0</v>
      </c>
    </row>
    <row r="342" spans="2:20" hidden="1">
      <c r="B342" s="332" t="s">
        <v>1914</v>
      </c>
      <c r="C342" s="333">
        <f t="shared" si="48"/>
        <v>0</v>
      </c>
      <c r="D342" s="328"/>
      <c r="E342" s="328">
        <f>VLOOKUP(B342,DONGIA,DG!$B$6,0)</f>
        <v>0</v>
      </c>
      <c r="F342" s="329" t="str">
        <f>VLOOKUP(B342,DONGIA,DG!$C$6,0)</f>
        <v>Keo dán ống PVC (100gr)</v>
      </c>
      <c r="G342" s="328" t="str">
        <f>VLOOKUP(B342,DONGIA,DG!$D$6,0)</f>
        <v>tuýp</v>
      </c>
      <c r="H342" s="329">
        <f>H326</f>
        <v>0</v>
      </c>
      <c r="I342" s="329">
        <f>VLOOKUP(B342,DONGIA,DG!$E$6,0)</f>
        <v>11500</v>
      </c>
      <c r="J342" s="329"/>
      <c r="K342" s="329">
        <f>VLOOKUP(B342,DONGIA,DG!$F$6,0)</f>
        <v>0</v>
      </c>
      <c r="L342" s="329">
        <f>VLOOKUP(B342,DONGIA,DG!$G$6,0)</f>
        <v>0</v>
      </c>
      <c r="M342" s="329">
        <f t="shared" si="50"/>
        <v>0</v>
      </c>
      <c r="N342" s="329">
        <f t="shared" si="51"/>
        <v>0</v>
      </c>
      <c r="O342" s="329">
        <f t="shared" si="52"/>
        <v>0</v>
      </c>
      <c r="P342" s="329">
        <f t="shared" si="53"/>
        <v>0</v>
      </c>
      <c r="Q342" s="329"/>
      <c r="S342" s="332">
        <f t="shared" si="47"/>
        <v>0</v>
      </c>
      <c r="T342" s="332">
        <f t="shared" si="39"/>
        <v>0</v>
      </c>
    </row>
    <row r="343" spans="2:20" hidden="1">
      <c r="B343" s="332" t="s">
        <v>1195</v>
      </c>
      <c r="C343" s="333">
        <f t="shared" si="48"/>
        <v>0</v>
      </c>
      <c r="D343" s="328"/>
      <c r="E343" s="328">
        <f>VLOOKUP(B343,DONGIA,DG!$B$6,0)</f>
        <v>0</v>
      </c>
      <c r="F343" s="329" t="str">
        <f>VLOOKUP(B343,DONGIA,DG!$C$6,0)</f>
        <v>Keo silicon bít miệng ống</v>
      </c>
      <c r="G343" s="328" t="str">
        <f>VLOOKUP(B343,DONGIA,DG!$D$6,0)</f>
        <v>ống</v>
      </c>
      <c r="H343" s="329"/>
      <c r="I343" s="329">
        <f>VLOOKUP(B343,DONGIA,DG!$E$6,0)</f>
        <v>45000</v>
      </c>
      <c r="J343" s="329"/>
      <c r="K343" s="329">
        <f>VLOOKUP(B343,DONGIA,DG!$F$6,0)</f>
        <v>0</v>
      </c>
      <c r="L343" s="329">
        <f>VLOOKUP(B343,DONGIA,DG!$G$6,0)</f>
        <v>0</v>
      </c>
      <c r="M343" s="329">
        <f t="shared" si="50"/>
        <v>0</v>
      </c>
      <c r="N343" s="329">
        <f t="shared" si="51"/>
        <v>0</v>
      </c>
      <c r="O343" s="329">
        <f t="shared" si="52"/>
        <v>0</v>
      </c>
      <c r="P343" s="329">
        <f t="shared" si="53"/>
        <v>0</v>
      </c>
      <c r="Q343" s="329"/>
      <c r="S343" s="332">
        <f t="shared" si="47"/>
        <v>0</v>
      </c>
      <c r="T343" s="332">
        <f t="shared" si="39"/>
        <v>0</v>
      </c>
    </row>
    <row r="344" spans="2:20" hidden="1">
      <c r="B344" s="332" t="s">
        <v>1193</v>
      </c>
      <c r="C344" s="333">
        <f t="shared" si="48"/>
        <v>0</v>
      </c>
      <c r="D344" s="328"/>
      <c r="E344" s="328">
        <f>VLOOKUP(B344,DONGIA,DG!$B$6,0)</f>
        <v>0</v>
      </c>
      <c r="F344" s="329" t="str">
        <f>VLOOKUP(B344,DONGIA,DG!$C$6,0)</f>
        <v>Băng keo cách điện</v>
      </c>
      <c r="G344" s="328" t="str">
        <f>VLOOKUP(B344,DONGIA,DG!$D$6,0)</f>
        <v>cuộn</v>
      </c>
      <c r="H344" s="329"/>
      <c r="I344" s="329">
        <f>VLOOKUP(B344,DONGIA,DG!$E$6,0)</f>
        <v>6500</v>
      </c>
      <c r="J344" s="329"/>
      <c r="K344" s="329">
        <f>VLOOKUP(B344,DONGIA,DG!$F$6,0)</f>
        <v>0</v>
      </c>
      <c r="L344" s="329">
        <f>VLOOKUP(B344,DONGIA,DG!$G$6,0)</f>
        <v>0</v>
      </c>
      <c r="M344" s="329">
        <f t="shared" si="50"/>
        <v>0</v>
      </c>
      <c r="N344" s="329">
        <f t="shared" si="51"/>
        <v>0</v>
      </c>
      <c r="O344" s="329">
        <f t="shared" si="52"/>
        <v>0</v>
      </c>
      <c r="P344" s="329">
        <f t="shared" si="53"/>
        <v>0</v>
      </c>
      <c r="Q344" s="329"/>
      <c r="S344" s="332">
        <f t="shared" si="47"/>
        <v>0</v>
      </c>
      <c r="T344" s="332">
        <f t="shared" si="39"/>
        <v>0</v>
      </c>
    </row>
    <row r="345" spans="2:20" hidden="1">
      <c r="B345" s="332" t="s">
        <v>2979</v>
      </c>
      <c r="C345" s="333">
        <f>IF(H345&lt;&gt;0,1,)</f>
        <v>0</v>
      </c>
      <c r="D345" s="328"/>
      <c r="E345" s="328">
        <f>VLOOKUP(B345,DONGIA,DG!$B$6,0)</f>
        <v>0</v>
      </c>
      <c r="F345" s="329" t="str">
        <f>VLOOKUP(B345,DONGIA,DG!$C$6,0)</f>
        <v>Băng keo cách điện (Màu vàng)</v>
      </c>
      <c r="G345" s="328" t="str">
        <f>VLOOKUP(B345,DONGIA,DG!$D$6,0)</f>
        <v>cuộn</v>
      </c>
      <c r="H345" s="329">
        <f>ROUNDUP(H326/5,0)</f>
        <v>0</v>
      </c>
      <c r="I345" s="329">
        <f>VLOOKUP(B345,DONGIA,DG!$E$6,0)</f>
        <v>6500</v>
      </c>
      <c r="J345" s="329"/>
      <c r="K345" s="329">
        <f>VLOOKUP(B345,DONGIA,DG!$F$6,0)</f>
        <v>0</v>
      </c>
      <c r="L345" s="329">
        <f>VLOOKUP(B345,DONGIA,DG!$G$6,0)</f>
        <v>0</v>
      </c>
      <c r="M345" s="329">
        <f t="shared" ref="M345:P347" si="54">$H345*I345</f>
        <v>0</v>
      </c>
      <c r="N345" s="329">
        <f t="shared" si="54"/>
        <v>0</v>
      </c>
      <c r="O345" s="329">
        <f t="shared" si="54"/>
        <v>0</v>
      </c>
      <c r="P345" s="329">
        <f t="shared" si="54"/>
        <v>0</v>
      </c>
      <c r="Q345" s="329"/>
      <c r="S345" s="332">
        <f>IFERROR(VLOOKUP(B345,DONGIA,$S$25,0),0)</f>
        <v>0</v>
      </c>
      <c r="T345" s="332">
        <f>H345*S345</f>
        <v>0</v>
      </c>
    </row>
    <row r="346" spans="2:20" hidden="1">
      <c r="B346" s="332" t="s">
        <v>2980</v>
      </c>
      <c r="C346" s="333">
        <f>IF(H346&lt;&gt;0,1,)</f>
        <v>0</v>
      </c>
      <c r="D346" s="328"/>
      <c r="E346" s="328">
        <f>VLOOKUP(B346,DONGIA,DG!$B$6,0)</f>
        <v>0</v>
      </c>
      <c r="F346" s="329" t="str">
        <f>VLOOKUP(B346,DONGIA,DG!$C$6,0)</f>
        <v>Băng keo cách điện (Màu xanh)</v>
      </c>
      <c r="G346" s="328" t="str">
        <f>VLOOKUP(B346,DONGIA,DG!$D$6,0)</f>
        <v>cuộn</v>
      </c>
      <c r="H346" s="329">
        <f>ROUNDUP(H326/5,0)</f>
        <v>0</v>
      </c>
      <c r="I346" s="329">
        <f>VLOOKUP(B346,DONGIA,DG!$E$6,0)</f>
        <v>6500</v>
      </c>
      <c r="J346" s="329"/>
      <c r="K346" s="329">
        <f>VLOOKUP(B346,DONGIA,DG!$F$6,0)</f>
        <v>0</v>
      </c>
      <c r="L346" s="329">
        <f>VLOOKUP(B346,DONGIA,DG!$G$6,0)</f>
        <v>0</v>
      </c>
      <c r="M346" s="329">
        <f t="shared" si="54"/>
        <v>0</v>
      </c>
      <c r="N346" s="329">
        <f t="shared" si="54"/>
        <v>0</v>
      </c>
      <c r="O346" s="329">
        <f t="shared" si="54"/>
        <v>0</v>
      </c>
      <c r="P346" s="329">
        <f t="shared" si="54"/>
        <v>0</v>
      </c>
      <c r="Q346" s="329"/>
      <c r="S346" s="332">
        <f>IFERROR(VLOOKUP(B346,DONGIA,$S$25,0),0)</f>
        <v>0</v>
      </c>
      <c r="T346" s="332">
        <f>H346*S346</f>
        <v>0</v>
      </c>
    </row>
    <row r="347" spans="2:20" hidden="1">
      <c r="B347" s="332" t="s">
        <v>2981</v>
      </c>
      <c r="C347" s="333">
        <f>IF(H347&lt;&gt;0,1,)</f>
        <v>0</v>
      </c>
      <c r="D347" s="328"/>
      <c r="E347" s="328">
        <f>VLOOKUP(B347,DONGIA,DG!$B$6,0)</f>
        <v>0</v>
      </c>
      <c r="F347" s="329" t="str">
        <f>VLOOKUP(B347,DONGIA,DG!$C$6,0)</f>
        <v>Băng keo cách điện (Màu đỏ)</v>
      </c>
      <c r="G347" s="328" t="str">
        <f>VLOOKUP(B347,DONGIA,DG!$D$6,0)</f>
        <v>cuộn</v>
      </c>
      <c r="H347" s="329">
        <f>ROUNDUP(H326/5,0)</f>
        <v>0</v>
      </c>
      <c r="I347" s="329">
        <f>VLOOKUP(B347,DONGIA,DG!$E$6,0)</f>
        <v>6500</v>
      </c>
      <c r="J347" s="329"/>
      <c r="K347" s="329">
        <f>VLOOKUP(B347,DONGIA,DG!$F$6,0)</f>
        <v>0</v>
      </c>
      <c r="L347" s="329">
        <f>VLOOKUP(B347,DONGIA,DG!$G$6,0)</f>
        <v>0</v>
      </c>
      <c r="M347" s="329">
        <f t="shared" si="54"/>
        <v>0</v>
      </c>
      <c r="N347" s="329">
        <f t="shared" si="54"/>
        <v>0</v>
      </c>
      <c r="O347" s="329">
        <f t="shared" si="54"/>
        <v>0</v>
      </c>
      <c r="P347" s="329">
        <f t="shared" si="54"/>
        <v>0</v>
      </c>
      <c r="Q347" s="329"/>
      <c r="S347" s="332">
        <f>IFERROR(VLOOKUP(B347,DONGIA,$S$25,0),0)</f>
        <v>0</v>
      </c>
      <c r="T347" s="332">
        <f>H347*S347</f>
        <v>0</v>
      </c>
    </row>
    <row r="348" spans="2:20" hidden="1">
      <c r="B348" s="332" t="s">
        <v>855</v>
      </c>
      <c r="C348" s="333">
        <f t="shared" si="48"/>
        <v>0</v>
      </c>
      <c r="D348" s="328"/>
      <c r="E348" s="328" t="str">
        <f>VLOOKUP(B348,DONGIA,DG!$B$6,0)</f>
        <v>T4.8003</v>
      </c>
      <c r="F348" s="329" t="str">
        <f>VLOOKUP(B348,DONGIA,DG!$C$6,0)</f>
        <v>Lắp ống nhựa PVC D90</v>
      </c>
      <c r="G348" s="328" t="str">
        <f>VLOOKUP(B348,DONGIA,DG!$D$6,0)</f>
        <v>mét</v>
      </c>
      <c r="H348" s="329">
        <f>H335</f>
        <v>0</v>
      </c>
      <c r="I348" s="329">
        <f>VLOOKUP(B348,DONGIA,DG!$E$6,0)</f>
        <v>0</v>
      </c>
      <c r="J348" s="329"/>
      <c r="K348" s="329">
        <f>VLOOKUP(B348,DONGIA,DG!$F$6,0)</f>
        <v>35541</v>
      </c>
      <c r="L348" s="329">
        <f>VLOOKUP(B348,DONGIA,DG!$G$6,0)</f>
        <v>0</v>
      </c>
      <c r="M348" s="329">
        <f t="shared" si="50"/>
        <v>0</v>
      </c>
      <c r="N348" s="329">
        <f t="shared" si="51"/>
        <v>0</v>
      </c>
      <c r="O348" s="329">
        <f t="shared" si="52"/>
        <v>0</v>
      </c>
      <c r="P348" s="329">
        <f t="shared" si="53"/>
        <v>0</v>
      </c>
      <c r="Q348" s="329"/>
      <c r="S348" s="332">
        <f t="shared" si="47"/>
        <v>0</v>
      </c>
      <c r="T348" s="332">
        <f t="shared" si="39"/>
        <v>0</v>
      </c>
    </row>
    <row r="349" spans="2:20" hidden="1">
      <c r="B349" s="332" t="s">
        <v>1939</v>
      </c>
      <c r="C349" s="333">
        <f t="shared" si="48"/>
        <v>0</v>
      </c>
      <c r="D349" s="328"/>
      <c r="E349" s="328" t="str">
        <f>VLOOKUP(B349,DONGIA,DG!$B$6,0)</f>
        <v>T4.4201</v>
      </c>
      <c r="F349" s="329" t="str">
        <f>VLOOKUP(B349,DONGIA,DG!$C$6,0)</f>
        <v>Lắp cáp đồng xuống thiết bị D ≤ 95mm2</v>
      </c>
      <c r="G349" s="328" t="str">
        <f>VLOOKUP(B349,DONGIA,DG!$D$6,0)</f>
        <v>m</v>
      </c>
      <c r="H349" s="329">
        <f>H329</f>
        <v>0</v>
      </c>
      <c r="I349" s="329">
        <f>VLOOKUP(B349,DONGIA,DG!$E$6,0)</f>
        <v>0</v>
      </c>
      <c r="J349" s="329"/>
      <c r="K349" s="329">
        <f>VLOOKUP(B349,DONGIA,DG!$F$6,0)</f>
        <v>11847</v>
      </c>
      <c r="L349" s="329">
        <f>VLOOKUP(B349,DONGIA,DG!$G$6,0)</f>
        <v>0</v>
      </c>
      <c r="M349" s="329">
        <f t="shared" si="50"/>
        <v>0</v>
      </c>
      <c r="N349" s="329">
        <f t="shared" si="51"/>
        <v>0</v>
      </c>
      <c r="O349" s="329">
        <f t="shared" si="52"/>
        <v>0</v>
      </c>
      <c r="P349" s="329">
        <f t="shared" si="53"/>
        <v>0</v>
      </c>
      <c r="Q349" s="329"/>
      <c r="S349" s="332">
        <f t="shared" si="47"/>
        <v>0</v>
      </c>
      <c r="T349" s="332">
        <f t="shared" si="39"/>
        <v>0</v>
      </c>
    </row>
    <row r="350" spans="2:20" hidden="1">
      <c r="B350" s="332" t="s">
        <v>2063</v>
      </c>
      <c r="C350" s="333">
        <f>IF(H350&lt;&gt;0,1,)</f>
        <v>0</v>
      </c>
      <c r="D350" s="328"/>
      <c r="E350" s="328" t="str">
        <f>VLOOKUP(B350,DONGIA,DG!$B$6,0)</f>
        <v>T4.4202</v>
      </c>
      <c r="F350" s="329" t="str">
        <f>VLOOKUP(B350,DONGIA,DG!$C$6,0)</f>
        <v>Lắp cáp đồng xuống thiết bị D ≤ 150mm2</v>
      </c>
      <c r="G350" s="328" t="str">
        <f>VLOOKUP(B350,DONGIA,DG!$D$6,0)</f>
        <v>m</v>
      </c>
      <c r="H350" s="329">
        <f>H328</f>
        <v>0</v>
      </c>
      <c r="I350" s="329">
        <f>VLOOKUP(B350,DONGIA,DG!$E$6,0)</f>
        <v>0</v>
      </c>
      <c r="J350" s="329"/>
      <c r="K350" s="329">
        <f>VLOOKUP(B350,DONGIA,DG!$F$6,0)</f>
        <v>28433</v>
      </c>
      <c r="L350" s="329">
        <f>VLOOKUP(B350,DONGIA,DG!$G$6,0)</f>
        <v>0</v>
      </c>
      <c r="M350" s="329">
        <f>$H350*I350</f>
        <v>0</v>
      </c>
      <c r="N350" s="329">
        <f>$H350*J350</f>
        <v>0</v>
      </c>
      <c r="O350" s="329">
        <f>$H350*K350</f>
        <v>0</v>
      </c>
      <c r="P350" s="329">
        <f>$H350*L350</f>
        <v>0</v>
      </c>
      <c r="Q350" s="329"/>
      <c r="S350" s="332">
        <f>IFERROR(VLOOKUP(B350,DONGIA,$S$25,0),0)</f>
        <v>0</v>
      </c>
      <c r="T350" s="332">
        <f>H350*S350</f>
        <v>0</v>
      </c>
    </row>
    <row r="351" spans="2:20" hidden="1">
      <c r="C351" s="333">
        <f t="shared" si="48"/>
        <v>0</v>
      </c>
      <c r="D351" s="372">
        <f>IF(H351&lt;&gt;0,D326+1,D326)</f>
        <v>0</v>
      </c>
      <c r="E351" s="372"/>
      <c r="F351" s="373" t="s">
        <v>1938</v>
      </c>
      <c r="G351" s="372" t="s">
        <v>138</v>
      </c>
      <c r="H351" s="372">
        <f>T1P2X25*2</f>
        <v>0</v>
      </c>
      <c r="I351" s="373"/>
      <c r="J351" s="373"/>
      <c r="K351" s="373"/>
      <c r="L351" s="373"/>
      <c r="M351" s="373"/>
      <c r="N351" s="373"/>
      <c r="O351" s="373"/>
      <c r="P351" s="373"/>
      <c r="Q351" s="373"/>
      <c r="S351" s="332">
        <f t="shared" si="47"/>
        <v>0</v>
      </c>
      <c r="T351" s="332">
        <f t="shared" si="39"/>
        <v>0</v>
      </c>
    </row>
    <row r="352" spans="2:20" s="361" customFormat="1" hidden="1">
      <c r="C352" s="374">
        <f>C351</f>
        <v>0</v>
      </c>
      <c r="D352" s="350"/>
      <c r="E352" s="350"/>
      <c r="F352" s="351" t="s">
        <v>1902</v>
      </c>
      <c r="G352" s="350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S352" s="361">
        <f t="shared" si="47"/>
        <v>0</v>
      </c>
      <c r="T352" s="361">
        <f t="shared" si="39"/>
        <v>0</v>
      </c>
    </row>
    <row r="353" spans="2:20" hidden="1">
      <c r="B353" s="332" t="s">
        <v>1907</v>
      </c>
      <c r="C353" s="333">
        <f t="shared" si="48"/>
        <v>0</v>
      </c>
      <c r="D353" s="328"/>
      <c r="E353" s="328">
        <f>VLOOKUP(B353,DONGIA,DG!$B$6,0)</f>
        <v>0</v>
      </c>
      <c r="F353" s="329" t="str">
        <f>VLOOKUP(B353,DONGIA,DG!$C$6,0)</f>
        <v>Cáp đồng bọc CV70</v>
      </c>
      <c r="G353" s="328" t="str">
        <f>VLOOKUP(B353,DONGIA,DG!$D$6,0)</f>
        <v>mét</v>
      </c>
      <c r="H353" s="455">
        <f>H351*2*8.5</f>
        <v>0</v>
      </c>
      <c r="I353" s="329">
        <f>VLOOKUP(B353,DONGIA,DG!$E$6,0)</f>
        <v>142880</v>
      </c>
      <c r="J353" s="329"/>
      <c r="K353" s="329">
        <f>VLOOKUP(B353,DONGIA,DG!$F$6,0)</f>
        <v>0</v>
      </c>
      <c r="L353" s="329">
        <f>VLOOKUP(B353,DONGIA,DG!$G$6,0)</f>
        <v>0</v>
      </c>
      <c r="M353" s="329">
        <f>$H353*I353</f>
        <v>0</v>
      </c>
      <c r="N353" s="329">
        <f>$H353*J353</f>
        <v>0</v>
      </c>
      <c r="O353" s="329">
        <f>$H353*K353</f>
        <v>0</v>
      </c>
      <c r="P353" s="329">
        <f>$H353*L353</f>
        <v>0</v>
      </c>
      <c r="Q353" s="329"/>
      <c r="S353" s="332">
        <f t="shared" si="47"/>
        <v>0.73899999999999999</v>
      </c>
      <c r="T353" s="332">
        <f t="shared" si="39"/>
        <v>0</v>
      </c>
    </row>
    <row r="354" spans="2:20" hidden="1">
      <c r="B354" s="332" t="s">
        <v>1906</v>
      </c>
      <c r="C354" s="333">
        <f t="shared" si="48"/>
        <v>0</v>
      </c>
      <c r="D354" s="328"/>
      <c r="E354" s="328">
        <f>VLOOKUP(B354,DONGIA,DG!$B$6,0)</f>
        <v>0</v>
      </c>
      <c r="F354" s="329" t="str">
        <f>VLOOKUP(B354,DONGIA,DG!$C$6,0)</f>
        <v>Cáp đồng bọc CV50</v>
      </c>
      <c r="G354" s="328" t="str">
        <f>VLOOKUP(B354,DONGIA,DG!$D$6,0)</f>
        <v>mét</v>
      </c>
      <c r="H354" s="455">
        <f>H351*8.5</f>
        <v>0</v>
      </c>
      <c r="I354" s="329">
        <f>VLOOKUP(B354,DONGIA,DG!$E$6,0)</f>
        <v>104370</v>
      </c>
      <c r="J354" s="329"/>
      <c r="K354" s="329">
        <f>VLOOKUP(B354,DONGIA,DG!$F$6,0)</f>
        <v>0</v>
      </c>
      <c r="L354" s="329">
        <f>VLOOKUP(B354,DONGIA,DG!$G$6,0)</f>
        <v>0</v>
      </c>
      <c r="M354" s="329">
        <f t="shared" ref="M354:M376" si="55">$H354*I354</f>
        <v>0</v>
      </c>
      <c r="N354" s="329">
        <f t="shared" ref="N354:N376" si="56">$H354*J354</f>
        <v>0</v>
      </c>
      <c r="O354" s="329">
        <f t="shared" ref="O354:O376" si="57">$H354*K354</f>
        <v>0</v>
      </c>
      <c r="P354" s="329">
        <f t="shared" ref="P354:P376" si="58">$H354*L354</f>
        <v>0</v>
      </c>
      <c r="Q354" s="329"/>
      <c r="S354" s="332">
        <f t="shared" si="47"/>
        <v>0.53400000000000003</v>
      </c>
      <c r="T354" s="332">
        <f t="shared" si="39"/>
        <v>0</v>
      </c>
    </row>
    <row r="355" spans="2:20" hidden="1">
      <c r="B355" s="332" t="s">
        <v>1907</v>
      </c>
      <c r="C355" s="333">
        <f>IF(H355&lt;&gt;0,1,)</f>
        <v>0</v>
      </c>
      <c r="D355" s="328"/>
      <c r="E355" s="328">
        <f>VLOOKUP(B355,DONGIA,DG!$B$6,0)</f>
        <v>0</v>
      </c>
      <c r="F355" s="329" t="str">
        <f>VLOOKUP(B355,DONGIA,DG!$C$6,0)&amp;" (Bắt CB phân đoạn)"</f>
        <v>Cáp đồng bọc CV70 (Bắt CB phân đoạn)</v>
      </c>
      <c r="G355" s="328" t="str">
        <f>VLOOKUP(B355,DONGIA,DG!$D$6,0)</f>
        <v>mét</v>
      </c>
      <c r="H355" s="455">
        <f>H351*2</f>
        <v>0</v>
      </c>
      <c r="I355" s="329">
        <f>VLOOKUP(B355,DONGIA,DG!$E$6,0)</f>
        <v>142880</v>
      </c>
      <c r="J355" s="329"/>
      <c r="K355" s="329">
        <f>VLOOKUP(B355,DONGIA,DG!$F$6,0)</f>
        <v>0</v>
      </c>
      <c r="L355" s="329">
        <f>VLOOKUP(B355,DONGIA,DG!$G$6,0)</f>
        <v>0</v>
      </c>
      <c r="M355" s="329">
        <f>$H355*I355</f>
        <v>0</v>
      </c>
      <c r="N355" s="329">
        <f t="shared" si="56"/>
        <v>0</v>
      </c>
      <c r="O355" s="329">
        <f t="shared" si="57"/>
        <v>0</v>
      </c>
      <c r="P355" s="329">
        <f t="shared" si="58"/>
        <v>0</v>
      </c>
      <c r="Q355" s="329"/>
      <c r="S355" s="332">
        <f>IFERROR(VLOOKUP(B355,DONGIA,$S$25,0),0)</f>
        <v>0.73899999999999999</v>
      </c>
      <c r="T355" s="332">
        <f>H355*S355</f>
        <v>0</v>
      </c>
    </row>
    <row r="356" spans="2:20" hidden="1">
      <c r="B356" s="332" t="s">
        <v>1113</v>
      </c>
      <c r="C356" s="333">
        <f t="shared" si="48"/>
        <v>0</v>
      </c>
      <c r="D356" s="328"/>
      <c r="E356" s="328"/>
      <c r="F356" s="329" t="str">
        <f>VLOOKUP(B356,DONGIA,DG!$C$6,0)</f>
        <v>Đầu cosse ép Cu 70mm2</v>
      </c>
      <c r="G356" s="328" t="str">
        <f>VLOOKUP(B356,DONGIA,DG!$D$6,0)</f>
        <v>cái</v>
      </c>
      <c r="H356" s="329">
        <f>H351*2+H351*2*2</f>
        <v>0</v>
      </c>
      <c r="I356" s="329">
        <f>VLOOKUP(B356,DONGIA,DG!$E$6,0)</f>
        <v>33000</v>
      </c>
      <c r="J356" s="329"/>
      <c r="K356" s="329"/>
      <c r="L356" s="329"/>
      <c r="M356" s="329">
        <f t="shared" si="55"/>
        <v>0</v>
      </c>
      <c r="N356" s="329">
        <f t="shared" si="56"/>
        <v>0</v>
      </c>
      <c r="O356" s="329">
        <f t="shared" si="57"/>
        <v>0</v>
      </c>
      <c r="P356" s="329">
        <f t="shared" si="58"/>
        <v>0</v>
      </c>
      <c r="Q356" s="329"/>
      <c r="S356" s="332">
        <f t="shared" si="47"/>
        <v>0.2</v>
      </c>
      <c r="T356" s="332">
        <f t="shared" si="39"/>
        <v>0</v>
      </c>
    </row>
    <row r="357" spans="2:20" hidden="1">
      <c r="B357" s="332" t="s">
        <v>1110</v>
      </c>
      <c r="C357" s="333">
        <f t="shared" si="48"/>
        <v>0</v>
      </c>
      <c r="D357" s="328"/>
      <c r="E357" s="328"/>
      <c r="F357" s="329" t="str">
        <f>VLOOKUP(B357,DONGIA,DG!$C$6,0)</f>
        <v>Đầu cosse ép Cu 50mm2</v>
      </c>
      <c r="G357" s="328" t="str">
        <f>VLOOKUP(B357,DONGIA,DG!$D$6,0)</f>
        <v>cái</v>
      </c>
      <c r="H357" s="329">
        <f>H351</f>
        <v>0</v>
      </c>
      <c r="I357" s="329">
        <f>VLOOKUP(B357,DONGIA,DG!$E$6,0)</f>
        <v>23000</v>
      </c>
      <c r="J357" s="329"/>
      <c r="K357" s="329"/>
      <c r="L357" s="329"/>
      <c r="M357" s="329">
        <f t="shared" si="55"/>
        <v>0</v>
      </c>
      <c r="N357" s="329">
        <f t="shared" si="56"/>
        <v>0</v>
      </c>
      <c r="O357" s="329">
        <f t="shared" si="57"/>
        <v>0</v>
      </c>
      <c r="P357" s="329">
        <f t="shared" si="58"/>
        <v>0</v>
      </c>
      <c r="Q357" s="329"/>
      <c r="S357" s="332">
        <f t="shared" si="47"/>
        <v>0.1</v>
      </c>
      <c r="T357" s="332">
        <f t="shared" si="39"/>
        <v>0</v>
      </c>
    </row>
    <row r="358" spans="2:20" hidden="1">
      <c r="B358" s="332" t="s">
        <v>1147</v>
      </c>
      <c r="C358" s="333">
        <f t="shared" si="48"/>
        <v>0</v>
      </c>
      <c r="D358" s="328"/>
      <c r="E358" s="328">
        <f>VLOOKUP(B358,DONGIA,DG!$B$6,0)</f>
        <v>0</v>
      </c>
      <c r="F358" s="329" t="str">
        <f>VLOOKUP(B358,DONGIA,DG!$C$6,0)</f>
        <v>Chụp đầu cosse  70mm2</v>
      </c>
      <c r="G358" s="328" t="str">
        <f>VLOOKUP(B358,DONGIA,DG!$D$6,0)</f>
        <v>cái</v>
      </c>
      <c r="H358" s="329">
        <f>H356</f>
        <v>0</v>
      </c>
      <c r="I358" s="329">
        <f>VLOOKUP(B358,DONGIA,DG!$E$6,0)</f>
        <v>2000</v>
      </c>
      <c r="J358" s="329"/>
      <c r="K358" s="329">
        <f>VLOOKUP(B358,DONGIA,DG!$F$6,0)</f>
        <v>0</v>
      </c>
      <c r="L358" s="329">
        <f>VLOOKUP(B358,DONGIA,DG!$G$6,0)</f>
        <v>0</v>
      </c>
      <c r="M358" s="329">
        <f t="shared" si="55"/>
        <v>0</v>
      </c>
      <c r="N358" s="329">
        <f t="shared" si="56"/>
        <v>0</v>
      </c>
      <c r="O358" s="329">
        <f t="shared" si="57"/>
        <v>0</v>
      </c>
      <c r="P358" s="329">
        <f t="shared" si="58"/>
        <v>0</v>
      </c>
      <c r="Q358" s="329"/>
      <c r="S358" s="332">
        <f t="shared" si="47"/>
        <v>0</v>
      </c>
      <c r="T358" s="332">
        <f t="shared" si="39"/>
        <v>0</v>
      </c>
    </row>
    <row r="359" spans="2:20" hidden="1">
      <c r="B359" s="332" t="s">
        <v>1145</v>
      </c>
      <c r="C359" s="333">
        <f t="shared" si="48"/>
        <v>0</v>
      </c>
      <c r="D359" s="328"/>
      <c r="E359" s="328">
        <f>VLOOKUP(B359,DONGIA,DG!$B$6,0)</f>
        <v>0</v>
      </c>
      <c r="F359" s="329" t="str">
        <f>VLOOKUP(B359,DONGIA,DG!$C$6,0)</f>
        <v>Chụp đầu cosse  50mm2</v>
      </c>
      <c r="G359" s="328" t="str">
        <f>VLOOKUP(B359,DONGIA,DG!$D$6,0)</f>
        <v>cái</v>
      </c>
      <c r="H359" s="329">
        <f>H357</f>
        <v>0</v>
      </c>
      <c r="I359" s="329">
        <f>VLOOKUP(B359,DONGIA,DG!$E$6,0)</f>
        <v>2000</v>
      </c>
      <c r="J359" s="329"/>
      <c r="K359" s="329">
        <f>VLOOKUP(B359,DONGIA,DG!$F$6,0)</f>
        <v>0</v>
      </c>
      <c r="L359" s="329">
        <f>VLOOKUP(B359,DONGIA,DG!$G$6,0)</f>
        <v>0</v>
      </c>
      <c r="M359" s="329">
        <f t="shared" si="55"/>
        <v>0</v>
      </c>
      <c r="N359" s="329">
        <f t="shared" si="56"/>
        <v>0</v>
      </c>
      <c r="O359" s="329">
        <f t="shared" si="57"/>
        <v>0</v>
      </c>
      <c r="P359" s="329">
        <f t="shared" si="58"/>
        <v>0</v>
      </c>
      <c r="Q359" s="329"/>
      <c r="S359" s="332">
        <f t="shared" si="47"/>
        <v>0</v>
      </c>
      <c r="T359" s="332">
        <f t="shared" si="39"/>
        <v>0</v>
      </c>
    </row>
    <row r="360" spans="2:20" hidden="1">
      <c r="B360" s="332" t="s">
        <v>1177</v>
      </c>
      <c r="C360" s="333">
        <f t="shared" si="48"/>
        <v>0</v>
      </c>
      <c r="D360" s="328"/>
      <c r="E360" s="328">
        <f>VLOOKUP(B360,DONGIA,DG!$B$6,0)</f>
        <v>0</v>
      </c>
      <c r="F360" s="329" t="str">
        <f>VLOOKUP(B360,DONGIA,DG!$C$6,0)</f>
        <v xml:space="preserve">Ống PVC D90x3,8mm </v>
      </c>
      <c r="G360" s="328" t="str">
        <f>VLOOKUP(B360,DONGIA,DG!$D$6,0)</f>
        <v>m</v>
      </c>
      <c r="H360" s="329">
        <f>H351*6</f>
        <v>0</v>
      </c>
      <c r="I360" s="329">
        <f>VLOOKUP(B360,DONGIA,DG!$E$6,0)</f>
        <v>57000</v>
      </c>
      <c r="J360" s="329"/>
      <c r="K360" s="329">
        <f>VLOOKUP(B360,DONGIA,DG!$F$6,0)</f>
        <v>0</v>
      </c>
      <c r="L360" s="329">
        <f>VLOOKUP(B360,DONGIA,DG!$G$6,0)</f>
        <v>0</v>
      </c>
      <c r="M360" s="329">
        <f t="shared" si="55"/>
        <v>0</v>
      </c>
      <c r="N360" s="329">
        <f t="shared" si="56"/>
        <v>0</v>
      </c>
      <c r="O360" s="329">
        <f t="shared" si="57"/>
        <v>0</v>
      </c>
      <c r="P360" s="329">
        <f t="shared" si="58"/>
        <v>0</v>
      </c>
      <c r="Q360" s="329"/>
      <c r="S360" s="332">
        <f t="shared" si="47"/>
        <v>2</v>
      </c>
      <c r="T360" s="332">
        <f t="shared" si="39"/>
        <v>0</v>
      </c>
    </row>
    <row r="361" spans="2:20" hidden="1">
      <c r="B361" s="332" t="s">
        <v>455</v>
      </c>
      <c r="C361" s="333">
        <f t="shared" si="48"/>
        <v>0</v>
      </c>
      <c r="D361" s="328"/>
      <c r="E361" s="328">
        <f>VLOOKUP(B361,DONGIA,DG!$B$6,0)</f>
        <v>0</v>
      </c>
      <c r="F361" s="329" t="str">
        <f>VLOOKUP(B361,DONGIA,DG!$C$6,0)&amp;" (CD-230)"</f>
        <v>Cổ dê kẹp ống PVC φ 90 (có giá nới) (CD-230)</v>
      </c>
      <c r="G361" s="328" t="str">
        <f>VLOOKUP(B361,DONGIA,DG!$D$6,0)</f>
        <v>bộ</v>
      </c>
      <c r="H361" s="329">
        <f>H351</f>
        <v>0</v>
      </c>
      <c r="I361" s="329">
        <f>VLOOKUP(B361,DONGIA,DG!$E$6,0)</f>
        <v>60000</v>
      </c>
      <c r="J361" s="329"/>
      <c r="K361" s="329">
        <f>VLOOKUP(B361,DONGIA,DG!$F$6,0)</f>
        <v>0</v>
      </c>
      <c r="L361" s="329">
        <f>VLOOKUP(B361,DONGIA,DG!$G$6,0)</f>
        <v>0</v>
      </c>
      <c r="M361" s="329">
        <f t="shared" si="55"/>
        <v>0</v>
      </c>
      <c r="N361" s="329">
        <f t="shared" si="56"/>
        <v>0</v>
      </c>
      <c r="O361" s="329">
        <f t="shared" si="57"/>
        <v>0</v>
      </c>
      <c r="P361" s="329">
        <f t="shared" si="58"/>
        <v>0</v>
      </c>
      <c r="Q361" s="329"/>
      <c r="S361" s="332">
        <f t="shared" si="47"/>
        <v>1.5</v>
      </c>
      <c r="T361" s="332">
        <f t="shared" si="39"/>
        <v>0</v>
      </c>
    </row>
    <row r="362" spans="2:20" hidden="1">
      <c r="B362" s="332" t="s">
        <v>455</v>
      </c>
      <c r="C362" s="333">
        <f t="shared" si="48"/>
        <v>0</v>
      </c>
      <c r="D362" s="328"/>
      <c r="E362" s="328">
        <f>VLOOKUP(B362,DONGIA,DG!$B$6,0)</f>
        <v>0</v>
      </c>
      <c r="F362" s="329" t="str">
        <f>VLOOKUP(B362,DONGIA,DG!$C$6,0)&amp;" (CD-280)"</f>
        <v>Cổ dê kẹp ống PVC φ 90 (có giá nới) (CD-280)</v>
      </c>
      <c r="G362" s="328" t="str">
        <f>VLOOKUP(B362,DONGIA,DG!$D$6,0)</f>
        <v>bộ</v>
      </c>
      <c r="H362" s="329">
        <f>H351</f>
        <v>0</v>
      </c>
      <c r="I362" s="329">
        <f>VLOOKUP(B362,DONGIA,DG!$E$6,0)</f>
        <v>60000</v>
      </c>
      <c r="J362" s="329"/>
      <c r="K362" s="329">
        <f>VLOOKUP(B362,DONGIA,DG!$F$6,0)</f>
        <v>0</v>
      </c>
      <c r="L362" s="329">
        <f>VLOOKUP(B362,DONGIA,DG!$G$6,0)</f>
        <v>0</v>
      </c>
      <c r="M362" s="329">
        <f t="shared" si="55"/>
        <v>0</v>
      </c>
      <c r="N362" s="329">
        <f t="shared" si="56"/>
        <v>0</v>
      </c>
      <c r="O362" s="329">
        <f t="shared" si="57"/>
        <v>0</v>
      </c>
      <c r="P362" s="329">
        <f t="shared" si="58"/>
        <v>0</v>
      </c>
      <c r="Q362" s="329"/>
      <c r="S362" s="332">
        <f t="shared" si="47"/>
        <v>1.5</v>
      </c>
      <c r="T362" s="332">
        <f t="shared" ref="T362:T408" si="59">H362*S362</f>
        <v>0</v>
      </c>
    </row>
    <row r="363" spans="2:20" hidden="1">
      <c r="B363" s="332" t="s">
        <v>455</v>
      </c>
      <c r="C363" s="333">
        <f t="shared" si="48"/>
        <v>0</v>
      </c>
      <c r="D363" s="328"/>
      <c r="E363" s="328">
        <f>VLOOKUP(B363,DONGIA,DG!$B$6,0)</f>
        <v>0</v>
      </c>
      <c r="F363" s="329" t="str">
        <f>VLOOKUP(B363,DONGIA,DG!$C$6,0)&amp;" (CD-320)"</f>
        <v>Cổ dê kẹp ống PVC φ 90 (có giá nới) (CD-320)</v>
      </c>
      <c r="G363" s="328" t="str">
        <f>VLOOKUP(B363,DONGIA,DG!$D$6,0)</f>
        <v>bộ</v>
      </c>
      <c r="H363" s="329">
        <f>H351</f>
        <v>0</v>
      </c>
      <c r="I363" s="329">
        <f>VLOOKUP(B363,DONGIA,DG!$E$6,0)</f>
        <v>60000</v>
      </c>
      <c r="J363" s="329"/>
      <c r="K363" s="329">
        <f>VLOOKUP(B363,DONGIA,DG!$F$6,0)</f>
        <v>0</v>
      </c>
      <c r="L363" s="329">
        <f>VLOOKUP(B363,DONGIA,DG!$G$6,0)</f>
        <v>0</v>
      </c>
      <c r="M363" s="329">
        <f t="shared" si="55"/>
        <v>0</v>
      </c>
      <c r="N363" s="329">
        <f t="shared" si="56"/>
        <v>0</v>
      </c>
      <c r="O363" s="329">
        <f t="shared" si="57"/>
        <v>0</v>
      </c>
      <c r="P363" s="329">
        <f t="shared" si="58"/>
        <v>0</v>
      </c>
      <c r="Q363" s="329"/>
      <c r="S363" s="332">
        <f t="shared" si="47"/>
        <v>1.5</v>
      </c>
      <c r="T363" s="332">
        <f t="shared" si="59"/>
        <v>0</v>
      </c>
    </row>
    <row r="364" spans="2:20" hidden="1">
      <c r="B364" s="332" t="s">
        <v>1183</v>
      </c>
      <c r="C364" s="333">
        <f t="shared" si="48"/>
        <v>0</v>
      </c>
      <c r="D364" s="328"/>
      <c r="E364" s="328">
        <f>VLOOKUP(B364,DONGIA,DG!$B$6,0)</f>
        <v>0</v>
      </c>
      <c r="F364" s="329" t="str">
        <f>VLOOKUP(B364,DONGIA,DG!$C$6,0)</f>
        <v>Co  90 độ PVC 90</v>
      </c>
      <c r="G364" s="328" t="str">
        <f>VLOOKUP(B364,DONGIA,DG!$D$6,0)</f>
        <v>cái</v>
      </c>
      <c r="H364" s="329">
        <f>H351*2</f>
        <v>0</v>
      </c>
      <c r="I364" s="329">
        <f>VLOOKUP(B364,DONGIA,DG!$E$6,0)</f>
        <v>45400</v>
      </c>
      <c r="J364" s="329"/>
      <c r="K364" s="329">
        <f>VLOOKUP(B364,DONGIA,DG!$F$6,0)</f>
        <v>0</v>
      </c>
      <c r="L364" s="329">
        <f>VLOOKUP(B364,DONGIA,DG!$G$6,0)</f>
        <v>0</v>
      </c>
      <c r="M364" s="329">
        <f t="shared" si="55"/>
        <v>0</v>
      </c>
      <c r="N364" s="329">
        <f t="shared" si="56"/>
        <v>0</v>
      </c>
      <c r="O364" s="329">
        <f t="shared" si="57"/>
        <v>0</v>
      </c>
      <c r="P364" s="329">
        <f t="shared" si="58"/>
        <v>0</v>
      </c>
      <c r="Q364" s="329"/>
      <c r="S364" s="332">
        <f t="shared" si="47"/>
        <v>0</v>
      </c>
      <c r="T364" s="332">
        <f t="shared" si="59"/>
        <v>0</v>
      </c>
    </row>
    <row r="365" spans="2:20" hidden="1">
      <c r="B365" s="332" t="s">
        <v>2956</v>
      </c>
      <c r="C365" s="333">
        <f>IF(H365&lt;&gt;0,1,)</f>
        <v>0</v>
      </c>
      <c r="D365" s="328"/>
      <c r="E365" s="328">
        <f>VLOOKUP(B365,DONGIA,DG!$B$6,0)</f>
        <v>0</v>
      </c>
      <c r="F365" s="329" t="str">
        <f>VLOOKUP(B365,DONGIA,DG!$C$6,0)</f>
        <v>Co  90 độ PVC 90 (Loại dày)</v>
      </c>
      <c r="G365" s="328" t="str">
        <f>VLOOKUP(B365,DONGIA,DG!$D$6,0)</f>
        <v>cái</v>
      </c>
      <c r="H365" s="329">
        <f>H351</f>
        <v>0</v>
      </c>
      <c r="I365" s="329">
        <f>VLOOKUP(B365,DONGIA,DG!$E$6,0)</f>
        <v>45400</v>
      </c>
      <c r="J365" s="329"/>
      <c r="K365" s="329">
        <f>VLOOKUP(B365,DONGIA,DG!$F$6,0)</f>
        <v>0</v>
      </c>
      <c r="L365" s="329">
        <f>VLOOKUP(B365,DONGIA,DG!$G$6,0)</f>
        <v>0</v>
      </c>
      <c r="M365" s="329">
        <f>$H365*I365</f>
        <v>0</v>
      </c>
      <c r="N365" s="329">
        <f>$H365*J365</f>
        <v>0</v>
      </c>
      <c r="O365" s="329">
        <f>$H365*K365</f>
        <v>0</v>
      </c>
      <c r="P365" s="329">
        <f>$H365*L365</f>
        <v>0</v>
      </c>
      <c r="Q365" s="329"/>
      <c r="S365" s="332">
        <f>IFERROR(VLOOKUP(B365,DONGIA,$S$25,0),0)</f>
        <v>0</v>
      </c>
      <c r="T365" s="332">
        <f t="shared" si="59"/>
        <v>0</v>
      </c>
    </row>
    <row r="366" spans="2:20" hidden="1">
      <c r="B366" s="332" t="s">
        <v>1181</v>
      </c>
      <c r="C366" s="333">
        <f t="shared" si="48"/>
        <v>0</v>
      </c>
      <c r="D366" s="328"/>
      <c r="E366" s="328">
        <f>VLOOKUP(B366,DONGIA,DG!$B$6,0)</f>
        <v>0</v>
      </c>
      <c r="F366" s="329" t="str">
        <f>VLOOKUP(B366,DONGIA,DG!$C$6,0)</f>
        <v>Co 135 độ PVC 90</v>
      </c>
      <c r="G366" s="328" t="str">
        <f>VLOOKUP(B366,DONGIA,DG!$D$6,0)</f>
        <v>cái</v>
      </c>
      <c r="H366" s="329">
        <f>H351</f>
        <v>0</v>
      </c>
      <c r="I366" s="329">
        <f>VLOOKUP(B366,DONGIA,DG!$E$6,0)</f>
        <v>34800</v>
      </c>
      <c r="J366" s="329"/>
      <c r="K366" s="329">
        <f>VLOOKUP(B366,DONGIA,DG!$F$6,0)</f>
        <v>0</v>
      </c>
      <c r="L366" s="329">
        <f>VLOOKUP(B366,DONGIA,DG!$G$6,0)</f>
        <v>0</v>
      </c>
      <c r="M366" s="329">
        <f t="shared" si="55"/>
        <v>0</v>
      </c>
      <c r="N366" s="329">
        <f t="shared" si="56"/>
        <v>0</v>
      </c>
      <c r="O366" s="329">
        <f t="shared" si="57"/>
        <v>0</v>
      </c>
      <c r="P366" s="329">
        <f t="shared" si="58"/>
        <v>0</v>
      </c>
      <c r="Q366" s="329"/>
      <c r="S366" s="332">
        <f t="shared" si="47"/>
        <v>0</v>
      </c>
      <c r="T366" s="332">
        <f t="shared" si="59"/>
        <v>0</v>
      </c>
    </row>
    <row r="367" spans="2:20" hidden="1">
      <c r="B367" s="332" t="s">
        <v>1203</v>
      </c>
      <c r="C367" s="333">
        <f>IF(H367&lt;&gt;0,1,)</f>
        <v>0</v>
      </c>
      <c r="D367" s="328"/>
      <c r="E367" s="328">
        <f>VLOOKUP(B367,DONGIA,DG!$B$6,0)</f>
        <v>0</v>
      </c>
      <c r="F367" s="329" t="str">
        <f>VLOOKUP(B367,DONGIA,DG!$C$6,0)</f>
        <v>Khâu ven răng trong D90</v>
      </c>
      <c r="G367" s="328" t="str">
        <f>VLOOKUP(B367,DONGIA,DG!$D$6,0)</f>
        <v>cái</v>
      </c>
      <c r="H367" s="329">
        <f>H351</f>
        <v>0</v>
      </c>
      <c r="I367" s="329">
        <f>VLOOKUP(B367,DONGIA,DG!$E$6,0)</f>
        <v>25800</v>
      </c>
      <c r="J367" s="329"/>
      <c r="K367" s="329">
        <f>VLOOKUP(B367,DONGIA,DG!$F$6,0)</f>
        <v>0</v>
      </c>
      <c r="L367" s="329">
        <f>VLOOKUP(B367,DONGIA,DG!$G$6,0)</f>
        <v>0</v>
      </c>
      <c r="M367" s="329">
        <f t="shared" si="55"/>
        <v>0</v>
      </c>
      <c r="N367" s="329">
        <f t="shared" si="56"/>
        <v>0</v>
      </c>
      <c r="O367" s="329">
        <f t="shared" si="57"/>
        <v>0</v>
      </c>
      <c r="P367" s="329">
        <f t="shared" si="58"/>
        <v>0</v>
      </c>
      <c r="Q367" s="329"/>
      <c r="S367" s="332">
        <f>IFERROR(VLOOKUP(B367,DONGIA,$S$25,0),0)</f>
        <v>0</v>
      </c>
      <c r="T367" s="332">
        <f t="shared" si="59"/>
        <v>0</v>
      </c>
    </row>
    <row r="368" spans="2:20" hidden="1">
      <c r="B368" s="332" t="s">
        <v>1209</v>
      </c>
      <c r="C368" s="333">
        <f>IF(H368&lt;&gt;0,1,)</f>
        <v>0</v>
      </c>
      <c r="D368" s="328"/>
      <c r="E368" s="328">
        <f>VLOOKUP(B368,DONGIA,DG!$B$6,0)</f>
        <v>0</v>
      </c>
      <c r="F368" s="329" t="str">
        <f>VLOOKUP(B368,DONGIA,DG!$C$6,0)</f>
        <v>Khâu ven răng ngoài D90</v>
      </c>
      <c r="G368" s="328" t="str">
        <f>VLOOKUP(B368,DONGIA,DG!$D$6,0)</f>
        <v>cái</v>
      </c>
      <c r="H368" s="329">
        <f>H367</f>
        <v>0</v>
      </c>
      <c r="I368" s="329">
        <f>VLOOKUP(B368,DONGIA,DG!$E$6,0)</f>
        <v>21500</v>
      </c>
      <c r="J368" s="329"/>
      <c r="K368" s="329">
        <f>VLOOKUP(B368,DONGIA,DG!$F$6,0)</f>
        <v>0</v>
      </c>
      <c r="L368" s="329">
        <f>VLOOKUP(B368,DONGIA,DG!$G$6,0)</f>
        <v>0</v>
      </c>
      <c r="M368" s="329">
        <f t="shared" si="55"/>
        <v>0</v>
      </c>
      <c r="N368" s="329">
        <f t="shared" si="56"/>
        <v>0</v>
      </c>
      <c r="O368" s="329">
        <f t="shared" si="57"/>
        <v>0</v>
      </c>
      <c r="P368" s="329">
        <f t="shared" si="58"/>
        <v>0</v>
      </c>
      <c r="Q368" s="329"/>
      <c r="S368" s="332">
        <f>IFERROR(VLOOKUP(B368,DONGIA,$S$25,0),0)</f>
        <v>0</v>
      </c>
      <c r="T368" s="332">
        <f t="shared" si="59"/>
        <v>0</v>
      </c>
    </row>
    <row r="369" spans="2:20" hidden="1">
      <c r="B369" s="332" t="s">
        <v>1914</v>
      </c>
      <c r="C369" s="333">
        <f t="shared" si="48"/>
        <v>0</v>
      </c>
      <c r="D369" s="328"/>
      <c r="E369" s="328">
        <f>VLOOKUP(B369,DONGIA,DG!$B$6,0)</f>
        <v>0</v>
      </c>
      <c r="F369" s="329" t="str">
        <f>VLOOKUP(B369,DONGIA,DG!$C$6,0)</f>
        <v>Keo dán ống PVC (100gr)</v>
      </c>
      <c r="G369" s="328" t="str">
        <f>VLOOKUP(B369,DONGIA,DG!$D$6,0)</f>
        <v>tuýp</v>
      </c>
      <c r="H369" s="329">
        <f>H351</f>
        <v>0</v>
      </c>
      <c r="I369" s="329">
        <f>VLOOKUP(B369,DONGIA,DG!$E$6,0)</f>
        <v>11500</v>
      </c>
      <c r="J369" s="329"/>
      <c r="K369" s="329">
        <f>VLOOKUP(B369,DONGIA,DG!$F$6,0)</f>
        <v>0</v>
      </c>
      <c r="L369" s="329">
        <f>VLOOKUP(B369,DONGIA,DG!$G$6,0)</f>
        <v>0</v>
      </c>
      <c r="M369" s="329">
        <f t="shared" si="55"/>
        <v>0</v>
      </c>
      <c r="N369" s="329">
        <f t="shared" si="56"/>
        <v>0</v>
      </c>
      <c r="O369" s="329">
        <f t="shared" si="57"/>
        <v>0</v>
      </c>
      <c r="P369" s="329">
        <f t="shared" si="58"/>
        <v>0</v>
      </c>
      <c r="Q369" s="329"/>
      <c r="S369" s="332">
        <f t="shared" si="47"/>
        <v>0</v>
      </c>
      <c r="T369" s="332">
        <f t="shared" si="59"/>
        <v>0</v>
      </c>
    </row>
    <row r="370" spans="2:20" hidden="1">
      <c r="B370" s="332" t="s">
        <v>1195</v>
      </c>
      <c r="C370" s="333">
        <f t="shared" si="48"/>
        <v>0</v>
      </c>
      <c r="D370" s="328"/>
      <c r="E370" s="328">
        <f>VLOOKUP(B370,DONGIA,DG!$B$6,0)</f>
        <v>0</v>
      </c>
      <c r="F370" s="329" t="str">
        <f>VLOOKUP(B370,DONGIA,DG!$C$6,0)</f>
        <v>Keo silicon bít miệng ống</v>
      </c>
      <c r="G370" s="328" t="str">
        <f>VLOOKUP(B370,DONGIA,DG!$D$6,0)</f>
        <v>ống</v>
      </c>
      <c r="H370" s="329"/>
      <c r="I370" s="329">
        <f>VLOOKUP(B370,DONGIA,DG!$E$6,0)</f>
        <v>45000</v>
      </c>
      <c r="J370" s="329"/>
      <c r="K370" s="329">
        <f>VLOOKUP(B370,DONGIA,DG!$F$6,0)</f>
        <v>0</v>
      </c>
      <c r="L370" s="329">
        <f>VLOOKUP(B370,DONGIA,DG!$G$6,0)</f>
        <v>0</v>
      </c>
      <c r="M370" s="329">
        <f t="shared" si="55"/>
        <v>0</v>
      </c>
      <c r="N370" s="329">
        <f t="shared" si="56"/>
        <v>0</v>
      </c>
      <c r="O370" s="329">
        <f t="shared" si="57"/>
        <v>0</v>
      </c>
      <c r="P370" s="329">
        <f t="shared" si="58"/>
        <v>0</v>
      </c>
      <c r="Q370" s="329"/>
      <c r="S370" s="332">
        <f t="shared" si="47"/>
        <v>0</v>
      </c>
      <c r="T370" s="332">
        <f t="shared" si="59"/>
        <v>0</v>
      </c>
    </row>
    <row r="371" spans="2:20" hidden="1">
      <c r="B371" s="332" t="s">
        <v>1193</v>
      </c>
      <c r="C371" s="333">
        <f>IF(H371&lt;&gt;0,1,)</f>
        <v>0</v>
      </c>
      <c r="D371" s="328"/>
      <c r="E371" s="328">
        <f>VLOOKUP(B371,DONGIA,DG!$B$6,0)</f>
        <v>0</v>
      </c>
      <c r="F371" s="329" t="str">
        <f>VLOOKUP(B371,DONGIA,DG!$C$6,0)</f>
        <v>Băng keo cách điện</v>
      </c>
      <c r="G371" s="328" t="str">
        <f>VLOOKUP(B371,DONGIA,DG!$D$6,0)</f>
        <v>cuộn</v>
      </c>
      <c r="H371" s="329"/>
      <c r="I371" s="329">
        <f>VLOOKUP(B371,DONGIA,DG!$E$6,0)</f>
        <v>6500</v>
      </c>
      <c r="J371" s="329"/>
      <c r="K371" s="329">
        <f>VLOOKUP(B371,DONGIA,DG!$F$6,0)</f>
        <v>0</v>
      </c>
      <c r="L371" s="329">
        <f>VLOOKUP(B371,DONGIA,DG!$G$6,0)</f>
        <v>0</v>
      </c>
      <c r="M371" s="329">
        <f t="shared" si="55"/>
        <v>0</v>
      </c>
      <c r="N371" s="329">
        <f t="shared" si="56"/>
        <v>0</v>
      </c>
      <c r="O371" s="329">
        <f t="shared" si="57"/>
        <v>0</v>
      </c>
      <c r="P371" s="329">
        <f t="shared" si="58"/>
        <v>0</v>
      </c>
      <c r="Q371" s="329"/>
      <c r="S371" s="332">
        <f>IFERROR(VLOOKUP(B371,DONGIA,$S$25,0),0)</f>
        <v>0</v>
      </c>
      <c r="T371" s="332">
        <f t="shared" si="59"/>
        <v>0</v>
      </c>
    </row>
    <row r="372" spans="2:20" hidden="1">
      <c r="B372" s="332" t="s">
        <v>2979</v>
      </c>
      <c r="C372" s="333">
        <f>IF(H372&lt;&gt;0,1,)</f>
        <v>0</v>
      </c>
      <c r="D372" s="328"/>
      <c r="E372" s="328">
        <f>VLOOKUP(B372,DONGIA,DG!$B$6,0)</f>
        <v>0</v>
      </c>
      <c r="F372" s="329" t="str">
        <f>VLOOKUP(B372,DONGIA,DG!$C$6,0)</f>
        <v>Băng keo cách điện (Màu vàng)</v>
      </c>
      <c r="G372" s="328" t="str">
        <f>VLOOKUP(B372,DONGIA,DG!$D$6,0)</f>
        <v>cuộn</v>
      </c>
      <c r="H372" s="329">
        <f>ROUNDUP(H351/2,0)</f>
        <v>0</v>
      </c>
      <c r="I372" s="329">
        <f>VLOOKUP(B372,DONGIA,DG!$E$6,0)</f>
        <v>6500</v>
      </c>
      <c r="J372" s="329"/>
      <c r="K372" s="329">
        <f>VLOOKUP(B372,DONGIA,DG!$F$6,0)</f>
        <v>0</v>
      </c>
      <c r="L372" s="329">
        <f>VLOOKUP(B372,DONGIA,DG!$G$6,0)</f>
        <v>0</v>
      </c>
      <c r="M372" s="329">
        <f t="shared" si="55"/>
        <v>0</v>
      </c>
      <c r="N372" s="329">
        <f t="shared" si="56"/>
        <v>0</v>
      </c>
      <c r="O372" s="329">
        <f t="shared" si="57"/>
        <v>0</v>
      </c>
      <c r="P372" s="329">
        <f t="shared" si="58"/>
        <v>0</v>
      </c>
      <c r="Q372" s="329"/>
      <c r="S372" s="332">
        <f>IFERROR(VLOOKUP(B372,DONGIA,$S$25,0),0)</f>
        <v>0</v>
      </c>
      <c r="T372" s="332">
        <f t="shared" si="59"/>
        <v>0</v>
      </c>
    </row>
    <row r="373" spans="2:20" hidden="1">
      <c r="B373" s="332" t="s">
        <v>2980</v>
      </c>
      <c r="C373" s="333">
        <f>IF(H373&lt;&gt;0,1,)</f>
        <v>0</v>
      </c>
      <c r="D373" s="328"/>
      <c r="E373" s="328">
        <f>VLOOKUP(B373,DONGIA,DG!$B$6,0)</f>
        <v>0</v>
      </c>
      <c r="F373" s="329" t="str">
        <f>VLOOKUP(B373,DONGIA,DG!$C$6,0)</f>
        <v>Băng keo cách điện (Màu xanh)</v>
      </c>
      <c r="G373" s="328" t="str">
        <f>VLOOKUP(B373,DONGIA,DG!$D$6,0)</f>
        <v>cuộn</v>
      </c>
      <c r="H373" s="329">
        <f>ROUNDUP(H351/2,0)</f>
        <v>0</v>
      </c>
      <c r="I373" s="329">
        <f>VLOOKUP(B373,DONGIA,DG!$E$6,0)</f>
        <v>6500</v>
      </c>
      <c r="J373" s="329"/>
      <c r="K373" s="329">
        <f>VLOOKUP(B373,DONGIA,DG!$F$6,0)</f>
        <v>0</v>
      </c>
      <c r="L373" s="329">
        <f>VLOOKUP(B373,DONGIA,DG!$G$6,0)</f>
        <v>0</v>
      </c>
      <c r="M373" s="329">
        <f t="shared" si="55"/>
        <v>0</v>
      </c>
      <c r="N373" s="329">
        <f t="shared" si="56"/>
        <v>0</v>
      </c>
      <c r="O373" s="329">
        <f t="shared" si="57"/>
        <v>0</v>
      </c>
      <c r="P373" s="329">
        <f t="shared" si="58"/>
        <v>0</v>
      </c>
      <c r="Q373" s="329"/>
      <c r="S373" s="332">
        <f>IFERROR(VLOOKUP(B373,DONGIA,$S$25,0),0)</f>
        <v>0</v>
      </c>
      <c r="T373" s="332">
        <f t="shared" si="59"/>
        <v>0</v>
      </c>
    </row>
    <row r="374" spans="2:20" hidden="1">
      <c r="B374" s="332" t="s">
        <v>2981</v>
      </c>
      <c r="C374" s="333">
        <f>IF(H374&lt;&gt;0,1,)</f>
        <v>0</v>
      </c>
      <c r="D374" s="328"/>
      <c r="E374" s="328">
        <f>VLOOKUP(B374,DONGIA,DG!$B$6,0)</f>
        <v>0</v>
      </c>
      <c r="F374" s="329" t="str">
        <f>VLOOKUP(B374,DONGIA,DG!$C$6,0)</f>
        <v>Băng keo cách điện (Màu đỏ)</v>
      </c>
      <c r="G374" s="328" t="str">
        <f>VLOOKUP(B374,DONGIA,DG!$D$6,0)</f>
        <v>cuộn</v>
      </c>
      <c r="H374" s="329">
        <f>ROUNDUP(H351/2,0)</f>
        <v>0</v>
      </c>
      <c r="I374" s="329">
        <f>VLOOKUP(B374,DONGIA,DG!$E$6,0)</f>
        <v>6500</v>
      </c>
      <c r="J374" s="329"/>
      <c r="K374" s="329">
        <f>VLOOKUP(B374,DONGIA,DG!$F$6,0)</f>
        <v>0</v>
      </c>
      <c r="L374" s="329">
        <f>VLOOKUP(B374,DONGIA,DG!$G$6,0)</f>
        <v>0</v>
      </c>
      <c r="M374" s="329">
        <f t="shared" si="55"/>
        <v>0</v>
      </c>
      <c r="N374" s="329">
        <f t="shared" si="56"/>
        <v>0</v>
      </c>
      <c r="O374" s="329">
        <f t="shared" si="57"/>
        <v>0</v>
      </c>
      <c r="P374" s="329">
        <f t="shared" si="58"/>
        <v>0</v>
      </c>
      <c r="Q374" s="329"/>
      <c r="S374" s="332">
        <f>IFERROR(VLOOKUP(B374,DONGIA,$S$25,0),0)</f>
        <v>0</v>
      </c>
      <c r="T374" s="332">
        <f t="shared" si="59"/>
        <v>0</v>
      </c>
    </row>
    <row r="375" spans="2:20" hidden="1">
      <c r="B375" s="332" t="s">
        <v>855</v>
      </c>
      <c r="C375" s="333">
        <f t="shared" si="48"/>
        <v>0</v>
      </c>
      <c r="D375" s="328"/>
      <c r="E375" s="328" t="str">
        <f>VLOOKUP(B375,DONGIA,DG!$B$6,0)</f>
        <v>T4.8003</v>
      </c>
      <c r="F375" s="329" t="str">
        <f>VLOOKUP(B375,DONGIA,DG!$C$6,0)</f>
        <v>Lắp ống nhựa PVC D90</v>
      </c>
      <c r="G375" s="328" t="str">
        <f>VLOOKUP(B375,DONGIA,DG!$D$6,0)</f>
        <v>mét</v>
      </c>
      <c r="H375" s="329">
        <f>H360</f>
        <v>0</v>
      </c>
      <c r="I375" s="329">
        <f>VLOOKUP(B375,DONGIA,DG!$E$6,0)</f>
        <v>0</v>
      </c>
      <c r="J375" s="329"/>
      <c r="K375" s="329">
        <f>VLOOKUP(B375,DONGIA,DG!$F$6,0)</f>
        <v>35541</v>
      </c>
      <c r="L375" s="329">
        <f>VLOOKUP(B375,DONGIA,DG!$G$6,0)</f>
        <v>0</v>
      </c>
      <c r="M375" s="329">
        <f t="shared" si="55"/>
        <v>0</v>
      </c>
      <c r="N375" s="329">
        <f t="shared" si="56"/>
        <v>0</v>
      </c>
      <c r="O375" s="329">
        <f t="shared" si="57"/>
        <v>0</v>
      </c>
      <c r="P375" s="329">
        <f t="shared" si="58"/>
        <v>0</v>
      </c>
      <c r="Q375" s="329"/>
      <c r="S375" s="332">
        <f t="shared" si="47"/>
        <v>0</v>
      </c>
      <c r="T375" s="332">
        <f t="shared" si="59"/>
        <v>0</v>
      </c>
    </row>
    <row r="376" spans="2:20" hidden="1">
      <c r="B376" s="332" t="s">
        <v>1939</v>
      </c>
      <c r="C376" s="333">
        <f t="shared" si="48"/>
        <v>0</v>
      </c>
      <c r="D376" s="328"/>
      <c r="E376" s="328" t="str">
        <f>VLOOKUP(B376,DONGIA,DG!$B$6,0)</f>
        <v>T4.4201</v>
      </c>
      <c r="F376" s="329" t="str">
        <f>VLOOKUP(B376,DONGIA,DG!$C$6,0)</f>
        <v>Lắp cáp đồng xuống thiết bị D ≤ 95mm2</v>
      </c>
      <c r="G376" s="328" t="str">
        <f>VLOOKUP(B376,DONGIA,DG!$D$6,0)</f>
        <v>m</v>
      </c>
      <c r="H376" s="455">
        <f>H353+H354+H355</f>
        <v>0</v>
      </c>
      <c r="I376" s="329">
        <f>VLOOKUP(B376,DONGIA,DG!$E$6,0)</f>
        <v>0</v>
      </c>
      <c r="J376" s="329"/>
      <c r="K376" s="329">
        <f>VLOOKUP(B376,DONGIA,DG!$F$6,0)</f>
        <v>11847</v>
      </c>
      <c r="L376" s="329">
        <f>VLOOKUP(B376,DONGIA,DG!$G$6,0)</f>
        <v>0</v>
      </c>
      <c r="M376" s="329">
        <f t="shared" si="55"/>
        <v>0</v>
      </c>
      <c r="N376" s="329">
        <f t="shared" si="56"/>
        <v>0</v>
      </c>
      <c r="O376" s="329">
        <f t="shared" si="57"/>
        <v>0</v>
      </c>
      <c r="P376" s="329">
        <f t="shared" si="58"/>
        <v>0</v>
      </c>
      <c r="Q376" s="329"/>
      <c r="S376" s="332">
        <f t="shared" si="47"/>
        <v>0</v>
      </c>
      <c r="T376" s="332">
        <f t="shared" si="59"/>
        <v>0</v>
      </c>
    </row>
    <row r="377" spans="2:20" hidden="1">
      <c r="C377" s="333">
        <f>IF(SUM(C379:C404)&lt;&gt;0,1,)</f>
        <v>0</v>
      </c>
      <c r="D377" s="372">
        <f>IF(H377&lt;&gt;0,D351+1,D351)</f>
        <v>1</v>
      </c>
      <c r="E377" s="372"/>
      <c r="F377" s="373" t="s">
        <v>2986</v>
      </c>
      <c r="G377" s="372" t="s">
        <v>138</v>
      </c>
      <c r="H377" s="372">
        <v>1</v>
      </c>
      <c r="I377" s="373"/>
      <c r="J377" s="373"/>
      <c r="K377" s="373"/>
      <c r="L377" s="373"/>
      <c r="M377" s="373"/>
      <c r="N377" s="373"/>
      <c r="O377" s="373"/>
      <c r="P377" s="373"/>
      <c r="Q377" s="373"/>
      <c r="S377" s="332">
        <f t="shared" ref="S377:S406" si="60">IFERROR(VLOOKUP(B377,DONGIA,$S$25,0),0)</f>
        <v>0</v>
      </c>
      <c r="T377" s="332">
        <f t="shared" si="59"/>
        <v>0</v>
      </c>
    </row>
    <row r="378" spans="2:20" s="361" customFormat="1" hidden="1">
      <c r="C378" s="374">
        <f>IF(SUM(C379:C386)&lt;&gt;0,1,)</f>
        <v>0</v>
      </c>
      <c r="D378" s="350"/>
      <c r="E378" s="350"/>
      <c r="F378" s="351" t="s">
        <v>2918</v>
      </c>
      <c r="G378" s="350"/>
      <c r="H378" s="482"/>
      <c r="I378" s="351"/>
      <c r="J378" s="351"/>
      <c r="K378" s="351"/>
      <c r="L378" s="351"/>
      <c r="M378" s="351"/>
      <c r="N378" s="351"/>
      <c r="O378" s="351"/>
      <c r="P378" s="351"/>
      <c r="Q378" s="351"/>
      <c r="S378" s="361">
        <f t="shared" si="60"/>
        <v>0</v>
      </c>
      <c r="T378" s="361">
        <f t="shared" si="59"/>
        <v>0</v>
      </c>
    </row>
    <row r="379" spans="2:20" s="352" customFormat="1" hidden="1">
      <c r="B379" s="352" t="s">
        <v>177</v>
      </c>
      <c r="C379" s="484">
        <f t="shared" ref="C379:C386" si="61">IF(H379&lt;&gt;0,1,)</f>
        <v>0</v>
      </c>
      <c r="D379" s="363"/>
      <c r="E379" s="363">
        <f>VLOOKUP(B379,DONGIA,DG!$B$6,0)</f>
        <v>0</v>
      </c>
      <c r="F379" s="362" t="str">
        <f>VLOOKUP(B379,DONGIA,DG!$C$6,0)</f>
        <v>Cáp nhôm lõi thép AC-50/8</v>
      </c>
      <c r="G379" s="363" t="str">
        <f>VLOOKUP(B379,DONGIA,DG!$D$6,0)</f>
        <v>kg</v>
      </c>
      <c r="H379" s="483"/>
      <c r="I379" s="362">
        <f>VLOOKUP(B379,DONGIA,DG!$E$6,0)</f>
        <v>59680</v>
      </c>
      <c r="J379" s="362"/>
      <c r="K379" s="362">
        <f>VLOOKUP(B379,DONGIA,DG!$F$6,0)</f>
        <v>0</v>
      </c>
      <c r="L379" s="362">
        <f>VLOOKUP(B379,DONGIA,DG!$G$6,0)</f>
        <v>0</v>
      </c>
      <c r="M379" s="362">
        <f t="shared" ref="M379:P386" si="62">$H379*I379</f>
        <v>0</v>
      </c>
      <c r="N379" s="362">
        <f t="shared" si="62"/>
        <v>0</v>
      </c>
      <c r="O379" s="362">
        <f t="shared" si="62"/>
        <v>0</v>
      </c>
      <c r="P379" s="362">
        <f t="shared" si="62"/>
        <v>0</v>
      </c>
      <c r="Q379" s="362"/>
      <c r="S379" s="352">
        <f t="shared" si="60"/>
        <v>1</v>
      </c>
      <c r="T379" s="352">
        <f t="shared" si="59"/>
        <v>0</v>
      </c>
    </row>
    <row r="380" spans="2:20" s="352" customFormat="1" hidden="1">
      <c r="B380" s="352" t="s">
        <v>2885</v>
      </c>
      <c r="C380" s="484">
        <f t="shared" si="61"/>
        <v>0</v>
      </c>
      <c r="D380" s="363"/>
      <c r="E380" s="363">
        <f>VLOOKUP(B380,DONGIA,DG!$B$6,0)</f>
        <v>0</v>
      </c>
      <c r="F380" s="362" t="str">
        <f>VLOOKUP(B380,DONGIA,DG!$C$6,0)</f>
        <v>Cáp nhôm bọc AV70</v>
      </c>
      <c r="G380" s="363" t="str">
        <f>VLOOKUP(B380,DONGIA,DG!$D$6,0)</f>
        <v>mét</v>
      </c>
      <c r="H380" s="457"/>
      <c r="I380" s="362">
        <f>VLOOKUP(B380,DONGIA,DG!$E$6,0)</f>
        <v>22680</v>
      </c>
      <c r="J380" s="362"/>
      <c r="K380" s="362">
        <f>VLOOKUP(B380,DONGIA,DG!$F$6,0)</f>
        <v>0</v>
      </c>
      <c r="L380" s="362">
        <f>VLOOKUP(B380,DONGIA,DG!$G$6,0)</f>
        <v>0</v>
      </c>
      <c r="M380" s="362">
        <f t="shared" si="62"/>
        <v>0</v>
      </c>
      <c r="N380" s="362">
        <f t="shared" si="62"/>
        <v>0</v>
      </c>
      <c r="O380" s="362">
        <f t="shared" si="62"/>
        <v>0</v>
      </c>
      <c r="P380" s="362">
        <f t="shared" si="62"/>
        <v>0</v>
      </c>
      <c r="Q380" s="362"/>
      <c r="S380" s="352">
        <f t="shared" si="60"/>
        <v>0.308</v>
      </c>
      <c r="T380" s="352">
        <f t="shared" si="59"/>
        <v>0</v>
      </c>
    </row>
    <row r="381" spans="2:20" s="352" customFormat="1" hidden="1">
      <c r="B381" s="352" t="s">
        <v>400</v>
      </c>
      <c r="C381" s="484">
        <f t="shared" si="61"/>
        <v>0</v>
      </c>
      <c r="D381" s="363"/>
      <c r="E381" s="363">
        <f>VLOOKUP(B381,DONGIA,DG!$B$6,0)</f>
        <v>0</v>
      </c>
      <c r="F381" s="362" t="str">
        <f>VLOOKUP(B381,DONGIA,DG!$C$6,0)</f>
        <v>Rack 3 sứ - 3mm (ty 14)</v>
      </c>
      <c r="G381" s="363" t="str">
        <f>VLOOKUP(B381,DONGIA,DG!$D$6,0)</f>
        <v>bộ</v>
      </c>
      <c r="H381" s="362"/>
      <c r="I381" s="362">
        <f>VLOOKUP(B381,DONGIA,DG!$E$6,0)</f>
        <v>98000</v>
      </c>
      <c r="J381" s="362"/>
      <c r="K381" s="362">
        <f>VLOOKUP(B381,DONGIA,DG!$F$6,0)</f>
        <v>0</v>
      </c>
      <c r="L381" s="362">
        <f>VLOOKUP(B381,DONGIA,DG!$G$6,0)</f>
        <v>0</v>
      </c>
      <c r="M381" s="362">
        <f t="shared" si="62"/>
        <v>0</v>
      </c>
      <c r="N381" s="362">
        <f t="shared" si="62"/>
        <v>0</v>
      </c>
      <c r="O381" s="362">
        <f t="shared" si="62"/>
        <v>0</v>
      </c>
      <c r="P381" s="362">
        <f t="shared" si="62"/>
        <v>0</v>
      </c>
      <c r="Q381" s="362"/>
      <c r="S381" s="352">
        <f t="shared" si="60"/>
        <v>3.5</v>
      </c>
      <c r="T381" s="352">
        <f t="shared" si="59"/>
        <v>0</v>
      </c>
    </row>
    <row r="382" spans="2:20" s="352" customFormat="1" hidden="1">
      <c r="B382" s="352" t="s">
        <v>409</v>
      </c>
      <c r="C382" s="484">
        <f t="shared" si="61"/>
        <v>0</v>
      </c>
      <c r="D382" s="363"/>
      <c r="E382" s="363" t="str">
        <f>VLOOKUP(B382,DONGIA,DG!$B$6,0)</f>
        <v>D3.1201</v>
      </c>
      <c r="F382" s="362" t="str">
        <f>VLOOKUP(B382,DONGIA,DG!$C$6,0)</f>
        <v xml:space="preserve">Sứ ống chỉ </v>
      </c>
      <c r="G382" s="363" t="str">
        <f>VLOOKUP(B382,DONGIA,DG!$D$6,0)</f>
        <v>cái</v>
      </c>
      <c r="H382" s="362"/>
      <c r="I382" s="362">
        <f>VLOOKUP(B382,DONGIA,DG!$E$6,0)</f>
        <v>20000</v>
      </c>
      <c r="J382" s="362"/>
      <c r="K382" s="362">
        <f>VLOOKUP(B382,DONGIA,DG!$F$6,0)</f>
        <v>13173</v>
      </c>
      <c r="L382" s="362">
        <f>VLOOKUP(B382,DONGIA,DG!$G$6,0)</f>
        <v>0</v>
      </c>
      <c r="M382" s="362">
        <f t="shared" si="62"/>
        <v>0</v>
      </c>
      <c r="N382" s="362">
        <f t="shared" si="62"/>
        <v>0</v>
      </c>
      <c r="O382" s="362">
        <f t="shared" si="62"/>
        <v>0</v>
      </c>
      <c r="P382" s="362">
        <f t="shared" si="62"/>
        <v>0</v>
      </c>
      <c r="Q382" s="362"/>
      <c r="S382" s="352">
        <f t="shared" si="60"/>
        <v>0.2</v>
      </c>
      <c r="T382" s="352">
        <f t="shared" si="59"/>
        <v>0</v>
      </c>
    </row>
    <row r="383" spans="2:20" s="352" customFormat="1" hidden="1">
      <c r="B383" s="352" t="s">
        <v>37</v>
      </c>
      <c r="C383" s="484">
        <f t="shared" si="61"/>
        <v>0</v>
      </c>
      <c r="D383" s="363"/>
      <c r="E383" s="363">
        <f>VLOOKUP(B383,DONGIA,DG!$B$6,0)</f>
        <v>0</v>
      </c>
      <c r="F383" s="362" t="str">
        <f>VLOOKUP(B383,DONGIA,DG!$C$6,0)</f>
        <v>Boulon 16x350+ 2 long đền vuông D18-50x50x3/Zn</v>
      </c>
      <c r="G383" s="363" t="str">
        <f>VLOOKUP(B383,DONGIA,DG!$D$6,0)</f>
        <v>bộ</v>
      </c>
      <c r="H383" s="362"/>
      <c r="I383" s="362">
        <f>VLOOKUP(B383,DONGIA,DG!$E$6,0)</f>
        <v>32000</v>
      </c>
      <c r="J383" s="362"/>
      <c r="K383" s="362">
        <f>VLOOKUP(B383,DONGIA,DG!$F$6,0)</f>
        <v>0</v>
      </c>
      <c r="L383" s="362">
        <f>VLOOKUP(B383,DONGIA,DG!$G$6,0)</f>
        <v>0</v>
      </c>
      <c r="M383" s="362">
        <f t="shared" si="62"/>
        <v>0</v>
      </c>
      <c r="N383" s="362">
        <f t="shared" si="62"/>
        <v>0</v>
      </c>
      <c r="O383" s="362">
        <f t="shared" si="62"/>
        <v>0</v>
      </c>
      <c r="P383" s="362">
        <f t="shared" si="62"/>
        <v>0</v>
      </c>
      <c r="Q383" s="362"/>
      <c r="S383" s="352">
        <f t="shared" si="60"/>
        <v>0.3</v>
      </c>
      <c r="T383" s="352">
        <f t="shared" si="59"/>
        <v>0</v>
      </c>
    </row>
    <row r="384" spans="2:20" s="352" customFormat="1" hidden="1">
      <c r="B384" s="352" t="s">
        <v>2867</v>
      </c>
      <c r="C384" s="484">
        <f t="shared" si="61"/>
        <v>0</v>
      </c>
      <c r="D384" s="363"/>
      <c r="E384" s="363">
        <f>VLOOKUP(B384,DONGIA,DG!$B$6,0)</f>
        <v>0</v>
      </c>
      <c r="F384" s="362" t="str">
        <f>VLOOKUP(B384,DONGIA,DG!$C$6,0)</f>
        <v>Kẹp Ubolt cỡ dây 70</v>
      </c>
      <c r="G384" s="363" t="str">
        <f>VLOOKUP(B384,DONGIA,DG!$D$6,0)</f>
        <v>cái</v>
      </c>
      <c r="H384" s="362"/>
      <c r="I384" s="362">
        <f>VLOOKUP(B384,DONGIA,DG!$E$6,0)</f>
        <v>16600</v>
      </c>
      <c r="J384" s="362"/>
      <c r="K384" s="362">
        <f>VLOOKUP(B384,DONGIA,DG!$F$6,0)</f>
        <v>0</v>
      </c>
      <c r="L384" s="362">
        <f>VLOOKUP(B384,DONGIA,DG!$G$6,0)</f>
        <v>0</v>
      </c>
      <c r="M384" s="362">
        <f t="shared" si="62"/>
        <v>0</v>
      </c>
      <c r="N384" s="362">
        <f t="shared" si="62"/>
        <v>0</v>
      </c>
      <c r="O384" s="362">
        <f t="shared" si="62"/>
        <v>0</v>
      </c>
      <c r="P384" s="362">
        <f t="shared" si="62"/>
        <v>0</v>
      </c>
      <c r="Q384" s="362"/>
      <c r="S384" s="352">
        <f t="shared" si="60"/>
        <v>0.7</v>
      </c>
      <c r="T384" s="352">
        <f t="shared" si="59"/>
        <v>0</v>
      </c>
    </row>
    <row r="385" spans="2:20" s="352" customFormat="1" hidden="1">
      <c r="B385" s="352" t="s">
        <v>389</v>
      </c>
      <c r="C385" s="484">
        <f t="shared" si="61"/>
        <v>0</v>
      </c>
      <c r="D385" s="363"/>
      <c r="E385" s="363"/>
      <c r="F385" s="362" t="str">
        <f>VLOOKUP(B385,DONGIA,DG!$C$6,0)</f>
        <v>Ống nối dây AC cỡ 70mm2 (Không lõi thép)</v>
      </c>
      <c r="G385" s="363" t="str">
        <f>VLOOKUP(B385,DONGIA,DG!$D$6,0)</f>
        <v>cái</v>
      </c>
      <c r="H385" s="362"/>
      <c r="I385" s="362">
        <f>VLOOKUP(B385,DONGIA,DG!$E$6,0)</f>
        <v>42000</v>
      </c>
      <c r="J385" s="362"/>
      <c r="K385" s="362"/>
      <c r="L385" s="362"/>
      <c r="M385" s="362">
        <f t="shared" si="62"/>
        <v>0</v>
      </c>
      <c r="N385" s="362">
        <f t="shared" si="62"/>
        <v>0</v>
      </c>
      <c r="O385" s="362">
        <f t="shared" si="62"/>
        <v>0</v>
      </c>
      <c r="P385" s="362">
        <f t="shared" si="62"/>
        <v>0</v>
      </c>
      <c r="Q385" s="362"/>
      <c r="S385" s="352">
        <f t="shared" si="60"/>
        <v>2</v>
      </c>
      <c r="T385" s="352">
        <f t="shared" si="59"/>
        <v>0</v>
      </c>
    </row>
    <row r="386" spans="2:20" s="352" customFormat="1" hidden="1">
      <c r="B386" s="352" t="s">
        <v>396</v>
      </c>
      <c r="C386" s="484">
        <f t="shared" si="61"/>
        <v>0</v>
      </c>
      <c r="D386" s="363"/>
      <c r="E386" s="363">
        <f>VLOOKUP(B386,DONGIA,DG!$B$6,0)</f>
        <v>0</v>
      </c>
      <c r="F386" s="362" t="str">
        <f>VLOOKUP(B386,DONGIA,DG!$C$6,0)</f>
        <v>Ống bọc cách điện D30/15</v>
      </c>
      <c r="G386" s="363" t="str">
        <f>VLOOKUP(B386,DONGIA,DG!$D$6,0)</f>
        <v>mét</v>
      </c>
      <c r="H386" s="362"/>
      <c r="I386" s="362">
        <f>VLOOKUP(B386,DONGIA,DG!$E$6,0)</f>
        <v>95000</v>
      </c>
      <c r="J386" s="362"/>
      <c r="K386" s="362">
        <f>VLOOKUP(B386,DONGIA,DG!$F$6,0)</f>
        <v>0</v>
      </c>
      <c r="L386" s="362">
        <f>VLOOKUP(B386,DONGIA,DG!$G$6,0)</f>
        <v>0</v>
      </c>
      <c r="M386" s="362">
        <f t="shared" si="62"/>
        <v>0</v>
      </c>
      <c r="N386" s="362">
        <f t="shared" si="62"/>
        <v>0</v>
      </c>
      <c r="O386" s="362">
        <f t="shared" si="62"/>
        <v>0</v>
      </c>
      <c r="P386" s="362">
        <f t="shared" si="62"/>
        <v>0</v>
      </c>
      <c r="Q386" s="362"/>
      <c r="S386" s="352">
        <f t="shared" si="60"/>
        <v>0</v>
      </c>
      <c r="T386" s="352">
        <f t="shared" si="59"/>
        <v>0</v>
      </c>
    </row>
    <row r="387" spans="2:20" s="361" customFormat="1" hidden="1">
      <c r="C387" s="374">
        <f>IF(SUM(C388:C391)&lt;&gt;0,1,)</f>
        <v>0</v>
      </c>
      <c r="D387" s="350"/>
      <c r="E387" s="350"/>
      <c r="F387" s="351" t="s">
        <v>2919</v>
      </c>
      <c r="G387" s="350"/>
      <c r="H387" s="482"/>
      <c r="I387" s="351"/>
      <c r="J387" s="351"/>
      <c r="K387" s="351"/>
      <c r="L387" s="351"/>
      <c r="M387" s="351"/>
      <c r="N387" s="351"/>
      <c r="O387" s="351"/>
      <c r="P387" s="351"/>
      <c r="Q387" s="351"/>
      <c r="S387" s="361">
        <f t="shared" si="60"/>
        <v>0</v>
      </c>
      <c r="T387" s="361">
        <f t="shared" si="59"/>
        <v>0</v>
      </c>
    </row>
    <row r="388" spans="2:20" hidden="1">
      <c r="B388" s="332" t="s">
        <v>292</v>
      </c>
      <c r="C388" s="333">
        <f>IF(H388&lt;&gt;0,1,)</f>
        <v>0</v>
      </c>
      <c r="D388" s="328"/>
      <c r="E388" s="328" t="str">
        <f>VLOOKUP(B388,DONGIA,DG!$B$6,0)</f>
        <v>D4.6204</v>
      </c>
      <c r="F388" s="329" t="str">
        <f>VLOOKUP(B388,DONGIA,DG!$C$6,0)</f>
        <v>Kẹp ngừng cáp ABC4x70mm2</v>
      </c>
      <c r="G388" s="328" t="str">
        <f>VLOOKUP(B388,DONGIA,DG!$D$6,0)</f>
        <v>cái</v>
      </c>
      <c r="H388" s="329"/>
      <c r="I388" s="329">
        <f>VLOOKUP(B388,DONGIA,DG!$E$6,0)</f>
        <v>58000</v>
      </c>
      <c r="J388" s="329"/>
      <c r="K388" s="329">
        <f>VLOOKUP(B388,DONGIA,DG!$F$6,0)</f>
        <v>158070</v>
      </c>
      <c r="L388" s="329">
        <f>VLOOKUP(B388,DONGIA,DG!$G$6,0)</f>
        <v>0</v>
      </c>
      <c r="M388" s="329">
        <f t="shared" ref="M388:P391" si="63">$H388*I388</f>
        <v>0</v>
      </c>
      <c r="N388" s="329">
        <f t="shared" si="63"/>
        <v>0</v>
      </c>
      <c r="O388" s="329">
        <f t="shared" si="63"/>
        <v>0</v>
      </c>
      <c r="P388" s="329">
        <f t="shared" si="63"/>
        <v>0</v>
      </c>
      <c r="Q388" s="329"/>
      <c r="S388" s="332">
        <f t="shared" si="60"/>
        <v>0</v>
      </c>
      <c r="T388" s="332">
        <f t="shared" si="59"/>
        <v>0</v>
      </c>
    </row>
    <row r="389" spans="2:20" hidden="1">
      <c r="B389" s="332" t="s">
        <v>119</v>
      </c>
      <c r="C389" s="333">
        <f>IF(H389&lt;&gt;0,1,)</f>
        <v>0</v>
      </c>
      <c r="D389" s="328"/>
      <c r="E389" s="328">
        <f>VLOOKUP(B389,DONGIA,DG!$B$6,0)</f>
        <v>0</v>
      </c>
      <c r="F389" s="329" t="str">
        <f>VLOOKUP(B389,DONGIA,DG!$C$6,0)</f>
        <v>Boulon móc 16x300+ long đền vuông D18-50x50x3/Zn</v>
      </c>
      <c r="G389" s="328" t="str">
        <f>VLOOKUP(B389,DONGIA,DG!$D$6,0)</f>
        <v>bộ</v>
      </c>
      <c r="H389" s="329"/>
      <c r="I389" s="329">
        <f>VLOOKUP(B389,DONGIA,DG!$E$6,0)</f>
        <v>40000</v>
      </c>
      <c r="J389" s="329"/>
      <c r="K389" s="329">
        <f>VLOOKUP(B389,DONGIA,DG!$F$6,0)</f>
        <v>0</v>
      </c>
      <c r="L389" s="329">
        <f>VLOOKUP(B389,DONGIA,DG!$G$6,0)</f>
        <v>0</v>
      </c>
      <c r="M389" s="329">
        <f t="shared" si="63"/>
        <v>0</v>
      </c>
      <c r="N389" s="329">
        <f t="shared" si="63"/>
        <v>0</v>
      </c>
      <c r="O389" s="329">
        <f t="shared" si="63"/>
        <v>0</v>
      </c>
      <c r="P389" s="329">
        <f t="shared" si="63"/>
        <v>0</v>
      </c>
      <c r="Q389" s="329"/>
      <c r="S389" s="332">
        <f t="shared" si="60"/>
        <v>0.3</v>
      </c>
      <c r="T389" s="332">
        <f t="shared" si="59"/>
        <v>0</v>
      </c>
    </row>
    <row r="390" spans="2:20" s="352" customFormat="1" hidden="1">
      <c r="B390" s="352" t="s">
        <v>389</v>
      </c>
      <c r="C390" s="484">
        <f>IF(H390&lt;&gt;0,1,)</f>
        <v>0</v>
      </c>
      <c r="D390" s="363"/>
      <c r="E390" s="363"/>
      <c r="F390" s="362" t="str">
        <f>VLOOKUP(B390,DONGIA,DG!$C$6,0)</f>
        <v>Ống nối dây AC cỡ 70mm2 (Không lõi thép)</v>
      </c>
      <c r="G390" s="363" t="str">
        <f>VLOOKUP(B390,DONGIA,DG!$D$6,0)</f>
        <v>cái</v>
      </c>
      <c r="H390" s="362"/>
      <c r="I390" s="362">
        <f>VLOOKUP(B390,DONGIA,DG!$E$6,0)</f>
        <v>42000</v>
      </c>
      <c r="J390" s="362"/>
      <c r="K390" s="362"/>
      <c r="L390" s="362"/>
      <c r="M390" s="362">
        <f t="shared" si="63"/>
        <v>0</v>
      </c>
      <c r="N390" s="362">
        <f t="shared" si="63"/>
        <v>0</v>
      </c>
      <c r="O390" s="362">
        <f t="shared" si="63"/>
        <v>0</v>
      </c>
      <c r="P390" s="362">
        <f t="shared" si="63"/>
        <v>0</v>
      </c>
      <c r="Q390" s="362"/>
      <c r="S390" s="352">
        <f t="shared" si="60"/>
        <v>2</v>
      </c>
      <c r="T390" s="352">
        <f t="shared" si="59"/>
        <v>0</v>
      </c>
    </row>
    <row r="391" spans="2:20" s="352" customFormat="1" hidden="1">
      <c r="B391" s="352" t="s">
        <v>396</v>
      </c>
      <c r="C391" s="484">
        <f>IF(H391&lt;&gt;0,1,)</f>
        <v>0</v>
      </c>
      <c r="D391" s="363"/>
      <c r="E391" s="363">
        <f>VLOOKUP(B391,DONGIA,DG!$B$6,0)</f>
        <v>0</v>
      </c>
      <c r="F391" s="362" t="str">
        <f>VLOOKUP(B391,DONGIA,DG!$C$6,0)</f>
        <v>Ống bọc cách điện D30/15</v>
      </c>
      <c r="G391" s="363" t="str">
        <f>VLOOKUP(B391,DONGIA,DG!$D$6,0)</f>
        <v>mét</v>
      </c>
      <c r="H391" s="362"/>
      <c r="I391" s="362">
        <f>VLOOKUP(B391,DONGIA,DG!$E$6,0)</f>
        <v>95000</v>
      </c>
      <c r="J391" s="362"/>
      <c r="K391" s="362">
        <f>VLOOKUP(B391,DONGIA,DG!$F$6,0)</f>
        <v>0</v>
      </c>
      <c r="L391" s="362">
        <f>VLOOKUP(B391,DONGIA,DG!$G$6,0)</f>
        <v>0</v>
      </c>
      <c r="M391" s="362">
        <f t="shared" si="63"/>
        <v>0</v>
      </c>
      <c r="N391" s="362">
        <f t="shared" si="63"/>
        <v>0</v>
      </c>
      <c r="O391" s="362">
        <f t="shared" si="63"/>
        <v>0</v>
      </c>
      <c r="P391" s="362">
        <f t="shared" si="63"/>
        <v>0</v>
      </c>
      <c r="Q391" s="362"/>
      <c r="S391" s="352">
        <f t="shared" si="60"/>
        <v>0</v>
      </c>
      <c r="T391" s="352">
        <f t="shared" si="59"/>
        <v>0</v>
      </c>
    </row>
    <row r="392" spans="2:20" s="361" customFormat="1" hidden="1">
      <c r="C392" s="374">
        <f>IF(SUM(C393:C396)&lt;&gt;0,1,)</f>
        <v>0</v>
      </c>
      <c r="D392" s="350"/>
      <c r="E392" s="350"/>
      <c r="F392" s="351" t="s">
        <v>2920</v>
      </c>
      <c r="G392" s="350"/>
      <c r="H392" s="482"/>
      <c r="I392" s="351"/>
      <c r="J392" s="351"/>
      <c r="K392" s="351"/>
      <c r="L392" s="351"/>
      <c r="M392" s="351"/>
      <c r="N392" s="351"/>
      <c r="O392" s="351"/>
      <c r="P392" s="351"/>
      <c r="Q392" s="351"/>
      <c r="S392" s="361">
        <f t="shared" si="60"/>
        <v>0</v>
      </c>
      <c r="T392" s="361">
        <f t="shared" si="59"/>
        <v>0</v>
      </c>
    </row>
    <row r="393" spans="2:20" hidden="1">
      <c r="B393" s="332" t="s">
        <v>292</v>
      </c>
      <c r="C393" s="333">
        <f>IF(H393&lt;&gt;0,1,)</f>
        <v>0</v>
      </c>
      <c r="D393" s="328"/>
      <c r="E393" s="328" t="str">
        <f>VLOOKUP(B393,DONGIA,DG!$B$6,0)</f>
        <v>D4.6204</v>
      </c>
      <c r="F393" s="329" t="str">
        <f>VLOOKUP(B393,DONGIA,DG!$C$6,0)</f>
        <v>Kẹp ngừng cáp ABC4x70mm2</v>
      </c>
      <c r="G393" s="328" t="str">
        <f>VLOOKUP(B393,DONGIA,DG!$D$6,0)</f>
        <v>cái</v>
      </c>
      <c r="H393" s="329"/>
      <c r="I393" s="329">
        <f>VLOOKUP(B393,DONGIA,DG!$E$6,0)</f>
        <v>58000</v>
      </c>
      <c r="J393" s="329"/>
      <c r="K393" s="329">
        <f>VLOOKUP(B393,DONGIA,DG!$F$6,0)</f>
        <v>158070</v>
      </c>
      <c r="L393" s="329">
        <f>VLOOKUP(B393,DONGIA,DG!$G$6,0)</f>
        <v>0</v>
      </c>
      <c r="M393" s="329">
        <f t="shared" ref="M393:P396" si="64">$H393*I393</f>
        <v>0</v>
      </c>
      <c r="N393" s="329">
        <f t="shared" si="64"/>
        <v>0</v>
      </c>
      <c r="O393" s="329">
        <f t="shared" si="64"/>
        <v>0</v>
      </c>
      <c r="P393" s="329">
        <f t="shared" si="64"/>
        <v>0</v>
      </c>
      <c r="Q393" s="329"/>
      <c r="S393" s="332">
        <f t="shared" si="60"/>
        <v>0</v>
      </c>
      <c r="T393" s="332">
        <f t="shared" si="59"/>
        <v>0</v>
      </c>
    </row>
    <row r="394" spans="2:20" hidden="1">
      <c r="B394" s="332" t="s">
        <v>119</v>
      </c>
      <c r="C394" s="333">
        <f>IF(H394&lt;&gt;0,1,)</f>
        <v>0</v>
      </c>
      <c r="D394" s="328"/>
      <c r="E394" s="328">
        <f>VLOOKUP(B394,DONGIA,DG!$B$6,0)</f>
        <v>0</v>
      </c>
      <c r="F394" s="329" t="str">
        <f>VLOOKUP(B394,DONGIA,DG!$C$6,0)</f>
        <v>Boulon móc 16x300+ long đền vuông D18-50x50x3/Zn</v>
      </c>
      <c r="G394" s="328" t="str">
        <f>VLOOKUP(B394,DONGIA,DG!$D$6,0)</f>
        <v>bộ</v>
      </c>
      <c r="H394" s="329"/>
      <c r="I394" s="329">
        <f>VLOOKUP(B394,DONGIA,DG!$E$6,0)</f>
        <v>40000</v>
      </c>
      <c r="J394" s="329"/>
      <c r="K394" s="329">
        <f>VLOOKUP(B394,DONGIA,DG!$F$6,0)</f>
        <v>0</v>
      </c>
      <c r="L394" s="329">
        <f>VLOOKUP(B394,DONGIA,DG!$G$6,0)</f>
        <v>0</v>
      </c>
      <c r="M394" s="329">
        <f t="shared" si="64"/>
        <v>0</v>
      </c>
      <c r="N394" s="329">
        <f t="shared" si="64"/>
        <v>0</v>
      </c>
      <c r="O394" s="329">
        <f t="shared" si="64"/>
        <v>0</v>
      </c>
      <c r="P394" s="329">
        <f t="shared" si="64"/>
        <v>0</v>
      </c>
      <c r="Q394" s="329"/>
      <c r="S394" s="332">
        <f t="shared" si="60"/>
        <v>0.3</v>
      </c>
      <c r="T394" s="332">
        <f t="shared" si="59"/>
        <v>0</v>
      </c>
    </row>
    <row r="395" spans="2:20" s="352" customFormat="1" hidden="1">
      <c r="B395" s="352" t="s">
        <v>389</v>
      </c>
      <c r="C395" s="484">
        <f>IF(H395&lt;&gt;0,1,)</f>
        <v>0</v>
      </c>
      <c r="D395" s="363"/>
      <c r="E395" s="363"/>
      <c r="F395" s="362" t="str">
        <f>VLOOKUP(B395,DONGIA,DG!$C$6,0)</f>
        <v>Ống nối dây AC cỡ 70mm2 (Không lõi thép)</v>
      </c>
      <c r="G395" s="363" t="str">
        <f>VLOOKUP(B395,DONGIA,DG!$D$6,0)</f>
        <v>cái</v>
      </c>
      <c r="H395" s="362"/>
      <c r="I395" s="362">
        <f>VLOOKUP(B395,DONGIA,DG!$E$6,0)</f>
        <v>42000</v>
      </c>
      <c r="J395" s="362"/>
      <c r="K395" s="362"/>
      <c r="L395" s="362"/>
      <c r="M395" s="362">
        <f t="shared" si="64"/>
        <v>0</v>
      </c>
      <c r="N395" s="362">
        <f t="shared" si="64"/>
        <v>0</v>
      </c>
      <c r="O395" s="362">
        <f t="shared" si="64"/>
        <v>0</v>
      </c>
      <c r="P395" s="362">
        <f t="shared" si="64"/>
        <v>0</v>
      </c>
      <c r="Q395" s="362"/>
      <c r="S395" s="352">
        <f t="shared" si="60"/>
        <v>2</v>
      </c>
      <c r="T395" s="352">
        <f t="shared" si="59"/>
        <v>0</v>
      </c>
    </row>
    <row r="396" spans="2:20" s="352" customFormat="1" hidden="1">
      <c r="B396" s="352" t="s">
        <v>396</v>
      </c>
      <c r="C396" s="484">
        <f>IF(H396&lt;&gt;0,1,)</f>
        <v>0</v>
      </c>
      <c r="D396" s="363"/>
      <c r="E396" s="363">
        <f>VLOOKUP(B396,DONGIA,DG!$B$6,0)</f>
        <v>0</v>
      </c>
      <c r="F396" s="362" t="str">
        <f>VLOOKUP(B396,DONGIA,DG!$C$6,0)</f>
        <v>Ống bọc cách điện D30/15</v>
      </c>
      <c r="G396" s="363" t="str">
        <f>VLOOKUP(B396,DONGIA,DG!$D$6,0)</f>
        <v>mét</v>
      </c>
      <c r="H396" s="362"/>
      <c r="I396" s="362">
        <f>VLOOKUP(B396,DONGIA,DG!$E$6,0)</f>
        <v>95000</v>
      </c>
      <c r="J396" s="362"/>
      <c r="K396" s="362">
        <f>VLOOKUP(B396,DONGIA,DG!$F$6,0)</f>
        <v>0</v>
      </c>
      <c r="L396" s="362">
        <f>VLOOKUP(B396,DONGIA,DG!$G$6,0)</f>
        <v>0</v>
      </c>
      <c r="M396" s="362">
        <f t="shared" si="64"/>
        <v>0</v>
      </c>
      <c r="N396" s="362">
        <f t="shared" si="64"/>
        <v>0</v>
      </c>
      <c r="O396" s="362">
        <f t="shared" si="64"/>
        <v>0</v>
      </c>
      <c r="P396" s="362">
        <f t="shared" si="64"/>
        <v>0</v>
      </c>
      <c r="Q396" s="362"/>
      <c r="S396" s="352">
        <f t="shared" si="60"/>
        <v>0</v>
      </c>
      <c r="T396" s="352">
        <f t="shared" si="59"/>
        <v>0</v>
      </c>
    </row>
    <row r="397" spans="2:20" s="361" customFormat="1" hidden="1">
      <c r="C397" s="374">
        <f>IF(SUM(C398:C401)&lt;&gt;0,1,)</f>
        <v>0</v>
      </c>
      <c r="D397" s="350"/>
      <c r="E397" s="350"/>
      <c r="F397" s="351" t="s">
        <v>2921</v>
      </c>
      <c r="G397" s="350"/>
      <c r="H397" s="482"/>
      <c r="I397" s="351"/>
      <c r="J397" s="351"/>
      <c r="K397" s="351"/>
      <c r="L397" s="351"/>
      <c r="M397" s="351"/>
      <c r="N397" s="351"/>
      <c r="O397" s="351"/>
      <c r="P397" s="351"/>
      <c r="Q397" s="351"/>
      <c r="S397" s="361">
        <f t="shared" si="60"/>
        <v>0</v>
      </c>
      <c r="T397" s="361">
        <f t="shared" si="59"/>
        <v>0</v>
      </c>
    </row>
    <row r="398" spans="2:20" hidden="1">
      <c r="B398" s="332" t="s">
        <v>297</v>
      </c>
      <c r="C398" s="333">
        <f>IF(H398&lt;&gt;0,1,)</f>
        <v>0</v>
      </c>
      <c r="D398" s="328"/>
      <c r="E398" s="328" t="str">
        <f>VLOOKUP(B398,DONGIA,DG!$B$6,0)</f>
        <v>D4.6205</v>
      </c>
      <c r="F398" s="329" t="str">
        <f>VLOOKUP(B398,DONGIA,DG!$C$6,0)</f>
        <v>Kẹp ngừng cáp ABC4x120mm2</v>
      </c>
      <c r="G398" s="328" t="str">
        <f>VLOOKUP(B398,DONGIA,DG!$D$6,0)</f>
        <v>cái</v>
      </c>
      <c r="H398" s="329"/>
      <c r="I398" s="329">
        <f>VLOOKUP(B398,DONGIA,DG!$E$6,0)</f>
        <v>74000</v>
      </c>
      <c r="J398" s="329"/>
      <c r="K398" s="329">
        <f>VLOOKUP(B398,DONGIA,DG!$F$6,0)</f>
        <v>158070</v>
      </c>
      <c r="L398" s="329">
        <f>VLOOKUP(B398,DONGIA,DG!$G$6,0)</f>
        <v>0</v>
      </c>
      <c r="M398" s="329">
        <f t="shared" ref="M398:P401" si="65">$H398*I398</f>
        <v>0</v>
      </c>
      <c r="N398" s="329">
        <f t="shared" si="65"/>
        <v>0</v>
      </c>
      <c r="O398" s="329">
        <f t="shared" si="65"/>
        <v>0</v>
      </c>
      <c r="P398" s="329">
        <f t="shared" si="65"/>
        <v>0</v>
      </c>
      <c r="Q398" s="329"/>
      <c r="S398" s="332">
        <f t="shared" si="60"/>
        <v>0</v>
      </c>
      <c r="T398" s="332">
        <f t="shared" si="59"/>
        <v>0</v>
      </c>
    </row>
    <row r="399" spans="2:20" hidden="1">
      <c r="B399" s="332" t="s">
        <v>119</v>
      </c>
      <c r="C399" s="333">
        <f>IF(H399&lt;&gt;0,1,)</f>
        <v>0</v>
      </c>
      <c r="D399" s="328"/>
      <c r="E399" s="328">
        <f>VLOOKUP(B399,DONGIA,DG!$B$6,0)</f>
        <v>0</v>
      </c>
      <c r="F399" s="329" t="str">
        <f>VLOOKUP(B399,DONGIA,DG!$C$6,0)</f>
        <v>Boulon móc 16x300+ long đền vuông D18-50x50x3/Zn</v>
      </c>
      <c r="G399" s="328" t="str">
        <f>VLOOKUP(B399,DONGIA,DG!$D$6,0)</f>
        <v>bộ</v>
      </c>
      <c r="H399" s="329"/>
      <c r="I399" s="329">
        <f>VLOOKUP(B399,DONGIA,DG!$E$6,0)</f>
        <v>40000</v>
      </c>
      <c r="J399" s="329"/>
      <c r="K399" s="329">
        <f>VLOOKUP(B399,DONGIA,DG!$F$6,0)</f>
        <v>0</v>
      </c>
      <c r="L399" s="329">
        <f>VLOOKUP(B399,DONGIA,DG!$G$6,0)</f>
        <v>0</v>
      </c>
      <c r="M399" s="329">
        <f t="shared" si="65"/>
        <v>0</v>
      </c>
      <c r="N399" s="329">
        <f t="shared" si="65"/>
        <v>0</v>
      </c>
      <c r="O399" s="329">
        <f t="shared" si="65"/>
        <v>0</v>
      </c>
      <c r="P399" s="329">
        <f t="shared" si="65"/>
        <v>0</v>
      </c>
      <c r="Q399" s="329" t="s">
        <v>2922</v>
      </c>
      <c r="S399" s="332">
        <f t="shared" si="60"/>
        <v>0.3</v>
      </c>
      <c r="T399" s="332">
        <f t="shared" si="59"/>
        <v>0</v>
      </c>
    </row>
    <row r="400" spans="2:20" s="352" customFormat="1" hidden="1">
      <c r="B400" s="352" t="s">
        <v>391</v>
      </c>
      <c r="C400" s="484">
        <f>IF(H400&lt;&gt;0,1,)</f>
        <v>0</v>
      </c>
      <c r="D400" s="363"/>
      <c r="E400" s="363"/>
      <c r="F400" s="362" t="str">
        <f>VLOOKUP(B400,DONGIA,DG!$C$6,0)</f>
        <v>Ống nối dây AC cỡ 120mm2 (Không lõi thép)</v>
      </c>
      <c r="G400" s="363" t="str">
        <f>VLOOKUP(B400,DONGIA,DG!$D$6,0)</f>
        <v>cái</v>
      </c>
      <c r="H400" s="362"/>
      <c r="I400" s="362">
        <f>VLOOKUP(B400,DONGIA,DG!$E$6,0)</f>
        <v>69000</v>
      </c>
      <c r="J400" s="362"/>
      <c r="K400" s="362"/>
      <c r="L400" s="362"/>
      <c r="M400" s="362">
        <f t="shared" si="65"/>
        <v>0</v>
      </c>
      <c r="N400" s="362">
        <f t="shared" si="65"/>
        <v>0</v>
      </c>
      <c r="O400" s="362">
        <f t="shared" si="65"/>
        <v>0</v>
      </c>
      <c r="P400" s="362">
        <f t="shared" si="65"/>
        <v>0</v>
      </c>
      <c r="Q400" s="362"/>
      <c r="S400" s="352">
        <f t="shared" si="60"/>
        <v>2</v>
      </c>
      <c r="T400" s="352">
        <f t="shared" si="59"/>
        <v>0</v>
      </c>
    </row>
    <row r="401" spans="1:20" s="352" customFormat="1" hidden="1">
      <c r="B401" s="352" t="s">
        <v>396</v>
      </c>
      <c r="C401" s="484">
        <f>IF(H401&lt;&gt;0,1,)</f>
        <v>0</v>
      </c>
      <c r="D401" s="363"/>
      <c r="E401" s="363">
        <f>VLOOKUP(B401,DONGIA,DG!$B$6,0)</f>
        <v>0</v>
      </c>
      <c r="F401" s="362" t="str">
        <f>VLOOKUP(B401,DONGIA,DG!$C$6,0)</f>
        <v>Ống bọc cách điện D30/15</v>
      </c>
      <c r="G401" s="363" t="str">
        <f>VLOOKUP(B401,DONGIA,DG!$D$6,0)</f>
        <v>mét</v>
      </c>
      <c r="H401" s="362"/>
      <c r="I401" s="362">
        <f>VLOOKUP(B401,DONGIA,DG!$E$6,0)</f>
        <v>95000</v>
      </c>
      <c r="J401" s="362"/>
      <c r="K401" s="362">
        <f>VLOOKUP(B401,DONGIA,DG!$F$6,0)</f>
        <v>0</v>
      </c>
      <c r="L401" s="362">
        <f>VLOOKUP(B401,DONGIA,DG!$G$6,0)</f>
        <v>0</v>
      </c>
      <c r="M401" s="362">
        <f t="shared" si="65"/>
        <v>0</v>
      </c>
      <c r="N401" s="362">
        <f t="shared" si="65"/>
        <v>0</v>
      </c>
      <c r="O401" s="362">
        <f t="shared" si="65"/>
        <v>0</v>
      </c>
      <c r="P401" s="362">
        <f t="shared" si="65"/>
        <v>0</v>
      </c>
      <c r="Q401" s="362"/>
      <c r="S401" s="352">
        <f t="shared" si="60"/>
        <v>0</v>
      </c>
      <c r="T401" s="352">
        <f t="shared" si="59"/>
        <v>0</v>
      </c>
    </row>
    <row r="402" spans="1:20" s="361" customFormat="1" hidden="1">
      <c r="C402" s="374">
        <f>IF(SUM(C403:C406)&lt;&gt;0,1,)</f>
        <v>0</v>
      </c>
      <c r="D402" s="350"/>
      <c r="E402" s="350"/>
      <c r="F402" s="351" t="s">
        <v>2923</v>
      </c>
      <c r="G402" s="350"/>
      <c r="H402" s="482"/>
      <c r="I402" s="351"/>
      <c r="J402" s="351"/>
      <c r="K402" s="351"/>
      <c r="L402" s="351"/>
      <c r="M402" s="351"/>
      <c r="N402" s="351"/>
      <c r="O402" s="351"/>
      <c r="P402" s="351"/>
      <c r="Q402" s="351"/>
      <c r="S402" s="361">
        <f t="shared" si="60"/>
        <v>0</v>
      </c>
      <c r="T402" s="361">
        <f t="shared" si="59"/>
        <v>0</v>
      </c>
    </row>
    <row r="403" spans="1:20" hidden="1">
      <c r="B403" s="332" t="s">
        <v>292</v>
      </c>
      <c r="C403" s="333">
        <f>IF(H403&lt;&gt;0,1,)</f>
        <v>0</v>
      </c>
      <c r="D403" s="328"/>
      <c r="E403" s="328" t="str">
        <f>VLOOKUP(B403,DONGIA,DG!$B$6,0)</f>
        <v>D4.6204</v>
      </c>
      <c r="F403" s="329" t="str">
        <f>VLOOKUP(B403,DONGIA,DG!$C$6,0)</f>
        <v>Kẹp ngừng cáp ABC4x70mm2</v>
      </c>
      <c r="G403" s="328" t="str">
        <f>VLOOKUP(B403,DONGIA,DG!$D$6,0)</f>
        <v>cái</v>
      </c>
      <c r="H403" s="329"/>
      <c r="I403" s="329">
        <f>VLOOKUP(B403,DONGIA,DG!$E$6,0)</f>
        <v>58000</v>
      </c>
      <c r="J403" s="329"/>
      <c r="K403" s="329">
        <f>VLOOKUP(B403,DONGIA,DG!$F$6,0)</f>
        <v>158070</v>
      </c>
      <c r="L403" s="329">
        <f>VLOOKUP(B403,DONGIA,DG!$G$6,0)</f>
        <v>0</v>
      </c>
      <c r="M403" s="329">
        <f t="shared" ref="M403:P406" si="66">$H403*I403</f>
        <v>0</v>
      </c>
      <c r="N403" s="329">
        <f t="shared" si="66"/>
        <v>0</v>
      </c>
      <c r="O403" s="329">
        <f t="shared" si="66"/>
        <v>0</v>
      </c>
      <c r="P403" s="329">
        <f t="shared" si="66"/>
        <v>0</v>
      </c>
      <c r="Q403" s="329"/>
      <c r="S403" s="332">
        <f t="shared" si="60"/>
        <v>0</v>
      </c>
      <c r="T403" s="332">
        <f t="shared" si="59"/>
        <v>0</v>
      </c>
    </row>
    <row r="404" spans="1:20" hidden="1">
      <c r="B404" s="332" t="s">
        <v>119</v>
      </c>
      <c r="C404" s="333">
        <f>IF(H404&lt;&gt;0,1,)</f>
        <v>0</v>
      </c>
      <c r="D404" s="328"/>
      <c r="E404" s="328">
        <f>VLOOKUP(B404,DONGIA,DG!$B$6,0)</f>
        <v>0</v>
      </c>
      <c r="F404" s="329" t="str">
        <f>VLOOKUP(B404,DONGIA,DG!$C$6,0)</f>
        <v>Boulon móc 16x300+ long đền vuông D18-50x50x3/Zn</v>
      </c>
      <c r="G404" s="328" t="str">
        <f>VLOOKUP(B404,DONGIA,DG!$D$6,0)</f>
        <v>bộ</v>
      </c>
      <c r="H404" s="329"/>
      <c r="I404" s="329">
        <f>VLOOKUP(B404,DONGIA,DG!$E$6,0)</f>
        <v>40000</v>
      </c>
      <c r="J404" s="329"/>
      <c r="K404" s="329">
        <f>VLOOKUP(B404,DONGIA,DG!$F$6,0)</f>
        <v>0</v>
      </c>
      <c r="L404" s="329">
        <f>VLOOKUP(B404,DONGIA,DG!$G$6,0)</f>
        <v>0</v>
      </c>
      <c r="M404" s="329">
        <f t="shared" si="66"/>
        <v>0</v>
      </c>
      <c r="N404" s="329">
        <f t="shared" si="66"/>
        <v>0</v>
      </c>
      <c r="O404" s="329">
        <f t="shared" si="66"/>
        <v>0</v>
      </c>
      <c r="P404" s="329">
        <f t="shared" si="66"/>
        <v>0</v>
      </c>
      <c r="Q404" s="329"/>
      <c r="S404" s="332">
        <f t="shared" si="60"/>
        <v>0.3</v>
      </c>
      <c r="T404" s="332">
        <f t="shared" si="59"/>
        <v>0</v>
      </c>
    </row>
    <row r="405" spans="1:20" s="352" customFormat="1" hidden="1">
      <c r="B405" s="352" t="s">
        <v>389</v>
      </c>
      <c r="C405" s="484">
        <f>IF(H405&lt;&gt;0,1,)</f>
        <v>0</v>
      </c>
      <c r="D405" s="363"/>
      <c r="E405" s="363"/>
      <c r="F405" s="362" t="str">
        <f>VLOOKUP(B405,DONGIA,DG!$C$6,0)</f>
        <v>Ống nối dây AC cỡ 70mm2 (Không lõi thép)</v>
      </c>
      <c r="G405" s="363" t="str">
        <f>VLOOKUP(B405,DONGIA,DG!$D$6,0)</f>
        <v>cái</v>
      </c>
      <c r="H405" s="362"/>
      <c r="I405" s="362">
        <f>VLOOKUP(B405,DONGIA,DG!$E$6,0)</f>
        <v>42000</v>
      </c>
      <c r="J405" s="362"/>
      <c r="K405" s="362"/>
      <c r="L405" s="362"/>
      <c r="M405" s="362">
        <f t="shared" si="66"/>
        <v>0</v>
      </c>
      <c r="N405" s="362">
        <f t="shared" si="66"/>
        <v>0</v>
      </c>
      <c r="O405" s="362">
        <f t="shared" si="66"/>
        <v>0</v>
      </c>
      <c r="P405" s="362">
        <f t="shared" si="66"/>
        <v>0</v>
      </c>
      <c r="Q405" s="362"/>
      <c r="S405" s="352">
        <f t="shared" si="60"/>
        <v>2</v>
      </c>
      <c r="T405" s="352">
        <f t="shared" si="59"/>
        <v>0</v>
      </c>
    </row>
    <row r="406" spans="1:20" s="352" customFormat="1" hidden="1">
      <c r="B406" s="352" t="s">
        <v>396</v>
      </c>
      <c r="C406" s="484">
        <f>IF(H406&lt;&gt;0,1,)</f>
        <v>0</v>
      </c>
      <c r="D406" s="363"/>
      <c r="E406" s="363">
        <f>VLOOKUP(B406,DONGIA,DG!$B$6,0)</f>
        <v>0</v>
      </c>
      <c r="F406" s="362" t="str">
        <f>VLOOKUP(B406,DONGIA,DG!$C$6,0)</f>
        <v>Ống bọc cách điện D30/15</v>
      </c>
      <c r="G406" s="363" t="str">
        <f>VLOOKUP(B406,DONGIA,DG!$D$6,0)</f>
        <v>mét</v>
      </c>
      <c r="H406" s="362"/>
      <c r="I406" s="362">
        <f>VLOOKUP(B406,DONGIA,DG!$E$6,0)</f>
        <v>95000</v>
      </c>
      <c r="J406" s="362"/>
      <c r="K406" s="362">
        <f>VLOOKUP(B406,DONGIA,DG!$F$6,0)</f>
        <v>0</v>
      </c>
      <c r="L406" s="362">
        <f>VLOOKUP(B406,DONGIA,DG!$G$6,0)</f>
        <v>0</v>
      </c>
      <c r="M406" s="362">
        <f t="shared" si="66"/>
        <v>0</v>
      </c>
      <c r="N406" s="362">
        <f t="shared" si="66"/>
        <v>0</v>
      </c>
      <c r="O406" s="362">
        <f t="shared" si="66"/>
        <v>0</v>
      </c>
      <c r="P406" s="362">
        <f t="shared" si="66"/>
        <v>0</v>
      </c>
      <c r="Q406" s="362"/>
      <c r="S406" s="352">
        <f t="shared" si="60"/>
        <v>0</v>
      </c>
      <c r="T406" s="352">
        <f t="shared" si="59"/>
        <v>0</v>
      </c>
    </row>
    <row r="407" spans="1:20" hidden="1">
      <c r="B407" s="332" t="s">
        <v>1058</v>
      </c>
      <c r="C407" s="333">
        <f t="shared" si="48"/>
        <v>0</v>
      </c>
      <c r="D407" s="372">
        <f>IF(H407&lt;&gt;0,D377+1,D377)</f>
        <v>1</v>
      </c>
      <c r="E407" s="372">
        <f>VLOOKUP(B407,DONGIA,DG!$B$6,0)</f>
        <v>0</v>
      </c>
      <c r="F407" s="373" t="str">
        <f>VLOOKUP(B407,DONGIA,DG!$C$6,0)</f>
        <v>Bảng tên trạm + bulon</v>
      </c>
      <c r="G407" s="372" t="str">
        <f>VLOOKUP(B407,DONGIA,DG!$D$6,0)</f>
        <v>bộ</v>
      </c>
      <c r="H407" s="372">
        <f>T1P2X25</f>
        <v>0</v>
      </c>
      <c r="I407" s="473">
        <f>VLOOKUP(B407,DONGIA,DG!$E$6,0)</f>
        <v>150000</v>
      </c>
      <c r="J407" s="473"/>
      <c r="K407" s="473">
        <f>VLOOKUP(B407,DONGIA,DG!$F$6,0)</f>
        <v>0</v>
      </c>
      <c r="L407" s="473">
        <f>VLOOKUP(B407,DONGIA,DG!$G$6,0)</f>
        <v>0</v>
      </c>
      <c r="M407" s="473">
        <f>$H407*I407</f>
        <v>0</v>
      </c>
      <c r="N407" s="473">
        <f>$H407*J407</f>
        <v>0</v>
      </c>
      <c r="O407" s="473">
        <f>$H407*K407</f>
        <v>0</v>
      </c>
      <c r="P407" s="473">
        <f>$H407*L407</f>
        <v>0</v>
      </c>
      <c r="Q407" s="473"/>
      <c r="S407" s="332">
        <f t="shared" si="47"/>
        <v>0</v>
      </c>
      <c r="T407" s="332">
        <f t="shared" si="59"/>
        <v>0</v>
      </c>
    </row>
    <row r="408" spans="1:20" s="353" customFormat="1" hidden="1">
      <c r="A408" s="353" t="s">
        <v>2813</v>
      </c>
      <c r="C408" s="333">
        <f>C409</f>
        <v>0</v>
      </c>
      <c r="D408" s="368"/>
      <c r="E408" s="369" t="str">
        <f>T1P2X375&amp;" Trạm 1 pha 2x37,5kVA"</f>
        <v>0 Trạm 1 pha 2x37,5kVA</v>
      </c>
      <c r="F408" s="368"/>
      <c r="G408" s="368"/>
      <c r="H408" s="368"/>
      <c r="I408" s="325"/>
      <c r="J408" s="325"/>
      <c r="K408" s="325"/>
      <c r="L408" s="325"/>
      <c r="M408" s="325"/>
      <c r="N408" s="325"/>
      <c r="O408" s="325"/>
      <c r="P408" s="325"/>
      <c r="Q408" s="368"/>
      <c r="S408" s="332">
        <f t="shared" si="47"/>
        <v>0</v>
      </c>
      <c r="T408" s="332">
        <f t="shared" si="59"/>
        <v>0</v>
      </c>
    </row>
    <row r="409" spans="1:20" hidden="1">
      <c r="A409" s="332" t="str">
        <f>"TB"&amp;A408</f>
        <v>TBTR2X375</v>
      </c>
      <c r="C409" s="333">
        <f>IF(M409&lt;&gt;0,1,)</f>
        <v>0</v>
      </c>
      <c r="D409" s="344"/>
      <c r="E409" s="344"/>
      <c r="F409" s="345" t="s">
        <v>1900</v>
      </c>
      <c r="G409" s="344"/>
      <c r="H409" s="345"/>
      <c r="I409" s="345"/>
      <c r="J409" s="345"/>
      <c r="K409" s="345"/>
      <c r="L409" s="345"/>
      <c r="M409" s="345">
        <f>SUM(M410:M416)</f>
        <v>0</v>
      </c>
      <c r="N409" s="345">
        <f>SUM(N410:N416)</f>
        <v>0</v>
      </c>
      <c r="O409" s="345">
        <f>SUM(O410:O416)</f>
        <v>0</v>
      </c>
      <c r="P409" s="345">
        <f>SUM(P410:P416)</f>
        <v>0</v>
      </c>
      <c r="Q409" s="345"/>
      <c r="S409" s="332">
        <f t="shared" si="47"/>
        <v>0</v>
      </c>
      <c r="T409" s="371">
        <f>SUM(T410:T416)</f>
        <v>0</v>
      </c>
    </row>
    <row r="410" spans="1:20" hidden="1">
      <c r="B410" s="332" t="s">
        <v>900</v>
      </c>
      <c r="C410" s="333">
        <f t="shared" si="48"/>
        <v>0</v>
      </c>
      <c r="D410" s="328"/>
      <c r="E410" s="328" t="str">
        <f>VLOOKUP(B410,DONGIA,DG!$B$6,0)</f>
        <v>T1.1432</v>
      </c>
      <c r="F410" s="329" t="str">
        <f>VLOOKUP(B410,DONGIA,DG!$C$6,0)</f>
        <v>Máy biến áp AMORPHOUS 12,7/0,22-0,44kV 37,5kVA</v>
      </c>
      <c r="G410" s="328" t="str">
        <f>VLOOKUP(B410,DONGIA,DG!$D$6,0)</f>
        <v>máy</v>
      </c>
      <c r="H410" s="329">
        <f>T1P2X375*2</f>
        <v>0</v>
      </c>
      <c r="I410" s="329">
        <f>VLOOKUP(B410,DONGIA,DG!$E$6,0)</f>
        <v>36124000</v>
      </c>
      <c r="J410" s="329"/>
      <c r="K410" s="329">
        <f>VLOOKUP(B410,DONGIA,DG!$F$6,0)</f>
        <v>746585</v>
      </c>
      <c r="L410" s="329">
        <f>VLOOKUP(B410,DONGIA,DG!$G$6,0)</f>
        <v>360605</v>
      </c>
      <c r="M410" s="329">
        <f>$H410*I410</f>
        <v>0</v>
      </c>
      <c r="N410" s="329">
        <f t="shared" ref="N410:N416" si="67">$H410*J410</f>
        <v>0</v>
      </c>
      <c r="O410" s="329">
        <f t="shared" ref="O410:O416" si="68">$H410*K410</f>
        <v>0</v>
      </c>
      <c r="P410" s="329">
        <f t="shared" ref="P410:P416" si="69">$H410*L410</f>
        <v>0</v>
      </c>
      <c r="Q410" s="329"/>
      <c r="S410" s="332">
        <f t="shared" si="47"/>
        <v>355</v>
      </c>
      <c r="T410" s="332">
        <f t="shared" ref="T410:T416" si="70">H410*S410</f>
        <v>0</v>
      </c>
    </row>
    <row r="411" spans="1:20" hidden="1">
      <c r="A411" s="332" t="s">
        <v>477</v>
      </c>
      <c r="B411" s="332" t="s">
        <v>1444</v>
      </c>
      <c r="C411" s="333">
        <f t="shared" si="48"/>
        <v>0</v>
      </c>
      <c r="D411" s="328"/>
      <c r="E411" s="328" t="str">
        <f>VLOOKUP(B411,DONGIA,DG!$B$6,0)</f>
        <v>T2.3505</v>
      </c>
      <c r="F411" s="329" t="str">
        <f>VLOOKUP(B411,DONGIA,DG!$C$6,0)</f>
        <v>FCO 27kV - 100A</v>
      </c>
      <c r="G411" s="328" t="str">
        <f>VLOOKUP(B411,DONGIA,DG!$D$6,0)</f>
        <v>cái</v>
      </c>
      <c r="H411" s="329">
        <f>T1P2X375</f>
        <v>0</v>
      </c>
      <c r="I411" s="329">
        <f>VLOOKUP(B411,DONGIA,DG!$E$6,0)</f>
        <v>1070000</v>
      </c>
      <c r="J411" s="329"/>
      <c r="K411" s="329">
        <f>VLOOKUP(B411,DONGIA,DG!$F$6,0)</f>
        <v>189552</v>
      </c>
      <c r="L411" s="329">
        <f>VLOOKUP(B411,DONGIA,DG!$G$6,0)</f>
        <v>0</v>
      </c>
      <c r="M411" s="329">
        <f t="shared" ref="M411:M416" si="71">$H411*I411</f>
        <v>0</v>
      </c>
      <c r="N411" s="329">
        <f t="shared" si="67"/>
        <v>0</v>
      </c>
      <c r="O411" s="329">
        <f t="shared" si="68"/>
        <v>0</v>
      </c>
      <c r="P411" s="329">
        <f t="shared" si="69"/>
        <v>0</v>
      </c>
      <c r="Q411" s="329"/>
      <c r="S411" s="332">
        <f t="shared" si="47"/>
        <v>1.5</v>
      </c>
      <c r="T411" s="332">
        <f t="shared" si="70"/>
        <v>0</v>
      </c>
    </row>
    <row r="412" spans="1:20" hidden="1">
      <c r="A412" s="332" t="s">
        <v>477</v>
      </c>
      <c r="B412" s="332" t="s">
        <v>943</v>
      </c>
      <c r="C412" s="333">
        <f t="shared" si="48"/>
        <v>0</v>
      </c>
      <c r="D412" s="328"/>
      <c r="E412" s="328" t="str">
        <f>VLOOKUP(B412,DONGIA,DG!$B$6,0)</f>
        <v>T2.5004</v>
      </c>
      <c r="F412" s="329" t="str">
        <f>VLOOKUP(B412,DONGIA,DG!$C$6,0)</f>
        <v>LA 18kV 10kA</v>
      </c>
      <c r="G412" s="328" t="str">
        <f>VLOOKUP(B412,DONGIA,DG!$D$6,0)</f>
        <v>cái</v>
      </c>
      <c r="H412" s="329">
        <f>T1P2X375</f>
        <v>0</v>
      </c>
      <c r="I412" s="329">
        <f>VLOOKUP(B412,DONGIA,DG!$E$6,0)</f>
        <v>875000</v>
      </c>
      <c r="J412" s="329"/>
      <c r="K412" s="329">
        <f>VLOOKUP(B412,DONGIA,DG!$F$6,0)</f>
        <v>71082</v>
      </c>
      <c r="L412" s="329">
        <f>VLOOKUP(B412,DONGIA,DG!$G$6,0)</f>
        <v>0</v>
      </c>
      <c r="M412" s="329">
        <f t="shared" si="71"/>
        <v>0</v>
      </c>
      <c r="N412" s="329">
        <f t="shared" si="67"/>
        <v>0</v>
      </c>
      <c r="O412" s="329">
        <f t="shared" si="68"/>
        <v>0</v>
      </c>
      <c r="P412" s="329">
        <f t="shared" si="69"/>
        <v>0</v>
      </c>
      <c r="Q412" s="329"/>
      <c r="S412" s="332">
        <f t="shared" si="47"/>
        <v>0.8</v>
      </c>
      <c r="T412" s="332">
        <f t="shared" si="70"/>
        <v>0</v>
      </c>
    </row>
    <row r="413" spans="1:20" hidden="1">
      <c r="A413" s="332" t="s">
        <v>477</v>
      </c>
      <c r="B413" s="332" t="s">
        <v>996</v>
      </c>
      <c r="C413" s="333">
        <f t="shared" si="48"/>
        <v>0</v>
      </c>
      <c r="D413" s="328"/>
      <c r="E413" s="328"/>
      <c r="F413" s="329" t="str">
        <f>VLOOKUP(B413,DONGIA,DG!$C$6,0)</f>
        <v>MCCB 3 cực 600V - 250A - 35KA (160-250A)</v>
      </c>
      <c r="G413" s="328" t="str">
        <f>VLOOKUP(B413,DONGIA,DG!$D$6,0)</f>
        <v>cái</v>
      </c>
      <c r="H413" s="329">
        <f>T1P2X375</f>
        <v>0</v>
      </c>
      <c r="I413" s="329">
        <f>VLOOKUP(B413,DONGIA,DG!$E$6,0)</f>
        <v>1440000</v>
      </c>
      <c r="J413" s="329"/>
      <c r="K413" s="329">
        <f>VLOOKUP(B413,DONGIA,DG!$F$6,0)*0</f>
        <v>0</v>
      </c>
      <c r="L413" s="329">
        <f>VLOOKUP(B413,DONGIA,DG!$G$6,0)</f>
        <v>0</v>
      </c>
      <c r="M413" s="329">
        <f t="shared" si="71"/>
        <v>0</v>
      </c>
      <c r="N413" s="329">
        <f t="shared" si="67"/>
        <v>0</v>
      </c>
      <c r="O413" s="329">
        <f t="shared" si="68"/>
        <v>0</v>
      </c>
      <c r="P413" s="329">
        <f t="shared" si="69"/>
        <v>0</v>
      </c>
      <c r="Q413" s="329"/>
      <c r="S413" s="332">
        <f t="shared" si="47"/>
        <v>2</v>
      </c>
      <c r="T413" s="332">
        <f t="shared" si="70"/>
        <v>0</v>
      </c>
    </row>
    <row r="414" spans="1:20" hidden="1">
      <c r="A414" s="332" t="s">
        <v>477</v>
      </c>
      <c r="B414" s="332" t="s">
        <v>2948</v>
      </c>
      <c r="C414" s="333">
        <f>IF(H414&lt;&gt;0,1,)</f>
        <v>0</v>
      </c>
      <c r="D414" s="328"/>
      <c r="E414" s="328"/>
      <c r="F414" s="329" t="str">
        <f>VLOOKUP(B414,DONGIA,DG!$C$6,0)&amp;" (Phân đoạn)"</f>
        <v>MCCB 3 cực 400V - 160A - 35KA (100-160A) (Phân đoạn)</v>
      </c>
      <c r="G414" s="328" t="str">
        <f>VLOOKUP(B414,DONGIA,DG!$D$6,0)</f>
        <v>cái</v>
      </c>
      <c r="H414" s="329">
        <f>T1P2X375*2</f>
        <v>0</v>
      </c>
      <c r="I414" s="329">
        <f>VLOOKUP(B414,DONGIA,DG!$E$6,0)</f>
        <v>1440000</v>
      </c>
      <c r="J414" s="329"/>
      <c r="K414" s="329">
        <f>VLOOKUP(B414,DONGIA,DG!$F$6,0)*0</f>
        <v>0</v>
      </c>
      <c r="L414" s="329">
        <f>VLOOKUP(B414,DONGIA,DG!$G$6,0)</f>
        <v>0</v>
      </c>
      <c r="M414" s="329">
        <f>$H414*I414</f>
        <v>0</v>
      </c>
      <c r="N414" s="329">
        <f>$H414*J414</f>
        <v>0</v>
      </c>
      <c r="O414" s="329">
        <f>$H414*K414</f>
        <v>0</v>
      </c>
      <c r="P414" s="329">
        <f>$H414*L414</f>
        <v>0</v>
      </c>
      <c r="Q414" s="329"/>
      <c r="S414" s="332">
        <f>IFERROR(VLOOKUP(B414,DONGIA,$S$25,0),0)</f>
        <v>2</v>
      </c>
      <c r="T414" s="332">
        <f>H414*S414</f>
        <v>0</v>
      </c>
    </row>
    <row r="415" spans="1:20" hidden="1">
      <c r="A415" s="332" t="s">
        <v>477</v>
      </c>
      <c r="B415" s="332" t="s">
        <v>950</v>
      </c>
      <c r="C415" s="333">
        <f t="shared" si="48"/>
        <v>0</v>
      </c>
      <c r="D415" s="328"/>
      <c r="E415" s="328">
        <f>VLOOKUP(B415,DONGIA,DG!$B$6,0)</f>
        <v>0</v>
      </c>
      <c r="F415" s="329" t="str">
        <f>VLOOKUP(B415,DONGIA,DG!$C$6,0)</f>
        <v xml:space="preserve">Biến dòng 600V - 150/5A </v>
      </c>
      <c r="G415" s="328" t="str">
        <f>VLOOKUP(B415,DONGIA,DG!$D$6,0)</f>
        <v>cái</v>
      </c>
      <c r="H415" s="329">
        <f>T1P2X375*2</f>
        <v>0</v>
      </c>
      <c r="I415" s="329">
        <f>VLOOKUP(B415,DONGIA,DG!$E$6,0)</f>
        <v>0</v>
      </c>
      <c r="J415" s="329"/>
      <c r="K415" s="329">
        <f>VLOOKUP(B415,DONGIA,DG!$F$6,0)</f>
        <v>0</v>
      </c>
      <c r="L415" s="329">
        <f>VLOOKUP(B415,DONGIA,DG!$G$6,0)</f>
        <v>0</v>
      </c>
      <c r="M415" s="329">
        <f t="shared" si="71"/>
        <v>0</v>
      </c>
      <c r="N415" s="329">
        <f t="shared" si="67"/>
        <v>0</v>
      </c>
      <c r="O415" s="329">
        <f t="shared" si="68"/>
        <v>0</v>
      </c>
      <c r="P415" s="329">
        <f t="shared" si="69"/>
        <v>0</v>
      </c>
      <c r="Q415" s="329"/>
      <c r="S415" s="332">
        <f t="shared" si="47"/>
        <v>0</v>
      </c>
      <c r="T415" s="332">
        <f t="shared" si="70"/>
        <v>0</v>
      </c>
    </row>
    <row r="416" spans="1:20" hidden="1">
      <c r="A416" s="332" t="s">
        <v>477</v>
      </c>
      <c r="B416" s="332" t="s">
        <v>2062</v>
      </c>
      <c r="C416" s="333">
        <f t="shared" si="48"/>
        <v>0</v>
      </c>
      <c r="D416" s="328"/>
      <c r="E416" s="328">
        <f>VLOOKUP(B416,DONGIA,DG!$B$6,0)</f>
        <v>0</v>
      </c>
      <c r="F416" s="329" t="str">
        <f>VLOOKUP(B416,DONGIA,DG!$C$6,0)</f>
        <v>Điện kế 3 pha 4 dây 220/380V-5A</v>
      </c>
      <c r="G416" s="328" t="str">
        <f>VLOOKUP(B416,DONGIA,DG!$D$6,0)</f>
        <v>cái</v>
      </c>
      <c r="H416" s="329">
        <f>T1P2X375</f>
        <v>0</v>
      </c>
      <c r="I416" s="329">
        <f>VLOOKUP(B416,DONGIA,DG!$E$6,0)</f>
        <v>0</v>
      </c>
      <c r="J416" s="329"/>
      <c r="K416" s="329">
        <f>VLOOKUP(B416,DONGIA,DG!$F$6,0)</f>
        <v>0</v>
      </c>
      <c r="L416" s="329">
        <f>VLOOKUP(B416,DONGIA,DG!$G$6,0)</f>
        <v>0</v>
      </c>
      <c r="M416" s="329">
        <f t="shared" si="71"/>
        <v>0</v>
      </c>
      <c r="N416" s="329">
        <f t="shared" si="67"/>
        <v>0</v>
      </c>
      <c r="O416" s="329">
        <f t="shared" si="68"/>
        <v>0</v>
      </c>
      <c r="P416" s="329">
        <f t="shared" si="69"/>
        <v>0</v>
      </c>
      <c r="Q416" s="329"/>
      <c r="S416" s="332">
        <f t="shared" ref="S416:S549" si="72">IFERROR(VLOOKUP(B416,DONGIA,$S$25,0),0)</f>
        <v>1.5</v>
      </c>
      <c r="T416" s="332">
        <f t="shared" si="70"/>
        <v>0</v>
      </c>
    </row>
    <row r="417" spans="1:20" hidden="1">
      <c r="A417" s="332" t="str">
        <f>"VL"&amp;A408</f>
        <v>VLTR2X375</v>
      </c>
      <c r="C417" s="333">
        <f>IF(M417&lt;&gt;0,1,)</f>
        <v>0</v>
      </c>
      <c r="D417" s="344"/>
      <c r="E417" s="344"/>
      <c r="F417" s="345" t="s">
        <v>1901</v>
      </c>
      <c r="G417" s="344"/>
      <c r="H417" s="345"/>
      <c r="I417" s="345"/>
      <c r="J417" s="345"/>
      <c r="K417" s="345"/>
      <c r="L417" s="345"/>
      <c r="M417" s="345">
        <f>SUM(M418:M549)</f>
        <v>0</v>
      </c>
      <c r="N417" s="345">
        <f>SUM(N418:N549)</f>
        <v>0</v>
      </c>
      <c r="O417" s="345">
        <f>SUM(O418:O549)</f>
        <v>0</v>
      </c>
      <c r="P417" s="345">
        <f>SUM(P418:P549)</f>
        <v>0</v>
      </c>
      <c r="Q417" s="345"/>
      <c r="S417" s="332">
        <f t="shared" si="72"/>
        <v>0</v>
      </c>
      <c r="T417" s="371">
        <f>SUM(T418:T549)</f>
        <v>0</v>
      </c>
    </row>
    <row r="418" spans="1:20" hidden="1">
      <c r="C418" s="333">
        <f t="shared" ref="C418:C424" si="73">IF(H418&lt;&gt;0,1,)</f>
        <v>0</v>
      </c>
      <c r="D418" s="372">
        <f>IF(H418&lt;&gt;0,1,)</f>
        <v>0</v>
      </c>
      <c r="E418" s="372"/>
      <c r="F418" s="373" t="s">
        <v>1931</v>
      </c>
      <c r="G418" s="372" t="s">
        <v>138</v>
      </c>
      <c r="H418" s="372">
        <f>T1P2X375</f>
        <v>0</v>
      </c>
      <c r="I418" s="373"/>
      <c r="J418" s="373"/>
      <c r="K418" s="373"/>
      <c r="L418" s="373"/>
      <c r="M418" s="373"/>
      <c r="N418" s="373"/>
      <c r="O418" s="373"/>
      <c r="P418" s="373"/>
      <c r="Q418" s="373"/>
      <c r="S418" s="332">
        <f t="shared" si="72"/>
        <v>0</v>
      </c>
      <c r="T418" s="332">
        <f t="shared" ref="T418:T488" si="74">H418*S418</f>
        <v>0</v>
      </c>
    </row>
    <row r="419" spans="1:20" hidden="1">
      <c r="A419" s="332" t="s">
        <v>477</v>
      </c>
      <c r="B419" s="332" t="s">
        <v>1007</v>
      </c>
      <c r="C419" s="333">
        <f t="shared" si="73"/>
        <v>0</v>
      </c>
      <c r="D419" s="328"/>
      <c r="E419" s="328">
        <f>VLOOKUP(B419,DONGIA,DG!$B$6,0)</f>
        <v>0</v>
      </c>
      <c r="F419" s="329" t="str">
        <f>VLOOKUP(B419,DONGIA,DG!$C$6,0)</f>
        <v>Dây chảy 3K</v>
      </c>
      <c r="G419" s="328" t="str">
        <f>VLOOKUP(B419,DONGIA,DG!$D$6,0)</f>
        <v>Sợi</v>
      </c>
      <c r="H419" s="329">
        <f>H418</f>
        <v>0</v>
      </c>
      <c r="I419" s="329">
        <f>VLOOKUP(B419,DONGIA,DG!$E$6,0)</f>
        <v>47000</v>
      </c>
      <c r="J419" s="329"/>
      <c r="K419" s="329">
        <f>VLOOKUP(B419,DONGIA,DG!$F$6,0)</f>
        <v>0</v>
      </c>
      <c r="L419" s="329">
        <f>VLOOKUP(B419,DONGIA,DG!$G$6,0)</f>
        <v>0</v>
      </c>
      <c r="M419" s="329">
        <f t="shared" ref="M419:P423" si="75">$H419*I419</f>
        <v>0</v>
      </c>
      <c r="N419" s="329">
        <f t="shared" si="75"/>
        <v>0</v>
      </c>
      <c r="O419" s="329">
        <f t="shared" si="75"/>
        <v>0</v>
      </c>
      <c r="P419" s="329">
        <f t="shared" si="75"/>
        <v>0</v>
      </c>
      <c r="Q419" s="329"/>
      <c r="S419" s="332">
        <f t="shared" si="72"/>
        <v>0</v>
      </c>
      <c r="T419" s="332">
        <f t="shared" si="74"/>
        <v>0</v>
      </c>
    </row>
    <row r="420" spans="1:20" hidden="1">
      <c r="A420" s="332" t="s">
        <v>477</v>
      </c>
      <c r="B420" s="332" t="s">
        <v>131</v>
      </c>
      <c r="C420" s="333">
        <f t="shared" si="73"/>
        <v>0</v>
      </c>
      <c r="D420" s="328"/>
      <c r="E420" s="328">
        <f>VLOOKUP(B420,DONGIA,DG!$B$6,0)</f>
        <v>0</v>
      </c>
      <c r="F420" s="329" t="str">
        <f>VLOOKUP(B420,DONGIA,DG!$C$6,0)</f>
        <v>Chụp đầu FCO (Trên + Dưới)</v>
      </c>
      <c r="G420" s="328" t="str">
        <f>VLOOKUP(B420,DONGIA,DG!$D$6,0)</f>
        <v>bộ</v>
      </c>
      <c r="H420" s="329">
        <f>H418</f>
        <v>0</v>
      </c>
      <c r="I420" s="329">
        <f>VLOOKUP(B420,DONGIA,DG!$E$6,0)</f>
        <v>190000</v>
      </c>
      <c r="J420" s="329"/>
      <c r="K420" s="329">
        <f>VLOOKUP(B420,DONGIA,DG!$F$6,0)</f>
        <v>0</v>
      </c>
      <c r="L420" s="329">
        <f>VLOOKUP(B420,DONGIA,DG!$G$6,0)</f>
        <v>0</v>
      </c>
      <c r="M420" s="329">
        <f t="shared" si="75"/>
        <v>0</v>
      </c>
      <c r="N420" s="329">
        <f t="shared" si="75"/>
        <v>0</v>
      </c>
      <c r="O420" s="329">
        <f t="shared" si="75"/>
        <v>0</v>
      </c>
      <c r="P420" s="329">
        <f t="shared" si="75"/>
        <v>0</v>
      </c>
      <c r="Q420" s="329"/>
      <c r="S420" s="332">
        <f t="shared" si="72"/>
        <v>0</v>
      </c>
      <c r="T420" s="332">
        <f t="shared" si="74"/>
        <v>0</v>
      </c>
    </row>
    <row r="421" spans="1:20" hidden="1">
      <c r="A421" s="332" t="s">
        <v>477</v>
      </c>
      <c r="B421" s="332" t="s">
        <v>133</v>
      </c>
      <c r="C421" s="333">
        <f t="shared" si="73"/>
        <v>0</v>
      </c>
      <c r="D421" s="328"/>
      <c r="E421" s="328">
        <f>VLOOKUP(B421,DONGIA,DG!$B$6,0)</f>
        <v>0</v>
      </c>
      <c r="F421" s="329" t="str">
        <f>VLOOKUP(B421,DONGIA,DG!$C$6,0)</f>
        <v>Chụp đầu LA</v>
      </c>
      <c r="G421" s="328" t="str">
        <f>VLOOKUP(B421,DONGIA,DG!$D$6,0)</f>
        <v>cái</v>
      </c>
      <c r="H421" s="329">
        <f>H418</f>
        <v>0</v>
      </c>
      <c r="I421" s="329">
        <f>VLOOKUP(B421,DONGIA,DG!$E$6,0)</f>
        <v>32000</v>
      </c>
      <c r="J421" s="329"/>
      <c r="K421" s="329">
        <f>VLOOKUP(B421,DONGIA,DG!$F$6,0)</f>
        <v>0</v>
      </c>
      <c r="L421" s="329">
        <f>VLOOKUP(B421,DONGIA,DG!$G$6,0)</f>
        <v>0</v>
      </c>
      <c r="M421" s="329">
        <f t="shared" si="75"/>
        <v>0</v>
      </c>
      <c r="N421" s="329">
        <f t="shared" si="75"/>
        <v>0</v>
      </c>
      <c r="O421" s="329">
        <f t="shared" si="75"/>
        <v>0</v>
      </c>
      <c r="P421" s="329">
        <f t="shared" si="75"/>
        <v>0</v>
      </c>
      <c r="Q421" s="329"/>
      <c r="S421" s="332">
        <f t="shared" si="72"/>
        <v>0</v>
      </c>
      <c r="T421" s="332">
        <f t="shared" si="74"/>
        <v>0</v>
      </c>
    </row>
    <row r="422" spans="1:20" hidden="1">
      <c r="A422" s="332" t="s">
        <v>477</v>
      </c>
      <c r="B422" s="332" t="s">
        <v>135</v>
      </c>
      <c r="C422" s="333">
        <f t="shared" si="73"/>
        <v>0</v>
      </c>
      <c r="D422" s="328"/>
      <c r="E422" s="328">
        <f>VLOOKUP(B422,DONGIA,DG!$B$6,0)</f>
        <v>0</v>
      </c>
      <c r="F422" s="329" t="str">
        <f>VLOOKUP(B422,DONGIA,DG!$C$6,0)</f>
        <v>Chụp đầu cực MBA</v>
      </c>
      <c r="G422" s="328" t="str">
        <f>VLOOKUP(B422,DONGIA,DG!$D$6,0)</f>
        <v>cái</v>
      </c>
      <c r="H422" s="329">
        <f>H418*2</f>
        <v>0</v>
      </c>
      <c r="I422" s="329">
        <f>VLOOKUP(B422,DONGIA,DG!$E$6,0)</f>
        <v>52000</v>
      </c>
      <c r="J422" s="329"/>
      <c r="K422" s="329">
        <f>VLOOKUP(B422,DONGIA,DG!$F$6,0)</f>
        <v>0</v>
      </c>
      <c r="L422" s="329">
        <f>VLOOKUP(B422,DONGIA,DG!$G$6,0)</f>
        <v>0</v>
      </c>
      <c r="M422" s="329">
        <f t="shared" si="75"/>
        <v>0</v>
      </c>
      <c r="N422" s="329">
        <f t="shared" si="75"/>
        <v>0</v>
      </c>
      <c r="O422" s="329">
        <f t="shared" si="75"/>
        <v>0</v>
      </c>
      <c r="P422" s="329">
        <f t="shared" si="75"/>
        <v>0</v>
      </c>
      <c r="Q422" s="329"/>
      <c r="S422" s="332">
        <f t="shared" si="72"/>
        <v>0</v>
      </c>
      <c r="T422" s="332">
        <f t="shared" si="74"/>
        <v>0</v>
      </c>
    </row>
    <row r="423" spans="1:20" hidden="1">
      <c r="A423" s="332" t="s">
        <v>477</v>
      </c>
      <c r="B423" s="332" t="s">
        <v>35</v>
      </c>
      <c r="C423" s="333">
        <f>IF(H423&lt;&gt;0,1,)</f>
        <v>0</v>
      </c>
      <c r="D423" s="328"/>
      <c r="E423" s="328">
        <f>VLOOKUP(B423,DONGIA,DG!$B$6,0)</f>
        <v>0</v>
      </c>
      <c r="F423" s="329" t="str">
        <f>VLOOKUP(B423,DONGIA,DG!$C$6,0)</f>
        <v>Boulon 16x300+ 2 long đền vuông D18-50x50x3/Zn</v>
      </c>
      <c r="G423" s="328" t="str">
        <f>VLOOKUP(B423,DONGIA,DG!$D$6,0)</f>
        <v>bộ</v>
      </c>
      <c r="H423" s="329">
        <f>H418*2*2</f>
        <v>0</v>
      </c>
      <c r="I423" s="329">
        <f>VLOOKUP(B423,DONGIA,DG!$E$6,0)</f>
        <v>30000</v>
      </c>
      <c r="J423" s="329"/>
      <c r="K423" s="329">
        <f>VLOOKUP(B423,DONGIA,DG!$F$6,0)</f>
        <v>0</v>
      </c>
      <c r="L423" s="329">
        <f>VLOOKUP(B423,DONGIA,DG!$G$6,0)</f>
        <v>0</v>
      </c>
      <c r="M423" s="329">
        <f t="shared" si="75"/>
        <v>0</v>
      </c>
      <c r="N423" s="329">
        <f t="shared" si="75"/>
        <v>0</v>
      </c>
      <c r="O423" s="329">
        <f t="shared" si="75"/>
        <v>0</v>
      </c>
      <c r="P423" s="329">
        <f t="shared" si="75"/>
        <v>0</v>
      </c>
      <c r="Q423" s="329"/>
      <c r="S423" s="332">
        <f>IFERROR(VLOOKUP(B423,DONGIA,$S$25,0),0)</f>
        <v>0.25</v>
      </c>
      <c r="T423" s="332">
        <f>H423*S423</f>
        <v>0</v>
      </c>
    </row>
    <row r="424" spans="1:20" hidden="1">
      <c r="A424" s="332" t="s">
        <v>477</v>
      </c>
      <c r="C424" s="333">
        <f t="shared" si="73"/>
        <v>0</v>
      </c>
      <c r="D424" s="372">
        <f>IF(H424&lt;&gt;0,D418+1,D418)</f>
        <v>0</v>
      </c>
      <c r="E424" s="372"/>
      <c r="F424" s="373" t="s">
        <v>1932</v>
      </c>
      <c r="G424" s="372" t="s">
        <v>138</v>
      </c>
      <c r="H424" s="372">
        <f>T1P2X375</f>
        <v>0</v>
      </c>
      <c r="I424" s="373"/>
      <c r="J424" s="373"/>
      <c r="K424" s="373"/>
      <c r="L424" s="373"/>
      <c r="M424" s="373"/>
      <c r="N424" s="373"/>
      <c r="O424" s="373"/>
      <c r="P424" s="373"/>
      <c r="Q424" s="373"/>
      <c r="S424" s="332">
        <f t="shared" si="72"/>
        <v>0</v>
      </c>
      <c r="T424" s="332">
        <f t="shared" si="74"/>
        <v>0</v>
      </c>
    </row>
    <row r="425" spans="1:20" s="361" customFormat="1" hidden="1">
      <c r="A425" s="361" t="s">
        <v>477</v>
      </c>
      <c r="C425" s="374">
        <f>C424</f>
        <v>0</v>
      </c>
      <c r="D425" s="350"/>
      <c r="E425" s="350"/>
      <c r="F425" s="351" t="s">
        <v>1902</v>
      </c>
      <c r="G425" s="350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S425" s="361">
        <f t="shared" si="72"/>
        <v>0</v>
      </c>
      <c r="T425" s="361">
        <f t="shared" si="74"/>
        <v>0</v>
      </c>
    </row>
    <row r="426" spans="1:20" hidden="1">
      <c r="A426" s="332" t="s">
        <v>477</v>
      </c>
      <c r="B426" s="332" t="s">
        <v>15</v>
      </c>
      <c r="C426" s="333">
        <f t="shared" ref="C426:C433" si="76">IF(H426&lt;&gt;0,1,)</f>
        <v>0</v>
      </c>
      <c r="D426" s="328"/>
      <c r="E426" s="328">
        <f>VLOOKUP(B426,DONGIA,DG!$B$6,0)</f>
        <v>0</v>
      </c>
      <c r="F426" s="329" t="str">
        <f>VLOOKUP(B426,DONGIA,DG!$C$6,0)</f>
        <v>Đà hộp composite 110x80x5-800</v>
      </c>
      <c r="G426" s="328" t="str">
        <f>VLOOKUP(B426,DONGIA,DG!$D$6,0)</f>
        <v>cái</v>
      </c>
      <c r="H426" s="329">
        <f>H424*2</f>
        <v>0</v>
      </c>
      <c r="I426" s="329">
        <f>VLOOKUP(B426,DONGIA,DG!$E$6,0)</f>
        <v>541200</v>
      </c>
      <c r="J426" s="329"/>
      <c r="K426" s="329">
        <f>VLOOKUP(B426,DONGIA,DG!$F$6,0)</f>
        <v>0</v>
      </c>
      <c r="L426" s="329">
        <f>VLOOKUP(B426,DONGIA,DG!$G$6,0)</f>
        <v>0</v>
      </c>
      <c r="M426" s="329">
        <f t="shared" ref="M426:M432" si="77">$H426*I426</f>
        <v>0</v>
      </c>
      <c r="N426" s="329">
        <f t="shared" ref="N426:N431" si="78">$H426*J426</f>
        <v>0</v>
      </c>
      <c r="O426" s="329">
        <f t="shared" ref="O426:O431" si="79">$H426*K426</f>
        <v>0</v>
      </c>
      <c r="P426" s="329">
        <f t="shared" ref="P426:P431" si="80">$H426*L426</f>
        <v>0</v>
      </c>
      <c r="Q426" s="329"/>
      <c r="S426" s="332">
        <f t="shared" si="72"/>
        <v>3.2</v>
      </c>
      <c r="T426" s="332">
        <f t="shared" si="74"/>
        <v>0</v>
      </c>
    </row>
    <row r="427" spans="1:20" hidden="1">
      <c r="A427" s="332" t="s">
        <v>477</v>
      </c>
      <c r="B427" s="332" t="s">
        <v>17</v>
      </c>
      <c r="C427" s="333">
        <f t="shared" si="76"/>
        <v>0</v>
      </c>
      <c r="D427" s="328"/>
      <c r="E427" s="328">
        <f>VLOOKUP(B427,DONGIA,DG!$B$6,0)</f>
        <v>0</v>
      </c>
      <c r="F427" s="329" t="str">
        <f>VLOOKUP(B427,DONGIA,DG!$C$6,0)</f>
        <v>Thanh chống 10x40x710</v>
      </c>
      <c r="G427" s="328" t="str">
        <f>VLOOKUP(B427,DONGIA,DG!$D$6,0)</f>
        <v>cái</v>
      </c>
      <c r="H427" s="329">
        <f>H426</f>
        <v>0</v>
      </c>
      <c r="I427" s="329">
        <f>VLOOKUP(B427,DONGIA,DG!$E$6,0)</f>
        <v>79800</v>
      </c>
      <c r="J427" s="329"/>
      <c r="K427" s="329">
        <f>VLOOKUP(B427,DONGIA,DG!$F$6,0)</f>
        <v>0</v>
      </c>
      <c r="L427" s="329">
        <f>VLOOKUP(B427,DONGIA,DG!$G$6,0)</f>
        <v>0</v>
      </c>
      <c r="M427" s="329">
        <f t="shared" si="77"/>
        <v>0</v>
      </c>
      <c r="N427" s="329">
        <f t="shared" si="78"/>
        <v>0</v>
      </c>
      <c r="O427" s="329">
        <f t="shared" si="79"/>
        <v>0</v>
      </c>
      <c r="P427" s="329">
        <f t="shared" si="80"/>
        <v>0</v>
      </c>
      <c r="Q427" s="329"/>
      <c r="S427" s="332">
        <f t="shared" si="72"/>
        <v>0.5</v>
      </c>
      <c r="T427" s="332">
        <f t="shared" si="74"/>
        <v>0</v>
      </c>
    </row>
    <row r="428" spans="1:20" hidden="1">
      <c r="A428" s="332" t="s">
        <v>477</v>
      </c>
      <c r="B428" s="332" t="s">
        <v>137</v>
      </c>
      <c r="C428" s="333">
        <f t="shared" si="76"/>
        <v>0</v>
      </c>
      <c r="D428" s="328"/>
      <c r="E428" s="328">
        <f>VLOOKUP(B428,DONGIA,DG!$B$6,0)</f>
        <v>0</v>
      </c>
      <c r="F428" s="329" t="str">
        <f>VLOOKUP(B428,DONGIA,DG!$C$6,0)</f>
        <v>Bass LI bắt FCO, LA</v>
      </c>
      <c r="G428" s="328" t="str">
        <f>VLOOKUP(B428,DONGIA,DG!$D$6,0)</f>
        <v>Bộ</v>
      </c>
      <c r="H428" s="329">
        <f>H424*2</f>
        <v>0</v>
      </c>
      <c r="I428" s="329">
        <f>VLOOKUP(B428,DONGIA,DG!$E$6,0)</f>
        <v>38000</v>
      </c>
      <c r="J428" s="329"/>
      <c r="K428" s="329">
        <f>VLOOKUP(B428,DONGIA,DG!$F$6,0)</f>
        <v>0</v>
      </c>
      <c r="L428" s="329">
        <f>VLOOKUP(B428,DONGIA,DG!$G$6,0)</f>
        <v>0</v>
      </c>
      <c r="M428" s="329">
        <f t="shared" si="77"/>
        <v>0</v>
      </c>
      <c r="N428" s="329">
        <f t="shared" si="78"/>
        <v>0</v>
      </c>
      <c r="O428" s="329">
        <f t="shared" si="79"/>
        <v>0</v>
      </c>
      <c r="P428" s="329">
        <f t="shared" si="80"/>
        <v>0</v>
      </c>
      <c r="Q428" s="329"/>
      <c r="S428" s="332">
        <f t="shared" si="72"/>
        <v>0.4</v>
      </c>
      <c r="T428" s="332">
        <f t="shared" si="74"/>
        <v>0</v>
      </c>
    </row>
    <row r="429" spans="1:20" hidden="1">
      <c r="A429" s="332" t="s">
        <v>477</v>
      </c>
      <c r="B429" s="332" t="s">
        <v>1686</v>
      </c>
      <c r="C429" s="333">
        <f t="shared" si="76"/>
        <v>0</v>
      </c>
      <c r="D429" s="328"/>
      <c r="E429" s="328">
        <f>VLOOKUP(B429,DONGIA,DG!$B$6,0)</f>
        <v>0</v>
      </c>
      <c r="F429" s="329" t="str">
        <f>VLOOKUP(B429,DONGIA,DG!$C$6,0)</f>
        <v>Boulon 16x400VRS + 4 long đền vuông D18-50x50x3/Zn</v>
      </c>
      <c r="G429" s="328" t="str">
        <f>VLOOKUP(B429,DONGIA,DG!$D$6,0)</f>
        <v>bộ</v>
      </c>
      <c r="H429" s="329">
        <f>H424*2</f>
        <v>0</v>
      </c>
      <c r="I429" s="329">
        <f>VLOOKUP(B429,DONGIA,DG!$E$6,0)</f>
        <v>45000</v>
      </c>
      <c r="J429" s="329"/>
      <c r="K429" s="329">
        <f>VLOOKUP(B429,DONGIA,DG!$F$6,0)</f>
        <v>0</v>
      </c>
      <c r="L429" s="329">
        <f>VLOOKUP(B429,DONGIA,DG!$G$6,0)</f>
        <v>0</v>
      </c>
      <c r="M429" s="329">
        <f t="shared" si="77"/>
        <v>0</v>
      </c>
      <c r="N429" s="329">
        <f t="shared" si="78"/>
        <v>0</v>
      </c>
      <c r="O429" s="329">
        <f t="shared" si="79"/>
        <v>0</v>
      </c>
      <c r="P429" s="329">
        <f t="shared" si="80"/>
        <v>0</v>
      </c>
      <c r="Q429" s="329"/>
      <c r="S429" s="332">
        <f t="shared" si="72"/>
        <v>0.39999999999999997</v>
      </c>
      <c r="T429" s="332">
        <f t="shared" si="74"/>
        <v>0</v>
      </c>
    </row>
    <row r="430" spans="1:20" hidden="1">
      <c r="A430" s="332" t="s">
        <v>477</v>
      </c>
      <c r="B430" s="332" t="s">
        <v>35</v>
      </c>
      <c r="C430" s="333">
        <f t="shared" si="76"/>
        <v>0</v>
      </c>
      <c r="D430" s="328"/>
      <c r="E430" s="328">
        <f>VLOOKUP(B430,DONGIA,DG!$B$6,0)</f>
        <v>0</v>
      </c>
      <c r="F430" s="329" t="str">
        <f>VLOOKUP(B430,DONGIA,DG!$C$6,0)</f>
        <v>Boulon 16x300+ 2 long đền vuông D18-50x50x3/Zn</v>
      </c>
      <c r="G430" s="328" t="str">
        <f>VLOOKUP(B430,DONGIA,DG!$D$6,0)</f>
        <v>bộ</v>
      </c>
      <c r="H430" s="329">
        <f>H424</f>
        <v>0</v>
      </c>
      <c r="I430" s="329">
        <f>VLOOKUP(B430,DONGIA,DG!$E$6,0)</f>
        <v>30000</v>
      </c>
      <c r="J430" s="329"/>
      <c r="K430" s="329">
        <f>VLOOKUP(B430,DONGIA,DG!$F$6,0)</f>
        <v>0</v>
      </c>
      <c r="L430" s="329">
        <f>VLOOKUP(B430,DONGIA,DG!$G$6,0)</f>
        <v>0</v>
      </c>
      <c r="M430" s="329">
        <f t="shared" si="77"/>
        <v>0</v>
      </c>
      <c r="N430" s="329">
        <f t="shared" si="78"/>
        <v>0</v>
      </c>
      <c r="O430" s="329">
        <f t="shared" si="79"/>
        <v>0</v>
      </c>
      <c r="P430" s="329">
        <f t="shared" si="80"/>
        <v>0</v>
      </c>
      <c r="Q430" s="329"/>
      <c r="S430" s="332">
        <f t="shared" si="72"/>
        <v>0.25</v>
      </c>
      <c r="T430" s="332">
        <f t="shared" si="74"/>
        <v>0</v>
      </c>
    </row>
    <row r="431" spans="1:20" hidden="1">
      <c r="A431" s="332" t="s">
        <v>477</v>
      </c>
      <c r="B431" s="332" t="s">
        <v>27</v>
      </c>
      <c r="C431" s="333">
        <f t="shared" si="76"/>
        <v>0</v>
      </c>
      <c r="D431" s="328"/>
      <c r="E431" s="328">
        <f>VLOOKUP(B431,DONGIA,DG!$B$6,0)</f>
        <v>0</v>
      </c>
      <c r="F431" s="329" t="str">
        <f>VLOOKUP(B431,DONGIA,DG!$C$6,0)</f>
        <v>Boulon 14x120+ 2 long đền vuông D16-50x50x3/Zn</v>
      </c>
      <c r="G431" s="328" t="str">
        <f>VLOOKUP(B431,DONGIA,DG!$D$6,0)</f>
        <v>bộ</v>
      </c>
      <c r="H431" s="329">
        <f>H427</f>
        <v>0</v>
      </c>
      <c r="I431" s="329">
        <f>VLOOKUP(B431,DONGIA,DG!$E$6,0)</f>
        <v>19000</v>
      </c>
      <c r="J431" s="329"/>
      <c r="K431" s="329">
        <f>VLOOKUP(B431,DONGIA,DG!$F$6,0)</f>
        <v>0</v>
      </c>
      <c r="L431" s="329">
        <f>VLOOKUP(B431,DONGIA,DG!$G$6,0)</f>
        <v>0</v>
      </c>
      <c r="M431" s="329">
        <f t="shared" si="77"/>
        <v>0</v>
      </c>
      <c r="N431" s="329">
        <f t="shared" si="78"/>
        <v>0</v>
      </c>
      <c r="O431" s="329">
        <f t="shared" si="79"/>
        <v>0</v>
      </c>
      <c r="P431" s="329">
        <f t="shared" si="80"/>
        <v>0</v>
      </c>
      <c r="Q431" s="329"/>
      <c r="S431" s="332">
        <f t="shared" si="72"/>
        <v>0.2</v>
      </c>
      <c r="T431" s="332">
        <f t="shared" si="74"/>
        <v>0</v>
      </c>
    </row>
    <row r="432" spans="1:20" hidden="1">
      <c r="A432" s="332" t="s">
        <v>477</v>
      </c>
      <c r="B432" s="332" t="s">
        <v>619</v>
      </c>
      <c r="C432" s="333">
        <f>IF(H432&lt;&gt;0,1,)</f>
        <v>0</v>
      </c>
      <c r="D432" s="328"/>
      <c r="E432" s="328" t="str">
        <f>VLOOKUP(B432,DONGIA,DG!$B$6,0)</f>
        <v>D2.6011</v>
      </c>
      <c r="F432" s="329" t="str">
        <f>VLOOKUP(B432,DONGIA,DG!$C$6,0)</f>
        <v>Lắp đà composite 800mm kép (KL &lt;=15kg, trụ BTLT, tính = 0.8 đà sắt)</v>
      </c>
      <c r="G432" s="328" t="str">
        <f>VLOOKUP(B432,DONGIA,DG!$D$6,0)</f>
        <v>bộ</v>
      </c>
      <c r="H432" s="329">
        <f>H428</f>
        <v>0</v>
      </c>
      <c r="I432" s="329">
        <f>VLOOKUP(B432,DONGIA,DG!$E$6,0)</f>
        <v>0</v>
      </c>
      <c r="J432" s="329"/>
      <c r="K432" s="329">
        <f>VLOOKUP(B432,DONGIA,DG!$F$6,0)</f>
        <v>134360</v>
      </c>
      <c r="L432" s="329">
        <f>VLOOKUP(B432,DONGIA,DG!$G$6,0)</f>
        <v>0</v>
      </c>
      <c r="M432" s="329">
        <f t="shared" si="77"/>
        <v>0</v>
      </c>
      <c r="N432" s="329">
        <f>$H432*J432</f>
        <v>0</v>
      </c>
      <c r="O432" s="329">
        <f>$H432*K432</f>
        <v>0</v>
      </c>
      <c r="P432" s="329">
        <f>$H432*L432</f>
        <v>0</v>
      </c>
      <c r="Q432" s="329"/>
      <c r="S432" s="332">
        <f>IFERROR(VLOOKUP(B432,DONGIA,$S$25,0),0)</f>
        <v>0</v>
      </c>
      <c r="T432" s="332">
        <f>H432*S432</f>
        <v>0</v>
      </c>
    </row>
    <row r="433" spans="1:20" hidden="1">
      <c r="A433" s="332" t="s">
        <v>477</v>
      </c>
      <c r="C433" s="333">
        <f t="shared" si="76"/>
        <v>0</v>
      </c>
      <c r="D433" s="372">
        <f>IF(H433&lt;&gt;0,D424+1,D424)</f>
        <v>0</v>
      </c>
      <c r="E433" s="372"/>
      <c r="F433" s="373" t="s">
        <v>1933</v>
      </c>
      <c r="G433" s="372" t="s">
        <v>138</v>
      </c>
      <c r="H433" s="372">
        <f>T1P2X375</f>
        <v>0</v>
      </c>
      <c r="I433" s="373"/>
      <c r="J433" s="373"/>
      <c r="K433" s="373"/>
      <c r="L433" s="373"/>
      <c r="M433" s="373"/>
      <c r="N433" s="373"/>
      <c r="O433" s="373"/>
      <c r="P433" s="373"/>
      <c r="Q433" s="373"/>
      <c r="S433" s="332">
        <f t="shared" si="72"/>
        <v>0</v>
      </c>
      <c r="T433" s="332">
        <f t="shared" si="74"/>
        <v>0</v>
      </c>
    </row>
    <row r="434" spans="1:20" s="361" customFormat="1" hidden="1">
      <c r="A434" s="361" t="s">
        <v>477</v>
      </c>
      <c r="C434" s="374">
        <f>C433</f>
        <v>0</v>
      </c>
      <c r="D434" s="350"/>
      <c r="E434" s="350"/>
      <c r="F434" s="351" t="s">
        <v>1902</v>
      </c>
      <c r="G434" s="350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S434" s="361">
        <f t="shared" si="72"/>
        <v>0</v>
      </c>
      <c r="T434" s="361">
        <f t="shared" si="74"/>
        <v>0</v>
      </c>
    </row>
    <row r="435" spans="1:20" hidden="1">
      <c r="A435" s="332" t="s">
        <v>477</v>
      </c>
      <c r="B435" s="332" t="s">
        <v>144</v>
      </c>
      <c r="C435" s="333">
        <f t="shared" ref="C435:C443" si="81">IF(H435&lt;&gt;0,1,)</f>
        <v>0</v>
      </c>
      <c r="D435" s="328"/>
      <c r="E435" s="328">
        <f>VLOOKUP(B435,DONGIA,DG!$B$6,0)</f>
        <v>0</v>
      </c>
      <c r="F435" s="329" t="str">
        <f>VLOOKUP(B435,DONGIA,DG!$C$6,0)&amp;" ("&amp;TDTR1P&amp;" mét/trạm)"</f>
        <v>Cáp đồng trần M25mm2 (54 mét/trạm)</v>
      </c>
      <c r="G435" s="328" t="str">
        <f>VLOOKUP(B435,DONGIA,DG!$D$6,0)</f>
        <v>kg</v>
      </c>
      <c r="H435" s="442">
        <f>H433*TDTR1P*0.224</f>
        <v>0</v>
      </c>
      <c r="I435" s="329">
        <f>VLOOKUP(B435,DONGIA,DG!$E$6,0)</f>
        <v>201380</v>
      </c>
      <c r="J435" s="329"/>
      <c r="K435" s="329">
        <f>VLOOKUP(B435,DONGIA,DG!$F$6,0)</f>
        <v>0</v>
      </c>
      <c r="L435" s="329">
        <f>VLOOKUP(B435,DONGIA,DG!$G$6,0)</f>
        <v>0</v>
      </c>
      <c r="M435" s="329">
        <f>$H435*I435</f>
        <v>0</v>
      </c>
      <c r="N435" s="329">
        <f t="shared" ref="N435:N442" si="82">$H435*J435</f>
        <v>0</v>
      </c>
      <c r="O435" s="329">
        <f t="shared" ref="O435:O442" si="83">$H435*K435</f>
        <v>0</v>
      </c>
      <c r="P435" s="329">
        <f t="shared" ref="P435:P442" si="84">$H435*L435</f>
        <v>0</v>
      </c>
      <c r="Q435" s="329"/>
      <c r="S435" s="332">
        <f t="shared" si="72"/>
        <v>1</v>
      </c>
      <c r="T435" s="332">
        <f t="shared" si="74"/>
        <v>0</v>
      </c>
    </row>
    <row r="436" spans="1:20" hidden="1">
      <c r="A436" s="332" t="s">
        <v>477</v>
      </c>
      <c r="B436" s="332" t="s">
        <v>278</v>
      </c>
      <c r="C436" s="333">
        <f t="shared" si="81"/>
        <v>0</v>
      </c>
      <c r="D436" s="328"/>
      <c r="E436" s="328">
        <f>VLOOKUP(B436,DONGIA,DG!$B$6,0)</f>
        <v>0</v>
      </c>
      <c r="F436" s="329" t="str">
        <f>VLOOKUP(B436,DONGIA,DG!$C$6,0)</f>
        <v>Cọc tiếp đất φ16 - 2,4m (mạ đồng 16µm)</v>
      </c>
      <c r="G436" s="328" t="str">
        <f>VLOOKUP(B436,DONGIA,DG!$D$6,0)</f>
        <v>cọc</v>
      </c>
      <c r="H436" s="329">
        <f>H433*9</f>
        <v>0</v>
      </c>
      <c r="I436" s="329">
        <f>VLOOKUP(B436,DONGIA,DG!$E$6,0)</f>
        <v>130000</v>
      </c>
      <c r="J436" s="329"/>
      <c r="K436" s="329">
        <f>VLOOKUP(B436,DONGIA,DG!$F$6,0)</f>
        <v>0</v>
      </c>
      <c r="L436" s="329">
        <f>VLOOKUP(B436,DONGIA,DG!$G$6,0)</f>
        <v>0</v>
      </c>
      <c r="M436" s="329">
        <f t="shared" ref="M436:M442" si="85">$H436*I436</f>
        <v>0</v>
      </c>
      <c r="N436" s="329">
        <f t="shared" si="82"/>
        <v>0</v>
      </c>
      <c r="O436" s="329">
        <f t="shared" si="83"/>
        <v>0</v>
      </c>
      <c r="P436" s="329">
        <f t="shared" si="84"/>
        <v>0</v>
      </c>
      <c r="Q436" s="329"/>
      <c r="S436" s="332">
        <f t="shared" si="72"/>
        <v>5.3</v>
      </c>
      <c r="T436" s="332">
        <f t="shared" si="74"/>
        <v>0</v>
      </c>
    </row>
    <row r="437" spans="1:20" hidden="1">
      <c r="A437" s="332" t="s">
        <v>477</v>
      </c>
      <c r="B437" s="332" t="s">
        <v>280</v>
      </c>
      <c r="C437" s="333">
        <f t="shared" si="81"/>
        <v>0</v>
      </c>
      <c r="D437" s="328"/>
      <c r="E437" s="328">
        <f>VLOOKUP(B437,DONGIA,DG!$B$6,0)</f>
        <v>0</v>
      </c>
      <c r="F437" s="329" t="str">
        <f>VLOOKUP(B437,DONGIA,DG!$C$6,0)</f>
        <v>Kẹp cọc tiếp địa</v>
      </c>
      <c r="G437" s="328" t="str">
        <f>VLOOKUP(B437,DONGIA,DG!$D$6,0)</f>
        <v>bộ</v>
      </c>
      <c r="H437" s="329">
        <f>H436</f>
        <v>0</v>
      </c>
      <c r="I437" s="329">
        <f>VLOOKUP(B437,DONGIA,DG!$E$6,0)</f>
        <v>25000</v>
      </c>
      <c r="J437" s="329"/>
      <c r="K437" s="329">
        <f>VLOOKUP(B437,DONGIA,DG!$F$6,0)</f>
        <v>0</v>
      </c>
      <c r="L437" s="329">
        <f>VLOOKUP(B437,DONGIA,DG!$G$6,0)</f>
        <v>0</v>
      </c>
      <c r="M437" s="329">
        <f t="shared" si="85"/>
        <v>0</v>
      </c>
      <c r="N437" s="329">
        <f t="shared" si="82"/>
        <v>0</v>
      </c>
      <c r="O437" s="329">
        <f t="shared" si="83"/>
        <v>0</v>
      </c>
      <c r="P437" s="329">
        <f t="shared" si="84"/>
        <v>0</v>
      </c>
      <c r="Q437" s="329"/>
      <c r="S437" s="332">
        <f t="shared" si="72"/>
        <v>0.05</v>
      </c>
      <c r="T437" s="332">
        <f t="shared" si="74"/>
        <v>0</v>
      </c>
    </row>
    <row r="438" spans="1:20" hidden="1">
      <c r="A438" s="332" t="s">
        <v>477</v>
      </c>
      <c r="B438" s="332" t="s">
        <v>1217</v>
      </c>
      <c r="C438" s="333">
        <f t="shared" si="81"/>
        <v>0</v>
      </c>
      <c r="D438" s="328"/>
      <c r="E438" s="328">
        <f>VLOOKUP(B438,DONGIA,DG!$B$6,0)</f>
        <v>0</v>
      </c>
      <c r="F438" s="329" t="str">
        <f>VLOOKUP(B438,DONGIA,DG!$C$6,0)</f>
        <v xml:space="preserve">Ốc xiết cáp cỡ 38mm2 </v>
      </c>
      <c r="G438" s="328" t="str">
        <f>VLOOKUP(B438,DONGIA,DG!$D$6,0)</f>
        <v>cái</v>
      </c>
      <c r="H438" s="329">
        <f>H433*6</f>
        <v>0</v>
      </c>
      <c r="I438" s="329">
        <f>VLOOKUP(B438,DONGIA,DG!$E$6,0)</f>
        <v>18000</v>
      </c>
      <c r="J438" s="329"/>
      <c r="K438" s="329">
        <f>VLOOKUP(B438,DONGIA,DG!$F$6,0)</f>
        <v>0</v>
      </c>
      <c r="L438" s="329">
        <f>VLOOKUP(B438,DONGIA,DG!$G$6,0)</f>
        <v>0</v>
      </c>
      <c r="M438" s="329">
        <f t="shared" si="85"/>
        <v>0</v>
      </c>
      <c r="N438" s="329">
        <f t="shared" si="82"/>
        <v>0</v>
      </c>
      <c r="O438" s="329">
        <f t="shared" si="83"/>
        <v>0</v>
      </c>
      <c r="P438" s="329">
        <f t="shared" si="84"/>
        <v>0</v>
      </c>
      <c r="Q438" s="329"/>
      <c r="S438" s="332">
        <f t="shared" si="72"/>
        <v>0</v>
      </c>
      <c r="T438" s="332">
        <f t="shared" si="74"/>
        <v>0</v>
      </c>
    </row>
    <row r="439" spans="1:20" hidden="1">
      <c r="A439" s="332" t="s">
        <v>477</v>
      </c>
      <c r="B439" s="332" t="s">
        <v>573</v>
      </c>
      <c r="C439" s="333">
        <f t="shared" si="81"/>
        <v>0</v>
      </c>
      <c r="D439" s="328"/>
      <c r="E439" s="328" t="str">
        <f>VLOOKUP(B439,DONGIA,DG!$B$6,0)</f>
        <v>T4.7001</v>
      </c>
      <c r="F439" s="329" t="str">
        <f>VLOOKUP(B439,DONGIA,DG!$C$6,0)</f>
        <v>Kéo dây tiếp địa trong TBA</v>
      </c>
      <c r="G439" s="328" t="str">
        <f>VLOOKUP(B439,DONGIA,DG!$D$6,0)</f>
        <v>mét</v>
      </c>
      <c r="H439" s="329">
        <f>TDTR1P*H433</f>
        <v>0</v>
      </c>
      <c r="I439" s="329">
        <f>VLOOKUP(B439,DONGIA,DG!$E$6,0)</f>
        <v>0</v>
      </c>
      <c r="J439" s="329"/>
      <c r="K439" s="329">
        <f>VLOOKUP(B439,DONGIA,DG!$F$6,0)</f>
        <v>6871</v>
      </c>
      <c r="L439" s="329">
        <f>VLOOKUP(B439,DONGIA,DG!$G$6,0)</f>
        <v>0</v>
      </c>
      <c r="M439" s="329">
        <f t="shared" si="85"/>
        <v>0</v>
      </c>
      <c r="N439" s="329">
        <f t="shared" si="82"/>
        <v>0</v>
      </c>
      <c r="O439" s="329">
        <f t="shared" si="83"/>
        <v>0</v>
      </c>
      <c r="P439" s="329">
        <f t="shared" si="84"/>
        <v>0</v>
      </c>
      <c r="Q439" s="329"/>
      <c r="S439" s="332">
        <f t="shared" si="72"/>
        <v>0</v>
      </c>
      <c r="T439" s="332">
        <f t="shared" si="74"/>
        <v>0</v>
      </c>
    </row>
    <row r="440" spans="1:20" hidden="1">
      <c r="A440" s="332" t="s">
        <v>477</v>
      </c>
      <c r="B440" s="332" t="s">
        <v>581</v>
      </c>
      <c r="C440" s="333">
        <f t="shared" si="81"/>
        <v>0</v>
      </c>
      <c r="D440" s="328"/>
      <c r="E440" s="328" t="str">
        <f>VLOOKUP(B440,DONGIA,DG!$B$6,0)</f>
        <v>D2.8103</v>
      </c>
      <c r="F440" s="329" t="str">
        <f>VLOOKUP(B440,DONGIA,DG!$C$6,0)</f>
        <v>Đóng cọc tiếp địa trong TBA (đất cấp 3)</v>
      </c>
      <c r="G440" s="328" t="str">
        <f>VLOOKUP(B440,DONGIA,DG!$D$6,0)</f>
        <v>cọc</v>
      </c>
      <c r="H440" s="329">
        <f>H436</f>
        <v>0</v>
      </c>
      <c r="I440" s="329">
        <f>VLOOKUP(B440,DONGIA,DG!$E$6,0)</f>
        <v>0</v>
      </c>
      <c r="J440" s="329"/>
      <c r="K440" s="329">
        <f>VLOOKUP(B440,DONGIA,DG!$F$6,0)</f>
        <v>76928</v>
      </c>
      <c r="L440" s="329">
        <f>VLOOKUP(B440,DONGIA,DG!$G$6,0)</f>
        <v>0</v>
      </c>
      <c r="M440" s="329">
        <f t="shared" si="85"/>
        <v>0</v>
      </c>
      <c r="N440" s="329">
        <f t="shared" si="82"/>
        <v>0</v>
      </c>
      <c r="O440" s="329">
        <f t="shared" si="83"/>
        <v>0</v>
      </c>
      <c r="P440" s="329">
        <f t="shared" si="84"/>
        <v>0</v>
      </c>
      <c r="Q440" s="329"/>
      <c r="S440" s="332">
        <f t="shared" si="72"/>
        <v>0</v>
      </c>
      <c r="T440" s="332">
        <f t="shared" si="74"/>
        <v>0</v>
      </c>
    </row>
    <row r="441" spans="1:20" hidden="1">
      <c r="A441" s="332" t="s">
        <v>477</v>
      </c>
      <c r="B441" s="332" t="s">
        <v>540</v>
      </c>
      <c r="C441" s="333">
        <f t="shared" si="81"/>
        <v>0</v>
      </c>
      <c r="D441" s="328"/>
      <c r="E441" s="363" t="str">
        <f>VLOOKUP(B441,DONGIA,DG!$B$6,0)</f>
        <v>AB.11513</v>
      </c>
      <c r="F441" s="362" t="str">
        <f>VLOOKUP(B441,DONGIA,DG!$C$6,0)&amp;" (ĐC hệ số 0,9)"</f>
        <v>Đào rãnh tiếp địa đất cấp 3 (ĐC hệ số 0,9)</v>
      </c>
      <c r="G441" s="363" t="str">
        <f>VLOOKUP(B441,DONGIA,DG!$D$6,0)</f>
        <v>m3</v>
      </c>
      <c r="H441" s="362">
        <f>H433*4.05</f>
        <v>0</v>
      </c>
      <c r="I441" s="362">
        <f>VLOOKUP(B441,DONGIA,DG!$E$6,0)</f>
        <v>0</v>
      </c>
      <c r="J441" s="362"/>
      <c r="K441" s="362">
        <f>ROUND(VLOOKUP(B441,DONGIA,DG!$F$6,0)/NCTBA,0)</f>
        <v>241580</v>
      </c>
      <c r="L441" s="362">
        <f>VLOOKUP(B441,DONGIA,DG!$G$6,0)</f>
        <v>0</v>
      </c>
      <c r="M441" s="362">
        <f t="shared" si="85"/>
        <v>0</v>
      </c>
      <c r="N441" s="362">
        <f t="shared" si="82"/>
        <v>0</v>
      </c>
      <c r="O441" s="362">
        <f t="shared" si="83"/>
        <v>0</v>
      </c>
      <c r="P441" s="362">
        <f t="shared" si="84"/>
        <v>0</v>
      </c>
      <c r="Q441" s="329"/>
      <c r="S441" s="332">
        <f t="shared" si="72"/>
        <v>0</v>
      </c>
      <c r="T441" s="332">
        <f t="shared" si="74"/>
        <v>0</v>
      </c>
    </row>
    <row r="442" spans="1:20" hidden="1">
      <c r="A442" s="332" t="s">
        <v>477</v>
      </c>
      <c r="B442" s="332" t="s">
        <v>547</v>
      </c>
      <c r="C442" s="333">
        <f t="shared" si="81"/>
        <v>0</v>
      </c>
      <c r="D442" s="328"/>
      <c r="E442" s="363" t="str">
        <f>VLOOKUP(B442,DONGIA,DG!$B$6,0)</f>
        <v>AB.65110</v>
      </c>
      <c r="F442" s="362" t="str">
        <f>VLOOKUP(B442,DONGIA,DG!$C$6,0)&amp;" (ĐC hệ số 0,9)"</f>
        <v>Đắp đất rãnh tiếp địa (K=0,85) (ĐC hệ số 0,9)</v>
      </c>
      <c r="G442" s="363" t="str">
        <f>VLOOKUP(B442,DONGIA,DG!$D$6,0)</f>
        <v>m3</v>
      </c>
      <c r="H442" s="362">
        <f>H441</f>
        <v>0</v>
      </c>
      <c r="I442" s="362">
        <f>VLOOKUP(B442,DONGIA,DG!$E$6,0)</f>
        <v>0</v>
      </c>
      <c r="J442" s="362"/>
      <c r="K442" s="362">
        <f>ROUND(VLOOKUP(B442,DONGIA,DG!$F$6,0)/NCTBA,0)</f>
        <v>16267</v>
      </c>
      <c r="L442" s="362">
        <f>VLOOKUP(B442,DONGIA,DG!$G$6,0)</f>
        <v>11176</v>
      </c>
      <c r="M442" s="362">
        <f t="shared" si="85"/>
        <v>0</v>
      </c>
      <c r="N442" s="362">
        <f t="shared" si="82"/>
        <v>0</v>
      </c>
      <c r="O442" s="362">
        <f t="shared" si="83"/>
        <v>0</v>
      </c>
      <c r="P442" s="362">
        <f t="shared" si="84"/>
        <v>0</v>
      </c>
      <c r="Q442" s="329"/>
      <c r="S442" s="332">
        <f t="shared" si="72"/>
        <v>0</v>
      </c>
      <c r="T442" s="332">
        <f t="shared" si="74"/>
        <v>0</v>
      </c>
    </row>
    <row r="443" spans="1:20" hidden="1">
      <c r="A443" s="332" t="s">
        <v>477</v>
      </c>
      <c r="C443" s="333">
        <f t="shared" si="81"/>
        <v>0</v>
      </c>
      <c r="D443" s="372">
        <f>IF(H443&lt;&gt;0,D433+1,D433)</f>
        <v>0</v>
      </c>
      <c r="E443" s="372"/>
      <c r="F443" s="373" t="s">
        <v>1934</v>
      </c>
      <c r="G443" s="372" t="s">
        <v>138</v>
      </c>
      <c r="H443" s="372">
        <f>T1P2X375</f>
        <v>0</v>
      </c>
      <c r="I443" s="373"/>
      <c r="J443" s="373"/>
      <c r="K443" s="373"/>
      <c r="L443" s="373"/>
      <c r="M443" s="373"/>
      <c r="N443" s="373"/>
      <c r="O443" s="373"/>
      <c r="P443" s="373"/>
      <c r="Q443" s="373"/>
      <c r="S443" s="332">
        <f t="shared" si="72"/>
        <v>0</v>
      </c>
      <c r="T443" s="332">
        <f t="shared" si="74"/>
        <v>0</v>
      </c>
    </row>
    <row r="444" spans="1:20" s="361" customFormat="1" hidden="1">
      <c r="A444" s="361" t="s">
        <v>477</v>
      </c>
      <c r="C444" s="374">
        <f>C443</f>
        <v>0</v>
      </c>
      <c r="D444" s="350"/>
      <c r="E444" s="350"/>
      <c r="F444" s="351" t="s">
        <v>1902</v>
      </c>
      <c r="G444" s="350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S444" s="361">
        <f t="shared" si="72"/>
        <v>0</v>
      </c>
      <c r="T444" s="361">
        <f t="shared" si="74"/>
        <v>0</v>
      </c>
    </row>
    <row r="445" spans="1:20" hidden="1">
      <c r="A445" s="332" t="s">
        <v>477</v>
      </c>
      <c r="B445" s="332" t="s">
        <v>989</v>
      </c>
      <c r="C445" s="333">
        <f>IF(H445&lt;&gt;0,1,)</f>
        <v>0</v>
      </c>
      <c r="D445" s="328"/>
      <c r="E445" s="328" t="str">
        <f>VLOOKUP(B445,DONGIA,DG!$B$6,0)</f>
        <v>T5.1001</v>
      </c>
      <c r="F445" s="329" t="str">
        <f>VLOOKUP(B445,DONGIA,DG!$C$6,0)</f>
        <v>Tủ trạm treo + khóa + boulon + Bakelit + Collier (1 pha)</v>
      </c>
      <c r="G445" s="328" t="str">
        <f>VLOOKUP(B445,DONGIA,DG!$D$6,0)</f>
        <v>bộ</v>
      </c>
      <c r="H445" s="329">
        <f>H443</f>
        <v>0</v>
      </c>
      <c r="I445" s="329">
        <f>VLOOKUP(B445,DONGIA,DG!$E$6,0)</f>
        <v>5446000</v>
      </c>
      <c r="J445" s="329"/>
      <c r="K445" s="329">
        <f>VLOOKUP(B445,DONGIA,DG!$F$6,0)</f>
        <v>645165</v>
      </c>
      <c r="L445" s="329">
        <f>VLOOKUP(B445,DONGIA,DG!$G$6,0)</f>
        <v>111154</v>
      </c>
      <c r="M445" s="329">
        <f>$H445*I445</f>
        <v>0</v>
      </c>
      <c r="N445" s="329">
        <f>$H445*J445</f>
        <v>0</v>
      </c>
      <c r="O445" s="329">
        <f>$H445*K445</f>
        <v>0</v>
      </c>
      <c r="P445" s="329">
        <f>$H445*L445</f>
        <v>0</v>
      </c>
      <c r="Q445" s="329"/>
      <c r="S445" s="332">
        <f t="shared" si="72"/>
        <v>45</v>
      </c>
      <c r="T445" s="332">
        <f t="shared" si="74"/>
        <v>0</v>
      </c>
    </row>
    <row r="446" spans="1:20" hidden="1">
      <c r="C446" s="333">
        <f>IF(H446&lt;&gt;0,1,)</f>
        <v>0</v>
      </c>
      <c r="D446" s="372">
        <f>IF(H446&lt;&gt;0,D443+1,D443)</f>
        <v>0</v>
      </c>
      <c r="E446" s="372"/>
      <c r="F446" s="373" t="s">
        <v>1935</v>
      </c>
      <c r="G446" s="372" t="s">
        <v>138</v>
      </c>
      <c r="H446" s="372">
        <f>T1P2X375</f>
        <v>0</v>
      </c>
      <c r="I446" s="373"/>
      <c r="J446" s="373"/>
      <c r="K446" s="373"/>
      <c r="L446" s="373"/>
      <c r="M446" s="373"/>
      <c r="N446" s="373"/>
      <c r="O446" s="373"/>
      <c r="P446" s="373"/>
      <c r="Q446" s="373"/>
      <c r="S446" s="332">
        <f t="shared" si="72"/>
        <v>0</v>
      </c>
      <c r="T446" s="332">
        <f t="shared" si="74"/>
        <v>0</v>
      </c>
    </row>
    <row r="447" spans="1:20" s="361" customFormat="1" hidden="1">
      <c r="C447" s="374">
        <f>C446</f>
        <v>0</v>
      </c>
      <c r="D447" s="350"/>
      <c r="E447" s="350"/>
      <c r="F447" s="351" t="s">
        <v>1902</v>
      </c>
      <c r="G447" s="350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S447" s="361">
        <f t="shared" si="72"/>
        <v>0</v>
      </c>
      <c r="T447" s="361">
        <f t="shared" si="74"/>
        <v>0</v>
      </c>
    </row>
    <row r="448" spans="1:20" hidden="1">
      <c r="B448" s="332" t="s">
        <v>1468</v>
      </c>
      <c r="C448" s="333">
        <f t="shared" ref="C448:C453" si="86">IF(H448&lt;&gt;0,1,)</f>
        <v>0</v>
      </c>
      <c r="D448" s="328"/>
      <c r="E448" s="328">
        <f>VLOOKUP(B448,DONGIA,DG!$B$6,0)</f>
        <v>0</v>
      </c>
      <c r="F448" s="329" t="str">
        <f>VLOOKUP(B448,DONGIA,DG!$C$6,0)</f>
        <v>Cáp 24KV C/XLPE/PVC 25mm2</v>
      </c>
      <c r="G448" s="328" t="str">
        <f>VLOOKUP(B448,DONGIA,DG!$D$6,0)</f>
        <v>mét</v>
      </c>
      <c r="H448" s="455">
        <f>H446*4.5</f>
        <v>0</v>
      </c>
      <c r="I448" s="329">
        <f>VLOOKUP(B448,DONGIA,DG!$E$6,0)</f>
        <v>87540</v>
      </c>
      <c r="J448" s="329"/>
      <c r="K448" s="329">
        <f>VLOOKUP(B448,DONGIA,DG!$F$6,0)</f>
        <v>0</v>
      </c>
      <c r="L448" s="329">
        <f>VLOOKUP(B448,DONGIA,DG!$G$6,0)</f>
        <v>0</v>
      </c>
      <c r="M448" s="329">
        <f t="shared" ref="M448:P452" si="87">$H448*I448</f>
        <v>0</v>
      </c>
      <c r="N448" s="329">
        <f t="shared" si="87"/>
        <v>0</v>
      </c>
      <c r="O448" s="329">
        <f t="shared" si="87"/>
        <v>0</v>
      </c>
      <c r="P448" s="329">
        <f t="shared" si="87"/>
        <v>0</v>
      </c>
      <c r="Q448" s="329"/>
      <c r="S448" s="332">
        <f t="shared" si="72"/>
        <v>0.75</v>
      </c>
      <c r="T448" s="332">
        <f t="shared" si="74"/>
        <v>0</v>
      </c>
    </row>
    <row r="449" spans="2:20" hidden="1">
      <c r="B449" s="332" t="s">
        <v>1507</v>
      </c>
      <c r="C449" s="333">
        <f t="shared" si="86"/>
        <v>0</v>
      </c>
      <c r="D449" s="328"/>
      <c r="E449" s="328"/>
      <c r="F449" s="329" t="str">
        <f>VLOOKUP(B449,DONGIA,DG!$C$6,0)</f>
        <v>Kẹp quai 4/0 (quai đồng 8mm)</v>
      </c>
      <c r="G449" s="328" t="str">
        <f>VLOOKUP(B449,DONGIA,DG!$D$6,0)</f>
        <v>cái</v>
      </c>
      <c r="H449" s="329">
        <f>H446</f>
        <v>0</v>
      </c>
      <c r="I449" s="329">
        <f>VLOOKUP(B449,DONGIA,DG!$E$6,0)</f>
        <v>145000</v>
      </c>
      <c r="J449" s="329"/>
      <c r="K449" s="329"/>
      <c r="L449" s="329">
        <f>VLOOKUP(B449,DONGIA,DG!$G$6,0)</f>
        <v>0</v>
      </c>
      <c r="M449" s="329">
        <f t="shared" si="87"/>
        <v>0</v>
      </c>
      <c r="N449" s="329">
        <f t="shared" si="87"/>
        <v>0</v>
      </c>
      <c r="O449" s="329">
        <f t="shared" si="87"/>
        <v>0</v>
      </c>
      <c r="P449" s="329">
        <f t="shared" si="87"/>
        <v>0</v>
      </c>
      <c r="Q449" s="329"/>
      <c r="S449" s="332">
        <f t="shared" si="72"/>
        <v>0.3</v>
      </c>
      <c r="T449" s="332">
        <f t="shared" si="74"/>
        <v>0</v>
      </c>
    </row>
    <row r="450" spans="2:20" hidden="1">
      <c r="B450" s="332" t="s">
        <v>1511</v>
      </c>
      <c r="C450" s="333">
        <f t="shared" si="86"/>
        <v>0</v>
      </c>
      <c r="D450" s="328"/>
      <c r="E450" s="328">
        <f>VLOOKUP(B450,DONGIA,DG!$B$6,0)</f>
        <v>0</v>
      </c>
      <c r="F450" s="329" t="str">
        <f>VLOOKUP(B450,DONGIA,DG!$C$6,0)</f>
        <v>Chụp cách điện kẹp quai</v>
      </c>
      <c r="G450" s="328" t="str">
        <f>VLOOKUP(B450,DONGIA,DG!$D$6,0)</f>
        <v>cái</v>
      </c>
      <c r="H450" s="329">
        <f>H449</f>
        <v>0</v>
      </c>
      <c r="I450" s="329">
        <f>VLOOKUP(B450,DONGIA,DG!$E$6,0)</f>
        <v>122000</v>
      </c>
      <c r="J450" s="329"/>
      <c r="K450" s="329">
        <f>VLOOKUP(B450,DONGIA,DG!$F$6,0)</f>
        <v>0</v>
      </c>
      <c r="L450" s="329">
        <f>VLOOKUP(B450,DONGIA,DG!$G$6,0)</f>
        <v>0</v>
      </c>
      <c r="M450" s="329">
        <f t="shared" si="87"/>
        <v>0</v>
      </c>
      <c r="N450" s="329">
        <f t="shared" si="87"/>
        <v>0</v>
      </c>
      <c r="O450" s="329">
        <f t="shared" si="87"/>
        <v>0</v>
      </c>
      <c r="P450" s="329">
        <f t="shared" si="87"/>
        <v>0</v>
      </c>
      <c r="Q450" s="329"/>
      <c r="S450" s="332">
        <f t="shared" si="72"/>
        <v>0.2</v>
      </c>
      <c r="T450" s="332">
        <f t="shared" si="74"/>
        <v>0</v>
      </c>
    </row>
    <row r="451" spans="2:20" hidden="1">
      <c r="B451" s="332" t="s">
        <v>1508</v>
      </c>
      <c r="C451" s="333">
        <f t="shared" si="86"/>
        <v>0</v>
      </c>
      <c r="D451" s="328"/>
      <c r="E451" s="328"/>
      <c r="F451" s="329" t="str">
        <f>VLOOKUP(B451,DONGIA,DG!$C$6,0)</f>
        <v>Kẹp hotline 2/0</v>
      </c>
      <c r="G451" s="328" t="str">
        <f>VLOOKUP(B451,DONGIA,DG!$D$6,0)</f>
        <v>cái</v>
      </c>
      <c r="H451" s="329">
        <f>H449</f>
        <v>0</v>
      </c>
      <c r="I451" s="329">
        <f>VLOOKUP(B451,DONGIA,DG!$E$6,0)</f>
        <v>68000</v>
      </c>
      <c r="J451" s="329"/>
      <c r="K451" s="329"/>
      <c r="L451" s="329">
        <f>VLOOKUP(B451,DONGIA,DG!$G$6,0)</f>
        <v>0</v>
      </c>
      <c r="M451" s="329">
        <f t="shared" si="87"/>
        <v>0</v>
      </c>
      <c r="N451" s="329">
        <f t="shared" si="87"/>
        <v>0</v>
      </c>
      <c r="O451" s="329">
        <f t="shared" si="87"/>
        <v>0</v>
      </c>
      <c r="P451" s="329">
        <f t="shared" si="87"/>
        <v>0</v>
      </c>
      <c r="Q451" s="329"/>
      <c r="S451" s="332">
        <f t="shared" si="72"/>
        <v>0.1</v>
      </c>
      <c r="T451" s="332">
        <f t="shared" si="74"/>
        <v>0</v>
      </c>
    </row>
    <row r="452" spans="2:20" hidden="1">
      <c r="B452" s="332" t="s">
        <v>1939</v>
      </c>
      <c r="C452" s="333">
        <f t="shared" si="86"/>
        <v>0</v>
      </c>
      <c r="D452" s="328"/>
      <c r="E452" s="328" t="str">
        <f>VLOOKUP(B452,DONGIA,DG!$B$6,0)</f>
        <v>T4.4201</v>
      </c>
      <c r="F452" s="329" t="str">
        <f>VLOOKUP(B452,DONGIA,DG!$C$6,0)</f>
        <v>Lắp cáp đồng xuống thiết bị D ≤ 95mm2</v>
      </c>
      <c r="G452" s="328" t="str">
        <f>VLOOKUP(B452,DONGIA,DG!$D$6,0)</f>
        <v>m</v>
      </c>
      <c r="H452" s="455">
        <f>H448</f>
        <v>0</v>
      </c>
      <c r="I452" s="329">
        <f>VLOOKUP(B452,DONGIA,DG!$E$6,0)</f>
        <v>0</v>
      </c>
      <c r="J452" s="329"/>
      <c r="K452" s="329">
        <f>VLOOKUP(B452,DONGIA,DG!$F$6,0)</f>
        <v>11847</v>
      </c>
      <c r="L452" s="329">
        <f>VLOOKUP(B452,DONGIA,DG!$G$6,0)</f>
        <v>0</v>
      </c>
      <c r="M452" s="329">
        <f t="shared" si="87"/>
        <v>0</v>
      </c>
      <c r="N452" s="329">
        <f t="shared" si="87"/>
        <v>0</v>
      </c>
      <c r="O452" s="329">
        <f t="shared" si="87"/>
        <v>0</v>
      </c>
      <c r="P452" s="329">
        <f t="shared" si="87"/>
        <v>0</v>
      </c>
      <c r="Q452" s="329"/>
      <c r="S452" s="332">
        <f t="shared" si="72"/>
        <v>0</v>
      </c>
      <c r="T452" s="332">
        <f t="shared" si="74"/>
        <v>0</v>
      </c>
    </row>
    <row r="453" spans="2:20" hidden="1">
      <c r="C453" s="333">
        <f t="shared" si="86"/>
        <v>0</v>
      </c>
      <c r="D453" s="372">
        <f>IF(H453&lt;&gt;0,D446+1,D446)</f>
        <v>0</v>
      </c>
      <c r="E453" s="372"/>
      <c r="F453" s="373" t="s">
        <v>1936</v>
      </c>
      <c r="G453" s="372" t="s">
        <v>138</v>
      </c>
      <c r="H453" s="372">
        <f>T1P2X375</f>
        <v>0</v>
      </c>
      <c r="I453" s="373"/>
      <c r="J453" s="373"/>
      <c r="K453" s="373"/>
      <c r="L453" s="373"/>
      <c r="M453" s="373"/>
      <c r="N453" s="373"/>
      <c r="O453" s="373"/>
      <c r="P453" s="373"/>
      <c r="Q453" s="373"/>
      <c r="S453" s="332">
        <f t="shared" si="72"/>
        <v>0</v>
      </c>
      <c r="T453" s="332">
        <f t="shared" si="74"/>
        <v>0</v>
      </c>
    </row>
    <row r="454" spans="2:20" s="361" customFormat="1" hidden="1">
      <c r="C454" s="374">
        <f>C453</f>
        <v>0</v>
      </c>
      <c r="D454" s="350"/>
      <c r="E454" s="350"/>
      <c r="F454" s="351" t="s">
        <v>1902</v>
      </c>
      <c r="G454" s="350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S454" s="361">
        <f t="shared" si="72"/>
        <v>0</v>
      </c>
      <c r="T454" s="361">
        <f t="shared" si="74"/>
        <v>0</v>
      </c>
    </row>
    <row r="455" spans="2:20" hidden="1">
      <c r="B455" s="332" t="s">
        <v>1911</v>
      </c>
      <c r="C455" s="333">
        <f t="shared" ref="C455:C478" si="88">IF(H455&lt;&gt;0,1,)</f>
        <v>0</v>
      </c>
      <c r="D455" s="328"/>
      <c r="E455" s="328">
        <f>VLOOKUP(B455,DONGIA,DG!$B$6,0)</f>
        <v>0</v>
      </c>
      <c r="F455" s="329" t="str">
        <f>VLOOKUP(B455,DONGIA,DG!$C$6,0)</f>
        <v>Cáp đồng bọc CV150</v>
      </c>
      <c r="G455" s="328" t="str">
        <f>VLOOKUP(B455,DONGIA,DG!$D$6,0)</f>
        <v>mét</v>
      </c>
      <c r="H455" s="455">
        <f>H453*2*9.5</f>
        <v>0</v>
      </c>
      <c r="I455" s="329">
        <f>VLOOKUP(B455,DONGIA,DG!$E$6,0)</f>
        <v>315870</v>
      </c>
      <c r="J455" s="329"/>
      <c r="K455" s="329">
        <f>VLOOKUP(B455,DONGIA,DG!$F$6,0)</f>
        <v>0</v>
      </c>
      <c r="L455" s="329">
        <f>VLOOKUP(B455,DONGIA,DG!$G$6,0)</f>
        <v>0</v>
      </c>
      <c r="M455" s="329">
        <f>$H455*I455</f>
        <v>0</v>
      </c>
      <c r="N455" s="329">
        <f t="shared" ref="N455:N476" si="89">$H455*J455</f>
        <v>0</v>
      </c>
      <c r="O455" s="329">
        <f t="shared" ref="O455:O476" si="90">$H455*K455</f>
        <v>0</v>
      </c>
      <c r="P455" s="329">
        <f t="shared" ref="P455:P476" si="91">$H455*L455</f>
        <v>0</v>
      </c>
      <c r="Q455" s="329"/>
      <c r="S455" s="332">
        <f t="shared" si="72"/>
        <v>1.5980000000000001</v>
      </c>
      <c r="T455" s="332">
        <f t="shared" si="74"/>
        <v>0</v>
      </c>
    </row>
    <row r="456" spans="2:20" hidden="1">
      <c r="B456" s="332" t="s">
        <v>1742</v>
      </c>
      <c r="C456" s="333">
        <f t="shared" si="88"/>
        <v>0</v>
      </c>
      <c r="D456" s="328"/>
      <c r="E456" s="328">
        <f>VLOOKUP(B456,DONGIA,DG!$B$6,0)</f>
        <v>0</v>
      </c>
      <c r="F456" s="329" t="str">
        <f>VLOOKUP(B456,DONGIA,DG!$C$6,0)</f>
        <v>Cáp đồng bọc CV95</v>
      </c>
      <c r="G456" s="328" t="str">
        <f>VLOOKUP(B456,DONGIA,DG!$D$6,0)</f>
        <v>mét</v>
      </c>
      <c r="H456" s="455">
        <f>H453*(9.5+1.5)</f>
        <v>0</v>
      </c>
      <c r="I456" s="329">
        <f>VLOOKUP(B456,DONGIA,DG!$E$6,0)</f>
        <v>196130</v>
      </c>
      <c r="J456" s="329"/>
      <c r="K456" s="329">
        <f>VLOOKUP(B456,DONGIA,DG!$F$6,0)</f>
        <v>0</v>
      </c>
      <c r="L456" s="329">
        <f>VLOOKUP(B456,DONGIA,DG!$G$6,0)</f>
        <v>0</v>
      </c>
      <c r="M456" s="329">
        <f t="shared" ref="M456:M476" si="92">$H456*I456</f>
        <v>0</v>
      </c>
      <c r="N456" s="329">
        <f t="shared" si="89"/>
        <v>0</v>
      </c>
      <c r="O456" s="329">
        <f t="shared" si="90"/>
        <v>0</v>
      </c>
      <c r="P456" s="329">
        <f t="shared" si="91"/>
        <v>0</v>
      </c>
      <c r="Q456" s="329"/>
      <c r="S456" s="332">
        <f t="shared" si="72"/>
        <v>1.008</v>
      </c>
      <c r="T456" s="332">
        <f t="shared" si="74"/>
        <v>0</v>
      </c>
    </row>
    <row r="457" spans="2:20" hidden="1">
      <c r="B457" s="332" t="s">
        <v>1937</v>
      </c>
      <c r="C457" s="333">
        <f t="shared" si="88"/>
        <v>0</v>
      </c>
      <c r="D457" s="328"/>
      <c r="E457" s="328">
        <f>VLOOKUP(B457,DONGIA,DG!$B$6,0)</f>
        <v>0</v>
      </c>
      <c r="F457" s="329" t="str">
        <f>VLOOKUP(B457,DONGIA,DG!$C$6,0)</f>
        <v>Cáp điều khiển CVV 4x4,0mm2</v>
      </c>
      <c r="G457" s="328" t="str">
        <f>VLOOKUP(B457,DONGIA,DG!$D$6,0)</f>
        <v>mét</v>
      </c>
      <c r="H457" s="329">
        <f>H453*3</f>
        <v>0</v>
      </c>
      <c r="I457" s="329">
        <f>VLOOKUP(B457,DONGIA,DG!$E$6,0)</f>
        <v>52400</v>
      </c>
      <c r="J457" s="329"/>
      <c r="K457" s="329">
        <f>VLOOKUP(B457,DONGIA,DG!$F$6,0)</f>
        <v>0</v>
      </c>
      <c r="L457" s="329">
        <f>VLOOKUP(B457,DONGIA,DG!$G$6,0)</f>
        <v>0</v>
      </c>
      <c r="M457" s="329">
        <f t="shared" si="92"/>
        <v>0</v>
      </c>
      <c r="N457" s="329">
        <f t="shared" si="89"/>
        <v>0</v>
      </c>
      <c r="O457" s="329">
        <f t="shared" si="90"/>
        <v>0</v>
      </c>
      <c r="P457" s="329">
        <f t="shared" si="91"/>
        <v>0</v>
      </c>
      <c r="Q457" s="329"/>
      <c r="S457" s="332">
        <f t="shared" si="72"/>
        <v>3.024</v>
      </c>
      <c r="T457" s="332">
        <f t="shared" si="74"/>
        <v>0</v>
      </c>
    </row>
    <row r="458" spans="2:20" hidden="1">
      <c r="B458" s="332" t="s">
        <v>1122</v>
      </c>
      <c r="C458" s="333">
        <f t="shared" si="88"/>
        <v>0</v>
      </c>
      <c r="D458" s="328"/>
      <c r="E458" s="328"/>
      <c r="F458" s="329" t="str">
        <f>VLOOKUP(B458,DONGIA,DG!$C$6,0)</f>
        <v>Đầu cosse ép Cu 150mm2</v>
      </c>
      <c r="G458" s="328" t="str">
        <f>VLOOKUP(B458,DONGIA,DG!$D$6,0)</f>
        <v>cái</v>
      </c>
      <c r="H458" s="329">
        <f>H453*2</f>
        <v>0</v>
      </c>
      <c r="I458" s="329">
        <f>VLOOKUP(B458,DONGIA,DG!$E$6,0)</f>
        <v>150000</v>
      </c>
      <c r="J458" s="329"/>
      <c r="K458" s="329"/>
      <c r="L458" s="329"/>
      <c r="M458" s="329">
        <f t="shared" si="92"/>
        <v>0</v>
      </c>
      <c r="N458" s="329">
        <f t="shared" si="89"/>
        <v>0</v>
      </c>
      <c r="O458" s="329">
        <f t="shared" si="90"/>
        <v>0</v>
      </c>
      <c r="P458" s="329">
        <f t="shared" si="91"/>
        <v>0</v>
      </c>
      <c r="Q458" s="329"/>
      <c r="S458" s="332">
        <f t="shared" si="72"/>
        <v>0.2</v>
      </c>
      <c r="T458" s="332">
        <f t="shared" si="74"/>
        <v>0</v>
      </c>
    </row>
    <row r="459" spans="2:20" hidden="1">
      <c r="B459" s="332" t="s">
        <v>1116</v>
      </c>
      <c r="C459" s="333">
        <f t="shared" si="88"/>
        <v>0</v>
      </c>
      <c r="D459" s="328"/>
      <c r="E459" s="328"/>
      <c r="F459" s="329" t="str">
        <f>VLOOKUP(B459,DONGIA,DG!$C$6,0)</f>
        <v>Đầu cosse ép Cu 95mm2</v>
      </c>
      <c r="G459" s="328" t="str">
        <f>VLOOKUP(B459,DONGIA,DG!$D$6,0)</f>
        <v>cái</v>
      </c>
      <c r="H459" s="329">
        <f>H453</f>
        <v>0</v>
      </c>
      <c r="I459" s="329">
        <f>VLOOKUP(B459,DONGIA,DG!$E$6,0)</f>
        <v>45000</v>
      </c>
      <c r="J459" s="329"/>
      <c r="K459" s="329"/>
      <c r="L459" s="329"/>
      <c r="M459" s="329">
        <f t="shared" si="92"/>
        <v>0</v>
      </c>
      <c r="N459" s="329">
        <f t="shared" si="89"/>
        <v>0</v>
      </c>
      <c r="O459" s="329">
        <f t="shared" si="90"/>
        <v>0</v>
      </c>
      <c r="P459" s="329">
        <f t="shared" si="91"/>
        <v>0</v>
      </c>
      <c r="Q459" s="329"/>
      <c r="S459" s="332">
        <f t="shared" si="72"/>
        <v>0.2</v>
      </c>
      <c r="T459" s="332">
        <f t="shared" si="74"/>
        <v>0</v>
      </c>
    </row>
    <row r="460" spans="2:20" hidden="1">
      <c r="B460" s="332" t="s">
        <v>1153</v>
      </c>
      <c r="C460" s="333">
        <f t="shared" si="88"/>
        <v>0</v>
      </c>
      <c r="D460" s="328"/>
      <c r="E460" s="328">
        <f>VLOOKUP(B460,DONGIA,DG!$B$6,0)</f>
        <v>0</v>
      </c>
      <c r="F460" s="329" t="str">
        <f>VLOOKUP(B460,DONGIA,DG!$C$6,0)</f>
        <v>Chụp đầu cosse  150mm2</v>
      </c>
      <c r="G460" s="328" t="str">
        <f>VLOOKUP(B460,DONGIA,DG!$D$6,0)</f>
        <v>cái</v>
      </c>
      <c r="H460" s="329">
        <f>H458</f>
        <v>0</v>
      </c>
      <c r="I460" s="329">
        <f>VLOOKUP(B460,DONGIA,DG!$E$6,0)</f>
        <v>4000</v>
      </c>
      <c r="J460" s="329"/>
      <c r="K460" s="329">
        <f>VLOOKUP(B460,DONGIA,DG!$F$6,0)</f>
        <v>0</v>
      </c>
      <c r="L460" s="329">
        <f>VLOOKUP(B460,DONGIA,DG!$G$6,0)</f>
        <v>0</v>
      </c>
      <c r="M460" s="329">
        <f t="shared" si="92"/>
        <v>0</v>
      </c>
      <c r="N460" s="329">
        <f t="shared" si="89"/>
        <v>0</v>
      </c>
      <c r="O460" s="329">
        <f t="shared" si="90"/>
        <v>0</v>
      </c>
      <c r="P460" s="329">
        <f t="shared" si="91"/>
        <v>0</v>
      </c>
      <c r="Q460" s="329"/>
      <c r="S460" s="332">
        <f t="shared" si="72"/>
        <v>0</v>
      </c>
      <c r="T460" s="332">
        <f t="shared" si="74"/>
        <v>0</v>
      </c>
    </row>
    <row r="461" spans="2:20" hidden="1">
      <c r="B461" s="332" t="s">
        <v>1149</v>
      </c>
      <c r="C461" s="333">
        <f t="shared" si="88"/>
        <v>0</v>
      </c>
      <c r="D461" s="328"/>
      <c r="E461" s="328">
        <f>VLOOKUP(B461,DONGIA,DG!$B$6,0)</f>
        <v>0</v>
      </c>
      <c r="F461" s="329" t="str">
        <f>VLOOKUP(B461,DONGIA,DG!$C$6,0)</f>
        <v>Chụp đầu cosse  95mm2</v>
      </c>
      <c r="G461" s="328" t="str">
        <f>VLOOKUP(B461,DONGIA,DG!$D$6,0)</f>
        <v>cái</v>
      </c>
      <c r="H461" s="329">
        <f>H459</f>
        <v>0</v>
      </c>
      <c r="I461" s="329">
        <f>VLOOKUP(B461,DONGIA,DG!$E$6,0)</f>
        <v>3000</v>
      </c>
      <c r="J461" s="329"/>
      <c r="K461" s="329">
        <f>VLOOKUP(B461,DONGIA,DG!$F$6,0)</f>
        <v>0</v>
      </c>
      <c r="L461" s="329">
        <f>VLOOKUP(B461,DONGIA,DG!$G$6,0)</f>
        <v>0</v>
      </c>
      <c r="M461" s="329">
        <f t="shared" si="92"/>
        <v>0</v>
      </c>
      <c r="N461" s="329">
        <f t="shared" si="89"/>
        <v>0</v>
      </c>
      <c r="O461" s="329">
        <f t="shared" si="90"/>
        <v>0</v>
      </c>
      <c r="P461" s="329">
        <f t="shared" si="91"/>
        <v>0</v>
      </c>
      <c r="Q461" s="329"/>
      <c r="S461" s="332">
        <f t="shared" si="72"/>
        <v>0</v>
      </c>
      <c r="T461" s="332">
        <f t="shared" si="74"/>
        <v>0</v>
      </c>
    </row>
    <row r="462" spans="2:20" hidden="1">
      <c r="B462" s="332" t="s">
        <v>1175</v>
      </c>
      <c r="C462" s="333">
        <f t="shared" si="88"/>
        <v>0</v>
      </c>
      <c r="D462" s="328"/>
      <c r="E462" s="328">
        <f>VLOOKUP(B462,DONGIA,DG!$B$6,0)</f>
        <v>0</v>
      </c>
      <c r="F462" s="329" t="str">
        <f>VLOOKUP(B462,DONGIA,DG!$C$6,0)</f>
        <v xml:space="preserve">Ống PVC D114x4,9mm </v>
      </c>
      <c r="G462" s="328" t="str">
        <f>VLOOKUP(B462,DONGIA,DG!$D$6,0)</f>
        <v>m</v>
      </c>
      <c r="H462" s="329">
        <f>H453*6</f>
        <v>0</v>
      </c>
      <c r="I462" s="329">
        <f>VLOOKUP(B462,DONGIA,DG!$E$6,0)</f>
        <v>102000</v>
      </c>
      <c r="J462" s="329"/>
      <c r="K462" s="329">
        <f>VLOOKUP(B462,DONGIA,DG!$F$6,0)</f>
        <v>0</v>
      </c>
      <c r="L462" s="329">
        <f>VLOOKUP(B462,DONGIA,DG!$G$6,0)</f>
        <v>0</v>
      </c>
      <c r="M462" s="329">
        <f t="shared" si="92"/>
        <v>0</v>
      </c>
      <c r="N462" s="329">
        <f t="shared" si="89"/>
        <v>0</v>
      </c>
      <c r="O462" s="329">
        <f t="shared" si="90"/>
        <v>0</v>
      </c>
      <c r="P462" s="329">
        <f t="shared" si="91"/>
        <v>0</v>
      </c>
      <c r="Q462" s="329"/>
      <c r="S462" s="332">
        <f t="shared" si="72"/>
        <v>2</v>
      </c>
      <c r="T462" s="332">
        <f t="shared" si="74"/>
        <v>0</v>
      </c>
    </row>
    <row r="463" spans="2:20" hidden="1">
      <c r="B463" s="332" t="s">
        <v>456</v>
      </c>
      <c r="C463" s="333">
        <f t="shared" si="88"/>
        <v>0</v>
      </c>
      <c r="D463" s="328"/>
      <c r="E463" s="328">
        <f>VLOOKUP(B463,DONGIA,DG!$B$6,0)</f>
        <v>0</v>
      </c>
      <c r="F463" s="329" t="str">
        <f>VLOOKUP(B463,DONGIA,DG!$C$6,0)&amp;" (CD-230)"</f>
        <v>Cổ dê kẹp ống PVC φ 114 (có giá nới) (CD-230)</v>
      </c>
      <c r="G463" s="328" t="str">
        <f>VLOOKUP(B463,DONGIA,DG!$D$6,0)</f>
        <v>bộ</v>
      </c>
      <c r="H463" s="329">
        <f>H453</f>
        <v>0</v>
      </c>
      <c r="I463" s="329">
        <f>VLOOKUP(B463,DONGIA,DG!$E$6,0)</f>
        <v>68000</v>
      </c>
      <c r="J463" s="329"/>
      <c r="K463" s="329">
        <f>VLOOKUP(B463,DONGIA,DG!$F$6,0)</f>
        <v>0</v>
      </c>
      <c r="L463" s="329">
        <f>VLOOKUP(B463,DONGIA,DG!$G$6,0)</f>
        <v>0</v>
      </c>
      <c r="M463" s="329">
        <f t="shared" si="92"/>
        <v>0</v>
      </c>
      <c r="N463" s="329">
        <f t="shared" si="89"/>
        <v>0</v>
      </c>
      <c r="O463" s="329">
        <f t="shared" si="90"/>
        <v>0</v>
      </c>
      <c r="P463" s="329">
        <f t="shared" si="91"/>
        <v>0</v>
      </c>
      <c r="Q463" s="329"/>
      <c r="S463" s="332">
        <f t="shared" si="72"/>
        <v>1.5</v>
      </c>
      <c r="T463" s="332">
        <f t="shared" si="74"/>
        <v>0</v>
      </c>
    </row>
    <row r="464" spans="2:20" hidden="1">
      <c r="B464" s="332" t="s">
        <v>456</v>
      </c>
      <c r="C464" s="333">
        <f t="shared" si="88"/>
        <v>0</v>
      </c>
      <c r="D464" s="328"/>
      <c r="E464" s="328">
        <f>VLOOKUP(B464,DONGIA,DG!$B$6,0)</f>
        <v>0</v>
      </c>
      <c r="F464" s="329" t="str">
        <f>VLOOKUP(B464,DONGIA,DG!$C$6,0)&amp;" (CD-250)"</f>
        <v>Cổ dê kẹp ống PVC φ 114 (có giá nới) (CD-250)</v>
      </c>
      <c r="G464" s="328" t="str">
        <f>VLOOKUP(B464,DONGIA,DG!$D$6,0)</f>
        <v>bộ</v>
      </c>
      <c r="H464" s="329">
        <f>H453</f>
        <v>0</v>
      </c>
      <c r="I464" s="329">
        <f>VLOOKUP(B464,DONGIA,DG!$E$6,0)</f>
        <v>68000</v>
      </c>
      <c r="J464" s="329"/>
      <c r="K464" s="329">
        <f>VLOOKUP(B464,DONGIA,DG!$F$6,0)</f>
        <v>0</v>
      </c>
      <c r="L464" s="329">
        <f>VLOOKUP(B464,DONGIA,DG!$G$6,0)</f>
        <v>0</v>
      </c>
      <c r="M464" s="329">
        <f t="shared" si="92"/>
        <v>0</v>
      </c>
      <c r="N464" s="329">
        <f t="shared" si="89"/>
        <v>0</v>
      </c>
      <c r="O464" s="329">
        <f t="shared" si="90"/>
        <v>0</v>
      </c>
      <c r="P464" s="329">
        <f t="shared" si="91"/>
        <v>0</v>
      </c>
      <c r="Q464" s="329"/>
      <c r="S464" s="332">
        <f t="shared" si="72"/>
        <v>1.5</v>
      </c>
      <c r="T464" s="332">
        <f t="shared" si="74"/>
        <v>0</v>
      </c>
    </row>
    <row r="465" spans="2:20" hidden="1">
      <c r="B465" s="332" t="s">
        <v>456</v>
      </c>
      <c r="C465" s="333">
        <f t="shared" si="88"/>
        <v>0</v>
      </c>
      <c r="D465" s="328"/>
      <c r="E465" s="328">
        <f>VLOOKUP(B465,DONGIA,DG!$B$6,0)</f>
        <v>0</v>
      </c>
      <c r="F465" s="329" t="str">
        <f>VLOOKUP(B465,DONGIA,DG!$C$6,0)&amp;" (CD-280)"</f>
        <v>Cổ dê kẹp ống PVC φ 114 (có giá nới) (CD-280)</v>
      </c>
      <c r="G465" s="328" t="str">
        <f>VLOOKUP(B465,DONGIA,DG!$D$6,0)</f>
        <v>bộ</v>
      </c>
      <c r="H465" s="329">
        <f>H453</f>
        <v>0</v>
      </c>
      <c r="I465" s="329">
        <f>VLOOKUP(B465,DONGIA,DG!$E$6,0)</f>
        <v>68000</v>
      </c>
      <c r="J465" s="329"/>
      <c r="K465" s="329">
        <f>VLOOKUP(B465,DONGIA,DG!$F$6,0)</f>
        <v>0</v>
      </c>
      <c r="L465" s="329">
        <f>VLOOKUP(B465,DONGIA,DG!$G$6,0)</f>
        <v>0</v>
      </c>
      <c r="M465" s="329">
        <f t="shared" si="92"/>
        <v>0</v>
      </c>
      <c r="N465" s="329">
        <f t="shared" si="89"/>
        <v>0</v>
      </c>
      <c r="O465" s="329">
        <f t="shared" si="90"/>
        <v>0</v>
      </c>
      <c r="P465" s="329">
        <f t="shared" si="91"/>
        <v>0</v>
      </c>
      <c r="Q465" s="329"/>
      <c r="S465" s="332">
        <f t="shared" si="72"/>
        <v>1.5</v>
      </c>
      <c r="T465" s="332">
        <f t="shared" si="74"/>
        <v>0</v>
      </c>
    </row>
    <row r="466" spans="2:20" hidden="1">
      <c r="B466" s="332" t="s">
        <v>2957</v>
      </c>
      <c r="C466" s="333">
        <f t="shared" si="88"/>
        <v>0</v>
      </c>
      <c r="D466" s="328"/>
      <c r="E466" s="328">
        <f>VLOOKUP(B466,DONGIA,DG!$B$6,0)</f>
        <v>0</v>
      </c>
      <c r="F466" s="329" t="str">
        <f>VLOOKUP(B466,DONGIA,DG!$C$6,0)</f>
        <v>Co  90 độ PVC 114 (Loại dày)</v>
      </c>
      <c r="G466" s="328" t="str">
        <f>VLOOKUP(B466,DONGIA,DG!$D$6,0)</f>
        <v>cái</v>
      </c>
      <c r="H466" s="329">
        <f>H453</f>
        <v>0</v>
      </c>
      <c r="I466" s="329">
        <f>VLOOKUP(B466,DONGIA,DG!$E$6,0)</f>
        <v>104800</v>
      </c>
      <c r="J466" s="329"/>
      <c r="K466" s="329">
        <f>VLOOKUP(B466,DONGIA,DG!$F$6,0)</f>
        <v>0</v>
      </c>
      <c r="L466" s="329">
        <f>VLOOKUP(B466,DONGIA,DG!$G$6,0)</f>
        <v>0</v>
      </c>
      <c r="M466" s="329">
        <f t="shared" si="92"/>
        <v>0</v>
      </c>
      <c r="N466" s="329">
        <f t="shared" si="89"/>
        <v>0</v>
      </c>
      <c r="O466" s="329">
        <f t="shared" si="90"/>
        <v>0</v>
      </c>
      <c r="P466" s="329">
        <f t="shared" si="91"/>
        <v>0</v>
      </c>
      <c r="Q466" s="329"/>
      <c r="S466" s="332">
        <f t="shared" si="72"/>
        <v>0</v>
      </c>
      <c r="T466" s="332">
        <f t="shared" si="74"/>
        <v>0</v>
      </c>
    </row>
    <row r="467" spans="2:20" hidden="1">
      <c r="B467" s="332" t="s">
        <v>1940</v>
      </c>
      <c r="C467" s="333">
        <f t="shared" si="88"/>
        <v>0</v>
      </c>
      <c r="D467" s="328"/>
      <c r="E467" s="328">
        <f>VLOOKUP(B467,DONGIA,DG!$B$6,0)</f>
        <v>0</v>
      </c>
      <c r="F467" s="329" t="str">
        <f>VLOOKUP(B467,DONGIA,DG!$C$6,0)</f>
        <v>Nối giảm PVC 114-90</v>
      </c>
      <c r="G467" s="328" t="str">
        <f>VLOOKUP(B467,DONGIA,DG!$D$6,0)</f>
        <v>cái</v>
      </c>
      <c r="H467" s="329"/>
      <c r="I467" s="329">
        <f>VLOOKUP(B467,DONGIA,DG!$E$6,0)</f>
        <v>52800</v>
      </c>
      <c r="J467" s="329"/>
      <c r="K467" s="329">
        <f>VLOOKUP(B467,DONGIA,DG!$F$6,0)</f>
        <v>0</v>
      </c>
      <c r="L467" s="329">
        <f>VLOOKUP(B467,DONGIA,DG!$G$6,0)</f>
        <v>0</v>
      </c>
      <c r="M467" s="329">
        <f t="shared" si="92"/>
        <v>0</v>
      </c>
      <c r="N467" s="329">
        <f t="shared" si="89"/>
        <v>0</v>
      </c>
      <c r="O467" s="329">
        <f t="shared" si="90"/>
        <v>0</v>
      </c>
      <c r="P467" s="329">
        <f t="shared" si="91"/>
        <v>0</v>
      </c>
      <c r="Q467" s="329"/>
      <c r="S467" s="332">
        <f t="shared" si="72"/>
        <v>0</v>
      </c>
      <c r="T467" s="332">
        <f t="shared" si="74"/>
        <v>0</v>
      </c>
    </row>
    <row r="468" spans="2:20" hidden="1">
      <c r="B468" s="332" t="s">
        <v>1189</v>
      </c>
      <c r="C468" s="333">
        <f t="shared" si="88"/>
        <v>0</v>
      </c>
      <c r="D468" s="328"/>
      <c r="E468" s="328">
        <f>VLOOKUP(B468,DONGIA,DG!$B$6,0)</f>
        <v>0</v>
      </c>
      <c r="F468" s="329" t="str">
        <f>VLOOKUP(B468,DONGIA,DG!$C$6,0)</f>
        <v>Co 135 độ PVC 114</v>
      </c>
      <c r="G468" s="328" t="str">
        <f>VLOOKUP(B468,DONGIA,DG!$D$6,0)</f>
        <v>cái</v>
      </c>
      <c r="H468" s="329">
        <f>H453</f>
        <v>0</v>
      </c>
      <c r="I468" s="329">
        <f>VLOOKUP(B468,DONGIA,DG!$E$6,0)</f>
        <v>70800</v>
      </c>
      <c r="J468" s="329"/>
      <c r="K468" s="329">
        <f>VLOOKUP(B468,DONGIA,DG!$F$6,0)</f>
        <v>0</v>
      </c>
      <c r="L468" s="329">
        <f>VLOOKUP(B468,DONGIA,DG!$G$6,0)</f>
        <v>0</v>
      </c>
      <c r="M468" s="329">
        <f t="shared" si="92"/>
        <v>0</v>
      </c>
      <c r="N468" s="329">
        <f t="shared" si="89"/>
        <v>0</v>
      </c>
      <c r="O468" s="329">
        <f t="shared" si="90"/>
        <v>0</v>
      </c>
      <c r="P468" s="329">
        <f t="shared" si="91"/>
        <v>0</v>
      </c>
      <c r="Q468" s="329"/>
      <c r="S468" s="332">
        <f t="shared" si="72"/>
        <v>0</v>
      </c>
      <c r="T468" s="332">
        <f t="shared" si="74"/>
        <v>0</v>
      </c>
    </row>
    <row r="469" spans="2:20" hidden="1">
      <c r="B469" s="332" t="s">
        <v>1914</v>
      </c>
      <c r="C469" s="333">
        <f t="shared" si="88"/>
        <v>0</v>
      </c>
      <c r="D469" s="328"/>
      <c r="E469" s="328">
        <f>VLOOKUP(B469,DONGIA,DG!$B$6,0)</f>
        <v>0</v>
      </c>
      <c r="F469" s="329" t="str">
        <f>VLOOKUP(B469,DONGIA,DG!$C$6,0)</f>
        <v>Keo dán ống PVC (100gr)</v>
      </c>
      <c r="G469" s="328" t="str">
        <f>VLOOKUP(B469,DONGIA,DG!$D$6,0)</f>
        <v>tuýp</v>
      </c>
      <c r="H469" s="329">
        <f>H453</f>
        <v>0</v>
      </c>
      <c r="I469" s="329">
        <f>VLOOKUP(B469,DONGIA,DG!$E$6,0)</f>
        <v>11500</v>
      </c>
      <c r="J469" s="329"/>
      <c r="K469" s="329">
        <f>VLOOKUP(B469,DONGIA,DG!$F$6,0)</f>
        <v>0</v>
      </c>
      <c r="L469" s="329">
        <f>VLOOKUP(B469,DONGIA,DG!$G$6,0)</f>
        <v>0</v>
      </c>
      <c r="M469" s="329">
        <f t="shared" si="92"/>
        <v>0</v>
      </c>
      <c r="N469" s="329">
        <f t="shared" si="89"/>
        <v>0</v>
      </c>
      <c r="O469" s="329">
        <f t="shared" si="90"/>
        <v>0</v>
      </c>
      <c r="P469" s="329">
        <f t="shared" si="91"/>
        <v>0</v>
      </c>
      <c r="Q469" s="329"/>
      <c r="S469" s="332">
        <f t="shared" si="72"/>
        <v>0</v>
      </c>
      <c r="T469" s="332">
        <f t="shared" si="74"/>
        <v>0</v>
      </c>
    </row>
    <row r="470" spans="2:20" hidden="1">
      <c r="B470" s="332" t="s">
        <v>1195</v>
      </c>
      <c r="C470" s="333">
        <f t="shared" si="88"/>
        <v>0</v>
      </c>
      <c r="D470" s="328"/>
      <c r="E470" s="328">
        <f>VLOOKUP(B470,DONGIA,DG!$B$6,0)</f>
        <v>0</v>
      </c>
      <c r="F470" s="329" t="str">
        <f>VLOOKUP(B470,DONGIA,DG!$C$6,0)</f>
        <v>Keo silicon bít miệng ống</v>
      </c>
      <c r="G470" s="328" t="str">
        <f>VLOOKUP(B470,DONGIA,DG!$D$6,0)</f>
        <v>ống</v>
      </c>
      <c r="H470" s="329"/>
      <c r="I470" s="329">
        <f>VLOOKUP(B470,DONGIA,DG!$E$6,0)</f>
        <v>45000</v>
      </c>
      <c r="J470" s="329"/>
      <c r="K470" s="329">
        <f>VLOOKUP(B470,DONGIA,DG!$F$6,0)</f>
        <v>0</v>
      </c>
      <c r="L470" s="329">
        <f>VLOOKUP(B470,DONGIA,DG!$G$6,0)</f>
        <v>0</v>
      </c>
      <c r="M470" s="329">
        <f t="shared" si="92"/>
        <v>0</v>
      </c>
      <c r="N470" s="329">
        <f t="shared" si="89"/>
        <v>0</v>
      </c>
      <c r="O470" s="329">
        <f t="shared" si="90"/>
        <v>0</v>
      </c>
      <c r="P470" s="329">
        <f t="shared" si="91"/>
        <v>0</v>
      </c>
      <c r="Q470" s="329"/>
      <c r="S470" s="332">
        <f t="shared" si="72"/>
        <v>0</v>
      </c>
      <c r="T470" s="332">
        <f t="shared" si="74"/>
        <v>0</v>
      </c>
    </row>
    <row r="471" spans="2:20" hidden="1">
      <c r="B471" s="332" t="s">
        <v>1193</v>
      </c>
      <c r="C471" s="333">
        <f t="shared" si="88"/>
        <v>0</v>
      </c>
      <c r="D471" s="328"/>
      <c r="E471" s="328">
        <f>VLOOKUP(B471,DONGIA,DG!$B$6,0)</f>
        <v>0</v>
      </c>
      <c r="F471" s="329" t="str">
        <f>VLOOKUP(B471,DONGIA,DG!$C$6,0)</f>
        <v>Băng keo cách điện</v>
      </c>
      <c r="G471" s="328" t="str">
        <f>VLOOKUP(B471,DONGIA,DG!$D$6,0)</f>
        <v>cuộn</v>
      </c>
      <c r="H471" s="329"/>
      <c r="I471" s="329">
        <f>VLOOKUP(B471,DONGIA,DG!$E$6,0)</f>
        <v>6500</v>
      </c>
      <c r="J471" s="329"/>
      <c r="K471" s="329">
        <f>VLOOKUP(B471,DONGIA,DG!$F$6,0)</f>
        <v>0</v>
      </c>
      <c r="L471" s="329">
        <f>VLOOKUP(B471,DONGIA,DG!$G$6,0)</f>
        <v>0</v>
      </c>
      <c r="M471" s="329">
        <f t="shared" si="92"/>
        <v>0</v>
      </c>
      <c r="N471" s="329">
        <f t="shared" si="89"/>
        <v>0</v>
      </c>
      <c r="O471" s="329">
        <f t="shared" si="90"/>
        <v>0</v>
      </c>
      <c r="P471" s="329">
        <f t="shared" si="91"/>
        <v>0</v>
      </c>
      <c r="Q471" s="329"/>
      <c r="S471" s="332">
        <f t="shared" si="72"/>
        <v>0</v>
      </c>
      <c r="T471" s="332">
        <f t="shared" si="74"/>
        <v>0</v>
      </c>
    </row>
    <row r="472" spans="2:20" hidden="1">
      <c r="B472" s="332" t="s">
        <v>2979</v>
      </c>
      <c r="C472" s="333">
        <f t="shared" si="88"/>
        <v>0</v>
      </c>
      <c r="D472" s="328"/>
      <c r="E472" s="328">
        <f>VLOOKUP(B472,DONGIA,DG!$B$6,0)</f>
        <v>0</v>
      </c>
      <c r="F472" s="329" t="str">
        <f>VLOOKUP(B472,DONGIA,DG!$C$6,0)</f>
        <v>Băng keo cách điện (Màu vàng)</v>
      </c>
      <c r="G472" s="328" t="str">
        <f>VLOOKUP(B472,DONGIA,DG!$D$6,0)</f>
        <v>cuộn</v>
      </c>
      <c r="H472" s="329">
        <f>ROUNDUP(H453/5,0)</f>
        <v>0</v>
      </c>
      <c r="I472" s="329">
        <f>VLOOKUP(B472,DONGIA,DG!$E$6,0)</f>
        <v>6500</v>
      </c>
      <c r="J472" s="329"/>
      <c r="K472" s="329">
        <f>VLOOKUP(B472,DONGIA,DG!$F$6,0)</f>
        <v>0</v>
      </c>
      <c r="L472" s="329">
        <f>VLOOKUP(B472,DONGIA,DG!$G$6,0)</f>
        <v>0</v>
      </c>
      <c r="M472" s="329">
        <f t="shared" si="92"/>
        <v>0</v>
      </c>
      <c r="N472" s="329">
        <f t="shared" si="89"/>
        <v>0</v>
      </c>
      <c r="O472" s="329">
        <f t="shared" si="90"/>
        <v>0</v>
      </c>
      <c r="P472" s="329">
        <f t="shared" si="91"/>
        <v>0</v>
      </c>
      <c r="Q472" s="329"/>
      <c r="S472" s="332">
        <f t="shared" si="72"/>
        <v>0</v>
      </c>
      <c r="T472" s="332">
        <f t="shared" si="74"/>
        <v>0</v>
      </c>
    </row>
    <row r="473" spans="2:20" hidden="1">
      <c r="B473" s="332" t="s">
        <v>2980</v>
      </c>
      <c r="C473" s="333">
        <f t="shared" si="88"/>
        <v>0</v>
      </c>
      <c r="D473" s="328"/>
      <c r="E473" s="328">
        <f>VLOOKUP(B473,DONGIA,DG!$B$6,0)</f>
        <v>0</v>
      </c>
      <c r="F473" s="329" t="str">
        <f>VLOOKUP(B473,DONGIA,DG!$C$6,0)</f>
        <v>Băng keo cách điện (Màu xanh)</v>
      </c>
      <c r="G473" s="328" t="str">
        <f>VLOOKUP(B473,DONGIA,DG!$D$6,0)</f>
        <v>cuộn</v>
      </c>
      <c r="H473" s="329">
        <f>ROUNDUP(H453/5,0)</f>
        <v>0</v>
      </c>
      <c r="I473" s="329">
        <f>VLOOKUP(B473,DONGIA,DG!$E$6,0)</f>
        <v>6500</v>
      </c>
      <c r="J473" s="329"/>
      <c r="K473" s="329">
        <f>VLOOKUP(B473,DONGIA,DG!$F$6,0)</f>
        <v>0</v>
      </c>
      <c r="L473" s="329">
        <f>VLOOKUP(B473,DONGIA,DG!$G$6,0)</f>
        <v>0</v>
      </c>
      <c r="M473" s="329">
        <f t="shared" si="92"/>
        <v>0</v>
      </c>
      <c r="N473" s="329">
        <f t="shared" si="89"/>
        <v>0</v>
      </c>
      <c r="O473" s="329">
        <f t="shared" si="90"/>
        <v>0</v>
      </c>
      <c r="P473" s="329">
        <f t="shared" si="91"/>
        <v>0</v>
      </c>
      <c r="Q473" s="329"/>
      <c r="S473" s="332">
        <f t="shared" si="72"/>
        <v>0</v>
      </c>
      <c r="T473" s="332">
        <f t="shared" si="74"/>
        <v>0</v>
      </c>
    </row>
    <row r="474" spans="2:20" hidden="1">
      <c r="B474" s="332" t="s">
        <v>2981</v>
      </c>
      <c r="C474" s="333">
        <f t="shared" si="88"/>
        <v>0</v>
      </c>
      <c r="D474" s="328"/>
      <c r="E474" s="328">
        <f>VLOOKUP(B474,DONGIA,DG!$B$6,0)</f>
        <v>0</v>
      </c>
      <c r="F474" s="329" t="str">
        <f>VLOOKUP(B474,DONGIA,DG!$C$6,0)</f>
        <v>Băng keo cách điện (Màu đỏ)</v>
      </c>
      <c r="G474" s="328" t="str">
        <f>VLOOKUP(B474,DONGIA,DG!$D$6,0)</f>
        <v>cuộn</v>
      </c>
      <c r="H474" s="329">
        <f>ROUNDUP(H453/5,0)</f>
        <v>0</v>
      </c>
      <c r="I474" s="329">
        <f>VLOOKUP(B474,DONGIA,DG!$E$6,0)</f>
        <v>6500</v>
      </c>
      <c r="J474" s="329"/>
      <c r="K474" s="329">
        <f>VLOOKUP(B474,DONGIA,DG!$F$6,0)</f>
        <v>0</v>
      </c>
      <c r="L474" s="329">
        <f>VLOOKUP(B474,DONGIA,DG!$G$6,0)</f>
        <v>0</v>
      </c>
      <c r="M474" s="329">
        <f t="shared" si="92"/>
        <v>0</v>
      </c>
      <c r="N474" s="329">
        <f t="shared" si="89"/>
        <v>0</v>
      </c>
      <c r="O474" s="329">
        <f t="shared" si="90"/>
        <v>0</v>
      </c>
      <c r="P474" s="329">
        <f t="shared" si="91"/>
        <v>0</v>
      </c>
      <c r="Q474" s="329"/>
      <c r="S474" s="332">
        <f t="shared" si="72"/>
        <v>0</v>
      </c>
      <c r="T474" s="332">
        <f t="shared" si="74"/>
        <v>0</v>
      </c>
    </row>
    <row r="475" spans="2:20" hidden="1">
      <c r="B475" s="332" t="s">
        <v>855</v>
      </c>
      <c r="C475" s="333">
        <f t="shared" si="88"/>
        <v>0</v>
      </c>
      <c r="D475" s="328"/>
      <c r="E475" s="328" t="str">
        <f>VLOOKUP(B475,DONGIA,DG!$B$6,0)</f>
        <v>T4.8003</v>
      </c>
      <c r="F475" s="329" t="str">
        <f>VLOOKUP(B475,DONGIA,DG!$C$6,0)</f>
        <v>Lắp ống nhựa PVC D90</v>
      </c>
      <c r="G475" s="328" t="str">
        <f>VLOOKUP(B475,DONGIA,DG!$D$6,0)</f>
        <v>mét</v>
      </c>
      <c r="H475" s="329">
        <f>H462</f>
        <v>0</v>
      </c>
      <c r="I475" s="329">
        <f>VLOOKUP(B475,DONGIA,DG!$E$6,0)</f>
        <v>0</v>
      </c>
      <c r="J475" s="329"/>
      <c r="K475" s="329">
        <f>VLOOKUP(B475,DONGIA,DG!$F$6,0)</f>
        <v>35541</v>
      </c>
      <c r="L475" s="329">
        <f>VLOOKUP(B475,DONGIA,DG!$G$6,0)</f>
        <v>0</v>
      </c>
      <c r="M475" s="329">
        <f t="shared" si="92"/>
        <v>0</v>
      </c>
      <c r="N475" s="329">
        <f t="shared" si="89"/>
        <v>0</v>
      </c>
      <c r="O475" s="329">
        <f t="shared" si="90"/>
        <v>0</v>
      </c>
      <c r="P475" s="329">
        <f t="shared" si="91"/>
        <v>0</v>
      </c>
      <c r="Q475" s="329"/>
      <c r="S475" s="332">
        <f t="shared" si="72"/>
        <v>0</v>
      </c>
      <c r="T475" s="332">
        <f t="shared" si="74"/>
        <v>0</v>
      </c>
    </row>
    <row r="476" spans="2:20" hidden="1">
      <c r="B476" s="332" t="s">
        <v>1939</v>
      </c>
      <c r="C476" s="333">
        <f t="shared" si="88"/>
        <v>0</v>
      </c>
      <c r="D476" s="328"/>
      <c r="E476" s="328" t="str">
        <f>VLOOKUP(B476,DONGIA,DG!$B$6,0)</f>
        <v>T4.4201</v>
      </c>
      <c r="F476" s="329" t="str">
        <f>VLOOKUP(B476,DONGIA,DG!$C$6,0)</f>
        <v>Lắp cáp đồng xuống thiết bị D ≤ 95mm2</v>
      </c>
      <c r="G476" s="328" t="str">
        <f>VLOOKUP(B476,DONGIA,DG!$D$6,0)</f>
        <v>m</v>
      </c>
      <c r="H476" s="329">
        <f>H456</f>
        <v>0</v>
      </c>
      <c r="I476" s="329">
        <f>VLOOKUP(B476,DONGIA,DG!$E$6,0)</f>
        <v>0</v>
      </c>
      <c r="J476" s="329"/>
      <c r="K476" s="329">
        <f>VLOOKUP(B476,DONGIA,DG!$F$6,0)</f>
        <v>11847</v>
      </c>
      <c r="L476" s="329">
        <f>VLOOKUP(B476,DONGIA,DG!$G$6,0)</f>
        <v>0</v>
      </c>
      <c r="M476" s="329">
        <f t="shared" si="92"/>
        <v>0</v>
      </c>
      <c r="N476" s="329">
        <f t="shared" si="89"/>
        <v>0</v>
      </c>
      <c r="O476" s="329">
        <f t="shared" si="90"/>
        <v>0</v>
      </c>
      <c r="P476" s="329">
        <f t="shared" si="91"/>
        <v>0</v>
      </c>
      <c r="Q476" s="329"/>
      <c r="S476" s="332">
        <f t="shared" si="72"/>
        <v>0</v>
      </c>
      <c r="T476" s="332">
        <f t="shared" si="74"/>
        <v>0</v>
      </c>
    </row>
    <row r="477" spans="2:20" hidden="1">
      <c r="B477" s="332" t="s">
        <v>2063</v>
      </c>
      <c r="C477" s="333">
        <f>IF(H477&lt;&gt;0,1,)</f>
        <v>0</v>
      </c>
      <c r="D477" s="328"/>
      <c r="E477" s="328" t="str">
        <f>VLOOKUP(B477,DONGIA,DG!$B$6,0)</f>
        <v>T4.4202</v>
      </c>
      <c r="F477" s="329" t="str">
        <f>VLOOKUP(B477,DONGIA,DG!$C$6,0)</f>
        <v>Lắp cáp đồng xuống thiết bị D ≤ 150mm2</v>
      </c>
      <c r="G477" s="328" t="str">
        <f>VLOOKUP(B477,DONGIA,DG!$D$6,0)</f>
        <v>m</v>
      </c>
      <c r="H477" s="329">
        <f>H455</f>
        <v>0</v>
      </c>
      <c r="I477" s="329">
        <f>VLOOKUP(B477,DONGIA,DG!$E$6,0)</f>
        <v>0</v>
      </c>
      <c r="J477" s="329"/>
      <c r="K477" s="329">
        <f>VLOOKUP(B477,DONGIA,DG!$F$6,0)</f>
        <v>28433</v>
      </c>
      <c r="L477" s="329">
        <f>VLOOKUP(B477,DONGIA,DG!$G$6,0)</f>
        <v>0</v>
      </c>
      <c r="M477" s="329">
        <f>$H477*I477</f>
        <v>0</v>
      </c>
      <c r="N477" s="329">
        <f>$H477*J477</f>
        <v>0</v>
      </c>
      <c r="O477" s="329">
        <f>$H477*K477</f>
        <v>0</v>
      </c>
      <c r="P477" s="329">
        <f>$H477*L477</f>
        <v>0</v>
      </c>
      <c r="Q477" s="329"/>
      <c r="S477" s="332">
        <f>IFERROR(VLOOKUP(B477,DONGIA,$S$25,0),0)</f>
        <v>0</v>
      </c>
      <c r="T477" s="332">
        <f>H477*S477</f>
        <v>0</v>
      </c>
    </row>
    <row r="478" spans="2:20" hidden="1">
      <c r="C478" s="333">
        <f t="shared" si="88"/>
        <v>0</v>
      </c>
      <c r="D478" s="372">
        <f>IF(H478&lt;&gt;0,D453+1,D453)</f>
        <v>0</v>
      </c>
      <c r="E478" s="372"/>
      <c r="F478" s="373" t="s">
        <v>1938</v>
      </c>
      <c r="G478" s="372" t="s">
        <v>138</v>
      </c>
      <c r="H478" s="372">
        <f>T1P2X375*2</f>
        <v>0</v>
      </c>
      <c r="I478" s="373"/>
      <c r="J478" s="373"/>
      <c r="K478" s="373"/>
      <c r="L478" s="373"/>
      <c r="M478" s="373"/>
      <c r="N478" s="373"/>
      <c r="O478" s="373"/>
      <c r="P478" s="373"/>
      <c r="Q478" s="373"/>
      <c r="S478" s="332">
        <f t="shared" si="72"/>
        <v>0</v>
      </c>
      <c r="T478" s="332">
        <f t="shared" si="74"/>
        <v>0</v>
      </c>
    </row>
    <row r="479" spans="2:20" s="361" customFormat="1" hidden="1">
      <c r="C479" s="374">
        <f>C478</f>
        <v>0</v>
      </c>
      <c r="D479" s="350"/>
      <c r="E479" s="350"/>
      <c r="F479" s="351" t="s">
        <v>1902</v>
      </c>
      <c r="G479" s="350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S479" s="361">
        <f t="shared" si="72"/>
        <v>0</v>
      </c>
      <c r="T479" s="361">
        <f t="shared" si="74"/>
        <v>0</v>
      </c>
    </row>
    <row r="480" spans="2:20" hidden="1">
      <c r="B480" s="332" t="s">
        <v>1907</v>
      </c>
      <c r="C480" s="333">
        <f t="shared" ref="C480:C502" si="93">IF(H480&lt;&gt;0,1,)</f>
        <v>0</v>
      </c>
      <c r="D480" s="328"/>
      <c r="E480" s="328">
        <f>VLOOKUP(B480,DONGIA,DG!$B$6,0)</f>
        <v>0</v>
      </c>
      <c r="F480" s="329" t="str">
        <f>VLOOKUP(B480,DONGIA,DG!$C$6,0)</f>
        <v>Cáp đồng bọc CV70</v>
      </c>
      <c r="G480" s="328" t="str">
        <f>VLOOKUP(B480,DONGIA,DG!$D$6,0)</f>
        <v>mét</v>
      </c>
      <c r="H480" s="455">
        <f>H478*8.5*2</f>
        <v>0</v>
      </c>
      <c r="I480" s="329">
        <f>VLOOKUP(B480,DONGIA,DG!$E$6,0)</f>
        <v>142880</v>
      </c>
      <c r="J480" s="329"/>
      <c r="K480" s="329">
        <f>VLOOKUP(B480,DONGIA,DG!$F$6,0)</f>
        <v>0</v>
      </c>
      <c r="L480" s="329">
        <f>VLOOKUP(B480,DONGIA,DG!$G$6,0)</f>
        <v>0</v>
      </c>
      <c r="M480" s="329">
        <f t="shared" ref="M480:M502" si="94">$H480*I480</f>
        <v>0</v>
      </c>
      <c r="N480" s="329">
        <f t="shared" ref="N480:N502" si="95">$H480*J480</f>
        <v>0</v>
      </c>
      <c r="O480" s="329">
        <f t="shared" ref="O480:O502" si="96">$H480*K480</f>
        <v>0</v>
      </c>
      <c r="P480" s="329">
        <f t="shared" ref="P480:P502" si="97">$H480*L480</f>
        <v>0</v>
      </c>
      <c r="Q480" s="329"/>
      <c r="S480" s="332">
        <f t="shared" si="72"/>
        <v>0.73899999999999999</v>
      </c>
      <c r="T480" s="332">
        <f t="shared" si="74"/>
        <v>0</v>
      </c>
    </row>
    <row r="481" spans="2:20" hidden="1">
      <c r="B481" s="332" t="s">
        <v>1906</v>
      </c>
      <c r="C481" s="333">
        <f t="shared" si="93"/>
        <v>0</v>
      </c>
      <c r="D481" s="328"/>
      <c r="E481" s="328">
        <f>VLOOKUP(B481,DONGIA,DG!$B$6,0)</f>
        <v>0</v>
      </c>
      <c r="F481" s="329" t="str">
        <f>VLOOKUP(B481,DONGIA,DG!$C$6,0)</f>
        <v>Cáp đồng bọc CV50</v>
      </c>
      <c r="G481" s="328" t="str">
        <f>VLOOKUP(B481,DONGIA,DG!$D$6,0)</f>
        <v>mét</v>
      </c>
      <c r="H481" s="455">
        <f>H478*8.5</f>
        <v>0</v>
      </c>
      <c r="I481" s="329">
        <f>VLOOKUP(B481,DONGIA,DG!$E$6,0)</f>
        <v>104370</v>
      </c>
      <c r="J481" s="329"/>
      <c r="K481" s="329">
        <f>VLOOKUP(B481,DONGIA,DG!$F$6,0)</f>
        <v>0</v>
      </c>
      <c r="L481" s="329">
        <f>VLOOKUP(B481,DONGIA,DG!$G$6,0)</f>
        <v>0</v>
      </c>
      <c r="M481" s="329">
        <f t="shared" si="94"/>
        <v>0</v>
      </c>
      <c r="N481" s="329">
        <f t="shared" si="95"/>
        <v>0</v>
      </c>
      <c r="O481" s="329">
        <f t="shared" si="96"/>
        <v>0</v>
      </c>
      <c r="P481" s="329">
        <f t="shared" si="97"/>
        <v>0</v>
      </c>
      <c r="Q481" s="329"/>
      <c r="S481" s="332">
        <f t="shared" si="72"/>
        <v>0.53400000000000003</v>
      </c>
      <c r="T481" s="332">
        <f t="shared" si="74"/>
        <v>0</v>
      </c>
    </row>
    <row r="482" spans="2:20" hidden="1">
      <c r="B482" s="332" t="s">
        <v>1907</v>
      </c>
      <c r="C482" s="333">
        <f t="shared" si="93"/>
        <v>0</v>
      </c>
      <c r="D482" s="328"/>
      <c r="E482" s="328">
        <f>VLOOKUP(B482,DONGIA,DG!$B$6,0)</f>
        <v>0</v>
      </c>
      <c r="F482" s="329" t="str">
        <f>VLOOKUP(B482,DONGIA,DG!$C$6,0)&amp;" (Bắt CB phân đoạn)"</f>
        <v>Cáp đồng bọc CV70 (Bắt CB phân đoạn)</v>
      </c>
      <c r="G482" s="328" t="str">
        <f>VLOOKUP(B482,DONGIA,DG!$D$6,0)</f>
        <v>mét</v>
      </c>
      <c r="H482" s="455">
        <f>H478*2</f>
        <v>0</v>
      </c>
      <c r="I482" s="329">
        <f>VLOOKUP(B482,DONGIA,DG!$E$6,0)</f>
        <v>142880</v>
      </c>
      <c r="J482" s="329"/>
      <c r="K482" s="329">
        <f>VLOOKUP(B482,DONGIA,DG!$F$6,0)</f>
        <v>0</v>
      </c>
      <c r="L482" s="329">
        <f>VLOOKUP(B482,DONGIA,DG!$G$6,0)</f>
        <v>0</v>
      </c>
      <c r="M482" s="329">
        <f t="shared" si="94"/>
        <v>0</v>
      </c>
      <c r="N482" s="329">
        <f t="shared" si="95"/>
        <v>0</v>
      </c>
      <c r="O482" s="329">
        <f t="shared" si="96"/>
        <v>0</v>
      </c>
      <c r="P482" s="329">
        <f t="shared" si="97"/>
        <v>0</v>
      </c>
      <c r="Q482" s="329"/>
      <c r="S482" s="332">
        <f>IFERROR(VLOOKUP(B482,DONGIA,$S$25,0),0)</f>
        <v>0.73899999999999999</v>
      </c>
      <c r="T482" s="332">
        <f>H482*S482</f>
        <v>0</v>
      </c>
    </row>
    <row r="483" spans="2:20" hidden="1">
      <c r="B483" s="332" t="s">
        <v>1113</v>
      </c>
      <c r="C483" s="333">
        <f t="shared" si="93"/>
        <v>0</v>
      </c>
      <c r="D483" s="328"/>
      <c r="E483" s="328"/>
      <c r="F483" s="329" t="str">
        <f>VLOOKUP(B483,DONGIA,DG!$C$6,0)</f>
        <v>Đầu cosse ép Cu 70mm2</v>
      </c>
      <c r="G483" s="328" t="str">
        <f>VLOOKUP(B483,DONGIA,DG!$D$6,0)</f>
        <v>cái</v>
      </c>
      <c r="H483" s="329">
        <f>H478*2+H478*2*2</f>
        <v>0</v>
      </c>
      <c r="I483" s="329">
        <f>VLOOKUP(B483,DONGIA,DG!$E$6,0)</f>
        <v>33000</v>
      </c>
      <c r="J483" s="329"/>
      <c r="K483" s="329"/>
      <c r="L483" s="329"/>
      <c r="M483" s="329">
        <f t="shared" si="94"/>
        <v>0</v>
      </c>
      <c r="N483" s="329">
        <f t="shared" si="95"/>
        <v>0</v>
      </c>
      <c r="O483" s="329">
        <f t="shared" si="96"/>
        <v>0</v>
      </c>
      <c r="P483" s="329">
        <f t="shared" si="97"/>
        <v>0</v>
      </c>
      <c r="Q483" s="329"/>
      <c r="S483" s="332">
        <f t="shared" si="72"/>
        <v>0.2</v>
      </c>
      <c r="T483" s="332">
        <f t="shared" si="74"/>
        <v>0</v>
      </c>
    </row>
    <row r="484" spans="2:20" hidden="1">
      <c r="B484" s="332" t="s">
        <v>1110</v>
      </c>
      <c r="C484" s="333">
        <f t="shared" si="93"/>
        <v>0</v>
      </c>
      <c r="D484" s="328"/>
      <c r="E484" s="328"/>
      <c r="F484" s="329" t="str">
        <f>VLOOKUP(B484,DONGIA,DG!$C$6,0)</f>
        <v>Đầu cosse ép Cu 50mm2</v>
      </c>
      <c r="G484" s="328" t="str">
        <f>VLOOKUP(B484,DONGIA,DG!$D$6,0)</f>
        <v>cái</v>
      </c>
      <c r="H484" s="329">
        <f>H478</f>
        <v>0</v>
      </c>
      <c r="I484" s="329">
        <f>VLOOKUP(B484,DONGIA,DG!$E$6,0)</f>
        <v>23000</v>
      </c>
      <c r="J484" s="329"/>
      <c r="K484" s="329"/>
      <c r="L484" s="329"/>
      <c r="M484" s="329">
        <f t="shared" si="94"/>
        <v>0</v>
      </c>
      <c r="N484" s="329">
        <f t="shared" si="95"/>
        <v>0</v>
      </c>
      <c r="O484" s="329">
        <f t="shared" si="96"/>
        <v>0</v>
      </c>
      <c r="P484" s="329">
        <f t="shared" si="97"/>
        <v>0</v>
      </c>
      <c r="Q484" s="329"/>
      <c r="S484" s="332">
        <f t="shared" si="72"/>
        <v>0.1</v>
      </c>
      <c r="T484" s="332">
        <f t="shared" si="74"/>
        <v>0</v>
      </c>
    </row>
    <row r="485" spans="2:20" hidden="1">
      <c r="B485" s="332" t="s">
        <v>1147</v>
      </c>
      <c r="C485" s="333">
        <f t="shared" si="93"/>
        <v>0</v>
      </c>
      <c r="D485" s="328"/>
      <c r="E485" s="328">
        <f>VLOOKUP(B485,DONGIA,DG!$B$6,0)</f>
        <v>0</v>
      </c>
      <c r="F485" s="329" t="str">
        <f>VLOOKUP(B485,DONGIA,DG!$C$6,0)</f>
        <v>Chụp đầu cosse  70mm2</v>
      </c>
      <c r="G485" s="328" t="str">
        <f>VLOOKUP(B485,DONGIA,DG!$D$6,0)</f>
        <v>cái</v>
      </c>
      <c r="H485" s="329">
        <f>H483</f>
        <v>0</v>
      </c>
      <c r="I485" s="329">
        <f>VLOOKUP(B485,DONGIA,DG!$E$6,0)</f>
        <v>2000</v>
      </c>
      <c r="J485" s="329"/>
      <c r="K485" s="329">
        <f>VLOOKUP(B485,DONGIA,DG!$F$6,0)</f>
        <v>0</v>
      </c>
      <c r="L485" s="329">
        <f>VLOOKUP(B485,DONGIA,DG!$G$6,0)</f>
        <v>0</v>
      </c>
      <c r="M485" s="329">
        <f t="shared" si="94"/>
        <v>0</v>
      </c>
      <c r="N485" s="329">
        <f t="shared" si="95"/>
        <v>0</v>
      </c>
      <c r="O485" s="329">
        <f t="shared" si="96"/>
        <v>0</v>
      </c>
      <c r="P485" s="329">
        <f t="shared" si="97"/>
        <v>0</v>
      </c>
      <c r="Q485" s="329"/>
      <c r="S485" s="332">
        <f t="shared" si="72"/>
        <v>0</v>
      </c>
      <c r="T485" s="332">
        <f t="shared" si="74"/>
        <v>0</v>
      </c>
    </row>
    <row r="486" spans="2:20" hidden="1">
      <c r="B486" s="332" t="s">
        <v>1145</v>
      </c>
      <c r="C486" s="333">
        <f t="shared" si="93"/>
        <v>0</v>
      </c>
      <c r="D486" s="328"/>
      <c r="E486" s="328">
        <f>VLOOKUP(B486,DONGIA,DG!$B$6,0)</f>
        <v>0</v>
      </c>
      <c r="F486" s="329" t="str">
        <f>VLOOKUP(B486,DONGIA,DG!$C$6,0)</f>
        <v>Chụp đầu cosse  50mm2</v>
      </c>
      <c r="G486" s="328" t="str">
        <f>VLOOKUP(B486,DONGIA,DG!$D$6,0)</f>
        <v>cái</v>
      </c>
      <c r="H486" s="329">
        <f>H484</f>
        <v>0</v>
      </c>
      <c r="I486" s="329">
        <f>VLOOKUP(B486,DONGIA,DG!$E$6,0)</f>
        <v>2000</v>
      </c>
      <c r="J486" s="329"/>
      <c r="K486" s="329">
        <f>VLOOKUP(B486,DONGIA,DG!$F$6,0)</f>
        <v>0</v>
      </c>
      <c r="L486" s="329">
        <f>VLOOKUP(B486,DONGIA,DG!$G$6,0)</f>
        <v>0</v>
      </c>
      <c r="M486" s="329">
        <f t="shared" si="94"/>
        <v>0</v>
      </c>
      <c r="N486" s="329">
        <f t="shared" si="95"/>
        <v>0</v>
      </c>
      <c r="O486" s="329">
        <f t="shared" si="96"/>
        <v>0</v>
      </c>
      <c r="P486" s="329">
        <f t="shared" si="97"/>
        <v>0</v>
      </c>
      <c r="Q486" s="329"/>
      <c r="S486" s="332">
        <f t="shared" si="72"/>
        <v>0</v>
      </c>
      <c r="T486" s="332">
        <f t="shared" si="74"/>
        <v>0</v>
      </c>
    </row>
    <row r="487" spans="2:20" hidden="1">
      <c r="B487" s="332" t="s">
        <v>1177</v>
      </c>
      <c r="C487" s="333">
        <f t="shared" si="93"/>
        <v>0</v>
      </c>
      <c r="D487" s="328"/>
      <c r="E487" s="328">
        <f>VLOOKUP(B487,DONGIA,DG!$B$6,0)</f>
        <v>0</v>
      </c>
      <c r="F487" s="329" t="str">
        <f>VLOOKUP(B487,DONGIA,DG!$C$6,0)</f>
        <v xml:space="preserve">Ống PVC D90x3,8mm </v>
      </c>
      <c r="G487" s="328" t="str">
        <f>VLOOKUP(B487,DONGIA,DG!$D$6,0)</f>
        <v>m</v>
      </c>
      <c r="H487" s="329">
        <f>H478*6</f>
        <v>0</v>
      </c>
      <c r="I487" s="329">
        <f>VLOOKUP(B487,DONGIA,DG!$E$6,0)</f>
        <v>57000</v>
      </c>
      <c r="J487" s="329"/>
      <c r="K487" s="329">
        <f>VLOOKUP(B487,DONGIA,DG!$F$6,0)</f>
        <v>0</v>
      </c>
      <c r="L487" s="329">
        <f>VLOOKUP(B487,DONGIA,DG!$G$6,0)</f>
        <v>0</v>
      </c>
      <c r="M487" s="329">
        <f t="shared" si="94"/>
        <v>0</v>
      </c>
      <c r="N487" s="329">
        <f t="shared" si="95"/>
        <v>0</v>
      </c>
      <c r="O487" s="329">
        <f t="shared" si="96"/>
        <v>0</v>
      </c>
      <c r="P487" s="329">
        <f t="shared" si="97"/>
        <v>0</v>
      </c>
      <c r="Q487" s="329"/>
      <c r="S487" s="332">
        <f t="shared" si="72"/>
        <v>2</v>
      </c>
      <c r="T487" s="332">
        <f t="shared" si="74"/>
        <v>0</v>
      </c>
    </row>
    <row r="488" spans="2:20" hidden="1">
      <c r="B488" s="332" t="s">
        <v>455</v>
      </c>
      <c r="C488" s="333">
        <f t="shared" si="93"/>
        <v>0</v>
      </c>
      <c r="D488" s="328"/>
      <c r="E488" s="328">
        <f>VLOOKUP(B488,DONGIA,DG!$B$6,0)</f>
        <v>0</v>
      </c>
      <c r="F488" s="329" t="str">
        <f>VLOOKUP(B488,DONGIA,DG!$C$6,0)&amp;" (CD-230)"</f>
        <v>Cổ dê kẹp ống PVC φ 90 (có giá nới) (CD-230)</v>
      </c>
      <c r="G488" s="328" t="str">
        <f>VLOOKUP(B488,DONGIA,DG!$D$6,0)</f>
        <v>bộ</v>
      </c>
      <c r="H488" s="329">
        <f>H478</f>
        <v>0</v>
      </c>
      <c r="I488" s="329">
        <f>VLOOKUP(B488,DONGIA,DG!$E$6,0)</f>
        <v>60000</v>
      </c>
      <c r="J488" s="329"/>
      <c r="K488" s="329">
        <f>VLOOKUP(B488,DONGIA,DG!$F$6,0)</f>
        <v>0</v>
      </c>
      <c r="L488" s="329">
        <f>VLOOKUP(B488,DONGIA,DG!$G$6,0)</f>
        <v>0</v>
      </c>
      <c r="M488" s="329">
        <f t="shared" si="94"/>
        <v>0</v>
      </c>
      <c r="N488" s="329">
        <f t="shared" si="95"/>
        <v>0</v>
      </c>
      <c r="O488" s="329">
        <f t="shared" si="96"/>
        <v>0</v>
      </c>
      <c r="P488" s="329">
        <f t="shared" si="97"/>
        <v>0</v>
      </c>
      <c r="Q488" s="329"/>
      <c r="S488" s="332">
        <f t="shared" si="72"/>
        <v>1.5</v>
      </c>
      <c r="T488" s="332">
        <f t="shared" si="74"/>
        <v>0</v>
      </c>
    </row>
    <row r="489" spans="2:20" hidden="1">
      <c r="B489" s="332" t="s">
        <v>455</v>
      </c>
      <c r="C489" s="333">
        <f t="shared" si="93"/>
        <v>0</v>
      </c>
      <c r="D489" s="328"/>
      <c r="E489" s="328">
        <f>VLOOKUP(B489,DONGIA,DG!$B$6,0)</f>
        <v>0</v>
      </c>
      <c r="F489" s="329" t="str">
        <f>VLOOKUP(B489,DONGIA,DG!$C$6,0)&amp;" (CD-280)"</f>
        <v>Cổ dê kẹp ống PVC φ 90 (có giá nới) (CD-280)</v>
      </c>
      <c r="G489" s="328" t="str">
        <f>VLOOKUP(B489,DONGIA,DG!$D$6,0)</f>
        <v>bộ</v>
      </c>
      <c r="H489" s="329">
        <f>H478</f>
        <v>0</v>
      </c>
      <c r="I489" s="329">
        <f>VLOOKUP(B489,DONGIA,DG!$E$6,0)</f>
        <v>60000</v>
      </c>
      <c r="J489" s="329"/>
      <c r="K489" s="329">
        <f>VLOOKUP(B489,DONGIA,DG!$F$6,0)</f>
        <v>0</v>
      </c>
      <c r="L489" s="329">
        <f>VLOOKUP(B489,DONGIA,DG!$G$6,0)</f>
        <v>0</v>
      </c>
      <c r="M489" s="329">
        <f t="shared" si="94"/>
        <v>0</v>
      </c>
      <c r="N489" s="329">
        <f t="shared" si="95"/>
        <v>0</v>
      </c>
      <c r="O489" s="329">
        <f t="shared" si="96"/>
        <v>0</v>
      </c>
      <c r="P489" s="329">
        <f t="shared" si="97"/>
        <v>0</v>
      </c>
      <c r="Q489" s="329"/>
      <c r="S489" s="332">
        <f t="shared" si="72"/>
        <v>1.5</v>
      </c>
      <c r="T489" s="332">
        <f t="shared" ref="T489:T508" si="98">H489*S489</f>
        <v>0</v>
      </c>
    </row>
    <row r="490" spans="2:20" hidden="1">
      <c r="B490" s="332" t="s">
        <v>455</v>
      </c>
      <c r="C490" s="333">
        <f t="shared" si="93"/>
        <v>0</v>
      </c>
      <c r="D490" s="328"/>
      <c r="E490" s="328">
        <f>VLOOKUP(B490,DONGIA,DG!$B$6,0)</f>
        <v>0</v>
      </c>
      <c r="F490" s="329" t="str">
        <f>VLOOKUP(B490,DONGIA,DG!$C$6,0)&amp;" (CD-320)"</f>
        <v>Cổ dê kẹp ống PVC φ 90 (có giá nới) (CD-320)</v>
      </c>
      <c r="G490" s="328" t="str">
        <f>VLOOKUP(B490,DONGIA,DG!$D$6,0)</f>
        <v>bộ</v>
      </c>
      <c r="H490" s="329">
        <f>H478</f>
        <v>0</v>
      </c>
      <c r="I490" s="329">
        <f>VLOOKUP(B490,DONGIA,DG!$E$6,0)</f>
        <v>60000</v>
      </c>
      <c r="J490" s="329"/>
      <c r="K490" s="329">
        <f>VLOOKUP(B490,DONGIA,DG!$F$6,0)</f>
        <v>0</v>
      </c>
      <c r="L490" s="329">
        <f>VLOOKUP(B490,DONGIA,DG!$G$6,0)</f>
        <v>0</v>
      </c>
      <c r="M490" s="329">
        <f t="shared" si="94"/>
        <v>0</v>
      </c>
      <c r="N490" s="329">
        <f t="shared" si="95"/>
        <v>0</v>
      </c>
      <c r="O490" s="329">
        <f t="shared" si="96"/>
        <v>0</v>
      </c>
      <c r="P490" s="329">
        <f t="shared" si="97"/>
        <v>0</v>
      </c>
      <c r="Q490" s="329"/>
      <c r="S490" s="332">
        <f t="shared" si="72"/>
        <v>1.5</v>
      </c>
      <c r="T490" s="332">
        <f t="shared" si="98"/>
        <v>0</v>
      </c>
    </row>
    <row r="491" spans="2:20" hidden="1">
      <c r="B491" s="332" t="s">
        <v>1183</v>
      </c>
      <c r="C491" s="333">
        <f t="shared" si="93"/>
        <v>0</v>
      </c>
      <c r="D491" s="328"/>
      <c r="E491" s="328">
        <f>VLOOKUP(B491,DONGIA,DG!$B$6,0)</f>
        <v>0</v>
      </c>
      <c r="F491" s="329" t="str">
        <f>VLOOKUP(B491,DONGIA,DG!$C$6,0)</f>
        <v>Co  90 độ PVC 90</v>
      </c>
      <c r="G491" s="328" t="str">
        <f>VLOOKUP(B491,DONGIA,DG!$D$6,0)</f>
        <v>cái</v>
      </c>
      <c r="H491" s="329">
        <f>H478*2</f>
        <v>0</v>
      </c>
      <c r="I491" s="329">
        <f>VLOOKUP(B491,DONGIA,DG!$E$6,0)</f>
        <v>45400</v>
      </c>
      <c r="J491" s="329"/>
      <c r="K491" s="329">
        <f>VLOOKUP(B491,DONGIA,DG!$F$6,0)</f>
        <v>0</v>
      </c>
      <c r="L491" s="329">
        <f>VLOOKUP(B491,DONGIA,DG!$G$6,0)</f>
        <v>0</v>
      </c>
      <c r="M491" s="329">
        <f t="shared" si="94"/>
        <v>0</v>
      </c>
      <c r="N491" s="329">
        <f t="shared" si="95"/>
        <v>0</v>
      </c>
      <c r="O491" s="329">
        <f t="shared" si="96"/>
        <v>0</v>
      </c>
      <c r="P491" s="329">
        <f t="shared" si="97"/>
        <v>0</v>
      </c>
      <c r="Q491" s="329"/>
      <c r="S491" s="332">
        <f t="shared" si="72"/>
        <v>0</v>
      </c>
      <c r="T491" s="332">
        <f t="shared" si="98"/>
        <v>0</v>
      </c>
    </row>
    <row r="492" spans="2:20" hidden="1">
      <c r="B492" s="332" t="s">
        <v>2956</v>
      </c>
      <c r="C492" s="333">
        <f t="shared" si="93"/>
        <v>0</v>
      </c>
      <c r="D492" s="328"/>
      <c r="E492" s="328">
        <f>VLOOKUP(B492,DONGIA,DG!$B$6,0)</f>
        <v>0</v>
      </c>
      <c r="F492" s="329" t="str">
        <f>VLOOKUP(B492,DONGIA,DG!$C$6,0)</f>
        <v>Co  90 độ PVC 90 (Loại dày)</v>
      </c>
      <c r="G492" s="328" t="str">
        <f>VLOOKUP(B492,DONGIA,DG!$D$6,0)</f>
        <v>cái</v>
      </c>
      <c r="H492" s="329">
        <f>H478</f>
        <v>0</v>
      </c>
      <c r="I492" s="329">
        <f>VLOOKUP(B492,DONGIA,DG!$E$6,0)</f>
        <v>45400</v>
      </c>
      <c r="J492" s="329"/>
      <c r="K492" s="329">
        <f>VLOOKUP(B492,DONGIA,DG!$F$6,0)</f>
        <v>0</v>
      </c>
      <c r="L492" s="329">
        <f>VLOOKUP(B492,DONGIA,DG!$G$6,0)</f>
        <v>0</v>
      </c>
      <c r="M492" s="329">
        <f t="shared" si="94"/>
        <v>0</v>
      </c>
      <c r="N492" s="329">
        <f t="shared" si="95"/>
        <v>0</v>
      </c>
      <c r="O492" s="329">
        <f t="shared" si="96"/>
        <v>0</v>
      </c>
      <c r="P492" s="329">
        <f t="shared" si="97"/>
        <v>0</v>
      </c>
      <c r="Q492" s="329"/>
      <c r="S492" s="332">
        <f>IFERROR(VLOOKUP(B492,DONGIA,$S$25,0),0)</f>
        <v>0</v>
      </c>
      <c r="T492" s="332">
        <f t="shared" si="98"/>
        <v>0</v>
      </c>
    </row>
    <row r="493" spans="2:20" hidden="1">
      <c r="B493" s="332" t="s">
        <v>1181</v>
      </c>
      <c r="C493" s="333">
        <f t="shared" si="93"/>
        <v>0</v>
      </c>
      <c r="D493" s="328"/>
      <c r="E493" s="328">
        <f>VLOOKUP(B493,DONGIA,DG!$B$6,0)</f>
        <v>0</v>
      </c>
      <c r="F493" s="329" t="str">
        <f>VLOOKUP(B493,DONGIA,DG!$C$6,0)</f>
        <v>Co 135 độ PVC 90</v>
      </c>
      <c r="G493" s="328" t="str">
        <f>VLOOKUP(B493,DONGIA,DG!$D$6,0)</f>
        <v>cái</v>
      </c>
      <c r="H493" s="329">
        <f>H478</f>
        <v>0</v>
      </c>
      <c r="I493" s="329">
        <f>VLOOKUP(B493,DONGIA,DG!$E$6,0)</f>
        <v>34800</v>
      </c>
      <c r="J493" s="329"/>
      <c r="K493" s="329">
        <f>VLOOKUP(B493,DONGIA,DG!$F$6,0)</f>
        <v>0</v>
      </c>
      <c r="L493" s="329">
        <f>VLOOKUP(B493,DONGIA,DG!$G$6,0)</f>
        <v>0</v>
      </c>
      <c r="M493" s="329">
        <f t="shared" si="94"/>
        <v>0</v>
      </c>
      <c r="N493" s="329">
        <f t="shared" si="95"/>
        <v>0</v>
      </c>
      <c r="O493" s="329">
        <f t="shared" si="96"/>
        <v>0</v>
      </c>
      <c r="P493" s="329">
        <f t="shared" si="97"/>
        <v>0</v>
      </c>
      <c r="Q493" s="329"/>
      <c r="S493" s="332">
        <f t="shared" si="72"/>
        <v>0</v>
      </c>
      <c r="T493" s="332">
        <f t="shared" si="98"/>
        <v>0</v>
      </c>
    </row>
    <row r="494" spans="2:20" hidden="1">
      <c r="B494" s="332" t="s">
        <v>1203</v>
      </c>
      <c r="C494" s="333">
        <f t="shared" si="93"/>
        <v>0</v>
      </c>
      <c r="D494" s="328"/>
      <c r="E494" s="328">
        <f>VLOOKUP(B494,DONGIA,DG!$B$6,0)</f>
        <v>0</v>
      </c>
      <c r="F494" s="329" t="str">
        <f>VLOOKUP(B494,DONGIA,DG!$C$6,0)</f>
        <v>Khâu ven răng trong D90</v>
      </c>
      <c r="G494" s="328" t="str">
        <f>VLOOKUP(B494,DONGIA,DG!$D$6,0)</f>
        <v>cái</v>
      </c>
      <c r="H494" s="329">
        <f>H478</f>
        <v>0</v>
      </c>
      <c r="I494" s="329">
        <f>VLOOKUP(B494,DONGIA,DG!$E$6,0)</f>
        <v>25800</v>
      </c>
      <c r="J494" s="329"/>
      <c r="K494" s="329">
        <f>VLOOKUP(B494,DONGIA,DG!$F$6,0)</f>
        <v>0</v>
      </c>
      <c r="L494" s="329">
        <f>VLOOKUP(B494,DONGIA,DG!$G$6,0)</f>
        <v>0</v>
      </c>
      <c r="M494" s="329">
        <f t="shared" si="94"/>
        <v>0</v>
      </c>
      <c r="N494" s="329">
        <f t="shared" si="95"/>
        <v>0</v>
      </c>
      <c r="O494" s="329">
        <f t="shared" si="96"/>
        <v>0</v>
      </c>
      <c r="P494" s="329">
        <f t="shared" si="97"/>
        <v>0</v>
      </c>
      <c r="Q494" s="329"/>
      <c r="S494" s="332">
        <f t="shared" si="72"/>
        <v>0</v>
      </c>
      <c r="T494" s="332">
        <f t="shared" si="98"/>
        <v>0</v>
      </c>
    </row>
    <row r="495" spans="2:20" hidden="1">
      <c r="B495" s="332" t="s">
        <v>1209</v>
      </c>
      <c r="C495" s="333">
        <f t="shared" si="93"/>
        <v>0</v>
      </c>
      <c r="D495" s="328"/>
      <c r="E495" s="328">
        <f>VLOOKUP(B495,DONGIA,DG!$B$6,0)</f>
        <v>0</v>
      </c>
      <c r="F495" s="329" t="str">
        <f>VLOOKUP(B495,DONGIA,DG!$C$6,0)</f>
        <v>Khâu ven răng ngoài D90</v>
      </c>
      <c r="G495" s="328" t="str">
        <f>VLOOKUP(B495,DONGIA,DG!$D$6,0)</f>
        <v>cái</v>
      </c>
      <c r="H495" s="329">
        <f>H494</f>
        <v>0</v>
      </c>
      <c r="I495" s="329">
        <f>VLOOKUP(B495,DONGIA,DG!$E$6,0)</f>
        <v>21500</v>
      </c>
      <c r="J495" s="329"/>
      <c r="K495" s="329">
        <f>VLOOKUP(B495,DONGIA,DG!$F$6,0)</f>
        <v>0</v>
      </c>
      <c r="L495" s="329">
        <f>VLOOKUP(B495,DONGIA,DG!$G$6,0)</f>
        <v>0</v>
      </c>
      <c r="M495" s="329">
        <f t="shared" si="94"/>
        <v>0</v>
      </c>
      <c r="N495" s="329">
        <f t="shared" si="95"/>
        <v>0</v>
      </c>
      <c r="O495" s="329">
        <f t="shared" si="96"/>
        <v>0</v>
      </c>
      <c r="P495" s="329">
        <f t="shared" si="97"/>
        <v>0</v>
      </c>
      <c r="Q495" s="329"/>
      <c r="S495" s="332">
        <f t="shared" si="72"/>
        <v>0</v>
      </c>
      <c r="T495" s="332">
        <f t="shared" si="98"/>
        <v>0</v>
      </c>
    </row>
    <row r="496" spans="2:20" hidden="1">
      <c r="B496" s="332" t="s">
        <v>1914</v>
      </c>
      <c r="C496" s="333">
        <f t="shared" si="93"/>
        <v>0</v>
      </c>
      <c r="D496" s="328"/>
      <c r="E496" s="328">
        <f>VLOOKUP(B496,DONGIA,DG!$B$6,0)</f>
        <v>0</v>
      </c>
      <c r="F496" s="329" t="str">
        <f>VLOOKUP(B496,DONGIA,DG!$C$6,0)</f>
        <v>Keo dán ống PVC (100gr)</v>
      </c>
      <c r="G496" s="328" t="str">
        <f>VLOOKUP(B496,DONGIA,DG!$D$6,0)</f>
        <v>tuýp</v>
      </c>
      <c r="H496" s="329">
        <f>H478</f>
        <v>0</v>
      </c>
      <c r="I496" s="329">
        <f>VLOOKUP(B496,DONGIA,DG!$E$6,0)</f>
        <v>11500</v>
      </c>
      <c r="J496" s="329"/>
      <c r="K496" s="329">
        <f>VLOOKUP(B496,DONGIA,DG!$F$6,0)</f>
        <v>0</v>
      </c>
      <c r="L496" s="329">
        <f>VLOOKUP(B496,DONGIA,DG!$G$6,0)</f>
        <v>0</v>
      </c>
      <c r="M496" s="329">
        <f t="shared" si="94"/>
        <v>0</v>
      </c>
      <c r="N496" s="329">
        <f t="shared" si="95"/>
        <v>0</v>
      </c>
      <c r="O496" s="329">
        <f t="shared" si="96"/>
        <v>0</v>
      </c>
      <c r="P496" s="329">
        <f t="shared" si="97"/>
        <v>0</v>
      </c>
      <c r="Q496" s="329"/>
      <c r="S496" s="332">
        <f t="shared" si="72"/>
        <v>0</v>
      </c>
      <c r="T496" s="332">
        <f t="shared" si="98"/>
        <v>0</v>
      </c>
    </row>
    <row r="497" spans="2:20" hidden="1">
      <c r="B497" s="332" t="s">
        <v>1195</v>
      </c>
      <c r="C497" s="333">
        <f t="shared" si="93"/>
        <v>0</v>
      </c>
      <c r="D497" s="328"/>
      <c r="E497" s="328">
        <f>VLOOKUP(B497,DONGIA,DG!$B$6,0)</f>
        <v>0</v>
      </c>
      <c r="F497" s="329" t="str">
        <f>VLOOKUP(B497,DONGIA,DG!$C$6,0)</f>
        <v>Keo silicon bít miệng ống</v>
      </c>
      <c r="G497" s="328" t="str">
        <f>VLOOKUP(B497,DONGIA,DG!$D$6,0)</f>
        <v>ống</v>
      </c>
      <c r="H497" s="329"/>
      <c r="I497" s="329">
        <f>VLOOKUP(B497,DONGIA,DG!$E$6,0)</f>
        <v>45000</v>
      </c>
      <c r="J497" s="329"/>
      <c r="K497" s="329">
        <f>VLOOKUP(B497,DONGIA,DG!$F$6,0)</f>
        <v>0</v>
      </c>
      <c r="L497" s="329">
        <f>VLOOKUP(B497,DONGIA,DG!$G$6,0)</f>
        <v>0</v>
      </c>
      <c r="M497" s="329">
        <f t="shared" si="94"/>
        <v>0</v>
      </c>
      <c r="N497" s="329">
        <f t="shared" si="95"/>
        <v>0</v>
      </c>
      <c r="O497" s="329">
        <f t="shared" si="96"/>
        <v>0</v>
      </c>
      <c r="P497" s="329">
        <f t="shared" si="97"/>
        <v>0</v>
      </c>
      <c r="Q497" s="329"/>
      <c r="S497" s="332">
        <f t="shared" si="72"/>
        <v>0</v>
      </c>
      <c r="T497" s="332">
        <f t="shared" si="98"/>
        <v>0</v>
      </c>
    </row>
    <row r="498" spans="2:20" hidden="1">
      <c r="B498" s="332" t="s">
        <v>2979</v>
      </c>
      <c r="C498" s="333">
        <f t="shared" si="93"/>
        <v>0</v>
      </c>
      <c r="D498" s="328"/>
      <c r="E498" s="328">
        <f>VLOOKUP(B498,DONGIA,DG!$B$6,0)</f>
        <v>0</v>
      </c>
      <c r="F498" s="329" t="str">
        <f>VLOOKUP(B498,DONGIA,DG!$C$6,0)</f>
        <v>Băng keo cách điện (Màu vàng)</v>
      </c>
      <c r="G498" s="328" t="str">
        <f>VLOOKUP(B498,DONGIA,DG!$D$6,0)</f>
        <v>cuộn</v>
      </c>
      <c r="H498" s="329">
        <f>ROUNDUP(H478/2,0)</f>
        <v>0</v>
      </c>
      <c r="I498" s="329">
        <f>VLOOKUP(B498,DONGIA,DG!$E$6,0)</f>
        <v>6500</v>
      </c>
      <c r="J498" s="329"/>
      <c r="K498" s="329">
        <f>VLOOKUP(B498,DONGIA,DG!$F$6,0)</f>
        <v>0</v>
      </c>
      <c r="L498" s="329">
        <f>VLOOKUP(B498,DONGIA,DG!$G$6,0)</f>
        <v>0</v>
      </c>
      <c r="M498" s="329">
        <f t="shared" si="94"/>
        <v>0</v>
      </c>
      <c r="N498" s="329">
        <f t="shared" si="95"/>
        <v>0</v>
      </c>
      <c r="O498" s="329">
        <f t="shared" si="96"/>
        <v>0</v>
      </c>
      <c r="P498" s="329">
        <f t="shared" si="97"/>
        <v>0</v>
      </c>
      <c r="Q498" s="329"/>
      <c r="S498" s="332">
        <f t="shared" si="72"/>
        <v>0</v>
      </c>
      <c r="T498" s="332">
        <f t="shared" si="98"/>
        <v>0</v>
      </c>
    </row>
    <row r="499" spans="2:20" hidden="1">
      <c r="B499" s="332" t="s">
        <v>2980</v>
      </c>
      <c r="C499" s="333">
        <f t="shared" si="93"/>
        <v>0</v>
      </c>
      <c r="D499" s="328"/>
      <c r="E499" s="328">
        <f>VLOOKUP(B499,DONGIA,DG!$B$6,0)</f>
        <v>0</v>
      </c>
      <c r="F499" s="329" t="str">
        <f>VLOOKUP(B499,DONGIA,DG!$C$6,0)</f>
        <v>Băng keo cách điện (Màu xanh)</v>
      </c>
      <c r="G499" s="328" t="str">
        <f>VLOOKUP(B499,DONGIA,DG!$D$6,0)</f>
        <v>cuộn</v>
      </c>
      <c r="H499" s="329">
        <f>ROUNDUP(H478/2,0)</f>
        <v>0</v>
      </c>
      <c r="I499" s="329">
        <f>VLOOKUP(B499,DONGIA,DG!$E$6,0)</f>
        <v>6500</v>
      </c>
      <c r="J499" s="329"/>
      <c r="K499" s="329">
        <f>VLOOKUP(B499,DONGIA,DG!$F$6,0)</f>
        <v>0</v>
      </c>
      <c r="L499" s="329">
        <f>VLOOKUP(B499,DONGIA,DG!$G$6,0)</f>
        <v>0</v>
      </c>
      <c r="M499" s="329">
        <f t="shared" si="94"/>
        <v>0</v>
      </c>
      <c r="N499" s="329">
        <f t="shared" si="95"/>
        <v>0</v>
      </c>
      <c r="O499" s="329">
        <f t="shared" si="96"/>
        <v>0</v>
      </c>
      <c r="P499" s="329">
        <f t="shared" si="97"/>
        <v>0</v>
      </c>
      <c r="Q499" s="329"/>
      <c r="S499" s="332">
        <f t="shared" si="72"/>
        <v>0</v>
      </c>
      <c r="T499" s="332">
        <f t="shared" si="98"/>
        <v>0</v>
      </c>
    </row>
    <row r="500" spans="2:20" hidden="1">
      <c r="B500" s="332" t="s">
        <v>2981</v>
      </c>
      <c r="C500" s="333">
        <f t="shared" si="93"/>
        <v>0</v>
      </c>
      <c r="D500" s="328"/>
      <c r="E500" s="328">
        <f>VLOOKUP(B500,DONGIA,DG!$B$6,0)</f>
        <v>0</v>
      </c>
      <c r="F500" s="329" t="str">
        <f>VLOOKUP(B500,DONGIA,DG!$C$6,0)</f>
        <v>Băng keo cách điện (Màu đỏ)</v>
      </c>
      <c r="G500" s="328" t="str">
        <f>VLOOKUP(B500,DONGIA,DG!$D$6,0)</f>
        <v>cuộn</v>
      </c>
      <c r="H500" s="329">
        <f>ROUNDUP(H478/2,0)</f>
        <v>0</v>
      </c>
      <c r="I500" s="329">
        <f>VLOOKUP(B500,DONGIA,DG!$E$6,0)</f>
        <v>6500</v>
      </c>
      <c r="J500" s="329"/>
      <c r="K500" s="329">
        <f>VLOOKUP(B500,DONGIA,DG!$F$6,0)</f>
        <v>0</v>
      </c>
      <c r="L500" s="329">
        <f>VLOOKUP(B500,DONGIA,DG!$G$6,0)</f>
        <v>0</v>
      </c>
      <c r="M500" s="329">
        <f t="shared" si="94"/>
        <v>0</v>
      </c>
      <c r="N500" s="329">
        <f t="shared" si="95"/>
        <v>0</v>
      </c>
      <c r="O500" s="329">
        <f t="shared" si="96"/>
        <v>0</v>
      </c>
      <c r="P500" s="329">
        <f t="shared" si="97"/>
        <v>0</v>
      </c>
      <c r="Q500" s="329"/>
      <c r="S500" s="332">
        <f t="shared" si="72"/>
        <v>0</v>
      </c>
      <c r="T500" s="332">
        <f t="shared" si="98"/>
        <v>0</v>
      </c>
    </row>
    <row r="501" spans="2:20" hidden="1">
      <c r="B501" s="332" t="s">
        <v>855</v>
      </c>
      <c r="C501" s="333">
        <f t="shared" si="93"/>
        <v>0</v>
      </c>
      <c r="D501" s="328"/>
      <c r="E501" s="328" t="str">
        <f>VLOOKUP(B501,DONGIA,DG!$B$6,0)</f>
        <v>T4.8003</v>
      </c>
      <c r="F501" s="329" t="str">
        <f>VLOOKUP(B501,DONGIA,DG!$C$6,0)</f>
        <v>Lắp ống nhựa PVC D90</v>
      </c>
      <c r="G501" s="328" t="str">
        <f>VLOOKUP(B501,DONGIA,DG!$D$6,0)</f>
        <v>mét</v>
      </c>
      <c r="H501" s="329">
        <f>H487</f>
        <v>0</v>
      </c>
      <c r="I501" s="329">
        <f>VLOOKUP(B501,DONGIA,DG!$E$6,0)</f>
        <v>0</v>
      </c>
      <c r="J501" s="329"/>
      <c r="K501" s="329">
        <f>VLOOKUP(B501,DONGIA,DG!$F$6,0)</f>
        <v>35541</v>
      </c>
      <c r="L501" s="329">
        <f>VLOOKUP(B501,DONGIA,DG!$G$6,0)</f>
        <v>0</v>
      </c>
      <c r="M501" s="329">
        <f t="shared" si="94"/>
        <v>0</v>
      </c>
      <c r="N501" s="329">
        <f t="shared" si="95"/>
        <v>0</v>
      </c>
      <c r="O501" s="329">
        <f t="shared" si="96"/>
        <v>0</v>
      </c>
      <c r="P501" s="329">
        <f t="shared" si="97"/>
        <v>0</v>
      </c>
      <c r="Q501" s="329"/>
      <c r="S501" s="332">
        <f>IFERROR(VLOOKUP(B501,DONGIA,$S$25,0),0)</f>
        <v>0</v>
      </c>
      <c r="T501" s="332">
        <f t="shared" si="98"/>
        <v>0</v>
      </c>
    </row>
    <row r="502" spans="2:20" hidden="1">
      <c r="B502" s="332" t="s">
        <v>1939</v>
      </c>
      <c r="C502" s="333">
        <f t="shared" si="93"/>
        <v>0</v>
      </c>
      <c r="D502" s="328"/>
      <c r="E502" s="328" t="str">
        <f>VLOOKUP(B502,DONGIA,DG!$B$6,0)</f>
        <v>T4.4201</v>
      </c>
      <c r="F502" s="329" t="str">
        <f>VLOOKUP(B502,DONGIA,DG!$C$6,0)</f>
        <v>Lắp cáp đồng xuống thiết bị D ≤ 95mm2</v>
      </c>
      <c r="G502" s="328" t="str">
        <f>VLOOKUP(B502,DONGIA,DG!$D$6,0)</f>
        <v>m</v>
      </c>
      <c r="H502" s="455">
        <f>H480+H481+H482</f>
        <v>0</v>
      </c>
      <c r="I502" s="329">
        <f>VLOOKUP(B502,DONGIA,DG!$E$6,0)</f>
        <v>0</v>
      </c>
      <c r="J502" s="329"/>
      <c r="K502" s="329">
        <f>VLOOKUP(B502,DONGIA,DG!$F$6,0)</f>
        <v>11847</v>
      </c>
      <c r="L502" s="329">
        <f>VLOOKUP(B502,DONGIA,DG!$G$6,0)</f>
        <v>0</v>
      </c>
      <c r="M502" s="329">
        <f t="shared" si="94"/>
        <v>0</v>
      </c>
      <c r="N502" s="329">
        <f t="shared" si="95"/>
        <v>0</v>
      </c>
      <c r="O502" s="329">
        <f t="shared" si="96"/>
        <v>0</v>
      </c>
      <c r="P502" s="329">
        <f t="shared" si="97"/>
        <v>0</v>
      </c>
      <c r="Q502" s="329"/>
      <c r="S502" s="332">
        <f t="shared" si="72"/>
        <v>0</v>
      </c>
      <c r="T502" s="332">
        <f t="shared" si="98"/>
        <v>0</v>
      </c>
    </row>
    <row r="503" spans="2:20" hidden="1">
      <c r="C503" s="333">
        <f>IF(SUM(C505:C536)&lt;&gt;0,1,)</f>
        <v>0</v>
      </c>
      <c r="D503" s="372">
        <f>IF(H503&lt;&gt;0,D478+1,D478)</f>
        <v>0</v>
      </c>
      <c r="E503" s="372"/>
      <c r="F503" s="373" t="s">
        <v>2986</v>
      </c>
      <c r="G503" s="372" t="s">
        <v>138</v>
      </c>
      <c r="H503" s="372"/>
      <c r="I503" s="373"/>
      <c r="J503" s="373"/>
      <c r="K503" s="373"/>
      <c r="L503" s="373"/>
      <c r="M503" s="373"/>
      <c r="N503" s="373"/>
      <c r="O503" s="373"/>
      <c r="P503" s="373"/>
      <c r="Q503" s="373"/>
      <c r="S503" s="332">
        <f t="shared" si="72"/>
        <v>0</v>
      </c>
      <c r="T503" s="332">
        <f t="shared" si="98"/>
        <v>0</v>
      </c>
    </row>
    <row r="504" spans="2:20" s="361" customFormat="1" hidden="1">
      <c r="C504" s="374">
        <f>IF(SUM(C505:C508)&lt;&gt;0,1,)</f>
        <v>0</v>
      </c>
      <c r="D504" s="350"/>
      <c r="E504" s="350"/>
      <c r="F504" s="351" t="s">
        <v>2924</v>
      </c>
      <c r="G504" s="350"/>
      <c r="H504" s="482"/>
      <c r="I504" s="351"/>
      <c r="J504" s="351"/>
      <c r="K504" s="351"/>
      <c r="L504" s="351"/>
      <c r="M504" s="351"/>
      <c r="N504" s="351"/>
      <c r="O504" s="351"/>
      <c r="P504" s="351"/>
      <c r="Q504" s="351"/>
      <c r="S504" s="361">
        <f t="shared" si="72"/>
        <v>0</v>
      </c>
      <c r="T504" s="361">
        <f t="shared" si="98"/>
        <v>0</v>
      </c>
    </row>
    <row r="505" spans="2:20" s="352" customFormat="1" hidden="1">
      <c r="B505" s="352" t="s">
        <v>177</v>
      </c>
      <c r="C505" s="484">
        <f>IF(H505&lt;&gt;0,1,)</f>
        <v>0</v>
      </c>
      <c r="D505" s="363"/>
      <c r="E505" s="363">
        <f>VLOOKUP(B505,DONGIA,DG!$B$6,0)</f>
        <v>0</v>
      </c>
      <c r="F505" s="362" t="str">
        <f>VLOOKUP(B505,DONGIA,DG!$C$6,0)</f>
        <v>Cáp nhôm lõi thép AC-50/8</v>
      </c>
      <c r="G505" s="363" t="str">
        <f>VLOOKUP(B505,DONGIA,DG!$D$6,0)</f>
        <v>kg</v>
      </c>
      <c r="H505" s="483"/>
      <c r="I505" s="362">
        <f>VLOOKUP(B505,DONGIA,DG!$E$6,0)</f>
        <v>59680</v>
      </c>
      <c r="J505" s="362"/>
      <c r="K505" s="362">
        <f>VLOOKUP(B505,DONGIA,DG!$F$6,0)</f>
        <v>0</v>
      </c>
      <c r="L505" s="362">
        <f>VLOOKUP(B505,DONGIA,DG!$G$6,0)</f>
        <v>0</v>
      </c>
      <c r="M505" s="362">
        <f t="shared" ref="M505:M512" si="99">$H505*I505</f>
        <v>0</v>
      </c>
      <c r="N505" s="362">
        <f t="shared" ref="N505:N512" si="100">$H505*J505</f>
        <v>0</v>
      </c>
      <c r="O505" s="362">
        <f t="shared" ref="O505:O512" si="101">$H505*K505</f>
        <v>0</v>
      </c>
      <c r="P505" s="362">
        <f t="shared" ref="P505:P512" si="102">$H505*L505</f>
        <v>0</v>
      </c>
      <c r="Q505" s="362"/>
      <c r="S505" s="352">
        <f t="shared" si="72"/>
        <v>1</v>
      </c>
      <c r="T505" s="352">
        <f t="shared" si="98"/>
        <v>0</v>
      </c>
    </row>
    <row r="506" spans="2:20" s="352" customFormat="1" hidden="1">
      <c r="B506" s="352" t="s">
        <v>2885</v>
      </c>
      <c r="C506" s="484">
        <f>IF(H506&lt;&gt;0,1,)</f>
        <v>0</v>
      </c>
      <c r="D506" s="363"/>
      <c r="E506" s="363">
        <f>VLOOKUP(B506,DONGIA,DG!$B$6,0)</f>
        <v>0</v>
      </c>
      <c r="F506" s="362" t="str">
        <f>VLOOKUP(B506,DONGIA,DG!$C$6,0)</f>
        <v>Cáp nhôm bọc AV70</v>
      </c>
      <c r="G506" s="363" t="str">
        <f>VLOOKUP(B506,DONGIA,DG!$D$6,0)</f>
        <v>mét</v>
      </c>
      <c r="H506" s="457"/>
      <c r="I506" s="362">
        <f>VLOOKUP(B506,DONGIA,DG!$E$6,0)</f>
        <v>22680</v>
      </c>
      <c r="J506" s="362"/>
      <c r="K506" s="362">
        <f>VLOOKUP(B506,DONGIA,DG!$F$6,0)</f>
        <v>0</v>
      </c>
      <c r="L506" s="362">
        <f>VLOOKUP(B506,DONGIA,DG!$G$6,0)</f>
        <v>0</v>
      </c>
      <c r="M506" s="362">
        <f t="shared" si="99"/>
        <v>0</v>
      </c>
      <c r="N506" s="362">
        <f t="shared" si="100"/>
        <v>0</v>
      </c>
      <c r="O506" s="362">
        <f t="shared" si="101"/>
        <v>0</v>
      </c>
      <c r="P506" s="362">
        <f t="shared" si="102"/>
        <v>0</v>
      </c>
      <c r="Q506" s="362"/>
      <c r="S506" s="352">
        <f t="shared" si="72"/>
        <v>0.308</v>
      </c>
      <c r="T506" s="352">
        <f t="shared" si="98"/>
        <v>0</v>
      </c>
    </row>
    <row r="507" spans="2:20" s="352" customFormat="1" hidden="1">
      <c r="B507" s="352" t="s">
        <v>400</v>
      </c>
      <c r="C507" s="484">
        <f>IF(H507&lt;&gt;0,1,)</f>
        <v>0</v>
      </c>
      <c r="D507" s="363"/>
      <c r="E507" s="363">
        <f>VLOOKUP(B507,DONGIA,DG!$B$6,0)</f>
        <v>0</v>
      </c>
      <c r="F507" s="362" t="str">
        <f>VLOOKUP(B507,DONGIA,DG!$C$6,0)</f>
        <v>Rack 3 sứ - 3mm (ty 14)</v>
      </c>
      <c r="G507" s="363" t="str">
        <f>VLOOKUP(B507,DONGIA,DG!$D$6,0)</f>
        <v>bộ</v>
      </c>
      <c r="H507" s="362"/>
      <c r="I507" s="362">
        <f>VLOOKUP(B507,DONGIA,DG!$E$6,0)</f>
        <v>98000</v>
      </c>
      <c r="J507" s="362"/>
      <c r="K507" s="362">
        <f>VLOOKUP(B507,DONGIA,DG!$F$6,0)</f>
        <v>0</v>
      </c>
      <c r="L507" s="362">
        <f>VLOOKUP(B507,DONGIA,DG!$G$6,0)</f>
        <v>0</v>
      </c>
      <c r="M507" s="362">
        <f t="shared" si="99"/>
        <v>0</v>
      </c>
      <c r="N507" s="362">
        <f t="shared" si="100"/>
        <v>0</v>
      </c>
      <c r="O507" s="362">
        <f t="shared" si="101"/>
        <v>0</v>
      </c>
      <c r="P507" s="362">
        <f t="shared" si="102"/>
        <v>0</v>
      </c>
      <c r="Q507" s="362"/>
      <c r="S507" s="352">
        <f t="shared" si="72"/>
        <v>3.5</v>
      </c>
      <c r="T507" s="352">
        <f t="shared" si="98"/>
        <v>0</v>
      </c>
    </row>
    <row r="508" spans="2:20" s="352" customFormat="1" hidden="1">
      <c r="B508" s="352" t="s">
        <v>409</v>
      </c>
      <c r="C508" s="484">
        <f>IF(H508&lt;&gt;0,1,)</f>
        <v>0</v>
      </c>
      <c r="D508" s="363"/>
      <c r="E508" s="363" t="str">
        <f>VLOOKUP(B508,DONGIA,DG!$B$6,0)</f>
        <v>D3.1201</v>
      </c>
      <c r="F508" s="362" t="str">
        <f>VLOOKUP(B508,DONGIA,DG!$C$6,0)</f>
        <v xml:space="preserve">Sứ ống chỉ </v>
      </c>
      <c r="G508" s="363" t="str">
        <f>VLOOKUP(B508,DONGIA,DG!$D$6,0)</f>
        <v>cái</v>
      </c>
      <c r="H508" s="362"/>
      <c r="I508" s="362">
        <f>VLOOKUP(B508,DONGIA,DG!$E$6,0)</f>
        <v>20000</v>
      </c>
      <c r="J508" s="362"/>
      <c r="K508" s="362">
        <f>VLOOKUP(B508,DONGIA,DG!$F$6,0)</f>
        <v>13173</v>
      </c>
      <c r="L508" s="362">
        <f>VLOOKUP(B508,DONGIA,DG!$G$6,0)</f>
        <v>0</v>
      </c>
      <c r="M508" s="362">
        <f t="shared" si="99"/>
        <v>0</v>
      </c>
      <c r="N508" s="362">
        <f t="shared" si="100"/>
        <v>0</v>
      </c>
      <c r="O508" s="362">
        <f t="shared" si="101"/>
        <v>0</v>
      </c>
      <c r="P508" s="362">
        <f t="shared" si="102"/>
        <v>0</v>
      </c>
      <c r="Q508" s="362"/>
      <c r="S508" s="352">
        <f>IFERROR(VLOOKUP(B508,DONGIA,$S$25,0),0)</f>
        <v>0.2</v>
      </c>
      <c r="T508" s="352">
        <f t="shared" si="98"/>
        <v>0</v>
      </c>
    </row>
    <row r="509" spans="2:20" s="352" customFormat="1" hidden="1">
      <c r="B509" s="352" t="s">
        <v>37</v>
      </c>
      <c r="C509" s="484">
        <f t="shared" ref="C509:C515" si="103">IF(H509&lt;&gt;0,1,)</f>
        <v>0</v>
      </c>
      <c r="D509" s="363"/>
      <c r="E509" s="363">
        <f>VLOOKUP(B509,DONGIA,DG!$B$6,0)</f>
        <v>0</v>
      </c>
      <c r="F509" s="362" t="str">
        <f>VLOOKUP(B509,DONGIA,DG!$C$6,0)</f>
        <v>Boulon 16x350+ 2 long đền vuông D18-50x50x3/Zn</v>
      </c>
      <c r="G509" s="363" t="str">
        <f>VLOOKUP(B509,DONGIA,DG!$D$6,0)</f>
        <v>bộ</v>
      </c>
      <c r="H509" s="362"/>
      <c r="I509" s="362">
        <f>VLOOKUP(B509,DONGIA,DG!$E$6,0)</f>
        <v>32000</v>
      </c>
      <c r="J509" s="362"/>
      <c r="K509" s="362">
        <f>VLOOKUP(B509,DONGIA,DG!$F$6,0)</f>
        <v>0</v>
      </c>
      <c r="L509" s="362">
        <f>VLOOKUP(B509,DONGIA,DG!$G$6,0)</f>
        <v>0</v>
      </c>
      <c r="M509" s="362">
        <f t="shared" si="99"/>
        <v>0</v>
      </c>
      <c r="N509" s="362">
        <f t="shared" si="100"/>
        <v>0</v>
      </c>
      <c r="O509" s="362">
        <f t="shared" si="101"/>
        <v>0</v>
      </c>
      <c r="P509" s="362">
        <f t="shared" si="102"/>
        <v>0</v>
      </c>
      <c r="Q509" s="362"/>
      <c r="S509" s="352">
        <f t="shared" ref="S509:S519" si="104">IFERROR(VLOOKUP(B509,DONGIA,$S$25,0),0)</f>
        <v>0.3</v>
      </c>
      <c r="T509" s="352">
        <f t="shared" ref="T509:T519" si="105">H509*S509</f>
        <v>0</v>
      </c>
    </row>
    <row r="510" spans="2:20" s="352" customFormat="1" hidden="1">
      <c r="B510" s="352" t="s">
        <v>2867</v>
      </c>
      <c r="C510" s="484">
        <f t="shared" si="103"/>
        <v>0</v>
      </c>
      <c r="D510" s="363"/>
      <c r="E510" s="363">
        <f>VLOOKUP(B510,DONGIA,DG!$B$6,0)</f>
        <v>0</v>
      </c>
      <c r="F510" s="362" t="str">
        <f>VLOOKUP(B510,DONGIA,DG!$C$6,0)</f>
        <v>Kẹp Ubolt cỡ dây 70</v>
      </c>
      <c r="G510" s="363" t="str">
        <f>VLOOKUP(B510,DONGIA,DG!$D$6,0)</f>
        <v>cái</v>
      </c>
      <c r="H510" s="362"/>
      <c r="I510" s="362">
        <f>VLOOKUP(B510,DONGIA,DG!$E$6,0)</f>
        <v>16600</v>
      </c>
      <c r="J510" s="362"/>
      <c r="K510" s="362">
        <f>VLOOKUP(B510,DONGIA,DG!$F$6,0)</f>
        <v>0</v>
      </c>
      <c r="L510" s="362">
        <f>VLOOKUP(B510,DONGIA,DG!$G$6,0)</f>
        <v>0</v>
      </c>
      <c r="M510" s="362">
        <f t="shared" si="99"/>
        <v>0</v>
      </c>
      <c r="N510" s="362">
        <f t="shared" si="100"/>
        <v>0</v>
      </c>
      <c r="O510" s="362">
        <f t="shared" si="101"/>
        <v>0</v>
      </c>
      <c r="P510" s="362">
        <f t="shared" si="102"/>
        <v>0</v>
      </c>
      <c r="Q510" s="362"/>
      <c r="S510" s="352">
        <f t="shared" si="104"/>
        <v>0.7</v>
      </c>
      <c r="T510" s="352">
        <f t="shared" si="105"/>
        <v>0</v>
      </c>
    </row>
    <row r="511" spans="2:20" s="352" customFormat="1" hidden="1">
      <c r="B511" s="352" t="s">
        <v>389</v>
      </c>
      <c r="C511" s="484">
        <f t="shared" si="103"/>
        <v>0</v>
      </c>
      <c r="D511" s="363"/>
      <c r="E511" s="363"/>
      <c r="F511" s="362" t="str">
        <f>VLOOKUP(B511,DONGIA,DG!$C$6,0)</f>
        <v>Ống nối dây AC cỡ 70mm2 (Không lõi thép)</v>
      </c>
      <c r="G511" s="363" t="str">
        <f>VLOOKUP(B511,DONGIA,DG!$D$6,0)</f>
        <v>cái</v>
      </c>
      <c r="H511" s="362"/>
      <c r="I511" s="362">
        <f>VLOOKUP(B511,DONGIA,DG!$E$6,0)</f>
        <v>42000</v>
      </c>
      <c r="J511" s="362"/>
      <c r="K511" s="362"/>
      <c r="L511" s="362"/>
      <c r="M511" s="362">
        <f t="shared" si="99"/>
        <v>0</v>
      </c>
      <c r="N511" s="362">
        <f t="shared" si="100"/>
        <v>0</v>
      </c>
      <c r="O511" s="362">
        <f t="shared" si="101"/>
        <v>0</v>
      </c>
      <c r="P511" s="362">
        <f t="shared" si="102"/>
        <v>0</v>
      </c>
      <c r="Q511" s="362"/>
      <c r="S511" s="352">
        <f t="shared" si="104"/>
        <v>2</v>
      </c>
      <c r="T511" s="352">
        <f t="shared" si="105"/>
        <v>0</v>
      </c>
    </row>
    <row r="512" spans="2:20" s="352" customFormat="1" hidden="1">
      <c r="B512" s="352" t="s">
        <v>396</v>
      </c>
      <c r="C512" s="484">
        <f t="shared" si="103"/>
        <v>0</v>
      </c>
      <c r="D512" s="363"/>
      <c r="E512" s="363">
        <f>VLOOKUP(B512,DONGIA,DG!$B$6,0)</f>
        <v>0</v>
      </c>
      <c r="F512" s="362" t="str">
        <f>VLOOKUP(B512,DONGIA,DG!$C$6,0)</f>
        <v>Ống bọc cách điện D30/15</v>
      </c>
      <c r="G512" s="363" t="str">
        <f>VLOOKUP(B512,DONGIA,DG!$D$6,0)</f>
        <v>mét</v>
      </c>
      <c r="H512" s="362"/>
      <c r="I512" s="362">
        <f>VLOOKUP(B512,DONGIA,DG!$E$6,0)</f>
        <v>95000</v>
      </c>
      <c r="J512" s="362"/>
      <c r="K512" s="362">
        <f>VLOOKUP(B512,DONGIA,DG!$F$6,0)</f>
        <v>0</v>
      </c>
      <c r="L512" s="362">
        <f>VLOOKUP(B512,DONGIA,DG!$G$6,0)</f>
        <v>0</v>
      </c>
      <c r="M512" s="362">
        <f t="shared" si="99"/>
        <v>0</v>
      </c>
      <c r="N512" s="362">
        <f t="shared" si="100"/>
        <v>0</v>
      </c>
      <c r="O512" s="362">
        <f t="shared" si="101"/>
        <v>0</v>
      </c>
      <c r="P512" s="362">
        <f t="shared" si="102"/>
        <v>0</v>
      </c>
      <c r="Q512" s="362"/>
      <c r="S512" s="352">
        <f t="shared" si="104"/>
        <v>0</v>
      </c>
      <c r="T512" s="352">
        <f t="shared" si="105"/>
        <v>0</v>
      </c>
    </row>
    <row r="513" spans="2:20" s="352" customFormat="1" hidden="1">
      <c r="B513" s="352" t="s">
        <v>1580</v>
      </c>
      <c r="C513" s="484">
        <f t="shared" si="103"/>
        <v>0</v>
      </c>
      <c r="D513" s="363"/>
      <c r="E513" s="363">
        <f>VLOOKUP(B513,DONGIA,DG!$B$6,0)</f>
        <v>0</v>
      </c>
      <c r="F513" s="362" t="str">
        <f>VLOOKUP(B513,DONGIA,DG!$C$6,0)</f>
        <v>Cáp nhôm ABC 3x70mm2</v>
      </c>
      <c r="G513" s="363" t="str">
        <f>VLOOKUP(B513,DONGIA,DG!$D$6,0)</f>
        <v>mét</v>
      </c>
      <c r="H513" s="483"/>
      <c r="I513" s="362">
        <f>VLOOKUP(B513,DONGIA,DG!$E$6,0)</f>
        <v>83360</v>
      </c>
      <c r="J513" s="362"/>
      <c r="K513" s="362">
        <f>VLOOKUP(B513,DONGIA,DG!$F$6,0)</f>
        <v>0</v>
      </c>
      <c r="L513" s="362">
        <f>VLOOKUP(B513,DONGIA,DG!$G$6,0)</f>
        <v>0</v>
      </c>
      <c r="M513" s="362">
        <f t="shared" ref="M513:M518" si="106">$H513*I513</f>
        <v>0</v>
      </c>
      <c r="N513" s="362">
        <f t="shared" ref="N513:N518" si="107">$H513*J513</f>
        <v>0</v>
      </c>
      <c r="O513" s="362">
        <f t="shared" ref="O513:O518" si="108">$H513*K513</f>
        <v>0</v>
      </c>
      <c r="P513" s="362">
        <f t="shared" ref="P513:P518" si="109">$H513*L513</f>
        <v>0</v>
      </c>
      <c r="Q513" s="362"/>
      <c r="S513" s="352">
        <f t="shared" si="104"/>
        <v>0</v>
      </c>
      <c r="T513" s="352">
        <f t="shared" si="105"/>
        <v>0</v>
      </c>
    </row>
    <row r="514" spans="2:20" s="352" customFormat="1" hidden="1">
      <c r="B514" s="352" t="s">
        <v>1612</v>
      </c>
      <c r="C514" s="484">
        <f t="shared" si="103"/>
        <v>0</v>
      </c>
      <c r="D514" s="363"/>
      <c r="E514" s="363">
        <f>VLOOKUP(B514,DONGIA,DG!$B$6,0)</f>
        <v>0</v>
      </c>
      <c r="F514" s="362" t="str">
        <f>VLOOKUP(B514,DONGIA,DG!$C$6,0)</f>
        <v>Kẹp treo cáp ABC4x70mm2</v>
      </c>
      <c r="G514" s="363" t="str">
        <f>VLOOKUP(B514,DONGIA,DG!$D$6,0)</f>
        <v>cái</v>
      </c>
      <c r="H514" s="362"/>
      <c r="I514" s="362">
        <f>VLOOKUP(B514,DONGIA,DG!$E$6,0)</f>
        <v>22000</v>
      </c>
      <c r="J514" s="362"/>
      <c r="K514" s="362">
        <f>VLOOKUP(B514,DONGIA,DG!$F$6,0)</f>
        <v>0</v>
      </c>
      <c r="L514" s="362">
        <f>VLOOKUP(B514,DONGIA,DG!$G$6,0)</f>
        <v>0</v>
      </c>
      <c r="M514" s="362">
        <f t="shared" si="106"/>
        <v>0</v>
      </c>
      <c r="N514" s="362">
        <f t="shared" si="107"/>
        <v>0</v>
      </c>
      <c r="O514" s="362">
        <f t="shared" si="108"/>
        <v>0</v>
      </c>
      <c r="P514" s="362">
        <f t="shared" si="109"/>
        <v>0</v>
      </c>
      <c r="Q514" s="362"/>
      <c r="S514" s="352">
        <f t="shared" si="104"/>
        <v>0.4</v>
      </c>
      <c r="T514" s="352">
        <f t="shared" si="105"/>
        <v>0</v>
      </c>
    </row>
    <row r="515" spans="2:20" s="352" customFormat="1" hidden="1">
      <c r="B515" s="352" t="s">
        <v>292</v>
      </c>
      <c r="C515" s="484">
        <f t="shared" si="103"/>
        <v>0</v>
      </c>
      <c r="D515" s="363"/>
      <c r="E515" s="363"/>
      <c r="F515" s="362" t="str">
        <f>VLOOKUP(B515,DONGIA,DG!$C$6,0)</f>
        <v>Kẹp ngừng cáp ABC4x70mm2</v>
      </c>
      <c r="G515" s="363" t="str">
        <f>VLOOKUP(B515,DONGIA,DG!$D$6,0)</f>
        <v>cái</v>
      </c>
      <c r="H515" s="362"/>
      <c r="I515" s="362">
        <f>VLOOKUP(B515,DONGIA,DG!$E$6,0)</f>
        <v>58000</v>
      </c>
      <c r="J515" s="362"/>
      <c r="K515" s="362"/>
      <c r="L515" s="362">
        <f>VLOOKUP(B515,DONGIA,DG!$G$6,0)</f>
        <v>0</v>
      </c>
      <c r="M515" s="362">
        <f t="shared" si="106"/>
        <v>0</v>
      </c>
      <c r="N515" s="362">
        <f t="shared" si="107"/>
        <v>0</v>
      </c>
      <c r="O515" s="362">
        <f t="shared" si="108"/>
        <v>0</v>
      </c>
      <c r="P515" s="362">
        <f t="shared" si="109"/>
        <v>0</v>
      </c>
      <c r="Q515" s="362"/>
      <c r="S515" s="352">
        <f t="shared" si="104"/>
        <v>0</v>
      </c>
      <c r="T515" s="352">
        <f t="shared" si="105"/>
        <v>0</v>
      </c>
    </row>
    <row r="516" spans="2:20" s="352" customFormat="1" hidden="1">
      <c r="B516" s="352" t="s">
        <v>117</v>
      </c>
      <c r="C516" s="484">
        <f>IF(H516&lt;&gt;0,1,)</f>
        <v>0</v>
      </c>
      <c r="D516" s="363"/>
      <c r="E516" s="363">
        <f>VLOOKUP(B516,DONGIA,DG!$B$6,0)</f>
        <v>0</v>
      </c>
      <c r="F516" s="362" t="str">
        <f>VLOOKUP(B516,DONGIA,DG!$C$6,0)</f>
        <v>Boulon móc 16x250+ long đền vuông D18-50x50x3/Zn</v>
      </c>
      <c r="G516" s="363" t="str">
        <f>VLOOKUP(B516,DONGIA,DG!$D$6,0)</f>
        <v>bộ</v>
      </c>
      <c r="H516" s="362"/>
      <c r="I516" s="362">
        <f>VLOOKUP(B516,DONGIA,DG!$E$6,0)</f>
        <v>35000</v>
      </c>
      <c r="J516" s="362"/>
      <c r="K516" s="362">
        <f>VLOOKUP(B516,DONGIA,DG!$F$6,0)</f>
        <v>0</v>
      </c>
      <c r="L516" s="362">
        <f>VLOOKUP(B516,DONGIA,DG!$G$6,0)</f>
        <v>0</v>
      </c>
      <c r="M516" s="362">
        <f t="shared" si="106"/>
        <v>0</v>
      </c>
      <c r="N516" s="362">
        <f t="shared" si="107"/>
        <v>0</v>
      </c>
      <c r="O516" s="362">
        <f t="shared" si="108"/>
        <v>0</v>
      </c>
      <c r="P516" s="362">
        <f t="shared" si="109"/>
        <v>0</v>
      </c>
      <c r="Q516" s="362"/>
      <c r="S516" s="352">
        <f>IFERROR(VLOOKUP(B516,DONGIA,$S$25,0),0)</f>
        <v>0.25</v>
      </c>
      <c r="T516" s="352">
        <f>H516*S516</f>
        <v>0</v>
      </c>
    </row>
    <row r="517" spans="2:20" s="352" customFormat="1" hidden="1">
      <c r="B517" s="352" t="s">
        <v>389</v>
      </c>
      <c r="C517" s="484">
        <f>IF(H517&lt;&gt;0,1,)</f>
        <v>0</v>
      </c>
      <c r="D517" s="363"/>
      <c r="E517" s="363"/>
      <c r="F517" s="362" t="str">
        <f>VLOOKUP(B517,DONGIA,DG!$C$6,0)</f>
        <v>Ống nối dây AC cỡ 70mm2 (Không lõi thép)</v>
      </c>
      <c r="G517" s="363" t="str">
        <f>VLOOKUP(B517,DONGIA,DG!$D$6,0)</f>
        <v>cái</v>
      </c>
      <c r="H517" s="362"/>
      <c r="I517" s="362">
        <f>VLOOKUP(B517,DONGIA,DG!$E$6,0)</f>
        <v>42000</v>
      </c>
      <c r="J517" s="362"/>
      <c r="K517" s="362"/>
      <c r="L517" s="362"/>
      <c r="M517" s="362">
        <f t="shared" si="106"/>
        <v>0</v>
      </c>
      <c r="N517" s="362">
        <f t="shared" si="107"/>
        <v>0</v>
      </c>
      <c r="O517" s="362">
        <f t="shared" si="108"/>
        <v>0</v>
      </c>
      <c r="P517" s="362">
        <f t="shared" si="109"/>
        <v>0</v>
      </c>
      <c r="Q517" s="362"/>
      <c r="S517" s="352">
        <f>IFERROR(VLOOKUP(B517,DONGIA,$S$25,0),0)</f>
        <v>2</v>
      </c>
      <c r="T517" s="352">
        <f>H517*S517</f>
        <v>0</v>
      </c>
    </row>
    <row r="518" spans="2:20" s="352" customFormat="1" hidden="1">
      <c r="B518" s="352" t="s">
        <v>2029</v>
      </c>
      <c r="C518" s="484">
        <f>IF(H518&lt;&gt;0,1,)</f>
        <v>0</v>
      </c>
      <c r="D518" s="363"/>
      <c r="E518" s="363" t="str">
        <f>VLOOKUP(B518,DONGIA,DG!$B$6,0)</f>
        <v>D3.6305</v>
      </c>
      <c r="F518" s="362" t="str">
        <f>VLOOKUP(B518,DONGIA,DG!$C$6,0)</f>
        <v>Kéo dây ABC 3x70mm2 (&lt;10m)</v>
      </c>
      <c r="G518" s="363" t="str">
        <f>VLOOKUP(B518,DONGIA,DG!$D$6,0)</f>
        <v>km</v>
      </c>
      <c r="H518" s="53"/>
      <c r="I518" s="362">
        <f>VLOOKUP(B518,DONGIA,DG!$E$6,0)</f>
        <v>0</v>
      </c>
      <c r="J518" s="362"/>
      <c r="K518" s="362">
        <f>VLOOKUP(B518,DONGIA,DG!$F$6,0)</f>
        <v>3968567</v>
      </c>
      <c r="L518" s="362">
        <f>VLOOKUP(B518,DONGIA,DG!$G$6,0)</f>
        <v>0</v>
      </c>
      <c r="M518" s="362">
        <f t="shared" si="106"/>
        <v>0</v>
      </c>
      <c r="N518" s="362">
        <f t="shared" si="107"/>
        <v>0</v>
      </c>
      <c r="O518" s="362">
        <f t="shared" si="108"/>
        <v>0</v>
      </c>
      <c r="P518" s="362">
        <f t="shared" si="109"/>
        <v>0</v>
      </c>
      <c r="Q518" s="362"/>
      <c r="S518" s="352">
        <f>IFERROR(VLOOKUP(B518,DONGIA,$S$25,0),0)</f>
        <v>0</v>
      </c>
      <c r="T518" s="352">
        <f>H518*S518</f>
        <v>0</v>
      </c>
    </row>
    <row r="519" spans="2:20" s="361" customFormat="1" hidden="1">
      <c r="C519" s="374">
        <f>IF(SUM(C520:C523)&lt;&gt;0,1,)</f>
        <v>0</v>
      </c>
      <c r="D519" s="350"/>
      <c r="E519" s="350"/>
      <c r="F519" s="351" t="s">
        <v>2925</v>
      </c>
      <c r="G519" s="350"/>
      <c r="H519" s="482"/>
      <c r="I519" s="351"/>
      <c r="J519" s="351"/>
      <c r="K519" s="351"/>
      <c r="L519" s="351"/>
      <c r="M519" s="351"/>
      <c r="N519" s="351"/>
      <c r="O519" s="351"/>
      <c r="P519" s="351"/>
      <c r="Q519" s="351"/>
      <c r="S519" s="361">
        <f t="shared" si="104"/>
        <v>0</v>
      </c>
      <c r="T519" s="361">
        <f t="shared" si="105"/>
        <v>0</v>
      </c>
    </row>
    <row r="520" spans="2:20" hidden="1">
      <c r="B520" s="332" t="s">
        <v>292</v>
      </c>
      <c r="C520" s="333">
        <f>IF(H520&lt;&gt;0,1,)</f>
        <v>0</v>
      </c>
      <c r="D520" s="328"/>
      <c r="E520" s="328" t="str">
        <f>VLOOKUP(B520,DONGIA,DG!$B$6,0)</f>
        <v>D4.6204</v>
      </c>
      <c r="F520" s="329" t="str">
        <f>VLOOKUP(B520,DONGIA,DG!$C$6,0)</f>
        <v>Kẹp ngừng cáp ABC4x70mm2</v>
      </c>
      <c r="G520" s="328" t="str">
        <f>VLOOKUP(B520,DONGIA,DG!$D$6,0)</f>
        <v>cái</v>
      </c>
      <c r="H520" s="329"/>
      <c r="I520" s="329">
        <f>VLOOKUP(B520,DONGIA,DG!$E$6,0)</f>
        <v>58000</v>
      </c>
      <c r="J520" s="329"/>
      <c r="K520" s="329">
        <f>VLOOKUP(B520,DONGIA,DG!$F$6,0)</f>
        <v>158070</v>
      </c>
      <c r="L520" s="329">
        <f>VLOOKUP(B520,DONGIA,DG!$G$6,0)</f>
        <v>0</v>
      </c>
      <c r="M520" s="329">
        <f t="shared" ref="M520:P523" si="110">$H520*I520</f>
        <v>0</v>
      </c>
      <c r="N520" s="329">
        <f t="shared" si="110"/>
        <v>0</v>
      </c>
      <c r="O520" s="329">
        <f t="shared" si="110"/>
        <v>0</v>
      </c>
      <c r="P520" s="329">
        <f t="shared" si="110"/>
        <v>0</v>
      </c>
      <c r="Q520" s="329"/>
      <c r="S520" s="332">
        <f t="shared" ref="S520:S548" si="111">IFERROR(VLOOKUP(B520,DONGIA,$S$25,0),0)</f>
        <v>0</v>
      </c>
      <c r="T520" s="332">
        <f t="shared" ref="T520:T550" si="112">H520*S520</f>
        <v>0</v>
      </c>
    </row>
    <row r="521" spans="2:20" hidden="1">
      <c r="B521" s="332" t="s">
        <v>119</v>
      </c>
      <c r="C521" s="333">
        <f>IF(H521&lt;&gt;0,1,)</f>
        <v>0</v>
      </c>
      <c r="D521" s="328"/>
      <c r="E521" s="328">
        <f>VLOOKUP(B521,DONGIA,DG!$B$6,0)</f>
        <v>0</v>
      </c>
      <c r="F521" s="329" t="str">
        <f>VLOOKUP(B521,DONGIA,DG!$C$6,0)</f>
        <v>Boulon móc 16x300+ long đền vuông D18-50x50x3/Zn</v>
      </c>
      <c r="G521" s="328" t="str">
        <f>VLOOKUP(B521,DONGIA,DG!$D$6,0)</f>
        <v>bộ</v>
      </c>
      <c r="H521" s="329"/>
      <c r="I521" s="329">
        <f>VLOOKUP(B521,DONGIA,DG!$E$6,0)</f>
        <v>40000</v>
      </c>
      <c r="J521" s="329"/>
      <c r="K521" s="329">
        <f>VLOOKUP(B521,DONGIA,DG!$F$6,0)</f>
        <v>0</v>
      </c>
      <c r="L521" s="329">
        <f>VLOOKUP(B521,DONGIA,DG!$G$6,0)</f>
        <v>0</v>
      </c>
      <c r="M521" s="329">
        <f t="shared" si="110"/>
        <v>0</v>
      </c>
      <c r="N521" s="329">
        <f t="shared" si="110"/>
        <v>0</v>
      </c>
      <c r="O521" s="329">
        <f t="shared" si="110"/>
        <v>0</v>
      </c>
      <c r="P521" s="329">
        <f t="shared" si="110"/>
        <v>0</v>
      </c>
      <c r="Q521" s="329"/>
      <c r="S521" s="332">
        <f t="shared" si="111"/>
        <v>0.3</v>
      </c>
      <c r="T521" s="332">
        <f t="shared" si="112"/>
        <v>0</v>
      </c>
    </row>
    <row r="522" spans="2:20" s="352" customFormat="1" hidden="1">
      <c r="B522" s="352" t="s">
        <v>389</v>
      </c>
      <c r="C522" s="484">
        <f>IF(H522&lt;&gt;0,1,)</f>
        <v>0</v>
      </c>
      <c r="D522" s="363"/>
      <c r="E522" s="363"/>
      <c r="F522" s="362" t="str">
        <f>VLOOKUP(B522,DONGIA,DG!$C$6,0)</f>
        <v>Ống nối dây AC cỡ 70mm2 (Không lõi thép)</v>
      </c>
      <c r="G522" s="363" t="str">
        <f>VLOOKUP(B522,DONGIA,DG!$D$6,0)</f>
        <v>cái</v>
      </c>
      <c r="H522" s="362"/>
      <c r="I522" s="362">
        <f>VLOOKUP(B522,DONGIA,DG!$E$6,0)</f>
        <v>42000</v>
      </c>
      <c r="J522" s="362"/>
      <c r="K522" s="362"/>
      <c r="L522" s="362"/>
      <c r="M522" s="362">
        <f t="shared" si="110"/>
        <v>0</v>
      </c>
      <c r="N522" s="362">
        <f t="shared" si="110"/>
        <v>0</v>
      </c>
      <c r="O522" s="362">
        <f t="shared" si="110"/>
        <v>0</v>
      </c>
      <c r="P522" s="362">
        <f t="shared" si="110"/>
        <v>0</v>
      </c>
      <c r="Q522" s="362"/>
      <c r="S522" s="352">
        <f t="shared" si="111"/>
        <v>2</v>
      </c>
      <c r="T522" s="352">
        <f t="shared" si="112"/>
        <v>0</v>
      </c>
    </row>
    <row r="523" spans="2:20" s="352" customFormat="1" hidden="1">
      <c r="B523" s="352" t="s">
        <v>396</v>
      </c>
      <c r="C523" s="484">
        <f>IF(H523&lt;&gt;0,1,)</f>
        <v>0</v>
      </c>
      <c r="D523" s="363"/>
      <c r="E523" s="363">
        <f>VLOOKUP(B523,DONGIA,DG!$B$6,0)</f>
        <v>0</v>
      </c>
      <c r="F523" s="362" t="str">
        <f>VLOOKUP(B523,DONGIA,DG!$C$6,0)</f>
        <v>Ống bọc cách điện D30/15</v>
      </c>
      <c r="G523" s="363" t="str">
        <f>VLOOKUP(B523,DONGIA,DG!$D$6,0)</f>
        <v>mét</v>
      </c>
      <c r="H523" s="362"/>
      <c r="I523" s="362">
        <f>VLOOKUP(B523,DONGIA,DG!$E$6,0)</f>
        <v>95000</v>
      </c>
      <c r="J523" s="362"/>
      <c r="K523" s="362">
        <f>VLOOKUP(B523,DONGIA,DG!$F$6,0)</f>
        <v>0</v>
      </c>
      <c r="L523" s="362">
        <f>VLOOKUP(B523,DONGIA,DG!$G$6,0)</f>
        <v>0</v>
      </c>
      <c r="M523" s="362">
        <f t="shared" si="110"/>
        <v>0</v>
      </c>
      <c r="N523" s="362">
        <f t="shared" si="110"/>
        <v>0</v>
      </c>
      <c r="O523" s="362">
        <f t="shared" si="110"/>
        <v>0</v>
      </c>
      <c r="P523" s="362">
        <f t="shared" si="110"/>
        <v>0</v>
      </c>
      <c r="Q523" s="362"/>
      <c r="S523" s="352">
        <f t="shared" si="111"/>
        <v>0</v>
      </c>
      <c r="T523" s="352">
        <f t="shared" si="112"/>
        <v>0</v>
      </c>
    </row>
    <row r="524" spans="2:20" s="361" customFormat="1" hidden="1">
      <c r="C524" s="374">
        <f>IF(SUM(C525:C528)&lt;&gt;0,1,)</f>
        <v>0</v>
      </c>
      <c r="D524" s="350"/>
      <c r="E524" s="350"/>
      <c r="F524" s="351" t="s">
        <v>2926</v>
      </c>
      <c r="G524" s="350"/>
      <c r="H524" s="482"/>
      <c r="I524" s="351"/>
      <c r="J524" s="351"/>
      <c r="K524" s="351"/>
      <c r="L524" s="351"/>
      <c r="M524" s="351"/>
      <c r="N524" s="351"/>
      <c r="O524" s="351"/>
      <c r="P524" s="351"/>
      <c r="Q524" s="351"/>
      <c r="S524" s="361">
        <f t="shared" si="111"/>
        <v>0</v>
      </c>
      <c r="T524" s="361">
        <f t="shared" si="112"/>
        <v>0</v>
      </c>
    </row>
    <row r="525" spans="2:20" hidden="1">
      <c r="B525" s="332" t="s">
        <v>294</v>
      </c>
      <c r="C525" s="333">
        <f>IF(H525&lt;&gt;0,1,)</f>
        <v>0</v>
      </c>
      <c r="D525" s="328"/>
      <c r="E525" s="328" t="str">
        <f>VLOOKUP(B525,DONGIA,DG!$B$6,0)</f>
        <v>D4.6205</v>
      </c>
      <c r="F525" s="329" t="str">
        <f>VLOOKUP(B525,DONGIA,DG!$C$6,0)</f>
        <v>Kẹp ngừng cáp ABC4x95mm2</v>
      </c>
      <c r="G525" s="328" t="str">
        <f>VLOOKUP(B525,DONGIA,DG!$D$6,0)</f>
        <v>cái</v>
      </c>
      <c r="H525" s="329"/>
      <c r="I525" s="329">
        <f>VLOOKUP(B525,DONGIA,DG!$E$6,0)</f>
        <v>58000</v>
      </c>
      <c r="J525" s="329"/>
      <c r="K525" s="329">
        <f>VLOOKUP(B525,DONGIA,DG!$F$6,0)</f>
        <v>158070</v>
      </c>
      <c r="L525" s="329">
        <f>VLOOKUP(B525,DONGIA,DG!$G$6,0)</f>
        <v>0</v>
      </c>
      <c r="M525" s="329">
        <f t="shared" ref="M525:P528" si="113">$H525*I525</f>
        <v>0</v>
      </c>
      <c r="N525" s="329">
        <f t="shared" si="113"/>
        <v>0</v>
      </c>
      <c r="O525" s="329">
        <f t="shared" si="113"/>
        <v>0</v>
      </c>
      <c r="P525" s="329">
        <f t="shared" si="113"/>
        <v>0</v>
      </c>
      <c r="Q525" s="329"/>
      <c r="S525" s="332">
        <f t="shared" si="111"/>
        <v>0</v>
      </c>
      <c r="T525" s="332">
        <f t="shared" si="112"/>
        <v>0</v>
      </c>
    </row>
    <row r="526" spans="2:20" hidden="1">
      <c r="B526" s="332" t="s">
        <v>119</v>
      </c>
      <c r="C526" s="333">
        <f>IF(H526&lt;&gt;0,1,)</f>
        <v>0</v>
      </c>
      <c r="D526" s="328"/>
      <c r="E526" s="328">
        <f>VLOOKUP(B526,DONGIA,DG!$B$6,0)</f>
        <v>0</v>
      </c>
      <c r="F526" s="329" t="str">
        <f>VLOOKUP(B526,DONGIA,DG!$C$6,0)</f>
        <v>Boulon móc 16x300+ long đền vuông D18-50x50x3/Zn</v>
      </c>
      <c r="G526" s="328" t="str">
        <f>VLOOKUP(B526,DONGIA,DG!$D$6,0)</f>
        <v>bộ</v>
      </c>
      <c r="H526" s="329"/>
      <c r="I526" s="329">
        <f>VLOOKUP(B526,DONGIA,DG!$E$6,0)</f>
        <v>40000</v>
      </c>
      <c r="J526" s="329"/>
      <c r="K526" s="329">
        <f>VLOOKUP(B526,DONGIA,DG!$F$6,0)</f>
        <v>0</v>
      </c>
      <c r="L526" s="329">
        <f>VLOOKUP(B526,DONGIA,DG!$G$6,0)</f>
        <v>0</v>
      </c>
      <c r="M526" s="329">
        <f t="shared" si="113"/>
        <v>0</v>
      </c>
      <c r="N526" s="329">
        <f t="shared" si="113"/>
        <v>0</v>
      </c>
      <c r="O526" s="329">
        <f t="shared" si="113"/>
        <v>0</v>
      </c>
      <c r="P526" s="329">
        <f t="shared" si="113"/>
        <v>0</v>
      </c>
      <c r="Q526" s="329"/>
      <c r="S526" s="332">
        <f t="shared" si="111"/>
        <v>0.3</v>
      </c>
      <c r="T526" s="332">
        <f t="shared" si="112"/>
        <v>0</v>
      </c>
    </row>
    <row r="527" spans="2:20" s="352" customFormat="1" hidden="1">
      <c r="B527" s="352" t="s">
        <v>390</v>
      </c>
      <c r="C527" s="484">
        <f>IF(H527&lt;&gt;0,1,)</f>
        <v>0</v>
      </c>
      <c r="D527" s="363"/>
      <c r="E527" s="363"/>
      <c r="F527" s="362" t="str">
        <f>VLOOKUP(B527,DONGIA,DG!$C$6,0)</f>
        <v>Ống nối dây AC cỡ 95mm2 (Không lõi thép)</v>
      </c>
      <c r="G527" s="363" t="str">
        <f>VLOOKUP(B527,DONGIA,DG!$D$6,0)</f>
        <v>cái</v>
      </c>
      <c r="H527" s="362"/>
      <c r="I527" s="362">
        <f>VLOOKUP(B527,DONGIA,DG!$E$6,0)</f>
        <v>48000</v>
      </c>
      <c r="J527" s="362"/>
      <c r="K527" s="362"/>
      <c r="L527" s="362"/>
      <c r="M527" s="362">
        <f t="shared" si="113"/>
        <v>0</v>
      </c>
      <c r="N527" s="362">
        <f t="shared" si="113"/>
        <v>0</v>
      </c>
      <c r="O527" s="362">
        <f t="shared" si="113"/>
        <v>0</v>
      </c>
      <c r="P527" s="362">
        <f t="shared" si="113"/>
        <v>0</v>
      </c>
      <c r="Q527" s="362"/>
      <c r="S527" s="352">
        <f t="shared" si="111"/>
        <v>2.5</v>
      </c>
      <c r="T527" s="352">
        <f t="shared" si="112"/>
        <v>0</v>
      </c>
    </row>
    <row r="528" spans="2:20" s="352" customFormat="1" hidden="1">
      <c r="B528" s="352" t="s">
        <v>396</v>
      </c>
      <c r="C528" s="484">
        <f>IF(H528&lt;&gt;0,1,)</f>
        <v>0</v>
      </c>
      <c r="D528" s="363"/>
      <c r="E528" s="363">
        <f>VLOOKUP(B528,DONGIA,DG!$B$6,0)</f>
        <v>0</v>
      </c>
      <c r="F528" s="362" t="str">
        <f>VLOOKUP(B528,DONGIA,DG!$C$6,0)</f>
        <v>Ống bọc cách điện D30/15</v>
      </c>
      <c r="G528" s="363" t="str">
        <f>VLOOKUP(B528,DONGIA,DG!$D$6,0)</f>
        <v>mét</v>
      </c>
      <c r="H528" s="362"/>
      <c r="I528" s="362">
        <f>VLOOKUP(B528,DONGIA,DG!$E$6,0)</f>
        <v>95000</v>
      </c>
      <c r="J528" s="362"/>
      <c r="K528" s="362">
        <f>VLOOKUP(B528,DONGIA,DG!$F$6,0)</f>
        <v>0</v>
      </c>
      <c r="L528" s="362">
        <f>VLOOKUP(B528,DONGIA,DG!$G$6,0)</f>
        <v>0</v>
      </c>
      <c r="M528" s="362">
        <f t="shared" si="113"/>
        <v>0</v>
      </c>
      <c r="N528" s="362">
        <f t="shared" si="113"/>
        <v>0</v>
      </c>
      <c r="O528" s="362">
        <f t="shared" si="113"/>
        <v>0</v>
      </c>
      <c r="P528" s="362">
        <f t="shared" si="113"/>
        <v>0</v>
      </c>
      <c r="Q528" s="362"/>
      <c r="S528" s="352">
        <f t="shared" si="111"/>
        <v>0</v>
      </c>
      <c r="T528" s="352">
        <f t="shared" si="112"/>
        <v>0</v>
      </c>
    </row>
    <row r="529" spans="2:20" s="361" customFormat="1" hidden="1">
      <c r="C529" s="374">
        <f>IF(SUM(C530:C533)&lt;&gt;0,1,)</f>
        <v>0</v>
      </c>
      <c r="D529" s="350"/>
      <c r="E529" s="350"/>
      <c r="F529" s="351" t="s">
        <v>2927</v>
      </c>
      <c r="G529" s="350"/>
      <c r="H529" s="482"/>
      <c r="I529" s="351"/>
      <c r="J529" s="351"/>
      <c r="K529" s="351"/>
      <c r="L529" s="351"/>
      <c r="M529" s="351"/>
      <c r="N529" s="351"/>
      <c r="O529" s="351"/>
      <c r="P529" s="351"/>
      <c r="Q529" s="351"/>
      <c r="S529" s="361">
        <f t="shared" si="111"/>
        <v>0</v>
      </c>
      <c r="T529" s="361">
        <f t="shared" si="112"/>
        <v>0</v>
      </c>
    </row>
    <row r="530" spans="2:20" hidden="1">
      <c r="B530" s="332" t="s">
        <v>294</v>
      </c>
      <c r="C530" s="333">
        <f>IF(H530&lt;&gt;0,1,)</f>
        <v>0</v>
      </c>
      <c r="D530" s="328"/>
      <c r="E530" s="328" t="str">
        <f>VLOOKUP(B530,DONGIA,DG!$B$6,0)</f>
        <v>D4.6205</v>
      </c>
      <c r="F530" s="329" t="str">
        <f>VLOOKUP(B530,DONGIA,DG!$C$6,0)</f>
        <v>Kẹp ngừng cáp ABC4x95mm2</v>
      </c>
      <c r="G530" s="328" t="str">
        <f>VLOOKUP(B530,DONGIA,DG!$D$6,0)</f>
        <v>cái</v>
      </c>
      <c r="H530" s="329"/>
      <c r="I530" s="329">
        <f>VLOOKUP(B530,DONGIA,DG!$E$6,0)</f>
        <v>58000</v>
      </c>
      <c r="J530" s="329"/>
      <c r="K530" s="329">
        <f>VLOOKUP(B530,DONGIA,DG!$F$6,0)</f>
        <v>158070</v>
      </c>
      <c r="L530" s="329">
        <f>VLOOKUP(B530,DONGIA,DG!$G$6,0)</f>
        <v>0</v>
      </c>
      <c r="M530" s="329">
        <f t="shared" ref="M530:P533" si="114">$H530*I530</f>
        <v>0</v>
      </c>
      <c r="N530" s="329">
        <f t="shared" si="114"/>
        <v>0</v>
      </c>
      <c r="O530" s="329">
        <f t="shared" si="114"/>
        <v>0</v>
      </c>
      <c r="P530" s="329">
        <f t="shared" si="114"/>
        <v>0</v>
      </c>
      <c r="Q530" s="329"/>
      <c r="S530" s="332">
        <f t="shared" si="111"/>
        <v>0</v>
      </c>
      <c r="T530" s="332">
        <f t="shared" si="112"/>
        <v>0</v>
      </c>
    </row>
    <row r="531" spans="2:20" hidden="1">
      <c r="B531" s="332" t="s">
        <v>119</v>
      </c>
      <c r="C531" s="333">
        <f>IF(H531&lt;&gt;0,1,)</f>
        <v>0</v>
      </c>
      <c r="D531" s="328"/>
      <c r="E531" s="328">
        <f>VLOOKUP(B531,DONGIA,DG!$B$6,0)</f>
        <v>0</v>
      </c>
      <c r="F531" s="329" t="str">
        <f>VLOOKUP(B531,DONGIA,DG!$C$6,0)</f>
        <v>Boulon móc 16x300+ long đền vuông D18-50x50x3/Zn</v>
      </c>
      <c r="G531" s="328" t="str">
        <f>VLOOKUP(B531,DONGIA,DG!$D$6,0)</f>
        <v>bộ</v>
      </c>
      <c r="H531" s="329"/>
      <c r="I531" s="329">
        <f>VLOOKUP(B531,DONGIA,DG!$E$6,0)</f>
        <v>40000</v>
      </c>
      <c r="J531" s="329"/>
      <c r="K531" s="329">
        <f>VLOOKUP(B531,DONGIA,DG!$F$6,0)</f>
        <v>0</v>
      </c>
      <c r="L531" s="329">
        <f>VLOOKUP(B531,DONGIA,DG!$G$6,0)</f>
        <v>0</v>
      </c>
      <c r="M531" s="329">
        <f t="shared" si="114"/>
        <v>0</v>
      </c>
      <c r="N531" s="329">
        <f t="shared" si="114"/>
        <v>0</v>
      </c>
      <c r="O531" s="329">
        <f t="shared" si="114"/>
        <v>0</v>
      </c>
      <c r="P531" s="329">
        <f t="shared" si="114"/>
        <v>0</v>
      </c>
      <c r="Q531" s="329" t="s">
        <v>2922</v>
      </c>
      <c r="S531" s="332">
        <f t="shared" si="111"/>
        <v>0.3</v>
      </c>
      <c r="T531" s="332">
        <f t="shared" si="112"/>
        <v>0</v>
      </c>
    </row>
    <row r="532" spans="2:20" s="352" customFormat="1" hidden="1">
      <c r="B532" s="352" t="s">
        <v>390</v>
      </c>
      <c r="C532" s="484">
        <f>IF(H532&lt;&gt;0,1,)</f>
        <v>0</v>
      </c>
      <c r="D532" s="363"/>
      <c r="E532" s="363"/>
      <c r="F532" s="362" t="str">
        <f>VLOOKUP(B532,DONGIA,DG!$C$6,0)</f>
        <v>Ống nối dây AC cỡ 95mm2 (Không lõi thép)</v>
      </c>
      <c r="G532" s="363" t="str">
        <f>VLOOKUP(B532,DONGIA,DG!$D$6,0)</f>
        <v>cái</v>
      </c>
      <c r="H532" s="362"/>
      <c r="I532" s="362">
        <f>VLOOKUP(B532,DONGIA,DG!$E$6,0)</f>
        <v>48000</v>
      </c>
      <c r="J532" s="362"/>
      <c r="K532" s="362"/>
      <c r="L532" s="362"/>
      <c r="M532" s="362">
        <f t="shared" si="114"/>
        <v>0</v>
      </c>
      <c r="N532" s="362">
        <f t="shared" si="114"/>
        <v>0</v>
      </c>
      <c r="O532" s="362">
        <f t="shared" si="114"/>
        <v>0</v>
      </c>
      <c r="P532" s="362">
        <f t="shared" si="114"/>
        <v>0</v>
      </c>
      <c r="Q532" s="362"/>
      <c r="S532" s="352">
        <f t="shared" si="111"/>
        <v>2.5</v>
      </c>
      <c r="T532" s="352">
        <f t="shared" si="112"/>
        <v>0</v>
      </c>
    </row>
    <row r="533" spans="2:20" s="352" customFormat="1" hidden="1">
      <c r="B533" s="352" t="s">
        <v>396</v>
      </c>
      <c r="C533" s="484">
        <f>IF(H533&lt;&gt;0,1,)</f>
        <v>0</v>
      </c>
      <c r="D533" s="363"/>
      <c r="E533" s="363">
        <f>VLOOKUP(B533,DONGIA,DG!$B$6,0)</f>
        <v>0</v>
      </c>
      <c r="F533" s="362" t="str">
        <f>VLOOKUP(B533,DONGIA,DG!$C$6,0)</f>
        <v>Ống bọc cách điện D30/15</v>
      </c>
      <c r="G533" s="363" t="str">
        <f>VLOOKUP(B533,DONGIA,DG!$D$6,0)</f>
        <v>mét</v>
      </c>
      <c r="H533" s="362"/>
      <c r="I533" s="362">
        <f>VLOOKUP(B533,DONGIA,DG!$E$6,0)</f>
        <v>95000</v>
      </c>
      <c r="J533" s="362"/>
      <c r="K533" s="362">
        <f>VLOOKUP(B533,DONGIA,DG!$F$6,0)</f>
        <v>0</v>
      </c>
      <c r="L533" s="362">
        <f>VLOOKUP(B533,DONGIA,DG!$G$6,0)</f>
        <v>0</v>
      </c>
      <c r="M533" s="362">
        <f t="shared" si="114"/>
        <v>0</v>
      </c>
      <c r="N533" s="362">
        <f t="shared" si="114"/>
        <v>0</v>
      </c>
      <c r="O533" s="362">
        <f t="shared" si="114"/>
        <v>0</v>
      </c>
      <c r="P533" s="362">
        <f t="shared" si="114"/>
        <v>0</v>
      </c>
      <c r="Q533" s="362"/>
      <c r="S533" s="352">
        <f t="shared" si="111"/>
        <v>0</v>
      </c>
      <c r="T533" s="352">
        <f t="shared" si="112"/>
        <v>0</v>
      </c>
    </row>
    <row r="534" spans="2:20" s="361" customFormat="1" hidden="1">
      <c r="C534" s="374">
        <f>IF(SUM(C535:C538)&lt;&gt;0,1,)</f>
        <v>0</v>
      </c>
      <c r="D534" s="350"/>
      <c r="E534" s="350"/>
      <c r="F534" s="351" t="s">
        <v>2929</v>
      </c>
      <c r="G534" s="350"/>
      <c r="H534" s="482"/>
      <c r="I534" s="351"/>
      <c r="J534" s="351"/>
      <c r="K534" s="351"/>
      <c r="L534" s="351"/>
      <c r="M534" s="351"/>
      <c r="N534" s="351"/>
      <c r="O534" s="351"/>
      <c r="P534" s="351"/>
      <c r="Q534" s="351"/>
      <c r="S534" s="361">
        <f t="shared" si="111"/>
        <v>0</v>
      </c>
      <c r="T534" s="361">
        <f t="shared" si="112"/>
        <v>0</v>
      </c>
    </row>
    <row r="535" spans="2:20" hidden="1">
      <c r="B535" s="332" t="s">
        <v>292</v>
      </c>
      <c r="C535" s="333">
        <f>IF(H535&lt;&gt;0,1,)</f>
        <v>0</v>
      </c>
      <c r="D535" s="328"/>
      <c r="E535" s="328" t="str">
        <f>VLOOKUP(B535,DONGIA,DG!$B$6,0)</f>
        <v>D4.6204</v>
      </c>
      <c r="F535" s="329" t="str">
        <f>VLOOKUP(B535,DONGIA,DG!$C$6,0)</f>
        <v>Kẹp ngừng cáp ABC4x70mm2</v>
      </c>
      <c r="G535" s="328" t="str">
        <f>VLOOKUP(B535,DONGIA,DG!$D$6,0)</f>
        <v>cái</v>
      </c>
      <c r="H535" s="329"/>
      <c r="I535" s="329">
        <f>VLOOKUP(B535,DONGIA,DG!$E$6,0)</f>
        <v>58000</v>
      </c>
      <c r="J535" s="329"/>
      <c r="K535" s="329">
        <f>VLOOKUP(B535,DONGIA,DG!$F$6,0)</f>
        <v>158070</v>
      </c>
      <c r="L535" s="329">
        <f>VLOOKUP(B535,DONGIA,DG!$G$6,0)</f>
        <v>0</v>
      </c>
      <c r="M535" s="329">
        <f t="shared" ref="M535:P538" si="115">$H535*I535</f>
        <v>0</v>
      </c>
      <c r="N535" s="329">
        <f t="shared" si="115"/>
        <v>0</v>
      </c>
      <c r="O535" s="329">
        <f t="shared" si="115"/>
        <v>0</v>
      </c>
      <c r="P535" s="329">
        <f t="shared" si="115"/>
        <v>0</v>
      </c>
      <c r="Q535" s="329"/>
      <c r="S535" s="332">
        <f t="shared" si="111"/>
        <v>0</v>
      </c>
      <c r="T535" s="332">
        <f t="shared" si="112"/>
        <v>0</v>
      </c>
    </row>
    <row r="536" spans="2:20" hidden="1">
      <c r="B536" s="332" t="s">
        <v>119</v>
      </c>
      <c r="C536" s="333">
        <f>IF(H536&lt;&gt;0,1,)</f>
        <v>0</v>
      </c>
      <c r="D536" s="328"/>
      <c r="E536" s="328">
        <f>VLOOKUP(B536,DONGIA,DG!$B$6,0)</f>
        <v>0</v>
      </c>
      <c r="F536" s="329" t="str">
        <f>VLOOKUP(B536,DONGIA,DG!$C$6,0)</f>
        <v>Boulon móc 16x300+ long đền vuông D18-50x50x3/Zn</v>
      </c>
      <c r="G536" s="328" t="str">
        <f>VLOOKUP(B536,DONGIA,DG!$D$6,0)</f>
        <v>bộ</v>
      </c>
      <c r="H536" s="329"/>
      <c r="I536" s="329">
        <f>VLOOKUP(B536,DONGIA,DG!$E$6,0)</f>
        <v>40000</v>
      </c>
      <c r="J536" s="329"/>
      <c r="K536" s="329">
        <f>VLOOKUP(B536,DONGIA,DG!$F$6,0)</f>
        <v>0</v>
      </c>
      <c r="L536" s="329">
        <f>VLOOKUP(B536,DONGIA,DG!$G$6,0)</f>
        <v>0</v>
      </c>
      <c r="M536" s="329">
        <f t="shared" si="115"/>
        <v>0</v>
      </c>
      <c r="N536" s="329">
        <f t="shared" si="115"/>
        <v>0</v>
      </c>
      <c r="O536" s="329">
        <f t="shared" si="115"/>
        <v>0</v>
      </c>
      <c r="P536" s="329">
        <f t="shared" si="115"/>
        <v>0</v>
      </c>
      <c r="Q536" s="329"/>
      <c r="S536" s="332">
        <f t="shared" si="111"/>
        <v>0.3</v>
      </c>
      <c r="T536" s="332">
        <f t="shared" si="112"/>
        <v>0</v>
      </c>
    </row>
    <row r="537" spans="2:20" s="352" customFormat="1" hidden="1">
      <c r="B537" s="352" t="s">
        <v>389</v>
      </c>
      <c r="C537" s="484">
        <f>IF(H537&lt;&gt;0,1,)</f>
        <v>0</v>
      </c>
      <c r="D537" s="363"/>
      <c r="E537" s="363"/>
      <c r="F537" s="362" t="str">
        <f>VLOOKUP(B537,DONGIA,DG!$C$6,0)</f>
        <v>Ống nối dây AC cỡ 70mm2 (Không lõi thép)</v>
      </c>
      <c r="G537" s="363" t="str">
        <f>VLOOKUP(B537,DONGIA,DG!$D$6,0)</f>
        <v>cái</v>
      </c>
      <c r="H537" s="362"/>
      <c r="I537" s="362">
        <f>VLOOKUP(B537,DONGIA,DG!$E$6,0)</f>
        <v>42000</v>
      </c>
      <c r="J537" s="362"/>
      <c r="K537" s="362"/>
      <c r="L537" s="362"/>
      <c r="M537" s="362">
        <f t="shared" si="115"/>
        <v>0</v>
      </c>
      <c r="N537" s="362">
        <f t="shared" si="115"/>
        <v>0</v>
      </c>
      <c r="O537" s="362">
        <f t="shared" si="115"/>
        <v>0</v>
      </c>
      <c r="P537" s="362">
        <f t="shared" si="115"/>
        <v>0</v>
      </c>
      <c r="Q537" s="362"/>
      <c r="S537" s="352">
        <f t="shared" si="111"/>
        <v>2</v>
      </c>
      <c r="T537" s="352">
        <f t="shared" si="112"/>
        <v>0</v>
      </c>
    </row>
    <row r="538" spans="2:20" s="352" customFormat="1" hidden="1">
      <c r="B538" s="352" t="s">
        <v>396</v>
      </c>
      <c r="C538" s="484">
        <f>IF(H538&lt;&gt;0,1,)</f>
        <v>0</v>
      </c>
      <c r="D538" s="363"/>
      <c r="E538" s="363">
        <f>VLOOKUP(B538,DONGIA,DG!$B$6,0)</f>
        <v>0</v>
      </c>
      <c r="F538" s="362" t="str">
        <f>VLOOKUP(B538,DONGIA,DG!$C$6,0)</f>
        <v>Ống bọc cách điện D30/15</v>
      </c>
      <c r="G538" s="363" t="str">
        <f>VLOOKUP(B538,DONGIA,DG!$D$6,0)</f>
        <v>mét</v>
      </c>
      <c r="H538" s="362"/>
      <c r="I538" s="362">
        <f>VLOOKUP(B538,DONGIA,DG!$E$6,0)</f>
        <v>95000</v>
      </c>
      <c r="J538" s="362"/>
      <c r="K538" s="362">
        <f>VLOOKUP(B538,DONGIA,DG!$F$6,0)</f>
        <v>0</v>
      </c>
      <c r="L538" s="362">
        <f>VLOOKUP(B538,DONGIA,DG!$G$6,0)</f>
        <v>0</v>
      </c>
      <c r="M538" s="362">
        <f t="shared" si="115"/>
        <v>0</v>
      </c>
      <c r="N538" s="362">
        <f t="shared" si="115"/>
        <v>0</v>
      </c>
      <c r="O538" s="362">
        <f t="shared" si="115"/>
        <v>0</v>
      </c>
      <c r="P538" s="362">
        <f t="shared" si="115"/>
        <v>0</v>
      </c>
      <c r="Q538" s="362"/>
      <c r="S538" s="352">
        <f t="shared" si="111"/>
        <v>0</v>
      </c>
      <c r="T538" s="352">
        <f t="shared" si="112"/>
        <v>0</v>
      </c>
    </row>
    <row r="539" spans="2:20" s="361" customFormat="1" hidden="1">
      <c r="C539" s="374">
        <f>IF(SUM(C540:C543)&lt;&gt;0,1,)</f>
        <v>0</v>
      </c>
      <c r="D539" s="350"/>
      <c r="E539" s="350"/>
      <c r="F539" s="351" t="s">
        <v>2928</v>
      </c>
      <c r="G539" s="350"/>
      <c r="H539" s="482"/>
      <c r="I539" s="351"/>
      <c r="J539" s="351"/>
      <c r="K539" s="351"/>
      <c r="L539" s="351"/>
      <c r="M539" s="351"/>
      <c r="N539" s="351"/>
      <c r="O539" s="351"/>
      <c r="P539" s="351"/>
      <c r="Q539" s="351"/>
      <c r="S539" s="361">
        <f t="shared" si="111"/>
        <v>0</v>
      </c>
      <c r="T539" s="361">
        <f t="shared" si="112"/>
        <v>0</v>
      </c>
    </row>
    <row r="540" spans="2:20" hidden="1">
      <c r="B540" s="332" t="s">
        <v>292</v>
      </c>
      <c r="C540" s="333">
        <f>IF(H540&lt;&gt;0,1,)</f>
        <v>0</v>
      </c>
      <c r="D540" s="328"/>
      <c r="E540" s="328" t="str">
        <f>VLOOKUP(B540,DONGIA,DG!$B$6,0)</f>
        <v>D4.6204</v>
      </c>
      <c r="F540" s="329" t="str">
        <f>VLOOKUP(B540,DONGIA,DG!$C$6,0)</f>
        <v>Kẹp ngừng cáp ABC4x70mm2</v>
      </c>
      <c r="G540" s="328" t="str">
        <f>VLOOKUP(B540,DONGIA,DG!$D$6,0)</f>
        <v>cái</v>
      </c>
      <c r="H540" s="329"/>
      <c r="I540" s="329">
        <f>VLOOKUP(B540,DONGIA,DG!$E$6,0)</f>
        <v>58000</v>
      </c>
      <c r="J540" s="329"/>
      <c r="K540" s="329">
        <f>VLOOKUP(B540,DONGIA,DG!$F$6,0)</f>
        <v>158070</v>
      </c>
      <c r="L540" s="329">
        <f>VLOOKUP(B540,DONGIA,DG!$G$6,0)</f>
        <v>0</v>
      </c>
      <c r="M540" s="329">
        <f t="shared" ref="M540:P543" si="116">$H540*I540</f>
        <v>0</v>
      </c>
      <c r="N540" s="329">
        <f t="shared" si="116"/>
        <v>0</v>
      </c>
      <c r="O540" s="329">
        <f t="shared" si="116"/>
        <v>0</v>
      </c>
      <c r="P540" s="329">
        <f t="shared" si="116"/>
        <v>0</v>
      </c>
      <c r="Q540" s="329"/>
      <c r="S540" s="332">
        <f t="shared" si="111"/>
        <v>0</v>
      </c>
      <c r="T540" s="332">
        <f t="shared" si="112"/>
        <v>0</v>
      </c>
    </row>
    <row r="541" spans="2:20" hidden="1">
      <c r="B541" s="332" t="s">
        <v>119</v>
      </c>
      <c r="C541" s="333">
        <f>IF(H541&lt;&gt;0,1,)</f>
        <v>0</v>
      </c>
      <c r="D541" s="328"/>
      <c r="E541" s="328">
        <f>VLOOKUP(B541,DONGIA,DG!$B$6,0)</f>
        <v>0</v>
      </c>
      <c r="F541" s="329" t="str">
        <f>VLOOKUP(B541,DONGIA,DG!$C$6,0)</f>
        <v>Boulon móc 16x300+ long đền vuông D18-50x50x3/Zn</v>
      </c>
      <c r="G541" s="328" t="str">
        <f>VLOOKUP(B541,DONGIA,DG!$D$6,0)</f>
        <v>bộ</v>
      </c>
      <c r="H541" s="329"/>
      <c r="I541" s="329">
        <f>VLOOKUP(B541,DONGIA,DG!$E$6,0)</f>
        <v>40000</v>
      </c>
      <c r="J541" s="329"/>
      <c r="K541" s="329">
        <f>VLOOKUP(B541,DONGIA,DG!$F$6,0)</f>
        <v>0</v>
      </c>
      <c r="L541" s="329">
        <f>VLOOKUP(B541,DONGIA,DG!$G$6,0)</f>
        <v>0</v>
      </c>
      <c r="M541" s="329">
        <f t="shared" si="116"/>
        <v>0</v>
      </c>
      <c r="N541" s="329">
        <f t="shared" si="116"/>
        <v>0</v>
      </c>
      <c r="O541" s="329">
        <f t="shared" si="116"/>
        <v>0</v>
      </c>
      <c r="P541" s="329">
        <f t="shared" si="116"/>
        <v>0</v>
      </c>
      <c r="Q541" s="329"/>
      <c r="S541" s="332">
        <f t="shared" si="111"/>
        <v>0.3</v>
      </c>
      <c r="T541" s="332">
        <f t="shared" si="112"/>
        <v>0</v>
      </c>
    </row>
    <row r="542" spans="2:20" s="352" customFormat="1" hidden="1">
      <c r="B542" s="352" t="s">
        <v>389</v>
      </c>
      <c r="C542" s="484">
        <f>IF(H542&lt;&gt;0,1,)</f>
        <v>0</v>
      </c>
      <c r="D542" s="363"/>
      <c r="E542" s="363"/>
      <c r="F542" s="362" t="str">
        <f>VLOOKUP(B542,DONGIA,DG!$C$6,0)</f>
        <v>Ống nối dây AC cỡ 70mm2 (Không lõi thép)</v>
      </c>
      <c r="G542" s="363" t="str">
        <f>VLOOKUP(B542,DONGIA,DG!$D$6,0)</f>
        <v>cái</v>
      </c>
      <c r="H542" s="362"/>
      <c r="I542" s="362">
        <f>VLOOKUP(B542,DONGIA,DG!$E$6,0)</f>
        <v>42000</v>
      </c>
      <c r="J542" s="362"/>
      <c r="K542" s="362"/>
      <c r="L542" s="362"/>
      <c r="M542" s="362">
        <f t="shared" si="116"/>
        <v>0</v>
      </c>
      <c r="N542" s="362">
        <f t="shared" si="116"/>
        <v>0</v>
      </c>
      <c r="O542" s="362">
        <f t="shared" si="116"/>
        <v>0</v>
      </c>
      <c r="P542" s="362">
        <f t="shared" si="116"/>
        <v>0</v>
      </c>
      <c r="Q542" s="362"/>
      <c r="S542" s="352">
        <f t="shared" si="111"/>
        <v>2</v>
      </c>
      <c r="T542" s="352">
        <f t="shared" si="112"/>
        <v>0</v>
      </c>
    </row>
    <row r="543" spans="2:20" s="352" customFormat="1" hidden="1">
      <c r="B543" s="352" t="s">
        <v>396</v>
      </c>
      <c r="C543" s="484">
        <f>IF(H543&lt;&gt;0,1,)</f>
        <v>0</v>
      </c>
      <c r="D543" s="363"/>
      <c r="E543" s="363">
        <f>VLOOKUP(B543,DONGIA,DG!$B$6,0)</f>
        <v>0</v>
      </c>
      <c r="F543" s="362" t="str">
        <f>VLOOKUP(B543,DONGIA,DG!$C$6,0)</f>
        <v>Ống bọc cách điện D30/15</v>
      </c>
      <c r="G543" s="363" t="str">
        <f>VLOOKUP(B543,DONGIA,DG!$D$6,0)</f>
        <v>mét</v>
      </c>
      <c r="H543" s="362"/>
      <c r="I543" s="362">
        <f>VLOOKUP(B543,DONGIA,DG!$E$6,0)</f>
        <v>95000</v>
      </c>
      <c r="J543" s="362"/>
      <c r="K543" s="362">
        <f>VLOOKUP(B543,DONGIA,DG!$F$6,0)</f>
        <v>0</v>
      </c>
      <c r="L543" s="362">
        <f>VLOOKUP(B543,DONGIA,DG!$G$6,0)</f>
        <v>0</v>
      </c>
      <c r="M543" s="362">
        <f t="shared" si="116"/>
        <v>0</v>
      </c>
      <c r="N543" s="362">
        <f t="shared" si="116"/>
        <v>0</v>
      </c>
      <c r="O543" s="362">
        <f t="shared" si="116"/>
        <v>0</v>
      </c>
      <c r="P543" s="362">
        <f t="shared" si="116"/>
        <v>0</v>
      </c>
      <c r="Q543" s="362"/>
      <c r="S543" s="352">
        <f t="shared" si="111"/>
        <v>0</v>
      </c>
      <c r="T543" s="352">
        <f t="shared" si="112"/>
        <v>0</v>
      </c>
    </row>
    <row r="544" spans="2:20" s="361" customFormat="1" hidden="1">
      <c r="C544" s="374">
        <f>IF(SUM(C545:C548)&lt;&gt;0,1,)</f>
        <v>0</v>
      </c>
      <c r="D544" s="350"/>
      <c r="E544" s="350"/>
      <c r="F544" s="351" t="s">
        <v>2930</v>
      </c>
      <c r="G544" s="350"/>
      <c r="H544" s="482"/>
      <c r="I544" s="351"/>
      <c r="J544" s="351"/>
      <c r="K544" s="351"/>
      <c r="L544" s="351"/>
      <c r="M544" s="351"/>
      <c r="N544" s="351"/>
      <c r="O544" s="351"/>
      <c r="P544" s="351"/>
      <c r="Q544" s="351"/>
      <c r="S544" s="361">
        <f t="shared" si="111"/>
        <v>0</v>
      </c>
      <c r="T544" s="361">
        <f t="shared" si="112"/>
        <v>0</v>
      </c>
    </row>
    <row r="545" spans="1:20" hidden="1">
      <c r="B545" s="332" t="s">
        <v>292</v>
      </c>
      <c r="C545" s="333">
        <f>IF(H545&lt;&gt;0,1,)</f>
        <v>0</v>
      </c>
      <c r="D545" s="328"/>
      <c r="E545" s="328" t="str">
        <f>VLOOKUP(B545,DONGIA,DG!$B$6,0)</f>
        <v>D4.6204</v>
      </c>
      <c r="F545" s="329" t="str">
        <f>VLOOKUP(B545,DONGIA,DG!$C$6,0)</f>
        <v>Kẹp ngừng cáp ABC4x70mm2</v>
      </c>
      <c r="G545" s="328" t="str">
        <f>VLOOKUP(B545,DONGIA,DG!$D$6,0)</f>
        <v>cái</v>
      </c>
      <c r="H545" s="329"/>
      <c r="I545" s="329">
        <f>VLOOKUP(B545,DONGIA,DG!$E$6,0)</f>
        <v>58000</v>
      </c>
      <c r="J545" s="329"/>
      <c r="K545" s="329">
        <f>VLOOKUP(B545,DONGIA,DG!$F$6,0)</f>
        <v>158070</v>
      </c>
      <c r="L545" s="329">
        <f>VLOOKUP(B545,DONGIA,DG!$G$6,0)</f>
        <v>0</v>
      </c>
      <c r="M545" s="329">
        <f t="shared" ref="M545:P549" si="117">$H545*I545</f>
        <v>0</v>
      </c>
      <c r="N545" s="329">
        <f t="shared" si="117"/>
        <v>0</v>
      </c>
      <c r="O545" s="329">
        <f t="shared" si="117"/>
        <v>0</v>
      </c>
      <c r="P545" s="329">
        <f t="shared" si="117"/>
        <v>0</v>
      </c>
      <c r="Q545" s="329"/>
      <c r="S545" s="332">
        <f t="shared" si="111"/>
        <v>0</v>
      </c>
      <c r="T545" s="332">
        <f t="shared" si="112"/>
        <v>0</v>
      </c>
    </row>
    <row r="546" spans="1:20" hidden="1">
      <c r="B546" s="332" t="s">
        <v>119</v>
      </c>
      <c r="C546" s="333">
        <f>IF(H546&lt;&gt;0,1,)</f>
        <v>0</v>
      </c>
      <c r="D546" s="328"/>
      <c r="E546" s="328">
        <f>VLOOKUP(B546,DONGIA,DG!$B$6,0)</f>
        <v>0</v>
      </c>
      <c r="F546" s="329" t="str">
        <f>VLOOKUP(B546,DONGIA,DG!$C$6,0)</f>
        <v>Boulon móc 16x300+ long đền vuông D18-50x50x3/Zn</v>
      </c>
      <c r="G546" s="328" t="str">
        <f>VLOOKUP(B546,DONGIA,DG!$D$6,0)</f>
        <v>bộ</v>
      </c>
      <c r="H546" s="329"/>
      <c r="I546" s="329">
        <f>VLOOKUP(B546,DONGIA,DG!$E$6,0)</f>
        <v>40000</v>
      </c>
      <c r="J546" s="329"/>
      <c r="K546" s="329">
        <f>VLOOKUP(B546,DONGIA,DG!$F$6,0)</f>
        <v>0</v>
      </c>
      <c r="L546" s="329">
        <f>VLOOKUP(B546,DONGIA,DG!$G$6,0)</f>
        <v>0</v>
      </c>
      <c r="M546" s="329">
        <f t="shared" si="117"/>
        <v>0</v>
      </c>
      <c r="N546" s="329">
        <f t="shared" si="117"/>
        <v>0</v>
      </c>
      <c r="O546" s="329">
        <f t="shared" si="117"/>
        <v>0</v>
      </c>
      <c r="P546" s="329">
        <f t="shared" si="117"/>
        <v>0</v>
      </c>
      <c r="Q546" s="329"/>
      <c r="S546" s="332">
        <f t="shared" si="111"/>
        <v>0.3</v>
      </c>
      <c r="T546" s="332">
        <f t="shared" si="112"/>
        <v>0</v>
      </c>
    </row>
    <row r="547" spans="1:20" s="352" customFormat="1" hidden="1">
      <c r="B547" s="352" t="s">
        <v>389</v>
      </c>
      <c r="C547" s="484">
        <f>IF(H547&lt;&gt;0,1,)</f>
        <v>0</v>
      </c>
      <c r="D547" s="363"/>
      <c r="E547" s="363"/>
      <c r="F547" s="362" t="str">
        <f>VLOOKUP(B547,DONGIA,DG!$C$6,0)</f>
        <v>Ống nối dây AC cỡ 70mm2 (Không lõi thép)</v>
      </c>
      <c r="G547" s="363" t="str">
        <f>VLOOKUP(B547,DONGIA,DG!$D$6,0)</f>
        <v>cái</v>
      </c>
      <c r="H547" s="362"/>
      <c r="I547" s="362">
        <f>VLOOKUP(B547,DONGIA,DG!$E$6,0)</f>
        <v>42000</v>
      </c>
      <c r="J547" s="362"/>
      <c r="K547" s="362"/>
      <c r="L547" s="362"/>
      <c r="M547" s="362">
        <f t="shared" si="117"/>
        <v>0</v>
      </c>
      <c r="N547" s="362">
        <f t="shared" si="117"/>
        <v>0</v>
      </c>
      <c r="O547" s="362">
        <f t="shared" si="117"/>
        <v>0</v>
      </c>
      <c r="P547" s="362">
        <f t="shared" si="117"/>
        <v>0</v>
      </c>
      <c r="Q547" s="362"/>
      <c r="S547" s="352">
        <f t="shared" si="111"/>
        <v>2</v>
      </c>
      <c r="T547" s="352">
        <f t="shared" si="112"/>
        <v>0</v>
      </c>
    </row>
    <row r="548" spans="1:20" s="352" customFormat="1" hidden="1">
      <c r="B548" s="352" t="s">
        <v>396</v>
      </c>
      <c r="C548" s="484">
        <f>IF(H548&lt;&gt;0,1,)</f>
        <v>0</v>
      </c>
      <c r="D548" s="363"/>
      <c r="E548" s="363">
        <f>VLOOKUP(B548,DONGIA,DG!$B$6,0)</f>
        <v>0</v>
      </c>
      <c r="F548" s="362" t="str">
        <f>VLOOKUP(B548,DONGIA,DG!$C$6,0)</f>
        <v>Ống bọc cách điện D30/15</v>
      </c>
      <c r="G548" s="363" t="str">
        <f>VLOOKUP(B548,DONGIA,DG!$D$6,0)</f>
        <v>mét</v>
      </c>
      <c r="H548" s="362"/>
      <c r="I548" s="362">
        <f>VLOOKUP(B548,DONGIA,DG!$E$6,0)</f>
        <v>95000</v>
      </c>
      <c r="J548" s="362"/>
      <c r="K548" s="362">
        <f>VLOOKUP(B548,DONGIA,DG!$F$6,0)</f>
        <v>0</v>
      </c>
      <c r="L548" s="362">
        <f>VLOOKUP(B548,DONGIA,DG!$G$6,0)</f>
        <v>0</v>
      </c>
      <c r="M548" s="362">
        <f t="shared" si="117"/>
        <v>0</v>
      </c>
      <c r="N548" s="362">
        <f t="shared" si="117"/>
        <v>0</v>
      </c>
      <c r="O548" s="362">
        <f t="shared" si="117"/>
        <v>0</v>
      </c>
      <c r="P548" s="362">
        <f t="shared" si="117"/>
        <v>0</v>
      </c>
      <c r="Q548" s="362"/>
      <c r="S548" s="352">
        <f t="shared" si="111"/>
        <v>0</v>
      </c>
      <c r="T548" s="352">
        <f t="shared" si="112"/>
        <v>0</v>
      </c>
    </row>
    <row r="549" spans="1:20" hidden="1">
      <c r="B549" s="332" t="s">
        <v>1058</v>
      </c>
      <c r="C549" s="333">
        <f>IF(H549&lt;&gt;0,1,)</f>
        <v>0</v>
      </c>
      <c r="D549" s="372">
        <f>IF(H549&lt;&gt;0,D503+1,D503)</f>
        <v>0</v>
      </c>
      <c r="E549" s="372">
        <f>VLOOKUP(B549,DONGIA,DG!$B$6,0)</f>
        <v>0</v>
      </c>
      <c r="F549" s="373" t="str">
        <f>VLOOKUP(B549,DONGIA,DG!$C$6,0)</f>
        <v>Bảng tên trạm + bulon</v>
      </c>
      <c r="G549" s="372" t="str">
        <f>VLOOKUP(B549,DONGIA,DG!$D$6,0)</f>
        <v>bộ</v>
      </c>
      <c r="H549" s="372">
        <f>T1P2X375</f>
        <v>0</v>
      </c>
      <c r="I549" s="473">
        <f>VLOOKUP(B549,DONGIA,DG!$E$6,0)</f>
        <v>150000</v>
      </c>
      <c r="J549" s="473"/>
      <c r="K549" s="473">
        <f>VLOOKUP(B549,DONGIA,DG!$F$6,0)</f>
        <v>0</v>
      </c>
      <c r="L549" s="473">
        <f>VLOOKUP(B549,DONGIA,DG!$G$6,0)</f>
        <v>0</v>
      </c>
      <c r="M549" s="473">
        <f t="shared" si="117"/>
        <v>0</v>
      </c>
      <c r="N549" s="473">
        <f t="shared" si="117"/>
        <v>0</v>
      </c>
      <c r="O549" s="473">
        <f t="shared" si="117"/>
        <v>0</v>
      </c>
      <c r="P549" s="473">
        <f t="shared" si="117"/>
        <v>0</v>
      </c>
      <c r="Q549" s="473"/>
      <c r="S549" s="332">
        <f t="shared" si="72"/>
        <v>0</v>
      </c>
      <c r="T549" s="332">
        <f t="shared" si="112"/>
        <v>0</v>
      </c>
    </row>
    <row r="550" spans="1:20" s="353" customFormat="1">
      <c r="A550" s="353" t="s">
        <v>2071</v>
      </c>
      <c r="C550" s="333">
        <f>IF((C551+C559)&lt;&gt;0,1,)</f>
        <v>1</v>
      </c>
      <c r="D550" s="368"/>
      <c r="E550" s="369" t="str">
        <f>T1P75&amp;" Trạm 1 pha 75kVA"</f>
        <v>3 Trạm 1 pha 75kVA</v>
      </c>
      <c r="F550" s="777"/>
      <c r="G550" s="368"/>
      <c r="H550" s="368"/>
      <c r="I550" s="325"/>
      <c r="J550" s="325"/>
      <c r="K550" s="325"/>
      <c r="L550" s="325"/>
      <c r="M550" s="325"/>
      <c r="N550" s="325"/>
      <c r="O550" s="325"/>
      <c r="P550" s="325"/>
      <c r="Q550" s="368"/>
      <c r="S550" s="332">
        <f t="shared" ref="S550:S559" si="118">IFERROR(VLOOKUP(B550,DONGIA,$S$25,0),0)</f>
        <v>0</v>
      </c>
      <c r="T550" s="332">
        <f t="shared" si="112"/>
        <v>0</v>
      </c>
    </row>
    <row r="551" spans="1:20">
      <c r="A551" s="353" t="s">
        <v>2070</v>
      </c>
      <c r="C551" s="333">
        <f>IF(SUM(C552:C558)&lt;&gt;0,1,)</f>
        <v>1</v>
      </c>
      <c r="D551" s="344"/>
      <c r="E551" s="344"/>
      <c r="F551" s="778" t="s">
        <v>1900</v>
      </c>
      <c r="G551" s="344"/>
      <c r="H551" s="345"/>
      <c r="I551" s="345"/>
      <c r="J551" s="345"/>
      <c r="K551" s="345"/>
      <c r="L551" s="345"/>
      <c r="M551" s="345">
        <f>SUM(M552:M558)</f>
        <v>130676280</v>
      </c>
      <c r="N551" s="345">
        <f>SUM(N552:N558)</f>
        <v>0</v>
      </c>
      <c r="O551" s="345">
        <f>SUM(O552:O558)</f>
        <v>3762564</v>
      </c>
      <c r="P551" s="345">
        <f>SUM(P552:P558)</f>
        <v>1081815</v>
      </c>
      <c r="Q551" s="345"/>
      <c r="S551" s="332">
        <f t="shared" si="118"/>
        <v>0</v>
      </c>
      <c r="T551" s="371">
        <f>SUM(T552:T558)</f>
        <v>1382.4</v>
      </c>
    </row>
    <row r="552" spans="1:20">
      <c r="A552" s="332" t="s">
        <v>477</v>
      </c>
      <c r="B552" s="332" t="s">
        <v>903</v>
      </c>
      <c r="C552" s="333">
        <f t="shared" ref="C552:C558" si="119">IF(H552&lt;&gt;0,1,)</f>
        <v>1</v>
      </c>
      <c r="D552" s="328"/>
      <c r="E552" s="328" t="str">
        <f>VLOOKUP(B552,DONGIA,DG!$B$6,0)</f>
        <v>T1.1433</v>
      </c>
      <c r="F552" s="779" t="str">
        <f>VLOOKUP(B552,DONGIA,DG!$C$6,0)</f>
        <v>Máy biến áp AMORPHOUS 12,7/0,22-0,44kV 75kVA</v>
      </c>
      <c r="G552" s="328" t="str">
        <f>VLOOKUP(B552,DONGIA,DG!$D$6,0)</f>
        <v>máy</v>
      </c>
      <c r="H552" s="329">
        <f>T1P75</f>
        <v>3</v>
      </c>
      <c r="I552" s="329">
        <f>VLOOKUP(B552,DONGIA,DG!$E$6,0)</f>
        <v>40173760</v>
      </c>
      <c r="J552" s="329"/>
      <c r="K552" s="329">
        <f>VLOOKUP(B552,DONGIA,DG!$F$6,0)</f>
        <v>993554</v>
      </c>
      <c r="L552" s="329">
        <f>VLOOKUP(B552,DONGIA,DG!$G$6,0)</f>
        <v>360605</v>
      </c>
      <c r="M552" s="329">
        <f>$H552*I552</f>
        <v>120521280</v>
      </c>
      <c r="N552" s="329">
        <f>$H552*J552</f>
        <v>0</v>
      </c>
      <c r="O552" s="329">
        <f>$H552*K552</f>
        <v>2980662</v>
      </c>
      <c r="P552" s="329">
        <f>$H552*L552</f>
        <v>1081815</v>
      </c>
      <c r="Q552" s="329"/>
      <c r="S552" s="332">
        <f t="shared" si="118"/>
        <v>455</v>
      </c>
      <c r="T552" s="332">
        <f t="shared" ref="T552:T558" si="120">H552*S552</f>
        <v>1365</v>
      </c>
    </row>
    <row r="553" spans="1:20">
      <c r="A553" s="332" t="s">
        <v>477</v>
      </c>
      <c r="B553" s="332" t="s">
        <v>1444</v>
      </c>
      <c r="C553" s="333">
        <f t="shared" si="119"/>
        <v>1</v>
      </c>
      <c r="D553" s="328"/>
      <c r="E553" s="328" t="str">
        <f>VLOOKUP(B553,DONGIA,DG!$B$6,0)</f>
        <v>T2.3505</v>
      </c>
      <c r="F553" s="779" t="str">
        <f>VLOOKUP(B553,DONGIA,DG!$C$6,0)</f>
        <v>FCO 27kV - 100A</v>
      </c>
      <c r="G553" s="328" t="str">
        <f>VLOOKUP(B553,DONGIA,DG!$D$6,0)</f>
        <v>cái</v>
      </c>
      <c r="H553" s="329">
        <f>T1P75</f>
        <v>3</v>
      </c>
      <c r="I553" s="329">
        <f>VLOOKUP(B553,DONGIA,DG!$E$6,0)</f>
        <v>1070000</v>
      </c>
      <c r="J553" s="329"/>
      <c r="K553" s="329">
        <f>VLOOKUP(B553,DONGIA,DG!$F$6,0)</f>
        <v>189552</v>
      </c>
      <c r="L553" s="329">
        <f>VLOOKUP(B553,DONGIA,DG!$G$6,0)</f>
        <v>0</v>
      </c>
      <c r="M553" s="329">
        <f t="shared" ref="M553:M558" si="121">$H553*I553</f>
        <v>3210000</v>
      </c>
      <c r="N553" s="329">
        <f t="shared" ref="N553:N558" si="122">$H553*J553</f>
        <v>0</v>
      </c>
      <c r="O553" s="329">
        <f t="shared" ref="O553:O558" si="123">$H553*K553</f>
        <v>568656</v>
      </c>
      <c r="P553" s="329">
        <f t="shared" ref="P553:P558" si="124">$H553*L553</f>
        <v>0</v>
      </c>
      <c r="Q553" s="329"/>
      <c r="S553" s="332">
        <f t="shared" si="118"/>
        <v>1.5</v>
      </c>
      <c r="T553" s="332">
        <f t="shared" si="120"/>
        <v>4.5</v>
      </c>
    </row>
    <row r="554" spans="1:20">
      <c r="A554" s="332" t="s">
        <v>477</v>
      </c>
      <c r="B554" s="332" t="s">
        <v>943</v>
      </c>
      <c r="C554" s="333">
        <f t="shared" si="119"/>
        <v>1</v>
      </c>
      <c r="D554" s="328"/>
      <c r="E554" s="328" t="str">
        <f>VLOOKUP(B554,DONGIA,DG!$B$6,0)</f>
        <v>T2.5004</v>
      </c>
      <c r="F554" s="779" t="str">
        <f>VLOOKUP(B554,DONGIA,DG!$C$6,0)</f>
        <v>LA 18kV 10kA</v>
      </c>
      <c r="G554" s="328" t="str">
        <f>VLOOKUP(B554,DONGIA,DG!$D$6,0)</f>
        <v>cái</v>
      </c>
      <c r="H554" s="329">
        <f>T1P75</f>
        <v>3</v>
      </c>
      <c r="I554" s="329">
        <f>VLOOKUP(B554,DONGIA,DG!$E$6,0)</f>
        <v>875000</v>
      </c>
      <c r="J554" s="329"/>
      <c r="K554" s="329">
        <f>VLOOKUP(B554,DONGIA,DG!$F$6,0)</f>
        <v>71082</v>
      </c>
      <c r="L554" s="329">
        <f>VLOOKUP(B554,DONGIA,DG!$G$6,0)</f>
        <v>0</v>
      </c>
      <c r="M554" s="329">
        <f t="shared" si="121"/>
        <v>2625000</v>
      </c>
      <c r="N554" s="329">
        <f t="shared" si="122"/>
        <v>0</v>
      </c>
      <c r="O554" s="329">
        <f t="shared" si="123"/>
        <v>213246</v>
      </c>
      <c r="P554" s="329">
        <f t="shared" si="124"/>
        <v>0</v>
      </c>
      <c r="Q554" s="329"/>
      <c r="S554" s="332">
        <f t="shared" si="118"/>
        <v>0.8</v>
      </c>
      <c r="T554" s="332">
        <f t="shared" si="120"/>
        <v>2.4000000000000004</v>
      </c>
    </row>
    <row r="555" spans="1:20">
      <c r="A555" s="332" t="s">
        <v>477</v>
      </c>
      <c r="B555" s="332" t="s">
        <v>996</v>
      </c>
      <c r="C555" s="333">
        <f t="shared" si="119"/>
        <v>1</v>
      </c>
      <c r="D555" s="328"/>
      <c r="E555" s="328" t="str">
        <f>VLOOKUP(B555,DONGIA,DG!$B$6,0)</f>
        <v>T2.8404</v>
      </c>
      <c r="F555" s="779" t="str">
        <f>VLOOKUP(B555,DONGIA,DG!$C$6,0)</f>
        <v>MCCB 3 cực 600V - 250A - 35KA (160-250A)</v>
      </c>
      <c r="G555" s="328" t="str">
        <f>VLOOKUP(B555,DONGIA,DG!$D$6,0)</f>
        <v>cái</v>
      </c>
      <c r="H555" s="329">
        <f>T1P75</f>
        <v>3</v>
      </c>
      <c r="I555" s="329">
        <f>VLOOKUP(B555,DONGIA,DG!$E$6,0)</f>
        <v>1440000</v>
      </c>
      <c r="J555" s="329"/>
      <c r="K555" s="329">
        <f>VLOOKUP(B555,DONGIA,DG!$F$6,0)*0</f>
        <v>0</v>
      </c>
      <c r="L555" s="329">
        <f>VLOOKUP(B555,DONGIA,DG!$G$6,0)</f>
        <v>0</v>
      </c>
      <c r="M555" s="329">
        <f t="shared" si="121"/>
        <v>4320000</v>
      </c>
      <c r="N555" s="329">
        <f t="shared" si="122"/>
        <v>0</v>
      </c>
      <c r="O555" s="329">
        <f t="shared" si="123"/>
        <v>0</v>
      </c>
      <c r="P555" s="329">
        <f t="shared" si="124"/>
        <v>0</v>
      </c>
      <c r="Q555" s="329"/>
      <c r="S555" s="332">
        <f t="shared" si="118"/>
        <v>2</v>
      </c>
      <c r="T555" s="332">
        <f t="shared" si="120"/>
        <v>6</v>
      </c>
    </row>
    <row r="556" spans="1:20" hidden="1">
      <c r="A556" s="332" t="s">
        <v>477</v>
      </c>
      <c r="B556" s="332" t="s">
        <v>2948</v>
      </c>
      <c r="C556" s="333">
        <f t="shared" si="119"/>
        <v>0</v>
      </c>
      <c r="D556" s="328"/>
      <c r="E556" s="328" t="str">
        <f>VLOOKUP(B556,DONGIA,DG!$B$6,0)</f>
        <v>T2.8403</v>
      </c>
      <c r="F556" s="329" t="str">
        <f>VLOOKUP(B556,DONGIA,DG!$C$6,0)&amp;" (phân đoạn)"</f>
        <v>MCCB 3 cực 400V - 160A - 35KA (100-160A) (phân đoạn)</v>
      </c>
      <c r="G556" s="328" t="str">
        <f>VLOOKUP(B556,DONGIA,DG!$D$6,0)</f>
        <v>cái</v>
      </c>
      <c r="H556" s="329"/>
      <c r="I556" s="329">
        <f>VLOOKUP(B556,DONGIA,DG!$E$6,0)</f>
        <v>1440000</v>
      </c>
      <c r="J556" s="329"/>
      <c r="K556" s="329">
        <f>VLOOKUP(B556,DONGIA,DG!$F$6,0)</f>
        <v>450186</v>
      </c>
      <c r="L556" s="329">
        <f>VLOOKUP(B556,DONGIA,DG!$G$6,0)</f>
        <v>0</v>
      </c>
      <c r="M556" s="329">
        <f>$H556*I556</f>
        <v>0</v>
      </c>
      <c r="N556" s="329">
        <f>$H556*J556</f>
        <v>0</v>
      </c>
      <c r="O556" s="329">
        <f>$H556*K556</f>
        <v>0</v>
      </c>
      <c r="P556" s="329">
        <f>$H556*L556</f>
        <v>0</v>
      </c>
      <c r="Q556" s="329"/>
      <c r="S556" s="332">
        <f t="shared" si="118"/>
        <v>2</v>
      </c>
      <c r="T556" s="332">
        <f t="shared" si="120"/>
        <v>0</v>
      </c>
    </row>
    <row r="557" spans="1:20">
      <c r="A557" s="332" t="s">
        <v>477</v>
      </c>
      <c r="B557" s="332" t="s">
        <v>952</v>
      </c>
      <c r="C557" s="333">
        <f t="shared" si="119"/>
        <v>1</v>
      </c>
      <c r="D557" s="328"/>
      <c r="E557" s="328">
        <f>VLOOKUP(B557,DONGIA,DG!$B$6,0)</f>
        <v>0</v>
      </c>
      <c r="F557" s="779" t="str">
        <f>VLOOKUP(B557,DONGIA,DG!$C$6,0)</f>
        <v xml:space="preserve">Biến dòng 600V - 200/5A </v>
      </c>
      <c r="G557" s="328" t="str">
        <f>VLOOKUP(B557,DONGIA,DG!$D$6,0)</f>
        <v>cái</v>
      </c>
      <c r="H557" s="329">
        <f>H552*2</f>
        <v>6</v>
      </c>
      <c r="I557" s="329">
        <f>VLOOKUP(B557,DONGIA,DG!$E$6,0)</f>
        <v>0</v>
      </c>
      <c r="J557" s="329"/>
      <c r="K557" s="329">
        <f>VLOOKUP(B557,DONGIA,DG!$F$6,0)</f>
        <v>0</v>
      </c>
      <c r="L557" s="329">
        <f>VLOOKUP(B557,DONGIA,DG!$G$6,0)</f>
        <v>0</v>
      </c>
      <c r="M557" s="329">
        <f t="shared" si="121"/>
        <v>0</v>
      </c>
      <c r="N557" s="329">
        <f t="shared" si="122"/>
        <v>0</v>
      </c>
      <c r="O557" s="329">
        <f t="shared" si="123"/>
        <v>0</v>
      </c>
      <c r="P557" s="329">
        <f t="shared" si="124"/>
        <v>0</v>
      </c>
      <c r="Q557" s="329"/>
      <c r="S557" s="332">
        <f t="shared" si="118"/>
        <v>0</v>
      </c>
      <c r="T557" s="332">
        <f t="shared" si="120"/>
        <v>0</v>
      </c>
    </row>
    <row r="558" spans="1:20">
      <c r="A558" s="332" t="s">
        <v>477</v>
      </c>
      <c r="B558" s="332" t="s">
        <v>2062</v>
      </c>
      <c r="C558" s="333">
        <f t="shared" si="119"/>
        <v>1</v>
      </c>
      <c r="D558" s="328"/>
      <c r="E558" s="328">
        <f>VLOOKUP(B558,DONGIA,DG!$B$6,0)</f>
        <v>0</v>
      </c>
      <c r="F558" s="779" t="str">
        <f>VLOOKUP(B558,DONGIA,DG!$C$6,0)</f>
        <v>Điện kế 3 pha 4 dây 220/380V-5A</v>
      </c>
      <c r="G558" s="328" t="str">
        <f>VLOOKUP(B558,DONGIA,DG!$D$6,0)</f>
        <v>cái</v>
      </c>
      <c r="H558" s="329">
        <f>H552</f>
        <v>3</v>
      </c>
      <c r="I558" s="329">
        <f>VLOOKUP(B558,DONGIA,DG!$E$6,0)</f>
        <v>0</v>
      </c>
      <c r="J558" s="329"/>
      <c r="K558" s="329">
        <f>VLOOKUP(B558,DONGIA,DG!$F$6,0)</f>
        <v>0</v>
      </c>
      <c r="L558" s="329">
        <f>VLOOKUP(B558,DONGIA,DG!$G$6,0)</f>
        <v>0</v>
      </c>
      <c r="M558" s="329">
        <f t="shared" si="121"/>
        <v>0</v>
      </c>
      <c r="N558" s="329">
        <f t="shared" si="122"/>
        <v>0</v>
      </c>
      <c r="O558" s="329">
        <f t="shared" si="123"/>
        <v>0</v>
      </c>
      <c r="P558" s="329">
        <f t="shared" si="124"/>
        <v>0</v>
      </c>
      <c r="Q558" s="329"/>
      <c r="S558" s="332">
        <f t="shared" si="118"/>
        <v>1.5</v>
      </c>
      <c r="T558" s="332">
        <f t="shared" si="120"/>
        <v>4.5</v>
      </c>
    </row>
    <row r="559" spans="1:20">
      <c r="A559" s="334" t="s">
        <v>2072</v>
      </c>
      <c r="C559" s="333">
        <f>IF(SUM(C560:C639)&lt;&gt;0,1,)</f>
        <v>1</v>
      </c>
      <c r="D559" s="344"/>
      <c r="E559" s="344"/>
      <c r="F559" s="778" t="s">
        <v>1901</v>
      </c>
      <c r="G559" s="344"/>
      <c r="H559" s="345"/>
      <c r="I559" s="345"/>
      <c r="J559" s="345"/>
      <c r="K559" s="345"/>
      <c r="L559" s="345"/>
      <c r="M559" s="345">
        <f>SUM(M560:M639)</f>
        <v>81333127.439999998</v>
      </c>
      <c r="N559" s="345">
        <f>SUM(N560:N639)</f>
        <v>0</v>
      </c>
      <c r="O559" s="345">
        <f>SUM(O560:O639)</f>
        <v>14449678.800000001</v>
      </c>
      <c r="P559" s="345">
        <f>SUM(P560:P639)</f>
        <v>444104.4</v>
      </c>
      <c r="Q559" s="345"/>
      <c r="S559" s="332">
        <f t="shared" si="118"/>
        <v>0</v>
      </c>
      <c r="T559" s="371">
        <f>SUM(T560:T639)</f>
        <v>753.8370000000001</v>
      </c>
    </row>
    <row r="560" spans="1:20">
      <c r="C560" s="333">
        <f>IF(H560&lt;&gt;0,1,)</f>
        <v>1</v>
      </c>
      <c r="D560" s="372">
        <f>IF(H560&lt;&gt;0,1,)</f>
        <v>1</v>
      </c>
      <c r="E560" s="372"/>
      <c r="F560" s="780" t="s">
        <v>1931</v>
      </c>
      <c r="G560" s="372" t="s">
        <v>138</v>
      </c>
      <c r="H560" s="372">
        <f>T1P75</f>
        <v>3</v>
      </c>
      <c r="I560" s="373"/>
      <c r="J560" s="373"/>
      <c r="K560" s="373"/>
      <c r="L560" s="373"/>
      <c r="M560" s="373"/>
      <c r="N560" s="373"/>
      <c r="O560" s="373"/>
      <c r="P560" s="373"/>
      <c r="Q560" s="373"/>
      <c r="S560" s="332">
        <f t="shared" ref="S560:S626" si="125">IFERROR(VLOOKUP(B560,DONGIA,$S$25,0),0)</f>
        <v>0</v>
      </c>
      <c r="T560" s="332">
        <f>H560*S560</f>
        <v>0</v>
      </c>
    </row>
    <row r="561" spans="1:20">
      <c r="A561" s="332" t="s">
        <v>477</v>
      </c>
      <c r="B561" s="332" t="s">
        <v>1012</v>
      </c>
      <c r="C561" s="333">
        <f t="shared" ref="C561:C627" si="126">IF(H561&lt;&gt;0,1,)</f>
        <v>1</v>
      </c>
      <c r="D561" s="328"/>
      <c r="E561" s="328">
        <f>VLOOKUP(B561,DONGIA,DG!$B$6,0)</f>
        <v>0</v>
      </c>
      <c r="F561" s="779" t="str">
        <f>VLOOKUP(B561,DONGIA,DG!$C$6,0)</f>
        <v>Dây chảy 8K</v>
      </c>
      <c r="G561" s="328" t="str">
        <f>VLOOKUP(B561,DONGIA,DG!$D$6,0)</f>
        <v>Sợi</v>
      </c>
      <c r="H561" s="329">
        <f>H560</f>
        <v>3</v>
      </c>
      <c r="I561" s="329">
        <f>VLOOKUP(B561,DONGIA,DG!$E$6,0)</f>
        <v>47000</v>
      </c>
      <c r="J561" s="329"/>
      <c r="K561" s="329">
        <f>VLOOKUP(B561,DONGIA,DG!$F$6,0)</f>
        <v>0</v>
      </c>
      <c r="L561" s="329">
        <f>VLOOKUP(B561,DONGIA,DG!$G$6,0)</f>
        <v>0</v>
      </c>
      <c r="M561" s="329">
        <f t="shared" ref="M561:P565" si="127">$H561*I561</f>
        <v>141000</v>
      </c>
      <c r="N561" s="329">
        <f t="shared" si="127"/>
        <v>0</v>
      </c>
      <c r="O561" s="329">
        <f t="shared" si="127"/>
        <v>0</v>
      </c>
      <c r="P561" s="329">
        <f t="shared" si="127"/>
        <v>0</v>
      </c>
      <c r="Q561" s="329"/>
      <c r="S561" s="332">
        <f t="shared" si="125"/>
        <v>0</v>
      </c>
      <c r="T561" s="332">
        <f t="shared" ref="T561:T627" si="128">H561*S561</f>
        <v>0</v>
      </c>
    </row>
    <row r="562" spans="1:20">
      <c r="A562" s="332" t="s">
        <v>477</v>
      </c>
      <c r="B562" s="332" t="s">
        <v>131</v>
      </c>
      <c r="C562" s="333">
        <f t="shared" si="126"/>
        <v>1</v>
      </c>
      <c r="D562" s="328"/>
      <c r="E562" s="328">
        <f>VLOOKUP(B562,DONGIA,DG!$B$6,0)</f>
        <v>0</v>
      </c>
      <c r="F562" s="779" t="str">
        <f>VLOOKUP(B562,DONGIA,DG!$C$6,0)</f>
        <v>Chụp đầu FCO (Trên + Dưới)</v>
      </c>
      <c r="G562" s="328" t="str">
        <f>VLOOKUP(B562,DONGIA,DG!$D$6,0)</f>
        <v>bộ</v>
      </c>
      <c r="H562" s="329">
        <f>H560</f>
        <v>3</v>
      </c>
      <c r="I562" s="329">
        <f>VLOOKUP(B562,DONGIA,DG!$E$6,0)</f>
        <v>190000</v>
      </c>
      <c r="J562" s="329"/>
      <c r="K562" s="329">
        <f>VLOOKUP(B562,DONGIA,DG!$F$6,0)</f>
        <v>0</v>
      </c>
      <c r="L562" s="329">
        <f>VLOOKUP(B562,DONGIA,DG!$G$6,0)</f>
        <v>0</v>
      </c>
      <c r="M562" s="329">
        <f t="shared" si="127"/>
        <v>570000</v>
      </c>
      <c r="N562" s="329">
        <f t="shared" si="127"/>
        <v>0</v>
      </c>
      <c r="O562" s="329">
        <f t="shared" si="127"/>
        <v>0</v>
      </c>
      <c r="P562" s="329">
        <f t="shared" si="127"/>
        <v>0</v>
      </c>
      <c r="Q562" s="329"/>
      <c r="S562" s="332">
        <f t="shared" si="125"/>
        <v>0</v>
      </c>
      <c r="T562" s="332">
        <f t="shared" si="128"/>
        <v>0</v>
      </c>
    </row>
    <row r="563" spans="1:20">
      <c r="A563" s="332" t="s">
        <v>477</v>
      </c>
      <c r="B563" s="332" t="s">
        <v>133</v>
      </c>
      <c r="C563" s="333">
        <f t="shared" si="126"/>
        <v>1</v>
      </c>
      <c r="D563" s="328"/>
      <c r="E563" s="328">
        <f>VLOOKUP(B563,DONGIA,DG!$B$6,0)</f>
        <v>0</v>
      </c>
      <c r="F563" s="779" t="str">
        <f>VLOOKUP(B563,DONGIA,DG!$C$6,0)</f>
        <v>Chụp đầu LA</v>
      </c>
      <c r="G563" s="328" t="str">
        <f>VLOOKUP(B563,DONGIA,DG!$D$6,0)</f>
        <v>cái</v>
      </c>
      <c r="H563" s="329">
        <f>H560</f>
        <v>3</v>
      </c>
      <c r="I563" s="329">
        <f>VLOOKUP(B563,DONGIA,DG!$E$6,0)</f>
        <v>32000</v>
      </c>
      <c r="J563" s="329"/>
      <c r="K563" s="329">
        <f>VLOOKUP(B563,DONGIA,DG!$F$6,0)</f>
        <v>0</v>
      </c>
      <c r="L563" s="329">
        <f>VLOOKUP(B563,DONGIA,DG!$G$6,0)</f>
        <v>0</v>
      </c>
      <c r="M563" s="329">
        <f t="shared" si="127"/>
        <v>96000</v>
      </c>
      <c r="N563" s="329">
        <f t="shared" si="127"/>
        <v>0</v>
      </c>
      <c r="O563" s="329">
        <f t="shared" si="127"/>
        <v>0</v>
      </c>
      <c r="P563" s="329">
        <f t="shared" si="127"/>
        <v>0</v>
      </c>
      <c r="Q563" s="329"/>
      <c r="S563" s="332">
        <f t="shared" si="125"/>
        <v>0</v>
      </c>
      <c r="T563" s="332">
        <f t="shared" si="128"/>
        <v>0</v>
      </c>
    </row>
    <row r="564" spans="1:20">
      <c r="A564" s="332" t="s">
        <v>477</v>
      </c>
      <c r="B564" s="332" t="s">
        <v>135</v>
      </c>
      <c r="C564" s="333">
        <f t="shared" si="126"/>
        <v>1</v>
      </c>
      <c r="D564" s="328"/>
      <c r="E564" s="328">
        <f>VLOOKUP(B564,DONGIA,DG!$B$6,0)</f>
        <v>0</v>
      </c>
      <c r="F564" s="779" t="str">
        <f>VLOOKUP(B564,DONGIA,DG!$C$6,0)</f>
        <v>Chụp đầu cực MBA</v>
      </c>
      <c r="G564" s="328" t="str">
        <f>VLOOKUP(B564,DONGIA,DG!$D$6,0)</f>
        <v>cái</v>
      </c>
      <c r="H564" s="329">
        <f>H560</f>
        <v>3</v>
      </c>
      <c r="I564" s="329">
        <f>VLOOKUP(B564,DONGIA,DG!$E$6,0)</f>
        <v>52000</v>
      </c>
      <c r="J564" s="329"/>
      <c r="K564" s="329">
        <f>VLOOKUP(B564,DONGIA,DG!$F$6,0)</f>
        <v>0</v>
      </c>
      <c r="L564" s="329">
        <f>VLOOKUP(B564,DONGIA,DG!$G$6,0)</f>
        <v>0</v>
      </c>
      <c r="M564" s="329">
        <f t="shared" si="127"/>
        <v>156000</v>
      </c>
      <c r="N564" s="329">
        <f t="shared" si="127"/>
        <v>0</v>
      </c>
      <c r="O564" s="329">
        <f t="shared" si="127"/>
        <v>0</v>
      </c>
      <c r="P564" s="329">
        <f t="shared" si="127"/>
        <v>0</v>
      </c>
      <c r="Q564" s="329"/>
      <c r="S564" s="332">
        <f t="shared" si="125"/>
        <v>0</v>
      </c>
      <c r="T564" s="332">
        <f t="shared" si="128"/>
        <v>0</v>
      </c>
    </row>
    <row r="565" spans="1:20">
      <c r="A565" s="332" t="s">
        <v>477</v>
      </c>
      <c r="B565" s="332" t="s">
        <v>35</v>
      </c>
      <c r="C565" s="333">
        <f>IF(H565&lt;&gt;0,1,)</f>
        <v>1</v>
      </c>
      <c r="D565" s="328"/>
      <c r="E565" s="328">
        <f>VLOOKUP(B565,DONGIA,DG!$B$6,0)</f>
        <v>0</v>
      </c>
      <c r="F565" s="779" t="str">
        <f>VLOOKUP(B565,DONGIA,DG!$C$6,0)</f>
        <v>Boulon 16x300+ 2 long đền vuông D18-50x50x3/Zn</v>
      </c>
      <c r="G565" s="328" t="str">
        <f>VLOOKUP(B565,DONGIA,DG!$D$6,0)</f>
        <v>bộ</v>
      </c>
      <c r="H565" s="329">
        <f>H560*2</f>
        <v>6</v>
      </c>
      <c r="I565" s="329">
        <f>VLOOKUP(B565,DONGIA,DG!$E$6,0)</f>
        <v>30000</v>
      </c>
      <c r="J565" s="329"/>
      <c r="K565" s="329">
        <f>VLOOKUP(B565,DONGIA,DG!$F$6,0)</f>
        <v>0</v>
      </c>
      <c r="L565" s="329">
        <f>VLOOKUP(B565,DONGIA,DG!$G$6,0)</f>
        <v>0</v>
      </c>
      <c r="M565" s="329">
        <f t="shared" si="127"/>
        <v>180000</v>
      </c>
      <c r="N565" s="329">
        <f t="shared" si="127"/>
        <v>0</v>
      </c>
      <c r="O565" s="329">
        <f t="shared" si="127"/>
        <v>0</v>
      </c>
      <c r="P565" s="329">
        <f t="shared" si="127"/>
        <v>0</v>
      </c>
      <c r="Q565" s="329"/>
      <c r="S565" s="332">
        <f>IFERROR(VLOOKUP(B565,DONGIA,$S$25,0),0)</f>
        <v>0.25</v>
      </c>
      <c r="T565" s="332">
        <f>H565*S565</f>
        <v>1.5</v>
      </c>
    </row>
    <row r="566" spans="1:20">
      <c r="A566" s="332" t="s">
        <v>477</v>
      </c>
      <c r="C566" s="333">
        <f t="shared" si="126"/>
        <v>1</v>
      </c>
      <c r="D566" s="372">
        <f>IF(H566&lt;&gt;0,D560+1,D560)</f>
        <v>2</v>
      </c>
      <c r="E566" s="372"/>
      <c r="F566" s="780" t="s">
        <v>1932</v>
      </c>
      <c r="G566" s="372" t="s">
        <v>138</v>
      </c>
      <c r="H566" s="372">
        <f>T1P75</f>
        <v>3</v>
      </c>
      <c r="I566" s="373"/>
      <c r="J566" s="373"/>
      <c r="K566" s="373"/>
      <c r="L566" s="373"/>
      <c r="M566" s="373"/>
      <c r="N566" s="373"/>
      <c r="O566" s="373"/>
      <c r="P566" s="373"/>
      <c r="Q566" s="373"/>
      <c r="S566" s="332">
        <f t="shared" si="125"/>
        <v>0</v>
      </c>
      <c r="T566" s="332">
        <f t="shared" si="128"/>
        <v>0</v>
      </c>
    </row>
    <row r="567" spans="1:20" s="542" customFormat="1" hidden="1">
      <c r="A567" s="542" t="s">
        <v>477</v>
      </c>
      <c r="C567" s="543">
        <f t="shared" si="126"/>
        <v>0</v>
      </c>
      <c r="D567" s="544"/>
      <c r="E567" s="544"/>
      <c r="F567" s="545" t="s">
        <v>1902</v>
      </c>
      <c r="G567" s="544"/>
      <c r="H567" s="545"/>
      <c r="I567" s="545"/>
      <c r="J567" s="545"/>
      <c r="K567" s="545"/>
      <c r="L567" s="545"/>
      <c r="M567" s="545"/>
      <c r="N567" s="545"/>
      <c r="O567" s="545"/>
      <c r="P567" s="545"/>
      <c r="Q567" s="545"/>
      <c r="S567" s="542">
        <f t="shared" si="125"/>
        <v>0</v>
      </c>
      <c r="T567" s="542">
        <f t="shared" si="128"/>
        <v>0</v>
      </c>
    </row>
    <row r="568" spans="1:20" s="405" customFormat="1">
      <c r="A568" s="405" t="s">
        <v>477</v>
      </c>
      <c r="B568" s="405" t="s">
        <v>15</v>
      </c>
      <c r="C568" s="418">
        <f t="shared" si="126"/>
        <v>1</v>
      </c>
      <c r="D568" s="523"/>
      <c r="E568" s="523">
        <f>VLOOKUP(B568,DONGIA,DG!$B$6,0)</f>
        <v>0</v>
      </c>
      <c r="F568" s="666" t="str">
        <f>VLOOKUP(B568,DONGIA,DG!$C$6,0)</f>
        <v>Đà hộp composite 110x80x5-800</v>
      </c>
      <c r="G568" s="523" t="str">
        <f>VLOOKUP(B568,DONGIA,DG!$D$6,0)</f>
        <v>cái</v>
      </c>
      <c r="H568" s="525">
        <f>H566</f>
        <v>3</v>
      </c>
      <c r="I568" s="525">
        <f>VLOOKUP(B568,DONGIA,DG!$E$6,0)</f>
        <v>541200</v>
      </c>
      <c r="J568" s="525"/>
      <c r="K568" s="525">
        <f>VLOOKUP(B568,DONGIA,DG!$F$6,0)</f>
        <v>0</v>
      </c>
      <c r="L568" s="525">
        <f>VLOOKUP(B568,DONGIA,DG!$G$6,0)</f>
        <v>0</v>
      </c>
      <c r="M568" s="525">
        <f>$H568*I568</f>
        <v>1623600</v>
      </c>
      <c r="N568" s="525">
        <f>$H568*J568</f>
        <v>0</v>
      </c>
      <c r="O568" s="525">
        <f>$H568*K568</f>
        <v>0</v>
      </c>
      <c r="P568" s="525">
        <f>$H568*L568</f>
        <v>0</v>
      </c>
      <c r="Q568" s="525"/>
      <c r="S568" s="405">
        <f t="shared" si="125"/>
        <v>3.2</v>
      </c>
      <c r="T568" s="405">
        <f t="shared" si="128"/>
        <v>9.6000000000000014</v>
      </c>
    </row>
    <row r="569" spans="1:20" s="405" customFormat="1">
      <c r="A569" s="405" t="s">
        <v>477</v>
      </c>
      <c r="B569" s="405" t="s">
        <v>17</v>
      </c>
      <c r="C569" s="418">
        <f t="shared" si="126"/>
        <v>1</v>
      </c>
      <c r="D569" s="523"/>
      <c r="E569" s="523">
        <f>VLOOKUP(B569,DONGIA,DG!$B$6,0)</f>
        <v>0</v>
      </c>
      <c r="F569" s="666" t="str">
        <f>VLOOKUP(B569,DONGIA,DG!$C$6,0)</f>
        <v>Thanh chống 10x40x710</v>
      </c>
      <c r="G569" s="523" t="str">
        <f>VLOOKUP(B569,DONGIA,DG!$D$6,0)</f>
        <v>cái</v>
      </c>
      <c r="H569" s="525">
        <f>H568</f>
        <v>3</v>
      </c>
      <c r="I569" s="525">
        <f>VLOOKUP(B569,DONGIA,DG!$E$6,0)</f>
        <v>79800</v>
      </c>
      <c r="J569" s="525"/>
      <c r="K569" s="525">
        <f>VLOOKUP(B569,DONGIA,DG!$F$6,0)</f>
        <v>0</v>
      </c>
      <c r="L569" s="525">
        <f>VLOOKUP(B569,DONGIA,DG!$G$6,0)</f>
        <v>0</v>
      </c>
      <c r="M569" s="525">
        <f t="shared" ref="M569:M574" si="129">$H569*I569</f>
        <v>239400</v>
      </c>
      <c r="N569" s="525">
        <f t="shared" ref="N569:N574" si="130">$H569*J569</f>
        <v>0</v>
      </c>
      <c r="O569" s="525">
        <f t="shared" ref="O569:O574" si="131">$H569*K569</f>
        <v>0</v>
      </c>
      <c r="P569" s="525">
        <f t="shared" ref="P569:P574" si="132">$H569*L569</f>
        <v>0</v>
      </c>
      <c r="Q569" s="525"/>
      <c r="S569" s="405">
        <f t="shared" si="125"/>
        <v>0.5</v>
      </c>
      <c r="T569" s="405">
        <f t="shared" si="128"/>
        <v>1.5</v>
      </c>
    </row>
    <row r="570" spans="1:20" s="405" customFormat="1">
      <c r="A570" s="405" t="s">
        <v>477</v>
      </c>
      <c r="B570" s="405" t="s">
        <v>139</v>
      </c>
      <c r="C570" s="418">
        <f t="shared" si="126"/>
        <v>1</v>
      </c>
      <c r="D570" s="523"/>
      <c r="E570" s="523">
        <f>VLOOKUP(B570,DONGIA,DG!$B$6,0)</f>
        <v>0</v>
      </c>
      <c r="F570" s="666" t="str">
        <f>VLOOKUP(B570,DONGIA,DG!$C$6,0)</f>
        <v>Bass LL bắt FCO và LA</v>
      </c>
      <c r="G570" s="523" t="str">
        <f>VLOOKUP(B570,DONGIA,DG!$D$6,0)</f>
        <v>bộ</v>
      </c>
      <c r="H570" s="525">
        <f>H566</f>
        <v>3</v>
      </c>
      <c r="I570" s="525">
        <f>VLOOKUP(B570,DONGIA,DG!$E$6,0)</f>
        <v>56000</v>
      </c>
      <c r="J570" s="525"/>
      <c r="K570" s="525">
        <f>VLOOKUP(B570,DONGIA,DG!$F$6,0)</f>
        <v>0</v>
      </c>
      <c r="L570" s="525">
        <f>VLOOKUP(B570,DONGIA,DG!$G$6,0)</f>
        <v>0</v>
      </c>
      <c r="M570" s="525">
        <f t="shared" si="129"/>
        <v>168000</v>
      </c>
      <c r="N570" s="525">
        <f t="shared" si="130"/>
        <v>0</v>
      </c>
      <c r="O570" s="525">
        <f t="shared" si="131"/>
        <v>0</v>
      </c>
      <c r="P570" s="525">
        <f t="shared" si="132"/>
        <v>0</v>
      </c>
      <c r="Q570" s="525"/>
      <c r="S570" s="405">
        <f t="shared" si="125"/>
        <v>0.5</v>
      </c>
      <c r="T570" s="405">
        <f t="shared" si="128"/>
        <v>1.5</v>
      </c>
    </row>
    <row r="571" spans="1:20" s="405" customFormat="1">
      <c r="A571" s="405" t="s">
        <v>477</v>
      </c>
      <c r="B571" s="405" t="s">
        <v>37</v>
      </c>
      <c r="C571" s="418">
        <f t="shared" si="126"/>
        <v>1</v>
      </c>
      <c r="D571" s="523"/>
      <c r="E571" s="523">
        <f>VLOOKUP(B571,DONGIA,DG!$B$6,0)</f>
        <v>0</v>
      </c>
      <c r="F571" s="666" t="str">
        <f>VLOOKUP(B571,DONGIA,DG!$C$6,0)</f>
        <v>Boulon 16x350+ 2 long đền vuông D18-50x50x3/Zn</v>
      </c>
      <c r="G571" s="523" t="str">
        <f>VLOOKUP(B571,DONGIA,DG!$D$6,0)</f>
        <v>bộ</v>
      </c>
      <c r="H571" s="525">
        <f>H566</f>
        <v>3</v>
      </c>
      <c r="I571" s="525">
        <f>VLOOKUP(B571,DONGIA,DG!$E$6,0)</f>
        <v>32000</v>
      </c>
      <c r="J571" s="525"/>
      <c r="K571" s="525">
        <f>VLOOKUP(B571,DONGIA,DG!$F$6,0)</f>
        <v>0</v>
      </c>
      <c r="L571" s="525">
        <f>VLOOKUP(B571,DONGIA,DG!$G$6,0)</f>
        <v>0</v>
      </c>
      <c r="M571" s="525">
        <f t="shared" si="129"/>
        <v>96000</v>
      </c>
      <c r="N571" s="525">
        <f t="shared" si="130"/>
        <v>0</v>
      </c>
      <c r="O571" s="525">
        <f t="shared" si="131"/>
        <v>0</v>
      </c>
      <c r="P571" s="525">
        <f t="shared" si="132"/>
        <v>0</v>
      </c>
      <c r="Q571" s="525"/>
      <c r="S571" s="405">
        <f t="shared" si="125"/>
        <v>0.3</v>
      </c>
      <c r="T571" s="405">
        <f t="shared" si="128"/>
        <v>0.89999999999999991</v>
      </c>
    </row>
    <row r="572" spans="1:20" s="405" customFormat="1">
      <c r="A572" s="405" t="s">
        <v>477</v>
      </c>
      <c r="B572" s="405" t="s">
        <v>35</v>
      </c>
      <c r="C572" s="418">
        <f t="shared" si="126"/>
        <v>1</v>
      </c>
      <c r="D572" s="523"/>
      <c r="E572" s="523">
        <f>VLOOKUP(B572,DONGIA,DG!$B$6,0)</f>
        <v>0</v>
      </c>
      <c r="F572" s="666" t="str">
        <f>VLOOKUP(B572,DONGIA,DG!$C$6,0)</f>
        <v>Boulon 16x300+ 2 long đền vuông D18-50x50x3/Zn</v>
      </c>
      <c r="G572" s="523" t="str">
        <f>VLOOKUP(B572,DONGIA,DG!$D$6,0)</f>
        <v>bộ</v>
      </c>
      <c r="H572" s="525">
        <f>H566</f>
        <v>3</v>
      </c>
      <c r="I572" s="525">
        <f>VLOOKUP(B572,DONGIA,DG!$E$6,0)</f>
        <v>30000</v>
      </c>
      <c r="J572" s="525"/>
      <c r="K572" s="525">
        <f>VLOOKUP(B572,DONGIA,DG!$F$6,0)</f>
        <v>0</v>
      </c>
      <c r="L572" s="525">
        <f>VLOOKUP(B572,DONGIA,DG!$G$6,0)</f>
        <v>0</v>
      </c>
      <c r="M572" s="525">
        <f t="shared" si="129"/>
        <v>90000</v>
      </c>
      <c r="N572" s="525">
        <f t="shared" si="130"/>
        <v>0</v>
      </c>
      <c r="O572" s="525">
        <f t="shared" si="131"/>
        <v>0</v>
      </c>
      <c r="P572" s="525">
        <f t="shared" si="132"/>
        <v>0</v>
      </c>
      <c r="Q572" s="525"/>
      <c r="S572" s="405">
        <f t="shared" si="125"/>
        <v>0.25</v>
      </c>
      <c r="T572" s="405">
        <f t="shared" si="128"/>
        <v>0.75</v>
      </c>
    </row>
    <row r="573" spans="1:20" s="405" customFormat="1">
      <c r="A573" s="405" t="s">
        <v>477</v>
      </c>
      <c r="B573" s="405" t="s">
        <v>3053</v>
      </c>
      <c r="C573" s="418">
        <f>IF(H573&lt;&gt;0,1,)</f>
        <v>1</v>
      </c>
      <c r="D573" s="523"/>
      <c r="E573" s="523">
        <f>VLOOKUP(B573,DONGIA,DG!$B$6,0)</f>
        <v>0</v>
      </c>
      <c r="F573" s="666" t="str">
        <f>VLOOKUP(B573,DONGIA,DG!$C$6,0)</f>
        <v>Boulon 14x150+ 2 long đền vuông D16-50x50x3/Zn</v>
      </c>
      <c r="G573" s="523" t="str">
        <f>VLOOKUP(B573,DONGIA,DG!$D$6,0)</f>
        <v>bộ</v>
      </c>
      <c r="H573" s="525">
        <f>H569</f>
        <v>3</v>
      </c>
      <c r="I573" s="525">
        <f>VLOOKUP(B573,DONGIA,DG!$E$6,0)</f>
        <v>19000</v>
      </c>
      <c r="J573" s="525"/>
      <c r="K573" s="525">
        <f>VLOOKUP(B573,DONGIA,DG!$F$6,0)</f>
        <v>0</v>
      </c>
      <c r="L573" s="525">
        <f>VLOOKUP(B573,DONGIA,DG!$G$6,0)</f>
        <v>0</v>
      </c>
      <c r="M573" s="525">
        <f>$H573*I573</f>
        <v>57000</v>
      </c>
      <c r="N573" s="525">
        <f>$H573*J573</f>
        <v>0</v>
      </c>
      <c r="O573" s="525">
        <f>$H573*K573</f>
        <v>0</v>
      </c>
      <c r="P573" s="525">
        <f>$H573*L573</f>
        <v>0</v>
      </c>
      <c r="Q573" s="525"/>
      <c r="S573" s="405">
        <f>IFERROR(VLOOKUP(B573,DONGIA,$S$25,0),0)</f>
        <v>0.2</v>
      </c>
      <c r="T573" s="405">
        <f>H573*S573</f>
        <v>0.60000000000000009</v>
      </c>
    </row>
    <row r="574" spans="1:20" s="405" customFormat="1" ht="31.2">
      <c r="A574" s="405" t="s">
        <v>477</v>
      </c>
      <c r="B574" s="405" t="s">
        <v>617</v>
      </c>
      <c r="C574" s="418">
        <f t="shared" si="126"/>
        <v>1</v>
      </c>
      <c r="D574" s="523"/>
      <c r="E574" s="523" t="str">
        <f>VLOOKUP(B574,DONGIA,DG!$B$6,0)</f>
        <v>D2.6011</v>
      </c>
      <c r="F574" s="666" t="str">
        <f>VLOOKUP(B574,DONGIA,DG!$C$6,0)</f>
        <v>Lắp đà composite 800mm đơn (KL &lt;=15kg, trụ BTLT, tính = 0.8 đà sắt)</v>
      </c>
      <c r="G574" s="523" t="str">
        <f>VLOOKUP(B574,DONGIA,DG!$D$6,0)</f>
        <v>bộ</v>
      </c>
      <c r="H574" s="525">
        <f>H566</f>
        <v>3</v>
      </c>
      <c r="I574" s="525">
        <f>VLOOKUP(B574,DONGIA,DG!$E$6,0)</f>
        <v>0</v>
      </c>
      <c r="J574" s="525"/>
      <c r="K574" s="525">
        <f>VLOOKUP(B574,DONGIA,DG!$F$6,0)</f>
        <v>134360</v>
      </c>
      <c r="L574" s="525">
        <f>VLOOKUP(B574,DONGIA,DG!$G$6,0)</f>
        <v>0</v>
      </c>
      <c r="M574" s="525">
        <f t="shared" si="129"/>
        <v>0</v>
      </c>
      <c r="N574" s="525">
        <f t="shared" si="130"/>
        <v>0</v>
      </c>
      <c r="O574" s="525">
        <f t="shared" si="131"/>
        <v>403080</v>
      </c>
      <c r="P574" s="525">
        <f t="shared" si="132"/>
        <v>0</v>
      </c>
      <c r="Q574" s="525"/>
      <c r="S574" s="405">
        <f t="shared" si="125"/>
        <v>0</v>
      </c>
      <c r="T574" s="405">
        <f t="shared" si="128"/>
        <v>0</v>
      </c>
    </row>
    <row r="575" spans="1:20">
      <c r="A575" s="332" t="s">
        <v>477</v>
      </c>
      <c r="C575" s="333">
        <f t="shared" si="126"/>
        <v>1</v>
      </c>
      <c r="D575" s="372">
        <f>IF(H575&lt;&gt;0,D566+1,D566)</f>
        <v>3</v>
      </c>
      <c r="E575" s="372"/>
      <c r="F575" s="780" t="s">
        <v>1933</v>
      </c>
      <c r="G575" s="372" t="s">
        <v>138</v>
      </c>
      <c r="H575" s="372">
        <f>T1P75</f>
        <v>3</v>
      </c>
      <c r="I575" s="373"/>
      <c r="J575" s="373"/>
      <c r="K575" s="373"/>
      <c r="L575" s="373"/>
      <c r="M575" s="373"/>
      <c r="N575" s="373"/>
      <c r="O575" s="373"/>
      <c r="P575" s="373"/>
      <c r="Q575" s="373"/>
      <c r="S575" s="332">
        <f t="shared" si="125"/>
        <v>0</v>
      </c>
      <c r="T575" s="332">
        <f t="shared" si="128"/>
        <v>0</v>
      </c>
    </row>
    <row r="576" spans="1:20" s="361" customFormat="1" hidden="1">
      <c r="A576" s="361" t="s">
        <v>477</v>
      </c>
      <c r="C576" s="374">
        <f t="shared" si="126"/>
        <v>0</v>
      </c>
      <c r="D576" s="350"/>
      <c r="E576" s="350"/>
      <c r="F576" s="351" t="s">
        <v>1902</v>
      </c>
      <c r="G576" s="350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S576" s="361">
        <f t="shared" si="125"/>
        <v>0</v>
      </c>
      <c r="T576" s="361">
        <f t="shared" si="128"/>
        <v>0</v>
      </c>
    </row>
    <row r="577" spans="1:20" s="405" customFormat="1">
      <c r="A577" s="405" t="s">
        <v>477</v>
      </c>
      <c r="B577" s="405" t="s">
        <v>144</v>
      </c>
      <c r="C577" s="418">
        <f t="shared" si="126"/>
        <v>1</v>
      </c>
      <c r="D577" s="523"/>
      <c r="E577" s="523">
        <f>VLOOKUP(B577,DONGIA,DG!$B$6,0)</f>
        <v>0</v>
      </c>
      <c r="F577" s="666" t="str">
        <f>VLOOKUP(B577,DONGIA,DG!$C$6,0)</f>
        <v>Cáp đồng trần M25mm2</v>
      </c>
      <c r="G577" s="523" t="str">
        <f>VLOOKUP(B577,DONGIA,DG!$D$6,0)</f>
        <v>kg</v>
      </c>
      <c r="H577" s="546">
        <f>H575*TDTR1P*0.224</f>
        <v>36.288000000000004</v>
      </c>
      <c r="I577" s="525">
        <f>VLOOKUP(B577,DONGIA,DG!$E$6,0)</f>
        <v>201380</v>
      </c>
      <c r="J577" s="525"/>
      <c r="K577" s="525">
        <f>VLOOKUP(B577,DONGIA,DG!$F$6,0)</f>
        <v>0</v>
      </c>
      <c r="L577" s="525">
        <f>VLOOKUP(B577,DONGIA,DG!$G$6,0)</f>
        <v>0</v>
      </c>
      <c r="M577" s="525">
        <f>$H577*I577</f>
        <v>7307677.4400000004</v>
      </c>
      <c r="N577" s="525">
        <f>$H577*J577</f>
        <v>0</v>
      </c>
      <c r="O577" s="525">
        <f>$H577*K577</f>
        <v>0</v>
      </c>
      <c r="P577" s="525">
        <f>$H577*L577</f>
        <v>0</v>
      </c>
      <c r="Q577" s="525"/>
      <c r="S577" s="405">
        <f t="shared" si="125"/>
        <v>1</v>
      </c>
      <c r="T577" s="405">
        <f t="shared" si="128"/>
        <v>36.288000000000004</v>
      </c>
    </row>
    <row r="578" spans="1:20" s="405" customFormat="1">
      <c r="A578" s="405" t="s">
        <v>477</v>
      </c>
      <c r="B578" s="405" t="s">
        <v>278</v>
      </c>
      <c r="C578" s="418">
        <f t="shared" si="126"/>
        <v>1</v>
      </c>
      <c r="D578" s="523"/>
      <c r="E578" s="523">
        <f>VLOOKUP(B578,DONGIA,DG!$B$6,0)</f>
        <v>0</v>
      </c>
      <c r="F578" s="666" t="str">
        <f>VLOOKUP(B578,DONGIA,DG!$C$6,0)</f>
        <v>Cọc tiếp đất φ16 - 2,4m (mạ đồng 16µm)</v>
      </c>
      <c r="G578" s="523" t="str">
        <f>VLOOKUP(B578,DONGIA,DG!$D$6,0)</f>
        <v>cọc</v>
      </c>
      <c r="H578" s="525">
        <f>H575*12</f>
        <v>36</v>
      </c>
      <c r="I578" s="525">
        <f>VLOOKUP(B578,DONGIA,DG!$E$6,0)</f>
        <v>130000</v>
      </c>
      <c r="J578" s="525"/>
      <c r="K578" s="525">
        <f>VLOOKUP(B578,DONGIA,DG!$F$6,0)</f>
        <v>0</v>
      </c>
      <c r="L578" s="525">
        <f>VLOOKUP(B578,DONGIA,DG!$G$6,0)</f>
        <v>0</v>
      </c>
      <c r="M578" s="525">
        <f t="shared" ref="M578:M585" si="133">$H578*I578</f>
        <v>4680000</v>
      </c>
      <c r="N578" s="525">
        <f t="shared" ref="N578:N585" si="134">$H578*J578</f>
        <v>0</v>
      </c>
      <c r="O578" s="525">
        <f t="shared" ref="O578:O585" si="135">$H578*K578</f>
        <v>0</v>
      </c>
      <c r="P578" s="525">
        <f t="shared" ref="P578:P585" si="136">$H578*L578</f>
        <v>0</v>
      </c>
      <c r="Q578" s="525"/>
      <c r="S578" s="405">
        <f t="shared" si="125"/>
        <v>5.3</v>
      </c>
      <c r="T578" s="405">
        <f t="shared" si="128"/>
        <v>190.79999999999998</v>
      </c>
    </row>
    <row r="579" spans="1:20" s="405" customFormat="1">
      <c r="A579" s="405" t="s">
        <v>477</v>
      </c>
      <c r="B579" s="405" t="s">
        <v>280</v>
      </c>
      <c r="C579" s="418">
        <f t="shared" si="126"/>
        <v>1</v>
      </c>
      <c r="D579" s="523"/>
      <c r="E579" s="523">
        <f>VLOOKUP(B579,DONGIA,DG!$B$6,0)</f>
        <v>0</v>
      </c>
      <c r="F579" s="666" t="str">
        <f>VLOOKUP(B579,DONGIA,DG!$C$6,0)</f>
        <v>Kẹp cọc tiếp địa</v>
      </c>
      <c r="G579" s="523" t="str">
        <f>VLOOKUP(B579,DONGIA,DG!$D$6,0)</f>
        <v>bộ</v>
      </c>
      <c r="H579" s="525">
        <f>H578</f>
        <v>36</v>
      </c>
      <c r="I579" s="525">
        <f>VLOOKUP(B579,DONGIA,DG!$E$6,0)</f>
        <v>25000</v>
      </c>
      <c r="J579" s="525"/>
      <c r="K579" s="525">
        <f>VLOOKUP(B579,DONGIA,DG!$F$6,0)</f>
        <v>0</v>
      </c>
      <c r="L579" s="525">
        <f>VLOOKUP(B579,DONGIA,DG!$G$6,0)</f>
        <v>0</v>
      </c>
      <c r="M579" s="525">
        <f t="shared" si="133"/>
        <v>900000</v>
      </c>
      <c r="N579" s="525">
        <f t="shared" si="134"/>
        <v>0</v>
      </c>
      <c r="O579" s="525">
        <f t="shared" si="135"/>
        <v>0</v>
      </c>
      <c r="P579" s="525">
        <f t="shared" si="136"/>
        <v>0</v>
      </c>
      <c r="Q579" s="525"/>
      <c r="S579" s="405">
        <f t="shared" si="125"/>
        <v>0.05</v>
      </c>
      <c r="T579" s="405">
        <f t="shared" si="128"/>
        <v>1.8</v>
      </c>
    </row>
    <row r="580" spans="1:20" s="405" customFormat="1">
      <c r="A580" s="405" t="s">
        <v>477</v>
      </c>
      <c r="B580" s="405" t="s">
        <v>1217</v>
      </c>
      <c r="C580" s="418">
        <f t="shared" si="126"/>
        <v>1</v>
      </c>
      <c r="D580" s="523"/>
      <c r="E580" s="523">
        <f>VLOOKUP(B580,DONGIA,DG!$B$6,0)</f>
        <v>0</v>
      </c>
      <c r="F580" s="666" t="str">
        <f>VLOOKUP(B580,DONGIA,DG!$C$6,0)</f>
        <v xml:space="preserve">Ốc xiết cáp cỡ 38mm2 </v>
      </c>
      <c r="G580" s="523" t="str">
        <f>VLOOKUP(B580,DONGIA,DG!$D$6,0)</f>
        <v>cái</v>
      </c>
      <c r="H580" s="525">
        <f>H575*8</f>
        <v>24</v>
      </c>
      <c r="I580" s="525">
        <f>VLOOKUP(B580,DONGIA,DG!$E$6,0)</f>
        <v>18000</v>
      </c>
      <c r="J580" s="525"/>
      <c r="K580" s="525">
        <f>VLOOKUP(B580,DONGIA,DG!$F$6,0)</f>
        <v>0</v>
      </c>
      <c r="L580" s="525">
        <f>VLOOKUP(B580,DONGIA,DG!$G$6,0)</f>
        <v>0</v>
      </c>
      <c r="M580" s="525">
        <f t="shared" si="133"/>
        <v>432000</v>
      </c>
      <c r="N580" s="525">
        <f t="shared" si="134"/>
        <v>0</v>
      </c>
      <c r="O580" s="525">
        <f t="shared" si="135"/>
        <v>0</v>
      </c>
      <c r="P580" s="525">
        <f t="shared" si="136"/>
        <v>0</v>
      </c>
      <c r="Q580" s="525"/>
      <c r="S580" s="405">
        <f t="shared" si="125"/>
        <v>0</v>
      </c>
      <c r="T580" s="405">
        <f t="shared" si="128"/>
        <v>0</v>
      </c>
    </row>
    <row r="581" spans="1:20" s="405" customFormat="1">
      <c r="A581" s="405" t="s">
        <v>477</v>
      </c>
      <c r="B581" s="405" t="s">
        <v>323</v>
      </c>
      <c r="C581" s="418">
        <f>IF(H581&lt;&gt;0,1,)</f>
        <v>1</v>
      </c>
      <c r="D581" s="523"/>
      <c r="E581" s="523">
        <f>VLOOKUP(B581,DONGIA,DG!$B$6,0)</f>
        <v>0</v>
      </c>
      <c r="F581" s="666" t="str">
        <f>VLOOKUP(B581,DONGIA,DG!$C$6,0)</f>
        <v>Kẹp ép WR cỡ dây 50mm2</v>
      </c>
      <c r="G581" s="523" t="str">
        <f>VLOOKUP(B581,DONGIA,DG!$D$6,0)</f>
        <v>cái</v>
      </c>
      <c r="H581" s="525">
        <f>H575*2</f>
        <v>6</v>
      </c>
      <c r="I581" s="525">
        <f>VLOOKUP(B581,DONGIA,DG!$E$6,0)</f>
        <v>10000</v>
      </c>
      <c r="J581" s="525"/>
      <c r="K581" s="525">
        <f>VLOOKUP(B581,DONGIA,DG!$F$6,0)</f>
        <v>0</v>
      </c>
      <c r="L581" s="525">
        <f>VLOOKUP(B581,DONGIA,DG!$G$6,0)</f>
        <v>0</v>
      </c>
      <c r="M581" s="525">
        <f>$H581*I581</f>
        <v>60000</v>
      </c>
      <c r="N581" s="525">
        <f>$H581*J581</f>
        <v>0</v>
      </c>
      <c r="O581" s="525">
        <f>$H581*K581</f>
        <v>0</v>
      </c>
      <c r="P581" s="525">
        <f>$H581*L581</f>
        <v>0</v>
      </c>
      <c r="Q581" s="525"/>
      <c r="S581" s="405">
        <f>IFERROR(VLOOKUP(B581,DONGIA,$S$25,0),0)</f>
        <v>0.2</v>
      </c>
      <c r="T581" s="405">
        <f>H581*S581</f>
        <v>1.2000000000000002</v>
      </c>
    </row>
    <row r="582" spans="1:20" s="405" customFormat="1">
      <c r="A582" s="405" t="s">
        <v>477</v>
      </c>
      <c r="B582" s="405" t="s">
        <v>573</v>
      </c>
      <c r="C582" s="418">
        <f t="shared" si="126"/>
        <v>1</v>
      </c>
      <c r="D582" s="523"/>
      <c r="E582" s="523" t="str">
        <f>VLOOKUP(B582,DONGIA,DG!$B$6,0)</f>
        <v>T4.7001</v>
      </c>
      <c r="F582" s="666" t="str">
        <f>VLOOKUP(B582,DONGIA,DG!$C$6,0)</f>
        <v>Kéo dây tiếp địa trong TBA</v>
      </c>
      <c r="G582" s="523" t="str">
        <f>VLOOKUP(B582,DONGIA,DG!$D$6,0)</f>
        <v>mét</v>
      </c>
      <c r="H582" s="525">
        <f>H575*TDTR1P</f>
        <v>162</v>
      </c>
      <c r="I582" s="525">
        <f>VLOOKUP(B582,DONGIA,DG!$E$6,0)</f>
        <v>0</v>
      </c>
      <c r="J582" s="525"/>
      <c r="K582" s="525">
        <f>VLOOKUP(B582,DONGIA,DG!$F$6,0)</f>
        <v>6871</v>
      </c>
      <c r="L582" s="525">
        <f>VLOOKUP(B582,DONGIA,DG!$G$6,0)</f>
        <v>0</v>
      </c>
      <c r="M582" s="525">
        <f t="shared" si="133"/>
        <v>0</v>
      </c>
      <c r="N582" s="525">
        <f t="shared" si="134"/>
        <v>0</v>
      </c>
      <c r="O582" s="525">
        <f>$H582*K582</f>
        <v>1113102</v>
      </c>
      <c r="P582" s="525">
        <f t="shared" si="136"/>
        <v>0</v>
      </c>
      <c r="Q582" s="525"/>
      <c r="S582" s="405">
        <f t="shared" si="125"/>
        <v>0</v>
      </c>
      <c r="T582" s="405">
        <f t="shared" si="128"/>
        <v>0</v>
      </c>
    </row>
    <row r="583" spans="1:20" s="405" customFormat="1">
      <c r="A583" s="405" t="s">
        <v>477</v>
      </c>
      <c r="B583" s="405" t="s">
        <v>581</v>
      </c>
      <c r="C583" s="418">
        <f t="shared" si="126"/>
        <v>1</v>
      </c>
      <c r="D583" s="523"/>
      <c r="E583" s="523" t="str">
        <f>VLOOKUP(B583,DONGIA,DG!$B$6,0)</f>
        <v>D2.8103</v>
      </c>
      <c r="F583" s="666" t="str">
        <f>VLOOKUP(B583,DONGIA,DG!$C$6,0)</f>
        <v>Đóng cọc tiếp địa trong TBA (đất cấp 3)</v>
      </c>
      <c r="G583" s="523" t="str">
        <f>VLOOKUP(B583,DONGIA,DG!$D$6,0)</f>
        <v>cọc</v>
      </c>
      <c r="H583" s="525">
        <f>H578</f>
        <v>36</v>
      </c>
      <c r="I583" s="525">
        <f>VLOOKUP(B583,DONGIA,DG!$E$6,0)</f>
        <v>0</v>
      </c>
      <c r="J583" s="525"/>
      <c r="K583" s="525">
        <f>VLOOKUP(B583,DONGIA,DG!$F$6,0)</f>
        <v>76928</v>
      </c>
      <c r="L583" s="525">
        <f>VLOOKUP(B583,DONGIA,DG!$G$6,0)</f>
        <v>0</v>
      </c>
      <c r="M583" s="525">
        <f t="shared" si="133"/>
        <v>0</v>
      </c>
      <c r="N583" s="525">
        <f t="shared" si="134"/>
        <v>0</v>
      </c>
      <c r="O583" s="525">
        <f>$H583*K583</f>
        <v>2769408</v>
      </c>
      <c r="P583" s="525">
        <f t="shared" si="136"/>
        <v>0</v>
      </c>
      <c r="Q583" s="525"/>
      <c r="S583" s="405">
        <f t="shared" si="125"/>
        <v>0</v>
      </c>
      <c r="T583" s="405">
        <f t="shared" si="128"/>
        <v>0</v>
      </c>
    </row>
    <row r="584" spans="1:20" s="405" customFormat="1">
      <c r="A584" s="405" t="s">
        <v>477</v>
      </c>
      <c r="B584" s="405" t="s">
        <v>540</v>
      </c>
      <c r="C584" s="418">
        <f t="shared" si="126"/>
        <v>1</v>
      </c>
      <c r="D584" s="523"/>
      <c r="E584" s="523" t="str">
        <f>VLOOKUP(B584,DONGIA,DG!$B$6,0)</f>
        <v>AB.11513</v>
      </c>
      <c r="F584" s="666" t="str">
        <f>VLOOKUP(B584,DONGIA,DG!$C$6,0)</f>
        <v>Đào rãnh tiếp địa đất cấp 3</v>
      </c>
      <c r="G584" s="523" t="str">
        <f>VLOOKUP(B584,DONGIA,DG!$D$6,0)</f>
        <v>m3</v>
      </c>
      <c r="H584" s="546">
        <f>H575*DAOTD</f>
        <v>9.9</v>
      </c>
      <c r="I584" s="525">
        <f>VLOOKUP(B584,DONGIA,DG!$E$6,0)</f>
        <v>0</v>
      </c>
      <c r="J584" s="525"/>
      <c r="K584" s="525">
        <f>ROUND(VLOOKUP(B584,DONGIA,DG!$F$6,0)/NCTBA,0)</f>
        <v>241580</v>
      </c>
      <c r="L584" s="525">
        <f>VLOOKUP(B584,DONGIA,DG!$G$6,0)</f>
        <v>0</v>
      </c>
      <c r="M584" s="525">
        <f t="shared" si="133"/>
        <v>0</v>
      </c>
      <c r="N584" s="525">
        <f t="shared" si="134"/>
        <v>0</v>
      </c>
      <c r="O584" s="525">
        <f t="shared" si="135"/>
        <v>2391642</v>
      </c>
      <c r="P584" s="525">
        <f t="shared" si="136"/>
        <v>0</v>
      </c>
      <c r="Q584" s="525"/>
      <c r="S584" s="405">
        <f t="shared" si="125"/>
        <v>0</v>
      </c>
      <c r="T584" s="405">
        <f t="shared" si="128"/>
        <v>0</v>
      </c>
    </row>
    <row r="585" spans="1:20" s="405" customFormat="1">
      <c r="A585" s="405" t="s">
        <v>477</v>
      </c>
      <c r="B585" s="405" t="s">
        <v>547</v>
      </c>
      <c r="C585" s="418">
        <f t="shared" si="126"/>
        <v>1</v>
      </c>
      <c r="D585" s="523"/>
      <c r="E585" s="523" t="str">
        <f>VLOOKUP(B585,DONGIA,DG!$B$6,0)</f>
        <v>AB.65110</v>
      </c>
      <c r="F585" s="666" t="str">
        <f>VLOOKUP(B585,DONGIA,DG!$C$6,0)</f>
        <v>Đắp đất rãnh tiếp địa (K=0,85)</v>
      </c>
      <c r="G585" s="523" t="str">
        <f>VLOOKUP(B585,DONGIA,DG!$D$6,0)</f>
        <v>m3</v>
      </c>
      <c r="H585" s="546">
        <f>H584</f>
        <v>9.9</v>
      </c>
      <c r="I585" s="525">
        <f>VLOOKUP(B585,DONGIA,DG!$E$6,0)</f>
        <v>0</v>
      </c>
      <c r="J585" s="525"/>
      <c r="K585" s="525">
        <f>ROUND(VLOOKUP(B585,DONGIA,DG!$F$6,0)/NCTBA,0)</f>
        <v>16267</v>
      </c>
      <c r="L585" s="525">
        <f>VLOOKUP(B585,DONGIA,DG!$G$6,0)</f>
        <v>11176</v>
      </c>
      <c r="M585" s="525">
        <f t="shared" si="133"/>
        <v>0</v>
      </c>
      <c r="N585" s="525">
        <f t="shared" si="134"/>
        <v>0</v>
      </c>
      <c r="O585" s="525">
        <f t="shared" si="135"/>
        <v>161043.30000000002</v>
      </c>
      <c r="P585" s="525">
        <f t="shared" si="136"/>
        <v>110642.40000000001</v>
      </c>
      <c r="Q585" s="525"/>
      <c r="S585" s="405">
        <f t="shared" si="125"/>
        <v>0</v>
      </c>
      <c r="T585" s="405">
        <f t="shared" si="128"/>
        <v>0</v>
      </c>
    </row>
    <row r="586" spans="1:20" s="405" customFormat="1">
      <c r="A586" s="405" t="s">
        <v>477</v>
      </c>
      <c r="C586" s="418">
        <f t="shared" si="126"/>
        <v>1</v>
      </c>
      <c r="D586" s="540">
        <f>IF(H586&lt;&gt;0,D575+1,D575)</f>
        <v>4</v>
      </c>
      <c r="E586" s="540"/>
      <c r="F586" s="781" t="s">
        <v>1934</v>
      </c>
      <c r="G586" s="540" t="s">
        <v>138</v>
      </c>
      <c r="H586" s="540">
        <f>T1P75</f>
        <v>3</v>
      </c>
      <c r="I586" s="541"/>
      <c r="J586" s="541"/>
      <c r="K586" s="541"/>
      <c r="L586" s="541"/>
      <c r="M586" s="541"/>
      <c r="N586" s="541"/>
      <c r="O586" s="541"/>
      <c r="P586" s="541"/>
      <c r="Q586" s="541"/>
      <c r="S586" s="405">
        <f t="shared" si="125"/>
        <v>0</v>
      </c>
      <c r="T586" s="405">
        <f t="shared" si="128"/>
        <v>0</v>
      </c>
    </row>
    <row r="587" spans="1:20" s="542" customFormat="1" hidden="1">
      <c r="A587" s="542" t="s">
        <v>477</v>
      </c>
      <c r="C587" s="543">
        <f t="shared" si="126"/>
        <v>0</v>
      </c>
      <c r="D587" s="544"/>
      <c r="E587" s="544"/>
      <c r="F587" s="545" t="s">
        <v>1902</v>
      </c>
      <c r="G587" s="544"/>
      <c r="H587" s="545"/>
      <c r="I587" s="545"/>
      <c r="J587" s="545"/>
      <c r="K587" s="545"/>
      <c r="L587" s="545"/>
      <c r="M587" s="545"/>
      <c r="N587" s="545"/>
      <c r="O587" s="545"/>
      <c r="P587" s="545"/>
      <c r="Q587" s="545"/>
      <c r="S587" s="542">
        <f t="shared" si="125"/>
        <v>0</v>
      </c>
      <c r="T587" s="542">
        <f t="shared" si="128"/>
        <v>0</v>
      </c>
    </row>
    <row r="588" spans="1:20" s="851" customFormat="1">
      <c r="A588" s="851" t="s">
        <v>477</v>
      </c>
      <c r="B588" s="851" t="s">
        <v>989</v>
      </c>
      <c r="C588" s="852">
        <f t="shared" si="126"/>
        <v>1</v>
      </c>
      <c r="D588" s="662"/>
      <c r="E588" s="662" t="str">
        <f>VLOOKUP(B588,DONGIA,DG!$B$6,0)</f>
        <v>T5.1001</v>
      </c>
      <c r="F588" s="853" t="str">
        <f>VLOOKUP(B588,DONGIA,DG!$C$6,0)</f>
        <v>Tủ trạm treo + khóa + boulon + Bakelit + Collier (1 pha)</v>
      </c>
      <c r="G588" s="662" t="str">
        <f>VLOOKUP(B588,DONGIA,DG!$D$6,0)</f>
        <v>bộ</v>
      </c>
      <c r="H588" s="664">
        <f>H586</f>
        <v>3</v>
      </c>
      <c r="I588" s="664">
        <f>VLOOKUP(B588,DONGIA,DG!$E$6,0)</f>
        <v>5446000</v>
      </c>
      <c r="J588" s="664"/>
      <c r="K588" s="664">
        <f>VLOOKUP(B588,DONGIA,DG!$F$6,0)</f>
        <v>645165</v>
      </c>
      <c r="L588" s="664">
        <f>VLOOKUP(B588,DONGIA,DG!$G$6,0)</f>
        <v>111154</v>
      </c>
      <c r="M588" s="664">
        <f>$H588*I588</f>
        <v>16338000</v>
      </c>
      <c r="N588" s="664">
        <f>$H588*J588</f>
        <v>0</v>
      </c>
      <c r="O588" s="664">
        <f>$H588*K588</f>
        <v>1935495</v>
      </c>
      <c r="P588" s="664">
        <f>$H588*L588</f>
        <v>333462</v>
      </c>
      <c r="Q588" s="664"/>
      <c r="S588" s="851">
        <f t="shared" si="125"/>
        <v>45</v>
      </c>
      <c r="T588" s="851">
        <f t="shared" si="128"/>
        <v>135</v>
      </c>
    </row>
    <row r="589" spans="1:20" s="405" customFormat="1">
      <c r="C589" s="418">
        <f t="shared" si="126"/>
        <v>1</v>
      </c>
      <c r="D589" s="540">
        <f>IF(H589&lt;&gt;0,D586+1,D586)</f>
        <v>5</v>
      </c>
      <c r="E589" s="540"/>
      <c r="F589" s="781" t="s">
        <v>1935</v>
      </c>
      <c r="G589" s="540" t="s">
        <v>138</v>
      </c>
      <c r="H589" s="540">
        <f>T1P75</f>
        <v>3</v>
      </c>
      <c r="I589" s="541"/>
      <c r="J589" s="541"/>
      <c r="K589" s="541"/>
      <c r="L589" s="541"/>
      <c r="M589" s="541"/>
      <c r="N589" s="541"/>
      <c r="O589" s="541"/>
      <c r="P589" s="541"/>
      <c r="Q589" s="541"/>
      <c r="S589" s="405">
        <f t="shared" si="125"/>
        <v>0</v>
      </c>
      <c r="T589" s="405">
        <f t="shared" si="128"/>
        <v>0</v>
      </c>
    </row>
    <row r="590" spans="1:20" s="542" customFormat="1" hidden="1">
      <c r="C590" s="543">
        <f t="shared" si="126"/>
        <v>0</v>
      </c>
      <c r="D590" s="544"/>
      <c r="E590" s="544"/>
      <c r="F590" s="545" t="s">
        <v>1902</v>
      </c>
      <c r="G590" s="544"/>
      <c r="H590" s="545"/>
      <c r="I590" s="545"/>
      <c r="J590" s="545"/>
      <c r="K590" s="545"/>
      <c r="L590" s="545"/>
      <c r="M590" s="545"/>
      <c r="N590" s="545"/>
      <c r="O590" s="545"/>
      <c r="P590" s="545"/>
      <c r="Q590" s="545"/>
      <c r="S590" s="542">
        <f t="shared" si="125"/>
        <v>0</v>
      </c>
      <c r="T590" s="542">
        <f t="shared" si="128"/>
        <v>0</v>
      </c>
    </row>
    <row r="591" spans="1:20" s="405" customFormat="1">
      <c r="B591" s="405" t="s">
        <v>1468</v>
      </c>
      <c r="C591" s="418">
        <f t="shared" si="126"/>
        <v>1</v>
      </c>
      <c r="D591" s="523"/>
      <c r="E591" s="523">
        <f>VLOOKUP(B591,DONGIA,DG!$B$6,0)</f>
        <v>0</v>
      </c>
      <c r="F591" s="666" t="str">
        <f>VLOOKUP(B591,DONGIA,DG!$C$6,0)</f>
        <v>Cáp 24KV C/XLPE/PVC 25mm2</v>
      </c>
      <c r="G591" s="523" t="str">
        <f>VLOOKUP(B591,DONGIA,DG!$D$6,0)</f>
        <v>mét</v>
      </c>
      <c r="H591" s="525">
        <f>H589*4</f>
        <v>12</v>
      </c>
      <c r="I591" s="525">
        <f>VLOOKUP(B591,DONGIA,DG!$E$6,0)</f>
        <v>87540</v>
      </c>
      <c r="J591" s="525"/>
      <c r="K591" s="525">
        <f>VLOOKUP(B591,DONGIA,DG!$F$6,0)</f>
        <v>0</v>
      </c>
      <c r="L591" s="525">
        <f>VLOOKUP(B591,DONGIA,DG!$G$6,0)</f>
        <v>0</v>
      </c>
      <c r="M591" s="525">
        <f t="shared" ref="M591:P595" si="137">$H591*I591</f>
        <v>1050480</v>
      </c>
      <c r="N591" s="525">
        <f t="shared" si="137"/>
        <v>0</v>
      </c>
      <c r="O591" s="525">
        <f t="shared" si="137"/>
        <v>0</v>
      </c>
      <c r="P591" s="525">
        <f t="shared" si="137"/>
        <v>0</v>
      </c>
      <c r="Q591" s="525"/>
      <c r="S591" s="405">
        <f t="shared" si="125"/>
        <v>0.75</v>
      </c>
      <c r="T591" s="405">
        <f t="shared" si="128"/>
        <v>9</v>
      </c>
    </row>
    <row r="592" spans="1:20" s="405" customFormat="1">
      <c r="B592" s="405" t="s">
        <v>1507</v>
      </c>
      <c r="C592" s="418">
        <f t="shared" si="126"/>
        <v>1</v>
      </c>
      <c r="D592" s="523"/>
      <c r="E592" s="523"/>
      <c r="F592" s="666" t="str">
        <f>VLOOKUP(B592,DONGIA,DG!$C$6,0)</f>
        <v>Kẹp quai 4/0 (quai đồng 8mm)</v>
      </c>
      <c r="G592" s="523" t="str">
        <f>VLOOKUP(B592,DONGIA,DG!$D$6,0)</f>
        <v>cái</v>
      </c>
      <c r="H592" s="525">
        <f>H589</f>
        <v>3</v>
      </c>
      <c r="I592" s="525">
        <f>VLOOKUP(B592,DONGIA,DG!$E$6,0)</f>
        <v>145000</v>
      </c>
      <c r="J592" s="525"/>
      <c r="K592" s="525"/>
      <c r="L592" s="525"/>
      <c r="M592" s="525">
        <f t="shared" si="137"/>
        <v>435000</v>
      </c>
      <c r="N592" s="525">
        <f t="shared" si="137"/>
        <v>0</v>
      </c>
      <c r="O592" s="525">
        <f t="shared" si="137"/>
        <v>0</v>
      </c>
      <c r="P592" s="525">
        <f t="shared" si="137"/>
        <v>0</v>
      </c>
      <c r="Q592" s="525"/>
      <c r="S592" s="405">
        <f t="shared" si="125"/>
        <v>0.3</v>
      </c>
      <c r="T592" s="405">
        <f t="shared" si="128"/>
        <v>0.89999999999999991</v>
      </c>
    </row>
    <row r="593" spans="2:20" s="405" customFormat="1">
      <c r="B593" s="405" t="s">
        <v>1511</v>
      </c>
      <c r="C593" s="418">
        <f t="shared" si="126"/>
        <v>1</v>
      </c>
      <c r="D593" s="523"/>
      <c r="E593" s="523"/>
      <c r="F593" s="666" t="str">
        <f>VLOOKUP(B593,DONGIA,DG!$C$6,0)</f>
        <v>Chụp cách điện kẹp quai</v>
      </c>
      <c r="G593" s="523" t="str">
        <f>VLOOKUP(B593,DONGIA,DG!$D$6,0)</f>
        <v>cái</v>
      </c>
      <c r="H593" s="525">
        <f>H592</f>
        <v>3</v>
      </c>
      <c r="I593" s="525">
        <f>VLOOKUP(B593,DONGIA,DG!$E$6,0)</f>
        <v>122000</v>
      </c>
      <c r="J593" s="525"/>
      <c r="K593" s="525"/>
      <c r="L593" s="525"/>
      <c r="M593" s="525">
        <f t="shared" si="137"/>
        <v>366000</v>
      </c>
      <c r="N593" s="525">
        <f t="shared" si="137"/>
        <v>0</v>
      </c>
      <c r="O593" s="525">
        <f t="shared" si="137"/>
        <v>0</v>
      </c>
      <c r="P593" s="525">
        <f t="shared" si="137"/>
        <v>0</v>
      </c>
      <c r="Q593" s="525"/>
      <c r="S593" s="405">
        <f t="shared" si="125"/>
        <v>0.2</v>
      </c>
      <c r="T593" s="405">
        <f t="shared" si="128"/>
        <v>0.60000000000000009</v>
      </c>
    </row>
    <row r="594" spans="2:20" s="405" customFormat="1">
      <c r="B594" s="405" t="s">
        <v>1508</v>
      </c>
      <c r="C594" s="418">
        <f t="shared" si="126"/>
        <v>1</v>
      </c>
      <c r="D594" s="523"/>
      <c r="E594" s="523"/>
      <c r="F594" s="666" t="str">
        <f>VLOOKUP(B594,DONGIA,DG!$C$6,0)</f>
        <v>Kẹp hotline 2/0</v>
      </c>
      <c r="G594" s="523" t="str">
        <f>VLOOKUP(B594,DONGIA,DG!$D$6,0)</f>
        <v>cái</v>
      </c>
      <c r="H594" s="525">
        <f>H592</f>
        <v>3</v>
      </c>
      <c r="I594" s="525">
        <f>VLOOKUP(B594,DONGIA,DG!$E$6,0)</f>
        <v>68000</v>
      </c>
      <c r="J594" s="525"/>
      <c r="K594" s="525"/>
      <c r="L594" s="525"/>
      <c r="M594" s="525">
        <f t="shared" si="137"/>
        <v>204000</v>
      </c>
      <c r="N594" s="525">
        <f t="shared" si="137"/>
        <v>0</v>
      </c>
      <c r="O594" s="525">
        <f t="shared" si="137"/>
        <v>0</v>
      </c>
      <c r="P594" s="525">
        <f t="shared" si="137"/>
        <v>0</v>
      </c>
      <c r="Q594" s="525"/>
      <c r="S594" s="405">
        <f t="shared" si="125"/>
        <v>0.1</v>
      </c>
      <c r="T594" s="405">
        <f t="shared" si="128"/>
        <v>0.30000000000000004</v>
      </c>
    </row>
    <row r="595" spans="2:20" s="405" customFormat="1">
      <c r="B595" s="405" t="s">
        <v>1939</v>
      </c>
      <c r="C595" s="418">
        <f t="shared" si="126"/>
        <v>1</v>
      </c>
      <c r="D595" s="523"/>
      <c r="E595" s="523" t="str">
        <f>VLOOKUP(B595,DONGIA,DG!$B$6,0)</f>
        <v>T4.4201</v>
      </c>
      <c r="F595" s="666" t="str">
        <f>VLOOKUP(B595,DONGIA,DG!$C$6,0)</f>
        <v>Lắp cáp đồng xuống thiết bị D ≤ 95mm2</v>
      </c>
      <c r="G595" s="523" t="str">
        <f>VLOOKUP(B595,DONGIA,DG!$D$6,0)</f>
        <v>m</v>
      </c>
      <c r="H595" s="525">
        <f>H591</f>
        <v>12</v>
      </c>
      <c r="I595" s="525">
        <f>VLOOKUP(B595,DONGIA,DG!$E$6,0)</f>
        <v>0</v>
      </c>
      <c r="J595" s="525"/>
      <c r="K595" s="525">
        <f>VLOOKUP(B595,DONGIA,DG!$F$6,0)</f>
        <v>11847</v>
      </c>
      <c r="L595" s="525">
        <f>VLOOKUP(B595,DONGIA,DG!$G$6,0)</f>
        <v>0</v>
      </c>
      <c r="M595" s="525">
        <f t="shared" si="137"/>
        <v>0</v>
      </c>
      <c r="N595" s="525">
        <f t="shared" si="137"/>
        <v>0</v>
      </c>
      <c r="O595" s="525">
        <f t="shared" si="137"/>
        <v>142164</v>
      </c>
      <c r="P595" s="525">
        <f t="shared" si="137"/>
        <v>0</v>
      </c>
      <c r="Q595" s="525"/>
      <c r="S595" s="405">
        <f t="shared" si="125"/>
        <v>0</v>
      </c>
      <c r="T595" s="405">
        <f t="shared" si="128"/>
        <v>0</v>
      </c>
    </row>
    <row r="596" spans="2:20" s="405" customFormat="1">
      <c r="C596" s="418">
        <f t="shared" si="126"/>
        <v>1</v>
      </c>
      <c r="D596" s="540">
        <f>IF(H596&lt;&gt;0,D589+1,D589)</f>
        <v>6</v>
      </c>
      <c r="E596" s="540"/>
      <c r="F596" s="781" t="s">
        <v>1936</v>
      </c>
      <c r="G596" s="540" t="s">
        <v>138</v>
      </c>
      <c r="H596" s="540">
        <f>T1P75</f>
        <v>3</v>
      </c>
      <c r="I596" s="541"/>
      <c r="J596" s="541"/>
      <c r="K596" s="541"/>
      <c r="L596" s="541"/>
      <c r="M596" s="541"/>
      <c r="N596" s="541"/>
      <c r="O596" s="541"/>
      <c r="P596" s="541"/>
      <c r="Q596" s="541"/>
      <c r="S596" s="405">
        <f t="shared" si="125"/>
        <v>0</v>
      </c>
      <c r="T596" s="405">
        <f t="shared" si="128"/>
        <v>0</v>
      </c>
    </row>
    <row r="597" spans="2:20" s="542" customFormat="1" hidden="1">
      <c r="C597" s="543">
        <f t="shared" si="126"/>
        <v>0</v>
      </c>
      <c r="D597" s="544"/>
      <c r="E597" s="544"/>
      <c r="F597" s="545" t="s">
        <v>1902</v>
      </c>
      <c r="G597" s="544"/>
      <c r="H597" s="545"/>
      <c r="I597" s="545"/>
      <c r="J597" s="545"/>
      <c r="K597" s="545"/>
      <c r="L597" s="545"/>
      <c r="M597" s="545"/>
      <c r="N597" s="545"/>
      <c r="O597" s="545"/>
      <c r="P597" s="545"/>
      <c r="Q597" s="545"/>
      <c r="S597" s="542">
        <f t="shared" si="125"/>
        <v>0</v>
      </c>
      <c r="T597" s="542">
        <f t="shared" si="128"/>
        <v>0</v>
      </c>
    </row>
    <row r="598" spans="2:20" s="405" customFormat="1">
      <c r="B598" s="405" t="s">
        <v>1908</v>
      </c>
      <c r="C598" s="418">
        <f t="shared" si="126"/>
        <v>1</v>
      </c>
      <c r="D598" s="523"/>
      <c r="E598" s="523">
        <f>VLOOKUP(B598,DONGIA,DG!$B$6,0)</f>
        <v>0</v>
      </c>
      <c r="F598" s="666" t="str">
        <f>VLOOKUP(B598,DONGIA,DG!$C$6,0)</f>
        <v>Cáp đồng bọc CV120</v>
      </c>
      <c r="G598" s="523" t="str">
        <f>VLOOKUP(B598,DONGIA,DG!$D$6,0)</f>
        <v>mét</v>
      </c>
      <c r="H598" s="554">
        <f>H596*9*2</f>
        <v>54</v>
      </c>
      <c r="I598" s="525">
        <f>VLOOKUP(B598,DONGIA,DG!$E$6,0)</f>
        <v>245040</v>
      </c>
      <c r="J598" s="525"/>
      <c r="K598" s="525">
        <f>VLOOKUP(B598,DONGIA,DG!$F$6,0)</f>
        <v>0</v>
      </c>
      <c r="L598" s="525">
        <f>VLOOKUP(B598,DONGIA,DG!$G$6,0)</f>
        <v>0</v>
      </c>
      <c r="M598" s="525">
        <f>$H598*I598</f>
        <v>13232160</v>
      </c>
      <c r="N598" s="525">
        <f>$H598*J598</f>
        <v>0</v>
      </c>
      <c r="O598" s="525">
        <f>$H598*K598</f>
        <v>0</v>
      </c>
      <c r="P598" s="525">
        <f>$H598*L598</f>
        <v>0</v>
      </c>
      <c r="Q598" s="525"/>
      <c r="S598" s="405">
        <f t="shared" si="125"/>
        <v>1.2350000000000001</v>
      </c>
      <c r="T598" s="405">
        <f t="shared" si="128"/>
        <v>66.690000000000012</v>
      </c>
    </row>
    <row r="599" spans="2:20" s="405" customFormat="1">
      <c r="B599" s="405" t="s">
        <v>1907</v>
      </c>
      <c r="C599" s="418">
        <f t="shared" si="126"/>
        <v>1</v>
      </c>
      <c r="D599" s="523"/>
      <c r="E599" s="523">
        <f>VLOOKUP(B599,DONGIA,DG!$B$6,0)</f>
        <v>0</v>
      </c>
      <c r="F599" s="666" t="str">
        <f>VLOOKUP(B599,DONGIA,DG!$C$6,0)</f>
        <v>Cáp đồng bọc CV70</v>
      </c>
      <c r="G599" s="523" t="str">
        <f>VLOOKUP(B599,DONGIA,DG!$D$6,0)</f>
        <v>mét</v>
      </c>
      <c r="H599" s="554">
        <f>H596*9</f>
        <v>27</v>
      </c>
      <c r="I599" s="525">
        <f>VLOOKUP(B599,DONGIA,DG!$E$6,0)</f>
        <v>142880</v>
      </c>
      <c r="J599" s="525"/>
      <c r="K599" s="525">
        <f>VLOOKUP(B599,DONGIA,DG!$F$6,0)</f>
        <v>0</v>
      </c>
      <c r="L599" s="525">
        <f>VLOOKUP(B599,DONGIA,DG!$G$6,0)</f>
        <v>0</v>
      </c>
      <c r="M599" s="525">
        <f t="shared" ref="M599:M617" si="138">$H599*I599</f>
        <v>3857760</v>
      </c>
      <c r="N599" s="525">
        <f t="shared" ref="N599:N617" si="139">$H599*J599</f>
        <v>0</v>
      </c>
      <c r="O599" s="525">
        <f t="shared" ref="O599:O617" si="140">$H599*K599</f>
        <v>0</v>
      </c>
      <c r="P599" s="525">
        <f t="shared" ref="P599:P617" si="141">$H599*L599</f>
        <v>0</v>
      </c>
      <c r="Q599" s="525"/>
      <c r="S599" s="405">
        <f t="shared" si="125"/>
        <v>0.73899999999999999</v>
      </c>
      <c r="T599" s="405">
        <f t="shared" si="128"/>
        <v>19.952999999999999</v>
      </c>
    </row>
    <row r="600" spans="2:20" s="405" customFormat="1">
      <c r="B600" s="405" t="s">
        <v>1937</v>
      </c>
      <c r="C600" s="418">
        <f t="shared" si="126"/>
        <v>1</v>
      </c>
      <c r="D600" s="523"/>
      <c r="E600" s="523">
        <f>VLOOKUP(B600,DONGIA,DG!$B$6,0)</f>
        <v>0</v>
      </c>
      <c r="F600" s="666" t="str">
        <f>VLOOKUP(B600,DONGIA,DG!$C$6,0)</f>
        <v>Cáp điều khiển CVV 4x4,0mm2</v>
      </c>
      <c r="G600" s="523" t="str">
        <f>VLOOKUP(B600,DONGIA,DG!$D$6,0)</f>
        <v>mét</v>
      </c>
      <c r="H600" s="554">
        <f>H596*2</f>
        <v>6</v>
      </c>
      <c r="I600" s="525">
        <f>VLOOKUP(B600,DONGIA,DG!$E$6,0)</f>
        <v>52400</v>
      </c>
      <c r="J600" s="525"/>
      <c r="K600" s="525">
        <f>VLOOKUP(B600,DONGIA,DG!$F$6,0)</f>
        <v>0</v>
      </c>
      <c r="L600" s="525">
        <f>VLOOKUP(B600,DONGIA,DG!$G$6,0)</f>
        <v>0</v>
      </c>
      <c r="M600" s="525">
        <f t="shared" si="138"/>
        <v>314400</v>
      </c>
      <c r="N600" s="525">
        <f t="shared" si="139"/>
        <v>0</v>
      </c>
      <c r="O600" s="525">
        <f t="shared" si="140"/>
        <v>0</v>
      </c>
      <c r="P600" s="525">
        <f t="shared" si="141"/>
        <v>0</v>
      </c>
      <c r="Q600" s="525"/>
      <c r="S600" s="405">
        <f t="shared" si="125"/>
        <v>3.024</v>
      </c>
      <c r="T600" s="405">
        <f t="shared" si="128"/>
        <v>18.143999999999998</v>
      </c>
    </row>
    <row r="601" spans="2:20" s="405" customFormat="1">
      <c r="B601" s="405" t="s">
        <v>1119</v>
      </c>
      <c r="C601" s="418">
        <f t="shared" si="126"/>
        <v>1</v>
      </c>
      <c r="D601" s="523"/>
      <c r="E601" s="523"/>
      <c r="F601" s="666" t="str">
        <f>VLOOKUP(B601,DONGIA,DG!$C$6,0)</f>
        <v>Đầu cosse ép Cu 120mm2</v>
      </c>
      <c r="G601" s="523" t="str">
        <f>VLOOKUP(B601,DONGIA,DG!$D$6,0)</f>
        <v>cái</v>
      </c>
      <c r="H601" s="525">
        <f>H596*2</f>
        <v>6</v>
      </c>
      <c r="I601" s="525">
        <f>VLOOKUP(B601,DONGIA,DG!$E$6,0)</f>
        <v>65000</v>
      </c>
      <c r="J601" s="525"/>
      <c r="K601" s="525"/>
      <c r="L601" s="525"/>
      <c r="M601" s="525">
        <f t="shared" si="138"/>
        <v>390000</v>
      </c>
      <c r="N601" s="525">
        <f t="shared" si="139"/>
        <v>0</v>
      </c>
      <c r="O601" s="525">
        <f t="shared" si="140"/>
        <v>0</v>
      </c>
      <c r="P601" s="525">
        <f t="shared" si="141"/>
        <v>0</v>
      </c>
      <c r="Q601" s="525"/>
      <c r="S601" s="405">
        <f t="shared" si="125"/>
        <v>0.1</v>
      </c>
      <c r="T601" s="405">
        <f t="shared" si="128"/>
        <v>0.60000000000000009</v>
      </c>
    </row>
    <row r="602" spans="2:20" s="405" customFormat="1">
      <c r="B602" s="405" t="s">
        <v>1113</v>
      </c>
      <c r="C602" s="418">
        <f t="shared" si="126"/>
        <v>1</v>
      </c>
      <c r="D602" s="523"/>
      <c r="E602" s="523"/>
      <c r="F602" s="666" t="str">
        <f>VLOOKUP(B602,DONGIA,DG!$C$6,0)</f>
        <v>Đầu cosse ép Cu 70mm2</v>
      </c>
      <c r="G602" s="523" t="str">
        <f>VLOOKUP(B602,DONGIA,DG!$D$6,0)</f>
        <v>cái</v>
      </c>
      <c r="H602" s="525">
        <f>H596</f>
        <v>3</v>
      </c>
      <c r="I602" s="525">
        <f>VLOOKUP(B602,DONGIA,DG!$E$6,0)</f>
        <v>33000</v>
      </c>
      <c r="J602" s="525"/>
      <c r="K602" s="525"/>
      <c r="L602" s="525"/>
      <c r="M602" s="525">
        <f t="shared" si="138"/>
        <v>99000</v>
      </c>
      <c r="N602" s="525">
        <f t="shared" si="139"/>
        <v>0</v>
      </c>
      <c r="O602" s="525">
        <f t="shared" si="140"/>
        <v>0</v>
      </c>
      <c r="P602" s="525">
        <f t="shared" si="141"/>
        <v>0</v>
      </c>
      <c r="Q602" s="525"/>
      <c r="S602" s="405">
        <f t="shared" si="125"/>
        <v>0.2</v>
      </c>
      <c r="T602" s="405">
        <f t="shared" si="128"/>
        <v>0.60000000000000009</v>
      </c>
    </row>
    <row r="603" spans="2:20" s="405" customFormat="1">
      <c r="B603" s="405" t="s">
        <v>1151</v>
      </c>
      <c r="C603" s="418">
        <f t="shared" si="126"/>
        <v>1</v>
      </c>
      <c r="D603" s="523"/>
      <c r="E603" s="523">
        <f>VLOOKUP(B603,DONGIA,DG!$B$6,0)</f>
        <v>0</v>
      </c>
      <c r="F603" s="666" t="str">
        <f>VLOOKUP(B603,DONGIA,DG!$C$6,0)</f>
        <v>Chụp đầu cosse  120mm2</v>
      </c>
      <c r="G603" s="523" t="str">
        <f>VLOOKUP(B603,DONGIA,DG!$D$6,0)</f>
        <v>cái</v>
      </c>
      <c r="H603" s="525">
        <f>H601</f>
        <v>6</v>
      </c>
      <c r="I603" s="525">
        <f>VLOOKUP(B603,DONGIA,DG!$E$6,0)</f>
        <v>3500</v>
      </c>
      <c r="J603" s="525"/>
      <c r="K603" s="525">
        <f>VLOOKUP(B603,DONGIA,DG!$F$6,0)</f>
        <v>0</v>
      </c>
      <c r="L603" s="525">
        <f>VLOOKUP(B603,DONGIA,DG!$G$6,0)</f>
        <v>0</v>
      </c>
      <c r="M603" s="525">
        <f t="shared" si="138"/>
        <v>21000</v>
      </c>
      <c r="N603" s="525">
        <f t="shared" si="139"/>
        <v>0</v>
      </c>
      <c r="O603" s="525">
        <f t="shared" si="140"/>
        <v>0</v>
      </c>
      <c r="P603" s="525">
        <f t="shared" si="141"/>
        <v>0</v>
      </c>
      <c r="Q603" s="525"/>
      <c r="S603" s="405">
        <f t="shared" si="125"/>
        <v>0</v>
      </c>
      <c r="T603" s="405">
        <f t="shared" si="128"/>
        <v>0</v>
      </c>
    </row>
    <row r="604" spans="2:20" s="405" customFormat="1">
      <c r="B604" s="405" t="s">
        <v>1147</v>
      </c>
      <c r="C604" s="418">
        <f t="shared" si="126"/>
        <v>1</v>
      </c>
      <c r="D604" s="523"/>
      <c r="E604" s="523">
        <f>VLOOKUP(B604,DONGIA,DG!$B$6,0)</f>
        <v>0</v>
      </c>
      <c r="F604" s="666" t="str">
        <f>VLOOKUP(B604,DONGIA,DG!$C$6,0)</f>
        <v>Chụp đầu cosse  70mm2</v>
      </c>
      <c r="G604" s="523" t="str">
        <f>VLOOKUP(B604,DONGIA,DG!$D$6,0)</f>
        <v>cái</v>
      </c>
      <c r="H604" s="525">
        <f>H602</f>
        <v>3</v>
      </c>
      <c r="I604" s="525">
        <f>VLOOKUP(B604,DONGIA,DG!$E$6,0)</f>
        <v>2000</v>
      </c>
      <c r="J604" s="525"/>
      <c r="K604" s="525">
        <f>VLOOKUP(B604,DONGIA,DG!$F$6,0)</f>
        <v>0</v>
      </c>
      <c r="L604" s="525">
        <f>VLOOKUP(B604,DONGIA,DG!$G$6,0)</f>
        <v>0</v>
      </c>
      <c r="M604" s="525">
        <f t="shared" si="138"/>
        <v>6000</v>
      </c>
      <c r="N604" s="525">
        <f t="shared" si="139"/>
        <v>0</v>
      </c>
      <c r="O604" s="525">
        <f t="shared" si="140"/>
        <v>0</v>
      </c>
      <c r="P604" s="525">
        <f t="shared" si="141"/>
        <v>0</v>
      </c>
      <c r="Q604" s="525"/>
      <c r="S604" s="405">
        <f t="shared" si="125"/>
        <v>0</v>
      </c>
      <c r="T604" s="405">
        <f t="shared" si="128"/>
        <v>0</v>
      </c>
    </row>
    <row r="605" spans="2:20" s="405" customFormat="1">
      <c r="B605" s="405" t="s">
        <v>1175</v>
      </c>
      <c r="C605" s="418">
        <f t="shared" si="126"/>
        <v>1</v>
      </c>
      <c r="D605" s="523"/>
      <c r="E605" s="523">
        <f>VLOOKUP(B605,DONGIA,DG!$B$6,0)</f>
        <v>0</v>
      </c>
      <c r="F605" s="666" t="str">
        <f>VLOOKUP(B605,DONGIA,DG!$C$6,0)</f>
        <v xml:space="preserve">Ống PVC D114x4,9mm </v>
      </c>
      <c r="G605" s="523" t="str">
        <f>VLOOKUP(B605,DONGIA,DG!$D$6,0)</f>
        <v>m</v>
      </c>
      <c r="H605" s="554">
        <f>H596*5.5</f>
        <v>16.5</v>
      </c>
      <c r="I605" s="525">
        <f>VLOOKUP(B605,DONGIA,DG!$E$6,0)</f>
        <v>102000</v>
      </c>
      <c r="J605" s="525"/>
      <c r="K605" s="525">
        <f>VLOOKUP(B605,DONGIA,DG!$F$6,0)</f>
        <v>0</v>
      </c>
      <c r="L605" s="525">
        <f>VLOOKUP(B605,DONGIA,DG!$G$6,0)</f>
        <v>0</v>
      </c>
      <c r="M605" s="525">
        <f t="shared" si="138"/>
        <v>1683000</v>
      </c>
      <c r="N605" s="525">
        <f t="shared" si="139"/>
        <v>0</v>
      </c>
      <c r="O605" s="525">
        <f t="shared" si="140"/>
        <v>0</v>
      </c>
      <c r="P605" s="525">
        <f t="shared" si="141"/>
        <v>0</v>
      </c>
      <c r="Q605" s="525"/>
      <c r="S605" s="405">
        <f t="shared" si="125"/>
        <v>2</v>
      </c>
      <c r="T605" s="405">
        <f t="shared" si="128"/>
        <v>33</v>
      </c>
    </row>
    <row r="606" spans="2:20" s="405" customFormat="1">
      <c r="B606" s="405" t="s">
        <v>456</v>
      </c>
      <c r="C606" s="418">
        <f t="shared" si="126"/>
        <v>1</v>
      </c>
      <c r="D606" s="523"/>
      <c r="E606" s="523"/>
      <c r="F606" s="666" t="str">
        <f>VLOOKUP(B606,DONGIA,DG!$C$6,0)&amp;" (CD: 230)"</f>
        <v>Cổ dê kẹp ống PVC φ 114 (có giá nới) (CD: 230)</v>
      </c>
      <c r="G606" s="523" t="str">
        <f>VLOOKUP(B606,DONGIA,DG!$D$6,0)</f>
        <v>bộ</v>
      </c>
      <c r="H606" s="525">
        <f>H596</f>
        <v>3</v>
      </c>
      <c r="I606" s="525">
        <f>VLOOKUP(B606,DONGIA,DG!$E$6,0)</f>
        <v>68000</v>
      </c>
      <c r="J606" s="525"/>
      <c r="K606" s="525"/>
      <c r="L606" s="525">
        <f>VLOOKUP(B606,DONGIA,DG!$G$6,0)</f>
        <v>0</v>
      </c>
      <c r="M606" s="525">
        <f t="shared" si="138"/>
        <v>204000</v>
      </c>
      <c r="N606" s="525">
        <f t="shared" si="139"/>
        <v>0</v>
      </c>
      <c r="O606" s="525">
        <f t="shared" si="140"/>
        <v>0</v>
      </c>
      <c r="P606" s="525">
        <f t="shared" si="141"/>
        <v>0</v>
      </c>
      <c r="Q606" s="525"/>
      <c r="S606" s="405">
        <f t="shared" si="125"/>
        <v>1.5</v>
      </c>
      <c r="T606" s="405">
        <f t="shared" si="128"/>
        <v>4.5</v>
      </c>
    </row>
    <row r="607" spans="2:20" s="405" customFormat="1">
      <c r="B607" s="405" t="s">
        <v>456</v>
      </c>
      <c r="C607" s="418">
        <f t="shared" si="126"/>
        <v>1</v>
      </c>
      <c r="D607" s="523"/>
      <c r="E607" s="523"/>
      <c r="F607" s="666" t="str">
        <f>VLOOKUP(B607,DONGIA,DG!$C$6,0)&amp;" (CD: 250)"</f>
        <v>Cổ dê kẹp ống PVC φ 114 (có giá nới) (CD: 250)</v>
      </c>
      <c r="G607" s="523" t="str">
        <f>VLOOKUP(B607,DONGIA,DG!$D$6,0)</f>
        <v>bộ</v>
      </c>
      <c r="H607" s="525">
        <f>H596</f>
        <v>3</v>
      </c>
      <c r="I607" s="525">
        <f>VLOOKUP(B607,DONGIA,DG!$E$6,0)</f>
        <v>68000</v>
      </c>
      <c r="J607" s="525"/>
      <c r="K607" s="525"/>
      <c r="L607" s="525">
        <f>VLOOKUP(B607,DONGIA,DG!$G$6,0)</f>
        <v>0</v>
      </c>
      <c r="M607" s="525">
        <f t="shared" si="138"/>
        <v>204000</v>
      </c>
      <c r="N607" s="525">
        <f t="shared" si="139"/>
        <v>0</v>
      </c>
      <c r="O607" s="525">
        <f t="shared" si="140"/>
        <v>0</v>
      </c>
      <c r="P607" s="525">
        <f t="shared" si="141"/>
        <v>0</v>
      </c>
      <c r="Q607" s="525"/>
      <c r="S607" s="405">
        <f t="shared" si="125"/>
        <v>1.5</v>
      </c>
      <c r="T607" s="405">
        <f t="shared" si="128"/>
        <v>4.5</v>
      </c>
    </row>
    <row r="608" spans="2:20" s="405" customFormat="1">
      <c r="B608" s="405" t="s">
        <v>456</v>
      </c>
      <c r="C608" s="418">
        <f t="shared" si="126"/>
        <v>1</v>
      </c>
      <c r="D608" s="523"/>
      <c r="E608" s="523"/>
      <c r="F608" s="666" t="str">
        <f>VLOOKUP(B608,DONGIA,DG!$C$6,0)&amp;" (CD: 280)"</f>
        <v>Cổ dê kẹp ống PVC φ 114 (có giá nới) (CD: 280)</v>
      </c>
      <c r="G608" s="523" t="str">
        <f>VLOOKUP(B608,DONGIA,DG!$D$6,0)</f>
        <v>bộ</v>
      </c>
      <c r="H608" s="525">
        <f>H596</f>
        <v>3</v>
      </c>
      <c r="I608" s="525">
        <f>VLOOKUP(B608,DONGIA,DG!$E$6,0)</f>
        <v>68000</v>
      </c>
      <c r="J608" s="525"/>
      <c r="K608" s="525"/>
      <c r="L608" s="525">
        <f>VLOOKUP(B608,DONGIA,DG!$G$6,0)</f>
        <v>0</v>
      </c>
      <c r="M608" s="525">
        <f t="shared" si="138"/>
        <v>204000</v>
      </c>
      <c r="N608" s="525">
        <f t="shared" si="139"/>
        <v>0</v>
      </c>
      <c r="O608" s="525">
        <f t="shared" si="140"/>
        <v>0</v>
      </c>
      <c r="P608" s="525">
        <f t="shared" si="141"/>
        <v>0</v>
      </c>
      <c r="Q608" s="525"/>
      <c r="S608" s="405">
        <f t="shared" si="125"/>
        <v>1.5</v>
      </c>
      <c r="T608" s="405">
        <f t="shared" si="128"/>
        <v>4.5</v>
      </c>
    </row>
    <row r="609" spans="2:20" s="405" customFormat="1">
      <c r="B609" s="405" t="s">
        <v>2957</v>
      </c>
      <c r="C609" s="418">
        <f t="shared" si="126"/>
        <v>1</v>
      </c>
      <c r="D609" s="523"/>
      <c r="E609" s="523">
        <f>VLOOKUP(B609,DONGIA,DG!$B$6,0)</f>
        <v>0</v>
      </c>
      <c r="F609" s="666" t="str">
        <f>VLOOKUP(B609,DONGIA,DG!$C$6,0)</f>
        <v>Co  90 độ PVC 114 (Loại dày)</v>
      </c>
      <c r="G609" s="523" t="str">
        <f>VLOOKUP(B609,DONGIA,DG!$D$6,0)</f>
        <v>cái</v>
      </c>
      <c r="H609" s="525">
        <f>H596</f>
        <v>3</v>
      </c>
      <c r="I609" s="525">
        <f>VLOOKUP(B609,DONGIA,DG!$E$6,0)</f>
        <v>104800</v>
      </c>
      <c r="J609" s="525"/>
      <c r="K609" s="525">
        <f>VLOOKUP(B609,DONGIA,DG!$F$6,0)</f>
        <v>0</v>
      </c>
      <c r="L609" s="525">
        <f>VLOOKUP(B609,DONGIA,DG!$G$6,0)</f>
        <v>0</v>
      </c>
      <c r="M609" s="525">
        <f t="shared" si="138"/>
        <v>314400</v>
      </c>
      <c r="N609" s="525">
        <f t="shared" si="139"/>
        <v>0</v>
      </c>
      <c r="O609" s="525">
        <f t="shared" si="140"/>
        <v>0</v>
      </c>
      <c r="P609" s="525">
        <f t="shared" si="141"/>
        <v>0</v>
      </c>
      <c r="Q609" s="525"/>
      <c r="S609" s="405">
        <f t="shared" si="125"/>
        <v>0</v>
      </c>
      <c r="T609" s="405">
        <f t="shared" si="128"/>
        <v>0</v>
      </c>
    </row>
    <row r="610" spans="2:20" s="405" customFormat="1" hidden="1">
      <c r="B610" s="405" t="s">
        <v>1940</v>
      </c>
      <c r="C610" s="418">
        <f t="shared" si="126"/>
        <v>0</v>
      </c>
      <c r="D610" s="523"/>
      <c r="E610" s="523">
        <f>VLOOKUP(B610,DONGIA,DG!$B$6,0)</f>
        <v>0</v>
      </c>
      <c r="F610" s="525" t="str">
        <f>VLOOKUP(B610,DONGIA,DG!$C$6,0)</f>
        <v>Nối giảm PVC 114-90</v>
      </c>
      <c r="G610" s="523" t="str">
        <f>VLOOKUP(B610,DONGIA,DG!$D$6,0)</f>
        <v>cái</v>
      </c>
      <c r="H610" s="525"/>
      <c r="I610" s="525">
        <f>VLOOKUP(B610,DONGIA,DG!$E$6,0)</f>
        <v>52800</v>
      </c>
      <c r="J610" s="525"/>
      <c r="K610" s="525">
        <f>VLOOKUP(B610,DONGIA,DG!$F$6,0)</f>
        <v>0</v>
      </c>
      <c r="L610" s="525">
        <f>VLOOKUP(B610,DONGIA,DG!$G$6,0)</f>
        <v>0</v>
      </c>
      <c r="M610" s="525">
        <f t="shared" si="138"/>
        <v>0</v>
      </c>
      <c r="N610" s="525">
        <f t="shared" si="139"/>
        <v>0</v>
      </c>
      <c r="O610" s="525">
        <f t="shared" si="140"/>
        <v>0</v>
      </c>
      <c r="P610" s="525">
        <f t="shared" si="141"/>
        <v>0</v>
      </c>
      <c r="Q610" s="525"/>
      <c r="S610" s="405">
        <f t="shared" si="125"/>
        <v>0</v>
      </c>
      <c r="T610" s="405">
        <f t="shared" si="128"/>
        <v>0</v>
      </c>
    </row>
    <row r="611" spans="2:20" s="405" customFormat="1">
      <c r="B611" s="405" t="s">
        <v>1189</v>
      </c>
      <c r="C611" s="418">
        <f t="shared" si="126"/>
        <v>1</v>
      </c>
      <c r="D611" s="523"/>
      <c r="E611" s="523">
        <f>VLOOKUP(B611,DONGIA,DG!$B$6,0)</f>
        <v>0</v>
      </c>
      <c r="F611" s="666" t="str">
        <f>VLOOKUP(B611,DONGIA,DG!$C$6,0)</f>
        <v>Co 135 độ PVC 114</v>
      </c>
      <c r="G611" s="523" t="str">
        <f>VLOOKUP(B611,DONGIA,DG!$D$6,0)</f>
        <v>cái</v>
      </c>
      <c r="H611" s="525">
        <f>H596</f>
        <v>3</v>
      </c>
      <c r="I611" s="525">
        <f>VLOOKUP(B611,DONGIA,DG!$E$6,0)</f>
        <v>70800</v>
      </c>
      <c r="J611" s="525"/>
      <c r="K611" s="525">
        <f>VLOOKUP(B611,DONGIA,DG!$F$6,0)</f>
        <v>0</v>
      </c>
      <c r="L611" s="525">
        <f>VLOOKUP(B611,DONGIA,DG!$G$6,0)</f>
        <v>0</v>
      </c>
      <c r="M611" s="525">
        <f t="shared" si="138"/>
        <v>212400</v>
      </c>
      <c r="N611" s="525">
        <f t="shared" si="139"/>
        <v>0</v>
      </c>
      <c r="O611" s="525">
        <f t="shared" si="140"/>
        <v>0</v>
      </c>
      <c r="P611" s="525">
        <f t="shared" si="141"/>
        <v>0</v>
      </c>
      <c r="Q611" s="525"/>
      <c r="S611" s="405">
        <f t="shared" si="125"/>
        <v>0</v>
      </c>
      <c r="T611" s="405">
        <f t="shared" si="128"/>
        <v>0</v>
      </c>
    </row>
    <row r="612" spans="2:20" s="405" customFormat="1">
      <c r="B612" s="405" t="s">
        <v>1914</v>
      </c>
      <c r="C612" s="418">
        <f t="shared" si="126"/>
        <v>1</v>
      </c>
      <c r="D612" s="523"/>
      <c r="E612" s="523">
        <f>VLOOKUP(B612,DONGIA,DG!$B$6,0)</f>
        <v>0</v>
      </c>
      <c r="F612" s="666" t="str">
        <f>VLOOKUP(B612,DONGIA,DG!$C$6,0)</f>
        <v>Keo dán ống PVC (100gr)</v>
      </c>
      <c r="G612" s="523" t="str">
        <f>VLOOKUP(B612,DONGIA,DG!$D$6,0)</f>
        <v>tuýp</v>
      </c>
      <c r="H612" s="525">
        <f>H596</f>
        <v>3</v>
      </c>
      <c r="I612" s="525">
        <f>VLOOKUP(B612,DONGIA,DG!$E$6,0)</f>
        <v>11500</v>
      </c>
      <c r="J612" s="525"/>
      <c r="K612" s="525">
        <f>VLOOKUP(B612,DONGIA,DG!$F$6,0)</f>
        <v>0</v>
      </c>
      <c r="L612" s="525">
        <f>VLOOKUP(B612,DONGIA,DG!$G$6,0)</f>
        <v>0</v>
      </c>
      <c r="M612" s="525">
        <f t="shared" si="138"/>
        <v>34500</v>
      </c>
      <c r="N612" s="525">
        <f t="shared" si="139"/>
        <v>0</v>
      </c>
      <c r="O612" s="525">
        <f t="shared" si="140"/>
        <v>0</v>
      </c>
      <c r="P612" s="525">
        <f t="shared" si="141"/>
        <v>0</v>
      </c>
      <c r="Q612" s="525"/>
      <c r="S612" s="405">
        <f t="shared" si="125"/>
        <v>0</v>
      </c>
      <c r="T612" s="405">
        <f t="shared" si="128"/>
        <v>0</v>
      </c>
    </row>
    <row r="613" spans="2:20" s="405" customFormat="1">
      <c r="B613" s="405" t="s">
        <v>1639</v>
      </c>
      <c r="C613" s="418">
        <f t="shared" si="126"/>
        <v>1</v>
      </c>
      <c r="D613" s="523"/>
      <c r="E613" s="523">
        <f>VLOOKUP(B613,DONGIA,DG!$B$6,0)</f>
        <v>0</v>
      </c>
      <c r="F613" s="666" t="str">
        <f>VLOOKUP(B613,DONGIA,DG!$C$6,0)&amp;" bịt miệng ống"</f>
        <v>Xi măng bịt miệng ống</v>
      </c>
      <c r="G613" s="523" t="str">
        <f>VLOOKUP(B613,DONGIA,DG!$D$6,0)</f>
        <v>kg</v>
      </c>
      <c r="H613" s="549">
        <f>H596*0.5</f>
        <v>1.5</v>
      </c>
      <c r="I613" s="525">
        <f>VLOOKUP(B613,DONGIA,DG!$E$6,0)</f>
        <v>1760</v>
      </c>
      <c r="J613" s="525"/>
      <c r="K613" s="525">
        <f>VLOOKUP(B613,DONGIA,DG!$F$6,0)</f>
        <v>0</v>
      </c>
      <c r="L613" s="525">
        <f>VLOOKUP(B613,DONGIA,DG!$G$6,0)</f>
        <v>0</v>
      </c>
      <c r="M613" s="525">
        <f t="shared" si="138"/>
        <v>2640</v>
      </c>
      <c r="N613" s="525">
        <f t="shared" si="139"/>
        <v>0</v>
      </c>
      <c r="O613" s="525">
        <f t="shared" si="140"/>
        <v>0</v>
      </c>
      <c r="P613" s="525">
        <f t="shared" si="141"/>
        <v>0</v>
      </c>
      <c r="Q613" s="525"/>
      <c r="S613" s="405">
        <f t="shared" si="125"/>
        <v>1</v>
      </c>
      <c r="T613" s="405">
        <f t="shared" si="128"/>
        <v>1.5</v>
      </c>
    </row>
    <row r="614" spans="2:20" s="405" customFormat="1" hidden="1">
      <c r="B614" s="405" t="s">
        <v>1193</v>
      </c>
      <c r="C614" s="418">
        <f t="shared" si="126"/>
        <v>0</v>
      </c>
      <c r="D614" s="523"/>
      <c r="E614" s="523">
        <f>VLOOKUP(B614,DONGIA,DG!$B$6,0)</f>
        <v>0</v>
      </c>
      <c r="F614" s="525" t="str">
        <f>VLOOKUP(B614,DONGIA,DG!$C$6,0)</f>
        <v>Băng keo cách điện</v>
      </c>
      <c r="G614" s="523" t="str">
        <f>VLOOKUP(B614,DONGIA,DG!$D$6,0)</f>
        <v>cuộn</v>
      </c>
      <c r="H614" s="525"/>
      <c r="I614" s="525">
        <f>VLOOKUP(B614,DONGIA,DG!$E$6,0)</f>
        <v>6500</v>
      </c>
      <c r="J614" s="525"/>
      <c r="K614" s="525">
        <f>VLOOKUP(B614,DONGIA,DG!$F$6,0)</f>
        <v>0</v>
      </c>
      <c r="L614" s="525">
        <f>VLOOKUP(B614,DONGIA,DG!$G$6,0)</f>
        <v>0</v>
      </c>
      <c r="M614" s="525">
        <f t="shared" si="138"/>
        <v>0</v>
      </c>
      <c r="N614" s="525">
        <f t="shared" si="139"/>
        <v>0</v>
      </c>
      <c r="O614" s="525">
        <f t="shared" si="140"/>
        <v>0</v>
      </c>
      <c r="P614" s="525">
        <f t="shared" si="141"/>
        <v>0</v>
      </c>
      <c r="Q614" s="525"/>
      <c r="S614" s="405">
        <f t="shared" si="125"/>
        <v>0</v>
      </c>
      <c r="T614" s="405">
        <f t="shared" si="128"/>
        <v>0</v>
      </c>
    </row>
    <row r="615" spans="2:20" s="405" customFormat="1">
      <c r="B615" s="405" t="s">
        <v>855</v>
      </c>
      <c r="C615" s="418">
        <f t="shared" si="126"/>
        <v>1</v>
      </c>
      <c r="D615" s="523"/>
      <c r="E615" s="523" t="str">
        <f>VLOOKUP(B615,DONGIA,DG!$B$6,0)</f>
        <v>T4.8003</v>
      </c>
      <c r="F615" s="666" t="str">
        <f>VLOOKUP(B615,DONGIA,DG!$C$6,0)</f>
        <v>Lắp ống nhựa PVC D90</v>
      </c>
      <c r="G615" s="523" t="str">
        <f>VLOOKUP(B615,DONGIA,DG!$D$6,0)</f>
        <v>mét</v>
      </c>
      <c r="H615" s="554">
        <f>H605</f>
        <v>16.5</v>
      </c>
      <c r="I615" s="525">
        <f>VLOOKUP(B615,DONGIA,DG!$E$6,0)</f>
        <v>0</v>
      </c>
      <c r="J615" s="525"/>
      <c r="K615" s="525">
        <f>VLOOKUP(B615,DONGIA,DG!$F$6,0)</f>
        <v>35541</v>
      </c>
      <c r="L615" s="525">
        <f>VLOOKUP(B615,DONGIA,DG!$G$6,0)</f>
        <v>0</v>
      </c>
      <c r="M615" s="525">
        <f t="shared" si="138"/>
        <v>0</v>
      </c>
      <c r="N615" s="525">
        <f t="shared" si="139"/>
        <v>0</v>
      </c>
      <c r="O615" s="525">
        <f t="shared" si="140"/>
        <v>586426.5</v>
      </c>
      <c r="P615" s="525">
        <f t="shared" si="141"/>
        <v>0</v>
      </c>
      <c r="Q615" s="525"/>
      <c r="S615" s="405">
        <f t="shared" si="125"/>
        <v>0</v>
      </c>
      <c r="T615" s="405">
        <f t="shared" si="128"/>
        <v>0</v>
      </c>
    </row>
    <row r="616" spans="2:20" s="405" customFormat="1">
      <c r="B616" s="405" t="s">
        <v>1939</v>
      </c>
      <c r="C616" s="418">
        <f t="shared" si="126"/>
        <v>1</v>
      </c>
      <c r="D616" s="523"/>
      <c r="E616" s="523" t="str">
        <f>VLOOKUP(B616,DONGIA,DG!$B$6,0)</f>
        <v>T4.4201</v>
      </c>
      <c r="F616" s="666" t="str">
        <f>VLOOKUP(B616,DONGIA,DG!$C$6,0)</f>
        <v>Lắp cáp đồng xuống thiết bị D ≤ 95mm2</v>
      </c>
      <c r="G616" s="523" t="str">
        <f>VLOOKUP(B616,DONGIA,DG!$D$6,0)</f>
        <v>m</v>
      </c>
      <c r="H616" s="525">
        <f>H599</f>
        <v>27</v>
      </c>
      <c r="I616" s="525">
        <f>VLOOKUP(B616,DONGIA,DG!$E$6,0)</f>
        <v>0</v>
      </c>
      <c r="J616" s="525"/>
      <c r="K616" s="525">
        <f>VLOOKUP(B616,DONGIA,DG!$F$6,0)</f>
        <v>11847</v>
      </c>
      <c r="L616" s="525">
        <f>VLOOKUP(B616,DONGIA,DG!$G$6,0)</f>
        <v>0</v>
      </c>
      <c r="M616" s="525">
        <f t="shared" si="138"/>
        <v>0</v>
      </c>
      <c r="N616" s="525">
        <f t="shared" si="139"/>
        <v>0</v>
      </c>
      <c r="O616" s="525">
        <f t="shared" si="140"/>
        <v>319869</v>
      </c>
      <c r="P616" s="525">
        <f t="shared" si="141"/>
        <v>0</v>
      </c>
      <c r="Q616" s="525"/>
      <c r="S616" s="405">
        <f t="shared" si="125"/>
        <v>0</v>
      </c>
      <c r="T616" s="405">
        <f t="shared" si="128"/>
        <v>0</v>
      </c>
    </row>
    <row r="617" spans="2:20" s="405" customFormat="1">
      <c r="B617" s="405" t="s">
        <v>2063</v>
      </c>
      <c r="C617" s="418">
        <f t="shared" si="126"/>
        <v>1</v>
      </c>
      <c r="D617" s="523"/>
      <c r="E617" s="523" t="str">
        <f>VLOOKUP(B617,DONGIA,DG!$B$6,0)</f>
        <v>T4.4202</v>
      </c>
      <c r="F617" s="666" t="str">
        <f>VLOOKUP(B617,DONGIA,DG!$C$6,0)</f>
        <v>Lắp cáp đồng xuống thiết bị D ≤ 150mm2</v>
      </c>
      <c r="G617" s="523" t="str">
        <f>VLOOKUP(B617,DONGIA,DG!$D$6,0)</f>
        <v>m</v>
      </c>
      <c r="H617" s="525">
        <f>H598</f>
        <v>54</v>
      </c>
      <c r="I617" s="525">
        <f>VLOOKUP(B617,DONGIA,DG!$E$6,0)</f>
        <v>0</v>
      </c>
      <c r="J617" s="525"/>
      <c r="K617" s="525">
        <f>VLOOKUP(B617,DONGIA,DG!$F$6,0)</f>
        <v>28433</v>
      </c>
      <c r="L617" s="525">
        <f>VLOOKUP(B617,DONGIA,DG!$G$6,0)</f>
        <v>0</v>
      </c>
      <c r="M617" s="525">
        <f t="shared" si="138"/>
        <v>0</v>
      </c>
      <c r="N617" s="525">
        <f t="shared" si="139"/>
        <v>0</v>
      </c>
      <c r="O617" s="525">
        <f t="shared" si="140"/>
        <v>1535382</v>
      </c>
      <c r="P617" s="525">
        <f t="shared" si="141"/>
        <v>0</v>
      </c>
      <c r="Q617" s="525"/>
      <c r="S617" s="405">
        <f t="shared" si="125"/>
        <v>0</v>
      </c>
      <c r="T617" s="405">
        <f t="shared" si="128"/>
        <v>0</v>
      </c>
    </row>
    <row r="618" spans="2:20" s="405" customFormat="1">
      <c r="C618" s="418">
        <f t="shared" si="126"/>
        <v>1</v>
      </c>
      <c r="D618" s="540">
        <f>IF(H618&lt;&gt;0,D596+1,D596)</f>
        <v>7</v>
      </c>
      <c r="E618" s="540"/>
      <c r="F618" s="781" t="s">
        <v>1938</v>
      </c>
      <c r="G618" s="540" t="s">
        <v>138</v>
      </c>
      <c r="H618" s="540">
        <f>T1P75*2</f>
        <v>6</v>
      </c>
      <c r="I618" s="541"/>
      <c r="J618" s="541"/>
      <c r="K618" s="541"/>
      <c r="L618" s="541"/>
      <c r="M618" s="541"/>
      <c r="N618" s="541"/>
      <c r="O618" s="541"/>
      <c r="P618" s="541"/>
      <c r="Q618" s="541"/>
      <c r="S618" s="405">
        <f t="shared" si="125"/>
        <v>0</v>
      </c>
      <c r="T618" s="405">
        <f t="shared" si="128"/>
        <v>0</v>
      </c>
    </row>
    <row r="619" spans="2:20" s="542" customFormat="1" hidden="1">
      <c r="C619" s="543">
        <f t="shared" si="126"/>
        <v>0</v>
      </c>
      <c r="D619" s="544"/>
      <c r="E619" s="544"/>
      <c r="F619" s="545" t="s">
        <v>1902</v>
      </c>
      <c r="G619" s="544"/>
      <c r="H619" s="545"/>
      <c r="I619" s="545"/>
      <c r="J619" s="545"/>
      <c r="K619" s="545"/>
      <c r="L619" s="545"/>
      <c r="M619" s="545"/>
      <c r="N619" s="545"/>
      <c r="O619" s="545"/>
      <c r="P619" s="545"/>
      <c r="Q619" s="545"/>
      <c r="S619" s="542">
        <f t="shared" si="125"/>
        <v>0</v>
      </c>
      <c r="T619" s="542">
        <f t="shared" si="128"/>
        <v>0</v>
      </c>
    </row>
    <row r="620" spans="2:20" s="405" customFormat="1">
      <c r="B620" s="405" t="s">
        <v>1907</v>
      </c>
      <c r="C620" s="418">
        <f t="shared" si="126"/>
        <v>1</v>
      </c>
      <c r="D620" s="523"/>
      <c r="E620" s="523">
        <f>VLOOKUP(B620,DONGIA,DG!$B$6,0)</f>
        <v>0</v>
      </c>
      <c r="F620" s="666" t="str">
        <f>VLOOKUP(B620,DONGIA,DG!$C$6,0)</f>
        <v>Cáp đồng bọc CV70</v>
      </c>
      <c r="G620" s="523" t="str">
        <f>VLOOKUP(B620,DONGIA,DG!$D$6,0)</f>
        <v>mét</v>
      </c>
      <c r="H620" s="554">
        <f>H618*8.5*2+H556*2</f>
        <v>102</v>
      </c>
      <c r="I620" s="525">
        <f>VLOOKUP(B620,DONGIA,DG!$E$6,0)</f>
        <v>142880</v>
      </c>
      <c r="J620" s="525"/>
      <c r="K620" s="525">
        <f>VLOOKUP(B620,DONGIA,DG!$F$6,0)</f>
        <v>0</v>
      </c>
      <c r="L620" s="525">
        <f>VLOOKUP(B620,DONGIA,DG!$G$6,0)</f>
        <v>0</v>
      </c>
      <c r="M620" s="525">
        <f>$H620*I620</f>
        <v>14573760</v>
      </c>
      <c r="N620" s="525">
        <f>$H620*J620</f>
        <v>0</v>
      </c>
      <c r="O620" s="525">
        <f>$H620*K620</f>
        <v>0</v>
      </c>
      <c r="P620" s="525">
        <f>$H620*L620</f>
        <v>0</v>
      </c>
      <c r="Q620" s="525"/>
      <c r="S620" s="405">
        <f t="shared" si="125"/>
        <v>0.73899999999999999</v>
      </c>
      <c r="T620" s="405">
        <f t="shared" si="128"/>
        <v>75.378</v>
      </c>
    </row>
    <row r="621" spans="2:20" s="405" customFormat="1">
      <c r="B621" s="405" t="s">
        <v>1906</v>
      </c>
      <c r="C621" s="418">
        <f t="shared" si="126"/>
        <v>1</v>
      </c>
      <c r="D621" s="523"/>
      <c r="E621" s="523">
        <f>VLOOKUP(B621,DONGIA,DG!$B$6,0)</f>
        <v>0</v>
      </c>
      <c r="F621" s="666" t="str">
        <f>VLOOKUP(B621,DONGIA,DG!$C$6,0)</f>
        <v>Cáp đồng bọc CV50</v>
      </c>
      <c r="G621" s="523" t="str">
        <f>VLOOKUP(B621,DONGIA,DG!$D$6,0)</f>
        <v>mét</v>
      </c>
      <c r="H621" s="554">
        <f>H618*8.5</f>
        <v>51</v>
      </c>
      <c r="I621" s="525">
        <f>VLOOKUP(B621,DONGIA,DG!$E$6,0)</f>
        <v>104370</v>
      </c>
      <c r="J621" s="525"/>
      <c r="K621" s="525">
        <f>VLOOKUP(B621,DONGIA,DG!$F$6,0)</f>
        <v>0</v>
      </c>
      <c r="L621" s="525">
        <f>VLOOKUP(B621,DONGIA,DG!$G$6,0)</f>
        <v>0</v>
      </c>
      <c r="M621" s="525">
        <f t="shared" ref="M621:M638" si="142">$H621*I621</f>
        <v>5322870</v>
      </c>
      <c r="N621" s="525">
        <f t="shared" ref="N621:N638" si="143">$H621*J621</f>
        <v>0</v>
      </c>
      <c r="O621" s="525">
        <f t="shared" ref="O621:O638" si="144">$H621*K621</f>
        <v>0</v>
      </c>
      <c r="P621" s="525">
        <f t="shared" ref="P621:P638" si="145">$H621*L621</f>
        <v>0</v>
      </c>
      <c r="Q621" s="525"/>
      <c r="S621" s="405">
        <f t="shared" si="125"/>
        <v>0.53400000000000003</v>
      </c>
      <c r="T621" s="405">
        <f t="shared" si="128"/>
        <v>27.234000000000002</v>
      </c>
    </row>
    <row r="622" spans="2:20" s="405" customFormat="1">
      <c r="B622" s="405" t="s">
        <v>1113</v>
      </c>
      <c r="C622" s="418">
        <f t="shared" si="126"/>
        <v>1</v>
      </c>
      <c r="D622" s="523"/>
      <c r="E622" s="523"/>
      <c r="F622" s="666" t="str">
        <f>VLOOKUP(B622,DONGIA,DG!$C$6,0)</f>
        <v>Đầu cosse ép Cu 70mm2</v>
      </c>
      <c r="G622" s="523" t="str">
        <f>VLOOKUP(B622,DONGIA,DG!$D$6,0)</f>
        <v>cái</v>
      </c>
      <c r="H622" s="525">
        <f>H618*2+H556*4</f>
        <v>12</v>
      </c>
      <c r="I622" s="525">
        <f>VLOOKUP(B622,DONGIA,DG!$E$6,0)</f>
        <v>33000</v>
      </c>
      <c r="J622" s="525"/>
      <c r="K622" s="525"/>
      <c r="L622" s="525"/>
      <c r="M622" s="525">
        <f t="shared" si="142"/>
        <v>396000</v>
      </c>
      <c r="N622" s="525">
        <f t="shared" si="143"/>
        <v>0</v>
      </c>
      <c r="O622" s="525">
        <f t="shared" si="144"/>
        <v>0</v>
      </c>
      <c r="P622" s="525">
        <f t="shared" si="145"/>
        <v>0</v>
      </c>
      <c r="Q622" s="525"/>
      <c r="S622" s="405">
        <f t="shared" si="125"/>
        <v>0.2</v>
      </c>
      <c r="T622" s="405">
        <f t="shared" si="128"/>
        <v>2.4000000000000004</v>
      </c>
    </row>
    <row r="623" spans="2:20" s="405" customFormat="1">
      <c r="B623" s="405" t="s">
        <v>1110</v>
      </c>
      <c r="C623" s="418">
        <f t="shared" si="126"/>
        <v>1</v>
      </c>
      <c r="D623" s="523"/>
      <c r="E623" s="523"/>
      <c r="F623" s="666" t="str">
        <f>VLOOKUP(B623,DONGIA,DG!$C$6,0)</f>
        <v>Đầu cosse ép Cu 50mm2</v>
      </c>
      <c r="G623" s="523" t="str">
        <f>VLOOKUP(B623,DONGIA,DG!$D$6,0)</f>
        <v>cái</v>
      </c>
      <c r="H623" s="525">
        <f>H618</f>
        <v>6</v>
      </c>
      <c r="I623" s="525">
        <f>VLOOKUP(B623,DONGIA,DG!$E$6,0)</f>
        <v>23000</v>
      </c>
      <c r="J623" s="525"/>
      <c r="K623" s="525"/>
      <c r="L623" s="525"/>
      <c r="M623" s="525">
        <f t="shared" si="142"/>
        <v>138000</v>
      </c>
      <c r="N623" s="525">
        <f t="shared" si="143"/>
        <v>0</v>
      </c>
      <c r="O623" s="525">
        <f t="shared" si="144"/>
        <v>0</v>
      </c>
      <c r="P623" s="525">
        <f t="shared" si="145"/>
        <v>0</v>
      </c>
      <c r="Q623" s="525"/>
      <c r="S623" s="405">
        <f t="shared" si="125"/>
        <v>0.1</v>
      </c>
      <c r="T623" s="405">
        <f t="shared" si="128"/>
        <v>0.60000000000000009</v>
      </c>
    </row>
    <row r="624" spans="2:20" s="405" customFormat="1">
      <c r="B624" s="405" t="s">
        <v>1147</v>
      </c>
      <c r="C624" s="418">
        <f t="shared" si="126"/>
        <v>1</v>
      </c>
      <c r="D624" s="523"/>
      <c r="E624" s="523">
        <f>VLOOKUP(B624,DONGIA,DG!$B$6,0)</f>
        <v>0</v>
      </c>
      <c r="F624" s="666" t="str">
        <f>VLOOKUP(B624,DONGIA,DG!$C$6,0)</f>
        <v>Chụp đầu cosse  70mm2</v>
      </c>
      <c r="G624" s="523" t="str">
        <f>VLOOKUP(B624,DONGIA,DG!$D$6,0)</f>
        <v>cái</v>
      </c>
      <c r="H624" s="525">
        <f>H622</f>
        <v>12</v>
      </c>
      <c r="I624" s="525">
        <f>VLOOKUP(B624,DONGIA,DG!$E$6,0)</f>
        <v>2000</v>
      </c>
      <c r="J624" s="525"/>
      <c r="K624" s="525">
        <f>VLOOKUP(B624,DONGIA,DG!$F$6,0)</f>
        <v>0</v>
      </c>
      <c r="L624" s="525">
        <f>VLOOKUP(B624,DONGIA,DG!$G$6,0)</f>
        <v>0</v>
      </c>
      <c r="M624" s="525">
        <f t="shared" si="142"/>
        <v>24000</v>
      </c>
      <c r="N624" s="525">
        <f t="shared" si="143"/>
        <v>0</v>
      </c>
      <c r="O624" s="525">
        <f t="shared" si="144"/>
        <v>0</v>
      </c>
      <c r="P624" s="525">
        <f t="shared" si="145"/>
        <v>0</v>
      </c>
      <c r="Q624" s="525"/>
      <c r="S624" s="405">
        <f t="shared" si="125"/>
        <v>0</v>
      </c>
      <c r="T624" s="405">
        <f t="shared" si="128"/>
        <v>0</v>
      </c>
    </row>
    <row r="625" spans="1:20" s="405" customFormat="1">
      <c r="B625" s="405" t="s">
        <v>1145</v>
      </c>
      <c r="C625" s="418">
        <f t="shared" si="126"/>
        <v>1</v>
      </c>
      <c r="D625" s="523"/>
      <c r="E625" s="523">
        <f>VLOOKUP(B625,DONGIA,DG!$B$6,0)</f>
        <v>0</v>
      </c>
      <c r="F625" s="666" t="str">
        <f>VLOOKUP(B625,DONGIA,DG!$C$6,0)</f>
        <v>Chụp đầu cosse  50mm2</v>
      </c>
      <c r="G625" s="523" t="str">
        <f>VLOOKUP(B625,DONGIA,DG!$D$6,0)</f>
        <v>cái</v>
      </c>
      <c r="H625" s="525">
        <f>H623</f>
        <v>6</v>
      </c>
      <c r="I625" s="525">
        <f>VLOOKUP(B625,DONGIA,DG!$E$6,0)</f>
        <v>2000</v>
      </c>
      <c r="J625" s="525"/>
      <c r="K625" s="525">
        <f>VLOOKUP(B625,DONGIA,DG!$F$6,0)</f>
        <v>0</v>
      </c>
      <c r="L625" s="525">
        <f>VLOOKUP(B625,DONGIA,DG!$G$6,0)</f>
        <v>0</v>
      </c>
      <c r="M625" s="525">
        <f t="shared" si="142"/>
        <v>12000</v>
      </c>
      <c r="N625" s="525">
        <f t="shared" si="143"/>
        <v>0</v>
      </c>
      <c r="O625" s="525">
        <f t="shared" si="144"/>
        <v>0</v>
      </c>
      <c r="P625" s="525">
        <f t="shared" si="145"/>
        <v>0</v>
      </c>
      <c r="Q625" s="525"/>
      <c r="S625" s="405">
        <f t="shared" si="125"/>
        <v>0</v>
      </c>
      <c r="T625" s="405">
        <f t="shared" si="128"/>
        <v>0</v>
      </c>
    </row>
    <row r="626" spans="1:20" s="405" customFormat="1">
      <c r="B626" s="405" t="s">
        <v>1177</v>
      </c>
      <c r="C626" s="418">
        <f t="shared" si="126"/>
        <v>1</v>
      </c>
      <c r="D626" s="523"/>
      <c r="E626" s="523">
        <f>VLOOKUP(B626,DONGIA,DG!$B$6,0)</f>
        <v>0</v>
      </c>
      <c r="F626" s="666" t="str">
        <f>VLOOKUP(B626,DONGIA,DG!$C$6,0)</f>
        <v xml:space="preserve">Ống PVC D90x3,8mm </v>
      </c>
      <c r="G626" s="523" t="str">
        <f>VLOOKUP(B626,DONGIA,DG!$D$6,0)</f>
        <v>m</v>
      </c>
      <c r="H626" s="554">
        <f>H618*6</f>
        <v>36</v>
      </c>
      <c r="I626" s="525">
        <f>VLOOKUP(B626,DONGIA,DG!$E$6,0)</f>
        <v>57000</v>
      </c>
      <c r="J626" s="525"/>
      <c r="K626" s="525">
        <f>VLOOKUP(B626,DONGIA,DG!$F$6,0)</f>
        <v>0</v>
      </c>
      <c r="L626" s="525">
        <f>VLOOKUP(B626,DONGIA,DG!$G$6,0)</f>
        <v>0</v>
      </c>
      <c r="M626" s="525">
        <f t="shared" si="142"/>
        <v>2052000</v>
      </c>
      <c r="N626" s="525">
        <f t="shared" si="143"/>
        <v>0</v>
      </c>
      <c r="O626" s="525">
        <f t="shared" si="144"/>
        <v>0</v>
      </c>
      <c r="P626" s="525">
        <f t="shared" si="145"/>
        <v>0</v>
      </c>
      <c r="Q626" s="525"/>
      <c r="S626" s="405">
        <f t="shared" si="125"/>
        <v>2</v>
      </c>
      <c r="T626" s="405">
        <f t="shared" si="128"/>
        <v>72</v>
      </c>
    </row>
    <row r="627" spans="1:20" s="405" customFormat="1">
      <c r="B627" s="405" t="s">
        <v>455</v>
      </c>
      <c r="C627" s="418">
        <f t="shared" si="126"/>
        <v>1</v>
      </c>
      <c r="D627" s="523"/>
      <c r="E627" s="523"/>
      <c r="F627" s="666" t="str">
        <f>VLOOKUP(B627,DONGIA,DG!$C$6,0)&amp;" (CD: 250)"</f>
        <v>Cổ dê kẹp ống PVC φ 90 (có giá nới) (CD: 250)</v>
      </c>
      <c r="G627" s="523" t="str">
        <f>VLOOKUP(B627,DONGIA,DG!$D$6,0)</f>
        <v>bộ</v>
      </c>
      <c r="H627" s="525">
        <f>$H$618</f>
        <v>6</v>
      </c>
      <c r="I627" s="525">
        <f>VLOOKUP(B627,DONGIA,DG!$E$6,0)</f>
        <v>60000</v>
      </c>
      <c r="J627" s="525"/>
      <c r="K627" s="525"/>
      <c r="L627" s="525">
        <f>VLOOKUP(B627,DONGIA,DG!$G$6,0)</f>
        <v>0</v>
      </c>
      <c r="M627" s="525">
        <f t="shared" si="142"/>
        <v>360000</v>
      </c>
      <c r="N627" s="525">
        <f t="shared" si="143"/>
        <v>0</v>
      </c>
      <c r="O627" s="525">
        <f t="shared" si="144"/>
        <v>0</v>
      </c>
      <c r="P627" s="525">
        <f t="shared" si="145"/>
        <v>0</v>
      </c>
      <c r="Q627" s="525"/>
      <c r="S627" s="405">
        <f t="shared" ref="S627:S692" si="146">IFERROR(VLOOKUP(B627,DONGIA,$S$25,0),0)</f>
        <v>1.5</v>
      </c>
      <c r="T627" s="405">
        <f t="shared" si="128"/>
        <v>9</v>
      </c>
    </row>
    <row r="628" spans="1:20" s="405" customFormat="1">
      <c r="B628" s="405" t="s">
        <v>455</v>
      </c>
      <c r="C628" s="418">
        <f t="shared" ref="C628:C693" si="147">IF(H628&lt;&gt;0,1,)</f>
        <v>1</v>
      </c>
      <c r="D628" s="523"/>
      <c r="E628" s="523"/>
      <c r="F628" s="666" t="str">
        <f>VLOOKUP(B628,DONGIA,DG!$C$6,0)&amp;" (CD: 280)"</f>
        <v>Cổ dê kẹp ống PVC φ 90 (có giá nới) (CD: 280)</v>
      </c>
      <c r="G628" s="523" t="str">
        <f>VLOOKUP(B628,DONGIA,DG!$D$6,0)</f>
        <v>bộ</v>
      </c>
      <c r="H628" s="525">
        <f>$H$618</f>
        <v>6</v>
      </c>
      <c r="I628" s="525">
        <f>VLOOKUP(B628,DONGIA,DG!$E$6,0)</f>
        <v>60000</v>
      </c>
      <c r="J628" s="525"/>
      <c r="K628" s="525"/>
      <c r="L628" s="525">
        <f>VLOOKUP(B628,DONGIA,DG!$G$6,0)</f>
        <v>0</v>
      </c>
      <c r="M628" s="525">
        <f t="shared" si="142"/>
        <v>360000</v>
      </c>
      <c r="N628" s="525">
        <f t="shared" si="143"/>
        <v>0</v>
      </c>
      <c r="O628" s="525">
        <f t="shared" si="144"/>
        <v>0</v>
      </c>
      <c r="P628" s="525">
        <f t="shared" si="145"/>
        <v>0</v>
      </c>
      <c r="Q628" s="525"/>
      <c r="S628" s="405">
        <f t="shared" si="146"/>
        <v>1.5</v>
      </c>
      <c r="T628" s="405">
        <f t="shared" ref="T628:T693" si="148">H628*S628</f>
        <v>9</v>
      </c>
    </row>
    <row r="629" spans="1:20" s="405" customFormat="1">
      <c r="B629" s="405" t="s">
        <v>455</v>
      </c>
      <c r="C629" s="418">
        <f t="shared" si="147"/>
        <v>1</v>
      </c>
      <c r="D629" s="523"/>
      <c r="E629" s="523"/>
      <c r="F629" s="666" t="str">
        <f>VLOOKUP(B629,DONGIA,DG!$C$6,0)&amp;" (CD: 320)"</f>
        <v>Cổ dê kẹp ống PVC φ 90 (có giá nới) (CD: 320)</v>
      </c>
      <c r="G629" s="523" t="str">
        <f>VLOOKUP(B629,DONGIA,DG!$D$6,0)</f>
        <v>bộ</v>
      </c>
      <c r="H629" s="525">
        <f>$H$618</f>
        <v>6</v>
      </c>
      <c r="I629" s="525">
        <f>VLOOKUP(B629,DONGIA,DG!$E$6,0)</f>
        <v>60000</v>
      </c>
      <c r="J629" s="525"/>
      <c r="K629" s="525"/>
      <c r="L629" s="525">
        <f>VLOOKUP(B629,DONGIA,DG!$G$6,0)</f>
        <v>0</v>
      </c>
      <c r="M629" s="525">
        <f t="shared" si="142"/>
        <v>360000</v>
      </c>
      <c r="N629" s="525">
        <f t="shared" si="143"/>
        <v>0</v>
      </c>
      <c r="O629" s="525">
        <f t="shared" si="144"/>
        <v>0</v>
      </c>
      <c r="P629" s="525">
        <f t="shared" si="145"/>
        <v>0</v>
      </c>
      <c r="Q629" s="525"/>
      <c r="S629" s="405">
        <f t="shared" si="146"/>
        <v>1.5</v>
      </c>
      <c r="T629" s="405">
        <f t="shared" si="148"/>
        <v>9</v>
      </c>
    </row>
    <row r="630" spans="1:20" s="405" customFormat="1">
      <c r="B630" s="405" t="s">
        <v>2956</v>
      </c>
      <c r="C630" s="418">
        <f t="shared" si="147"/>
        <v>1</v>
      </c>
      <c r="D630" s="523"/>
      <c r="E630" s="523">
        <f>VLOOKUP(B630,DONGIA,DG!$B$6,0)</f>
        <v>0</v>
      </c>
      <c r="F630" s="666" t="str">
        <f>VLOOKUP(B630,DONGIA,DG!$C$6,0)</f>
        <v>Co  90 độ PVC 90 (Loại dày)</v>
      </c>
      <c r="G630" s="523" t="str">
        <f>VLOOKUP(B630,DONGIA,DG!$D$6,0)</f>
        <v>cái</v>
      </c>
      <c r="H630" s="525">
        <f>H618*3</f>
        <v>18</v>
      </c>
      <c r="I630" s="525">
        <f>VLOOKUP(B630,DONGIA,DG!$E$6,0)</f>
        <v>45400</v>
      </c>
      <c r="J630" s="525"/>
      <c r="K630" s="525">
        <f>VLOOKUP(B630,DONGIA,DG!$F$6,0)</f>
        <v>0</v>
      </c>
      <c r="L630" s="525">
        <f>VLOOKUP(B630,DONGIA,DG!$G$6,0)</f>
        <v>0</v>
      </c>
      <c r="M630" s="525">
        <f t="shared" si="142"/>
        <v>817200</v>
      </c>
      <c r="N630" s="525">
        <f t="shared" si="143"/>
        <v>0</v>
      </c>
      <c r="O630" s="525">
        <f t="shared" si="144"/>
        <v>0</v>
      </c>
      <c r="P630" s="525">
        <f t="shared" si="145"/>
        <v>0</v>
      </c>
      <c r="Q630" s="525"/>
      <c r="S630" s="405">
        <f t="shared" si="146"/>
        <v>0</v>
      </c>
      <c r="T630" s="405">
        <f t="shared" si="148"/>
        <v>0</v>
      </c>
    </row>
    <row r="631" spans="1:20" s="405" customFormat="1" hidden="1">
      <c r="B631" s="405" t="s">
        <v>1183</v>
      </c>
      <c r="C631" s="418">
        <f>IF(H631&lt;&gt;0,1,)</f>
        <v>0</v>
      </c>
      <c r="D631" s="523"/>
      <c r="E631" s="523">
        <f>VLOOKUP(B631,DONGIA,DG!$B$6,0)</f>
        <v>0</v>
      </c>
      <c r="F631" s="525" t="str">
        <f>VLOOKUP(B631,DONGIA,DG!$C$6,0)</f>
        <v>Co  90 độ PVC 90</v>
      </c>
      <c r="G631" s="523" t="str">
        <f>VLOOKUP(B631,DONGIA,DG!$D$6,0)</f>
        <v>cái</v>
      </c>
      <c r="H631" s="525"/>
      <c r="I631" s="525">
        <f>VLOOKUP(B631,DONGIA,DG!$E$6,0)</f>
        <v>45400</v>
      </c>
      <c r="J631" s="525"/>
      <c r="K631" s="525">
        <f>VLOOKUP(B631,DONGIA,DG!$F$6,0)</f>
        <v>0</v>
      </c>
      <c r="L631" s="525">
        <f>VLOOKUP(B631,DONGIA,DG!$G$6,0)</f>
        <v>0</v>
      </c>
      <c r="M631" s="525">
        <f>$H631*I631</f>
        <v>0</v>
      </c>
      <c r="N631" s="525">
        <f>$H631*J631</f>
        <v>0</v>
      </c>
      <c r="O631" s="525">
        <f>$H631*K631</f>
        <v>0</v>
      </c>
      <c r="P631" s="525">
        <f>$H631*L631</f>
        <v>0</v>
      </c>
      <c r="Q631" s="525"/>
      <c r="S631" s="405">
        <f>IFERROR(VLOOKUP(B631,DONGIA,$S$25,0),0)</f>
        <v>0</v>
      </c>
      <c r="T631" s="405">
        <f>H631*S631</f>
        <v>0</v>
      </c>
    </row>
    <row r="632" spans="1:20" s="405" customFormat="1">
      <c r="B632" s="405" t="s">
        <v>1181</v>
      </c>
      <c r="C632" s="418">
        <f t="shared" si="147"/>
        <v>1</v>
      </c>
      <c r="D632" s="523"/>
      <c r="E632" s="523">
        <f>VLOOKUP(B632,DONGIA,DG!$B$6,0)</f>
        <v>0</v>
      </c>
      <c r="F632" s="666" t="str">
        <f>VLOOKUP(B632,DONGIA,DG!$C$6,0)</f>
        <v>Co 135 độ PVC 90</v>
      </c>
      <c r="G632" s="523" t="str">
        <f>VLOOKUP(B632,DONGIA,DG!$D$6,0)</f>
        <v>cái</v>
      </c>
      <c r="H632" s="525">
        <f>H618</f>
        <v>6</v>
      </c>
      <c r="I632" s="525">
        <f>VLOOKUP(B632,DONGIA,DG!$E$6,0)</f>
        <v>34800</v>
      </c>
      <c r="J632" s="525"/>
      <c r="K632" s="525">
        <f>VLOOKUP(B632,DONGIA,DG!$F$6,0)</f>
        <v>0</v>
      </c>
      <c r="L632" s="525">
        <f>VLOOKUP(B632,DONGIA,DG!$G$6,0)</f>
        <v>0</v>
      </c>
      <c r="M632" s="525">
        <f t="shared" si="142"/>
        <v>208800</v>
      </c>
      <c r="N632" s="525">
        <f t="shared" si="143"/>
        <v>0</v>
      </c>
      <c r="O632" s="525">
        <f t="shared" si="144"/>
        <v>0</v>
      </c>
      <c r="P632" s="525">
        <f t="shared" si="145"/>
        <v>0</v>
      </c>
      <c r="Q632" s="525"/>
      <c r="S632" s="405">
        <f t="shared" si="146"/>
        <v>0</v>
      </c>
      <c r="T632" s="405">
        <f t="shared" si="148"/>
        <v>0</v>
      </c>
    </row>
    <row r="633" spans="1:20" s="405" customFormat="1">
      <c r="B633" s="405" t="s">
        <v>1203</v>
      </c>
      <c r="C633" s="418">
        <f t="shared" si="147"/>
        <v>1</v>
      </c>
      <c r="D633" s="523"/>
      <c r="E633" s="523">
        <f>VLOOKUP(B633,DONGIA,DG!$B$6,0)</f>
        <v>0</v>
      </c>
      <c r="F633" s="666" t="str">
        <f>VLOOKUP(B633,DONGIA,DG!$C$6,0)</f>
        <v>Khâu ven răng trong D90</v>
      </c>
      <c r="G633" s="523" t="str">
        <f>VLOOKUP(B633,DONGIA,DG!$D$6,0)</f>
        <v>cái</v>
      </c>
      <c r="H633" s="525">
        <f>H618</f>
        <v>6</v>
      </c>
      <c r="I633" s="525">
        <f>VLOOKUP(B633,DONGIA,DG!$E$6,0)</f>
        <v>25800</v>
      </c>
      <c r="J633" s="525"/>
      <c r="K633" s="525">
        <f>VLOOKUP(B633,DONGIA,DG!$F$6,0)</f>
        <v>0</v>
      </c>
      <c r="L633" s="525">
        <f>VLOOKUP(B633,DONGIA,DG!$G$6,0)</f>
        <v>0</v>
      </c>
      <c r="M633" s="525">
        <f t="shared" si="142"/>
        <v>154800</v>
      </c>
      <c r="N633" s="525">
        <f t="shared" si="143"/>
        <v>0</v>
      </c>
      <c r="O633" s="525">
        <f t="shared" si="144"/>
        <v>0</v>
      </c>
      <c r="P633" s="525">
        <f t="shared" si="145"/>
        <v>0</v>
      </c>
      <c r="Q633" s="525"/>
      <c r="S633" s="405">
        <f t="shared" si="146"/>
        <v>0</v>
      </c>
      <c r="T633" s="405">
        <f t="shared" si="148"/>
        <v>0</v>
      </c>
    </row>
    <row r="634" spans="1:20" s="405" customFormat="1">
      <c r="B634" s="405" t="s">
        <v>1209</v>
      </c>
      <c r="C634" s="418">
        <f t="shared" si="147"/>
        <v>1</v>
      </c>
      <c r="D634" s="523"/>
      <c r="E634" s="523">
        <f>VLOOKUP(B634,DONGIA,DG!$B$6,0)</f>
        <v>0</v>
      </c>
      <c r="F634" s="666" t="str">
        <f>VLOOKUP(B634,DONGIA,DG!$C$6,0)</f>
        <v>Khâu ven răng ngoài D90</v>
      </c>
      <c r="G634" s="523" t="str">
        <f>VLOOKUP(B634,DONGIA,DG!$D$6,0)</f>
        <v>cái</v>
      </c>
      <c r="H634" s="525">
        <f>H633</f>
        <v>6</v>
      </c>
      <c r="I634" s="525">
        <f>VLOOKUP(B634,DONGIA,DG!$E$6,0)</f>
        <v>21500</v>
      </c>
      <c r="J634" s="525"/>
      <c r="K634" s="525">
        <f>VLOOKUP(B634,DONGIA,DG!$F$6,0)</f>
        <v>0</v>
      </c>
      <c r="L634" s="525">
        <f>VLOOKUP(B634,DONGIA,DG!$G$6,0)</f>
        <v>0</v>
      </c>
      <c r="M634" s="525">
        <f t="shared" si="142"/>
        <v>129000</v>
      </c>
      <c r="N634" s="525">
        <f t="shared" si="143"/>
        <v>0</v>
      </c>
      <c r="O634" s="525">
        <f t="shared" si="144"/>
        <v>0</v>
      </c>
      <c r="P634" s="525">
        <f t="shared" si="145"/>
        <v>0</v>
      </c>
      <c r="Q634" s="525"/>
      <c r="S634" s="405">
        <f t="shared" si="146"/>
        <v>0</v>
      </c>
      <c r="T634" s="405">
        <f t="shared" si="148"/>
        <v>0</v>
      </c>
    </row>
    <row r="635" spans="1:20" s="405" customFormat="1" hidden="1">
      <c r="B635" s="405" t="s">
        <v>1914</v>
      </c>
      <c r="C635" s="418">
        <f t="shared" si="147"/>
        <v>0</v>
      </c>
      <c r="D635" s="523"/>
      <c r="E635" s="523">
        <f>VLOOKUP(B635,DONGIA,DG!$B$6,0)</f>
        <v>0</v>
      </c>
      <c r="F635" s="525" t="str">
        <f>VLOOKUP(B635,DONGIA,DG!$C$6,0)</f>
        <v>Keo dán ống PVC (100gr)</v>
      </c>
      <c r="G635" s="523" t="str">
        <f>VLOOKUP(B635,DONGIA,DG!$D$6,0)</f>
        <v>tuýp</v>
      </c>
      <c r="H635" s="525"/>
      <c r="I635" s="525">
        <f>VLOOKUP(B635,DONGIA,DG!$E$6,0)</f>
        <v>11500</v>
      </c>
      <c r="J635" s="525"/>
      <c r="K635" s="525">
        <f>VLOOKUP(B635,DONGIA,DG!$F$6,0)</f>
        <v>0</v>
      </c>
      <c r="L635" s="525">
        <f>VLOOKUP(B635,DONGIA,DG!$G$6,0)</f>
        <v>0</v>
      </c>
      <c r="M635" s="525">
        <f t="shared" si="142"/>
        <v>0</v>
      </c>
      <c r="N635" s="525">
        <f t="shared" si="143"/>
        <v>0</v>
      </c>
      <c r="O635" s="525">
        <f t="shared" si="144"/>
        <v>0</v>
      </c>
      <c r="P635" s="525">
        <f t="shared" si="145"/>
        <v>0</v>
      </c>
      <c r="Q635" s="525"/>
      <c r="S635" s="405">
        <f t="shared" si="146"/>
        <v>0</v>
      </c>
      <c r="T635" s="405">
        <f t="shared" si="148"/>
        <v>0</v>
      </c>
    </row>
    <row r="636" spans="1:20" s="405" customFormat="1">
      <c r="B636" s="405" t="s">
        <v>1639</v>
      </c>
      <c r="C636" s="418">
        <f t="shared" si="147"/>
        <v>1</v>
      </c>
      <c r="D636" s="523"/>
      <c r="E636" s="523">
        <f>VLOOKUP(B636,DONGIA,DG!$B$6,0)</f>
        <v>0</v>
      </c>
      <c r="F636" s="666" t="str">
        <f>VLOOKUP(B636,DONGIA,DG!$C$6,0)&amp;" bịt miệng ống"</f>
        <v>Xi măng bịt miệng ống</v>
      </c>
      <c r="G636" s="523" t="str">
        <f>VLOOKUP(B636,DONGIA,DG!$D$6,0)</f>
        <v>kg</v>
      </c>
      <c r="H636" s="549">
        <f>H618*0.5</f>
        <v>3</v>
      </c>
      <c r="I636" s="525">
        <f>VLOOKUP(B636,DONGIA,DG!$E$6,0)</f>
        <v>1760</v>
      </c>
      <c r="J636" s="525"/>
      <c r="K636" s="525">
        <f>VLOOKUP(B636,DONGIA,DG!$F$6,0)</f>
        <v>0</v>
      </c>
      <c r="L636" s="525">
        <f>VLOOKUP(B636,DONGIA,DG!$G$6,0)</f>
        <v>0</v>
      </c>
      <c r="M636" s="525">
        <f t="shared" si="142"/>
        <v>5280</v>
      </c>
      <c r="N636" s="525">
        <f t="shared" si="143"/>
        <v>0</v>
      </c>
      <c r="O636" s="525">
        <f t="shared" si="144"/>
        <v>0</v>
      </c>
      <c r="P636" s="525">
        <f t="shared" si="145"/>
        <v>0</v>
      </c>
      <c r="Q636" s="525"/>
      <c r="S636" s="405">
        <f t="shared" si="146"/>
        <v>1</v>
      </c>
      <c r="T636" s="405">
        <f t="shared" si="148"/>
        <v>3</v>
      </c>
    </row>
    <row r="637" spans="1:20" s="405" customFormat="1">
      <c r="B637" s="405" t="s">
        <v>855</v>
      </c>
      <c r="C637" s="418">
        <f t="shared" si="147"/>
        <v>1</v>
      </c>
      <c r="D637" s="523"/>
      <c r="E637" s="523" t="str">
        <f>VLOOKUP(B637,DONGIA,DG!$B$6,0)</f>
        <v>T4.8003</v>
      </c>
      <c r="F637" s="666" t="str">
        <f>VLOOKUP(B637,DONGIA,DG!$C$6,0)</f>
        <v>Lắp ống nhựa PVC D90</v>
      </c>
      <c r="G637" s="523" t="str">
        <f>VLOOKUP(B637,DONGIA,DG!$D$6,0)</f>
        <v>mét</v>
      </c>
      <c r="H637" s="525">
        <f>H626</f>
        <v>36</v>
      </c>
      <c r="I637" s="525">
        <f>VLOOKUP(B637,DONGIA,DG!$E$6,0)</f>
        <v>0</v>
      </c>
      <c r="J637" s="525"/>
      <c r="K637" s="525">
        <f>VLOOKUP(B637,DONGIA,DG!$F$6,0)</f>
        <v>35541</v>
      </c>
      <c r="L637" s="525">
        <f>VLOOKUP(B637,DONGIA,DG!$G$6,0)</f>
        <v>0</v>
      </c>
      <c r="M637" s="525">
        <f t="shared" si="142"/>
        <v>0</v>
      </c>
      <c r="N637" s="525">
        <f t="shared" si="143"/>
        <v>0</v>
      </c>
      <c r="O637" s="525">
        <f t="shared" si="144"/>
        <v>1279476</v>
      </c>
      <c r="P637" s="525">
        <f t="shared" si="145"/>
        <v>0</v>
      </c>
      <c r="Q637" s="525"/>
      <c r="S637" s="405">
        <f t="shared" si="146"/>
        <v>0</v>
      </c>
      <c r="T637" s="405">
        <f t="shared" si="148"/>
        <v>0</v>
      </c>
    </row>
    <row r="638" spans="1:20" s="405" customFormat="1">
      <c r="B638" s="405" t="s">
        <v>1939</v>
      </c>
      <c r="C638" s="418">
        <f t="shared" si="147"/>
        <v>1</v>
      </c>
      <c r="D638" s="523"/>
      <c r="E638" s="523" t="str">
        <f>VLOOKUP(B638,DONGIA,DG!$B$6,0)</f>
        <v>T4.4201</v>
      </c>
      <c r="F638" s="666" t="str">
        <f>VLOOKUP(B638,DONGIA,DG!$C$6,0)</f>
        <v>Lắp cáp đồng xuống thiết bị D ≤ 95mm2</v>
      </c>
      <c r="G638" s="523" t="str">
        <f>VLOOKUP(B638,DONGIA,DG!$D$6,0)</f>
        <v>m</v>
      </c>
      <c r="H638" s="525">
        <f>H620+H621</f>
        <v>153</v>
      </c>
      <c r="I638" s="525">
        <f>VLOOKUP(B638,DONGIA,DG!$E$6,0)</f>
        <v>0</v>
      </c>
      <c r="J638" s="525"/>
      <c r="K638" s="525">
        <f>VLOOKUP(B638,DONGIA,DG!$F$6,0)</f>
        <v>11847</v>
      </c>
      <c r="L638" s="525">
        <f>VLOOKUP(B638,DONGIA,DG!$G$6,0)</f>
        <v>0</v>
      </c>
      <c r="M638" s="525">
        <f t="shared" si="142"/>
        <v>0</v>
      </c>
      <c r="N638" s="525">
        <f t="shared" si="143"/>
        <v>0</v>
      </c>
      <c r="O638" s="525">
        <f t="shared" si="144"/>
        <v>1812591</v>
      </c>
      <c r="P638" s="525">
        <f t="shared" si="145"/>
        <v>0</v>
      </c>
      <c r="Q638" s="525"/>
      <c r="S638" s="405">
        <f t="shared" si="146"/>
        <v>0</v>
      </c>
      <c r="T638" s="405">
        <f t="shared" si="148"/>
        <v>0</v>
      </c>
    </row>
    <row r="639" spans="1:20">
      <c r="B639" s="332" t="s">
        <v>1058</v>
      </c>
      <c r="C639" s="333">
        <f t="shared" si="147"/>
        <v>1</v>
      </c>
      <c r="D639" s="372">
        <f>IF(H639&lt;&gt;0,D618+1,D618)</f>
        <v>8</v>
      </c>
      <c r="E639" s="372">
        <f>VLOOKUP(B639,DONGIA,DG!$B$6,0)</f>
        <v>0</v>
      </c>
      <c r="F639" s="780" t="str">
        <f>VLOOKUP(B639,DONGIA,DG!$C$6,0)</f>
        <v>Bảng tên trạm + bulon</v>
      </c>
      <c r="G639" s="372" t="str">
        <f>VLOOKUP(B639,DONGIA,DG!$D$6,0)</f>
        <v>bộ</v>
      </c>
      <c r="H639" s="372">
        <f>T1P75</f>
        <v>3</v>
      </c>
      <c r="I639" s="373">
        <f>VLOOKUP(B639,DONGIA,DG!$E$6,0)</f>
        <v>150000</v>
      </c>
      <c r="J639" s="373"/>
      <c r="K639" s="373"/>
      <c r="L639" s="373"/>
      <c r="M639" s="373">
        <f>H639*I639</f>
        <v>450000</v>
      </c>
      <c r="N639" s="373"/>
      <c r="O639" s="373"/>
      <c r="P639" s="373"/>
      <c r="Q639" s="373"/>
      <c r="S639" s="332">
        <f t="shared" si="146"/>
        <v>0</v>
      </c>
      <c r="T639" s="332">
        <f t="shared" si="148"/>
        <v>0</v>
      </c>
    </row>
    <row r="640" spans="1:20" s="353" customFormat="1" hidden="1">
      <c r="A640" s="353" t="s">
        <v>2073</v>
      </c>
      <c r="C640" s="333">
        <f t="shared" si="147"/>
        <v>0</v>
      </c>
      <c r="D640" s="368"/>
      <c r="E640" s="369" t="str">
        <f>T1P100&amp;" Trạm 1 pha 100kVA"</f>
        <v>0 Trạm 1 pha 100kVA</v>
      </c>
      <c r="F640" s="368"/>
      <c r="G640" s="368"/>
      <c r="H640" s="368"/>
      <c r="I640" s="325"/>
      <c r="J640" s="325"/>
      <c r="K640" s="325"/>
      <c r="L640" s="325"/>
      <c r="M640" s="325"/>
      <c r="N640" s="325"/>
      <c r="O640" s="325"/>
      <c r="P640" s="325"/>
      <c r="Q640" s="368"/>
      <c r="S640" s="332">
        <f t="shared" si="146"/>
        <v>0</v>
      </c>
      <c r="T640" s="332">
        <f t="shared" si="148"/>
        <v>0</v>
      </c>
    </row>
    <row r="641" spans="1:20" hidden="1">
      <c r="A641" s="332" t="s">
        <v>2074</v>
      </c>
      <c r="C641" s="333">
        <f t="shared" si="147"/>
        <v>0</v>
      </c>
      <c r="D641" s="344"/>
      <c r="E641" s="344"/>
      <c r="F641" s="345" t="s">
        <v>1900</v>
      </c>
      <c r="G641" s="344"/>
      <c r="H641" s="345"/>
      <c r="I641" s="345"/>
      <c r="J641" s="345"/>
      <c r="K641" s="345"/>
      <c r="L641" s="345"/>
      <c r="M641" s="345"/>
      <c r="N641" s="345"/>
      <c r="O641" s="345"/>
      <c r="P641" s="345"/>
      <c r="Q641" s="345"/>
      <c r="S641" s="332">
        <f t="shared" si="146"/>
        <v>0</v>
      </c>
      <c r="T641" s="371">
        <f>SUM(T642:T647)</f>
        <v>0</v>
      </c>
    </row>
    <row r="642" spans="1:20" hidden="1">
      <c r="A642" s="332" t="s">
        <v>477</v>
      </c>
      <c r="B642" s="332" t="s">
        <v>899</v>
      </c>
      <c r="C642" s="333">
        <f t="shared" si="147"/>
        <v>0</v>
      </c>
      <c r="D642" s="328"/>
      <c r="E642" s="328" t="str">
        <f>VLOOKUP(B642,DONGIA,DG!$B$6,0)</f>
        <v>T1.1431</v>
      </c>
      <c r="F642" s="329" t="str">
        <f>VLOOKUP(B642,DONGIA,DG!$C$6,0)</f>
        <v>Máy biến áp 12,7/0,22-0,44kV  25kVA</v>
      </c>
      <c r="G642" s="328" t="str">
        <f>VLOOKUP(B642,DONGIA,DG!$D$6,0)</f>
        <v>máy</v>
      </c>
      <c r="H642" s="329">
        <f>T1P100</f>
        <v>0</v>
      </c>
      <c r="I642" s="329"/>
      <c r="J642" s="329"/>
      <c r="K642" s="329"/>
      <c r="L642" s="329"/>
      <c r="M642" s="329"/>
      <c r="N642" s="329"/>
      <c r="O642" s="329"/>
      <c r="P642" s="329"/>
      <c r="Q642" s="329"/>
      <c r="S642" s="332">
        <f t="shared" si="146"/>
        <v>320</v>
      </c>
      <c r="T642" s="332">
        <f t="shared" si="148"/>
        <v>0</v>
      </c>
    </row>
    <row r="643" spans="1:20" hidden="1">
      <c r="A643" s="332" t="s">
        <v>477</v>
      </c>
      <c r="B643" s="332" t="s">
        <v>1444</v>
      </c>
      <c r="C643" s="333">
        <f t="shared" si="147"/>
        <v>0</v>
      </c>
      <c r="D643" s="328"/>
      <c r="E643" s="328" t="str">
        <f>VLOOKUP(B643,DONGIA,DG!$B$6,0)</f>
        <v>T2.3505</v>
      </c>
      <c r="F643" s="329" t="str">
        <f>VLOOKUP(B643,DONGIA,DG!$C$6,0)</f>
        <v>FCO 27kV - 100A</v>
      </c>
      <c r="G643" s="328" t="str">
        <f>VLOOKUP(B643,DONGIA,DG!$D$6,0)</f>
        <v>cái</v>
      </c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S643" s="332">
        <f t="shared" si="146"/>
        <v>1.5</v>
      </c>
      <c r="T643" s="332">
        <f t="shared" si="148"/>
        <v>0</v>
      </c>
    </row>
    <row r="644" spans="1:20" hidden="1">
      <c r="A644" s="332" t="s">
        <v>477</v>
      </c>
      <c r="B644" s="332" t="s">
        <v>943</v>
      </c>
      <c r="C644" s="333">
        <f t="shared" si="147"/>
        <v>0</v>
      </c>
      <c r="D644" s="328"/>
      <c r="E644" s="328" t="str">
        <f>VLOOKUP(B644,DONGIA,DG!$B$6,0)</f>
        <v>T2.5004</v>
      </c>
      <c r="F644" s="329" t="str">
        <f>VLOOKUP(B644,DONGIA,DG!$C$6,0)</f>
        <v>LA 18kV 10kA</v>
      </c>
      <c r="G644" s="328" t="str">
        <f>VLOOKUP(B644,DONGIA,DG!$D$6,0)</f>
        <v>cái</v>
      </c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S644" s="332">
        <f t="shared" si="146"/>
        <v>0.8</v>
      </c>
      <c r="T644" s="332">
        <f t="shared" si="148"/>
        <v>0</v>
      </c>
    </row>
    <row r="645" spans="1:20" hidden="1">
      <c r="A645" s="332" t="s">
        <v>477</v>
      </c>
      <c r="B645" s="332" t="s">
        <v>992</v>
      </c>
      <c r="C645" s="333">
        <f t="shared" si="147"/>
        <v>0</v>
      </c>
      <c r="D645" s="328"/>
      <c r="E645" s="328" t="str">
        <f>VLOOKUP(B645,DONGIA,DG!$B$6,0)</f>
        <v>T2.8403</v>
      </c>
      <c r="F645" s="329" t="str">
        <f>VLOOKUP(B645,DONGIA,DG!$C$6,0)</f>
        <v>MCCB 3 cực 400V - 125A - 30KA (80-125A)</v>
      </c>
      <c r="G645" s="328" t="str">
        <f>VLOOKUP(B645,DONGIA,DG!$D$6,0)</f>
        <v>cái</v>
      </c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S645" s="332">
        <f t="shared" si="146"/>
        <v>2</v>
      </c>
      <c r="T645" s="332">
        <f t="shared" si="148"/>
        <v>0</v>
      </c>
    </row>
    <row r="646" spans="1:20" hidden="1">
      <c r="A646" s="332" t="s">
        <v>477</v>
      </c>
      <c r="B646" s="332" t="s">
        <v>946</v>
      </c>
      <c r="C646" s="333">
        <f t="shared" si="147"/>
        <v>0</v>
      </c>
      <c r="D646" s="328"/>
      <c r="E646" s="328">
        <f>VLOOKUP(B646,DONGIA,DG!$B$6,0)</f>
        <v>0</v>
      </c>
      <c r="F646" s="329" t="str">
        <f>VLOOKUP(B646,DONGIA,DG!$C$6,0)</f>
        <v>Biến dòng 600V - 100/5A</v>
      </c>
      <c r="G646" s="328" t="str">
        <f>VLOOKUP(B646,DONGIA,DG!$D$6,0)</f>
        <v>cái</v>
      </c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S646" s="332">
        <f t="shared" si="146"/>
        <v>0</v>
      </c>
      <c r="T646" s="332">
        <f t="shared" si="148"/>
        <v>0</v>
      </c>
    </row>
    <row r="647" spans="1:20" hidden="1">
      <c r="A647" s="332" t="s">
        <v>477</v>
      </c>
      <c r="B647" s="332" t="s">
        <v>1040</v>
      </c>
      <c r="C647" s="333">
        <f t="shared" si="147"/>
        <v>0</v>
      </c>
      <c r="D647" s="328"/>
      <c r="E647" s="328">
        <f>VLOOKUP(B647,DONGIA,DG!$B$6,0)</f>
        <v>0</v>
      </c>
      <c r="F647" s="329" t="str">
        <f>VLOOKUP(B647,DONGIA,DG!$C$6,0)</f>
        <v>Điện kế 1 pha 2 dây 220V-80A</v>
      </c>
      <c r="G647" s="328" t="str">
        <f>VLOOKUP(B647,DONGIA,DG!$D$6,0)</f>
        <v>cái</v>
      </c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S647" s="332">
        <f t="shared" si="146"/>
        <v>0</v>
      </c>
      <c r="T647" s="332">
        <f t="shared" si="148"/>
        <v>0</v>
      </c>
    </row>
    <row r="648" spans="1:20" hidden="1">
      <c r="A648" s="332" t="s">
        <v>2075</v>
      </c>
      <c r="C648" s="333">
        <f t="shared" si="147"/>
        <v>0</v>
      </c>
      <c r="D648" s="344"/>
      <c r="E648" s="344"/>
      <c r="F648" s="345" t="s">
        <v>1901</v>
      </c>
      <c r="G648" s="344"/>
      <c r="H648" s="345"/>
      <c r="I648" s="345"/>
      <c r="J648" s="345"/>
      <c r="K648" s="345"/>
      <c r="L648" s="345"/>
      <c r="M648" s="345"/>
      <c r="N648" s="345"/>
      <c r="O648" s="345"/>
      <c r="P648" s="345"/>
      <c r="Q648" s="345"/>
      <c r="S648" s="332">
        <f t="shared" si="146"/>
        <v>0</v>
      </c>
      <c r="T648" s="371">
        <f>SUM(T649:T724)</f>
        <v>0</v>
      </c>
    </row>
    <row r="649" spans="1:20" hidden="1">
      <c r="C649" s="333">
        <f t="shared" si="147"/>
        <v>0</v>
      </c>
      <c r="D649" s="372">
        <f>IF(H649&lt;&gt;0,1,)</f>
        <v>0</v>
      </c>
      <c r="E649" s="372"/>
      <c r="F649" s="373" t="s">
        <v>1931</v>
      </c>
      <c r="G649" s="372" t="s">
        <v>138</v>
      </c>
      <c r="H649" s="372">
        <f>T1P100</f>
        <v>0</v>
      </c>
      <c r="I649" s="373"/>
      <c r="J649" s="373"/>
      <c r="K649" s="373"/>
      <c r="L649" s="373"/>
      <c r="M649" s="373"/>
      <c r="N649" s="373"/>
      <c r="O649" s="373"/>
      <c r="P649" s="373"/>
      <c r="Q649" s="373"/>
      <c r="S649" s="332">
        <f t="shared" si="146"/>
        <v>0</v>
      </c>
      <c r="T649" s="332">
        <f t="shared" si="148"/>
        <v>0</v>
      </c>
    </row>
    <row r="650" spans="1:20" hidden="1">
      <c r="A650" s="332" t="s">
        <v>477</v>
      </c>
      <c r="B650" s="332" t="s">
        <v>1007</v>
      </c>
      <c r="C650" s="333">
        <f t="shared" si="147"/>
        <v>0</v>
      </c>
      <c r="D650" s="328"/>
      <c r="E650" s="328">
        <f>VLOOKUP(B650,DONGIA,DG!$B$6,0)</f>
        <v>0</v>
      </c>
      <c r="F650" s="329" t="str">
        <f>VLOOKUP(B650,DONGIA,DG!$C$6,0)</f>
        <v>Dây chảy 3K</v>
      </c>
      <c r="G650" s="328" t="str">
        <f>VLOOKUP(B650,DONGIA,DG!$D$6,0)</f>
        <v>Sợi</v>
      </c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S650" s="332">
        <f t="shared" si="146"/>
        <v>0</v>
      </c>
      <c r="T650" s="332">
        <f t="shared" si="148"/>
        <v>0</v>
      </c>
    </row>
    <row r="651" spans="1:20" hidden="1">
      <c r="A651" s="332" t="s">
        <v>477</v>
      </c>
      <c r="B651" s="332" t="s">
        <v>131</v>
      </c>
      <c r="C651" s="333">
        <f t="shared" si="147"/>
        <v>0</v>
      </c>
      <c r="D651" s="328"/>
      <c r="E651" s="328">
        <f>VLOOKUP(B651,DONGIA,DG!$B$6,0)</f>
        <v>0</v>
      </c>
      <c r="F651" s="329" t="str">
        <f>VLOOKUP(B651,DONGIA,DG!$C$6,0)</f>
        <v>Chụp đầu FCO (Trên + Dưới)</v>
      </c>
      <c r="G651" s="328" t="str">
        <f>VLOOKUP(B651,DONGIA,DG!$D$6,0)</f>
        <v>bộ</v>
      </c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S651" s="332">
        <f t="shared" si="146"/>
        <v>0</v>
      </c>
      <c r="T651" s="332">
        <f t="shared" si="148"/>
        <v>0</v>
      </c>
    </row>
    <row r="652" spans="1:20" hidden="1">
      <c r="A652" s="332" t="s">
        <v>477</v>
      </c>
      <c r="B652" s="332" t="s">
        <v>133</v>
      </c>
      <c r="C652" s="333">
        <f t="shared" si="147"/>
        <v>0</v>
      </c>
      <c r="D652" s="328"/>
      <c r="E652" s="328">
        <f>VLOOKUP(B652,DONGIA,DG!$B$6,0)</f>
        <v>0</v>
      </c>
      <c r="F652" s="329" t="str">
        <f>VLOOKUP(B652,DONGIA,DG!$C$6,0)</f>
        <v>Chụp đầu LA</v>
      </c>
      <c r="G652" s="328" t="str">
        <f>VLOOKUP(B652,DONGIA,DG!$D$6,0)</f>
        <v>cái</v>
      </c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S652" s="332">
        <f t="shared" si="146"/>
        <v>0</v>
      </c>
      <c r="T652" s="332">
        <f t="shared" si="148"/>
        <v>0</v>
      </c>
    </row>
    <row r="653" spans="1:20" hidden="1">
      <c r="A653" s="332" t="s">
        <v>477</v>
      </c>
      <c r="B653" s="332" t="s">
        <v>135</v>
      </c>
      <c r="C653" s="333">
        <f t="shared" si="147"/>
        <v>0</v>
      </c>
      <c r="D653" s="328"/>
      <c r="E653" s="328">
        <f>VLOOKUP(B653,DONGIA,DG!$B$6,0)</f>
        <v>0</v>
      </c>
      <c r="F653" s="329" t="str">
        <f>VLOOKUP(B653,DONGIA,DG!$C$6,0)</f>
        <v>Chụp đầu cực MBA</v>
      </c>
      <c r="G653" s="328" t="str">
        <f>VLOOKUP(B653,DONGIA,DG!$D$6,0)</f>
        <v>cái</v>
      </c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S653" s="332">
        <f t="shared" si="146"/>
        <v>0</v>
      </c>
      <c r="T653" s="332">
        <f t="shared" si="148"/>
        <v>0</v>
      </c>
    </row>
    <row r="654" spans="1:20" hidden="1">
      <c r="A654" s="332" t="s">
        <v>477</v>
      </c>
      <c r="B654" s="332" t="s">
        <v>35</v>
      </c>
      <c r="C654" s="333">
        <f>IF(H654&lt;&gt;0,1,)</f>
        <v>0</v>
      </c>
      <c r="D654" s="328"/>
      <c r="E654" s="328">
        <f>VLOOKUP(B654,DONGIA,DG!$B$6,0)</f>
        <v>0</v>
      </c>
      <c r="F654" s="329" t="str">
        <f>VLOOKUP(B654,DONGIA,DG!$C$6,0)</f>
        <v>Boulon 16x300+ 2 long đền vuông D18-50x50x3/Zn</v>
      </c>
      <c r="G654" s="328" t="str">
        <f>VLOOKUP(B654,DONGIA,DG!$D$6,0)</f>
        <v>bộ</v>
      </c>
      <c r="H654" s="329">
        <f>H649*2</f>
        <v>0</v>
      </c>
      <c r="I654" s="329"/>
      <c r="J654" s="329"/>
      <c r="K654" s="329"/>
      <c r="L654" s="329"/>
      <c r="M654" s="329"/>
      <c r="N654" s="329"/>
      <c r="O654" s="329"/>
      <c r="P654" s="329"/>
      <c r="Q654" s="329"/>
      <c r="S654" s="332">
        <f>IFERROR(VLOOKUP(B654,DONGIA,$S$25,0),0)</f>
        <v>0.25</v>
      </c>
      <c r="T654" s="332">
        <f>H654*S654</f>
        <v>0</v>
      </c>
    </row>
    <row r="655" spans="1:20" hidden="1">
      <c r="A655" s="332" t="s">
        <v>477</v>
      </c>
      <c r="C655" s="333">
        <f t="shared" si="147"/>
        <v>0</v>
      </c>
      <c r="D655" s="372">
        <f>IF(H655&lt;&gt;0,D649+1,D649)</f>
        <v>0</v>
      </c>
      <c r="E655" s="372"/>
      <c r="F655" s="373" t="s">
        <v>1932</v>
      </c>
      <c r="G655" s="372" t="s">
        <v>138</v>
      </c>
      <c r="H655" s="372">
        <f>T1P100</f>
        <v>0</v>
      </c>
      <c r="I655" s="373"/>
      <c r="J655" s="373"/>
      <c r="K655" s="373"/>
      <c r="L655" s="373"/>
      <c r="M655" s="373"/>
      <c r="N655" s="373"/>
      <c r="O655" s="373"/>
      <c r="P655" s="373"/>
      <c r="Q655" s="373"/>
      <c r="S655" s="332">
        <f t="shared" si="146"/>
        <v>0</v>
      </c>
      <c r="T655" s="332">
        <f t="shared" si="148"/>
        <v>0</v>
      </c>
    </row>
    <row r="656" spans="1:20" s="361" customFormat="1" hidden="1">
      <c r="A656" s="361" t="s">
        <v>477</v>
      </c>
      <c r="C656" s="374">
        <f t="shared" si="147"/>
        <v>0</v>
      </c>
      <c r="D656" s="350"/>
      <c r="E656" s="350"/>
      <c r="F656" s="351" t="s">
        <v>1902</v>
      </c>
      <c r="G656" s="350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S656" s="361">
        <f t="shared" si="146"/>
        <v>0</v>
      </c>
      <c r="T656" s="361">
        <f t="shared" si="148"/>
        <v>0</v>
      </c>
    </row>
    <row r="657" spans="1:20" hidden="1">
      <c r="A657" s="332" t="s">
        <v>477</v>
      </c>
      <c r="B657" s="332" t="s">
        <v>15</v>
      </c>
      <c r="C657" s="333">
        <f t="shared" si="147"/>
        <v>0</v>
      </c>
      <c r="D657" s="328"/>
      <c r="E657" s="328">
        <f>VLOOKUP(B657,DONGIA,DG!$B$6,0)</f>
        <v>0</v>
      </c>
      <c r="F657" s="329" t="str">
        <f>VLOOKUP(B657,DONGIA,DG!$C$6,0)</f>
        <v>Đà hộp composite 110x80x5-800</v>
      </c>
      <c r="G657" s="328" t="str">
        <f>VLOOKUP(B657,DONGIA,DG!$D$6,0)</f>
        <v>cái</v>
      </c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S657" s="332">
        <f t="shared" si="146"/>
        <v>3.2</v>
      </c>
      <c r="T657" s="332">
        <f t="shared" si="148"/>
        <v>0</v>
      </c>
    </row>
    <row r="658" spans="1:20" hidden="1">
      <c r="A658" s="332" t="s">
        <v>477</v>
      </c>
      <c r="B658" s="332" t="s">
        <v>17</v>
      </c>
      <c r="C658" s="333">
        <f t="shared" si="147"/>
        <v>0</v>
      </c>
      <c r="D658" s="328"/>
      <c r="E658" s="328">
        <f>VLOOKUP(B658,DONGIA,DG!$B$6,0)</f>
        <v>0</v>
      </c>
      <c r="F658" s="329" t="str">
        <f>VLOOKUP(B658,DONGIA,DG!$C$6,0)</f>
        <v>Thanh chống 10x40x710</v>
      </c>
      <c r="G658" s="328" t="str">
        <f>VLOOKUP(B658,DONGIA,DG!$D$6,0)</f>
        <v>cái</v>
      </c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S658" s="332">
        <f t="shared" si="146"/>
        <v>0.5</v>
      </c>
      <c r="T658" s="332">
        <f t="shared" si="148"/>
        <v>0</v>
      </c>
    </row>
    <row r="659" spans="1:20" hidden="1">
      <c r="A659" s="332" t="s">
        <v>477</v>
      </c>
      <c r="B659" s="332" t="s">
        <v>137</v>
      </c>
      <c r="C659" s="333">
        <f t="shared" si="147"/>
        <v>0</v>
      </c>
      <c r="D659" s="328"/>
      <c r="E659" s="328">
        <f>VLOOKUP(B659,DONGIA,DG!$B$6,0)</f>
        <v>0</v>
      </c>
      <c r="F659" s="329" t="str">
        <f>VLOOKUP(B659,DONGIA,DG!$C$6,0)</f>
        <v>Bass LI bắt FCO, LA</v>
      </c>
      <c r="G659" s="328" t="str">
        <f>VLOOKUP(B659,DONGIA,DG!$D$6,0)</f>
        <v>Bộ</v>
      </c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S659" s="332">
        <f t="shared" si="146"/>
        <v>0.4</v>
      </c>
      <c r="T659" s="332">
        <f t="shared" si="148"/>
        <v>0</v>
      </c>
    </row>
    <row r="660" spans="1:20" hidden="1">
      <c r="A660" s="332" t="s">
        <v>477</v>
      </c>
      <c r="B660" s="332" t="s">
        <v>1686</v>
      </c>
      <c r="C660" s="333">
        <f t="shared" si="147"/>
        <v>0</v>
      </c>
      <c r="D660" s="328"/>
      <c r="E660" s="328">
        <f>VLOOKUP(B660,DONGIA,DG!$B$6,0)</f>
        <v>0</v>
      </c>
      <c r="F660" s="329" t="str">
        <f>VLOOKUP(B660,DONGIA,DG!$C$6,0)</f>
        <v>Boulon 16x400VRS + 4 long đền vuông D18-50x50x3/Zn</v>
      </c>
      <c r="G660" s="328" t="str">
        <f>VLOOKUP(B660,DONGIA,DG!$D$6,0)</f>
        <v>bộ</v>
      </c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S660" s="332">
        <f t="shared" si="146"/>
        <v>0.39999999999999997</v>
      </c>
      <c r="T660" s="332">
        <f t="shared" si="148"/>
        <v>0</v>
      </c>
    </row>
    <row r="661" spans="1:20" hidden="1">
      <c r="A661" s="332" t="s">
        <v>477</v>
      </c>
      <c r="B661" s="332" t="s">
        <v>35</v>
      </c>
      <c r="C661" s="333">
        <f t="shared" si="147"/>
        <v>0</v>
      </c>
      <c r="D661" s="328"/>
      <c r="E661" s="328">
        <f>VLOOKUP(B661,DONGIA,DG!$B$6,0)</f>
        <v>0</v>
      </c>
      <c r="F661" s="329" t="str">
        <f>VLOOKUP(B661,DONGIA,DG!$C$6,0)</f>
        <v>Boulon 16x300+ 2 long đền vuông D18-50x50x3/Zn</v>
      </c>
      <c r="G661" s="328" t="str">
        <f>VLOOKUP(B661,DONGIA,DG!$D$6,0)</f>
        <v>bộ</v>
      </c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S661" s="332">
        <f t="shared" si="146"/>
        <v>0.25</v>
      </c>
      <c r="T661" s="332">
        <f t="shared" si="148"/>
        <v>0</v>
      </c>
    </row>
    <row r="662" spans="1:20" hidden="1">
      <c r="A662" s="332" t="s">
        <v>477</v>
      </c>
      <c r="B662" s="332" t="s">
        <v>27</v>
      </c>
      <c r="C662" s="333">
        <f t="shared" si="147"/>
        <v>0</v>
      </c>
      <c r="D662" s="328"/>
      <c r="E662" s="328">
        <f>VLOOKUP(B662,DONGIA,DG!$B$6,0)</f>
        <v>0</v>
      </c>
      <c r="F662" s="329" t="str">
        <f>VLOOKUP(B662,DONGIA,DG!$C$6,0)</f>
        <v>Boulon 14x120+ 2 long đền vuông D16-50x50x3/Zn</v>
      </c>
      <c r="G662" s="328" t="str">
        <f>VLOOKUP(B662,DONGIA,DG!$D$6,0)</f>
        <v>bộ</v>
      </c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S662" s="332">
        <f t="shared" si="146"/>
        <v>0.2</v>
      </c>
      <c r="T662" s="332">
        <f t="shared" si="148"/>
        <v>0</v>
      </c>
    </row>
    <row r="663" spans="1:20" hidden="1">
      <c r="A663" s="332" t="s">
        <v>477</v>
      </c>
      <c r="B663" s="332" t="s">
        <v>619</v>
      </c>
      <c r="C663" s="333">
        <f>IF(H663&lt;&gt;0,1,)</f>
        <v>0</v>
      </c>
      <c r="D663" s="328"/>
      <c r="E663" s="328" t="str">
        <f>VLOOKUP(B663,DONGIA,DG!$B$6,0)</f>
        <v>D2.6011</v>
      </c>
      <c r="F663" s="329" t="str">
        <f>VLOOKUP(B663,DONGIA,DG!$C$6,0)</f>
        <v>Lắp đà composite 800mm kép (KL &lt;=15kg, trụ BTLT, tính = 0.8 đà sắt)</v>
      </c>
      <c r="G663" s="328" t="str">
        <f>VLOOKUP(B663,DONGIA,DG!$D$6,0)</f>
        <v>bộ</v>
      </c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S663" s="332">
        <f>IFERROR(VLOOKUP(B663,DONGIA,$S$25,0),0)</f>
        <v>0</v>
      </c>
      <c r="T663" s="332">
        <f>H663*S663</f>
        <v>0</v>
      </c>
    </row>
    <row r="664" spans="1:20" hidden="1">
      <c r="A664" s="332" t="s">
        <v>477</v>
      </c>
      <c r="C664" s="333">
        <f t="shared" si="147"/>
        <v>0</v>
      </c>
      <c r="D664" s="372">
        <f>IF(H664&lt;&gt;0,D655+1,D655)</f>
        <v>0</v>
      </c>
      <c r="E664" s="372"/>
      <c r="F664" s="373" t="s">
        <v>1933</v>
      </c>
      <c r="G664" s="372" t="s">
        <v>138</v>
      </c>
      <c r="H664" s="372">
        <f>T1P100</f>
        <v>0</v>
      </c>
      <c r="I664" s="373"/>
      <c r="J664" s="373"/>
      <c r="K664" s="373"/>
      <c r="L664" s="373"/>
      <c r="M664" s="373"/>
      <c r="N664" s="373"/>
      <c r="O664" s="373"/>
      <c r="P664" s="373"/>
      <c r="Q664" s="373"/>
      <c r="S664" s="332">
        <f t="shared" si="146"/>
        <v>0</v>
      </c>
      <c r="T664" s="332">
        <f t="shared" si="148"/>
        <v>0</v>
      </c>
    </row>
    <row r="665" spans="1:20" s="361" customFormat="1" hidden="1">
      <c r="A665" s="361" t="s">
        <v>477</v>
      </c>
      <c r="C665" s="374">
        <f t="shared" si="147"/>
        <v>0</v>
      </c>
      <c r="D665" s="350"/>
      <c r="E665" s="350"/>
      <c r="F665" s="351" t="s">
        <v>1902</v>
      </c>
      <c r="G665" s="350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S665" s="361">
        <f t="shared" si="146"/>
        <v>0</v>
      </c>
      <c r="T665" s="361">
        <f t="shared" si="148"/>
        <v>0</v>
      </c>
    </row>
    <row r="666" spans="1:20" hidden="1">
      <c r="A666" s="332" t="s">
        <v>477</v>
      </c>
      <c r="B666" s="332" t="s">
        <v>144</v>
      </c>
      <c r="C666" s="333">
        <f t="shared" si="147"/>
        <v>0</v>
      </c>
      <c r="D666" s="328"/>
      <c r="E666" s="328">
        <f>VLOOKUP(B666,DONGIA,DG!$B$6,0)</f>
        <v>0</v>
      </c>
      <c r="F666" s="329" t="str">
        <f>VLOOKUP(B666,DONGIA,DG!$C$6,0)</f>
        <v>Cáp đồng trần M25mm2</v>
      </c>
      <c r="G666" s="328" t="str">
        <f>VLOOKUP(B666,DONGIA,DG!$D$6,0)</f>
        <v>kg</v>
      </c>
      <c r="H666" s="329">
        <f>H664*TDTR1P*0.224</f>
        <v>0</v>
      </c>
      <c r="I666" s="329"/>
      <c r="J666" s="329"/>
      <c r="K666" s="329"/>
      <c r="L666" s="329"/>
      <c r="M666" s="329"/>
      <c r="N666" s="329"/>
      <c r="O666" s="329"/>
      <c r="P666" s="329"/>
      <c r="Q666" s="329"/>
      <c r="S666" s="332">
        <f t="shared" si="146"/>
        <v>1</v>
      </c>
      <c r="T666" s="332">
        <f t="shared" si="148"/>
        <v>0</v>
      </c>
    </row>
    <row r="667" spans="1:20" hidden="1">
      <c r="A667" s="332" t="s">
        <v>477</v>
      </c>
      <c r="B667" s="332" t="s">
        <v>278</v>
      </c>
      <c r="C667" s="333">
        <f t="shared" si="147"/>
        <v>0</v>
      </c>
      <c r="D667" s="328"/>
      <c r="E667" s="328">
        <f>VLOOKUP(B667,DONGIA,DG!$B$6,0)</f>
        <v>0</v>
      </c>
      <c r="F667" s="329" t="str">
        <f>VLOOKUP(B667,DONGIA,DG!$C$6,0)</f>
        <v>Cọc tiếp đất φ16 - 2,4m (mạ đồng 16µm)</v>
      </c>
      <c r="G667" s="328" t="str">
        <f>VLOOKUP(B667,DONGIA,DG!$D$6,0)</f>
        <v>cọc</v>
      </c>
      <c r="H667" s="329">
        <f>H664*9</f>
        <v>0</v>
      </c>
      <c r="I667" s="329"/>
      <c r="J667" s="329"/>
      <c r="K667" s="329"/>
      <c r="L667" s="329"/>
      <c r="M667" s="329"/>
      <c r="N667" s="329"/>
      <c r="O667" s="329"/>
      <c r="P667" s="329"/>
      <c r="Q667" s="329"/>
      <c r="S667" s="332">
        <f t="shared" si="146"/>
        <v>5.3</v>
      </c>
      <c r="T667" s="332">
        <f t="shared" si="148"/>
        <v>0</v>
      </c>
    </row>
    <row r="668" spans="1:20" hidden="1">
      <c r="A668" s="332" t="s">
        <v>477</v>
      </c>
      <c r="B668" s="332" t="s">
        <v>280</v>
      </c>
      <c r="C668" s="333">
        <f t="shared" si="147"/>
        <v>0</v>
      </c>
      <c r="D668" s="328"/>
      <c r="E668" s="328">
        <f>VLOOKUP(B668,DONGIA,DG!$B$6,0)</f>
        <v>0</v>
      </c>
      <c r="F668" s="329" t="str">
        <f>VLOOKUP(B668,DONGIA,DG!$C$6,0)</f>
        <v>Kẹp cọc tiếp địa</v>
      </c>
      <c r="G668" s="328" t="str">
        <f>VLOOKUP(B668,DONGIA,DG!$D$6,0)</f>
        <v>bộ</v>
      </c>
      <c r="H668" s="329">
        <f>H667</f>
        <v>0</v>
      </c>
      <c r="I668" s="329"/>
      <c r="J668" s="329"/>
      <c r="K668" s="329"/>
      <c r="L668" s="329"/>
      <c r="M668" s="329"/>
      <c r="N668" s="329"/>
      <c r="O668" s="329"/>
      <c r="P668" s="329"/>
      <c r="Q668" s="329"/>
      <c r="S668" s="332">
        <f t="shared" si="146"/>
        <v>0.05</v>
      </c>
      <c r="T668" s="332">
        <f t="shared" si="148"/>
        <v>0</v>
      </c>
    </row>
    <row r="669" spans="1:20" hidden="1">
      <c r="A669" s="332" t="s">
        <v>477</v>
      </c>
      <c r="B669" s="332" t="s">
        <v>1217</v>
      </c>
      <c r="C669" s="333">
        <f t="shared" si="147"/>
        <v>0</v>
      </c>
      <c r="D669" s="328"/>
      <c r="E669" s="328">
        <f>VLOOKUP(B669,DONGIA,DG!$B$6,0)</f>
        <v>0</v>
      </c>
      <c r="F669" s="329" t="str">
        <f>VLOOKUP(B669,DONGIA,DG!$C$6,0)</f>
        <v xml:space="preserve">Ốc xiết cáp cỡ 38mm2 </v>
      </c>
      <c r="G669" s="328" t="str">
        <f>VLOOKUP(B669,DONGIA,DG!$D$6,0)</f>
        <v>cái</v>
      </c>
      <c r="H669" s="329">
        <f>H664*6</f>
        <v>0</v>
      </c>
      <c r="I669" s="329"/>
      <c r="J669" s="329"/>
      <c r="K669" s="329"/>
      <c r="L669" s="329"/>
      <c r="M669" s="329"/>
      <c r="N669" s="329"/>
      <c r="O669" s="329"/>
      <c r="P669" s="329"/>
      <c r="Q669" s="329"/>
      <c r="S669" s="332">
        <f t="shared" si="146"/>
        <v>0</v>
      </c>
      <c r="T669" s="332">
        <f t="shared" si="148"/>
        <v>0</v>
      </c>
    </row>
    <row r="670" spans="1:20" hidden="1">
      <c r="A670" s="332" t="s">
        <v>477</v>
      </c>
      <c r="B670" s="332" t="s">
        <v>573</v>
      </c>
      <c r="C670" s="333">
        <f t="shared" si="147"/>
        <v>0</v>
      </c>
      <c r="D670" s="328"/>
      <c r="E670" s="328" t="str">
        <f>VLOOKUP(B670,DONGIA,DG!$B$6,0)</f>
        <v>T4.7001</v>
      </c>
      <c r="F670" s="329" t="str">
        <f>VLOOKUP(B670,DONGIA,DG!$C$6,0)</f>
        <v>Kéo dây tiếp địa trong TBA</v>
      </c>
      <c r="G670" s="328" t="str">
        <f>VLOOKUP(B670,DONGIA,DG!$D$6,0)</f>
        <v>mét</v>
      </c>
      <c r="H670" s="329">
        <f>TDTR1P*H664</f>
        <v>0</v>
      </c>
      <c r="I670" s="329"/>
      <c r="J670" s="329"/>
      <c r="K670" s="329"/>
      <c r="L670" s="329"/>
      <c r="M670" s="329"/>
      <c r="N670" s="329"/>
      <c r="O670" s="329"/>
      <c r="P670" s="329"/>
      <c r="Q670" s="329"/>
      <c r="S670" s="332">
        <f t="shared" si="146"/>
        <v>0</v>
      </c>
      <c r="T670" s="332">
        <f t="shared" si="148"/>
        <v>0</v>
      </c>
    </row>
    <row r="671" spans="1:20" hidden="1">
      <c r="A671" s="332" t="s">
        <v>477</v>
      </c>
      <c r="B671" s="332" t="s">
        <v>581</v>
      </c>
      <c r="C671" s="333">
        <f t="shared" si="147"/>
        <v>0</v>
      </c>
      <c r="D671" s="328"/>
      <c r="E671" s="328" t="str">
        <f>VLOOKUP(B671,DONGIA,DG!$B$6,0)</f>
        <v>D2.8103</v>
      </c>
      <c r="F671" s="329" t="str">
        <f>VLOOKUP(B671,DONGIA,DG!$C$6,0)</f>
        <v>Đóng cọc tiếp địa trong TBA (đất cấp 3)</v>
      </c>
      <c r="G671" s="328" t="str">
        <f>VLOOKUP(B671,DONGIA,DG!$D$6,0)</f>
        <v>cọc</v>
      </c>
      <c r="H671" s="329">
        <f>H667</f>
        <v>0</v>
      </c>
      <c r="I671" s="329"/>
      <c r="J671" s="329"/>
      <c r="K671" s="329"/>
      <c r="L671" s="329"/>
      <c r="M671" s="329"/>
      <c r="N671" s="329"/>
      <c r="O671" s="329"/>
      <c r="P671" s="329"/>
      <c r="Q671" s="329"/>
      <c r="S671" s="332">
        <f t="shared" si="146"/>
        <v>0</v>
      </c>
      <c r="T671" s="332">
        <f t="shared" si="148"/>
        <v>0</v>
      </c>
    </row>
    <row r="672" spans="1:20" hidden="1">
      <c r="A672" s="332" t="s">
        <v>477</v>
      </c>
      <c r="B672" s="332" t="s">
        <v>540</v>
      </c>
      <c r="C672" s="333">
        <f t="shared" si="147"/>
        <v>0</v>
      </c>
      <c r="D672" s="328"/>
      <c r="E672" s="328" t="str">
        <f>VLOOKUP(B672,DONGIA,DG!$B$6,0)</f>
        <v>AB.11513</v>
      </c>
      <c r="F672" s="329" t="str">
        <f>VLOOKUP(B672,DONGIA,DG!$C$6,0)</f>
        <v>Đào rãnh tiếp địa đất cấp 3</v>
      </c>
      <c r="G672" s="328" t="str">
        <f>VLOOKUP(B672,DONGIA,DG!$D$6,0)</f>
        <v>m3</v>
      </c>
      <c r="H672" s="329">
        <f>H664*4.05</f>
        <v>0</v>
      </c>
      <c r="I672" s="329"/>
      <c r="J672" s="329"/>
      <c r="K672" s="329"/>
      <c r="L672" s="329"/>
      <c r="M672" s="329"/>
      <c r="N672" s="329"/>
      <c r="O672" s="329"/>
      <c r="P672" s="329"/>
      <c r="Q672" s="329"/>
      <c r="S672" s="332">
        <f t="shared" si="146"/>
        <v>0</v>
      </c>
      <c r="T672" s="332">
        <f t="shared" si="148"/>
        <v>0</v>
      </c>
    </row>
    <row r="673" spans="1:20" hidden="1">
      <c r="A673" s="332" t="s">
        <v>477</v>
      </c>
      <c r="B673" s="332" t="s">
        <v>547</v>
      </c>
      <c r="C673" s="333">
        <f t="shared" si="147"/>
        <v>0</v>
      </c>
      <c r="D673" s="328"/>
      <c r="E673" s="328" t="str">
        <f>VLOOKUP(B673,DONGIA,DG!$B$6,0)</f>
        <v>AB.65110</v>
      </c>
      <c r="F673" s="329" t="str">
        <f>VLOOKUP(B673,DONGIA,DG!$C$6,0)</f>
        <v>Đắp đất rãnh tiếp địa (K=0,85)</v>
      </c>
      <c r="G673" s="328" t="str">
        <f>VLOOKUP(B673,DONGIA,DG!$D$6,0)</f>
        <v>m3</v>
      </c>
      <c r="H673" s="329">
        <f>H672</f>
        <v>0</v>
      </c>
      <c r="I673" s="329"/>
      <c r="J673" s="329"/>
      <c r="K673" s="329"/>
      <c r="L673" s="329"/>
      <c r="M673" s="329"/>
      <c r="N673" s="329"/>
      <c r="O673" s="329"/>
      <c r="P673" s="329"/>
      <c r="Q673" s="329"/>
      <c r="S673" s="332">
        <f t="shared" si="146"/>
        <v>0</v>
      </c>
      <c r="T673" s="332">
        <f t="shared" si="148"/>
        <v>0</v>
      </c>
    </row>
    <row r="674" spans="1:20" hidden="1">
      <c r="A674" s="332" t="s">
        <v>477</v>
      </c>
      <c r="C674" s="333">
        <f t="shared" si="147"/>
        <v>0</v>
      </c>
      <c r="D674" s="372">
        <f>IF(H674&lt;&gt;0,D664+1,D664)</f>
        <v>0</v>
      </c>
      <c r="E674" s="372"/>
      <c r="F674" s="373" t="s">
        <v>1934</v>
      </c>
      <c r="G674" s="372" t="s">
        <v>138</v>
      </c>
      <c r="H674" s="372">
        <f>T1P100</f>
        <v>0</v>
      </c>
      <c r="I674" s="373"/>
      <c r="J674" s="373"/>
      <c r="K674" s="373"/>
      <c r="L674" s="373"/>
      <c r="M674" s="373"/>
      <c r="N674" s="373"/>
      <c r="O674" s="373"/>
      <c r="P674" s="373"/>
      <c r="Q674" s="373"/>
      <c r="S674" s="332">
        <f t="shared" si="146"/>
        <v>0</v>
      </c>
      <c r="T674" s="332">
        <f t="shared" si="148"/>
        <v>0</v>
      </c>
    </row>
    <row r="675" spans="1:20" s="361" customFormat="1" hidden="1">
      <c r="A675" s="361" t="s">
        <v>477</v>
      </c>
      <c r="C675" s="374">
        <f t="shared" si="147"/>
        <v>0</v>
      </c>
      <c r="D675" s="350"/>
      <c r="E675" s="350"/>
      <c r="F675" s="351" t="s">
        <v>1902</v>
      </c>
      <c r="G675" s="350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S675" s="361">
        <f t="shared" si="146"/>
        <v>0</v>
      </c>
      <c r="T675" s="361">
        <f t="shared" si="148"/>
        <v>0</v>
      </c>
    </row>
    <row r="676" spans="1:20" hidden="1">
      <c r="A676" s="332" t="s">
        <v>477</v>
      </c>
      <c r="B676" s="332" t="s">
        <v>989</v>
      </c>
      <c r="C676" s="333">
        <f t="shared" si="147"/>
        <v>0</v>
      </c>
      <c r="D676" s="328"/>
      <c r="E676" s="328" t="str">
        <f>VLOOKUP(B676,DONGIA,DG!$B$6,0)</f>
        <v>T5.1001</v>
      </c>
      <c r="F676" s="329" t="str">
        <f>VLOOKUP(B676,DONGIA,DG!$C$6,0)</f>
        <v>Tủ trạm treo + khóa + boulon + Bakelit + Collier (1 pha)</v>
      </c>
      <c r="G676" s="328" t="str">
        <f>VLOOKUP(B676,DONGIA,DG!$D$6,0)</f>
        <v>bộ</v>
      </c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S676" s="332">
        <f t="shared" si="146"/>
        <v>45</v>
      </c>
      <c r="T676" s="332">
        <f t="shared" si="148"/>
        <v>0</v>
      </c>
    </row>
    <row r="677" spans="1:20" hidden="1">
      <c r="C677" s="333">
        <f t="shared" si="147"/>
        <v>0</v>
      </c>
      <c r="D677" s="372">
        <f>IF(H677&lt;&gt;0,D674+1,D674)</f>
        <v>0</v>
      </c>
      <c r="E677" s="372"/>
      <c r="F677" s="373" t="s">
        <v>1935</v>
      </c>
      <c r="G677" s="372" t="s">
        <v>138</v>
      </c>
      <c r="H677" s="372">
        <f>T1P100</f>
        <v>0</v>
      </c>
      <c r="I677" s="373"/>
      <c r="J677" s="373"/>
      <c r="K677" s="373"/>
      <c r="L677" s="373"/>
      <c r="M677" s="373"/>
      <c r="N677" s="373"/>
      <c r="O677" s="373"/>
      <c r="P677" s="373"/>
      <c r="Q677" s="373"/>
      <c r="S677" s="332">
        <f t="shared" si="146"/>
        <v>0</v>
      </c>
      <c r="T677" s="332">
        <f t="shared" si="148"/>
        <v>0</v>
      </c>
    </row>
    <row r="678" spans="1:20" s="361" customFormat="1" hidden="1">
      <c r="C678" s="374">
        <f t="shared" si="147"/>
        <v>0</v>
      </c>
      <c r="D678" s="350"/>
      <c r="E678" s="350"/>
      <c r="F678" s="351" t="s">
        <v>1902</v>
      </c>
      <c r="G678" s="350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S678" s="361">
        <f t="shared" si="146"/>
        <v>0</v>
      </c>
      <c r="T678" s="361">
        <f t="shared" si="148"/>
        <v>0</v>
      </c>
    </row>
    <row r="679" spans="1:20" hidden="1">
      <c r="B679" s="332" t="s">
        <v>1468</v>
      </c>
      <c r="C679" s="333">
        <f t="shared" si="147"/>
        <v>0</v>
      </c>
      <c r="D679" s="328"/>
      <c r="E679" s="328">
        <f>VLOOKUP(B679,DONGIA,DG!$B$6,0)</f>
        <v>0</v>
      </c>
      <c r="F679" s="329" t="str">
        <f>VLOOKUP(B679,DONGIA,DG!$C$6,0)</f>
        <v>Cáp 24KV C/XLPE/PVC 25mm2</v>
      </c>
      <c r="G679" s="328" t="str">
        <f>VLOOKUP(B679,DONGIA,DG!$D$6,0)</f>
        <v>mét</v>
      </c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S679" s="332">
        <f t="shared" si="146"/>
        <v>0.75</v>
      </c>
      <c r="T679" s="332">
        <f t="shared" si="148"/>
        <v>0</v>
      </c>
    </row>
    <row r="680" spans="1:20" hidden="1">
      <c r="B680" s="332" t="s">
        <v>1507</v>
      </c>
      <c r="C680" s="333">
        <f t="shared" si="147"/>
        <v>0</v>
      </c>
      <c r="D680" s="328"/>
      <c r="E680" s="328" t="str">
        <f>VLOOKUP(B680,DONGIA,DG!$B$6,0)</f>
        <v>D6.6201</v>
      </c>
      <c r="F680" s="329" t="str">
        <f>VLOOKUP(B680,DONGIA,DG!$C$6,0)</f>
        <v>Kẹp quai 4/0 (quai đồng 8mm)</v>
      </c>
      <c r="G680" s="328" t="str">
        <f>VLOOKUP(B680,DONGIA,DG!$D$6,0)</f>
        <v>cái</v>
      </c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S680" s="332">
        <f t="shared" si="146"/>
        <v>0.3</v>
      </c>
      <c r="T680" s="332">
        <f t="shared" si="148"/>
        <v>0</v>
      </c>
    </row>
    <row r="681" spans="1:20" hidden="1">
      <c r="B681" s="332" t="s">
        <v>1511</v>
      </c>
      <c r="C681" s="333">
        <f t="shared" si="147"/>
        <v>0</v>
      </c>
      <c r="D681" s="328"/>
      <c r="E681" s="328">
        <f>VLOOKUP(B681,DONGIA,DG!$B$6,0)</f>
        <v>0</v>
      </c>
      <c r="F681" s="329" t="str">
        <f>VLOOKUP(B681,DONGIA,DG!$C$6,0)</f>
        <v>Chụp cách điện kẹp quai</v>
      </c>
      <c r="G681" s="328" t="str">
        <f>VLOOKUP(B681,DONGIA,DG!$D$6,0)</f>
        <v>cái</v>
      </c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S681" s="332">
        <f t="shared" si="146"/>
        <v>0.2</v>
      </c>
      <c r="T681" s="332">
        <f t="shared" si="148"/>
        <v>0</v>
      </c>
    </row>
    <row r="682" spans="1:20" hidden="1">
      <c r="B682" s="332" t="s">
        <v>1508</v>
      </c>
      <c r="C682" s="333">
        <f t="shared" si="147"/>
        <v>0</v>
      </c>
      <c r="D682" s="328"/>
      <c r="E682" s="328" t="str">
        <f>VLOOKUP(B682,DONGIA,DG!$B$6,0)</f>
        <v>D6.6202</v>
      </c>
      <c r="F682" s="329" t="str">
        <f>VLOOKUP(B682,DONGIA,DG!$C$6,0)</f>
        <v>Kẹp hotline 2/0</v>
      </c>
      <c r="G682" s="328" t="str">
        <f>VLOOKUP(B682,DONGIA,DG!$D$6,0)</f>
        <v>cái</v>
      </c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S682" s="332">
        <f t="shared" si="146"/>
        <v>0.1</v>
      </c>
      <c r="T682" s="332">
        <f t="shared" si="148"/>
        <v>0</v>
      </c>
    </row>
    <row r="683" spans="1:20" hidden="1">
      <c r="B683" s="332" t="s">
        <v>1939</v>
      </c>
      <c r="C683" s="333">
        <f t="shared" si="147"/>
        <v>0</v>
      </c>
      <c r="D683" s="328"/>
      <c r="E683" s="328" t="str">
        <f>VLOOKUP(B683,DONGIA,DG!$B$6,0)</f>
        <v>T4.4201</v>
      </c>
      <c r="F683" s="329" t="str">
        <f>VLOOKUP(B683,DONGIA,DG!$C$6,0)</f>
        <v>Lắp cáp đồng xuống thiết bị D ≤ 95mm2</v>
      </c>
      <c r="G683" s="328" t="str">
        <f>VLOOKUP(B683,DONGIA,DG!$D$6,0)</f>
        <v>m</v>
      </c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S683" s="332">
        <f t="shared" si="146"/>
        <v>0</v>
      </c>
      <c r="T683" s="332">
        <f t="shared" si="148"/>
        <v>0</v>
      </c>
    </row>
    <row r="684" spans="1:20" hidden="1">
      <c r="C684" s="333">
        <f t="shared" si="147"/>
        <v>0</v>
      </c>
      <c r="D684" s="372">
        <f>IF(H684&lt;&gt;0,D677+1,D677)</f>
        <v>0</v>
      </c>
      <c r="E684" s="372"/>
      <c r="F684" s="373" t="s">
        <v>1936</v>
      </c>
      <c r="G684" s="372" t="s">
        <v>138</v>
      </c>
      <c r="H684" s="372">
        <f>T1P100</f>
        <v>0</v>
      </c>
      <c r="I684" s="373"/>
      <c r="J684" s="373"/>
      <c r="K684" s="373"/>
      <c r="L684" s="373"/>
      <c r="M684" s="373"/>
      <c r="N684" s="373"/>
      <c r="O684" s="373"/>
      <c r="P684" s="373"/>
      <c r="Q684" s="373"/>
      <c r="S684" s="332">
        <f t="shared" si="146"/>
        <v>0</v>
      </c>
      <c r="T684" s="332">
        <f t="shared" si="148"/>
        <v>0</v>
      </c>
    </row>
    <row r="685" spans="1:20" s="361" customFormat="1" hidden="1">
      <c r="C685" s="374">
        <f t="shared" si="147"/>
        <v>0</v>
      </c>
      <c r="D685" s="350"/>
      <c r="E685" s="350"/>
      <c r="F685" s="351" t="s">
        <v>1902</v>
      </c>
      <c r="G685" s="350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S685" s="361">
        <f t="shared" si="146"/>
        <v>0</v>
      </c>
      <c r="T685" s="361">
        <f t="shared" si="148"/>
        <v>0</v>
      </c>
    </row>
    <row r="686" spans="1:20" hidden="1">
      <c r="B686" s="332" t="s">
        <v>1907</v>
      </c>
      <c r="C686" s="333">
        <f t="shared" si="147"/>
        <v>0</v>
      </c>
      <c r="D686" s="328"/>
      <c r="E686" s="328">
        <f>VLOOKUP(B686,DONGIA,DG!$B$6,0)</f>
        <v>0</v>
      </c>
      <c r="F686" s="329" t="str">
        <f>VLOOKUP(B686,DONGIA,DG!$C$6,0)</f>
        <v>Cáp đồng bọc CV70</v>
      </c>
      <c r="G686" s="328" t="str">
        <f>VLOOKUP(B686,DONGIA,DG!$D$6,0)</f>
        <v>mét</v>
      </c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S686" s="332">
        <f t="shared" si="146"/>
        <v>0.73899999999999999</v>
      </c>
      <c r="T686" s="332">
        <f t="shared" si="148"/>
        <v>0</v>
      </c>
    </row>
    <row r="687" spans="1:20" hidden="1">
      <c r="B687" s="332" t="s">
        <v>1906</v>
      </c>
      <c r="C687" s="333">
        <f t="shared" si="147"/>
        <v>0</v>
      </c>
      <c r="D687" s="328"/>
      <c r="E687" s="328">
        <f>VLOOKUP(B687,DONGIA,DG!$B$6,0)</f>
        <v>0</v>
      </c>
      <c r="F687" s="329" t="str">
        <f>VLOOKUP(B687,DONGIA,DG!$C$6,0)</f>
        <v>Cáp đồng bọc CV50</v>
      </c>
      <c r="G687" s="328" t="str">
        <f>VLOOKUP(B687,DONGIA,DG!$D$6,0)</f>
        <v>mét</v>
      </c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S687" s="332">
        <f t="shared" si="146"/>
        <v>0.53400000000000003</v>
      </c>
      <c r="T687" s="332">
        <f t="shared" si="148"/>
        <v>0</v>
      </c>
    </row>
    <row r="688" spans="1:20" hidden="1">
      <c r="B688" s="332" t="s">
        <v>1937</v>
      </c>
      <c r="C688" s="333">
        <f t="shared" si="147"/>
        <v>0</v>
      </c>
      <c r="D688" s="328"/>
      <c r="E688" s="328">
        <f>VLOOKUP(B688,DONGIA,DG!$B$6,0)</f>
        <v>0</v>
      </c>
      <c r="F688" s="329" t="str">
        <f>VLOOKUP(B688,DONGIA,DG!$C$6,0)</f>
        <v>Cáp điều khiển CVV 4x4,0mm2</v>
      </c>
      <c r="G688" s="328" t="str">
        <f>VLOOKUP(B688,DONGIA,DG!$D$6,0)</f>
        <v>mét</v>
      </c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S688" s="332">
        <f t="shared" si="146"/>
        <v>3.024</v>
      </c>
      <c r="T688" s="332">
        <f t="shared" si="148"/>
        <v>0</v>
      </c>
    </row>
    <row r="689" spans="2:20" hidden="1">
      <c r="B689" s="332" t="s">
        <v>1113</v>
      </c>
      <c r="C689" s="333">
        <f t="shared" si="147"/>
        <v>0</v>
      </c>
      <c r="D689" s="328"/>
      <c r="E689" s="328" t="str">
        <f>VLOOKUP(B689,DONGIA,DG!$B$6,0)</f>
        <v>D4.5003</v>
      </c>
      <c r="F689" s="329" t="str">
        <f>VLOOKUP(B689,DONGIA,DG!$C$6,0)</f>
        <v>Đầu cosse ép Cu 70mm2</v>
      </c>
      <c r="G689" s="328" t="str">
        <f>VLOOKUP(B689,DONGIA,DG!$D$6,0)</f>
        <v>cái</v>
      </c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S689" s="332">
        <f t="shared" si="146"/>
        <v>0.2</v>
      </c>
      <c r="T689" s="332">
        <f t="shared" si="148"/>
        <v>0</v>
      </c>
    </row>
    <row r="690" spans="2:20" hidden="1">
      <c r="B690" s="332" t="s">
        <v>1110</v>
      </c>
      <c r="C690" s="333">
        <f t="shared" si="147"/>
        <v>0</v>
      </c>
      <c r="D690" s="328"/>
      <c r="E690" s="328" t="str">
        <f>VLOOKUP(B690,DONGIA,DG!$B$6,0)</f>
        <v>D4.5002</v>
      </c>
      <c r="F690" s="329" t="str">
        <f>VLOOKUP(B690,DONGIA,DG!$C$6,0)</f>
        <v>Đầu cosse ép Cu 50mm2</v>
      </c>
      <c r="G690" s="328" t="str">
        <f>VLOOKUP(B690,DONGIA,DG!$D$6,0)</f>
        <v>cái</v>
      </c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S690" s="332">
        <f t="shared" si="146"/>
        <v>0.1</v>
      </c>
      <c r="T690" s="332">
        <f t="shared" si="148"/>
        <v>0</v>
      </c>
    </row>
    <row r="691" spans="2:20" hidden="1">
      <c r="B691" s="332" t="s">
        <v>1147</v>
      </c>
      <c r="C691" s="333">
        <f t="shared" si="147"/>
        <v>0</v>
      </c>
      <c r="D691" s="328"/>
      <c r="E691" s="328">
        <f>VLOOKUP(B691,DONGIA,DG!$B$6,0)</f>
        <v>0</v>
      </c>
      <c r="F691" s="329" t="str">
        <f>VLOOKUP(B691,DONGIA,DG!$C$6,0)</f>
        <v>Chụp đầu cosse  70mm2</v>
      </c>
      <c r="G691" s="328" t="str">
        <f>VLOOKUP(B691,DONGIA,DG!$D$6,0)</f>
        <v>cái</v>
      </c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S691" s="332">
        <f t="shared" si="146"/>
        <v>0</v>
      </c>
      <c r="T691" s="332">
        <f t="shared" si="148"/>
        <v>0</v>
      </c>
    </row>
    <row r="692" spans="2:20" hidden="1">
      <c r="B692" s="332" t="s">
        <v>1145</v>
      </c>
      <c r="C692" s="333">
        <f t="shared" si="147"/>
        <v>0</v>
      </c>
      <c r="D692" s="328"/>
      <c r="E692" s="328">
        <f>VLOOKUP(B692,DONGIA,DG!$B$6,0)</f>
        <v>0</v>
      </c>
      <c r="F692" s="329" t="str">
        <f>VLOOKUP(B692,DONGIA,DG!$C$6,0)</f>
        <v>Chụp đầu cosse  50mm2</v>
      </c>
      <c r="G692" s="328" t="str">
        <f>VLOOKUP(B692,DONGIA,DG!$D$6,0)</f>
        <v>cái</v>
      </c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S692" s="332">
        <f t="shared" si="146"/>
        <v>0</v>
      </c>
      <c r="T692" s="332">
        <f t="shared" si="148"/>
        <v>0</v>
      </c>
    </row>
    <row r="693" spans="2:20" hidden="1">
      <c r="B693" s="332" t="s">
        <v>1177</v>
      </c>
      <c r="C693" s="333">
        <f t="shared" si="147"/>
        <v>0</v>
      </c>
      <c r="D693" s="328"/>
      <c r="E693" s="328">
        <f>VLOOKUP(B693,DONGIA,DG!$B$6,0)</f>
        <v>0</v>
      </c>
      <c r="F693" s="329" t="str">
        <f>VLOOKUP(B693,DONGIA,DG!$C$6,0)</f>
        <v xml:space="preserve">Ống PVC D90x3,8mm </v>
      </c>
      <c r="G693" s="328" t="str">
        <f>VLOOKUP(B693,DONGIA,DG!$D$6,0)</f>
        <v>m</v>
      </c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S693" s="332">
        <f t="shared" ref="S693:S782" si="149">IFERROR(VLOOKUP(B693,DONGIA,$S$25,0),0)</f>
        <v>2</v>
      </c>
      <c r="T693" s="332">
        <f t="shared" si="148"/>
        <v>0</v>
      </c>
    </row>
    <row r="694" spans="2:20" hidden="1">
      <c r="B694" s="332" t="s">
        <v>455</v>
      </c>
      <c r="C694" s="333">
        <f t="shared" ref="C694:C783" si="150">IF(H694&lt;&gt;0,1,)</f>
        <v>0</v>
      </c>
      <c r="D694" s="328"/>
      <c r="E694" s="328">
        <f>VLOOKUP(B694,DONGIA,DG!$B$6,0)</f>
        <v>0</v>
      </c>
      <c r="F694" s="329" t="str">
        <f>VLOOKUP(B694,DONGIA,DG!$C$6,0)</f>
        <v>Cổ dê kẹp ống PVC φ 90 (có giá nới)</v>
      </c>
      <c r="G694" s="328" t="str">
        <f>VLOOKUP(B694,DONGIA,DG!$D$6,0)</f>
        <v>bộ</v>
      </c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S694" s="332">
        <f t="shared" si="149"/>
        <v>1.5</v>
      </c>
      <c r="T694" s="332">
        <f t="shared" ref="T694:T783" si="151">H694*S694</f>
        <v>0</v>
      </c>
    </row>
    <row r="695" spans="2:20" hidden="1">
      <c r="B695" s="332" t="s">
        <v>455</v>
      </c>
      <c r="C695" s="333">
        <f t="shared" si="150"/>
        <v>0</v>
      </c>
      <c r="D695" s="328"/>
      <c r="E695" s="328">
        <f>VLOOKUP(B695,DONGIA,DG!$B$6,0)</f>
        <v>0</v>
      </c>
      <c r="F695" s="329" t="str">
        <f>VLOOKUP(B695,DONGIA,DG!$C$6,0)</f>
        <v>Cổ dê kẹp ống PVC φ 90 (có giá nới)</v>
      </c>
      <c r="G695" s="328" t="str">
        <f>VLOOKUP(B695,DONGIA,DG!$D$6,0)</f>
        <v>bộ</v>
      </c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S695" s="332">
        <f t="shared" si="149"/>
        <v>1.5</v>
      </c>
      <c r="T695" s="332">
        <f t="shared" si="151"/>
        <v>0</v>
      </c>
    </row>
    <row r="696" spans="2:20" hidden="1">
      <c r="B696" s="332" t="s">
        <v>455</v>
      </c>
      <c r="C696" s="333">
        <f t="shared" si="150"/>
        <v>0</v>
      </c>
      <c r="D696" s="328"/>
      <c r="E696" s="328">
        <f>VLOOKUP(B696,DONGIA,DG!$B$6,0)</f>
        <v>0</v>
      </c>
      <c r="F696" s="329" t="str">
        <f>VLOOKUP(B696,DONGIA,DG!$C$6,0)</f>
        <v>Cổ dê kẹp ống PVC φ 90 (có giá nới)</v>
      </c>
      <c r="G696" s="328" t="str">
        <f>VLOOKUP(B696,DONGIA,DG!$D$6,0)</f>
        <v>bộ</v>
      </c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S696" s="332">
        <f t="shared" si="149"/>
        <v>1.5</v>
      </c>
      <c r="T696" s="332">
        <f t="shared" si="151"/>
        <v>0</v>
      </c>
    </row>
    <row r="697" spans="2:20" hidden="1">
      <c r="B697" s="332" t="s">
        <v>1183</v>
      </c>
      <c r="C697" s="333">
        <f t="shared" si="150"/>
        <v>0</v>
      </c>
      <c r="D697" s="328"/>
      <c r="E697" s="328">
        <f>VLOOKUP(B697,DONGIA,DG!$B$6,0)</f>
        <v>0</v>
      </c>
      <c r="F697" s="329" t="str">
        <f>VLOOKUP(B697,DONGIA,DG!$C$6,0)</f>
        <v>Co  90 độ PVC 90</v>
      </c>
      <c r="G697" s="328" t="str">
        <f>VLOOKUP(B697,DONGIA,DG!$D$6,0)</f>
        <v>cái</v>
      </c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S697" s="332">
        <f t="shared" si="149"/>
        <v>0</v>
      </c>
      <c r="T697" s="332">
        <f t="shared" si="151"/>
        <v>0</v>
      </c>
    </row>
    <row r="698" spans="2:20" hidden="1">
      <c r="B698" s="332" t="s">
        <v>1940</v>
      </c>
      <c r="C698" s="333">
        <f t="shared" si="150"/>
        <v>0</v>
      </c>
      <c r="D698" s="328"/>
      <c r="E698" s="328">
        <f>VLOOKUP(B698,DONGIA,DG!$B$6,0)</f>
        <v>0</v>
      </c>
      <c r="F698" s="329" t="str">
        <f>VLOOKUP(B698,DONGIA,DG!$C$6,0)</f>
        <v>Nối giảm PVC 114-90</v>
      </c>
      <c r="G698" s="328" t="str">
        <f>VLOOKUP(B698,DONGIA,DG!$D$6,0)</f>
        <v>cái</v>
      </c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S698" s="332">
        <f t="shared" si="149"/>
        <v>0</v>
      </c>
      <c r="T698" s="332">
        <f t="shared" si="151"/>
        <v>0</v>
      </c>
    </row>
    <row r="699" spans="2:20" hidden="1">
      <c r="B699" s="332" t="s">
        <v>1181</v>
      </c>
      <c r="C699" s="333">
        <f t="shared" si="150"/>
        <v>0</v>
      </c>
      <c r="D699" s="328"/>
      <c r="E699" s="328">
        <f>VLOOKUP(B699,DONGIA,DG!$B$6,0)</f>
        <v>0</v>
      </c>
      <c r="F699" s="329" t="str">
        <f>VLOOKUP(B699,DONGIA,DG!$C$6,0)</f>
        <v>Co 135 độ PVC 90</v>
      </c>
      <c r="G699" s="328" t="str">
        <f>VLOOKUP(B699,DONGIA,DG!$D$6,0)</f>
        <v>cái</v>
      </c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S699" s="332">
        <f t="shared" si="149"/>
        <v>0</v>
      </c>
      <c r="T699" s="332">
        <f t="shared" si="151"/>
        <v>0</v>
      </c>
    </row>
    <row r="700" spans="2:20" hidden="1">
      <c r="B700" s="332" t="s">
        <v>1914</v>
      </c>
      <c r="C700" s="333">
        <f t="shared" si="150"/>
        <v>0</v>
      </c>
      <c r="D700" s="328"/>
      <c r="E700" s="328">
        <f>VLOOKUP(B700,DONGIA,DG!$B$6,0)</f>
        <v>0</v>
      </c>
      <c r="F700" s="329" t="str">
        <f>VLOOKUP(B700,DONGIA,DG!$C$6,0)</f>
        <v>Keo dán ống PVC (100gr)</v>
      </c>
      <c r="G700" s="328" t="str">
        <f>VLOOKUP(B700,DONGIA,DG!$D$6,0)</f>
        <v>tuýp</v>
      </c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S700" s="332">
        <f t="shared" si="149"/>
        <v>0</v>
      </c>
      <c r="T700" s="332">
        <f t="shared" si="151"/>
        <v>0</v>
      </c>
    </row>
    <row r="701" spans="2:20" hidden="1">
      <c r="B701" s="332" t="s">
        <v>1195</v>
      </c>
      <c r="C701" s="333">
        <f t="shared" si="150"/>
        <v>0</v>
      </c>
      <c r="D701" s="328"/>
      <c r="E701" s="328">
        <f>VLOOKUP(B701,DONGIA,DG!$B$6,0)</f>
        <v>0</v>
      </c>
      <c r="F701" s="329" t="str">
        <f>VLOOKUP(B701,DONGIA,DG!$C$6,0)</f>
        <v>Keo silicon bít miệng ống</v>
      </c>
      <c r="G701" s="328" t="str">
        <f>VLOOKUP(B701,DONGIA,DG!$D$6,0)</f>
        <v>ống</v>
      </c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S701" s="332">
        <f t="shared" si="149"/>
        <v>0</v>
      </c>
      <c r="T701" s="332">
        <f t="shared" si="151"/>
        <v>0</v>
      </c>
    </row>
    <row r="702" spans="2:20" hidden="1">
      <c r="B702" s="332" t="s">
        <v>1193</v>
      </c>
      <c r="C702" s="333">
        <f t="shared" si="150"/>
        <v>0</v>
      </c>
      <c r="D702" s="328"/>
      <c r="E702" s="328">
        <f>VLOOKUP(B702,DONGIA,DG!$B$6,0)</f>
        <v>0</v>
      </c>
      <c r="F702" s="329" t="str">
        <f>VLOOKUP(B702,DONGIA,DG!$C$6,0)</f>
        <v>Băng keo cách điện</v>
      </c>
      <c r="G702" s="328" t="str">
        <f>VLOOKUP(B702,DONGIA,DG!$D$6,0)</f>
        <v>cuộn</v>
      </c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S702" s="332">
        <f t="shared" si="149"/>
        <v>0</v>
      </c>
      <c r="T702" s="332">
        <f t="shared" si="151"/>
        <v>0</v>
      </c>
    </row>
    <row r="703" spans="2:20" hidden="1">
      <c r="B703" s="332" t="s">
        <v>855</v>
      </c>
      <c r="C703" s="333">
        <f t="shared" si="150"/>
        <v>0</v>
      </c>
      <c r="D703" s="328"/>
      <c r="E703" s="328" t="str">
        <f>VLOOKUP(B703,DONGIA,DG!$B$6,0)</f>
        <v>T4.8003</v>
      </c>
      <c r="F703" s="329" t="str">
        <f>VLOOKUP(B703,DONGIA,DG!$C$6,0)</f>
        <v>Lắp ống nhựa PVC D90</v>
      </c>
      <c r="G703" s="328" t="str">
        <f>VLOOKUP(B703,DONGIA,DG!$D$6,0)</f>
        <v>mét</v>
      </c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S703" s="332">
        <f t="shared" si="149"/>
        <v>0</v>
      </c>
      <c r="T703" s="332">
        <f t="shared" si="151"/>
        <v>0</v>
      </c>
    </row>
    <row r="704" spans="2:20" hidden="1">
      <c r="B704" s="332" t="s">
        <v>1939</v>
      </c>
      <c r="C704" s="333">
        <f t="shared" si="150"/>
        <v>0</v>
      </c>
      <c r="D704" s="328"/>
      <c r="E704" s="328" t="str">
        <f>VLOOKUP(B704,DONGIA,DG!$B$6,0)</f>
        <v>T4.4201</v>
      </c>
      <c r="F704" s="329" t="str">
        <f>VLOOKUP(B704,DONGIA,DG!$C$6,0)</f>
        <v>Lắp cáp đồng xuống thiết bị D ≤ 95mm2</v>
      </c>
      <c r="G704" s="328" t="str">
        <f>VLOOKUP(B704,DONGIA,DG!$D$6,0)</f>
        <v>m</v>
      </c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S704" s="332">
        <f t="shared" si="149"/>
        <v>0</v>
      </c>
      <c r="T704" s="332">
        <f t="shared" si="151"/>
        <v>0</v>
      </c>
    </row>
    <row r="705" spans="2:20" hidden="1">
      <c r="C705" s="333">
        <f t="shared" si="150"/>
        <v>0</v>
      </c>
      <c r="D705" s="372">
        <f>IF(H705&lt;&gt;0,D684+1,D684)</f>
        <v>0</v>
      </c>
      <c r="E705" s="372"/>
      <c r="F705" s="373" t="s">
        <v>1938</v>
      </c>
      <c r="G705" s="372" t="s">
        <v>138</v>
      </c>
      <c r="H705" s="373"/>
      <c r="I705" s="373"/>
      <c r="J705" s="373"/>
      <c r="K705" s="373"/>
      <c r="L705" s="373"/>
      <c r="M705" s="373"/>
      <c r="N705" s="373"/>
      <c r="O705" s="373"/>
      <c r="P705" s="373"/>
      <c r="Q705" s="373"/>
      <c r="S705" s="332">
        <f t="shared" si="149"/>
        <v>0</v>
      </c>
      <c r="T705" s="332">
        <f t="shared" si="151"/>
        <v>0</v>
      </c>
    </row>
    <row r="706" spans="2:20" s="361" customFormat="1" hidden="1">
      <c r="C706" s="374">
        <f t="shared" si="150"/>
        <v>0</v>
      </c>
      <c r="D706" s="350"/>
      <c r="E706" s="350"/>
      <c r="F706" s="351" t="s">
        <v>1902</v>
      </c>
      <c r="G706" s="350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S706" s="361">
        <f t="shared" si="149"/>
        <v>0</v>
      </c>
      <c r="T706" s="361">
        <f t="shared" si="151"/>
        <v>0</v>
      </c>
    </row>
    <row r="707" spans="2:20" hidden="1">
      <c r="B707" s="332" t="s">
        <v>1907</v>
      </c>
      <c r="C707" s="333">
        <f t="shared" si="150"/>
        <v>0</v>
      </c>
      <c r="D707" s="328"/>
      <c r="E707" s="328">
        <f>VLOOKUP(B707,DONGIA,DG!$B$6,0)</f>
        <v>0</v>
      </c>
      <c r="F707" s="329" t="str">
        <f>VLOOKUP(B707,DONGIA,DG!$C$6,0)</f>
        <v>Cáp đồng bọc CV70</v>
      </c>
      <c r="G707" s="328" t="str">
        <f>VLOOKUP(B707,DONGIA,DG!$D$6,0)</f>
        <v>mét</v>
      </c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S707" s="332">
        <f t="shared" si="149"/>
        <v>0.73899999999999999</v>
      </c>
      <c r="T707" s="332">
        <f t="shared" si="151"/>
        <v>0</v>
      </c>
    </row>
    <row r="708" spans="2:20" hidden="1">
      <c r="B708" s="332" t="s">
        <v>1906</v>
      </c>
      <c r="C708" s="333">
        <f t="shared" si="150"/>
        <v>0</v>
      </c>
      <c r="D708" s="328"/>
      <c r="E708" s="328">
        <f>VLOOKUP(B708,DONGIA,DG!$B$6,0)</f>
        <v>0</v>
      </c>
      <c r="F708" s="329" t="str">
        <f>VLOOKUP(B708,DONGIA,DG!$C$6,0)</f>
        <v>Cáp đồng bọc CV50</v>
      </c>
      <c r="G708" s="328" t="str">
        <f>VLOOKUP(B708,DONGIA,DG!$D$6,0)</f>
        <v>mét</v>
      </c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S708" s="332">
        <f t="shared" si="149"/>
        <v>0.53400000000000003</v>
      </c>
      <c r="T708" s="332">
        <f t="shared" si="151"/>
        <v>0</v>
      </c>
    </row>
    <row r="709" spans="2:20" hidden="1">
      <c r="B709" s="332" t="s">
        <v>1113</v>
      </c>
      <c r="C709" s="333">
        <f t="shared" si="150"/>
        <v>0</v>
      </c>
      <c r="D709" s="328"/>
      <c r="E709" s="328" t="str">
        <f>VLOOKUP(B709,DONGIA,DG!$B$6,0)</f>
        <v>D4.5003</v>
      </c>
      <c r="F709" s="329" t="str">
        <f>VLOOKUP(B709,DONGIA,DG!$C$6,0)</f>
        <v>Đầu cosse ép Cu 70mm2</v>
      </c>
      <c r="G709" s="328" t="str">
        <f>VLOOKUP(B709,DONGIA,DG!$D$6,0)</f>
        <v>cái</v>
      </c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S709" s="332">
        <f t="shared" si="149"/>
        <v>0.2</v>
      </c>
      <c r="T709" s="332">
        <f t="shared" si="151"/>
        <v>0</v>
      </c>
    </row>
    <row r="710" spans="2:20" hidden="1">
      <c r="B710" s="332" t="s">
        <v>1110</v>
      </c>
      <c r="C710" s="333">
        <f t="shared" si="150"/>
        <v>0</v>
      </c>
      <c r="D710" s="328"/>
      <c r="E710" s="328" t="str">
        <f>VLOOKUP(B710,DONGIA,DG!$B$6,0)</f>
        <v>D4.5002</v>
      </c>
      <c r="F710" s="329" t="str">
        <f>VLOOKUP(B710,DONGIA,DG!$C$6,0)</f>
        <v>Đầu cosse ép Cu 50mm2</v>
      </c>
      <c r="G710" s="328" t="str">
        <f>VLOOKUP(B710,DONGIA,DG!$D$6,0)</f>
        <v>cái</v>
      </c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S710" s="332">
        <f t="shared" si="149"/>
        <v>0.1</v>
      </c>
      <c r="T710" s="332">
        <f t="shared" si="151"/>
        <v>0</v>
      </c>
    </row>
    <row r="711" spans="2:20" hidden="1">
      <c r="B711" s="332" t="s">
        <v>1147</v>
      </c>
      <c r="C711" s="333">
        <f t="shared" si="150"/>
        <v>0</v>
      </c>
      <c r="D711" s="328"/>
      <c r="E711" s="328">
        <f>VLOOKUP(B711,DONGIA,DG!$B$6,0)</f>
        <v>0</v>
      </c>
      <c r="F711" s="329" t="str">
        <f>VLOOKUP(B711,DONGIA,DG!$C$6,0)</f>
        <v>Chụp đầu cosse  70mm2</v>
      </c>
      <c r="G711" s="328" t="str">
        <f>VLOOKUP(B711,DONGIA,DG!$D$6,0)</f>
        <v>cái</v>
      </c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S711" s="332">
        <f t="shared" si="149"/>
        <v>0</v>
      </c>
      <c r="T711" s="332">
        <f t="shared" si="151"/>
        <v>0</v>
      </c>
    </row>
    <row r="712" spans="2:20" hidden="1">
      <c r="B712" s="332" t="s">
        <v>1145</v>
      </c>
      <c r="C712" s="333">
        <f t="shared" si="150"/>
        <v>0</v>
      </c>
      <c r="D712" s="328"/>
      <c r="E712" s="328">
        <f>VLOOKUP(B712,DONGIA,DG!$B$6,0)</f>
        <v>0</v>
      </c>
      <c r="F712" s="329" t="str">
        <f>VLOOKUP(B712,DONGIA,DG!$C$6,0)</f>
        <v>Chụp đầu cosse  50mm2</v>
      </c>
      <c r="G712" s="328" t="str">
        <f>VLOOKUP(B712,DONGIA,DG!$D$6,0)</f>
        <v>cái</v>
      </c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S712" s="332">
        <f t="shared" si="149"/>
        <v>0</v>
      </c>
      <c r="T712" s="332">
        <f t="shared" si="151"/>
        <v>0</v>
      </c>
    </row>
    <row r="713" spans="2:20" hidden="1">
      <c r="B713" s="332" t="s">
        <v>1177</v>
      </c>
      <c r="C713" s="333">
        <f t="shared" si="150"/>
        <v>0</v>
      </c>
      <c r="D713" s="328"/>
      <c r="E713" s="328">
        <f>VLOOKUP(B713,DONGIA,DG!$B$6,0)</f>
        <v>0</v>
      </c>
      <c r="F713" s="329" t="str">
        <f>VLOOKUP(B713,DONGIA,DG!$C$6,0)</f>
        <v xml:space="preserve">Ống PVC D90x3,8mm </v>
      </c>
      <c r="G713" s="328" t="str">
        <f>VLOOKUP(B713,DONGIA,DG!$D$6,0)</f>
        <v>m</v>
      </c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S713" s="332">
        <f t="shared" si="149"/>
        <v>2</v>
      </c>
      <c r="T713" s="332">
        <f t="shared" si="151"/>
        <v>0</v>
      </c>
    </row>
    <row r="714" spans="2:20" hidden="1">
      <c r="B714" s="332" t="s">
        <v>455</v>
      </c>
      <c r="C714" s="333">
        <f t="shared" si="150"/>
        <v>0</v>
      </c>
      <c r="D714" s="328"/>
      <c r="E714" s="328">
        <f>VLOOKUP(B714,DONGIA,DG!$B$6,0)</f>
        <v>0</v>
      </c>
      <c r="F714" s="329" t="str">
        <f>VLOOKUP(B714,DONGIA,DG!$C$6,0)</f>
        <v>Cổ dê kẹp ống PVC φ 90 (có giá nới)</v>
      </c>
      <c r="G714" s="328" t="str">
        <f>VLOOKUP(B714,DONGIA,DG!$D$6,0)</f>
        <v>bộ</v>
      </c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S714" s="332">
        <f t="shared" si="149"/>
        <v>1.5</v>
      </c>
      <c r="T714" s="332">
        <f t="shared" si="151"/>
        <v>0</v>
      </c>
    </row>
    <row r="715" spans="2:20" hidden="1">
      <c r="B715" s="332" t="s">
        <v>455</v>
      </c>
      <c r="C715" s="333">
        <f t="shared" si="150"/>
        <v>0</v>
      </c>
      <c r="D715" s="328"/>
      <c r="E715" s="328">
        <f>VLOOKUP(B715,DONGIA,DG!$B$6,0)</f>
        <v>0</v>
      </c>
      <c r="F715" s="329" t="str">
        <f>VLOOKUP(B715,DONGIA,DG!$C$6,0)</f>
        <v>Cổ dê kẹp ống PVC φ 90 (có giá nới)</v>
      </c>
      <c r="G715" s="328" t="str">
        <f>VLOOKUP(B715,DONGIA,DG!$D$6,0)</f>
        <v>bộ</v>
      </c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S715" s="332">
        <f t="shared" si="149"/>
        <v>1.5</v>
      </c>
      <c r="T715" s="332">
        <f t="shared" si="151"/>
        <v>0</v>
      </c>
    </row>
    <row r="716" spans="2:20" hidden="1">
      <c r="B716" s="332" t="s">
        <v>455</v>
      </c>
      <c r="C716" s="333">
        <f t="shared" si="150"/>
        <v>0</v>
      </c>
      <c r="D716" s="328"/>
      <c r="E716" s="328">
        <f>VLOOKUP(B716,DONGIA,DG!$B$6,0)</f>
        <v>0</v>
      </c>
      <c r="F716" s="329" t="str">
        <f>VLOOKUP(B716,DONGIA,DG!$C$6,0)</f>
        <v>Cổ dê kẹp ống PVC φ 90 (có giá nới)</v>
      </c>
      <c r="G716" s="328" t="str">
        <f>VLOOKUP(B716,DONGIA,DG!$D$6,0)</f>
        <v>bộ</v>
      </c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S716" s="332">
        <f t="shared" si="149"/>
        <v>1.5</v>
      </c>
      <c r="T716" s="332">
        <f t="shared" si="151"/>
        <v>0</v>
      </c>
    </row>
    <row r="717" spans="2:20" hidden="1">
      <c r="B717" s="332" t="s">
        <v>1183</v>
      </c>
      <c r="C717" s="333">
        <f t="shared" si="150"/>
        <v>0</v>
      </c>
      <c r="D717" s="328"/>
      <c r="E717" s="328">
        <f>VLOOKUP(B717,DONGIA,DG!$B$6,0)</f>
        <v>0</v>
      </c>
      <c r="F717" s="329" t="str">
        <f>VLOOKUP(B717,DONGIA,DG!$C$6,0)</f>
        <v>Co  90 độ PVC 90</v>
      </c>
      <c r="G717" s="328" t="str">
        <f>VLOOKUP(B717,DONGIA,DG!$D$6,0)</f>
        <v>cái</v>
      </c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S717" s="332">
        <f t="shared" si="149"/>
        <v>0</v>
      </c>
      <c r="T717" s="332">
        <f t="shared" si="151"/>
        <v>0</v>
      </c>
    </row>
    <row r="718" spans="2:20" hidden="1">
      <c r="B718" s="332" t="s">
        <v>1181</v>
      </c>
      <c r="C718" s="333">
        <f t="shared" si="150"/>
        <v>0</v>
      </c>
      <c r="D718" s="328"/>
      <c r="E718" s="328">
        <f>VLOOKUP(B718,DONGIA,DG!$B$6,0)</f>
        <v>0</v>
      </c>
      <c r="F718" s="329" t="str">
        <f>VLOOKUP(B718,DONGIA,DG!$C$6,0)</f>
        <v>Co 135 độ PVC 90</v>
      </c>
      <c r="G718" s="328" t="str">
        <f>VLOOKUP(B718,DONGIA,DG!$D$6,0)</f>
        <v>cái</v>
      </c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S718" s="332">
        <f t="shared" si="149"/>
        <v>0</v>
      </c>
      <c r="T718" s="332">
        <f t="shared" si="151"/>
        <v>0</v>
      </c>
    </row>
    <row r="719" spans="2:20" hidden="1">
      <c r="B719" s="332" t="s">
        <v>1914</v>
      </c>
      <c r="C719" s="333">
        <f t="shared" si="150"/>
        <v>0</v>
      </c>
      <c r="D719" s="328"/>
      <c r="E719" s="328">
        <f>VLOOKUP(B719,DONGIA,DG!$B$6,0)</f>
        <v>0</v>
      </c>
      <c r="F719" s="329" t="str">
        <f>VLOOKUP(B719,DONGIA,DG!$C$6,0)</f>
        <v>Keo dán ống PVC (100gr)</v>
      </c>
      <c r="G719" s="328" t="str">
        <f>VLOOKUP(B719,DONGIA,DG!$D$6,0)</f>
        <v>tuýp</v>
      </c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S719" s="332">
        <f t="shared" si="149"/>
        <v>0</v>
      </c>
      <c r="T719" s="332">
        <f t="shared" si="151"/>
        <v>0</v>
      </c>
    </row>
    <row r="720" spans="2:20" hidden="1">
      <c r="B720" s="332" t="s">
        <v>1195</v>
      </c>
      <c r="C720" s="333">
        <f t="shared" si="150"/>
        <v>0</v>
      </c>
      <c r="D720" s="328"/>
      <c r="E720" s="328">
        <f>VLOOKUP(B720,DONGIA,DG!$B$6,0)</f>
        <v>0</v>
      </c>
      <c r="F720" s="329" t="str">
        <f>VLOOKUP(B720,DONGIA,DG!$C$6,0)</f>
        <v>Keo silicon bít miệng ống</v>
      </c>
      <c r="G720" s="328" t="str">
        <f>VLOOKUP(B720,DONGIA,DG!$D$6,0)</f>
        <v>ống</v>
      </c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S720" s="332">
        <f t="shared" si="149"/>
        <v>0</v>
      </c>
      <c r="T720" s="332">
        <f t="shared" si="151"/>
        <v>0</v>
      </c>
    </row>
    <row r="721" spans="1:20" hidden="1">
      <c r="B721" s="332" t="s">
        <v>1193</v>
      </c>
      <c r="C721" s="333">
        <f t="shared" si="150"/>
        <v>0</v>
      </c>
      <c r="D721" s="328"/>
      <c r="E721" s="328">
        <f>VLOOKUP(B721,DONGIA,DG!$B$6,0)</f>
        <v>0</v>
      </c>
      <c r="F721" s="329" t="str">
        <f>VLOOKUP(B721,DONGIA,DG!$C$6,0)</f>
        <v>Băng keo cách điện</v>
      </c>
      <c r="G721" s="328" t="str">
        <f>VLOOKUP(B721,DONGIA,DG!$D$6,0)</f>
        <v>cuộn</v>
      </c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S721" s="332">
        <f t="shared" si="149"/>
        <v>0</v>
      </c>
      <c r="T721" s="332">
        <f t="shared" si="151"/>
        <v>0</v>
      </c>
    </row>
    <row r="722" spans="1:20" hidden="1">
      <c r="B722" s="332" t="s">
        <v>855</v>
      </c>
      <c r="C722" s="333">
        <f t="shared" si="150"/>
        <v>0</v>
      </c>
      <c r="D722" s="328"/>
      <c r="E722" s="328" t="str">
        <f>VLOOKUP(B722,DONGIA,DG!$B$6,0)</f>
        <v>T4.8003</v>
      </c>
      <c r="F722" s="329" t="str">
        <f>VLOOKUP(B722,DONGIA,DG!$C$6,0)</f>
        <v>Lắp ống nhựa PVC D90</v>
      </c>
      <c r="G722" s="328" t="str">
        <f>VLOOKUP(B722,DONGIA,DG!$D$6,0)</f>
        <v>mét</v>
      </c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S722" s="332">
        <f t="shared" si="149"/>
        <v>0</v>
      </c>
      <c r="T722" s="332">
        <f t="shared" si="151"/>
        <v>0</v>
      </c>
    </row>
    <row r="723" spans="1:20" hidden="1">
      <c r="B723" s="332" t="s">
        <v>1939</v>
      </c>
      <c r="C723" s="333">
        <f t="shared" si="150"/>
        <v>0</v>
      </c>
      <c r="D723" s="328"/>
      <c r="E723" s="328" t="str">
        <f>VLOOKUP(B723,DONGIA,DG!$B$6,0)</f>
        <v>T4.4201</v>
      </c>
      <c r="F723" s="329" t="str">
        <f>VLOOKUP(B723,DONGIA,DG!$C$6,0)</f>
        <v>Lắp cáp đồng xuống thiết bị D ≤ 95mm2</v>
      </c>
      <c r="G723" s="328" t="str">
        <f>VLOOKUP(B723,DONGIA,DG!$D$6,0)</f>
        <v>m</v>
      </c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S723" s="332">
        <f t="shared" si="149"/>
        <v>0</v>
      </c>
      <c r="T723" s="332">
        <f t="shared" si="151"/>
        <v>0</v>
      </c>
    </row>
    <row r="724" spans="1:20" hidden="1">
      <c r="B724" s="332" t="s">
        <v>1058</v>
      </c>
      <c r="C724" s="333">
        <f t="shared" si="150"/>
        <v>0</v>
      </c>
      <c r="D724" s="372">
        <f>IF(H724&lt;&gt;0,D705+1,D705)</f>
        <v>0</v>
      </c>
      <c r="E724" s="372">
        <f>VLOOKUP(B724,DONGIA,DG!$B$6,0)</f>
        <v>0</v>
      </c>
      <c r="F724" s="373" t="str">
        <f>VLOOKUP(B724,DONGIA,DG!$C$6,0)</f>
        <v>Bảng tên trạm + bulon</v>
      </c>
      <c r="G724" s="372" t="str">
        <f>VLOOKUP(B724,DONGIA,DG!$D$6,0)</f>
        <v>bộ</v>
      </c>
      <c r="H724" s="372">
        <f>T1P100</f>
        <v>0</v>
      </c>
      <c r="I724" s="373"/>
      <c r="J724" s="373"/>
      <c r="K724" s="373"/>
      <c r="L724" s="373"/>
      <c r="M724" s="373"/>
      <c r="N724" s="373"/>
      <c r="O724" s="373"/>
      <c r="P724" s="373"/>
      <c r="Q724" s="373"/>
      <c r="S724" s="332">
        <f t="shared" si="149"/>
        <v>0</v>
      </c>
      <c r="T724" s="332">
        <f t="shared" si="151"/>
        <v>0</v>
      </c>
    </row>
    <row r="725" spans="1:20" s="353" customFormat="1" hidden="1">
      <c r="A725" s="353" t="s">
        <v>2076</v>
      </c>
      <c r="C725" s="333">
        <f>C726</f>
        <v>0</v>
      </c>
      <c r="D725" s="368"/>
      <c r="E725" s="369" t="str">
        <f>TR3X25&amp;" Trạm 3 pha 3x25kVA"</f>
        <v>0 Trạm 3 pha 3x25kVA</v>
      </c>
      <c r="F725" s="368"/>
      <c r="G725" s="368"/>
      <c r="H725" s="368"/>
      <c r="I725" s="325"/>
      <c r="J725" s="325"/>
      <c r="K725" s="325"/>
      <c r="L725" s="325"/>
      <c r="M725" s="325"/>
      <c r="N725" s="325"/>
      <c r="O725" s="325"/>
      <c r="P725" s="325"/>
      <c r="Q725" s="368"/>
      <c r="S725" s="332">
        <f t="shared" si="149"/>
        <v>0</v>
      </c>
      <c r="T725" s="332">
        <f t="shared" si="151"/>
        <v>0</v>
      </c>
    </row>
    <row r="726" spans="1:20" hidden="1">
      <c r="A726" s="332" t="s">
        <v>2077</v>
      </c>
      <c r="C726" s="333">
        <f>IF(M726&lt;&gt;0,1,)</f>
        <v>0</v>
      </c>
      <c r="D726" s="344"/>
      <c r="E726" s="344"/>
      <c r="F726" s="345" t="s">
        <v>1900</v>
      </c>
      <c r="G726" s="344"/>
      <c r="H726" s="345"/>
      <c r="I726" s="345"/>
      <c r="J726" s="345"/>
      <c r="K726" s="345"/>
      <c r="L726" s="345"/>
      <c r="M726" s="345">
        <f>SUM(M727:M733)</f>
        <v>0</v>
      </c>
      <c r="N726" s="345">
        <f>SUM(N727:N733)</f>
        <v>0</v>
      </c>
      <c r="O726" s="345">
        <f>SUM(O727:O733)</f>
        <v>0</v>
      </c>
      <c r="P726" s="345">
        <f>SUM(P727:P733)</f>
        <v>0</v>
      </c>
      <c r="Q726" s="345"/>
      <c r="S726" s="332">
        <f t="shared" si="149"/>
        <v>0</v>
      </c>
      <c r="T726" s="371">
        <f>SUM(T727:T733)</f>
        <v>0</v>
      </c>
    </row>
    <row r="727" spans="1:20" hidden="1">
      <c r="A727" s="332" t="s">
        <v>477</v>
      </c>
      <c r="B727" s="332" t="s">
        <v>899</v>
      </c>
      <c r="C727" s="333">
        <f t="shared" si="150"/>
        <v>0</v>
      </c>
      <c r="D727" s="328"/>
      <c r="E727" s="328" t="str">
        <f>VLOOKUP(B727,DONGIA,DG!$B$6,0)</f>
        <v>T1.1431</v>
      </c>
      <c r="F727" s="329" t="str">
        <f>VLOOKUP(B727,DONGIA,DG!$C$6,0)</f>
        <v>Máy biến áp 12,7/0,22-0,44kV  25kVA</v>
      </c>
      <c r="G727" s="328" t="str">
        <f>VLOOKUP(B727,DONGIA,DG!$D$6,0)</f>
        <v>máy</v>
      </c>
      <c r="H727" s="329">
        <f>TR3X25*3</f>
        <v>0</v>
      </c>
      <c r="I727" s="329">
        <f>VLOOKUP(B727,DONGIA,DG!$E$6,0)</f>
        <v>0</v>
      </c>
      <c r="J727" s="329"/>
      <c r="K727" s="329">
        <f>VLOOKUP(B727,DONGIA,DG!$F$6,0)</f>
        <v>647230</v>
      </c>
      <c r="L727" s="329">
        <f>VLOOKUP(B727,DONGIA,DG!$G$6,0)</f>
        <v>360605</v>
      </c>
      <c r="M727" s="329">
        <f>$H727*I727</f>
        <v>0</v>
      </c>
      <c r="N727" s="329">
        <f>$H727*J727</f>
        <v>0</v>
      </c>
      <c r="O727" s="329">
        <f>$H727*K727</f>
        <v>0</v>
      </c>
      <c r="P727" s="329">
        <f>$H727*L727</f>
        <v>0</v>
      </c>
      <c r="Q727" s="329"/>
      <c r="S727" s="332">
        <f t="shared" si="149"/>
        <v>320</v>
      </c>
      <c r="T727" s="332">
        <f t="shared" si="151"/>
        <v>0</v>
      </c>
    </row>
    <row r="728" spans="1:20" hidden="1">
      <c r="A728" s="332" t="s">
        <v>477</v>
      </c>
      <c r="B728" s="332" t="s">
        <v>1444</v>
      </c>
      <c r="C728" s="333">
        <f t="shared" si="150"/>
        <v>0</v>
      </c>
      <c r="D728" s="328"/>
      <c r="E728" s="328" t="str">
        <f>VLOOKUP(B728,DONGIA,DG!$B$6,0)</f>
        <v>T2.3505</v>
      </c>
      <c r="F728" s="329" t="str">
        <f>VLOOKUP(B728,DONGIA,DG!$C$6,0)</f>
        <v>FCO 27kV - 100A</v>
      </c>
      <c r="G728" s="328" t="str">
        <f>VLOOKUP(B728,DONGIA,DG!$D$6,0)</f>
        <v>cái</v>
      </c>
      <c r="H728" s="329">
        <f>TR3X25*3</f>
        <v>0</v>
      </c>
      <c r="I728" s="329">
        <f>VLOOKUP(B728,DONGIA,DG!$E$6,0)</f>
        <v>1070000</v>
      </c>
      <c r="J728" s="329"/>
      <c r="K728" s="329">
        <f>VLOOKUP(B728,DONGIA,DG!$F$6,0)</f>
        <v>189552</v>
      </c>
      <c r="L728" s="329">
        <f>VLOOKUP(B728,DONGIA,DG!$G$6,0)</f>
        <v>0</v>
      </c>
      <c r="M728" s="329">
        <f t="shared" ref="M728:M733" si="152">$H728*I728</f>
        <v>0</v>
      </c>
      <c r="N728" s="329">
        <f t="shared" ref="N728:N733" si="153">$H728*J728</f>
        <v>0</v>
      </c>
      <c r="O728" s="329">
        <f t="shared" ref="O728:O733" si="154">$H728*K728</f>
        <v>0</v>
      </c>
      <c r="P728" s="329">
        <f t="shared" ref="P728:P733" si="155">$H728*L728</f>
        <v>0</v>
      </c>
      <c r="Q728" s="329"/>
      <c r="S728" s="332">
        <f t="shared" si="149"/>
        <v>1.5</v>
      </c>
      <c r="T728" s="332">
        <f t="shared" si="151"/>
        <v>0</v>
      </c>
    </row>
    <row r="729" spans="1:20" hidden="1">
      <c r="A729" s="332" t="s">
        <v>477</v>
      </c>
      <c r="B729" s="332" t="s">
        <v>943</v>
      </c>
      <c r="C729" s="333">
        <f t="shared" si="150"/>
        <v>0</v>
      </c>
      <c r="D729" s="328"/>
      <c r="E729" s="328" t="str">
        <f>VLOOKUP(B729,DONGIA,DG!$B$6,0)</f>
        <v>T2.5004</v>
      </c>
      <c r="F729" s="329" t="str">
        <f>VLOOKUP(B729,DONGIA,DG!$C$6,0)</f>
        <v>LA 18kV 10kA</v>
      </c>
      <c r="G729" s="328" t="str">
        <f>VLOOKUP(B729,DONGIA,DG!$D$6,0)</f>
        <v>cái</v>
      </c>
      <c r="H729" s="329">
        <f>TR3X25*3</f>
        <v>0</v>
      </c>
      <c r="I729" s="329">
        <f>VLOOKUP(B729,DONGIA,DG!$E$6,0)</f>
        <v>875000</v>
      </c>
      <c r="J729" s="329"/>
      <c r="K729" s="329">
        <f>VLOOKUP(B729,DONGIA,DG!$F$6,0)</f>
        <v>71082</v>
      </c>
      <c r="L729" s="329">
        <f>VLOOKUP(B729,DONGIA,DG!$G$6,0)</f>
        <v>0</v>
      </c>
      <c r="M729" s="329">
        <f t="shared" si="152"/>
        <v>0</v>
      </c>
      <c r="N729" s="329">
        <f t="shared" si="153"/>
        <v>0</v>
      </c>
      <c r="O729" s="329">
        <f t="shared" si="154"/>
        <v>0</v>
      </c>
      <c r="P729" s="329">
        <f t="shared" si="155"/>
        <v>0</v>
      </c>
      <c r="Q729" s="329"/>
      <c r="S729" s="332">
        <f t="shared" si="149"/>
        <v>0.8</v>
      </c>
      <c r="T729" s="332">
        <f t="shared" si="151"/>
        <v>0</v>
      </c>
    </row>
    <row r="730" spans="1:20" hidden="1">
      <c r="A730" s="332" t="s">
        <v>477</v>
      </c>
      <c r="B730" s="332" t="s">
        <v>995</v>
      </c>
      <c r="C730" s="333">
        <f t="shared" si="150"/>
        <v>0</v>
      </c>
      <c r="D730" s="328"/>
      <c r="E730" s="328"/>
      <c r="F730" s="329" t="str">
        <f>VLOOKUP(B730,DONGIA,DG!$C$6,0)</f>
        <v>MCCB 3 cực 400V - 200A - 35KA (125-200A)</v>
      </c>
      <c r="G730" s="328" t="str">
        <f>VLOOKUP(B730,DONGIA,DG!$D$6,0)</f>
        <v>cái</v>
      </c>
      <c r="H730" s="329">
        <f>TR3X25</f>
        <v>0</v>
      </c>
      <c r="I730" s="329">
        <f>VLOOKUP(B730,DONGIA,DG!$E$6,0)</f>
        <v>1440000</v>
      </c>
      <c r="J730" s="329"/>
      <c r="K730" s="329"/>
      <c r="L730" s="329">
        <f>VLOOKUP(B730,DONGIA,DG!$G$6,0)</f>
        <v>0</v>
      </c>
      <c r="M730" s="329">
        <f t="shared" si="152"/>
        <v>0</v>
      </c>
      <c r="N730" s="329">
        <f t="shared" si="153"/>
        <v>0</v>
      </c>
      <c r="O730" s="329">
        <f t="shared" si="154"/>
        <v>0</v>
      </c>
      <c r="P730" s="329">
        <f t="shared" si="155"/>
        <v>0</v>
      </c>
      <c r="Q730" s="329"/>
      <c r="S730" s="332">
        <f t="shared" si="149"/>
        <v>2</v>
      </c>
      <c r="T730" s="332">
        <f t="shared" si="151"/>
        <v>0</v>
      </c>
    </row>
    <row r="731" spans="1:20" hidden="1">
      <c r="A731" s="332" t="s">
        <v>477</v>
      </c>
      <c r="B731" s="332" t="s">
        <v>992</v>
      </c>
      <c r="C731" s="333">
        <f>IF(H731&lt;&gt;0,1,)</f>
        <v>0</v>
      </c>
      <c r="D731" s="328"/>
      <c r="E731" s="328"/>
      <c r="F731" s="329" t="str">
        <f>VLOOKUP(B731,DONGIA,DG!$C$6,0)&amp;" (Phân đoạn)"</f>
        <v>MCCB 3 cực 400V - 125A - 30KA (80-125A) (Phân đoạn)</v>
      </c>
      <c r="G731" s="328" t="str">
        <f>VLOOKUP(B731,DONGIA,DG!$D$6,0)</f>
        <v>cái</v>
      </c>
      <c r="H731" s="329">
        <f>TR3X25*2</f>
        <v>0</v>
      </c>
      <c r="I731" s="329">
        <f>VLOOKUP(B731,DONGIA,DG!$E$6,0)</f>
        <v>980000</v>
      </c>
      <c r="J731" s="329"/>
      <c r="K731" s="329"/>
      <c r="L731" s="329">
        <f>VLOOKUP(B731,DONGIA,DG!$G$6,0)</f>
        <v>0</v>
      </c>
      <c r="M731" s="329">
        <f>$H731*I731</f>
        <v>0</v>
      </c>
      <c r="N731" s="329">
        <f>$H731*J731</f>
        <v>0</v>
      </c>
      <c r="O731" s="329">
        <f>$H731*K731</f>
        <v>0</v>
      </c>
      <c r="P731" s="329">
        <f>$H731*L731</f>
        <v>0</v>
      </c>
      <c r="Q731" s="329"/>
      <c r="S731" s="332">
        <f>IFERROR(VLOOKUP(B731,DONGIA,$S$25,0),0)</f>
        <v>2</v>
      </c>
      <c r="T731" s="332">
        <f>H731*S731</f>
        <v>0</v>
      </c>
    </row>
    <row r="732" spans="1:20" hidden="1">
      <c r="A732" s="332" t="s">
        <v>477</v>
      </c>
      <c r="B732" s="332" t="s">
        <v>946</v>
      </c>
      <c r="C732" s="333">
        <f t="shared" si="150"/>
        <v>0</v>
      </c>
      <c r="D732" s="328"/>
      <c r="E732" s="328">
        <f>VLOOKUP(B732,DONGIA,DG!$B$6,0)</f>
        <v>0</v>
      </c>
      <c r="F732" s="329" t="str">
        <f>VLOOKUP(B732,DONGIA,DG!$C$6,0)</f>
        <v>Biến dòng 600V - 100/5A</v>
      </c>
      <c r="G732" s="328" t="str">
        <f>VLOOKUP(B732,DONGIA,DG!$D$6,0)</f>
        <v>cái</v>
      </c>
      <c r="H732" s="329">
        <f>TR3X25*3</f>
        <v>0</v>
      </c>
      <c r="I732" s="329">
        <f>VLOOKUP(B732,DONGIA,DG!$E$6,0)</f>
        <v>0</v>
      </c>
      <c r="J732" s="329"/>
      <c r="K732" s="329">
        <f>VLOOKUP(B732,DONGIA,DG!$F$6,0)</f>
        <v>0</v>
      </c>
      <c r="L732" s="329">
        <f>VLOOKUP(B732,DONGIA,DG!$G$6,0)</f>
        <v>0</v>
      </c>
      <c r="M732" s="329">
        <f t="shared" si="152"/>
        <v>0</v>
      </c>
      <c r="N732" s="329">
        <f t="shared" si="153"/>
        <v>0</v>
      </c>
      <c r="O732" s="329">
        <f t="shared" si="154"/>
        <v>0</v>
      </c>
      <c r="P732" s="329">
        <f t="shared" si="155"/>
        <v>0</v>
      </c>
      <c r="Q732" s="329"/>
      <c r="S732" s="332">
        <f t="shared" si="149"/>
        <v>0</v>
      </c>
      <c r="T732" s="332">
        <f t="shared" si="151"/>
        <v>0</v>
      </c>
    </row>
    <row r="733" spans="1:20" hidden="1">
      <c r="A733" s="332" t="s">
        <v>477</v>
      </c>
      <c r="B733" s="332" t="s">
        <v>1046</v>
      </c>
      <c r="C733" s="333">
        <f t="shared" si="150"/>
        <v>0</v>
      </c>
      <c r="D733" s="328"/>
      <c r="E733" s="328">
        <f>VLOOKUP(B733,DONGIA,DG!$B$6,0)</f>
        <v>0</v>
      </c>
      <c r="F733" s="329" t="str">
        <f>VLOOKUP(B733,DONGIA,DG!$C$6,0)</f>
        <v>Điện kế 3 pha 4 dây 220/380V-5A</v>
      </c>
      <c r="G733" s="328" t="str">
        <f>VLOOKUP(B733,DONGIA,DG!$D$6,0)</f>
        <v>cái</v>
      </c>
      <c r="H733" s="329">
        <f>TR3X25</f>
        <v>0</v>
      </c>
      <c r="I733" s="329">
        <f>VLOOKUP(B733,DONGIA,DG!$E$6,0)</f>
        <v>0</v>
      </c>
      <c r="J733" s="329"/>
      <c r="K733" s="329">
        <f>VLOOKUP(B733,DONGIA,DG!$F$6,0)</f>
        <v>0</v>
      </c>
      <c r="L733" s="329">
        <f>VLOOKUP(B733,DONGIA,DG!$G$6,0)</f>
        <v>0</v>
      </c>
      <c r="M733" s="329">
        <f t="shared" si="152"/>
        <v>0</v>
      </c>
      <c r="N733" s="329">
        <f t="shared" si="153"/>
        <v>0</v>
      </c>
      <c r="O733" s="329">
        <f t="shared" si="154"/>
        <v>0</v>
      </c>
      <c r="P733" s="329">
        <f t="shared" si="155"/>
        <v>0</v>
      </c>
      <c r="Q733" s="329"/>
      <c r="S733" s="332">
        <f t="shared" si="149"/>
        <v>1.5</v>
      </c>
      <c r="T733" s="332">
        <f t="shared" si="151"/>
        <v>0</v>
      </c>
    </row>
    <row r="734" spans="1:20" hidden="1">
      <c r="A734" s="332" t="s">
        <v>2078</v>
      </c>
      <c r="C734" s="333">
        <f>IF(M734&lt;&gt;0,1,)</f>
        <v>0</v>
      </c>
      <c r="D734" s="344"/>
      <c r="E734" s="344"/>
      <c r="F734" s="345" t="s">
        <v>1901</v>
      </c>
      <c r="G734" s="344"/>
      <c r="H734" s="345"/>
      <c r="I734" s="345"/>
      <c r="J734" s="345"/>
      <c r="K734" s="345"/>
      <c r="L734" s="345"/>
      <c r="M734" s="345">
        <f>SUM(M735:M860)</f>
        <v>0</v>
      </c>
      <c r="N734" s="345">
        <f>SUM(N735:N860)</f>
        <v>0</v>
      </c>
      <c r="O734" s="345">
        <f>SUM(O735:O860)</f>
        <v>0</v>
      </c>
      <c r="P734" s="345">
        <f>SUM(P735:P860)</f>
        <v>0</v>
      </c>
      <c r="Q734" s="345"/>
      <c r="S734" s="332">
        <f t="shared" si="149"/>
        <v>0</v>
      </c>
      <c r="T734" s="371">
        <f>SUM(T735:T860)</f>
        <v>0</v>
      </c>
    </row>
    <row r="735" spans="1:20" hidden="1">
      <c r="C735" s="333">
        <f t="shared" si="150"/>
        <v>0</v>
      </c>
      <c r="D735" s="372">
        <f>IF(H735&lt;&gt;0,1,)</f>
        <v>0</v>
      </c>
      <c r="E735" s="372"/>
      <c r="F735" s="373" t="s">
        <v>1931</v>
      </c>
      <c r="G735" s="372" t="s">
        <v>138</v>
      </c>
      <c r="H735" s="372">
        <f>TR3X25</f>
        <v>0</v>
      </c>
      <c r="I735" s="373"/>
      <c r="J735" s="373"/>
      <c r="K735" s="373"/>
      <c r="L735" s="373"/>
      <c r="M735" s="373"/>
      <c r="N735" s="373"/>
      <c r="O735" s="373"/>
      <c r="P735" s="373"/>
      <c r="Q735" s="373"/>
      <c r="S735" s="332">
        <f t="shared" si="149"/>
        <v>0</v>
      </c>
      <c r="T735" s="332">
        <f t="shared" si="151"/>
        <v>0</v>
      </c>
    </row>
    <row r="736" spans="1:20" hidden="1">
      <c r="A736" s="332" t="s">
        <v>477</v>
      </c>
      <c r="B736" s="332" t="s">
        <v>1007</v>
      </c>
      <c r="C736" s="333">
        <f t="shared" si="150"/>
        <v>0</v>
      </c>
      <c r="D736" s="328"/>
      <c r="E736" s="328">
        <f>VLOOKUP(B736,DONGIA,DG!$B$6,0)</f>
        <v>0</v>
      </c>
      <c r="F736" s="329" t="str">
        <f>VLOOKUP(B736,DONGIA,DG!$C$6,0)</f>
        <v>Dây chảy 3K</v>
      </c>
      <c r="G736" s="328" t="str">
        <f>VLOOKUP(B736,DONGIA,DG!$D$6,0)</f>
        <v>Sợi</v>
      </c>
      <c r="H736" s="329">
        <f>H735*3</f>
        <v>0</v>
      </c>
      <c r="I736" s="329">
        <f>VLOOKUP(B736,DONGIA,DG!$E$6,0)</f>
        <v>47000</v>
      </c>
      <c r="J736" s="329"/>
      <c r="K736" s="329">
        <f>VLOOKUP(B736,DONGIA,DG!$F$6,0)</f>
        <v>0</v>
      </c>
      <c r="L736" s="329">
        <f>VLOOKUP(B736,DONGIA,DG!$G$6,0)</f>
        <v>0</v>
      </c>
      <c r="M736" s="329">
        <f t="shared" ref="M736:P739" si="156">$H736*I736</f>
        <v>0</v>
      </c>
      <c r="N736" s="329">
        <f t="shared" si="156"/>
        <v>0</v>
      </c>
      <c r="O736" s="329">
        <f t="shared" si="156"/>
        <v>0</v>
      </c>
      <c r="P736" s="329">
        <f t="shared" si="156"/>
        <v>0</v>
      </c>
      <c r="Q736" s="329"/>
      <c r="S736" s="332">
        <f t="shared" si="149"/>
        <v>0</v>
      </c>
      <c r="T736" s="332">
        <f t="shared" si="151"/>
        <v>0</v>
      </c>
    </row>
    <row r="737" spans="1:20" hidden="1">
      <c r="A737" s="332" t="s">
        <v>477</v>
      </c>
      <c r="B737" s="332" t="s">
        <v>131</v>
      </c>
      <c r="C737" s="333">
        <f t="shared" si="150"/>
        <v>0</v>
      </c>
      <c r="D737" s="328"/>
      <c r="E737" s="328">
        <f>VLOOKUP(B737,DONGIA,DG!$B$6,0)</f>
        <v>0</v>
      </c>
      <c r="F737" s="329" t="str">
        <f>VLOOKUP(B737,DONGIA,DG!$C$6,0)</f>
        <v>Chụp đầu FCO (Trên + Dưới)</v>
      </c>
      <c r="G737" s="328" t="str">
        <f>VLOOKUP(B737,DONGIA,DG!$D$6,0)</f>
        <v>bộ</v>
      </c>
      <c r="H737" s="329">
        <f>H735*3</f>
        <v>0</v>
      </c>
      <c r="I737" s="329">
        <f>VLOOKUP(B737,DONGIA,DG!$E$6,0)</f>
        <v>190000</v>
      </c>
      <c r="J737" s="329"/>
      <c r="K737" s="329">
        <f>VLOOKUP(B737,DONGIA,DG!$F$6,0)</f>
        <v>0</v>
      </c>
      <c r="L737" s="329">
        <f>VLOOKUP(B737,DONGIA,DG!$G$6,0)</f>
        <v>0</v>
      </c>
      <c r="M737" s="329">
        <f t="shared" si="156"/>
        <v>0</v>
      </c>
      <c r="N737" s="329">
        <f t="shared" si="156"/>
        <v>0</v>
      </c>
      <c r="O737" s="329">
        <f t="shared" si="156"/>
        <v>0</v>
      </c>
      <c r="P737" s="329">
        <f t="shared" si="156"/>
        <v>0</v>
      </c>
      <c r="Q737" s="329"/>
      <c r="S737" s="332">
        <f t="shared" si="149"/>
        <v>0</v>
      </c>
      <c r="T737" s="332">
        <f t="shared" si="151"/>
        <v>0</v>
      </c>
    </row>
    <row r="738" spans="1:20" hidden="1">
      <c r="A738" s="332" t="s">
        <v>477</v>
      </c>
      <c r="B738" s="332" t="s">
        <v>133</v>
      </c>
      <c r="C738" s="333">
        <f t="shared" si="150"/>
        <v>0</v>
      </c>
      <c r="D738" s="328"/>
      <c r="E738" s="328">
        <f>VLOOKUP(B738,DONGIA,DG!$B$6,0)</f>
        <v>0</v>
      </c>
      <c r="F738" s="329" t="str">
        <f>VLOOKUP(B738,DONGIA,DG!$C$6,0)</f>
        <v>Chụp đầu LA</v>
      </c>
      <c r="G738" s="328" t="str">
        <f>VLOOKUP(B738,DONGIA,DG!$D$6,0)</f>
        <v>cái</v>
      </c>
      <c r="H738" s="329">
        <f>H735*3</f>
        <v>0</v>
      </c>
      <c r="I738" s="329">
        <f>VLOOKUP(B738,DONGIA,DG!$E$6,0)</f>
        <v>32000</v>
      </c>
      <c r="J738" s="329"/>
      <c r="K738" s="329">
        <f>VLOOKUP(B738,DONGIA,DG!$F$6,0)</f>
        <v>0</v>
      </c>
      <c r="L738" s="329">
        <f>VLOOKUP(B738,DONGIA,DG!$G$6,0)</f>
        <v>0</v>
      </c>
      <c r="M738" s="329">
        <f t="shared" si="156"/>
        <v>0</v>
      </c>
      <c r="N738" s="329">
        <f t="shared" si="156"/>
        <v>0</v>
      </c>
      <c r="O738" s="329">
        <f t="shared" si="156"/>
        <v>0</v>
      </c>
      <c r="P738" s="329">
        <f t="shared" si="156"/>
        <v>0</v>
      </c>
      <c r="Q738" s="329"/>
      <c r="S738" s="332">
        <f t="shared" si="149"/>
        <v>0</v>
      </c>
      <c r="T738" s="332">
        <f t="shared" si="151"/>
        <v>0</v>
      </c>
    </row>
    <row r="739" spans="1:20" hidden="1">
      <c r="A739" s="332" t="s">
        <v>477</v>
      </c>
      <c r="B739" s="332" t="s">
        <v>135</v>
      </c>
      <c r="C739" s="333">
        <f t="shared" si="150"/>
        <v>0</v>
      </c>
      <c r="D739" s="328"/>
      <c r="E739" s="328">
        <f>VLOOKUP(B739,DONGIA,DG!$B$6,0)</f>
        <v>0</v>
      </c>
      <c r="F739" s="329" t="str">
        <f>VLOOKUP(B739,DONGIA,DG!$C$6,0)</f>
        <v>Chụp đầu cực MBA</v>
      </c>
      <c r="G739" s="328" t="str">
        <f>VLOOKUP(B739,DONGIA,DG!$D$6,0)</f>
        <v>cái</v>
      </c>
      <c r="H739" s="329">
        <f>H735*3</f>
        <v>0</v>
      </c>
      <c r="I739" s="329">
        <f>VLOOKUP(B739,DONGIA,DG!$E$6,0)</f>
        <v>52000</v>
      </c>
      <c r="J739" s="329"/>
      <c r="K739" s="329">
        <f>VLOOKUP(B739,DONGIA,DG!$F$6,0)</f>
        <v>0</v>
      </c>
      <c r="L739" s="329">
        <f>VLOOKUP(B739,DONGIA,DG!$G$6,0)</f>
        <v>0</v>
      </c>
      <c r="M739" s="329">
        <f t="shared" si="156"/>
        <v>0</v>
      </c>
      <c r="N739" s="329">
        <f t="shared" si="156"/>
        <v>0</v>
      </c>
      <c r="O739" s="329">
        <f t="shared" si="156"/>
        <v>0</v>
      </c>
      <c r="P739" s="329">
        <f t="shared" si="156"/>
        <v>0</v>
      </c>
      <c r="Q739" s="329"/>
      <c r="S739" s="332">
        <f t="shared" si="149"/>
        <v>0</v>
      </c>
      <c r="T739" s="332">
        <f t="shared" si="151"/>
        <v>0</v>
      </c>
    </row>
    <row r="740" spans="1:20" hidden="1">
      <c r="A740" s="332" t="s">
        <v>477</v>
      </c>
      <c r="C740" s="333">
        <f>IF(H740&lt;&gt;0,1,)</f>
        <v>0</v>
      </c>
      <c r="D740" s="372">
        <f>IF(H740&lt;&gt;0,D735+1,D735)</f>
        <v>0</v>
      </c>
      <c r="E740" s="372"/>
      <c r="F740" s="373" t="s">
        <v>2932</v>
      </c>
      <c r="G740" s="372" t="s">
        <v>138</v>
      </c>
      <c r="H740" s="372">
        <f>TR3X25</f>
        <v>0</v>
      </c>
      <c r="I740" s="373"/>
      <c r="J740" s="373"/>
      <c r="K740" s="373"/>
      <c r="L740" s="373"/>
      <c r="M740" s="373"/>
      <c r="N740" s="373"/>
      <c r="O740" s="373"/>
      <c r="P740" s="373"/>
      <c r="Q740" s="373"/>
      <c r="S740" s="332">
        <f>IFERROR(VLOOKUP(B740,DONGIA,$S$25,0),0)</f>
        <v>0</v>
      </c>
      <c r="T740" s="332">
        <f>H740*S740</f>
        <v>0</v>
      </c>
    </row>
    <row r="741" spans="1:20" s="361" customFormat="1" hidden="1">
      <c r="A741" s="361" t="s">
        <v>477</v>
      </c>
      <c r="C741" s="374">
        <f>C740</f>
        <v>0</v>
      </c>
      <c r="D741" s="350"/>
      <c r="E741" s="350"/>
      <c r="F741" s="351" t="s">
        <v>1902</v>
      </c>
      <c r="G741" s="350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S741" s="361">
        <f>IFERROR(VLOOKUP(B741,DONGIA,$S$25,0),0)</f>
        <v>0</v>
      </c>
      <c r="T741" s="361">
        <f>H741*S741</f>
        <v>0</v>
      </c>
    </row>
    <row r="742" spans="1:20" hidden="1">
      <c r="A742" s="332" t="s">
        <v>477</v>
      </c>
      <c r="B742" s="332" t="s">
        <v>466</v>
      </c>
      <c r="C742" s="333">
        <f>IF(H742&lt;&gt;0,1,)</f>
        <v>0</v>
      </c>
      <c r="D742" s="328"/>
      <c r="E742" s="328">
        <f>VLOOKUP(B742,DONGIA,DG!$B$6,0)</f>
        <v>0</v>
      </c>
      <c r="F742" s="329" t="str">
        <f>VLOOKUP(B742,DONGIA,DG!$C$6,0)</f>
        <v>Trụ BTLT 12m F540 dự ứng lực</v>
      </c>
      <c r="G742" s="328" t="str">
        <f>VLOOKUP(B742,DONGIA,DG!$D$6,0)</f>
        <v>trụ</v>
      </c>
      <c r="H742" s="329">
        <f>H740</f>
        <v>0</v>
      </c>
      <c r="I742" s="329">
        <f>VLOOKUP(B742,DONGIA,DG!$E$6,0)</f>
        <v>5511000</v>
      </c>
      <c r="J742" s="329"/>
      <c r="K742" s="329">
        <f>VLOOKUP(B742,DONGIA,DG!$F$6,0)</f>
        <v>0</v>
      </c>
      <c r="L742" s="329">
        <f>VLOOKUP(B742,DONGIA,DG!$G$6,0)</f>
        <v>0</v>
      </c>
      <c r="M742" s="329">
        <f t="shared" ref="M742:P743" si="157">$H742*I742</f>
        <v>0</v>
      </c>
      <c r="N742" s="329">
        <f t="shared" si="157"/>
        <v>0</v>
      </c>
      <c r="O742" s="329">
        <f t="shared" si="157"/>
        <v>0</v>
      </c>
      <c r="P742" s="329">
        <f t="shared" si="157"/>
        <v>0</v>
      </c>
      <c r="Q742" s="329"/>
      <c r="S742" s="332">
        <f>IFERROR(VLOOKUP(B742,DONGIA,$S$25,0),0)</f>
        <v>1250</v>
      </c>
      <c r="T742" s="332">
        <f>H742*S742</f>
        <v>0</v>
      </c>
    </row>
    <row r="743" spans="1:20" hidden="1">
      <c r="A743" s="332" t="s">
        <v>477</v>
      </c>
      <c r="B743" s="332" t="s">
        <v>2913</v>
      </c>
      <c r="C743" s="333">
        <f>IF(H743&lt;&gt;0,1,)</f>
        <v>0</v>
      </c>
      <c r="D743" s="328"/>
      <c r="E743" s="328" t="str">
        <f>VLOOKUP(B743,DONGIA,DG!$B$6,0)</f>
        <v>T4.9103</v>
      </c>
      <c r="F743" s="329" t="str">
        <f>VLOOKUP(B743,DONGIA,DG!$C$6,0)</f>
        <v>Dựng trụ BTLT 12m trong TBA</v>
      </c>
      <c r="G743" s="328" t="str">
        <f>VLOOKUP(B743,DONGIA,DG!$D$6,0)</f>
        <v>trụ</v>
      </c>
      <c r="H743" s="329">
        <f>H742</f>
        <v>0</v>
      </c>
      <c r="I743" s="329">
        <f>VLOOKUP(B743,DONGIA,DG!$E$6,0)</f>
        <v>0</v>
      </c>
      <c r="J743" s="329"/>
      <c r="K743" s="329">
        <f>VLOOKUP(B743,DONGIA,DG!$F$6,0)</f>
        <v>837772</v>
      </c>
      <c r="L743" s="329">
        <f>VLOOKUP(B743,DONGIA,DG!$G$6,0)</f>
        <v>310336</v>
      </c>
      <c r="M743" s="329">
        <f t="shared" si="157"/>
        <v>0</v>
      </c>
      <c r="N743" s="329">
        <f t="shared" si="157"/>
        <v>0</v>
      </c>
      <c r="O743" s="329">
        <f t="shared" si="157"/>
        <v>0</v>
      </c>
      <c r="P743" s="329">
        <f t="shared" si="157"/>
        <v>0</v>
      </c>
      <c r="Q743" s="329"/>
      <c r="S743" s="332">
        <f>IFERROR(VLOOKUP(B743,DONGIA,$S$25,0),0)</f>
        <v>0</v>
      </c>
      <c r="T743" s="332">
        <f>H743*S743</f>
        <v>0</v>
      </c>
    </row>
    <row r="744" spans="1:20" hidden="1">
      <c r="A744" s="332" t="s">
        <v>477</v>
      </c>
      <c r="C744" s="333">
        <f>IF(H744&lt;&gt;0,1,)</f>
        <v>0</v>
      </c>
      <c r="D744" s="372">
        <f>IF(H744&lt;&gt;0,D740+1,D740)</f>
        <v>0</v>
      </c>
      <c r="E744" s="372"/>
      <c r="F744" s="373" t="s">
        <v>2841</v>
      </c>
      <c r="G744" s="372" t="s">
        <v>138</v>
      </c>
      <c r="H744" s="372">
        <f>TR3X25</f>
        <v>0</v>
      </c>
      <c r="I744" s="373"/>
      <c r="J744" s="373"/>
      <c r="K744" s="373"/>
      <c r="L744" s="373"/>
      <c r="M744" s="373"/>
      <c r="N744" s="373"/>
      <c r="O744" s="373"/>
      <c r="P744" s="373"/>
      <c r="Q744" s="373"/>
      <c r="S744" s="332">
        <f t="shared" ref="S744:S751" si="158">IFERROR(VLOOKUP(B744,DONGIA,$S$25,0),0)</f>
        <v>0</v>
      </c>
      <c r="T744" s="332">
        <f t="shared" ref="T744:T751" si="159">H744*S744</f>
        <v>0</v>
      </c>
    </row>
    <row r="745" spans="1:20" s="361" customFormat="1" hidden="1">
      <c r="A745" s="361" t="s">
        <v>477</v>
      </c>
      <c r="C745" s="374">
        <f>C744</f>
        <v>0</v>
      </c>
      <c r="D745" s="350"/>
      <c r="E745" s="350"/>
      <c r="F745" s="351" t="s">
        <v>1902</v>
      </c>
      <c r="G745" s="350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S745" s="361">
        <f t="shared" si="158"/>
        <v>0</v>
      </c>
      <c r="T745" s="361">
        <f t="shared" si="159"/>
        <v>0</v>
      </c>
    </row>
    <row r="746" spans="1:20" hidden="1">
      <c r="A746" s="332" t="s">
        <v>477</v>
      </c>
      <c r="B746" s="332" t="s">
        <v>1639</v>
      </c>
      <c r="C746" s="333">
        <f t="shared" ref="C746:C752" si="160">IF(H746&lt;&gt;0,1,)</f>
        <v>0</v>
      </c>
      <c r="D746" s="328"/>
      <c r="E746" s="328">
        <f>VLOOKUP(B746,DONGIA,DG!$B$6,0)</f>
        <v>0</v>
      </c>
      <c r="F746" s="329" t="str">
        <f>VLOOKUP(B746,DONGIA,DG!$C$6,0)</f>
        <v>Xi măng</v>
      </c>
      <c r="G746" s="328" t="str">
        <f>VLOOKUP(B746,DONGIA,DG!$D$6,0)</f>
        <v>kg</v>
      </c>
      <c r="H746" s="457">
        <f>H751*296*H744</f>
        <v>0</v>
      </c>
      <c r="I746" s="329">
        <f>VLOOKUP(B746,DONGIA,DG!$E$6,0)</f>
        <v>1760</v>
      </c>
      <c r="J746" s="329"/>
      <c r="K746" s="329">
        <f>VLOOKUP(B746,DONGIA,DG!$F$6,0)</f>
        <v>0</v>
      </c>
      <c r="L746" s="329">
        <f>VLOOKUP(B746,DONGIA,DG!$G$6,0)</f>
        <v>0</v>
      </c>
      <c r="M746" s="329">
        <f t="shared" ref="M746:M751" si="161">$H746*I746</f>
        <v>0</v>
      </c>
      <c r="N746" s="329">
        <f t="shared" ref="N746:N751" si="162">$H746*J746</f>
        <v>0</v>
      </c>
      <c r="O746" s="329">
        <f t="shared" ref="O746:O751" si="163">$H746*K746</f>
        <v>0</v>
      </c>
      <c r="P746" s="329">
        <f t="shared" ref="P746:P751" si="164">$H746*L746</f>
        <v>0</v>
      </c>
      <c r="Q746" s="329"/>
      <c r="S746" s="332">
        <f t="shared" si="158"/>
        <v>1</v>
      </c>
      <c r="T746" s="332">
        <f t="shared" si="159"/>
        <v>0</v>
      </c>
    </row>
    <row r="747" spans="1:20" hidden="1">
      <c r="A747" s="332" t="s">
        <v>477</v>
      </c>
      <c r="B747" s="332" t="s">
        <v>471</v>
      </c>
      <c r="C747" s="333">
        <f t="shared" si="160"/>
        <v>0</v>
      </c>
      <c r="D747" s="328"/>
      <c r="E747" s="328">
        <f>VLOOKUP(B747,DONGIA,DG!$B$6,0)</f>
        <v>0</v>
      </c>
      <c r="F747" s="329" t="str">
        <f>VLOOKUP(B747,DONGIA,DG!$C$6,0)</f>
        <v>Cát vàng</v>
      </c>
      <c r="G747" s="328" t="str">
        <f>VLOOKUP(B747,DONGIA,DG!$D$6,0)</f>
        <v>m3</v>
      </c>
      <c r="H747" s="53">
        <f>H751*0.475*H744</f>
        <v>0</v>
      </c>
      <c r="I747" s="329">
        <f>VLOOKUP(B747,DONGIA,DG!$E$6,0)</f>
        <v>350000</v>
      </c>
      <c r="J747" s="329"/>
      <c r="K747" s="329">
        <f>VLOOKUP(B747,DONGIA,DG!$F$6,0)</f>
        <v>0</v>
      </c>
      <c r="L747" s="329">
        <f>VLOOKUP(B747,DONGIA,DG!$G$6,0)</f>
        <v>0</v>
      </c>
      <c r="M747" s="329">
        <f t="shared" si="161"/>
        <v>0</v>
      </c>
      <c r="N747" s="329">
        <f t="shared" si="162"/>
        <v>0</v>
      </c>
      <c r="O747" s="329">
        <f t="shared" si="163"/>
        <v>0</v>
      </c>
      <c r="P747" s="329">
        <f t="shared" si="164"/>
        <v>0</v>
      </c>
      <c r="Q747" s="329"/>
      <c r="S747" s="332">
        <f t="shared" si="158"/>
        <v>1500</v>
      </c>
      <c r="T747" s="332">
        <f t="shared" si="159"/>
        <v>0</v>
      </c>
    </row>
    <row r="748" spans="1:20" hidden="1">
      <c r="A748" s="332" t="s">
        <v>477</v>
      </c>
      <c r="B748" s="332" t="s">
        <v>1640</v>
      </c>
      <c r="C748" s="333">
        <f t="shared" si="160"/>
        <v>0</v>
      </c>
      <c r="D748" s="328"/>
      <c r="E748" s="328">
        <f>VLOOKUP(B748,DONGIA,DG!$B$6,0)</f>
        <v>0</v>
      </c>
      <c r="F748" s="329" t="str">
        <f>VLOOKUP(B748,DONGIA,DG!$C$6,0)</f>
        <v>Đá 1x2</v>
      </c>
      <c r="G748" s="328" t="str">
        <f>VLOOKUP(B748,DONGIA,DG!$D$6,0)</f>
        <v>m3</v>
      </c>
      <c r="H748" s="53">
        <f>H751*0.881*H744</f>
        <v>0</v>
      </c>
      <c r="I748" s="329">
        <f>VLOOKUP(B748,DONGIA,DG!$E$6,0)</f>
        <v>342000</v>
      </c>
      <c r="J748" s="329"/>
      <c r="K748" s="329">
        <f>VLOOKUP(B748,DONGIA,DG!$F$6,0)</f>
        <v>0</v>
      </c>
      <c r="L748" s="329">
        <f>VLOOKUP(B748,DONGIA,DG!$G$6,0)</f>
        <v>0</v>
      </c>
      <c r="M748" s="329">
        <f t="shared" si="161"/>
        <v>0</v>
      </c>
      <c r="N748" s="329">
        <f t="shared" si="162"/>
        <v>0</v>
      </c>
      <c r="O748" s="329">
        <f t="shared" si="163"/>
        <v>0</v>
      </c>
      <c r="P748" s="329">
        <f t="shared" si="164"/>
        <v>0</v>
      </c>
      <c r="Q748" s="329"/>
      <c r="S748" s="332">
        <f t="shared" si="158"/>
        <v>1500</v>
      </c>
      <c r="T748" s="332">
        <f t="shared" si="159"/>
        <v>0</v>
      </c>
    </row>
    <row r="749" spans="1:20" s="352" customFormat="1" hidden="1">
      <c r="A749" s="352" t="s">
        <v>477</v>
      </c>
      <c r="B749" s="352" t="s">
        <v>499</v>
      </c>
      <c r="C749" s="484">
        <f t="shared" si="160"/>
        <v>0</v>
      </c>
      <c r="D749" s="363"/>
      <c r="E749" s="363" t="str">
        <f>VLOOKUP(B749,DONGIA,DG!$B$6,0)</f>
        <v>AB.11423</v>
      </c>
      <c r="F749" s="362" t="str">
        <f>VLOOKUP(B749,DONGIA,DG!$C$6,0)&amp;" (ĐC hệ số 0,9)"</f>
        <v>Đào hố móng đất cấp 3 sâu &gt;1m (rộng ≤1m) (ĐC hệ số 0,9)</v>
      </c>
      <c r="G749" s="363" t="str">
        <f>VLOOKUP(B749,DONGIA,DG!$D$6,0)</f>
        <v>m3</v>
      </c>
      <c r="H749" s="53">
        <f>1.209*H744</f>
        <v>0</v>
      </c>
      <c r="I749" s="362">
        <f>VLOOKUP(B749,DONGIA,DG!$E$6,0)</f>
        <v>0</v>
      </c>
      <c r="J749" s="362"/>
      <c r="K749" s="362">
        <f>ROUND(VLOOKUP(B749,DONGIA,DG!$F$6,0)/NCTBA,0)</f>
        <v>418738</v>
      </c>
      <c r="L749" s="362">
        <f>VLOOKUP(B749,DONGIA,DG!$G$6,0)</f>
        <v>0</v>
      </c>
      <c r="M749" s="362">
        <f t="shared" si="161"/>
        <v>0</v>
      </c>
      <c r="N749" s="362">
        <f t="shared" si="162"/>
        <v>0</v>
      </c>
      <c r="O749" s="362">
        <f t="shared" si="163"/>
        <v>0</v>
      </c>
      <c r="P749" s="362">
        <f t="shared" si="164"/>
        <v>0</v>
      </c>
      <c r="Q749" s="362"/>
      <c r="S749" s="352">
        <f t="shared" si="158"/>
        <v>0</v>
      </c>
      <c r="T749" s="352">
        <f t="shared" si="159"/>
        <v>0</v>
      </c>
    </row>
    <row r="750" spans="1:20" s="352" customFormat="1" hidden="1">
      <c r="A750" s="352" t="s">
        <v>477</v>
      </c>
      <c r="B750" s="352" t="s">
        <v>510</v>
      </c>
      <c r="C750" s="484">
        <f t="shared" si="160"/>
        <v>0</v>
      </c>
      <c r="D750" s="363"/>
      <c r="E750" s="363" t="str">
        <f>VLOOKUP(B750,DONGIA,DG!$B$6,0)</f>
        <v>AB.65110</v>
      </c>
      <c r="F750" s="362" t="str">
        <f>VLOOKUP(B750,DONGIA,DG!$C$6,0)&amp;" (ĐC hệ số 0,9)"</f>
        <v>Đắp đất hố móng (K=0,85) (ĐC hệ số 0,9)</v>
      </c>
      <c r="G750" s="363" t="str">
        <f>VLOOKUP(B750,DONGIA,DG!$D$6,0)</f>
        <v>m3</v>
      </c>
      <c r="H750" s="53">
        <f>0.035*H744</f>
        <v>0</v>
      </c>
      <c r="I750" s="362">
        <f>VLOOKUP(B750,DONGIA,DG!$E$6,0)</f>
        <v>0</v>
      </c>
      <c r="J750" s="362"/>
      <c r="K750" s="362">
        <f>ROUND(VLOOKUP(B750,DONGIA,DG!$F$6,0)/NCTBA,0)</f>
        <v>16267</v>
      </c>
      <c r="L750" s="362">
        <f>VLOOKUP(B750,DONGIA,DG!$G$6,0)</f>
        <v>11176</v>
      </c>
      <c r="M750" s="362">
        <f t="shared" si="161"/>
        <v>0</v>
      </c>
      <c r="N750" s="362">
        <f t="shared" si="162"/>
        <v>0</v>
      </c>
      <c r="O750" s="362">
        <f t="shared" si="163"/>
        <v>0</v>
      </c>
      <c r="P750" s="362">
        <f t="shared" si="164"/>
        <v>0</v>
      </c>
      <c r="Q750" s="362"/>
      <c r="S750" s="352">
        <f t="shared" si="158"/>
        <v>0</v>
      </c>
      <c r="T750" s="352">
        <f t="shared" si="159"/>
        <v>0</v>
      </c>
    </row>
    <row r="751" spans="1:20" s="352" customFormat="1" hidden="1">
      <c r="A751" s="352" t="s">
        <v>477</v>
      </c>
      <c r="B751" s="352" t="s">
        <v>710</v>
      </c>
      <c r="C751" s="484">
        <f t="shared" si="160"/>
        <v>0</v>
      </c>
      <c r="D751" s="363"/>
      <c r="E751" s="363" t="str">
        <f>VLOOKUP(B751,DONGIA,DG!$B$6,0)</f>
        <v>AF.11210</v>
      </c>
      <c r="F751" s="362" t="str">
        <f>VLOOKUP(B751,DONGIA,DG!$C$6,0)&amp;" (ĐC hệ số 0,9)"</f>
        <v>Đổ bê tông mác M150 đá 1x2 (ĐC hệ số 0,9)</v>
      </c>
      <c r="G751" s="363" t="str">
        <f>VLOOKUP(B751,DONGIA,DG!$D$6,0)</f>
        <v>m3</v>
      </c>
      <c r="H751" s="53">
        <f>1.042*H744</f>
        <v>0</v>
      </c>
      <c r="I751" s="362">
        <f>VLOOKUP(B751,DONGIA,DG!$E$6,0)</f>
        <v>0</v>
      </c>
      <c r="J751" s="362"/>
      <c r="K751" s="362">
        <f>ROUND(VLOOKUP(B751,DONGIA,DG!$F$6,0)/NCTBA,0)</f>
        <v>293475</v>
      </c>
      <c r="L751" s="362">
        <f>VLOOKUP(B751,DONGIA,DG!$G$6,0)</f>
        <v>44701</v>
      </c>
      <c r="M751" s="362">
        <f t="shared" si="161"/>
        <v>0</v>
      </c>
      <c r="N751" s="362">
        <f t="shared" si="162"/>
        <v>0</v>
      </c>
      <c r="O751" s="362">
        <f t="shared" si="163"/>
        <v>0</v>
      </c>
      <c r="P751" s="362">
        <f t="shared" si="164"/>
        <v>0</v>
      </c>
      <c r="Q751" s="362"/>
      <c r="S751" s="352">
        <f t="shared" si="158"/>
        <v>0</v>
      </c>
      <c r="T751" s="352">
        <f t="shared" si="159"/>
        <v>0</v>
      </c>
    </row>
    <row r="752" spans="1:20" hidden="1">
      <c r="A752" s="332" t="s">
        <v>477</v>
      </c>
      <c r="C752" s="333">
        <f t="shared" si="160"/>
        <v>0</v>
      </c>
      <c r="D752" s="372">
        <f>IF(H752&lt;&gt;0,D744+1,D744)</f>
        <v>0</v>
      </c>
      <c r="E752" s="372"/>
      <c r="F752" s="373" t="s">
        <v>2933</v>
      </c>
      <c r="G752" s="372" t="s">
        <v>138</v>
      </c>
      <c r="H752" s="372">
        <f>TR3X25</f>
        <v>0</v>
      </c>
      <c r="I752" s="373"/>
      <c r="J752" s="373"/>
      <c r="K752" s="373"/>
      <c r="L752" s="373"/>
      <c r="M752" s="373"/>
      <c r="N752" s="373"/>
      <c r="O752" s="373"/>
      <c r="P752" s="373"/>
      <c r="Q752" s="373"/>
      <c r="S752" s="332">
        <f t="shared" ref="S752:S763" si="165">IFERROR(VLOOKUP(B752,DONGIA,$S$25,0),0)</f>
        <v>0</v>
      </c>
      <c r="T752" s="332">
        <f t="shared" ref="T752:T763" si="166">H752*S752</f>
        <v>0</v>
      </c>
    </row>
    <row r="753" spans="1:20" s="361" customFormat="1" hidden="1">
      <c r="A753" s="361" t="s">
        <v>477</v>
      </c>
      <c r="C753" s="374">
        <f>C752</f>
        <v>0</v>
      </c>
      <c r="D753" s="350"/>
      <c r="E753" s="350"/>
      <c r="F753" s="351" t="s">
        <v>1902</v>
      </c>
      <c r="G753" s="350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S753" s="361">
        <f t="shared" si="165"/>
        <v>0</v>
      </c>
      <c r="T753" s="361">
        <f t="shared" si="166"/>
        <v>0</v>
      </c>
    </row>
    <row r="754" spans="1:20" hidden="1">
      <c r="A754" s="332" t="s">
        <v>477</v>
      </c>
      <c r="B754" s="332" t="s">
        <v>414</v>
      </c>
      <c r="C754" s="333">
        <f t="shared" ref="C754:C763" si="167">IF(H754&lt;&gt;0,1,)</f>
        <v>0</v>
      </c>
      <c r="D754" s="328"/>
      <c r="E754" s="328">
        <f>VLOOKUP(B754,DONGIA,DG!$B$6,0)</f>
        <v>0</v>
      </c>
      <c r="F754" s="329" t="str">
        <f>VLOOKUP(B754,DONGIA,DG!$C$6,0)</f>
        <v>Đà sắt L75x75x8-1660 - 2 ốp</v>
      </c>
      <c r="G754" s="328" t="str">
        <f>VLOOKUP(B754,DONGIA,DG!$D$6,0)</f>
        <v>cái</v>
      </c>
      <c r="H754" s="329">
        <f>H752*2</f>
        <v>0</v>
      </c>
      <c r="I754" s="329">
        <f>VLOOKUP(B754,DONGIA,DG!$E$6,0)</f>
        <v>474000</v>
      </c>
      <c r="J754" s="329"/>
      <c r="K754" s="329">
        <f>VLOOKUP(B754,DONGIA,DG!$F$6,0)</f>
        <v>0</v>
      </c>
      <c r="L754" s="329">
        <f>VLOOKUP(B754,DONGIA,DG!$G$6,0)</f>
        <v>0</v>
      </c>
      <c r="M754" s="329">
        <f t="shared" ref="M754:M763" si="168">$H754*I754</f>
        <v>0</v>
      </c>
      <c r="N754" s="329">
        <f t="shared" ref="N754:N763" si="169">$H754*J754</f>
        <v>0</v>
      </c>
      <c r="O754" s="329">
        <f t="shared" ref="O754:O763" si="170">$H754*K754</f>
        <v>0</v>
      </c>
      <c r="P754" s="329">
        <f t="shared" ref="P754:P763" si="171">$H754*L754</f>
        <v>0</v>
      </c>
      <c r="Q754" s="329"/>
      <c r="S754" s="332">
        <f t="shared" si="165"/>
        <v>23</v>
      </c>
      <c r="T754" s="332">
        <f t="shared" si="166"/>
        <v>0</v>
      </c>
    </row>
    <row r="755" spans="1:20" hidden="1">
      <c r="A755" s="332" t="s">
        <v>477</v>
      </c>
      <c r="B755" s="332" t="s">
        <v>422</v>
      </c>
      <c r="C755" s="333">
        <f t="shared" si="167"/>
        <v>0</v>
      </c>
      <c r="D755" s="328"/>
      <c r="E755" s="328">
        <f>VLOOKUP(B755,DONGIA,DG!$B$6,0)</f>
        <v>0</v>
      </c>
      <c r="F755" s="329" t="str">
        <f>VLOOKUP(B755,DONGIA,DG!$C$6,0)</f>
        <v>Thanh chống L50x50x5-810</v>
      </c>
      <c r="G755" s="328" t="str">
        <f>VLOOKUP(B755,DONGIA,DG!$D$6,0)</f>
        <v>cái</v>
      </c>
      <c r="H755" s="329">
        <f>H754*2</f>
        <v>0</v>
      </c>
      <c r="I755" s="329">
        <f>VLOOKUP(B755,DONGIA,DG!$E$6,0)</f>
        <v>87800</v>
      </c>
      <c r="J755" s="329"/>
      <c r="K755" s="329">
        <f>VLOOKUP(B755,DONGIA,DG!$F$6,0)</f>
        <v>0</v>
      </c>
      <c r="L755" s="329">
        <f>VLOOKUP(B755,DONGIA,DG!$G$6,0)</f>
        <v>0</v>
      </c>
      <c r="M755" s="329">
        <f t="shared" si="168"/>
        <v>0</v>
      </c>
      <c r="N755" s="329">
        <f t="shared" si="169"/>
        <v>0</v>
      </c>
      <c r="O755" s="329">
        <f t="shared" si="170"/>
        <v>0</v>
      </c>
      <c r="P755" s="329">
        <f t="shared" si="171"/>
        <v>0</v>
      </c>
      <c r="Q755" s="329"/>
      <c r="S755" s="332">
        <f t="shared" si="165"/>
        <v>3.5</v>
      </c>
      <c r="T755" s="332">
        <f t="shared" si="166"/>
        <v>0</v>
      </c>
    </row>
    <row r="756" spans="1:20" hidden="1">
      <c r="A756" s="332" t="s">
        <v>477</v>
      </c>
      <c r="B756" s="332" t="s">
        <v>29</v>
      </c>
      <c r="C756" s="333">
        <f t="shared" si="167"/>
        <v>0</v>
      </c>
      <c r="D756" s="328"/>
      <c r="E756" s="328">
        <f>VLOOKUP(B756,DONGIA,DG!$B$6,0)</f>
        <v>0</v>
      </c>
      <c r="F756" s="329" t="str">
        <f>VLOOKUP(B756,DONGIA,DG!$C$6,0)</f>
        <v>Boulon 16x50+ 2 long đền vuông D18-50x50x3/Zn</v>
      </c>
      <c r="G756" s="328" t="str">
        <f>VLOOKUP(B756,DONGIA,DG!$D$6,0)</f>
        <v>bộ</v>
      </c>
      <c r="H756" s="329">
        <f>H752*3*2</f>
        <v>0</v>
      </c>
      <c r="I756" s="329">
        <f>VLOOKUP(B756,DONGIA,DG!$E$6,0)</f>
        <v>17000</v>
      </c>
      <c r="J756" s="329"/>
      <c r="K756" s="329">
        <f>VLOOKUP(B756,DONGIA,DG!$F$6,0)</f>
        <v>0</v>
      </c>
      <c r="L756" s="329">
        <f>VLOOKUP(B756,DONGIA,DG!$G$6,0)</f>
        <v>0</v>
      </c>
      <c r="M756" s="329">
        <f t="shared" si="168"/>
        <v>0</v>
      </c>
      <c r="N756" s="329">
        <f t="shared" si="169"/>
        <v>0</v>
      </c>
      <c r="O756" s="329">
        <f t="shared" si="170"/>
        <v>0</v>
      </c>
      <c r="P756" s="329">
        <f t="shared" si="171"/>
        <v>0</v>
      </c>
      <c r="Q756" s="329"/>
      <c r="S756" s="332">
        <f t="shared" si="165"/>
        <v>0.25</v>
      </c>
      <c r="T756" s="332">
        <f t="shared" si="166"/>
        <v>0</v>
      </c>
    </row>
    <row r="757" spans="1:20" hidden="1">
      <c r="A757" s="332" t="s">
        <v>477</v>
      </c>
      <c r="B757" s="332" t="s">
        <v>33</v>
      </c>
      <c r="C757" s="333">
        <f t="shared" si="167"/>
        <v>0</v>
      </c>
      <c r="D757" s="328"/>
      <c r="E757" s="328">
        <f>VLOOKUP(B757,DONGIA,DG!$B$6,0)</f>
        <v>0</v>
      </c>
      <c r="F757" s="329" t="str">
        <f>VLOOKUP(B757,DONGIA,DG!$C$6,0)</f>
        <v>Boulon 16x250+ 2 long đền vuông D18-50x50x3/Zn</v>
      </c>
      <c r="G757" s="328" t="str">
        <f>VLOOKUP(B757,DONGIA,DG!$D$6,0)</f>
        <v>bộ</v>
      </c>
      <c r="H757" s="329">
        <f>H752*3</f>
        <v>0</v>
      </c>
      <c r="I757" s="329">
        <f>VLOOKUP(B757,DONGIA,DG!$E$6,0)</f>
        <v>28000</v>
      </c>
      <c r="J757" s="329"/>
      <c r="K757" s="329">
        <f>VLOOKUP(B757,DONGIA,DG!$F$6,0)</f>
        <v>0</v>
      </c>
      <c r="L757" s="329">
        <f>VLOOKUP(B757,DONGIA,DG!$G$6,0)</f>
        <v>0</v>
      </c>
      <c r="M757" s="329">
        <f t="shared" si="168"/>
        <v>0</v>
      </c>
      <c r="N757" s="329">
        <f t="shared" si="169"/>
        <v>0</v>
      </c>
      <c r="O757" s="329">
        <f t="shared" si="170"/>
        <v>0</v>
      </c>
      <c r="P757" s="329">
        <f t="shared" si="171"/>
        <v>0</v>
      </c>
      <c r="Q757" s="329"/>
      <c r="S757" s="332">
        <f t="shared" si="165"/>
        <v>0.23</v>
      </c>
      <c r="T757" s="332">
        <f t="shared" si="166"/>
        <v>0</v>
      </c>
    </row>
    <row r="758" spans="1:20" hidden="1">
      <c r="A758" s="332" t="s">
        <v>477</v>
      </c>
      <c r="B758" s="332" t="s">
        <v>35</v>
      </c>
      <c r="C758" s="333">
        <f t="shared" si="167"/>
        <v>0</v>
      </c>
      <c r="D758" s="328"/>
      <c r="E758" s="328">
        <f>VLOOKUP(B758,DONGIA,DG!$B$6,0)</f>
        <v>0</v>
      </c>
      <c r="F758" s="329" t="str">
        <f>VLOOKUP(B758,DONGIA,DG!$C$6,0)</f>
        <v>Boulon 16x300+ 2 long đền vuông D18-50x50x3/Zn</v>
      </c>
      <c r="G758" s="328" t="str">
        <f>VLOOKUP(B758,DONGIA,DG!$D$6,0)</f>
        <v>bộ</v>
      </c>
      <c r="H758" s="329">
        <f>H752</f>
        <v>0</v>
      </c>
      <c r="I758" s="329">
        <f>VLOOKUP(B758,DONGIA,DG!$E$6,0)</f>
        <v>30000</v>
      </c>
      <c r="J758" s="329"/>
      <c r="K758" s="329">
        <f>VLOOKUP(B758,DONGIA,DG!$F$6,0)</f>
        <v>0</v>
      </c>
      <c r="L758" s="329">
        <f>VLOOKUP(B758,DONGIA,DG!$G$6,0)</f>
        <v>0</v>
      </c>
      <c r="M758" s="329">
        <f t="shared" si="168"/>
        <v>0</v>
      </c>
      <c r="N758" s="329">
        <f t="shared" si="169"/>
        <v>0</v>
      </c>
      <c r="O758" s="329">
        <f t="shared" si="170"/>
        <v>0</v>
      </c>
      <c r="P758" s="329">
        <f t="shared" si="171"/>
        <v>0</v>
      </c>
      <c r="Q758" s="329"/>
      <c r="S758" s="332">
        <f t="shared" si="165"/>
        <v>0.25</v>
      </c>
      <c r="T758" s="332">
        <f t="shared" si="166"/>
        <v>0</v>
      </c>
    </row>
    <row r="759" spans="1:20" hidden="1">
      <c r="A759" s="332" t="s">
        <v>477</v>
      </c>
      <c r="B759" s="332" t="s">
        <v>404</v>
      </c>
      <c r="C759" s="333">
        <f>IF(H759&lt;&gt;0,1,)</f>
        <v>0</v>
      </c>
      <c r="D759" s="328"/>
      <c r="E759" s="328" t="str">
        <f>VLOOKUP(B759,DONGIA,DG!$B$6,0)</f>
        <v>D3.1115</v>
      </c>
      <c r="F759" s="329" t="str">
        <f>VLOOKUP(B759,DONGIA,DG!$C$6,0)</f>
        <v>Sứ đứng 24KV, đường rò 540mm</v>
      </c>
      <c r="G759" s="328" t="str">
        <f>VLOOKUP(B759,DONGIA,DG!$D$6,0)</f>
        <v>cái</v>
      </c>
      <c r="H759" s="329">
        <f>H752*3</f>
        <v>0</v>
      </c>
      <c r="I759" s="329">
        <f>VLOOKUP(B759,DONGIA,DG!$E$6,0)</f>
        <v>195000</v>
      </c>
      <c r="J759" s="329"/>
      <c r="K759" s="329">
        <f>VLOOKUP(B759,DONGIA,DG!$F$6,0)</f>
        <v>49616</v>
      </c>
      <c r="L759" s="329">
        <f>VLOOKUP(B759,DONGIA,DG!$G$6,0)</f>
        <v>0</v>
      </c>
      <c r="M759" s="329">
        <f t="shared" ref="M759:P762" si="172">$H759*I759</f>
        <v>0</v>
      </c>
      <c r="N759" s="329">
        <f t="shared" si="172"/>
        <v>0</v>
      </c>
      <c r="O759" s="329">
        <f t="shared" si="172"/>
        <v>0</v>
      </c>
      <c r="P759" s="329">
        <f t="shared" si="172"/>
        <v>0</v>
      </c>
      <c r="Q759" s="329"/>
      <c r="S759" s="332">
        <f>IFERROR(VLOOKUP(B759,DONGIA,$S$25,0),0)</f>
        <v>4</v>
      </c>
      <c r="T759" s="332">
        <f>H759*S759</f>
        <v>0</v>
      </c>
    </row>
    <row r="760" spans="1:20" hidden="1">
      <c r="A760" s="332" t="s">
        <v>477</v>
      </c>
      <c r="B760" s="332" t="s">
        <v>274</v>
      </c>
      <c r="C760" s="333">
        <f>IF(H760&lt;&gt;0,1,)</f>
        <v>0</v>
      </c>
      <c r="D760" s="328"/>
      <c r="E760" s="328">
        <f>VLOOKUP(B760,DONGIA,DG!$B$6,0)</f>
        <v>0</v>
      </c>
      <c r="F760" s="329" t="str">
        <f>VLOOKUP(B760,DONGIA,DG!$C$6,0)</f>
        <v>Chân sứ đứng 24kV</v>
      </c>
      <c r="G760" s="328" t="str">
        <f>VLOOKUP(B760,DONGIA,DG!$D$6,0)</f>
        <v>cái</v>
      </c>
      <c r="H760" s="329">
        <f>H752*2</f>
        <v>0</v>
      </c>
      <c r="I760" s="329">
        <f>VLOOKUP(B760,DONGIA,DG!$E$6,0)</f>
        <v>60000</v>
      </c>
      <c r="J760" s="329"/>
      <c r="K760" s="329">
        <f>VLOOKUP(B760,DONGIA,DG!$F$6,0)</f>
        <v>0</v>
      </c>
      <c r="L760" s="329">
        <f>VLOOKUP(B760,DONGIA,DG!$G$6,0)</f>
        <v>0</v>
      </c>
      <c r="M760" s="329">
        <f t="shared" si="172"/>
        <v>0</v>
      </c>
      <c r="N760" s="329">
        <f t="shared" si="172"/>
        <v>0</v>
      </c>
      <c r="O760" s="329">
        <f t="shared" si="172"/>
        <v>0</v>
      </c>
      <c r="P760" s="329">
        <f t="shared" si="172"/>
        <v>0</v>
      </c>
      <c r="Q760" s="329"/>
      <c r="S760" s="332">
        <f>IFERROR(VLOOKUP(B760,DONGIA,$S$25,0),0)</f>
        <v>3</v>
      </c>
      <c r="T760" s="332">
        <f>H760*S760</f>
        <v>0</v>
      </c>
    </row>
    <row r="761" spans="1:20" hidden="1">
      <c r="A761" s="332" t="s">
        <v>477</v>
      </c>
      <c r="B761" s="332" t="s">
        <v>270</v>
      </c>
      <c r="C761" s="333">
        <f>IF(H761&lt;&gt;0,1,)</f>
        <v>0</v>
      </c>
      <c r="D761" s="328"/>
      <c r="E761" s="328">
        <f>VLOOKUP(B761,DONGIA,DG!$B$6,0)</f>
        <v>0</v>
      </c>
      <c r="F761" s="329" t="str">
        <f>VLOOKUP(B761,DONGIA,DG!$C$6,0)</f>
        <v>Chân sứ đỉnh thẳng dài 870 dày 4mm</v>
      </c>
      <c r="G761" s="328" t="str">
        <f>VLOOKUP(B761,DONGIA,DG!$D$6,0)</f>
        <v>cái</v>
      </c>
      <c r="H761" s="329">
        <f>H752</f>
        <v>0</v>
      </c>
      <c r="I761" s="329">
        <f>VLOOKUP(B761,DONGIA,DG!$E$6,0)</f>
        <v>115000</v>
      </c>
      <c r="J761" s="329"/>
      <c r="K761" s="329">
        <f>VLOOKUP(B761,DONGIA,DG!$F$6,0)</f>
        <v>0</v>
      </c>
      <c r="L761" s="329">
        <f>VLOOKUP(B761,DONGIA,DG!$G$6,0)</f>
        <v>0</v>
      </c>
      <c r="M761" s="329">
        <f t="shared" si="172"/>
        <v>0</v>
      </c>
      <c r="N761" s="329">
        <f t="shared" si="172"/>
        <v>0</v>
      </c>
      <c r="O761" s="329">
        <f t="shared" si="172"/>
        <v>0</v>
      </c>
      <c r="P761" s="329">
        <f t="shared" si="172"/>
        <v>0</v>
      </c>
      <c r="Q761" s="329"/>
      <c r="S761" s="332">
        <f>IFERROR(VLOOKUP(B761,DONGIA,$S$25,0),0)</f>
        <v>5</v>
      </c>
      <c r="T761" s="332">
        <f>H761*S761</f>
        <v>0</v>
      </c>
    </row>
    <row r="762" spans="1:20" hidden="1">
      <c r="A762" s="332" t="s">
        <v>477</v>
      </c>
      <c r="B762" s="332" t="s">
        <v>2872</v>
      </c>
      <c r="C762" s="333">
        <f>IF(H762&lt;&gt;0,1,)</f>
        <v>0</v>
      </c>
      <c r="D762" s="328"/>
      <c r="E762" s="328" t="str">
        <f>VLOOKUP(B762,DONGIA,DG!$B$6,0)</f>
        <v>T4.2201</v>
      </c>
      <c r="F762" s="329" t="str">
        <f>VLOOKUP(B762,DONGIA,DG!$C$6,0)</f>
        <v>Lắp sứ đứng 24KV trong TBA</v>
      </c>
      <c r="G762" s="328" t="str">
        <f>VLOOKUP(B762,DONGIA,DG!$D$6,0)</f>
        <v>bộ</v>
      </c>
      <c r="H762" s="329">
        <f>H759</f>
        <v>0</v>
      </c>
      <c r="I762" s="329">
        <f>VLOOKUP(B762,DONGIA,DG!$E$6,0)</f>
        <v>0</v>
      </c>
      <c r="J762" s="329"/>
      <c r="K762" s="329">
        <f>VLOOKUP(B762,DONGIA,DG!$F$6,0)</f>
        <v>54496</v>
      </c>
      <c r="L762" s="329">
        <f>VLOOKUP(B762,DONGIA,DG!$G$6,0)</f>
        <v>0</v>
      </c>
      <c r="M762" s="329">
        <f t="shared" si="172"/>
        <v>0</v>
      </c>
      <c r="N762" s="329">
        <f t="shared" si="172"/>
        <v>0</v>
      </c>
      <c r="O762" s="329">
        <f t="shared" si="172"/>
        <v>0</v>
      </c>
      <c r="P762" s="329">
        <f t="shared" si="172"/>
        <v>0</v>
      </c>
      <c r="Q762" s="329"/>
      <c r="S762" s="332">
        <f>IFERROR(VLOOKUP(B762,DONGIA,$S$25,0),0)</f>
        <v>0</v>
      </c>
      <c r="T762" s="332">
        <f>H762*S762</f>
        <v>0</v>
      </c>
    </row>
    <row r="763" spans="1:20" hidden="1">
      <c r="A763" s="332" t="s">
        <v>477</v>
      </c>
      <c r="B763" s="332" t="s">
        <v>629</v>
      </c>
      <c r="C763" s="333">
        <f t="shared" si="167"/>
        <v>0</v>
      </c>
      <c r="D763" s="328"/>
      <c r="E763" s="328" t="str">
        <f>VLOOKUP(B763,DONGIA,DG!$B$6,0)</f>
        <v>D2.6021c</v>
      </c>
      <c r="F763" s="329" t="str">
        <f>VLOOKUP(B763,DONGIA,DG!$C$6,0)</f>
        <v>Lắp đặt xà thép L75x75x8x1660 đơn cột đỡ (26,5504 kg/bộ)</v>
      </c>
      <c r="G763" s="328" t="str">
        <f>VLOOKUP(B763,DONGIA,DG!$D$6,0)</f>
        <v>bộ</v>
      </c>
      <c r="H763" s="329">
        <f>H755</f>
        <v>0</v>
      </c>
      <c r="I763" s="329">
        <f>VLOOKUP(B763,DONGIA,DG!$E$6,0)</f>
        <v>0</v>
      </c>
      <c r="J763" s="329"/>
      <c r="K763" s="329">
        <f>VLOOKUP(B763,DONGIA,DG!$F$6,0)</f>
        <v>286074</v>
      </c>
      <c r="L763" s="329">
        <f>VLOOKUP(B763,DONGIA,DG!$G$6,0)</f>
        <v>0</v>
      </c>
      <c r="M763" s="329">
        <f t="shared" si="168"/>
        <v>0</v>
      </c>
      <c r="N763" s="329">
        <f t="shared" si="169"/>
        <v>0</v>
      </c>
      <c r="O763" s="329">
        <f t="shared" si="170"/>
        <v>0</v>
      </c>
      <c r="P763" s="329">
        <f t="shared" si="171"/>
        <v>0</v>
      </c>
      <c r="Q763" s="329"/>
      <c r="S763" s="332">
        <f t="shared" si="165"/>
        <v>0</v>
      </c>
      <c r="T763" s="332">
        <f t="shared" si="166"/>
        <v>0</v>
      </c>
    </row>
    <row r="764" spans="1:20" hidden="1">
      <c r="A764" s="332" t="s">
        <v>477</v>
      </c>
      <c r="C764" s="333">
        <f t="shared" si="150"/>
        <v>0</v>
      </c>
      <c r="D764" s="372">
        <f>IF(H764&lt;&gt;0,D752+1,D752)</f>
        <v>0</v>
      </c>
      <c r="E764" s="372"/>
      <c r="F764" s="373" t="s">
        <v>1932</v>
      </c>
      <c r="G764" s="372" t="s">
        <v>138</v>
      </c>
      <c r="H764" s="372">
        <f>TR3X25</f>
        <v>0</v>
      </c>
      <c r="I764" s="373"/>
      <c r="J764" s="373"/>
      <c r="K764" s="373"/>
      <c r="L764" s="373"/>
      <c r="M764" s="373"/>
      <c r="N764" s="373"/>
      <c r="O764" s="373"/>
      <c r="P764" s="373"/>
      <c r="Q764" s="373"/>
      <c r="S764" s="332">
        <f t="shared" si="149"/>
        <v>0</v>
      </c>
      <c r="T764" s="332">
        <f t="shared" si="151"/>
        <v>0</v>
      </c>
    </row>
    <row r="765" spans="1:20" s="361" customFormat="1" hidden="1">
      <c r="A765" s="361" t="s">
        <v>477</v>
      </c>
      <c r="C765" s="374">
        <f>C764</f>
        <v>0</v>
      </c>
      <c r="D765" s="350"/>
      <c r="E765" s="350"/>
      <c r="F765" s="351" t="s">
        <v>1902</v>
      </c>
      <c r="G765" s="350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S765" s="361">
        <f t="shared" si="149"/>
        <v>0</v>
      </c>
      <c r="T765" s="361">
        <f t="shared" si="151"/>
        <v>0</v>
      </c>
    </row>
    <row r="766" spans="1:20" hidden="1">
      <c r="A766" s="332" t="s">
        <v>477</v>
      </c>
      <c r="B766" s="332" t="s">
        <v>18</v>
      </c>
      <c r="C766" s="333">
        <f t="shared" si="150"/>
        <v>0</v>
      </c>
      <c r="D766" s="328"/>
      <c r="E766" s="328">
        <f>VLOOKUP(B766,DONGIA,DG!$B$6,0)</f>
        <v>0</v>
      </c>
      <c r="F766" s="329" t="str">
        <f>VLOOKUP(B766,DONGIA,DG!$C$6,0)</f>
        <v>Đà hộp composite 110x80x5-2400</v>
      </c>
      <c r="G766" s="328" t="str">
        <f>VLOOKUP(B766,DONGIA,DG!$D$6,0)</f>
        <v>cái</v>
      </c>
      <c r="H766" s="329">
        <f>H764*2</f>
        <v>0</v>
      </c>
      <c r="I766" s="329">
        <f>VLOOKUP(B766,DONGIA,DG!$E$6,0)</f>
        <v>812200</v>
      </c>
      <c r="J766" s="329"/>
      <c r="K766" s="329">
        <f>VLOOKUP(B766,DONGIA,DG!$F$6,0)</f>
        <v>0</v>
      </c>
      <c r="L766" s="329">
        <f>VLOOKUP(B766,DONGIA,DG!$G$6,0)</f>
        <v>0</v>
      </c>
      <c r="M766" s="329">
        <f t="shared" ref="M766:P772" si="173">$H766*I766</f>
        <v>0</v>
      </c>
      <c r="N766" s="329">
        <f t="shared" si="173"/>
        <v>0</v>
      </c>
      <c r="O766" s="329">
        <f t="shared" si="173"/>
        <v>0</v>
      </c>
      <c r="P766" s="329">
        <f t="shared" si="173"/>
        <v>0</v>
      </c>
      <c r="Q766" s="329"/>
      <c r="S766" s="332">
        <f t="shared" si="149"/>
        <v>9.6</v>
      </c>
      <c r="T766" s="332">
        <f t="shared" si="151"/>
        <v>0</v>
      </c>
    </row>
    <row r="767" spans="1:20" hidden="1">
      <c r="A767" s="332" t="s">
        <v>477</v>
      </c>
      <c r="B767" s="332" t="s">
        <v>20</v>
      </c>
      <c r="C767" s="333">
        <f t="shared" si="150"/>
        <v>0</v>
      </c>
      <c r="D767" s="328"/>
      <c r="E767" s="328">
        <f>VLOOKUP(B767,DONGIA,DG!$B$6,0)</f>
        <v>0</v>
      </c>
      <c r="F767" s="329" t="str">
        <f>VLOOKUP(B767,DONGIA,DG!$C$6,0)</f>
        <v>Thanh chống Composite dẹp 10x40x920</v>
      </c>
      <c r="G767" s="328" t="str">
        <f>VLOOKUP(B767,DONGIA,DG!$D$6,0)</f>
        <v>cái</v>
      </c>
      <c r="H767" s="329">
        <f>H766*2</f>
        <v>0</v>
      </c>
      <c r="I767" s="329">
        <f>VLOOKUP(B767,DONGIA,DG!$E$6,0)</f>
        <v>108100</v>
      </c>
      <c r="J767" s="329"/>
      <c r="K767" s="329">
        <f>VLOOKUP(B767,DONGIA,DG!$F$6,0)</f>
        <v>0</v>
      </c>
      <c r="L767" s="329">
        <f>VLOOKUP(B767,DONGIA,DG!$G$6,0)</f>
        <v>0</v>
      </c>
      <c r="M767" s="329">
        <f t="shared" si="173"/>
        <v>0</v>
      </c>
      <c r="N767" s="329">
        <f t="shared" si="173"/>
        <v>0</v>
      </c>
      <c r="O767" s="329">
        <f t="shared" si="173"/>
        <v>0</v>
      </c>
      <c r="P767" s="329">
        <f t="shared" si="173"/>
        <v>0</v>
      </c>
      <c r="Q767" s="329"/>
      <c r="S767" s="332">
        <f t="shared" si="149"/>
        <v>0.7</v>
      </c>
      <c r="T767" s="332">
        <f t="shared" si="151"/>
        <v>0</v>
      </c>
    </row>
    <row r="768" spans="1:20" hidden="1">
      <c r="A768" s="332" t="s">
        <v>477</v>
      </c>
      <c r="B768" s="332" t="s">
        <v>137</v>
      </c>
      <c r="C768" s="333">
        <f t="shared" si="150"/>
        <v>0</v>
      </c>
      <c r="D768" s="328"/>
      <c r="E768" s="328">
        <f>VLOOKUP(B768,DONGIA,DG!$B$6,0)</f>
        <v>0</v>
      </c>
      <c r="F768" s="329" t="str">
        <f>VLOOKUP(B768,DONGIA,DG!$C$6,0)</f>
        <v>Bass LI bắt FCO, LA</v>
      </c>
      <c r="G768" s="328" t="str">
        <f>VLOOKUP(B768,DONGIA,DG!$D$6,0)</f>
        <v>Bộ</v>
      </c>
      <c r="H768" s="329">
        <f>H764*3*2</f>
        <v>0</v>
      </c>
      <c r="I768" s="329">
        <f>VLOOKUP(B768,DONGIA,DG!$E$6,0)</f>
        <v>38000</v>
      </c>
      <c r="J768" s="329"/>
      <c r="K768" s="329">
        <f>VLOOKUP(B768,DONGIA,DG!$F$6,0)</f>
        <v>0</v>
      </c>
      <c r="L768" s="329">
        <f>VLOOKUP(B768,DONGIA,DG!$G$6,0)</f>
        <v>0</v>
      </c>
      <c r="M768" s="329">
        <f t="shared" si="173"/>
        <v>0</v>
      </c>
      <c r="N768" s="329">
        <f t="shared" si="173"/>
        <v>0</v>
      </c>
      <c r="O768" s="329">
        <f t="shared" si="173"/>
        <v>0</v>
      </c>
      <c r="P768" s="329">
        <f t="shared" si="173"/>
        <v>0</v>
      </c>
      <c r="Q768" s="329"/>
      <c r="S768" s="332">
        <f t="shared" si="149"/>
        <v>0.4</v>
      </c>
      <c r="T768" s="332">
        <f t="shared" si="151"/>
        <v>0</v>
      </c>
    </row>
    <row r="769" spans="1:20" hidden="1">
      <c r="A769" s="332" t="s">
        <v>477</v>
      </c>
      <c r="B769" s="332" t="s">
        <v>1686</v>
      </c>
      <c r="C769" s="333">
        <f t="shared" si="150"/>
        <v>0</v>
      </c>
      <c r="D769" s="328"/>
      <c r="E769" s="328">
        <f>VLOOKUP(B769,DONGIA,DG!$B$6,0)</f>
        <v>0</v>
      </c>
      <c r="F769" s="329" t="str">
        <f>VLOOKUP(B769,DONGIA,DG!$C$6,0)</f>
        <v>Boulon 16x400VRS + 4 long đền vuông D18-50x50x3/Zn</v>
      </c>
      <c r="G769" s="328" t="str">
        <f>VLOOKUP(B769,DONGIA,DG!$D$6,0)</f>
        <v>bộ</v>
      </c>
      <c r="H769" s="329">
        <f>H764*3</f>
        <v>0</v>
      </c>
      <c r="I769" s="329">
        <f>VLOOKUP(B769,DONGIA,DG!$E$6,0)</f>
        <v>45000</v>
      </c>
      <c r="J769" s="329"/>
      <c r="K769" s="329">
        <f>VLOOKUP(B769,DONGIA,DG!$F$6,0)</f>
        <v>0</v>
      </c>
      <c r="L769" s="329">
        <f>VLOOKUP(B769,DONGIA,DG!$G$6,0)</f>
        <v>0</v>
      </c>
      <c r="M769" s="329">
        <f t="shared" si="173"/>
        <v>0</v>
      </c>
      <c r="N769" s="329">
        <f t="shared" si="173"/>
        <v>0</v>
      </c>
      <c r="O769" s="329">
        <f t="shared" si="173"/>
        <v>0</v>
      </c>
      <c r="P769" s="329">
        <f t="shared" si="173"/>
        <v>0</v>
      </c>
      <c r="Q769" s="329"/>
      <c r="S769" s="332">
        <f t="shared" si="149"/>
        <v>0.39999999999999997</v>
      </c>
      <c r="T769" s="332">
        <f t="shared" si="151"/>
        <v>0</v>
      </c>
    </row>
    <row r="770" spans="1:20" hidden="1">
      <c r="A770" s="332" t="s">
        <v>477</v>
      </c>
      <c r="B770" s="332" t="s">
        <v>35</v>
      </c>
      <c r="C770" s="333">
        <f t="shared" si="150"/>
        <v>0</v>
      </c>
      <c r="D770" s="328"/>
      <c r="E770" s="328">
        <f>VLOOKUP(B770,DONGIA,DG!$B$6,0)</f>
        <v>0</v>
      </c>
      <c r="F770" s="329" t="str">
        <f>VLOOKUP(B770,DONGIA,DG!$C$6,0)</f>
        <v>Boulon 16x300+ 2 long đền vuông D18-50x50x3/Zn</v>
      </c>
      <c r="G770" s="328" t="str">
        <f>VLOOKUP(B770,DONGIA,DG!$D$6,0)</f>
        <v>bộ</v>
      </c>
      <c r="H770" s="329">
        <f>H764</f>
        <v>0</v>
      </c>
      <c r="I770" s="329">
        <f>VLOOKUP(B770,DONGIA,DG!$E$6,0)</f>
        <v>30000</v>
      </c>
      <c r="J770" s="329"/>
      <c r="K770" s="329">
        <f>VLOOKUP(B770,DONGIA,DG!$F$6,0)</f>
        <v>0</v>
      </c>
      <c r="L770" s="329">
        <f>VLOOKUP(B770,DONGIA,DG!$G$6,0)</f>
        <v>0</v>
      </c>
      <c r="M770" s="329">
        <f t="shared" si="173"/>
        <v>0</v>
      </c>
      <c r="N770" s="329">
        <f t="shared" si="173"/>
        <v>0</v>
      </c>
      <c r="O770" s="329">
        <f t="shared" si="173"/>
        <v>0</v>
      </c>
      <c r="P770" s="329">
        <f t="shared" si="173"/>
        <v>0</v>
      </c>
      <c r="Q770" s="329"/>
      <c r="S770" s="332">
        <f t="shared" si="149"/>
        <v>0.25</v>
      </c>
      <c r="T770" s="332">
        <f t="shared" si="151"/>
        <v>0</v>
      </c>
    </row>
    <row r="771" spans="1:20" hidden="1">
      <c r="A771" s="332" t="s">
        <v>477</v>
      </c>
      <c r="B771" s="332" t="s">
        <v>27</v>
      </c>
      <c r="C771" s="333">
        <f t="shared" si="150"/>
        <v>0</v>
      </c>
      <c r="D771" s="328"/>
      <c r="E771" s="328">
        <f>VLOOKUP(B771,DONGIA,DG!$B$6,0)</f>
        <v>0</v>
      </c>
      <c r="F771" s="329" t="str">
        <f>VLOOKUP(B771,DONGIA,DG!$C$6,0)</f>
        <v>Boulon 14x120+ 2 long đền vuông D16-50x50x3/Zn</v>
      </c>
      <c r="G771" s="328" t="str">
        <f>VLOOKUP(B771,DONGIA,DG!$D$6,0)</f>
        <v>bộ</v>
      </c>
      <c r="H771" s="329">
        <f>H767</f>
        <v>0</v>
      </c>
      <c r="I771" s="329">
        <f>VLOOKUP(B771,DONGIA,DG!$E$6,0)</f>
        <v>19000</v>
      </c>
      <c r="J771" s="329"/>
      <c r="K771" s="329">
        <f>VLOOKUP(B771,DONGIA,DG!$F$6,0)</f>
        <v>0</v>
      </c>
      <c r="L771" s="329">
        <f>VLOOKUP(B771,DONGIA,DG!$G$6,0)</f>
        <v>0</v>
      </c>
      <c r="M771" s="329">
        <f t="shared" si="173"/>
        <v>0</v>
      </c>
      <c r="N771" s="329">
        <f t="shared" si="173"/>
        <v>0</v>
      </c>
      <c r="O771" s="329">
        <f t="shared" si="173"/>
        <v>0</v>
      </c>
      <c r="P771" s="329">
        <f t="shared" si="173"/>
        <v>0</v>
      </c>
      <c r="Q771" s="329"/>
      <c r="S771" s="332">
        <f t="shared" si="149"/>
        <v>0.2</v>
      </c>
      <c r="T771" s="332">
        <f t="shared" si="151"/>
        <v>0</v>
      </c>
    </row>
    <row r="772" spans="1:20" hidden="1">
      <c r="A772" s="332" t="s">
        <v>477</v>
      </c>
      <c r="B772" s="332" t="s">
        <v>620</v>
      </c>
      <c r="C772" s="333">
        <f>IF(H772&lt;&gt;0,1,)</f>
        <v>0</v>
      </c>
      <c r="D772" s="328"/>
      <c r="E772" s="328" t="str">
        <f>VLOOKUP(B772,DONGIA,DG!$B$6,0)</f>
        <v>D2.6011</v>
      </c>
      <c r="F772" s="329" t="str">
        <f>VLOOKUP(B772,DONGIA,DG!$C$6,0)</f>
        <v>Lắp đà composite 2400mm kép (KL &lt;=15kg, trụ BTLT, tính = 0.8 đà sắt)</v>
      </c>
      <c r="G772" s="328" t="str">
        <f>VLOOKUP(B772,DONGIA,DG!$D$6,0)</f>
        <v>bộ</v>
      </c>
      <c r="H772" s="329">
        <f>H768</f>
        <v>0</v>
      </c>
      <c r="I772" s="329">
        <f>VLOOKUP(B772,DONGIA,DG!$E$6,0)</f>
        <v>0</v>
      </c>
      <c r="J772" s="329"/>
      <c r="K772" s="329">
        <f>VLOOKUP(B772,DONGIA,DG!$F$6,0)</f>
        <v>134360</v>
      </c>
      <c r="L772" s="329">
        <f>VLOOKUP(B772,DONGIA,DG!$G$6,0)</f>
        <v>0</v>
      </c>
      <c r="M772" s="329">
        <f t="shared" si="173"/>
        <v>0</v>
      </c>
      <c r="N772" s="329">
        <f t="shared" si="173"/>
        <v>0</v>
      </c>
      <c r="O772" s="329">
        <f t="shared" si="173"/>
        <v>0</v>
      </c>
      <c r="P772" s="329">
        <f t="shared" si="173"/>
        <v>0</v>
      </c>
      <c r="Q772" s="329"/>
      <c r="S772" s="332">
        <f>IFERROR(VLOOKUP(B772,DONGIA,$S$25,0),0)</f>
        <v>0</v>
      </c>
      <c r="T772" s="332">
        <f>H772*S772</f>
        <v>0</v>
      </c>
    </row>
    <row r="773" spans="1:20" hidden="1">
      <c r="A773" s="332" t="s">
        <v>477</v>
      </c>
      <c r="C773" s="333">
        <f t="shared" si="150"/>
        <v>0</v>
      </c>
      <c r="D773" s="372">
        <f>IF(H773&lt;&gt;0,D764+1,D764)</f>
        <v>0</v>
      </c>
      <c r="E773" s="372"/>
      <c r="F773" s="373" t="s">
        <v>1910</v>
      </c>
      <c r="G773" s="372" t="s">
        <v>138</v>
      </c>
      <c r="H773" s="372">
        <f>TR3X25</f>
        <v>0</v>
      </c>
      <c r="I773" s="373"/>
      <c r="J773" s="373"/>
      <c r="K773" s="373"/>
      <c r="L773" s="373"/>
      <c r="M773" s="373"/>
      <c r="N773" s="373"/>
      <c r="O773" s="373"/>
      <c r="P773" s="373"/>
      <c r="Q773" s="373"/>
      <c r="S773" s="332">
        <f t="shared" si="149"/>
        <v>0</v>
      </c>
      <c r="T773" s="332">
        <f t="shared" si="151"/>
        <v>0</v>
      </c>
    </row>
    <row r="774" spans="1:20" s="361" customFormat="1" hidden="1">
      <c r="A774" s="361" t="s">
        <v>477</v>
      </c>
      <c r="C774" s="374">
        <f>C773</f>
        <v>0</v>
      </c>
      <c r="D774" s="350"/>
      <c r="E774" s="350"/>
      <c r="F774" s="351" t="s">
        <v>1902</v>
      </c>
      <c r="G774" s="350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S774" s="361">
        <f t="shared" si="149"/>
        <v>0</v>
      </c>
      <c r="T774" s="361">
        <f t="shared" si="151"/>
        <v>0</v>
      </c>
    </row>
    <row r="775" spans="1:20" hidden="1">
      <c r="A775" s="332" t="s">
        <v>477</v>
      </c>
      <c r="B775" s="332" t="s">
        <v>1060</v>
      </c>
      <c r="C775" s="333">
        <f t="shared" si="150"/>
        <v>0</v>
      </c>
      <c r="D775" s="328"/>
      <c r="E775" s="328" t="str">
        <f>VLOOKUP(B775,DONGIA,DG!$B$6,0)</f>
        <v>T4.9302</v>
      </c>
      <c r="F775" s="329" t="str">
        <f>VLOOKUP(B775,DONGIA,DG!$C$6,0)</f>
        <v>Gía chùm treo máy biến áp 3x50</v>
      </c>
      <c r="G775" s="328" t="str">
        <f>VLOOKUP(B775,DONGIA,DG!$D$6,0)</f>
        <v>Bộ</v>
      </c>
      <c r="H775" s="329">
        <f>H773</f>
        <v>0</v>
      </c>
      <c r="I775" s="329">
        <f>VLOOKUP(B775,DONGIA,DG!$E$6,0)</f>
        <v>1950000</v>
      </c>
      <c r="J775" s="329"/>
      <c r="K775" s="329">
        <f>VLOOKUP(B775,DONGIA,DG!$F$6,0)</f>
        <v>103615.056</v>
      </c>
      <c r="L775" s="329">
        <f>VLOOKUP(B775,DONGIA,DG!$G$6,0)</f>
        <v>0</v>
      </c>
      <c r="M775" s="329">
        <f t="shared" ref="M775:P777" si="174">$H775*I775</f>
        <v>0</v>
      </c>
      <c r="N775" s="329">
        <f t="shared" si="174"/>
        <v>0</v>
      </c>
      <c r="O775" s="329">
        <f t="shared" si="174"/>
        <v>0</v>
      </c>
      <c r="P775" s="329">
        <f t="shared" si="174"/>
        <v>0</v>
      </c>
      <c r="Q775" s="329"/>
      <c r="S775" s="332">
        <f t="shared" si="149"/>
        <v>38</v>
      </c>
      <c r="T775" s="332">
        <f t="shared" si="151"/>
        <v>0</v>
      </c>
    </row>
    <row r="776" spans="1:20" hidden="1">
      <c r="A776" s="332" t="s">
        <v>477</v>
      </c>
      <c r="B776" s="332" t="s">
        <v>37</v>
      </c>
      <c r="C776" s="333">
        <f t="shared" si="150"/>
        <v>0</v>
      </c>
      <c r="D776" s="328"/>
      <c r="E776" s="328">
        <f>VLOOKUP(B776,DONGIA,DG!$B$6,0)</f>
        <v>0</v>
      </c>
      <c r="F776" s="329" t="str">
        <f>VLOOKUP(B776,DONGIA,DG!$C$6,0)</f>
        <v>Boulon 16x350+ 2 long đền vuông D18-50x50x3/Zn</v>
      </c>
      <c r="G776" s="328" t="str">
        <f>VLOOKUP(B776,DONGIA,DG!$D$6,0)</f>
        <v>bộ</v>
      </c>
      <c r="H776" s="329">
        <f>H773*2</f>
        <v>0</v>
      </c>
      <c r="I776" s="329">
        <f>VLOOKUP(B776,DONGIA,DG!$E$6,0)</f>
        <v>32000</v>
      </c>
      <c r="J776" s="329"/>
      <c r="K776" s="329">
        <f>VLOOKUP(B776,DONGIA,DG!$F$6,0)</f>
        <v>0</v>
      </c>
      <c r="L776" s="329">
        <f>VLOOKUP(B776,DONGIA,DG!$G$6,0)</f>
        <v>0</v>
      </c>
      <c r="M776" s="329">
        <f t="shared" si="174"/>
        <v>0</v>
      </c>
      <c r="N776" s="329">
        <f t="shared" si="174"/>
        <v>0</v>
      </c>
      <c r="O776" s="329">
        <f t="shared" si="174"/>
        <v>0</v>
      </c>
      <c r="P776" s="329">
        <f t="shared" si="174"/>
        <v>0</v>
      </c>
      <c r="Q776" s="329"/>
      <c r="S776" s="332">
        <f t="shared" si="149"/>
        <v>0.3</v>
      </c>
      <c r="T776" s="332">
        <f t="shared" si="151"/>
        <v>0</v>
      </c>
    </row>
    <row r="777" spans="1:20" hidden="1">
      <c r="A777" s="332" t="s">
        <v>477</v>
      </c>
      <c r="B777" s="332" t="s">
        <v>29</v>
      </c>
      <c r="C777" s="333">
        <f t="shared" si="150"/>
        <v>0</v>
      </c>
      <c r="D777" s="328"/>
      <c r="E777" s="328">
        <f>VLOOKUP(B777,DONGIA,DG!$B$6,0)</f>
        <v>0</v>
      </c>
      <c r="F777" s="329" t="str">
        <f>VLOOKUP(B777,DONGIA,DG!$C$6,0)</f>
        <v>Boulon 16x50+ 2 long đền vuông D18-50x50x3/Zn</v>
      </c>
      <c r="G777" s="328" t="str">
        <f>VLOOKUP(B777,DONGIA,DG!$D$6,0)</f>
        <v>bộ</v>
      </c>
      <c r="H777" s="329">
        <f>H773*2*3</f>
        <v>0</v>
      </c>
      <c r="I777" s="329">
        <f>VLOOKUP(B777,DONGIA,DG!$E$6,0)</f>
        <v>17000</v>
      </c>
      <c r="J777" s="329"/>
      <c r="K777" s="329">
        <f>VLOOKUP(B777,DONGIA,DG!$F$6,0)</f>
        <v>0</v>
      </c>
      <c r="L777" s="329">
        <f>VLOOKUP(B777,DONGIA,DG!$G$6,0)</f>
        <v>0</v>
      </c>
      <c r="M777" s="329">
        <f t="shared" si="174"/>
        <v>0</v>
      </c>
      <c r="N777" s="329">
        <f t="shared" si="174"/>
        <v>0</v>
      </c>
      <c r="O777" s="329">
        <f t="shared" si="174"/>
        <v>0</v>
      </c>
      <c r="P777" s="329">
        <f t="shared" si="174"/>
        <v>0</v>
      </c>
      <c r="Q777" s="329"/>
      <c r="S777" s="332">
        <f t="shared" si="149"/>
        <v>0.25</v>
      </c>
      <c r="T777" s="332">
        <f t="shared" si="151"/>
        <v>0</v>
      </c>
    </row>
    <row r="778" spans="1:20" hidden="1">
      <c r="A778" s="332" t="s">
        <v>477</v>
      </c>
      <c r="C778" s="333">
        <f t="shared" si="150"/>
        <v>0</v>
      </c>
      <c r="D778" s="372">
        <f>IF(H778&lt;&gt;0,D773+1,D773)</f>
        <v>0</v>
      </c>
      <c r="E778" s="372"/>
      <c r="F778" s="373" t="s">
        <v>1942</v>
      </c>
      <c r="G778" s="372" t="s">
        <v>138</v>
      </c>
      <c r="H778" s="372">
        <f>TR3X25</f>
        <v>0</v>
      </c>
      <c r="I778" s="373"/>
      <c r="J778" s="373"/>
      <c r="K778" s="373"/>
      <c r="L778" s="373"/>
      <c r="M778" s="373"/>
      <c r="N778" s="373"/>
      <c r="O778" s="373"/>
      <c r="P778" s="373"/>
      <c r="Q778" s="373"/>
      <c r="S778" s="332">
        <f t="shared" si="149"/>
        <v>0</v>
      </c>
      <c r="T778" s="332">
        <f t="shared" si="151"/>
        <v>0</v>
      </c>
    </row>
    <row r="779" spans="1:20" s="361" customFormat="1" hidden="1">
      <c r="A779" s="361" t="s">
        <v>477</v>
      </c>
      <c r="C779" s="374">
        <f>C778</f>
        <v>0</v>
      </c>
      <c r="D779" s="350"/>
      <c r="E779" s="350"/>
      <c r="F779" s="351" t="s">
        <v>1902</v>
      </c>
      <c r="G779" s="350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S779" s="361">
        <f t="shared" si="149"/>
        <v>0</v>
      </c>
      <c r="T779" s="361">
        <f t="shared" si="151"/>
        <v>0</v>
      </c>
    </row>
    <row r="780" spans="1:20" hidden="1">
      <c r="A780" s="332" t="s">
        <v>477</v>
      </c>
      <c r="B780" s="332" t="s">
        <v>144</v>
      </c>
      <c r="C780" s="333">
        <f t="shared" si="150"/>
        <v>0</v>
      </c>
      <c r="D780" s="328"/>
      <c r="E780" s="328">
        <f>VLOOKUP(B780,DONGIA,DG!$B$6,0)</f>
        <v>0</v>
      </c>
      <c r="F780" s="329" t="str">
        <f>VLOOKUP(B780,DONGIA,DG!$C$6,0)&amp;" ("&amp;TDTR3P&amp;" mét/trạm)"</f>
        <v>Cáp đồng trần M25mm2 (61 mét/trạm)</v>
      </c>
      <c r="G780" s="328" t="str">
        <f>VLOOKUP(B780,DONGIA,DG!$D$6,0)</f>
        <v>kg</v>
      </c>
      <c r="H780" s="442">
        <f>TDTR1P*0.224*H778</f>
        <v>0</v>
      </c>
      <c r="I780" s="329">
        <f>VLOOKUP(B780,DONGIA,DG!$E$6,0)</f>
        <v>201380</v>
      </c>
      <c r="J780" s="329"/>
      <c r="K780" s="329">
        <f>VLOOKUP(B780,DONGIA,DG!$F$6,0)</f>
        <v>0</v>
      </c>
      <c r="L780" s="329">
        <f>VLOOKUP(B780,DONGIA,DG!$G$6,0)</f>
        <v>0</v>
      </c>
      <c r="M780" s="329">
        <f>$H780*I780</f>
        <v>0</v>
      </c>
      <c r="N780" s="329">
        <f>$H780*J780</f>
        <v>0</v>
      </c>
      <c r="O780" s="329">
        <f>$H780*K780</f>
        <v>0</v>
      </c>
      <c r="P780" s="329">
        <f>$H780*L780</f>
        <v>0</v>
      </c>
      <c r="Q780" s="329"/>
      <c r="S780" s="332">
        <f t="shared" si="149"/>
        <v>1</v>
      </c>
      <c r="T780" s="332">
        <f t="shared" si="151"/>
        <v>0</v>
      </c>
    </row>
    <row r="781" spans="1:20" hidden="1">
      <c r="A781" s="332" t="s">
        <v>477</v>
      </c>
      <c r="B781" s="332" t="s">
        <v>278</v>
      </c>
      <c r="C781" s="333">
        <f t="shared" si="150"/>
        <v>0</v>
      </c>
      <c r="D781" s="328"/>
      <c r="E781" s="328">
        <f>VLOOKUP(B781,DONGIA,DG!$B$6,0)</f>
        <v>0</v>
      </c>
      <c r="F781" s="329" t="str">
        <f>VLOOKUP(B781,DONGIA,DG!$C$6,0)</f>
        <v>Cọc tiếp đất φ16 - 2,4m (mạ đồng 16µm)</v>
      </c>
      <c r="G781" s="328" t="str">
        <f>VLOOKUP(B781,DONGIA,DG!$D$6,0)</f>
        <v>cọc</v>
      </c>
      <c r="H781" s="329">
        <f>H778*9</f>
        <v>0</v>
      </c>
      <c r="I781" s="329">
        <f>VLOOKUP(B781,DONGIA,DG!$E$6,0)</f>
        <v>130000</v>
      </c>
      <c r="J781" s="329"/>
      <c r="K781" s="329">
        <f>VLOOKUP(B781,DONGIA,DG!$F$6,0)</f>
        <v>0</v>
      </c>
      <c r="L781" s="329">
        <f>VLOOKUP(B781,DONGIA,DG!$G$6,0)</f>
        <v>0</v>
      </c>
      <c r="M781" s="329">
        <f t="shared" ref="M781:M787" si="175">$H781*I781</f>
        <v>0</v>
      </c>
      <c r="N781" s="329">
        <f t="shared" ref="N781:N787" si="176">$H781*J781</f>
        <v>0</v>
      </c>
      <c r="O781" s="329">
        <f t="shared" ref="O781:O787" si="177">$H781*K781</f>
        <v>0</v>
      </c>
      <c r="P781" s="329">
        <f t="shared" ref="P781:P787" si="178">$H781*L781</f>
        <v>0</v>
      </c>
      <c r="Q781" s="329"/>
      <c r="S781" s="332">
        <f t="shared" si="149"/>
        <v>5.3</v>
      </c>
      <c r="T781" s="332">
        <f t="shared" si="151"/>
        <v>0</v>
      </c>
    </row>
    <row r="782" spans="1:20" hidden="1">
      <c r="A782" s="332" t="s">
        <v>477</v>
      </c>
      <c r="B782" s="332" t="s">
        <v>280</v>
      </c>
      <c r="C782" s="333">
        <f t="shared" si="150"/>
        <v>0</v>
      </c>
      <c r="D782" s="328"/>
      <c r="E782" s="328">
        <f>VLOOKUP(B782,DONGIA,DG!$B$6,0)</f>
        <v>0</v>
      </c>
      <c r="F782" s="329" t="str">
        <f>VLOOKUP(B782,DONGIA,DG!$C$6,0)</f>
        <v>Kẹp cọc tiếp địa</v>
      </c>
      <c r="G782" s="328" t="str">
        <f>VLOOKUP(B782,DONGIA,DG!$D$6,0)</f>
        <v>bộ</v>
      </c>
      <c r="H782" s="329">
        <f>H781</f>
        <v>0</v>
      </c>
      <c r="I782" s="329">
        <f>VLOOKUP(B782,DONGIA,DG!$E$6,0)</f>
        <v>25000</v>
      </c>
      <c r="J782" s="329"/>
      <c r="K782" s="329">
        <f>VLOOKUP(B782,DONGIA,DG!$F$6,0)</f>
        <v>0</v>
      </c>
      <c r="L782" s="329">
        <f>VLOOKUP(B782,DONGIA,DG!$G$6,0)</f>
        <v>0</v>
      </c>
      <c r="M782" s="329">
        <f t="shared" si="175"/>
        <v>0</v>
      </c>
      <c r="N782" s="329">
        <f t="shared" si="176"/>
        <v>0</v>
      </c>
      <c r="O782" s="329">
        <f t="shared" si="177"/>
        <v>0</v>
      </c>
      <c r="P782" s="329">
        <f t="shared" si="178"/>
        <v>0</v>
      </c>
      <c r="Q782" s="329"/>
      <c r="S782" s="332">
        <f t="shared" si="149"/>
        <v>0.05</v>
      </c>
      <c r="T782" s="332">
        <f t="shared" si="151"/>
        <v>0</v>
      </c>
    </row>
    <row r="783" spans="1:20" hidden="1">
      <c r="A783" s="332" t="s">
        <v>477</v>
      </c>
      <c r="B783" s="332" t="s">
        <v>1217</v>
      </c>
      <c r="C783" s="333">
        <f t="shared" si="150"/>
        <v>0</v>
      </c>
      <c r="D783" s="328"/>
      <c r="E783" s="328">
        <f>VLOOKUP(B783,DONGIA,DG!$B$6,0)</f>
        <v>0</v>
      </c>
      <c r="F783" s="329" t="str">
        <f>VLOOKUP(B783,DONGIA,DG!$C$6,0)</f>
        <v xml:space="preserve">Ốc xiết cáp cỡ 38mm2 </v>
      </c>
      <c r="G783" s="328" t="str">
        <f>VLOOKUP(B783,DONGIA,DG!$D$6,0)</f>
        <v>cái</v>
      </c>
      <c r="H783" s="329">
        <f>H778*6</f>
        <v>0</v>
      </c>
      <c r="I783" s="329">
        <f>VLOOKUP(B783,DONGIA,DG!$E$6,0)</f>
        <v>18000</v>
      </c>
      <c r="J783" s="329"/>
      <c r="K783" s="329">
        <f>VLOOKUP(B783,DONGIA,DG!$F$6,0)</f>
        <v>0</v>
      </c>
      <c r="L783" s="329">
        <f>VLOOKUP(B783,DONGIA,DG!$G$6,0)</f>
        <v>0</v>
      </c>
      <c r="M783" s="329">
        <f t="shared" si="175"/>
        <v>0</v>
      </c>
      <c r="N783" s="329">
        <f t="shared" si="176"/>
        <v>0</v>
      </c>
      <c r="O783" s="329">
        <f t="shared" si="177"/>
        <v>0</v>
      </c>
      <c r="P783" s="329">
        <f t="shared" si="178"/>
        <v>0</v>
      </c>
      <c r="Q783" s="329"/>
      <c r="S783" s="332">
        <f t="shared" ref="S783:S869" si="179">IFERROR(VLOOKUP(B783,DONGIA,$S$25,0),0)</f>
        <v>0</v>
      </c>
      <c r="T783" s="332">
        <f t="shared" si="151"/>
        <v>0</v>
      </c>
    </row>
    <row r="784" spans="1:20" hidden="1">
      <c r="A784" s="332" t="s">
        <v>477</v>
      </c>
      <c r="B784" s="332" t="s">
        <v>573</v>
      </c>
      <c r="C784" s="333">
        <f t="shared" ref="C784:C869" si="180">IF(H784&lt;&gt;0,1,)</f>
        <v>0</v>
      </c>
      <c r="D784" s="328"/>
      <c r="E784" s="328" t="str">
        <f>VLOOKUP(B784,DONGIA,DG!$B$6,0)</f>
        <v>T4.7001</v>
      </c>
      <c r="F784" s="329" t="str">
        <f>VLOOKUP(B784,DONGIA,DG!$C$6,0)</f>
        <v>Kéo dây tiếp địa trong TBA</v>
      </c>
      <c r="G784" s="328" t="str">
        <f>VLOOKUP(B784,DONGIA,DG!$D$6,0)</f>
        <v>mét</v>
      </c>
      <c r="H784" s="329">
        <f>H780/0.224</f>
        <v>0</v>
      </c>
      <c r="I784" s="329">
        <f>VLOOKUP(B784,DONGIA,DG!$E$6,0)</f>
        <v>0</v>
      </c>
      <c r="J784" s="329"/>
      <c r="K784" s="329">
        <f>VLOOKUP(B784,DONGIA,DG!$F$6,0)</f>
        <v>6871</v>
      </c>
      <c r="L784" s="329">
        <f>VLOOKUP(B784,DONGIA,DG!$G$6,0)</f>
        <v>0</v>
      </c>
      <c r="M784" s="329">
        <f t="shared" si="175"/>
        <v>0</v>
      </c>
      <c r="N784" s="329">
        <f t="shared" si="176"/>
        <v>0</v>
      </c>
      <c r="O784" s="329">
        <f t="shared" si="177"/>
        <v>0</v>
      </c>
      <c r="P784" s="329">
        <f t="shared" si="178"/>
        <v>0</v>
      </c>
      <c r="Q784" s="329"/>
      <c r="S784" s="332">
        <f t="shared" si="179"/>
        <v>0</v>
      </c>
      <c r="T784" s="332">
        <f t="shared" ref="T784:T869" si="181">H784*S784</f>
        <v>0</v>
      </c>
    </row>
    <row r="785" spans="1:20" hidden="1">
      <c r="A785" s="332" t="s">
        <v>477</v>
      </c>
      <c r="B785" s="332" t="s">
        <v>581</v>
      </c>
      <c r="C785" s="333">
        <f t="shared" si="180"/>
        <v>0</v>
      </c>
      <c r="D785" s="328"/>
      <c r="E785" s="328" t="str">
        <f>VLOOKUP(B785,DONGIA,DG!$B$6,0)</f>
        <v>D2.8103</v>
      </c>
      <c r="F785" s="329" t="str">
        <f>VLOOKUP(B785,DONGIA,DG!$C$6,0)</f>
        <v>Đóng cọc tiếp địa trong TBA (đất cấp 3)</v>
      </c>
      <c r="G785" s="328" t="str">
        <f>VLOOKUP(B785,DONGIA,DG!$D$6,0)</f>
        <v>cọc</v>
      </c>
      <c r="H785" s="329">
        <f>H781</f>
        <v>0</v>
      </c>
      <c r="I785" s="329">
        <f>VLOOKUP(B785,DONGIA,DG!$E$6,0)</f>
        <v>0</v>
      </c>
      <c r="J785" s="329"/>
      <c r="K785" s="329">
        <f>VLOOKUP(B785,DONGIA,DG!$F$6,0)</f>
        <v>76928</v>
      </c>
      <c r="L785" s="329">
        <f>VLOOKUP(B785,DONGIA,DG!$G$6,0)</f>
        <v>0</v>
      </c>
      <c r="M785" s="329">
        <f t="shared" si="175"/>
        <v>0</v>
      </c>
      <c r="N785" s="329">
        <f t="shared" si="176"/>
        <v>0</v>
      </c>
      <c r="O785" s="329">
        <f t="shared" si="177"/>
        <v>0</v>
      </c>
      <c r="P785" s="329">
        <f t="shared" si="178"/>
        <v>0</v>
      </c>
      <c r="Q785" s="329"/>
      <c r="S785" s="332">
        <f t="shared" si="179"/>
        <v>0</v>
      </c>
      <c r="T785" s="332">
        <f t="shared" si="181"/>
        <v>0</v>
      </c>
    </row>
    <row r="786" spans="1:20" hidden="1">
      <c r="A786" s="332" t="s">
        <v>477</v>
      </c>
      <c r="B786" s="332" t="s">
        <v>540</v>
      </c>
      <c r="C786" s="333">
        <f t="shared" si="180"/>
        <v>0</v>
      </c>
      <c r="D786" s="328"/>
      <c r="E786" s="328" t="str">
        <f>VLOOKUP(B786,DONGIA,DG!$B$6,0)</f>
        <v>AB.11513</v>
      </c>
      <c r="F786" s="362" t="str">
        <f>VLOOKUP(B786,DONGIA,DG!$C$6,0)&amp;" (ĐC hệ số 0,9)"</f>
        <v>Đào rãnh tiếp địa đất cấp 3 (ĐC hệ số 0,9)</v>
      </c>
      <c r="G786" s="328" t="str">
        <f>VLOOKUP(B786,DONGIA,DG!$D$6,0)</f>
        <v>m3</v>
      </c>
      <c r="H786" s="442">
        <f>DAOTD*H778</f>
        <v>0</v>
      </c>
      <c r="I786" s="329">
        <f>VLOOKUP(B786,DONGIA,DG!$E$6,0)</f>
        <v>0</v>
      </c>
      <c r="J786" s="329"/>
      <c r="K786" s="362">
        <f>ROUND(VLOOKUP(B786,DONGIA,DG!$F$6,0)/NCTBA,0)</f>
        <v>241580</v>
      </c>
      <c r="L786" s="329">
        <f>VLOOKUP(B786,DONGIA,DG!$G$6,0)</f>
        <v>0</v>
      </c>
      <c r="M786" s="329">
        <f t="shared" si="175"/>
        <v>0</v>
      </c>
      <c r="N786" s="329">
        <f t="shared" si="176"/>
        <v>0</v>
      </c>
      <c r="O786" s="329">
        <f t="shared" si="177"/>
        <v>0</v>
      </c>
      <c r="P786" s="329">
        <f t="shared" si="178"/>
        <v>0</v>
      </c>
      <c r="Q786" s="329"/>
      <c r="S786" s="332">
        <f t="shared" si="179"/>
        <v>0</v>
      </c>
      <c r="T786" s="332">
        <f t="shared" si="181"/>
        <v>0</v>
      </c>
    </row>
    <row r="787" spans="1:20" hidden="1">
      <c r="A787" s="332" t="s">
        <v>477</v>
      </c>
      <c r="B787" s="332" t="s">
        <v>547</v>
      </c>
      <c r="C787" s="333">
        <f t="shared" si="180"/>
        <v>0</v>
      </c>
      <c r="D787" s="328"/>
      <c r="E787" s="328" t="str">
        <f>VLOOKUP(B787,DONGIA,DG!$B$6,0)</f>
        <v>AB.65110</v>
      </c>
      <c r="F787" s="362" t="str">
        <f>VLOOKUP(B787,DONGIA,DG!$C$6,0)&amp;" (ĐC hệ số 0,9)"</f>
        <v>Đắp đất rãnh tiếp địa (K=0,85) (ĐC hệ số 0,9)</v>
      </c>
      <c r="G787" s="328" t="str">
        <f>VLOOKUP(B787,DONGIA,DG!$D$6,0)</f>
        <v>m3</v>
      </c>
      <c r="H787" s="442">
        <f>H786</f>
        <v>0</v>
      </c>
      <c r="I787" s="329">
        <f>VLOOKUP(B787,DONGIA,DG!$E$6,0)</f>
        <v>0</v>
      </c>
      <c r="J787" s="329"/>
      <c r="K787" s="362">
        <f>ROUND(VLOOKUP(B787,DONGIA,DG!$F$6,0)/NCTBA,0)</f>
        <v>16267</v>
      </c>
      <c r="L787" s="329">
        <f>VLOOKUP(B787,DONGIA,DG!$G$6,0)</f>
        <v>11176</v>
      </c>
      <c r="M787" s="329">
        <f t="shared" si="175"/>
        <v>0</v>
      </c>
      <c r="N787" s="329">
        <f t="shared" si="176"/>
        <v>0</v>
      </c>
      <c r="O787" s="329">
        <f t="shared" si="177"/>
        <v>0</v>
      </c>
      <c r="P787" s="329">
        <f t="shared" si="178"/>
        <v>0</v>
      </c>
      <c r="Q787" s="329"/>
      <c r="S787" s="332">
        <f t="shared" si="179"/>
        <v>0</v>
      </c>
      <c r="T787" s="332">
        <f t="shared" si="181"/>
        <v>0</v>
      </c>
    </row>
    <row r="788" spans="1:20" hidden="1">
      <c r="A788" s="332" t="s">
        <v>477</v>
      </c>
      <c r="C788" s="333">
        <f t="shared" si="180"/>
        <v>0</v>
      </c>
      <c r="D788" s="372">
        <f>IF(H788&lt;&gt;0,D778+1,D778)</f>
        <v>0</v>
      </c>
      <c r="E788" s="372"/>
      <c r="F788" s="373" t="s">
        <v>1934</v>
      </c>
      <c r="G788" s="372" t="s">
        <v>138</v>
      </c>
      <c r="H788" s="372">
        <f>TR3X25</f>
        <v>0</v>
      </c>
      <c r="I788" s="373"/>
      <c r="J788" s="373"/>
      <c r="K788" s="373"/>
      <c r="L788" s="373"/>
      <c r="M788" s="373"/>
      <c r="N788" s="373"/>
      <c r="O788" s="373"/>
      <c r="P788" s="373"/>
      <c r="Q788" s="373"/>
      <c r="S788" s="332">
        <f t="shared" si="179"/>
        <v>0</v>
      </c>
      <c r="T788" s="332">
        <f t="shared" si="181"/>
        <v>0</v>
      </c>
    </row>
    <row r="789" spans="1:20" s="361" customFormat="1" hidden="1">
      <c r="A789" s="361" t="s">
        <v>477</v>
      </c>
      <c r="C789" s="374">
        <f>C788</f>
        <v>0</v>
      </c>
      <c r="D789" s="350"/>
      <c r="E789" s="350"/>
      <c r="F789" s="351" t="s">
        <v>1902</v>
      </c>
      <c r="G789" s="350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S789" s="361">
        <f t="shared" si="179"/>
        <v>0</v>
      </c>
      <c r="T789" s="361">
        <f t="shared" si="181"/>
        <v>0</v>
      </c>
    </row>
    <row r="790" spans="1:20" hidden="1">
      <c r="A790" s="332" t="s">
        <v>477</v>
      </c>
      <c r="B790" s="332" t="s">
        <v>1913</v>
      </c>
      <c r="C790" s="333">
        <f t="shared" si="180"/>
        <v>0</v>
      </c>
      <c r="D790" s="328"/>
      <c r="E790" s="328" t="str">
        <f>VLOOKUP(B790,DONGIA,DG!$B$6,0)</f>
        <v>T5.1002</v>
      </c>
      <c r="F790" s="329" t="str">
        <f>VLOOKUP(B790,DONGIA,DG!$C$6,0)</f>
        <v>Tủ trạm treo + khóa + boulon + Bakelit + Collier (3 pha)</v>
      </c>
      <c r="G790" s="328" t="str">
        <f>VLOOKUP(B790,DONGIA,DG!$D$6,0)</f>
        <v>bộ</v>
      </c>
      <c r="H790" s="329">
        <f>H788</f>
        <v>0</v>
      </c>
      <c r="I790" s="329">
        <f>VLOOKUP(B790,DONGIA,DG!$E$6,0)</f>
        <v>5446000</v>
      </c>
      <c r="J790" s="329"/>
      <c r="K790" s="329">
        <f>VLOOKUP(B790,DONGIA,DG!$F$6,0)</f>
        <v>743230</v>
      </c>
      <c r="L790" s="329">
        <f>VLOOKUP(B790,DONGIA,DG!$G$6,0)</f>
        <v>111154</v>
      </c>
      <c r="M790" s="329">
        <f>$H790*I790</f>
        <v>0</v>
      </c>
      <c r="N790" s="329">
        <f>$H790*J790</f>
        <v>0</v>
      </c>
      <c r="O790" s="329">
        <f>$H790*K790</f>
        <v>0</v>
      </c>
      <c r="P790" s="329">
        <f>$H790*L790</f>
        <v>0</v>
      </c>
      <c r="Q790" s="329"/>
      <c r="S790" s="332">
        <f t="shared" si="179"/>
        <v>45</v>
      </c>
      <c r="T790" s="332">
        <f t="shared" si="181"/>
        <v>0</v>
      </c>
    </row>
    <row r="791" spans="1:20" hidden="1">
      <c r="C791" s="333">
        <f t="shared" si="180"/>
        <v>0</v>
      </c>
      <c r="D791" s="372">
        <f>IF(H791&lt;&gt;0,D788+1,D788)</f>
        <v>0</v>
      </c>
      <c r="E791" s="372"/>
      <c r="F791" s="373" t="s">
        <v>1935</v>
      </c>
      <c r="G791" s="372" t="s">
        <v>138</v>
      </c>
      <c r="H791" s="372">
        <f>TR3X25</f>
        <v>0</v>
      </c>
      <c r="I791" s="373"/>
      <c r="J791" s="373"/>
      <c r="K791" s="373"/>
      <c r="L791" s="373"/>
      <c r="M791" s="373"/>
      <c r="N791" s="373"/>
      <c r="O791" s="373"/>
      <c r="P791" s="373"/>
      <c r="Q791" s="373"/>
      <c r="S791" s="332">
        <f t="shared" si="179"/>
        <v>0</v>
      </c>
      <c r="T791" s="332">
        <f t="shared" si="181"/>
        <v>0</v>
      </c>
    </row>
    <row r="792" spans="1:20" s="361" customFormat="1" hidden="1">
      <c r="C792" s="374">
        <f>C791</f>
        <v>0</v>
      </c>
      <c r="D792" s="350"/>
      <c r="E792" s="350"/>
      <c r="F792" s="351" t="s">
        <v>1902</v>
      </c>
      <c r="G792" s="350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S792" s="361">
        <f t="shared" si="179"/>
        <v>0</v>
      </c>
      <c r="T792" s="361">
        <f t="shared" si="181"/>
        <v>0</v>
      </c>
    </row>
    <row r="793" spans="1:20" hidden="1">
      <c r="B793" s="332" t="s">
        <v>1468</v>
      </c>
      <c r="C793" s="333">
        <f t="shared" si="180"/>
        <v>0</v>
      </c>
      <c r="D793" s="328"/>
      <c r="E793" s="328">
        <f>VLOOKUP(B793,DONGIA,DG!$B$6,0)</f>
        <v>0</v>
      </c>
      <c r="F793" s="329" t="str">
        <f>VLOOKUP(B793,DONGIA,DG!$C$6,0)</f>
        <v>Cáp 24KV C/XLPE/PVC 25mm2</v>
      </c>
      <c r="G793" s="328" t="str">
        <f>VLOOKUP(B793,DONGIA,DG!$D$6,0)</f>
        <v>mét</v>
      </c>
      <c r="H793" s="329">
        <f>H791*12</f>
        <v>0</v>
      </c>
      <c r="I793" s="329">
        <f>VLOOKUP(B793,DONGIA,DG!$E$6,0)</f>
        <v>87540</v>
      </c>
      <c r="J793" s="329"/>
      <c r="K793" s="329">
        <f>VLOOKUP(B793,DONGIA,DG!$F$6,0)</f>
        <v>0</v>
      </c>
      <c r="L793" s="329">
        <f>VLOOKUP(B793,DONGIA,DG!$G$6,0)</f>
        <v>0</v>
      </c>
      <c r="M793" s="329">
        <f t="shared" ref="M793:P797" si="182">$H793*I793</f>
        <v>0</v>
      </c>
      <c r="N793" s="329">
        <f t="shared" si="182"/>
        <v>0</v>
      </c>
      <c r="O793" s="329">
        <f t="shared" si="182"/>
        <v>0</v>
      </c>
      <c r="P793" s="329">
        <f t="shared" si="182"/>
        <v>0</v>
      </c>
      <c r="Q793" s="329"/>
      <c r="S793" s="332">
        <f t="shared" si="179"/>
        <v>0.75</v>
      </c>
      <c r="T793" s="332">
        <f t="shared" si="181"/>
        <v>0</v>
      </c>
    </row>
    <row r="794" spans="1:20" hidden="1">
      <c r="B794" s="332" t="s">
        <v>1507</v>
      </c>
      <c r="C794" s="333">
        <f t="shared" si="180"/>
        <v>0</v>
      </c>
      <c r="D794" s="328"/>
      <c r="E794" s="328"/>
      <c r="F794" s="329" t="str">
        <f>VLOOKUP(B794,DONGIA,DG!$C$6,0)</f>
        <v>Kẹp quai 4/0 (quai đồng 8mm)</v>
      </c>
      <c r="G794" s="328" t="str">
        <f>VLOOKUP(B794,DONGIA,DG!$D$6,0)</f>
        <v>cái</v>
      </c>
      <c r="H794" s="329">
        <f>H791*3</f>
        <v>0</v>
      </c>
      <c r="I794" s="329">
        <f>VLOOKUP(B794,DONGIA,DG!$E$6,0)</f>
        <v>145000</v>
      </c>
      <c r="J794" s="329"/>
      <c r="K794" s="329"/>
      <c r="L794" s="329">
        <f>VLOOKUP(B794,DONGIA,DG!$G$6,0)</f>
        <v>0</v>
      </c>
      <c r="M794" s="329">
        <f t="shared" si="182"/>
        <v>0</v>
      </c>
      <c r="N794" s="329">
        <f t="shared" si="182"/>
        <v>0</v>
      </c>
      <c r="O794" s="329">
        <f t="shared" si="182"/>
        <v>0</v>
      </c>
      <c r="P794" s="329">
        <f t="shared" si="182"/>
        <v>0</v>
      </c>
      <c r="Q794" s="329"/>
      <c r="S794" s="332">
        <f t="shared" si="179"/>
        <v>0.3</v>
      </c>
      <c r="T794" s="332">
        <f t="shared" si="181"/>
        <v>0</v>
      </c>
    </row>
    <row r="795" spans="1:20" hidden="1">
      <c r="B795" s="332" t="s">
        <v>1511</v>
      </c>
      <c r="C795" s="333">
        <f t="shared" si="180"/>
        <v>0</v>
      </c>
      <c r="D795" s="328"/>
      <c r="E795" s="328"/>
      <c r="F795" s="329" t="str">
        <f>VLOOKUP(B795,DONGIA,DG!$C$6,0)</f>
        <v>Chụp cách điện kẹp quai</v>
      </c>
      <c r="G795" s="328" t="str">
        <f>VLOOKUP(B795,DONGIA,DG!$D$6,0)</f>
        <v>cái</v>
      </c>
      <c r="H795" s="329">
        <f>H794</f>
        <v>0</v>
      </c>
      <c r="I795" s="329">
        <f>VLOOKUP(B795,DONGIA,DG!$E$6,0)</f>
        <v>122000</v>
      </c>
      <c r="J795" s="329"/>
      <c r="K795" s="329"/>
      <c r="L795" s="329">
        <f>VLOOKUP(B795,DONGIA,DG!$G$6,0)</f>
        <v>0</v>
      </c>
      <c r="M795" s="329">
        <f t="shared" si="182"/>
        <v>0</v>
      </c>
      <c r="N795" s="329">
        <f t="shared" si="182"/>
        <v>0</v>
      </c>
      <c r="O795" s="329">
        <f t="shared" si="182"/>
        <v>0</v>
      </c>
      <c r="P795" s="329">
        <f t="shared" si="182"/>
        <v>0</v>
      </c>
      <c r="Q795" s="329"/>
      <c r="S795" s="332">
        <f t="shared" si="179"/>
        <v>0.2</v>
      </c>
      <c r="T795" s="332">
        <f t="shared" si="181"/>
        <v>0</v>
      </c>
    </row>
    <row r="796" spans="1:20" hidden="1">
      <c r="B796" s="332" t="s">
        <v>1508</v>
      </c>
      <c r="C796" s="333">
        <f t="shared" si="180"/>
        <v>0</v>
      </c>
      <c r="D796" s="328"/>
      <c r="E796" s="328"/>
      <c r="F796" s="329" t="str">
        <f>VLOOKUP(B796,DONGIA,DG!$C$6,0)</f>
        <v>Kẹp hotline 2/0</v>
      </c>
      <c r="G796" s="328" t="str">
        <f>VLOOKUP(B796,DONGIA,DG!$D$6,0)</f>
        <v>cái</v>
      </c>
      <c r="H796" s="329">
        <f>H794</f>
        <v>0</v>
      </c>
      <c r="I796" s="329">
        <f>VLOOKUP(B796,DONGIA,DG!$E$6,0)</f>
        <v>68000</v>
      </c>
      <c r="J796" s="329"/>
      <c r="K796" s="329"/>
      <c r="L796" s="329">
        <f>VLOOKUP(B796,DONGIA,DG!$G$6,0)</f>
        <v>0</v>
      </c>
      <c r="M796" s="329">
        <f t="shared" si="182"/>
        <v>0</v>
      </c>
      <c r="N796" s="329">
        <f t="shared" si="182"/>
        <v>0</v>
      </c>
      <c r="O796" s="329">
        <f t="shared" si="182"/>
        <v>0</v>
      </c>
      <c r="P796" s="329">
        <f t="shared" si="182"/>
        <v>0</v>
      </c>
      <c r="Q796" s="329"/>
      <c r="S796" s="332">
        <f t="shared" si="179"/>
        <v>0.1</v>
      </c>
      <c r="T796" s="332">
        <f t="shared" si="181"/>
        <v>0</v>
      </c>
    </row>
    <row r="797" spans="1:20" hidden="1">
      <c r="B797" s="332" t="s">
        <v>1939</v>
      </c>
      <c r="C797" s="333">
        <f t="shared" si="180"/>
        <v>0</v>
      </c>
      <c r="D797" s="328"/>
      <c r="E797" s="328" t="str">
        <f>VLOOKUP(B797,DONGIA,DG!$B$6,0)</f>
        <v>T4.4201</v>
      </c>
      <c r="F797" s="329" t="str">
        <f>VLOOKUP(B797,DONGIA,DG!$C$6,0)</f>
        <v>Lắp cáp đồng xuống thiết bị D ≤ 95mm2</v>
      </c>
      <c r="G797" s="328" t="str">
        <f>VLOOKUP(B797,DONGIA,DG!$D$6,0)</f>
        <v>m</v>
      </c>
      <c r="H797" s="329">
        <f>H793</f>
        <v>0</v>
      </c>
      <c r="I797" s="329">
        <f>VLOOKUP(B797,DONGIA,DG!$E$6,0)</f>
        <v>0</v>
      </c>
      <c r="J797" s="329"/>
      <c r="K797" s="329">
        <f>VLOOKUP(B797,DONGIA,DG!$F$6,0)</f>
        <v>11847</v>
      </c>
      <c r="L797" s="329">
        <f>VLOOKUP(B797,DONGIA,DG!$G$6,0)</f>
        <v>0</v>
      </c>
      <c r="M797" s="329">
        <f t="shared" si="182"/>
        <v>0</v>
      </c>
      <c r="N797" s="329">
        <f t="shared" si="182"/>
        <v>0</v>
      </c>
      <c r="O797" s="329">
        <f t="shared" si="182"/>
        <v>0</v>
      </c>
      <c r="P797" s="329">
        <f t="shared" si="182"/>
        <v>0</v>
      </c>
      <c r="Q797" s="329"/>
      <c r="S797" s="332">
        <f t="shared" si="179"/>
        <v>0</v>
      </c>
      <c r="T797" s="332">
        <f t="shared" si="181"/>
        <v>0</v>
      </c>
    </row>
    <row r="798" spans="1:20" hidden="1">
      <c r="C798" s="333">
        <f t="shared" si="180"/>
        <v>0</v>
      </c>
      <c r="D798" s="372">
        <f>IF(H798&lt;&gt;0,D791+1,D791)</f>
        <v>0</v>
      </c>
      <c r="E798" s="372"/>
      <c r="F798" s="373" t="s">
        <v>1936</v>
      </c>
      <c r="G798" s="372" t="s">
        <v>138</v>
      </c>
      <c r="H798" s="372">
        <f>TR3X25</f>
        <v>0</v>
      </c>
      <c r="I798" s="373"/>
      <c r="J798" s="373"/>
      <c r="K798" s="373"/>
      <c r="L798" s="373"/>
      <c r="M798" s="373"/>
      <c r="N798" s="373"/>
      <c r="O798" s="373"/>
      <c r="P798" s="373"/>
      <c r="Q798" s="373"/>
      <c r="S798" s="332">
        <f t="shared" si="179"/>
        <v>0</v>
      </c>
      <c r="T798" s="332">
        <f t="shared" si="181"/>
        <v>0</v>
      </c>
    </row>
    <row r="799" spans="1:20" s="361" customFormat="1" hidden="1">
      <c r="C799" s="374">
        <f>C798</f>
        <v>0</v>
      </c>
      <c r="D799" s="350"/>
      <c r="E799" s="350"/>
      <c r="F799" s="351" t="s">
        <v>1902</v>
      </c>
      <c r="G799" s="350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S799" s="361">
        <f t="shared" si="179"/>
        <v>0</v>
      </c>
      <c r="T799" s="361">
        <f t="shared" si="181"/>
        <v>0</v>
      </c>
    </row>
    <row r="800" spans="1:20" hidden="1">
      <c r="B800" s="332" t="s">
        <v>1742</v>
      </c>
      <c r="C800" s="333">
        <f t="shared" si="180"/>
        <v>0</v>
      </c>
      <c r="D800" s="328"/>
      <c r="E800" s="328">
        <f>VLOOKUP(B800,DONGIA,DG!$B$6,0)</f>
        <v>0</v>
      </c>
      <c r="F800" s="329" t="str">
        <f>VLOOKUP(B800,DONGIA,DG!$C$6,0)</f>
        <v>Cáp đồng bọc CV95</v>
      </c>
      <c r="G800" s="328" t="str">
        <f>VLOOKUP(B800,DONGIA,DG!$D$6,0)</f>
        <v>mét</v>
      </c>
      <c r="H800" s="455">
        <f>H798*3*9.5</f>
        <v>0</v>
      </c>
      <c r="I800" s="329">
        <f>VLOOKUP(B800,DONGIA,DG!$E$6,0)</f>
        <v>196130</v>
      </c>
      <c r="J800" s="329"/>
      <c r="K800" s="329">
        <f>VLOOKUP(B800,DONGIA,DG!$F$6,0)</f>
        <v>0</v>
      </c>
      <c r="L800" s="329">
        <f>VLOOKUP(B800,DONGIA,DG!$G$6,0)</f>
        <v>0</v>
      </c>
      <c r="M800" s="329">
        <f>$H800*I800</f>
        <v>0</v>
      </c>
      <c r="N800" s="329">
        <f>$H800*J800</f>
        <v>0</v>
      </c>
      <c r="O800" s="329">
        <f>$H800*K800</f>
        <v>0</v>
      </c>
      <c r="P800" s="329">
        <f>$H800*L800</f>
        <v>0</v>
      </c>
      <c r="Q800" s="329"/>
      <c r="S800" s="332">
        <f t="shared" si="179"/>
        <v>1.008</v>
      </c>
      <c r="T800" s="332">
        <f t="shared" si="181"/>
        <v>0</v>
      </c>
    </row>
    <row r="801" spans="2:20" hidden="1">
      <c r="B801" s="332" t="s">
        <v>1907</v>
      </c>
      <c r="C801" s="333">
        <f t="shared" si="180"/>
        <v>0</v>
      </c>
      <c r="D801" s="328"/>
      <c r="E801" s="328">
        <f>VLOOKUP(B801,DONGIA,DG!$B$6,0)</f>
        <v>0</v>
      </c>
      <c r="F801" s="329" t="str">
        <f>VLOOKUP(B801,DONGIA,DG!$C$6,0)</f>
        <v>Cáp đồng bọc CV70</v>
      </c>
      <c r="G801" s="328" t="str">
        <f>VLOOKUP(B801,DONGIA,DG!$D$6,0)</f>
        <v>mét</v>
      </c>
      <c r="H801" s="455">
        <f>H798*(9.5+3)</f>
        <v>0</v>
      </c>
      <c r="I801" s="329">
        <f>VLOOKUP(B801,DONGIA,DG!$E$6,0)</f>
        <v>142880</v>
      </c>
      <c r="J801" s="329"/>
      <c r="K801" s="329">
        <f>VLOOKUP(B801,DONGIA,DG!$F$6,0)</f>
        <v>0</v>
      </c>
      <c r="L801" s="329">
        <f>VLOOKUP(B801,DONGIA,DG!$G$6,0)</f>
        <v>0</v>
      </c>
      <c r="M801" s="329">
        <f t="shared" ref="M801:M821" si="183">$H801*I801</f>
        <v>0</v>
      </c>
      <c r="N801" s="329">
        <f t="shared" ref="N801:N821" si="184">$H801*J801</f>
        <v>0</v>
      </c>
      <c r="O801" s="329">
        <f t="shared" ref="O801:O821" si="185">$H801*K801</f>
        <v>0</v>
      </c>
      <c r="P801" s="329">
        <f t="shared" ref="P801:P821" si="186">$H801*L801</f>
        <v>0</v>
      </c>
      <c r="Q801" s="329"/>
      <c r="S801" s="332">
        <f t="shared" si="179"/>
        <v>0.73899999999999999</v>
      </c>
      <c r="T801" s="332">
        <f t="shared" si="181"/>
        <v>0</v>
      </c>
    </row>
    <row r="802" spans="2:20" hidden="1">
      <c r="B802" s="332" t="s">
        <v>1937</v>
      </c>
      <c r="C802" s="333">
        <f t="shared" si="180"/>
        <v>0</v>
      </c>
      <c r="D802" s="328"/>
      <c r="E802" s="328">
        <f>VLOOKUP(B802,DONGIA,DG!$B$6,0)</f>
        <v>0</v>
      </c>
      <c r="F802" s="329" t="str">
        <f>VLOOKUP(B802,DONGIA,DG!$C$6,0)</f>
        <v>Cáp điều khiển CVV 4x4,0mm2</v>
      </c>
      <c r="G802" s="328" t="str">
        <f>VLOOKUP(B802,DONGIA,DG!$D$6,0)</f>
        <v>mét</v>
      </c>
      <c r="H802" s="329">
        <f>H798*3</f>
        <v>0</v>
      </c>
      <c r="I802" s="329">
        <f>VLOOKUP(B802,DONGIA,DG!$E$6,0)</f>
        <v>52400</v>
      </c>
      <c r="J802" s="329"/>
      <c r="K802" s="329">
        <f>VLOOKUP(B802,DONGIA,DG!$F$6,0)</f>
        <v>0</v>
      </c>
      <c r="L802" s="329">
        <f>VLOOKUP(B802,DONGIA,DG!$G$6,0)</f>
        <v>0</v>
      </c>
      <c r="M802" s="329">
        <f t="shared" si="183"/>
        <v>0</v>
      </c>
      <c r="N802" s="329">
        <f t="shared" si="184"/>
        <v>0</v>
      </c>
      <c r="O802" s="329">
        <f t="shared" si="185"/>
        <v>0</v>
      </c>
      <c r="P802" s="329">
        <f t="shared" si="186"/>
        <v>0</v>
      </c>
      <c r="Q802" s="329"/>
      <c r="S802" s="332">
        <f t="shared" si="179"/>
        <v>3.024</v>
      </c>
      <c r="T802" s="332">
        <f t="shared" si="181"/>
        <v>0</v>
      </c>
    </row>
    <row r="803" spans="2:20" hidden="1">
      <c r="B803" s="332" t="s">
        <v>1116</v>
      </c>
      <c r="C803" s="333">
        <f t="shared" si="180"/>
        <v>0</v>
      </c>
      <c r="D803" s="328"/>
      <c r="E803" s="328"/>
      <c r="F803" s="329" t="str">
        <f>VLOOKUP(B803,DONGIA,DG!$C$6,0)</f>
        <v>Đầu cosse ép Cu 95mm2</v>
      </c>
      <c r="G803" s="328" t="str">
        <f>VLOOKUP(B803,DONGIA,DG!$D$6,0)</f>
        <v>cái</v>
      </c>
      <c r="H803" s="329">
        <f>H798*3</f>
        <v>0</v>
      </c>
      <c r="I803" s="329">
        <f>VLOOKUP(B803,DONGIA,DG!$E$6,0)</f>
        <v>45000</v>
      </c>
      <c r="J803" s="329"/>
      <c r="K803" s="329"/>
      <c r="L803" s="329"/>
      <c r="M803" s="329">
        <f t="shared" si="183"/>
        <v>0</v>
      </c>
      <c r="N803" s="329">
        <f t="shared" si="184"/>
        <v>0</v>
      </c>
      <c r="O803" s="329">
        <f t="shared" si="185"/>
        <v>0</v>
      </c>
      <c r="P803" s="329">
        <f t="shared" si="186"/>
        <v>0</v>
      </c>
      <c r="Q803" s="329"/>
      <c r="S803" s="332">
        <f t="shared" si="179"/>
        <v>0.2</v>
      </c>
      <c r="T803" s="332">
        <f t="shared" si="181"/>
        <v>0</v>
      </c>
    </row>
    <row r="804" spans="2:20" hidden="1">
      <c r="B804" s="332" t="s">
        <v>1113</v>
      </c>
      <c r="C804" s="333">
        <f t="shared" si="180"/>
        <v>0</v>
      </c>
      <c r="D804" s="328"/>
      <c r="E804" s="328"/>
      <c r="F804" s="329" t="str">
        <f>VLOOKUP(B804,DONGIA,DG!$C$6,0)</f>
        <v>Đầu cosse ép Cu 70mm2</v>
      </c>
      <c r="G804" s="328" t="str">
        <f>VLOOKUP(B804,DONGIA,DG!$D$6,0)</f>
        <v>cái</v>
      </c>
      <c r="H804" s="329">
        <f>H798</f>
        <v>0</v>
      </c>
      <c r="I804" s="329">
        <f>VLOOKUP(B804,DONGIA,DG!$E$6,0)</f>
        <v>33000</v>
      </c>
      <c r="J804" s="329"/>
      <c r="K804" s="329"/>
      <c r="L804" s="329"/>
      <c r="M804" s="329">
        <f t="shared" si="183"/>
        <v>0</v>
      </c>
      <c r="N804" s="329">
        <f t="shared" si="184"/>
        <v>0</v>
      </c>
      <c r="O804" s="329">
        <f t="shared" si="185"/>
        <v>0</v>
      </c>
      <c r="P804" s="329">
        <f t="shared" si="186"/>
        <v>0</v>
      </c>
      <c r="Q804" s="329"/>
      <c r="S804" s="332">
        <f t="shared" si="179"/>
        <v>0.2</v>
      </c>
      <c r="T804" s="332">
        <f t="shared" si="181"/>
        <v>0</v>
      </c>
    </row>
    <row r="805" spans="2:20" hidden="1">
      <c r="B805" s="332" t="s">
        <v>1149</v>
      </c>
      <c r="C805" s="333">
        <f t="shared" si="180"/>
        <v>0</v>
      </c>
      <c r="D805" s="328"/>
      <c r="E805" s="328">
        <f>VLOOKUP(B805,DONGIA,DG!$B$6,0)</f>
        <v>0</v>
      </c>
      <c r="F805" s="329" t="str">
        <f>VLOOKUP(B805,DONGIA,DG!$C$6,0)</f>
        <v>Chụp đầu cosse  95mm2</v>
      </c>
      <c r="G805" s="328" t="str">
        <f>VLOOKUP(B805,DONGIA,DG!$D$6,0)</f>
        <v>cái</v>
      </c>
      <c r="H805" s="329">
        <f>H803</f>
        <v>0</v>
      </c>
      <c r="I805" s="329">
        <f>VLOOKUP(B805,DONGIA,DG!$E$6,0)</f>
        <v>3000</v>
      </c>
      <c r="J805" s="329"/>
      <c r="K805" s="329">
        <f>VLOOKUP(B805,DONGIA,DG!$F$6,0)</f>
        <v>0</v>
      </c>
      <c r="L805" s="329">
        <f>VLOOKUP(B805,DONGIA,DG!$G$6,0)</f>
        <v>0</v>
      </c>
      <c r="M805" s="329">
        <f t="shared" si="183"/>
        <v>0</v>
      </c>
      <c r="N805" s="329">
        <f t="shared" si="184"/>
        <v>0</v>
      </c>
      <c r="O805" s="329">
        <f t="shared" si="185"/>
        <v>0</v>
      </c>
      <c r="P805" s="329">
        <f t="shared" si="186"/>
        <v>0</v>
      </c>
      <c r="Q805" s="329"/>
      <c r="S805" s="332">
        <f t="shared" si="179"/>
        <v>0</v>
      </c>
      <c r="T805" s="332">
        <f t="shared" si="181"/>
        <v>0</v>
      </c>
    </row>
    <row r="806" spans="2:20" hidden="1">
      <c r="B806" s="332" t="s">
        <v>1147</v>
      </c>
      <c r="C806" s="333">
        <f t="shared" si="180"/>
        <v>0</v>
      </c>
      <c r="D806" s="328"/>
      <c r="E806" s="328">
        <f>VLOOKUP(B806,DONGIA,DG!$B$6,0)</f>
        <v>0</v>
      </c>
      <c r="F806" s="329" t="str">
        <f>VLOOKUP(B806,DONGIA,DG!$C$6,0)</f>
        <v>Chụp đầu cosse  70mm2</v>
      </c>
      <c r="G806" s="328" t="str">
        <f>VLOOKUP(B806,DONGIA,DG!$D$6,0)</f>
        <v>cái</v>
      </c>
      <c r="H806" s="329">
        <f>H804</f>
        <v>0</v>
      </c>
      <c r="I806" s="329">
        <f>VLOOKUP(B806,DONGIA,DG!$E$6,0)</f>
        <v>2000</v>
      </c>
      <c r="J806" s="329"/>
      <c r="K806" s="329">
        <f>VLOOKUP(B806,DONGIA,DG!$F$6,0)</f>
        <v>0</v>
      </c>
      <c r="L806" s="329">
        <f>VLOOKUP(B806,DONGIA,DG!$G$6,0)</f>
        <v>0</v>
      </c>
      <c r="M806" s="329">
        <f t="shared" si="183"/>
        <v>0</v>
      </c>
      <c r="N806" s="329">
        <f t="shared" si="184"/>
        <v>0</v>
      </c>
      <c r="O806" s="329">
        <f t="shared" si="185"/>
        <v>0</v>
      </c>
      <c r="P806" s="329">
        <f t="shared" si="186"/>
        <v>0</v>
      </c>
      <c r="Q806" s="329"/>
      <c r="S806" s="332">
        <f t="shared" si="179"/>
        <v>0</v>
      </c>
      <c r="T806" s="332">
        <f t="shared" si="181"/>
        <v>0</v>
      </c>
    </row>
    <row r="807" spans="2:20" hidden="1">
      <c r="B807" s="332" t="s">
        <v>1177</v>
      </c>
      <c r="C807" s="333">
        <f t="shared" si="180"/>
        <v>0</v>
      </c>
      <c r="D807" s="328"/>
      <c r="E807" s="328">
        <f>VLOOKUP(B807,DONGIA,DG!$B$6,0)</f>
        <v>0</v>
      </c>
      <c r="F807" s="329" t="str">
        <f>VLOOKUP(B807,DONGIA,DG!$C$6,0)</f>
        <v xml:space="preserve">Ống PVC D90x3,8mm </v>
      </c>
      <c r="G807" s="328" t="str">
        <f>VLOOKUP(B807,DONGIA,DG!$D$6,0)</f>
        <v>m</v>
      </c>
      <c r="H807" s="329">
        <f>H798*6</f>
        <v>0</v>
      </c>
      <c r="I807" s="329">
        <f>VLOOKUP(B807,DONGIA,DG!$E$6,0)</f>
        <v>57000</v>
      </c>
      <c r="J807" s="329"/>
      <c r="K807" s="329">
        <f>VLOOKUP(B807,DONGIA,DG!$F$6,0)</f>
        <v>0</v>
      </c>
      <c r="L807" s="329">
        <f>VLOOKUP(B807,DONGIA,DG!$G$6,0)</f>
        <v>0</v>
      </c>
      <c r="M807" s="329">
        <f t="shared" si="183"/>
        <v>0</v>
      </c>
      <c r="N807" s="329">
        <f t="shared" si="184"/>
        <v>0</v>
      </c>
      <c r="O807" s="329">
        <f t="shared" si="185"/>
        <v>0</v>
      </c>
      <c r="P807" s="329">
        <f t="shared" si="186"/>
        <v>0</v>
      </c>
      <c r="Q807" s="329"/>
      <c r="S807" s="332">
        <f t="shared" si="179"/>
        <v>2</v>
      </c>
      <c r="T807" s="332">
        <f t="shared" si="181"/>
        <v>0</v>
      </c>
    </row>
    <row r="808" spans="2:20" hidden="1">
      <c r="B808" s="332" t="s">
        <v>455</v>
      </c>
      <c r="C808" s="333">
        <f t="shared" si="180"/>
        <v>0</v>
      </c>
      <c r="D808" s="328"/>
      <c r="E808" s="328">
        <f>VLOOKUP(B808,DONGIA,DG!$B$6,0)</f>
        <v>0</v>
      </c>
      <c r="F808" s="329" t="str">
        <f>VLOOKUP(B808,DONGIA,DG!$C$6,0)&amp;" (CD-230)"</f>
        <v>Cổ dê kẹp ống PVC φ 90 (có giá nới) (CD-230)</v>
      </c>
      <c r="G808" s="328" t="str">
        <f>VLOOKUP(B808,DONGIA,DG!$D$6,0)</f>
        <v>bộ</v>
      </c>
      <c r="H808" s="329">
        <f>H798</f>
        <v>0</v>
      </c>
      <c r="I808" s="329">
        <f>VLOOKUP(B808,DONGIA,DG!$E$6,0)</f>
        <v>60000</v>
      </c>
      <c r="J808" s="329"/>
      <c r="K808" s="329">
        <f>VLOOKUP(B808,DONGIA,DG!$F$6,0)</f>
        <v>0</v>
      </c>
      <c r="L808" s="329">
        <f>VLOOKUP(B808,DONGIA,DG!$G$6,0)</f>
        <v>0</v>
      </c>
      <c r="M808" s="329">
        <f t="shared" si="183"/>
        <v>0</v>
      </c>
      <c r="N808" s="329">
        <f t="shared" si="184"/>
        <v>0</v>
      </c>
      <c r="O808" s="329">
        <f t="shared" si="185"/>
        <v>0</v>
      </c>
      <c r="P808" s="329">
        <f t="shared" si="186"/>
        <v>0</v>
      </c>
      <c r="Q808" s="329"/>
      <c r="S808" s="332">
        <f t="shared" si="179"/>
        <v>1.5</v>
      </c>
      <c r="T808" s="332">
        <f t="shared" si="181"/>
        <v>0</v>
      </c>
    </row>
    <row r="809" spans="2:20" hidden="1">
      <c r="B809" s="332" t="s">
        <v>455</v>
      </c>
      <c r="C809" s="333">
        <f t="shared" si="180"/>
        <v>0</v>
      </c>
      <c r="D809" s="328"/>
      <c r="E809" s="328">
        <f>VLOOKUP(B809,DONGIA,DG!$B$6,0)</f>
        <v>0</v>
      </c>
      <c r="F809" s="329" t="str">
        <f>VLOOKUP(B809,DONGIA,DG!$C$6,0)&amp;" (CD-250)"</f>
        <v>Cổ dê kẹp ống PVC φ 90 (có giá nới) (CD-250)</v>
      </c>
      <c r="G809" s="328" t="str">
        <f>VLOOKUP(B809,DONGIA,DG!$D$6,0)</f>
        <v>bộ</v>
      </c>
      <c r="H809" s="329">
        <f>H798</f>
        <v>0</v>
      </c>
      <c r="I809" s="329">
        <f>VLOOKUP(B809,DONGIA,DG!$E$6,0)</f>
        <v>60000</v>
      </c>
      <c r="J809" s="329"/>
      <c r="K809" s="329">
        <f>VLOOKUP(B809,DONGIA,DG!$F$6,0)</f>
        <v>0</v>
      </c>
      <c r="L809" s="329">
        <f>VLOOKUP(B809,DONGIA,DG!$G$6,0)</f>
        <v>0</v>
      </c>
      <c r="M809" s="329">
        <f t="shared" si="183"/>
        <v>0</v>
      </c>
      <c r="N809" s="329">
        <f t="shared" si="184"/>
        <v>0</v>
      </c>
      <c r="O809" s="329">
        <f t="shared" si="185"/>
        <v>0</v>
      </c>
      <c r="P809" s="329">
        <f t="shared" si="186"/>
        <v>0</v>
      </c>
      <c r="Q809" s="329"/>
      <c r="S809" s="332">
        <f t="shared" si="179"/>
        <v>1.5</v>
      </c>
      <c r="T809" s="332">
        <f t="shared" si="181"/>
        <v>0</v>
      </c>
    </row>
    <row r="810" spans="2:20" hidden="1">
      <c r="B810" s="332" t="s">
        <v>455</v>
      </c>
      <c r="C810" s="333">
        <f t="shared" si="180"/>
        <v>0</v>
      </c>
      <c r="D810" s="328"/>
      <c r="E810" s="328">
        <f>VLOOKUP(B810,DONGIA,DG!$B$6,0)</f>
        <v>0</v>
      </c>
      <c r="F810" s="329" t="str">
        <f>VLOOKUP(B810,DONGIA,DG!$C$6,0)&amp;" (CD-280)"</f>
        <v>Cổ dê kẹp ống PVC φ 90 (có giá nới) (CD-280)</v>
      </c>
      <c r="G810" s="328" t="str">
        <f>VLOOKUP(B810,DONGIA,DG!$D$6,0)</f>
        <v>bộ</v>
      </c>
      <c r="H810" s="329">
        <f>H798</f>
        <v>0</v>
      </c>
      <c r="I810" s="329">
        <f>VLOOKUP(B810,DONGIA,DG!$E$6,0)</f>
        <v>60000</v>
      </c>
      <c r="J810" s="329"/>
      <c r="K810" s="329">
        <f>VLOOKUP(B810,DONGIA,DG!$F$6,0)</f>
        <v>0</v>
      </c>
      <c r="L810" s="329">
        <f>VLOOKUP(B810,DONGIA,DG!$G$6,0)</f>
        <v>0</v>
      </c>
      <c r="M810" s="329">
        <f t="shared" si="183"/>
        <v>0</v>
      </c>
      <c r="N810" s="329">
        <f t="shared" si="184"/>
        <v>0</v>
      </c>
      <c r="O810" s="329">
        <f t="shared" si="185"/>
        <v>0</v>
      </c>
      <c r="P810" s="329">
        <f t="shared" si="186"/>
        <v>0</v>
      </c>
      <c r="Q810" s="329"/>
      <c r="S810" s="332">
        <f t="shared" si="179"/>
        <v>1.5</v>
      </c>
      <c r="T810" s="332">
        <f t="shared" si="181"/>
        <v>0</v>
      </c>
    </row>
    <row r="811" spans="2:20" hidden="1">
      <c r="B811" s="332" t="s">
        <v>2956</v>
      </c>
      <c r="C811" s="333">
        <f t="shared" si="180"/>
        <v>0</v>
      </c>
      <c r="D811" s="328"/>
      <c r="E811" s="328">
        <f>VLOOKUP(B811,DONGIA,DG!$B$6,0)</f>
        <v>0</v>
      </c>
      <c r="F811" s="329" t="str">
        <f>VLOOKUP(B811,DONGIA,DG!$C$6,0)</f>
        <v>Co  90 độ PVC 90 (Loại dày)</v>
      </c>
      <c r="G811" s="328" t="str">
        <f>VLOOKUP(B811,DONGIA,DG!$D$6,0)</f>
        <v>cái</v>
      </c>
      <c r="H811" s="329">
        <f>H798</f>
        <v>0</v>
      </c>
      <c r="I811" s="329">
        <f>VLOOKUP(B811,DONGIA,DG!$E$6,0)</f>
        <v>45400</v>
      </c>
      <c r="J811" s="329"/>
      <c r="K811" s="329">
        <f>VLOOKUP(B811,DONGIA,DG!$F$6,0)</f>
        <v>0</v>
      </c>
      <c r="L811" s="329">
        <f>VLOOKUP(B811,DONGIA,DG!$G$6,0)</f>
        <v>0</v>
      </c>
      <c r="M811" s="329">
        <f t="shared" si="183"/>
        <v>0</v>
      </c>
      <c r="N811" s="329">
        <f t="shared" si="184"/>
        <v>0</v>
      </c>
      <c r="O811" s="329">
        <f t="shared" si="185"/>
        <v>0</v>
      </c>
      <c r="P811" s="329">
        <f t="shared" si="186"/>
        <v>0</v>
      </c>
      <c r="Q811" s="329"/>
      <c r="S811" s="332">
        <f t="shared" si="179"/>
        <v>0</v>
      </c>
      <c r="T811" s="332">
        <f t="shared" si="181"/>
        <v>0</v>
      </c>
    </row>
    <row r="812" spans="2:20" hidden="1">
      <c r="B812" s="332" t="s">
        <v>1940</v>
      </c>
      <c r="C812" s="333">
        <f t="shared" si="180"/>
        <v>0</v>
      </c>
      <c r="D812" s="328"/>
      <c r="E812" s="328">
        <f>VLOOKUP(B812,DONGIA,DG!$B$6,0)</f>
        <v>0</v>
      </c>
      <c r="F812" s="329" t="str">
        <f>VLOOKUP(B812,DONGIA,DG!$C$6,0)</f>
        <v>Nối giảm PVC 114-90</v>
      </c>
      <c r="G812" s="328" t="str">
        <f>VLOOKUP(B812,DONGIA,DG!$D$6,0)</f>
        <v>cái</v>
      </c>
      <c r="H812" s="329">
        <f>H798</f>
        <v>0</v>
      </c>
      <c r="I812" s="329">
        <f>VLOOKUP(B812,DONGIA,DG!$E$6,0)</f>
        <v>52800</v>
      </c>
      <c r="J812" s="329"/>
      <c r="K812" s="329">
        <f>VLOOKUP(B812,DONGIA,DG!$F$6,0)</f>
        <v>0</v>
      </c>
      <c r="L812" s="329">
        <f>VLOOKUP(B812,DONGIA,DG!$G$6,0)</f>
        <v>0</v>
      </c>
      <c r="M812" s="329">
        <f t="shared" si="183"/>
        <v>0</v>
      </c>
      <c r="N812" s="329">
        <f t="shared" si="184"/>
        <v>0</v>
      </c>
      <c r="O812" s="329">
        <f t="shared" si="185"/>
        <v>0</v>
      </c>
      <c r="P812" s="329">
        <f t="shared" si="186"/>
        <v>0</v>
      </c>
      <c r="Q812" s="329"/>
      <c r="S812" s="332">
        <f t="shared" si="179"/>
        <v>0</v>
      </c>
      <c r="T812" s="332">
        <f t="shared" si="181"/>
        <v>0</v>
      </c>
    </row>
    <row r="813" spans="2:20" hidden="1">
      <c r="B813" s="332" t="s">
        <v>1181</v>
      </c>
      <c r="C813" s="333">
        <f t="shared" si="180"/>
        <v>0</v>
      </c>
      <c r="D813" s="328"/>
      <c r="E813" s="328">
        <f>VLOOKUP(B813,DONGIA,DG!$B$6,0)</f>
        <v>0</v>
      </c>
      <c r="F813" s="329" t="str">
        <f>VLOOKUP(B813,DONGIA,DG!$C$6,0)</f>
        <v>Co 135 độ PVC 90</v>
      </c>
      <c r="G813" s="328" t="str">
        <f>VLOOKUP(B813,DONGIA,DG!$D$6,0)</f>
        <v>cái</v>
      </c>
      <c r="H813" s="329">
        <f>H798</f>
        <v>0</v>
      </c>
      <c r="I813" s="329">
        <f>VLOOKUP(B813,DONGIA,DG!$E$6,0)</f>
        <v>34800</v>
      </c>
      <c r="J813" s="329"/>
      <c r="K813" s="329">
        <f>VLOOKUP(B813,DONGIA,DG!$F$6,0)</f>
        <v>0</v>
      </c>
      <c r="L813" s="329">
        <f>VLOOKUP(B813,DONGIA,DG!$G$6,0)</f>
        <v>0</v>
      </c>
      <c r="M813" s="329">
        <f t="shared" si="183"/>
        <v>0</v>
      </c>
      <c r="N813" s="329">
        <f t="shared" si="184"/>
        <v>0</v>
      </c>
      <c r="O813" s="329">
        <f t="shared" si="185"/>
        <v>0</v>
      </c>
      <c r="P813" s="329">
        <f t="shared" si="186"/>
        <v>0</v>
      </c>
      <c r="Q813" s="329"/>
      <c r="S813" s="332">
        <f t="shared" si="179"/>
        <v>0</v>
      </c>
      <c r="T813" s="332">
        <f t="shared" si="181"/>
        <v>0</v>
      </c>
    </row>
    <row r="814" spans="2:20" hidden="1">
      <c r="B814" s="332" t="s">
        <v>1914</v>
      </c>
      <c r="C814" s="333">
        <f t="shared" si="180"/>
        <v>0</v>
      </c>
      <c r="D814" s="328"/>
      <c r="E814" s="328">
        <f>VLOOKUP(B814,DONGIA,DG!$B$6,0)</f>
        <v>0</v>
      </c>
      <c r="F814" s="329" t="str">
        <f>VLOOKUP(B814,DONGIA,DG!$C$6,0)</f>
        <v>Keo dán ống PVC (100gr)</v>
      </c>
      <c r="G814" s="328" t="str">
        <f>VLOOKUP(B814,DONGIA,DG!$D$6,0)</f>
        <v>tuýp</v>
      </c>
      <c r="H814" s="329">
        <f>H798</f>
        <v>0</v>
      </c>
      <c r="I814" s="329">
        <f>VLOOKUP(B814,DONGIA,DG!$E$6,0)</f>
        <v>11500</v>
      </c>
      <c r="J814" s="329"/>
      <c r="K814" s="329">
        <f>VLOOKUP(B814,DONGIA,DG!$F$6,0)</f>
        <v>0</v>
      </c>
      <c r="L814" s="329">
        <f>VLOOKUP(B814,DONGIA,DG!$G$6,0)</f>
        <v>0</v>
      </c>
      <c r="M814" s="329">
        <f t="shared" si="183"/>
        <v>0</v>
      </c>
      <c r="N814" s="329">
        <f t="shared" si="184"/>
        <v>0</v>
      </c>
      <c r="O814" s="329">
        <f t="shared" si="185"/>
        <v>0</v>
      </c>
      <c r="P814" s="329">
        <f t="shared" si="186"/>
        <v>0</v>
      </c>
      <c r="Q814" s="329"/>
      <c r="S814" s="332">
        <f t="shared" si="179"/>
        <v>0</v>
      </c>
      <c r="T814" s="332">
        <f t="shared" si="181"/>
        <v>0</v>
      </c>
    </row>
    <row r="815" spans="2:20" hidden="1">
      <c r="B815" s="332" t="s">
        <v>1195</v>
      </c>
      <c r="C815" s="333">
        <f t="shared" si="180"/>
        <v>0</v>
      </c>
      <c r="D815" s="328"/>
      <c r="E815" s="328">
        <f>VLOOKUP(B815,DONGIA,DG!$B$6,0)</f>
        <v>0</v>
      </c>
      <c r="F815" s="329" t="str">
        <f>VLOOKUP(B815,DONGIA,DG!$C$6,0)</f>
        <v>Keo silicon bít miệng ống</v>
      </c>
      <c r="G815" s="328" t="str">
        <f>VLOOKUP(B815,DONGIA,DG!$D$6,0)</f>
        <v>ống</v>
      </c>
      <c r="H815" s="329"/>
      <c r="I815" s="329">
        <f>VLOOKUP(B815,DONGIA,DG!$E$6,0)</f>
        <v>45000</v>
      </c>
      <c r="J815" s="329"/>
      <c r="K815" s="329">
        <f>VLOOKUP(B815,DONGIA,DG!$F$6,0)</f>
        <v>0</v>
      </c>
      <c r="L815" s="329">
        <f>VLOOKUP(B815,DONGIA,DG!$G$6,0)</f>
        <v>0</v>
      </c>
      <c r="M815" s="329">
        <f t="shared" si="183"/>
        <v>0</v>
      </c>
      <c r="N815" s="329">
        <f t="shared" si="184"/>
        <v>0</v>
      </c>
      <c r="O815" s="329">
        <f t="shared" si="185"/>
        <v>0</v>
      </c>
      <c r="P815" s="329">
        <f t="shared" si="186"/>
        <v>0</v>
      </c>
      <c r="Q815" s="329"/>
      <c r="S815" s="332">
        <f t="shared" si="179"/>
        <v>0</v>
      </c>
      <c r="T815" s="332">
        <f t="shared" si="181"/>
        <v>0</v>
      </c>
    </row>
    <row r="816" spans="2:20" hidden="1">
      <c r="B816" s="332" t="s">
        <v>1193</v>
      </c>
      <c r="C816" s="333">
        <f t="shared" si="180"/>
        <v>0</v>
      </c>
      <c r="D816" s="328"/>
      <c r="E816" s="328">
        <f>VLOOKUP(B816,DONGIA,DG!$B$6,0)</f>
        <v>0</v>
      </c>
      <c r="F816" s="329" t="str">
        <f>VLOOKUP(B816,DONGIA,DG!$C$6,0)</f>
        <v>Băng keo cách điện</v>
      </c>
      <c r="G816" s="328" t="str">
        <f>VLOOKUP(B816,DONGIA,DG!$D$6,0)</f>
        <v>cuộn</v>
      </c>
      <c r="H816" s="329">
        <f>ROUNDUP(H798/5,0)</f>
        <v>0</v>
      </c>
      <c r="I816" s="329">
        <f>VLOOKUP(B816,DONGIA,DG!$E$6,0)</f>
        <v>6500</v>
      </c>
      <c r="J816" s="329"/>
      <c r="K816" s="329">
        <f>VLOOKUP(B816,DONGIA,DG!$F$6,0)</f>
        <v>0</v>
      </c>
      <c r="L816" s="329">
        <f>VLOOKUP(B816,DONGIA,DG!$G$6,0)</f>
        <v>0</v>
      </c>
      <c r="M816" s="329">
        <f t="shared" si="183"/>
        <v>0</v>
      </c>
      <c r="N816" s="329">
        <f t="shared" si="184"/>
        <v>0</v>
      </c>
      <c r="O816" s="329">
        <f t="shared" si="185"/>
        <v>0</v>
      </c>
      <c r="P816" s="329">
        <f t="shared" si="186"/>
        <v>0</v>
      </c>
      <c r="Q816" s="329"/>
      <c r="S816" s="332">
        <f t="shared" si="179"/>
        <v>0</v>
      </c>
      <c r="T816" s="332">
        <f t="shared" si="181"/>
        <v>0</v>
      </c>
    </row>
    <row r="817" spans="2:20" hidden="1">
      <c r="B817" s="332" t="s">
        <v>2979</v>
      </c>
      <c r="C817" s="333">
        <f t="shared" si="180"/>
        <v>0</v>
      </c>
      <c r="D817" s="328"/>
      <c r="E817" s="328">
        <f>VLOOKUP(B817,DONGIA,DG!$B$6,0)</f>
        <v>0</v>
      </c>
      <c r="F817" s="329" t="str">
        <f>VLOOKUP(B817,DONGIA,DG!$C$6,0)</f>
        <v>Băng keo cách điện (Màu vàng)</v>
      </c>
      <c r="G817" s="328" t="str">
        <f>VLOOKUP(B817,DONGIA,DG!$D$6,0)</f>
        <v>cuộn</v>
      </c>
      <c r="H817" s="329">
        <f>ROUNDUP(H798/5,0)</f>
        <v>0</v>
      </c>
      <c r="I817" s="329">
        <f>VLOOKUP(B817,DONGIA,DG!$E$6,0)</f>
        <v>6500</v>
      </c>
      <c r="J817" s="329"/>
      <c r="K817" s="329">
        <f>VLOOKUP(B817,DONGIA,DG!$F$6,0)</f>
        <v>0</v>
      </c>
      <c r="L817" s="329">
        <f>VLOOKUP(B817,DONGIA,DG!$G$6,0)</f>
        <v>0</v>
      </c>
      <c r="M817" s="329">
        <f t="shared" si="183"/>
        <v>0</v>
      </c>
      <c r="N817" s="329">
        <f t="shared" si="184"/>
        <v>0</v>
      </c>
      <c r="O817" s="329">
        <f t="shared" si="185"/>
        <v>0</v>
      </c>
      <c r="P817" s="329">
        <f t="shared" si="186"/>
        <v>0</v>
      </c>
      <c r="Q817" s="329"/>
      <c r="S817" s="332">
        <f t="shared" si="179"/>
        <v>0</v>
      </c>
      <c r="T817" s="332">
        <f t="shared" si="181"/>
        <v>0</v>
      </c>
    </row>
    <row r="818" spans="2:20" hidden="1">
      <c r="B818" s="332" t="s">
        <v>2980</v>
      </c>
      <c r="C818" s="333">
        <f t="shared" si="180"/>
        <v>0</v>
      </c>
      <c r="D818" s="328"/>
      <c r="E818" s="328">
        <f>VLOOKUP(B818,DONGIA,DG!$B$6,0)</f>
        <v>0</v>
      </c>
      <c r="F818" s="329" t="str">
        <f>VLOOKUP(B818,DONGIA,DG!$C$6,0)</f>
        <v>Băng keo cách điện (Màu xanh)</v>
      </c>
      <c r="G818" s="328" t="str">
        <f>VLOOKUP(B818,DONGIA,DG!$D$6,0)</f>
        <v>cuộn</v>
      </c>
      <c r="H818" s="329">
        <f>ROUNDUP(H798/5,0)</f>
        <v>0</v>
      </c>
      <c r="I818" s="329">
        <f>VLOOKUP(B818,DONGIA,DG!$E$6,0)</f>
        <v>6500</v>
      </c>
      <c r="J818" s="329"/>
      <c r="K818" s="329">
        <f>VLOOKUP(B818,DONGIA,DG!$F$6,0)</f>
        <v>0</v>
      </c>
      <c r="L818" s="329">
        <f>VLOOKUP(B818,DONGIA,DG!$G$6,0)</f>
        <v>0</v>
      </c>
      <c r="M818" s="329">
        <f t="shared" si="183"/>
        <v>0</v>
      </c>
      <c r="N818" s="329">
        <f t="shared" si="184"/>
        <v>0</v>
      </c>
      <c r="O818" s="329">
        <f t="shared" si="185"/>
        <v>0</v>
      </c>
      <c r="P818" s="329">
        <f t="shared" si="186"/>
        <v>0</v>
      </c>
      <c r="Q818" s="329"/>
      <c r="S818" s="332">
        <f t="shared" si="179"/>
        <v>0</v>
      </c>
      <c r="T818" s="332">
        <f t="shared" si="181"/>
        <v>0</v>
      </c>
    </row>
    <row r="819" spans="2:20" hidden="1">
      <c r="B819" s="332" t="s">
        <v>2981</v>
      </c>
      <c r="C819" s="333">
        <f t="shared" si="180"/>
        <v>0</v>
      </c>
      <c r="D819" s="328"/>
      <c r="E819" s="328">
        <f>VLOOKUP(B819,DONGIA,DG!$B$6,0)</f>
        <v>0</v>
      </c>
      <c r="F819" s="329" t="str">
        <f>VLOOKUP(B819,DONGIA,DG!$C$6,0)</f>
        <v>Băng keo cách điện (Màu đỏ)</v>
      </c>
      <c r="G819" s="328" t="str">
        <f>VLOOKUP(B819,DONGIA,DG!$D$6,0)</f>
        <v>cuộn</v>
      </c>
      <c r="H819" s="329">
        <f>ROUNDUP(H798/5,0)</f>
        <v>0</v>
      </c>
      <c r="I819" s="329">
        <f>VLOOKUP(B819,DONGIA,DG!$E$6,0)</f>
        <v>6500</v>
      </c>
      <c r="J819" s="329"/>
      <c r="K819" s="329">
        <f>VLOOKUP(B819,DONGIA,DG!$F$6,0)</f>
        <v>0</v>
      </c>
      <c r="L819" s="329">
        <f>VLOOKUP(B819,DONGIA,DG!$G$6,0)</f>
        <v>0</v>
      </c>
      <c r="M819" s="329">
        <f t="shared" si="183"/>
        <v>0</v>
      </c>
      <c r="N819" s="329">
        <f t="shared" si="184"/>
        <v>0</v>
      </c>
      <c r="O819" s="329">
        <f t="shared" si="185"/>
        <v>0</v>
      </c>
      <c r="P819" s="329">
        <f t="shared" si="186"/>
        <v>0</v>
      </c>
      <c r="Q819" s="329"/>
      <c r="S819" s="332">
        <f t="shared" si="179"/>
        <v>0</v>
      </c>
      <c r="T819" s="332">
        <f t="shared" si="181"/>
        <v>0</v>
      </c>
    </row>
    <row r="820" spans="2:20" hidden="1">
      <c r="B820" s="332" t="s">
        <v>855</v>
      </c>
      <c r="C820" s="333">
        <f t="shared" si="180"/>
        <v>0</v>
      </c>
      <c r="D820" s="328"/>
      <c r="E820" s="328" t="str">
        <f>VLOOKUP(B820,DONGIA,DG!$B$6,0)</f>
        <v>T4.8003</v>
      </c>
      <c r="F820" s="329" t="str">
        <f>VLOOKUP(B820,DONGIA,DG!$C$6,0)</f>
        <v>Lắp ống nhựa PVC D90</v>
      </c>
      <c r="G820" s="328" t="str">
        <f>VLOOKUP(B820,DONGIA,DG!$D$6,0)</f>
        <v>mét</v>
      </c>
      <c r="H820" s="329">
        <f>H807</f>
        <v>0</v>
      </c>
      <c r="I820" s="329">
        <f>VLOOKUP(B820,DONGIA,DG!$E$6,0)</f>
        <v>0</v>
      </c>
      <c r="J820" s="329"/>
      <c r="K820" s="329">
        <f>VLOOKUP(B820,DONGIA,DG!$F$6,0)</f>
        <v>35541</v>
      </c>
      <c r="L820" s="329">
        <f>VLOOKUP(B820,DONGIA,DG!$G$6,0)</f>
        <v>0</v>
      </c>
      <c r="M820" s="329">
        <f t="shared" si="183"/>
        <v>0</v>
      </c>
      <c r="N820" s="329">
        <f t="shared" si="184"/>
        <v>0</v>
      </c>
      <c r="O820" s="329">
        <f t="shared" si="185"/>
        <v>0</v>
      </c>
      <c r="P820" s="329">
        <f t="shared" si="186"/>
        <v>0</v>
      </c>
      <c r="Q820" s="329"/>
      <c r="S820" s="332">
        <f t="shared" si="179"/>
        <v>0</v>
      </c>
      <c r="T820" s="332">
        <f t="shared" si="181"/>
        <v>0</v>
      </c>
    </row>
    <row r="821" spans="2:20" hidden="1">
      <c r="B821" s="332" t="s">
        <v>1939</v>
      </c>
      <c r="C821" s="333">
        <f t="shared" si="180"/>
        <v>0</v>
      </c>
      <c r="D821" s="328"/>
      <c r="E821" s="328" t="str">
        <f>VLOOKUP(B821,DONGIA,DG!$B$6,0)</f>
        <v>T4.4201</v>
      </c>
      <c r="F821" s="329" t="str">
        <f>VLOOKUP(B821,DONGIA,DG!$C$6,0)</f>
        <v>Lắp cáp đồng xuống thiết bị D ≤ 95mm2</v>
      </c>
      <c r="G821" s="328" t="str">
        <f>VLOOKUP(B821,DONGIA,DG!$D$6,0)</f>
        <v>m</v>
      </c>
      <c r="H821" s="329">
        <f>H800+H801</f>
        <v>0</v>
      </c>
      <c r="I821" s="329">
        <f>VLOOKUP(B821,DONGIA,DG!$E$6,0)</f>
        <v>0</v>
      </c>
      <c r="J821" s="329"/>
      <c r="K821" s="329">
        <f>VLOOKUP(B821,DONGIA,DG!$F$6,0)</f>
        <v>11847</v>
      </c>
      <c r="L821" s="329">
        <f>VLOOKUP(B821,DONGIA,DG!$G$6,0)</f>
        <v>0</v>
      </c>
      <c r="M821" s="329">
        <f t="shared" si="183"/>
        <v>0</v>
      </c>
      <c r="N821" s="329">
        <f t="shared" si="184"/>
        <v>0</v>
      </c>
      <c r="O821" s="329">
        <f t="shared" si="185"/>
        <v>0</v>
      </c>
      <c r="P821" s="329">
        <f t="shared" si="186"/>
        <v>0</v>
      </c>
      <c r="Q821" s="329"/>
      <c r="S821" s="332">
        <f t="shared" si="179"/>
        <v>0</v>
      </c>
      <c r="T821" s="332">
        <f t="shared" si="181"/>
        <v>0</v>
      </c>
    </row>
    <row r="822" spans="2:20" hidden="1">
      <c r="C822" s="333">
        <f t="shared" si="180"/>
        <v>0</v>
      </c>
      <c r="D822" s="372">
        <f>IF(H822&lt;&gt;0,D798+1,D798)</f>
        <v>0</v>
      </c>
      <c r="E822" s="372"/>
      <c r="F822" s="373" t="s">
        <v>1938</v>
      </c>
      <c r="G822" s="372" t="s">
        <v>138</v>
      </c>
      <c r="H822" s="372">
        <f>TR3X25*2</f>
        <v>0</v>
      </c>
      <c r="I822" s="373"/>
      <c r="J822" s="373"/>
      <c r="K822" s="373"/>
      <c r="L822" s="373"/>
      <c r="M822" s="373"/>
      <c r="N822" s="373"/>
      <c r="O822" s="373"/>
      <c r="P822" s="373"/>
      <c r="Q822" s="373"/>
      <c r="S822" s="332">
        <f t="shared" si="179"/>
        <v>0</v>
      </c>
      <c r="T822" s="332">
        <f t="shared" si="181"/>
        <v>0</v>
      </c>
    </row>
    <row r="823" spans="2:20" s="361" customFormat="1" hidden="1">
      <c r="C823" s="374">
        <f>C822</f>
        <v>0</v>
      </c>
      <c r="D823" s="350"/>
      <c r="E823" s="350"/>
      <c r="F823" s="351" t="s">
        <v>1902</v>
      </c>
      <c r="G823" s="350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S823" s="361">
        <f t="shared" si="179"/>
        <v>0</v>
      </c>
      <c r="T823" s="361">
        <f t="shared" si="181"/>
        <v>0</v>
      </c>
    </row>
    <row r="824" spans="2:20" hidden="1">
      <c r="B824" s="332" t="s">
        <v>1907</v>
      </c>
      <c r="C824" s="333">
        <f t="shared" si="180"/>
        <v>0</v>
      </c>
      <c r="D824" s="328"/>
      <c r="E824" s="328">
        <f>VLOOKUP(B824,DONGIA,DG!$B$6,0)</f>
        <v>0</v>
      </c>
      <c r="F824" s="329" t="str">
        <f>VLOOKUP(B824,DONGIA,DG!$C$6,0)</f>
        <v>Cáp đồng bọc CV70</v>
      </c>
      <c r="G824" s="328" t="str">
        <f>VLOOKUP(B824,DONGIA,DG!$D$6,0)</f>
        <v>mét</v>
      </c>
      <c r="H824" s="455">
        <f>H822*8.5*3</f>
        <v>0</v>
      </c>
      <c r="I824" s="329">
        <f>VLOOKUP(B824,DONGIA,DG!$E$6,0)</f>
        <v>142880</v>
      </c>
      <c r="J824" s="329"/>
      <c r="K824" s="329">
        <f>VLOOKUP(B824,DONGIA,DG!$F$6,0)</f>
        <v>0</v>
      </c>
      <c r="L824" s="329">
        <f>VLOOKUP(B824,DONGIA,DG!$G$6,0)</f>
        <v>0</v>
      </c>
      <c r="M824" s="329">
        <f>$H824*I824</f>
        <v>0</v>
      </c>
      <c r="N824" s="329">
        <f>$H824*J824</f>
        <v>0</v>
      </c>
      <c r="O824" s="329">
        <f>$H824*K824</f>
        <v>0</v>
      </c>
      <c r="P824" s="329">
        <f>$H824*L824</f>
        <v>0</v>
      </c>
      <c r="Q824" s="329"/>
      <c r="S824" s="332">
        <f t="shared" si="179"/>
        <v>0.73899999999999999</v>
      </c>
      <c r="T824" s="332">
        <f t="shared" si="181"/>
        <v>0</v>
      </c>
    </row>
    <row r="825" spans="2:20" hidden="1">
      <c r="B825" s="332" t="s">
        <v>1906</v>
      </c>
      <c r="C825" s="333">
        <f t="shared" si="180"/>
        <v>0</v>
      </c>
      <c r="D825" s="328"/>
      <c r="E825" s="328">
        <f>VLOOKUP(B825,DONGIA,DG!$B$6,0)</f>
        <v>0</v>
      </c>
      <c r="F825" s="329" t="str">
        <f>VLOOKUP(B825,DONGIA,DG!$C$6,0)</f>
        <v>Cáp đồng bọc CV50</v>
      </c>
      <c r="G825" s="328" t="str">
        <f>VLOOKUP(B825,DONGIA,DG!$D$6,0)</f>
        <v>mét</v>
      </c>
      <c r="H825" s="455">
        <f>H822*8.5</f>
        <v>0</v>
      </c>
      <c r="I825" s="329">
        <f>VLOOKUP(B825,DONGIA,DG!$E$6,0)</f>
        <v>104370</v>
      </c>
      <c r="J825" s="329"/>
      <c r="K825" s="329">
        <f>VLOOKUP(B825,DONGIA,DG!$F$6,0)</f>
        <v>0</v>
      </c>
      <c r="L825" s="329">
        <f>VLOOKUP(B825,DONGIA,DG!$G$6,0)</f>
        <v>0</v>
      </c>
      <c r="M825" s="329">
        <f t="shared" ref="M825:M844" si="187">$H825*I825</f>
        <v>0</v>
      </c>
      <c r="N825" s="329">
        <f t="shared" ref="N825:N844" si="188">$H825*J825</f>
        <v>0</v>
      </c>
      <c r="O825" s="329">
        <f t="shared" ref="O825:O844" si="189">$H825*K825</f>
        <v>0</v>
      </c>
      <c r="P825" s="329">
        <f t="shared" ref="P825:P844" si="190">$H825*L825</f>
        <v>0</v>
      </c>
      <c r="Q825" s="329"/>
      <c r="S825" s="332">
        <f t="shared" si="179"/>
        <v>0.53400000000000003</v>
      </c>
      <c r="T825" s="332">
        <f t="shared" si="181"/>
        <v>0</v>
      </c>
    </row>
    <row r="826" spans="2:20" hidden="1">
      <c r="B826" s="332" t="s">
        <v>1907</v>
      </c>
      <c r="C826" s="333">
        <f>IF(H826&lt;&gt;0,1,)</f>
        <v>0</v>
      </c>
      <c r="D826" s="328"/>
      <c r="E826" s="328">
        <f>VLOOKUP(B826,DONGIA,DG!$B$6,0)</f>
        <v>0</v>
      </c>
      <c r="F826" s="329" t="str">
        <f>VLOOKUP(B826,DONGIA,DG!$C$6,0)&amp;" (Bắt CB phân đoạn)"</f>
        <v>Cáp đồng bọc CV70 (Bắt CB phân đoạn)</v>
      </c>
      <c r="G826" s="328" t="str">
        <f>VLOOKUP(B826,DONGIA,DG!$D$6,0)</f>
        <v>mét</v>
      </c>
      <c r="H826" s="455">
        <f>H822*3</f>
        <v>0</v>
      </c>
      <c r="I826" s="329">
        <f>VLOOKUP(B826,DONGIA,DG!$E$6,0)</f>
        <v>142880</v>
      </c>
      <c r="J826" s="329"/>
      <c r="K826" s="329">
        <f>VLOOKUP(B826,DONGIA,DG!$F$6,0)</f>
        <v>0</v>
      </c>
      <c r="L826" s="329">
        <f>VLOOKUP(B826,DONGIA,DG!$G$6,0)</f>
        <v>0</v>
      </c>
      <c r="M826" s="329">
        <f t="shared" si="187"/>
        <v>0</v>
      </c>
      <c r="N826" s="329">
        <f t="shared" si="188"/>
        <v>0</v>
      </c>
      <c r="O826" s="329">
        <f t="shared" si="189"/>
        <v>0</v>
      </c>
      <c r="P826" s="329">
        <f t="shared" si="190"/>
        <v>0</v>
      </c>
      <c r="Q826" s="329"/>
      <c r="S826" s="332">
        <f>IFERROR(VLOOKUP(B826,DONGIA,$S$25,0),0)</f>
        <v>0.73899999999999999</v>
      </c>
      <c r="T826" s="332">
        <f>H826*S826</f>
        <v>0</v>
      </c>
    </row>
    <row r="827" spans="2:20" hidden="1">
      <c r="B827" s="332" t="s">
        <v>1113</v>
      </c>
      <c r="C827" s="333">
        <f t="shared" si="180"/>
        <v>0</v>
      </c>
      <c r="D827" s="328"/>
      <c r="E827" s="328"/>
      <c r="F827" s="329" t="str">
        <f>VLOOKUP(B827,DONGIA,DG!$C$6,0)</f>
        <v>Đầu cosse ép Cu 70mm2</v>
      </c>
      <c r="G827" s="328" t="str">
        <f>VLOOKUP(B827,DONGIA,DG!$D$6,0)</f>
        <v>cái</v>
      </c>
      <c r="H827" s="329">
        <f>H822*3+H822*3*2</f>
        <v>0</v>
      </c>
      <c r="I827" s="329">
        <f>VLOOKUP(B827,DONGIA,DG!$E$6,0)</f>
        <v>33000</v>
      </c>
      <c r="J827" s="329"/>
      <c r="K827" s="329"/>
      <c r="L827" s="329"/>
      <c r="M827" s="329">
        <f t="shared" si="187"/>
        <v>0</v>
      </c>
      <c r="N827" s="329">
        <f t="shared" si="188"/>
        <v>0</v>
      </c>
      <c r="O827" s="329">
        <f t="shared" si="189"/>
        <v>0</v>
      </c>
      <c r="P827" s="329">
        <f t="shared" si="190"/>
        <v>0</v>
      </c>
      <c r="Q827" s="329"/>
      <c r="S827" s="332">
        <f t="shared" si="179"/>
        <v>0.2</v>
      </c>
      <c r="T827" s="332">
        <f t="shared" si="181"/>
        <v>0</v>
      </c>
    </row>
    <row r="828" spans="2:20" hidden="1">
      <c r="B828" s="332" t="s">
        <v>1110</v>
      </c>
      <c r="C828" s="333">
        <f t="shared" si="180"/>
        <v>0</v>
      </c>
      <c r="D828" s="328"/>
      <c r="E828" s="328"/>
      <c r="F828" s="329" t="str">
        <f>VLOOKUP(B828,DONGIA,DG!$C$6,0)</f>
        <v>Đầu cosse ép Cu 50mm2</v>
      </c>
      <c r="G828" s="328" t="str">
        <f>VLOOKUP(B828,DONGIA,DG!$D$6,0)</f>
        <v>cái</v>
      </c>
      <c r="H828" s="329">
        <f>H822</f>
        <v>0</v>
      </c>
      <c r="I828" s="329">
        <f>VLOOKUP(B828,DONGIA,DG!$E$6,0)</f>
        <v>23000</v>
      </c>
      <c r="J828" s="329"/>
      <c r="K828" s="329"/>
      <c r="L828" s="329"/>
      <c r="M828" s="329">
        <f t="shared" si="187"/>
        <v>0</v>
      </c>
      <c r="N828" s="329">
        <f t="shared" si="188"/>
        <v>0</v>
      </c>
      <c r="O828" s="329">
        <f t="shared" si="189"/>
        <v>0</v>
      </c>
      <c r="P828" s="329">
        <f t="shared" si="190"/>
        <v>0</v>
      </c>
      <c r="Q828" s="329"/>
      <c r="S828" s="332">
        <f t="shared" si="179"/>
        <v>0.1</v>
      </c>
      <c r="T828" s="332">
        <f t="shared" si="181"/>
        <v>0</v>
      </c>
    </row>
    <row r="829" spans="2:20" hidden="1">
      <c r="B829" s="332" t="s">
        <v>1147</v>
      </c>
      <c r="C829" s="333">
        <f t="shared" si="180"/>
        <v>0</v>
      </c>
      <c r="D829" s="328"/>
      <c r="E829" s="328">
        <f>VLOOKUP(B829,DONGIA,DG!$B$6,0)</f>
        <v>0</v>
      </c>
      <c r="F829" s="329" t="str">
        <f>VLOOKUP(B829,DONGIA,DG!$C$6,0)</f>
        <v>Chụp đầu cosse  70mm2</v>
      </c>
      <c r="G829" s="328" t="str">
        <f>VLOOKUP(B829,DONGIA,DG!$D$6,0)</f>
        <v>cái</v>
      </c>
      <c r="H829" s="329">
        <f>H827</f>
        <v>0</v>
      </c>
      <c r="I829" s="329">
        <f>VLOOKUP(B829,DONGIA,DG!$E$6,0)</f>
        <v>2000</v>
      </c>
      <c r="J829" s="329"/>
      <c r="K829" s="329">
        <f>VLOOKUP(B829,DONGIA,DG!$F$6,0)</f>
        <v>0</v>
      </c>
      <c r="L829" s="329">
        <f>VLOOKUP(B829,DONGIA,DG!$G$6,0)</f>
        <v>0</v>
      </c>
      <c r="M829" s="329">
        <f t="shared" si="187"/>
        <v>0</v>
      </c>
      <c r="N829" s="329">
        <f t="shared" si="188"/>
        <v>0</v>
      </c>
      <c r="O829" s="329">
        <f t="shared" si="189"/>
        <v>0</v>
      </c>
      <c r="P829" s="329">
        <f t="shared" si="190"/>
        <v>0</v>
      </c>
      <c r="Q829" s="329"/>
      <c r="S829" s="332">
        <f t="shared" si="179"/>
        <v>0</v>
      </c>
      <c r="T829" s="332">
        <f t="shared" si="181"/>
        <v>0</v>
      </c>
    </row>
    <row r="830" spans="2:20" hidden="1">
      <c r="B830" s="332" t="s">
        <v>1145</v>
      </c>
      <c r="C830" s="333">
        <f t="shared" si="180"/>
        <v>0</v>
      </c>
      <c r="D830" s="328"/>
      <c r="E830" s="328">
        <f>VLOOKUP(B830,DONGIA,DG!$B$6,0)</f>
        <v>0</v>
      </c>
      <c r="F830" s="329" t="str">
        <f>VLOOKUP(B830,DONGIA,DG!$C$6,0)</f>
        <v>Chụp đầu cosse  50mm2</v>
      </c>
      <c r="G830" s="328" t="str">
        <f>VLOOKUP(B830,DONGIA,DG!$D$6,0)</f>
        <v>cái</v>
      </c>
      <c r="H830" s="329">
        <f>H828</f>
        <v>0</v>
      </c>
      <c r="I830" s="329">
        <f>VLOOKUP(B830,DONGIA,DG!$E$6,0)</f>
        <v>2000</v>
      </c>
      <c r="J830" s="329"/>
      <c r="K830" s="329">
        <f>VLOOKUP(B830,DONGIA,DG!$F$6,0)</f>
        <v>0</v>
      </c>
      <c r="L830" s="329">
        <f>VLOOKUP(B830,DONGIA,DG!$G$6,0)</f>
        <v>0</v>
      </c>
      <c r="M830" s="329">
        <f t="shared" si="187"/>
        <v>0</v>
      </c>
      <c r="N830" s="329">
        <f t="shared" si="188"/>
        <v>0</v>
      </c>
      <c r="O830" s="329">
        <f t="shared" si="189"/>
        <v>0</v>
      </c>
      <c r="P830" s="329">
        <f t="shared" si="190"/>
        <v>0</v>
      </c>
      <c r="Q830" s="329"/>
      <c r="S830" s="332">
        <f t="shared" si="179"/>
        <v>0</v>
      </c>
      <c r="T830" s="332">
        <f t="shared" si="181"/>
        <v>0</v>
      </c>
    </row>
    <row r="831" spans="2:20" hidden="1">
      <c r="B831" s="332" t="s">
        <v>1177</v>
      </c>
      <c r="C831" s="333">
        <f t="shared" si="180"/>
        <v>0</v>
      </c>
      <c r="D831" s="328"/>
      <c r="E831" s="328">
        <f>VLOOKUP(B831,DONGIA,DG!$B$6,0)</f>
        <v>0</v>
      </c>
      <c r="F831" s="329" t="str">
        <f>VLOOKUP(B831,DONGIA,DG!$C$6,0)</f>
        <v xml:space="preserve">Ống PVC D90x3,8mm </v>
      </c>
      <c r="G831" s="328" t="str">
        <f>VLOOKUP(B831,DONGIA,DG!$D$6,0)</f>
        <v>m</v>
      </c>
      <c r="H831" s="329">
        <f>H822*6</f>
        <v>0</v>
      </c>
      <c r="I831" s="329">
        <f>VLOOKUP(B831,DONGIA,DG!$E$6,0)</f>
        <v>57000</v>
      </c>
      <c r="J831" s="329"/>
      <c r="K831" s="329">
        <f>VLOOKUP(B831,DONGIA,DG!$F$6,0)</f>
        <v>0</v>
      </c>
      <c r="L831" s="329">
        <f>VLOOKUP(B831,DONGIA,DG!$G$6,0)</f>
        <v>0</v>
      </c>
      <c r="M831" s="329">
        <f t="shared" si="187"/>
        <v>0</v>
      </c>
      <c r="N831" s="329">
        <f t="shared" si="188"/>
        <v>0</v>
      </c>
      <c r="O831" s="329">
        <f t="shared" si="189"/>
        <v>0</v>
      </c>
      <c r="P831" s="329">
        <f t="shared" si="190"/>
        <v>0</v>
      </c>
      <c r="Q831" s="329"/>
      <c r="S831" s="332">
        <f t="shared" si="179"/>
        <v>2</v>
      </c>
      <c r="T831" s="332">
        <f t="shared" si="181"/>
        <v>0</v>
      </c>
    </row>
    <row r="832" spans="2:20" hidden="1">
      <c r="B832" s="332" t="s">
        <v>455</v>
      </c>
      <c r="C832" s="333">
        <f t="shared" si="180"/>
        <v>0</v>
      </c>
      <c r="D832" s="328"/>
      <c r="E832" s="328">
        <f>VLOOKUP(B832,DONGIA,DG!$B$6,0)</f>
        <v>0</v>
      </c>
      <c r="F832" s="329" t="str">
        <f>VLOOKUP(B832,DONGIA,DG!$C$6,0)&amp;" (CD-230)"</f>
        <v>Cổ dê kẹp ống PVC φ 90 (có giá nới) (CD-230)</v>
      </c>
      <c r="G832" s="328" t="str">
        <f>VLOOKUP(B832,DONGIA,DG!$D$6,0)</f>
        <v>bộ</v>
      </c>
      <c r="H832" s="329">
        <f>H822</f>
        <v>0</v>
      </c>
      <c r="I832" s="329">
        <f>VLOOKUP(B832,DONGIA,DG!$E$6,0)</f>
        <v>60000</v>
      </c>
      <c r="J832" s="329"/>
      <c r="K832" s="329">
        <f>VLOOKUP(B832,DONGIA,DG!$F$6,0)</f>
        <v>0</v>
      </c>
      <c r="L832" s="329">
        <f>VLOOKUP(B832,DONGIA,DG!$G$6,0)</f>
        <v>0</v>
      </c>
      <c r="M832" s="329">
        <f t="shared" si="187"/>
        <v>0</v>
      </c>
      <c r="N832" s="329">
        <f t="shared" si="188"/>
        <v>0</v>
      </c>
      <c r="O832" s="329">
        <f t="shared" si="189"/>
        <v>0</v>
      </c>
      <c r="P832" s="329">
        <f t="shared" si="190"/>
        <v>0</v>
      </c>
      <c r="Q832" s="329"/>
      <c r="S832" s="332">
        <f t="shared" si="179"/>
        <v>1.5</v>
      </c>
      <c r="T832" s="332">
        <f t="shared" si="181"/>
        <v>0</v>
      </c>
    </row>
    <row r="833" spans="2:20" hidden="1">
      <c r="B833" s="332" t="s">
        <v>455</v>
      </c>
      <c r="C833" s="333">
        <f t="shared" si="180"/>
        <v>0</v>
      </c>
      <c r="D833" s="328"/>
      <c r="E833" s="328">
        <f>VLOOKUP(B833,DONGIA,DG!$B$6,0)</f>
        <v>0</v>
      </c>
      <c r="F833" s="329" t="str">
        <f>VLOOKUP(B833,DONGIA,DG!$C$6,0)&amp;" (CD-280)"</f>
        <v>Cổ dê kẹp ống PVC φ 90 (có giá nới) (CD-280)</v>
      </c>
      <c r="G833" s="328" t="str">
        <f>VLOOKUP(B833,DONGIA,DG!$D$6,0)</f>
        <v>bộ</v>
      </c>
      <c r="H833" s="329">
        <f>H822</f>
        <v>0</v>
      </c>
      <c r="I833" s="329">
        <f>VLOOKUP(B833,DONGIA,DG!$E$6,0)</f>
        <v>60000</v>
      </c>
      <c r="J833" s="329"/>
      <c r="K833" s="329">
        <f>VLOOKUP(B833,DONGIA,DG!$F$6,0)</f>
        <v>0</v>
      </c>
      <c r="L833" s="329">
        <f>VLOOKUP(B833,DONGIA,DG!$G$6,0)</f>
        <v>0</v>
      </c>
      <c r="M833" s="329">
        <f t="shared" si="187"/>
        <v>0</v>
      </c>
      <c r="N833" s="329">
        <f t="shared" si="188"/>
        <v>0</v>
      </c>
      <c r="O833" s="329">
        <f t="shared" si="189"/>
        <v>0</v>
      </c>
      <c r="P833" s="329">
        <f t="shared" si="190"/>
        <v>0</v>
      </c>
      <c r="Q833" s="329"/>
      <c r="S833" s="332">
        <f t="shared" si="179"/>
        <v>1.5</v>
      </c>
      <c r="T833" s="332">
        <f t="shared" si="181"/>
        <v>0</v>
      </c>
    </row>
    <row r="834" spans="2:20" hidden="1">
      <c r="B834" s="332" t="s">
        <v>455</v>
      </c>
      <c r="C834" s="333">
        <f t="shared" si="180"/>
        <v>0</v>
      </c>
      <c r="D834" s="328"/>
      <c r="E834" s="328">
        <f>VLOOKUP(B834,DONGIA,DG!$B$6,0)</f>
        <v>0</v>
      </c>
      <c r="F834" s="329" t="str">
        <f>VLOOKUP(B834,DONGIA,DG!$C$6,0)&amp;" (CD-320)"</f>
        <v>Cổ dê kẹp ống PVC φ 90 (có giá nới) (CD-320)</v>
      </c>
      <c r="G834" s="328" t="str">
        <f>VLOOKUP(B834,DONGIA,DG!$D$6,0)</f>
        <v>bộ</v>
      </c>
      <c r="H834" s="329">
        <f>H822</f>
        <v>0</v>
      </c>
      <c r="I834" s="329">
        <f>VLOOKUP(B834,DONGIA,DG!$E$6,0)</f>
        <v>60000</v>
      </c>
      <c r="J834" s="329"/>
      <c r="K834" s="329">
        <f>VLOOKUP(B834,DONGIA,DG!$F$6,0)</f>
        <v>0</v>
      </c>
      <c r="L834" s="329">
        <f>VLOOKUP(B834,DONGIA,DG!$G$6,0)</f>
        <v>0</v>
      </c>
      <c r="M834" s="329">
        <f t="shared" si="187"/>
        <v>0</v>
      </c>
      <c r="N834" s="329">
        <f t="shared" si="188"/>
        <v>0</v>
      </c>
      <c r="O834" s="329">
        <f t="shared" si="189"/>
        <v>0</v>
      </c>
      <c r="P834" s="329">
        <f t="shared" si="190"/>
        <v>0</v>
      </c>
      <c r="Q834" s="329"/>
      <c r="S834" s="332">
        <f t="shared" si="179"/>
        <v>1.5</v>
      </c>
      <c r="T834" s="332">
        <f t="shared" si="181"/>
        <v>0</v>
      </c>
    </row>
    <row r="835" spans="2:20" hidden="1">
      <c r="B835" s="332" t="s">
        <v>1183</v>
      </c>
      <c r="C835" s="333">
        <f t="shared" si="180"/>
        <v>0</v>
      </c>
      <c r="D835" s="328"/>
      <c r="E835" s="328">
        <f>VLOOKUP(B835,DONGIA,DG!$B$6,0)</f>
        <v>0</v>
      </c>
      <c r="F835" s="329" t="str">
        <f>VLOOKUP(B835,DONGIA,DG!$C$6,0)</f>
        <v>Co  90 độ PVC 90</v>
      </c>
      <c r="G835" s="328" t="str">
        <f>VLOOKUP(B835,DONGIA,DG!$D$6,0)</f>
        <v>cái</v>
      </c>
      <c r="H835" s="329">
        <f>H822*2</f>
        <v>0</v>
      </c>
      <c r="I835" s="329">
        <f>VLOOKUP(B835,DONGIA,DG!$E$6,0)</f>
        <v>45400</v>
      </c>
      <c r="J835" s="329"/>
      <c r="K835" s="329">
        <f>VLOOKUP(B835,DONGIA,DG!$F$6,0)</f>
        <v>0</v>
      </c>
      <c r="L835" s="329">
        <f>VLOOKUP(B835,DONGIA,DG!$G$6,0)</f>
        <v>0</v>
      </c>
      <c r="M835" s="329">
        <f t="shared" si="187"/>
        <v>0</v>
      </c>
      <c r="N835" s="329">
        <f t="shared" si="188"/>
        <v>0</v>
      </c>
      <c r="O835" s="329">
        <f t="shared" si="189"/>
        <v>0</v>
      </c>
      <c r="P835" s="329">
        <f t="shared" si="190"/>
        <v>0</v>
      </c>
      <c r="Q835" s="329"/>
      <c r="S835" s="332">
        <f t="shared" si="179"/>
        <v>0</v>
      </c>
      <c r="T835" s="332">
        <f t="shared" si="181"/>
        <v>0</v>
      </c>
    </row>
    <row r="836" spans="2:20" hidden="1">
      <c r="B836" s="332" t="s">
        <v>2956</v>
      </c>
      <c r="C836" s="333">
        <f>IF(H836&lt;&gt;0,1,)</f>
        <v>0</v>
      </c>
      <c r="D836" s="328"/>
      <c r="E836" s="328">
        <f>VLOOKUP(B836,DONGIA,DG!$B$6,0)</f>
        <v>0</v>
      </c>
      <c r="F836" s="329" t="str">
        <f>VLOOKUP(B836,DONGIA,DG!$C$6,0)</f>
        <v>Co  90 độ PVC 90 (Loại dày)</v>
      </c>
      <c r="G836" s="328" t="str">
        <f>VLOOKUP(B836,DONGIA,DG!$D$6,0)</f>
        <v>cái</v>
      </c>
      <c r="H836" s="329">
        <f>H822</f>
        <v>0</v>
      </c>
      <c r="I836" s="329">
        <f>VLOOKUP(B836,DONGIA,DG!$E$6,0)</f>
        <v>45400</v>
      </c>
      <c r="J836" s="329"/>
      <c r="K836" s="329">
        <f>VLOOKUP(B836,DONGIA,DG!$F$6,0)</f>
        <v>0</v>
      </c>
      <c r="L836" s="329">
        <f>VLOOKUP(B836,DONGIA,DG!$G$6,0)</f>
        <v>0</v>
      </c>
      <c r="M836" s="329">
        <f>$H836*I836</f>
        <v>0</v>
      </c>
      <c r="N836" s="329">
        <f>$H836*J836</f>
        <v>0</v>
      </c>
      <c r="O836" s="329">
        <f>$H836*K836</f>
        <v>0</v>
      </c>
      <c r="P836" s="329">
        <f>$H836*L836</f>
        <v>0</v>
      </c>
      <c r="Q836" s="329"/>
      <c r="S836" s="332">
        <f>IFERROR(VLOOKUP(B836,DONGIA,$S$25,0),0)</f>
        <v>0</v>
      </c>
      <c r="T836" s="332">
        <f>H836*S836</f>
        <v>0</v>
      </c>
    </row>
    <row r="837" spans="2:20" hidden="1">
      <c r="B837" s="332" t="s">
        <v>1181</v>
      </c>
      <c r="C837" s="333">
        <f t="shared" si="180"/>
        <v>0</v>
      </c>
      <c r="D837" s="328"/>
      <c r="E837" s="328">
        <f>VLOOKUP(B837,DONGIA,DG!$B$6,0)</f>
        <v>0</v>
      </c>
      <c r="F837" s="329" t="str">
        <f>VLOOKUP(B837,DONGIA,DG!$C$6,0)</f>
        <v>Co 135 độ PVC 90</v>
      </c>
      <c r="G837" s="328" t="str">
        <f>VLOOKUP(B837,DONGIA,DG!$D$6,0)</f>
        <v>cái</v>
      </c>
      <c r="H837" s="329">
        <f>H822</f>
        <v>0</v>
      </c>
      <c r="I837" s="329">
        <f>VLOOKUP(B837,DONGIA,DG!$E$6,0)</f>
        <v>34800</v>
      </c>
      <c r="J837" s="329"/>
      <c r="K837" s="329">
        <f>VLOOKUP(B837,DONGIA,DG!$F$6,0)</f>
        <v>0</v>
      </c>
      <c r="L837" s="329">
        <f>VLOOKUP(B837,DONGIA,DG!$G$6,0)</f>
        <v>0</v>
      </c>
      <c r="M837" s="329">
        <f t="shared" si="187"/>
        <v>0</v>
      </c>
      <c r="N837" s="329">
        <f t="shared" si="188"/>
        <v>0</v>
      </c>
      <c r="O837" s="329">
        <f t="shared" si="189"/>
        <v>0</v>
      </c>
      <c r="P837" s="329">
        <f t="shared" si="190"/>
        <v>0</v>
      </c>
      <c r="Q837" s="329"/>
      <c r="S837" s="332">
        <f t="shared" si="179"/>
        <v>0</v>
      </c>
      <c r="T837" s="332">
        <f t="shared" si="181"/>
        <v>0</v>
      </c>
    </row>
    <row r="838" spans="2:20" hidden="1">
      <c r="B838" s="332" t="s">
        <v>1914</v>
      </c>
      <c r="C838" s="333">
        <f t="shared" si="180"/>
        <v>0</v>
      </c>
      <c r="D838" s="328"/>
      <c r="E838" s="328">
        <f>VLOOKUP(B838,DONGIA,DG!$B$6,0)</f>
        <v>0</v>
      </c>
      <c r="F838" s="329" t="str">
        <f>VLOOKUP(B838,DONGIA,DG!$C$6,0)</f>
        <v>Keo dán ống PVC (100gr)</v>
      </c>
      <c r="G838" s="328" t="str">
        <f>VLOOKUP(B838,DONGIA,DG!$D$6,0)</f>
        <v>tuýp</v>
      </c>
      <c r="H838" s="329">
        <f>H822</f>
        <v>0</v>
      </c>
      <c r="I838" s="329">
        <f>VLOOKUP(B838,DONGIA,DG!$E$6,0)</f>
        <v>11500</v>
      </c>
      <c r="J838" s="329"/>
      <c r="K838" s="329">
        <f>VLOOKUP(B838,DONGIA,DG!$F$6,0)</f>
        <v>0</v>
      </c>
      <c r="L838" s="329">
        <f>VLOOKUP(B838,DONGIA,DG!$G$6,0)</f>
        <v>0</v>
      </c>
      <c r="M838" s="329">
        <f t="shared" si="187"/>
        <v>0</v>
      </c>
      <c r="N838" s="329">
        <f t="shared" si="188"/>
        <v>0</v>
      </c>
      <c r="O838" s="329">
        <f t="shared" si="189"/>
        <v>0</v>
      </c>
      <c r="P838" s="329">
        <f t="shared" si="190"/>
        <v>0</v>
      </c>
      <c r="Q838" s="329"/>
      <c r="S838" s="332">
        <f t="shared" si="179"/>
        <v>0</v>
      </c>
      <c r="T838" s="332">
        <f t="shared" si="181"/>
        <v>0</v>
      </c>
    </row>
    <row r="839" spans="2:20" hidden="1">
      <c r="B839" s="332" t="s">
        <v>1195</v>
      </c>
      <c r="C839" s="333">
        <f t="shared" si="180"/>
        <v>0</v>
      </c>
      <c r="D839" s="328"/>
      <c r="E839" s="328">
        <f>VLOOKUP(B839,DONGIA,DG!$B$6,0)</f>
        <v>0</v>
      </c>
      <c r="F839" s="329" t="str">
        <f>VLOOKUP(B839,DONGIA,DG!$C$6,0)</f>
        <v>Keo silicon bít miệng ống</v>
      </c>
      <c r="G839" s="328" t="str">
        <f>VLOOKUP(B839,DONGIA,DG!$D$6,0)</f>
        <v>ống</v>
      </c>
      <c r="H839" s="329"/>
      <c r="I839" s="329">
        <f>VLOOKUP(B839,DONGIA,DG!$E$6,0)</f>
        <v>45000</v>
      </c>
      <c r="J839" s="329"/>
      <c r="K839" s="329">
        <f>VLOOKUP(B839,DONGIA,DG!$F$6,0)</f>
        <v>0</v>
      </c>
      <c r="L839" s="329">
        <f>VLOOKUP(B839,DONGIA,DG!$G$6,0)</f>
        <v>0</v>
      </c>
      <c r="M839" s="329">
        <f t="shared" si="187"/>
        <v>0</v>
      </c>
      <c r="N839" s="329">
        <f t="shared" si="188"/>
        <v>0</v>
      </c>
      <c r="O839" s="329">
        <f t="shared" si="189"/>
        <v>0</v>
      </c>
      <c r="P839" s="329">
        <f t="shared" si="190"/>
        <v>0</v>
      </c>
      <c r="Q839" s="329"/>
      <c r="S839" s="332">
        <f t="shared" si="179"/>
        <v>0</v>
      </c>
      <c r="T839" s="332">
        <f t="shared" si="181"/>
        <v>0</v>
      </c>
    </row>
    <row r="840" spans="2:20" hidden="1">
      <c r="B840" s="332" t="s">
        <v>1193</v>
      </c>
      <c r="C840" s="333">
        <f>IF(H840&lt;&gt;0,1,)</f>
        <v>0</v>
      </c>
      <c r="D840" s="328"/>
      <c r="E840" s="328">
        <f>VLOOKUP(B840,DONGIA,DG!$B$6,0)</f>
        <v>0</v>
      </c>
      <c r="F840" s="329" t="str">
        <f>VLOOKUP(B840,DONGIA,DG!$C$6,0)</f>
        <v>Băng keo cách điện</v>
      </c>
      <c r="G840" s="328" t="str">
        <f>VLOOKUP(B840,DONGIA,DG!$D$6,0)</f>
        <v>cuộn</v>
      </c>
      <c r="H840" s="329">
        <f>ROUNDUP(H822/2,0)</f>
        <v>0</v>
      </c>
      <c r="I840" s="329">
        <f>VLOOKUP(B840,DONGIA,DG!$E$6,0)</f>
        <v>6500</v>
      </c>
      <c r="J840" s="329"/>
      <c r="K840" s="329">
        <f>VLOOKUP(B840,DONGIA,DG!$F$6,0)</f>
        <v>0</v>
      </c>
      <c r="L840" s="329">
        <f>VLOOKUP(B840,DONGIA,DG!$G$6,0)</f>
        <v>0</v>
      </c>
      <c r="M840" s="329">
        <f>$H840*I840</f>
        <v>0</v>
      </c>
      <c r="N840" s="329">
        <f>$H840*J840</f>
        <v>0</v>
      </c>
      <c r="O840" s="329">
        <f>$H840*K840</f>
        <v>0</v>
      </c>
      <c r="P840" s="329">
        <f>$H840*L840</f>
        <v>0</v>
      </c>
      <c r="Q840" s="329"/>
      <c r="S840" s="332">
        <f>IFERROR(VLOOKUP(B840,DONGIA,$S$25,0),0)</f>
        <v>0</v>
      </c>
      <c r="T840" s="332">
        <f>H840*S840</f>
        <v>0</v>
      </c>
    </row>
    <row r="841" spans="2:20" hidden="1">
      <c r="B841" s="332" t="s">
        <v>2979</v>
      </c>
      <c r="C841" s="333">
        <f t="shared" si="180"/>
        <v>0</v>
      </c>
      <c r="D841" s="328"/>
      <c r="E841" s="328">
        <f>VLOOKUP(B841,DONGIA,DG!$B$6,0)</f>
        <v>0</v>
      </c>
      <c r="F841" s="329" t="str">
        <f>VLOOKUP(B841,DONGIA,DG!$C$6,0)</f>
        <v>Băng keo cách điện (Màu vàng)</v>
      </c>
      <c r="G841" s="328" t="str">
        <f>VLOOKUP(B841,DONGIA,DG!$D$6,0)</f>
        <v>cuộn</v>
      </c>
      <c r="H841" s="329">
        <f>ROUNDUP(H822/2,0)</f>
        <v>0</v>
      </c>
      <c r="I841" s="329">
        <f>VLOOKUP(B841,DONGIA,DG!$E$6,0)</f>
        <v>6500</v>
      </c>
      <c r="J841" s="329"/>
      <c r="K841" s="329">
        <f>VLOOKUP(B841,DONGIA,DG!$F$6,0)</f>
        <v>0</v>
      </c>
      <c r="L841" s="329">
        <f>VLOOKUP(B841,DONGIA,DG!$G$6,0)</f>
        <v>0</v>
      </c>
      <c r="M841" s="329">
        <f t="shared" si="187"/>
        <v>0</v>
      </c>
      <c r="N841" s="329">
        <f t="shared" si="188"/>
        <v>0</v>
      </c>
      <c r="O841" s="329">
        <f t="shared" si="189"/>
        <v>0</v>
      </c>
      <c r="P841" s="329">
        <f t="shared" si="190"/>
        <v>0</v>
      </c>
      <c r="Q841" s="329"/>
      <c r="S841" s="332">
        <f t="shared" si="179"/>
        <v>0</v>
      </c>
      <c r="T841" s="332">
        <f t="shared" si="181"/>
        <v>0</v>
      </c>
    </row>
    <row r="842" spans="2:20" hidden="1">
      <c r="B842" s="332" t="s">
        <v>2980</v>
      </c>
      <c r="C842" s="333">
        <f t="shared" si="180"/>
        <v>0</v>
      </c>
      <c r="D842" s="328"/>
      <c r="E842" s="328">
        <f>VLOOKUP(B842,DONGIA,DG!$B$6,0)</f>
        <v>0</v>
      </c>
      <c r="F842" s="329" t="str">
        <f>VLOOKUP(B842,DONGIA,DG!$C$6,0)</f>
        <v>Băng keo cách điện (Màu xanh)</v>
      </c>
      <c r="G842" s="328" t="str">
        <f>VLOOKUP(B842,DONGIA,DG!$D$6,0)</f>
        <v>cuộn</v>
      </c>
      <c r="H842" s="329">
        <f>ROUNDUP(H822/2,0)</f>
        <v>0</v>
      </c>
      <c r="I842" s="329">
        <f>VLOOKUP(B842,DONGIA,DG!$E$6,0)</f>
        <v>6500</v>
      </c>
      <c r="J842" s="329"/>
      <c r="K842" s="329">
        <f>VLOOKUP(B842,DONGIA,DG!$F$6,0)</f>
        <v>0</v>
      </c>
      <c r="L842" s="329">
        <f>VLOOKUP(B842,DONGIA,DG!$G$6,0)</f>
        <v>0</v>
      </c>
      <c r="M842" s="329">
        <f t="shared" si="187"/>
        <v>0</v>
      </c>
      <c r="N842" s="329">
        <f t="shared" si="188"/>
        <v>0</v>
      </c>
      <c r="O842" s="329">
        <f t="shared" si="189"/>
        <v>0</v>
      </c>
      <c r="P842" s="329">
        <f t="shared" si="190"/>
        <v>0</v>
      </c>
      <c r="Q842" s="329"/>
      <c r="S842" s="332">
        <f t="shared" si="179"/>
        <v>0</v>
      </c>
      <c r="T842" s="332">
        <f t="shared" si="181"/>
        <v>0</v>
      </c>
    </row>
    <row r="843" spans="2:20" hidden="1">
      <c r="B843" s="332" t="s">
        <v>2981</v>
      </c>
      <c r="C843" s="333">
        <f t="shared" si="180"/>
        <v>0</v>
      </c>
      <c r="D843" s="328"/>
      <c r="E843" s="328">
        <f>VLOOKUP(B843,DONGIA,DG!$B$6,0)</f>
        <v>0</v>
      </c>
      <c r="F843" s="329" t="str">
        <f>VLOOKUP(B843,DONGIA,DG!$C$6,0)</f>
        <v>Băng keo cách điện (Màu đỏ)</v>
      </c>
      <c r="G843" s="328" t="str">
        <f>VLOOKUP(B843,DONGIA,DG!$D$6,0)</f>
        <v>cuộn</v>
      </c>
      <c r="H843" s="329">
        <f>ROUNDUP(H822/2,0)</f>
        <v>0</v>
      </c>
      <c r="I843" s="329">
        <f>VLOOKUP(B843,DONGIA,DG!$E$6,0)</f>
        <v>6500</v>
      </c>
      <c r="J843" s="329"/>
      <c r="K843" s="329">
        <f>VLOOKUP(B843,DONGIA,DG!$F$6,0)</f>
        <v>0</v>
      </c>
      <c r="L843" s="329">
        <f>VLOOKUP(B843,DONGIA,DG!$G$6,0)</f>
        <v>0</v>
      </c>
      <c r="M843" s="329">
        <f t="shared" si="187"/>
        <v>0</v>
      </c>
      <c r="N843" s="329">
        <f t="shared" si="188"/>
        <v>0</v>
      </c>
      <c r="O843" s="329">
        <f t="shared" si="189"/>
        <v>0</v>
      </c>
      <c r="P843" s="329">
        <f t="shared" si="190"/>
        <v>0</v>
      </c>
      <c r="Q843" s="329"/>
      <c r="S843" s="332">
        <f t="shared" si="179"/>
        <v>0</v>
      </c>
      <c r="T843" s="332">
        <f t="shared" si="181"/>
        <v>0</v>
      </c>
    </row>
    <row r="844" spans="2:20" hidden="1">
      <c r="B844" s="332" t="s">
        <v>855</v>
      </c>
      <c r="C844" s="333">
        <f t="shared" si="180"/>
        <v>0</v>
      </c>
      <c r="D844" s="328"/>
      <c r="E844" s="328" t="str">
        <f>VLOOKUP(B844,DONGIA,DG!$B$6,0)</f>
        <v>T4.8003</v>
      </c>
      <c r="F844" s="329" t="str">
        <f>VLOOKUP(B844,DONGIA,DG!$C$6,0)</f>
        <v>Lắp ống nhựa PVC D90</v>
      </c>
      <c r="G844" s="328" t="str">
        <f>VLOOKUP(B844,DONGIA,DG!$D$6,0)</f>
        <v>mét</v>
      </c>
      <c r="H844" s="329">
        <f>H831</f>
        <v>0</v>
      </c>
      <c r="I844" s="329">
        <f>VLOOKUP(B844,DONGIA,DG!$E$6,0)</f>
        <v>0</v>
      </c>
      <c r="J844" s="329"/>
      <c r="K844" s="329">
        <f>VLOOKUP(B844,DONGIA,DG!$F$6,0)</f>
        <v>35541</v>
      </c>
      <c r="L844" s="329">
        <f>VLOOKUP(B844,DONGIA,DG!$G$6,0)</f>
        <v>0</v>
      </c>
      <c r="M844" s="329">
        <f t="shared" si="187"/>
        <v>0</v>
      </c>
      <c r="N844" s="329">
        <f t="shared" si="188"/>
        <v>0</v>
      </c>
      <c r="O844" s="329">
        <f t="shared" si="189"/>
        <v>0</v>
      </c>
      <c r="P844" s="329">
        <f t="shared" si="190"/>
        <v>0</v>
      </c>
      <c r="Q844" s="329"/>
      <c r="S844" s="332">
        <f t="shared" si="179"/>
        <v>0</v>
      </c>
      <c r="T844" s="332">
        <f t="shared" si="181"/>
        <v>0</v>
      </c>
    </row>
    <row r="845" spans="2:20" hidden="1">
      <c r="B845" s="332" t="s">
        <v>1939</v>
      </c>
      <c r="C845" s="333">
        <f t="shared" si="180"/>
        <v>0</v>
      </c>
      <c r="D845" s="328"/>
      <c r="E845" s="328" t="str">
        <f>VLOOKUP(B845,DONGIA,DG!$B$6,0)</f>
        <v>T4.4201</v>
      </c>
      <c r="F845" s="329" t="str">
        <f>VLOOKUP(B845,DONGIA,DG!$C$6,0)</f>
        <v>Lắp cáp đồng xuống thiết bị D ≤ 95mm2</v>
      </c>
      <c r="G845" s="328" t="str">
        <f>VLOOKUP(B845,DONGIA,DG!$D$6,0)</f>
        <v>m</v>
      </c>
      <c r="H845" s="455">
        <f>H824+H825+H826</f>
        <v>0</v>
      </c>
      <c r="I845" s="329">
        <f>VLOOKUP(B845,DONGIA,DG!$E$6,0)</f>
        <v>0</v>
      </c>
      <c r="J845" s="329"/>
      <c r="K845" s="329">
        <f>VLOOKUP(B845,DONGIA,DG!$F$6,0)</f>
        <v>11847</v>
      </c>
      <c r="L845" s="329">
        <f>VLOOKUP(B845,DONGIA,DG!$G$6,0)</f>
        <v>0</v>
      </c>
      <c r="M845" s="329">
        <f>$H845*I845</f>
        <v>0</v>
      </c>
      <c r="N845" s="329">
        <f>$H845*J845</f>
        <v>0</v>
      </c>
      <c r="O845" s="329">
        <f>$H845*K845</f>
        <v>0</v>
      </c>
      <c r="P845" s="329">
        <f>$H845*L845</f>
        <v>0</v>
      </c>
      <c r="Q845" s="329"/>
      <c r="S845" s="332">
        <f t="shared" si="179"/>
        <v>0</v>
      </c>
      <c r="T845" s="332">
        <f t="shared" si="181"/>
        <v>0</v>
      </c>
    </row>
    <row r="846" spans="2:20" hidden="1">
      <c r="C846" s="333">
        <f>IF(SUM(C848:C855)&lt;&gt;0,1,)</f>
        <v>0</v>
      </c>
      <c r="D846" s="372">
        <f>IF(H846&lt;&gt;0,D822+1,D822)</f>
        <v>0</v>
      </c>
      <c r="E846" s="372"/>
      <c r="F846" s="373" t="s">
        <v>2986</v>
      </c>
      <c r="G846" s="372" t="s">
        <v>138</v>
      </c>
      <c r="H846" s="372"/>
      <c r="I846" s="373"/>
      <c r="J846" s="373"/>
      <c r="K846" s="373"/>
      <c r="L846" s="373"/>
      <c r="M846" s="373"/>
      <c r="N846" s="373"/>
      <c r="O846" s="373"/>
      <c r="P846" s="373"/>
      <c r="Q846" s="373"/>
      <c r="S846" s="332">
        <f t="shared" si="179"/>
        <v>0</v>
      </c>
      <c r="T846" s="332">
        <f t="shared" si="181"/>
        <v>0</v>
      </c>
    </row>
    <row r="847" spans="2:20" s="361" customFormat="1" hidden="1">
      <c r="C847" s="374">
        <f>IF(SUM(C848:C855)&lt;&gt;0,1,)</f>
        <v>0</v>
      </c>
      <c r="D847" s="350"/>
      <c r="E847" s="350"/>
      <c r="F847" s="351" t="s">
        <v>2931</v>
      </c>
      <c r="G847" s="350"/>
      <c r="H847" s="482"/>
      <c r="I847" s="351"/>
      <c r="J847" s="351"/>
      <c r="K847" s="351"/>
      <c r="L847" s="351"/>
      <c r="M847" s="351"/>
      <c r="N847" s="351"/>
      <c r="O847" s="351"/>
      <c r="P847" s="351"/>
      <c r="Q847" s="351"/>
      <c r="S847" s="361">
        <f t="shared" si="179"/>
        <v>0</v>
      </c>
      <c r="T847" s="361">
        <f t="shared" si="181"/>
        <v>0</v>
      </c>
    </row>
    <row r="848" spans="2:20" s="352" customFormat="1" hidden="1">
      <c r="B848" s="352" t="s">
        <v>177</v>
      </c>
      <c r="C848" s="484">
        <f>IF(H848&lt;&gt;0,1,)</f>
        <v>0</v>
      </c>
      <c r="D848" s="363"/>
      <c r="E848" s="363">
        <f>VLOOKUP(B848,DONGIA,DG!$B$6,0)</f>
        <v>0</v>
      </c>
      <c r="F848" s="362" t="str">
        <f>VLOOKUP(B848,DONGIA,DG!$C$6,0)</f>
        <v>Cáp nhôm lõi thép AC-50/8</v>
      </c>
      <c r="G848" s="363" t="str">
        <f>VLOOKUP(B848,DONGIA,DG!$D$6,0)</f>
        <v>kg</v>
      </c>
      <c r="H848" s="483"/>
      <c r="I848" s="362">
        <f>VLOOKUP(B848,DONGIA,DG!$E$6,0)</f>
        <v>59680</v>
      </c>
      <c r="J848" s="362"/>
      <c r="K848" s="362">
        <f>VLOOKUP(B848,DONGIA,DG!$F$6,0)</f>
        <v>0</v>
      </c>
      <c r="L848" s="362">
        <f>VLOOKUP(B848,DONGIA,DG!$G$6,0)</f>
        <v>0</v>
      </c>
      <c r="M848" s="362">
        <f t="shared" ref="M848:M855" si="191">$H848*I848</f>
        <v>0</v>
      </c>
      <c r="N848" s="362">
        <f t="shared" ref="N848:N855" si="192">$H848*J848</f>
        <v>0</v>
      </c>
      <c r="O848" s="362">
        <f t="shared" ref="O848:O855" si="193">$H848*K848</f>
        <v>0</v>
      </c>
      <c r="P848" s="362">
        <f t="shared" ref="P848:P855" si="194">$H848*L848</f>
        <v>0</v>
      </c>
      <c r="Q848" s="362"/>
      <c r="S848" s="352">
        <f t="shared" si="179"/>
        <v>1</v>
      </c>
      <c r="T848" s="352">
        <f t="shared" si="181"/>
        <v>0</v>
      </c>
    </row>
    <row r="849" spans="1:20" s="352" customFormat="1" hidden="1">
      <c r="B849" s="352" t="s">
        <v>2885</v>
      </c>
      <c r="C849" s="484">
        <f>IF(H849&lt;&gt;0,1,)</f>
        <v>0</v>
      </c>
      <c r="D849" s="363"/>
      <c r="E849" s="363">
        <f>VLOOKUP(B849,DONGIA,DG!$B$6,0)</f>
        <v>0</v>
      </c>
      <c r="F849" s="362" t="str">
        <f>VLOOKUP(B849,DONGIA,DG!$C$6,0)</f>
        <v>Cáp nhôm bọc AV70</v>
      </c>
      <c r="G849" s="363" t="str">
        <f>VLOOKUP(B849,DONGIA,DG!$D$6,0)</f>
        <v>mét</v>
      </c>
      <c r="H849" s="457"/>
      <c r="I849" s="362">
        <f>VLOOKUP(B849,DONGIA,DG!$E$6,0)</f>
        <v>22680</v>
      </c>
      <c r="J849" s="362"/>
      <c r="K849" s="362">
        <f>VLOOKUP(B849,DONGIA,DG!$F$6,0)</f>
        <v>0</v>
      </c>
      <c r="L849" s="362">
        <f>VLOOKUP(B849,DONGIA,DG!$G$6,0)</f>
        <v>0</v>
      </c>
      <c r="M849" s="362">
        <f t="shared" si="191"/>
        <v>0</v>
      </c>
      <c r="N849" s="362">
        <f t="shared" si="192"/>
        <v>0</v>
      </c>
      <c r="O849" s="362">
        <f t="shared" si="193"/>
        <v>0</v>
      </c>
      <c r="P849" s="362">
        <f t="shared" si="194"/>
        <v>0</v>
      </c>
      <c r="Q849" s="362"/>
      <c r="S849" s="352">
        <f t="shared" si="179"/>
        <v>0.308</v>
      </c>
      <c r="T849" s="352">
        <f t="shared" si="181"/>
        <v>0</v>
      </c>
    </row>
    <row r="850" spans="1:20" s="352" customFormat="1" hidden="1">
      <c r="B850" s="352" t="s">
        <v>402</v>
      </c>
      <c r="C850" s="484">
        <f>IF(H850&lt;&gt;0,1,)</f>
        <v>0</v>
      </c>
      <c r="D850" s="363"/>
      <c r="E850" s="363">
        <f>VLOOKUP(B850,DONGIA,DG!$B$6,0)</f>
        <v>0</v>
      </c>
      <c r="F850" s="362" t="str">
        <f>VLOOKUP(B850,DONGIA,DG!$C$6,0)</f>
        <v>Rack 4 sứ - 3mm (ty 14) + Sứ ống chỉ</v>
      </c>
      <c r="G850" s="363" t="str">
        <f>VLOOKUP(B850,DONGIA,DG!$D$6,0)</f>
        <v>bộ</v>
      </c>
      <c r="H850" s="362"/>
      <c r="I850" s="362">
        <f>VLOOKUP(B850,DONGIA,DG!$E$6,0)</f>
        <v>135000</v>
      </c>
      <c r="J850" s="362"/>
      <c r="K850" s="362">
        <f>VLOOKUP(B850,DONGIA,DG!$F$6,0)</f>
        <v>0</v>
      </c>
      <c r="L850" s="362">
        <f>VLOOKUP(B850,DONGIA,DG!$G$6,0)</f>
        <v>0</v>
      </c>
      <c r="M850" s="362">
        <f t="shared" si="191"/>
        <v>0</v>
      </c>
      <c r="N850" s="362">
        <f t="shared" si="192"/>
        <v>0</v>
      </c>
      <c r="O850" s="362">
        <f t="shared" si="193"/>
        <v>0</v>
      </c>
      <c r="P850" s="362">
        <f t="shared" si="194"/>
        <v>0</v>
      </c>
      <c r="Q850" s="362"/>
      <c r="S850" s="352">
        <f t="shared" si="179"/>
        <v>3.5</v>
      </c>
      <c r="T850" s="352">
        <f t="shared" si="181"/>
        <v>0</v>
      </c>
    </row>
    <row r="851" spans="1:20" s="352" customFormat="1" hidden="1">
      <c r="B851" s="352" t="s">
        <v>409</v>
      </c>
      <c r="C851" s="484">
        <f>IF(H851&lt;&gt;0,1,)</f>
        <v>0</v>
      </c>
      <c r="D851" s="363"/>
      <c r="E851" s="363" t="str">
        <f>VLOOKUP(B851,DONGIA,DG!$B$6,0)</f>
        <v>D3.1201</v>
      </c>
      <c r="F851" s="362" t="str">
        <f>VLOOKUP(B851,DONGIA,DG!$C$6,0)</f>
        <v xml:space="preserve">Sứ ống chỉ </v>
      </c>
      <c r="G851" s="363" t="str">
        <f>VLOOKUP(B851,DONGIA,DG!$D$6,0)</f>
        <v>cái</v>
      </c>
      <c r="H851" s="362"/>
      <c r="I851" s="362">
        <f>VLOOKUP(B851,DONGIA,DG!$E$6,0)</f>
        <v>20000</v>
      </c>
      <c r="J851" s="362"/>
      <c r="K851" s="362">
        <f>VLOOKUP(B851,DONGIA,DG!$F$6,0)</f>
        <v>13173</v>
      </c>
      <c r="L851" s="362">
        <f>VLOOKUP(B851,DONGIA,DG!$G$6,0)</f>
        <v>0</v>
      </c>
      <c r="M851" s="362">
        <f t="shared" si="191"/>
        <v>0</v>
      </c>
      <c r="N851" s="362">
        <f t="shared" si="192"/>
        <v>0</v>
      </c>
      <c r="O851" s="362">
        <f t="shared" si="193"/>
        <v>0</v>
      </c>
      <c r="P851" s="362">
        <f t="shared" si="194"/>
        <v>0</v>
      </c>
      <c r="Q851" s="362"/>
      <c r="S851" s="352">
        <f>IFERROR(VLOOKUP(B851,DONGIA,$S$25,0),0)</f>
        <v>0.2</v>
      </c>
      <c r="T851" s="352">
        <f>H851*S851</f>
        <v>0</v>
      </c>
    </row>
    <row r="852" spans="1:20" s="352" customFormat="1" hidden="1">
      <c r="B852" s="352" t="s">
        <v>37</v>
      </c>
      <c r="C852" s="484">
        <f t="shared" ref="C852:C858" si="195">IF(H852&lt;&gt;0,1,)</f>
        <v>0</v>
      </c>
      <c r="D852" s="363"/>
      <c r="E852" s="363">
        <f>VLOOKUP(B852,DONGIA,DG!$B$6,0)</f>
        <v>0</v>
      </c>
      <c r="F852" s="362" t="str">
        <f>VLOOKUP(B852,DONGIA,DG!$C$6,0)</f>
        <v>Boulon 16x350+ 2 long đền vuông D18-50x50x3/Zn</v>
      </c>
      <c r="G852" s="363" t="str">
        <f>VLOOKUP(B852,DONGIA,DG!$D$6,0)</f>
        <v>bộ</v>
      </c>
      <c r="H852" s="362"/>
      <c r="I852" s="362">
        <f>VLOOKUP(B852,DONGIA,DG!$E$6,0)</f>
        <v>32000</v>
      </c>
      <c r="J852" s="362"/>
      <c r="K852" s="362">
        <f>VLOOKUP(B852,DONGIA,DG!$F$6,0)</f>
        <v>0</v>
      </c>
      <c r="L852" s="362">
        <f>VLOOKUP(B852,DONGIA,DG!$G$6,0)</f>
        <v>0</v>
      </c>
      <c r="M852" s="362">
        <f t="shared" si="191"/>
        <v>0</v>
      </c>
      <c r="N852" s="362">
        <f t="shared" si="192"/>
        <v>0</v>
      </c>
      <c r="O852" s="362">
        <f t="shared" si="193"/>
        <v>0</v>
      </c>
      <c r="P852" s="362">
        <f t="shared" si="194"/>
        <v>0</v>
      </c>
      <c r="Q852" s="362"/>
      <c r="S852" s="352">
        <f t="shared" ref="S852:S858" si="196">IFERROR(VLOOKUP(B852,DONGIA,$S$25,0),0)</f>
        <v>0.3</v>
      </c>
      <c r="T852" s="352">
        <f t="shared" ref="T852:T858" si="197">H852*S852</f>
        <v>0</v>
      </c>
    </row>
    <row r="853" spans="1:20" s="352" customFormat="1" hidden="1">
      <c r="B853" s="352" t="s">
        <v>2867</v>
      </c>
      <c r="C853" s="484">
        <f t="shared" si="195"/>
        <v>0</v>
      </c>
      <c r="D853" s="363"/>
      <c r="E853" s="363">
        <f>VLOOKUP(B853,DONGIA,DG!$B$6,0)</f>
        <v>0</v>
      </c>
      <c r="F853" s="362" t="str">
        <f>VLOOKUP(B853,DONGIA,DG!$C$6,0)</f>
        <v>Kẹp Ubolt cỡ dây 70</v>
      </c>
      <c r="G853" s="363" t="str">
        <f>VLOOKUP(B853,DONGIA,DG!$D$6,0)</f>
        <v>cái</v>
      </c>
      <c r="H853" s="362"/>
      <c r="I853" s="362">
        <f>VLOOKUP(B853,DONGIA,DG!$E$6,0)</f>
        <v>16600</v>
      </c>
      <c r="J853" s="362"/>
      <c r="K853" s="362">
        <f>VLOOKUP(B853,DONGIA,DG!$F$6,0)</f>
        <v>0</v>
      </c>
      <c r="L853" s="362">
        <f>VLOOKUP(B853,DONGIA,DG!$G$6,0)</f>
        <v>0</v>
      </c>
      <c r="M853" s="362">
        <f t="shared" si="191"/>
        <v>0</v>
      </c>
      <c r="N853" s="362">
        <f t="shared" si="192"/>
        <v>0</v>
      </c>
      <c r="O853" s="362">
        <f t="shared" si="193"/>
        <v>0</v>
      </c>
      <c r="P853" s="362">
        <f t="shared" si="194"/>
        <v>0</v>
      </c>
      <c r="Q853" s="362"/>
      <c r="S853" s="352">
        <f t="shared" si="196"/>
        <v>0.7</v>
      </c>
      <c r="T853" s="352">
        <f t="shared" si="197"/>
        <v>0</v>
      </c>
    </row>
    <row r="854" spans="1:20" s="352" customFormat="1" hidden="1">
      <c r="B854" s="352" t="s">
        <v>389</v>
      </c>
      <c r="C854" s="484">
        <f t="shared" si="195"/>
        <v>0</v>
      </c>
      <c r="D854" s="363"/>
      <c r="E854" s="363"/>
      <c r="F854" s="362" t="str">
        <f>VLOOKUP(B854,DONGIA,DG!$C$6,0)</f>
        <v>Ống nối dây AC cỡ 70mm2 (Không lõi thép)</v>
      </c>
      <c r="G854" s="363" t="str">
        <f>VLOOKUP(B854,DONGIA,DG!$D$6,0)</f>
        <v>cái</v>
      </c>
      <c r="H854" s="362"/>
      <c r="I854" s="362">
        <f>VLOOKUP(B854,DONGIA,DG!$E$6,0)</f>
        <v>42000</v>
      </c>
      <c r="J854" s="362"/>
      <c r="K854" s="362"/>
      <c r="L854" s="362"/>
      <c r="M854" s="362">
        <f t="shared" si="191"/>
        <v>0</v>
      </c>
      <c r="N854" s="362">
        <f t="shared" si="192"/>
        <v>0</v>
      </c>
      <c r="O854" s="362">
        <f t="shared" si="193"/>
        <v>0</v>
      </c>
      <c r="P854" s="362">
        <f t="shared" si="194"/>
        <v>0</v>
      </c>
      <c r="Q854" s="362"/>
      <c r="S854" s="352">
        <f t="shared" si="196"/>
        <v>2</v>
      </c>
      <c r="T854" s="352">
        <f t="shared" si="197"/>
        <v>0</v>
      </c>
    </row>
    <row r="855" spans="1:20" s="352" customFormat="1" hidden="1">
      <c r="B855" s="352" t="s">
        <v>396</v>
      </c>
      <c r="C855" s="484">
        <f t="shared" si="195"/>
        <v>0</v>
      </c>
      <c r="D855" s="363"/>
      <c r="E855" s="363">
        <f>VLOOKUP(B855,DONGIA,DG!$B$6,0)</f>
        <v>0</v>
      </c>
      <c r="F855" s="362" t="str">
        <f>VLOOKUP(B855,DONGIA,DG!$C$6,0)</f>
        <v>Ống bọc cách điện D30/15</v>
      </c>
      <c r="G855" s="363" t="str">
        <f>VLOOKUP(B855,DONGIA,DG!$D$6,0)</f>
        <v>mét</v>
      </c>
      <c r="H855" s="362"/>
      <c r="I855" s="362">
        <f>VLOOKUP(B855,DONGIA,DG!$E$6,0)</f>
        <v>95000</v>
      </c>
      <c r="J855" s="362"/>
      <c r="K855" s="362">
        <f>VLOOKUP(B855,DONGIA,DG!$F$6,0)</f>
        <v>0</v>
      </c>
      <c r="L855" s="362">
        <f>VLOOKUP(B855,DONGIA,DG!$G$6,0)</f>
        <v>0</v>
      </c>
      <c r="M855" s="362">
        <f t="shared" si="191"/>
        <v>0</v>
      </c>
      <c r="N855" s="362">
        <f t="shared" si="192"/>
        <v>0</v>
      </c>
      <c r="O855" s="362">
        <f t="shared" si="193"/>
        <v>0</v>
      </c>
      <c r="P855" s="362">
        <f t="shared" si="194"/>
        <v>0</v>
      </c>
      <c r="Q855" s="362"/>
      <c r="S855" s="352">
        <f t="shared" si="196"/>
        <v>0</v>
      </c>
      <c r="T855" s="352">
        <f t="shared" si="197"/>
        <v>0</v>
      </c>
    </row>
    <row r="856" spans="1:20" s="361" customFormat="1" hidden="1">
      <c r="C856" s="374">
        <f t="shared" si="195"/>
        <v>0</v>
      </c>
      <c r="D856" s="350"/>
      <c r="E856" s="350"/>
      <c r="F856" s="351" t="s">
        <v>2934</v>
      </c>
      <c r="G856" s="350"/>
      <c r="H856" s="31"/>
      <c r="I856" s="351"/>
      <c r="J856" s="351"/>
      <c r="K856" s="351"/>
      <c r="L856" s="351"/>
      <c r="M856" s="351"/>
      <c r="N856" s="351"/>
      <c r="O856" s="351"/>
      <c r="P856" s="351"/>
      <c r="Q856" s="351"/>
      <c r="S856" s="361">
        <f t="shared" si="196"/>
        <v>0</v>
      </c>
      <c r="T856" s="361">
        <f t="shared" si="197"/>
        <v>0</v>
      </c>
    </row>
    <row r="857" spans="1:20" s="352" customFormat="1" hidden="1">
      <c r="B857" s="352" t="s">
        <v>397</v>
      </c>
      <c r="C857" s="484">
        <f t="shared" si="195"/>
        <v>0</v>
      </c>
      <c r="D857" s="363"/>
      <c r="E857" s="363">
        <f>VLOOKUP(B857,DONGIA,DG!$B$6,0)</f>
        <v>0</v>
      </c>
      <c r="F857" s="362" t="str">
        <f>VLOOKUP(B857,DONGIA,DG!$C$6,0)</f>
        <v>Uclevis - 3mm</v>
      </c>
      <c r="G857" s="363" t="str">
        <f>VLOOKUP(B857,DONGIA,DG!$D$6,0)</f>
        <v>bộ</v>
      </c>
      <c r="H857" s="281"/>
      <c r="I857" s="362">
        <f>VLOOKUP(B857,DONGIA,DG!$E$6,0)</f>
        <v>17000</v>
      </c>
      <c r="J857" s="362"/>
      <c r="K857" s="362">
        <f>VLOOKUP(B857,DONGIA,DG!$F$6,0)</f>
        <v>0</v>
      </c>
      <c r="L857" s="362">
        <f>VLOOKUP(B857,DONGIA,DG!$G$6,0)</f>
        <v>0</v>
      </c>
      <c r="M857" s="362">
        <f t="shared" ref="M857:P860" si="198">$H857*I857</f>
        <v>0</v>
      </c>
      <c r="N857" s="362">
        <f t="shared" si="198"/>
        <v>0</v>
      </c>
      <c r="O857" s="362">
        <f t="shared" si="198"/>
        <v>0</v>
      </c>
      <c r="P857" s="362">
        <f t="shared" si="198"/>
        <v>0</v>
      </c>
      <c r="Q857" s="362"/>
      <c r="S857" s="352">
        <f t="shared" si="196"/>
        <v>2.5</v>
      </c>
      <c r="T857" s="352">
        <f t="shared" si="197"/>
        <v>0</v>
      </c>
    </row>
    <row r="858" spans="1:20" s="352" customFormat="1" hidden="1">
      <c r="B858" s="352" t="s">
        <v>409</v>
      </c>
      <c r="C858" s="484">
        <f t="shared" si="195"/>
        <v>0</v>
      </c>
      <c r="D858" s="363"/>
      <c r="E858" s="363" t="str">
        <f>VLOOKUP(B858,DONGIA,DG!$B$6,0)</f>
        <v>D3.1201</v>
      </c>
      <c r="F858" s="362" t="str">
        <f>VLOOKUP(B858,DONGIA,DG!$C$6,0)</f>
        <v xml:space="preserve">Sứ ống chỉ </v>
      </c>
      <c r="G858" s="363" t="str">
        <f>VLOOKUP(B858,DONGIA,DG!$D$6,0)</f>
        <v>cái</v>
      </c>
      <c r="H858" s="281"/>
      <c r="I858" s="362">
        <f>VLOOKUP(B858,DONGIA,DG!$E$6,0)</f>
        <v>20000</v>
      </c>
      <c r="J858" s="362"/>
      <c r="K858" s="362">
        <f>VLOOKUP(B858,DONGIA,DG!$F$6,0)</f>
        <v>13173</v>
      </c>
      <c r="L858" s="362">
        <f>VLOOKUP(B858,DONGIA,DG!$G$6,0)</f>
        <v>0</v>
      </c>
      <c r="M858" s="362">
        <f t="shared" si="198"/>
        <v>0</v>
      </c>
      <c r="N858" s="362">
        <f t="shared" si="198"/>
        <v>0</v>
      </c>
      <c r="O858" s="362">
        <f t="shared" si="198"/>
        <v>0</v>
      </c>
      <c r="P858" s="362">
        <f t="shared" si="198"/>
        <v>0</v>
      </c>
      <c r="Q858" s="362"/>
      <c r="S858" s="352">
        <f t="shared" si="196"/>
        <v>0.2</v>
      </c>
      <c r="T858" s="352">
        <f t="shared" si="197"/>
        <v>0</v>
      </c>
    </row>
    <row r="859" spans="1:20" s="352" customFormat="1" hidden="1">
      <c r="B859" s="352" t="s">
        <v>35</v>
      </c>
      <c r="C859" s="484">
        <f>IF(H859&lt;&gt;0,1,)</f>
        <v>0</v>
      </c>
      <c r="D859" s="363"/>
      <c r="E859" s="363">
        <f>VLOOKUP(B859,DONGIA,DG!$B$6,0)</f>
        <v>0</v>
      </c>
      <c r="F859" s="362" t="str">
        <f>VLOOKUP(B859,DONGIA,DG!$C$6,0)</f>
        <v>Boulon 16x300+ 2 long đền vuông D18-50x50x3/Zn</v>
      </c>
      <c r="G859" s="363" t="str">
        <f>VLOOKUP(B859,DONGIA,DG!$D$6,0)</f>
        <v>bộ</v>
      </c>
      <c r="H859" s="281"/>
      <c r="I859" s="362">
        <f>VLOOKUP(B859,DONGIA,DG!$E$6,0)</f>
        <v>30000</v>
      </c>
      <c r="J859" s="362"/>
      <c r="K859" s="362">
        <f>VLOOKUP(B859,DONGIA,DG!$F$6,0)</f>
        <v>0</v>
      </c>
      <c r="L859" s="362">
        <f>VLOOKUP(B859,DONGIA,DG!$G$6,0)</f>
        <v>0</v>
      </c>
      <c r="M859" s="362">
        <f t="shared" si="198"/>
        <v>0</v>
      </c>
      <c r="N859" s="362">
        <f t="shared" si="198"/>
        <v>0</v>
      </c>
      <c r="O859" s="362">
        <f t="shared" si="198"/>
        <v>0</v>
      </c>
      <c r="P859" s="362">
        <f t="shared" si="198"/>
        <v>0</v>
      </c>
      <c r="Q859" s="362"/>
      <c r="S859" s="352">
        <f>IFERROR(VLOOKUP(B859,DONGIA,$S$25,0),0)</f>
        <v>0.25</v>
      </c>
      <c r="T859" s="352">
        <f>H859*S859</f>
        <v>0</v>
      </c>
    </row>
    <row r="860" spans="1:20" hidden="1">
      <c r="B860" s="332" t="s">
        <v>1058</v>
      </c>
      <c r="C860" s="333">
        <f t="shared" si="180"/>
        <v>0</v>
      </c>
      <c r="D860" s="372">
        <f>IF(H860&lt;&gt;0,D846+1,D846)</f>
        <v>0</v>
      </c>
      <c r="E860" s="372">
        <f>VLOOKUP(B860,DONGIA,DG!$B$6,0)</f>
        <v>0</v>
      </c>
      <c r="F860" s="373" t="str">
        <f>VLOOKUP(B860,DONGIA,DG!$C$6,0)</f>
        <v>Bảng tên trạm + bulon</v>
      </c>
      <c r="G860" s="372" t="str">
        <f>VLOOKUP(B860,DONGIA,DG!$D$6,0)</f>
        <v>bộ</v>
      </c>
      <c r="H860" s="372">
        <f>TR3X25</f>
        <v>0</v>
      </c>
      <c r="I860" s="473">
        <f>VLOOKUP(B860,DONGIA,DG!$E$6,0)</f>
        <v>150000</v>
      </c>
      <c r="J860" s="473"/>
      <c r="K860" s="473">
        <f>VLOOKUP(B860,DONGIA,DG!$F$6,0)</f>
        <v>0</v>
      </c>
      <c r="L860" s="473">
        <f>VLOOKUP(B860,DONGIA,DG!$G$6,0)</f>
        <v>0</v>
      </c>
      <c r="M860" s="473">
        <f t="shared" si="198"/>
        <v>0</v>
      </c>
      <c r="N860" s="473">
        <f t="shared" si="198"/>
        <v>0</v>
      </c>
      <c r="O860" s="473">
        <f t="shared" si="198"/>
        <v>0</v>
      </c>
      <c r="P860" s="473">
        <f t="shared" si="198"/>
        <v>0</v>
      </c>
      <c r="Q860" s="473"/>
      <c r="S860" s="332">
        <f t="shared" si="179"/>
        <v>0</v>
      </c>
      <c r="T860" s="332">
        <f t="shared" si="181"/>
        <v>0</v>
      </c>
    </row>
    <row r="861" spans="1:20" s="353" customFormat="1" hidden="1">
      <c r="A861" s="353" t="s">
        <v>2079</v>
      </c>
      <c r="C861" s="333">
        <f>C862</f>
        <v>0</v>
      </c>
      <c r="D861" s="368"/>
      <c r="E861" s="369" t="str">
        <f>TR3X375&amp;" Trạm 3 pha 3x37,5kVA"</f>
        <v>0 Trạm 3 pha 3x37,5kVA</v>
      </c>
      <c r="F861" s="368"/>
      <c r="G861" s="368"/>
      <c r="H861" s="368"/>
      <c r="I861" s="325"/>
      <c r="J861" s="325"/>
      <c r="K861" s="325"/>
      <c r="L861" s="325"/>
      <c r="M861" s="325"/>
      <c r="N861" s="325"/>
      <c r="O861" s="325"/>
      <c r="P861" s="325"/>
      <c r="Q861" s="368"/>
      <c r="S861" s="332">
        <f t="shared" si="179"/>
        <v>0</v>
      </c>
      <c r="T861" s="332">
        <f t="shared" si="181"/>
        <v>0</v>
      </c>
    </row>
    <row r="862" spans="1:20" hidden="1">
      <c r="A862" s="332" t="s">
        <v>2080</v>
      </c>
      <c r="C862" s="333">
        <f>IF(M862&lt;&gt;0,1,)</f>
        <v>0</v>
      </c>
      <c r="D862" s="344"/>
      <c r="E862" s="344"/>
      <c r="F862" s="345" t="s">
        <v>1900</v>
      </c>
      <c r="G862" s="344"/>
      <c r="H862" s="345"/>
      <c r="I862" s="345"/>
      <c r="J862" s="345"/>
      <c r="K862" s="345"/>
      <c r="L862" s="345"/>
      <c r="M862" s="345">
        <f>SUM(M863:M869)</f>
        <v>0</v>
      </c>
      <c r="N862" s="345">
        <f>SUM(N863:N869)</f>
        <v>0</v>
      </c>
      <c r="O862" s="345">
        <f>SUM(O863:O869)</f>
        <v>0</v>
      </c>
      <c r="P862" s="345">
        <f>SUM(P863:P869)</f>
        <v>0</v>
      </c>
      <c r="Q862" s="345"/>
      <c r="S862" s="332">
        <f t="shared" si="179"/>
        <v>0</v>
      </c>
      <c r="T862" s="371">
        <f>SUM(T863:T869)</f>
        <v>0</v>
      </c>
    </row>
    <row r="863" spans="1:20" hidden="1">
      <c r="A863" s="332" t="s">
        <v>477</v>
      </c>
      <c r="B863" s="332" t="s">
        <v>900</v>
      </c>
      <c r="C863" s="333">
        <f t="shared" si="180"/>
        <v>0</v>
      </c>
      <c r="D863" s="328"/>
      <c r="E863" s="328" t="str">
        <f>VLOOKUP(B863,DONGIA,DG!$B$6,0)</f>
        <v>T1.1432</v>
      </c>
      <c r="F863" s="329" t="str">
        <f>VLOOKUP(B863,DONGIA,DG!$C$6,0)</f>
        <v>Máy biến áp AMORPHOUS 12,7/0,22-0,44kV 37,5kVA</v>
      </c>
      <c r="G863" s="328" t="str">
        <f>VLOOKUP(B863,DONGIA,DG!$D$6,0)</f>
        <v>máy</v>
      </c>
      <c r="H863" s="329">
        <f>TR3X375*3</f>
        <v>0</v>
      </c>
      <c r="I863" s="329">
        <f>VLOOKUP(B863,DONGIA,DG!$E$6,0)</f>
        <v>36124000</v>
      </c>
      <c r="J863" s="329"/>
      <c r="K863" s="329">
        <f>VLOOKUP(B863,DONGIA,DG!$F$6,0)</f>
        <v>746585</v>
      </c>
      <c r="L863" s="329">
        <f>VLOOKUP(B863,DONGIA,DG!$G$6,0)</f>
        <v>360605</v>
      </c>
      <c r="M863" s="329">
        <f>$H863*I863</f>
        <v>0</v>
      </c>
      <c r="N863" s="329">
        <f>$H863*J863</f>
        <v>0</v>
      </c>
      <c r="O863" s="329">
        <f>$H863*K863</f>
        <v>0</v>
      </c>
      <c r="P863" s="329">
        <f>$H863*L863</f>
        <v>0</v>
      </c>
      <c r="Q863" s="329"/>
      <c r="S863" s="332">
        <f t="shared" si="179"/>
        <v>355</v>
      </c>
      <c r="T863" s="332">
        <f t="shared" si="181"/>
        <v>0</v>
      </c>
    </row>
    <row r="864" spans="1:20" hidden="1">
      <c r="A864" s="332" t="s">
        <v>477</v>
      </c>
      <c r="B864" s="332" t="s">
        <v>1444</v>
      </c>
      <c r="C864" s="333">
        <f t="shared" si="180"/>
        <v>0</v>
      </c>
      <c r="D864" s="328"/>
      <c r="E864" s="328" t="str">
        <f>VLOOKUP(B864,DONGIA,DG!$B$6,0)</f>
        <v>T2.3505</v>
      </c>
      <c r="F864" s="329" t="str">
        <f>VLOOKUP(B864,DONGIA,DG!$C$6,0)</f>
        <v>FCO 27kV - 100A</v>
      </c>
      <c r="G864" s="328" t="str">
        <f>VLOOKUP(B864,DONGIA,DG!$D$6,0)</f>
        <v>cái</v>
      </c>
      <c r="H864" s="329">
        <f>TR3X375*3</f>
        <v>0</v>
      </c>
      <c r="I864" s="329">
        <f>VLOOKUP(B864,DONGIA,DG!$E$6,0)</f>
        <v>1070000</v>
      </c>
      <c r="J864" s="329"/>
      <c r="K864" s="329">
        <f>VLOOKUP(B864,DONGIA,DG!$F$6,0)</f>
        <v>189552</v>
      </c>
      <c r="L864" s="329">
        <f>VLOOKUP(B864,DONGIA,DG!$G$6,0)</f>
        <v>0</v>
      </c>
      <c r="M864" s="329">
        <f t="shared" ref="M864:M869" si="199">$H864*I864</f>
        <v>0</v>
      </c>
      <c r="N864" s="329">
        <f t="shared" ref="N864:N869" si="200">$H864*J864</f>
        <v>0</v>
      </c>
      <c r="O864" s="329">
        <f t="shared" ref="O864:O869" si="201">$H864*K864</f>
        <v>0</v>
      </c>
      <c r="P864" s="329">
        <f t="shared" ref="P864:P869" si="202">$H864*L864</f>
        <v>0</v>
      </c>
      <c r="Q864" s="329"/>
      <c r="S864" s="332">
        <f t="shared" si="179"/>
        <v>1.5</v>
      </c>
      <c r="T864" s="332">
        <f t="shared" si="181"/>
        <v>0</v>
      </c>
    </row>
    <row r="865" spans="1:20" hidden="1">
      <c r="A865" s="332" t="s">
        <v>477</v>
      </c>
      <c r="B865" s="332" t="s">
        <v>943</v>
      </c>
      <c r="C865" s="333">
        <f t="shared" si="180"/>
        <v>0</v>
      </c>
      <c r="D865" s="328"/>
      <c r="E865" s="328" t="str">
        <f>VLOOKUP(B865,DONGIA,DG!$B$6,0)</f>
        <v>T2.5004</v>
      </c>
      <c r="F865" s="329" t="str">
        <f>VLOOKUP(B865,DONGIA,DG!$C$6,0)</f>
        <v>LA 18kV 10kA</v>
      </c>
      <c r="G865" s="328" t="str">
        <f>VLOOKUP(B865,DONGIA,DG!$D$6,0)</f>
        <v>cái</v>
      </c>
      <c r="H865" s="329">
        <f>TR3X375*3</f>
        <v>0</v>
      </c>
      <c r="I865" s="329">
        <f>VLOOKUP(B865,DONGIA,DG!$E$6,0)</f>
        <v>875000</v>
      </c>
      <c r="J865" s="329"/>
      <c r="K865" s="329">
        <f>VLOOKUP(B865,DONGIA,DG!$F$6,0)</f>
        <v>71082</v>
      </c>
      <c r="L865" s="329">
        <f>VLOOKUP(B865,DONGIA,DG!$G$6,0)</f>
        <v>0</v>
      </c>
      <c r="M865" s="329">
        <f t="shared" si="199"/>
        <v>0</v>
      </c>
      <c r="N865" s="329">
        <f t="shared" si="200"/>
        <v>0</v>
      </c>
      <c r="O865" s="329">
        <f t="shared" si="201"/>
        <v>0</v>
      </c>
      <c r="P865" s="329">
        <f t="shared" si="202"/>
        <v>0</v>
      </c>
      <c r="Q865" s="329"/>
      <c r="S865" s="332">
        <f t="shared" si="179"/>
        <v>0.8</v>
      </c>
      <c r="T865" s="332">
        <f t="shared" si="181"/>
        <v>0</v>
      </c>
    </row>
    <row r="866" spans="1:20" hidden="1">
      <c r="A866" s="332" t="s">
        <v>477</v>
      </c>
      <c r="B866" s="332" t="s">
        <v>996</v>
      </c>
      <c r="C866" s="333">
        <f t="shared" si="180"/>
        <v>0</v>
      </c>
      <c r="D866" s="328"/>
      <c r="E866" s="328"/>
      <c r="F866" s="329" t="str">
        <f>VLOOKUP(B866,DONGIA,DG!$C$6,0)</f>
        <v>MCCB 3 cực 600V - 250A - 35KA (160-250A)</v>
      </c>
      <c r="G866" s="328" t="str">
        <f>VLOOKUP(B866,DONGIA,DG!$D$6,0)</f>
        <v>cái</v>
      </c>
      <c r="H866" s="329">
        <f>TR3X375</f>
        <v>0</v>
      </c>
      <c r="I866" s="329">
        <f>VLOOKUP(B866,DONGIA,DG!$E$6,0)</f>
        <v>1440000</v>
      </c>
      <c r="J866" s="329"/>
      <c r="K866" s="329"/>
      <c r="L866" s="329">
        <f>VLOOKUP(B866,DONGIA,DG!$G$6,0)</f>
        <v>0</v>
      </c>
      <c r="M866" s="329">
        <f t="shared" si="199"/>
        <v>0</v>
      </c>
      <c r="N866" s="329">
        <f t="shared" si="200"/>
        <v>0</v>
      </c>
      <c r="O866" s="329">
        <f t="shared" si="201"/>
        <v>0</v>
      </c>
      <c r="P866" s="329">
        <f t="shared" si="202"/>
        <v>0</v>
      </c>
      <c r="Q866" s="329"/>
      <c r="S866" s="332">
        <f t="shared" si="179"/>
        <v>2</v>
      </c>
      <c r="T866" s="332">
        <f t="shared" si="181"/>
        <v>0</v>
      </c>
    </row>
    <row r="867" spans="1:20" hidden="1">
      <c r="A867" s="332" t="s">
        <v>477</v>
      </c>
      <c r="B867" s="332" t="s">
        <v>2948</v>
      </c>
      <c r="C867" s="333">
        <f>IF(H867&lt;&gt;0,1,)</f>
        <v>0</v>
      </c>
      <c r="D867" s="328"/>
      <c r="E867" s="328"/>
      <c r="F867" s="329" t="str">
        <f>VLOOKUP(B867,DONGIA,DG!$C$6,0)&amp;" (Phân đoạn)"</f>
        <v>MCCB 3 cực 400V - 160A - 35KA (100-160A) (Phân đoạn)</v>
      </c>
      <c r="G867" s="328" t="str">
        <f>VLOOKUP(B867,DONGIA,DG!$D$6,0)</f>
        <v>cái</v>
      </c>
      <c r="H867" s="329">
        <f>TR3X375*2</f>
        <v>0</v>
      </c>
      <c r="I867" s="329">
        <f>VLOOKUP(B867,DONGIA,DG!$E$6,0)</f>
        <v>1440000</v>
      </c>
      <c r="J867" s="329"/>
      <c r="K867" s="329"/>
      <c r="L867" s="329">
        <f>VLOOKUP(B867,DONGIA,DG!$G$6,0)</f>
        <v>0</v>
      </c>
      <c r="M867" s="329">
        <f>$H867*I867</f>
        <v>0</v>
      </c>
      <c r="N867" s="329">
        <f>$H867*J867</f>
        <v>0</v>
      </c>
      <c r="O867" s="329">
        <f>$H867*K867</f>
        <v>0</v>
      </c>
      <c r="P867" s="329">
        <f>$H867*L867</f>
        <v>0</v>
      </c>
      <c r="Q867" s="329"/>
      <c r="S867" s="332">
        <f>IFERROR(VLOOKUP(B867,DONGIA,$S$25,0),0)</f>
        <v>2</v>
      </c>
      <c r="T867" s="332">
        <f>H867*S867</f>
        <v>0</v>
      </c>
    </row>
    <row r="868" spans="1:20" hidden="1">
      <c r="A868" s="332" t="s">
        <v>477</v>
      </c>
      <c r="B868" s="332" t="s">
        <v>950</v>
      </c>
      <c r="C868" s="333">
        <f t="shared" si="180"/>
        <v>0</v>
      </c>
      <c r="D868" s="328"/>
      <c r="E868" s="328">
        <f>VLOOKUP(B868,DONGIA,DG!$B$6,0)</f>
        <v>0</v>
      </c>
      <c r="F868" s="329" t="str">
        <f>VLOOKUP(B868,DONGIA,DG!$C$6,0)</f>
        <v xml:space="preserve">Biến dòng 600V - 150/5A </v>
      </c>
      <c r="G868" s="328" t="str">
        <f>VLOOKUP(B868,DONGIA,DG!$D$6,0)</f>
        <v>cái</v>
      </c>
      <c r="H868" s="329">
        <f>TR3X375*3</f>
        <v>0</v>
      </c>
      <c r="I868" s="329">
        <f>VLOOKUP(B868,DONGIA,DG!$E$6,0)</f>
        <v>0</v>
      </c>
      <c r="J868" s="329"/>
      <c r="K868" s="329">
        <f>VLOOKUP(B868,DONGIA,DG!$F$6,0)</f>
        <v>0</v>
      </c>
      <c r="L868" s="329">
        <f>VLOOKUP(B868,DONGIA,DG!$G$6,0)</f>
        <v>0</v>
      </c>
      <c r="M868" s="329">
        <f t="shared" si="199"/>
        <v>0</v>
      </c>
      <c r="N868" s="329">
        <f t="shared" si="200"/>
        <v>0</v>
      </c>
      <c r="O868" s="329">
        <f t="shared" si="201"/>
        <v>0</v>
      </c>
      <c r="P868" s="329">
        <f t="shared" si="202"/>
        <v>0</v>
      </c>
      <c r="Q868" s="329"/>
      <c r="S868" s="332">
        <f t="shared" si="179"/>
        <v>0</v>
      </c>
      <c r="T868" s="332">
        <f t="shared" si="181"/>
        <v>0</v>
      </c>
    </row>
    <row r="869" spans="1:20" hidden="1">
      <c r="A869" s="332" t="s">
        <v>477</v>
      </c>
      <c r="B869" s="332" t="s">
        <v>1046</v>
      </c>
      <c r="C869" s="333">
        <f t="shared" si="180"/>
        <v>0</v>
      </c>
      <c r="D869" s="328"/>
      <c r="E869" s="328">
        <f>VLOOKUP(B869,DONGIA,DG!$B$6,0)</f>
        <v>0</v>
      </c>
      <c r="F869" s="329" t="str">
        <f>VLOOKUP(B869,DONGIA,DG!$C$6,0)</f>
        <v>Điện kế 3 pha 4 dây 220/380V-5A</v>
      </c>
      <c r="G869" s="328" t="str">
        <f>VLOOKUP(B869,DONGIA,DG!$D$6,0)</f>
        <v>cái</v>
      </c>
      <c r="H869" s="329">
        <f>TR3X375</f>
        <v>0</v>
      </c>
      <c r="I869" s="329">
        <f>VLOOKUP(B869,DONGIA,DG!$E$6,0)</f>
        <v>0</v>
      </c>
      <c r="J869" s="329"/>
      <c r="K869" s="329">
        <f>VLOOKUP(B869,DONGIA,DG!$F$6,0)</f>
        <v>0</v>
      </c>
      <c r="L869" s="329">
        <f>VLOOKUP(B869,DONGIA,DG!$G$6,0)</f>
        <v>0</v>
      </c>
      <c r="M869" s="329">
        <f t="shared" si="199"/>
        <v>0</v>
      </c>
      <c r="N869" s="329">
        <f t="shared" si="200"/>
        <v>0</v>
      </c>
      <c r="O869" s="329">
        <f t="shared" si="201"/>
        <v>0</v>
      </c>
      <c r="P869" s="329">
        <f t="shared" si="202"/>
        <v>0</v>
      </c>
      <c r="Q869" s="329"/>
      <c r="S869" s="332">
        <f t="shared" si="179"/>
        <v>1.5</v>
      </c>
      <c r="T869" s="332">
        <f t="shared" si="181"/>
        <v>0</v>
      </c>
    </row>
    <row r="870" spans="1:20" hidden="1">
      <c r="A870" s="332" t="s">
        <v>2081</v>
      </c>
      <c r="C870" s="333">
        <f>IF(M870&lt;&gt;0,1,)</f>
        <v>0</v>
      </c>
      <c r="D870" s="344"/>
      <c r="E870" s="344"/>
      <c r="F870" s="345" t="s">
        <v>1901</v>
      </c>
      <c r="G870" s="344"/>
      <c r="H870" s="345"/>
      <c r="I870" s="345"/>
      <c r="J870" s="345"/>
      <c r="K870" s="345"/>
      <c r="L870" s="345"/>
      <c r="M870" s="345">
        <f>SUM(M871:M972)</f>
        <v>0</v>
      </c>
      <c r="N870" s="345">
        <f>SUM(N871:N972)</f>
        <v>0</v>
      </c>
      <c r="O870" s="345">
        <f>SUM(O871:O972)</f>
        <v>0</v>
      </c>
      <c r="P870" s="345">
        <f>SUM(P871:P972)</f>
        <v>0</v>
      </c>
      <c r="Q870" s="345"/>
      <c r="S870" s="332">
        <f t="shared" ref="S870:S938" si="203">IFERROR(VLOOKUP(B870,DONGIA,$S$25,0),0)</f>
        <v>0</v>
      </c>
      <c r="T870" s="371">
        <f>SUM(T871:T972)</f>
        <v>0</v>
      </c>
    </row>
    <row r="871" spans="1:20" hidden="1">
      <c r="C871" s="333">
        <f t="shared" ref="C871:C940" si="204">IF(H871&lt;&gt;0,1,)</f>
        <v>0</v>
      </c>
      <c r="D871" s="372">
        <f>IF(H871&lt;&gt;0,1,)</f>
        <v>0</v>
      </c>
      <c r="E871" s="372"/>
      <c r="F871" s="373" t="s">
        <v>1931</v>
      </c>
      <c r="G871" s="372" t="s">
        <v>138</v>
      </c>
      <c r="H871" s="372">
        <f>TR3X375</f>
        <v>0</v>
      </c>
      <c r="I871" s="373"/>
      <c r="J871" s="373"/>
      <c r="K871" s="373"/>
      <c r="L871" s="373"/>
      <c r="M871" s="373"/>
      <c r="N871" s="373"/>
      <c r="O871" s="373"/>
      <c r="P871" s="373"/>
      <c r="Q871" s="373"/>
      <c r="S871" s="332">
        <f t="shared" si="203"/>
        <v>0</v>
      </c>
      <c r="T871" s="332">
        <f t="shared" ref="T871:T940" si="205">H871*S871</f>
        <v>0</v>
      </c>
    </row>
    <row r="872" spans="1:20" hidden="1">
      <c r="A872" s="332" t="s">
        <v>477</v>
      </c>
      <c r="B872" s="332" t="s">
        <v>1007</v>
      </c>
      <c r="C872" s="333">
        <f t="shared" si="204"/>
        <v>0</v>
      </c>
      <c r="D872" s="328"/>
      <c r="E872" s="328">
        <f>VLOOKUP(B872,DONGIA,DG!$B$6,0)</f>
        <v>0</v>
      </c>
      <c r="F872" s="329" t="str">
        <f>VLOOKUP(B872,DONGIA,DG!$C$6,0)</f>
        <v>Dây chảy 3K</v>
      </c>
      <c r="G872" s="328" t="str">
        <f>VLOOKUP(B872,DONGIA,DG!$D$6,0)</f>
        <v>Sợi</v>
      </c>
      <c r="H872" s="329">
        <f>H871*3</f>
        <v>0</v>
      </c>
      <c r="I872" s="329">
        <f>VLOOKUP(B872,DONGIA,DG!$E$6,0)</f>
        <v>47000</v>
      </c>
      <c r="J872" s="329"/>
      <c r="K872" s="329">
        <f>VLOOKUP(B872,DONGIA,DG!$F$6,0)</f>
        <v>0</v>
      </c>
      <c r="L872" s="329">
        <f>VLOOKUP(B872,DONGIA,DG!$G$6,0)</f>
        <v>0</v>
      </c>
      <c r="M872" s="329">
        <f t="shared" ref="M872:P875" si="206">$H872*I872</f>
        <v>0</v>
      </c>
      <c r="N872" s="329">
        <f t="shared" si="206"/>
        <v>0</v>
      </c>
      <c r="O872" s="329">
        <f t="shared" si="206"/>
        <v>0</v>
      </c>
      <c r="P872" s="329">
        <f t="shared" si="206"/>
        <v>0</v>
      </c>
      <c r="Q872" s="329"/>
      <c r="S872" s="332">
        <f t="shared" si="203"/>
        <v>0</v>
      </c>
      <c r="T872" s="332">
        <f t="shared" si="205"/>
        <v>0</v>
      </c>
    </row>
    <row r="873" spans="1:20" hidden="1">
      <c r="A873" s="332" t="s">
        <v>477</v>
      </c>
      <c r="B873" s="332" t="s">
        <v>131</v>
      </c>
      <c r="C873" s="333">
        <f t="shared" si="204"/>
        <v>0</v>
      </c>
      <c r="D873" s="328"/>
      <c r="E873" s="328">
        <f>VLOOKUP(B873,DONGIA,DG!$B$6,0)</f>
        <v>0</v>
      </c>
      <c r="F873" s="329" t="str">
        <f>VLOOKUP(B873,DONGIA,DG!$C$6,0)</f>
        <v>Chụp đầu FCO (Trên + Dưới)</v>
      </c>
      <c r="G873" s="328" t="str">
        <f>VLOOKUP(B873,DONGIA,DG!$D$6,0)</f>
        <v>bộ</v>
      </c>
      <c r="H873" s="329">
        <f>H864</f>
        <v>0</v>
      </c>
      <c r="I873" s="329">
        <f>VLOOKUP(B873,DONGIA,DG!$E$6,0)</f>
        <v>190000</v>
      </c>
      <c r="J873" s="329"/>
      <c r="K873" s="329">
        <f>VLOOKUP(B873,DONGIA,DG!$F$6,0)</f>
        <v>0</v>
      </c>
      <c r="L873" s="329">
        <f>VLOOKUP(B873,DONGIA,DG!$G$6,0)</f>
        <v>0</v>
      </c>
      <c r="M873" s="329">
        <f t="shared" si="206"/>
        <v>0</v>
      </c>
      <c r="N873" s="329">
        <f t="shared" si="206"/>
        <v>0</v>
      </c>
      <c r="O873" s="329">
        <f t="shared" si="206"/>
        <v>0</v>
      </c>
      <c r="P873" s="329">
        <f t="shared" si="206"/>
        <v>0</v>
      </c>
      <c r="Q873" s="329"/>
      <c r="S873" s="332">
        <f t="shared" si="203"/>
        <v>0</v>
      </c>
      <c r="T873" s="332">
        <f t="shared" si="205"/>
        <v>0</v>
      </c>
    </row>
    <row r="874" spans="1:20" hidden="1">
      <c r="A874" s="332" t="s">
        <v>477</v>
      </c>
      <c r="B874" s="332" t="s">
        <v>133</v>
      </c>
      <c r="C874" s="333">
        <f t="shared" si="204"/>
        <v>0</v>
      </c>
      <c r="D874" s="328"/>
      <c r="E874" s="328">
        <f>VLOOKUP(B874,DONGIA,DG!$B$6,0)</f>
        <v>0</v>
      </c>
      <c r="F874" s="329" t="str">
        <f>VLOOKUP(B874,DONGIA,DG!$C$6,0)</f>
        <v>Chụp đầu LA</v>
      </c>
      <c r="G874" s="328" t="str">
        <f>VLOOKUP(B874,DONGIA,DG!$D$6,0)</f>
        <v>cái</v>
      </c>
      <c r="H874" s="329">
        <f>H865</f>
        <v>0</v>
      </c>
      <c r="I874" s="329">
        <f>VLOOKUP(B874,DONGIA,DG!$E$6,0)</f>
        <v>32000</v>
      </c>
      <c r="J874" s="329"/>
      <c r="K874" s="329">
        <f>VLOOKUP(B874,DONGIA,DG!$F$6,0)</f>
        <v>0</v>
      </c>
      <c r="L874" s="329">
        <f>VLOOKUP(B874,DONGIA,DG!$G$6,0)</f>
        <v>0</v>
      </c>
      <c r="M874" s="329">
        <f t="shared" si="206"/>
        <v>0</v>
      </c>
      <c r="N874" s="329">
        <f t="shared" si="206"/>
        <v>0</v>
      </c>
      <c r="O874" s="329">
        <f t="shared" si="206"/>
        <v>0</v>
      </c>
      <c r="P874" s="329">
        <f t="shared" si="206"/>
        <v>0</v>
      </c>
      <c r="Q874" s="329"/>
      <c r="S874" s="332">
        <f t="shared" si="203"/>
        <v>0</v>
      </c>
      <c r="T874" s="332">
        <f t="shared" si="205"/>
        <v>0</v>
      </c>
    </row>
    <row r="875" spans="1:20" hidden="1">
      <c r="A875" s="332" t="s">
        <v>477</v>
      </c>
      <c r="B875" s="332" t="s">
        <v>135</v>
      </c>
      <c r="C875" s="333">
        <f t="shared" si="204"/>
        <v>0</v>
      </c>
      <c r="D875" s="328"/>
      <c r="E875" s="328">
        <f>VLOOKUP(B875,DONGIA,DG!$B$6,0)</f>
        <v>0</v>
      </c>
      <c r="F875" s="329" t="str">
        <f>VLOOKUP(B875,DONGIA,DG!$C$6,0)</f>
        <v>Chụp đầu cực MBA</v>
      </c>
      <c r="G875" s="328" t="str">
        <f>VLOOKUP(B875,DONGIA,DG!$D$6,0)</f>
        <v>cái</v>
      </c>
      <c r="H875" s="329">
        <f>H863</f>
        <v>0</v>
      </c>
      <c r="I875" s="329">
        <f>VLOOKUP(B875,DONGIA,DG!$E$6,0)</f>
        <v>52000</v>
      </c>
      <c r="J875" s="329"/>
      <c r="K875" s="329">
        <f>VLOOKUP(B875,DONGIA,DG!$F$6,0)</f>
        <v>0</v>
      </c>
      <c r="L875" s="329">
        <f>VLOOKUP(B875,DONGIA,DG!$G$6,0)</f>
        <v>0</v>
      </c>
      <c r="M875" s="329">
        <f t="shared" si="206"/>
        <v>0</v>
      </c>
      <c r="N875" s="329">
        <f t="shared" si="206"/>
        <v>0</v>
      </c>
      <c r="O875" s="329">
        <f t="shared" si="206"/>
        <v>0</v>
      </c>
      <c r="P875" s="329">
        <f t="shared" si="206"/>
        <v>0</v>
      </c>
      <c r="Q875" s="329"/>
      <c r="S875" s="332">
        <f t="shared" si="203"/>
        <v>0</v>
      </c>
      <c r="T875" s="332">
        <f t="shared" si="205"/>
        <v>0</v>
      </c>
    </row>
    <row r="876" spans="1:20" hidden="1">
      <c r="A876" s="332" t="s">
        <v>477</v>
      </c>
      <c r="C876" s="333">
        <f t="shared" si="204"/>
        <v>0</v>
      </c>
      <c r="D876" s="372">
        <f>IF(H876&lt;&gt;0,D871+1,D871)</f>
        <v>0</v>
      </c>
      <c r="E876" s="372"/>
      <c r="F876" s="373" t="s">
        <v>1932</v>
      </c>
      <c r="G876" s="372" t="s">
        <v>138</v>
      </c>
      <c r="H876" s="372">
        <f>TR3X375</f>
        <v>0</v>
      </c>
      <c r="I876" s="373"/>
      <c r="J876" s="373"/>
      <c r="K876" s="373"/>
      <c r="L876" s="373"/>
      <c r="M876" s="373"/>
      <c r="N876" s="373"/>
      <c r="O876" s="373"/>
      <c r="P876" s="373"/>
      <c r="Q876" s="373"/>
      <c r="S876" s="332">
        <f t="shared" si="203"/>
        <v>0</v>
      </c>
      <c r="T876" s="332">
        <f t="shared" si="205"/>
        <v>0</v>
      </c>
    </row>
    <row r="877" spans="1:20" s="361" customFormat="1" hidden="1">
      <c r="A877" s="361" t="s">
        <v>477</v>
      </c>
      <c r="C877" s="374">
        <f>C876</f>
        <v>0</v>
      </c>
      <c r="D877" s="350"/>
      <c r="E877" s="350"/>
      <c r="F877" s="351" t="s">
        <v>1902</v>
      </c>
      <c r="G877" s="350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S877" s="361">
        <f t="shared" si="203"/>
        <v>0</v>
      </c>
      <c r="T877" s="361">
        <f t="shared" si="205"/>
        <v>0</v>
      </c>
    </row>
    <row r="878" spans="1:20" hidden="1">
      <c r="A878" s="332" t="s">
        <v>477</v>
      </c>
      <c r="B878" s="332" t="s">
        <v>18</v>
      </c>
      <c r="C878" s="333">
        <f t="shared" si="204"/>
        <v>0</v>
      </c>
      <c r="D878" s="328"/>
      <c r="E878" s="328">
        <f>VLOOKUP(B878,DONGIA,DG!$B$6,0)</f>
        <v>0</v>
      </c>
      <c r="F878" s="329" t="str">
        <f>VLOOKUP(B878,DONGIA,DG!$C$6,0)</f>
        <v>Đà hộp composite 110x80x5-2400</v>
      </c>
      <c r="G878" s="328" t="str">
        <f>VLOOKUP(B878,DONGIA,DG!$D$6,0)</f>
        <v>cái</v>
      </c>
      <c r="H878" s="329">
        <f>H876*2</f>
        <v>0</v>
      </c>
      <c r="I878" s="329">
        <f>VLOOKUP(B878,DONGIA,DG!$E$6,0)</f>
        <v>812200</v>
      </c>
      <c r="J878" s="329"/>
      <c r="K878" s="329">
        <f>VLOOKUP(B878,DONGIA,DG!$F$6,0)</f>
        <v>0</v>
      </c>
      <c r="L878" s="329">
        <f>VLOOKUP(B878,DONGIA,DG!$G$6,0)</f>
        <v>0</v>
      </c>
      <c r="M878" s="329">
        <f t="shared" ref="M878:P884" si="207">$H878*I878</f>
        <v>0</v>
      </c>
      <c r="N878" s="329">
        <f t="shared" si="207"/>
        <v>0</v>
      </c>
      <c r="O878" s="329">
        <f t="shared" si="207"/>
        <v>0</v>
      </c>
      <c r="P878" s="329">
        <f t="shared" si="207"/>
        <v>0</v>
      </c>
      <c r="Q878" s="329"/>
      <c r="S878" s="332">
        <f t="shared" si="203"/>
        <v>9.6</v>
      </c>
      <c r="T878" s="332">
        <f t="shared" si="205"/>
        <v>0</v>
      </c>
    </row>
    <row r="879" spans="1:20" hidden="1">
      <c r="A879" s="332" t="s">
        <v>477</v>
      </c>
      <c r="B879" s="332" t="s">
        <v>20</v>
      </c>
      <c r="C879" s="333">
        <f t="shared" si="204"/>
        <v>0</v>
      </c>
      <c r="D879" s="328"/>
      <c r="E879" s="328">
        <f>VLOOKUP(B879,DONGIA,DG!$B$6,0)</f>
        <v>0</v>
      </c>
      <c r="F879" s="329" t="str">
        <f>VLOOKUP(B879,DONGIA,DG!$C$6,0)</f>
        <v>Thanh chống Composite dẹp 10x40x920</v>
      </c>
      <c r="G879" s="328" t="str">
        <f>VLOOKUP(B879,DONGIA,DG!$D$6,0)</f>
        <v>cái</v>
      </c>
      <c r="H879" s="329">
        <f>H878*2</f>
        <v>0</v>
      </c>
      <c r="I879" s="329">
        <f>VLOOKUP(B879,DONGIA,DG!$E$6,0)</f>
        <v>108100</v>
      </c>
      <c r="J879" s="329"/>
      <c r="K879" s="329">
        <f>VLOOKUP(B879,DONGIA,DG!$F$6,0)</f>
        <v>0</v>
      </c>
      <c r="L879" s="329">
        <f>VLOOKUP(B879,DONGIA,DG!$G$6,0)</f>
        <v>0</v>
      </c>
      <c r="M879" s="329">
        <f t="shared" si="207"/>
        <v>0</v>
      </c>
      <c r="N879" s="329">
        <f t="shared" si="207"/>
        <v>0</v>
      </c>
      <c r="O879" s="329">
        <f t="shared" si="207"/>
        <v>0</v>
      </c>
      <c r="P879" s="329">
        <f t="shared" si="207"/>
        <v>0</v>
      </c>
      <c r="Q879" s="329"/>
      <c r="S879" s="332">
        <f t="shared" si="203"/>
        <v>0.7</v>
      </c>
      <c r="T879" s="332">
        <f t="shared" si="205"/>
        <v>0</v>
      </c>
    </row>
    <row r="880" spans="1:20" hidden="1">
      <c r="A880" s="332" t="s">
        <v>477</v>
      </c>
      <c r="B880" s="332" t="s">
        <v>137</v>
      </c>
      <c r="C880" s="333">
        <f t="shared" si="204"/>
        <v>0</v>
      </c>
      <c r="D880" s="328"/>
      <c r="E880" s="328">
        <f>VLOOKUP(B880,DONGIA,DG!$B$6,0)</f>
        <v>0</v>
      </c>
      <c r="F880" s="329" t="str">
        <f>VLOOKUP(B880,DONGIA,DG!$C$6,0)</f>
        <v>Bass LI bắt FCO, LA</v>
      </c>
      <c r="G880" s="328" t="str">
        <f>VLOOKUP(B880,DONGIA,DG!$D$6,0)</f>
        <v>Bộ</v>
      </c>
      <c r="H880" s="329">
        <f>H876*3*2</f>
        <v>0</v>
      </c>
      <c r="I880" s="329">
        <f>VLOOKUP(B880,DONGIA,DG!$E$6,0)</f>
        <v>38000</v>
      </c>
      <c r="J880" s="329"/>
      <c r="K880" s="329">
        <f>VLOOKUP(B880,DONGIA,DG!$F$6,0)</f>
        <v>0</v>
      </c>
      <c r="L880" s="329">
        <f>VLOOKUP(B880,DONGIA,DG!$G$6,0)</f>
        <v>0</v>
      </c>
      <c r="M880" s="329">
        <f t="shared" si="207"/>
        <v>0</v>
      </c>
      <c r="N880" s="329">
        <f t="shared" si="207"/>
        <v>0</v>
      </c>
      <c r="O880" s="329">
        <f t="shared" si="207"/>
        <v>0</v>
      </c>
      <c r="P880" s="329">
        <f t="shared" si="207"/>
        <v>0</v>
      </c>
      <c r="Q880" s="329"/>
      <c r="S880" s="332">
        <f t="shared" si="203"/>
        <v>0.4</v>
      </c>
      <c r="T880" s="332">
        <f t="shared" si="205"/>
        <v>0</v>
      </c>
    </row>
    <row r="881" spans="1:20" hidden="1">
      <c r="A881" s="332" t="s">
        <v>477</v>
      </c>
      <c r="B881" s="332" t="s">
        <v>1686</v>
      </c>
      <c r="C881" s="333">
        <f t="shared" si="204"/>
        <v>0</v>
      </c>
      <c r="D881" s="328"/>
      <c r="E881" s="328">
        <f>VLOOKUP(B881,DONGIA,DG!$B$6,0)</f>
        <v>0</v>
      </c>
      <c r="F881" s="329" t="str">
        <f>VLOOKUP(B881,DONGIA,DG!$C$6,0)</f>
        <v>Boulon 16x400VRS + 4 long đền vuông D18-50x50x3/Zn</v>
      </c>
      <c r="G881" s="328" t="str">
        <f>VLOOKUP(B881,DONGIA,DG!$D$6,0)</f>
        <v>bộ</v>
      </c>
      <c r="H881" s="329">
        <f>H876*3</f>
        <v>0</v>
      </c>
      <c r="I881" s="329">
        <f>VLOOKUP(B881,DONGIA,DG!$E$6,0)</f>
        <v>45000</v>
      </c>
      <c r="J881" s="329"/>
      <c r="K881" s="329">
        <f>VLOOKUP(B881,DONGIA,DG!$F$6,0)</f>
        <v>0</v>
      </c>
      <c r="L881" s="329">
        <f>VLOOKUP(B881,DONGIA,DG!$G$6,0)</f>
        <v>0</v>
      </c>
      <c r="M881" s="329">
        <f t="shared" si="207"/>
        <v>0</v>
      </c>
      <c r="N881" s="329">
        <f t="shared" si="207"/>
        <v>0</v>
      </c>
      <c r="O881" s="329">
        <f t="shared" si="207"/>
        <v>0</v>
      </c>
      <c r="P881" s="329">
        <f t="shared" si="207"/>
        <v>0</v>
      </c>
      <c r="Q881" s="329"/>
      <c r="S881" s="332">
        <f t="shared" si="203"/>
        <v>0.39999999999999997</v>
      </c>
      <c r="T881" s="332">
        <f t="shared" si="205"/>
        <v>0</v>
      </c>
    </row>
    <row r="882" spans="1:20" hidden="1">
      <c r="A882" s="332" t="s">
        <v>477</v>
      </c>
      <c r="B882" s="332" t="s">
        <v>35</v>
      </c>
      <c r="C882" s="333">
        <f t="shared" si="204"/>
        <v>0</v>
      </c>
      <c r="D882" s="328"/>
      <c r="E882" s="328">
        <f>VLOOKUP(B882,DONGIA,DG!$B$6,0)</f>
        <v>0</v>
      </c>
      <c r="F882" s="329" t="str">
        <f>VLOOKUP(B882,DONGIA,DG!$C$6,0)</f>
        <v>Boulon 16x300+ 2 long đền vuông D18-50x50x3/Zn</v>
      </c>
      <c r="G882" s="328" t="str">
        <f>VLOOKUP(B882,DONGIA,DG!$D$6,0)</f>
        <v>bộ</v>
      </c>
      <c r="H882" s="329">
        <f>H876</f>
        <v>0</v>
      </c>
      <c r="I882" s="329">
        <f>VLOOKUP(B882,DONGIA,DG!$E$6,0)</f>
        <v>30000</v>
      </c>
      <c r="J882" s="329"/>
      <c r="K882" s="329">
        <f>VLOOKUP(B882,DONGIA,DG!$F$6,0)</f>
        <v>0</v>
      </c>
      <c r="L882" s="329">
        <f>VLOOKUP(B882,DONGIA,DG!$G$6,0)</f>
        <v>0</v>
      </c>
      <c r="M882" s="329">
        <f t="shared" si="207"/>
        <v>0</v>
      </c>
      <c r="N882" s="329">
        <f t="shared" si="207"/>
        <v>0</v>
      </c>
      <c r="O882" s="329">
        <f t="shared" si="207"/>
        <v>0</v>
      </c>
      <c r="P882" s="329">
        <f t="shared" si="207"/>
        <v>0</v>
      </c>
      <c r="Q882" s="329"/>
      <c r="S882" s="332">
        <f t="shared" si="203"/>
        <v>0.25</v>
      </c>
      <c r="T882" s="332">
        <f t="shared" si="205"/>
        <v>0</v>
      </c>
    </row>
    <row r="883" spans="1:20" hidden="1">
      <c r="A883" s="332" t="s">
        <v>477</v>
      </c>
      <c r="B883" s="332" t="s">
        <v>27</v>
      </c>
      <c r="C883" s="333">
        <f t="shared" si="204"/>
        <v>0</v>
      </c>
      <c r="D883" s="328"/>
      <c r="E883" s="328">
        <f>VLOOKUP(B883,DONGIA,DG!$B$6,0)</f>
        <v>0</v>
      </c>
      <c r="F883" s="329" t="str">
        <f>VLOOKUP(B883,DONGIA,DG!$C$6,0)</f>
        <v>Boulon 14x120+ 2 long đền vuông D16-50x50x3/Zn</v>
      </c>
      <c r="G883" s="328" t="str">
        <f>VLOOKUP(B883,DONGIA,DG!$D$6,0)</f>
        <v>bộ</v>
      </c>
      <c r="H883" s="329">
        <f>H879</f>
        <v>0</v>
      </c>
      <c r="I883" s="329">
        <f>VLOOKUP(B883,DONGIA,DG!$E$6,0)</f>
        <v>19000</v>
      </c>
      <c r="J883" s="329"/>
      <c r="K883" s="329">
        <f>VLOOKUP(B883,DONGIA,DG!$F$6,0)</f>
        <v>0</v>
      </c>
      <c r="L883" s="329">
        <f>VLOOKUP(B883,DONGIA,DG!$G$6,0)</f>
        <v>0</v>
      </c>
      <c r="M883" s="329">
        <f t="shared" si="207"/>
        <v>0</v>
      </c>
      <c r="N883" s="329">
        <f t="shared" si="207"/>
        <v>0</v>
      </c>
      <c r="O883" s="329">
        <f t="shared" si="207"/>
        <v>0</v>
      </c>
      <c r="P883" s="329">
        <f t="shared" si="207"/>
        <v>0</v>
      </c>
      <c r="Q883" s="329"/>
      <c r="S883" s="332">
        <f t="shared" si="203"/>
        <v>0.2</v>
      </c>
      <c r="T883" s="332">
        <f t="shared" si="205"/>
        <v>0</v>
      </c>
    </row>
    <row r="884" spans="1:20" hidden="1">
      <c r="A884" s="332" t="s">
        <v>477</v>
      </c>
      <c r="B884" s="332" t="s">
        <v>620</v>
      </c>
      <c r="C884" s="333">
        <f>IF(H884&lt;&gt;0,1,)</f>
        <v>0</v>
      </c>
      <c r="D884" s="328"/>
      <c r="E884" s="328" t="str">
        <f>VLOOKUP(B884,DONGIA,DG!$B$6,0)</f>
        <v>D2.6011</v>
      </c>
      <c r="F884" s="329" t="str">
        <f>VLOOKUP(B884,DONGIA,DG!$C$6,0)</f>
        <v>Lắp đà composite 2400mm kép (KL &lt;=15kg, trụ BTLT, tính = 0.8 đà sắt)</v>
      </c>
      <c r="G884" s="328" t="str">
        <f>VLOOKUP(B884,DONGIA,DG!$D$6,0)</f>
        <v>bộ</v>
      </c>
      <c r="H884" s="329">
        <f>H880</f>
        <v>0</v>
      </c>
      <c r="I884" s="329">
        <f>VLOOKUP(B884,DONGIA,DG!$E$6,0)</f>
        <v>0</v>
      </c>
      <c r="J884" s="329"/>
      <c r="K884" s="329">
        <f>VLOOKUP(B884,DONGIA,DG!$F$6,0)</f>
        <v>134360</v>
      </c>
      <c r="L884" s="329">
        <f>VLOOKUP(B884,DONGIA,DG!$G$6,0)</f>
        <v>0</v>
      </c>
      <c r="M884" s="329">
        <f t="shared" si="207"/>
        <v>0</v>
      </c>
      <c r="N884" s="329">
        <f t="shared" si="207"/>
        <v>0</v>
      </c>
      <c r="O884" s="329">
        <f t="shared" si="207"/>
        <v>0</v>
      </c>
      <c r="P884" s="329">
        <f t="shared" si="207"/>
        <v>0</v>
      </c>
      <c r="Q884" s="329"/>
      <c r="S884" s="332">
        <f>IFERROR(VLOOKUP(B884,DONGIA,$S$25,0),0)</f>
        <v>0</v>
      </c>
      <c r="T884" s="332">
        <f>H884*S884</f>
        <v>0</v>
      </c>
    </row>
    <row r="885" spans="1:20" hidden="1">
      <c r="A885" s="332" t="s">
        <v>477</v>
      </c>
      <c r="C885" s="333">
        <f t="shared" si="204"/>
        <v>0</v>
      </c>
      <c r="D885" s="372">
        <f>IF(H885&lt;&gt;0,D876+1,D876)</f>
        <v>0</v>
      </c>
      <c r="E885" s="372"/>
      <c r="F885" s="373" t="s">
        <v>1910</v>
      </c>
      <c r="G885" s="372" t="s">
        <v>138</v>
      </c>
      <c r="H885" s="372">
        <f>TR3X375</f>
        <v>0</v>
      </c>
      <c r="I885" s="373"/>
      <c r="J885" s="373"/>
      <c r="K885" s="373"/>
      <c r="L885" s="373"/>
      <c r="M885" s="373"/>
      <c r="N885" s="373"/>
      <c r="O885" s="373"/>
      <c r="P885" s="373"/>
      <c r="Q885" s="373"/>
      <c r="S885" s="332">
        <f t="shared" si="203"/>
        <v>0</v>
      </c>
      <c r="T885" s="332">
        <f t="shared" si="205"/>
        <v>0</v>
      </c>
    </row>
    <row r="886" spans="1:20" s="361" customFormat="1" hidden="1">
      <c r="A886" s="361" t="s">
        <v>477</v>
      </c>
      <c r="C886" s="374">
        <f>C885</f>
        <v>0</v>
      </c>
      <c r="D886" s="350"/>
      <c r="E886" s="350"/>
      <c r="F886" s="351" t="s">
        <v>1902</v>
      </c>
      <c r="G886" s="350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S886" s="361">
        <f t="shared" si="203"/>
        <v>0</v>
      </c>
      <c r="T886" s="361">
        <f t="shared" si="205"/>
        <v>0</v>
      </c>
    </row>
    <row r="887" spans="1:20" hidden="1">
      <c r="A887" s="332" t="s">
        <v>477</v>
      </c>
      <c r="B887" s="332" t="s">
        <v>1060</v>
      </c>
      <c r="C887" s="333">
        <f t="shared" si="204"/>
        <v>0</v>
      </c>
      <c r="D887" s="328"/>
      <c r="E887" s="328" t="str">
        <f>VLOOKUP(B887,DONGIA,DG!$B$6,0)</f>
        <v>T4.9302</v>
      </c>
      <c r="F887" s="329" t="str">
        <f>VLOOKUP(B887,DONGIA,DG!$C$6,0)</f>
        <v>Gía chùm treo máy biến áp 3x50</v>
      </c>
      <c r="G887" s="328" t="str">
        <f>VLOOKUP(B887,DONGIA,DG!$D$6,0)</f>
        <v>Bộ</v>
      </c>
      <c r="H887" s="329">
        <f>H885</f>
        <v>0</v>
      </c>
      <c r="I887" s="329">
        <f>VLOOKUP(B887,DONGIA,DG!$E$6,0)</f>
        <v>1950000</v>
      </c>
      <c r="J887" s="329"/>
      <c r="K887" s="329">
        <f>VLOOKUP(B887,DONGIA,DG!$F$6,0)</f>
        <v>103615.056</v>
      </c>
      <c r="L887" s="329">
        <f>VLOOKUP(B887,DONGIA,DG!$G$6,0)</f>
        <v>0</v>
      </c>
      <c r="M887" s="329">
        <f t="shared" ref="M887:P889" si="208">$H887*I887</f>
        <v>0</v>
      </c>
      <c r="N887" s="329">
        <f t="shared" si="208"/>
        <v>0</v>
      </c>
      <c r="O887" s="329">
        <f t="shared" si="208"/>
        <v>0</v>
      </c>
      <c r="P887" s="329">
        <f t="shared" si="208"/>
        <v>0</v>
      </c>
      <c r="Q887" s="329"/>
      <c r="S887" s="332">
        <f t="shared" si="203"/>
        <v>38</v>
      </c>
      <c r="T887" s="332">
        <f t="shared" si="205"/>
        <v>0</v>
      </c>
    </row>
    <row r="888" spans="1:20" hidden="1">
      <c r="A888" s="332" t="s">
        <v>477</v>
      </c>
      <c r="B888" s="332" t="s">
        <v>37</v>
      </c>
      <c r="C888" s="333">
        <f t="shared" si="204"/>
        <v>0</v>
      </c>
      <c r="D888" s="328"/>
      <c r="E888" s="328">
        <f>VLOOKUP(B888,DONGIA,DG!$B$6,0)</f>
        <v>0</v>
      </c>
      <c r="F888" s="329" t="str">
        <f>VLOOKUP(B888,DONGIA,DG!$C$6,0)</f>
        <v>Boulon 16x350+ 2 long đền vuông D18-50x50x3/Zn</v>
      </c>
      <c r="G888" s="328" t="str">
        <f>VLOOKUP(B888,DONGIA,DG!$D$6,0)</f>
        <v>bộ</v>
      </c>
      <c r="H888" s="329">
        <f>H885*2</f>
        <v>0</v>
      </c>
      <c r="I888" s="329">
        <f>VLOOKUP(B888,DONGIA,DG!$E$6,0)</f>
        <v>32000</v>
      </c>
      <c r="J888" s="329"/>
      <c r="K888" s="329">
        <f>VLOOKUP(B888,DONGIA,DG!$F$6,0)</f>
        <v>0</v>
      </c>
      <c r="L888" s="329">
        <f>VLOOKUP(B888,DONGIA,DG!$G$6,0)</f>
        <v>0</v>
      </c>
      <c r="M888" s="329">
        <f t="shared" si="208"/>
        <v>0</v>
      </c>
      <c r="N888" s="329">
        <f t="shared" si="208"/>
        <v>0</v>
      </c>
      <c r="O888" s="329">
        <f t="shared" si="208"/>
        <v>0</v>
      </c>
      <c r="P888" s="329">
        <f t="shared" si="208"/>
        <v>0</v>
      </c>
      <c r="Q888" s="329"/>
      <c r="S888" s="332">
        <f t="shared" si="203"/>
        <v>0.3</v>
      </c>
      <c r="T888" s="332">
        <f t="shared" si="205"/>
        <v>0</v>
      </c>
    </row>
    <row r="889" spans="1:20" hidden="1">
      <c r="A889" s="332" t="s">
        <v>477</v>
      </c>
      <c r="B889" s="332" t="s">
        <v>29</v>
      </c>
      <c r="C889" s="333">
        <f t="shared" si="204"/>
        <v>0</v>
      </c>
      <c r="D889" s="328"/>
      <c r="E889" s="328">
        <f>VLOOKUP(B889,DONGIA,DG!$B$6,0)</f>
        <v>0</v>
      </c>
      <c r="F889" s="329" t="str">
        <f>VLOOKUP(B889,DONGIA,DG!$C$6,0)</f>
        <v>Boulon 16x50+ 2 long đền vuông D18-50x50x3/Zn</v>
      </c>
      <c r="G889" s="328" t="str">
        <f>VLOOKUP(B889,DONGIA,DG!$D$6,0)</f>
        <v>bộ</v>
      </c>
      <c r="H889" s="329">
        <f>H885*6</f>
        <v>0</v>
      </c>
      <c r="I889" s="329">
        <f>VLOOKUP(B889,DONGIA,DG!$E$6,0)</f>
        <v>17000</v>
      </c>
      <c r="J889" s="329"/>
      <c r="K889" s="329">
        <f>VLOOKUP(B889,DONGIA,DG!$F$6,0)</f>
        <v>0</v>
      </c>
      <c r="L889" s="329">
        <f>VLOOKUP(B889,DONGIA,DG!$G$6,0)</f>
        <v>0</v>
      </c>
      <c r="M889" s="329">
        <f t="shared" si="208"/>
        <v>0</v>
      </c>
      <c r="N889" s="329">
        <f t="shared" si="208"/>
        <v>0</v>
      </c>
      <c r="O889" s="329">
        <f t="shared" si="208"/>
        <v>0</v>
      </c>
      <c r="P889" s="329">
        <f t="shared" si="208"/>
        <v>0</v>
      </c>
      <c r="Q889" s="329"/>
      <c r="S889" s="332">
        <f t="shared" si="203"/>
        <v>0.25</v>
      </c>
      <c r="T889" s="332">
        <f t="shared" si="205"/>
        <v>0</v>
      </c>
    </row>
    <row r="890" spans="1:20" hidden="1">
      <c r="A890" s="332" t="s">
        <v>477</v>
      </c>
      <c r="C890" s="333">
        <f t="shared" si="204"/>
        <v>0</v>
      </c>
      <c r="D890" s="372">
        <f>IF(H890&lt;&gt;0,D885+1,D885)</f>
        <v>0</v>
      </c>
      <c r="E890" s="372"/>
      <c r="F890" s="373" t="s">
        <v>1942</v>
      </c>
      <c r="G890" s="372" t="s">
        <v>138</v>
      </c>
      <c r="H890" s="372">
        <f>TR3X375</f>
        <v>0</v>
      </c>
      <c r="I890" s="373"/>
      <c r="J890" s="373"/>
      <c r="K890" s="373"/>
      <c r="L890" s="373"/>
      <c r="M890" s="373"/>
      <c r="N890" s="373"/>
      <c r="O890" s="373"/>
      <c r="P890" s="373"/>
      <c r="Q890" s="373"/>
      <c r="S890" s="332">
        <f t="shared" si="203"/>
        <v>0</v>
      </c>
      <c r="T890" s="332">
        <f t="shared" si="205"/>
        <v>0</v>
      </c>
    </row>
    <row r="891" spans="1:20" s="361" customFormat="1" hidden="1">
      <c r="A891" s="361" t="s">
        <v>477</v>
      </c>
      <c r="C891" s="374">
        <f>C890</f>
        <v>0</v>
      </c>
      <c r="D891" s="350"/>
      <c r="E891" s="350"/>
      <c r="F891" s="351" t="s">
        <v>1902</v>
      </c>
      <c r="G891" s="350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S891" s="361">
        <f t="shared" si="203"/>
        <v>0</v>
      </c>
      <c r="T891" s="361">
        <f t="shared" si="205"/>
        <v>0</v>
      </c>
    </row>
    <row r="892" spans="1:20" hidden="1">
      <c r="A892" s="332" t="s">
        <v>477</v>
      </c>
      <c r="B892" s="332" t="s">
        <v>144</v>
      </c>
      <c r="C892" s="333">
        <f t="shared" si="204"/>
        <v>0</v>
      </c>
      <c r="D892" s="328"/>
      <c r="E892" s="328">
        <f>VLOOKUP(B892,DONGIA,DG!$B$6,0)</f>
        <v>0</v>
      </c>
      <c r="F892" s="329" t="str">
        <f>VLOOKUP(B892,DONGIA,DG!$C$6,0)&amp;" ("&amp;TDTR3P&amp;" mét/trạm)"</f>
        <v>Cáp đồng trần M25mm2 (61 mét/trạm)</v>
      </c>
      <c r="G892" s="328" t="str">
        <f>VLOOKUP(B892,DONGIA,DG!$D$6,0)</f>
        <v>kg</v>
      </c>
      <c r="H892" s="442">
        <f>TDTR3P*0.224*H890</f>
        <v>0</v>
      </c>
      <c r="I892" s="329">
        <f>VLOOKUP(B892,DONGIA,DG!$E$6,0)</f>
        <v>201380</v>
      </c>
      <c r="J892" s="329"/>
      <c r="K892" s="329">
        <f>VLOOKUP(B892,DONGIA,DG!$F$6,0)</f>
        <v>0</v>
      </c>
      <c r="L892" s="329">
        <f>VLOOKUP(B892,DONGIA,DG!$G$6,0)</f>
        <v>0</v>
      </c>
      <c r="M892" s="329">
        <f>$H892*I892</f>
        <v>0</v>
      </c>
      <c r="N892" s="329">
        <f>$H892*J892</f>
        <v>0</v>
      </c>
      <c r="O892" s="329">
        <f>$H892*K892</f>
        <v>0</v>
      </c>
      <c r="P892" s="329">
        <f>$H892*L892</f>
        <v>0</v>
      </c>
      <c r="Q892" s="329"/>
      <c r="S892" s="332">
        <f t="shared" si="203"/>
        <v>1</v>
      </c>
      <c r="T892" s="332">
        <f t="shared" si="205"/>
        <v>0</v>
      </c>
    </row>
    <row r="893" spans="1:20" hidden="1">
      <c r="A893" s="332" t="s">
        <v>477</v>
      </c>
      <c r="B893" s="332" t="s">
        <v>278</v>
      </c>
      <c r="C893" s="333">
        <f t="shared" si="204"/>
        <v>0</v>
      </c>
      <c r="D893" s="328"/>
      <c r="E893" s="328">
        <f>VLOOKUP(B893,DONGIA,DG!$B$6,0)</f>
        <v>0</v>
      </c>
      <c r="F893" s="329" t="str">
        <f>VLOOKUP(B893,DONGIA,DG!$C$6,0)</f>
        <v>Cọc tiếp đất φ16 - 2,4m (mạ đồng 16µm)</v>
      </c>
      <c r="G893" s="328" t="str">
        <f>VLOOKUP(B893,DONGIA,DG!$D$6,0)</f>
        <v>cọc</v>
      </c>
      <c r="H893" s="329">
        <f>H890*9</f>
        <v>0</v>
      </c>
      <c r="I893" s="329">
        <f>VLOOKUP(B893,DONGIA,DG!$E$6,0)</f>
        <v>130000</v>
      </c>
      <c r="J893" s="329"/>
      <c r="K893" s="329">
        <f>VLOOKUP(B893,DONGIA,DG!$F$6,0)</f>
        <v>0</v>
      </c>
      <c r="L893" s="329">
        <f>VLOOKUP(B893,DONGIA,DG!$G$6,0)</f>
        <v>0</v>
      </c>
      <c r="M893" s="329">
        <f t="shared" ref="M893:M899" si="209">$H893*I893</f>
        <v>0</v>
      </c>
      <c r="N893" s="329">
        <f t="shared" ref="N893:N899" si="210">$H893*J893</f>
        <v>0</v>
      </c>
      <c r="O893" s="329">
        <f t="shared" ref="O893:O899" si="211">$H893*K893</f>
        <v>0</v>
      </c>
      <c r="P893" s="329">
        <f t="shared" ref="P893:P899" si="212">$H893*L893</f>
        <v>0</v>
      </c>
      <c r="Q893" s="329"/>
      <c r="S893" s="332">
        <f t="shared" si="203"/>
        <v>5.3</v>
      </c>
      <c r="T893" s="332">
        <f t="shared" si="205"/>
        <v>0</v>
      </c>
    </row>
    <row r="894" spans="1:20" hidden="1">
      <c r="A894" s="332" t="s">
        <v>477</v>
      </c>
      <c r="B894" s="332" t="s">
        <v>280</v>
      </c>
      <c r="C894" s="333">
        <f t="shared" si="204"/>
        <v>0</v>
      </c>
      <c r="D894" s="328"/>
      <c r="E894" s="328">
        <f>VLOOKUP(B894,DONGIA,DG!$B$6,0)</f>
        <v>0</v>
      </c>
      <c r="F894" s="329" t="str">
        <f>VLOOKUP(B894,DONGIA,DG!$C$6,0)</f>
        <v>Kẹp cọc tiếp địa</v>
      </c>
      <c r="G894" s="328" t="str">
        <f>VLOOKUP(B894,DONGIA,DG!$D$6,0)</f>
        <v>bộ</v>
      </c>
      <c r="H894" s="329">
        <f>H893</f>
        <v>0</v>
      </c>
      <c r="I894" s="329">
        <f>VLOOKUP(B894,DONGIA,DG!$E$6,0)</f>
        <v>25000</v>
      </c>
      <c r="J894" s="329"/>
      <c r="K894" s="329">
        <f>VLOOKUP(B894,DONGIA,DG!$F$6,0)</f>
        <v>0</v>
      </c>
      <c r="L894" s="329">
        <f>VLOOKUP(B894,DONGIA,DG!$G$6,0)</f>
        <v>0</v>
      </c>
      <c r="M894" s="329">
        <f t="shared" si="209"/>
        <v>0</v>
      </c>
      <c r="N894" s="329">
        <f t="shared" si="210"/>
        <v>0</v>
      </c>
      <c r="O894" s="329">
        <f t="shared" si="211"/>
        <v>0</v>
      </c>
      <c r="P894" s="329">
        <f t="shared" si="212"/>
        <v>0</v>
      </c>
      <c r="Q894" s="329"/>
      <c r="S894" s="332">
        <f t="shared" si="203"/>
        <v>0.05</v>
      </c>
      <c r="T894" s="332">
        <f t="shared" si="205"/>
        <v>0</v>
      </c>
    </row>
    <row r="895" spans="1:20" hidden="1">
      <c r="A895" s="332" t="s">
        <v>477</v>
      </c>
      <c r="B895" s="332" t="s">
        <v>1217</v>
      </c>
      <c r="C895" s="333">
        <f t="shared" si="204"/>
        <v>0</v>
      </c>
      <c r="D895" s="328"/>
      <c r="E895" s="328">
        <f>VLOOKUP(B895,DONGIA,DG!$B$6,0)</f>
        <v>0</v>
      </c>
      <c r="F895" s="329" t="str">
        <f>VLOOKUP(B895,DONGIA,DG!$C$6,0)</f>
        <v xml:space="preserve">Ốc xiết cáp cỡ 38mm2 </v>
      </c>
      <c r="G895" s="328" t="str">
        <f>VLOOKUP(B895,DONGIA,DG!$D$6,0)</f>
        <v>cái</v>
      </c>
      <c r="H895" s="329">
        <f>H890*6</f>
        <v>0</v>
      </c>
      <c r="I895" s="329">
        <f>VLOOKUP(B895,DONGIA,DG!$E$6,0)</f>
        <v>18000</v>
      </c>
      <c r="J895" s="329"/>
      <c r="K895" s="329">
        <f>VLOOKUP(B895,DONGIA,DG!$F$6,0)</f>
        <v>0</v>
      </c>
      <c r="L895" s="329">
        <f>VLOOKUP(B895,DONGIA,DG!$G$6,0)</f>
        <v>0</v>
      </c>
      <c r="M895" s="329">
        <f t="shared" si="209"/>
        <v>0</v>
      </c>
      <c r="N895" s="329">
        <f t="shared" si="210"/>
        <v>0</v>
      </c>
      <c r="O895" s="329">
        <f t="shared" si="211"/>
        <v>0</v>
      </c>
      <c r="P895" s="329">
        <f t="shared" si="212"/>
        <v>0</v>
      </c>
      <c r="Q895" s="329"/>
      <c r="S895" s="332">
        <f t="shared" si="203"/>
        <v>0</v>
      </c>
      <c r="T895" s="332">
        <f t="shared" si="205"/>
        <v>0</v>
      </c>
    </row>
    <row r="896" spans="1:20" hidden="1">
      <c r="A896" s="332" t="s">
        <v>477</v>
      </c>
      <c r="B896" s="332" t="s">
        <v>573</v>
      </c>
      <c r="C896" s="333">
        <f t="shared" si="204"/>
        <v>0</v>
      </c>
      <c r="D896" s="328"/>
      <c r="E896" s="328" t="str">
        <f>VLOOKUP(B896,DONGIA,DG!$B$6,0)</f>
        <v>T4.7001</v>
      </c>
      <c r="F896" s="329" t="str">
        <f>VLOOKUP(B896,DONGIA,DG!$C$6,0)</f>
        <v>Kéo dây tiếp địa trong TBA</v>
      </c>
      <c r="G896" s="328" t="str">
        <f>VLOOKUP(B896,DONGIA,DG!$D$6,0)</f>
        <v>mét</v>
      </c>
      <c r="H896" s="329">
        <f>H892/0.224</f>
        <v>0</v>
      </c>
      <c r="I896" s="329">
        <f>VLOOKUP(B896,DONGIA,DG!$E$6,0)</f>
        <v>0</v>
      </c>
      <c r="J896" s="329"/>
      <c r="K896" s="329">
        <f>VLOOKUP(B896,DONGIA,DG!$F$6,0)</f>
        <v>6871</v>
      </c>
      <c r="L896" s="329">
        <f>VLOOKUP(B896,DONGIA,DG!$G$6,0)</f>
        <v>0</v>
      </c>
      <c r="M896" s="329">
        <f t="shared" si="209"/>
        <v>0</v>
      </c>
      <c r="N896" s="329">
        <f t="shared" si="210"/>
        <v>0</v>
      </c>
      <c r="O896" s="329">
        <f t="shared" si="211"/>
        <v>0</v>
      </c>
      <c r="P896" s="329">
        <f t="shared" si="212"/>
        <v>0</v>
      </c>
      <c r="Q896" s="329"/>
      <c r="S896" s="332">
        <f t="shared" si="203"/>
        <v>0</v>
      </c>
      <c r="T896" s="332">
        <f t="shared" si="205"/>
        <v>0</v>
      </c>
    </row>
    <row r="897" spans="1:20" hidden="1">
      <c r="A897" s="332" t="s">
        <v>477</v>
      </c>
      <c r="B897" s="332" t="s">
        <v>581</v>
      </c>
      <c r="C897" s="333">
        <f t="shared" si="204"/>
        <v>0</v>
      </c>
      <c r="D897" s="328"/>
      <c r="E897" s="328" t="str">
        <f>VLOOKUP(B897,DONGIA,DG!$B$6,0)</f>
        <v>D2.8103</v>
      </c>
      <c r="F897" s="329" t="str">
        <f>VLOOKUP(B897,DONGIA,DG!$C$6,0)</f>
        <v>Đóng cọc tiếp địa trong TBA (đất cấp 3)</v>
      </c>
      <c r="G897" s="328" t="str">
        <f>VLOOKUP(B897,DONGIA,DG!$D$6,0)</f>
        <v>cọc</v>
      </c>
      <c r="H897" s="329">
        <f>H893</f>
        <v>0</v>
      </c>
      <c r="I897" s="329">
        <f>VLOOKUP(B897,DONGIA,DG!$E$6,0)</f>
        <v>0</v>
      </c>
      <c r="J897" s="329"/>
      <c r="K897" s="329">
        <f>VLOOKUP(B897,DONGIA,DG!$F$6,0)</f>
        <v>76928</v>
      </c>
      <c r="L897" s="329">
        <f>VLOOKUP(B897,DONGIA,DG!$G$6,0)</f>
        <v>0</v>
      </c>
      <c r="M897" s="329">
        <f t="shared" si="209"/>
        <v>0</v>
      </c>
      <c r="N897" s="329">
        <f t="shared" si="210"/>
        <v>0</v>
      </c>
      <c r="O897" s="329">
        <f t="shared" si="211"/>
        <v>0</v>
      </c>
      <c r="P897" s="329">
        <f t="shared" si="212"/>
        <v>0</v>
      </c>
      <c r="Q897" s="329"/>
      <c r="S897" s="332">
        <f t="shared" si="203"/>
        <v>0</v>
      </c>
      <c r="T897" s="332">
        <f t="shared" si="205"/>
        <v>0</v>
      </c>
    </row>
    <row r="898" spans="1:20" hidden="1">
      <c r="A898" s="332" t="s">
        <v>477</v>
      </c>
      <c r="B898" s="332" t="s">
        <v>540</v>
      </c>
      <c r="C898" s="333">
        <f t="shared" si="204"/>
        <v>0</v>
      </c>
      <c r="D898" s="328"/>
      <c r="E898" s="328" t="str">
        <f>VLOOKUP(B898,DONGIA,DG!$B$6,0)</f>
        <v>AB.11513</v>
      </c>
      <c r="F898" s="362" t="str">
        <f>VLOOKUP(B898,DONGIA,DG!$C$6,0)&amp;" (ĐC hệ số 0,9)"</f>
        <v>Đào rãnh tiếp địa đất cấp 3 (ĐC hệ số 0,9)</v>
      </c>
      <c r="G898" s="328" t="str">
        <f>VLOOKUP(B898,DONGIA,DG!$D$6,0)</f>
        <v>m3</v>
      </c>
      <c r="H898" s="442">
        <f>H890*DAOTD</f>
        <v>0</v>
      </c>
      <c r="I898" s="329">
        <f>VLOOKUP(B898,DONGIA,DG!$E$6,0)</f>
        <v>0</v>
      </c>
      <c r="J898" s="329"/>
      <c r="K898" s="362">
        <f>ROUND(VLOOKUP(B898,DONGIA,DG!$F$6,0)/NCTBA,0)</f>
        <v>241580</v>
      </c>
      <c r="L898" s="329">
        <f>VLOOKUP(B898,DONGIA,DG!$G$6,0)</f>
        <v>0</v>
      </c>
      <c r="M898" s="329">
        <f t="shared" si="209"/>
        <v>0</v>
      </c>
      <c r="N898" s="329">
        <f t="shared" si="210"/>
        <v>0</v>
      </c>
      <c r="O898" s="329">
        <f t="shared" si="211"/>
        <v>0</v>
      </c>
      <c r="P898" s="329">
        <f t="shared" si="212"/>
        <v>0</v>
      </c>
      <c r="Q898" s="329"/>
      <c r="S898" s="332">
        <f t="shared" si="203"/>
        <v>0</v>
      </c>
      <c r="T898" s="332">
        <f t="shared" si="205"/>
        <v>0</v>
      </c>
    </row>
    <row r="899" spans="1:20" hidden="1">
      <c r="A899" s="332" t="s">
        <v>477</v>
      </c>
      <c r="B899" s="332" t="s">
        <v>547</v>
      </c>
      <c r="C899" s="333">
        <f t="shared" si="204"/>
        <v>0</v>
      </c>
      <c r="D899" s="328"/>
      <c r="E899" s="328" t="str">
        <f>VLOOKUP(B899,DONGIA,DG!$B$6,0)</f>
        <v>AB.65110</v>
      </c>
      <c r="F899" s="362" t="str">
        <f>VLOOKUP(B899,DONGIA,DG!$C$6,0)&amp;" (ĐC hệ số 0,9)"</f>
        <v>Đắp đất rãnh tiếp địa (K=0,85) (ĐC hệ số 0,9)</v>
      </c>
      <c r="G899" s="328" t="str">
        <f>VLOOKUP(B899,DONGIA,DG!$D$6,0)</f>
        <v>m3</v>
      </c>
      <c r="H899" s="442">
        <f>H898</f>
        <v>0</v>
      </c>
      <c r="I899" s="329">
        <f>VLOOKUP(B899,DONGIA,DG!$E$6,0)</f>
        <v>0</v>
      </c>
      <c r="J899" s="329"/>
      <c r="K899" s="362">
        <f>ROUND(VLOOKUP(B899,DONGIA,DG!$F$6,0)/NCTBA,0)</f>
        <v>16267</v>
      </c>
      <c r="L899" s="329">
        <f>VLOOKUP(B899,DONGIA,DG!$G$6,0)</f>
        <v>11176</v>
      </c>
      <c r="M899" s="329">
        <f t="shared" si="209"/>
        <v>0</v>
      </c>
      <c r="N899" s="329">
        <f t="shared" si="210"/>
        <v>0</v>
      </c>
      <c r="O899" s="329">
        <f t="shared" si="211"/>
        <v>0</v>
      </c>
      <c r="P899" s="329">
        <f t="shared" si="212"/>
        <v>0</v>
      </c>
      <c r="Q899" s="329"/>
      <c r="S899" s="332">
        <f t="shared" si="203"/>
        <v>0</v>
      </c>
      <c r="T899" s="332">
        <f t="shared" si="205"/>
        <v>0</v>
      </c>
    </row>
    <row r="900" spans="1:20" hidden="1">
      <c r="A900" s="332" t="s">
        <v>477</v>
      </c>
      <c r="C900" s="333">
        <f t="shared" si="204"/>
        <v>0</v>
      </c>
      <c r="D900" s="372">
        <f>IF(H900&lt;&gt;0,D890+1,D890)</f>
        <v>0</v>
      </c>
      <c r="E900" s="372"/>
      <c r="F900" s="373" t="s">
        <v>1934</v>
      </c>
      <c r="G900" s="372" t="s">
        <v>138</v>
      </c>
      <c r="H900" s="372">
        <f>TR3X375</f>
        <v>0</v>
      </c>
      <c r="I900" s="373"/>
      <c r="J900" s="373"/>
      <c r="K900" s="373"/>
      <c r="L900" s="373"/>
      <c r="M900" s="373"/>
      <c r="N900" s="373"/>
      <c r="O900" s="373"/>
      <c r="P900" s="373"/>
      <c r="Q900" s="373"/>
      <c r="S900" s="332">
        <f t="shared" si="203"/>
        <v>0</v>
      </c>
      <c r="T900" s="332">
        <f t="shared" si="205"/>
        <v>0</v>
      </c>
    </row>
    <row r="901" spans="1:20" s="361" customFormat="1" hidden="1">
      <c r="A901" s="361" t="s">
        <v>477</v>
      </c>
      <c r="C901" s="374">
        <f>C900</f>
        <v>0</v>
      </c>
      <c r="D901" s="350"/>
      <c r="E901" s="350"/>
      <c r="F901" s="351" t="s">
        <v>1902</v>
      </c>
      <c r="G901" s="350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S901" s="361">
        <f t="shared" si="203"/>
        <v>0</v>
      </c>
      <c r="T901" s="361">
        <f t="shared" si="205"/>
        <v>0</v>
      </c>
    </row>
    <row r="902" spans="1:20" hidden="1">
      <c r="A902" s="332" t="s">
        <v>477</v>
      </c>
      <c r="B902" s="332" t="s">
        <v>1913</v>
      </c>
      <c r="C902" s="333">
        <f t="shared" si="204"/>
        <v>0</v>
      </c>
      <c r="D902" s="328"/>
      <c r="E902" s="328" t="str">
        <f>VLOOKUP(B902,DONGIA,DG!$B$6,0)</f>
        <v>T5.1002</v>
      </c>
      <c r="F902" s="329" t="str">
        <f>VLOOKUP(B902,DONGIA,DG!$C$6,0)</f>
        <v>Tủ trạm treo + khóa + boulon + Bakelit + Collier (3 pha)</v>
      </c>
      <c r="G902" s="328" t="str">
        <f>VLOOKUP(B902,DONGIA,DG!$D$6,0)</f>
        <v>bộ</v>
      </c>
      <c r="H902" s="329">
        <f>H900</f>
        <v>0</v>
      </c>
      <c r="I902" s="329">
        <f>VLOOKUP(B902,DONGIA,DG!$E$6,0)</f>
        <v>5446000</v>
      </c>
      <c r="J902" s="329"/>
      <c r="K902" s="329">
        <f>VLOOKUP(B902,DONGIA,DG!$F$6,0)</f>
        <v>743230</v>
      </c>
      <c r="L902" s="329">
        <f>VLOOKUP(B902,DONGIA,DG!$G$6,0)</f>
        <v>111154</v>
      </c>
      <c r="M902" s="329">
        <f>$H902*I902</f>
        <v>0</v>
      </c>
      <c r="N902" s="329">
        <f>$H902*J902</f>
        <v>0</v>
      </c>
      <c r="O902" s="329">
        <f>$H902*K902</f>
        <v>0</v>
      </c>
      <c r="P902" s="329">
        <f>$H902*L902</f>
        <v>0</v>
      </c>
      <c r="Q902" s="329"/>
      <c r="S902" s="332">
        <f t="shared" si="203"/>
        <v>45</v>
      </c>
      <c r="T902" s="332">
        <f t="shared" si="205"/>
        <v>0</v>
      </c>
    </row>
    <row r="903" spans="1:20" hidden="1">
      <c r="C903" s="333">
        <f t="shared" si="204"/>
        <v>0</v>
      </c>
      <c r="D903" s="372">
        <f>IF(H903&lt;&gt;0,D900+1,D900)</f>
        <v>0</v>
      </c>
      <c r="E903" s="372"/>
      <c r="F903" s="373" t="s">
        <v>1935</v>
      </c>
      <c r="G903" s="372" t="s">
        <v>138</v>
      </c>
      <c r="H903" s="372">
        <f>TR3X375</f>
        <v>0</v>
      </c>
      <c r="I903" s="373"/>
      <c r="J903" s="373"/>
      <c r="K903" s="373"/>
      <c r="L903" s="373"/>
      <c r="M903" s="373"/>
      <c r="N903" s="373"/>
      <c r="O903" s="373"/>
      <c r="P903" s="373"/>
      <c r="Q903" s="373"/>
      <c r="S903" s="332">
        <f t="shared" si="203"/>
        <v>0</v>
      </c>
      <c r="T903" s="332">
        <f t="shared" si="205"/>
        <v>0</v>
      </c>
    </row>
    <row r="904" spans="1:20" s="361" customFormat="1" hidden="1">
      <c r="C904" s="374">
        <f>C903</f>
        <v>0</v>
      </c>
      <c r="D904" s="350"/>
      <c r="E904" s="350"/>
      <c r="F904" s="351" t="s">
        <v>1902</v>
      </c>
      <c r="G904" s="350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S904" s="361">
        <f t="shared" si="203"/>
        <v>0</v>
      </c>
      <c r="T904" s="361">
        <f t="shared" si="205"/>
        <v>0</v>
      </c>
    </row>
    <row r="905" spans="1:20" hidden="1">
      <c r="B905" s="332" t="s">
        <v>1468</v>
      </c>
      <c r="C905" s="333">
        <f t="shared" si="204"/>
        <v>0</v>
      </c>
      <c r="D905" s="328"/>
      <c r="E905" s="328">
        <f>VLOOKUP(B905,DONGIA,DG!$B$6,0)</f>
        <v>0</v>
      </c>
      <c r="F905" s="329" t="str">
        <f>VLOOKUP(B905,DONGIA,DG!$C$6,0)</f>
        <v>Cáp 24KV C/XLPE/PVC 25mm2</v>
      </c>
      <c r="G905" s="328" t="str">
        <f>VLOOKUP(B905,DONGIA,DG!$D$6,0)</f>
        <v>mét</v>
      </c>
      <c r="H905" s="329">
        <f>H903*12</f>
        <v>0</v>
      </c>
      <c r="I905" s="329">
        <f>VLOOKUP(B905,DONGIA,DG!$E$6,0)</f>
        <v>87540</v>
      </c>
      <c r="J905" s="329"/>
      <c r="K905" s="329">
        <f>VLOOKUP(B905,DONGIA,DG!$F$6,0)</f>
        <v>0</v>
      </c>
      <c r="L905" s="329">
        <f>VLOOKUP(B905,DONGIA,DG!$G$6,0)</f>
        <v>0</v>
      </c>
      <c r="M905" s="329">
        <f t="shared" ref="M905:P909" si="213">$H905*I905</f>
        <v>0</v>
      </c>
      <c r="N905" s="329">
        <f t="shared" si="213"/>
        <v>0</v>
      </c>
      <c r="O905" s="329">
        <f t="shared" si="213"/>
        <v>0</v>
      </c>
      <c r="P905" s="329">
        <f t="shared" si="213"/>
        <v>0</v>
      </c>
      <c r="Q905" s="329"/>
      <c r="S905" s="332">
        <f t="shared" si="203"/>
        <v>0.75</v>
      </c>
      <c r="T905" s="332">
        <f t="shared" si="205"/>
        <v>0</v>
      </c>
    </row>
    <row r="906" spans="1:20" hidden="1">
      <c r="B906" s="332" t="s">
        <v>1507</v>
      </c>
      <c r="C906" s="333">
        <f t="shared" si="204"/>
        <v>0</v>
      </c>
      <c r="D906" s="328"/>
      <c r="E906" s="328"/>
      <c r="F906" s="329" t="str">
        <f>VLOOKUP(B906,DONGIA,DG!$C$6,0)</f>
        <v>Kẹp quai 4/0 (quai đồng 8mm)</v>
      </c>
      <c r="G906" s="328" t="str">
        <f>VLOOKUP(B906,DONGIA,DG!$D$6,0)</f>
        <v>cái</v>
      </c>
      <c r="H906" s="329">
        <f>H903*3</f>
        <v>0</v>
      </c>
      <c r="I906" s="329">
        <f>VLOOKUP(B906,DONGIA,DG!$E$6,0)</f>
        <v>145000</v>
      </c>
      <c r="J906" s="329"/>
      <c r="K906" s="329"/>
      <c r="L906" s="329">
        <f>VLOOKUP(B906,DONGIA,DG!$G$6,0)</f>
        <v>0</v>
      </c>
      <c r="M906" s="329">
        <f t="shared" si="213"/>
        <v>0</v>
      </c>
      <c r="N906" s="329">
        <f t="shared" si="213"/>
        <v>0</v>
      </c>
      <c r="O906" s="329">
        <f t="shared" si="213"/>
        <v>0</v>
      </c>
      <c r="P906" s="329">
        <f t="shared" si="213"/>
        <v>0</v>
      </c>
      <c r="Q906" s="329"/>
      <c r="S906" s="332">
        <f t="shared" si="203"/>
        <v>0.3</v>
      </c>
      <c r="T906" s="332">
        <f t="shared" si="205"/>
        <v>0</v>
      </c>
    </row>
    <row r="907" spans="1:20" hidden="1">
      <c r="B907" s="332" t="s">
        <v>1511</v>
      </c>
      <c r="C907" s="333">
        <f t="shared" si="204"/>
        <v>0</v>
      </c>
      <c r="D907" s="328"/>
      <c r="E907" s="328"/>
      <c r="F907" s="329" t="str">
        <f>VLOOKUP(B907,DONGIA,DG!$C$6,0)</f>
        <v>Chụp cách điện kẹp quai</v>
      </c>
      <c r="G907" s="328" t="str">
        <f>VLOOKUP(B907,DONGIA,DG!$D$6,0)</f>
        <v>cái</v>
      </c>
      <c r="H907" s="329">
        <f>H906</f>
        <v>0</v>
      </c>
      <c r="I907" s="329">
        <f>VLOOKUP(B907,DONGIA,DG!$E$6,0)</f>
        <v>122000</v>
      </c>
      <c r="J907" s="329"/>
      <c r="K907" s="329"/>
      <c r="L907" s="329">
        <f>VLOOKUP(B907,DONGIA,DG!$G$6,0)</f>
        <v>0</v>
      </c>
      <c r="M907" s="329">
        <f t="shared" si="213"/>
        <v>0</v>
      </c>
      <c r="N907" s="329">
        <f t="shared" si="213"/>
        <v>0</v>
      </c>
      <c r="O907" s="329">
        <f t="shared" si="213"/>
        <v>0</v>
      </c>
      <c r="P907" s="329">
        <f t="shared" si="213"/>
        <v>0</v>
      </c>
      <c r="Q907" s="329"/>
      <c r="S907" s="332">
        <f t="shared" si="203"/>
        <v>0.2</v>
      </c>
      <c r="T907" s="332">
        <f t="shared" si="205"/>
        <v>0</v>
      </c>
    </row>
    <row r="908" spans="1:20" hidden="1">
      <c r="B908" s="332" t="s">
        <v>1508</v>
      </c>
      <c r="C908" s="333">
        <f t="shared" si="204"/>
        <v>0</v>
      </c>
      <c r="D908" s="328"/>
      <c r="E908" s="328"/>
      <c r="F908" s="329" t="str">
        <f>VLOOKUP(B908,DONGIA,DG!$C$6,0)</f>
        <v>Kẹp hotline 2/0</v>
      </c>
      <c r="G908" s="328" t="str">
        <f>VLOOKUP(B908,DONGIA,DG!$D$6,0)</f>
        <v>cái</v>
      </c>
      <c r="H908" s="329">
        <f>H906</f>
        <v>0</v>
      </c>
      <c r="I908" s="329">
        <f>VLOOKUP(B908,DONGIA,DG!$E$6,0)</f>
        <v>68000</v>
      </c>
      <c r="J908" s="329"/>
      <c r="K908" s="329"/>
      <c r="L908" s="329">
        <f>VLOOKUP(B908,DONGIA,DG!$G$6,0)</f>
        <v>0</v>
      </c>
      <c r="M908" s="329">
        <f t="shared" si="213"/>
        <v>0</v>
      </c>
      <c r="N908" s="329">
        <f t="shared" si="213"/>
        <v>0</v>
      </c>
      <c r="O908" s="329">
        <f t="shared" si="213"/>
        <v>0</v>
      </c>
      <c r="P908" s="329">
        <f t="shared" si="213"/>
        <v>0</v>
      </c>
      <c r="Q908" s="329"/>
      <c r="S908" s="332">
        <f t="shared" si="203"/>
        <v>0.1</v>
      </c>
      <c r="T908" s="332">
        <f t="shared" si="205"/>
        <v>0</v>
      </c>
    </row>
    <row r="909" spans="1:20" hidden="1">
      <c r="B909" s="332" t="s">
        <v>1939</v>
      </c>
      <c r="C909" s="333">
        <f t="shared" si="204"/>
        <v>0</v>
      </c>
      <c r="D909" s="328"/>
      <c r="E909" s="328" t="str">
        <f>VLOOKUP(B909,DONGIA,DG!$B$6,0)</f>
        <v>T4.4201</v>
      </c>
      <c r="F909" s="329" t="str">
        <f>VLOOKUP(B909,DONGIA,DG!$C$6,0)</f>
        <v>Lắp cáp đồng xuống thiết bị D ≤ 95mm2</v>
      </c>
      <c r="G909" s="328" t="str">
        <f>VLOOKUP(B909,DONGIA,DG!$D$6,0)</f>
        <v>m</v>
      </c>
      <c r="H909" s="329">
        <f>H905</f>
        <v>0</v>
      </c>
      <c r="I909" s="329">
        <f>VLOOKUP(B909,DONGIA,DG!$E$6,0)</f>
        <v>0</v>
      </c>
      <c r="J909" s="329"/>
      <c r="K909" s="329">
        <f>VLOOKUP(B909,DONGIA,DG!$F$6,0)</f>
        <v>11847</v>
      </c>
      <c r="L909" s="329">
        <f>VLOOKUP(B909,DONGIA,DG!$G$6,0)</f>
        <v>0</v>
      </c>
      <c r="M909" s="329">
        <f t="shared" si="213"/>
        <v>0</v>
      </c>
      <c r="N909" s="329">
        <f t="shared" si="213"/>
        <v>0</v>
      </c>
      <c r="O909" s="329">
        <f t="shared" si="213"/>
        <v>0</v>
      </c>
      <c r="P909" s="329">
        <f t="shared" si="213"/>
        <v>0</v>
      </c>
      <c r="Q909" s="329"/>
      <c r="S909" s="332">
        <f t="shared" si="203"/>
        <v>0</v>
      </c>
      <c r="T909" s="332">
        <f t="shared" si="205"/>
        <v>0</v>
      </c>
    </row>
    <row r="910" spans="1:20" hidden="1">
      <c r="C910" s="333">
        <f t="shared" si="204"/>
        <v>0</v>
      </c>
      <c r="D910" s="372">
        <f>IF(H910&lt;&gt;0,D903+1,D903)</f>
        <v>0</v>
      </c>
      <c r="E910" s="372"/>
      <c r="F910" s="373" t="s">
        <v>1936</v>
      </c>
      <c r="G910" s="372" t="s">
        <v>138</v>
      </c>
      <c r="H910" s="372">
        <f>TR3X375</f>
        <v>0</v>
      </c>
      <c r="I910" s="373"/>
      <c r="J910" s="373"/>
      <c r="K910" s="373"/>
      <c r="L910" s="373"/>
      <c r="M910" s="373"/>
      <c r="N910" s="373"/>
      <c r="O910" s="373"/>
      <c r="P910" s="373"/>
      <c r="Q910" s="373"/>
      <c r="S910" s="332">
        <f t="shared" si="203"/>
        <v>0</v>
      </c>
      <c r="T910" s="332">
        <f t="shared" si="205"/>
        <v>0</v>
      </c>
    </row>
    <row r="911" spans="1:20" s="361" customFormat="1" hidden="1">
      <c r="C911" s="374">
        <f>C910</f>
        <v>0</v>
      </c>
      <c r="D911" s="350"/>
      <c r="E911" s="350"/>
      <c r="F911" s="351" t="s">
        <v>1902</v>
      </c>
      <c r="G911" s="350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S911" s="361">
        <f t="shared" si="203"/>
        <v>0</v>
      </c>
      <c r="T911" s="361">
        <f t="shared" si="205"/>
        <v>0</v>
      </c>
    </row>
    <row r="912" spans="1:20" hidden="1">
      <c r="B912" s="332" t="s">
        <v>1908</v>
      </c>
      <c r="C912" s="333">
        <f t="shared" si="204"/>
        <v>0</v>
      </c>
      <c r="D912" s="328"/>
      <c r="E912" s="328">
        <f>VLOOKUP(B912,DONGIA,DG!$B$6,0)</f>
        <v>0</v>
      </c>
      <c r="F912" s="329" t="str">
        <f>VLOOKUP(B912,DONGIA,DG!$C$6,0)</f>
        <v>Cáp đồng bọc CV120</v>
      </c>
      <c r="G912" s="328" t="str">
        <f>VLOOKUP(B912,DONGIA,DG!$D$6,0)</f>
        <v>mét</v>
      </c>
      <c r="H912" s="455">
        <f>H910*3*9.5</f>
        <v>0</v>
      </c>
      <c r="I912" s="329">
        <f>VLOOKUP(B912,DONGIA,DG!$E$6,0)</f>
        <v>245040</v>
      </c>
      <c r="J912" s="329"/>
      <c r="K912" s="329">
        <f>VLOOKUP(B912,DONGIA,DG!$F$6,0)</f>
        <v>0</v>
      </c>
      <c r="L912" s="329">
        <f>VLOOKUP(B912,DONGIA,DG!$G$6,0)</f>
        <v>0</v>
      </c>
      <c r="M912" s="329">
        <f>$H912*I912</f>
        <v>0</v>
      </c>
      <c r="N912" s="329">
        <f>$H912*J912</f>
        <v>0</v>
      </c>
      <c r="O912" s="329">
        <f>$H912*K912</f>
        <v>0</v>
      </c>
      <c r="P912" s="329">
        <f>$H912*L912</f>
        <v>0</v>
      </c>
      <c r="Q912" s="329"/>
      <c r="S912" s="332">
        <f t="shared" si="203"/>
        <v>1.2350000000000001</v>
      </c>
      <c r="T912" s="332">
        <f t="shared" si="205"/>
        <v>0</v>
      </c>
    </row>
    <row r="913" spans="2:20" hidden="1">
      <c r="B913" s="332" t="s">
        <v>1907</v>
      </c>
      <c r="C913" s="333">
        <f t="shared" si="204"/>
        <v>0</v>
      </c>
      <c r="D913" s="328"/>
      <c r="E913" s="328">
        <f>VLOOKUP(B913,DONGIA,DG!$B$6,0)</f>
        <v>0</v>
      </c>
      <c r="F913" s="329" t="str">
        <f>VLOOKUP(B913,DONGIA,DG!$C$6,0)</f>
        <v>Cáp đồng bọc CV70</v>
      </c>
      <c r="G913" s="328" t="str">
        <f>VLOOKUP(B913,DONGIA,DG!$D$6,0)</f>
        <v>mét</v>
      </c>
      <c r="H913" s="455">
        <f>H910*(9.5+3)</f>
        <v>0</v>
      </c>
      <c r="I913" s="329">
        <f>VLOOKUP(B913,DONGIA,DG!$E$6,0)</f>
        <v>142880</v>
      </c>
      <c r="J913" s="329"/>
      <c r="K913" s="329">
        <f>VLOOKUP(B913,DONGIA,DG!$F$6,0)</f>
        <v>0</v>
      </c>
      <c r="L913" s="329">
        <f>VLOOKUP(B913,DONGIA,DG!$G$6,0)</f>
        <v>0</v>
      </c>
      <c r="M913" s="329">
        <f t="shared" ref="M913:M933" si="214">$H913*I913</f>
        <v>0</v>
      </c>
      <c r="N913" s="329">
        <f t="shared" ref="N913:N933" si="215">$H913*J913</f>
        <v>0</v>
      </c>
      <c r="O913" s="329">
        <f t="shared" ref="O913:O933" si="216">$H913*K913</f>
        <v>0</v>
      </c>
      <c r="P913" s="329">
        <f t="shared" ref="P913:P933" si="217">$H913*L913</f>
        <v>0</v>
      </c>
      <c r="Q913" s="329"/>
      <c r="S913" s="332">
        <f t="shared" si="203"/>
        <v>0.73899999999999999</v>
      </c>
      <c r="T913" s="332">
        <f t="shared" si="205"/>
        <v>0</v>
      </c>
    </row>
    <row r="914" spans="2:20" hidden="1">
      <c r="B914" s="332" t="s">
        <v>1937</v>
      </c>
      <c r="C914" s="333">
        <f t="shared" si="204"/>
        <v>0</v>
      </c>
      <c r="D914" s="328"/>
      <c r="E914" s="328">
        <f>VLOOKUP(B914,DONGIA,DG!$B$6,0)</f>
        <v>0</v>
      </c>
      <c r="F914" s="329" t="str">
        <f>VLOOKUP(B914,DONGIA,DG!$C$6,0)</f>
        <v>Cáp điều khiển CVV 4x4,0mm2</v>
      </c>
      <c r="G914" s="328" t="str">
        <f>VLOOKUP(B914,DONGIA,DG!$D$6,0)</f>
        <v>mét</v>
      </c>
      <c r="H914" s="329">
        <f>H910*3</f>
        <v>0</v>
      </c>
      <c r="I914" s="329">
        <f>VLOOKUP(B914,DONGIA,DG!$E$6,0)</f>
        <v>52400</v>
      </c>
      <c r="J914" s="329"/>
      <c r="K914" s="329">
        <f>VLOOKUP(B914,DONGIA,DG!$F$6,0)</f>
        <v>0</v>
      </c>
      <c r="L914" s="329">
        <f>VLOOKUP(B914,DONGIA,DG!$G$6,0)</f>
        <v>0</v>
      </c>
      <c r="M914" s="329">
        <f t="shared" si="214"/>
        <v>0</v>
      </c>
      <c r="N914" s="329">
        <f t="shared" si="215"/>
        <v>0</v>
      </c>
      <c r="O914" s="329">
        <f t="shared" si="216"/>
        <v>0</v>
      </c>
      <c r="P914" s="329">
        <f t="shared" si="217"/>
        <v>0</v>
      </c>
      <c r="Q914" s="329"/>
      <c r="S914" s="332">
        <f t="shared" si="203"/>
        <v>3.024</v>
      </c>
      <c r="T914" s="332">
        <f t="shared" si="205"/>
        <v>0</v>
      </c>
    </row>
    <row r="915" spans="2:20" hidden="1">
      <c r="B915" s="332" t="s">
        <v>1119</v>
      </c>
      <c r="C915" s="333">
        <f t="shared" si="204"/>
        <v>0</v>
      </c>
      <c r="D915" s="328"/>
      <c r="E915" s="328"/>
      <c r="F915" s="329" t="str">
        <f>VLOOKUP(B915,DONGIA,DG!$C$6,0)</f>
        <v>Đầu cosse ép Cu 120mm2</v>
      </c>
      <c r="G915" s="328" t="str">
        <f>VLOOKUP(B915,DONGIA,DG!$D$6,0)</f>
        <v>cái</v>
      </c>
      <c r="H915" s="329">
        <f>H910*3</f>
        <v>0</v>
      </c>
      <c r="I915" s="329">
        <f>VLOOKUP(B915,DONGIA,DG!$E$6,0)</f>
        <v>65000</v>
      </c>
      <c r="J915" s="329"/>
      <c r="K915" s="329"/>
      <c r="L915" s="329"/>
      <c r="M915" s="329">
        <f t="shared" si="214"/>
        <v>0</v>
      </c>
      <c r="N915" s="329">
        <f t="shared" si="215"/>
        <v>0</v>
      </c>
      <c r="O915" s="329">
        <f t="shared" si="216"/>
        <v>0</v>
      </c>
      <c r="P915" s="329">
        <f t="shared" si="217"/>
        <v>0</v>
      </c>
      <c r="Q915" s="329"/>
      <c r="S915" s="332">
        <f t="shared" si="203"/>
        <v>0.1</v>
      </c>
      <c r="T915" s="332">
        <f t="shared" si="205"/>
        <v>0</v>
      </c>
    </row>
    <row r="916" spans="2:20" hidden="1">
      <c r="B916" s="332" t="s">
        <v>1113</v>
      </c>
      <c r="C916" s="333">
        <f t="shared" si="204"/>
        <v>0</v>
      </c>
      <c r="D916" s="328"/>
      <c r="E916" s="328"/>
      <c r="F916" s="329" t="str">
        <f>VLOOKUP(B916,DONGIA,DG!$C$6,0)</f>
        <v>Đầu cosse ép Cu 70mm2</v>
      </c>
      <c r="G916" s="328" t="str">
        <f>VLOOKUP(B916,DONGIA,DG!$D$6,0)</f>
        <v>cái</v>
      </c>
      <c r="H916" s="329">
        <f>H910</f>
        <v>0</v>
      </c>
      <c r="I916" s="329">
        <f>VLOOKUP(B916,DONGIA,DG!$E$6,0)</f>
        <v>33000</v>
      </c>
      <c r="J916" s="329"/>
      <c r="K916" s="329"/>
      <c r="L916" s="329"/>
      <c r="M916" s="329">
        <f t="shared" si="214"/>
        <v>0</v>
      </c>
      <c r="N916" s="329">
        <f t="shared" si="215"/>
        <v>0</v>
      </c>
      <c r="O916" s="329">
        <f t="shared" si="216"/>
        <v>0</v>
      </c>
      <c r="P916" s="329">
        <f t="shared" si="217"/>
        <v>0</v>
      </c>
      <c r="Q916" s="329"/>
      <c r="S916" s="332">
        <f t="shared" si="203"/>
        <v>0.2</v>
      </c>
      <c r="T916" s="332">
        <f t="shared" si="205"/>
        <v>0</v>
      </c>
    </row>
    <row r="917" spans="2:20" hidden="1">
      <c r="B917" s="332" t="s">
        <v>1151</v>
      </c>
      <c r="C917" s="333">
        <f t="shared" si="204"/>
        <v>0</v>
      </c>
      <c r="D917" s="328"/>
      <c r="E917" s="328">
        <f>VLOOKUP(B917,DONGIA,DG!$B$6,0)</f>
        <v>0</v>
      </c>
      <c r="F917" s="329" t="str">
        <f>VLOOKUP(B917,DONGIA,DG!$C$6,0)</f>
        <v>Chụp đầu cosse  120mm2</v>
      </c>
      <c r="G917" s="328" t="str">
        <f>VLOOKUP(B917,DONGIA,DG!$D$6,0)</f>
        <v>cái</v>
      </c>
      <c r="H917" s="329">
        <f>H915</f>
        <v>0</v>
      </c>
      <c r="I917" s="329">
        <f>VLOOKUP(B917,DONGIA,DG!$E$6,0)</f>
        <v>3500</v>
      </c>
      <c r="J917" s="329"/>
      <c r="K917" s="329">
        <f>VLOOKUP(B917,DONGIA,DG!$F$6,0)</f>
        <v>0</v>
      </c>
      <c r="L917" s="329">
        <f>VLOOKUP(B917,DONGIA,DG!$G$6,0)</f>
        <v>0</v>
      </c>
      <c r="M917" s="329">
        <f t="shared" si="214"/>
        <v>0</v>
      </c>
      <c r="N917" s="329">
        <f t="shared" si="215"/>
        <v>0</v>
      </c>
      <c r="O917" s="329">
        <f t="shared" si="216"/>
        <v>0</v>
      </c>
      <c r="P917" s="329">
        <f t="shared" si="217"/>
        <v>0</v>
      </c>
      <c r="Q917" s="329"/>
      <c r="S917" s="332">
        <f t="shared" si="203"/>
        <v>0</v>
      </c>
      <c r="T917" s="332">
        <f t="shared" si="205"/>
        <v>0</v>
      </c>
    </row>
    <row r="918" spans="2:20" hidden="1">
      <c r="B918" s="332" t="s">
        <v>1147</v>
      </c>
      <c r="C918" s="333">
        <f t="shared" si="204"/>
        <v>0</v>
      </c>
      <c r="D918" s="328"/>
      <c r="E918" s="328">
        <f>VLOOKUP(B918,DONGIA,DG!$B$6,0)</f>
        <v>0</v>
      </c>
      <c r="F918" s="329" t="str">
        <f>VLOOKUP(B918,DONGIA,DG!$C$6,0)</f>
        <v>Chụp đầu cosse  70mm2</v>
      </c>
      <c r="G918" s="328" t="str">
        <f>VLOOKUP(B918,DONGIA,DG!$D$6,0)</f>
        <v>cái</v>
      </c>
      <c r="H918" s="329">
        <f>H916</f>
        <v>0</v>
      </c>
      <c r="I918" s="329">
        <f>VLOOKUP(B918,DONGIA,DG!$E$6,0)</f>
        <v>2000</v>
      </c>
      <c r="J918" s="329"/>
      <c r="K918" s="329">
        <f>VLOOKUP(B918,DONGIA,DG!$F$6,0)</f>
        <v>0</v>
      </c>
      <c r="L918" s="329">
        <f>VLOOKUP(B918,DONGIA,DG!$G$6,0)</f>
        <v>0</v>
      </c>
      <c r="M918" s="329">
        <f t="shared" si="214"/>
        <v>0</v>
      </c>
      <c r="N918" s="329">
        <f t="shared" si="215"/>
        <v>0</v>
      </c>
      <c r="O918" s="329">
        <f t="shared" si="216"/>
        <v>0</v>
      </c>
      <c r="P918" s="329">
        <f t="shared" si="217"/>
        <v>0</v>
      </c>
      <c r="Q918" s="329"/>
      <c r="S918" s="332">
        <f t="shared" si="203"/>
        <v>0</v>
      </c>
      <c r="T918" s="332">
        <f t="shared" si="205"/>
        <v>0</v>
      </c>
    </row>
    <row r="919" spans="2:20" hidden="1">
      <c r="B919" s="332" t="s">
        <v>1177</v>
      </c>
      <c r="C919" s="333">
        <f t="shared" si="204"/>
        <v>0</v>
      </c>
      <c r="D919" s="328"/>
      <c r="E919" s="328">
        <f>VLOOKUP(B919,DONGIA,DG!$B$6,0)</f>
        <v>0</v>
      </c>
      <c r="F919" s="329" t="str">
        <f>VLOOKUP(B919,DONGIA,DG!$C$6,0)</f>
        <v xml:space="preserve">Ống PVC D90x3,8mm </v>
      </c>
      <c r="G919" s="328" t="str">
        <f>VLOOKUP(B919,DONGIA,DG!$D$6,0)</f>
        <v>m</v>
      </c>
      <c r="H919" s="329">
        <f>H910*6</f>
        <v>0</v>
      </c>
      <c r="I919" s="329">
        <f>VLOOKUP(B919,DONGIA,DG!$E$6,0)</f>
        <v>57000</v>
      </c>
      <c r="J919" s="329"/>
      <c r="K919" s="329">
        <f>VLOOKUP(B919,DONGIA,DG!$F$6,0)</f>
        <v>0</v>
      </c>
      <c r="L919" s="329">
        <f>VLOOKUP(B919,DONGIA,DG!$G$6,0)</f>
        <v>0</v>
      </c>
      <c r="M919" s="329">
        <f t="shared" si="214"/>
        <v>0</v>
      </c>
      <c r="N919" s="329">
        <f t="shared" si="215"/>
        <v>0</v>
      </c>
      <c r="O919" s="329">
        <f t="shared" si="216"/>
        <v>0</v>
      </c>
      <c r="P919" s="329">
        <f t="shared" si="217"/>
        <v>0</v>
      </c>
      <c r="Q919" s="329"/>
      <c r="S919" s="332">
        <f t="shared" si="203"/>
        <v>2</v>
      </c>
      <c r="T919" s="332">
        <f t="shared" si="205"/>
        <v>0</v>
      </c>
    </row>
    <row r="920" spans="2:20" hidden="1">
      <c r="B920" s="332" t="s">
        <v>455</v>
      </c>
      <c r="C920" s="333">
        <f t="shared" si="204"/>
        <v>0</v>
      </c>
      <c r="D920" s="328"/>
      <c r="E920" s="328">
        <f>VLOOKUP(B920,DONGIA,DG!$B$6,0)</f>
        <v>0</v>
      </c>
      <c r="F920" s="329" t="str">
        <f>VLOOKUP(B920,DONGIA,DG!$C$6,0)&amp;" (CD-230)"</f>
        <v>Cổ dê kẹp ống PVC φ 90 (có giá nới) (CD-230)</v>
      </c>
      <c r="G920" s="328" t="str">
        <f>VLOOKUP(B920,DONGIA,DG!$D$6,0)</f>
        <v>bộ</v>
      </c>
      <c r="H920" s="329">
        <f>H910</f>
        <v>0</v>
      </c>
      <c r="I920" s="329">
        <f>VLOOKUP(B920,DONGIA,DG!$E$6,0)</f>
        <v>60000</v>
      </c>
      <c r="J920" s="329"/>
      <c r="K920" s="329">
        <f>VLOOKUP(B920,DONGIA,DG!$F$6,0)</f>
        <v>0</v>
      </c>
      <c r="L920" s="329">
        <f>VLOOKUP(B920,DONGIA,DG!$G$6,0)</f>
        <v>0</v>
      </c>
      <c r="M920" s="329">
        <f t="shared" si="214"/>
        <v>0</v>
      </c>
      <c r="N920" s="329">
        <f t="shared" si="215"/>
        <v>0</v>
      </c>
      <c r="O920" s="329">
        <f t="shared" si="216"/>
        <v>0</v>
      </c>
      <c r="P920" s="329">
        <f t="shared" si="217"/>
        <v>0</v>
      </c>
      <c r="Q920" s="329"/>
      <c r="S920" s="332">
        <f t="shared" si="203"/>
        <v>1.5</v>
      </c>
      <c r="T920" s="332">
        <f t="shared" si="205"/>
        <v>0</v>
      </c>
    </row>
    <row r="921" spans="2:20" hidden="1">
      <c r="B921" s="332" t="s">
        <v>455</v>
      </c>
      <c r="C921" s="333">
        <f t="shared" si="204"/>
        <v>0</v>
      </c>
      <c r="D921" s="328"/>
      <c r="E921" s="328">
        <f>VLOOKUP(B921,DONGIA,DG!$B$6,0)</f>
        <v>0</v>
      </c>
      <c r="F921" s="329" t="str">
        <f>VLOOKUP(B921,DONGIA,DG!$C$6,0)&amp;" (CD-250)"</f>
        <v>Cổ dê kẹp ống PVC φ 90 (có giá nới) (CD-250)</v>
      </c>
      <c r="G921" s="328" t="str">
        <f>VLOOKUP(B921,DONGIA,DG!$D$6,0)</f>
        <v>bộ</v>
      </c>
      <c r="H921" s="329">
        <f>H910</f>
        <v>0</v>
      </c>
      <c r="I921" s="329">
        <f>VLOOKUP(B921,DONGIA,DG!$E$6,0)</f>
        <v>60000</v>
      </c>
      <c r="J921" s="329"/>
      <c r="K921" s="329">
        <f>VLOOKUP(B921,DONGIA,DG!$F$6,0)</f>
        <v>0</v>
      </c>
      <c r="L921" s="329">
        <f>VLOOKUP(B921,DONGIA,DG!$G$6,0)</f>
        <v>0</v>
      </c>
      <c r="M921" s="329">
        <f t="shared" si="214"/>
        <v>0</v>
      </c>
      <c r="N921" s="329">
        <f t="shared" si="215"/>
        <v>0</v>
      </c>
      <c r="O921" s="329">
        <f t="shared" si="216"/>
        <v>0</v>
      </c>
      <c r="P921" s="329">
        <f t="shared" si="217"/>
        <v>0</v>
      </c>
      <c r="Q921" s="329"/>
      <c r="S921" s="332">
        <f t="shared" si="203"/>
        <v>1.5</v>
      </c>
      <c r="T921" s="332">
        <f t="shared" si="205"/>
        <v>0</v>
      </c>
    </row>
    <row r="922" spans="2:20" hidden="1">
      <c r="B922" s="332" t="s">
        <v>455</v>
      </c>
      <c r="C922" s="333">
        <f t="shared" si="204"/>
        <v>0</v>
      </c>
      <c r="D922" s="328"/>
      <c r="E922" s="328">
        <f>VLOOKUP(B922,DONGIA,DG!$B$6,0)</f>
        <v>0</v>
      </c>
      <c r="F922" s="329" t="str">
        <f>VLOOKUP(B922,DONGIA,DG!$C$6,0)&amp;" (CD-280)"</f>
        <v>Cổ dê kẹp ống PVC φ 90 (có giá nới) (CD-280)</v>
      </c>
      <c r="G922" s="328" t="str">
        <f>VLOOKUP(B922,DONGIA,DG!$D$6,0)</f>
        <v>bộ</v>
      </c>
      <c r="H922" s="329">
        <f>H910</f>
        <v>0</v>
      </c>
      <c r="I922" s="329">
        <f>VLOOKUP(B922,DONGIA,DG!$E$6,0)</f>
        <v>60000</v>
      </c>
      <c r="J922" s="329"/>
      <c r="K922" s="329">
        <f>VLOOKUP(B922,DONGIA,DG!$F$6,0)</f>
        <v>0</v>
      </c>
      <c r="L922" s="329">
        <f>VLOOKUP(B922,DONGIA,DG!$G$6,0)</f>
        <v>0</v>
      </c>
      <c r="M922" s="329">
        <f t="shared" si="214"/>
        <v>0</v>
      </c>
      <c r="N922" s="329">
        <f t="shared" si="215"/>
        <v>0</v>
      </c>
      <c r="O922" s="329">
        <f t="shared" si="216"/>
        <v>0</v>
      </c>
      <c r="P922" s="329">
        <f t="shared" si="217"/>
        <v>0</v>
      </c>
      <c r="Q922" s="329"/>
      <c r="S922" s="332">
        <f t="shared" si="203"/>
        <v>1.5</v>
      </c>
      <c r="T922" s="332">
        <f t="shared" si="205"/>
        <v>0</v>
      </c>
    </row>
    <row r="923" spans="2:20" hidden="1">
      <c r="B923" s="332" t="s">
        <v>2956</v>
      </c>
      <c r="C923" s="333">
        <f t="shared" si="204"/>
        <v>0</v>
      </c>
      <c r="D923" s="328"/>
      <c r="E923" s="328">
        <f>VLOOKUP(B923,DONGIA,DG!$B$6,0)</f>
        <v>0</v>
      </c>
      <c r="F923" s="329" t="str">
        <f>VLOOKUP(B923,DONGIA,DG!$C$6,0)</f>
        <v>Co  90 độ PVC 90 (Loại dày)</v>
      </c>
      <c r="G923" s="328" t="str">
        <f>VLOOKUP(B923,DONGIA,DG!$D$6,0)</f>
        <v>cái</v>
      </c>
      <c r="H923" s="329">
        <f>H910</f>
        <v>0</v>
      </c>
      <c r="I923" s="329">
        <f>VLOOKUP(B923,DONGIA,DG!$E$6,0)</f>
        <v>45400</v>
      </c>
      <c r="J923" s="329"/>
      <c r="K923" s="329">
        <f>VLOOKUP(B923,DONGIA,DG!$F$6,0)</f>
        <v>0</v>
      </c>
      <c r="L923" s="329">
        <f>VLOOKUP(B923,DONGIA,DG!$G$6,0)</f>
        <v>0</v>
      </c>
      <c r="M923" s="329">
        <f t="shared" si="214"/>
        <v>0</v>
      </c>
      <c r="N923" s="329">
        <f t="shared" si="215"/>
        <v>0</v>
      </c>
      <c r="O923" s="329">
        <f t="shared" si="216"/>
        <v>0</v>
      </c>
      <c r="P923" s="329">
        <f t="shared" si="217"/>
        <v>0</v>
      </c>
      <c r="Q923" s="329"/>
      <c r="S923" s="332">
        <f t="shared" si="203"/>
        <v>0</v>
      </c>
      <c r="T923" s="332">
        <f t="shared" si="205"/>
        <v>0</v>
      </c>
    </row>
    <row r="924" spans="2:20" hidden="1">
      <c r="B924" s="332" t="s">
        <v>1940</v>
      </c>
      <c r="C924" s="333">
        <f t="shared" si="204"/>
        <v>0</v>
      </c>
      <c r="D924" s="328"/>
      <c r="E924" s="328">
        <f>VLOOKUP(B924,DONGIA,DG!$B$6,0)</f>
        <v>0</v>
      </c>
      <c r="F924" s="329" t="str">
        <f>VLOOKUP(B924,DONGIA,DG!$C$6,0)</f>
        <v>Nối giảm PVC 114-90</v>
      </c>
      <c r="G924" s="328" t="str">
        <f>VLOOKUP(B924,DONGIA,DG!$D$6,0)</f>
        <v>cái</v>
      </c>
      <c r="H924" s="329">
        <f>H910</f>
        <v>0</v>
      </c>
      <c r="I924" s="329">
        <f>VLOOKUP(B924,DONGIA,DG!$E$6,0)</f>
        <v>52800</v>
      </c>
      <c r="J924" s="329"/>
      <c r="K924" s="329">
        <f>VLOOKUP(B924,DONGIA,DG!$F$6,0)</f>
        <v>0</v>
      </c>
      <c r="L924" s="329">
        <f>VLOOKUP(B924,DONGIA,DG!$G$6,0)</f>
        <v>0</v>
      </c>
      <c r="M924" s="329">
        <f t="shared" si="214"/>
        <v>0</v>
      </c>
      <c r="N924" s="329">
        <f t="shared" si="215"/>
        <v>0</v>
      </c>
      <c r="O924" s="329">
        <f t="shared" si="216"/>
        <v>0</v>
      </c>
      <c r="P924" s="329">
        <f t="shared" si="217"/>
        <v>0</v>
      </c>
      <c r="Q924" s="329"/>
      <c r="S924" s="332">
        <f t="shared" si="203"/>
        <v>0</v>
      </c>
      <c r="T924" s="332">
        <f t="shared" si="205"/>
        <v>0</v>
      </c>
    </row>
    <row r="925" spans="2:20" hidden="1">
      <c r="B925" s="332" t="s">
        <v>1181</v>
      </c>
      <c r="C925" s="333">
        <f t="shared" si="204"/>
        <v>0</v>
      </c>
      <c r="D925" s="328"/>
      <c r="E925" s="328">
        <f>VLOOKUP(B925,DONGIA,DG!$B$6,0)</f>
        <v>0</v>
      </c>
      <c r="F925" s="329" t="str">
        <f>VLOOKUP(B925,DONGIA,DG!$C$6,0)</f>
        <v>Co 135 độ PVC 90</v>
      </c>
      <c r="G925" s="328" t="str">
        <f>VLOOKUP(B925,DONGIA,DG!$D$6,0)</f>
        <v>cái</v>
      </c>
      <c r="H925" s="329">
        <f>H910</f>
        <v>0</v>
      </c>
      <c r="I925" s="329">
        <f>VLOOKUP(B925,DONGIA,DG!$E$6,0)</f>
        <v>34800</v>
      </c>
      <c r="J925" s="329"/>
      <c r="K925" s="329">
        <f>VLOOKUP(B925,DONGIA,DG!$F$6,0)</f>
        <v>0</v>
      </c>
      <c r="L925" s="329">
        <f>VLOOKUP(B925,DONGIA,DG!$G$6,0)</f>
        <v>0</v>
      </c>
      <c r="M925" s="329">
        <f t="shared" si="214"/>
        <v>0</v>
      </c>
      <c r="N925" s="329">
        <f t="shared" si="215"/>
        <v>0</v>
      </c>
      <c r="O925" s="329">
        <f t="shared" si="216"/>
        <v>0</v>
      </c>
      <c r="P925" s="329">
        <f t="shared" si="217"/>
        <v>0</v>
      </c>
      <c r="Q925" s="329"/>
      <c r="S925" s="332">
        <f t="shared" si="203"/>
        <v>0</v>
      </c>
      <c r="T925" s="332">
        <f t="shared" si="205"/>
        <v>0</v>
      </c>
    </row>
    <row r="926" spans="2:20" hidden="1">
      <c r="B926" s="332" t="s">
        <v>1914</v>
      </c>
      <c r="C926" s="333">
        <f t="shared" si="204"/>
        <v>0</v>
      </c>
      <c r="D926" s="328"/>
      <c r="E926" s="328">
        <f>VLOOKUP(B926,DONGIA,DG!$B$6,0)</f>
        <v>0</v>
      </c>
      <c r="F926" s="329" t="str">
        <f>VLOOKUP(B926,DONGIA,DG!$C$6,0)</f>
        <v>Keo dán ống PVC (100gr)</v>
      </c>
      <c r="G926" s="328" t="str">
        <f>VLOOKUP(B926,DONGIA,DG!$D$6,0)</f>
        <v>tuýp</v>
      </c>
      <c r="H926" s="329">
        <f>H910</f>
        <v>0</v>
      </c>
      <c r="I926" s="329">
        <f>VLOOKUP(B926,DONGIA,DG!$E$6,0)</f>
        <v>11500</v>
      </c>
      <c r="J926" s="329"/>
      <c r="K926" s="329">
        <f>VLOOKUP(B926,DONGIA,DG!$F$6,0)</f>
        <v>0</v>
      </c>
      <c r="L926" s="329">
        <f>VLOOKUP(B926,DONGIA,DG!$G$6,0)</f>
        <v>0</v>
      </c>
      <c r="M926" s="329">
        <f t="shared" si="214"/>
        <v>0</v>
      </c>
      <c r="N926" s="329">
        <f t="shared" si="215"/>
        <v>0</v>
      </c>
      <c r="O926" s="329">
        <f t="shared" si="216"/>
        <v>0</v>
      </c>
      <c r="P926" s="329">
        <f t="shared" si="217"/>
        <v>0</v>
      </c>
      <c r="Q926" s="329"/>
      <c r="S926" s="332">
        <f t="shared" si="203"/>
        <v>0</v>
      </c>
      <c r="T926" s="332">
        <f t="shared" si="205"/>
        <v>0</v>
      </c>
    </row>
    <row r="927" spans="2:20" hidden="1">
      <c r="B927" s="332" t="s">
        <v>1195</v>
      </c>
      <c r="C927" s="333">
        <f t="shared" si="204"/>
        <v>0</v>
      </c>
      <c r="D927" s="328"/>
      <c r="E927" s="328">
        <f>VLOOKUP(B927,DONGIA,DG!$B$6,0)</f>
        <v>0</v>
      </c>
      <c r="F927" s="329" t="str">
        <f>VLOOKUP(B927,DONGIA,DG!$C$6,0)</f>
        <v>Keo silicon bít miệng ống</v>
      </c>
      <c r="G927" s="328" t="str">
        <f>VLOOKUP(B927,DONGIA,DG!$D$6,0)</f>
        <v>ống</v>
      </c>
      <c r="H927" s="329"/>
      <c r="I927" s="329">
        <f>VLOOKUP(B927,DONGIA,DG!$E$6,0)</f>
        <v>45000</v>
      </c>
      <c r="J927" s="329"/>
      <c r="K927" s="329">
        <f>VLOOKUP(B927,DONGIA,DG!$F$6,0)</f>
        <v>0</v>
      </c>
      <c r="L927" s="329">
        <f>VLOOKUP(B927,DONGIA,DG!$G$6,0)</f>
        <v>0</v>
      </c>
      <c r="M927" s="329">
        <f t="shared" si="214"/>
        <v>0</v>
      </c>
      <c r="N927" s="329">
        <f t="shared" si="215"/>
        <v>0</v>
      </c>
      <c r="O927" s="329">
        <f t="shared" si="216"/>
        <v>0</v>
      </c>
      <c r="P927" s="329">
        <f t="shared" si="217"/>
        <v>0</v>
      </c>
      <c r="Q927" s="329"/>
      <c r="S927" s="332">
        <f t="shared" si="203"/>
        <v>0</v>
      </c>
      <c r="T927" s="332">
        <f t="shared" si="205"/>
        <v>0</v>
      </c>
    </row>
    <row r="928" spans="2:20" hidden="1">
      <c r="B928" s="332" t="s">
        <v>1193</v>
      </c>
      <c r="C928" s="333">
        <f t="shared" si="204"/>
        <v>0</v>
      </c>
      <c r="D928" s="328"/>
      <c r="E928" s="328">
        <f>VLOOKUP(B928,DONGIA,DG!$B$6,0)</f>
        <v>0</v>
      </c>
      <c r="F928" s="329" t="str">
        <f>VLOOKUP(B928,DONGIA,DG!$C$6,0)</f>
        <v>Băng keo cách điện</v>
      </c>
      <c r="G928" s="328" t="str">
        <f>VLOOKUP(B928,DONGIA,DG!$D$6,0)</f>
        <v>cuộn</v>
      </c>
      <c r="H928" s="329">
        <f>ROUNDUP(H910/5,0)</f>
        <v>0</v>
      </c>
      <c r="I928" s="329">
        <f>VLOOKUP(B928,DONGIA,DG!$E$6,0)</f>
        <v>6500</v>
      </c>
      <c r="J928" s="329"/>
      <c r="K928" s="329">
        <f>VLOOKUP(B928,DONGIA,DG!$F$6,0)</f>
        <v>0</v>
      </c>
      <c r="L928" s="329">
        <f>VLOOKUP(B928,DONGIA,DG!$G$6,0)</f>
        <v>0</v>
      </c>
      <c r="M928" s="329">
        <f t="shared" si="214"/>
        <v>0</v>
      </c>
      <c r="N928" s="329">
        <f t="shared" si="215"/>
        <v>0</v>
      </c>
      <c r="O928" s="329">
        <f t="shared" si="216"/>
        <v>0</v>
      </c>
      <c r="P928" s="329">
        <f t="shared" si="217"/>
        <v>0</v>
      </c>
      <c r="Q928" s="329"/>
      <c r="S928" s="332">
        <f t="shared" si="203"/>
        <v>0</v>
      </c>
      <c r="T928" s="332">
        <f t="shared" si="205"/>
        <v>0</v>
      </c>
    </row>
    <row r="929" spans="2:20" hidden="1">
      <c r="B929" s="332" t="s">
        <v>2979</v>
      </c>
      <c r="C929" s="333">
        <f t="shared" si="204"/>
        <v>0</v>
      </c>
      <c r="D929" s="328"/>
      <c r="E929" s="328">
        <f>VLOOKUP(B929,DONGIA,DG!$B$6,0)</f>
        <v>0</v>
      </c>
      <c r="F929" s="329" t="str">
        <f>VLOOKUP(B929,DONGIA,DG!$C$6,0)</f>
        <v>Băng keo cách điện (Màu vàng)</v>
      </c>
      <c r="G929" s="328" t="str">
        <f>VLOOKUP(B929,DONGIA,DG!$D$6,0)</f>
        <v>cuộn</v>
      </c>
      <c r="H929" s="329">
        <f>ROUNDUP(H910/5,0)</f>
        <v>0</v>
      </c>
      <c r="I929" s="329">
        <f>VLOOKUP(B929,DONGIA,DG!$E$6,0)</f>
        <v>6500</v>
      </c>
      <c r="J929" s="329"/>
      <c r="K929" s="329">
        <f>VLOOKUP(B929,DONGIA,DG!$F$6,0)</f>
        <v>0</v>
      </c>
      <c r="L929" s="329">
        <f>VLOOKUP(B929,DONGIA,DG!$G$6,0)</f>
        <v>0</v>
      </c>
      <c r="M929" s="329">
        <f t="shared" si="214"/>
        <v>0</v>
      </c>
      <c r="N929" s="329">
        <f t="shared" si="215"/>
        <v>0</v>
      </c>
      <c r="O929" s="329">
        <f t="shared" si="216"/>
        <v>0</v>
      </c>
      <c r="P929" s="329">
        <f t="shared" si="217"/>
        <v>0</v>
      </c>
      <c r="Q929" s="329"/>
      <c r="S929" s="332">
        <f t="shared" si="203"/>
        <v>0</v>
      </c>
      <c r="T929" s="332">
        <f t="shared" si="205"/>
        <v>0</v>
      </c>
    </row>
    <row r="930" spans="2:20" hidden="1">
      <c r="B930" s="332" t="s">
        <v>2980</v>
      </c>
      <c r="C930" s="333">
        <f t="shared" si="204"/>
        <v>0</v>
      </c>
      <c r="D930" s="328"/>
      <c r="E930" s="328">
        <f>VLOOKUP(B930,DONGIA,DG!$B$6,0)</f>
        <v>0</v>
      </c>
      <c r="F930" s="329" t="str">
        <f>VLOOKUP(B930,DONGIA,DG!$C$6,0)</f>
        <v>Băng keo cách điện (Màu xanh)</v>
      </c>
      <c r="G930" s="328" t="str">
        <f>VLOOKUP(B930,DONGIA,DG!$D$6,0)</f>
        <v>cuộn</v>
      </c>
      <c r="H930" s="329">
        <f>ROUNDUP(H910/5,0)</f>
        <v>0</v>
      </c>
      <c r="I930" s="329">
        <f>VLOOKUP(B930,DONGIA,DG!$E$6,0)</f>
        <v>6500</v>
      </c>
      <c r="J930" s="329"/>
      <c r="K930" s="329">
        <f>VLOOKUP(B930,DONGIA,DG!$F$6,0)</f>
        <v>0</v>
      </c>
      <c r="L930" s="329">
        <f>VLOOKUP(B930,DONGIA,DG!$G$6,0)</f>
        <v>0</v>
      </c>
      <c r="M930" s="329">
        <f t="shared" si="214"/>
        <v>0</v>
      </c>
      <c r="N930" s="329">
        <f t="shared" si="215"/>
        <v>0</v>
      </c>
      <c r="O930" s="329">
        <f t="shared" si="216"/>
        <v>0</v>
      </c>
      <c r="P930" s="329">
        <f t="shared" si="217"/>
        <v>0</v>
      </c>
      <c r="Q930" s="329"/>
      <c r="S930" s="332">
        <f t="shared" si="203"/>
        <v>0</v>
      </c>
      <c r="T930" s="332">
        <f t="shared" si="205"/>
        <v>0</v>
      </c>
    </row>
    <row r="931" spans="2:20" hidden="1">
      <c r="B931" s="332" t="s">
        <v>2981</v>
      </c>
      <c r="C931" s="333">
        <f t="shared" si="204"/>
        <v>0</v>
      </c>
      <c r="D931" s="328"/>
      <c r="E931" s="328">
        <f>VLOOKUP(B931,DONGIA,DG!$B$6,0)</f>
        <v>0</v>
      </c>
      <c r="F931" s="329" t="str">
        <f>VLOOKUP(B931,DONGIA,DG!$C$6,0)</f>
        <v>Băng keo cách điện (Màu đỏ)</v>
      </c>
      <c r="G931" s="328" t="str">
        <f>VLOOKUP(B931,DONGIA,DG!$D$6,0)</f>
        <v>cuộn</v>
      </c>
      <c r="H931" s="329">
        <f>ROUNDUP(H910/5,0)</f>
        <v>0</v>
      </c>
      <c r="I931" s="329">
        <f>VLOOKUP(B931,DONGIA,DG!$E$6,0)</f>
        <v>6500</v>
      </c>
      <c r="J931" s="329"/>
      <c r="K931" s="329">
        <f>VLOOKUP(B931,DONGIA,DG!$F$6,0)</f>
        <v>0</v>
      </c>
      <c r="L931" s="329">
        <f>VLOOKUP(B931,DONGIA,DG!$G$6,0)</f>
        <v>0</v>
      </c>
      <c r="M931" s="329">
        <f t="shared" si="214"/>
        <v>0</v>
      </c>
      <c r="N931" s="329">
        <f t="shared" si="215"/>
        <v>0</v>
      </c>
      <c r="O931" s="329">
        <f t="shared" si="216"/>
        <v>0</v>
      </c>
      <c r="P931" s="329">
        <f t="shared" si="217"/>
        <v>0</v>
      </c>
      <c r="Q931" s="329"/>
      <c r="S931" s="332">
        <f t="shared" si="203"/>
        <v>0</v>
      </c>
      <c r="T931" s="332">
        <f t="shared" si="205"/>
        <v>0</v>
      </c>
    </row>
    <row r="932" spans="2:20" hidden="1">
      <c r="B932" s="332" t="s">
        <v>855</v>
      </c>
      <c r="C932" s="333">
        <f t="shared" si="204"/>
        <v>0</v>
      </c>
      <c r="D932" s="328"/>
      <c r="E932" s="328" t="str">
        <f>VLOOKUP(B932,DONGIA,DG!$B$6,0)</f>
        <v>T4.8003</v>
      </c>
      <c r="F932" s="329" t="str">
        <f>VLOOKUP(B932,DONGIA,DG!$C$6,0)</f>
        <v>Lắp ống nhựa PVC D90</v>
      </c>
      <c r="G932" s="328" t="str">
        <f>VLOOKUP(B932,DONGIA,DG!$D$6,0)</f>
        <v>mét</v>
      </c>
      <c r="H932" s="329">
        <f>H919</f>
        <v>0</v>
      </c>
      <c r="I932" s="329">
        <f>VLOOKUP(B932,DONGIA,DG!$E$6,0)</f>
        <v>0</v>
      </c>
      <c r="J932" s="329"/>
      <c r="K932" s="329">
        <f>VLOOKUP(B932,DONGIA,DG!$F$6,0)</f>
        <v>35541</v>
      </c>
      <c r="L932" s="329">
        <f>VLOOKUP(B932,DONGIA,DG!$G$6,0)</f>
        <v>0</v>
      </c>
      <c r="M932" s="329">
        <f t="shared" si="214"/>
        <v>0</v>
      </c>
      <c r="N932" s="329">
        <f t="shared" si="215"/>
        <v>0</v>
      </c>
      <c r="O932" s="329">
        <f t="shared" si="216"/>
        <v>0</v>
      </c>
      <c r="P932" s="329">
        <f t="shared" si="217"/>
        <v>0</v>
      </c>
      <c r="Q932" s="329"/>
      <c r="S932" s="332">
        <f t="shared" si="203"/>
        <v>0</v>
      </c>
      <c r="T932" s="332">
        <f t="shared" si="205"/>
        <v>0</v>
      </c>
    </row>
    <row r="933" spans="2:20" hidden="1">
      <c r="B933" s="332" t="s">
        <v>1939</v>
      </c>
      <c r="C933" s="333">
        <f t="shared" si="204"/>
        <v>0</v>
      </c>
      <c r="D933" s="328"/>
      <c r="E933" s="328" t="str">
        <f>VLOOKUP(B933,DONGIA,DG!$B$6,0)</f>
        <v>T4.4201</v>
      </c>
      <c r="F933" s="329" t="str">
        <f>VLOOKUP(B933,DONGIA,DG!$C$6,0)</f>
        <v>Lắp cáp đồng xuống thiết bị D ≤ 95mm2</v>
      </c>
      <c r="G933" s="328" t="str">
        <f>VLOOKUP(B933,DONGIA,DG!$D$6,0)</f>
        <v>m</v>
      </c>
      <c r="H933" s="455">
        <f>H913</f>
        <v>0</v>
      </c>
      <c r="I933" s="329">
        <f>VLOOKUP(B933,DONGIA,DG!$E$6,0)</f>
        <v>0</v>
      </c>
      <c r="J933" s="329"/>
      <c r="K933" s="329">
        <f>VLOOKUP(B933,DONGIA,DG!$F$6,0)</f>
        <v>11847</v>
      </c>
      <c r="L933" s="329">
        <f>VLOOKUP(B933,DONGIA,DG!$G$6,0)</f>
        <v>0</v>
      </c>
      <c r="M933" s="329">
        <f t="shared" si="214"/>
        <v>0</v>
      </c>
      <c r="N933" s="329">
        <f t="shared" si="215"/>
        <v>0</v>
      </c>
      <c r="O933" s="329">
        <f t="shared" si="216"/>
        <v>0</v>
      </c>
      <c r="P933" s="329">
        <f t="shared" si="217"/>
        <v>0</v>
      </c>
      <c r="Q933" s="329"/>
      <c r="S933" s="332">
        <f t="shared" si="203"/>
        <v>0</v>
      </c>
      <c r="T933" s="332">
        <f t="shared" si="205"/>
        <v>0</v>
      </c>
    </row>
    <row r="934" spans="2:20" hidden="1">
      <c r="B934" s="332" t="s">
        <v>2063</v>
      </c>
      <c r="C934" s="333">
        <f>IF(H934&lt;&gt;0,1,)</f>
        <v>0</v>
      </c>
      <c r="D934" s="328"/>
      <c r="E934" s="328" t="str">
        <f>VLOOKUP(B934,DONGIA,DG!$B$6,0)</f>
        <v>T4.4202</v>
      </c>
      <c r="F934" s="329" t="str">
        <f>VLOOKUP(B934,DONGIA,DG!$C$6,0)</f>
        <v>Lắp cáp đồng xuống thiết bị D ≤ 150mm2</v>
      </c>
      <c r="G934" s="328" t="str">
        <f>VLOOKUP(B934,DONGIA,DG!$D$6,0)</f>
        <v>m</v>
      </c>
      <c r="H934" s="455">
        <f>H912</f>
        <v>0</v>
      </c>
      <c r="I934" s="329">
        <f>VLOOKUP(B934,DONGIA,DG!$E$6,0)</f>
        <v>0</v>
      </c>
      <c r="J934" s="329"/>
      <c r="K934" s="329">
        <f>VLOOKUP(B934,DONGIA,DG!$F$6,0)</f>
        <v>28433</v>
      </c>
      <c r="L934" s="329">
        <f>VLOOKUP(B934,DONGIA,DG!$G$6,0)</f>
        <v>0</v>
      </c>
      <c r="M934" s="329">
        <f>$H934*I934</f>
        <v>0</v>
      </c>
      <c r="N934" s="329">
        <f>$H934*J934</f>
        <v>0</v>
      </c>
      <c r="O934" s="329">
        <f>$H934*K934</f>
        <v>0</v>
      </c>
      <c r="P934" s="329">
        <f>$H934*L934</f>
        <v>0</v>
      </c>
      <c r="Q934" s="329"/>
      <c r="S934" s="332">
        <f>IFERROR(VLOOKUP(B934,DONGIA,$S$25,0),0)</f>
        <v>0</v>
      </c>
      <c r="T934" s="332">
        <f>H934*S934</f>
        <v>0</v>
      </c>
    </row>
    <row r="935" spans="2:20" hidden="1">
      <c r="C935" s="333">
        <f t="shared" si="204"/>
        <v>0</v>
      </c>
      <c r="D935" s="372">
        <f>IF(H935&lt;&gt;0,D910+1,D910)</f>
        <v>0</v>
      </c>
      <c r="E935" s="372"/>
      <c r="F935" s="373" t="s">
        <v>1938</v>
      </c>
      <c r="G935" s="372" t="s">
        <v>138</v>
      </c>
      <c r="H935" s="372">
        <f>TR3X375*2</f>
        <v>0</v>
      </c>
      <c r="I935" s="373"/>
      <c r="J935" s="373"/>
      <c r="K935" s="373"/>
      <c r="L935" s="373"/>
      <c r="M935" s="373"/>
      <c r="N935" s="373"/>
      <c r="O935" s="373"/>
      <c r="P935" s="373"/>
      <c r="Q935" s="373"/>
      <c r="S935" s="332">
        <f t="shared" si="203"/>
        <v>0</v>
      </c>
      <c r="T935" s="332">
        <f t="shared" si="205"/>
        <v>0</v>
      </c>
    </row>
    <row r="936" spans="2:20" s="361" customFormat="1" hidden="1">
      <c r="C936" s="374">
        <f>C935</f>
        <v>0</v>
      </c>
      <c r="D936" s="350"/>
      <c r="E936" s="350"/>
      <c r="F936" s="351" t="s">
        <v>1902</v>
      </c>
      <c r="G936" s="350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S936" s="361">
        <f t="shared" si="203"/>
        <v>0</v>
      </c>
      <c r="T936" s="361">
        <f t="shared" si="205"/>
        <v>0</v>
      </c>
    </row>
    <row r="937" spans="2:20" hidden="1">
      <c r="B937" s="332" t="s">
        <v>1907</v>
      </c>
      <c r="C937" s="333">
        <f t="shared" si="204"/>
        <v>0</v>
      </c>
      <c r="D937" s="328"/>
      <c r="E937" s="328">
        <f>VLOOKUP(B937,DONGIA,DG!$B$6,0)</f>
        <v>0</v>
      </c>
      <c r="F937" s="329" t="str">
        <f>VLOOKUP(B937,DONGIA,DG!$C$6,0)</f>
        <v>Cáp đồng bọc CV70</v>
      </c>
      <c r="G937" s="328" t="str">
        <f>VLOOKUP(B937,DONGIA,DG!$D$6,0)</f>
        <v>mét</v>
      </c>
      <c r="H937" s="455">
        <f>H935*3*8.5</f>
        <v>0</v>
      </c>
      <c r="I937" s="329">
        <f>VLOOKUP(B937,DONGIA,DG!$E$6,0)</f>
        <v>142880</v>
      </c>
      <c r="J937" s="329"/>
      <c r="K937" s="329">
        <f>VLOOKUP(B937,DONGIA,DG!$F$6,0)</f>
        <v>0</v>
      </c>
      <c r="L937" s="329">
        <f>VLOOKUP(B937,DONGIA,DG!$G$6,0)</f>
        <v>0</v>
      </c>
      <c r="M937" s="329">
        <f>$H937*I937</f>
        <v>0</v>
      </c>
      <c r="N937" s="329">
        <f>$H937*J937</f>
        <v>0</v>
      </c>
      <c r="O937" s="329">
        <f>$H937*K937</f>
        <v>0</v>
      </c>
      <c r="P937" s="329">
        <f>$H937*L937</f>
        <v>0</v>
      </c>
      <c r="Q937" s="329"/>
      <c r="S937" s="332">
        <f t="shared" si="203"/>
        <v>0.73899999999999999</v>
      </c>
      <c r="T937" s="332">
        <f t="shared" si="205"/>
        <v>0</v>
      </c>
    </row>
    <row r="938" spans="2:20" hidden="1">
      <c r="B938" s="332" t="s">
        <v>1906</v>
      </c>
      <c r="C938" s="333">
        <f t="shared" si="204"/>
        <v>0</v>
      </c>
      <c r="D938" s="328"/>
      <c r="E938" s="328">
        <f>VLOOKUP(B938,DONGIA,DG!$B$6,0)</f>
        <v>0</v>
      </c>
      <c r="F938" s="329" t="str">
        <f>VLOOKUP(B938,DONGIA,DG!$C$6,0)</f>
        <v>Cáp đồng bọc CV50</v>
      </c>
      <c r="G938" s="328" t="str">
        <f>VLOOKUP(B938,DONGIA,DG!$D$6,0)</f>
        <v>mét</v>
      </c>
      <c r="H938" s="455">
        <f>H935*8.5</f>
        <v>0</v>
      </c>
      <c r="I938" s="329">
        <f>VLOOKUP(B938,DONGIA,DG!$E$6,0)</f>
        <v>104370</v>
      </c>
      <c r="J938" s="329"/>
      <c r="K938" s="329">
        <f>VLOOKUP(B938,DONGIA,DG!$F$6,0)</f>
        <v>0</v>
      </c>
      <c r="L938" s="329">
        <f>VLOOKUP(B938,DONGIA,DG!$G$6,0)</f>
        <v>0</v>
      </c>
      <c r="M938" s="329">
        <f t="shared" ref="M938:M960" si="218">$H938*I938</f>
        <v>0</v>
      </c>
      <c r="N938" s="329">
        <f t="shared" ref="N938:N960" si="219">$H938*J938</f>
        <v>0</v>
      </c>
      <c r="O938" s="329">
        <f t="shared" ref="O938:O960" si="220">$H938*K938</f>
        <v>0</v>
      </c>
      <c r="P938" s="329">
        <f t="shared" ref="P938:P960" si="221">$H938*L938</f>
        <v>0</v>
      </c>
      <c r="Q938" s="329"/>
      <c r="S938" s="332">
        <f t="shared" si="203"/>
        <v>0.53400000000000003</v>
      </c>
      <c r="T938" s="332">
        <f t="shared" si="205"/>
        <v>0</v>
      </c>
    </row>
    <row r="939" spans="2:20" hidden="1">
      <c r="B939" s="332" t="s">
        <v>1907</v>
      </c>
      <c r="C939" s="333">
        <f>IF(H939&lt;&gt;0,1,)</f>
        <v>0</v>
      </c>
      <c r="D939" s="328"/>
      <c r="E939" s="328">
        <f>VLOOKUP(B939,DONGIA,DG!$B$6,0)</f>
        <v>0</v>
      </c>
      <c r="F939" s="329" t="str">
        <f>VLOOKUP(B939,DONGIA,DG!$C$6,0)&amp;" (Bắt CB phân đoạn)"</f>
        <v>Cáp đồng bọc CV70 (Bắt CB phân đoạn)</v>
      </c>
      <c r="G939" s="328" t="str">
        <f>VLOOKUP(B939,DONGIA,DG!$D$6,0)</f>
        <v>mét</v>
      </c>
      <c r="H939" s="455">
        <f>H935*3</f>
        <v>0</v>
      </c>
      <c r="I939" s="329">
        <f>VLOOKUP(B939,DONGIA,DG!$E$6,0)</f>
        <v>142880</v>
      </c>
      <c r="J939" s="329"/>
      <c r="K939" s="329">
        <f>VLOOKUP(B939,DONGIA,DG!$F$6,0)</f>
        <v>0</v>
      </c>
      <c r="L939" s="329">
        <f>VLOOKUP(B939,DONGIA,DG!$G$6,0)</f>
        <v>0</v>
      </c>
      <c r="M939" s="329">
        <f t="shared" si="218"/>
        <v>0</v>
      </c>
      <c r="N939" s="329">
        <f t="shared" si="219"/>
        <v>0</v>
      </c>
      <c r="O939" s="329">
        <f t="shared" si="220"/>
        <v>0</v>
      </c>
      <c r="P939" s="329">
        <f t="shared" si="221"/>
        <v>0</v>
      </c>
      <c r="Q939" s="329"/>
      <c r="S939" s="332">
        <f>IFERROR(VLOOKUP(B939,DONGIA,$S$25,0),0)</f>
        <v>0.73899999999999999</v>
      </c>
      <c r="T939" s="332">
        <f>H939*S939</f>
        <v>0</v>
      </c>
    </row>
    <row r="940" spans="2:20" hidden="1">
      <c r="B940" s="332" t="s">
        <v>1113</v>
      </c>
      <c r="C940" s="333">
        <f t="shared" si="204"/>
        <v>0</v>
      </c>
      <c r="D940" s="328"/>
      <c r="E940" s="328"/>
      <c r="F940" s="329" t="str">
        <f>VLOOKUP(B940,DONGIA,DG!$C$6,0)</f>
        <v>Đầu cosse ép Cu 70mm2</v>
      </c>
      <c r="G940" s="328" t="str">
        <f>VLOOKUP(B940,DONGIA,DG!$D$6,0)</f>
        <v>cái</v>
      </c>
      <c r="H940" s="329">
        <f>H935*3+H935*3*2</f>
        <v>0</v>
      </c>
      <c r="I940" s="329">
        <f>VLOOKUP(B940,DONGIA,DG!$E$6,0)</f>
        <v>33000</v>
      </c>
      <c r="J940" s="329"/>
      <c r="K940" s="329"/>
      <c r="L940" s="329"/>
      <c r="M940" s="329">
        <f t="shared" si="218"/>
        <v>0</v>
      </c>
      <c r="N940" s="329">
        <f t="shared" si="219"/>
        <v>0</v>
      </c>
      <c r="O940" s="329">
        <f t="shared" si="220"/>
        <v>0</v>
      </c>
      <c r="P940" s="329">
        <f t="shared" si="221"/>
        <v>0</v>
      </c>
      <c r="Q940" s="329"/>
      <c r="S940" s="332">
        <f t="shared" ref="S940:S1024" si="222">IFERROR(VLOOKUP(B940,DONGIA,$S$25,0),0)</f>
        <v>0.2</v>
      </c>
      <c r="T940" s="332">
        <f t="shared" si="205"/>
        <v>0</v>
      </c>
    </row>
    <row r="941" spans="2:20" hidden="1">
      <c r="B941" s="332" t="s">
        <v>1110</v>
      </c>
      <c r="C941" s="333">
        <f t="shared" ref="C941:C1025" si="223">IF(H941&lt;&gt;0,1,)</f>
        <v>0</v>
      </c>
      <c r="D941" s="328"/>
      <c r="E941" s="328"/>
      <c r="F941" s="329" t="str">
        <f>VLOOKUP(B941,DONGIA,DG!$C$6,0)</f>
        <v>Đầu cosse ép Cu 50mm2</v>
      </c>
      <c r="G941" s="328" t="str">
        <f>VLOOKUP(B941,DONGIA,DG!$D$6,0)</f>
        <v>cái</v>
      </c>
      <c r="H941" s="329">
        <f>H935</f>
        <v>0</v>
      </c>
      <c r="I941" s="329">
        <f>VLOOKUP(B941,DONGIA,DG!$E$6,0)</f>
        <v>23000</v>
      </c>
      <c r="J941" s="329"/>
      <c r="K941" s="329"/>
      <c r="L941" s="329"/>
      <c r="M941" s="329">
        <f t="shared" si="218"/>
        <v>0</v>
      </c>
      <c r="N941" s="329">
        <f t="shared" si="219"/>
        <v>0</v>
      </c>
      <c r="O941" s="329">
        <f t="shared" si="220"/>
        <v>0</v>
      </c>
      <c r="P941" s="329">
        <f t="shared" si="221"/>
        <v>0</v>
      </c>
      <c r="Q941" s="329"/>
      <c r="S941" s="332">
        <f t="shared" si="222"/>
        <v>0.1</v>
      </c>
      <c r="T941" s="332">
        <f t="shared" ref="T941:T1025" si="224">H941*S941</f>
        <v>0</v>
      </c>
    </row>
    <row r="942" spans="2:20" hidden="1">
      <c r="B942" s="332" t="s">
        <v>1147</v>
      </c>
      <c r="C942" s="333">
        <f t="shared" si="223"/>
        <v>0</v>
      </c>
      <c r="D942" s="328"/>
      <c r="E942" s="328">
        <f>VLOOKUP(B942,DONGIA,DG!$B$6,0)</f>
        <v>0</v>
      </c>
      <c r="F942" s="329" t="str">
        <f>VLOOKUP(B942,DONGIA,DG!$C$6,0)</f>
        <v>Chụp đầu cosse  70mm2</v>
      </c>
      <c r="G942" s="328" t="str">
        <f>VLOOKUP(B942,DONGIA,DG!$D$6,0)</f>
        <v>cái</v>
      </c>
      <c r="H942" s="329">
        <f>H940</f>
        <v>0</v>
      </c>
      <c r="I942" s="329">
        <f>VLOOKUP(B942,DONGIA,DG!$E$6,0)</f>
        <v>2000</v>
      </c>
      <c r="J942" s="329"/>
      <c r="K942" s="329">
        <f>VLOOKUP(B942,DONGIA,DG!$F$6,0)</f>
        <v>0</v>
      </c>
      <c r="L942" s="329">
        <f>VLOOKUP(B942,DONGIA,DG!$G$6,0)</f>
        <v>0</v>
      </c>
      <c r="M942" s="329">
        <f t="shared" si="218"/>
        <v>0</v>
      </c>
      <c r="N942" s="329">
        <f t="shared" si="219"/>
        <v>0</v>
      </c>
      <c r="O942" s="329">
        <f t="shared" si="220"/>
        <v>0</v>
      </c>
      <c r="P942" s="329">
        <f t="shared" si="221"/>
        <v>0</v>
      </c>
      <c r="Q942" s="329"/>
      <c r="S942" s="332">
        <f t="shared" si="222"/>
        <v>0</v>
      </c>
      <c r="T942" s="332">
        <f t="shared" si="224"/>
        <v>0</v>
      </c>
    </row>
    <row r="943" spans="2:20" hidden="1">
      <c r="B943" s="332" t="s">
        <v>1145</v>
      </c>
      <c r="C943" s="333">
        <f t="shared" si="223"/>
        <v>0</v>
      </c>
      <c r="D943" s="328"/>
      <c r="E943" s="328">
        <f>VLOOKUP(B943,DONGIA,DG!$B$6,0)</f>
        <v>0</v>
      </c>
      <c r="F943" s="329" t="str">
        <f>VLOOKUP(B943,DONGIA,DG!$C$6,0)</f>
        <v>Chụp đầu cosse  50mm2</v>
      </c>
      <c r="G943" s="328" t="str">
        <f>VLOOKUP(B943,DONGIA,DG!$D$6,0)</f>
        <v>cái</v>
      </c>
      <c r="H943" s="329">
        <f>H941</f>
        <v>0</v>
      </c>
      <c r="I943" s="329">
        <f>VLOOKUP(B943,DONGIA,DG!$E$6,0)</f>
        <v>2000</v>
      </c>
      <c r="J943" s="329"/>
      <c r="K943" s="329">
        <f>VLOOKUP(B943,DONGIA,DG!$F$6,0)</f>
        <v>0</v>
      </c>
      <c r="L943" s="329">
        <f>VLOOKUP(B943,DONGIA,DG!$G$6,0)</f>
        <v>0</v>
      </c>
      <c r="M943" s="329">
        <f t="shared" si="218"/>
        <v>0</v>
      </c>
      <c r="N943" s="329">
        <f t="shared" si="219"/>
        <v>0</v>
      </c>
      <c r="O943" s="329">
        <f t="shared" si="220"/>
        <v>0</v>
      </c>
      <c r="P943" s="329">
        <f t="shared" si="221"/>
        <v>0</v>
      </c>
      <c r="Q943" s="329"/>
      <c r="S943" s="332">
        <f t="shared" si="222"/>
        <v>0</v>
      </c>
      <c r="T943" s="332">
        <f t="shared" si="224"/>
        <v>0</v>
      </c>
    </row>
    <row r="944" spans="2:20" hidden="1">
      <c r="B944" s="332" t="s">
        <v>1177</v>
      </c>
      <c r="C944" s="333">
        <f t="shared" si="223"/>
        <v>0</v>
      </c>
      <c r="D944" s="328"/>
      <c r="E944" s="328">
        <f>VLOOKUP(B944,DONGIA,DG!$B$6,0)</f>
        <v>0</v>
      </c>
      <c r="F944" s="329" t="str">
        <f>VLOOKUP(B944,DONGIA,DG!$C$6,0)</f>
        <v xml:space="preserve">Ống PVC D90x3,8mm </v>
      </c>
      <c r="G944" s="328" t="str">
        <f>VLOOKUP(B944,DONGIA,DG!$D$6,0)</f>
        <v>m</v>
      </c>
      <c r="H944" s="329">
        <f>H935*6</f>
        <v>0</v>
      </c>
      <c r="I944" s="329">
        <f>VLOOKUP(B944,DONGIA,DG!$E$6,0)</f>
        <v>57000</v>
      </c>
      <c r="J944" s="329"/>
      <c r="K944" s="329">
        <f>VLOOKUP(B944,DONGIA,DG!$F$6,0)</f>
        <v>0</v>
      </c>
      <c r="L944" s="329">
        <f>VLOOKUP(B944,DONGIA,DG!$G$6,0)</f>
        <v>0</v>
      </c>
      <c r="M944" s="329">
        <f t="shared" si="218"/>
        <v>0</v>
      </c>
      <c r="N944" s="329">
        <f t="shared" si="219"/>
        <v>0</v>
      </c>
      <c r="O944" s="329">
        <f t="shared" si="220"/>
        <v>0</v>
      </c>
      <c r="P944" s="329">
        <f t="shared" si="221"/>
        <v>0</v>
      </c>
      <c r="Q944" s="329"/>
      <c r="S944" s="332">
        <f t="shared" si="222"/>
        <v>2</v>
      </c>
      <c r="T944" s="332">
        <f t="shared" si="224"/>
        <v>0</v>
      </c>
    </row>
    <row r="945" spans="2:20" hidden="1">
      <c r="B945" s="332" t="s">
        <v>455</v>
      </c>
      <c r="C945" s="333">
        <f t="shared" si="223"/>
        <v>0</v>
      </c>
      <c r="D945" s="328"/>
      <c r="E945" s="328">
        <f>VLOOKUP(B945,DONGIA,DG!$B$6,0)</f>
        <v>0</v>
      </c>
      <c r="F945" s="329" t="str">
        <f>VLOOKUP(B945,DONGIA,DG!$C$6,0)&amp;" (CD-230)"</f>
        <v>Cổ dê kẹp ống PVC φ 90 (có giá nới) (CD-230)</v>
      </c>
      <c r="G945" s="328" t="str">
        <f>VLOOKUP(B945,DONGIA,DG!$D$6,0)</f>
        <v>bộ</v>
      </c>
      <c r="H945" s="329">
        <f>H935</f>
        <v>0</v>
      </c>
      <c r="I945" s="329">
        <f>VLOOKUP(B945,DONGIA,DG!$E$6,0)</f>
        <v>60000</v>
      </c>
      <c r="J945" s="329"/>
      <c r="K945" s="329">
        <f>VLOOKUP(B945,DONGIA,DG!$F$6,0)</f>
        <v>0</v>
      </c>
      <c r="L945" s="329">
        <f>VLOOKUP(B945,DONGIA,DG!$G$6,0)</f>
        <v>0</v>
      </c>
      <c r="M945" s="329">
        <f t="shared" si="218"/>
        <v>0</v>
      </c>
      <c r="N945" s="329">
        <f t="shared" si="219"/>
        <v>0</v>
      </c>
      <c r="O945" s="329">
        <f t="shared" si="220"/>
        <v>0</v>
      </c>
      <c r="P945" s="329">
        <f t="shared" si="221"/>
        <v>0</v>
      </c>
      <c r="Q945" s="329"/>
      <c r="S945" s="332">
        <f t="shared" si="222"/>
        <v>1.5</v>
      </c>
      <c r="T945" s="332">
        <f t="shared" si="224"/>
        <v>0</v>
      </c>
    </row>
    <row r="946" spans="2:20" hidden="1">
      <c r="B946" s="332" t="s">
        <v>455</v>
      </c>
      <c r="C946" s="333">
        <f t="shared" si="223"/>
        <v>0</v>
      </c>
      <c r="D946" s="328"/>
      <c r="E946" s="328">
        <f>VLOOKUP(B946,DONGIA,DG!$B$6,0)</f>
        <v>0</v>
      </c>
      <c r="F946" s="329" t="str">
        <f>VLOOKUP(B946,DONGIA,DG!$C$6,0)&amp;" (CD-280)"</f>
        <v>Cổ dê kẹp ống PVC φ 90 (có giá nới) (CD-280)</v>
      </c>
      <c r="G946" s="328" t="str">
        <f>VLOOKUP(B946,DONGIA,DG!$D$6,0)</f>
        <v>bộ</v>
      </c>
      <c r="H946" s="329">
        <f>H935</f>
        <v>0</v>
      </c>
      <c r="I946" s="329">
        <f>VLOOKUP(B946,DONGIA,DG!$E$6,0)</f>
        <v>60000</v>
      </c>
      <c r="J946" s="329"/>
      <c r="K946" s="329">
        <f>VLOOKUP(B946,DONGIA,DG!$F$6,0)</f>
        <v>0</v>
      </c>
      <c r="L946" s="329">
        <f>VLOOKUP(B946,DONGIA,DG!$G$6,0)</f>
        <v>0</v>
      </c>
      <c r="M946" s="329">
        <f t="shared" si="218"/>
        <v>0</v>
      </c>
      <c r="N946" s="329">
        <f t="shared" si="219"/>
        <v>0</v>
      </c>
      <c r="O946" s="329">
        <f t="shared" si="220"/>
        <v>0</v>
      </c>
      <c r="P946" s="329">
        <f t="shared" si="221"/>
        <v>0</v>
      </c>
      <c r="Q946" s="329"/>
      <c r="S946" s="332">
        <f t="shared" si="222"/>
        <v>1.5</v>
      </c>
      <c r="T946" s="332">
        <f t="shared" si="224"/>
        <v>0</v>
      </c>
    </row>
    <row r="947" spans="2:20" hidden="1">
      <c r="B947" s="332" t="s">
        <v>455</v>
      </c>
      <c r="C947" s="333">
        <f t="shared" si="223"/>
        <v>0</v>
      </c>
      <c r="D947" s="328"/>
      <c r="E947" s="328">
        <f>VLOOKUP(B947,DONGIA,DG!$B$6,0)</f>
        <v>0</v>
      </c>
      <c r="F947" s="329" t="str">
        <f>VLOOKUP(B947,DONGIA,DG!$C$6,0)&amp;" (CD-320)"</f>
        <v>Cổ dê kẹp ống PVC φ 90 (có giá nới) (CD-320)</v>
      </c>
      <c r="G947" s="328" t="str">
        <f>VLOOKUP(B947,DONGIA,DG!$D$6,0)</f>
        <v>bộ</v>
      </c>
      <c r="H947" s="329">
        <f>H935</f>
        <v>0</v>
      </c>
      <c r="I947" s="329">
        <f>VLOOKUP(B947,DONGIA,DG!$E$6,0)</f>
        <v>60000</v>
      </c>
      <c r="J947" s="329"/>
      <c r="K947" s="329">
        <f>VLOOKUP(B947,DONGIA,DG!$F$6,0)</f>
        <v>0</v>
      </c>
      <c r="L947" s="329">
        <f>VLOOKUP(B947,DONGIA,DG!$G$6,0)</f>
        <v>0</v>
      </c>
      <c r="M947" s="329">
        <f t="shared" si="218"/>
        <v>0</v>
      </c>
      <c r="N947" s="329">
        <f t="shared" si="219"/>
        <v>0</v>
      </c>
      <c r="O947" s="329">
        <f t="shared" si="220"/>
        <v>0</v>
      </c>
      <c r="P947" s="329">
        <f t="shared" si="221"/>
        <v>0</v>
      </c>
      <c r="Q947" s="329"/>
      <c r="S947" s="332">
        <f t="shared" si="222"/>
        <v>1.5</v>
      </c>
      <c r="T947" s="332">
        <f t="shared" si="224"/>
        <v>0</v>
      </c>
    </row>
    <row r="948" spans="2:20" hidden="1">
      <c r="B948" s="332" t="s">
        <v>1183</v>
      </c>
      <c r="C948" s="333">
        <f t="shared" si="223"/>
        <v>0</v>
      </c>
      <c r="D948" s="328"/>
      <c r="E948" s="328">
        <f>VLOOKUP(B948,DONGIA,DG!$B$6,0)</f>
        <v>0</v>
      </c>
      <c r="F948" s="329" t="str">
        <f>VLOOKUP(B948,DONGIA,DG!$C$6,0)</f>
        <v>Co  90 độ PVC 90</v>
      </c>
      <c r="G948" s="328" t="str">
        <f>VLOOKUP(B948,DONGIA,DG!$D$6,0)</f>
        <v>cái</v>
      </c>
      <c r="H948" s="329">
        <f>H935*2</f>
        <v>0</v>
      </c>
      <c r="I948" s="329">
        <f>VLOOKUP(B948,DONGIA,DG!$E$6,0)</f>
        <v>45400</v>
      </c>
      <c r="J948" s="329"/>
      <c r="K948" s="329">
        <f>VLOOKUP(B948,DONGIA,DG!$F$6,0)</f>
        <v>0</v>
      </c>
      <c r="L948" s="329">
        <f>VLOOKUP(B948,DONGIA,DG!$G$6,0)</f>
        <v>0</v>
      </c>
      <c r="M948" s="329">
        <f t="shared" si="218"/>
        <v>0</v>
      </c>
      <c r="N948" s="329">
        <f t="shared" si="219"/>
        <v>0</v>
      </c>
      <c r="O948" s="329">
        <f t="shared" si="220"/>
        <v>0</v>
      </c>
      <c r="P948" s="329">
        <f t="shared" si="221"/>
        <v>0</v>
      </c>
      <c r="Q948" s="329"/>
      <c r="S948" s="332">
        <f t="shared" si="222"/>
        <v>0</v>
      </c>
      <c r="T948" s="332">
        <f t="shared" si="224"/>
        <v>0</v>
      </c>
    </row>
    <row r="949" spans="2:20" hidden="1">
      <c r="B949" s="332" t="s">
        <v>2956</v>
      </c>
      <c r="C949" s="333">
        <f>IF(H949&lt;&gt;0,1,)</f>
        <v>0</v>
      </c>
      <c r="D949" s="328"/>
      <c r="E949" s="328">
        <f>VLOOKUP(B949,DONGIA,DG!$B$6,0)</f>
        <v>0</v>
      </c>
      <c r="F949" s="329" t="str">
        <f>VLOOKUP(B949,DONGIA,DG!$C$6,0)</f>
        <v>Co  90 độ PVC 90 (Loại dày)</v>
      </c>
      <c r="G949" s="328" t="str">
        <f>VLOOKUP(B949,DONGIA,DG!$D$6,0)</f>
        <v>cái</v>
      </c>
      <c r="H949" s="329">
        <f>H935</f>
        <v>0</v>
      </c>
      <c r="I949" s="329">
        <f>VLOOKUP(B949,DONGIA,DG!$E$6,0)</f>
        <v>45400</v>
      </c>
      <c r="J949" s="329"/>
      <c r="K949" s="329">
        <f>VLOOKUP(B949,DONGIA,DG!$F$6,0)</f>
        <v>0</v>
      </c>
      <c r="L949" s="329">
        <f>VLOOKUP(B949,DONGIA,DG!$G$6,0)</f>
        <v>0</v>
      </c>
      <c r="M949" s="329">
        <f>$H949*I949</f>
        <v>0</v>
      </c>
      <c r="N949" s="329">
        <f>$H949*J949</f>
        <v>0</v>
      </c>
      <c r="O949" s="329">
        <f>$H949*K949</f>
        <v>0</v>
      </c>
      <c r="P949" s="329">
        <f>$H949*L949</f>
        <v>0</v>
      </c>
      <c r="Q949" s="329"/>
      <c r="S949" s="332">
        <f>IFERROR(VLOOKUP(B949,DONGIA,$S$25,0),0)</f>
        <v>0</v>
      </c>
      <c r="T949" s="332">
        <f>H949*S949</f>
        <v>0</v>
      </c>
    </row>
    <row r="950" spans="2:20" hidden="1">
      <c r="B950" s="332" t="s">
        <v>1181</v>
      </c>
      <c r="C950" s="333">
        <f t="shared" si="223"/>
        <v>0</v>
      </c>
      <c r="D950" s="328"/>
      <c r="E950" s="328">
        <f>VLOOKUP(B950,DONGIA,DG!$B$6,0)</f>
        <v>0</v>
      </c>
      <c r="F950" s="329" t="str">
        <f>VLOOKUP(B950,DONGIA,DG!$C$6,0)</f>
        <v>Co 135 độ PVC 90</v>
      </c>
      <c r="G950" s="328" t="str">
        <f>VLOOKUP(B950,DONGIA,DG!$D$6,0)</f>
        <v>cái</v>
      </c>
      <c r="H950" s="329">
        <f>H935</f>
        <v>0</v>
      </c>
      <c r="I950" s="329">
        <f>VLOOKUP(B950,DONGIA,DG!$E$6,0)</f>
        <v>34800</v>
      </c>
      <c r="J950" s="329"/>
      <c r="K950" s="329">
        <f>VLOOKUP(B950,DONGIA,DG!$F$6,0)</f>
        <v>0</v>
      </c>
      <c r="L950" s="329">
        <f>VLOOKUP(B950,DONGIA,DG!$G$6,0)</f>
        <v>0</v>
      </c>
      <c r="M950" s="329">
        <f t="shared" si="218"/>
        <v>0</v>
      </c>
      <c r="N950" s="329">
        <f t="shared" si="219"/>
        <v>0</v>
      </c>
      <c r="O950" s="329">
        <f t="shared" si="220"/>
        <v>0</v>
      </c>
      <c r="P950" s="329">
        <f t="shared" si="221"/>
        <v>0</v>
      </c>
      <c r="Q950" s="329"/>
      <c r="S950" s="332">
        <f t="shared" si="222"/>
        <v>0</v>
      </c>
      <c r="T950" s="332">
        <f t="shared" si="224"/>
        <v>0</v>
      </c>
    </row>
    <row r="951" spans="2:20" hidden="1">
      <c r="B951" s="332" t="s">
        <v>1203</v>
      </c>
      <c r="C951" s="333">
        <f>IF(H951&lt;&gt;0,1,)</f>
        <v>0</v>
      </c>
      <c r="D951" s="328"/>
      <c r="E951" s="328">
        <f>VLOOKUP(B951,DONGIA,DG!$B$6,0)</f>
        <v>0</v>
      </c>
      <c r="F951" s="329" t="str">
        <f>VLOOKUP(B951,DONGIA,DG!$C$6,0)</f>
        <v>Khâu ven răng trong D90</v>
      </c>
      <c r="G951" s="328" t="str">
        <f>VLOOKUP(B951,DONGIA,DG!$D$6,0)</f>
        <v>cái</v>
      </c>
      <c r="H951" s="329">
        <f>H935</f>
        <v>0</v>
      </c>
      <c r="I951" s="329">
        <f>VLOOKUP(B951,DONGIA,DG!$E$6,0)</f>
        <v>25800</v>
      </c>
      <c r="J951" s="329"/>
      <c r="K951" s="329">
        <f>VLOOKUP(B951,DONGIA,DG!$F$6,0)</f>
        <v>0</v>
      </c>
      <c r="L951" s="329">
        <f>VLOOKUP(B951,DONGIA,DG!$G$6,0)</f>
        <v>0</v>
      </c>
      <c r="M951" s="329">
        <f t="shared" ref="M951:P952" si="225">$H951*I951</f>
        <v>0</v>
      </c>
      <c r="N951" s="329">
        <f t="shared" si="225"/>
        <v>0</v>
      </c>
      <c r="O951" s="329">
        <f t="shared" si="225"/>
        <v>0</v>
      </c>
      <c r="P951" s="329">
        <f t="shared" si="225"/>
        <v>0</v>
      </c>
      <c r="Q951" s="329"/>
      <c r="S951" s="332">
        <f>IFERROR(VLOOKUP(B951,DONGIA,$S$25,0),0)</f>
        <v>0</v>
      </c>
      <c r="T951" s="332">
        <f>H951*S951</f>
        <v>0</v>
      </c>
    </row>
    <row r="952" spans="2:20" hidden="1">
      <c r="B952" s="332" t="s">
        <v>1209</v>
      </c>
      <c r="C952" s="333">
        <f>IF(H952&lt;&gt;0,1,)</f>
        <v>0</v>
      </c>
      <c r="D952" s="328"/>
      <c r="E952" s="328">
        <f>VLOOKUP(B952,DONGIA,DG!$B$6,0)</f>
        <v>0</v>
      </c>
      <c r="F952" s="329" t="str">
        <f>VLOOKUP(B952,DONGIA,DG!$C$6,0)</f>
        <v>Khâu ven răng ngoài D90</v>
      </c>
      <c r="G952" s="328" t="str">
        <f>VLOOKUP(B952,DONGIA,DG!$D$6,0)</f>
        <v>cái</v>
      </c>
      <c r="H952" s="329">
        <f>H935</f>
        <v>0</v>
      </c>
      <c r="I952" s="329">
        <f>VLOOKUP(B952,DONGIA,DG!$E$6,0)</f>
        <v>21500</v>
      </c>
      <c r="J952" s="329"/>
      <c r="K952" s="329">
        <f>VLOOKUP(B952,DONGIA,DG!$F$6,0)</f>
        <v>0</v>
      </c>
      <c r="L952" s="329">
        <f>VLOOKUP(B952,DONGIA,DG!$G$6,0)</f>
        <v>0</v>
      </c>
      <c r="M952" s="329">
        <f t="shared" si="225"/>
        <v>0</v>
      </c>
      <c r="N952" s="329">
        <f t="shared" si="225"/>
        <v>0</v>
      </c>
      <c r="O952" s="329">
        <f t="shared" si="225"/>
        <v>0</v>
      </c>
      <c r="P952" s="329">
        <f t="shared" si="225"/>
        <v>0</v>
      </c>
      <c r="Q952" s="329"/>
      <c r="S952" s="332">
        <f>IFERROR(VLOOKUP(B952,DONGIA,$S$25,0),0)</f>
        <v>0</v>
      </c>
      <c r="T952" s="332">
        <f>H952*S952</f>
        <v>0</v>
      </c>
    </row>
    <row r="953" spans="2:20" hidden="1">
      <c r="B953" s="332" t="s">
        <v>1914</v>
      </c>
      <c r="C953" s="333">
        <f t="shared" si="223"/>
        <v>0</v>
      </c>
      <c r="D953" s="328"/>
      <c r="E953" s="328">
        <f>VLOOKUP(B953,DONGIA,DG!$B$6,0)</f>
        <v>0</v>
      </c>
      <c r="F953" s="329" t="str">
        <f>VLOOKUP(B953,DONGIA,DG!$C$6,0)</f>
        <v>Keo dán ống PVC (100gr)</v>
      </c>
      <c r="G953" s="328" t="str">
        <f>VLOOKUP(B953,DONGIA,DG!$D$6,0)</f>
        <v>tuýp</v>
      </c>
      <c r="H953" s="329">
        <f>H935</f>
        <v>0</v>
      </c>
      <c r="I953" s="329">
        <f>VLOOKUP(B953,DONGIA,DG!$E$6,0)</f>
        <v>11500</v>
      </c>
      <c r="J953" s="329"/>
      <c r="K953" s="329">
        <f>VLOOKUP(B953,DONGIA,DG!$F$6,0)</f>
        <v>0</v>
      </c>
      <c r="L953" s="329">
        <f>VLOOKUP(B953,DONGIA,DG!$G$6,0)</f>
        <v>0</v>
      </c>
      <c r="M953" s="329">
        <f t="shared" si="218"/>
        <v>0</v>
      </c>
      <c r="N953" s="329">
        <f t="shared" si="219"/>
        <v>0</v>
      </c>
      <c r="O953" s="329">
        <f t="shared" si="220"/>
        <v>0</v>
      </c>
      <c r="P953" s="329">
        <f t="shared" si="221"/>
        <v>0</v>
      </c>
      <c r="Q953" s="329"/>
      <c r="S953" s="332">
        <f t="shared" si="222"/>
        <v>0</v>
      </c>
      <c r="T953" s="332">
        <f t="shared" si="224"/>
        <v>0</v>
      </c>
    </row>
    <row r="954" spans="2:20" hidden="1">
      <c r="B954" s="332" t="s">
        <v>1195</v>
      </c>
      <c r="C954" s="333">
        <f t="shared" si="223"/>
        <v>0</v>
      </c>
      <c r="D954" s="328"/>
      <c r="E954" s="328">
        <f>VLOOKUP(B954,DONGIA,DG!$B$6,0)</f>
        <v>0</v>
      </c>
      <c r="F954" s="329" t="str">
        <f>VLOOKUP(B954,DONGIA,DG!$C$6,0)</f>
        <v>Keo silicon bít miệng ống</v>
      </c>
      <c r="G954" s="328" t="str">
        <f>VLOOKUP(B954,DONGIA,DG!$D$6,0)</f>
        <v>ống</v>
      </c>
      <c r="H954" s="329"/>
      <c r="I954" s="329">
        <f>VLOOKUP(B954,DONGIA,DG!$E$6,0)</f>
        <v>45000</v>
      </c>
      <c r="J954" s="329"/>
      <c r="K954" s="329">
        <f>VLOOKUP(B954,DONGIA,DG!$F$6,0)</f>
        <v>0</v>
      </c>
      <c r="L954" s="329">
        <f>VLOOKUP(B954,DONGIA,DG!$G$6,0)</f>
        <v>0</v>
      </c>
      <c r="M954" s="329">
        <f t="shared" si="218"/>
        <v>0</v>
      </c>
      <c r="N954" s="329">
        <f t="shared" si="219"/>
        <v>0</v>
      </c>
      <c r="O954" s="329">
        <f t="shared" si="220"/>
        <v>0</v>
      </c>
      <c r="P954" s="329">
        <f t="shared" si="221"/>
        <v>0</v>
      </c>
      <c r="Q954" s="329"/>
      <c r="S954" s="332">
        <f t="shared" si="222"/>
        <v>0</v>
      </c>
      <c r="T954" s="332">
        <f t="shared" si="224"/>
        <v>0</v>
      </c>
    </row>
    <row r="955" spans="2:20" hidden="1">
      <c r="B955" s="332" t="s">
        <v>1193</v>
      </c>
      <c r="C955" s="333">
        <f t="shared" si="223"/>
        <v>0</v>
      </c>
      <c r="D955" s="328"/>
      <c r="E955" s="328">
        <f>VLOOKUP(B955,DONGIA,DG!$B$6,0)</f>
        <v>0</v>
      </c>
      <c r="F955" s="329" t="str">
        <f>VLOOKUP(B955,DONGIA,DG!$C$6,0)</f>
        <v>Băng keo cách điện</v>
      </c>
      <c r="G955" s="328" t="str">
        <f>VLOOKUP(B955,DONGIA,DG!$D$6,0)</f>
        <v>cuộn</v>
      </c>
      <c r="H955" s="329">
        <f>ROUNDUP(H935/2,0)</f>
        <v>0</v>
      </c>
      <c r="I955" s="329">
        <f>VLOOKUP(B955,DONGIA,DG!$E$6,0)</f>
        <v>6500</v>
      </c>
      <c r="J955" s="329"/>
      <c r="K955" s="329">
        <f>VLOOKUP(B955,DONGIA,DG!$F$6,0)</f>
        <v>0</v>
      </c>
      <c r="L955" s="329">
        <f>VLOOKUP(B955,DONGIA,DG!$G$6,0)</f>
        <v>0</v>
      </c>
      <c r="M955" s="329">
        <f t="shared" si="218"/>
        <v>0</v>
      </c>
      <c r="N955" s="329">
        <f t="shared" si="219"/>
        <v>0</v>
      </c>
      <c r="O955" s="329">
        <f t="shared" si="220"/>
        <v>0</v>
      </c>
      <c r="P955" s="329">
        <f t="shared" si="221"/>
        <v>0</v>
      </c>
      <c r="Q955" s="329"/>
      <c r="S955" s="332">
        <f t="shared" si="222"/>
        <v>0</v>
      </c>
      <c r="T955" s="332">
        <f t="shared" si="224"/>
        <v>0</v>
      </c>
    </row>
    <row r="956" spans="2:20" hidden="1">
      <c r="B956" s="332" t="s">
        <v>2979</v>
      </c>
      <c r="C956" s="333">
        <f t="shared" si="223"/>
        <v>0</v>
      </c>
      <c r="D956" s="328"/>
      <c r="E956" s="328">
        <f>VLOOKUP(B956,DONGIA,DG!$B$6,0)</f>
        <v>0</v>
      </c>
      <c r="F956" s="329" t="str">
        <f>VLOOKUP(B956,DONGIA,DG!$C$6,0)</f>
        <v>Băng keo cách điện (Màu vàng)</v>
      </c>
      <c r="G956" s="328" t="str">
        <f>VLOOKUP(B956,DONGIA,DG!$D$6,0)</f>
        <v>cuộn</v>
      </c>
      <c r="H956" s="329">
        <f>ROUNDUP(H935/2,0)</f>
        <v>0</v>
      </c>
      <c r="I956" s="329">
        <f>VLOOKUP(B956,DONGIA,DG!$E$6,0)</f>
        <v>6500</v>
      </c>
      <c r="J956" s="329"/>
      <c r="K956" s="329">
        <f>VLOOKUP(B956,DONGIA,DG!$F$6,0)</f>
        <v>0</v>
      </c>
      <c r="L956" s="329">
        <f>VLOOKUP(B956,DONGIA,DG!$G$6,0)</f>
        <v>0</v>
      </c>
      <c r="M956" s="329">
        <f t="shared" si="218"/>
        <v>0</v>
      </c>
      <c r="N956" s="329">
        <f t="shared" si="219"/>
        <v>0</v>
      </c>
      <c r="O956" s="329">
        <f t="shared" si="220"/>
        <v>0</v>
      </c>
      <c r="P956" s="329">
        <f t="shared" si="221"/>
        <v>0</v>
      </c>
      <c r="Q956" s="329"/>
      <c r="S956" s="332">
        <f t="shared" si="222"/>
        <v>0</v>
      </c>
      <c r="T956" s="332">
        <f t="shared" si="224"/>
        <v>0</v>
      </c>
    </row>
    <row r="957" spans="2:20" hidden="1">
      <c r="B957" s="332" t="s">
        <v>2980</v>
      </c>
      <c r="C957" s="333">
        <f t="shared" si="223"/>
        <v>0</v>
      </c>
      <c r="D957" s="328"/>
      <c r="E957" s="328">
        <f>VLOOKUP(B957,DONGIA,DG!$B$6,0)</f>
        <v>0</v>
      </c>
      <c r="F957" s="329" t="str">
        <f>VLOOKUP(B957,DONGIA,DG!$C$6,0)</f>
        <v>Băng keo cách điện (Màu xanh)</v>
      </c>
      <c r="G957" s="328" t="str">
        <f>VLOOKUP(B957,DONGIA,DG!$D$6,0)</f>
        <v>cuộn</v>
      </c>
      <c r="H957" s="329">
        <f>ROUNDUP(H935/2,0)</f>
        <v>0</v>
      </c>
      <c r="I957" s="329">
        <f>VLOOKUP(B957,DONGIA,DG!$E$6,0)</f>
        <v>6500</v>
      </c>
      <c r="J957" s="329"/>
      <c r="K957" s="329">
        <f>VLOOKUP(B957,DONGIA,DG!$F$6,0)</f>
        <v>0</v>
      </c>
      <c r="L957" s="329">
        <f>VLOOKUP(B957,DONGIA,DG!$G$6,0)</f>
        <v>0</v>
      </c>
      <c r="M957" s="329">
        <f t="shared" si="218"/>
        <v>0</v>
      </c>
      <c r="N957" s="329">
        <f t="shared" si="219"/>
        <v>0</v>
      </c>
      <c r="O957" s="329">
        <f t="shared" si="220"/>
        <v>0</v>
      </c>
      <c r="P957" s="329">
        <f t="shared" si="221"/>
        <v>0</v>
      </c>
      <c r="Q957" s="329"/>
      <c r="S957" s="332">
        <f t="shared" si="222"/>
        <v>0</v>
      </c>
      <c r="T957" s="332">
        <f t="shared" si="224"/>
        <v>0</v>
      </c>
    </row>
    <row r="958" spans="2:20" hidden="1">
      <c r="B958" s="332" t="s">
        <v>2981</v>
      </c>
      <c r="C958" s="333">
        <f t="shared" si="223"/>
        <v>0</v>
      </c>
      <c r="D958" s="328"/>
      <c r="E958" s="328">
        <f>VLOOKUP(B958,DONGIA,DG!$B$6,0)</f>
        <v>0</v>
      </c>
      <c r="F958" s="329" t="str">
        <f>VLOOKUP(B958,DONGIA,DG!$C$6,0)</f>
        <v>Băng keo cách điện (Màu đỏ)</v>
      </c>
      <c r="G958" s="328" t="str">
        <f>VLOOKUP(B958,DONGIA,DG!$D$6,0)</f>
        <v>cuộn</v>
      </c>
      <c r="H958" s="329">
        <f>ROUNDUP(H935/2,0)</f>
        <v>0</v>
      </c>
      <c r="I958" s="329">
        <f>VLOOKUP(B958,DONGIA,DG!$E$6,0)</f>
        <v>6500</v>
      </c>
      <c r="J958" s="329"/>
      <c r="K958" s="329">
        <f>VLOOKUP(B958,DONGIA,DG!$F$6,0)</f>
        <v>0</v>
      </c>
      <c r="L958" s="329">
        <f>VLOOKUP(B958,DONGIA,DG!$G$6,0)</f>
        <v>0</v>
      </c>
      <c r="M958" s="329">
        <f t="shared" si="218"/>
        <v>0</v>
      </c>
      <c r="N958" s="329">
        <f t="shared" si="219"/>
        <v>0</v>
      </c>
      <c r="O958" s="329">
        <f t="shared" si="220"/>
        <v>0</v>
      </c>
      <c r="P958" s="329">
        <f t="shared" si="221"/>
        <v>0</v>
      </c>
      <c r="Q958" s="329"/>
      <c r="S958" s="332">
        <f t="shared" si="222"/>
        <v>0</v>
      </c>
      <c r="T958" s="332">
        <f t="shared" si="224"/>
        <v>0</v>
      </c>
    </row>
    <row r="959" spans="2:20" hidden="1">
      <c r="B959" s="332" t="s">
        <v>855</v>
      </c>
      <c r="C959" s="333">
        <f t="shared" si="223"/>
        <v>0</v>
      </c>
      <c r="D959" s="328"/>
      <c r="E959" s="328" t="str">
        <f>VLOOKUP(B959,DONGIA,DG!$B$6,0)</f>
        <v>T4.8003</v>
      </c>
      <c r="F959" s="329" t="str">
        <f>VLOOKUP(B959,DONGIA,DG!$C$6,0)</f>
        <v>Lắp ống nhựa PVC D90</v>
      </c>
      <c r="G959" s="328" t="str">
        <f>VLOOKUP(B959,DONGIA,DG!$D$6,0)</f>
        <v>mét</v>
      </c>
      <c r="H959" s="329">
        <f>H944</f>
        <v>0</v>
      </c>
      <c r="I959" s="329">
        <f>VLOOKUP(B959,DONGIA,DG!$E$6,0)</f>
        <v>0</v>
      </c>
      <c r="J959" s="329"/>
      <c r="K959" s="329">
        <f>VLOOKUP(B959,DONGIA,DG!$F$6,0)</f>
        <v>35541</v>
      </c>
      <c r="L959" s="329">
        <f>VLOOKUP(B959,DONGIA,DG!$G$6,0)</f>
        <v>0</v>
      </c>
      <c r="M959" s="329">
        <f t="shared" si="218"/>
        <v>0</v>
      </c>
      <c r="N959" s="329">
        <f t="shared" si="219"/>
        <v>0</v>
      </c>
      <c r="O959" s="329">
        <f t="shared" si="220"/>
        <v>0</v>
      </c>
      <c r="P959" s="329">
        <f t="shared" si="221"/>
        <v>0</v>
      </c>
      <c r="Q959" s="329"/>
      <c r="S959" s="332">
        <f t="shared" si="222"/>
        <v>0</v>
      </c>
      <c r="T959" s="332">
        <f t="shared" si="224"/>
        <v>0</v>
      </c>
    </row>
    <row r="960" spans="2:20" hidden="1">
      <c r="B960" s="332" t="s">
        <v>1939</v>
      </c>
      <c r="C960" s="333">
        <f t="shared" si="223"/>
        <v>0</v>
      </c>
      <c r="D960" s="328"/>
      <c r="E960" s="328" t="str">
        <f>VLOOKUP(B960,DONGIA,DG!$B$6,0)</f>
        <v>T4.4201</v>
      </c>
      <c r="F960" s="329" t="str">
        <f>VLOOKUP(B960,DONGIA,DG!$C$6,0)</f>
        <v>Lắp cáp đồng xuống thiết bị D ≤ 95mm2</v>
      </c>
      <c r="G960" s="328" t="str">
        <f>VLOOKUP(B960,DONGIA,DG!$D$6,0)</f>
        <v>m</v>
      </c>
      <c r="H960" s="455">
        <f>H937+H938+H939</f>
        <v>0</v>
      </c>
      <c r="I960" s="329">
        <f>VLOOKUP(B960,DONGIA,DG!$E$6,0)</f>
        <v>0</v>
      </c>
      <c r="J960" s="329"/>
      <c r="K960" s="329">
        <f>VLOOKUP(B960,DONGIA,DG!$F$6,0)</f>
        <v>11847</v>
      </c>
      <c r="L960" s="329">
        <f>VLOOKUP(B960,DONGIA,DG!$G$6,0)</f>
        <v>0</v>
      </c>
      <c r="M960" s="329">
        <f t="shared" si="218"/>
        <v>0</v>
      </c>
      <c r="N960" s="329">
        <f t="shared" si="219"/>
        <v>0</v>
      </c>
      <c r="O960" s="329">
        <f t="shared" si="220"/>
        <v>0</v>
      </c>
      <c r="P960" s="329">
        <f t="shared" si="221"/>
        <v>0</v>
      </c>
      <c r="Q960" s="329"/>
      <c r="S960" s="332">
        <f t="shared" si="222"/>
        <v>0</v>
      </c>
      <c r="T960" s="332">
        <f t="shared" si="224"/>
        <v>0</v>
      </c>
    </row>
    <row r="961" spans="1:20" hidden="1">
      <c r="C961" s="333">
        <f>IF(SUM(C963:C971)&lt;&gt;0,1,)</f>
        <v>0</v>
      </c>
      <c r="D961" s="372">
        <f>IF(H961&lt;&gt;0,D935+1,D935)</f>
        <v>0</v>
      </c>
      <c r="E961" s="372"/>
      <c r="F961" s="373" t="s">
        <v>2986</v>
      </c>
      <c r="G961" s="372" t="s">
        <v>138</v>
      </c>
      <c r="H961" s="372"/>
      <c r="I961" s="373"/>
      <c r="J961" s="373"/>
      <c r="K961" s="373"/>
      <c r="L961" s="373"/>
      <c r="M961" s="373"/>
      <c r="N961" s="373"/>
      <c r="O961" s="373"/>
      <c r="P961" s="373"/>
      <c r="Q961" s="373"/>
      <c r="S961" s="332">
        <f t="shared" si="222"/>
        <v>0</v>
      </c>
      <c r="T961" s="332">
        <f t="shared" si="224"/>
        <v>0</v>
      </c>
    </row>
    <row r="962" spans="1:20" s="361" customFormat="1" hidden="1">
      <c r="C962" s="374">
        <f>IF(SUM(C963:C971)&lt;&gt;0,1,)</f>
        <v>0</v>
      </c>
      <c r="D962" s="350"/>
      <c r="E962" s="350"/>
      <c r="F962" s="351" t="s">
        <v>2935</v>
      </c>
      <c r="G962" s="350"/>
      <c r="H962" s="482"/>
      <c r="I962" s="351"/>
      <c r="J962" s="351"/>
      <c r="K962" s="351"/>
      <c r="L962" s="351"/>
      <c r="M962" s="351"/>
      <c r="N962" s="351"/>
      <c r="O962" s="351"/>
      <c r="P962" s="351"/>
      <c r="Q962" s="351"/>
      <c r="S962" s="361">
        <f t="shared" si="222"/>
        <v>0</v>
      </c>
      <c r="T962" s="361">
        <f t="shared" si="224"/>
        <v>0</v>
      </c>
    </row>
    <row r="963" spans="1:20" s="352" customFormat="1" hidden="1">
      <c r="B963" s="352" t="s">
        <v>177</v>
      </c>
      <c r="C963" s="484">
        <f t="shared" ref="C963:C971" si="226">IF(H963&lt;&gt;0,1,)</f>
        <v>0</v>
      </c>
      <c r="D963" s="363"/>
      <c r="E963" s="363">
        <f>VLOOKUP(B963,DONGIA,DG!$B$6,0)</f>
        <v>0</v>
      </c>
      <c r="F963" s="362" t="str">
        <f>VLOOKUP(B963,DONGIA,DG!$C$6,0)</f>
        <v>Cáp nhôm lõi thép AC-50/8</v>
      </c>
      <c r="G963" s="363" t="str">
        <f>VLOOKUP(B963,DONGIA,DG!$D$6,0)</f>
        <v>kg</v>
      </c>
      <c r="H963" s="483"/>
      <c r="I963" s="362">
        <f>VLOOKUP(B963,DONGIA,DG!$E$6,0)</f>
        <v>59680</v>
      </c>
      <c r="J963" s="362"/>
      <c r="K963" s="362">
        <f>VLOOKUP(B963,DONGIA,DG!$F$6,0)</f>
        <v>0</v>
      </c>
      <c r="L963" s="362">
        <f>VLOOKUP(B963,DONGIA,DG!$G$6,0)</f>
        <v>0</v>
      </c>
      <c r="M963" s="362">
        <f t="shared" ref="M963:M971" si="227">$H963*I963</f>
        <v>0</v>
      </c>
      <c r="N963" s="362">
        <f t="shared" ref="N963:N971" si="228">$H963*J963</f>
        <v>0</v>
      </c>
      <c r="O963" s="362">
        <f t="shared" ref="O963:O971" si="229">$H963*K963</f>
        <v>0</v>
      </c>
      <c r="P963" s="362">
        <f t="shared" ref="P963:P971" si="230">$H963*L963</f>
        <v>0</v>
      </c>
      <c r="Q963" s="362"/>
      <c r="S963" s="352">
        <f t="shared" si="222"/>
        <v>1</v>
      </c>
      <c r="T963" s="352">
        <f t="shared" si="224"/>
        <v>0</v>
      </c>
    </row>
    <row r="964" spans="1:20" s="352" customFormat="1" hidden="1">
      <c r="B964" s="352" t="s">
        <v>1577</v>
      </c>
      <c r="C964" s="484">
        <f t="shared" si="226"/>
        <v>0</v>
      </c>
      <c r="D964" s="363"/>
      <c r="E964" s="363">
        <f>VLOOKUP(B964,DONGIA,DG!$B$6,0)</f>
        <v>0</v>
      </c>
      <c r="F964" s="362" t="str">
        <f>VLOOKUP(B964,DONGIA,DG!$C$6,0)</f>
        <v>Cáp nhôm bọc AV95</v>
      </c>
      <c r="G964" s="363" t="str">
        <f>VLOOKUP(B964,DONGIA,DG!$D$6,0)</f>
        <v>mét</v>
      </c>
      <c r="H964" s="457"/>
      <c r="I964" s="362">
        <f>VLOOKUP(B964,DONGIA,DG!$E$6,0)</f>
        <v>31185</v>
      </c>
      <c r="J964" s="362"/>
      <c r="K964" s="362">
        <f>VLOOKUP(B964,DONGIA,DG!$F$6,0)</f>
        <v>0</v>
      </c>
      <c r="L964" s="362">
        <f>VLOOKUP(B964,DONGIA,DG!$G$6,0)</f>
        <v>0</v>
      </c>
      <c r="M964" s="362">
        <f t="shared" si="227"/>
        <v>0</v>
      </c>
      <c r="N964" s="362">
        <f t="shared" si="228"/>
        <v>0</v>
      </c>
      <c r="O964" s="362">
        <f t="shared" si="229"/>
        <v>0</v>
      </c>
      <c r="P964" s="362">
        <f t="shared" si="230"/>
        <v>0</v>
      </c>
      <c r="Q964" s="362"/>
      <c r="S964" s="352">
        <f t="shared" si="222"/>
        <v>0.41</v>
      </c>
      <c r="T964" s="352">
        <f t="shared" si="224"/>
        <v>0</v>
      </c>
    </row>
    <row r="965" spans="1:20" s="352" customFormat="1" hidden="1">
      <c r="B965" s="352" t="s">
        <v>402</v>
      </c>
      <c r="C965" s="484">
        <f t="shared" si="226"/>
        <v>0</v>
      </c>
      <c r="D965" s="363"/>
      <c r="E965" s="363">
        <f>VLOOKUP(B965,DONGIA,DG!$B$6,0)</f>
        <v>0</v>
      </c>
      <c r="F965" s="362" t="str">
        <f>VLOOKUP(B965,DONGIA,DG!$C$6,0)</f>
        <v>Rack 4 sứ - 3mm (ty 14) + Sứ ống chỉ</v>
      </c>
      <c r="G965" s="363" t="str">
        <f>VLOOKUP(B965,DONGIA,DG!$D$6,0)</f>
        <v>bộ</v>
      </c>
      <c r="H965" s="362"/>
      <c r="I965" s="362">
        <f>VLOOKUP(B965,DONGIA,DG!$E$6,0)</f>
        <v>135000</v>
      </c>
      <c r="J965" s="362"/>
      <c r="K965" s="362">
        <f>VLOOKUP(B965,DONGIA,DG!$F$6,0)</f>
        <v>0</v>
      </c>
      <c r="L965" s="362">
        <f>VLOOKUP(B965,DONGIA,DG!$G$6,0)</f>
        <v>0</v>
      </c>
      <c r="M965" s="362">
        <f t="shared" si="227"/>
        <v>0</v>
      </c>
      <c r="N965" s="362">
        <f t="shared" si="228"/>
        <v>0</v>
      </c>
      <c r="O965" s="362">
        <f t="shared" si="229"/>
        <v>0</v>
      </c>
      <c r="P965" s="362">
        <f t="shared" si="230"/>
        <v>0</v>
      </c>
      <c r="Q965" s="362"/>
      <c r="S965" s="352">
        <f t="shared" si="222"/>
        <v>3.5</v>
      </c>
      <c r="T965" s="352">
        <f t="shared" si="224"/>
        <v>0</v>
      </c>
    </row>
    <row r="966" spans="1:20" s="352" customFormat="1" hidden="1">
      <c r="B966" s="352" t="s">
        <v>409</v>
      </c>
      <c r="C966" s="484">
        <f t="shared" si="226"/>
        <v>0</v>
      </c>
      <c r="D966" s="363"/>
      <c r="E966" s="363" t="str">
        <f>VLOOKUP(B966,DONGIA,DG!$B$6,0)</f>
        <v>D3.1201</v>
      </c>
      <c r="F966" s="362" t="str">
        <f>VLOOKUP(B966,DONGIA,DG!$C$6,0)</f>
        <v xml:space="preserve">Sứ ống chỉ </v>
      </c>
      <c r="G966" s="363" t="str">
        <f>VLOOKUP(B966,DONGIA,DG!$D$6,0)</f>
        <v>cái</v>
      </c>
      <c r="H966" s="362"/>
      <c r="I966" s="362">
        <f>VLOOKUP(B966,DONGIA,DG!$E$6,0)</f>
        <v>20000</v>
      </c>
      <c r="J966" s="362"/>
      <c r="K966" s="362">
        <f>VLOOKUP(B966,DONGIA,DG!$F$6,0)</f>
        <v>13173</v>
      </c>
      <c r="L966" s="362">
        <f>VLOOKUP(B966,DONGIA,DG!$G$6,0)</f>
        <v>0</v>
      </c>
      <c r="M966" s="362">
        <f t="shared" si="227"/>
        <v>0</v>
      </c>
      <c r="N966" s="362">
        <f t="shared" si="228"/>
        <v>0</v>
      </c>
      <c r="O966" s="362">
        <f t="shared" si="229"/>
        <v>0</v>
      </c>
      <c r="P966" s="362">
        <f t="shared" si="230"/>
        <v>0</v>
      </c>
      <c r="Q966" s="362"/>
      <c r="S966" s="352">
        <f t="shared" ref="S966:S971" si="231">IFERROR(VLOOKUP(B966,DONGIA,$S$25,0),0)</f>
        <v>0.2</v>
      </c>
      <c r="T966" s="352">
        <f t="shared" ref="T966:T971" si="232">H966*S966</f>
        <v>0</v>
      </c>
    </row>
    <row r="967" spans="1:20" s="352" customFormat="1" hidden="1">
      <c r="B967" s="352" t="s">
        <v>37</v>
      </c>
      <c r="C967" s="484">
        <f t="shared" si="226"/>
        <v>0</v>
      </c>
      <c r="D967" s="363"/>
      <c r="E967" s="363">
        <f>VLOOKUP(B967,DONGIA,DG!$B$6,0)</f>
        <v>0</v>
      </c>
      <c r="F967" s="362" t="str">
        <f>VLOOKUP(B967,DONGIA,DG!$C$6,0)</f>
        <v>Boulon 16x350+ 2 long đền vuông D18-50x50x3/Zn</v>
      </c>
      <c r="G967" s="363" t="str">
        <f>VLOOKUP(B967,DONGIA,DG!$D$6,0)</f>
        <v>bộ</v>
      </c>
      <c r="H967" s="362"/>
      <c r="I967" s="362">
        <f>VLOOKUP(B967,DONGIA,DG!$E$6,0)</f>
        <v>32000</v>
      </c>
      <c r="J967" s="362"/>
      <c r="K967" s="362">
        <f>VLOOKUP(B967,DONGIA,DG!$F$6,0)</f>
        <v>0</v>
      </c>
      <c r="L967" s="362">
        <f>VLOOKUP(B967,DONGIA,DG!$G$6,0)</f>
        <v>0</v>
      </c>
      <c r="M967" s="362">
        <f t="shared" si="227"/>
        <v>0</v>
      </c>
      <c r="N967" s="362">
        <f t="shared" si="228"/>
        <v>0</v>
      </c>
      <c r="O967" s="362">
        <f t="shared" si="229"/>
        <v>0</v>
      </c>
      <c r="P967" s="362">
        <f t="shared" si="230"/>
        <v>0</v>
      </c>
      <c r="Q967" s="362"/>
      <c r="S967" s="352">
        <f t="shared" si="231"/>
        <v>0.3</v>
      </c>
      <c r="T967" s="352">
        <f t="shared" si="232"/>
        <v>0</v>
      </c>
    </row>
    <row r="968" spans="1:20" s="352" customFormat="1" hidden="1">
      <c r="B968" s="352" t="s">
        <v>2868</v>
      </c>
      <c r="C968" s="484">
        <f t="shared" si="226"/>
        <v>0</v>
      </c>
      <c r="D968" s="363"/>
      <c r="E968" s="363">
        <f>VLOOKUP(B968,DONGIA,DG!$B$6,0)</f>
        <v>0</v>
      </c>
      <c r="F968" s="362" t="str">
        <f>VLOOKUP(B968,DONGIA,DG!$C$6,0)</f>
        <v>Kẹp Ubolt cỡ dây 95</v>
      </c>
      <c r="G968" s="363" t="str">
        <f>VLOOKUP(B968,DONGIA,DG!$D$6,0)</f>
        <v>cái</v>
      </c>
      <c r="H968" s="362"/>
      <c r="I968" s="362">
        <f>VLOOKUP(B968,DONGIA,DG!$E$6,0)</f>
        <v>28100</v>
      </c>
      <c r="J968" s="362"/>
      <c r="K968" s="362">
        <f>VLOOKUP(B968,DONGIA,DG!$F$6,0)</f>
        <v>0</v>
      </c>
      <c r="L968" s="362">
        <f>VLOOKUP(B968,DONGIA,DG!$G$6,0)</f>
        <v>0</v>
      </c>
      <c r="M968" s="362">
        <f t="shared" si="227"/>
        <v>0</v>
      </c>
      <c r="N968" s="362">
        <f t="shared" si="228"/>
        <v>0</v>
      </c>
      <c r="O968" s="362">
        <f t="shared" si="229"/>
        <v>0</v>
      </c>
      <c r="P968" s="362">
        <f t="shared" si="230"/>
        <v>0</v>
      </c>
      <c r="Q968" s="362"/>
      <c r="S968" s="352">
        <f t="shared" si="231"/>
        <v>1.5</v>
      </c>
      <c r="T968" s="352">
        <f t="shared" si="232"/>
        <v>0</v>
      </c>
    </row>
    <row r="969" spans="1:20" s="352" customFormat="1" hidden="1">
      <c r="B969" s="352" t="s">
        <v>388</v>
      </c>
      <c r="C969" s="484">
        <f t="shared" si="226"/>
        <v>0</v>
      </c>
      <c r="D969" s="363"/>
      <c r="E969" s="363"/>
      <c r="F969" s="362" t="str">
        <f>VLOOKUP(B969,DONGIA,DG!$C$6,0)</f>
        <v>Ống nối dây AC cỡ 50mm2 (Không lõi thép)</v>
      </c>
      <c r="G969" s="363" t="str">
        <f>VLOOKUP(B969,DONGIA,DG!$D$6,0)</f>
        <v>cái</v>
      </c>
      <c r="H969" s="362"/>
      <c r="I969" s="362">
        <f>VLOOKUP(B969,DONGIA,DG!$E$6,0)</f>
        <v>35000</v>
      </c>
      <c r="J969" s="362"/>
      <c r="K969" s="362"/>
      <c r="L969" s="362"/>
      <c r="M969" s="362">
        <f t="shared" si="227"/>
        <v>0</v>
      </c>
      <c r="N969" s="362">
        <f t="shared" si="228"/>
        <v>0</v>
      </c>
      <c r="O969" s="362">
        <f t="shared" si="229"/>
        <v>0</v>
      </c>
      <c r="P969" s="362">
        <f t="shared" si="230"/>
        <v>0</v>
      </c>
      <c r="Q969" s="362"/>
      <c r="S969" s="352">
        <f t="shared" si="231"/>
        <v>2</v>
      </c>
      <c r="T969" s="352">
        <f t="shared" si="232"/>
        <v>0</v>
      </c>
    </row>
    <row r="970" spans="1:20" s="352" customFormat="1" hidden="1">
      <c r="B970" s="352" t="s">
        <v>390</v>
      </c>
      <c r="C970" s="484">
        <f t="shared" si="226"/>
        <v>0</v>
      </c>
      <c r="D970" s="363"/>
      <c r="E970" s="363"/>
      <c r="F970" s="362" t="str">
        <f>VLOOKUP(B970,DONGIA,DG!$C$6,0)</f>
        <v>Ống nối dây AC cỡ 95mm2 (Không lõi thép)</v>
      </c>
      <c r="G970" s="363" t="str">
        <f>VLOOKUP(B970,DONGIA,DG!$D$6,0)</f>
        <v>cái</v>
      </c>
      <c r="H970" s="362"/>
      <c r="I970" s="362">
        <f>VLOOKUP(B970,DONGIA,DG!$E$6,0)</f>
        <v>48000</v>
      </c>
      <c r="J970" s="362"/>
      <c r="K970" s="362"/>
      <c r="L970" s="362"/>
      <c r="M970" s="362">
        <f>$H970*I970</f>
        <v>0</v>
      </c>
      <c r="N970" s="362">
        <f>$H970*J970</f>
        <v>0</v>
      </c>
      <c r="O970" s="362">
        <f>$H970*K970</f>
        <v>0</v>
      </c>
      <c r="P970" s="362">
        <f>$H970*L970</f>
        <v>0</v>
      </c>
      <c r="Q970" s="362"/>
      <c r="S970" s="352">
        <f t="shared" si="231"/>
        <v>2.5</v>
      </c>
      <c r="T970" s="352">
        <f t="shared" si="232"/>
        <v>0</v>
      </c>
    </row>
    <row r="971" spans="1:20" s="352" customFormat="1" hidden="1">
      <c r="B971" s="352" t="s">
        <v>396</v>
      </c>
      <c r="C971" s="484">
        <f t="shared" si="226"/>
        <v>0</v>
      </c>
      <c r="D971" s="363"/>
      <c r="E971" s="363">
        <f>VLOOKUP(B971,DONGIA,DG!$B$6,0)</f>
        <v>0</v>
      </c>
      <c r="F971" s="362" t="str">
        <f>VLOOKUP(B971,DONGIA,DG!$C$6,0)</f>
        <v>Ống bọc cách điện D30/15</v>
      </c>
      <c r="G971" s="363" t="str">
        <f>VLOOKUP(B971,DONGIA,DG!$D$6,0)</f>
        <v>mét</v>
      </c>
      <c r="H971" s="362"/>
      <c r="I971" s="362">
        <f>VLOOKUP(B971,DONGIA,DG!$E$6,0)</f>
        <v>95000</v>
      </c>
      <c r="J971" s="362"/>
      <c r="K971" s="362">
        <f>VLOOKUP(B971,DONGIA,DG!$F$6,0)</f>
        <v>0</v>
      </c>
      <c r="L971" s="362">
        <f>VLOOKUP(B971,DONGIA,DG!$G$6,0)</f>
        <v>0</v>
      </c>
      <c r="M971" s="362">
        <f t="shared" si="227"/>
        <v>0</v>
      </c>
      <c r="N971" s="362">
        <f t="shared" si="228"/>
        <v>0</v>
      </c>
      <c r="O971" s="362">
        <f t="shared" si="229"/>
        <v>0</v>
      </c>
      <c r="P971" s="362">
        <f t="shared" si="230"/>
        <v>0</v>
      </c>
      <c r="Q971" s="362"/>
      <c r="S971" s="352">
        <f t="shared" si="231"/>
        <v>0</v>
      </c>
      <c r="T971" s="352">
        <f t="shared" si="232"/>
        <v>0</v>
      </c>
    </row>
    <row r="972" spans="1:20" hidden="1">
      <c r="B972" s="332" t="s">
        <v>1058</v>
      </c>
      <c r="C972" s="333">
        <f t="shared" si="223"/>
        <v>0</v>
      </c>
      <c r="D972" s="372">
        <f>IF(H972&lt;&gt;0,D961+1,D961)</f>
        <v>0</v>
      </c>
      <c r="E972" s="372">
        <f>VLOOKUP(B972,DONGIA,DG!$B$6,0)</f>
        <v>0</v>
      </c>
      <c r="F972" s="373" t="str">
        <f>VLOOKUP(B972,DONGIA,DG!$C$6,0)</f>
        <v>Bảng tên trạm + bulon</v>
      </c>
      <c r="G972" s="372" t="str">
        <f>VLOOKUP(B972,DONGIA,DG!$D$6,0)</f>
        <v>bộ</v>
      </c>
      <c r="H972" s="372">
        <f>TR3X375</f>
        <v>0</v>
      </c>
      <c r="I972" s="474">
        <f>VLOOKUP(B972,DONGIA,DG!$E$6,0)</f>
        <v>150000</v>
      </c>
      <c r="J972" s="474"/>
      <c r="K972" s="474">
        <f>VLOOKUP(B972,DONGIA,DG!$F$6,0)</f>
        <v>0</v>
      </c>
      <c r="L972" s="474">
        <f>VLOOKUP(B972,DONGIA,DG!$G$6,0)</f>
        <v>0</v>
      </c>
      <c r="M972" s="474">
        <f>$H972*I972</f>
        <v>0</v>
      </c>
      <c r="N972" s="474">
        <f>$H972*J972</f>
        <v>0</v>
      </c>
      <c r="O972" s="474">
        <f>$H972*K972</f>
        <v>0</v>
      </c>
      <c r="P972" s="474">
        <f>$H972*L972</f>
        <v>0</v>
      </c>
      <c r="Q972" s="474"/>
      <c r="S972" s="332">
        <f t="shared" si="222"/>
        <v>0</v>
      </c>
      <c r="T972" s="332">
        <f t="shared" si="224"/>
        <v>0</v>
      </c>
    </row>
    <row r="973" spans="1:20" s="353" customFormat="1">
      <c r="A973" s="353" t="s">
        <v>2082</v>
      </c>
      <c r="C973" s="333">
        <f>IF((C974+C982)&lt;&gt;0,1,)</f>
        <v>1</v>
      </c>
      <c r="D973" s="368"/>
      <c r="E973" s="369" t="str">
        <f>TR3X50&amp;" Trạm 3 pha 3x50kVA"</f>
        <v>9 Trạm 3 pha 3x50kVA</v>
      </c>
      <c r="F973" s="777"/>
      <c r="G973" s="368"/>
      <c r="H973" s="368"/>
      <c r="I973" s="325"/>
      <c r="J973" s="325"/>
      <c r="K973" s="325"/>
      <c r="L973" s="325"/>
      <c r="M973" s="325"/>
      <c r="N973" s="325"/>
      <c r="O973" s="325"/>
      <c r="P973" s="325"/>
      <c r="Q973" s="368"/>
      <c r="S973" s="332">
        <f t="shared" si="222"/>
        <v>0</v>
      </c>
      <c r="T973" s="332">
        <f t="shared" si="224"/>
        <v>0</v>
      </c>
    </row>
    <row r="974" spans="1:20">
      <c r="A974" s="332" t="s">
        <v>2083</v>
      </c>
      <c r="C974" s="333">
        <f>IF(SUM(C975:C981)&lt;&gt;0,1,)</f>
        <v>1</v>
      </c>
      <c r="D974" s="344"/>
      <c r="E974" s="344"/>
      <c r="F974" s="778" t="s">
        <v>1900</v>
      </c>
      <c r="G974" s="344"/>
      <c r="H974" s="345"/>
      <c r="I974" s="345"/>
      <c r="J974" s="345"/>
      <c r="K974" s="345"/>
      <c r="L974" s="345"/>
      <c r="M974" s="345">
        <f>SUM(M975:M981)</f>
        <v>939278520</v>
      </c>
      <c r="N974" s="345">
        <f>SUM(N975:N981)</f>
        <v>0</v>
      </c>
      <c r="O974" s="345">
        <f>SUM(O975:O981)</f>
        <v>27194913</v>
      </c>
      <c r="P974" s="345">
        <f>SUM(P975:P981)</f>
        <v>9736335</v>
      </c>
      <c r="Q974" s="345"/>
      <c r="S974" s="332">
        <f t="shared" si="222"/>
        <v>0</v>
      </c>
      <c r="T974" s="371">
        <f>SUM(T975:T981)</f>
        <v>10632.6</v>
      </c>
    </row>
    <row r="975" spans="1:20">
      <c r="A975" s="332" t="s">
        <v>477</v>
      </c>
      <c r="B975" s="332" t="s">
        <v>902</v>
      </c>
      <c r="C975" s="333">
        <f t="shared" si="223"/>
        <v>1</v>
      </c>
      <c r="D975" s="328"/>
      <c r="E975" s="328" t="str">
        <f>VLOOKUP(B975,DONGIA,DG!$B$6,0)</f>
        <v>T1.1432</v>
      </c>
      <c r="F975" s="779" t="str">
        <f>VLOOKUP(B975,DONGIA,DG!$C$6,0)</f>
        <v>Máy biến áp AMORPHOUS 12,7/0,23-0,46kV 50kVA</v>
      </c>
      <c r="G975" s="328" t="str">
        <f>VLOOKUP(B975,DONGIA,DG!$D$6,0)</f>
        <v>máy</v>
      </c>
      <c r="H975" s="329">
        <f>TR3X50*3</f>
        <v>27</v>
      </c>
      <c r="I975" s="329">
        <f>VLOOKUP(B975,DONGIA,DG!$E$6,0)</f>
        <v>30989760</v>
      </c>
      <c r="J975" s="329"/>
      <c r="K975" s="329">
        <f>VLOOKUP(B975,DONGIA,DG!$F$6,0)</f>
        <v>746585</v>
      </c>
      <c r="L975" s="329">
        <f>VLOOKUP(B975,DONGIA,DG!$G$6,0)</f>
        <v>360605</v>
      </c>
      <c r="M975" s="329">
        <f>$H975*I975</f>
        <v>836723520</v>
      </c>
      <c r="N975" s="329">
        <f>$H975*J975</f>
        <v>0</v>
      </c>
      <c r="O975" s="329">
        <f>$H975*K975</f>
        <v>20157795</v>
      </c>
      <c r="P975" s="329">
        <f>$H975*L975</f>
        <v>9736335</v>
      </c>
      <c r="Q975" s="329"/>
      <c r="S975" s="332">
        <f t="shared" si="222"/>
        <v>390</v>
      </c>
      <c r="T975" s="332">
        <f t="shared" si="224"/>
        <v>10530</v>
      </c>
    </row>
    <row r="976" spans="1:20">
      <c r="A976" s="332" t="s">
        <v>477</v>
      </c>
      <c r="B976" s="332" t="s">
        <v>1444</v>
      </c>
      <c r="C976" s="333">
        <f t="shared" si="223"/>
        <v>1</v>
      </c>
      <c r="D976" s="328"/>
      <c r="E976" s="328" t="str">
        <f>VLOOKUP(B976,DONGIA,DG!$B$6,0)</f>
        <v>T2.3505</v>
      </c>
      <c r="F976" s="779" t="str">
        <f>VLOOKUP(B976,DONGIA,DG!$C$6,0)</f>
        <v>FCO 27kV - 100A</v>
      </c>
      <c r="G976" s="328" t="str">
        <f>VLOOKUP(B976,DONGIA,DG!$D$6,0)</f>
        <v>cái</v>
      </c>
      <c r="H976" s="329">
        <f>TR3X50*3</f>
        <v>27</v>
      </c>
      <c r="I976" s="329">
        <f>VLOOKUP(B976,DONGIA,DG!$E$6,0)</f>
        <v>1070000</v>
      </c>
      <c r="J976" s="329"/>
      <c r="K976" s="329">
        <f>VLOOKUP(B976,DONGIA,DG!$F$6,0)</f>
        <v>189552</v>
      </c>
      <c r="L976" s="329">
        <f>VLOOKUP(B976,DONGIA,DG!$G$6,0)</f>
        <v>0</v>
      </c>
      <c r="M976" s="329">
        <f t="shared" ref="M976:M981" si="233">$H976*I976</f>
        <v>28890000</v>
      </c>
      <c r="N976" s="329">
        <f t="shared" ref="N976:N981" si="234">$H976*J976</f>
        <v>0</v>
      </c>
      <c r="O976" s="329">
        <f t="shared" ref="O976:O981" si="235">$H976*K976</f>
        <v>5117904</v>
      </c>
      <c r="P976" s="329">
        <f t="shared" ref="P976:P981" si="236">$H976*L976</f>
        <v>0</v>
      </c>
      <c r="Q976" s="329"/>
      <c r="S976" s="332">
        <f t="shared" si="222"/>
        <v>1.5</v>
      </c>
      <c r="T976" s="332">
        <f t="shared" si="224"/>
        <v>40.5</v>
      </c>
    </row>
    <row r="977" spans="1:20">
      <c r="A977" s="332" t="s">
        <v>477</v>
      </c>
      <c r="B977" s="332" t="s">
        <v>943</v>
      </c>
      <c r="C977" s="333">
        <f t="shared" si="223"/>
        <v>1</v>
      </c>
      <c r="D977" s="328"/>
      <c r="E977" s="328" t="str">
        <f>VLOOKUP(B977,DONGIA,DG!$B$6,0)</f>
        <v>T2.5004</v>
      </c>
      <c r="F977" s="779" t="str">
        <f>VLOOKUP(B977,DONGIA,DG!$C$6,0)</f>
        <v>LA 18kV 10kA</v>
      </c>
      <c r="G977" s="328" t="str">
        <f>VLOOKUP(B977,DONGIA,DG!$D$6,0)</f>
        <v>cái</v>
      </c>
      <c r="H977" s="329">
        <f>TR3X50*3</f>
        <v>27</v>
      </c>
      <c r="I977" s="329">
        <f>VLOOKUP(B977,DONGIA,DG!$E$6,0)</f>
        <v>875000</v>
      </c>
      <c r="J977" s="329"/>
      <c r="K977" s="329">
        <f>VLOOKUP(B977,DONGIA,DG!$F$6,0)</f>
        <v>71082</v>
      </c>
      <c r="L977" s="329">
        <f>VLOOKUP(B977,DONGIA,DG!$G$6,0)</f>
        <v>0</v>
      </c>
      <c r="M977" s="329">
        <f t="shared" si="233"/>
        <v>23625000</v>
      </c>
      <c r="N977" s="329">
        <f t="shared" si="234"/>
        <v>0</v>
      </c>
      <c r="O977" s="329">
        <f t="shared" si="235"/>
        <v>1919214</v>
      </c>
      <c r="P977" s="329">
        <f t="shared" si="236"/>
        <v>0</v>
      </c>
      <c r="Q977" s="329"/>
      <c r="S977" s="332">
        <f t="shared" si="222"/>
        <v>0.8</v>
      </c>
      <c r="T977" s="332">
        <f t="shared" si="224"/>
        <v>21.6</v>
      </c>
    </row>
    <row r="978" spans="1:20">
      <c r="A978" s="332" t="s">
        <v>477</v>
      </c>
      <c r="B978" s="332" t="s">
        <v>2064</v>
      </c>
      <c r="C978" s="333">
        <f t="shared" si="223"/>
        <v>1</v>
      </c>
      <c r="D978" s="328"/>
      <c r="E978" s="328" t="str">
        <f>VLOOKUP(B978,DONGIA,DG!$B$6,0)</f>
        <v>T2.8404</v>
      </c>
      <c r="F978" s="779" t="str">
        <f>VLOOKUP(B978,DONGIA,DG!$C$6,0)</f>
        <v>MCCB 3 cực 600V - 320A - 35KA (200-320A)</v>
      </c>
      <c r="G978" s="328" t="str">
        <f>VLOOKUP(B978,DONGIA,DG!$D$6,0)</f>
        <v>cái</v>
      </c>
      <c r="H978" s="329">
        <f>TR3X50</f>
        <v>9</v>
      </c>
      <c r="I978" s="329">
        <f>VLOOKUP(B978,DONGIA,DG!$E$6,0)</f>
        <v>5560000</v>
      </c>
      <c r="J978" s="329"/>
      <c r="K978" s="329">
        <f>VLOOKUP(B978,DONGIA,DG!$F$6,0)*0</f>
        <v>0</v>
      </c>
      <c r="L978" s="329">
        <f>VLOOKUP(B978,DONGIA,DG!$G$6,0)</f>
        <v>0</v>
      </c>
      <c r="M978" s="329">
        <f t="shared" si="233"/>
        <v>50040000</v>
      </c>
      <c r="N978" s="329">
        <f t="shared" si="234"/>
        <v>0</v>
      </c>
      <c r="O978" s="329">
        <f t="shared" si="235"/>
        <v>0</v>
      </c>
      <c r="P978" s="329">
        <f t="shared" si="236"/>
        <v>0</v>
      </c>
      <c r="Q978" s="329"/>
      <c r="S978" s="332">
        <f t="shared" si="222"/>
        <v>3</v>
      </c>
      <c r="T978" s="332">
        <f t="shared" si="224"/>
        <v>27</v>
      </c>
    </row>
    <row r="979" spans="1:20" hidden="1">
      <c r="A979" s="332" t="s">
        <v>477</v>
      </c>
      <c r="B979" s="332" t="s">
        <v>2948</v>
      </c>
      <c r="C979" s="333">
        <f>IF(H979&lt;&gt;0,1,)</f>
        <v>0</v>
      </c>
      <c r="D979" s="328"/>
      <c r="E979" s="328" t="str">
        <f>VLOOKUP(B979,DONGIA,DG!$B$6,0)</f>
        <v>T2.8403</v>
      </c>
      <c r="F979" s="329" t="str">
        <f>VLOOKUP(B979,DONGIA,DG!$C$6,0)&amp;" (phân đoạn)"</f>
        <v>MCCB 3 cực 400V - 160A - 35KA (100-160A) (phân đoạn)</v>
      </c>
      <c r="G979" s="328" t="str">
        <f>VLOOKUP(B979,DONGIA,DG!$D$6,0)</f>
        <v>cái</v>
      </c>
      <c r="H979" s="329"/>
      <c r="I979" s="329">
        <f>VLOOKUP(B979,DONGIA,DG!$E$6,0)</f>
        <v>1440000</v>
      </c>
      <c r="J979" s="329"/>
      <c r="K979" s="329">
        <f>VLOOKUP(B979,DONGIA,DG!$F$6,0)</f>
        <v>450186</v>
      </c>
      <c r="L979" s="329">
        <f>VLOOKUP(B979,DONGIA,DG!$G$6,0)</f>
        <v>0</v>
      </c>
      <c r="M979" s="329">
        <f>$H979*I979</f>
        <v>0</v>
      </c>
      <c r="N979" s="329">
        <f>$H979*J979</f>
        <v>0</v>
      </c>
      <c r="O979" s="329">
        <f>$H979*K979</f>
        <v>0</v>
      </c>
      <c r="P979" s="329">
        <f>$H979*L979</f>
        <v>0</v>
      </c>
      <c r="Q979" s="329"/>
      <c r="S979" s="332">
        <f>IFERROR(VLOOKUP(B979,DONGIA,$S$25,0),0)</f>
        <v>2</v>
      </c>
      <c r="T979" s="332">
        <f>H979*S979</f>
        <v>0</v>
      </c>
    </row>
    <row r="980" spans="1:20">
      <c r="A980" s="332" t="s">
        <v>477</v>
      </c>
      <c r="B980" s="332" t="s">
        <v>952</v>
      </c>
      <c r="C980" s="333">
        <f t="shared" si="223"/>
        <v>1</v>
      </c>
      <c r="D980" s="328"/>
      <c r="E980" s="328">
        <f>VLOOKUP(B980,DONGIA,DG!$B$6,0)</f>
        <v>0</v>
      </c>
      <c r="F980" s="779" t="str">
        <f>VLOOKUP(B980,DONGIA,DG!$C$6,0)</f>
        <v xml:space="preserve">Biến dòng 600V - 200/5A </v>
      </c>
      <c r="G980" s="328" t="str">
        <f>VLOOKUP(B980,DONGIA,DG!$D$6,0)</f>
        <v>cái</v>
      </c>
      <c r="H980" s="329">
        <f>TR3X50*3</f>
        <v>27</v>
      </c>
      <c r="I980" s="329">
        <f>VLOOKUP(B980,DONGIA,DG!$E$6,0)</f>
        <v>0</v>
      </c>
      <c r="J980" s="329"/>
      <c r="K980" s="329">
        <f>VLOOKUP(B980,DONGIA,DG!$F$6,0)</f>
        <v>0</v>
      </c>
      <c r="L980" s="329">
        <f>VLOOKUP(B980,DONGIA,DG!$G$6,0)</f>
        <v>0</v>
      </c>
      <c r="M980" s="329">
        <f t="shared" si="233"/>
        <v>0</v>
      </c>
      <c r="N980" s="329">
        <f t="shared" si="234"/>
        <v>0</v>
      </c>
      <c r="O980" s="329">
        <f t="shared" si="235"/>
        <v>0</v>
      </c>
      <c r="P980" s="329">
        <f t="shared" si="236"/>
        <v>0</v>
      </c>
      <c r="Q980" s="329" t="s">
        <v>3458</v>
      </c>
      <c r="S980" s="332">
        <f t="shared" si="222"/>
        <v>0</v>
      </c>
      <c r="T980" s="332">
        <f t="shared" si="224"/>
        <v>0</v>
      </c>
    </row>
    <row r="981" spans="1:20">
      <c r="A981" s="332" t="s">
        <v>477</v>
      </c>
      <c r="B981" s="332" t="s">
        <v>1046</v>
      </c>
      <c r="C981" s="333">
        <f t="shared" si="223"/>
        <v>1</v>
      </c>
      <c r="D981" s="328"/>
      <c r="E981" s="328">
        <f>VLOOKUP(B981,DONGIA,DG!$B$6,0)</f>
        <v>0</v>
      </c>
      <c r="F981" s="779" t="str">
        <f>VLOOKUP(B981,DONGIA,DG!$C$6,0)</f>
        <v>Điện kế 3 pha 4 dây 220/380V-5A</v>
      </c>
      <c r="G981" s="328" t="str">
        <f>VLOOKUP(B981,DONGIA,DG!$D$6,0)</f>
        <v>cái</v>
      </c>
      <c r="H981" s="329">
        <f>TR3X50</f>
        <v>9</v>
      </c>
      <c r="I981" s="329">
        <f>VLOOKUP(B981,DONGIA,DG!$E$6,0)</f>
        <v>0</v>
      </c>
      <c r="J981" s="329"/>
      <c r="K981" s="329">
        <f>VLOOKUP(B981,DONGIA,DG!$F$6,0)</f>
        <v>0</v>
      </c>
      <c r="L981" s="329">
        <f>VLOOKUP(B981,DONGIA,DG!$G$6,0)</f>
        <v>0</v>
      </c>
      <c r="M981" s="329">
        <f t="shared" si="233"/>
        <v>0</v>
      </c>
      <c r="N981" s="329">
        <f t="shared" si="234"/>
        <v>0</v>
      </c>
      <c r="O981" s="329">
        <f t="shared" si="235"/>
        <v>0</v>
      </c>
      <c r="P981" s="329">
        <f t="shared" si="236"/>
        <v>0</v>
      </c>
      <c r="Q981" s="329" t="s">
        <v>3458</v>
      </c>
      <c r="S981" s="332">
        <f t="shared" si="222"/>
        <v>1.5</v>
      </c>
      <c r="T981" s="332">
        <f t="shared" si="224"/>
        <v>13.5</v>
      </c>
    </row>
    <row r="982" spans="1:20">
      <c r="A982" s="332" t="s">
        <v>2084</v>
      </c>
      <c r="C982" s="333">
        <f>IF(SUM(C983:C1068)&lt;&gt;0,1,)</f>
        <v>1</v>
      </c>
      <c r="D982" s="344"/>
      <c r="E982" s="344"/>
      <c r="F982" s="778" t="s">
        <v>1901</v>
      </c>
      <c r="G982" s="344"/>
      <c r="H982" s="345"/>
      <c r="I982" s="345"/>
      <c r="J982" s="345"/>
      <c r="K982" s="345"/>
      <c r="L982" s="345"/>
      <c r="M982" s="345">
        <f>SUM(M983:M1068)</f>
        <v>359472116.88</v>
      </c>
      <c r="N982" s="345">
        <f>SUM(N983:N1068)</f>
        <v>0</v>
      </c>
      <c r="O982" s="345">
        <f>SUM(O983:O1068)</f>
        <v>51854975.208000004</v>
      </c>
      <c r="P982" s="345">
        <f>SUM(P983:P1068)</f>
        <v>1332313.2</v>
      </c>
      <c r="Q982" s="345"/>
      <c r="S982" s="332">
        <f t="shared" si="222"/>
        <v>0</v>
      </c>
      <c r="T982" s="371">
        <f>SUM(T983:T1068)</f>
        <v>3163.8996000000006</v>
      </c>
    </row>
    <row r="983" spans="1:20">
      <c r="C983" s="333">
        <f t="shared" si="223"/>
        <v>1</v>
      </c>
      <c r="D983" s="372">
        <f>IF(H983&lt;&gt;0,1,)</f>
        <v>1</v>
      </c>
      <c r="E983" s="372"/>
      <c r="F983" s="780" t="s">
        <v>1931</v>
      </c>
      <c r="G983" s="372" t="s">
        <v>138</v>
      </c>
      <c r="H983" s="372">
        <f>TR3X50</f>
        <v>9</v>
      </c>
      <c r="I983" s="373"/>
      <c r="J983" s="373"/>
      <c r="K983" s="373"/>
      <c r="L983" s="373"/>
      <c r="M983" s="373"/>
      <c r="N983" s="373"/>
      <c r="O983" s="373"/>
      <c r="P983" s="373"/>
      <c r="Q983" s="373"/>
      <c r="S983" s="332">
        <f t="shared" si="222"/>
        <v>0</v>
      </c>
      <c r="T983" s="332">
        <f t="shared" si="224"/>
        <v>0</v>
      </c>
    </row>
    <row r="984" spans="1:20">
      <c r="A984" s="332" t="s">
        <v>477</v>
      </c>
      <c r="B984" s="332" t="s">
        <v>1010</v>
      </c>
      <c r="C984" s="333">
        <f t="shared" si="223"/>
        <v>1</v>
      </c>
      <c r="D984" s="328"/>
      <c r="E984" s="328">
        <f>VLOOKUP(B984,DONGIA,DG!$B$6,0)</f>
        <v>0</v>
      </c>
      <c r="F984" s="779" t="str">
        <f>VLOOKUP(B984,DONGIA,DG!$C$6,0)</f>
        <v>Dây chảy 6K</v>
      </c>
      <c r="G984" s="328" t="str">
        <f>VLOOKUP(B984,DONGIA,DG!$D$6,0)</f>
        <v>Sợi</v>
      </c>
      <c r="H984" s="329">
        <f>H983*3</f>
        <v>27</v>
      </c>
      <c r="I984" s="329">
        <f>VLOOKUP(B984,DONGIA,DG!$E$6,0)</f>
        <v>47000</v>
      </c>
      <c r="J984" s="329"/>
      <c r="K984" s="329">
        <f>VLOOKUP(B984,DONGIA,DG!$F$6,0)</f>
        <v>0</v>
      </c>
      <c r="L984" s="329">
        <f>VLOOKUP(B984,DONGIA,DG!$G$6,0)</f>
        <v>0</v>
      </c>
      <c r="M984" s="329">
        <f t="shared" ref="M984:P987" si="237">$H984*I984</f>
        <v>1269000</v>
      </c>
      <c r="N984" s="329">
        <f t="shared" si="237"/>
        <v>0</v>
      </c>
      <c r="O984" s="329">
        <f t="shared" si="237"/>
        <v>0</v>
      </c>
      <c r="P984" s="329">
        <f t="shared" si="237"/>
        <v>0</v>
      </c>
      <c r="Q984" s="329"/>
      <c r="S984" s="332">
        <f t="shared" si="222"/>
        <v>0</v>
      </c>
      <c r="T984" s="332">
        <f t="shared" si="224"/>
        <v>0</v>
      </c>
    </row>
    <row r="985" spans="1:20">
      <c r="A985" s="332" t="s">
        <v>477</v>
      </c>
      <c r="B985" s="332" t="s">
        <v>131</v>
      </c>
      <c r="C985" s="333">
        <f t="shared" si="223"/>
        <v>1</v>
      </c>
      <c r="D985" s="328"/>
      <c r="E985" s="328">
        <f>VLOOKUP(B985,DONGIA,DG!$B$6,0)</f>
        <v>0</v>
      </c>
      <c r="F985" s="779" t="str">
        <f>VLOOKUP(B985,DONGIA,DG!$C$6,0)</f>
        <v>Chụp đầu FCO (Trên + Dưới)</v>
      </c>
      <c r="G985" s="328" t="str">
        <f>VLOOKUP(B985,DONGIA,DG!$D$6,0)</f>
        <v>bộ</v>
      </c>
      <c r="H985" s="329">
        <f>H983*3</f>
        <v>27</v>
      </c>
      <c r="I985" s="329">
        <f>VLOOKUP(B985,DONGIA,DG!$E$6,0)</f>
        <v>190000</v>
      </c>
      <c r="J985" s="329"/>
      <c r="K985" s="329">
        <f>VLOOKUP(B985,DONGIA,DG!$F$6,0)</f>
        <v>0</v>
      </c>
      <c r="L985" s="329">
        <f>VLOOKUP(B985,DONGIA,DG!$G$6,0)</f>
        <v>0</v>
      </c>
      <c r="M985" s="329">
        <f t="shared" si="237"/>
        <v>5130000</v>
      </c>
      <c r="N985" s="329">
        <f t="shared" si="237"/>
        <v>0</v>
      </c>
      <c r="O985" s="329">
        <f t="shared" si="237"/>
        <v>0</v>
      </c>
      <c r="P985" s="329">
        <f t="shared" si="237"/>
        <v>0</v>
      </c>
      <c r="Q985" s="329"/>
      <c r="S985" s="332">
        <f t="shared" si="222"/>
        <v>0</v>
      </c>
      <c r="T985" s="332">
        <f t="shared" si="224"/>
        <v>0</v>
      </c>
    </row>
    <row r="986" spans="1:20">
      <c r="A986" s="332" t="s">
        <v>477</v>
      </c>
      <c r="B986" s="332" t="s">
        <v>133</v>
      </c>
      <c r="C986" s="333">
        <f t="shared" si="223"/>
        <v>1</v>
      </c>
      <c r="D986" s="328"/>
      <c r="E986" s="328">
        <f>VLOOKUP(B986,DONGIA,DG!$B$6,0)</f>
        <v>0</v>
      </c>
      <c r="F986" s="779" t="str">
        <f>VLOOKUP(B986,DONGIA,DG!$C$6,0)</f>
        <v>Chụp đầu LA</v>
      </c>
      <c r="G986" s="328" t="str">
        <f>VLOOKUP(B986,DONGIA,DG!$D$6,0)</f>
        <v>cái</v>
      </c>
      <c r="H986" s="329">
        <f>H983*3</f>
        <v>27</v>
      </c>
      <c r="I986" s="329">
        <f>VLOOKUP(B986,DONGIA,DG!$E$6,0)</f>
        <v>32000</v>
      </c>
      <c r="J986" s="329"/>
      <c r="K986" s="329">
        <f>VLOOKUP(B986,DONGIA,DG!$F$6,0)</f>
        <v>0</v>
      </c>
      <c r="L986" s="329">
        <f>VLOOKUP(B986,DONGIA,DG!$G$6,0)</f>
        <v>0</v>
      </c>
      <c r="M986" s="329">
        <f t="shared" si="237"/>
        <v>864000</v>
      </c>
      <c r="N986" s="329">
        <f t="shared" si="237"/>
        <v>0</v>
      </c>
      <c r="O986" s="329">
        <f t="shared" si="237"/>
        <v>0</v>
      </c>
      <c r="P986" s="329">
        <f t="shared" si="237"/>
        <v>0</v>
      </c>
      <c r="Q986" s="329"/>
      <c r="S986" s="332">
        <f t="shared" si="222"/>
        <v>0</v>
      </c>
      <c r="T986" s="332">
        <f t="shared" si="224"/>
        <v>0</v>
      </c>
    </row>
    <row r="987" spans="1:20">
      <c r="A987" s="332" t="s">
        <v>477</v>
      </c>
      <c r="B987" s="332" t="s">
        <v>135</v>
      </c>
      <c r="C987" s="333">
        <f t="shared" si="223"/>
        <v>1</v>
      </c>
      <c r="D987" s="328"/>
      <c r="E987" s="328">
        <f>VLOOKUP(B987,DONGIA,DG!$B$6,0)</f>
        <v>0</v>
      </c>
      <c r="F987" s="779" t="str">
        <f>VLOOKUP(B987,DONGIA,DG!$C$6,0)</f>
        <v>Chụp đầu cực MBA</v>
      </c>
      <c r="G987" s="328" t="str">
        <f>VLOOKUP(B987,DONGIA,DG!$D$6,0)</f>
        <v>cái</v>
      </c>
      <c r="H987" s="329">
        <f>H983*3</f>
        <v>27</v>
      </c>
      <c r="I987" s="329">
        <f>VLOOKUP(B987,DONGIA,DG!$E$6,0)</f>
        <v>52000</v>
      </c>
      <c r="J987" s="329"/>
      <c r="K987" s="329">
        <f>VLOOKUP(B987,DONGIA,DG!$F$6,0)</f>
        <v>0</v>
      </c>
      <c r="L987" s="329">
        <f>VLOOKUP(B987,DONGIA,DG!$G$6,0)</f>
        <v>0</v>
      </c>
      <c r="M987" s="329">
        <f t="shared" si="237"/>
        <v>1404000</v>
      </c>
      <c r="N987" s="329">
        <f t="shared" si="237"/>
        <v>0</v>
      </c>
      <c r="O987" s="329">
        <f t="shared" si="237"/>
        <v>0</v>
      </c>
      <c r="P987" s="329">
        <f t="shared" si="237"/>
        <v>0</v>
      </c>
      <c r="Q987" s="329"/>
      <c r="S987" s="332">
        <f t="shared" si="222"/>
        <v>0</v>
      </c>
      <c r="T987" s="332">
        <f t="shared" si="224"/>
        <v>0</v>
      </c>
    </row>
    <row r="988" spans="1:20">
      <c r="A988" s="332" t="s">
        <v>477</v>
      </c>
      <c r="C988" s="333">
        <f t="shared" si="223"/>
        <v>1</v>
      </c>
      <c r="D988" s="372">
        <f>IF(H988&lt;&gt;0,D983+1,D983)</f>
        <v>2</v>
      </c>
      <c r="E988" s="372"/>
      <c r="F988" s="780" t="s">
        <v>1932</v>
      </c>
      <c r="G988" s="372" t="s">
        <v>138</v>
      </c>
      <c r="H988" s="372">
        <f>TR3X50</f>
        <v>9</v>
      </c>
      <c r="I988" s="373"/>
      <c r="J988" s="373"/>
      <c r="K988" s="373"/>
      <c r="L988" s="373"/>
      <c r="M988" s="373"/>
      <c r="N988" s="373"/>
      <c r="O988" s="373"/>
      <c r="P988" s="373"/>
      <c r="Q988" s="373"/>
      <c r="S988" s="332">
        <f t="shared" si="222"/>
        <v>0</v>
      </c>
      <c r="T988" s="332">
        <f t="shared" si="224"/>
        <v>0</v>
      </c>
    </row>
    <row r="989" spans="1:20" s="542" customFormat="1" hidden="1">
      <c r="A989" s="542" t="s">
        <v>477</v>
      </c>
      <c r="C989" s="543">
        <f t="shared" si="223"/>
        <v>0</v>
      </c>
      <c r="D989" s="544"/>
      <c r="E989" s="544"/>
      <c r="F989" s="545" t="s">
        <v>1902</v>
      </c>
      <c r="G989" s="544"/>
      <c r="H989" s="545"/>
      <c r="I989" s="545"/>
      <c r="J989" s="545"/>
      <c r="K989" s="545"/>
      <c r="L989" s="545"/>
      <c r="M989" s="545"/>
      <c r="N989" s="545"/>
      <c r="O989" s="545"/>
      <c r="P989" s="545"/>
      <c r="Q989" s="545"/>
      <c r="S989" s="542">
        <f t="shared" si="222"/>
        <v>0</v>
      </c>
      <c r="T989" s="542">
        <f t="shared" si="224"/>
        <v>0</v>
      </c>
    </row>
    <row r="990" spans="1:20" s="405" customFormat="1">
      <c r="A990" s="405" t="s">
        <v>477</v>
      </c>
      <c r="B990" s="405" t="s">
        <v>18</v>
      </c>
      <c r="C990" s="418">
        <f t="shared" si="223"/>
        <v>1</v>
      </c>
      <c r="D990" s="523"/>
      <c r="E990" s="523">
        <f>VLOOKUP(B990,DONGIA,DG!$B$6,0)</f>
        <v>0</v>
      </c>
      <c r="F990" s="666" t="str">
        <f>VLOOKUP(B990,DONGIA,DG!$C$6,0)</f>
        <v>Đà hộp composite 110x80x5-2400</v>
      </c>
      <c r="G990" s="523" t="str">
        <f>VLOOKUP(B990,DONGIA,DG!$D$6,0)</f>
        <v>cái</v>
      </c>
      <c r="H990" s="525">
        <f>H988</f>
        <v>9</v>
      </c>
      <c r="I990" s="525">
        <f>VLOOKUP(B990,DONGIA,DG!$E$6,0)</f>
        <v>812200</v>
      </c>
      <c r="J990" s="525"/>
      <c r="K990" s="525">
        <f>VLOOKUP(B990,DONGIA,DG!$F$6,0)</f>
        <v>0</v>
      </c>
      <c r="L990" s="525">
        <f>VLOOKUP(B990,DONGIA,DG!$G$6,0)</f>
        <v>0</v>
      </c>
      <c r="M990" s="525">
        <f t="shared" ref="M990:P996" si="238">$H990*I990</f>
        <v>7309800</v>
      </c>
      <c r="N990" s="525">
        <f t="shared" si="238"/>
        <v>0</v>
      </c>
      <c r="O990" s="525">
        <f t="shared" si="238"/>
        <v>0</v>
      </c>
      <c r="P990" s="525">
        <f t="shared" si="238"/>
        <v>0</v>
      </c>
      <c r="Q990" s="525"/>
      <c r="S990" s="405">
        <f t="shared" si="222"/>
        <v>9.6</v>
      </c>
      <c r="T990" s="405">
        <f t="shared" si="224"/>
        <v>86.399999999999991</v>
      </c>
    </row>
    <row r="991" spans="1:20" s="405" customFormat="1">
      <c r="A991" s="405" t="s">
        <v>477</v>
      </c>
      <c r="B991" s="405" t="s">
        <v>20</v>
      </c>
      <c r="C991" s="418">
        <f t="shared" si="223"/>
        <v>1</v>
      </c>
      <c r="D991" s="523"/>
      <c r="E991" s="523">
        <f>VLOOKUP(B991,DONGIA,DG!$B$6,0)</f>
        <v>0</v>
      </c>
      <c r="F991" s="666" t="str">
        <f>VLOOKUP(B991,DONGIA,DG!$C$6,0)</f>
        <v>Thanh chống Composite dẹp 10x40x920</v>
      </c>
      <c r="G991" s="523" t="str">
        <f>VLOOKUP(B991,DONGIA,DG!$D$6,0)</f>
        <v>cái</v>
      </c>
      <c r="H991" s="525">
        <f>H990*2</f>
        <v>18</v>
      </c>
      <c r="I991" s="525">
        <f>VLOOKUP(B991,DONGIA,DG!$E$6,0)</f>
        <v>108100</v>
      </c>
      <c r="J991" s="525"/>
      <c r="K991" s="525">
        <f>VLOOKUP(B991,DONGIA,DG!$F$6,0)</f>
        <v>0</v>
      </c>
      <c r="L991" s="525">
        <f>VLOOKUP(B991,DONGIA,DG!$G$6,0)</f>
        <v>0</v>
      </c>
      <c r="M991" s="525">
        <f t="shared" si="238"/>
        <v>1945800</v>
      </c>
      <c r="N991" s="525">
        <f t="shared" si="238"/>
        <v>0</v>
      </c>
      <c r="O991" s="525">
        <f t="shared" si="238"/>
        <v>0</v>
      </c>
      <c r="P991" s="525">
        <f t="shared" si="238"/>
        <v>0</v>
      </c>
      <c r="Q991" s="525"/>
      <c r="S991" s="405">
        <f t="shared" si="222"/>
        <v>0.7</v>
      </c>
      <c r="T991" s="405">
        <f t="shared" si="224"/>
        <v>12.6</v>
      </c>
    </row>
    <row r="992" spans="1:20" s="405" customFormat="1">
      <c r="A992" s="405" t="s">
        <v>477</v>
      </c>
      <c r="B992" s="405" t="s">
        <v>139</v>
      </c>
      <c r="C992" s="418">
        <f t="shared" si="223"/>
        <v>1</v>
      </c>
      <c r="D992" s="523"/>
      <c r="E992" s="523">
        <f>VLOOKUP(B992,DONGIA,DG!$B$6,0)</f>
        <v>0</v>
      </c>
      <c r="F992" s="666" t="str">
        <f>VLOOKUP(B992,DONGIA,DG!$C$6,0)</f>
        <v>Bass LL bắt FCO và LA</v>
      </c>
      <c r="G992" s="523" t="str">
        <f>VLOOKUP(B992,DONGIA,DG!$D$6,0)</f>
        <v>bộ</v>
      </c>
      <c r="H992" s="525">
        <f>H988*3</f>
        <v>27</v>
      </c>
      <c r="I992" s="525">
        <f>VLOOKUP(B992,DONGIA,DG!$E$6,0)</f>
        <v>56000</v>
      </c>
      <c r="J992" s="525"/>
      <c r="K992" s="525">
        <f>VLOOKUP(B992,DONGIA,DG!$F$6,0)</f>
        <v>0</v>
      </c>
      <c r="L992" s="525">
        <f>VLOOKUP(B992,DONGIA,DG!$G$6,0)</f>
        <v>0</v>
      </c>
      <c r="M992" s="525">
        <f t="shared" si="238"/>
        <v>1512000</v>
      </c>
      <c r="N992" s="525">
        <f t="shared" si="238"/>
        <v>0</v>
      </c>
      <c r="O992" s="525">
        <f t="shared" si="238"/>
        <v>0</v>
      </c>
      <c r="P992" s="525">
        <f t="shared" si="238"/>
        <v>0</v>
      </c>
      <c r="Q992" s="525"/>
      <c r="S992" s="405">
        <f t="shared" si="222"/>
        <v>0.5</v>
      </c>
      <c r="T992" s="405">
        <f t="shared" si="224"/>
        <v>13.5</v>
      </c>
    </row>
    <row r="993" spans="1:20" s="405" customFormat="1">
      <c r="A993" s="405" t="s">
        <v>477</v>
      </c>
      <c r="B993" s="405" t="s">
        <v>37</v>
      </c>
      <c r="C993" s="418">
        <f t="shared" si="223"/>
        <v>1</v>
      </c>
      <c r="D993" s="523"/>
      <c r="E993" s="523">
        <f>VLOOKUP(B993,DONGIA,DG!$B$6,0)</f>
        <v>0</v>
      </c>
      <c r="F993" s="666" t="str">
        <f>VLOOKUP(B993,DONGIA,DG!$C$6,0)</f>
        <v>Boulon 16x350+ 2 long đền vuông D18-50x50x3/Zn</v>
      </c>
      <c r="G993" s="523" t="str">
        <f>VLOOKUP(B993,DONGIA,DG!$D$6,0)</f>
        <v>bộ</v>
      </c>
      <c r="H993" s="525">
        <f>H988</f>
        <v>9</v>
      </c>
      <c r="I993" s="525">
        <f>VLOOKUP(B993,DONGIA,DG!$E$6,0)</f>
        <v>32000</v>
      </c>
      <c r="J993" s="525"/>
      <c r="K993" s="525">
        <f>VLOOKUP(B993,DONGIA,DG!$F$6,0)</f>
        <v>0</v>
      </c>
      <c r="L993" s="525">
        <f>VLOOKUP(B993,DONGIA,DG!$G$6,0)</f>
        <v>0</v>
      </c>
      <c r="M993" s="525">
        <f t="shared" si="238"/>
        <v>288000</v>
      </c>
      <c r="N993" s="525">
        <f t="shared" si="238"/>
        <v>0</v>
      </c>
      <c r="O993" s="525">
        <f t="shared" si="238"/>
        <v>0</v>
      </c>
      <c r="P993" s="525">
        <f t="shared" si="238"/>
        <v>0</v>
      </c>
      <c r="Q993" s="525"/>
      <c r="S993" s="405">
        <f t="shared" si="222"/>
        <v>0.3</v>
      </c>
      <c r="T993" s="405">
        <f t="shared" si="224"/>
        <v>2.6999999999999997</v>
      </c>
    </row>
    <row r="994" spans="1:20" s="405" customFormat="1">
      <c r="A994" s="405" t="s">
        <v>477</v>
      </c>
      <c r="B994" s="405" t="s">
        <v>35</v>
      </c>
      <c r="C994" s="418">
        <f t="shared" si="223"/>
        <v>1</v>
      </c>
      <c r="D994" s="523"/>
      <c r="E994" s="523">
        <f>VLOOKUP(B994,DONGIA,DG!$B$6,0)</f>
        <v>0</v>
      </c>
      <c r="F994" s="666" t="str">
        <f>VLOOKUP(B994,DONGIA,DG!$C$6,0)</f>
        <v>Boulon 16x300+ 2 long đền vuông D18-50x50x3/Zn</v>
      </c>
      <c r="G994" s="523" t="str">
        <f>VLOOKUP(B994,DONGIA,DG!$D$6,0)</f>
        <v>bộ</v>
      </c>
      <c r="H994" s="525">
        <f>H988</f>
        <v>9</v>
      </c>
      <c r="I994" s="525">
        <f>VLOOKUP(B994,DONGIA,DG!$E$6,0)</f>
        <v>30000</v>
      </c>
      <c r="J994" s="525"/>
      <c r="K994" s="525">
        <f>VLOOKUP(B994,DONGIA,DG!$F$6,0)</f>
        <v>0</v>
      </c>
      <c r="L994" s="525">
        <f>VLOOKUP(B994,DONGIA,DG!$G$6,0)</f>
        <v>0</v>
      </c>
      <c r="M994" s="525">
        <f t="shared" si="238"/>
        <v>270000</v>
      </c>
      <c r="N994" s="525">
        <f t="shared" si="238"/>
        <v>0</v>
      </c>
      <c r="O994" s="525">
        <f t="shared" si="238"/>
        <v>0</v>
      </c>
      <c r="P994" s="525">
        <f t="shared" si="238"/>
        <v>0</v>
      </c>
      <c r="Q994" s="525"/>
      <c r="S994" s="405">
        <f t="shared" si="222"/>
        <v>0.25</v>
      </c>
      <c r="T994" s="405">
        <f t="shared" si="224"/>
        <v>2.25</v>
      </c>
    </row>
    <row r="995" spans="1:20" s="405" customFormat="1">
      <c r="A995" s="405" t="s">
        <v>477</v>
      </c>
      <c r="B995" s="405" t="s">
        <v>3053</v>
      </c>
      <c r="C995" s="418">
        <f t="shared" si="223"/>
        <v>1</v>
      </c>
      <c r="D995" s="523"/>
      <c r="E995" s="523">
        <f>VLOOKUP(B995,DONGIA,DG!$B$6,0)</f>
        <v>0</v>
      </c>
      <c r="F995" s="666" t="str">
        <f>VLOOKUP(B995,DONGIA,DG!$C$6,0)</f>
        <v>Boulon 14x150+ 2 long đền vuông D16-50x50x3/Zn</v>
      </c>
      <c r="G995" s="523" t="str">
        <f>VLOOKUP(B995,DONGIA,DG!$D$6,0)</f>
        <v>bộ</v>
      </c>
      <c r="H995" s="525">
        <f>H991</f>
        <v>18</v>
      </c>
      <c r="I995" s="525">
        <f>VLOOKUP(B995,DONGIA,DG!$E$6,0)</f>
        <v>19000</v>
      </c>
      <c r="J995" s="525"/>
      <c r="K995" s="525">
        <f>VLOOKUP(B995,DONGIA,DG!$F$6,0)</f>
        <v>0</v>
      </c>
      <c r="L995" s="525">
        <f>VLOOKUP(B995,DONGIA,DG!$G$6,0)</f>
        <v>0</v>
      </c>
      <c r="M995" s="525">
        <f t="shared" si="238"/>
        <v>342000</v>
      </c>
      <c r="N995" s="525">
        <f t="shared" si="238"/>
        <v>0</v>
      </c>
      <c r="O995" s="525">
        <f t="shared" si="238"/>
        <v>0</v>
      </c>
      <c r="P995" s="525">
        <f t="shared" si="238"/>
        <v>0</v>
      </c>
      <c r="Q995" s="525"/>
      <c r="S995" s="405">
        <f t="shared" si="222"/>
        <v>0.2</v>
      </c>
      <c r="T995" s="405">
        <f t="shared" si="224"/>
        <v>3.6</v>
      </c>
    </row>
    <row r="996" spans="1:20" s="405" customFormat="1" ht="31.2">
      <c r="A996" s="405" t="s">
        <v>477</v>
      </c>
      <c r="B996" s="405" t="s">
        <v>618</v>
      </c>
      <c r="C996" s="418">
        <f>IF(H996&lt;&gt;0,1,)</f>
        <v>1</v>
      </c>
      <c r="D996" s="523"/>
      <c r="E996" s="523" t="str">
        <f>VLOOKUP(B996,DONGIA,DG!$B$6,0)</f>
        <v>D2.6011</v>
      </c>
      <c r="F996" s="666" t="str">
        <f>VLOOKUP(B996,DONGIA,DG!$C$6,0)</f>
        <v>Lắp đà composite 2400mm đơn (KL &lt;=15kg, trụ BTLT, tính = 0.8 đà sắt)</v>
      </c>
      <c r="G996" s="523" t="str">
        <f>VLOOKUP(B996,DONGIA,DG!$D$6,0)</f>
        <v>bộ</v>
      </c>
      <c r="H996" s="525">
        <f>H988</f>
        <v>9</v>
      </c>
      <c r="I996" s="525">
        <f>VLOOKUP(B996,DONGIA,DG!$E$6,0)</f>
        <v>0</v>
      </c>
      <c r="J996" s="525"/>
      <c r="K996" s="525">
        <f>VLOOKUP(B996,DONGIA,DG!$F$6,0)</f>
        <v>134360</v>
      </c>
      <c r="L996" s="525">
        <f>VLOOKUP(B996,DONGIA,DG!$G$6,0)</f>
        <v>0</v>
      </c>
      <c r="M996" s="525">
        <f t="shared" si="238"/>
        <v>0</v>
      </c>
      <c r="N996" s="525">
        <f t="shared" si="238"/>
        <v>0</v>
      </c>
      <c r="O996" s="525">
        <f t="shared" si="238"/>
        <v>1209240</v>
      </c>
      <c r="P996" s="525">
        <f t="shared" si="238"/>
        <v>0</v>
      </c>
      <c r="Q996" s="525"/>
      <c r="S996" s="405">
        <f>IFERROR(VLOOKUP(B996,DONGIA,$S$25,0),0)</f>
        <v>0</v>
      </c>
      <c r="T996" s="405">
        <f>H996*S996</f>
        <v>0</v>
      </c>
    </row>
    <row r="997" spans="1:20">
      <c r="A997" s="332" t="s">
        <v>477</v>
      </c>
      <c r="C997" s="333">
        <f t="shared" si="223"/>
        <v>1</v>
      </c>
      <c r="D997" s="372">
        <f>IF(H997&lt;&gt;0,D988+1,D988)</f>
        <v>3</v>
      </c>
      <c r="E997" s="372"/>
      <c r="F997" s="780" t="s">
        <v>1910</v>
      </c>
      <c r="G997" s="372" t="s">
        <v>138</v>
      </c>
      <c r="H997" s="372">
        <f>TR3X50</f>
        <v>9</v>
      </c>
      <c r="I997" s="373"/>
      <c r="J997" s="373"/>
      <c r="K997" s="373"/>
      <c r="L997" s="373"/>
      <c r="M997" s="373"/>
      <c r="N997" s="373"/>
      <c r="O997" s="373"/>
      <c r="P997" s="373"/>
      <c r="Q997" s="373"/>
      <c r="S997" s="332">
        <f t="shared" si="222"/>
        <v>0</v>
      </c>
      <c r="T997" s="332">
        <f t="shared" si="224"/>
        <v>0</v>
      </c>
    </row>
    <row r="998" spans="1:20" s="361" customFormat="1" hidden="1">
      <c r="A998" s="361" t="s">
        <v>477</v>
      </c>
      <c r="C998" s="374">
        <f t="shared" si="223"/>
        <v>0</v>
      </c>
      <c r="D998" s="350"/>
      <c r="E998" s="350"/>
      <c r="F998" s="351" t="s">
        <v>1902</v>
      </c>
      <c r="G998" s="350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S998" s="361">
        <f t="shared" si="222"/>
        <v>0</v>
      </c>
      <c r="T998" s="361">
        <f t="shared" si="224"/>
        <v>0</v>
      </c>
    </row>
    <row r="999" spans="1:20">
      <c r="A999" s="332" t="s">
        <v>477</v>
      </c>
      <c r="B999" s="332" t="s">
        <v>1067</v>
      </c>
      <c r="C999" s="333">
        <f t="shared" si="223"/>
        <v>1</v>
      </c>
      <c r="D999" s="328"/>
      <c r="E999" s="328" t="str">
        <f>VLOOKUP(B999,DONGIA,DG!$B$6,0)</f>
        <v>T4.9302</v>
      </c>
      <c r="F999" s="779" t="str">
        <f>VLOOKUP(B999,DONGIA,DG!$C$6,0)</f>
        <v>Gía chùm treo máy biến áp 3x75</v>
      </c>
      <c r="G999" s="328" t="str">
        <f>VLOOKUP(B999,DONGIA,DG!$D$6,0)</f>
        <v>Bộ</v>
      </c>
      <c r="H999" s="329">
        <f>H997</f>
        <v>9</v>
      </c>
      <c r="I999" s="329">
        <f>VLOOKUP(B999,DONGIA,DG!$E$6,0)</f>
        <v>3816000</v>
      </c>
      <c r="J999" s="329"/>
      <c r="K999" s="329">
        <f>VLOOKUP(B999,DONGIA,DG!$F$6,0)</f>
        <v>139062.31200000001</v>
      </c>
      <c r="L999" s="329">
        <f>VLOOKUP(B999,DONGIA,DG!$G$6,0)</f>
        <v>0</v>
      </c>
      <c r="M999" s="329">
        <f t="shared" ref="M999:P1002" si="239">$H999*I999</f>
        <v>34344000</v>
      </c>
      <c r="N999" s="329">
        <f t="shared" si="239"/>
        <v>0</v>
      </c>
      <c r="O999" s="329">
        <f t="shared" si="239"/>
        <v>1251560.808</v>
      </c>
      <c r="P999" s="329">
        <f t="shared" si="239"/>
        <v>0</v>
      </c>
      <c r="Q999" s="329"/>
      <c r="S999" s="332">
        <f t="shared" si="222"/>
        <v>51</v>
      </c>
      <c r="T999" s="332">
        <f t="shared" si="224"/>
        <v>459</v>
      </c>
    </row>
    <row r="1000" spans="1:20">
      <c r="A1000" s="332" t="s">
        <v>477</v>
      </c>
      <c r="B1000" s="332" t="s">
        <v>37</v>
      </c>
      <c r="C1000" s="333">
        <f t="shared" si="223"/>
        <v>1</v>
      </c>
      <c r="D1000" s="328"/>
      <c r="E1000" s="328">
        <f>VLOOKUP(B1000,DONGIA,DG!$B$6,0)</f>
        <v>0</v>
      </c>
      <c r="F1000" s="779" t="str">
        <f>VLOOKUP(B1000,DONGIA,DG!$C$6,0)</f>
        <v>Boulon 16x350+ 2 long đền vuông D18-50x50x3/Zn</v>
      </c>
      <c r="G1000" s="328" t="str">
        <f>VLOOKUP(B1000,DONGIA,DG!$D$6,0)</f>
        <v>bộ</v>
      </c>
      <c r="H1000" s="329">
        <f>H997*2</f>
        <v>18</v>
      </c>
      <c r="I1000" s="329">
        <f>VLOOKUP(B1000,DONGIA,DG!$E$6,0)</f>
        <v>32000</v>
      </c>
      <c r="J1000" s="329"/>
      <c r="K1000" s="329">
        <f>VLOOKUP(B1000,DONGIA,DG!$F$6,0)</f>
        <v>0</v>
      </c>
      <c r="L1000" s="329">
        <f>VLOOKUP(B1000,DONGIA,DG!$G$6,0)</f>
        <v>0</v>
      </c>
      <c r="M1000" s="329">
        <f t="shared" si="239"/>
        <v>576000</v>
      </c>
      <c r="N1000" s="329">
        <f t="shared" si="239"/>
        <v>0</v>
      </c>
      <c r="O1000" s="329">
        <f t="shared" si="239"/>
        <v>0</v>
      </c>
      <c r="P1000" s="329">
        <f t="shared" si="239"/>
        <v>0</v>
      </c>
      <c r="Q1000" s="329"/>
      <c r="S1000" s="332">
        <f t="shared" si="222"/>
        <v>0.3</v>
      </c>
      <c r="T1000" s="332">
        <f t="shared" si="224"/>
        <v>5.3999999999999995</v>
      </c>
    </row>
    <row r="1001" spans="1:20" hidden="1">
      <c r="A1001" s="332" t="s">
        <v>477</v>
      </c>
      <c r="B1001" s="332" t="s">
        <v>43</v>
      </c>
      <c r="C1001" s="333">
        <f>IF(H1001&lt;&gt;0,1,)</f>
        <v>0</v>
      </c>
      <c r="D1001" s="328"/>
      <c r="E1001" s="328">
        <f>VLOOKUP(B1001,DONGIA,DG!$B$6,0)</f>
        <v>0</v>
      </c>
      <c r="F1001" s="329" t="str">
        <f>VLOOKUP(B1001,DONGIA,DG!$C$6,0)</f>
        <v>Boulon 16x500+ 2 long đền vuông D18-50x50x3/Zn</v>
      </c>
      <c r="G1001" s="328" t="str">
        <f>VLOOKUP(B1001,DONGIA,DG!$D$6,0)</f>
        <v>bộ</v>
      </c>
      <c r="H1001" s="329"/>
      <c r="I1001" s="329">
        <f>VLOOKUP(B1001,DONGIA,DG!$E$6,0)</f>
        <v>36000</v>
      </c>
      <c r="J1001" s="329"/>
      <c r="K1001" s="329">
        <f>VLOOKUP(B1001,DONGIA,DG!$F$6,0)</f>
        <v>0</v>
      </c>
      <c r="L1001" s="329">
        <f>VLOOKUP(B1001,DONGIA,DG!$G$6,0)</f>
        <v>0</v>
      </c>
      <c r="M1001" s="329">
        <f t="shared" si="239"/>
        <v>0</v>
      </c>
      <c r="N1001" s="329">
        <f t="shared" si="239"/>
        <v>0</v>
      </c>
      <c r="O1001" s="329">
        <f t="shared" si="239"/>
        <v>0</v>
      </c>
      <c r="P1001" s="329">
        <f t="shared" si="239"/>
        <v>0</v>
      </c>
      <c r="Q1001" s="329"/>
      <c r="S1001" s="332">
        <f>IFERROR(VLOOKUP(B1001,DONGIA,$S$25,0),0)</f>
        <v>0</v>
      </c>
      <c r="T1001" s="332">
        <f>H1001*S1001</f>
        <v>0</v>
      </c>
    </row>
    <row r="1002" spans="1:20">
      <c r="A1002" s="332" t="s">
        <v>477</v>
      </c>
      <c r="B1002" s="332" t="s">
        <v>29</v>
      </c>
      <c r="C1002" s="333">
        <f t="shared" si="223"/>
        <v>1</v>
      </c>
      <c r="D1002" s="328"/>
      <c r="E1002" s="328">
        <f>VLOOKUP(B1002,DONGIA,DG!$B$6,0)</f>
        <v>0</v>
      </c>
      <c r="F1002" s="779" t="str">
        <f>VLOOKUP(B1002,DONGIA,DG!$C$6,0)</f>
        <v>Boulon 16x50+ 2 long đền vuông D18-50x50x3/Zn</v>
      </c>
      <c r="G1002" s="328" t="str">
        <f>VLOOKUP(B1002,DONGIA,DG!$D$6,0)</f>
        <v>bộ</v>
      </c>
      <c r="H1002" s="329">
        <f>H997*6</f>
        <v>54</v>
      </c>
      <c r="I1002" s="329">
        <f>VLOOKUP(B1002,DONGIA,DG!$E$6,0)</f>
        <v>17000</v>
      </c>
      <c r="J1002" s="329"/>
      <c r="K1002" s="329">
        <f>VLOOKUP(B1002,DONGIA,DG!$F$6,0)</f>
        <v>0</v>
      </c>
      <c r="L1002" s="329">
        <f>VLOOKUP(B1002,DONGIA,DG!$G$6,0)</f>
        <v>0</v>
      </c>
      <c r="M1002" s="329">
        <f t="shared" si="239"/>
        <v>918000</v>
      </c>
      <c r="N1002" s="329">
        <f t="shared" si="239"/>
        <v>0</v>
      </c>
      <c r="O1002" s="329">
        <f t="shared" si="239"/>
        <v>0</v>
      </c>
      <c r="P1002" s="329">
        <f t="shared" si="239"/>
        <v>0</v>
      </c>
      <c r="Q1002" s="329"/>
      <c r="S1002" s="332">
        <f t="shared" si="222"/>
        <v>0.25</v>
      </c>
      <c r="T1002" s="332">
        <f t="shared" si="224"/>
        <v>13.5</v>
      </c>
    </row>
    <row r="1003" spans="1:20">
      <c r="A1003" s="332" t="s">
        <v>477</v>
      </c>
      <c r="C1003" s="333">
        <f t="shared" si="223"/>
        <v>1</v>
      </c>
      <c r="D1003" s="372">
        <f>IF(H1003&lt;&gt;0,D997+1,D997)</f>
        <v>4</v>
      </c>
      <c r="E1003" s="372"/>
      <c r="F1003" s="780" t="s">
        <v>1942</v>
      </c>
      <c r="G1003" s="372" t="s">
        <v>138</v>
      </c>
      <c r="H1003" s="372">
        <f>TR3X50</f>
        <v>9</v>
      </c>
      <c r="I1003" s="373"/>
      <c r="J1003" s="373"/>
      <c r="K1003" s="373"/>
      <c r="L1003" s="373"/>
      <c r="M1003" s="373"/>
      <c r="N1003" s="373"/>
      <c r="O1003" s="373"/>
      <c r="P1003" s="373"/>
      <c r="Q1003" s="373"/>
      <c r="S1003" s="332">
        <f t="shared" si="222"/>
        <v>0</v>
      </c>
      <c r="T1003" s="332">
        <f t="shared" si="224"/>
        <v>0</v>
      </c>
    </row>
    <row r="1004" spans="1:20" s="361" customFormat="1" hidden="1">
      <c r="A1004" s="361" t="s">
        <v>477</v>
      </c>
      <c r="C1004" s="374">
        <f t="shared" si="223"/>
        <v>0</v>
      </c>
      <c r="D1004" s="350"/>
      <c r="E1004" s="350"/>
      <c r="F1004" s="351" t="s">
        <v>1902</v>
      </c>
      <c r="G1004" s="350"/>
      <c r="H1004" s="351"/>
      <c r="I1004" s="351"/>
      <c r="J1004" s="351"/>
      <c r="K1004" s="351"/>
      <c r="L1004" s="351"/>
      <c r="M1004" s="351"/>
      <c r="N1004" s="351"/>
      <c r="O1004" s="351"/>
      <c r="P1004" s="351"/>
      <c r="Q1004" s="351"/>
      <c r="S1004" s="361">
        <f t="shared" si="222"/>
        <v>0</v>
      </c>
      <c r="T1004" s="361">
        <f t="shared" si="224"/>
        <v>0</v>
      </c>
    </row>
    <row r="1005" spans="1:20">
      <c r="A1005" s="332" t="s">
        <v>477</v>
      </c>
      <c r="B1005" s="332" t="s">
        <v>144</v>
      </c>
      <c r="C1005" s="333">
        <f t="shared" si="223"/>
        <v>1</v>
      </c>
      <c r="D1005" s="328"/>
      <c r="E1005" s="328">
        <f>VLOOKUP(B1005,DONGIA,DG!$B$6,0)</f>
        <v>0</v>
      </c>
      <c r="F1005" s="779" t="str">
        <f>VLOOKUP(B1005,DONGIA,DG!$C$6,0)</f>
        <v>Cáp đồng trần M25mm2</v>
      </c>
      <c r="G1005" s="328" t="str">
        <f>VLOOKUP(B1005,DONGIA,DG!$D$6,0)</f>
        <v>kg</v>
      </c>
      <c r="H1005" s="458">
        <f>TDTR3P*0.224*H1003</f>
        <v>122.976</v>
      </c>
      <c r="I1005" s="329">
        <f>VLOOKUP(B1005,DONGIA,DG!$E$6,0)</f>
        <v>201380</v>
      </c>
      <c r="J1005" s="329"/>
      <c r="K1005" s="329">
        <f>VLOOKUP(B1005,DONGIA,DG!$F$6,0)</f>
        <v>0</v>
      </c>
      <c r="L1005" s="329">
        <f>VLOOKUP(B1005,DONGIA,DG!$G$6,0)</f>
        <v>0</v>
      </c>
      <c r="M1005" s="329">
        <f>$H1005*I1005</f>
        <v>24764906.879999999</v>
      </c>
      <c r="N1005" s="329">
        <f>$H1005*J1005</f>
        <v>0</v>
      </c>
      <c r="O1005" s="329">
        <f>$H1005*K1005</f>
        <v>0</v>
      </c>
      <c r="P1005" s="329">
        <f>$H1005*L1005</f>
        <v>0</v>
      </c>
      <c r="Q1005" s="329"/>
      <c r="S1005" s="332">
        <f t="shared" si="222"/>
        <v>1</v>
      </c>
      <c r="T1005" s="332">
        <f t="shared" si="224"/>
        <v>122.976</v>
      </c>
    </row>
    <row r="1006" spans="1:20">
      <c r="A1006" s="332" t="s">
        <v>477</v>
      </c>
      <c r="B1006" s="332" t="s">
        <v>278</v>
      </c>
      <c r="C1006" s="333">
        <f t="shared" si="223"/>
        <v>1</v>
      </c>
      <c r="D1006" s="328"/>
      <c r="E1006" s="328">
        <f>VLOOKUP(B1006,DONGIA,DG!$B$6,0)</f>
        <v>0</v>
      </c>
      <c r="F1006" s="779" t="str">
        <f>VLOOKUP(B1006,DONGIA,DG!$C$6,0)</f>
        <v>Cọc tiếp đất φ16 - 2,4m (mạ đồng 16µm)</v>
      </c>
      <c r="G1006" s="328" t="str">
        <f>VLOOKUP(B1006,DONGIA,DG!$D$6,0)</f>
        <v>cọc</v>
      </c>
      <c r="H1006" s="329">
        <f>H1003*12</f>
        <v>108</v>
      </c>
      <c r="I1006" s="329">
        <f>VLOOKUP(B1006,DONGIA,DG!$E$6,0)</f>
        <v>130000</v>
      </c>
      <c r="J1006" s="329"/>
      <c r="K1006" s="329">
        <f>VLOOKUP(B1006,DONGIA,DG!$F$6,0)</f>
        <v>0</v>
      </c>
      <c r="L1006" s="329">
        <f>VLOOKUP(B1006,DONGIA,DG!$G$6,0)</f>
        <v>0</v>
      </c>
      <c r="M1006" s="329">
        <f t="shared" ref="M1006:M1013" si="240">$H1006*I1006</f>
        <v>14040000</v>
      </c>
      <c r="N1006" s="329">
        <f t="shared" ref="N1006:N1013" si="241">$H1006*J1006</f>
        <v>0</v>
      </c>
      <c r="O1006" s="329">
        <f t="shared" ref="O1006:O1013" si="242">$H1006*K1006</f>
        <v>0</v>
      </c>
      <c r="P1006" s="329">
        <f t="shared" ref="P1006:P1013" si="243">$H1006*L1006</f>
        <v>0</v>
      </c>
      <c r="Q1006" s="329"/>
      <c r="S1006" s="332">
        <f t="shared" si="222"/>
        <v>5.3</v>
      </c>
      <c r="T1006" s="332">
        <f t="shared" si="224"/>
        <v>572.4</v>
      </c>
    </row>
    <row r="1007" spans="1:20">
      <c r="A1007" s="332" t="s">
        <v>477</v>
      </c>
      <c r="B1007" s="332" t="s">
        <v>280</v>
      </c>
      <c r="C1007" s="333">
        <f t="shared" si="223"/>
        <v>1</v>
      </c>
      <c r="D1007" s="328"/>
      <c r="E1007" s="328">
        <f>VLOOKUP(B1007,DONGIA,DG!$B$6,0)</f>
        <v>0</v>
      </c>
      <c r="F1007" s="779" t="str">
        <f>VLOOKUP(B1007,DONGIA,DG!$C$6,0)</f>
        <v>Kẹp cọc tiếp địa</v>
      </c>
      <c r="G1007" s="328" t="str">
        <f>VLOOKUP(B1007,DONGIA,DG!$D$6,0)</f>
        <v>bộ</v>
      </c>
      <c r="H1007" s="329">
        <f>H1006</f>
        <v>108</v>
      </c>
      <c r="I1007" s="329">
        <f>VLOOKUP(B1007,DONGIA,DG!$E$6,0)</f>
        <v>25000</v>
      </c>
      <c r="J1007" s="329"/>
      <c r="K1007" s="329">
        <f>VLOOKUP(B1007,DONGIA,DG!$F$6,0)</f>
        <v>0</v>
      </c>
      <c r="L1007" s="329">
        <f>VLOOKUP(B1007,DONGIA,DG!$G$6,0)</f>
        <v>0</v>
      </c>
      <c r="M1007" s="329">
        <f t="shared" si="240"/>
        <v>2700000</v>
      </c>
      <c r="N1007" s="329">
        <f t="shared" si="241"/>
        <v>0</v>
      </c>
      <c r="O1007" s="329">
        <f t="shared" si="242"/>
        <v>0</v>
      </c>
      <c r="P1007" s="329">
        <f t="shared" si="243"/>
        <v>0</v>
      </c>
      <c r="Q1007" s="329"/>
      <c r="S1007" s="332">
        <f t="shared" si="222"/>
        <v>0.05</v>
      </c>
      <c r="T1007" s="332">
        <f t="shared" si="224"/>
        <v>5.4</v>
      </c>
    </row>
    <row r="1008" spans="1:20">
      <c r="A1008" s="332" t="s">
        <v>477</v>
      </c>
      <c r="B1008" s="332" t="s">
        <v>1217</v>
      </c>
      <c r="C1008" s="333">
        <f t="shared" si="223"/>
        <v>1</v>
      </c>
      <c r="D1008" s="328"/>
      <c r="E1008" s="328">
        <f>VLOOKUP(B1008,DONGIA,DG!$B$6,0)</f>
        <v>0</v>
      </c>
      <c r="F1008" s="779" t="str">
        <f>VLOOKUP(B1008,DONGIA,DG!$C$6,0)</f>
        <v xml:space="preserve">Ốc xiết cáp cỡ 38mm2 </v>
      </c>
      <c r="G1008" s="328" t="str">
        <f>VLOOKUP(B1008,DONGIA,DG!$D$6,0)</f>
        <v>cái</v>
      </c>
      <c r="H1008" s="329">
        <f>H1003*12</f>
        <v>108</v>
      </c>
      <c r="I1008" s="329">
        <f>VLOOKUP(B1008,DONGIA,DG!$E$6,0)</f>
        <v>18000</v>
      </c>
      <c r="J1008" s="329"/>
      <c r="K1008" s="329">
        <f>VLOOKUP(B1008,DONGIA,DG!$F$6,0)</f>
        <v>0</v>
      </c>
      <c r="L1008" s="329">
        <f>VLOOKUP(B1008,DONGIA,DG!$G$6,0)</f>
        <v>0</v>
      </c>
      <c r="M1008" s="329">
        <f t="shared" si="240"/>
        <v>1944000</v>
      </c>
      <c r="N1008" s="329">
        <f t="shared" si="241"/>
        <v>0</v>
      </c>
      <c r="O1008" s="329">
        <f t="shared" si="242"/>
        <v>0</v>
      </c>
      <c r="P1008" s="329">
        <f t="shared" si="243"/>
        <v>0</v>
      </c>
      <c r="Q1008" s="329"/>
      <c r="S1008" s="332">
        <f t="shared" si="222"/>
        <v>0</v>
      </c>
      <c r="T1008" s="332">
        <f t="shared" si="224"/>
        <v>0</v>
      </c>
    </row>
    <row r="1009" spans="1:20">
      <c r="A1009" s="332" t="s">
        <v>477</v>
      </c>
      <c r="B1009" s="332" t="s">
        <v>323</v>
      </c>
      <c r="C1009" s="333">
        <f>IF(H1009&lt;&gt;0,1,)</f>
        <v>1</v>
      </c>
      <c r="D1009" s="328"/>
      <c r="E1009" s="328">
        <f>VLOOKUP(B1009,DONGIA,DG!$B$6,0)</f>
        <v>0</v>
      </c>
      <c r="F1009" s="779" t="str">
        <f>VLOOKUP(B1009,DONGIA,DG!$C$6,0)</f>
        <v>Kẹp ép WR cỡ dây 50mm2</v>
      </c>
      <c r="G1009" s="328" t="str">
        <f>VLOOKUP(B1009,DONGIA,DG!$D$6,0)</f>
        <v>cái</v>
      </c>
      <c r="H1009" s="329">
        <f>H1003*2</f>
        <v>18</v>
      </c>
      <c r="I1009" s="329">
        <f>VLOOKUP(B1009,DONGIA,DG!$E$6,0)</f>
        <v>10000</v>
      </c>
      <c r="J1009" s="329"/>
      <c r="K1009" s="329">
        <f>VLOOKUP(B1009,DONGIA,DG!$F$6,0)</f>
        <v>0</v>
      </c>
      <c r="L1009" s="329">
        <f>VLOOKUP(B1009,DONGIA,DG!$G$6,0)</f>
        <v>0</v>
      </c>
      <c r="M1009" s="329">
        <f>$H1009*I1009</f>
        <v>180000</v>
      </c>
      <c r="N1009" s="329">
        <f>$H1009*J1009</f>
        <v>0</v>
      </c>
      <c r="O1009" s="329">
        <f>$H1009*K1009</f>
        <v>0</v>
      </c>
      <c r="P1009" s="329">
        <f>$H1009*L1009</f>
        <v>0</v>
      </c>
      <c r="Q1009" s="329"/>
      <c r="S1009" s="332">
        <f>IFERROR(VLOOKUP(B1009,DONGIA,$S$25,0),0)</f>
        <v>0.2</v>
      </c>
      <c r="T1009" s="332">
        <f>H1009*S1009</f>
        <v>3.6</v>
      </c>
    </row>
    <row r="1010" spans="1:20">
      <c r="A1010" s="332" t="s">
        <v>477</v>
      </c>
      <c r="B1010" s="332" t="s">
        <v>573</v>
      </c>
      <c r="C1010" s="333">
        <f t="shared" si="223"/>
        <v>1</v>
      </c>
      <c r="D1010" s="328"/>
      <c r="E1010" s="328" t="str">
        <f>VLOOKUP(B1010,DONGIA,DG!$B$6,0)</f>
        <v>T4.7001</v>
      </c>
      <c r="F1010" s="779" t="str">
        <f>VLOOKUP(B1010,DONGIA,DG!$C$6,0)</f>
        <v>Kéo dây tiếp địa trong TBA</v>
      </c>
      <c r="G1010" s="328" t="str">
        <f>VLOOKUP(B1010,DONGIA,DG!$D$6,0)</f>
        <v>mét</v>
      </c>
      <c r="H1010" s="329">
        <f>TDTR3P*H1003</f>
        <v>549</v>
      </c>
      <c r="I1010" s="329">
        <f>VLOOKUP(B1010,DONGIA,DG!$E$6,0)</f>
        <v>0</v>
      </c>
      <c r="J1010" s="329"/>
      <c r="K1010" s="329">
        <f>VLOOKUP(B1010,DONGIA,DG!$F$6,0)</f>
        <v>6871</v>
      </c>
      <c r="L1010" s="329">
        <f>VLOOKUP(B1010,DONGIA,DG!$G$6,0)</f>
        <v>0</v>
      </c>
      <c r="M1010" s="329">
        <f t="shared" si="240"/>
        <v>0</v>
      </c>
      <c r="N1010" s="329">
        <f t="shared" si="241"/>
        <v>0</v>
      </c>
      <c r="O1010" s="329">
        <f t="shared" si="242"/>
        <v>3772179</v>
      </c>
      <c r="P1010" s="329">
        <f t="shared" si="243"/>
        <v>0</v>
      </c>
      <c r="Q1010" s="329"/>
      <c r="S1010" s="332">
        <f t="shared" si="222"/>
        <v>0</v>
      </c>
      <c r="T1010" s="332">
        <f t="shared" si="224"/>
        <v>0</v>
      </c>
    </row>
    <row r="1011" spans="1:20">
      <c r="A1011" s="332" t="s">
        <v>477</v>
      </c>
      <c r="B1011" s="332" t="s">
        <v>581</v>
      </c>
      <c r="C1011" s="333">
        <f t="shared" si="223"/>
        <v>1</v>
      </c>
      <c r="D1011" s="328"/>
      <c r="E1011" s="328" t="str">
        <f>VLOOKUP(B1011,DONGIA,DG!$B$6,0)</f>
        <v>D2.8103</v>
      </c>
      <c r="F1011" s="779" t="str">
        <f>VLOOKUP(B1011,DONGIA,DG!$C$6,0)</f>
        <v>Đóng cọc tiếp địa trong TBA (đất cấp 3)</v>
      </c>
      <c r="G1011" s="328" t="str">
        <f>VLOOKUP(B1011,DONGIA,DG!$D$6,0)</f>
        <v>cọc</v>
      </c>
      <c r="H1011" s="329">
        <f>H1006</f>
        <v>108</v>
      </c>
      <c r="I1011" s="329">
        <f>VLOOKUP(B1011,DONGIA,DG!$E$6,0)</f>
        <v>0</v>
      </c>
      <c r="J1011" s="329"/>
      <c r="K1011" s="329">
        <f>VLOOKUP(B1011,DONGIA,DG!$F$6,0)</f>
        <v>76928</v>
      </c>
      <c r="L1011" s="329">
        <f>VLOOKUP(B1011,DONGIA,DG!$G$6,0)</f>
        <v>0</v>
      </c>
      <c r="M1011" s="329">
        <f t="shared" si="240"/>
        <v>0</v>
      </c>
      <c r="N1011" s="329">
        <f t="shared" si="241"/>
        <v>0</v>
      </c>
      <c r="O1011" s="329">
        <f t="shared" si="242"/>
        <v>8308224</v>
      </c>
      <c r="P1011" s="329">
        <f t="shared" si="243"/>
        <v>0</v>
      </c>
      <c r="Q1011" s="329"/>
      <c r="S1011" s="332">
        <f t="shared" si="222"/>
        <v>0</v>
      </c>
      <c r="T1011" s="332">
        <f t="shared" si="224"/>
        <v>0</v>
      </c>
    </row>
    <row r="1012" spans="1:20">
      <c r="A1012" s="332" t="s">
        <v>477</v>
      </c>
      <c r="B1012" s="332" t="s">
        <v>540</v>
      </c>
      <c r="C1012" s="333">
        <f t="shared" si="223"/>
        <v>1</v>
      </c>
      <c r="D1012" s="328"/>
      <c r="E1012" s="328" t="str">
        <f>VLOOKUP(B1012,DONGIA,DG!$B$6,0)</f>
        <v>AB.11513</v>
      </c>
      <c r="F1012" s="779" t="str">
        <f>VLOOKUP(B1012,DONGIA,DG!$C$6,0)</f>
        <v>Đào rãnh tiếp địa đất cấp 3</v>
      </c>
      <c r="G1012" s="328" t="str">
        <f>VLOOKUP(B1012,DONGIA,DG!$D$6,0)</f>
        <v>m3</v>
      </c>
      <c r="H1012" s="442">
        <f>H1003*DAOTD</f>
        <v>29.700000000000003</v>
      </c>
      <c r="I1012" s="329">
        <f>VLOOKUP(B1012,DONGIA,DG!$E$6,0)</f>
        <v>0</v>
      </c>
      <c r="J1012" s="329"/>
      <c r="K1012" s="525">
        <f>ROUND(VLOOKUP(B1012,DONGIA,DG!$F$6,0)/NCTBA,0)</f>
        <v>241580</v>
      </c>
      <c r="L1012" s="329">
        <f>VLOOKUP(B1012,DONGIA,DG!$G$6,0)</f>
        <v>0</v>
      </c>
      <c r="M1012" s="329">
        <f t="shared" si="240"/>
        <v>0</v>
      </c>
      <c r="N1012" s="329">
        <f t="shared" si="241"/>
        <v>0</v>
      </c>
      <c r="O1012" s="329">
        <f t="shared" si="242"/>
        <v>7174926.0000000009</v>
      </c>
      <c r="P1012" s="329">
        <f t="shared" si="243"/>
        <v>0</v>
      </c>
      <c r="Q1012" s="329"/>
      <c r="S1012" s="332">
        <f t="shared" si="222"/>
        <v>0</v>
      </c>
      <c r="T1012" s="332">
        <f t="shared" si="224"/>
        <v>0</v>
      </c>
    </row>
    <row r="1013" spans="1:20">
      <c r="A1013" s="332" t="s">
        <v>477</v>
      </c>
      <c r="B1013" s="332" t="s">
        <v>547</v>
      </c>
      <c r="C1013" s="333">
        <f t="shared" si="223"/>
        <v>1</v>
      </c>
      <c r="D1013" s="328"/>
      <c r="E1013" s="328" t="str">
        <f>VLOOKUP(B1013,DONGIA,DG!$B$6,0)</f>
        <v>AB.65110</v>
      </c>
      <c r="F1013" s="779" t="str">
        <f>VLOOKUP(B1013,DONGIA,DG!$C$6,0)</f>
        <v>Đắp đất rãnh tiếp địa (K=0,85)</v>
      </c>
      <c r="G1013" s="328" t="str">
        <f>VLOOKUP(B1013,DONGIA,DG!$D$6,0)</f>
        <v>m3</v>
      </c>
      <c r="H1013" s="442">
        <f>H1012</f>
        <v>29.700000000000003</v>
      </c>
      <c r="I1013" s="329">
        <f>VLOOKUP(B1013,DONGIA,DG!$E$6,0)</f>
        <v>0</v>
      </c>
      <c r="J1013" s="329"/>
      <c r="K1013" s="525">
        <f>ROUND(VLOOKUP(B1013,DONGIA,DG!$F$6,0)/NCTBA,0)</f>
        <v>16267</v>
      </c>
      <c r="L1013" s="329">
        <f>VLOOKUP(B1013,DONGIA,DG!$G$6,0)</f>
        <v>11176</v>
      </c>
      <c r="M1013" s="329">
        <f t="shared" si="240"/>
        <v>0</v>
      </c>
      <c r="N1013" s="329">
        <f t="shared" si="241"/>
        <v>0</v>
      </c>
      <c r="O1013" s="329">
        <f t="shared" si="242"/>
        <v>483129.9</v>
      </c>
      <c r="P1013" s="329">
        <f t="shared" si="243"/>
        <v>331927.2</v>
      </c>
      <c r="Q1013" s="329"/>
      <c r="S1013" s="332">
        <f t="shared" si="222"/>
        <v>0</v>
      </c>
      <c r="T1013" s="332">
        <f t="shared" si="224"/>
        <v>0</v>
      </c>
    </row>
    <row r="1014" spans="1:20">
      <c r="A1014" s="332" t="s">
        <v>477</v>
      </c>
      <c r="C1014" s="333">
        <f t="shared" si="223"/>
        <v>1</v>
      </c>
      <c r="D1014" s="372">
        <f>IF(H1014&lt;&gt;0,D1003+1,D1003)</f>
        <v>5</v>
      </c>
      <c r="E1014" s="372"/>
      <c r="F1014" s="780" t="s">
        <v>1934</v>
      </c>
      <c r="G1014" s="372" t="s">
        <v>138</v>
      </c>
      <c r="H1014" s="372">
        <f>TR3X50</f>
        <v>9</v>
      </c>
      <c r="I1014" s="373"/>
      <c r="J1014" s="373"/>
      <c r="K1014" s="373"/>
      <c r="L1014" s="373"/>
      <c r="M1014" s="373"/>
      <c r="N1014" s="373"/>
      <c r="O1014" s="373"/>
      <c r="P1014" s="373"/>
      <c r="Q1014" s="373"/>
      <c r="S1014" s="332">
        <f t="shared" si="222"/>
        <v>0</v>
      </c>
      <c r="T1014" s="332">
        <f t="shared" si="224"/>
        <v>0</v>
      </c>
    </row>
    <row r="1015" spans="1:20" s="361" customFormat="1" hidden="1">
      <c r="A1015" s="361" t="s">
        <v>477</v>
      </c>
      <c r="C1015" s="374">
        <f t="shared" si="223"/>
        <v>0</v>
      </c>
      <c r="D1015" s="350"/>
      <c r="E1015" s="350"/>
      <c r="F1015" s="351" t="s">
        <v>1902</v>
      </c>
      <c r="G1015" s="350"/>
      <c r="H1015" s="351"/>
      <c r="I1015" s="351"/>
      <c r="J1015" s="351"/>
      <c r="K1015" s="351"/>
      <c r="L1015" s="351"/>
      <c r="M1015" s="351"/>
      <c r="N1015" s="351"/>
      <c r="O1015" s="351"/>
      <c r="P1015" s="351"/>
      <c r="Q1015" s="351"/>
      <c r="S1015" s="361">
        <f t="shared" si="222"/>
        <v>0</v>
      </c>
      <c r="T1015" s="361">
        <f t="shared" si="224"/>
        <v>0</v>
      </c>
    </row>
    <row r="1016" spans="1:20">
      <c r="A1016" s="332" t="s">
        <v>477</v>
      </c>
      <c r="B1016" s="332" t="s">
        <v>1913</v>
      </c>
      <c r="C1016" s="333">
        <f t="shared" si="223"/>
        <v>1</v>
      </c>
      <c r="D1016" s="328"/>
      <c r="E1016" s="328" t="str">
        <f>VLOOKUP(B1016,DONGIA,DG!$B$6,0)</f>
        <v>T5.1002</v>
      </c>
      <c r="F1016" s="779" t="str">
        <f>VLOOKUP(B1016,DONGIA,DG!$C$6,0)</f>
        <v>Tủ trạm treo + khóa + boulon + Bakelit + Collier (3 pha)</v>
      </c>
      <c r="G1016" s="328" t="str">
        <f>VLOOKUP(B1016,DONGIA,DG!$D$6,0)</f>
        <v>bộ</v>
      </c>
      <c r="H1016" s="329">
        <f>H1014</f>
        <v>9</v>
      </c>
      <c r="I1016" s="329">
        <f>VLOOKUP(B1016,DONGIA,DG!$E$6,0)</f>
        <v>5446000</v>
      </c>
      <c r="J1016" s="329"/>
      <c r="K1016" s="329">
        <f>VLOOKUP(B1016,DONGIA,DG!$F$6,0)</f>
        <v>743230</v>
      </c>
      <c r="L1016" s="329">
        <f>VLOOKUP(B1016,DONGIA,DG!$G$6,0)</f>
        <v>111154</v>
      </c>
      <c r="M1016" s="329">
        <f>$H1016*I1016</f>
        <v>49014000</v>
      </c>
      <c r="N1016" s="329">
        <f>$H1016*J1016</f>
        <v>0</v>
      </c>
      <c r="O1016" s="329">
        <f>$H1016*K1016</f>
        <v>6689070</v>
      </c>
      <c r="P1016" s="329">
        <f>$H1016*L1016</f>
        <v>1000386</v>
      </c>
      <c r="Q1016" s="329"/>
      <c r="S1016" s="332">
        <f t="shared" si="222"/>
        <v>45</v>
      </c>
      <c r="T1016" s="332">
        <f t="shared" si="224"/>
        <v>405</v>
      </c>
    </row>
    <row r="1017" spans="1:20">
      <c r="C1017" s="333">
        <f t="shared" si="223"/>
        <v>1</v>
      </c>
      <c r="D1017" s="372">
        <f>IF(H1017&lt;&gt;0,D1014+1,D1014)</f>
        <v>6</v>
      </c>
      <c r="E1017" s="372"/>
      <c r="F1017" s="780" t="s">
        <v>1935</v>
      </c>
      <c r="G1017" s="372" t="s">
        <v>138</v>
      </c>
      <c r="H1017" s="372">
        <f>TR3X50</f>
        <v>9</v>
      </c>
      <c r="I1017" s="373"/>
      <c r="J1017" s="373"/>
      <c r="K1017" s="373"/>
      <c r="L1017" s="373"/>
      <c r="M1017" s="373"/>
      <c r="N1017" s="373"/>
      <c r="O1017" s="373"/>
      <c r="P1017" s="373"/>
      <c r="Q1017" s="373"/>
      <c r="S1017" s="332">
        <f t="shared" si="222"/>
        <v>0</v>
      </c>
      <c r="T1017" s="332">
        <f t="shared" si="224"/>
        <v>0</v>
      </c>
    </row>
    <row r="1018" spans="1:20" s="361" customFormat="1" hidden="1">
      <c r="C1018" s="374">
        <f t="shared" si="223"/>
        <v>0</v>
      </c>
      <c r="D1018" s="350"/>
      <c r="E1018" s="350"/>
      <c r="F1018" s="351" t="s">
        <v>1902</v>
      </c>
      <c r="G1018" s="350"/>
      <c r="H1018" s="351"/>
      <c r="I1018" s="351"/>
      <c r="J1018" s="351"/>
      <c r="K1018" s="351"/>
      <c r="L1018" s="351"/>
      <c r="M1018" s="351"/>
      <c r="N1018" s="351"/>
      <c r="O1018" s="351"/>
      <c r="P1018" s="351"/>
      <c r="Q1018" s="351"/>
      <c r="S1018" s="361">
        <f t="shared" si="222"/>
        <v>0</v>
      </c>
      <c r="T1018" s="361">
        <f t="shared" si="224"/>
        <v>0</v>
      </c>
    </row>
    <row r="1019" spans="1:20">
      <c r="B1019" s="332" t="s">
        <v>1468</v>
      </c>
      <c r="C1019" s="333">
        <f t="shared" si="223"/>
        <v>1</v>
      </c>
      <c r="D1019" s="328"/>
      <c r="E1019" s="328">
        <f>VLOOKUP(B1019,DONGIA,DG!$B$6,0)</f>
        <v>0</v>
      </c>
      <c r="F1019" s="779" t="str">
        <f>VLOOKUP(B1019,DONGIA,DG!$C$6,0)</f>
        <v>Cáp 24KV C/XLPE/PVC 25mm2</v>
      </c>
      <c r="G1019" s="328" t="str">
        <f>VLOOKUP(B1019,DONGIA,DG!$D$6,0)</f>
        <v>mét</v>
      </c>
      <c r="H1019" s="329">
        <f>H1017*12</f>
        <v>108</v>
      </c>
      <c r="I1019" s="329">
        <f>VLOOKUP(B1019,DONGIA,DG!$E$6,0)</f>
        <v>87540</v>
      </c>
      <c r="J1019" s="329"/>
      <c r="K1019" s="329">
        <f>VLOOKUP(B1019,DONGIA,DG!$F$6,0)</f>
        <v>0</v>
      </c>
      <c r="L1019" s="329">
        <f>VLOOKUP(B1019,DONGIA,DG!$G$6,0)</f>
        <v>0</v>
      </c>
      <c r="M1019" s="329">
        <f t="shared" ref="M1019:P1023" si="244">$H1019*I1019</f>
        <v>9454320</v>
      </c>
      <c r="N1019" s="329">
        <f t="shared" si="244"/>
        <v>0</v>
      </c>
      <c r="O1019" s="329">
        <f t="shared" si="244"/>
        <v>0</v>
      </c>
      <c r="P1019" s="329">
        <f t="shared" si="244"/>
        <v>0</v>
      </c>
      <c r="Q1019" s="329"/>
      <c r="S1019" s="332">
        <f t="shared" si="222"/>
        <v>0.75</v>
      </c>
      <c r="T1019" s="332">
        <f t="shared" si="224"/>
        <v>81</v>
      </c>
    </row>
    <row r="1020" spans="1:20">
      <c r="B1020" s="332" t="s">
        <v>1507</v>
      </c>
      <c r="C1020" s="333">
        <f t="shared" si="223"/>
        <v>1</v>
      </c>
      <c r="D1020" s="328"/>
      <c r="E1020" s="328"/>
      <c r="F1020" s="779" t="str">
        <f>VLOOKUP(B1020,DONGIA,DG!$C$6,0)</f>
        <v>Kẹp quai 4/0 (quai đồng 8mm)</v>
      </c>
      <c r="G1020" s="328" t="str">
        <f>VLOOKUP(B1020,DONGIA,DG!$D$6,0)</f>
        <v>cái</v>
      </c>
      <c r="H1020" s="329">
        <f>H1017*3</f>
        <v>27</v>
      </c>
      <c r="I1020" s="329">
        <f>VLOOKUP(B1020,DONGIA,DG!$E$6,0)</f>
        <v>145000</v>
      </c>
      <c r="J1020" s="329"/>
      <c r="K1020" s="329"/>
      <c r="L1020" s="329">
        <f>VLOOKUP(B1020,DONGIA,DG!$G$6,0)</f>
        <v>0</v>
      </c>
      <c r="M1020" s="329">
        <f t="shared" si="244"/>
        <v>3915000</v>
      </c>
      <c r="N1020" s="329">
        <f t="shared" si="244"/>
        <v>0</v>
      </c>
      <c r="O1020" s="329">
        <f t="shared" si="244"/>
        <v>0</v>
      </c>
      <c r="P1020" s="329">
        <f t="shared" si="244"/>
        <v>0</v>
      </c>
      <c r="Q1020" s="329"/>
      <c r="S1020" s="332">
        <f t="shared" si="222"/>
        <v>0.3</v>
      </c>
      <c r="T1020" s="332">
        <f t="shared" si="224"/>
        <v>8.1</v>
      </c>
    </row>
    <row r="1021" spans="1:20">
      <c r="B1021" s="332" t="s">
        <v>1511</v>
      </c>
      <c r="C1021" s="333">
        <f t="shared" si="223"/>
        <v>1</v>
      </c>
      <c r="D1021" s="328"/>
      <c r="E1021" s="328"/>
      <c r="F1021" s="779" t="str">
        <f>VLOOKUP(B1021,DONGIA,DG!$C$6,0)</f>
        <v>Chụp cách điện kẹp quai</v>
      </c>
      <c r="G1021" s="328" t="str">
        <f>VLOOKUP(B1021,DONGIA,DG!$D$6,0)</f>
        <v>cái</v>
      </c>
      <c r="H1021" s="329">
        <f>H1020</f>
        <v>27</v>
      </c>
      <c r="I1021" s="329">
        <f>VLOOKUP(B1021,DONGIA,DG!$E$6,0)</f>
        <v>122000</v>
      </c>
      <c r="J1021" s="329"/>
      <c r="K1021" s="329"/>
      <c r="L1021" s="329">
        <f>VLOOKUP(B1021,DONGIA,DG!$G$6,0)</f>
        <v>0</v>
      </c>
      <c r="M1021" s="329">
        <f t="shared" si="244"/>
        <v>3294000</v>
      </c>
      <c r="N1021" s="329">
        <f t="shared" si="244"/>
        <v>0</v>
      </c>
      <c r="O1021" s="329">
        <f t="shared" si="244"/>
        <v>0</v>
      </c>
      <c r="P1021" s="329">
        <f t="shared" si="244"/>
        <v>0</v>
      </c>
      <c r="Q1021" s="329"/>
      <c r="S1021" s="332">
        <f t="shared" si="222"/>
        <v>0.2</v>
      </c>
      <c r="T1021" s="332">
        <f t="shared" si="224"/>
        <v>5.4</v>
      </c>
    </row>
    <row r="1022" spans="1:20">
      <c r="B1022" s="332" t="s">
        <v>1508</v>
      </c>
      <c r="C1022" s="333">
        <f t="shared" si="223"/>
        <v>1</v>
      </c>
      <c r="D1022" s="328"/>
      <c r="E1022" s="328"/>
      <c r="F1022" s="779" t="str">
        <f>VLOOKUP(B1022,DONGIA,DG!$C$6,0)</f>
        <v>Kẹp hotline 2/0</v>
      </c>
      <c r="G1022" s="328" t="str">
        <f>VLOOKUP(B1022,DONGIA,DG!$D$6,0)</f>
        <v>cái</v>
      </c>
      <c r="H1022" s="329">
        <f>H1020</f>
        <v>27</v>
      </c>
      <c r="I1022" s="329">
        <f>VLOOKUP(B1022,DONGIA,DG!$E$6,0)</f>
        <v>68000</v>
      </c>
      <c r="J1022" s="329"/>
      <c r="K1022" s="329"/>
      <c r="L1022" s="329">
        <f>VLOOKUP(B1022,DONGIA,DG!$G$6,0)</f>
        <v>0</v>
      </c>
      <c r="M1022" s="329">
        <f t="shared" si="244"/>
        <v>1836000</v>
      </c>
      <c r="N1022" s="329">
        <f t="shared" si="244"/>
        <v>0</v>
      </c>
      <c r="O1022" s="329">
        <f t="shared" si="244"/>
        <v>0</v>
      </c>
      <c r="P1022" s="329">
        <f t="shared" si="244"/>
        <v>0</v>
      </c>
      <c r="Q1022" s="329"/>
      <c r="S1022" s="332">
        <f t="shared" si="222"/>
        <v>0.1</v>
      </c>
      <c r="T1022" s="332">
        <f t="shared" si="224"/>
        <v>2.7</v>
      </c>
    </row>
    <row r="1023" spans="1:20">
      <c r="B1023" s="332" t="s">
        <v>1939</v>
      </c>
      <c r="C1023" s="333">
        <f t="shared" si="223"/>
        <v>1</v>
      </c>
      <c r="D1023" s="328"/>
      <c r="E1023" s="328" t="str">
        <f>VLOOKUP(B1023,DONGIA,DG!$B$6,0)</f>
        <v>T4.4201</v>
      </c>
      <c r="F1023" s="779" t="str">
        <f>VLOOKUP(B1023,DONGIA,DG!$C$6,0)</f>
        <v>Lắp cáp đồng xuống thiết bị D ≤ 95mm2</v>
      </c>
      <c r="G1023" s="328" t="str">
        <f>VLOOKUP(B1023,DONGIA,DG!$D$6,0)</f>
        <v>m</v>
      </c>
      <c r="H1023" s="329">
        <f>H1019</f>
        <v>108</v>
      </c>
      <c r="I1023" s="329">
        <f>VLOOKUP(B1023,DONGIA,DG!$E$6,0)</f>
        <v>0</v>
      </c>
      <c r="J1023" s="329"/>
      <c r="K1023" s="329">
        <f>VLOOKUP(B1023,DONGIA,DG!$F$6,0)</f>
        <v>11847</v>
      </c>
      <c r="L1023" s="329">
        <f>VLOOKUP(B1023,DONGIA,DG!$G$6,0)</f>
        <v>0</v>
      </c>
      <c r="M1023" s="329">
        <f t="shared" si="244"/>
        <v>0</v>
      </c>
      <c r="N1023" s="329">
        <f t="shared" si="244"/>
        <v>0</v>
      </c>
      <c r="O1023" s="329">
        <f t="shared" si="244"/>
        <v>1279476</v>
      </c>
      <c r="P1023" s="329">
        <f t="shared" si="244"/>
        <v>0</v>
      </c>
      <c r="Q1023" s="329"/>
      <c r="S1023" s="332">
        <f t="shared" si="222"/>
        <v>0</v>
      </c>
      <c r="T1023" s="332">
        <f t="shared" si="224"/>
        <v>0</v>
      </c>
    </row>
    <row r="1024" spans="1:20">
      <c r="C1024" s="333">
        <f t="shared" si="223"/>
        <v>1</v>
      </c>
      <c r="D1024" s="372">
        <f>IF(H1024&lt;&gt;0,D1017+1,D1017)</f>
        <v>7</v>
      </c>
      <c r="E1024" s="372"/>
      <c r="F1024" s="780" t="s">
        <v>1936</v>
      </c>
      <c r="G1024" s="372" t="s">
        <v>138</v>
      </c>
      <c r="H1024" s="372">
        <f>TR3X50</f>
        <v>9</v>
      </c>
      <c r="I1024" s="373"/>
      <c r="J1024" s="373"/>
      <c r="K1024" s="373"/>
      <c r="L1024" s="373"/>
      <c r="M1024" s="373"/>
      <c r="N1024" s="373"/>
      <c r="O1024" s="373"/>
      <c r="P1024" s="373"/>
      <c r="Q1024" s="373"/>
      <c r="S1024" s="332">
        <f t="shared" si="222"/>
        <v>0</v>
      </c>
      <c r="T1024" s="332">
        <f t="shared" si="224"/>
        <v>0</v>
      </c>
    </row>
    <row r="1025" spans="2:20" s="361" customFormat="1" hidden="1">
      <c r="C1025" s="374">
        <f t="shared" si="223"/>
        <v>0</v>
      </c>
      <c r="D1025" s="350"/>
      <c r="E1025" s="350"/>
      <c r="F1025" s="351" t="s">
        <v>1902</v>
      </c>
      <c r="G1025" s="350"/>
      <c r="H1025" s="351"/>
      <c r="I1025" s="351"/>
      <c r="J1025" s="351"/>
      <c r="K1025" s="351"/>
      <c r="L1025" s="351"/>
      <c r="M1025" s="351"/>
      <c r="N1025" s="351"/>
      <c r="O1025" s="351"/>
      <c r="P1025" s="351"/>
      <c r="Q1025" s="351"/>
      <c r="S1025" s="361">
        <f t="shared" ref="S1025:S1089" si="245">IFERROR(VLOOKUP(B1025,DONGIA,$S$25,0),0)</f>
        <v>0</v>
      </c>
      <c r="T1025" s="361">
        <f t="shared" si="224"/>
        <v>0</v>
      </c>
    </row>
    <row r="1026" spans="2:20" s="405" customFormat="1">
      <c r="B1026" s="405" t="s">
        <v>1908</v>
      </c>
      <c r="C1026" s="418">
        <f t="shared" ref="C1026:C1090" si="246">IF(H1026&lt;&gt;0,1,)</f>
        <v>1</v>
      </c>
      <c r="D1026" s="523"/>
      <c r="E1026" s="523">
        <f>VLOOKUP(B1026,DONGIA,DG!$B$6,0)</f>
        <v>0</v>
      </c>
      <c r="F1026" s="666" t="str">
        <f>VLOOKUP(B1026,DONGIA,DG!$C$6,0)</f>
        <v>Cáp đồng bọc CV120</v>
      </c>
      <c r="G1026" s="523" t="str">
        <f>VLOOKUP(B1026,DONGIA,DG!$D$6,0)</f>
        <v>mét</v>
      </c>
      <c r="H1026" s="554">
        <f>H1024*3*9.5</f>
        <v>256.5</v>
      </c>
      <c r="I1026" s="525">
        <f>VLOOKUP(B1026,DONGIA,DG!$E$6,0)</f>
        <v>245040</v>
      </c>
      <c r="J1026" s="525"/>
      <c r="K1026" s="525">
        <f>VLOOKUP(B1026,DONGIA,DG!$F$6,0)</f>
        <v>0</v>
      </c>
      <c r="L1026" s="525">
        <f>VLOOKUP(B1026,DONGIA,DG!$G$6,0)</f>
        <v>0</v>
      </c>
      <c r="M1026" s="525">
        <f>$H1026*I1026</f>
        <v>62852760</v>
      </c>
      <c r="N1026" s="525">
        <f>$H1026*J1026</f>
        <v>0</v>
      </c>
      <c r="O1026" s="525">
        <f>$H1026*K1026</f>
        <v>0</v>
      </c>
      <c r="P1026" s="525">
        <f>$H1026*L1026</f>
        <v>0</v>
      </c>
      <c r="Q1026" s="525"/>
      <c r="S1026" s="405">
        <f t="shared" si="245"/>
        <v>1.2350000000000001</v>
      </c>
      <c r="T1026" s="405">
        <f t="shared" ref="T1026:T1090" si="247">H1026*S1026</f>
        <v>316.77750000000003</v>
      </c>
    </row>
    <row r="1027" spans="2:20" s="405" customFormat="1">
      <c r="B1027" s="405" t="s">
        <v>1907</v>
      </c>
      <c r="C1027" s="418">
        <f t="shared" si="246"/>
        <v>1</v>
      </c>
      <c r="D1027" s="523"/>
      <c r="E1027" s="523">
        <f>VLOOKUP(B1027,DONGIA,DG!$B$6,0)</f>
        <v>0</v>
      </c>
      <c r="F1027" s="666" t="str">
        <f>VLOOKUP(B1027,DONGIA,DG!$C$6,0)</f>
        <v>Cáp đồng bọc CV70</v>
      </c>
      <c r="G1027" s="523" t="str">
        <f>VLOOKUP(B1027,DONGIA,DG!$D$6,0)</f>
        <v>mét</v>
      </c>
      <c r="H1027" s="554">
        <f>H1024*14.5</f>
        <v>130.5</v>
      </c>
      <c r="I1027" s="525">
        <f>VLOOKUP(B1027,DONGIA,DG!$E$6,0)</f>
        <v>142880</v>
      </c>
      <c r="J1027" s="525"/>
      <c r="K1027" s="525">
        <f>VLOOKUP(B1027,DONGIA,DG!$F$6,0)</f>
        <v>0</v>
      </c>
      <c r="L1027" s="525">
        <f>VLOOKUP(B1027,DONGIA,DG!$G$6,0)</f>
        <v>0</v>
      </c>
      <c r="M1027" s="525">
        <f t="shared" ref="M1027:M1046" si="248">$H1027*I1027</f>
        <v>18645840</v>
      </c>
      <c r="N1027" s="525">
        <f t="shared" ref="N1027:N1046" si="249">$H1027*J1027</f>
        <v>0</v>
      </c>
      <c r="O1027" s="525">
        <f t="shared" ref="O1027:O1046" si="250">$H1027*K1027</f>
        <v>0</v>
      </c>
      <c r="P1027" s="525">
        <f t="shared" ref="P1027:P1046" si="251">$H1027*L1027</f>
        <v>0</v>
      </c>
      <c r="Q1027" s="525"/>
      <c r="S1027" s="405">
        <f t="shared" si="245"/>
        <v>0.73899999999999999</v>
      </c>
      <c r="T1027" s="405">
        <f t="shared" si="247"/>
        <v>96.439499999999995</v>
      </c>
    </row>
    <row r="1028" spans="2:20" s="851" customFormat="1">
      <c r="B1028" s="851" t="s">
        <v>3520</v>
      </c>
      <c r="C1028" s="852">
        <f t="shared" si="246"/>
        <v>1</v>
      </c>
      <c r="D1028" s="662"/>
      <c r="E1028" s="662">
        <f>VLOOKUP(B1028,DONGIA,DG!$B$6,0)</f>
        <v>0</v>
      </c>
      <c r="F1028" s="853" t="str">
        <f>VLOOKUP(B1028,DONGIA,DG!$C$6,0)</f>
        <v>Cáp điều khiển CVV 6x4,0mm2</v>
      </c>
      <c r="G1028" s="662" t="str">
        <f>VLOOKUP(B1028,DONGIA,DG!$D$6,0)</f>
        <v>mét</v>
      </c>
      <c r="H1028" s="854">
        <f>H1024*0.8</f>
        <v>7.2</v>
      </c>
      <c r="I1028" s="664">
        <f>VLOOKUP(B1028,DONGIA,DG!$E$6,0)</f>
        <v>71600</v>
      </c>
      <c r="J1028" s="664"/>
      <c r="K1028" s="664">
        <f>VLOOKUP(B1028,DONGIA,DG!$F$6,0)</f>
        <v>0</v>
      </c>
      <c r="L1028" s="664">
        <f>VLOOKUP(B1028,DONGIA,DG!$G$6,0)</f>
        <v>0</v>
      </c>
      <c r="M1028" s="664">
        <f t="shared" si="248"/>
        <v>515520</v>
      </c>
      <c r="N1028" s="664">
        <f t="shared" si="249"/>
        <v>0</v>
      </c>
      <c r="O1028" s="664">
        <f t="shared" si="250"/>
        <v>0</v>
      </c>
      <c r="P1028" s="664">
        <f t="shared" si="251"/>
        <v>0</v>
      </c>
      <c r="Q1028" s="664"/>
      <c r="S1028" s="851">
        <f t="shared" si="245"/>
        <v>3.024</v>
      </c>
      <c r="T1028" s="851">
        <f t="shared" si="247"/>
        <v>21.7728</v>
      </c>
    </row>
    <row r="1029" spans="2:20" s="851" customFormat="1">
      <c r="B1029" s="851" t="s">
        <v>1937</v>
      </c>
      <c r="C1029" s="852">
        <f>IF(H1029&lt;&gt;0,1,)</f>
        <v>1</v>
      </c>
      <c r="D1029" s="662"/>
      <c r="E1029" s="662">
        <f>VLOOKUP(B1029,DONGIA,DG!$B$6,0)</f>
        <v>0</v>
      </c>
      <c r="F1029" s="853" t="str">
        <f>VLOOKUP(B1029,DONGIA,DG!$C$6,0)</f>
        <v>Cáp điều khiển CVV 4x4,0mm2</v>
      </c>
      <c r="G1029" s="662" t="str">
        <f>VLOOKUP(B1029,DONGIA,DG!$D$6,0)</f>
        <v>mét</v>
      </c>
      <c r="H1029" s="854">
        <f>H1024*1.3</f>
        <v>11.700000000000001</v>
      </c>
      <c r="I1029" s="664">
        <f>VLOOKUP(B1029,DONGIA,DG!$E$6,0)</f>
        <v>52400</v>
      </c>
      <c r="J1029" s="664"/>
      <c r="K1029" s="664">
        <f>VLOOKUP(B1029,DONGIA,DG!$F$6,0)</f>
        <v>0</v>
      </c>
      <c r="L1029" s="664">
        <f>VLOOKUP(B1029,DONGIA,DG!$G$6,0)</f>
        <v>0</v>
      </c>
      <c r="M1029" s="664">
        <f>$H1029*I1029</f>
        <v>613080</v>
      </c>
      <c r="N1029" s="664">
        <f>$H1029*J1029</f>
        <v>0</v>
      </c>
      <c r="O1029" s="664">
        <f>$H1029*K1029</f>
        <v>0</v>
      </c>
      <c r="P1029" s="664">
        <f>$H1029*L1029</f>
        <v>0</v>
      </c>
      <c r="Q1029" s="664"/>
      <c r="S1029" s="851">
        <f>IFERROR(VLOOKUP(B1029,DONGIA,$S$25,0),0)</f>
        <v>3.024</v>
      </c>
      <c r="T1029" s="851">
        <f>H1029*S1029</f>
        <v>35.380800000000001</v>
      </c>
    </row>
    <row r="1030" spans="2:20">
      <c r="B1030" s="332" t="s">
        <v>1119</v>
      </c>
      <c r="C1030" s="333">
        <f t="shared" si="246"/>
        <v>1</v>
      </c>
      <c r="D1030" s="328"/>
      <c r="E1030" s="328"/>
      <c r="F1030" s="779" t="str">
        <f>VLOOKUP(B1030,DONGIA,DG!$C$6,0)</f>
        <v>Đầu cosse ép Cu 120mm2</v>
      </c>
      <c r="G1030" s="328" t="str">
        <f>VLOOKUP(B1030,DONGIA,DG!$D$6,0)</f>
        <v>cái</v>
      </c>
      <c r="H1030" s="329">
        <f>H1024*3</f>
        <v>27</v>
      </c>
      <c r="I1030" s="329">
        <f>VLOOKUP(B1030,DONGIA,DG!$E$6,0)</f>
        <v>65000</v>
      </c>
      <c r="J1030" s="329"/>
      <c r="K1030" s="329"/>
      <c r="L1030" s="329"/>
      <c r="M1030" s="329">
        <f t="shared" si="248"/>
        <v>1755000</v>
      </c>
      <c r="N1030" s="329">
        <f t="shared" si="249"/>
        <v>0</v>
      </c>
      <c r="O1030" s="329">
        <f t="shared" si="250"/>
        <v>0</v>
      </c>
      <c r="P1030" s="329">
        <f t="shared" si="251"/>
        <v>0</v>
      </c>
      <c r="Q1030" s="329"/>
      <c r="S1030" s="332">
        <f t="shared" si="245"/>
        <v>0.1</v>
      </c>
      <c r="T1030" s="332">
        <f t="shared" si="247"/>
        <v>2.7</v>
      </c>
    </row>
    <row r="1031" spans="2:20">
      <c r="B1031" s="332" t="s">
        <v>1113</v>
      </c>
      <c r="C1031" s="333">
        <f t="shared" si="246"/>
        <v>1</v>
      </c>
      <c r="D1031" s="328"/>
      <c r="E1031" s="328"/>
      <c r="F1031" s="779" t="str">
        <f>VLOOKUP(B1031,DONGIA,DG!$C$6,0)</f>
        <v>Đầu cosse ép Cu 70mm2</v>
      </c>
      <c r="G1031" s="328" t="str">
        <f>VLOOKUP(B1031,DONGIA,DG!$D$6,0)</f>
        <v>cái</v>
      </c>
      <c r="H1031" s="329">
        <f>H1024</f>
        <v>9</v>
      </c>
      <c r="I1031" s="329">
        <f>VLOOKUP(B1031,DONGIA,DG!$E$6,0)</f>
        <v>33000</v>
      </c>
      <c r="J1031" s="329"/>
      <c r="K1031" s="329"/>
      <c r="L1031" s="329"/>
      <c r="M1031" s="329">
        <f t="shared" si="248"/>
        <v>297000</v>
      </c>
      <c r="N1031" s="329">
        <f t="shared" si="249"/>
        <v>0</v>
      </c>
      <c r="O1031" s="329">
        <f t="shared" si="250"/>
        <v>0</v>
      </c>
      <c r="P1031" s="329">
        <f t="shared" si="251"/>
        <v>0</v>
      </c>
      <c r="Q1031" s="329"/>
      <c r="S1031" s="332">
        <f t="shared" si="245"/>
        <v>0.2</v>
      </c>
      <c r="T1031" s="332">
        <f t="shared" si="247"/>
        <v>1.8</v>
      </c>
    </row>
    <row r="1032" spans="2:20">
      <c r="B1032" s="332" t="s">
        <v>1151</v>
      </c>
      <c r="C1032" s="333">
        <f t="shared" si="246"/>
        <v>1</v>
      </c>
      <c r="D1032" s="328"/>
      <c r="E1032" s="328">
        <f>VLOOKUP(B1032,DONGIA,DG!$B$6,0)</f>
        <v>0</v>
      </c>
      <c r="F1032" s="779" t="str">
        <f>VLOOKUP(B1032,DONGIA,DG!$C$6,0)</f>
        <v>Chụp đầu cosse  120mm2</v>
      </c>
      <c r="G1032" s="328" t="str">
        <f>VLOOKUP(B1032,DONGIA,DG!$D$6,0)</f>
        <v>cái</v>
      </c>
      <c r="H1032" s="329">
        <f>H1030</f>
        <v>27</v>
      </c>
      <c r="I1032" s="329">
        <f>VLOOKUP(B1032,DONGIA,DG!$E$6,0)</f>
        <v>3500</v>
      </c>
      <c r="J1032" s="329"/>
      <c r="K1032" s="329">
        <f>VLOOKUP(B1032,DONGIA,DG!$F$6,0)</f>
        <v>0</v>
      </c>
      <c r="L1032" s="329">
        <f>VLOOKUP(B1032,DONGIA,DG!$G$6,0)</f>
        <v>0</v>
      </c>
      <c r="M1032" s="329">
        <f t="shared" si="248"/>
        <v>94500</v>
      </c>
      <c r="N1032" s="329">
        <f t="shared" si="249"/>
        <v>0</v>
      </c>
      <c r="O1032" s="329">
        <f t="shared" si="250"/>
        <v>0</v>
      </c>
      <c r="P1032" s="329">
        <f t="shared" si="251"/>
        <v>0</v>
      </c>
      <c r="Q1032" s="329"/>
      <c r="S1032" s="332">
        <f t="shared" si="245"/>
        <v>0</v>
      </c>
      <c r="T1032" s="332">
        <f t="shared" si="247"/>
        <v>0</v>
      </c>
    </row>
    <row r="1033" spans="2:20">
      <c r="B1033" s="332" t="s">
        <v>1147</v>
      </c>
      <c r="C1033" s="333">
        <f t="shared" si="246"/>
        <v>1</v>
      </c>
      <c r="D1033" s="328"/>
      <c r="E1033" s="328">
        <f>VLOOKUP(B1033,DONGIA,DG!$B$6,0)</f>
        <v>0</v>
      </c>
      <c r="F1033" s="779" t="str">
        <f>VLOOKUP(B1033,DONGIA,DG!$C$6,0)</f>
        <v>Chụp đầu cosse  70mm2</v>
      </c>
      <c r="G1033" s="328" t="str">
        <f>VLOOKUP(B1033,DONGIA,DG!$D$6,0)</f>
        <v>cái</v>
      </c>
      <c r="H1033" s="329">
        <f>H1031</f>
        <v>9</v>
      </c>
      <c r="I1033" s="329">
        <f>VLOOKUP(B1033,DONGIA,DG!$E$6,0)</f>
        <v>2000</v>
      </c>
      <c r="J1033" s="329"/>
      <c r="K1033" s="329">
        <f>VLOOKUP(B1033,DONGIA,DG!$F$6,0)</f>
        <v>0</v>
      </c>
      <c r="L1033" s="329">
        <f>VLOOKUP(B1033,DONGIA,DG!$G$6,0)</f>
        <v>0</v>
      </c>
      <c r="M1033" s="329">
        <f t="shared" si="248"/>
        <v>18000</v>
      </c>
      <c r="N1033" s="329">
        <f t="shared" si="249"/>
        <v>0</v>
      </c>
      <c r="O1033" s="329">
        <f t="shared" si="250"/>
        <v>0</v>
      </c>
      <c r="P1033" s="329">
        <f t="shared" si="251"/>
        <v>0</v>
      </c>
      <c r="Q1033" s="329"/>
      <c r="S1033" s="332">
        <f t="shared" si="245"/>
        <v>0</v>
      </c>
      <c r="T1033" s="332">
        <f t="shared" si="247"/>
        <v>0</v>
      </c>
    </row>
    <row r="1034" spans="2:20">
      <c r="B1034" s="332" t="s">
        <v>1175</v>
      </c>
      <c r="C1034" s="333">
        <f t="shared" si="246"/>
        <v>1</v>
      </c>
      <c r="D1034" s="328"/>
      <c r="E1034" s="328">
        <f>VLOOKUP(B1034,DONGIA,DG!$B$6,0)</f>
        <v>0</v>
      </c>
      <c r="F1034" s="779" t="str">
        <f>VLOOKUP(B1034,DONGIA,DG!$C$6,0)</f>
        <v xml:space="preserve">Ống PVC D114x4,9mm </v>
      </c>
      <c r="G1034" s="328" t="str">
        <f>VLOOKUP(B1034,DONGIA,DG!$D$6,0)</f>
        <v>m</v>
      </c>
      <c r="H1034" s="489">
        <f>H1024*5.5</f>
        <v>49.5</v>
      </c>
      <c r="I1034" s="329">
        <f>VLOOKUP(B1034,DONGIA,DG!$E$6,0)</f>
        <v>102000</v>
      </c>
      <c r="J1034" s="329"/>
      <c r="K1034" s="329">
        <f>VLOOKUP(B1034,DONGIA,DG!$F$6,0)</f>
        <v>0</v>
      </c>
      <c r="L1034" s="329">
        <f>VLOOKUP(B1034,DONGIA,DG!$G$6,0)</f>
        <v>0</v>
      </c>
      <c r="M1034" s="329">
        <f t="shared" si="248"/>
        <v>5049000</v>
      </c>
      <c r="N1034" s="329">
        <f t="shared" si="249"/>
        <v>0</v>
      </c>
      <c r="O1034" s="329">
        <f t="shared" si="250"/>
        <v>0</v>
      </c>
      <c r="P1034" s="329">
        <f t="shared" si="251"/>
        <v>0</v>
      </c>
      <c r="Q1034" s="329"/>
      <c r="S1034" s="332">
        <f t="shared" si="245"/>
        <v>2</v>
      </c>
      <c r="T1034" s="332">
        <f t="shared" si="247"/>
        <v>99</v>
      </c>
    </row>
    <row r="1035" spans="2:20">
      <c r="B1035" s="332" t="s">
        <v>456</v>
      </c>
      <c r="C1035" s="333">
        <f t="shared" si="246"/>
        <v>1</v>
      </c>
      <c r="D1035" s="328"/>
      <c r="E1035" s="328"/>
      <c r="F1035" s="779" t="str">
        <f>VLOOKUP(B1035,DONGIA,DG!$C$6,0)&amp;" (CD: 230)"</f>
        <v>Cổ dê kẹp ống PVC φ 114 (có giá nới) (CD: 230)</v>
      </c>
      <c r="G1035" s="328" t="str">
        <f>VLOOKUP(B1035,DONGIA,DG!$D$6,0)</f>
        <v>bộ</v>
      </c>
      <c r="H1035" s="329">
        <f>$H$1024</f>
        <v>9</v>
      </c>
      <c r="I1035" s="329">
        <f>VLOOKUP(B1035,DONGIA,DG!$E$6,0)</f>
        <v>68000</v>
      </c>
      <c r="J1035" s="329"/>
      <c r="K1035" s="329"/>
      <c r="L1035" s="329">
        <f>VLOOKUP(B1035,DONGIA,DG!$G$6,0)</f>
        <v>0</v>
      </c>
      <c r="M1035" s="329">
        <f t="shared" si="248"/>
        <v>612000</v>
      </c>
      <c r="N1035" s="329">
        <f t="shared" si="249"/>
        <v>0</v>
      </c>
      <c r="O1035" s="329">
        <f t="shared" si="250"/>
        <v>0</v>
      </c>
      <c r="P1035" s="329">
        <f t="shared" si="251"/>
        <v>0</v>
      </c>
      <c r="Q1035" s="329"/>
      <c r="S1035" s="332">
        <f t="shared" si="245"/>
        <v>1.5</v>
      </c>
      <c r="T1035" s="332">
        <f t="shared" si="247"/>
        <v>13.5</v>
      </c>
    </row>
    <row r="1036" spans="2:20">
      <c r="B1036" s="332" t="s">
        <v>456</v>
      </c>
      <c r="C1036" s="333">
        <f t="shared" si="246"/>
        <v>1</v>
      </c>
      <c r="D1036" s="328"/>
      <c r="E1036" s="328"/>
      <c r="F1036" s="779" t="str">
        <f>VLOOKUP(B1036,DONGIA,DG!$C$6,0)&amp;" (CD: 250)"</f>
        <v>Cổ dê kẹp ống PVC φ 114 (có giá nới) (CD: 250)</v>
      </c>
      <c r="G1036" s="328" t="str">
        <f>VLOOKUP(B1036,DONGIA,DG!$D$6,0)</f>
        <v>bộ</v>
      </c>
      <c r="H1036" s="329">
        <f>$H$1024</f>
        <v>9</v>
      </c>
      <c r="I1036" s="329">
        <f>VLOOKUP(B1036,DONGIA,DG!$E$6,0)</f>
        <v>68000</v>
      </c>
      <c r="J1036" s="329"/>
      <c r="K1036" s="329"/>
      <c r="L1036" s="329">
        <f>VLOOKUP(B1036,DONGIA,DG!$G$6,0)</f>
        <v>0</v>
      </c>
      <c r="M1036" s="329">
        <f t="shared" si="248"/>
        <v>612000</v>
      </c>
      <c r="N1036" s="329">
        <f t="shared" si="249"/>
        <v>0</v>
      </c>
      <c r="O1036" s="329">
        <f t="shared" si="250"/>
        <v>0</v>
      </c>
      <c r="P1036" s="329">
        <f t="shared" si="251"/>
        <v>0</v>
      </c>
      <c r="Q1036" s="329"/>
      <c r="S1036" s="332">
        <f t="shared" si="245"/>
        <v>1.5</v>
      </c>
      <c r="T1036" s="332">
        <f t="shared" si="247"/>
        <v>13.5</v>
      </c>
    </row>
    <row r="1037" spans="2:20">
      <c r="B1037" s="332" t="s">
        <v>456</v>
      </c>
      <c r="C1037" s="333">
        <f t="shared" si="246"/>
        <v>1</v>
      </c>
      <c r="D1037" s="328"/>
      <c r="E1037" s="328"/>
      <c r="F1037" s="779" t="str">
        <f>VLOOKUP(B1037,DONGIA,DG!$C$6,0)&amp;" (CD: 280)"</f>
        <v>Cổ dê kẹp ống PVC φ 114 (có giá nới) (CD: 280)</v>
      </c>
      <c r="G1037" s="328" t="str">
        <f>VLOOKUP(B1037,DONGIA,DG!$D$6,0)</f>
        <v>bộ</v>
      </c>
      <c r="H1037" s="329">
        <f>$H$1024</f>
        <v>9</v>
      </c>
      <c r="I1037" s="329">
        <f>VLOOKUP(B1037,DONGIA,DG!$E$6,0)</f>
        <v>68000</v>
      </c>
      <c r="J1037" s="329"/>
      <c r="K1037" s="329"/>
      <c r="L1037" s="329">
        <f>VLOOKUP(B1037,DONGIA,DG!$G$6,0)</f>
        <v>0</v>
      </c>
      <c r="M1037" s="329">
        <f t="shared" si="248"/>
        <v>612000</v>
      </c>
      <c r="N1037" s="329">
        <f t="shared" si="249"/>
        <v>0</v>
      </c>
      <c r="O1037" s="329">
        <f t="shared" si="250"/>
        <v>0</v>
      </c>
      <c r="P1037" s="329">
        <f t="shared" si="251"/>
        <v>0</v>
      </c>
      <c r="Q1037" s="329"/>
      <c r="S1037" s="332">
        <f t="shared" si="245"/>
        <v>1.5</v>
      </c>
      <c r="T1037" s="332">
        <f t="shared" si="247"/>
        <v>13.5</v>
      </c>
    </row>
    <row r="1038" spans="2:20">
      <c r="B1038" s="332" t="s">
        <v>2957</v>
      </c>
      <c r="C1038" s="333">
        <f t="shared" si="246"/>
        <v>1</v>
      </c>
      <c r="D1038" s="328"/>
      <c r="E1038" s="328">
        <f>VLOOKUP(B1038,DONGIA,DG!$B$6,0)</f>
        <v>0</v>
      </c>
      <c r="F1038" s="779" t="str">
        <f>VLOOKUP(B1038,DONGIA,DG!$C$6,0)</f>
        <v>Co  90 độ PVC 114 (Loại dày)</v>
      </c>
      <c r="G1038" s="328" t="str">
        <f>VLOOKUP(B1038,DONGIA,DG!$D$6,0)</f>
        <v>cái</v>
      </c>
      <c r="H1038" s="329">
        <f>H1024</f>
        <v>9</v>
      </c>
      <c r="I1038" s="329">
        <f>VLOOKUP(B1038,DONGIA,DG!$E$6,0)</f>
        <v>104800</v>
      </c>
      <c r="J1038" s="329"/>
      <c r="K1038" s="329">
        <f>VLOOKUP(B1038,DONGIA,DG!$F$6,0)</f>
        <v>0</v>
      </c>
      <c r="L1038" s="329">
        <f>VLOOKUP(B1038,DONGIA,DG!$G$6,0)</f>
        <v>0</v>
      </c>
      <c r="M1038" s="329">
        <f t="shared" si="248"/>
        <v>943200</v>
      </c>
      <c r="N1038" s="329">
        <f t="shared" si="249"/>
        <v>0</v>
      </c>
      <c r="O1038" s="329">
        <f t="shared" si="250"/>
        <v>0</v>
      </c>
      <c r="P1038" s="329">
        <f t="shared" si="251"/>
        <v>0</v>
      </c>
      <c r="Q1038" s="329"/>
      <c r="S1038" s="332">
        <f t="shared" si="245"/>
        <v>0</v>
      </c>
      <c r="T1038" s="332">
        <f t="shared" si="247"/>
        <v>0</v>
      </c>
    </row>
    <row r="1039" spans="2:20" hidden="1">
      <c r="B1039" s="332" t="s">
        <v>1940</v>
      </c>
      <c r="C1039" s="333">
        <f t="shared" si="246"/>
        <v>0</v>
      </c>
      <c r="D1039" s="328"/>
      <c r="E1039" s="328">
        <f>VLOOKUP(B1039,DONGIA,DG!$B$6,0)</f>
        <v>0</v>
      </c>
      <c r="F1039" s="329" t="str">
        <f>VLOOKUP(B1039,DONGIA,DG!$C$6,0)</f>
        <v>Nối giảm PVC 114-90</v>
      </c>
      <c r="G1039" s="328" t="str">
        <f>VLOOKUP(B1039,DONGIA,DG!$D$6,0)</f>
        <v>cái</v>
      </c>
      <c r="H1039" s="329"/>
      <c r="I1039" s="329">
        <f>VLOOKUP(B1039,DONGIA,DG!$E$6,0)</f>
        <v>52800</v>
      </c>
      <c r="J1039" s="329"/>
      <c r="K1039" s="329">
        <f>VLOOKUP(B1039,DONGIA,DG!$F$6,0)</f>
        <v>0</v>
      </c>
      <c r="L1039" s="329">
        <f>VLOOKUP(B1039,DONGIA,DG!$G$6,0)</f>
        <v>0</v>
      </c>
      <c r="M1039" s="329">
        <f t="shared" si="248"/>
        <v>0</v>
      </c>
      <c r="N1039" s="329">
        <f t="shared" si="249"/>
        <v>0</v>
      </c>
      <c r="O1039" s="329">
        <f t="shared" si="250"/>
        <v>0</v>
      </c>
      <c r="P1039" s="329">
        <f t="shared" si="251"/>
        <v>0</v>
      </c>
      <c r="Q1039" s="329"/>
      <c r="S1039" s="332">
        <f t="shared" si="245"/>
        <v>0</v>
      </c>
      <c r="T1039" s="332">
        <f t="shared" si="247"/>
        <v>0</v>
      </c>
    </row>
    <row r="1040" spans="2:20">
      <c r="B1040" s="332" t="s">
        <v>1189</v>
      </c>
      <c r="C1040" s="333">
        <f t="shared" si="246"/>
        <v>1</v>
      </c>
      <c r="D1040" s="328"/>
      <c r="E1040" s="328">
        <f>VLOOKUP(B1040,DONGIA,DG!$B$6,0)</f>
        <v>0</v>
      </c>
      <c r="F1040" s="779" t="str">
        <f>VLOOKUP(B1040,DONGIA,DG!$C$6,0)</f>
        <v>Co 135 độ PVC 114</v>
      </c>
      <c r="G1040" s="328" t="str">
        <f>VLOOKUP(B1040,DONGIA,DG!$D$6,0)</f>
        <v>cái</v>
      </c>
      <c r="H1040" s="329">
        <f>H1024</f>
        <v>9</v>
      </c>
      <c r="I1040" s="329">
        <f>VLOOKUP(B1040,DONGIA,DG!$E$6,0)</f>
        <v>70800</v>
      </c>
      <c r="J1040" s="329"/>
      <c r="K1040" s="329">
        <f>VLOOKUP(B1040,DONGIA,DG!$F$6,0)</f>
        <v>0</v>
      </c>
      <c r="L1040" s="329">
        <f>VLOOKUP(B1040,DONGIA,DG!$G$6,0)</f>
        <v>0</v>
      </c>
      <c r="M1040" s="329">
        <f t="shared" si="248"/>
        <v>637200</v>
      </c>
      <c r="N1040" s="329">
        <f t="shared" si="249"/>
        <v>0</v>
      </c>
      <c r="O1040" s="329">
        <f t="shared" si="250"/>
        <v>0</v>
      </c>
      <c r="P1040" s="329">
        <f t="shared" si="251"/>
        <v>0</v>
      </c>
      <c r="Q1040" s="329"/>
      <c r="S1040" s="332">
        <f t="shared" si="245"/>
        <v>0</v>
      </c>
      <c r="T1040" s="332">
        <f t="shared" si="247"/>
        <v>0</v>
      </c>
    </row>
    <row r="1041" spans="2:20">
      <c r="B1041" s="332" t="s">
        <v>1914</v>
      </c>
      <c r="C1041" s="333">
        <f t="shared" si="246"/>
        <v>1</v>
      </c>
      <c r="D1041" s="328"/>
      <c r="E1041" s="328">
        <f>VLOOKUP(B1041,DONGIA,DG!$B$6,0)</f>
        <v>0</v>
      </c>
      <c r="F1041" s="779" t="str">
        <f>VLOOKUP(B1041,DONGIA,DG!$C$6,0)</f>
        <v>Keo dán ống PVC (100gr)</v>
      </c>
      <c r="G1041" s="328" t="str">
        <f>VLOOKUP(B1041,DONGIA,DG!$D$6,0)</f>
        <v>tuýp</v>
      </c>
      <c r="H1041" s="329">
        <f>H1024</f>
        <v>9</v>
      </c>
      <c r="I1041" s="329">
        <f>VLOOKUP(B1041,DONGIA,DG!$E$6,0)</f>
        <v>11500</v>
      </c>
      <c r="J1041" s="329"/>
      <c r="K1041" s="329">
        <f>VLOOKUP(B1041,DONGIA,DG!$F$6,0)</f>
        <v>0</v>
      </c>
      <c r="L1041" s="329">
        <f>VLOOKUP(B1041,DONGIA,DG!$G$6,0)</f>
        <v>0</v>
      </c>
      <c r="M1041" s="329">
        <f t="shared" si="248"/>
        <v>103500</v>
      </c>
      <c r="N1041" s="329">
        <f t="shared" si="249"/>
        <v>0</v>
      </c>
      <c r="O1041" s="329">
        <f t="shared" si="250"/>
        <v>0</v>
      </c>
      <c r="P1041" s="329">
        <f t="shared" si="251"/>
        <v>0</v>
      </c>
      <c r="Q1041" s="329"/>
      <c r="S1041" s="332">
        <f t="shared" si="245"/>
        <v>0</v>
      </c>
      <c r="T1041" s="332">
        <f t="shared" si="247"/>
        <v>0</v>
      </c>
    </row>
    <row r="1042" spans="2:20">
      <c r="B1042" s="332" t="s">
        <v>1639</v>
      </c>
      <c r="C1042" s="333">
        <f t="shared" si="246"/>
        <v>1</v>
      </c>
      <c r="D1042" s="328"/>
      <c r="E1042" s="328">
        <f>VLOOKUP(B1042,DONGIA,DG!$B$6,0)</f>
        <v>0</v>
      </c>
      <c r="F1042" s="779" t="str">
        <f>VLOOKUP(B1042,DONGIA,DG!$C$6,0)&amp;" bịt miệng ống"</f>
        <v>Xi măng bịt miệng ống</v>
      </c>
      <c r="G1042" s="328" t="str">
        <f>VLOOKUP(B1042,DONGIA,DG!$D$6,0)</f>
        <v>kg</v>
      </c>
      <c r="H1042" s="489">
        <f>H1024*0.5</f>
        <v>4.5</v>
      </c>
      <c r="I1042" s="329">
        <f>VLOOKUP(B1042,DONGIA,DG!$E$6,0)</f>
        <v>1760</v>
      </c>
      <c r="J1042" s="329"/>
      <c r="K1042" s="329">
        <f>VLOOKUP(B1042,DONGIA,DG!$F$6,0)</f>
        <v>0</v>
      </c>
      <c r="L1042" s="329">
        <f>VLOOKUP(B1042,DONGIA,DG!$G$6,0)</f>
        <v>0</v>
      </c>
      <c r="M1042" s="329">
        <f t="shared" si="248"/>
        <v>7920</v>
      </c>
      <c r="N1042" s="329">
        <f t="shared" si="249"/>
        <v>0</v>
      </c>
      <c r="O1042" s="329">
        <f t="shared" si="250"/>
        <v>0</v>
      </c>
      <c r="P1042" s="329">
        <f t="shared" si="251"/>
        <v>0</v>
      </c>
      <c r="Q1042" s="329"/>
      <c r="S1042" s="332">
        <f t="shared" si="245"/>
        <v>1</v>
      </c>
      <c r="T1042" s="332">
        <f t="shared" si="247"/>
        <v>4.5</v>
      </c>
    </row>
    <row r="1043" spans="2:20" hidden="1">
      <c r="B1043" s="332" t="s">
        <v>1193</v>
      </c>
      <c r="C1043" s="333">
        <f t="shared" si="246"/>
        <v>0</v>
      </c>
      <c r="D1043" s="328"/>
      <c r="E1043" s="328">
        <f>VLOOKUP(B1043,DONGIA,DG!$B$6,0)</f>
        <v>0</v>
      </c>
      <c r="F1043" s="329" t="str">
        <f>VLOOKUP(B1043,DONGIA,DG!$C$6,0)</f>
        <v>Băng keo cách điện</v>
      </c>
      <c r="G1043" s="328" t="str">
        <f>VLOOKUP(B1043,DONGIA,DG!$D$6,0)</f>
        <v>cuộn</v>
      </c>
      <c r="H1043" s="329"/>
      <c r="I1043" s="329">
        <f>VLOOKUP(B1043,DONGIA,DG!$E$6,0)</f>
        <v>6500</v>
      </c>
      <c r="J1043" s="329"/>
      <c r="K1043" s="329">
        <f>VLOOKUP(B1043,DONGIA,DG!$F$6,0)</f>
        <v>0</v>
      </c>
      <c r="L1043" s="329">
        <f>VLOOKUP(B1043,DONGIA,DG!$G$6,0)</f>
        <v>0</v>
      </c>
      <c r="M1043" s="329">
        <f t="shared" si="248"/>
        <v>0</v>
      </c>
      <c r="N1043" s="329">
        <f t="shared" si="249"/>
        <v>0</v>
      </c>
      <c r="O1043" s="329">
        <f t="shared" si="250"/>
        <v>0</v>
      </c>
      <c r="P1043" s="329">
        <f t="shared" si="251"/>
        <v>0</v>
      </c>
      <c r="Q1043" s="329"/>
      <c r="S1043" s="332">
        <f t="shared" si="245"/>
        <v>0</v>
      </c>
      <c r="T1043" s="332">
        <f t="shared" si="247"/>
        <v>0</v>
      </c>
    </row>
    <row r="1044" spans="2:20">
      <c r="B1044" s="332" t="s">
        <v>857</v>
      </c>
      <c r="C1044" s="333">
        <f t="shared" si="246"/>
        <v>1</v>
      </c>
      <c r="D1044" s="328"/>
      <c r="E1044" s="328" t="str">
        <f>VLOOKUP(B1044,DONGIA,DG!$B$6,0)</f>
        <v>T4.8003</v>
      </c>
      <c r="F1044" s="779" t="str">
        <f>VLOOKUP(B1044,DONGIA,DG!$C$6,0)</f>
        <v>Lắp ống nhựa PVC D114</v>
      </c>
      <c r="G1044" s="328" t="str">
        <f>VLOOKUP(B1044,DONGIA,DG!$D$6,0)</f>
        <v>mét</v>
      </c>
      <c r="H1044" s="489">
        <f>H1034</f>
        <v>49.5</v>
      </c>
      <c r="I1044" s="329">
        <f>VLOOKUP(B1044,DONGIA,DG!$E$6,0)</f>
        <v>0</v>
      </c>
      <c r="J1044" s="329"/>
      <c r="K1044" s="329">
        <f>VLOOKUP(B1044,DONGIA,DG!$F$6,0)</f>
        <v>35541</v>
      </c>
      <c r="L1044" s="329">
        <f>VLOOKUP(B1044,DONGIA,DG!$G$6,0)</f>
        <v>0</v>
      </c>
      <c r="M1044" s="329">
        <f t="shared" si="248"/>
        <v>0</v>
      </c>
      <c r="N1044" s="329">
        <f t="shared" si="249"/>
        <v>0</v>
      </c>
      <c r="O1044" s="329">
        <f t="shared" si="250"/>
        <v>1759279.5</v>
      </c>
      <c r="P1044" s="329">
        <f t="shared" si="251"/>
        <v>0</v>
      </c>
      <c r="Q1044" s="329"/>
      <c r="S1044" s="332">
        <f t="shared" si="245"/>
        <v>0</v>
      </c>
      <c r="T1044" s="332">
        <f t="shared" si="247"/>
        <v>0</v>
      </c>
    </row>
    <row r="1045" spans="2:20">
      <c r="B1045" s="332" t="s">
        <v>1939</v>
      </c>
      <c r="C1045" s="333">
        <f t="shared" si="246"/>
        <v>1</v>
      </c>
      <c r="D1045" s="328"/>
      <c r="E1045" s="328" t="str">
        <f>VLOOKUP(B1045,DONGIA,DG!$B$6,0)</f>
        <v>T4.4201</v>
      </c>
      <c r="F1045" s="779" t="str">
        <f>VLOOKUP(B1045,DONGIA,DG!$C$6,0)</f>
        <v>Lắp cáp đồng xuống thiết bị D ≤ 95mm2</v>
      </c>
      <c r="G1045" s="328" t="str">
        <f>VLOOKUP(B1045,DONGIA,DG!$D$6,0)</f>
        <v>m</v>
      </c>
      <c r="H1045" s="489">
        <f>H1027</f>
        <v>130.5</v>
      </c>
      <c r="I1045" s="329">
        <f>VLOOKUP(B1045,DONGIA,DG!$E$6,0)</f>
        <v>0</v>
      </c>
      <c r="J1045" s="329"/>
      <c r="K1045" s="329">
        <f>VLOOKUP(B1045,DONGIA,DG!$F$6,0)</f>
        <v>11847</v>
      </c>
      <c r="L1045" s="329">
        <f>VLOOKUP(B1045,DONGIA,DG!$G$6,0)</f>
        <v>0</v>
      </c>
      <c r="M1045" s="329">
        <f t="shared" si="248"/>
        <v>0</v>
      </c>
      <c r="N1045" s="329">
        <f t="shared" si="249"/>
        <v>0</v>
      </c>
      <c r="O1045" s="329">
        <f t="shared" si="250"/>
        <v>1546033.5</v>
      </c>
      <c r="P1045" s="329">
        <f t="shared" si="251"/>
        <v>0</v>
      </c>
      <c r="Q1045" s="329"/>
      <c r="S1045" s="332">
        <f t="shared" si="245"/>
        <v>0</v>
      </c>
      <c r="T1045" s="332">
        <f t="shared" si="247"/>
        <v>0</v>
      </c>
    </row>
    <row r="1046" spans="2:20">
      <c r="B1046" s="332" t="s">
        <v>2063</v>
      </c>
      <c r="C1046" s="333">
        <f t="shared" si="246"/>
        <v>1</v>
      </c>
      <c r="D1046" s="328"/>
      <c r="E1046" s="328" t="str">
        <f>VLOOKUP(B1046,DONGIA,DG!$B$6,0)</f>
        <v>T4.4202</v>
      </c>
      <c r="F1046" s="779" t="str">
        <f>VLOOKUP(B1046,DONGIA,DG!$C$6,0)</f>
        <v>Lắp cáp đồng xuống thiết bị D ≤ 150mm2</v>
      </c>
      <c r="G1046" s="328" t="str">
        <f>VLOOKUP(B1046,DONGIA,DG!$D$6,0)</f>
        <v>m</v>
      </c>
      <c r="H1046" s="489">
        <f>H1026</f>
        <v>256.5</v>
      </c>
      <c r="I1046" s="329">
        <f>VLOOKUP(B1046,DONGIA,DG!$E$6,0)</f>
        <v>0</v>
      </c>
      <c r="J1046" s="329"/>
      <c r="K1046" s="329">
        <f>VLOOKUP(B1046,DONGIA,DG!$F$6,0)</f>
        <v>28433</v>
      </c>
      <c r="L1046" s="329">
        <f>VLOOKUP(B1046,DONGIA,DG!$G$6,0)</f>
        <v>0</v>
      </c>
      <c r="M1046" s="329">
        <f t="shared" si="248"/>
        <v>0</v>
      </c>
      <c r="N1046" s="329">
        <f t="shared" si="249"/>
        <v>0</v>
      </c>
      <c r="O1046" s="329">
        <f t="shared" si="250"/>
        <v>7293064.5</v>
      </c>
      <c r="P1046" s="329">
        <f t="shared" si="251"/>
        <v>0</v>
      </c>
      <c r="Q1046" s="329"/>
      <c r="S1046" s="332">
        <f t="shared" si="245"/>
        <v>0</v>
      </c>
      <c r="T1046" s="332">
        <f t="shared" si="247"/>
        <v>0</v>
      </c>
    </row>
    <row r="1047" spans="2:20">
      <c r="C1047" s="333">
        <f t="shared" si="246"/>
        <v>1</v>
      </c>
      <c r="D1047" s="372">
        <f>IF(H1047&lt;&gt;0,D1024+1,D1024)</f>
        <v>8</v>
      </c>
      <c r="E1047" s="372"/>
      <c r="F1047" s="780" t="s">
        <v>1938</v>
      </c>
      <c r="G1047" s="372" t="s">
        <v>138</v>
      </c>
      <c r="H1047" s="372">
        <f>TR3X50*2</f>
        <v>18</v>
      </c>
      <c r="I1047" s="373"/>
      <c r="J1047" s="373"/>
      <c r="K1047" s="373"/>
      <c r="L1047" s="373"/>
      <c r="M1047" s="373"/>
      <c r="N1047" s="373"/>
      <c r="O1047" s="373"/>
      <c r="P1047" s="373"/>
      <c r="Q1047" s="373"/>
      <c r="S1047" s="332">
        <f t="shared" si="245"/>
        <v>0</v>
      </c>
      <c r="T1047" s="332">
        <f t="shared" si="247"/>
        <v>0</v>
      </c>
    </row>
    <row r="1048" spans="2:20" s="361" customFormat="1" hidden="1">
      <c r="C1048" s="374">
        <f t="shared" si="246"/>
        <v>0</v>
      </c>
      <c r="D1048" s="350"/>
      <c r="E1048" s="350"/>
      <c r="F1048" s="351" t="s">
        <v>1902</v>
      </c>
      <c r="G1048" s="350"/>
      <c r="H1048" s="351"/>
      <c r="I1048" s="351"/>
      <c r="J1048" s="351"/>
      <c r="K1048" s="351"/>
      <c r="L1048" s="351"/>
      <c r="M1048" s="351"/>
      <c r="N1048" s="351"/>
      <c r="O1048" s="351"/>
      <c r="P1048" s="351"/>
      <c r="Q1048" s="351"/>
      <c r="S1048" s="361">
        <f t="shared" si="245"/>
        <v>0</v>
      </c>
      <c r="T1048" s="361">
        <f t="shared" si="247"/>
        <v>0</v>
      </c>
    </row>
    <row r="1049" spans="2:20">
      <c r="B1049" s="332" t="s">
        <v>1907</v>
      </c>
      <c r="C1049" s="333">
        <f t="shared" si="246"/>
        <v>1</v>
      </c>
      <c r="D1049" s="328"/>
      <c r="E1049" s="328">
        <f>VLOOKUP(B1049,DONGIA,DG!$B$6,0)</f>
        <v>0</v>
      </c>
      <c r="F1049" s="779" t="str">
        <f>VLOOKUP(B1049,DONGIA,DG!$C$6,0)</f>
        <v>Cáp đồng bọc CV70</v>
      </c>
      <c r="G1049" s="328" t="str">
        <f>VLOOKUP(B1049,DONGIA,DG!$D$6,0)</f>
        <v>mét</v>
      </c>
      <c r="H1049" s="489">
        <f>H1047*3*8.5+H979*3</f>
        <v>459</v>
      </c>
      <c r="I1049" s="329">
        <f>VLOOKUP(B1049,DONGIA,DG!$E$6,0)</f>
        <v>142880</v>
      </c>
      <c r="J1049" s="329"/>
      <c r="K1049" s="329">
        <f>VLOOKUP(B1049,DONGIA,DG!$F$6,0)</f>
        <v>0</v>
      </c>
      <c r="L1049" s="329">
        <f>VLOOKUP(B1049,DONGIA,DG!$G$6,0)</f>
        <v>0</v>
      </c>
      <c r="M1049" s="329">
        <f>$H1049*I1049</f>
        <v>65581920</v>
      </c>
      <c r="N1049" s="329">
        <f>$H1049*J1049</f>
        <v>0</v>
      </c>
      <c r="O1049" s="329">
        <f>$H1049*K1049</f>
        <v>0</v>
      </c>
      <c r="P1049" s="329">
        <f>$H1049*L1049</f>
        <v>0</v>
      </c>
      <c r="Q1049" s="329"/>
      <c r="S1049" s="332">
        <f t="shared" si="245"/>
        <v>0.73899999999999999</v>
      </c>
      <c r="T1049" s="332">
        <f t="shared" si="247"/>
        <v>339.20100000000002</v>
      </c>
    </row>
    <row r="1050" spans="2:20">
      <c r="B1050" s="332" t="s">
        <v>1906</v>
      </c>
      <c r="C1050" s="333">
        <f t="shared" si="246"/>
        <v>1</v>
      </c>
      <c r="D1050" s="328"/>
      <c r="E1050" s="328">
        <f>VLOOKUP(B1050,DONGIA,DG!$B$6,0)</f>
        <v>0</v>
      </c>
      <c r="F1050" s="779" t="str">
        <f>VLOOKUP(B1050,DONGIA,DG!$C$6,0)</f>
        <v>Cáp đồng bọc CV50</v>
      </c>
      <c r="G1050" s="328" t="str">
        <f>VLOOKUP(B1050,DONGIA,DG!$D$6,0)</f>
        <v>mét</v>
      </c>
      <c r="H1050" s="489">
        <f>H1047*8.5</f>
        <v>153</v>
      </c>
      <c r="I1050" s="329">
        <f>VLOOKUP(B1050,DONGIA,DG!$E$6,0)</f>
        <v>104370</v>
      </c>
      <c r="J1050" s="329"/>
      <c r="K1050" s="329">
        <f>VLOOKUP(B1050,DONGIA,DG!$F$6,0)</f>
        <v>0</v>
      </c>
      <c r="L1050" s="329">
        <f>VLOOKUP(B1050,DONGIA,DG!$G$6,0)</f>
        <v>0</v>
      </c>
      <c r="M1050" s="329">
        <f t="shared" ref="M1050:M1067" si="252">$H1050*I1050</f>
        <v>15968610</v>
      </c>
      <c r="N1050" s="329">
        <f t="shared" ref="N1050:N1067" si="253">$H1050*J1050</f>
        <v>0</v>
      </c>
      <c r="O1050" s="329">
        <f t="shared" ref="O1050:O1067" si="254">$H1050*K1050</f>
        <v>0</v>
      </c>
      <c r="P1050" s="329">
        <f t="shared" ref="P1050:P1067" si="255">$H1050*L1050</f>
        <v>0</v>
      </c>
      <c r="Q1050" s="329"/>
      <c r="S1050" s="332">
        <f t="shared" si="245"/>
        <v>0.53400000000000003</v>
      </c>
      <c r="T1050" s="332">
        <f t="shared" si="247"/>
        <v>81.701999999999998</v>
      </c>
    </row>
    <row r="1051" spans="2:20">
      <c r="B1051" s="332" t="s">
        <v>1113</v>
      </c>
      <c r="C1051" s="333">
        <f t="shared" si="246"/>
        <v>1</v>
      </c>
      <c r="D1051" s="328"/>
      <c r="E1051" s="328"/>
      <c r="F1051" s="779" t="str">
        <f>VLOOKUP(B1051,DONGIA,DG!$C$6,0)</f>
        <v>Đầu cosse ép Cu 70mm2</v>
      </c>
      <c r="G1051" s="328" t="str">
        <f>VLOOKUP(B1051,DONGIA,DG!$D$6,0)</f>
        <v>cái</v>
      </c>
      <c r="H1051" s="329">
        <f>H1047*3+H979*6</f>
        <v>54</v>
      </c>
      <c r="I1051" s="329">
        <f>VLOOKUP(B1051,DONGIA,DG!$E$6,0)</f>
        <v>33000</v>
      </c>
      <c r="J1051" s="329"/>
      <c r="K1051" s="329"/>
      <c r="L1051" s="329"/>
      <c r="M1051" s="329">
        <f t="shared" si="252"/>
        <v>1782000</v>
      </c>
      <c r="N1051" s="329">
        <f t="shared" si="253"/>
        <v>0</v>
      </c>
      <c r="O1051" s="329">
        <f t="shared" si="254"/>
        <v>0</v>
      </c>
      <c r="P1051" s="329">
        <f t="shared" si="255"/>
        <v>0</v>
      </c>
      <c r="Q1051" s="329"/>
      <c r="S1051" s="332">
        <f t="shared" si="245"/>
        <v>0.2</v>
      </c>
      <c r="T1051" s="332">
        <f t="shared" si="247"/>
        <v>10.8</v>
      </c>
    </row>
    <row r="1052" spans="2:20">
      <c r="B1052" s="332" t="s">
        <v>1110</v>
      </c>
      <c r="C1052" s="333">
        <f t="shared" si="246"/>
        <v>1</v>
      </c>
      <c r="D1052" s="328"/>
      <c r="E1052" s="328"/>
      <c r="F1052" s="779" t="str">
        <f>VLOOKUP(B1052,DONGIA,DG!$C$6,0)</f>
        <v>Đầu cosse ép Cu 50mm2</v>
      </c>
      <c r="G1052" s="328" t="str">
        <f>VLOOKUP(B1052,DONGIA,DG!$D$6,0)</f>
        <v>cái</v>
      </c>
      <c r="H1052" s="329">
        <f>H1047</f>
        <v>18</v>
      </c>
      <c r="I1052" s="329">
        <f>VLOOKUP(B1052,DONGIA,DG!$E$6,0)</f>
        <v>23000</v>
      </c>
      <c r="J1052" s="329"/>
      <c r="K1052" s="329"/>
      <c r="L1052" s="329"/>
      <c r="M1052" s="329">
        <f t="shared" si="252"/>
        <v>414000</v>
      </c>
      <c r="N1052" s="329">
        <f t="shared" si="253"/>
        <v>0</v>
      </c>
      <c r="O1052" s="329">
        <f t="shared" si="254"/>
        <v>0</v>
      </c>
      <c r="P1052" s="329">
        <f t="shared" si="255"/>
        <v>0</v>
      </c>
      <c r="Q1052" s="329"/>
      <c r="S1052" s="332">
        <f t="shared" si="245"/>
        <v>0.1</v>
      </c>
      <c r="T1052" s="332">
        <f t="shared" si="247"/>
        <v>1.8</v>
      </c>
    </row>
    <row r="1053" spans="2:20">
      <c r="B1053" s="332" t="s">
        <v>1147</v>
      </c>
      <c r="C1053" s="333">
        <f t="shared" si="246"/>
        <v>1</v>
      </c>
      <c r="D1053" s="328"/>
      <c r="E1053" s="328">
        <f>VLOOKUP(B1053,DONGIA,DG!$B$6,0)</f>
        <v>0</v>
      </c>
      <c r="F1053" s="779" t="str">
        <f>VLOOKUP(B1053,DONGIA,DG!$C$6,0)</f>
        <v>Chụp đầu cosse  70mm2</v>
      </c>
      <c r="G1053" s="328" t="str">
        <f>VLOOKUP(B1053,DONGIA,DG!$D$6,0)</f>
        <v>cái</v>
      </c>
      <c r="H1053" s="329">
        <f>H1051</f>
        <v>54</v>
      </c>
      <c r="I1053" s="329">
        <f>VLOOKUP(B1053,DONGIA,DG!$E$6,0)</f>
        <v>2000</v>
      </c>
      <c r="J1053" s="329"/>
      <c r="K1053" s="329">
        <f>VLOOKUP(B1053,DONGIA,DG!$F$6,0)</f>
        <v>0</v>
      </c>
      <c r="L1053" s="329">
        <f>VLOOKUP(B1053,DONGIA,DG!$G$6,0)</f>
        <v>0</v>
      </c>
      <c r="M1053" s="329">
        <f t="shared" si="252"/>
        <v>108000</v>
      </c>
      <c r="N1053" s="329">
        <f t="shared" si="253"/>
        <v>0</v>
      </c>
      <c r="O1053" s="329">
        <f t="shared" si="254"/>
        <v>0</v>
      </c>
      <c r="P1053" s="329">
        <f t="shared" si="255"/>
        <v>0</v>
      </c>
      <c r="Q1053" s="329"/>
      <c r="S1053" s="332">
        <f t="shared" si="245"/>
        <v>0</v>
      </c>
      <c r="T1053" s="332">
        <f t="shared" si="247"/>
        <v>0</v>
      </c>
    </row>
    <row r="1054" spans="2:20">
      <c r="B1054" s="332" t="s">
        <v>1145</v>
      </c>
      <c r="C1054" s="333">
        <f t="shared" si="246"/>
        <v>1</v>
      </c>
      <c r="D1054" s="328"/>
      <c r="E1054" s="328">
        <f>VLOOKUP(B1054,DONGIA,DG!$B$6,0)</f>
        <v>0</v>
      </c>
      <c r="F1054" s="779" t="str">
        <f>VLOOKUP(B1054,DONGIA,DG!$C$6,0)</f>
        <v>Chụp đầu cosse  50mm2</v>
      </c>
      <c r="G1054" s="328" t="str">
        <f>VLOOKUP(B1054,DONGIA,DG!$D$6,0)</f>
        <v>cái</v>
      </c>
      <c r="H1054" s="329">
        <f>H1052</f>
        <v>18</v>
      </c>
      <c r="I1054" s="329">
        <f>VLOOKUP(B1054,DONGIA,DG!$E$6,0)</f>
        <v>2000</v>
      </c>
      <c r="J1054" s="329"/>
      <c r="K1054" s="329">
        <f>VLOOKUP(B1054,DONGIA,DG!$F$6,0)</f>
        <v>0</v>
      </c>
      <c r="L1054" s="329">
        <f>VLOOKUP(B1054,DONGIA,DG!$G$6,0)</f>
        <v>0</v>
      </c>
      <c r="M1054" s="329">
        <f t="shared" si="252"/>
        <v>36000</v>
      </c>
      <c r="N1054" s="329">
        <f t="shared" si="253"/>
        <v>0</v>
      </c>
      <c r="O1054" s="329">
        <f t="shared" si="254"/>
        <v>0</v>
      </c>
      <c r="P1054" s="329">
        <f t="shared" si="255"/>
        <v>0</v>
      </c>
      <c r="Q1054" s="329"/>
      <c r="S1054" s="332">
        <f t="shared" si="245"/>
        <v>0</v>
      </c>
      <c r="T1054" s="332">
        <f t="shared" si="247"/>
        <v>0</v>
      </c>
    </row>
    <row r="1055" spans="2:20">
      <c r="B1055" s="332" t="s">
        <v>1177</v>
      </c>
      <c r="C1055" s="333">
        <f t="shared" si="246"/>
        <v>1</v>
      </c>
      <c r="D1055" s="328"/>
      <c r="E1055" s="328">
        <f>VLOOKUP(B1055,DONGIA,DG!$B$6,0)</f>
        <v>0</v>
      </c>
      <c r="F1055" s="779" t="str">
        <f>VLOOKUP(B1055,DONGIA,DG!$C$6,0)</f>
        <v xml:space="preserve">Ống PVC D90x3,8mm </v>
      </c>
      <c r="G1055" s="328" t="str">
        <f>VLOOKUP(B1055,DONGIA,DG!$D$6,0)</f>
        <v>m</v>
      </c>
      <c r="H1055" s="329">
        <f>H1047*6</f>
        <v>108</v>
      </c>
      <c r="I1055" s="329">
        <f>VLOOKUP(B1055,DONGIA,DG!$E$6,0)</f>
        <v>57000</v>
      </c>
      <c r="J1055" s="329"/>
      <c r="K1055" s="329">
        <f>VLOOKUP(B1055,DONGIA,DG!$F$6,0)</f>
        <v>0</v>
      </c>
      <c r="L1055" s="329">
        <f>VLOOKUP(B1055,DONGIA,DG!$G$6,0)</f>
        <v>0</v>
      </c>
      <c r="M1055" s="329">
        <f t="shared" si="252"/>
        <v>6156000</v>
      </c>
      <c r="N1055" s="329">
        <f t="shared" si="253"/>
        <v>0</v>
      </c>
      <c r="O1055" s="329">
        <f t="shared" si="254"/>
        <v>0</v>
      </c>
      <c r="P1055" s="329">
        <f t="shared" si="255"/>
        <v>0</v>
      </c>
      <c r="Q1055" s="329"/>
      <c r="S1055" s="332">
        <f t="shared" si="245"/>
        <v>2</v>
      </c>
      <c r="T1055" s="332">
        <f t="shared" si="247"/>
        <v>216</v>
      </c>
    </row>
    <row r="1056" spans="2:20">
      <c r="B1056" s="332" t="s">
        <v>455</v>
      </c>
      <c r="C1056" s="333">
        <f t="shared" si="246"/>
        <v>1</v>
      </c>
      <c r="D1056" s="328"/>
      <c r="E1056" s="328">
        <f>VLOOKUP(B1056,DONGIA,DG!$B$6,0)</f>
        <v>0</v>
      </c>
      <c r="F1056" s="779" t="str">
        <f>VLOOKUP(B1056,DONGIA,DG!$C$6,0)&amp;" (CD: 230)"</f>
        <v>Cổ dê kẹp ống PVC φ 90 (có giá nới) (CD: 230)</v>
      </c>
      <c r="G1056" s="328" t="str">
        <f>VLOOKUP(B1056,DONGIA,DG!$D$6,0)</f>
        <v>bộ</v>
      </c>
      <c r="H1056" s="329">
        <f>$H$1047</f>
        <v>18</v>
      </c>
      <c r="I1056" s="329">
        <f>VLOOKUP(B1056,DONGIA,DG!$E$6,0)</f>
        <v>60000</v>
      </c>
      <c r="J1056" s="329"/>
      <c r="K1056" s="329">
        <f>VLOOKUP(B1056,DONGIA,DG!$F$6,0)</f>
        <v>0</v>
      </c>
      <c r="L1056" s="329">
        <f>VLOOKUP(B1056,DONGIA,DG!$G$6,0)</f>
        <v>0</v>
      </c>
      <c r="M1056" s="329">
        <f t="shared" si="252"/>
        <v>1080000</v>
      </c>
      <c r="N1056" s="329">
        <f t="shared" si="253"/>
        <v>0</v>
      </c>
      <c r="O1056" s="329">
        <f t="shared" si="254"/>
        <v>0</v>
      </c>
      <c r="P1056" s="329">
        <f t="shared" si="255"/>
        <v>0</v>
      </c>
      <c r="Q1056" s="329"/>
      <c r="S1056" s="332">
        <f t="shared" si="245"/>
        <v>1.5</v>
      </c>
      <c r="T1056" s="332">
        <f t="shared" si="247"/>
        <v>27</v>
      </c>
    </row>
    <row r="1057" spans="1:20">
      <c r="B1057" s="332" t="s">
        <v>455</v>
      </c>
      <c r="C1057" s="333">
        <f t="shared" si="246"/>
        <v>1</v>
      </c>
      <c r="D1057" s="328"/>
      <c r="E1057" s="328">
        <f>VLOOKUP(B1057,DONGIA,DG!$B$6,0)</f>
        <v>0</v>
      </c>
      <c r="F1057" s="779" t="str">
        <f>VLOOKUP(B1057,DONGIA,DG!$C$6,0)&amp;" (CD: 280)"</f>
        <v>Cổ dê kẹp ống PVC φ 90 (có giá nới) (CD: 280)</v>
      </c>
      <c r="G1057" s="328" t="str">
        <f>VLOOKUP(B1057,DONGIA,DG!$D$6,0)</f>
        <v>bộ</v>
      </c>
      <c r="H1057" s="329">
        <f>$H$1047</f>
        <v>18</v>
      </c>
      <c r="I1057" s="329">
        <f>VLOOKUP(B1057,DONGIA,DG!$E$6,0)</f>
        <v>60000</v>
      </c>
      <c r="J1057" s="329"/>
      <c r="K1057" s="329">
        <f>VLOOKUP(B1057,DONGIA,DG!$F$6,0)</f>
        <v>0</v>
      </c>
      <c r="L1057" s="329">
        <f>VLOOKUP(B1057,DONGIA,DG!$G$6,0)</f>
        <v>0</v>
      </c>
      <c r="M1057" s="329">
        <f t="shared" si="252"/>
        <v>1080000</v>
      </c>
      <c r="N1057" s="329">
        <f t="shared" si="253"/>
        <v>0</v>
      </c>
      <c r="O1057" s="329">
        <f t="shared" si="254"/>
        <v>0</v>
      </c>
      <c r="P1057" s="329">
        <f t="shared" si="255"/>
        <v>0</v>
      </c>
      <c r="Q1057" s="329"/>
      <c r="S1057" s="332">
        <f t="shared" si="245"/>
        <v>1.5</v>
      </c>
      <c r="T1057" s="332">
        <f t="shared" si="247"/>
        <v>27</v>
      </c>
    </row>
    <row r="1058" spans="1:20">
      <c r="B1058" s="332" t="s">
        <v>455</v>
      </c>
      <c r="C1058" s="333">
        <f t="shared" si="246"/>
        <v>1</v>
      </c>
      <c r="D1058" s="328"/>
      <c r="E1058" s="328">
        <f>VLOOKUP(B1058,DONGIA,DG!$B$6,0)</f>
        <v>0</v>
      </c>
      <c r="F1058" s="779" t="str">
        <f>VLOOKUP(B1058,DONGIA,DG!$C$6,0)&amp;" (CD: 320)"</f>
        <v>Cổ dê kẹp ống PVC φ 90 (có giá nới) (CD: 320)</v>
      </c>
      <c r="G1058" s="328" t="str">
        <f>VLOOKUP(B1058,DONGIA,DG!$D$6,0)</f>
        <v>bộ</v>
      </c>
      <c r="H1058" s="329">
        <f>$H$1047</f>
        <v>18</v>
      </c>
      <c r="I1058" s="329">
        <f>VLOOKUP(B1058,DONGIA,DG!$E$6,0)</f>
        <v>60000</v>
      </c>
      <c r="J1058" s="329"/>
      <c r="K1058" s="329">
        <f>VLOOKUP(B1058,DONGIA,DG!$F$6,0)</f>
        <v>0</v>
      </c>
      <c r="L1058" s="329">
        <f>VLOOKUP(B1058,DONGIA,DG!$G$6,0)</f>
        <v>0</v>
      </c>
      <c r="M1058" s="329">
        <f t="shared" si="252"/>
        <v>1080000</v>
      </c>
      <c r="N1058" s="329">
        <f t="shared" si="253"/>
        <v>0</v>
      </c>
      <c r="O1058" s="329">
        <f t="shared" si="254"/>
        <v>0</v>
      </c>
      <c r="P1058" s="329">
        <f t="shared" si="255"/>
        <v>0</v>
      </c>
      <c r="Q1058" s="329"/>
      <c r="S1058" s="332">
        <f t="shared" si="245"/>
        <v>1.5</v>
      </c>
      <c r="T1058" s="332">
        <f t="shared" si="247"/>
        <v>27</v>
      </c>
    </row>
    <row r="1059" spans="1:20">
      <c r="B1059" s="332" t="s">
        <v>2956</v>
      </c>
      <c r="C1059" s="333">
        <f t="shared" si="246"/>
        <v>1</v>
      </c>
      <c r="D1059" s="328"/>
      <c r="E1059" s="328">
        <f>VLOOKUP(B1059,DONGIA,DG!$B$6,0)</f>
        <v>0</v>
      </c>
      <c r="F1059" s="779" t="str">
        <f>VLOOKUP(B1059,DONGIA,DG!$C$6,0)</f>
        <v>Co  90 độ PVC 90 (Loại dày)</v>
      </c>
      <c r="G1059" s="328" t="str">
        <f>VLOOKUP(B1059,DONGIA,DG!$D$6,0)</f>
        <v>cái</v>
      </c>
      <c r="H1059" s="329">
        <f>H1047*3</f>
        <v>54</v>
      </c>
      <c r="I1059" s="329">
        <f>VLOOKUP(B1059,DONGIA,DG!$E$6,0)</f>
        <v>45400</v>
      </c>
      <c r="J1059" s="329"/>
      <c r="K1059" s="329">
        <f>VLOOKUP(B1059,DONGIA,DG!$F$6,0)</f>
        <v>0</v>
      </c>
      <c r="L1059" s="329">
        <f>VLOOKUP(B1059,DONGIA,DG!$G$6,0)</f>
        <v>0</v>
      </c>
      <c r="M1059" s="329">
        <f t="shared" si="252"/>
        <v>2451600</v>
      </c>
      <c r="N1059" s="329">
        <f t="shared" si="253"/>
        <v>0</v>
      </c>
      <c r="O1059" s="329">
        <f t="shared" si="254"/>
        <v>0</v>
      </c>
      <c r="P1059" s="329">
        <f t="shared" si="255"/>
        <v>0</v>
      </c>
      <c r="Q1059" s="329"/>
      <c r="S1059" s="332">
        <f t="shared" si="245"/>
        <v>0</v>
      </c>
      <c r="T1059" s="332">
        <f t="shared" si="247"/>
        <v>0</v>
      </c>
    </row>
    <row r="1060" spans="1:20" hidden="1">
      <c r="B1060" s="332" t="s">
        <v>1183</v>
      </c>
      <c r="C1060" s="333">
        <f>IF(H1060&lt;&gt;0,1,)</f>
        <v>0</v>
      </c>
      <c r="D1060" s="328"/>
      <c r="E1060" s="328">
        <f>VLOOKUP(B1060,DONGIA,DG!$B$6,0)</f>
        <v>0</v>
      </c>
      <c r="F1060" s="329" t="str">
        <f>VLOOKUP(B1060,DONGIA,DG!$C$6,0)</f>
        <v>Co  90 độ PVC 90</v>
      </c>
      <c r="G1060" s="328" t="str">
        <f>VLOOKUP(B1060,DONGIA,DG!$D$6,0)</f>
        <v>cái</v>
      </c>
      <c r="H1060" s="329"/>
      <c r="I1060" s="329">
        <f>VLOOKUP(B1060,DONGIA,DG!$E$6,0)</f>
        <v>45400</v>
      </c>
      <c r="J1060" s="329"/>
      <c r="K1060" s="329">
        <f>VLOOKUP(B1060,DONGIA,DG!$F$6,0)</f>
        <v>0</v>
      </c>
      <c r="L1060" s="329">
        <f>VLOOKUP(B1060,DONGIA,DG!$G$6,0)</f>
        <v>0</v>
      </c>
      <c r="M1060" s="329">
        <f>$H1060*I1060</f>
        <v>0</v>
      </c>
      <c r="N1060" s="329">
        <f>$H1060*J1060</f>
        <v>0</v>
      </c>
      <c r="O1060" s="329">
        <f>$H1060*K1060</f>
        <v>0</v>
      </c>
      <c r="P1060" s="329">
        <f>$H1060*L1060</f>
        <v>0</v>
      </c>
      <c r="Q1060" s="329"/>
      <c r="S1060" s="332">
        <f>IFERROR(VLOOKUP(B1060,DONGIA,$S$25,0),0)</f>
        <v>0</v>
      </c>
      <c r="T1060" s="332">
        <f>H1060*S1060</f>
        <v>0</v>
      </c>
    </row>
    <row r="1061" spans="1:20">
      <c r="B1061" s="332" t="s">
        <v>1181</v>
      </c>
      <c r="C1061" s="333">
        <f t="shared" si="246"/>
        <v>1</v>
      </c>
      <c r="D1061" s="328"/>
      <c r="E1061" s="328">
        <f>VLOOKUP(B1061,DONGIA,DG!$B$6,0)</f>
        <v>0</v>
      </c>
      <c r="F1061" s="779" t="str">
        <f>VLOOKUP(B1061,DONGIA,DG!$C$6,0)</f>
        <v>Co 135 độ PVC 90</v>
      </c>
      <c r="G1061" s="328" t="str">
        <f>VLOOKUP(B1061,DONGIA,DG!$D$6,0)</f>
        <v>cái</v>
      </c>
      <c r="H1061" s="329">
        <f>H1047</f>
        <v>18</v>
      </c>
      <c r="I1061" s="329">
        <f>VLOOKUP(B1061,DONGIA,DG!$E$6,0)</f>
        <v>34800</v>
      </c>
      <c r="J1061" s="329"/>
      <c r="K1061" s="329">
        <f>VLOOKUP(B1061,DONGIA,DG!$F$6,0)</f>
        <v>0</v>
      </c>
      <c r="L1061" s="329">
        <f>VLOOKUP(B1061,DONGIA,DG!$G$6,0)</f>
        <v>0</v>
      </c>
      <c r="M1061" s="329">
        <f t="shared" si="252"/>
        <v>626400</v>
      </c>
      <c r="N1061" s="329">
        <f t="shared" si="253"/>
        <v>0</v>
      </c>
      <c r="O1061" s="329">
        <f t="shared" si="254"/>
        <v>0</v>
      </c>
      <c r="P1061" s="329">
        <f t="shared" si="255"/>
        <v>0</v>
      </c>
      <c r="Q1061" s="329"/>
      <c r="S1061" s="332">
        <f t="shared" si="245"/>
        <v>0</v>
      </c>
      <c r="T1061" s="332">
        <f t="shared" si="247"/>
        <v>0</v>
      </c>
    </row>
    <row r="1062" spans="1:20">
      <c r="B1062" s="332" t="s">
        <v>1203</v>
      </c>
      <c r="C1062" s="333">
        <f t="shared" si="246"/>
        <v>1</v>
      </c>
      <c r="D1062" s="328"/>
      <c r="E1062" s="328">
        <f>VLOOKUP(B1062,DONGIA,DG!$B$6,0)</f>
        <v>0</v>
      </c>
      <c r="F1062" s="779" t="str">
        <f>VLOOKUP(B1062,DONGIA,DG!$C$6,0)</f>
        <v>Khâu ven răng trong D90</v>
      </c>
      <c r="G1062" s="328" t="str">
        <f>VLOOKUP(B1062,DONGIA,DG!$D$6,0)</f>
        <v>cái</v>
      </c>
      <c r="H1062" s="329">
        <f>H1047</f>
        <v>18</v>
      </c>
      <c r="I1062" s="329">
        <f>VLOOKUP(B1062,DONGIA,DG!$E$6,0)</f>
        <v>25800</v>
      </c>
      <c r="J1062" s="329"/>
      <c r="K1062" s="329">
        <f>VLOOKUP(B1062,DONGIA,DG!$F$6,0)</f>
        <v>0</v>
      </c>
      <c r="L1062" s="329">
        <f>VLOOKUP(B1062,DONGIA,DG!$G$6,0)</f>
        <v>0</v>
      </c>
      <c r="M1062" s="329">
        <f t="shared" si="252"/>
        <v>464400</v>
      </c>
      <c r="N1062" s="329">
        <f t="shared" si="253"/>
        <v>0</v>
      </c>
      <c r="O1062" s="329">
        <f t="shared" si="254"/>
        <v>0</v>
      </c>
      <c r="P1062" s="329">
        <f t="shared" si="255"/>
        <v>0</v>
      </c>
      <c r="Q1062" s="329"/>
      <c r="S1062" s="332">
        <f t="shared" si="245"/>
        <v>0</v>
      </c>
      <c r="T1062" s="332">
        <f t="shared" si="247"/>
        <v>0</v>
      </c>
    </row>
    <row r="1063" spans="1:20">
      <c r="B1063" s="332" t="s">
        <v>1209</v>
      </c>
      <c r="C1063" s="333">
        <f t="shared" si="246"/>
        <v>1</v>
      </c>
      <c r="D1063" s="328"/>
      <c r="E1063" s="328">
        <f>VLOOKUP(B1063,DONGIA,DG!$B$6,0)</f>
        <v>0</v>
      </c>
      <c r="F1063" s="779" t="str">
        <f>VLOOKUP(B1063,DONGIA,DG!$C$6,0)</f>
        <v>Khâu ven răng ngoài D90</v>
      </c>
      <c r="G1063" s="328" t="str">
        <f>VLOOKUP(B1063,DONGIA,DG!$D$6,0)</f>
        <v>cái</v>
      </c>
      <c r="H1063" s="329">
        <f>H1062</f>
        <v>18</v>
      </c>
      <c r="I1063" s="329">
        <f>VLOOKUP(B1063,DONGIA,DG!$E$6,0)</f>
        <v>21500</v>
      </c>
      <c r="J1063" s="329"/>
      <c r="K1063" s="329">
        <f>VLOOKUP(B1063,DONGIA,DG!$F$6,0)</f>
        <v>0</v>
      </c>
      <c r="L1063" s="329">
        <f>VLOOKUP(B1063,DONGIA,DG!$G$6,0)</f>
        <v>0</v>
      </c>
      <c r="M1063" s="329">
        <f t="shared" si="252"/>
        <v>387000</v>
      </c>
      <c r="N1063" s="329">
        <f t="shared" si="253"/>
        <v>0</v>
      </c>
      <c r="O1063" s="329">
        <f t="shared" si="254"/>
        <v>0</v>
      </c>
      <c r="P1063" s="329">
        <f t="shared" si="255"/>
        <v>0</v>
      </c>
      <c r="Q1063" s="329"/>
      <c r="S1063" s="332">
        <f t="shared" si="245"/>
        <v>0</v>
      </c>
      <c r="T1063" s="332">
        <f t="shared" si="247"/>
        <v>0</v>
      </c>
    </row>
    <row r="1064" spans="1:20">
      <c r="B1064" s="332" t="s">
        <v>1914</v>
      </c>
      <c r="C1064" s="333">
        <f t="shared" si="246"/>
        <v>1</v>
      </c>
      <c r="D1064" s="328"/>
      <c r="E1064" s="328">
        <f>VLOOKUP(B1064,DONGIA,DG!$B$6,0)</f>
        <v>0</v>
      </c>
      <c r="F1064" s="779" t="str">
        <f>VLOOKUP(B1064,DONGIA,DG!$C$6,0)</f>
        <v>Keo dán ống PVC (100gr)</v>
      </c>
      <c r="G1064" s="328" t="str">
        <f>VLOOKUP(B1064,DONGIA,DG!$D$6,0)</f>
        <v>tuýp</v>
      </c>
      <c r="H1064" s="329">
        <f>H1047</f>
        <v>18</v>
      </c>
      <c r="I1064" s="329">
        <f>VLOOKUP(B1064,DONGIA,DG!$E$6,0)</f>
        <v>11500</v>
      </c>
      <c r="J1064" s="329"/>
      <c r="K1064" s="329">
        <f>VLOOKUP(B1064,DONGIA,DG!$F$6,0)</f>
        <v>0</v>
      </c>
      <c r="L1064" s="329">
        <f>VLOOKUP(B1064,DONGIA,DG!$G$6,0)</f>
        <v>0</v>
      </c>
      <c r="M1064" s="329">
        <f t="shared" si="252"/>
        <v>207000</v>
      </c>
      <c r="N1064" s="329">
        <f t="shared" si="253"/>
        <v>0</v>
      </c>
      <c r="O1064" s="329">
        <f t="shared" si="254"/>
        <v>0</v>
      </c>
      <c r="P1064" s="329">
        <f t="shared" si="255"/>
        <v>0</v>
      </c>
      <c r="Q1064" s="329"/>
      <c r="S1064" s="332">
        <f t="shared" si="245"/>
        <v>0</v>
      </c>
      <c r="T1064" s="332">
        <f t="shared" si="247"/>
        <v>0</v>
      </c>
    </row>
    <row r="1065" spans="1:20">
      <c r="B1065" s="332" t="s">
        <v>1639</v>
      </c>
      <c r="C1065" s="333">
        <f t="shared" si="246"/>
        <v>1</v>
      </c>
      <c r="D1065" s="328"/>
      <c r="E1065" s="328">
        <f>VLOOKUP(B1065,DONGIA,DG!$B$6,0)</f>
        <v>0</v>
      </c>
      <c r="F1065" s="779" t="str">
        <f>VLOOKUP(B1065,DONGIA,DG!$C$6,0)&amp;" bịt miệng ống"</f>
        <v>Xi măng bịt miệng ống</v>
      </c>
      <c r="G1065" s="328" t="str">
        <f>VLOOKUP(B1065,DONGIA,DG!$D$6,0)</f>
        <v>kg</v>
      </c>
      <c r="H1065" s="489">
        <f>H1047*0.5</f>
        <v>9</v>
      </c>
      <c r="I1065" s="329">
        <f>VLOOKUP(B1065,DONGIA,DG!$E$6,0)</f>
        <v>1760</v>
      </c>
      <c r="J1065" s="329"/>
      <c r="K1065" s="329">
        <f>VLOOKUP(B1065,DONGIA,DG!$F$6,0)</f>
        <v>0</v>
      </c>
      <c r="L1065" s="329">
        <f>VLOOKUP(B1065,DONGIA,DG!$G$6,0)</f>
        <v>0</v>
      </c>
      <c r="M1065" s="329">
        <f t="shared" si="252"/>
        <v>15840</v>
      </c>
      <c r="N1065" s="329">
        <f t="shared" si="253"/>
        <v>0</v>
      </c>
      <c r="O1065" s="329">
        <f t="shared" si="254"/>
        <v>0</v>
      </c>
      <c r="P1065" s="329">
        <f t="shared" si="255"/>
        <v>0</v>
      </c>
      <c r="Q1065" s="329"/>
      <c r="S1065" s="332">
        <f t="shared" si="245"/>
        <v>1</v>
      </c>
      <c r="T1065" s="332">
        <f t="shared" si="247"/>
        <v>9</v>
      </c>
    </row>
    <row r="1066" spans="1:20" s="405" customFormat="1">
      <c r="B1066" s="405" t="s">
        <v>855</v>
      </c>
      <c r="C1066" s="418">
        <f t="shared" si="246"/>
        <v>1</v>
      </c>
      <c r="D1066" s="523"/>
      <c r="E1066" s="523" t="str">
        <f>VLOOKUP(B1066,DONGIA,DG!$B$6,0)</f>
        <v>T4.8003</v>
      </c>
      <c r="F1066" s="666" t="str">
        <f>VLOOKUP(B1066,DONGIA,DG!$C$6,0)</f>
        <v>Lắp ống nhựa PVC D90</v>
      </c>
      <c r="G1066" s="523" t="str">
        <f>VLOOKUP(B1066,DONGIA,DG!$D$6,0)</f>
        <v>mét</v>
      </c>
      <c r="H1066" s="554">
        <f>H1055</f>
        <v>108</v>
      </c>
      <c r="I1066" s="525">
        <f>VLOOKUP(B1066,DONGIA,DG!$E$6,0)</f>
        <v>0</v>
      </c>
      <c r="J1066" s="525"/>
      <c r="K1066" s="525">
        <f>VLOOKUP(B1066,DONGIA,DG!$F$6,0)</f>
        <v>35541</v>
      </c>
      <c r="L1066" s="525">
        <f>VLOOKUP(B1066,DONGIA,DG!$G$6,0)</f>
        <v>0</v>
      </c>
      <c r="M1066" s="525">
        <f t="shared" si="252"/>
        <v>0</v>
      </c>
      <c r="N1066" s="525">
        <f t="shared" si="253"/>
        <v>0</v>
      </c>
      <c r="O1066" s="525">
        <f t="shared" si="254"/>
        <v>3838428</v>
      </c>
      <c r="P1066" s="525">
        <f t="shared" si="255"/>
        <v>0</v>
      </c>
      <c r="Q1066" s="525"/>
      <c r="S1066" s="405">
        <f t="shared" si="245"/>
        <v>0</v>
      </c>
      <c r="T1066" s="405">
        <f t="shared" si="247"/>
        <v>0</v>
      </c>
    </row>
    <row r="1067" spans="1:20" s="405" customFormat="1">
      <c r="B1067" s="405" t="s">
        <v>1939</v>
      </c>
      <c r="C1067" s="418">
        <f t="shared" si="246"/>
        <v>1</v>
      </c>
      <c r="D1067" s="523"/>
      <c r="E1067" s="523" t="str">
        <f>VLOOKUP(B1067,DONGIA,DG!$B$6,0)</f>
        <v>T4.4201</v>
      </c>
      <c r="F1067" s="666" t="str">
        <f>VLOOKUP(B1067,DONGIA,DG!$C$6,0)</f>
        <v>Lắp cáp đồng xuống thiết bị D ≤ 95mm2</v>
      </c>
      <c r="G1067" s="523" t="str">
        <f>VLOOKUP(B1067,DONGIA,DG!$D$6,0)</f>
        <v>m</v>
      </c>
      <c r="H1067" s="554">
        <f>H1049+H1050</f>
        <v>612</v>
      </c>
      <c r="I1067" s="525">
        <f>VLOOKUP(B1067,DONGIA,DG!$E$6,0)</f>
        <v>0</v>
      </c>
      <c r="J1067" s="525"/>
      <c r="K1067" s="525">
        <f>VLOOKUP(B1067,DONGIA,DG!$F$6,0)</f>
        <v>11847</v>
      </c>
      <c r="L1067" s="525">
        <f>VLOOKUP(B1067,DONGIA,DG!$G$6,0)</f>
        <v>0</v>
      </c>
      <c r="M1067" s="525">
        <f t="shared" si="252"/>
        <v>0</v>
      </c>
      <c r="N1067" s="525">
        <f t="shared" si="253"/>
        <v>0</v>
      </c>
      <c r="O1067" s="525">
        <f t="shared" si="254"/>
        <v>7250364</v>
      </c>
      <c r="P1067" s="525">
        <f t="shared" si="255"/>
        <v>0</v>
      </c>
      <c r="Q1067" s="525"/>
      <c r="S1067" s="405">
        <f t="shared" si="245"/>
        <v>0</v>
      </c>
      <c r="T1067" s="405">
        <f t="shared" si="247"/>
        <v>0</v>
      </c>
    </row>
    <row r="1068" spans="1:20">
      <c r="B1068" s="332" t="s">
        <v>1058</v>
      </c>
      <c r="C1068" s="333">
        <f t="shared" si="246"/>
        <v>1</v>
      </c>
      <c r="D1068" s="372">
        <f>IF(H1068&lt;&gt;0,D1047+1,D1047)</f>
        <v>9</v>
      </c>
      <c r="E1068" s="372">
        <f>VLOOKUP(B1068,DONGIA,DG!$B$6,0)</f>
        <v>0</v>
      </c>
      <c r="F1068" s="780" t="str">
        <f>VLOOKUP(B1068,DONGIA,DG!$C$6,0)</f>
        <v>Bảng tên trạm + bulon</v>
      </c>
      <c r="G1068" s="372" t="str">
        <f>VLOOKUP(B1068,DONGIA,DG!$D$6,0)</f>
        <v>bộ</v>
      </c>
      <c r="H1068" s="372">
        <f>TR3X50</f>
        <v>9</v>
      </c>
      <c r="I1068" s="373">
        <f>VLOOKUP(B1068,DONGIA,DG!$E$6,0)</f>
        <v>150000</v>
      </c>
      <c r="J1068" s="373"/>
      <c r="K1068" s="373"/>
      <c r="L1068" s="373"/>
      <c r="M1068" s="373">
        <f>H1068*I1068</f>
        <v>1350000</v>
      </c>
      <c r="N1068" s="373"/>
      <c r="O1068" s="373"/>
      <c r="P1068" s="373"/>
      <c r="Q1068" s="373"/>
      <c r="S1068" s="332">
        <f t="shared" si="245"/>
        <v>0</v>
      </c>
      <c r="T1068" s="332">
        <f t="shared" si="247"/>
        <v>0</v>
      </c>
    </row>
    <row r="1069" spans="1:20" s="353" customFormat="1" hidden="1">
      <c r="A1069" s="353" t="s">
        <v>2085</v>
      </c>
      <c r="C1069" s="333">
        <f>IF((C1070+C1077)&lt;&gt;0,1,)</f>
        <v>0</v>
      </c>
      <c r="D1069" s="368"/>
      <c r="E1069" s="369" t="str">
        <f>TR3X75&amp;" Trạm 3 pha 3x75kVA"</f>
        <v>0 Trạm 3 pha 3x75kVA</v>
      </c>
      <c r="F1069" s="368"/>
      <c r="G1069" s="368"/>
      <c r="H1069" s="368"/>
      <c r="I1069" s="325"/>
      <c r="J1069" s="325"/>
      <c r="K1069" s="325"/>
      <c r="L1069" s="325"/>
      <c r="M1069" s="325"/>
      <c r="N1069" s="325"/>
      <c r="O1069" s="325"/>
      <c r="P1069" s="325"/>
      <c r="Q1069" s="368"/>
      <c r="S1069" s="332">
        <f t="shared" si="245"/>
        <v>0</v>
      </c>
      <c r="T1069" s="332">
        <f t="shared" si="247"/>
        <v>0</v>
      </c>
    </row>
    <row r="1070" spans="1:20" hidden="1">
      <c r="A1070" s="332" t="s">
        <v>2086</v>
      </c>
      <c r="C1070" s="333">
        <f>IF(SUM(C1071:C1076)&lt;&gt;0,1,)</f>
        <v>0</v>
      </c>
      <c r="D1070" s="344"/>
      <c r="E1070" s="344"/>
      <c r="F1070" s="345" t="s">
        <v>1900</v>
      </c>
      <c r="G1070" s="344"/>
      <c r="H1070" s="345"/>
      <c r="I1070" s="345"/>
      <c r="J1070" s="345"/>
      <c r="K1070" s="345"/>
      <c r="L1070" s="345"/>
      <c r="M1070" s="345">
        <f>SUM(M1071:M1076)</f>
        <v>0</v>
      </c>
      <c r="N1070" s="345">
        <f>SUM(N1071:N1076)</f>
        <v>0</v>
      </c>
      <c r="O1070" s="345">
        <f>SUM(O1071:O1076)</f>
        <v>0</v>
      </c>
      <c r="P1070" s="345">
        <f>SUM(P1071:P1076)</f>
        <v>0</v>
      </c>
      <c r="Q1070" s="345"/>
      <c r="S1070" s="332">
        <f t="shared" si="245"/>
        <v>0</v>
      </c>
      <c r="T1070" s="371">
        <f>SUM(T1071:T1076)</f>
        <v>0</v>
      </c>
    </row>
    <row r="1071" spans="1:20" hidden="1">
      <c r="A1071" s="332" t="s">
        <v>477</v>
      </c>
      <c r="B1071" s="332" t="s">
        <v>903</v>
      </c>
      <c r="C1071" s="333">
        <f t="shared" si="246"/>
        <v>0</v>
      </c>
      <c r="D1071" s="328"/>
      <c r="E1071" s="328" t="str">
        <f>VLOOKUP(B1071,DONGIA,DG!$B$6,0)</f>
        <v>T1.1433</v>
      </c>
      <c r="F1071" s="329" t="str">
        <f>VLOOKUP(B1071,DONGIA,DG!$C$6,0)</f>
        <v>Máy biến áp AMORPHOUS 12,7/0,22-0,44kV 75kVA</v>
      </c>
      <c r="G1071" s="328" t="str">
        <f>VLOOKUP(B1071,DONGIA,DG!$D$6,0)</f>
        <v>máy</v>
      </c>
      <c r="H1071" s="329">
        <f>TR3X75*3</f>
        <v>0</v>
      </c>
      <c r="I1071" s="329">
        <f>VLOOKUP(B1071,DONGIA,DG!$E$6,0)</f>
        <v>40173760</v>
      </c>
      <c r="J1071" s="329"/>
      <c r="K1071" s="329">
        <f>VLOOKUP(B1071,DONGIA,DG!$F$6,0)</f>
        <v>993554</v>
      </c>
      <c r="L1071" s="329">
        <f>VLOOKUP(B1071,DONGIA,DG!$G$6,0)</f>
        <v>360605</v>
      </c>
      <c r="M1071" s="329">
        <f t="shared" ref="M1071:P1076" si="256">$H1071*I1071</f>
        <v>0</v>
      </c>
      <c r="N1071" s="329">
        <f t="shared" si="256"/>
        <v>0</v>
      </c>
      <c r="O1071" s="329">
        <f t="shared" si="256"/>
        <v>0</v>
      </c>
      <c r="P1071" s="329">
        <f t="shared" si="256"/>
        <v>0</v>
      </c>
      <c r="Q1071" s="329"/>
      <c r="S1071" s="332">
        <f t="shared" si="245"/>
        <v>455</v>
      </c>
      <c r="T1071" s="332">
        <f t="shared" si="247"/>
        <v>0</v>
      </c>
    </row>
    <row r="1072" spans="1:20" hidden="1">
      <c r="A1072" s="332" t="s">
        <v>477</v>
      </c>
      <c r="B1072" s="332" t="s">
        <v>1444</v>
      </c>
      <c r="C1072" s="333">
        <f t="shared" si="246"/>
        <v>0</v>
      </c>
      <c r="D1072" s="328"/>
      <c r="E1072" s="328" t="str">
        <f>VLOOKUP(B1072,DONGIA,DG!$B$6,0)</f>
        <v>T2.3505</v>
      </c>
      <c r="F1072" s="329" t="str">
        <f>VLOOKUP(B1072,DONGIA,DG!$C$6,0)</f>
        <v>FCO 27kV - 100A</v>
      </c>
      <c r="G1072" s="328" t="str">
        <f>VLOOKUP(B1072,DONGIA,DG!$D$6,0)</f>
        <v>cái</v>
      </c>
      <c r="H1072" s="329">
        <f>TR3X75*3</f>
        <v>0</v>
      </c>
      <c r="I1072" s="329">
        <f>VLOOKUP(B1072,DONGIA,DG!$E$6,0)</f>
        <v>1070000</v>
      </c>
      <c r="J1072" s="329"/>
      <c r="K1072" s="329">
        <f>VLOOKUP(B1072,DONGIA,DG!$F$6,0)/3</f>
        <v>63184</v>
      </c>
      <c r="L1072" s="329">
        <f>VLOOKUP(B1072,DONGIA,DG!$G$6,0)</f>
        <v>0</v>
      </c>
      <c r="M1072" s="329">
        <f t="shared" si="256"/>
        <v>0</v>
      </c>
      <c r="N1072" s="329">
        <f t="shared" si="256"/>
        <v>0</v>
      </c>
      <c r="O1072" s="329">
        <f t="shared" si="256"/>
        <v>0</v>
      </c>
      <c r="P1072" s="329">
        <f t="shared" si="256"/>
        <v>0</v>
      </c>
      <c r="Q1072" s="329"/>
      <c r="S1072" s="332">
        <f t="shared" si="245"/>
        <v>1.5</v>
      </c>
      <c r="T1072" s="332">
        <f t="shared" si="247"/>
        <v>0</v>
      </c>
    </row>
    <row r="1073" spans="1:20" hidden="1">
      <c r="A1073" s="332" t="s">
        <v>477</v>
      </c>
      <c r="B1073" s="332" t="s">
        <v>943</v>
      </c>
      <c r="C1073" s="333">
        <f t="shared" si="246"/>
        <v>0</v>
      </c>
      <c r="D1073" s="328"/>
      <c r="E1073" s="328" t="str">
        <f>VLOOKUP(B1073,DONGIA,DG!$B$6,0)</f>
        <v>T2.5004</v>
      </c>
      <c r="F1073" s="329" t="str">
        <f>VLOOKUP(B1073,DONGIA,DG!$C$6,0)</f>
        <v>LA 18kV 10kA</v>
      </c>
      <c r="G1073" s="328" t="str">
        <f>VLOOKUP(B1073,DONGIA,DG!$D$6,0)</f>
        <v>cái</v>
      </c>
      <c r="H1073" s="329">
        <f>TR3X75*3</f>
        <v>0</v>
      </c>
      <c r="I1073" s="329">
        <f>VLOOKUP(B1073,DONGIA,DG!$E$6,0)</f>
        <v>875000</v>
      </c>
      <c r="J1073" s="329"/>
      <c r="K1073" s="329">
        <f>VLOOKUP(B1073,DONGIA,DG!$F$6,0)/3</f>
        <v>23694</v>
      </c>
      <c r="L1073" s="329">
        <f>VLOOKUP(B1073,DONGIA,DG!$G$6,0)</f>
        <v>0</v>
      </c>
      <c r="M1073" s="329">
        <f t="shared" si="256"/>
        <v>0</v>
      </c>
      <c r="N1073" s="329">
        <f t="shared" si="256"/>
        <v>0</v>
      </c>
      <c r="O1073" s="329">
        <f t="shared" si="256"/>
        <v>0</v>
      </c>
      <c r="P1073" s="329">
        <f t="shared" si="256"/>
        <v>0</v>
      </c>
      <c r="Q1073" s="329"/>
      <c r="S1073" s="332">
        <f t="shared" si="245"/>
        <v>0.8</v>
      </c>
      <c r="T1073" s="332">
        <f t="shared" si="247"/>
        <v>0</v>
      </c>
    </row>
    <row r="1074" spans="1:20" hidden="1">
      <c r="A1074" s="332" t="s">
        <v>477</v>
      </c>
      <c r="B1074" s="332" t="s">
        <v>998</v>
      </c>
      <c r="C1074" s="333">
        <f t="shared" si="246"/>
        <v>0</v>
      </c>
      <c r="D1074" s="328"/>
      <c r="E1074" s="328" t="str">
        <f>VLOOKUP(B1074,DONGIA,DG!$B$6,0)</f>
        <v>T2.8405</v>
      </c>
      <c r="F1074" s="329" t="str">
        <f>VLOOKUP(B1074,DONGIA,DG!$C$6,0)</f>
        <v>MCCB 3 cực 400V - 400A - 35KA (250-400A)</v>
      </c>
      <c r="G1074" s="328" t="str">
        <f>VLOOKUP(B1074,DONGIA,DG!$D$6,0)</f>
        <v>cái</v>
      </c>
      <c r="H1074" s="329">
        <f>TR3X75</f>
        <v>0</v>
      </c>
      <c r="I1074" s="329">
        <f>VLOOKUP(B1074,DONGIA,DG!$E$6,0)</f>
        <v>5550000</v>
      </c>
      <c r="J1074" s="329"/>
      <c r="K1074" s="329">
        <f>VLOOKUP(B1074,DONGIA,DG!$F$6,0)*0</f>
        <v>0</v>
      </c>
      <c r="L1074" s="329">
        <f>VLOOKUP(B1074,DONGIA,DG!$G$6,0)</f>
        <v>0</v>
      </c>
      <c r="M1074" s="329">
        <f t="shared" si="256"/>
        <v>0</v>
      </c>
      <c r="N1074" s="329">
        <f t="shared" si="256"/>
        <v>0</v>
      </c>
      <c r="O1074" s="329">
        <f t="shared" si="256"/>
        <v>0</v>
      </c>
      <c r="P1074" s="329">
        <f t="shared" si="256"/>
        <v>0</v>
      </c>
      <c r="Q1074" s="329"/>
      <c r="S1074" s="332">
        <f t="shared" si="245"/>
        <v>3</v>
      </c>
      <c r="T1074" s="332">
        <f t="shared" si="247"/>
        <v>0</v>
      </c>
    </row>
    <row r="1075" spans="1:20" hidden="1">
      <c r="A1075" s="332" t="s">
        <v>477</v>
      </c>
      <c r="B1075" s="332" t="s">
        <v>956</v>
      </c>
      <c r="C1075" s="333">
        <f t="shared" si="246"/>
        <v>0</v>
      </c>
      <c r="D1075" s="328"/>
      <c r="E1075" s="328">
        <f>VLOOKUP(B1075,DONGIA,DG!$B$6,0)</f>
        <v>0</v>
      </c>
      <c r="F1075" s="329" t="str">
        <f>VLOOKUP(B1075,DONGIA,DG!$C$6,0)</f>
        <v xml:space="preserve">Biến dòng 600V - 300/5A </v>
      </c>
      <c r="G1075" s="328" t="str">
        <f>VLOOKUP(B1075,DONGIA,DG!$D$6,0)</f>
        <v>cái</v>
      </c>
      <c r="H1075" s="329">
        <f>TR3X75*3</f>
        <v>0</v>
      </c>
      <c r="I1075" s="329">
        <f>VLOOKUP(B1075,DONGIA,DG!$E$6,0)</f>
        <v>0</v>
      </c>
      <c r="J1075" s="329"/>
      <c r="K1075" s="329">
        <f>VLOOKUP(B1075,DONGIA,DG!$F$6,0)</f>
        <v>0</v>
      </c>
      <c r="L1075" s="329">
        <f>VLOOKUP(B1075,DONGIA,DG!$G$6,0)</f>
        <v>0</v>
      </c>
      <c r="M1075" s="329">
        <f t="shared" si="256"/>
        <v>0</v>
      </c>
      <c r="N1075" s="329">
        <f t="shared" si="256"/>
        <v>0</v>
      </c>
      <c r="O1075" s="329">
        <f t="shared" si="256"/>
        <v>0</v>
      </c>
      <c r="P1075" s="329">
        <f t="shared" si="256"/>
        <v>0</v>
      </c>
      <c r="Q1075" s="329"/>
      <c r="S1075" s="332">
        <f t="shared" si="245"/>
        <v>0</v>
      </c>
      <c r="T1075" s="332">
        <f t="shared" si="247"/>
        <v>0</v>
      </c>
    </row>
    <row r="1076" spans="1:20" hidden="1">
      <c r="A1076" s="332" t="s">
        <v>477</v>
      </c>
      <c r="B1076" s="332" t="s">
        <v>1046</v>
      </c>
      <c r="C1076" s="333">
        <f t="shared" si="246"/>
        <v>0</v>
      </c>
      <c r="D1076" s="328"/>
      <c r="E1076" s="328">
        <f>VLOOKUP(B1076,DONGIA,DG!$B$6,0)</f>
        <v>0</v>
      </c>
      <c r="F1076" s="329" t="str">
        <f>VLOOKUP(B1076,DONGIA,DG!$C$6,0)</f>
        <v>Điện kế 3 pha 4 dây 220/380V-5A</v>
      </c>
      <c r="G1076" s="328" t="str">
        <f>VLOOKUP(B1076,DONGIA,DG!$D$6,0)</f>
        <v>cái</v>
      </c>
      <c r="H1076" s="329">
        <f>TR3X75</f>
        <v>0</v>
      </c>
      <c r="I1076" s="329">
        <f>VLOOKUP(B1076,DONGIA,DG!$E$6,0)</f>
        <v>0</v>
      </c>
      <c r="J1076" s="329"/>
      <c r="K1076" s="329">
        <f>VLOOKUP(B1076,DONGIA,DG!$F$6,0)</f>
        <v>0</v>
      </c>
      <c r="L1076" s="329">
        <f>VLOOKUP(B1076,DONGIA,DG!$G$6,0)</f>
        <v>0</v>
      </c>
      <c r="M1076" s="329">
        <f t="shared" si="256"/>
        <v>0</v>
      </c>
      <c r="N1076" s="329">
        <f t="shared" si="256"/>
        <v>0</v>
      </c>
      <c r="O1076" s="329">
        <f t="shared" si="256"/>
        <v>0</v>
      </c>
      <c r="P1076" s="329">
        <f t="shared" si="256"/>
        <v>0</v>
      </c>
      <c r="Q1076" s="329"/>
      <c r="S1076" s="332">
        <f t="shared" si="245"/>
        <v>1.5</v>
      </c>
      <c r="T1076" s="332">
        <f t="shared" si="247"/>
        <v>0</v>
      </c>
    </row>
    <row r="1077" spans="1:20" hidden="1">
      <c r="A1077" s="332" t="s">
        <v>2087</v>
      </c>
      <c r="C1077" s="333">
        <f>IF(SUM(C1078:C1159)&lt;&gt;0,1,)</f>
        <v>0</v>
      </c>
      <c r="D1077" s="344"/>
      <c r="E1077" s="344"/>
      <c r="F1077" s="345" t="s">
        <v>1901</v>
      </c>
      <c r="G1077" s="344"/>
      <c r="H1077" s="345"/>
      <c r="I1077" s="345"/>
      <c r="J1077" s="345"/>
      <c r="K1077" s="345"/>
      <c r="L1077" s="345"/>
      <c r="M1077" s="345">
        <f>SUM(M1078:M1159)</f>
        <v>0</v>
      </c>
      <c r="N1077" s="345">
        <f>SUM(N1078:N1159)</f>
        <v>0</v>
      </c>
      <c r="O1077" s="345">
        <f>SUM(O1078:O1159)</f>
        <v>0</v>
      </c>
      <c r="P1077" s="345">
        <f>SUM(P1078:P1159)</f>
        <v>0</v>
      </c>
      <c r="Q1077" s="345"/>
      <c r="S1077" s="332">
        <f t="shared" si="245"/>
        <v>0</v>
      </c>
      <c r="T1077" s="371">
        <f>SUM(T1078:T1159)</f>
        <v>0</v>
      </c>
    </row>
    <row r="1078" spans="1:20" hidden="1">
      <c r="C1078" s="333">
        <f t="shared" si="246"/>
        <v>0</v>
      </c>
      <c r="D1078" s="372">
        <f>IF(H1078&lt;&gt;0,1,)</f>
        <v>0</v>
      </c>
      <c r="E1078" s="372"/>
      <c r="F1078" s="373" t="s">
        <v>1931</v>
      </c>
      <c r="G1078" s="372" t="s">
        <v>138</v>
      </c>
      <c r="H1078" s="372">
        <f>TR3X75</f>
        <v>0</v>
      </c>
      <c r="I1078" s="373"/>
      <c r="J1078" s="373"/>
      <c r="K1078" s="373"/>
      <c r="L1078" s="373"/>
      <c r="M1078" s="373"/>
      <c r="N1078" s="373"/>
      <c r="O1078" s="373"/>
      <c r="P1078" s="373"/>
      <c r="Q1078" s="373"/>
      <c r="S1078" s="332">
        <f t="shared" si="245"/>
        <v>0</v>
      </c>
      <c r="T1078" s="332">
        <f t="shared" si="247"/>
        <v>0</v>
      </c>
    </row>
    <row r="1079" spans="1:20" hidden="1">
      <c r="A1079" s="332" t="s">
        <v>477</v>
      </c>
      <c r="B1079" s="332" t="s">
        <v>1007</v>
      </c>
      <c r="C1079" s="333">
        <f t="shared" si="246"/>
        <v>0</v>
      </c>
      <c r="D1079" s="328"/>
      <c r="E1079" s="328">
        <f>VLOOKUP(B1079,DONGIA,DG!$B$6,0)</f>
        <v>0</v>
      </c>
      <c r="F1079" s="329" t="str">
        <f>VLOOKUP(B1079,DONGIA,DG!$C$6,0)</f>
        <v>Dây chảy 3K</v>
      </c>
      <c r="G1079" s="328" t="str">
        <f>VLOOKUP(B1079,DONGIA,DG!$D$6,0)</f>
        <v>Sợi</v>
      </c>
      <c r="H1079" s="329">
        <f>TR3X75*3</f>
        <v>0</v>
      </c>
      <c r="I1079" s="329">
        <f>VLOOKUP(B1079,DONGIA,DG!$E$6,0)</f>
        <v>47000</v>
      </c>
      <c r="J1079" s="329"/>
      <c r="K1079" s="329">
        <f>VLOOKUP(B1079,DONGIA,DG!$F$6,0)</f>
        <v>0</v>
      </c>
      <c r="L1079" s="329">
        <f>VLOOKUP(B1079,DONGIA,DG!$G$6,0)</f>
        <v>0</v>
      </c>
      <c r="M1079" s="329">
        <f t="shared" ref="M1079:P1082" si="257">$H1079*I1079</f>
        <v>0</v>
      </c>
      <c r="N1079" s="329">
        <f t="shared" si="257"/>
        <v>0</v>
      </c>
      <c r="O1079" s="329">
        <f t="shared" si="257"/>
        <v>0</v>
      </c>
      <c r="P1079" s="329">
        <f t="shared" si="257"/>
        <v>0</v>
      </c>
      <c r="Q1079" s="329"/>
      <c r="S1079" s="332">
        <f t="shared" si="245"/>
        <v>0</v>
      </c>
      <c r="T1079" s="332">
        <f t="shared" si="247"/>
        <v>0</v>
      </c>
    </row>
    <row r="1080" spans="1:20" hidden="1">
      <c r="A1080" s="332" t="s">
        <v>477</v>
      </c>
      <c r="B1080" s="332" t="s">
        <v>131</v>
      </c>
      <c r="C1080" s="333">
        <f t="shared" si="246"/>
        <v>0</v>
      </c>
      <c r="D1080" s="328"/>
      <c r="E1080" s="328">
        <f>VLOOKUP(B1080,DONGIA,DG!$B$6,0)</f>
        <v>0</v>
      </c>
      <c r="F1080" s="329" t="str">
        <f>VLOOKUP(B1080,DONGIA,DG!$C$6,0)</f>
        <v>Chụp đầu FCO (Trên + Dưới)</v>
      </c>
      <c r="G1080" s="328" t="str">
        <f>VLOOKUP(B1080,DONGIA,DG!$D$6,0)</f>
        <v>bộ</v>
      </c>
      <c r="H1080" s="329">
        <f>TR3X75*3</f>
        <v>0</v>
      </c>
      <c r="I1080" s="329">
        <f>VLOOKUP(B1080,DONGIA,DG!$E$6,0)</f>
        <v>190000</v>
      </c>
      <c r="J1080" s="329"/>
      <c r="K1080" s="329">
        <f>VLOOKUP(B1080,DONGIA,DG!$F$6,0)</f>
        <v>0</v>
      </c>
      <c r="L1080" s="329">
        <f>VLOOKUP(B1080,DONGIA,DG!$G$6,0)</f>
        <v>0</v>
      </c>
      <c r="M1080" s="329">
        <f t="shared" si="257"/>
        <v>0</v>
      </c>
      <c r="N1080" s="329">
        <f t="shared" si="257"/>
        <v>0</v>
      </c>
      <c r="O1080" s="329">
        <f t="shared" si="257"/>
        <v>0</v>
      </c>
      <c r="P1080" s="329">
        <f t="shared" si="257"/>
        <v>0</v>
      </c>
      <c r="Q1080" s="329"/>
      <c r="S1080" s="332">
        <f t="shared" si="245"/>
        <v>0</v>
      </c>
      <c r="T1080" s="332">
        <f t="shared" si="247"/>
        <v>0</v>
      </c>
    </row>
    <row r="1081" spans="1:20" hidden="1">
      <c r="A1081" s="332" t="s">
        <v>477</v>
      </c>
      <c r="B1081" s="332" t="s">
        <v>133</v>
      </c>
      <c r="C1081" s="333">
        <f t="shared" si="246"/>
        <v>0</v>
      </c>
      <c r="D1081" s="328"/>
      <c r="E1081" s="328">
        <f>VLOOKUP(B1081,DONGIA,DG!$B$6,0)</f>
        <v>0</v>
      </c>
      <c r="F1081" s="329" t="str">
        <f>VLOOKUP(B1081,DONGIA,DG!$C$6,0)</f>
        <v>Chụp đầu LA</v>
      </c>
      <c r="G1081" s="328" t="str">
        <f>VLOOKUP(B1081,DONGIA,DG!$D$6,0)</f>
        <v>cái</v>
      </c>
      <c r="H1081" s="329">
        <f>TR3X75*3</f>
        <v>0</v>
      </c>
      <c r="I1081" s="329">
        <f>VLOOKUP(B1081,DONGIA,DG!$E$6,0)</f>
        <v>32000</v>
      </c>
      <c r="J1081" s="329"/>
      <c r="K1081" s="329">
        <f>VLOOKUP(B1081,DONGIA,DG!$F$6,0)</f>
        <v>0</v>
      </c>
      <c r="L1081" s="329">
        <f>VLOOKUP(B1081,DONGIA,DG!$G$6,0)</f>
        <v>0</v>
      </c>
      <c r="M1081" s="329">
        <f t="shared" si="257"/>
        <v>0</v>
      </c>
      <c r="N1081" s="329">
        <f t="shared" si="257"/>
        <v>0</v>
      </c>
      <c r="O1081" s="329">
        <f t="shared" si="257"/>
        <v>0</v>
      </c>
      <c r="P1081" s="329">
        <f t="shared" si="257"/>
        <v>0</v>
      </c>
      <c r="Q1081" s="329"/>
      <c r="S1081" s="332">
        <f t="shared" si="245"/>
        <v>0</v>
      </c>
      <c r="T1081" s="332">
        <f t="shared" si="247"/>
        <v>0</v>
      </c>
    </row>
    <row r="1082" spans="1:20" hidden="1">
      <c r="A1082" s="332" t="s">
        <v>477</v>
      </c>
      <c r="B1082" s="332" t="s">
        <v>135</v>
      </c>
      <c r="C1082" s="333">
        <f t="shared" si="246"/>
        <v>0</v>
      </c>
      <c r="D1082" s="328"/>
      <c r="E1082" s="328">
        <f>VLOOKUP(B1082,DONGIA,DG!$B$6,0)</f>
        <v>0</v>
      </c>
      <c r="F1082" s="329" t="str">
        <f>VLOOKUP(B1082,DONGIA,DG!$C$6,0)</f>
        <v>Chụp đầu cực MBA</v>
      </c>
      <c r="G1082" s="328" t="str">
        <f>VLOOKUP(B1082,DONGIA,DG!$D$6,0)</f>
        <v>cái</v>
      </c>
      <c r="H1082" s="329">
        <f>TR3X75*3</f>
        <v>0</v>
      </c>
      <c r="I1082" s="329">
        <f>VLOOKUP(B1082,DONGIA,DG!$E$6,0)</f>
        <v>52000</v>
      </c>
      <c r="J1082" s="329"/>
      <c r="K1082" s="329">
        <f>VLOOKUP(B1082,DONGIA,DG!$F$6,0)</f>
        <v>0</v>
      </c>
      <c r="L1082" s="329">
        <f>VLOOKUP(B1082,DONGIA,DG!$G$6,0)</f>
        <v>0</v>
      </c>
      <c r="M1082" s="329">
        <f t="shared" si="257"/>
        <v>0</v>
      </c>
      <c r="N1082" s="329">
        <f t="shared" si="257"/>
        <v>0</v>
      </c>
      <c r="O1082" s="329">
        <f t="shared" si="257"/>
        <v>0</v>
      </c>
      <c r="P1082" s="329">
        <f t="shared" si="257"/>
        <v>0</v>
      </c>
      <c r="Q1082" s="329"/>
      <c r="S1082" s="332">
        <f t="shared" si="245"/>
        <v>0</v>
      </c>
      <c r="T1082" s="332">
        <f t="shared" si="247"/>
        <v>0</v>
      </c>
    </row>
    <row r="1083" spans="1:20" hidden="1">
      <c r="A1083" s="332" t="s">
        <v>477</v>
      </c>
      <c r="C1083" s="333">
        <f t="shared" si="246"/>
        <v>0</v>
      </c>
      <c r="D1083" s="372">
        <f>IF(H1083&lt;&gt;0,D1078+1,D1078)</f>
        <v>0</v>
      </c>
      <c r="E1083" s="372"/>
      <c r="F1083" s="373" t="s">
        <v>1932</v>
      </c>
      <c r="G1083" s="372" t="s">
        <v>138</v>
      </c>
      <c r="H1083" s="372">
        <f>TR3X75</f>
        <v>0</v>
      </c>
      <c r="I1083" s="373"/>
      <c r="J1083" s="373"/>
      <c r="K1083" s="373"/>
      <c r="L1083" s="373"/>
      <c r="M1083" s="373"/>
      <c r="N1083" s="373">
        <f>$H1083*J1083</f>
        <v>0</v>
      </c>
      <c r="O1083" s="373"/>
      <c r="P1083" s="373"/>
      <c r="Q1083" s="373"/>
      <c r="S1083" s="332">
        <f t="shared" si="245"/>
        <v>0</v>
      </c>
      <c r="T1083" s="332">
        <f t="shared" si="247"/>
        <v>0</v>
      </c>
    </row>
    <row r="1084" spans="1:20" s="361" customFormat="1" hidden="1">
      <c r="A1084" s="361" t="s">
        <v>477</v>
      </c>
      <c r="C1084" s="374">
        <f t="shared" si="246"/>
        <v>0</v>
      </c>
      <c r="D1084" s="350"/>
      <c r="E1084" s="350"/>
      <c r="F1084" s="351" t="s">
        <v>1902</v>
      </c>
      <c r="G1084" s="350"/>
      <c r="H1084" s="351"/>
      <c r="I1084" s="351"/>
      <c r="J1084" s="351"/>
      <c r="K1084" s="351"/>
      <c r="L1084" s="351"/>
      <c r="M1084" s="351"/>
      <c r="N1084" s="351"/>
      <c r="O1084" s="351"/>
      <c r="P1084" s="351"/>
      <c r="Q1084" s="351"/>
      <c r="S1084" s="361">
        <f t="shared" si="245"/>
        <v>0</v>
      </c>
      <c r="T1084" s="361">
        <f t="shared" si="247"/>
        <v>0</v>
      </c>
    </row>
    <row r="1085" spans="1:20" hidden="1">
      <c r="A1085" s="332" t="s">
        <v>477</v>
      </c>
      <c r="B1085" s="332" t="s">
        <v>18</v>
      </c>
      <c r="C1085" s="333">
        <f t="shared" si="246"/>
        <v>0</v>
      </c>
      <c r="D1085" s="328"/>
      <c r="E1085" s="328">
        <f>VLOOKUP(B1085,DONGIA,DG!$B$6,0)</f>
        <v>0</v>
      </c>
      <c r="F1085" s="362" t="str">
        <f>VLOOKUP(B1085,DONGIA,DG!$C$6,0)</f>
        <v>Đà hộp composite 110x80x5-2400</v>
      </c>
      <c r="G1085" s="363" t="str">
        <f>VLOOKUP(B1085,DONGIA,DG!$D$6,0)</f>
        <v>cái</v>
      </c>
      <c r="H1085" s="362">
        <f>H1083</f>
        <v>0</v>
      </c>
      <c r="I1085" s="329">
        <f>VLOOKUP(B1085,DONGIA,DG!$E$6,0)</f>
        <v>812200</v>
      </c>
      <c r="J1085" s="329"/>
      <c r="K1085" s="329">
        <f>VLOOKUP(B1085,DONGIA,DG!$F$6,0)</f>
        <v>0</v>
      </c>
      <c r="L1085" s="329">
        <f>VLOOKUP(B1085,DONGIA,DG!$G$6,0)</f>
        <v>0</v>
      </c>
      <c r="M1085" s="329">
        <f t="shared" ref="M1085:P1091" si="258">$H1085*I1085</f>
        <v>0</v>
      </c>
      <c r="N1085" s="329">
        <f t="shared" si="258"/>
        <v>0</v>
      </c>
      <c r="O1085" s="329">
        <f t="shared" si="258"/>
        <v>0</v>
      </c>
      <c r="P1085" s="329">
        <f t="shared" si="258"/>
        <v>0</v>
      </c>
      <c r="Q1085" s="329"/>
      <c r="S1085" s="332">
        <f t="shared" si="245"/>
        <v>9.6</v>
      </c>
      <c r="T1085" s="332">
        <f t="shared" si="247"/>
        <v>0</v>
      </c>
    </row>
    <row r="1086" spans="1:20" hidden="1">
      <c r="A1086" s="332" t="s">
        <v>477</v>
      </c>
      <c r="B1086" s="332" t="s">
        <v>20</v>
      </c>
      <c r="C1086" s="333">
        <f t="shared" si="246"/>
        <v>0</v>
      </c>
      <c r="D1086" s="328"/>
      <c r="E1086" s="328">
        <f>VLOOKUP(B1086,DONGIA,DG!$B$6,0)</f>
        <v>0</v>
      </c>
      <c r="F1086" s="362" t="str">
        <f>VLOOKUP(B1086,DONGIA,DG!$C$6,0)</f>
        <v>Thanh chống Composite dẹp 10x40x920</v>
      </c>
      <c r="G1086" s="363" t="str">
        <f>VLOOKUP(B1086,DONGIA,DG!$D$6,0)</f>
        <v>cái</v>
      </c>
      <c r="H1086" s="362">
        <f>H1085*2</f>
        <v>0</v>
      </c>
      <c r="I1086" s="329">
        <f>VLOOKUP(B1086,DONGIA,DG!$E$6,0)</f>
        <v>108100</v>
      </c>
      <c r="J1086" s="329"/>
      <c r="K1086" s="329">
        <f>VLOOKUP(B1086,DONGIA,DG!$F$6,0)</f>
        <v>0</v>
      </c>
      <c r="L1086" s="329">
        <f>VLOOKUP(B1086,DONGIA,DG!$G$6,0)</f>
        <v>0</v>
      </c>
      <c r="M1086" s="329">
        <f t="shared" si="258"/>
        <v>0</v>
      </c>
      <c r="N1086" s="329">
        <f t="shared" si="258"/>
        <v>0</v>
      </c>
      <c r="O1086" s="329">
        <f t="shared" si="258"/>
        <v>0</v>
      </c>
      <c r="P1086" s="329">
        <f t="shared" si="258"/>
        <v>0</v>
      </c>
      <c r="Q1086" s="329"/>
      <c r="S1086" s="332">
        <f t="shared" si="245"/>
        <v>0.7</v>
      </c>
      <c r="T1086" s="332">
        <f t="shared" si="247"/>
        <v>0</v>
      </c>
    </row>
    <row r="1087" spans="1:20" hidden="1">
      <c r="A1087" s="332" t="s">
        <v>477</v>
      </c>
      <c r="B1087" s="332" t="s">
        <v>139</v>
      </c>
      <c r="C1087" s="333">
        <f t="shared" si="246"/>
        <v>0</v>
      </c>
      <c r="D1087" s="328"/>
      <c r="E1087" s="328">
        <f>VLOOKUP(B1087,DONGIA,DG!$B$6,0)</f>
        <v>0</v>
      </c>
      <c r="F1087" s="362" t="str">
        <f>VLOOKUP(B1087,DONGIA,DG!$C$6,0)</f>
        <v>Bass LL bắt FCO và LA</v>
      </c>
      <c r="G1087" s="363" t="str">
        <f>VLOOKUP(B1087,DONGIA,DG!$D$6,0)</f>
        <v>bộ</v>
      </c>
      <c r="H1087" s="362">
        <f>H1083*3</f>
        <v>0</v>
      </c>
      <c r="I1087" s="329">
        <f>VLOOKUP(B1087,DONGIA,DG!$E$6,0)</f>
        <v>56000</v>
      </c>
      <c r="J1087" s="329"/>
      <c r="K1087" s="329">
        <f>VLOOKUP(B1087,DONGIA,DG!$F$6,0)</f>
        <v>0</v>
      </c>
      <c r="L1087" s="329">
        <f>VLOOKUP(B1087,DONGIA,DG!$G$6,0)</f>
        <v>0</v>
      </c>
      <c r="M1087" s="329">
        <f t="shared" si="258"/>
        <v>0</v>
      </c>
      <c r="N1087" s="329">
        <f t="shared" si="258"/>
        <v>0</v>
      </c>
      <c r="O1087" s="329">
        <f t="shared" si="258"/>
        <v>0</v>
      </c>
      <c r="P1087" s="329">
        <f t="shared" si="258"/>
        <v>0</v>
      </c>
      <c r="Q1087" s="329"/>
      <c r="S1087" s="332">
        <f t="shared" si="245"/>
        <v>0.5</v>
      </c>
      <c r="T1087" s="332">
        <f t="shared" si="247"/>
        <v>0</v>
      </c>
    </row>
    <row r="1088" spans="1:20" hidden="1">
      <c r="A1088" s="332" t="s">
        <v>477</v>
      </c>
      <c r="B1088" s="332" t="s">
        <v>37</v>
      </c>
      <c r="C1088" s="333">
        <f t="shared" si="246"/>
        <v>0</v>
      </c>
      <c r="D1088" s="328"/>
      <c r="E1088" s="328">
        <f>VLOOKUP(B1088,DONGIA,DG!$B$6,0)</f>
        <v>0</v>
      </c>
      <c r="F1088" s="362" t="str">
        <f>VLOOKUP(B1088,DONGIA,DG!$C$6,0)</f>
        <v>Boulon 16x350+ 2 long đền vuông D18-50x50x3/Zn</v>
      </c>
      <c r="G1088" s="363" t="str">
        <f>VLOOKUP(B1088,DONGIA,DG!$D$6,0)</f>
        <v>bộ</v>
      </c>
      <c r="H1088" s="362">
        <f>H1083</f>
        <v>0</v>
      </c>
      <c r="I1088" s="329">
        <f>VLOOKUP(B1088,DONGIA,DG!$E$6,0)</f>
        <v>32000</v>
      </c>
      <c r="J1088" s="329"/>
      <c r="K1088" s="329">
        <f>VLOOKUP(B1088,DONGIA,DG!$F$6,0)</f>
        <v>0</v>
      </c>
      <c r="L1088" s="329">
        <f>VLOOKUP(B1088,DONGIA,DG!$G$6,0)</f>
        <v>0</v>
      </c>
      <c r="M1088" s="329">
        <f t="shared" si="258"/>
        <v>0</v>
      </c>
      <c r="N1088" s="329">
        <f t="shared" si="258"/>
        <v>0</v>
      </c>
      <c r="O1088" s="329">
        <f t="shared" si="258"/>
        <v>0</v>
      </c>
      <c r="P1088" s="329">
        <f t="shared" si="258"/>
        <v>0</v>
      </c>
      <c r="Q1088" s="329"/>
      <c r="S1088" s="332">
        <f t="shared" si="245"/>
        <v>0.3</v>
      </c>
      <c r="T1088" s="332">
        <f t="shared" si="247"/>
        <v>0</v>
      </c>
    </row>
    <row r="1089" spans="1:20" hidden="1">
      <c r="A1089" s="332" t="s">
        <v>477</v>
      </c>
      <c r="B1089" s="332" t="s">
        <v>35</v>
      </c>
      <c r="C1089" s="333">
        <f t="shared" si="246"/>
        <v>0</v>
      </c>
      <c r="D1089" s="328"/>
      <c r="E1089" s="328">
        <f>VLOOKUP(B1089,DONGIA,DG!$B$6,0)</f>
        <v>0</v>
      </c>
      <c r="F1089" s="362" t="str">
        <f>VLOOKUP(B1089,DONGIA,DG!$C$6,0)</f>
        <v>Boulon 16x300+ 2 long đền vuông D18-50x50x3/Zn</v>
      </c>
      <c r="G1089" s="363" t="str">
        <f>VLOOKUP(B1089,DONGIA,DG!$D$6,0)</f>
        <v>bộ</v>
      </c>
      <c r="H1089" s="362">
        <f>H1083</f>
        <v>0</v>
      </c>
      <c r="I1089" s="329">
        <f>VLOOKUP(B1089,DONGIA,DG!$E$6,0)</f>
        <v>30000</v>
      </c>
      <c r="J1089" s="329"/>
      <c r="K1089" s="329">
        <f>VLOOKUP(B1089,DONGIA,DG!$F$6,0)</f>
        <v>0</v>
      </c>
      <c r="L1089" s="329">
        <f>VLOOKUP(B1089,DONGIA,DG!$G$6,0)</f>
        <v>0</v>
      </c>
      <c r="M1089" s="329">
        <f t="shared" si="258"/>
        <v>0</v>
      </c>
      <c r="N1089" s="329">
        <f t="shared" si="258"/>
        <v>0</v>
      </c>
      <c r="O1089" s="329">
        <f t="shared" si="258"/>
        <v>0</v>
      </c>
      <c r="P1089" s="329">
        <f t="shared" si="258"/>
        <v>0</v>
      </c>
      <c r="Q1089" s="329"/>
      <c r="S1089" s="332">
        <f t="shared" si="245"/>
        <v>0.25</v>
      </c>
      <c r="T1089" s="332">
        <f t="shared" si="247"/>
        <v>0</v>
      </c>
    </row>
    <row r="1090" spans="1:20" hidden="1">
      <c r="A1090" s="332" t="s">
        <v>477</v>
      </c>
      <c r="B1090" s="332" t="s">
        <v>27</v>
      </c>
      <c r="C1090" s="333">
        <f t="shared" si="246"/>
        <v>0</v>
      </c>
      <c r="D1090" s="328"/>
      <c r="E1090" s="328">
        <f>VLOOKUP(B1090,DONGIA,DG!$B$6,0)</f>
        <v>0</v>
      </c>
      <c r="F1090" s="362" t="str">
        <f>VLOOKUP(B1090,DONGIA,DG!$C$6,0)</f>
        <v>Boulon 14x120+ 2 long đền vuông D16-50x50x3/Zn</v>
      </c>
      <c r="G1090" s="363" t="str">
        <f>VLOOKUP(B1090,DONGIA,DG!$D$6,0)</f>
        <v>bộ</v>
      </c>
      <c r="H1090" s="362">
        <f>H1086</f>
        <v>0</v>
      </c>
      <c r="I1090" s="329">
        <f>VLOOKUP(B1090,DONGIA,DG!$E$6,0)</f>
        <v>19000</v>
      </c>
      <c r="J1090" s="329"/>
      <c r="K1090" s="329">
        <f>VLOOKUP(B1090,DONGIA,DG!$F$6,0)</f>
        <v>0</v>
      </c>
      <c r="L1090" s="329">
        <f>VLOOKUP(B1090,DONGIA,DG!$G$6,0)</f>
        <v>0</v>
      </c>
      <c r="M1090" s="329">
        <f t="shared" si="258"/>
        <v>0</v>
      </c>
      <c r="N1090" s="329">
        <f t="shared" si="258"/>
        <v>0</v>
      </c>
      <c r="O1090" s="329">
        <f t="shared" si="258"/>
        <v>0</v>
      </c>
      <c r="P1090" s="329">
        <f t="shared" si="258"/>
        <v>0</v>
      </c>
      <c r="Q1090" s="329"/>
      <c r="S1090" s="332">
        <f t="shared" ref="S1090:S1156" si="259">IFERROR(VLOOKUP(B1090,DONGIA,$S$25,0),0)</f>
        <v>0.2</v>
      </c>
      <c r="T1090" s="332">
        <f t="shared" si="247"/>
        <v>0</v>
      </c>
    </row>
    <row r="1091" spans="1:20" hidden="1">
      <c r="A1091" s="332" t="s">
        <v>477</v>
      </c>
      <c r="B1091" s="332" t="s">
        <v>618</v>
      </c>
      <c r="C1091" s="333">
        <f>IF(H1091&lt;&gt;0,1,)</f>
        <v>0</v>
      </c>
      <c r="D1091" s="328"/>
      <c r="E1091" s="328" t="str">
        <f>VLOOKUP(B1091,DONGIA,DG!$B$6,0)</f>
        <v>D2.6011</v>
      </c>
      <c r="F1091" s="329" t="str">
        <f>VLOOKUP(B1091,DONGIA,DG!$C$6,0)</f>
        <v>Lắp đà composite 2400mm đơn (KL &lt;=15kg, trụ BTLT, tính = 0.8 đà sắt)</v>
      </c>
      <c r="G1091" s="328" t="str">
        <f>VLOOKUP(B1091,DONGIA,DG!$D$6,0)</f>
        <v>bộ</v>
      </c>
      <c r="H1091" s="329">
        <f>H1083</f>
        <v>0</v>
      </c>
      <c r="I1091" s="329">
        <f>VLOOKUP(B1091,DONGIA,DG!$E$6,0)</f>
        <v>0</v>
      </c>
      <c r="J1091" s="329"/>
      <c r="K1091" s="329">
        <f>VLOOKUP(B1091,DONGIA,DG!$F$6,0)</f>
        <v>134360</v>
      </c>
      <c r="L1091" s="329">
        <f>VLOOKUP(B1091,DONGIA,DG!$G$6,0)</f>
        <v>0</v>
      </c>
      <c r="M1091" s="329">
        <f t="shared" si="258"/>
        <v>0</v>
      </c>
      <c r="N1091" s="329">
        <f t="shared" si="258"/>
        <v>0</v>
      </c>
      <c r="O1091" s="329">
        <f t="shared" si="258"/>
        <v>0</v>
      </c>
      <c r="P1091" s="329">
        <f t="shared" si="258"/>
        <v>0</v>
      </c>
      <c r="Q1091" s="329"/>
      <c r="S1091" s="332">
        <f>IFERROR(VLOOKUP(B1091,DONGIA,$S$25,0),0)</f>
        <v>0</v>
      </c>
      <c r="T1091" s="332">
        <f>H1091*S1091</f>
        <v>0</v>
      </c>
    </row>
    <row r="1092" spans="1:20" hidden="1">
      <c r="A1092" s="332" t="s">
        <v>477</v>
      </c>
      <c r="C1092" s="333">
        <f t="shared" ref="C1092:C1157" si="260">IF(H1092&lt;&gt;0,1,)</f>
        <v>0</v>
      </c>
      <c r="D1092" s="372">
        <f>IF(H1092&lt;&gt;0,D1083+1,D1083)</f>
        <v>0</v>
      </c>
      <c r="E1092" s="372"/>
      <c r="F1092" s="373" t="s">
        <v>1910</v>
      </c>
      <c r="G1092" s="372" t="s">
        <v>138</v>
      </c>
      <c r="H1092" s="372">
        <f>TR3X75</f>
        <v>0</v>
      </c>
      <c r="I1092" s="373"/>
      <c r="J1092" s="373"/>
      <c r="K1092" s="373"/>
      <c r="L1092" s="373"/>
      <c r="M1092" s="373"/>
      <c r="N1092" s="373"/>
      <c r="O1092" s="373"/>
      <c r="P1092" s="373"/>
      <c r="Q1092" s="373"/>
      <c r="S1092" s="332">
        <f t="shared" si="259"/>
        <v>0</v>
      </c>
      <c r="T1092" s="332">
        <f t="shared" ref="T1092:T1157" si="261">H1092*S1092</f>
        <v>0</v>
      </c>
    </row>
    <row r="1093" spans="1:20" s="361" customFormat="1" hidden="1">
      <c r="A1093" s="361" t="s">
        <v>477</v>
      </c>
      <c r="C1093" s="374">
        <f t="shared" si="260"/>
        <v>0</v>
      </c>
      <c r="D1093" s="350"/>
      <c r="E1093" s="350"/>
      <c r="F1093" s="351" t="s">
        <v>1902</v>
      </c>
      <c r="G1093" s="350"/>
      <c r="H1093" s="351"/>
      <c r="I1093" s="351"/>
      <c r="J1093" s="351"/>
      <c r="K1093" s="351"/>
      <c r="L1093" s="351"/>
      <c r="M1093" s="351"/>
      <c r="N1093" s="351"/>
      <c r="O1093" s="351"/>
      <c r="P1093" s="351"/>
      <c r="Q1093" s="351"/>
      <c r="S1093" s="361">
        <f t="shared" si="259"/>
        <v>0</v>
      </c>
      <c r="T1093" s="361">
        <f t="shared" si="261"/>
        <v>0</v>
      </c>
    </row>
    <row r="1094" spans="1:20" hidden="1">
      <c r="A1094" s="332" t="s">
        <v>477</v>
      </c>
      <c r="B1094" s="332" t="s">
        <v>1067</v>
      </c>
      <c r="C1094" s="333">
        <f t="shared" si="260"/>
        <v>0</v>
      </c>
      <c r="D1094" s="328"/>
      <c r="E1094" s="328" t="str">
        <f>VLOOKUP(B1094,DONGIA,DG!$B$6,0)</f>
        <v>T4.9302</v>
      </c>
      <c r="F1094" s="329" t="str">
        <f>VLOOKUP(B1094,DONGIA,DG!$C$6,0)</f>
        <v>Gía chùm treo máy biến áp 3x75</v>
      </c>
      <c r="G1094" s="328" t="str">
        <f>VLOOKUP(B1094,DONGIA,DG!$D$6,0)</f>
        <v>Bộ</v>
      </c>
      <c r="H1094" s="329">
        <f>H1092</f>
        <v>0</v>
      </c>
      <c r="I1094" s="329">
        <f>VLOOKUP(B1094,DONGIA,DG!$E$6,0)</f>
        <v>3816000</v>
      </c>
      <c r="J1094" s="329"/>
      <c r="K1094" s="329">
        <f>VLOOKUP(B1094,DONGIA,DG!$F$6,0)</f>
        <v>139062.31200000001</v>
      </c>
      <c r="L1094" s="329">
        <f>VLOOKUP(B1094,DONGIA,DG!$G$6,0)</f>
        <v>0</v>
      </c>
      <c r="M1094" s="329">
        <f t="shared" ref="M1094:P1096" si="262">$H1094*I1094</f>
        <v>0</v>
      </c>
      <c r="N1094" s="329">
        <f t="shared" si="262"/>
        <v>0</v>
      </c>
      <c r="O1094" s="329">
        <f t="shared" si="262"/>
        <v>0</v>
      </c>
      <c r="P1094" s="329">
        <f t="shared" si="262"/>
        <v>0</v>
      </c>
      <c r="Q1094" s="329"/>
      <c r="S1094" s="332">
        <f t="shared" si="259"/>
        <v>51</v>
      </c>
      <c r="T1094" s="332">
        <f t="shared" si="261"/>
        <v>0</v>
      </c>
    </row>
    <row r="1095" spans="1:20" hidden="1">
      <c r="A1095" s="332" t="s">
        <v>477</v>
      </c>
      <c r="B1095" s="332" t="s">
        <v>37</v>
      </c>
      <c r="C1095" s="333">
        <f t="shared" si="260"/>
        <v>0</v>
      </c>
      <c r="D1095" s="328"/>
      <c r="E1095" s="328">
        <f>VLOOKUP(B1095,DONGIA,DG!$B$6,0)</f>
        <v>0</v>
      </c>
      <c r="F1095" s="329" t="str">
        <f>VLOOKUP(B1095,DONGIA,DG!$C$6,0)</f>
        <v>Boulon 16x350+ 2 long đền vuông D18-50x50x3/Zn</v>
      </c>
      <c r="G1095" s="328" t="str">
        <f>VLOOKUP(B1095,DONGIA,DG!$D$6,0)</f>
        <v>bộ</v>
      </c>
      <c r="H1095" s="329">
        <f>H1092*2</f>
        <v>0</v>
      </c>
      <c r="I1095" s="329">
        <f>VLOOKUP(B1095,DONGIA,DG!$E$6,0)</f>
        <v>32000</v>
      </c>
      <c r="J1095" s="329"/>
      <c r="K1095" s="329">
        <f>VLOOKUP(B1095,DONGIA,DG!$F$6,0)</f>
        <v>0</v>
      </c>
      <c r="L1095" s="329">
        <f>VLOOKUP(B1095,DONGIA,DG!$G$6,0)</f>
        <v>0</v>
      </c>
      <c r="M1095" s="329">
        <f t="shared" si="262"/>
        <v>0</v>
      </c>
      <c r="N1095" s="329">
        <f t="shared" si="262"/>
        <v>0</v>
      </c>
      <c r="O1095" s="329">
        <f t="shared" si="262"/>
        <v>0</v>
      </c>
      <c r="P1095" s="329">
        <f t="shared" si="262"/>
        <v>0</v>
      </c>
      <c r="Q1095" s="329"/>
      <c r="S1095" s="332">
        <f t="shared" si="259"/>
        <v>0.3</v>
      </c>
      <c r="T1095" s="332">
        <f t="shared" si="261"/>
        <v>0</v>
      </c>
    </row>
    <row r="1096" spans="1:20" hidden="1">
      <c r="A1096" s="332" t="s">
        <v>477</v>
      </c>
      <c r="B1096" s="332" t="s">
        <v>29</v>
      </c>
      <c r="C1096" s="333">
        <f t="shared" si="260"/>
        <v>0</v>
      </c>
      <c r="D1096" s="328"/>
      <c r="E1096" s="328">
        <f>VLOOKUP(B1096,DONGIA,DG!$B$6,0)</f>
        <v>0</v>
      </c>
      <c r="F1096" s="329" t="str">
        <f>VLOOKUP(B1096,DONGIA,DG!$C$6,0)</f>
        <v>Boulon 16x50+ 2 long đền vuông D18-50x50x3/Zn</v>
      </c>
      <c r="G1096" s="328" t="str">
        <f>VLOOKUP(B1096,DONGIA,DG!$D$6,0)</f>
        <v>bộ</v>
      </c>
      <c r="H1096" s="329">
        <f>H1092*6</f>
        <v>0</v>
      </c>
      <c r="I1096" s="329">
        <f>VLOOKUP(B1096,DONGIA,DG!$E$6,0)</f>
        <v>17000</v>
      </c>
      <c r="J1096" s="329"/>
      <c r="K1096" s="329">
        <f>VLOOKUP(B1096,DONGIA,DG!$F$6,0)</f>
        <v>0</v>
      </c>
      <c r="L1096" s="329">
        <f>VLOOKUP(B1096,DONGIA,DG!$G$6,0)</f>
        <v>0</v>
      </c>
      <c r="M1096" s="329">
        <f t="shared" si="262"/>
        <v>0</v>
      </c>
      <c r="N1096" s="329">
        <f t="shared" si="262"/>
        <v>0</v>
      </c>
      <c r="O1096" s="329">
        <f t="shared" si="262"/>
        <v>0</v>
      </c>
      <c r="P1096" s="329">
        <f t="shared" si="262"/>
        <v>0</v>
      </c>
      <c r="Q1096" s="329"/>
      <c r="S1096" s="332">
        <f t="shared" si="259"/>
        <v>0.25</v>
      </c>
      <c r="T1096" s="332">
        <f t="shared" si="261"/>
        <v>0</v>
      </c>
    </row>
    <row r="1097" spans="1:20" hidden="1">
      <c r="A1097" s="332" t="s">
        <v>477</v>
      </c>
      <c r="C1097" s="333">
        <f t="shared" si="260"/>
        <v>0</v>
      </c>
      <c r="D1097" s="372">
        <f>IF(H1097&lt;&gt;0,D1092+1,D1092)</f>
        <v>0</v>
      </c>
      <c r="E1097" s="372"/>
      <c r="F1097" s="373" t="s">
        <v>1942</v>
      </c>
      <c r="G1097" s="372" t="s">
        <v>138</v>
      </c>
      <c r="H1097" s="372">
        <f>TR3X75</f>
        <v>0</v>
      </c>
      <c r="I1097" s="373"/>
      <c r="J1097" s="373"/>
      <c r="K1097" s="373"/>
      <c r="L1097" s="373"/>
      <c r="M1097" s="373"/>
      <c r="N1097" s="373"/>
      <c r="O1097" s="373"/>
      <c r="P1097" s="373"/>
      <c r="Q1097" s="373"/>
      <c r="S1097" s="332">
        <f t="shared" si="259"/>
        <v>0</v>
      </c>
      <c r="T1097" s="332">
        <f t="shared" si="261"/>
        <v>0</v>
      </c>
    </row>
    <row r="1098" spans="1:20" s="361" customFormat="1" hidden="1">
      <c r="A1098" s="361" t="s">
        <v>477</v>
      </c>
      <c r="C1098" s="374">
        <f t="shared" si="260"/>
        <v>0</v>
      </c>
      <c r="D1098" s="350"/>
      <c r="E1098" s="350"/>
      <c r="F1098" s="351" t="s">
        <v>1902</v>
      </c>
      <c r="G1098" s="350"/>
      <c r="H1098" s="351"/>
      <c r="I1098" s="351"/>
      <c r="J1098" s="351"/>
      <c r="K1098" s="351"/>
      <c r="L1098" s="351"/>
      <c r="M1098" s="351"/>
      <c r="N1098" s="351"/>
      <c r="O1098" s="351"/>
      <c r="P1098" s="351"/>
      <c r="Q1098" s="351"/>
      <c r="S1098" s="361">
        <f t="shared" si="259"/>
        <v>0</v>
      </c>
      <c r="T1098" s="361">
        <f t="shared" si="261"/>
        <v>0</v>
      </c>
    </row>
    <row r="1099" spans="1:20" hidden="1">
      <c r="A1099" s="332" t="s">
        <v>477</v>
      </c>
      <c r="B1099" s="332" t="s">
        <v>144</v>
      </c>
      <c r="C1099" s="333">
        <f t="shared" si="260"/>
        <v>0</v>
      </c>
      <c r="D1099" s="328"/>
      <c r="E1099" s="328">
        <f>VLOOKUP(B1099,DONGIA,DG!$B$6,0)</f>
        <v>0</v>
      </c>
      <c r="F1099" s="329" t="str">
        <f>VLOOKUP(B1099,DONGIA,DG!$C$6,0)</f>
        <v>Cáp đồng trần M25mm2</v>
      </c>
      <c r="G1099" s="328" t="str">
        <f>VLOOKUP(B1099,DONGIA,DG!$D$6,0)</f>
        <v>kg</v>
      </c>
      <c r="H1099" s="458">
        <f>TDTR3P*H1097*0.224</f>
        <v>0</v>
      </c>
      <c r="I1099" s="329">
        <f>VLOOKUP(B1099,DONGIA,DG!$E$6,0)</f>
        <v>201380</v>
      </c>
      <c r="J1099" s="329"/>
      <c r="K1099" s="329">
        <f>VLOOKUP(B1099,DONGIA,DG!$F$6,0)</f>
        <v>0</v>
      </c>
      <c r="L1099" s="329">
        <f>VLOOKUP(B1099,DONGIA,DG!$G$6,0)</f>
        <v>0</v>
      </c>
      <c r="M1099" s="329">
        <f>$H1099*I1099</f>
        <v>0</v>
      </c>
      <c r="N1099" s="329">
        <f>$H1099*J1099</f>
        <v>0</v>
      </c>
      <c r="O1099" s="329">
        <f>$H1099*K1099</f>
        <v>0</v>
      </c>
      <c r="P1099" s="329">
        <f>$H1099*L1099</f>
        <v>0</v>
      </c>
      <c r="Q1099" s="329"/>
      <c r="S1099" s="332">
        <f t="shared" si="259"/>
        <v>1</v>
      </c>
      <c r="T1099" s="332">
        <f t="shared" si="261"/>
        <v>0</v>
      </c>
    </row>
    <row r="1100" spans="1:20" hidden="1">
      <c r="A1100" s="332" t="s">
        <v>477</v>
      </c>
      <c r="B1100" s="332" t="s">
        <v>278</v>
      </c>
      <c r="C1100" s="333">
        <f t="shared" si="260"/>
        <v>0</v>
      </c>
      <c r="D1100" s="328"/>
      <c r="E1100" s="328">
        <f>VLOOKUP(B1100,DONGIA,DG!$B$6,0)</f>
        <v>0</v>
      </c>
      <c r="F1100" s="329" t="str">
        <f>VLOOKUP(B1100,DONGIA,DG!$C$6,0)</f>
        <v>Cọc tiếp đất φ16 - 2,4m (mạ đồng 16µm)</v>
      </c>
      <c r="G1100" s="328" t="str">
        <f>VLOOKUP(B1100,DONGIA,DG!$D$6,0)</f>
        <v>cọc</v>
      </c>
      <c r="H1100" s="329">
        <f>H1097*9</f>
        <v>0</v>
      </c>
      <c r="I1100" s="329">
        <f>VLOOKUP(B1100,DONGIA,DG!$E$6,0)</f>
        <v>130000</v>
      </c>
      <c r="J1100" s="329"/>
      <c r="K1100" s="329">
        <f>VLOOKUP(B1100,DONGIA,DG!$F$6,0)</f>
        <v>0</v>
      </c>
      <c r="L1100" s="329">
        <f>VLOOKUP(B1100,DONGIA,DG!$G$6,0)</f>
        <v>0</v>
      </c>
      <c r="M1100" s="329">
        <f t="shared" ref="M1100:M1107" si="263">$H1100*I1100</f>
        <v>0</v>
      </c>
      <c r="N1100" s="329">
        <f t="shared" ref="N1100:N1107" si="264">$H1100*J1100</f>
        <v>0</v>
      </c>
      <c r="O1100" s="329">
        <f t="shared" ref="O1100:O1107" si="265">$H1100*K1100</f>
        <v>0</v>
      </c>
      <c r="P1100" s="329">
        <f t="shared" ref="P1100:P1107" si="266">$H1100*L1100</f>
        <v>0</v>
      </c>
      <c r="Q1100" s="329"/>
      <c r="S1100" s="332">
        <f t="shared" si="259"/>
        <v>5.3</v>
      </c>
      <c r="T1100" s="332">
        <f t="shared" si="261"/>
        <v>0</v>
      </c>
    </row>
    <row r="1101" spans="1:20" hidden="1">
      <c r="A1101" s="332" t="s">
        <v>477</v>
      </c>
      <c r="B1101" s="332" t="s">
        <v>280</v>
      </c>
      <c r="C1101" s="333">
        <f t="shared" si="260"/>
        <v>0</v>
      </c>
      <c r="D1101" s="328"/>
      <c r="E1101" s="328">
        <f>VLOOKUP(B1101,DONGIA,DG!$B$6,0)</f>
        <v>0</v>
      </c>
      <c r="F1101" s="329" t="str">
        <f>VLOOKUP(B1101,DONGIA,DG!$C$6,0)</f>
        <v>Kẹp cọc tiếp địa</v>
      </c>
      <c r="G1101" s="328" t="str">
        <f>VLOOKUP(B1101,DONGIA,DG!$D$6,0)</f>
        <v>bộ</v>
      </c>
      <c r="H1101" s="329">
        <f>H1100</f>
        <v>0</v>
      </c>
      <c r="I1101" s="329">
        <f>VLOOKUP(B1101,DONGIA,DG!$E$6,0)</f>
        <v>25000</v>
      </c>
      <c r="J1101" s="329"/>
      <c r="K1101" s="329">
        <f>VLOOKUP(B1101,DONGIA,DG!$F$6,0)</f>
        <v>0</v>
      </c>
      <c r="L1101" s="329">
        <f>VLOOKUP(B1101,DONGIA,DG!$G$6,0)</f>
        <v>0</v>
      </c>
      <c r="M1101" s="329">
        <f t="shared" si="263"/>
        <v>0</v>
      </c>
      <c r="N1101" s="329">
        <f t="shared" si="264"/>
        <v>0</v>
      </c>
      <c r="O1101" s="329">
        <f t="shared" si="265"/>
        <v>0</v>
      </c>
      <c r="P1101" s="329">
        <f t="shared" si="266"/>
        <v>0</v>
      </c>
      <c r="Q1101" s="329"/>
      <c r="S1101" s="332">
        <f t="shared" si="259"/>
        <v>0.05</v>
      </c>
      <c r="T1101" s="332">
        <f t="shared" si="261"/>
        <v>0</v>
      </c>
    </row>
    <row r="1102" spans="1:20" hidden="1">
      <c r="A1102" s="332" t="s">
        <v>477</v>
      </c>
      <c r="B1102" s="332" t="s">
        <v>1217</v>
      </c>
      <c r="C1102" s="333">
        <f t="shared" si="260"/>
        <v>0</v>
      </c>
      <c r="D1102" s="328"/>
      <c r="E1102" s="328">
        <f>VLOOKUP(B1102,DONGIA,DG!$B$6,0)</f>
        <v>0</v>
      </c>
      <c r="F1102" s="329" t="str">
        <f>VLOOKUP(B1102,DONGIA,DG!$C$6,0)</f>
        <v xml:space="preserve">Ốc xiết cáp cỡ 38mm2 </v>
      </c>
      <c r="G1102" s="328" t="str">
        <f>VLOOKUP(B1102,DONGIA,DG!$D$6,0)</f>
        <v>cái</v>
      </c>
      <c r="H1102" s="329">
        <f>H1097*6</f>
        <v>0</v>
      </c>
      <c r="I1102" s="329">
        <f>VLOOKUP(B1102,DONGIA,DG!$E$6,0)</f>
        <v>18000</v>
      </c>
      <c r="J1102" s="329"/>
      <c r="K1102" s="329">
        <f>VLOOKUP(B1102,DONGIA,DG!$F$6,0)</f>
        <v>0</v>
      </c>
      <c r="L1102" s="329">
        <f>VLOOKUP(B1102,DONGIA,DG!$G$6,0)</f>
        <v>0</v>
      </c>
      <c r="M1102" s="329">
        <f t="shared" si="263"/>
        <v>0</v>
      </c>
      <c r="N1102" s="329">
        <f t="shared" si="264"/>
        <v>0</v>
      </c>
      <c r="O1102" s="329">
        <f t="shared" si="265"/>
        <v>0</v>
      </c>
      <c r="P1102" s="329">
        <f t="shared" si="266"/>
        <v>0</v>
      </c>
      <c r="Q1102" s="329"/>
      <c r="S1102" s="332">
        <f t="shared" si="259"/>
        <v>0</v>
      </c>
      <c r="T1102" s="332">
        <f t="shared" si="261"/>
        <v>0</v>
      </c>
    </row>
    <row r="1103" spans="1:20" hidden="1">
      <c r="A1103" s="332" t="s">
        <v>477</v>
      </c>
      <c r="B1103" s="332" t="s">
        <v>323</v>
      </c>
      <c r="C1103" s="333">
        <f>IF(H1103&lt;&gt;0,1,)</f>
        <v>0</v>
      </c>
      <c r="D1103" s="328"/>
      <c r="E1103" s="328">
        <f>VLOOKUP(B1103,DONGIA,DG!$B$6,0)</f>
        <v>0</v>
      </c>
      <c r="F1103" s="329" t="str">
        <f>VLOOKUP(B1103,DONGIA,DG!$C$6,0)</f>
        <v>Kẹp ép WR cỡ dây 50mm2</v>
      </c>
      <c r="G1103" s="328" t="str">
        <f>VLOOKUP(B1103,DONGIA,DG!$D$6,0)</f>
        <v>cái</v>
      </c>
      <c r="H1103" s="329">
        <f>H1097*2</f>
        <v>0</v>
      </c>
      <c r="I1103" s="329">
        <f>VLOOKUP(B1103,DONGIA,DG!$E$6,0)</f>
        <v>10000</v>
      </c>
      <c r="J1103" s="329"/>
      <c r="K1103" s="329">
        <f>VLOOKUP(B1103,DONGIA,DG!$F$6,0)</f>
        <v>0</v>
      </c>
      <c r="L1103" s="329">
        <f>VLOOKUP(B1103,DONGIA,DG!$G$6,0)</f>
        <v>0</v>
      </c>
      <c r="M1103" s="329">
        <f>$H1103*I1103</f>
        <v>0</v>
      </c>
      <c r="N1103" s="329">
        <f>$H1103*J1103</f>
        <v>0</v>
      </c>
      <c r="O1103" s="329">
        <f>$H1103*K1103</f>
        <v>0</v>
      </c>
      <c r="P1103" s="329">
        <f>$H1103*L1103</f>
        <v>0</v>
      </c>
      <c r="Q1103" s="329"/>
      <c r="S1103" s="332">
        <f>IFERROR(VLOOKUP(B1103,DONGIA,$S$25,0),0)</f>
        <v>0.2</v>
      </c>
      <c r="T1103" s="332">
        <f>H1103*S1103</f>
        <v>0</v>
      </c>
    </row>
    <row r="1104" spans="1:20" hidden="1">
      <c r="A1104" s="332" t="s">
        <v>477</v>
      </c>
      <c r="B1104" s="332" t="s">
        <v>573</v>
      </c>
      <c r="C1104" s="333">
        <f t="shared" si="260"/>
        <v>0</v>
      </c>
      <c r="D1104" s="328"/>
      <c r="E1104" s="328" t="str">
        <f>VLOOKUP(B1104,DONGIA,DG!$B$6,0)</f>
        <v>T4.7001</v>
      </c>
      <c r="F1104" s="329" t="str">
        <f>VLOOKUP(B1104,DONGIA,DG!$C$6,0)</f>
        <v>Kéo dây tiếp địa trong TBA</v>
      </c>
      <c r="G1104" s="328" t="str">
        <f>VLOOKUP(B1104,DONGIA,DG!$D$6,0)</f>
        <v>mét</v>
      </c>
      <c r="H1104" s="329">
        <f>H1097*TDTR3P</f>
        <v>0</v>
      </c>
      <c r="I1104" s="329">
        <f>VLOOKUP(B1104,DONGIA,DG!$E$6,0)</f>
        <v>0</v>
      </c>
      <c r="J1104" s="329"/>
      <c r="K1104" s="329">
        <f>VLOOKUP(B1104,DONGIA,DG!$F$6,0)</f>
        <v>6871</v>
      </c>
      <c r="L1104" s="329">
        <f>VLOOKUP(B1104,DONGIA,DG!$G$6,0)</f>
        <v>0</v>
      </c>
      <c r="M1104" s="329">
        <f t="shared" si="263"/>
        <v>0</v>
      </c>
      <c r="N1104" s="329">
        <f t="shared" si="264"/>
        <v>0</v>
      </c>
      <c r="O1104" s="329">
        <f t="shared" si="265"/>
        <v>0</v>
      </c>
      <c r="P1104" s="329">
        <f t="shared" si="266"/>
        <v>0</v>
      </c>
      <c r="Q1104" s="329"/>
      <c r="S1104" s="332">
        <f t="shared" si="259"/>
        <v>0</v>
      </c>
      <c r="T1104" s="332">
        <f t="shared" si="261"/>
        <v>0</v>
      </c>
    </row>
    <row r="1105" spans="1:20" hidden="1">
      <c r="A1105" s="332" t="s">
        <v>477</v>
      </c>
      <c r="B1105" s="332" t="s">
        <v>581</v>
      </c>
      <c r="C1105" s="333">
        <f t="shared" si="260"/>
        <v>0</v>
      </c>
      <c r="D1105" s="328"/>
      <c r="E1105" s="328" t="str">
        <f>VLOOKUP(B1105,DONGIA,DG!$B$6,0)</f>
        <v>D2.8103</v>
      </c>
      <c r="F1105" s="329" t="str">
        <f>VLOOKUP(B1105,DONGIA,DG!$C$6,0)</f>
        <v>Đóng cọc tiếp địa trong TBA (đất cấp 3)</v>
      </c>
      <c r="G1105" s="328" t="str">
        <f>VLOOKUP(B1105,DONGIA,DG!$D$6,0)</f>
        <v>cọc</v>
      </c>
      <c r="H1105" s="329">
        <f>H1100</f>
        <v>0</v>
      </c>
      <c r="I1105" s="329">
        <f>VLOOKUP(B1105,DONGIA,DG!$E$6,0)</f>
        <v>0</v>
      </c>
      <c r="J1105" s="329"/>
      <c r="K1105" s="329">
        <f>VLOOKUP(B1105,DONGIA,DG!$F$6,0)</f>
        <v>76928</v>
      </c>
      <c r="L1105" s="329">
        <f>VLOOKUP(B1105,DONGIA,DG!$G$6,0)</f>
        <v>0</v>
      </c>
      <c r="M1105" s="329">
        <f t="shared" si="263"/>
        <v>0</v>
      </c>
      <c r="N1105" s="329">
        <f t="shared" si="264"/>
        <v>0</v>
      </c>
      <c r="O1105" s="329">
        <f t="shared" si="265"/>
        <v>0</v>
      </c>
      <c r="P1105" s="329">
        <f t="shared" si="266"/>
        <v>0</v>
      </c>
      <c r="Q1105" s="329"/>
      <c r="S1105" s="332">
        <f t="shared" si="259"/>
        <v>0</v>
      </c>
      <c r="T1105" s="332">
        <f t="shared" si="261"/>
        <v>0</v>
      </c>
    </row>
    <row r="1106" spans="1:20" hidden="1">
      <c r="A1106" s="332" t="s">
        <v>477</v>
      </c>
      <c r="B1106" s="332" t="s">
        <v>540</v>
      </c>
      <c r="C1106" s="333">
        <f t="shared" si="260"/>
        <v>0</v>
      </c>
      <c r="D1106" s="328"/>
      <c r="E1106" s="328" t="str">
        <f>VLOOKUP(B1106,DONGIA,DG!$B$6,0)</f>
        <v>AB.11513</v>
      </c>
      <c r="F1106" s="329" t="str">
        <f>VLOOKUP(B1106,DONGIA,DG!$C$6,0)&amp;" (ĐC hệ số 0,9)"</f>
        <v>Đào rãnh tiếp địa đất cấp 3 (ĐC hệ số 0,9)</v>
      </c>
      <c r="G1106" s="328" t="str">
        <f>VLOOKUP(B1106,DONGIA,DG!$D$6,0)</f>
        <v>m3</v>
      </c>
      <c r="H1106" s="458">
        <f>H1097*DAOTD</f>
        <v>0</v>
      </c>
      <c r="I1106" s="329">
        <f>VLOOKUP(B1106,DONGIA,DG!$E$6,0)</f>
        <v>0</v>
      </c>
      <c r="J1106" s="329"/>
      <c r="K1106" s="525">
        <f>ROUND(VLOOKUP(B1106,DONGIA,DG!$F$6,0)/NCTBA,0)</f>
        <v>241580</v>
      </c>
      <c r="L1106" s="329">
        <f>VLOOKUP(B1106,DONGIA,DG!$G$6,0)</f>
        <v>0</v>
      </c>
      <c r="M1106" s="329">
        <f t="shared" si="263"/>
        <v>0</v>
      </c>
      <c r="N1106" s="329">
        <f t="shared" si="264"/>
        <v>0</v>
      </c>
      <c r="O1106" s="329">
        <f t="shared" si="265"/>
        <v>0</v>
      </c>
      <c r="P1106" s="329">
        <f t="shared" si="266"/>
        <v>0</v>
      </c>
      <c r="Q1106" s="329"/>
      <c r="S1106" s="332">
        <f t="shared" si="259"/>
        <v>0</v>
      </c>
      <c r="T1106" s="332">
        <f t="shared" si="261"/>
        <v>0</v>
      </c>
    </row>
    <row r="1107" spans="1:20" hidden="1">
      <c r="A1107" s="332" t="s">
        <v>477</v>
      </c>
      <c r="B1107" s="332" t="s">
        <v>547</v>
      </c>
      <c r="C1107" s="333">
        <f t="shared" si="260"/>
        <v>0</v>
      </c>
      <c r="D1107" s="328"/>
      <c r="E1107" s="328" t="str">
        <f>VLOOKUP(B1107,DONGIA,DG!$B$6,0)</f>
        <v>AB.65110</v>
      </c>
      <c r="F1107" s="329" t="str">
        <f>VLOOKUP(B1107,DONGIA,DG!$C$6,0)&amp;" (ĐC hệ số 0,9)"</f>
        <v>Đắp đất rãnh tiếp địa (K=0,85) (ĐC hệ số 0,9)</v>
      </c>
      <c r="G1107" s="328" t="str">
        <f>VLOOKUP(B1107,DONGIA,DG!$D$6,0)</f>
        <v>m3</v>
      </c>
      <c r="H1107" s="458">
        <f>H1106</f>
        <v>0</v>
      </c>
      <c r="I1107" s="329">
        <f>VLOOKUP(B1107,DONGIA,DG!$E$6,0)</f>
        <v>0</v>
      </c>
      <c r="J1107" s="329"/>
      <c r="K1107" s="525">
        <f>ROUND(VLOOKUP(B1107,DONGIA,DG!$F$6,0)/NCTBA,0)</f>
        <v>16267</v>
      </c>
      <c r="L1107" s="329">
        <f>VLOOKUP(B1107,DONGIA,DG!$G$6,0)</f>
        <v>11176</v>
      </c>
      <c r="M1107" s="329">
        <f t="shared" si="263"/>
        <v>0</v>
      </c>
      <c r="N1107" s="329">
        <f t="shared" si="264"/>
        <v>0</v>
      </c>
      <c r="O1107" s="329">
        <f t="shared" si="265"/>
        <v>0</v>
      </c>
      <c r="P1107" s="329">
        <f t="shared" si="266"/>
        <v>0</v>
      </c>
      <c r="Q1107" s="329"/>
      <c r="S1107" s="332">
        <f t="shared" si="259"/>
        <v>0</v>
      </c>
      <c r="T1107" s="332">
        <f t="shared" si="261"/>
        <v>0</v>
      </c>
    </row>
    <row r="1108" spans="1:20" hidden="1">
      <c r="A1108" s="332" t="s">
        <v>477</v>
      </c>
      <c r="C1108" s="333">
        <f t="shared" si="260"/>
        <v>0</v>
      </c>
      <c r="D1108" s="372">
        <f>IF(H1108&lt;&gt;0,D1097+1,D1097)</f>
        <v>0</v>
      </c>
      <c r="E1108" s="372"/>
      <c r="F1108" s="373" t="s">
        <v>1934</v>
      </c>
      <c r="G1108" s="372" t="s">
        <v>138</v>
      </c>
      <c r="H1108" s="372">
        <f>TR3X75</f>
        <v>0</v>
      </c>
      <c r="I1108" s="373"/>
      <c r="J1108" s="373"/>
      <c r="K1108" s="373"/>
      <c r="L1108" s="373"/>
      <c r="M1108" s="373"/>
      <c r="N1108" s="373"/>
      <c r="O1108" s="373"/>
      <c r="P1108" s="373"/>
      <c r="Q1108" s="373"/>
      <c r="S1108" s="332">
        <f t="shared" si="259"/>
        <v>0</v>
      </c>
      <c r="T1108" s="332">
        <f t="shared" si="261"/>
        <v>0</v>
      </c>
    </row>
    <row r="1109" spans="1:20" s="361" customFormat="1" hidden="1">
      <c r="A1109" s="361" t="s">
        <v>477</v>
      </c>
      <c r="C1109" s="374">
        <f t="shared" si="260"/>
        <v>0</v>
      </c>
      <c r="D1109" s="350"/>
      <c r="E1109" s="350"/>
      <c r="F1109" s="351" t="s">
        <v>1902</v>
      </c>
      <c r="G1109" s="350"/>
      <c r="H1109" s="351"/>
      <c r="I1109" s="351"/>
      <c r="J1109" s="351"/>
      <c r="K1109" s="351"/>
      <c r="L1109" s="351"/>
      <c r="M1109" s="351"/>
      <c r="N1109" s="351"/>
      <c r="O1109" s="351"/>
      <c r="P1109" s="351"/>
      <c r="Q1109" s="351"/>
      <c r="S1109" s="361">
        <f t="shared" si="259"/>
        <v>0</v>
      </c>
      <c r="T1109" s="361">
        <f t="shared" si="261"/>
        <v>0</v>
      </c>
    </row>
    <row r="1110" spans="1:20" hidden="1">
      <c r="A1110" s="332" t="s">
        <v>477</v>
      </c>
      <c r="B1110" s="332" t="s">
        <v>1913</v>
      </c>
      <c r="C1110" s="333">
        <f t="shared" si="260"/>
        <v>0</v>
      </c>
      <c r="D1110" s="328"/>
      <c r="E1110" s="328" t="str">
        <f>VLOOKUP(B1110,DONGIA,DG!$B$6,0)</f>
        <v>T5.1002</v>
      </c>
      <c r="F1110" s="329" t="str">
        <f>VLOOKUP(B1110,DONGIA,DG!$C$6,0)</f>
        <v>Tủ trạm treo + khóa + boulon + Bakelit + Collier (3 pha)</v>
      </c>
      <c r="G1110" s="328" t="str">
        <f>VLOOKUP(B1110,DONGIA,DG!$D$6,0)</f>
        <v>bộ</v>
      </c>
      <c r="H1110" s="329">
        <f>H1108</f>
        <v>0</v>
      </c>
      <c r="I1110" s="329">
        <f>VLOOKUP(B1110,DONGIA,DG!$E$6,0)</f>
        <v>5446000</v>
      </c>
      <c r="J1110" s="329"/>
      <c r="K1110" s="329">
        <f>VLOOKUP(B1110,DONGIA,DG!$F$6,0)</f>
        <v>743230</v>
      </c>
      <c r="L1110" s="329">
        <f>VLOOKUP(B1110,DONGIA,DG!$G$6,0)</f>
        <v>111154</v>
      </c>
      <c r="M1110" s="329">
        <f>$H1110*I1110</f>
        <v>0</v>
      </c>
      <c r="N1110" s="329">
        <f>$H1110*J1110</f>
        <v>0</v>
      </c>
      <c r="O1110" s="329">
        <f>$H1110*K1110</f>
        <v>0</v>
      </c>
      <c r="P1110" s="329">
        <f>$H1110*L1110</f>
        <v>0</v>
      </c>
      <c r="Q1110" s="329"/>
      <c r="S1110" s="332">
        <f t="shared" si="259"/>
        <v>45</v>
      </c>
      <c r="T1110" s="332">
        <f t="shared" si="261"/>
        <v>0</v>
      </c>
    </row>
    <row r="1111" spans="1:20" hidden="1">
      <c r="C1111" s="333">
        <f t="shared" si="260"/>
        <v>0</v>
      </c>
      <c r="D1111" s="372">
        <f>IF(H1111&lt;&gt;0,D1108+1,D1108)</f>
        <v>0</v>
      </c>
      <c r="E1111" s="372"/>
      <c r="F1111" s="373" t="s">
        <v>1935</v>
      </c>
      <c r="G1111" s="372" t="s">
        <v>138</v>
      </c>
      <c r="H1111" s="372">
        <f>TR3X75</f>
        <v>0</v>
      </c>
      <c r="I1111" s="373"/>
      <c r="J1111" s="373"/>
      <c r="K1111" s="373"/>
      <c r="L1111" s="373"/>
      <c r="M1111" s="373"/>
      <c r="N1111" s="373"/>
      <c r="O1111" s="373"/>
      <c r="P1111" s="373"/>
      <c r="Q1111" s="373"/>
      <c r="S1111" s="332">
        <f t="shared" si="259"/>
        <v>0</v>
      </c>
      <c r="T1111" s="332">
        <f t="shared" si="261"/>
        <v>0</v>
      </c>
    </row>
    <row r="1112" spans="1:20" s="361" customFormat="1" hidden="1">
      <c r="C1112" s="374">
        <f t="shared" si="260"/>
        <v>0</v>
      </c>
      <c r="D1112" s="350"/>
      <c r="E1112" s="350"/>
      <c r="F1112" s="351" t="s">
        <v>1902</v>
      </c>
      <c r="G1112" s="350"/>
      <c r="H1112" s="351"/>
      <c r="I1112" s="351"/>
      <c r="J1112" s="351"/>
      <c r="K1112" s="351"/>
      <c r="L1112" s="351"/>
      <c r="M1112" s="351"/>
      <c r="N1112" s="351"/>
      <c r="O1112" s="351"/>
      <c r="P1112" s="351"/>
      <c r="Q1112" s="351"/>
      <c r="S1112" s="361">
        <f t="shared" si="259"/>
        <v>0</v>
      </c>
      <c r="T1112" s="361">
        <f t="shared" si="261"/>
        <v>0</v>
      </c>
    </row>
    <row r="1113" spans="1:20" hidden="1">
      <c r="B1113" s="332" t="s">
        <v>1468</v>
      </c>
      <c r="C1113" s="333">
        <f t="shared" si="260"/>
        <v>0</v>
      </c>
      <c r="D1113" s="328"/>
      <c r="E1113" s="328">
        <f>VLOOKUP(B1113,DONGIA,DG!$B$6,0)</f>
        <v>0</v>
      </c>
      <c r="F1113" s="329" t="str">
        <f>VLOOKUP(B1113,DONGIA,DG!$C$6,0)</f>
        <v>Cáp 24KV C/XLPE/PVC 25mm2</v>
      </c>
      <c r="G1113" s="328" t="str">
        <f>VLOOKUP(B1113,DONGIA,DG!$D$6,0)</f>
        <v>mét</v>
      </c>
      <c r="H1113" s="329">
        <f>H1111*12</f>
        <v>0</v>
      </c>
      <c r="I1113" s="329">
        <f>VLOOKUP(B1113,DONGIA,DG!$E$6,0)</f>
        <v>87540</v>
      </c>
      <c r="J1113" s="329"/>
      <c r="K1113" s="329">
        <f>VLOOKUP(B1113,DONGIA,DG!$F$6,0)</f>
        <v>0</v>
      </c>
      <c r="L1113" s="329">
        <f>VLOOKUP(B1113,DONGIA,DG!$G$6,0)</f>
        <v>0</v>
      </c>
      <c r="M1113" s="329">
        <f t="shared" ref="M1113:P1117" si="267">$H1113*I1113</f>
        <v>0</v>
      </c>
      <c r="N1113" s="329">
        <f t="shared" si="267"/>
        <v>0</v>
      </c>
      <c r="O1113" s="329">
        <f t="shared" si="267"/>
        <v>0</v>
      </c>
      <c r="P1113" s="329">
        <f t="shared" si="267"/>
        <v>0</v>
      </c>
      <c r="Q1113" s="329"/>
      <c r="S1113" s="332">
        <f t="shared" si="259"/>
        <v>0.75</v>
      </c>
      <c r="T1113" s="332">
        <f t="shared" si="261"/>
        <v>0</v>
      </c>
    </row>
    <row r="1114" spans="1:20" hidden="1">
      <c r="B1114" s="332" t="s">
        <v>1507</v>
      </c>
      <c r="C1114" s="333">
        <f t="shared" si="260"/>
        <v>0</v>
      </c>
      <c r="D1114" s="328"/>
      <c r="E1114" s="328" t="str">
        <f>VLOOKUP(B1114,DONGIA,DG!$B$6,0)</f>
        <v>D6.6201</v>
      </c>
      <c r="F1114" s="329" t="str">
        <f>VLOOKUP(B1114,DONGIA,DG!$C$6,0)</f>
        <v>Kẹp quai 4/0 (quai đồng 8mm)</v>
      </c>
      <c r="G1114" s="328" t="str">
        <f>VLOOKUP(B1114,DONGIA,DG!$D$6,0)</f>
        <v>cái</v>
      </c>
      <c r="H1114" s="329">
        <f>H1111*3</f>
        <v>0</v>
      </c>
      <c r="I1114" s="329">
        <f>VLOOKUP(B1114,DONGIA,DG!$E$6,0)</f>
        <v>145000</v>
      </c>
      <c r="J1114" s="329"/>
      <c r="K1114" s="329">
        <f>VLOOKUP(B1114,DONGIA,DG!$F$6,0)</f>
        <v>87817</v>
      </c>
      <c r="L1114" s="329">
        <f>VLOOKUP(B1114,DONGIA,DG!$G$6,0)</f>
        <v>0</v>
      </c>
      <c r="M1114" s="329">
        <f t="shared" si="267"/>
        <v>0</v>
      </c>
      <c r="N1114" s="329">
        <f t="shared" si="267"/>
        <v>0</v>
      </c>
      <c r="O1114" s="329">
        <f t="shared" si="267"/>
        <v>0</v>
      </c>
      <c r="P1114" s="329">
        <f t="shared" si="267"/>
        <v>0</v>
      </c>
      <c r="Q1114" s="329"/>
      <c r="S1114" s="332">
        <f t="shared" si="259"/>
        <v>0.3</v>
      </c>
      <c r="T1114" s="332">
        <f t="shared" si="261"/>
        <v>0</v>
      </c>
    </row>
    <row r="1115" spans="1:20" hidden="1">
      <c r="B1115" s="332" t="s">
        <v>1511</v>
      </c>
      <c r="C1115" s="333">
        <f t="shared" si="260"/>
        <v>0</v>
      </c>
      <c r="D1115" s="328"/>
      <c r="E1115" s="328">
        <f>VLOOKUP(B1115,DONGIA,DG!$B$6,0)</f>
        <v>0</v>
      </c>
      <c r="F1115" s="329" t="str">
        <f>VLOOKUP(B1115,DONGIA,DG!$C$6,0)</f>
        <v>Chụp cách điện kẹp quai</v>
      </c>
      <c r="G1115" s="328" t="str">
        <f>VLOOKUP(B1115,DONGIA,DG!$D$6,0)</f>
        <v>cái</v>
      </c>
      <c r="H1115" s="329">
        <f>H1114</f>
        <v>0</v>
      </c>
      <c r="I1115" s="329">
        <f>VLOOKUP(B1115,DONGIA,DG!$E$6,0)</f>
        <v>122000</v>
      </c>
      <c r="J1115" s="329"/>
      <c r="K1115" s="329">
        <f>VLOOKUP(B1115,DONGIA,DG!$F$6,0)</f>
        <v>0</v>
      </c>
      <c r="L1115" s="329">
        <f>VLOOKUP(B1115,DONGIA,DG!$G$6,0)</f>
        <v>0</v>
      </c>
      <c r="M1115" s="329">
        <f t="shared" si="267"/>
        <v>0</v>
      </c>
      <c r="N1115" s="329">
        <f t="shared" si="267"/>
        <v>0</v>
      </c>
      <c r="O1115" s="329">
        <f t="shared" si="267"/>
        <v>0</v>
      </c>
      <c r="P1115" s="329">
        <f t="shared" si="267"/>
        <v>0</v>
      </c>
      <c r="Q1115" s="329"/>
      <c r="S1115" s="332">
        <f t="shared" si="259"/>
        <v>0.2</v>
      </c>
      <c r="T1115" s="332">
        <f t="shared" si="261"/>
        <v>0</v>
      </c>
    </row>
    <row r="1116" spans="1:20" hidden="1">
      <c r="B1116" s="332" t="s">
        <v>1508</v>
      </c>
      <c r="C1116" s="333">
        <f t="shared" si="260"/>
        <v>0</v>
      </c>
      <c r="D1116" s="328"/>
      <c r="E1116" s="328" t="str">
        <f>VLOOKUP(B1116,DONGIA,DG!$B$6,0)</f>
        <v>D6.6202</v>
      </c>
      <c r="F1116" s="329" t="str">
        <f>VLOOKUP(B1116,DONGIA,DG!$C$6,0)</f>
        <v>Kẹp hotline 2/0</v>
      </c>
      <c r="G1116" s="328" t="str">
        <f>VLOOKUP(B1116,DONGIA,DG!$D$6,0)</f>
        <v>cái</v>
      </c>
      <c r="H1116" s="329">
        <f>H1114</f>
        <v>0</v>
      </c>
      <c r="I1116" s="329">
        <f>VLOOKUP(B1116,DONGIA,DG!$E$6,0)</f>
        <v>68000</v>
      </c>
      <c r="J1116" s="329"/>
      <c r="K1116" s="329">
        <f>VLOOKUP(B1116,DONGIA,DG!$F$6,0)</f>
        <v>109771</v>
      </c>
      <c r="L1116" s="329">
        <f>VLOOKUP(B1116,DONGIA,DG!$G$6,0)</f>
        <v>0</v>
      </c>
      <c r="M1116" s="329">
        <f t="shared" si="267"/>
        <v>0</v>
      </c>
      <c r="N1116" s="329">
        <f t="shared" si="267"/>
        <v>0</v>
      </c>
      <c r="O1116" s="329">
        <f t="shared" si="267"/>
        <v>0</v>
      </c>
      <c r="P1116" s="329">
        <f t="shared" si="267"/>
        <v>0</v>
      </c>
      <c r="Q1116" s="329"/>
      <c r="S1116" s="332">
        <f t="shared" si="259"/>
        <v>0.1</v>
      </c>
      <c r="T1116" s="332">
        <f t="shared" si="261"/>
        <v>0</v>
      </c>
    </row>
    <row r="1117" spans="1:20" hidden="1">
      <c r="B1117" s="332" t="s">
        <v>1939</v>
      </c>
      <c r="C1117" s="333">
        <f t="shared" si="260"/>
        <v>0</v>
      </c>
      <c r="D1117" s="328"/>
      <c r="E1117" s="328" t="str">
        <f>VLOOKUP(B1117,DONGIA,DG!$B$6,0)</f>
        <v>T4.4201</v>
      </c>
      <c r="F1117" s="329" t="str">
        <f>VLOOKUP(B1117,DONGIA,DG!$C$6,0)</f>
        <v>Lắp cáp đồng xuống thiết bị D ≤ 95mm2</v>
      </c>
      <c r="G1117" s="328" t="str">
        <f>VLOOKUP(B1117,DONGIA,DG!$D$6,0)</f>
        <v>m</v>
      </c>
      <c r="H1117" s="329">
        <f>H1113</f>
        <v>0</v>
      </c>
      <c r="I1117" s="329">
        <f>VLOOKUP(B1117,DONGIA,DG!$E$6,0)</f>
        <v>0</v>
      </c>
      <c r="J1117" s="329"/>
      <c r="K1117" s="329">
        <f>VLOOKUP(B1117,DONGIA,DG!$F$6,0)</f>
        <v>11847</v>
      </c>
      <c r="L1117" s="329">
        <f>VLOOKUP(B1117,DONGIA,DG!$G$6,0)</f>
        <v>0</v>
      </c>
      <c r="M1117" s="329">
        <f t="shared" si="267"/>
        <v>0</v>
      </c>
      <c r="N1117" s="329">
        <f t="shared" si="267"/>
        <v>0</v>
      </c>
      <c r="O1117" s="329">
        <f t="shared" si="267"/>
        <v>0</v>
      </c>
      <c r="P1117" s="329">
        <f t="shared" si="267"/>
        <v>0</v>
      </c>
      <c r="Q1117" s="329"/>
      <c r="S1117" s="332">
        <f t="shared" si="259"/>
        <v>0</v>
      </c>
      <c r="T1117" s="332">
        <f t="shared" si="261"/>
        <v>0</v>
      </c>
    </row>
    <row r="1118" spans="1:20" hidden="1">
      <c r="C1118" s="333">
        <f t="shared" si="260"/>
        <v>0</v>
      </c>
      <c r="D1118" s="372">
        <f>IF(H1118&lt;&gt;0,D1111+1,D1111)</f>
        <v>0</v>
      </c>
      <c r="E1118" s="372"/>
      <c r="F1118" s="373" t="s">
        <v>1936</v>
      </c>
      <c r="G1118" s="372" t="s">
        <v>138</v>
      </c>
      <c r="H1118" s="372">
        <f>TR3X75</f>
        <v>0</v>
      </c>
      <c r="I1118" s="373"/>
      <c r="J1118" s="373"/>
      <c r="K1118" s="373"/>
      <c r="L1118" s="373"/>
      <c r="M1118" s="373"/>
      <c r="N1118" s="373"/>
      <c r="O1118" s="373"/>
      <c r="P1118" s="373"/>
      <c r="Q1118" s="373"/>
      <c r="S1118" s="332">
        <f t="shared" si="259"/>
        <v>0</v>
      </c>
      <c r="T1118" s="332">
        <f t="shared" si="261"/>
        <v>0</v>
      </c>
    </row>
    <row r="1119" spans="1:20" s="361" customFormat="1" hidden="1">
      <c r="C1119" s="374">
        <f t="shared" si="260"/>
        <v>0</v>
      </c>
      <c r="D1119" s="350"/>
      <c r="E1119" s="350"/>
      <c r="F1119" s="351" t="s">
        <v>1902</v>
      </c>
      <c r="G1119" s="350"/>
      <c r="H1119" s="351"/>
      <c r="I1119" s="351"/>
      <c r="J1119" s="351"/>
      <c r="K1119" s="351"/>
      <c r="L1119" s="351"/>
      <c r="M1119" s="351"/>
      <c r="N1119" s="351"/>
      <c r="O1119" s="351"/>
      <c r="P1119" s="351"/>
      <c r="Q1119" s="351"/>
      <c r="S1119" s="361">
        <f t="shared" si="259"/>
        <v>0</v>
      </c>
      <c r="T1119" s="361">
        <f t="shared" si="261"/>
        <v>0</v>
      </c>
    </row>
    <row r="1120" spans="1:20" hidden="1">
      <c r="B1120" s="332" t="s">
        <v>1911</v>
      </c>
      <c r="C1120" s="333">
        <f t="shared" si="260"/>
        <v>0</v>
      </c>
      <c r="D1120" s="328"/>
      <c r="E1120" s="328">
        <f>VLOOKUP(B1120,DONGIA,DG!$B$6,0)</f>
        <v>0</v>
      </c>
      <c r="F1120" s="329" t="str">
        <f>VLOOKUP(B1120,DONGIA,DG!$C$6,0)</f>
        <v>Cáp đồng bọc CV150</v>
      </c>
      <c r="G1120" s="328" t="str">
        <f>VLOOKUP(B1120,DONGIA,DG!$D$6,0)</f>
        <v>mét</v>
      </c>
      <c r="H1120" s="329">
        <f>H1118*10*3</f>
        <v>0</v>
      </c>
      <c r="I1120" s="329">
        <f>VLOOKUP(B1120,DONGIA,DG!$E$6,0)</f>
        <v>315870</v>
      </c>
      <c r="J1120" s="329"/>
      <c r="K1120" s="329">
        <f>VLOOKUP(B1120,DONGIA,DG!$F$6,0)</f>
        <v>0</v>
      </c>
      <c r="L1120" s="329">
        <f>VLOOKUP(B1120,DONGIA,DG!$G$6,0)</f>
        <v>0</v>
      </c>
      <c r="M1120" s="329">
        <f>$H1120*I1120</f>
        <v>0</v>
      </c>
      <c r="N1120" s="329">
        <f>$H1120*J1120</f>
        <v>0</v>
      </c>
      <c r="O1120" s="329">
        <f>$H1120*K1120</f>
        <v>0</v>
      </c>
      <c r="P1120" s="329">
        <f>$H1120*L1120</f>
        <v>0</v>
      </c>
      <c r="Q1120" s="329"/>
      <c r="S1120" s="332">
        <f t="shared" si="259"/>
        <v>1.5980000000000001</v>
      </c>
      <c r="T1120" s="332">
        <f t="shared" si="261"/>
        <v>0</v>
      </c>
    </row>
    <row r="1121" spans="2:20" hidden="1">
      <c r="B1121" s="332" t="s">
        <v>1742</v>
      </c>
      <c r="C1121" s="333">
        <f t="shared" si="260"/>
        <v>0</v>
      </c>
      <c r="D1121" s="328"/>
      <c r="E1121" s="328">
        <f>VLOOKUP(B1121,DONGIA,DG!$B$6,0)</f>
        <v>0</v>
      </c>
      <c r="F1121" s="329" t="str">
        <f>VLOOKUP(B1121,DONGIA,DG!$C$6,0)</f>
        <v>Cáp đồng bọc CV95</v>
      </c>
      <c r="G1121" s="328" t="str">
        <f>VLOOKUP(B1121,DONGIA,DG!$D$6,0)</f>
        <v>mét</v>
      </c>
      <c r="H1121" s="329">
        <f>H1118*14</f>
        <v>0</v>
      </c>
      <c r="I1121" s="329">
        <f>VLOOKUP(B1121,DONGIA,DG!$E$6,0)</f>
        <v>196130</v>
      </c>
      <c r="J1121" s="329"/>
      <c r="K1121" s="329">
        <f>VLOOKUP(B1121,DONGIA,DG!$F$6,0)</f>
        <v>0</v>
      </c>
      <c r="L1121" s="329">
        <f>VLOOKUP(B1121,DONGIA,DG!$G$6,0)</f>
        <v>0</v>
      </c>
      <c r="M1121" s="329">
        <f t="shared" ref="M1121:M1138" si="268">$H1121*I1121</f>
        <v>0</v>
      </c>
      <c r="N1121" s="329">
        <f t="shared" ref="N1121:N1138" si="269">$H1121*J1121</f>
        <v>0</v>
      </c>
      <c r="O1121" s="329">
        <f t="shared" ref="O1121:O1138" si="270">$H1121*K1121</f>
        <v>0</v>
      </c>
      <c r="P1121" s="329">
        <f t="shared" ref="P1121:P1138" si="271">$H1121*L1121</f>
        <v>0</v>
      </c>
      <c r="Q1121" s="329"/>
      <c r="S1121" s="332">
        <f t="shared" si="259"/>
        <v>1.008</v>
      </c>
      <c r="T1121" s="332">
        <f t="shared" si="261"/>
        <v>0</v>
      </c>
    </row>
    <row r="1122" spans="2:20" hidden="1">
      <c r="B1122" s="332" t="s">
        <v>1937</v>
      </c>
      <c r="C1122" s="333">
        <f t="shared" si="260"/>
        <v>0</v>
      </c>
      <c r="D1122" s="328"/>
      <c r="E1122" s="328">
        <f>VLOOKUP(B1122,DONGIA,DG!$B$6,0)</f>
        <v>0</v>
      </c>
      <c r="F1122" s="329" t="str">
        <f>VLOOKUP(B1122,DONGIA,DG!$C$6,0)</f>
        <v>Cáp điều khiển CVV 4x4,0mm2</v>
      </c>
      <c r="G1122" s="328" t="str">
        <f>VLOOKUP(B1122,DONGIA,DG!$D$6,0)</f>
        <v>mét</v>
      </c>
      <c r="H1122" s="329">
        <f>H1118*2</f>
        <v>0</v>
      </c>
      <c r="I1122" s="329">
        <f>VLOOKUP(B1122,DONGIA,DG!$E$6,0)</f>
        <v>52400</v>
      </c>
      <c r="J1122" s="329"/>
      <c r="K1122" s="329">
        <f>VLOOKUP(B1122,DONGIA,DG!$F$6,0)</f>
        <v>0</v>
      </c>
      <c r="L1122" s="329">
        <f>VLOOKUP(B1122,DONGIA,DG!$G$6,0)</f>
        <v>0</v>
      </c>
      <c r="M1122" s="329">
        <f t="shared" si="268"/>
        <v>0</v>
      </c>
      <c r="N1122" s="329">
        <f t="shared" si="269"/>
        <v>0</v>
      </c>
      <c r="O1122" s="329">
        <f t="shared" si="270"/>
        <v>0</v>
      </c>
      <c r="P1122" s="329">
        <f t="shared" si="271"/>
        <v>0</v>
      </c>
      <c r="Q1122" s="329"/>
      <c r="S1122" s="332">
        <f t="shared" si="259"/>
        <v>3.024</v>
      </c>
      <c r="T1122" s="332">
        <f t="shared" si="261"/>
        <v>0</v>
      </c>
    </row>
    <row r="1123" spans="2:20" hidden="1">
      <c r="B1123" s="332" t="s">
        <v>1122</v>
      </c>
      <c r="C1123" s="333">
        <f t="shared" si="260"/>
        <v>0</v>
      </c>
      <c r="D1123" s="328"/>
      <c r="E1123" s="328" t="str">
        <f>VLOOKUP(B1123,DONGIA,DG!$B$6,0)</f>
        <v>D4.5006</v>
      </c>
      <c r="F1123" s="329" t="str">
        <f>VLOOKUP(B1123,DONGIA,DG!$C$6,0)</f>
        <v>Đầu cosse ép Cu 150mm2</v>
      </c>
      <c r="G1123" s="328" t="str">
        <f>VLOOKUP(B1123,DONGIA,DG!$D$6,0)</f>
        <v>cái</v>
      </c>
      <c r="H1123" s="329">
        <f>H1118*3</f>
        <v>0</v>
      </c>
      <c r="I1123" s="329">
        <f>VLOOKUP(B1123,DONGIA,DG!$E$6,0)</f>
        <v>150000</v>
      </c>
      <c r="J1123" s="329"/>
      <c r="K1123" s="329">
        <f>VLOOKUP(B1123,DONGIA,DG!$F$6,0)</f>
        <v>28387</v>
      </c>
      <c r="L1123" s="329">
        <f>VLOOKUP(B1123,DONGIA,DG!$G$6,0)</f>
        <v>2356</v>
      </c>
      <c r="M1123" s="329">
        <f t="shared" si="268"/>
        <v>0</v>
      </c>
      <c r="N1123" s="329">
        <f t="shared" si="269"/>
        <v>0</v>
      </c>
      <c r="O1123" s="329">
        <f t="shared" si="270"/>
        <v>0</v>
      </c>
      <c r="P1123" s="329">
        <f t="shared" si="271"/>
        <v>0</v>
      </c>
      <c r="Q1123" s="329"/>
      <c r="S1123" s="332">
        <f t="shared" si="259"/>
        <v>0.2</v>
      </c>
      <c r="T1123" s="332">
        <f t="shared" si="261"/>
        <v>0</v>
      </c>
    </row>
    <row r="1124" spans="2:20" hidden="1">
      <c r="B1124" s="332" t="s">
        <v>1116</v>
      </c>
      <c r="C1124" s="333">
        <f t="shared" si="260"/>
        <v>0</v>
      </c>
      <c r="D1124" s="328"/>
      <c r="E1124" s="328" t="str">
        <f>VLOOKUP(B1124,DONGIA,DG!$B$6,0)</f>
        <v>D4.5004</v>
      </c>
      <c r="F1124" s="329" t="str">
        <f>VLOOKUP(B1124,DONGIA,DG!$C$6,0)</f>
        <v>Đầu cosse ép Cu 95mm2</v>
      </c>
      <c r="G1124" s="328" t="str">
        <f>VLOOKUP(B1124,DONGIA,DG!$D$6,0)</f>
        <v>cái</v>
      </c>
      <c r="H1124" s="329">
        <f>H1118</f>
        <v>0</v>
      </c>
      <c r="I1124" s="329">
        <f>VLOOKUP(B1124,DONGIA,DG!$E$6,0)</f>
        <v>45000</v>
      </c>
      <c r="J1124" s="329"/>
      <c r="K1124" s="329">
        <f>VLOOKUP(B1124,DONGIA,DG!$F$6,0)</f>
        <v>18065</v>
      </c>
      <c r="L1124" s="329">
        <f>VLOOKUP(B1124,DONGIA,DG!$G$6,0)</f>
        <v>1767</v>
      </c>
      <c r="M1124" s="329">
        <f t="shared" si="268"/>
        <v>0</v>
      </c>
      <c r="N1124" s="329">
        <f t="shared" si="269"/>
        <v>0</v>
      </c>
      <c r="O1124" s="329">
        <f t="shared" si="270"/>
        <v>0</v>
      </c>
      <c r="P1124" s="329">
        <f t="shared" si="271"/>
        <v>0</v>
      </c>
      <c r="Q1124" s="329"/>
      <c r="S1124" s="332">
        <f t="shared" si="259"/>
        <v>0.2</v>
      </c>
      <c r="T1124" s="332">
        <f t="shared" si="261"/>
        <v>0</v>
      </c>
    </row>
    <row r="1125" spans="2:20" hidden="1">
      <c r="B1125" s="332" t="s">
        <v>1153</v>
      </c>
      <c r="C1125" s="333">
        <f t="shared" si="260"/>
        <v>0</v>
      </c>
      <c r="D1125" s="328"/>
      <c r="E1125" s="328">
        <f>VLOOKUP(B1125,DONGIA,DG!$B$6,0)</f>
        <v>0</v>
      </c>
      <c r="F1125" s="329" t="str">
        <f>VLOOKUP(B1125,DONGIA,DG!$C$6,0)</f>
        <v>Chụp đầu cosse  150mm2</v>
      </c>
      <c r="G1125" s="328" t="str">
        <f>VLOOKUP(B1125,DONGIA,DG!$D$6,0)</f>
        <v>cái</v>
      </c>
      <c r="H1125" s="329">
        <f>H1123</f>
        <v>0</v>
      </c>
      <c r="I1125" s="329">
        <f>VLOOKUP(B1125,DONGIA,DG!$E$6,0)</f>
        <v>4000</v>
      </c>
      <c r="J1125" s="329"/>
      <c r="K1125" s="329">
        <f>VLOOKUP(B1125,DONGIA,DG!$F$6,0)</f>
        <v>0</v>
      </c>
      <c r="L1125" s="329">
        <f>VLOOKUP(B1125,DONGIA,DG!$G$6,0)</f>
        <v>0</v>
      </c>
      <c r="M1125" s="329">
        <f t="shared" si="268"/>
        <v>0</v>
      </c>
      <c r="N1125" s="329">
        <f t="shared" si="269"/>
        <v>0</v>
      </c>
      <c r="O1125" s="329">
        <f t="shared" si="270"/>
        <v>0</v>
      </c>
      <c r="P1125" s="329">
        <f t="shared" si="271"/>
        <v>0</v>
      </c>
      <c r="Q1125" s="329"/>
      <c r="S1125" s="332">
        <f t="shared" si="259"/>
        <v>0</v>
      </c>
      <c r="T1125" s="332">
        <f t="shared" si="261"/>
        <v>0</v>
      </c>
    </row>
    <row r="1126" spans="2:20" hidden="1">
      <c r="B1126" s="332" t="s">
        <v>1149</v>
      </c>
      <c r="C1126" s="333">
        <f t="shared" si="260"/>
        <v>0</v>
      </c>
      <c r="D1126" s="328"/>
      <c r="E1126" s="328">
        <f>VLOOKUP(B1126,DONGIA,DG!$B$6,0)</f>
        <v>0</v>
      </c>
      <c r="F1126" s="329" t="str">
        <f>VLOOKUP(B1126,DONGIA,DG!$C$6,0)</f>
        <v>Chụp đầu cosse  95mm2</v>
      </c>
      <c r="G1126" s="328" t="str">
        <f>VLOOKUP(B1126,DONGIA,DG!$D$6,0)</f>
        <v>cái</v>
      </c>
      <c r="H1126" s="329">
        <f>H1124</f>
        <v>0</v>
      </c>
      <c r="I1126" s="329">
        <f>VLOOKUP(B1126,DONGIA,DG!$E$6,0)</f>
        <v>3000</v>
      </c>
      <c r="J1126" s="329"/>
      <c r="K1126" s="329">
        <f>VLOOKUP(B1126,DONGIA,DG!$F$6,0)</f>
        <v>0</v>
      </c>
      <c r="L1126" s="329">
        <f>VLOOKUP(B1126,DONGIA,DG!$G$6,0)</f>
        <v>0</v>
      </c>
      <c r="M1126" s="329">
        <f t="shared" si="268"/>
        <v>0</v>
      </c>
      <c r="N1126" s="329">
        <f t="shared" si="269"/>
        <v>0</v>
      </c>
      <c r="O1126" s="329">
        <f t="shared" si="270"/>
        <v>0</v>
      </c>
      <c r="P1126" s="329">
        <f t="shared" si="271"/>
        <v>0</v>
      </c>
      <c r="Q1126" s="329"/>
      <c r="S1126" s="332">
        <f t="shared" si="259"/>
        <v>0</v>
      </c>
      <c r="T1126" s="332">
        <f t="shared" si="261"/>
        <v>0</v>
      </c>
    </row>
    <row r="1127" spans="2:20" hidden="1">
      <c r="B1127" s="332" t="s">
        <v>1175</v>
      </c>
      <c r="C1127" s="333">
        <f t="shared" si="260"/>
        <v>0</v>
      </c>
      <c r="D1127" s="328"/>
      <c r="E1127" s="328">
        <f>VLOOKUP(B1127,DONGIA,DG!$B$6,0)</f>
        <v>0</v>
      </c>
      <c r="F1127" s="329" t="str">
        <f>VLOOKUP(B1127,DONGIA,DG!$C$6,0)</f>
        <v xml:space="preserve">Ống PVC D114x4,9mm </v>
      </c>
      <c r="G1127" s="328" t="str">
        <f>VLOOKUP(B1127,DONGIA,DG!$D$6,0)</f>
        <v>m</v>
      </c>
      <c r="H1127" s="329">
        <f>H1118*6</f>
        <v>0</v>
      </c>
      <c r="I1127" s="329">
        <f>VLOOKUP(B1127,DONGIA,DG!$E$6,0)</f>
        <v>102000</v>
      </c>
      <c r="J1127" s="329"/>
      <c r="K1127" s="329">
        <f>VLOOKUP(B1127,DONGIA,DG!$F$6,0)</f>
        <v>0</v>
      </c>
      <c r="L1127" s="329">
        <f>VLOOKUP(B1127,DONGIA,DG!$G$6,0)</f>
        <v>0</v>
      </c>
      <c r="M1127" s="329">
        <f t="shared" si="268"/>
        <v>0</v>
      </c>
      <c r="N1127" s="329">
        <f t="shared" si="269"/>
        <v>0</v>
      </c>
      <c r="O1127" s="329">
        <f t="shared" si="270"/>
        <v>0</v>
      </c>
      <c r="P1127" s="329">
        <f t="shared" si="271"/>
        <v>0</v>
      </c>
      <c r="Q1127" s="329"/>
      <c r="S1127" s="332">
        <f t="shared" si="259"/>
        <v>2</v>
      </c>
      <c r="T1127" s="332">
        <f t="shared" si="261"/>
        <v>0</v>
      </c>
    </row>
    <row r="1128" spans="2:20" hidden="1">
      <c r="B1128" s="332" t="s">
        <v>456</v>
      </c>
      <c r="C1128" s="333">
        <f t="shared" si="260"/>
        <v>0</v>
      </c>
      <c r="D1128" s="328"/>
      <c r="E1128" s="328"/>
      <c r="F1128" s="329" t="str">
        <f>VLOOKUP(B1128,DONGIA,DG!$C$6,0)&amp;" (CD: 250)"</f>
        <v>Cổ dê kẹp ống PVC φ 114 (có giá nới) (CD: 250)</v>
      </c>
      <c r="G1128" s="328" t="str">
        <f>VLOOKUP(B1128,DONGIA,DG!$D$6,0)</f>
        <v>bộ</v>
      </c>
      <c r="H1128" s="329">
        <f>H1118</f>
        <v>0</v>
      </c>
      <c r="I1128" s="329">
        <f>VLOOKUP(B1128,DONGIA,DG!$E$6,0)</f>
        <v>68000</v>
      </c>
      <c r="J1128" s="329"/>
      <c r="K1128" s="329"/>
      <c r="L1128" s="329">
        <f>VLOOKUP(B1128,DONGIA,DG!$G$6,0)</f>
        <v>0</v>
      </c>
      <c r="M1128" s="329">
        <f t="shared" si="268"/>
        <v>0</v>
      </c>
      <c r="N1128" s="329">
        <f t="shared" si="269"/>
        <v>0</v>
      </c>
      <c r="O1128" s="329">
        <f t="shared" si="270"/>
        <v>0</v>
      </c>
      <c r="P1128" s="329">
        <f t="shared" si="271"/>
        <v>0</v>
      </c>
      <c r="Q1128" s="329"/>
      <c r="S1128" s="332">
        <f t="shared" si="259"/>
        <v>1.5</v>
      </c>
      <c r="T1128" s="332">
        <f t="shared" si="261"/>
        <v>0</v>
      </c>
    </row>
    <row r="1129" spans="2:20" hidden="1">
      <c r="B1129" s="332" t="s">
        <v>456</v>
      </c>
      <c r="C1129" s="333">
        <f t="shared" si="260"/>
        <v>0</v>
      </c>
      <c r="D1129" s="328"/>
      <c r="E1129" s="328"/>
      <c r="F1129" s="329" t="str">
        <f>VLOOKUP(B1129,DONGIA,DG!$C$6,0)&amp;" (CD: 280)"</f>
        <v>Cổ dê kẹp ống PVC φ 114 (có giá nới) (CD: 280)</v>
      </c>
      <c r="G1129" s="328" t="str">
        <f>VLOOKUP(B1129,DONGIA,DG!$D$6,0)</f>
        <v>bộ</v>
      </c>
      <c r="H1129" s="329">
        <f>H1118</f>
        <v>0</v>
      </c>
      <c r="I1129" s="329">
        <f>VLOOKUP(B1129,DONGIA,DG!$E$6,0)</f>
        <v>68000</v>
      </c>
      <c r="J1129" s="329"/>
      <c r="K1129" s="329"/>
      <c r="L1129" s="329">
        <f>VLOOKUP(B1129,DONGIA,DG!$G$6,0)</f>
        <v>0</v>
      </c>
      <c r="M1129" s="329">
        <f t="shared" si="268"/>
        <v>0</v>
      </c>
      <c r="N1129" s="329">
        <f t="shared" si="269"/>
        <v>0</v>
      </c>
      <c r="O1129" s="329">
        <f t="shared" si="270"/>
        <v>0</v>
      </c>
      <c r="P1129" s="329">
        <f t="shared" si="271"/>
        <v>0</v>
      </c>
      <c r="Q1129" s="329"/>
      <c r="S1129" s="332">
        <f t="shared" si="259"/>
        <v>1.5</v>
      </c>
      <c r="T1129" s="332">
        <f t="shared" si="261"/>
        <v>0</v>
      </c>
    </row>
    <row r="1130" spans="2:20" hidden="1">
      <c r="B1130" s="332" t="s">
        <v>456</v>
      </c>
      <c r="C1130" s="333">
        <f t="shared" si="260"/>
        <v>0</v>
      </c>
      <c r="D1130" s="328"/>
      <c r="E1130" s="328"/>
      <c r="F1130" s="329" t="str">
        <f>VLOOKUP(B1130,DONGIA,DG!$C$6,0)&amp;" (CD: 320)"</f>
        <v>Cổ dê kẹp ống PVC φ 114 (có giá nới) (CD: 320)</v>
      </c>
      <c r="G1130" s="328" t="str">
        <f>VLOOKUP(B1130,DONGIA,DG!$D$6,0)</f>
        <v>bộ</v>
      </c>
      <c r="H1130" s="329">
        <f>H1118</f>
        <v>0</v>
      </c>
      <c r="I1130" s="329">
        <f>VLOOKUP(B1130,DONGIA,DG!$E$6,0)</f>
        <v>68000</v>
      </c>
      <c r="J1130" s="329"/>
      <c r="K1130" s="329"/>
      <c r="L1130" s="329">
        <f>VLOOKUP(B1130,DONGIA,DG!$G$6,0)</f>
        <v>0</v>
      </c>
      <c r="M1130" s="329">
        <f t="shared" si="268"/>
        <v>0</v>
      </c>
      <c r="N1130" s="329">
        <f t="shared" si="269"/>
        <v>0</v>
      </c>
      <c r="O1130" s="329">
        <f t="shared" si="270"/>
        <v>0</v>
      </c>
      <c r="P1130" s="329">
        <f t="shared" si="271"/>
        <v>0</v>
      </c>
      <c r="Q1130" s="329"/>
      <c r="S1130" s="332">
        <f t="shared" si="259"/>
        <v>1.5</v>
      </c>
      <c r="T1130" s="332">
        <f t="shared" si="261"/>
        <v>0</v>
      </c>
    </row>
    <row r="1131" spans="2:20" hidden="1">
      <c r="B1131" s="332" t="s">
        <v>1185</v>
      </c>
      <c r="C1131" s="333">
        <f t="shared" si="260"/>
        <v>0</v>
      </c>
      <c r="D1131" s="328"/>
      <c r="E1131" s="328">
        <f>VLOOKUP(B1131,DONGIA,DG!$B$6,0)</f>
        <v>0</v>
      </c>
      <c r="F1131" s="329" t="str">
        <f>VLOOKUP(B1131,DONGIA,DG!$C$6,0)</f>
        <v>Co  90 độ PVC 114</v>
      </c>
      <c r="G1131" s="328" t="str">
        <f>VLOOKUP(B1131,DONGIA,DG!$D$6,0)</f>
        <v>cái</v>
      </c>
      <c r="H1131" s="329">
        <f>H1118</f>
        <v>0</v>
      </c>
      <c r="I1131" s="329">
        <f>VLOOKUP(B1131,DONGIA,DG!$E$6,0)</f>
        <v>104800</v>
      </c>
      <c r="J1131" s="329"/>
      <c r="K1131" s="329">
        <f>VLOOKUP(B1131,DONGIA,DG!$F$6,0)</f>
        <v>0</v>
      </c>
      <c r="L1131" s="329">
        <f>VLOOKUP(B1131,DONGIA,DG!$G$6,0)</f>
        <v>0</v>
      </c>
      <c r="M1131" s="329">
        <f t="shared" si="268"/>
        <v>0</v>
      </c>
      <c r="N1131" s="329">
        <f t="shared" si="269"/>
        <v>0</v>
      </c>
      <c r="O1131" s="329">
        <f t="shared" si="270"/>
        <v>0</v>
      </c>
      <c r="P1131" s="329">
        <f t="shared" si="271"/>
        <v>0</v>
      </c>
      <c r="Q1131" s="329"/>
      <c r="S1131" s="332">
        <f t="shared" si="259"/>
        <v>0</v>
      </c>
      <c r="T1131" s="332">
        <f t="shared" si="261"/>
        <v>0</v>
      </c>
    </row>
    <row r="1132" spans="2:20" hidden="1">
      <c r="B1132" s="332" t="s">
        <v>1940</v>
      </c>
      <c r="C1132" s="333">
        <f t="shared" si="260"/>
        <v>0</v>
      </c>
      <c r="D1132" s="328"/>
      <c r="E1132" s="328">
        <f>VLOOKUP(B1132,DONGIA,DG!$B$6,0)</f>
        <v>0</v>
      </c>
      <c r="F1132" s="329" t="str">
        <f>VLOOKUP(B1132,DONGIA,DG!$C$6,0)</f>
        <v>Nối giảm PVC 114-90</v>
      </c>
      <c r="G1132" s="328" t="str">
        <f>VLOOKUP(B1132,DONGIA,DG!$D$6,0)</f>
        <v>cái</v>
      </c>
      <c r="H1132" s="329"/>
      <c r="I1132" s="329">
        <f>VLOOKUP(B1132,DONGIA,DG!$E$6,0)</f>
        <v>52800</v>
      </c>
      <c r="J1132" s="329"/>
      <c r="K1132" s="329">
        <f>VLOOKUP(B1132,DONGIA,DG!$F$6,0)</f>
        <v>0</v>
      </c>
      <c r="L1132" s="329">
        <f>VLOOKUP(B1132,DONGIA,DG!$G$6,0)</f>
        <v>0</v>
      </c>
      <c r="M1132" s="329">
        <f t="shared" si="268"/>
        <v>0</v>
      </c>
      <c r="N1132" s="329">
        <f t="shared" si="269"/>
        <v>0</v>
      </c>
      <c r="O1132" s="329">
        <f t="shared" si="270"/>
        <v>0</v>
      </c>
      <c r="P1132" s="329">
        <f t="shared" si="271"/>
        <v>0</v>
      </c>
      <c r="Q1132" s="329"/>
      <c r="S1132" s="332">
        <f t="shared" si="259"/>
        <v>0</v>
      </c>
      <c r="T1132" s="332">
        <f t="shared" si="261"/>
        <v>0</v>
      </c>
    </row>
    <row r="1133" spans="2:20" hidden="1">
      <c r="B1133" s="332" t="s">
        <v>1189</v>
      </c>
      <c r="C1133" s="333">
        <f t="shared" si="260"/>
        <v>0</v>
      </c>
      <c r="D1133" s="328"/>
      <c r="E1133" s="328">
        <f>VLOOKUP(B1133,DONGIA,DG!$B$6,0)</f>
        <v>0</v>
      </c>
      <c r="F1133" s="329" t="str">
        <f>VLOOKUP(B1133,DONGIA,DG!$C$6,0)</f>
        <v>Co 135 độ PVC 114</v>
      </c>
      <c r="G1133" s="328" t="str">
        <f>VLOOKUP(B1133,DONGIA,DG!$D$6,0)</f>
        <v>cái</v>
      </c>
      <c r="H1133" s="329">
        <f>H1118</f>
        <v>0</v>
      </c>
      <c r="I1133" s="329">
        <f>VLOOKUP(B1133,DONGIA,DG!$E$6,0)</f>
        <v>70800</v>
      </c>
      <c r="J1133" s="329"/>
      <c r="K1133" s="329">
        <f>VLOOKUP(B1133,DONGIA,DG!$F$6,0)</f>
        <v>0</v>
      </c>
      <c r="L1133" s="329">
        <f>VLOOKUP(B1133,DONGIA,DG!$G$6,0)</f>
        <v>0</v>
      </c>
      <c r="M1133" s="329">
        <f t="shared" si="268"/>
        <v>0</v>
      </c>
      <c r="N1133" s="329">
        <f t="shared" si="269"/>
        <v>0</v>
      </c>
      <c r="O1133" s="329">
        <f t="shared" si="270"/>
        <v>0</v>
      </c>
      <c r="P1133" s="329">
        <f t="shared" si="271"/>
        <v>0</v>
      </c>
      <c r="Q1133" s="329"/>
      <c r="S1133" s="332">
        <f t="shared" si="259"/>
        <v>0</v>
      </c>
      <c r="T1133" s="332">
        <f t="shared" si="261"/>
        <v>0</v>
      </c>
    </row>
    <row r="1134" spans="2:20" hidden="1">
      <c r="B1134" s="332" t="s">
        <v>1914</v>
      </c>
      <c r="C1134" s="333">
        <f t="shared" si="260"/>
        <v>0</v>
      </c>
      <c r="D1134" s="328"/>
      <c r="E1134" s="328">
        <f>VLOOKUP(B1134,DONGIA,DG!$B$6,0)</f>
        <v>0</v>
      </c>
      <c r="F1134" s="329" t="str">
        <f>VLOOKUP(B1134,DONGIA,DG!$C$6,0)</f>
        <v>Keo dán ống PVC (100gr)</v>
      </c>
      <c r="G1134" s="328" t="str">
        <f>VLOOKUP(B1134,DONGIA,DG!$D$6,0)</f>
        <v>tuýp</v>
      </c>
      <c r="H1134" s="329">
        <f>H1118</f>
        <v>0</v>
      </c>
      <c r="I1134" s="329">
        <f>VLOOKUP(B1134,DONGIA,DG!$E$6,0)</f>
        <v>11500</v>
      </c>
      <c r="J1134" s="329"/>
      <c r="K1134" s="329">
        <f>VLOOKUP(B1134,DONGIA,DG!$F$6,0)</f>
        <v>0</v>
      </c>
      <c r="L1134" s="329">
        <f>VLOOKUP(B1134,DONGIA,DG!$G$6,0)</f>
        <v>0</v>
      </c>
      <c r="M1134" s="329">
        <f t="shared" si="268"/>
        <v>0</v>
      </c>
      <c r="N1134" s="329">
        <f t="shared" si="269"/>
        <v>0</v>
      </c>
      <c r="O1134" s="329">
        <f t="shared" si="270"/>
        <v>0</v>
      </c>
      <c r="P1134" s="329">
        <f t="shared" si="271"/>
        <v>0</v>
      </c>
      <c r="Q1134" s="329"/>
      <c r="S1134" s="332">
        <f t="shared" si="259"/>
        <v>0</v>
      </c>
      <c r="T1134" s="332">
        <f t="shared" si="261"/>
        <v>0</v>
      </c>
    </row>
    <row r="1135" spans="2:20" hidden="1">
      <c r="B1135" s="332" t="s">
        <v>1195</v>
      </c>
      <c r="C1135" s="333">
        <f t="shared" si="260"/>
        <v>0</v>
      </c>
      <c r="D1135" s="328"/>
      <c r="E1135" s="328">
        <f>VLOOKUP(B1135,DONGIA,DG!$B$6,0)</f>
        <v>0</v>
      </c>
      <c r="F1135" s="329" t="str">
        <f>VLOOKUP(B1135,DONGIA,DG!$C$6,0)</f>
        <v>Keo silicon bít miệng ống</v>
      </c>
      <c r="G1135" s="328" t="str">
        <f>VLOOKUP(B1135,DONGIA,DG!$D$6,0)</f>
        <v>ống</v>
      </c>
      <c r="H1135" s="329">
        <f>H1118</f>
        <v>0</v>
      </c>
      <c r="I1135" s="329">
        <f>VLOOKUP(B1135,DONGIA,DG!$E$6,0)</f>
        <v>45000</v>
      </c>
      <c r="J1135" s="329"/>
      <c r="K1135" s="329">
        <f>VLOOKUP(B1135,DONGIA,DG!$F$6,0)</f>
        <v>0</v>
      </c>
      <c r="L1135" s="329">
        <f>VLOOKUP(B1135,DONGIA,DG!$G$6,0)</f>
        <v>0</v>
      </c>
      <c r="M1135" s="329">
        <f t="shared" si="268"/>
        <v>0</v>
      </c>
      <c r="N1135" s="329">
        <f t="shared" si="269"/>
        <v>0</v>
      </c>
      <c r="O1135" s="329">
        <f t="shared" si="270"/>
        <v>0</v>
      </c>
      <c r="P1135" s="329">
        <f t="shared" si="271"/>
        <v>0</v>
      </c>
      <c r="Q1135" s="329"/>
      <c r="S1135" s="332">
        <f t="shared" si="259"/>
        <v>0</v>
      </c>
      <c r="T1135" s="332">
        <f t="shared" si="261"/>
        <v>0</v>
      </c>
    </row>
    <row r="1136" spans="2:20" hidden="1">
      <c r="B1136" s="332" t="s">
        <v>1193</v>
      </c>
      <c r="C1136" s="333">
        <f t="shared" si="260"/>
        <v>0</v>
      </c>
      <c r="D1136" s="328"/>
      <c r="E1136" s="328">
        <f>VLOOKUP(B1136,DONGIA,DG!$B$6,0)</f>
        <v>0</v>
      </c>
      <c r="F1136" s="329" t="str">
        <f>VLOOKUP(B1136,DONGIA,DG!$C$6,0)</f>
        <v>Băng keo cách điện</v>
      </c>
      <c r="G1136" s="328" t="str">
        <f>VLOOKUP(B1136,DONGIA,DG!$D$6,0)</f>
        <v>cuộn</v>
      </c>
      <c r="H1136" s="329"/>
      <c r="I1136" s="329">
        <f>VLOOKUP(B1136,DONGIA,DG!$E$6,0)</f>
        <v>6500</v>
      </c>
      <c r="J1136" s="329"/>
      <c r="K1136" s="329">
        <f>VLOOKUP(B1136,DONGIA,DG!$F$6,0)</f>
        <v>0</v>
      </c>
      <c r="L1136" s="329">
        <f>VLOOKUP(B1136,DONGIA,DG!$G$6,0)</f>
        <v>0</v>
      </c>
      <c r="M1136" s="329">
        <f t="shared" si="268"/>
        <v>0</v>
      </c>
      <c r="N1136" s="329">
        <f t="shared" si="269"/>
        <v>0</v>
      </c>
      <c r="O1136" s="329">
        <f t="shared" si="270"/>
        <v>0</v>
      </c>
      <c r="P1136" s="329">
        <f t="shared" si="271"/>
        <v>0</v>
      </c>
      <c r="Q1136" s="329"/>
      <c r="S1136" s="332">
        <f t="shared" si="259"/>
        <v>0</v>
      </c>
      <c r="T1136" s="332">
        <f t="shared" si="261"/>
        <v>0</v>
      </c>
    </row>
    <row r="1137" spans="2:20" hidden="1">
      <c r="B1137" s="332" t="s">
        <v>857</v>
      </c>
      <c r="C1137" s="333">
        <f t="shared" si="260"/>
        <v>0</v>
      </c>
      <c r="D1137" s="328"/>
      <c r="E1137" s="328" t="str">
        <f>VLOOKUP(B1137,DONGIA,DG!$B$6,0)</f>
        <v>T4.8003</v>
      </c>
      <c r="F1137" s="329" t="str">
        <f>VLOOKUP(B1137,DONGIA,DG!$C$6,0)</f>
        <v>Lắp ống nhựa PVC D114</v>
      </c>
      <c r="G1137" s="328" t="str">
        <f>VLOOKUP(B1137,DONGIA,DG!$D$6,0)</f>
        <v>mét</v>
      </c>
      <c r="H1137" s="329">
        <f>H1127</f>
        <v>0</v>
      </c>
      <c r="I1137" s="329">
        <f>VLOOKUP(B1137,DONGIA,DG!$E$6,0)</f>
        <v>0</v>
      </c>
      <c r="J1137" s="329"/>
      <c r="K1137" s="329">
        <f>VLOOKUP(B1137,DONGIA,DG!$F$6,0)</f>
        <v>35541</v>
      </c>
      <c r="L1137" s="329">
        <f>VLOOKUP(B1137,DONGIA,DG!$G$6,0)</f>
        <v>0</v>
      </c>
      <c r="M1137" s="329">
        <f t="shared" si="268"/>
        <v>0</v>
      </c>
      <c r="N1137" s="329">
        <f t="shared" si="269"/>
        <v>0</v>
      </c>
      <c r="O1137" s="329">
        <f t="shared" si="270"/>
        <v>0</v>
      </c>
      <c r="P1137" s="329">
        <f t="shared" si="271"/>
        <v>0</v>
      </c>
      <c r="Q1137" s="329"/>
      <c r="S1137" s="332">
        <f t="shared" si="259"/>
        <v>0</v>
      </c>
      <c r="T1137" s="332">
        <f t="shared" si="261"/>
        <v>0</v>
      </c>
    </row>
    <row r="1138" spans="2:20" hidden="1">
      <c r="B1138" s="332" t="s">
        <v>1939</v>
      </c>
      <c r="C1138" s="333">
        <f t="shared" si="260"/>
        <v>0</v>
      </c>
      <c r="D1138" s="328"/>
      <c r="E1138" s="328" t="str">
        <f>VLOOKUP(B1138,DONGIA,DG!$B$6,0)</f>
        <v>T4.4201</v>
      </c>
      <c r="F1138" s="329" t="str">
        <f>VLOOKUP(B1138,DONGIA,DG!$C$6,0)</f>
        <v>Lắp cáp đồng xuống thiết bị D ≤ 95mm2</v>
      </c>
      <c r="G1138" s="328" t="str">
        <f>VLOOKUP(B1138,DONGIA,DG!$D$6,0)</f>
        <v>m</v>
      </c>
      <c r="H1138" s="329">
        <f>H1121</f>
        <v>0</v>
      </c>
      <c r="I1138" s="329">
        <f>VLOOKUP(B1138,DONGIA,DG!$E$6,0)</f>
        <v>0</v>
      </c>
      <c r="J1138" s="329"/>
      <c r="K1138" s="329">
        <f>VLOOKUP(B1138,DONGIA,DG!$F$6,0)</f>
        <v>11847</v>
      </c>
      <c r="L1138" s="329">
        <f>VLOOKUP(B1138,DONGIA,DG!$G$6,0)</f>
        <v>0</v>
      </c>
      <c r="M1138" s="329">
        <f t="shared" si="268"/>
        <v>0</v>
      </c>
      <c r="N1138" s="329">
        <f t="shared" si="269"/>
        <v>0</v>
      </c>
      <c r="O1138" s="329">
        <f t="shared" si="270"/>
        <v>0</v>
      </c>
      <c r="P1138" s="329">
        <f t="shared" si="271"/>
        <v>0</v>
      </c>
      <c r="Q1138" s="329"/>
      <c r="S1138" s="332">
        <f t="shared" si="259"/>
        <v>0</v>
      </c>
      <c r="T1138" s="332">
        <f t="shared" si="261"/>
        <v>0</v>
      </c>
    </row>
    <row r="1139" spans="2:20" hidden="1">
      <c r="B1139" s="332" t="s">
        <v>2063</v>
      </c>
      <c r="C1139" s="333">
        <f>IF(H1139&lt;&gt;0,1,)</f>
        <v>0</v>
      </c>
      <c r="D1139" s="328"/>
      <c r="E1139" s="328" t="str">
        <f>VLOOKUP(B1139,DONGIA,DG!$B$6,0)</f>
        <v>T4.4202</v>
      </c>
      <c r="F1139" s="329" t="str">
        <f>VLOOKUP(B1139,DONGIA,DG!$C$6,0)</f>
        <v>Lắp cáp đồng xuống thiết bị D ≤ 150mm2</v>
      </c>
      <c r="G1139" s="328" t="str">
        <f>VLOOKUP(B1139,DONGIA,DG!$D$6,0)</f>
        <v>m</v>
      </c>
      <c r="H1139" s="329">
        <f>H1120</f>
        <v>0</v>
      </c>
      <c r="I1139" s="329">
        <f>VLOOKUP(B1139,DONGIA,DG!$E$6,0)</f>
        <v>0</v>
      </c>
      <c r="J1139" s="329"/>
      <c r="K1139" s="329">
        <f>VLOOKUP(B1139,DONGIA,DG!$F$6,0)</f>
        <v>28433</v>
      </c>
      <c r="L1139" s="329">
        <f>VLOOKUP(B1139,DONGIA,DG!$G$6,0)</f>
        <v>0</v>
      </c>
      <c r="M1139" s="329">
        <f>$H1139*I1139</f>
        <v>0</v>
      </c>
      <c r="N1139" s="329">
        <f>$H1139*J1139</f>
        <v>0</v>
      </c>
      <c r="O1139" s="329">
        <f>$H1139*K1139</f>
        <v>0</v>
      </c>
      <c r="P1139" s="329">
        <f>$H1139*L1139</f>
        <v>0</v>
      </c>
      <c r="Q1139" s="329"/>
      <c r="S1139" s="332">
        <f>IFERROR(VLOOKUP(B1139,DONGIA,$S$25,0),0)</f>
        <v>0</v>
      </c>
      <c r="T1139" s="332">
        <f>H1139*S1139</f>
        <v>0</v>
      </c>
    </row>
    <row r="1140" spans="2:20" hidden="1">
      <c r="C1140" s="333">
        <f t="shared" si="260"/>
        <v>0</v>
      </c>
      <c r="D1140" s="372">
        <f>IF(H1140&lt;&gt;0,D1118+1,D1118)</f>
        <v>0</v>
      </c>
      <c r="E1140" s="372"/>
      <c r="F1140" s="373" t="s">
        <v>1938</v>
      </c>
      <c r="G1140" s="372" t="s">
        <v>138</v>
      </c>
      <c r="H1140" s="373"/>
      <c r="I1140" s="373"/>
      <c r="J1140" s="373"/>
      <c r="K1140" s="373"/>
      <c r="L1140" s="373"/>
      <c r="M1140" s="373"/>
      <c r="N1140" s="373"/>
      <c r="O1140" s="373"/>
      <c r="P1140" s="373"/>
      <c r="Q1140" s="373"/>
      <c r="S1140" s="332">
        <f t="shared" si="259"/>
        <v>0</v>
      </c>
      <c r="T1140" s="332">
        <f t="shared" si="261"/>
        <v>0</v>
      </c>
    </row>
    <row r="1141" spans="2:20" s="361" customFormat="1" hidden="1">
      <c r="C1141" s="374">
        <f t="shared" si="260"/>
        <v>0</v>
      </c>
      <c r="D1141" s="350"/>
      <c r="E1141" s="350"/>
      <c r="F1141" s="351" t="s">
        <v>1902</v>
      </c>
      <c r="G1141" s="350"/>
      <c r="H1141" s="351"/>
      <c r="I1141" s="351"/>
      <c r="J1141" s="351"/>
      <c r="K1141" s="351"/>
      <c r="L1141" s="351"/>
      <c r="M1141" s="351"/>
      <c r="N1141" s="351"/>
      <c r="O1141" s="351"/>
      <c r="P1141" s="351"/>
      <c r="Q1141" s="351"/>
      <c r="S1141" s="361">
        <f t="shared" si="259"/>
        <v>0</v>
      </c>
      <c r="T1141" s="361">
        <f t="shared" si="261"/>
        <v>0</v>
      </c>
    </row>
    <row r="1142" spans="2:20" hidden="1">
      <c r="B1142" s="332" t="s">
        <v>1907</v>
      </c>
      <c r="C1142" s="333">
        <f t="shared" si="260"/>
        <v>0</v>
      </c>
      <c r="D1142" s="328"/>
      <c r="E1142" s="328">
        <f>VLOOKUP(B1142,DONGIA,DG!$B$6,0)</f>
        <v>0</v>
      </c>
      <c r="F1142" s="329" t="str">
        <f>VLOOKUP(B1142,DONGIA,DG!$C$6,0)</f>
        <v>Cáp đồng bọc CV70</v>
      </c>
      <c r="G1142" s="328" t="str">
        <f>VLOOKUP(B1142,DONGIA,DG!$D$6,0)</f>
        <v>mét</v>
      </c>
      <c r="H1142" s="329"/>
      <c r="I1142" s="329">
        <f>VLOOKUP(B1142,DONGIA,DG!$E$6,0)</f>
        <v>142880</v>
      </c>
      <c r="J1142" s="329"/>
      <c r="K1142" s="329">
        <f>VLOOKUP(B1142,DONGIA,DG!$F$6,0)</f>
        <v>0</v>
      </c>
      <c r="L1142" s="329">
        <f>VLOOKUP(B1142,DONGIA,DG!$G$6,0)</f>
        <v>0</v>
      </c>
      <c r="M1142" s="329">
        <f>$H1142*I1142</f>
        <v>0</v>
      </c>
      <c r="N1142" s="329">
        <f>$H1142*J1142</f>
        <v>0</v>
      </c>
      <c r="O1142" s="329">
        <f>$H1142*K1142</f>
        <v>0</v>
      </c>
      <c r="P1142" s="329">
        <f>$H1142*L1142</f>
        <v>0</v>
      </c>
      <c r="Q1142" s="329"/>
      <c r="S1142" s="332">
        <f t="shared" si="259"/>
        <v>0.73899999999999999</v>
      </c>
      <c r="T1142" s="332">
        <f t="shared" si="261"/>
        <v>0</v>
      </c>
    </row>
    <row r="1143" spans="2:20" hidden="1">
      <c r="B1143" s="332" t="s">
        <v>1906</v>
      </c>
      <c r="C1143" s="333">
        <f t="shared" si="260"/>
        <v>0</v>
      </c>
      <c r="D1143" s="328"/>
      <c r="E1143" s="328">
        <f>VLOOKUP(B1143,DONGIA,DG!$B$6,0)</f>
        <v>0</v>
      </c>
      <c r="F1143" s="329" t="str">
        <f>VLOOKUP(B1143,DONGIA,DG!$C$6,0)</f>
        <v>Cáp đồng bọc CV50</v>
      </c>
      <c r="G1143" s="328" t="str">
        <f>VLOOKUP(B1143,DONGIA,DG!$D$6,0)</f>
        <v>mét</v>
      </c>
      <c r="H1143" s="329"/>
      <c r="I1143" s="329">
        <f>VLOOKUP(B1143,DONGIA,DG!$E$6,0)</f>
        <v>104370</v>
      </c>
      <c r="J1143" s="329"/>
      <c r="K1143" s="329">
        <f>VLOOKUP(B1143,DONGIA,DG!$F$6,0)</f>
        <v>0</v>
      </c>
      <c r="L1143" s="329">
        <f>VLOOKUP(B1143,DONGIA,DG!$G$6,0)</f>
        <v>0</v>
      </c>
      <c r="M1143" s="329">
        <f t="shared" ref="M1143:M1159" si="272">$H1143*I1143</f>
        <v>0</v>
      </c>
      <c r="N1143" s="329">
        <f t="shared" ref="N1143:N1159" si="273">$H1143*J1143</f>
        <v>0</v>
      </c>
      <c r="O1143" s="329">
        <f t="shared" ref="O1143:O1159" si="274">$H1143*K1143</f>
        <v>0</v>
      </c>
      <c r="P1143" s="329">
        <f t="shared" ref="P1143:P1159" si="275">$H1143*L1143</f>
        <v>0</v>
      </c>
      <c r="Q1143" s="329"/>
      <c r="S1143" s="332">
        <f t="shared" si="259"/>
        <v>0.53400000000000003</v>
      </c>
      <c r="T1143" s="332">
        <f t="shared" si="261"/>
        <v>0</v>
      </c>
    </row>
    <row r="1144" spans="2:20" hidden="1">
      <c r="B1144" s="332" t="s">
        <v>1113</v>
      </c>
      <c r="C1144" s="333">
        <f t="shared" si="260"/>
        <v>0</v>
      </c>
      <c r="D1144" s="328"/>
      <c r="E1144" s="328" t="str">
        <f>VLOOKUP(B1144,DONGIA,DG!$B$6,0)</f>
        <v>D4.5003</v>
      </c>
      <c r="F1144" s="329" t="str">
        <f>VLOOKUP(B1144,DONGIA,DG!$C$6,0)</f>
        <v>Đầu cosse ép Cu 70mm2</v>
      </c>
      <c r="G1144" s="328" t="str">
        <f>VLOOKUP(B1144,DONGIA,DG!$D$6,0)</f>
        <v>cái</v>
      </c>
      <c r="H1144" s="329"/>
      <c r="I1144" s="329">
        <f>VLOOKUP(B1144,DONGIA,DG!$E$6,0)</f>
        <v>33000</v>
      </c>
      <c r="J1144" s="329"/>
      <c r="K1144" s="329">
        <f>VLOOKUP(B1144,DONGIA,DG!$F$6,0)</f>
        <v>14194</v>
      </c>
      <c r="L1144" s="329">
        <f>VLOOKUP(B1144,DONGIA,DG!$G$6,0)</f>
        <v>1767</v>
      </c>
      <c r="M1144" s="329">
        <f t="shared" si="272"/>
        <v>0</v>
      </c>
      <c r="N1144" s="329">
        <f t="shared" si="273"/>
        <v>0</v>
      </c>
      <c r="O1144" s="329">
        <f t="shared" si="274"/>
        <v>0</v>
      </c>
      <c r="P1144" s="329">
        <f t="shared" si="275"/>
        <v>0</v>
      </c>
      <c r="Q1144" s="329"/>
      <c r="S1144" s="332">
        <f t="shared" si="259"/>
        <v>0.2</v>
      </c>
      <c r="T1144" s="332">
        <f t="shared" si="261"/>
        <v>0</v>
      </c>
    </row>
    <row r="1145" spans="2:20" hidden="1">
      <c r="B1145" s="332" t="s">
        <v>1110</v>
      </c>
      <c r="C1145" s="333">
        <f t="shared" si="260"/>
        <v>0</v>
      </c>
      <c r="D1145" s="328"/>
      <c r="E1145" s="328" t="str">
        <f>VLOOKUP(B1145,DONGIA,DG!$B$6,0)</f>
        <v>D4.5002</v>
      </c>
      <c r="F1145" s="329" t="str">
        <f>VLOOKUP(B1145,DONGIA,DG!$C$6,0)</f>
        <v>Đầu cosse ép Cu 50mm2</v>
      </c>
      <c r="G1145" s="328" t="str">
        <f>VLOOKUP(B1145,DONGIA,DG!$D$6,0)</f>
        <v>cái</v>
      </c>
      <c r="H1145" s="329"/>
      <c r="I1145" s="329">
        <f>VLOOKUP(B1145,DONGIA,DG!$E$6,0)</f>
        <v>23000</v>
      </c>
      <c r="J1145" s="329"/>
      <c r="K1145" s="329">
        <f>VLOOKUP(B1145,DONGIA,DG!$F$6,0)</f>
        <v>9032</v>
      </c>
      <c r="L1145" s="329">
        <f>VLOOKUP(B1145,DONGIA,DG!$G$6,0)</f>
        <v>1473</v>
      </c>
      <c r="M1145" s="329">
        <f t="shared" si="272"/>
        <v>0</v>
      </c>
      <c r="N1145" s="329">
        <f t="shared" si="273"/>
        <v>0</v>
      </c>
      <c r="O1145" s="329">
        <f t="shared" si="274"/>
        <v>0</v>
      </c>
      <c r="P1145" s="329">
        <f t="shared" si="275"/>
        <v>0</v>
      </c>
      <c r="Q1145" s="329"/>
      <c r="S1145" s="332">
        <f t="shared" si="259"/>
        <v>0.1</v>
      </c>
      <c r="T1145" s="332">
        <f t="shared" si="261"/>
        <v>0</v>
      </c>
    </row>
    <row r="1146" spans="2:20" hidden="1">
      <c r="B1146" s="332" t="s">
        <v>1147</v>
      </c>
      <c r="C1146" s="333">
        <f t="shared" si="260"/>
        <v>0</v>
      </c>
      <c r="D1146" s="328"/>
      <c r="E1146" s="328">
        <f>VLOOKUP(B1146,DONGIA,DG!$B$6,0)</f>
        <v>0</v>
      </c>
      <c r="F1146" s="329" t="str">
        <f>VLOOKUP(B1146,DONGIA,DG!$C$6,0)</f>
        <v>Chụp đầu cosse  70mm2</v>
      </c>
      <c r="G1146" s="328" t="str">
        <f>VLOOKUP(B1146,DONGIA,DG!$D$6,0)</f>
        <v>cái</v>
      </c>
      <c r="H1146" s="329"/>
      <c r="I1146" s="329">
        <f>VLOOKUP(B1146,DONGIA,DG!$E$6,0)</f>
        <v>2000</v>
      </c>
      <c r="J1146" s="329"/>
      <c r="K1146" s="329">
        <f>VLOOKUP(B1146,DONGIA,DG!$F$6,0)</f>
        <v>0</v>
      </c>
      <c r="L1146" s="329">
        <f>VLOOKUP(B1146,DONGIA,DG!$G$6,0)</f>
        <v>0</v>
      </c>
      <c r="M1146" s="329">
        <f t="shared" si="272"/>
        <v>0</v>
      </c>
      <c r="N1146" s="329">
        <f t="shared" si="273"/>
        <v>0</v>
      </c>
      <c r="O1146" s="329">
        <f t="shared" si="274"/>
        <v>0</v>
      </c>
      <c r="P1146" s="329">
        <f t="shared" si="275"/>
        <v>0</v>
      </c>
      <c r="Q1146" s="329"/>
      <c r="S1146" s="332">
        <f t="shared" si="259"/>
        <v>0</v>
      </c>
      <c r="T1146" s="332">
        <f t="shared" si="261"/>
        <v>0</v>
      </c>
    </row>
    <row r="1147" spans="2:20" hidden="1">
      <c r="B1147" s="332" t="s">
        <v>1145</v>
      </c>
      <c r="C1147" s="333">
        <f t="shared" si="260"/>
        <v>0</v>
      </c>
      <c r="D1147" s="328"/>
      <c r="E1147" s="328">
        <f>VLOOKUP(B1147,DONGIA,DG!$B$6,0)</f>
        <v>0</v>
      </c>
      <c r="F1147" s="329" t="str">
        <f>VLOOKUP(B1147,DONGIA,DG!$C$6,0)</f>
        <v>Chụp đầu cosse  50mm2</v>
      </c>
      <c r="G1147" s="328" t="str">
        <f>VLOOKUP(B1147,DONGIA,DG!$D$6,0)</f>
        <v>cái</v>
      </c>
      <c r="H1147" s="329"/>
      <c r="I1147" s="329">
        <f>VLOOKUP(B1147,DONGIA,DG!$E$6,0)</f>
        <v>2000</v>
      </c>
      <c r="J1147" s="329"/>
      <c r="K1147" s="329">
        <f>VLOOKUP(B1147,DONGIA,DG!$F$6,0)</f>
        <v>0</v>
      </c>
      <c r="L1147" s="329">
        <f>VLOOKUP(B1147,DONGIA,DG!$G$6,0)</f>
        <v>0</v>
      </c>
      <c r="M1147" s="329">
        <f t="shared" si="272"/>
        <v>0</v>
      </c>
      <c r="N1147" s="329">
        <f t="shared" si="273"/>
        <v>0</v>
      </c>
      <c r="O1147" s="329">
        <f t="shared" si="274"/>
        <v>0</v>
      </c>
      <c r="P1147" s="329">
        <f t="shared" si="275"/>
        <v>0</v>
      </c>
      <c r="Q1147" s="329"/>
      <c r="S1147" s="332">
        <f t="shared" si="259"/>
        <v>0</v>
      </c>
      <c r="T1147" s="332">
        <f t="shared" si="261"/>
        <v>0</v>
      </c>
    </row>
    <row r="1148" spans="2:20" hidden="1">
      <c r="B1148" s="332" t="s">
        <v>1177</v>
      </c>
      <c r="C1148" s="333">
        <f t="shared" si="260"/>
        <v>0</v>
      </c>
      <c r="D1148" s="328"/>
      <c r="E1148" s="328">
        <f>VLOOKUP(B1148,DONGIA,DG!$B$6,0)</f>
        <v>0</v>
      </c>
      <c r="F1148" s="329" t="str">
        <f>VLOOKUP(B1148,DONGIA,DG!$C$6,0)</f>
        <v xml:space="preserve">Ống PVC D90x3,8mm </v>
      </c>
      <c r="G1148" s="328" t="str">
        <f>VLOOKUP(B1148,DONGIA,DG!$D$6,0)</f>
        <v>m</v>
      </c>
      <c r="H1148" s="329"/>
      <c r="I1148" s="329">
        <f>VLOOKUP(B1148,DONGIA,DG!$E$6,0)</f>
        <v>57000</v>
      </c>
      <c r="J1148" s="329"/>
      <c r="K1148" s="329">
        <f>VLOOKUP(B1148,DONGIA,DG!$F$6,0)</f>
        <v>0</v>
      </c>
      <c r="L1148" s="329">
        <f>VLOOKUP(B1148,DONGIA,DG!$G$6,0)</f>
        <v>0</v>
      </c>
      <c r="M1148" s="329">
        <f t="shared" si="272"/>
        <v>0</v>
      </c>
      <c r="N1148" s="329">
        <f t="shared" si="273"/>
        <v>0</v>
      </c>
      <c r="O1148" s="329">
        <f t="shared" si="274"/>
        <v>0</v>
      </c>
      <c r="P1148" s="329">
        <f t="shared" si="275"/>
        <v>0</v>
      </c>
      <c r="Q1148" s="329"/>
      <c r="S1148" s="332">
        <f t="shared" si="259"/>
        <v>2</v>
      </c>
      <c r="T1148" s="332">
        <f t="shared" si="261"/>
        <v>0</v>
      </c>
    </row>
    <row r="1149" spans="2:20" hidden="1">
      <c r="B1149" s="332" t="s">
        <v>455</v>
      </c>
      <c r="C1149" s="333">
        <f t="shared" si="260"/>
        <v>0</v>
      </c>
      <c r="D1149" s="328"/>
      <c r="E1149" s="328">
        <f>VLOOKUP(B1149,DONGIA,DG!$B$6,0)</f>
        <v>0</v>
      </c>
      <c r="F1149" s="329" t="str">
        <f>VLOOKUP(B1149,DONGIA,DG!$C$6,0)</f>
        <v>Cổ dê kẹp ống PVC φ 90 (có giá nới)</v>
      </c>
      <c r="G1149" s="328" t="str">
        <f>VLOOKUP(B1149,DONGIA,DG!$D$6,0)</f>
        <v>bộ</v>
      </c>
      <c r="H1149" s="329"/>
      <c r="I1149" s="329">
        <f>VLOOKUP(B1149,DONGIA,DG!$E$6,0)</f>
        <v>60000</v>
      </c>
      <c r="J1149" s="329"/>
      <c r="K1149" s="329">
        <f>VLOOKUP(B1149,DONGIA,DG!$F$6,0)</f>
        <v>0</v>
      </c>
      <c r="L1149" s="329">
        <f>VLOOKUP(B1149,DONGIA,DG!$G$6,0)</f>
        <v>0</v>
      </c>
      <c r="M1149" s="329">
        <f t="shared" si="272"/>
        <v>0</v>
      </c>
      <c r="N1149" s="329">
        <f t="shared" si="273"/>
        <v>0</v>
      </c>
      <c r="O1149" s="329">
        <f t="shared" si="274"/>
        <v>0</v>
      </c>
      <c r="P1149" s="329">
        <f t="shared" si="275"/>
        <v>0</v>
      </c>
      <c r="Q1149" s="329"/>
      <c r="S1149" s="332">
        <f t="shared" si="259"/>
        <v>1.5</v>
      </c>
      <c r="T1149" s="332">
        <f t="shared" si="261"/>
        <v>0</v>
      </c>
    </row>
    <row r="1150" spans="2:20" hidden="1">
      <c r="B1150" s="332" t="s">
        <v>455</v>
      </c>
      <c r="C1150" s="333">
        <f t="shared" si="260"/>
        <v>0</v>
      </c>
      <c r="D1150" s="328"/>
      <c r="E1150" s="328">
        <f>VLOOKUP(B1150,DONGIA,DG!$B$6,0)</f>
        <v>0</v>
      </c>
      <c r="F1150" s="329" t="str">
        <f>VLOOKUP(B1150,DONGIA,DG!$C$6,0)</f>
        <v>Cổ dê kẹp ống PVC φ 90 (có giá nới)</v>
      </c>
      <c r="G1150" s="328" t="str">
        <f>VLOOKUP(B1150,DONGIA,DG!$D$6,0)</f>
        <v>bộ</v>
      </c>
      <c r="H1150" s="329"/>
      <c r="I1150" s="329">
        <f>VLOOKUP(B1150,DONGIA,DG!$E$6,0)</f>
        <v>60000</v>
      </c>
      <c r="J1150" s="329"/>
      <c r="K1150" s="329">
        <f>VLOOKUP(B1150,DONGIA,DG!$F$6,0)</f>
        <v>0</v>
      </c>
      <c r="L1150" s="329">
        <f>VLOOKUP(B1150,DONGIA,DG!$G$6,0)</f>
        <v>0</v>
      </c>
      <c r="M1150" s="329">
        <f t="shared" si="272"/>
        <v>0</v>
      </c>
      <c r="N1150" s="329">
        <f t="shared" si="273"/>
        <v>0</v>
      </c>
      <c r="O1150" s="329">
        <f t="shared" si="274"/>
        <v>0</v>
      </c>
      <c r="P1150" s="329">
        <f t="shared" si="275"/>
        <v>0</v>
      </c>
      <c r="Q1150" s="329"/>
      <c r="S1150" s="332">
        <f t="shared" si="259"/>
        <v>1.5</v>
      </c>
      <c r="T1150" s="332">
        <f t="shared" si="261"/>
        <v>0</v>
      </c>
    </row>
    <row r="1151" spans="2:20" hidden="1">
      <c r="B1151" s="332" t="s">
        <v>455</v>
      </c>
      <c r="C1151" s="333">
        <f t="shared" si="260"/>
        <v>0</v>
      </c>
      <c r="D1151" s="328"/>
      <c r="E1151" s="328">
        <f>VLOOKUP(B1151,DONGIA,DG!$B$6,0)</f>
        <v>0</v>
      </c>
      <c r="F1151" s="329" t="str">
        <f>VLOOKUP(B1151,DONGIA,DG!$C$6,0)</f>
        <v>Cổ dê kẹp ống PVC φ 90 (có giá nới)</v>
      </c>
      <c r="G1151" s="328" t="str">
        <f>VLOOKUP(B1151,DONGIA,DG!$D$6,0)</f>
        <v>bộ</v>
      </c>
      <c r="H1151" s="329"/>
      <c r="I1151" s="329">
        <f>VLOOKUP(B1151,DONGIA,DG!$E$6,0)</f>
        <v>60000</v>
      </c>
      <c r="J1151" s="329"/>
      <c r="K1151" s="329">
        <f>VLOOKUP(B1151,DONGIA,DG!$F$6,0)</f>
        <v>0</v>
      </c>
      <c r="L1151" s="329">
        <f>VLOOKUP(B1151,DONGIA,DG!$G$6,0)</f>
        <v>0</v>
      </c>
      <c r="M1151" s="329">
        <f t="shared" si="272"/>
        <v>0</v>
      </c>
      <c r="N1151" s="329">
        <f t="shared" si="273"/>
        <v>0</v>
      </c>
      <c r="O1151" s="329">
        <f t="shared" si="274"/>
        <v>0</v>
      </c>
      <c r="P1151" s="329">
        <f t="shared" si="275"/>
        <v>0</v>
      </c>
      <c r="Q1151" s="329"/>
      <c r="S1151" s="332">
        <f t="shared" si="259"/>
        <v>1.5</v>
      </c>
      <c r="T1151" s="332">
        <f t="shared" si="261"/>
        <v>0</v>
      </c>
    </row>
    <row r="1152" spans="2:20" hidden="1">
      <c r="B1152" s="332" t="s">
        <v>1183</v>
      </c>
      <c r="C1152" s="333">
        <f t="shared" si="260"/>
        <v>0</v>
      </c>
      <c r="D1152" s="328"/>
      <c r="E1152" s="328">
        <f>VLOOKUP(B1152,DONGIA,DG!$B$6,0)</f>
        <v>0</v>
      </c>
      <c r="F1152" s="329" t="str">
        <f>VLOOKUP(B1152,DONGIA,DG!$C$6,0)</f>
        <v>Co  90 độ PVC 90</v>
      </c>
      <c r="G1152" s="328" t="str">
        <f>VLOOKUP(B1152,DONGIA,DG!$D$6,0)</f>
        <v>cái</v>
      </c>
      <c r="H1152" s="329"/>
      <c r="I1152" s="329">
        <f>VLOOKUP(B1152,DONGIA,DG!$E$6,0)</f>
        <v>45400</v>
      </c>
      <c r="J1152" s="329"/>
      <c r="K1152" s="329">
        <f>VLOOKUP(B1152,DONGIA,DG!$F$6,0)</f>
        <v>0</v>
      </c>
      <c r="L1152" s="329">
        <f>VLOOKUP(B1152,DONGIA,DG!$G$6,0)</f>
        <v>0</v>
      </c>
      <c r="M1152" s="329">
        <f t="shared" si="272"/>
        <v>0</v>
      </c>
      <c r="N1152" s="329">
        <f t="shared" si="273"/>
        <v>0</v>
      </c>
      <c r="O1152" s="329">
        <f t="shared" si="274"/>
        <v>0</v>
      </c>
      <c r="P1152" s="329">
        <f t="shared" si="275"/>
        <v>0</v>
      </c>
      <c r="Q1152" s="329"/>
      <c r="S1152" s="332">
        <f t="shared" si="259"/>
        <v>0</v>
      </c>
      <c r="T1152" s="332">
        <f t="shared" si="261"/>
        <v>0</v>
      </c>
    </row>
    <row r="1153" spans="1:20" hidden="1">
      <c r="B1153" s="332" t="s">
        <v>1181</v>
      </c>
      <c r="C1153" s="333">
        <f t="shared" si="260"/>
        <v>0</v>
      </c>
      <c r="D1153" s="328"/>
      <c r="E1153" s="328">
        <f>VLOOKUP(B1153,DONGIA,DG!$B$6,0)</f>
        <v>0</v>
      </c>
      <c r="F1153" s="329" t="str">
        <f>VLOOKUP(B1153,DONGIA,DG!$C$6,0)</f>
        <v>Co 135 độ PVC 90</v>
      </c>
      <c r="G1153" s="328" t="str">
        <f>VLOOKUP(B1153,DONGIA,DG!$D$6,0)</f>
        <v>cái</v>
      </c>
      <c r="H1153" s="329"/>
      <c r="I1153" s="329">
        <f>VLOOKUP(B1153,DONGIA,DG!$E$6,0)</f>
        <v>34800</v>
      </c>
      <c r="J1153" s="329"/>
      <c r="K1153" s="329">
        <f>VLOOKUP(B1153,DONGIA,DG!$F$6,0)</f>
        <v>0</v>
      </c>
      <c r="L1153" s="329">
        <f>VLOOKUP(B1153,DONGIA,DG!$G$6,0)</f>
        <v>0</v>
      </c>
      <c r="M1153" s="329">
        <f t="shared" si="272"/>
        <v>0</v>
      </c>
      <c r="N1153" s="329">
        <f t="shared" si="273"/>
        <v>0</v>
      </c>
      <c r="O1153" s="329">
        <f t="shared" si="274"/>
        <v>0</v>
      </c>
      <c r="P1153" s="329">
        <f t="shared" si="275"/>
        <v>0</v>
      </c>
      <c r="Q1153" s="329"/>
      <c r="S1153" s="332">
        <f t="shared" si="259"/>
        <v>0</v>
      </c>
      <c r="T1153" s="332">
        <f t="shared" si="261"/>
        <v>0</v>
      </c>
    </row>
    <row r="1154" spans="1:20" hidden="1">
      <c r="B1154" s="332" t="s">
        <v>1914</v>
      </c>
      <c r="C1154" s="333">
        <f t="shared" si="260"/>
        <v>0</v>
      </c>
      <c r="D1154" s="328"/>
      <c r="E1154" s="328">
        <f>VLOOKUP(B1154,DONGIA,DG!$B$6,0)</f>
        <v>0</v>
      </c>
      <c r="F1154" s="329" t="str">
        <f>VLOOKUP(B1154,DONGIA,DG!$C$6,0)</f>
        <v>Keo dán ống PVC (100gr)</v>
      </c>
      <c r="G1154" s="328" t="str">
        <f>VLOOKUP(B1154,DONGIA,DG!$D$6,0)</f>
        <v>tuýp</v>
      </c>
      <c r="H1154" s="329"/>
      <c r="I1154" s="329">
        <f>VLOOKUP(B1154,DONGIA,DG!$E$6,0)</f>
        <v>11500</v>
      </c>
      <c r="J1154" s="329"/>
      <c r="K1154" s="329">
        <f>VLOOKUP(B1154,DONGIA,DG!$F$6,0)</f>
        <v>0</v>
      </c>
      <c r="L1154" s="329">
        <f>VLOOKUP(B1154,DONGIA,DG!$G$6,0)</f>
        <v>0</v>
      </c>
      <c r="M1154" s="329">
        <f t="shared" si="272"/>
        <v>0</v>
      </c>
      <c r="N1154" s="329">
        <f t="shared" si="273"/>
        <v>0</v>
      </c>
      <c r="O1154" s="329">
        <f t="shared" si="274"/>
        <v>0</v>
      </c>
      <c r="P1154" s="329">
        <f t="shared" si="275"/>
        <v>0</v>
      </c>
      <c r="Q1154" s="329"/>
      <c r="S1154" s="332">
        <f t="shared" si="259"/>
        <v>0</v>
      </c>
      <c r="T1154" s="332">
        <f t="shared" si="261"/>
        <v>0</v>
      </c>
    </row>
    <row r="1155" spans="1:20" hidden="1">
      <c r="B1155" s="332" t="s">
        <v>1195</v>
      </c>
      <c r="C1155" s="333">
        <f t="shared" si="260"/>
        <v>0</v>
      </c>
      <c r="D1155" s="328"/>
      <c r="E1155" s="328">
        <f>VLOOKUP(B1155,DONGIA,DG!$B$6,0)</f>
        <v>0</v>
      </c>
      <c r="F1155" s="329" t="str">
        <f>VLOOKUP(B1155,DONGIA,DG!$C$6,0)</f>
        <v>Keo silicon bít miệng ống</v>
      </c>
      <c r="G1155" s="328" t="str">
        <f>VLOOKUP(B1155,DONGIA,DG!$D$6,0)</f>
        <v>ống</v>
      </c>
      <c r="H1155" s="329"/>
      <c r="I1155" s="329">
        <f>VLOOKUP(B1155,DONGIA,DG!$E$6,0)</f>
        <v>45000</v>
      </c>
      <c r="J1155" s="329"/>
      <c r="K1155" s="329">
        <f>VLOOKUP(B1155,DONGIA,DG!$F$6,0)</f>
        <v>0</v>
      </c>
      <c r="L1155" s="329">
        <f>VLOOKUP(B1155,DONGIA,DG!$G$6,0)</f>
        <v>0</v>
      </c>
      <c r="M1155" s="329">
        <f t="shared" si="272"/>
        <v>0</v>
      </c>
      <c r="N1155" s="329">
        <f t="shared" si="273"/>
        <v>0</v>
      </c>
      <c r="O1155" s="329">
        <f t="shared" si="274"/>
        <v>0</v>
      </c>
      <c r="P1155" s="329">
        <f t="shared" si="275"/>
        <v>0</v>
      </c>
      <c r="Q1155" s="329"/>
      <c r="S1155" s="332">
        <f t="shared" si="259"/>
        <v>0</v>
      </c>
      <c r="T1155" s="332">
        <f t="shared" si="261"/>
        <v>0</v>
      </c>
    </row>
    <row r="1156" spans="1:20" hidden="1">
      <c r="B1156" s="332" t="s">
        <v>1193</v>
      </c>
      <c r="C1156" s="333">
        <f t="shared" si="260"/>
        <v>0</v>
      </c>
      <c r="D1156" s="328"/>
      <c r="E1156" s="328">
        <f>VLOOKUP(B1156,DONGIA,DG!$B$6,0)</f>
        <v>0</v>
      </c>
      <c r="F1156" s="329" t="str">
        <f>VLOOKUP(B1156,DONGIA,DG!$C$6,0)</f>
        <v>Băng keo cách điện</v>
      </c>
      <c r="G1156" s="328" t="str">
        <f>VLOOKUP(B1156,DONGIA,DG!$D$6,0)</f>
        <v>cuộn</v>
      </c>
      <c r="H1156" s="329"/>
      <c r="I1156" s="329">
        <f>VLOOKUP(B1156,DONGIA,DG!$E$6,0)</f>
        <v>6500</v>
      </c>
      <c r="J1156" s="329"/>
      <c r="K1156" s="329">
        <f>VLOOKUP(B1156,DONGIA,DG!$F$6,0)</f>
        <v>0</v>
      </c>
      <c r="L1156" s="329">
        <f>VLOOKUP(B1156,DONGIA,DG!$G$6,0)</f>
        <v>0</v>
      </c>
      <c r="M1156" s="329">
        <f t="shared" si="272"/>
        <v>0</v>
      </c>
      <c r="N1156" s="329">
        <f t="shared" si="273"/>
        <v>0</v>
      </c>
      <c r="O1156" s="329">
        <f t="shared" si="274"/>
        <v>0</v>
      </c>
      <c r="P1156" s="329">
        <f t="shared" si="275"/>
        <v>0</v>
      </c>
      <c r="Q1156" s="329"/>
      <c r="S1156" s="332">
        <f t="shared" si="259"/>
        <v>0</v>
      </c>
      <c r="T1156" s="332">
        <f t="shared" si="261"/>
        <v>0</v>
      </c>
    </row>
    <row r="1157" spans="1:20" hidden="1">
      <c r="B1157" s="332" t="s">
        <v>855</v>
      </c>
      <c r="C1157" s="333">
        <f t="shared" si="260"/>
        <v>0</v>
      </c>
      <c r="D1157" s="328"/>
      <c r="E1157" s="328" t="str">
        <f>VLOOKUP(B1157,DONGIA,DG!$B$6,0)</f>
        <v>T4.8003</v>
      </c>
      <c r="F1157" s="329" t="str">
        <f>VLOOKUP(B1157,DONGIA,DG!$C$6,0)</f>
        <v>Lắp ống nhựa PVC D90</v>
      </c>
      <c r="G1157" s="328" t="str">
        <f>VLOOKUP(B1157,DONGIA,DG!$D$6,0)</f>
        <v>mét</v>
      </c>
      <c r="H1157" s="329"/>
      <c r="I1157" s="329">
        <f>VLOOKUP(B1157,DONGIA,DG!$E$6,0)</f>
        <v>0</v>
      </c>
      <c r="J1157" s="329"/>
      <c r="K1157" s="329">
        <f>VLOOKUP(B1157,DONGIA,DG!$F$6,0)</f>
        <v>35541</v>
      </c>
      <c r="L1157" s="329">
        <f>VLOOKUP(B1157,DONGIA,DG!$G$6,0)</f>
        <v>0</v>
      </c>
      <c r="M1157" s="329">
        <f t="shared" si="272"/>
        <v>0</v>
      </c>
      <c r="N1157" s="329">
        <f t="shared" si="273"/>
        <v>0</v>
      </c>
      <c r="O1157" s="329">
        <f t="shared" si="274"/>
        <v>0</v>
      </c>
      <c r="P1157" s="329">
        <f t="shared" si="275"/>
        <v>0</v>
      </c>
      <c r="Q1157" s="329"/>
      <c r="S1157" s="332">
        <f t="shared" ref="S1157:S1220" si="276">IFERROR(VLOOKUP(B1157,DONGIA,$S$25,0),0)</f>
        <v>0</v>
      </c>
      <c r="T1157" s="332">
        <f t="shared" si="261"/>
        <v>0</v>
      </c>
    </row>
    <row r="1158" spans="1:20" hidden="1">
      <c r="B1158" s="332" t="s">
        <v>1939</v>
      </c>
      <c r="C1158" s="333">
        <f t="shared" ref="C1158:C1221" si="277">IF(H1158&lt;&gt;0,1,)</f>
        <v>0</v>
      </c>
      <c r="D1158" s="328"/>
      <c r="E1158" s="328" t="str">
        <f>VLOOKUP(B1158,DONGIA,DG!$B$6,0)</f>
        <v>T4.4201</v>
      </c>
      <c r="F1158" s="329" t="str">
        <f>VLOOKUP(B1158,DONGIA,DG!$C$6,0)</f>
        <v>Lắp cáp đồng xuống thiết bị D ≤ 95mm2</v>
      </c>
      <c r="G1158" s="328" t="str">
        <f>VLOOKUP(B1158,DONGIA,DG!$D$6,0)</f>
        <v>m</v>
      </c>
      <c r="H1158" s="329"/>
      <c r="I1158" s="329">
        <f>VLOOKUP(B1158,DONGIA,DG!$E$6,0)</f>
        <v>0</v>
      </c>
      <c r="J1158" s="329"/>
      <c r="K1158" s="329">
        <f>VLOOKUP(B1158,DONGIA,DG!$F$6,0)</f>
        <v>11847</v>
      </c>
      <c r="L1158" s="329">
        <f>VLOOKUP(B1158,DONGIA,DG!$G$6,0)</f>
        <v>0</v>
      </c>
      <c r="M1158" s="329">
        <f t="shared" si="272"/>
        <v>0</v>
      </c>
      <c r="N1158" s="329">
        <f t="shared" si="273"/>
        <v>0</v>
      </c>
      <c r="O1158" s="329">
        <f t="shared" si="274"/>
        <v>0</v>
      </c>
      <c r="P1158" s="329">
        <f t="shared" si="275"/>
        <v>0</v>
      </c>
      <c r="Q1158" s="329"/>
      <c r="S1158" s="332">
        <f t="shared" si="276"/>
        <v>0</v>
      </c>
      <c r="T1158" s="332">
        <f t="shared" ref="T1158:T1221" si="278">H1158*S1158</f>
        <v>0</v>
      </c>
    </row>
    <row r="1159" spans="1:20" hidden="1">
      <c r="B1159" s="332" t="s">
        <v>1058</v>
      </c>
      <c r="C1159" s="333">
        <f t="shared" si="277"/>
        <v>0</v>
      </c>
      <c r="D1159" s="372">
        <f>IF(H1159&lt;&gt;0,D1140+1,D1140)</f>
        <v>0</v>
      </c>
      <c r="E1159" s="372">
        <f>VLOOKUP(B1159,DONGIA,DG!$B$6,0)</f>
        <v>0</v>
      </c>
      <c r="F1159" s="373" t="str">
        <f>VLOOKUP(B1159,DONGIA,DG!$C$6,0)</f>
        <v>Bảng tên trạm + bulon</v>
      </c>
      <c r="G1159" s="372" t="str">
        <f>VLOOKUP(B1159,DONGIA,DG!$D$6,0)</f>
        <v>bộ</v>
      </c>
      <c r="H1159" s="373">
        <f>TR3X75</f>
        <v>0</v>
      </c>
      <c r="I1159" s="373">
        <f>VLOOKUP(B1159,DONGIA,DG!$E$6,0)</f>
        <v>150000</v>
      </c>
      <c r="J1159" s="373"/>
      <c r="K1159" s="373">
        <f>VLOOKUP(B1159,DONGIA,DG!$F$6,0)</f>
        <v>0</v>
      </c>
      <c r="L1159" s="373">
        <f>VLOOKUP(B1159,DONGIA,DG!$G$6,0)</f>
        <v>0</v>
      </c>
      <c r="M1159" s="373">
        <f t="shared" si="272"/>
        <v>0</v>
      </c>
      <c r="N1159" s="373">
        <f t="shared" si="273"/>
        <v>0</v>
      </c>
      <c r="O1159" s="373">
        <f t="shared" si="274"/>
        <v>0</v>
      </c>
      <c r="P1159" s="373">
        <f t="shared" si="275"/>
        <v>0</v>
      </c>
      <c r="Q1159" s="373"/>
      <c r="S1159" s="332">
        <f t="shared" si="276"/>
        <v>0</v>
      </c>
      <c r="T1159" s="332">
        <f t="shared" si="278"/>
        <v>0</v>
      </c>
    </row>
    <row r="1160" spans="1:20" s="353" customFormat="1" hidden="1">
      <c r="A1160" s="353" t="s">
        <v>2094</v>
      </c>
      <c r="C1160" s="333">
        <f t="shared" si="277"/>
        <v>0</v>
      </c>
      <c r="D1160" s="368"/>
      <c r="E1160" s="369" t="str">
        <f>TR3X100&amp;" Trạm 3 pha 3x100kVA"</f>
        <v>0 Trạm 3 pha 3x100kVA</v>
      </c>
      <c r="F1160" s="368"/>
      <c r="G1160" s="368"/>
      <c r="H1160" s="368"/>
      <c r="I1160" s="325"/>
      <c r="J1160" s="325"/>
      <c r="K1160" s="325"/>
      <c r="L1160" s="325"/>
      <c r="M1160" s="325"/>
      <c r="N1160" s="325"/>
      <c r="O1160" s="325"/>
      <c r="P1160" s="325"/>
      <c r="Q1160" s="368"/>
      <c r="S1160" s="332">
        <f t="shared" si="276"/>
        <v>0</v>
      </c>
      <c r="T1160" s="332">
        <f t="shared" si="278"/>
        <v>0</v>
      </c>
    </row>
    <row r="1161" spans="1:20" hidden="1">
      <c r="A1161" s="332" t="s">
        <v>2108</v>
      </c>
      <c r="C1161" s="333">
        <f t="shared" si="277"/>
        <v>0</v>
      </c>
      <c r="D1161" s="344"/>
      <c r="E1161" s="344"/>
      <c r="F1161" s="345" t="s">
        <v>1900</v>
      </c>
      <c r="G1161" s="344"/>
      <c r="H1161" s="345"/>
      <c r="I1161" s="345"/>
      <c r="J1161" s="345"/>
      <c r="K1161" s="345"/>
      <c r="L1161" s="345"/>
      <c r="M1161" s="345"/>
      <c r="N1161" s="345"/>
      <c r="O1161" s="345"/>
      <c r="P1161" s="345"/>
      <c r="Q1161" s="345"/>
      <c r="S1161" s="332">
        <f t="shared" si="276"/>
        <v>0</v>
      </c>
      <c r="T1161" s="371">
        <f>SUM(T1162:T1167)</f>
        <v>0</v>
      </c>
    </row>
    <row r="1162" spans="1:20" hidden="1">
      <c r="A1162" s="332" t="s">
        <v>477</v>
      </c>
      <c r="B1162" s="332" t="s">
        <v>899</v>
      </c>
      <c r="C1162" s="333">
        <f t="shared" si="277"/>
        <v>0</v>
      </c>
      <c r="D1162" s="328"/>
      <c r="E1162" s="328" t="str">
        <f>VLOOKUP(B1162,DONGIA,DG!$B$6,0)</f>
        <v>T1.1431</v>
      </c>
      <c r="F1162" s="329" t="str">
        <f>VLOOKUP(B1162,DONGIA,DG!$C$6,0)</f>
        <v>Máy biến áp 12,7/0,22-0,44kV  25kVA</v>
      </c>
      <c r="G1162" s="328" t="str">
        <f>VLOOKUP(B1162,DONGIA,DG!$D$6,0)</f>
        <v>máy</v>
      </c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S1162" s="332">
        <f t="shared" si="276"/>
        <v>320</v>
      </c>
      <c r="T1162" s="332">
        <f t="shared" si="278"/>
        <v>0</v>
      </c>
    </row>
    <row r="1163" spans="1:20" hidden="1">
      <c r="A1163" s="332" t="s">
        <v>477</v>
      </c>
      <c r="B1163" s="332" t="s">
        <v>1444</v>
      </c>
      <c r="C1163" s="333">
        <f t="shared" si="277"/>
        <v>0</v>
      </c>
      <c r="D1163" s="328"/>
      <c r="E1163" s="328" t="str">
        <f>VLOOKUP(B1163,DONGIA,DG!$B$6,0)</f>
        <v>T2.3505</v>
      </c>
      <c r="F1163" s="329" t="str">
        <f>VLOOKUP(B1163,DONGIA,DG!$C$6,0)</f>
        <v>FCO 27kV - 100A</v>
      </c>
      <c r="G1163" s="328" t="str">
        <f>VLOOKUP(B1163,DONGIA,DG!$D$6,0)</f>
        <v>cái</v>
      </c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S1163" s="332">
        <f t="shared" si="276"/>
        <v>1.5</v>
      </c>
      <c r="T1163" s="332">
        <f t="shared" si="278"/>
        <v>0</v>
      </c>
    </row>
    <row r="1164" spans="1:20" hidden="1">
      <c r="A1164" s="332" t="s">
        <v>477</v>
      </c>
      <c r="B1164" s="332" t="s">
        <v>943</v>
      </c>
      <c r="C1164" s="333">
        <f t="shared" si="277"/>
        <v>0</v>
      </c>
      <c r="D1164" s="328"/>
      <c r="E1164" s="328" t="str">
        <f>VLOOKUP(B1164,DONGIA,DG!$B$6,0)</f>
        <v>T2.5004</v>
      </c>
      <c r="F1164" s="329" t="str">
        <f>VLOOKUP(B1164,DONGIA,DG!$C$6,0)</f>
        <v>LA 18kV 10kA</v>
      </c>
      <c r="G1164" s="328" t="str">
        <f>VLOOKUP(B1164,DONGIA,DG!$D$6,0)</f>
        <v>cái</v>
      </c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S1164" s="332">
        <f t="shared" si="276"/>
        <v>0.8</v>
      </c>
      <c r="T1164" s="332">
        <f t="shared" si="278"/>
        <v>0</v>
      </c>
    </row>
    <row r="1165" spans="1:20" hidden="1">
      <c r="A1165" s="332" t="s">
        <v>477</v>
      </c>
      <c r="B1165" s="332" t="s">
        <v>992</v>
      </c>
      <c r="C1165" s="333">
        <f t="shared" si="277"/>
        <v>0</v>
      </c>
      <c r="D1165" s="328"/>
      <c r="E1165" s="328" t="str">
        <f>VLOOKUP(B1165,DONGIA,DG!$B$6,0)</f>
        <v>T2.8403</v>
      </c>
      <c r="F1165" s="329" t="str">
        <f>VLOOKUP(B1165,DONGIA,DG!$C$6,0)</f>
        <v>MCCB 3 cực 400V - 125A - 30KA (80-125A)</v>
      </c>
      <c r="G1165" s="328" t="str">
        <f>VLOOKUP(B1165,DONGIA,DG!$D$6,0)</f>
        <v>cái</v>
      </c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S1165" s="332">
        <f t="shared" si="276"/>
        <v>2</v>
      </c>
      <c r="T1165" s="332">
        <f t="shared" si="278"/>
        <v>0</v>
      </c>
    </row>
    <row r="1166" spans="1:20" hidden="1">
      <c r="A1166" s="332" t="s">
        <v>477</v>
      </c>
      <c r="B1166" s="332" t="s">
        <v>946</v>
      </c>
      <c r="C1166" s="333">
        <f t="shared" si="277"/>
        <v>0</v>
      </c>
      <c r="D1166" s="328"/>
      <c r="E1166" s="328">
        <f>VLOOKUP(B1166,DONGIA,DG!$B$6,0)</f>
        <v>0</v>
      </c>
      <c r="F1166" s="329" t="str">
        <f>VLOOKUP(B1166,DONGIA,DG!$C$6,0)</f>
        <v>Biến dòng 600V - 100/5A</v>
      </c>
      <c r="G1166" s="328" t="str">
        <f>VLOOKUP(B1166,DONGIA,DG!$D$6,0)</f>
        <v>cái</v>
      </c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S1166" s="332">
        <f t="shared" si="276"/>
        <v>0</v>
      </c>
      <c r="T1166" s="332">
        <f t="shared" si="278"/>
        <v>0</v>
      </c>
    </row>
    <row r="1167" spans="1:20" hidden="1">
      <c r="A1167" s="332" t="s">
        <v>477</v>
      </c>
      <c r="B1167" s="332" t="s">
        <v>1046</v>
      </c>
      <c r="C1167" s="333">
        <f t="shared" si="277"/>
        <v>0</v>
      </c>
      <c r="D1167" s="328"/>
      <c r="E1167" s="328">
        <f>VLOOKUP(B1167,DONGIA,DG!$B$6,0)</f>
        <v>0</v>
      </c>
      <c r="F1167" s="329" t="str">
        <f>VLOOKUP(B1167,DONGIA,DG!$C$6,0)</f>
        <v>Điện kế 3 pha 4 dây 220/380V-5A</v>
      </c>
      <c r="G1167" s="328" t="str">
        <f>VLOOKUP(B1167,DONGIA,DG!$D$6,0)</f>
        <v>cái</v>
      </c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S1167" s="332">
        <f t="shared" si="276"/>
        <v>1.5</v>
      </c>
      <c r="T1167" s="332">
        <f t="shared" si="278"/>
        <v>0</v>
      </c>
    </row>
    <row r="1168" spans="1:20" hidden="1">
      <c r="A1168" s="332" t="s">
        <v>2109</v>
      </c>
      <c r="C1168" s="333">
        <f t="shared" si="277"/>
        <v>0</v>
      </c>
      <c r="D1168" s="344"/>
      <c r="E1168" s="344"/>
      <c r="F1168" s="345" t="s">
        <v>1901</v>
      </c>
      <c r="G1168" s="344"/>
      <c r="H1168" s="345"/>
      <c r="I1168" s="345"/>
      <c r="J1168" s="345"/>
      <c r="K1168" s="345"/>
      <c r="L1168" s="345"/>
      <c r="M1168" s="345"/>
      <c r="N1168" s="345"/>
      <c r="O1168" s="345"/>
      <c r="P1168" s="345"/>
      <c r="Q1168" s="345"/>
      <c r="S1168" s="332">
        <f t="shared" si="276"/>
        <v>0</v>
      </c>
      <c r="T1168" s="371">
        <f>SUM(T1169:T1247)</f>
        <v>0</v>
      </c>
    </row>
    <row r="1169" spans="1:20" hidden="1">
      <c r="C1169" s="333">
        <f t="shared" si="277"/>
        <v>0</v>
      </c>
      <c r="D1169" s="372">
        <f>IF(H1169&lt;&gt;0,1,)</f>
        <v>0</v>
      </c>
      <c r="E1169" s="372"/>
      <c r="F1169" s="373" t="s">
        <v>1931</v>
      </c>
      <c r="G1169" s="372" t="s">
        <v>138</v>
      </c>
      <c r="H1169" s="373"/>
      <c r="I1169" s="373"/>
      <c r="J1169" s="373"/>
      <c r="K1169" s="373"/>
      <c r="L1169" s="373"/>
      <c r="M1169" s="373"/>
      <c r="N1169" s="373"/>
      <c r="O1169" s="373"/>
      <c r="P1169" s="373"/>
      <c r="Q1169" s="373"/>
      <c r="S1169" s="332">
        <f t="shared" si="276"/>
        <v>0</v>
      </c>
      <c r="T1169" s="332">
        <f t="shared" si="278"/>
        <v>0</v>
      </c>
    </row>
    <row r="1170" spans="1:20" hidden="1">
      <c r="A1170" s="332" t="s">
        <v>477</v>
      </c>
      <c r="B1170" s="332" t="s">
        <v>1007</v>
      </c>
      <c r="C1170" s="333">
        <f t="shared" si="277"/>
        <v>0</v>
      </c>
      <c r="D1170" s="328"/>
      <c r="E1170" s="328">
        <f>VLOOKUP(B1170,DONGIA,DG!$B$6,0)</f>
        <v>0</v>
      </c>
      <c r="F1170" s="329" t="str">
        <f>VLOOKUP(B1170,DONGIA,DG!$C$6,0)</f>
        <v>Dây chảy 3K</v>
      </c>
      <c r="G1170" s="328" t="str">
        <f>VLOOKUP(B1170,DONGIA,DG!$D$6,0)</f>
        <v>Sợi</v>
      </c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S1170" s="332">
        <f t="shared" si="276"/>
        <v>0</v>
      </c>
      <c r="T1170" s="332">
        <f t="shared" si="278"/>
        <v>0</v>
      </c>
    </row>
    <row r="1171" spans="1:20" hidden="1">
      <c r="A1171" s="332" t="s">
        <v>477</v>
      </c>
      <c r="B1171" s="332" t="s">
        <v>131</v>
      </c>
      <c r="C1171" s="333">
        <f t="shared" si="277"/>
        <v>0</v>
      </c>
      <c r="D1171" s="328"/>
      <c r="E1171" s="328">
        <f>VLOOKUP(B1171,DONGIA,DG!$B$6,0)</f>
        <v>0</v>
      </c>
      <c r="F1171" s="329" t="str">
        <f>VLOOKUP(B1171,DONGIA,DG!$C$6,0)</f>
        <v>Chụp đầu FCO (Trên + Dưới)</v>
      </c>
      <c r="G1171" s="328" t="str">
        <f>VLOOKUP(B1171,DONGIA,DG!$D$6,0)</f>
        <v>bộ</v>
      </c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S1171" s="332">
        <f t="shared" si="276"/>
        <v>0</v>
      </c>
      <c r="T1171" s="332">
        <f t="shared" si="278"/>
        <v>0</v>
      </c>
    </row>
    <row r="1172" spans="1:20" hidden="1">
      <c r="A1172" s="332" t="s">
        <v>477</v>
      </c>
      <c r="B1172" s="332" t="s">
        <v>133</v>
      </c>
      <c r="C1172" s="333">
        <f t="shared" si="277"/>
        <v>0</v>
      </c>
      <c r="D1172" s="328"/>
      <c r="E1172" s="328">
        <f>VLOOKUP(B1172,DONGIA,DG!$B$6,0)</f>
        <v>0</v>
      </c>
      <c r="F1172" s="329" t="str">
        <f>VLOOKUP(B1172,DONGIA,DG!$C$6,0)</f>
        <v>Chụp đầu LA</v>
      </c>
      <c r="G1172" s="328" t="str">
        <f>VLOOKUP(B1172,DONGIA,DG!$D$6,0)</f>
        <v>cái</v>
      </c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S1172" s="332">
        <f t="shared" si="276"/>
        <v>0</v>
      </c>
      <c r="T1172" s="332">
        <f t="shared" si="278"/>
        <v>0</v>
      </c>
    </row>
    <row r="1173" spans="1:20" hidden="1">
      <c r="A1173" s="332" t="s">
        <v>477</v>
      </c>
      <c r="B1173" s="332" t="s">
        <v>135</v>
      </c>
      <c r="C1173" s="333">
        <f t="shared" si="277"/>
        <v>0</v>
      </c>
      <c r="D1173" s="328"/>
      <c r="E1173" s="328">
        <f>VLOOKUP(B1173,DONGIA,DG!$B$6,0)</f>
        <v>0</v>
      </c>
      <c r="F1173" s="329" t="str">
        <f>VLOOKUP(B1173,DONGIA,DG!$C$6,0)</f>
        <v>Chụp đầu cực MBA</v>
      </c>
      <c r="G1173" s="328" t="str">
        <f>VLOOKUP(B1173,DONGIA,DG!$D$6,0)</f>
        <v>cái</v>
      </c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S1173" s="332">
        <f t="shared" si="276"/>
        <v>0</v>
      </c>
      <c r="T1173" s="332">
        <f t="shared" si="278"/>
        <v>0</v>
      </c>
    </row>
    <row r="1174" spans="1:20" hidden="1">
      <c r="A1174" s="332" t="s">
        <v>477</v>
      </c>
      <c r="C1174" s="333">
        <f t="shared" si="277"/>
        <v>0</v>
      </c>
      <c r="D1174" s="372">
        <f>IF(H1174&lt;&gt;0,D1169+1,D1169)</f>
        <v>0</v>
      </c>
      <c r="E1174" s="372"/>
      <c r="F1174" s="373" t="s">
        <v>1932</v>
      </c>
      <c r="G1174" s="372" t="s">
        <v>138</v>
      </c>
      <c r="H1174" s="373"/>
      <c r="I1174" s="373"/>
      <c r="J1174" s="373"/>
      <c r="K1174" s="373"/>
      <c r="L1174" s="373"/>
      <c r="M1174" s="373"/>
      <c r="N1174" s="373"/>
      <c r="O1174" s="373"/>
      <c r="P1174" s="373"/>
      <c r="Q1174" s="373"/>
      <c r="S1174" s="332">
        <f t="shared" si="276"/>
        <v>0</v>
      </c>
      <c r="T1174" s="332">
        <f t="shared" si="278"/>
        <v>0</v>
      </c>
    </row>
    <row r="1175" spans="1:20" s="361" customFormat="1" hidden="1">
      <c r="A1175" s="361" t="s">
        <v>477</v>
      </c>
      <c r="C1175" s="374">
        <f t="shared" si="277"/>
        <v>0</v>
      </c>
      <c r="D1175" s="350"/>
      <c r="E1175" s="350"/>
      <c r="F1175" s="351" t="s">
        <v>1902</v>
      </c>
      <c r="G1175" s="350"/>
      <c r="H1175" s="351"/>
      <c r="I1175" s="351"/>
      <c r="J1175" s="351"/>
      <c r="K1175" s="351"/>
      <c r="L1175" s="351"/>
      <c r="M1175" s="351"/>
      <c r="N1175" s="351"/>
      <c r="O1175" s="351"/>
      <c r="P1175" s="351"/>
      <c r="Q1175" s="351"/>
      <c r="S1175" s="361">
        <f t="shared" si="276"/>
        <v>0</v>
      </c>
      <c r="T1175" s="361">
        <f t="shared" si="278"/>
        <v>0</v>
      </c>
    </row>
    <row r="1176" spans="1:20" hidden="1">
      <c r="A1176" s="332" t="s">
        <v>477</v>
      </c>
      <c r="B1176" s="332" t="s">
        <v>18</v>
      </c>
      <c r="C1176" s="333">
        <f t="shared" si="277"/>
        <v>0</v>
      </c>
      <c r="D1176" s="328"/>
      <c r="E1176" s="328">
        <f>VLOOKUP(B1176,DONGIA,DG!$B$6,0)</f>
        <v>0</v>
      </c>
      <c r="F1176" s="329" t="str">
        <f>VLOOKUP(B1176,DONGIA,DG!$C$6,0)</f>
        <v>Đà hộp composite 110x80x5-2400</v>
      </c>
      <c r="G1176" s="328" t="str">
        <f>VLOOKUP(B1176,DONGIA,DG!$D$6,0)</f>
        <v>cái</v>
      </c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S1176" s="332">
        <f t="shared" si="276"/>
        <v>9.6</v>
      </c>
      <c r="T1176" s="332">
        <f t="shared" si="278"/>
        <v>0</v>
      </c>
    </row>
    <row r="1177" spans="1:20" hidden="1">
      <c r="A1177" s="332" t="s">
        <v>477</v>
      </c>
      <c r="B1177" s="332" t="s">
        <v>20</v>
      </c>
      <c r="C1177" s="333">
        <f t="shared" si="277"/>
        <v>0</v>
      </c>
      <c r="D1177" s="328"/>
      <c r="E1177" s="328">
        <f>VLOOKUP(B1177,DONGIA,DG!$B$6,0)</f>
        <v>0</v>
      </c>
      <c r="F1177" s="329" t="str">
        <f>VLOOKUP(B1177,DONGIA,DG!$C$6,0)</f>
        <v>Thanh chống Composite dẹp 10x40x920</v>
      </c>
      <c r="G1177" s="328" t="str">
        <f>VLOOKUP(B1177,DONGIA,DG!$D$6,0)</f>
        <v>cái</v>
      </c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S1177" s="332">
        <f t="shared" si="276"/>
        <v>0.7</v>
      </c>
      <c r="T1177" s="332">
        <f t="shared" si="278"/>
        <v>0</v>
      </c>
    </row>
    <row r="1178" spans="1:20" hidden="1">
      <c r="A1178" s="332" t="s">
        <v>477</v>
      </c>
      <c r="B1178" s="332" t="s">
        <v>137</v>
      </c>
      <c r="C1178" s="333">
        <f t="shared" si="277"/>
        <v>0</v>
      </c>
      <c r="D1178" s="328"/>
      <c r="E1178" s="328">
        <f>VLOOKUP(B1178,DONGIA,DG!$B$6,0)</f>
        <v>0</v>
      </c>
      <c r="F1178" s="329" t="str">
        <f>VLOOKUP(B1178,DONGIA,DG!$C$6,0)</f>
        <v>Bass LI bắt FCO, LA</v>
      </c>
      <c r="G1178" s="328" t="str">
        <f>VLOOKUP(B1178,DONGIA,DG!$D$6,0)</f>
        <v>Bộ</v>
      </c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S1178" s="332">
        <f t="shared" si="276"/>
        <v>0.4</v>
      </c>
      <c r="T1178" s="332">
        <f t="shared" si="278"/>
        <v>0</v>
      </c>
    </row>
    <row r="1179" spans="1:20" hidden="1">
      <c r="A1179" s="332" t="s">
        <v>477</v>
      </c>
      <c r="B1179" s="332" t="s">
        <v>1686</v>
      </c>
      <c r="C1179" s="333">
        <f t="shared" si="277"/>
        <v>0</v>
      </c>
      <c r="D1179" s="328"/>
      <c r="E1179" s="328">
        <f>VLOOKUP(B1179,DONGIA,DG!$B$6,0)</f>
        <v>0</v>
      </c>
      <c r="F1179" s="329" t="str">
        <f>VLOOKUP(B1179,DONGIA,DG!$C$6,0)</f>
        <v>Boulon 16x400VRS + 4 long đền vuông D18-50x50x3/Zn</v>
      </c>
      <c r="G1179" s="328" t="str">
        <f>VLOOKUP(B1179,DONGIA,DG!$D$6,0)</f>
        <v>bộ</v>
      </c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S1179" s="332">
        <f t="shared" si="276"/>
        <v>0.39999999999999997</v>
      </c>
      <c r="T1179" s="332">
        <f t="shared" si="278"/>
        <v>0</v>
      </c>
    </row>
    <row r="1180" spans="1:20" hidden="1">
      <c r="A1180" s="332" t="s">
        <v>477</v>
      </c>
      <c r="B1180" s="332" t="s">
        <v>35</v>
      </c>
      <c r="C1180" s="333">
        <f t="shared" si="277"/>
        <v>0</v>
      </c>
      <c r="D1180" s="328"/>
      <c r="E1180" s="328">
        <f>VLOOKUP(B1180,DONGIA,DG!$B$6,0)</f>
        <v>0</v>
      </c>
      <c r="F1180" s="329" t="str">
        <f>VLOOKUP(B1180,DONGIA,DG!$C$6,0)</f>
        <v>Boulon 16x300+ 2 long đền vuông D18-50x50x3/Zn</v>
      </c>
      <c r="G1180" s="328" t="str">
        <f>VLOOKUP(B1180,DONGIA,DG!$D$6,0)</f>
        <v>bộ</v>
      </c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S1180" s="332">
        <f t="shared" si="276"/>
        <v>0.25</v>
      </c>
      <c r="T1180" s="332">
        <f t="shared" si="278"/>
        <v>0</v>
      </c>
    </row>
    <row r="1181" spans="1:20" hidden="1">
      <c r="A1181" s="332" t="s">
        <v>477</v>
      </c>
      <c r="B1181" s="332" t="s">
        <v>27</v>
      </c>
      <c r="C1181" s="333">
        <f t="shared" si="277"/>
        <v>0</v>
      </c>
      <c r="D1181" s="328"/>
      <c r="E1181" s="328">
        <f>VLOOKUP(B1181,DONGIA,DG!$B$6,0)</f>
        <v>0</v>
      </c>
      <c r="F1181" s="329" t="str">
        <f>VLOOKUP(B1181,DONGIA,DG!$C$6,0)</f>
        <v>Boulon 14x120+ 2 long đền vuông D16-50x50x3/Zn</v>
      </c>
      <c r="G1181" s="328" t="str">
        <f>VLOOKUP(B1181,DONGIA,DG!$D$6,0)</f>
        <v>bộ</v>
      </c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S1181" s="332">
        <f t="shared" si="276"/>
        <v>0.2</v>
      </c>
      <c r="T1181" s="332">
        <f t="shared" si="278"/>
        <v>0</v>
      </c>
    </row>
    <row r="1182" spans="1:20" hidden="1">
      <c r="A1182" s="332" t="s">
        <v>477</v>
      </c>
      <c r="C1182" s="333">
        <f t="shared" si="277"/>
        <v>0</v>
      </c>
      <c r="D1182" s="372">
        <f>IF(H1182&lt;&gt;0,D1174+1,D1174)</f>
        <v>0</v>
      </c>
      <c r="E1182" s="372"/>
      <c r="F1182" s="373" t="s">
        <v>1910</v>
      </c>
      <c r="G1182" s="372" t="s">
        <v>138</v>
      </c>
      <c r="H1182" s="373"/>
      <c r="I1182" s="373"/>
      <c r="J1182" s="373"/>
      <c r="K1182" s="373"/>
      <c r="L1182" s="373"/>
      <c r="M1182" s="373"/>
      <c r="N1182" s="373"/>
      <c r="O1182" s="373"/>
      <c r="P1182" s="373"/>
      <c r="Q1182" s="373"/>
      <c r="S1182" s="332">
        <f t="shared" si="276"/>
        <v>0</v>
      </c>
      <c r="T1182" s="332">
        <f t="shared" si="278"/>
        <v>0</v>
      </c>
    </row>
    <row r="1183" spans="1:20" s="361" customFormat="1" hidden="1">
      <c r="A1183" s="361" t="s">
        <v>477</v>
      </c>
      <c r="C1183" s="374">
        <f t="shared" si="277"/>
        <v>0</v>
      </c>
      <c r="D1183" s="350"/>
      <c r="E1183" s="350"/>
      <c r="F1183" s="351" t="s">
        <v>1902</v>
      </c>
      <c r="G1183" s="350"/>
      <c r="H1183" s="351"/>
      <c r="I1183" s="351"/>
      <c r="J1183" s="351"/>
      <c r="K1183" s="351"/>
      <c r="L1183" s="351"/>
      <c r="M1183" s="351"/>
      <c r="N1183" s="351"/>
      <c r="O1183" s="351"/>
      <c r="P1183" s="351"/>
      <c r="Q1183" s="351"/>
      <c r="S1183" s="361">
        <f t="shared" si="276"/>
        <v>0</v>
      </c>
      <c r="T1183" s="361">
        <f t="shared" si="278"/>
        <v>0</v>
      </c>
    </row>
    <row r="1184" spans="1:20" hidden="1">
      <c r="A1184" s="332" t="s">
        <v>477</v>
      </c>
      <c r="B1184" s="332" t="s">
        <v>1067</v>
      </c>
      <c r="C1184" s="333">
        <f t="shared" si="277"/>
        <v>0</v>
      </c>
      <c r="D1184" s="328"/>
      <c r="E1184" s="328" t="str">
        <f>VLOOKUP(B1184,DONGIA,DG!$B$6,0)</f>
        <v>T4.9302</v>
      </c>
      <c r="F1184" s="329" t="str">
        <f>VLOOKUP(B1184,DONGIA,DG!$C$6,0)</f>
        <v>Gía chùm treo máy biến áp 3x75</v>
      </c>
      <c r="G1184" s="328" t="str">
        <f>VLOOKUP(B1184,DONGIA,DG!$D$6,0)</f>
        <v>Bộ</v>
      </c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S1184" s="332">
        <f t="shared" si="276"/>
        <v>51</v>
      </c>
      <c r="T1184" s="332">
        <f t="shared" si="278"/>
        <v>0</v>
      </c>
    </row>
    <row r="1185" spans="1:20" hidden="1">
      <c r="A1185" s="332" t="s">
        <v>477</v>
      </c>
      <c r="B1185" s="332" t="s">
        <v>37</v>
      </c>
      <c r="C1185" s="333">
        <f t="shared" si="277"/>
        <v>0</v>
      </c>
      <c r="D1185" s="328"/>
      <c r="E1185" s="328">
        <f>VLOOKUP(B1185,DONGIA,DG!$B$6,0)</f>
        <v>0</v>
      </c>
      <c r="F1185" s="329" t="str">
        <f>VLOOKUP(B1185,DONGIA,DG!$C$6,0)</f>
        <v>Boulon 16x350+ 2 long đền vuông D18-50x50x3/Zn</v>
      </c>
      <c r="G1185" s="328" t="str">
        <f>VLOOKUP(B1185,DONGIA,DG!$D$6,0)</f>
        <v>bộ</v>
      </c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S1185" s="332">
        <f t="shared" si="276"/>
        <v>0.3</v>
      </c>
      <c r="T1185" s="332">
        <f t="shared" si="278"/>
        <v>0</v>
      </c>
    </row>
    <row r="1186" spans="1:20" hidden="1">
      <c r="A1186" s="332" t="s">
        <v>477</v>
      </c>
      <c r="B1186" s="332" t="s">
        <v>29</v>
      </c>
      <c r="C1186" s="333">
        <f t="shared" si="277"/>
        <v>0</v>
      </c>
      <c r="D1186" s="328"/>
      <c r="E1186" s="328">
        <f>VLOOKUP(B1186,DONGIA,DG!$B$6,0)</f>
        <v>0</v>
      </c>
      <c r="F1186" s="329" t="str">
        <f>VLOOKUP(B1186,DONGIA,DG!$C$6,0)</f>
        <v>Boulon 16x50+ 2 long đền vuông D18-50x50x3/Zn</v>
      </c>
      <c r="G1186" s="328" t="str">
        <f>VLOOKUP(B1186,DONGIA,DG!$D$6,0)</f>
        <v>bộ</v>
      </c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S1186" s="332">
        <f t="shared" si="276"/>
        <v>0.25</v>
      </c>
      <c r="T1186" s="332">
        <f t="shared" si="278"/>
        <v>0</v>
      </c>
    </row>
    <row r="1187" spans="1:20" hidden="1">
      <c r="A1187" s="332" t="s">
        <v>477</v>
      </c>
      <c r="C1187" s="333">
        <f t="shared" si="277"/>
        <v>0</v>
      </c>
      <c r="D1187" s="372">
        <f>IF(H1187&lt;&gt;0,D1182+1,D1182)</f>
        <v>0</v>
      </c>
      <c r="E1187" s="372"/>
      <c r="F1187" s="373" t="s">
        <v>1942</v>
      </c>
      <c r="G1187" s="372" t="s">
        <v>138</v>
      </c>
      <c r="H1187" s="373"/>
      <c r="I1187" s="373"/>
      <c r="J1187" s="373"/>
      <c r="K1187" s="373"/>
      <c r="L1187" s="373"/>
      <c r="M1187" s="373"/>
      <c r="N1187" s="373"/>
      <c r="O1187" s="373"/>
      <c r="P1187" s="373"/>
      <c r="Q1187" s="373"/>
      <c r="S1187" s="332">
        <f t="shared" si="276"/>
        <v>0</v>
      </c>
      <c r="T1187" s="332">
        <f t="shared" si="278"/>
        <v>0</v>
      </c>
    </row>
    <row r="1188" spans="1:20" s="361" customFormat="1" hidden="1">
      <c r="A1188" s="361" t="s">
        <v>477</v>
      </c>
      <c r="C1188" s="374">
        <f t="shared" si="277"/>
        <v>0</v>
      </c>
      <c r="D1188" s="350"/>
      <c r="E1188" s="350"/>
      <c r="F1188" s="351" t="s">
        <v>1902</v>
      </c>
      <c r="G1188" s="350"/>
      <c r="H1188" s="351"/>
      <c r="I1188" s="351"/>
      <c r="J1188" s="351"/>
      <c r="K1188" s="351"/>
      <c r="L1188" s="351"/>
      <c r="M1188" s="351"/>
      <c r="N1188" s="351"/>
      <c r="O1188" s="351"/>
      <c r="P1188" s="351"/>
      <c r="Q1188" s="351"/>
      <c r="S1188" s="361">
        <f t="shared" si="276"/>
        <v>0</v>
      </c>
      <c r="T1188" s="361">
        <f t="shared" si="278"/>
        <v>0</v>
      </c>
    </row>
    <row r="1189" spans="1:20" hidden="1">
      <c r="A1189" s="332" t="s">
        <v>477</v>
      </c>
      <c r="B1189" s="332" t="s">
        <v>144</v>
      </c>
      <c r="C1189" s="333">
        <f t="shared" si="277"/>
        <v>0</v>
      </c>
      <c r="D1189" s="328"/>
      <c r="E1189" s="328">
        <f>VLOOKUP(B1189,DONGIA,DG!$B$6,0)</f>
        <v>0</v>
      </c>
      <c r="F1189" s="329" t="str">
        <f>VLOOKUP(B1189,DONGIA,DG!$C$6,0)</f>
        <v>Cáp đồng trần M25mm2</v>
      </c>
      <c r="G1189" s="328" t="str">
        <f>VLOOKUP(B1189,DONGIA,DG!$D$6,0)</f>
        <v>kg</v>
      </c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S1189" s="332">
        <f t="shared" si="276"/>
        <v>1</v>
      </c>
      <c r="T1189" s="332">
        <f t="shared" si="278"/>
        <v>0</v>
      </c>
    </row>
    <row r="1190" spans="1:20" hidden="1">
      <c r="A1190" s="332" t="s">
        <v>477</v>
      </c>
      <c r="B1190" s="332" t="s">
        <v>278</v>
      </c>
      <c r="C1190" s="333">
        <f t="shared" si="277"/>
        <v>0</v>
      </c>
      <c r="D1190" s="328"/>
      <c r="E1190" s="328">
        <f>VLOOKUP(B1190,DONGIA,DG!$B$6,0)</f>
        <v>0</v>
      </c>
      <c r="F1190" s="329" t="str">
        <f>VLOOKUP(B1190,DONGIA,DG!$C$6,0)</f>
        <v>Cọc tiếp đất φ16 - 2,4m (mạ đồng 16µm)</v>
      </c>
      <c r="G1190" s="328" t="str">
        <f>VLOOKUP(B1190,DONGIA,DG!$D$6,0)</f>
        <v>cọc</v>
      </c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S1190" s="332">
        <f t="shared" si="276"/>
        <v>5.3</v>
      </c>
      <c r="T1190" s="332">
        <f t="shared" si="278"/>
        <v>0</v>
      </c>
    </row>
    <row r="1191" spans="1:20" hidden="1">
      <c r="A1191" s="332" t="s">
        <v>477</v>
      </c>
      <c r="B1191" s="332" t="s">
        <v>280</v>
      </c>
      <c r="C1191" s="333">
        <f t="shared" si="277"/>
        <v>0</v>
      </c>
      <c r="D1191" s="328"/>
      <c r="E1191" s="328">
        <f>VLOOKUP(B1191,DONGIA,DG!$B$6,0)</f>
        <v>0</v>
      </c>
      <c r="F1191" s="329" t="str">
        <f>VLOOKUP(B1191,DONGIA,DG!$C$6,0)</f>
        <v>Kẹp cọc tiếp địa</v>
      </c>
      <c r="G1191" s="328" t="str">
        <f>VLOOKUP(B1191,DONGIA,DG!$D$6,0)</f>
        <v>bộ</v>
      </c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S1191" s="332">
        <f t="shared" si="276"/>
        <v>0.05</v>
      </c>
      <c r="T1191" s="332">
        <f t="shared" si="278"/>
        <v>0</v>
      </c>
    </row>
    <row r="1192" spans="1:20" hidden="1">
      <c r="A1192" s="332" t="s">
        <v>477</v>
      </c>
      <c r="B1192" s="332" t="s">
        <v>1217</v>
      </c>
      <c r="C1192" s="333">
        <f t="shared" si="277"/>
        <v>0</v>
      </c>
      <c r="D1192" s="328"/>
      <c r="E1192" s="328">
        <f>VLOOKUP(B1192,DONGIA,DG!$B$6,0)</f>
        <v>0</v>
      </c>
      <c r="F1192" s="329" t="str">
        <f>VLOOKUP(B1192,DONGIA,DG!$C$6,0)</f>
        <v xml:space="preserve">Ốc xiết cáp cỡ 38mm2 </v>
      </c>
      <c r="G1192" s="328" t="str">
        <f>VLOOKUP(B1192,DONGIA,DG!$D$6,0)</f>
        <v>cái</v>
      </c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S1192" s="332">
        <f t="shared" si="276"/>
        <v>0</v>
      </c>
      <c r="T1192" s="332">
        <f t="shared" si="278"/>
        <v>0</v>
      </c>
    </row>
    <row r="1193" spans="1:20" hidden="1">
      <c r="A1193" s="332" t="s">
        <v>477</v>
      </c>
      <c r="B1193" s="332" t="s">
        <v>573</v>
      </c>
      <c r="C1193" s="333">
        <f t="shared" si="277"/>
        <v>0</v>
      </c>
      <c r="D1193" s="328"/>
      <c r="E1193" s="328" t="str">
        <f>VLOOKUP(B1193,DONGIA,DG!$B$6,0)</f>
        <v>T4.7001</v>
      </c>
      <c r="F1193" s="329" t="str">
        <f>VLOOKUP(B1193,DONGIA,DG!$C$6,0)</f>
        <v>Kéo dây tiếp địa trong TBA</v>
      </c>
      <c r="G1193" s="328" t="str">
        <f>VLOOKUP(B1193,DONGIA,DG!$D$6,0)</f>
        <v>mét</v>
      </c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S1193" s="332">
        <f t="shared" si="276"/>
        <v>0</v>
      </c>
      <c r="T1193" s="332">
        <f t="shared" si="278"/>
        <v>0</v>
      </c>
    </row>
    <row r="1194" spans="1:20" hidden="1">
      <c r="A1194" s="332" t="s">
        <v>477</v>
      </c>
      <c r="B1194" s="332" t="s">
        <v>581</v>
      </c>
      <c r="C1194" s="333">
        <f t="shared" si="277"/>
        <v>0</v>
      </c>
      <c r="D1194" s="328"/>
      <c r="E1194" s="328" t="str">
        <f>VLOOKUP(B1194,DONGIA,DG!$B$6,0)</f>
        <v>D2.8103</v>
      </c>
      <c r="F1194" s="329" t="str">
        <f>VLOOKUP(B1194,DONGIA,DG!$C$6,0)</f>
        <v>Đóng cọc tiếp địa trong TBA (đất cấp 3)</v>
      </c>
      <c r="G1194" s="328" t="str">
        <f>VLOOKUP(B1194,DONGIA,DG!$D$6,0)</f>
        <v>cọc</v>
      </c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S1194" s="332">
        <f t="shared" si="276"/>
        <v>0</v>
      </c>
      <c r="T1194" s="332">
        <f t="shared" si="278"/>
        <v>0</v>
      </c>
    </row>
    <row r="1195" spans="1:20" hidden="1">
      <c r="A1195" s="332" t="s">
        <v>477</v>
      </c>
      <c r="B1195" s="332" t="s">
        <v>540</v>
      </c>
      <c r="C1195" s="333">
        <f t="shared" si="277"/>
        <v>0</v>
      </c>
      <c r="D1195" s="328"/>
      <c r="E1195" s="328" t="str">
        <f>VLOOKUP(B1195,DONGIA,DG!$B$6,0)</f>
        <v>AB.11513</v>
      </c>
      <c r="F1195" s="362" t="str">
        <f>VLOOKUP(B1195,DONGIA,DG!$C$6,0)&amp;" (ĐC hệ số 0,9)"</f>
        <v>Đào rãnh tiếp địa đất cấp 3 (ĐC hệ số 0,9)</v>
      </c>
      <c r="G1195" s="328" t="str">
        <f>VLOOKUP(B1195,DONGIA,DG!$D$6,0)</f>
        <v>m3</v>
      </c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S1195" s="332">
        <f t="shared" si="276"/>
        <v>0</v>
      </c>
      <c r="T1195" s="332">
        <f t="shared" si="278"/>
        <v>0</v>
      </c>
    </row>
    <row r="1196" spans="1:20" hidden="1">
      <c r="A1196" s="332" t="s">
        <v>477</v>
      </c>
      <c r="B1196" s="332" t="s">
        <v>547</v>
      </c>
      <c r="C1196" s="333">
        <f t="shared" si="277"/>
        <v>0</v>
      </c>
      <c r="D1196" s="328"/>
      <c r="E1196" s="328" t="str">
        <f>VLOOKUP(B1196,DONGIA,DG!$B$6,0)</f>
        <v>AB.65110</v>
      </c>
      <c r="F1196" s="362" t="str">
        <f>VLOOKUP(B1196,DONGIA,DG!$C$6,0)&amp;" (ĐC hệ số 0,9)"</f>
        <v>Đắp đất rãnh tiếp địa (K=0,85) (ĐC hệ số 0,9)</v>
      </c>
      <c r="G1196" s="328" t="str">
        <f>VLOOKUP(B1196,DONGIA,DG!$D$6,0)</f>
        <v>m3</v>
      </c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S1196" s="332">
        <f t="shared" si="276"/>
        <v>0</v>
      </c>
      <c r="T1196" s="332">
        <f t="shared" si="278"/>
        <v>0</v>
      </c>
    </row>
    <row r="1197" spans="1:20" hidden="1">
      <c r="A1197" s="332" t="s">
        <v>477</v>
      </c>
      <c r="C1197" s="333">
        <f t="shared" si="277"/>
        <v>0</v>
      </c>
      <c r="D1197" s="372">
        <f>IF(H1197&lt;&gt;0,D1187+1,D1187)</f>
        <v>0</v>
      </c>
      <c r="E1197" s="372"/>
      <c r="F1197" s="373" t="s">
        <v>1934</v>
      </c>
      <c r="G1197" s="372" t="s">
        <v>138</v>
      </c>
      <c r="H1197" s="373"/>
      <c r="I1197" s="373"/>
      <c r="J1197" s="373"/>
      <c r="K1197" s="373"/>
      <c r="L1197" s="373"/>
      <c r="M1197" s="373"/>
      <c r="N1197" s="373"/>
      <c r="O1197" s="373"/>
      <c r="P1197" s="373"/>
      <c r="Q1197" s="373"/>
      <c r="S1197" s="332">
        <f t="shared" si="276"/>
        <v>0</v>
      </c>
      <c r="T1197" s="332">
        <f t="shared" si="278"/>
        <v>0</v>
      </c>
    </row>
    <row r="1198" spans="1:20" s="361" customFormat="1" hidden="1">
      <c r="A1198" s="361" t="s">
        <v>477</v>
      </c>
      <c r="C1198" s="374">
        <f t="shared" si="277"/>
        <v>0</v>
      </c>
      <c r="D1198" s="350"/>
      <c r="E1198" s="350"/>
      <c r="F1198" s="351" t="s">
        <v>1902</v>
      </c>
      <c r="G1198" s="350"/>
      <c r="H1198" s="351"/>
      <c r="I1198" s="351"/>
      <c r="J1198" s="351"/>
      <c r="K1198" s="351"/>
      <c r="L1198" s="351"/>
      <c r="M1198" s="351"/>
      <c r="N1198" s="351"/>
      <c r="O1198" s="351"/>
      <c r="P1198" s="351"/>
      <c r="Q1198" s="351"/>
      <c r="S1198" s="361">
        <f t="shared" si="276"/>
        <v>0</v>
      </c>
      <c r="T1198" s="361">
        <f t="shared" si="278"/>
        <v>0</v>
      </c>
    </row>
    <row r="1199" spans="1:20" hidden="1">
      <c r="A1199" s="332" t="s">
        <v>477</v>
      </c>
      <c r="B1199" s="332" t="s">
        <v>989</v>
      </c>
      <c r="C1199" s="333">
        <f t="shared" si="277"/>
        <v>0</v>
      </c>
      <c r="D1199" s="328"/>
      <c r="E1199" s="328" t="str">
        <f>VLOOKUP(B1199,DONGIA,DG!$B$6,0)</f>
        <v>T5.1001</v>
      </c>
      <c r="F1199" s="329" t="str">
        <f>VLOOKUP(B1199,DONGIA,DG!$C$6,0)</f>
        <v>Tủ trạm treo + khóa + boulon + Bakelit + Collier (1 pha)</v>
      </c>
      <c r="G1199" s="328" t="str">
        <f>VLOOKUP(B1199,DONGIA,DG!$D$6,0)</f>
        <v>bộ</v>
      </c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S1199" s="332">
        <f t="shared" si="276"/>
        <v>45</v>
      </c>
      <c r="T1199" s="332">
        <f t="shared" si="278"/>
        <v>0</v>
      </c>
    </row>
    <row r="1200" spans="1:20" hidden="1">
      <c r="C1200" s="333">
        <f t="shared" si="277"/>
        <v>0</v>
      </c>
      <c r="D1200" s="372">
        <f>IF(H1200&lt;&gt;0,D1197+1,D1197)</f>
        <v>0</v>
      </c>
      <c r="E1200" s="372"/>
      <c r="F1200" s="373" t="s">
        <v>1935</v>
      </c>
      <c r="G1200" s="372" t="s">
        <v>138</v>
      </c>
      <c r="H1200" s="373"/>
      <c r="I1200" s="373"/>
      <c r="J1200" s="373"/>
      <c r="K1200" s="373"/>
      <c r="L1200" s="373"/>
      <c r="M1200" s="373"/>
      <c r="N1200" s="373"/>
      <c r="O1200" s="373"/>
      <c r="P1200" s="373"/>
      <c r="Q1200" s="373"/>
      <c r="S1200" s="332">
        <f t="shared" si="276"/>
        <v>0</v>
      </c>
      <c r="T1200" s="332">
        <f t="shared" si="278"/>
        <v>0</v>
      </c>
    </row>
    <row r="1201" spans="2:20" s="361" customFormat="1" hidden="1">
      <c r="C1201" s="374">
        <f t="shared" si="277"/>
        <v>0</v>
      </c>
      <c r="D1201" s="350"/>
      <c r="E1201" s="350"/>
      <c r="F1201" s="351" t="s">
        <v>1902</v>
      </c>
      <c r="G1201" s="350"/>
      <c r="H1201" s="351"/>
      <c r="I1201" s="351"/>
      <c r="J1201" s="351"/>
      <c r="K1201" s="351"/>
      <c r="L1201" s="351"/>
      <c r="M1201" s="351"/>
      <c r="N1201" s="351"/>
      <c r="O1201" s="351"/>
      <c r="P1201" s="351"/>
      <c r="Q1201" s="351"/>
      <c r="S1201" s="361">
        <f t="shared" si="276"/>
        <v>0</v>
      </c>
      <c r="T1201" s="361">
        <f t="shared" si="278"/>
        <v>0</v>
      </c>
    </row>
    <row r="1202" spans="2:20" hidden="1">
      <c r="B1202" s="332" t="s">
        <v>1468</v>
      </c>
      <c r="C1202" s="333">
        <f t="shared" si="277"/>
        <v>0</v>
      </c>
      <c r="D1202" s="328"/>
      <c r="E1202" s="328">
        <f>VLOOKUP(B1202,DONGIA,DG!$B$6,0)</f>
        <v>0</v>
      </c>
      <c r="F1202" s="329" t="str">
        <f>VLOOKUP(B1202,DONGIA,DG!$C$6,0)</f>
        <v>Cáp 24KV C/XLPE/PVC 25mm2</v>
      </c>
      <c r="G1202" s="328" t="str">
        <f>VLOOKUP(B1202,DONGIA,DG!$D$6,0)</f>
        <v>mét</v>
      </c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S1202" s="332">
        <f t="shared" si="276"/>
        <v>0.75</v>
      </c>
      <c r="T1202" s="332">
        <f t="shared" si="278"/>
        <v>0</v>
      </c>
    </row>
    <row r="1203" spans="2:20" hidden="1">
      <c r="B1203" s="332" t="s">
        <v>1507</v>
      </c>
      <c r="C1203" s="333">
        <f t="shared" si="277"/>
        <v>0</v>
      </c>
      <c r="D1203" s="328"/>
      <c r="E1203" s="328" t="str">
        <f>VLOOKUP(B1203,DONGIA,DG!$B$6,0)</f>
        <v>D6.6201</v>
      </c>
      <c r="F1203" s="329" t="str">
        <f>VLOOKUP(B1203,DONGIA,DG!$C$6,0)</f>
        <v>Kẹp quai 4/0 (quai đồng 8mm)</v>
      </c>
      <c r="G1203" s="328" t="str">
        <f>VLOOKUP(B1203,DONGIA,DG!$D$6,0)</f>
        <v>cái</v>
      </c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S1203" s="332">
        <f t="shared" si="276"/>
        <v>0.3</v>
      </c>
      <c r="T1203" s="332">
        <f t="shared" si="278"/>
        <v>0</v>
      </c>
    </row>
    <row r="1204" spans="2:20" hidden="1">
      <c r="B1204" s="332" t="s">
        <v>1511</v>
      </c>
      <c r="C1204" s="333">
        <f t="shared" si="277"/>
        <v>0</v>
      </c>
      <c r="D1204" s="328"/>
      <c r="E1204" s="328">
        <f>VLOOKUP(B1204,DONGIA,DG!$B$6,0)</f>
        <v>0</v>
      </c>
      <c r="F1204" s="329" t="str">
        <f>VLOOKUP(B1204,DONGIA,DG!$C$6,0)</f>
        <v>Chụp cách điện kẹp quai</v>
      </c>
      <c r="G1204" s="328" t="str">
        <f>VLOOKUP(B1204,DONGIA,DG!$D$6,0)</f>
        <v>cái</v>
      </c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S1204" s="332">
        <f t="shared" si="276"/>
        <v>0.2</v>
      </c>
      <c r="T1204" s="332">
        <f t="shared" si="278"/>
        <v>0</v>
      </c>
    </row>
    <row r="1205" spans="2:20" hidden="1">
      <c r="B1205" s="332" t="s">
        <v>1508</v>
      </c>
      <c r="C1205" s="333">
        <f t="shared" si="277"/>
        <v>0</v>
      </c>
      <c r="D1205" s="328"/>
      <c r="E1205" s="328" t="str">
        <f>VLOOKUP(B1205,DONGIA,DG!$B$6,0)</f>
        <v>D6.6202</v>
      </c>
      <c r="F1205" s="329" t="str">
        <f>VLOOKUP(B1205,DONGIA,DG!$C$6,0)</f>
        <v>Kẹp hotline 2/0</v>
      </c>
      <c r="G1205" s="328" t="str">
        <f>VLOOKUP(B1205,DONGIA,DG!$D$6,0)</f>
        <v>cái</v>
      </c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S1205" s="332">
        <f t="shared" si="276"/>
        <v>0.1</v>
      </c>
      <c r="T1205" s="332">
        <f t="shared" si="278"/>
        <v>0</v>
      </c>
    </row>
    <row r="1206" spans="2:20" hidden="1">
      <c r="B1206" s="332" t="s">
        <v>1939</v>
      </c>
      <c r="C1206" s="333">
        <f t="shared" si="277"/>
        <v>0</v>
      </c>
      <c r="D1206" s="328"/>
      <c r="E1206" s="328" t="str">
        <f>VLOOKUP(B1206,DONGIA,DG!$B$6,0)</f>
        <v>T4.4201</v>
      </c>
      <c r="F1206" s="329" t="str">
        <f>VLOOKUP(B1206,DONGIA,DG!$C$6,0)</f>
        <v>Lắp cáp đồng xuống thiết bị D ≤ 95mm2</v>
      </c>
      <c r="G1206" s="328" t="str">
        <f>VLOOKUP(B1206,DONGIA,DG!$D$6,0)</f>
        <v>m</v>
      </c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S1206" s="332">
        <f t="shared" si="276"/>
        <v>0</v>
      </c>
      <c r="T1206" s="332">
        <f t="shared" si="278"/>
        <v>0</v>
      </c>
    </row>
    <row r="1207" spans="2:20" hidden="1">
      <c r="C1207" s="333">
        <f t="shared" si="277"/>
        <v>0</v>
      </c>
      <c r="D1207" s="372">
        <f>IF(H1207&lt;&gt;0,D1200+1,D1200)</f>
        <v>0</v>
      </c>
      <c r="E1207" s="372"/>
      <c r="F1207" s="373" t="s">
        <v>1936</v>
      </c>
      <c r="G1207" s="372" t="s">
        <v>138</v>
      </c>
      <c r="H1207" s="373"/>
      <c r="I1207" s="373"/>
      <c r="J1207" s="373"/>
      <c r="K1207" s="373"/>
      <c r="L1207" s="373"/>
      <c r="M1207" s="373"/>
      <c r="N1207" s="373"/>
      <c r="O1207" s="373"/>
      <c r="P1207" s="373"/>
      <c r="Q1207" s="373"/>
      <c r="S1207" s="332">
        <f t="shared" si="276"/>
        <v>0</v>
      </c>
      <c r="T1207" s="332">
        <f t="shared" si="278"/>
        <v>0</v>
      </c>
    </row>
    <row r="1208" spans="2:20" s="361" customFormat="1" hidden="1">
      <c r="C1208" s="374">
        <f t="shared" si="277"/>
        <v>0</v>
      </c>
      <c r="D1208" s="350"/>
      <c r="E1208" s="350"/>
      <c r="F1208" s="351" t="s">
        <v>1902</v>
      </c>
      <c r="G1208" s="350"/>
      <c r="H1208" s="351"/>
      <c r="I1208" s="351"/>
      <c r="J1208" s="351"/>
      <c r="K1208" s="351"/>
      <c r="L1208" s="351"/>
      <c r="M1208" s="351"/>
      <c r="N1208" s="351"/>
      <c r="O1208" s="351"/>
      <c r="P1208" s="351"/>
      <c r="Q1208" s="351"/>
      <c r="S1208" s="361">
        <f t="shared" si="276"/>
        <v>0</v>
      </c>
      <c r="T1208" s="361">
        <f t="shared" si="278"/>
        <v>0</v>
      </c>
    </row>
    <row r="1209" spans="2:20" hidden="1">
      <c r="B1209" s="332" t="s">
        <v>1907</v>
      </c>
      <c r="C1209" s="333">
        <f t="shared" si="277"/>
        <v>0</v>
      </c>
      <c r="D1209" s="328"/>
      <c r="E1209" s="328">
        <f>VLOOKUP(B1209,DONGIA,DG!$B$6,0)</f>
        <v>0</v>
      </c>
      <c r="F1209" s="329" t="str">
        <f>VLOOKUP(B1209,DONGIA,DG!$C$6,0)</f>
        <v>Cáp đồng bọc CV70</v>
      </c>
      <c r="G1209" s="328" t="str">
        <f>VLOOKUP(B1209,DONGIA,DG!$D$6,0)</f>
        <v>mét</v>
      </c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S1209" s="332">
        <f t="shared" si="276"/>
        <v>0.73899999999999999</v>
      </c>
      <c r="T1209" s="332">
        <f t="shared" si="278"/>
        <v>0</v>
      </c>
    </row>
    <row r="1210" spans="2:20" hidden="1">
      <c r="B1210" s="332" t="s">
        <v>1906</v>
      </c>
      <c r="C1210" s="333">
        <f t="shared" si="277"/>
        <v>0</v>
      </c>
      <c r="D1210" s="328"/>
      <c r="E1210" s="328">
        <f>VLOOKUP(B1210,DONGIA,DG!$B$6,0)</f>
        <v>0</v>
      </c>
      <c r="F1210" s="329" t="str">
        <f>VLOOKUP(B1210,DONGIA,DG!$C$6,0)</f>
        <v>Cáp đồng bọc CV50</v>
      </c>
      <c r="G1210" s="328" t="str">
        <f>VLOOKUP(B1210,DONGIA,DG!$D$6,0)</f>
        <v>mét</v>
      </c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S1210" s="332">
        <f t="shared" si="276"/>
        <v>0.53400000000000003</v>
      </c>
      <c r="T1210" s="332">
        <f t="shared" si="278"/>
        <v>0</v>
      </c>
    </row>
    <row r="1211" spans="2:20" hidden="1">
      <c r="B1211" s="332" t="s">
        <v>1937</v>
      </c>
      <c r="C1211" s="333">
        <f t="shared" si="277"/>
        <v>0</v>
      </c>
      <c r="D1211" s="328"/>
      <c r="E1211" s="328">
        <f>VLOOKUP(B1211,DONGIA,DG!$B$6,0)</f>
        <v>0</v>
      </c>
      <c r="F1211" s="329" t="str">
        <f>VLOOKUP(B1211,DONGIA,DG!$C$6,0)</f>
        <v>Cáp điều khiển CVV 4x4,0mm2</v>
      </c>
      <c r="G1211" s="328" t="str">
        <f>VLOOKUP(B1211,DONGIA,DG!$D$6,0)</f>
        <v>mét</v>
      </c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S1211" s="332">
        <f t="shared" si="276"/>
        <v>3.024</v>
      </c>
      <c r="T1211" s="332">
        <f t="shared" si="278"/>
        <v>0</v>
      </c>
    </row>
    <row r="1212" spans="2:20" hidden="1">
      <c r="B1212" s="332" t="s">
        <v>1113</v>
      </c>
      <c r="C1212" s="333">
        <f t="shared" si="277"/>
        <v>0</v>
      </c>
      <c r="D1212" s="328"/>
      <c r="E1212" s="328" t="str">
        <f>VLOOKUP(B1212,DONGIA,DG!$B$6,0)</f>
        <v>D4.5003</v>
      </c>
      <c r="F1212" s="329" t="str">
        <f>VLOOKUP(B1212,DONGIA,DG!$C$6,0)</f>
        <v>Đầu cosse ép Cu 70mm2</v>
      </c>
      <c r="G1212" s="328" t="str">
        <f>VLOOKUP(B1212,DONGIA,DG!$D$6,0)</f>
        <v>cái</v>
      </c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S1212" s="332">
        <f t="shared" si="276"/>
        <v>0.2</v>
      </c>
      <c r="T1212" s="332">
        <f t="shared" si="278"/>
        <v>0</v>
      </c>
    </row>
    <row r="1213" spans="2:20" hidden="1">
      <c r="B1213" s="332" t="s">
        <v>1110</v>
      </c>
      <c r="C1213" s="333">
        <f t="shared" si="277"/>
        <v>0</v>
      </c>
      <c r="D1213" s="328"/>
      <c r="E1213" s="328" t="str">
        <f>VLOOKUP(B1213,DONGIA,DG!$B$6,0)</f>
        <v>D4.5002</v>
      </c>
      <c r="F1213" s="329" t="str">
        <f>VLOOKUP(B1213,DONGIA,DG!$C$6,0)</f>
        <v>Đầu cosse ép Cu 50mm2</v>
      </c>
      <c r="G1213" s="328" t="str">
        <f>VLOOKUP(B1213,DONGIA,DG!$D$6,0)</f>
        <v>cái</v>
      </c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S1213" s="332">
        <f t="shared" si="276"/>
        <v>0.1</v>
      </c>
      <c r="T1213" s="332">
        <f t="shared" si="278"/>
        <v>0</v>
      </c>
    </row>
    <row r="1214" spans="2:20" hidden="1">
      <c r="B1214" s="332" t="s">
        <v>1147</v>
      </c>
      <c r="C1214" s="333">
        <f t="shared" si="277"/>
        <v>0</v>
      </c>
      <c r="D1214" s="328"/>
      <c r="E1214" s="328">
        <f>VLOOKUP(B1214,DONGIA,DG!$B$6,0)</f>
        <v>0</v>
      </c>
      <c r="F1214" s="329" t="str">
        <f>VLOOKUP(B1214,DONGIA,DG!$C$6,0)</f>
        <v>Chụp đầu cosse  70mm2</v>
      </c>
      <c r="G1214" s="328" t="str">
        <f>VLOOKUP(B1214,DONGIA,DG!$D$6,0)</f>
        <v>cái</v>
      </c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S1214" s="332">
        <f t="shared" si="276"/>
        <v>0</v>
      </c>
      <c r="T1214" s="332">
        <f t="shared" si="278"/>
        <v>0</v>
      </c>
    </row>
    <row r="1215" spans="2:20" hidden="1">
      <c r="B1215" s="332" t="s">
        <v>1145</v>
      </c>
      <c r="C1215" s="333">
        <f t="shared" si="277"/>
        <v>0</v>
      </c>
      <c r="D1215" s="328"/>
      <c r="E1215" s="328">
        <f>VLOOKUP(B1215,DONGIA,DG!$B$6,0)</f>
        <v>0</v>
      </c>
      <c r="F1215" s="329" t="str">
        <f>VLOOKUP(B1215,DONGIA,DG!$C$6,0)</f>
        <v>Chụp đầu cosse  50mm2</v>
      </c>
      <c r="G1215" s="328" t="str">
        <f>VLOOKUP(B1215,DONGIA,DG!$D$6,0)</f>
        <v>cái</v>
      </c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S1215" s="332">
        <f t="shared" si="276"/>
        <v>0</v>
      </c>
      <c r="T1215" s="332">
        <f t="shared" si="278"/>
        <v>0</v>
      </c>
    </row>
    <row r="1216" spans="2:20" hidden="1">
      <c r="B1216" s="332" t="s">
        <v>1177</v>
      </c>
      <c r="C1216" s="333">
        <f t="shared" si="277"/>
        <v>0</v>
      </c>
      <c r="D1216" s="328"/>
      <c r="E1216" s="328">
        <f>VLOOKUP(B1216,DONGIA,DG!$B$6,0)</f>
        <v>0</v>
      </c>
      <c r="F1216" s="329" t="str">
        <f>VLOOKUP(B1216,DONGIA,DG!$C$6,0)</f>
        <v xml:space="preserve">Ống PVC D90x3,8mm </v>
      </c>
      <c r="G1216" s="328" t="str">
        <f>VLOOKUP(B1216,DONGIA,DG!$D$6,0)</f>
        <v>m</v>
      </c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S1216" s="332">
        <f t="shared" si="276"/>
        <v>2</v>
      </c>
      <c r="T1216" s="332">
        <f t="shared" si="278"/>
        <v>0</v>
      </c>
    </row>
    <row r="1217" spans="2:20" hidden="1">
      <c r="B1217" s="332" t="s">
        <v>455</v>
      </c>
      <c r="C1217" s="333">
        <f t="shared" si="277"/>
        <v>0</v>
      </c>
      <c r="D1217" s="328"/>
      <c r="E1217" s="328">
        <f>VLOOKUP(B1217,DONGIA,DG!$B$6,0)</f>
        <v>0</v>
      </c>
      <c r="F1217" s="329" t="str">
        <f>VLOOKUP(B1217,DONGIA,DG!$C$6,0)</f>
        <v>Cổ dê kẹp ống PVC φ 90 (có giá nới)</v>
      </c>
      <c r="G1217" s="328" t="str">
        <f>VLOOKUP(B1217,DONGIA,DG!$D$6,0)</f>
        <v>bộ</v>
      </c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S1217" s="332">
        <f t="shared" si="276"/>
        <v>1.5</v>
      </c>
      <c r="T1217" s="332">
        <f t="shared" si="278"/>
        <v>0</v>
      </c>
    </row>
    <row r="1218" spans="2:20" hidden="1">
      <c r="B1218" s="332" t="s">
        <v>455</v>
      </c>
      <c r="C1218" s="333">
        <f t="shared" si="277"/>
        <v>0</v>
      </c>
      <c r="D1218" s="328"/>
      <c r="E1218" s="328">
        <f>VLOOKUP(B1218,DONGIA,DG!$B$6,0)</f>
        <v>0</v>
      </c>
      <c r="F1218" s="329" t="str">
        <f>VLOOKUP(B1218,DONGIA,DG!$C$6,0)</f>
        <v>Cổ dê kẹp ống PVC φ 90 (có giá nới)</v>
      </c>
      <c r="G1218" s="328" t="str">
        <f>VLOOKUP(B1218,DONGIA,DG!$D$6,0)</f>
        <v>bộ</v>
      </c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S1218" s="332">
        <f t="shared" si="276"/>
        <v>1.5</v>
      </c>
      <c r="T1218" s="332">
        <f t="shared" si="278"/>
        <v>0</v>
      </c>
    </row>
    <row r="1219" spans="2:20" hidden="1">
      <c r="B1219" s="332" t="s">
        <v>455</v>
      </c>
      <c r="C1219" s="333">
        <f t="shared" si="277"/>
        <v>0</v>
      </c>
      <c r="D1219" s="328"/>
      <c r="E1219" s="328">
        <f>VLOOKUP(B1219,DONGIA,DG!$B$6,0)</f>
        <v>0</v>
      </c>
      <c r="F1219" s="329" t="str">
        <f>VLOOKUP(B1219,DONGIA,DG!$C$6,0)</f>
        <v>Cổ dê kẹp ống PVC φ 90 (có giá nới)</v>
      </c>
      <c r="G1219" s="328" t="str">
        <f>VLOOKUP(B1219,DONGIA,DG!$D$6,0)</f>
        <v>bộ</v>
      </c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S1219" s="332">
        <f t="shared" si="276"/>
        <v>1.5</v>
      </c>
      <c r="T1219" s="332">
        <f t="shared" si="278"/>
        <v>0</v>
      </c>
    </row>
    <row r="1220" spans="2:20" hidden="1">
      <c r="B1220" s="332" t="s">
        <v>1183</v>
      </c>
      <c r="C1220" s="333">
        <f t="shared" si="277"/>
        <v>0</v>
      </c>
      <c r="D1220" s="328"/>
      <c r="E1220" s="328">
        <f>VLOOKUP(B1220,DONGIA,DG!$B$6,0)</f>
        <v>0</v>
      </c>
      <c r="F1220" s="329" t="str">
        <f>VLOOKUP(B1220,DONGIA,DG!$C$6,0)</f>
        <v>Co  90 độ PVC 90</v>
      </c>
      <c r="G1220" s="328" t="str">
        <f>VLOOKUP(B1220,DONGIA,DG!$D$6,0)</f>
        <v>cái</v>
      </c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S1220" s="332">
        <f t="shared" si="276"/>
        <v>0</v>
      </c>
      <c r="T1220" s="332">
        <f t="shared" si="278"/>
        <v>0</v>
      </c>
    </row>
    <row r="1221" spans="2:20" hidden="1">
      <c r="B1221" s="332" t="s">
        <v>1940</v>
      </c>
      <c r="C1221" s="333">
        <f t="shared" si="277"/>
        <v>0</v>
      </c>
      <c r="D1221" s="328"/>
      <c r="E1221" s="328">
        <f>VLOOKUP(B1221,DONGIA,DG!$B$6,0)</f>
        <v>0</v>
      </c>
      <c r="F1221" s="329" t="str">
        <f>VLOOKUP(B1221,DONGIA,DG!$C$6,0)</f>
        <v>Nối giảm PVC 114-90</v>
      </c>
      <c r="G1221" s="328" t="str">
        <f>VLOOKUP(B1221,DONGIA,DG!$D$6,0)</f>
        <v>cái</v>
      </c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S1221" s="332">
        <f t="shared" ref="S1221:S1286" si="279">IFERROR(VLOOKUP(B1221,DONGIA,$S$25,0),0)</f>
        <v>0</v>
      </c>
      <c r="T1221" s="332">
        <f t="shared" si="278"/>
        <v>0</v>
      </c>
    </row>
    <row r="1222" spans="2:20" hidden="1">
      <c r="B1222" s="332" t="s">
        <v>1181</v>
      </c>
      <c r="C1222" s="333">
        <f t="shared" ref="C1222:C1287" si="280">IF(H1222&lt;&gt;0,1,)</f>
        <v>0</v>
      </c>
      <c r="D1222" s="328"/>
      <c r="E1222" s="328">
        <f>VLOOKUP(B1222,DONGIA,DG!$B$6,0)</f>
        <v>0</v>
      </c>
      <c r="F1222" s="329" t="str">
        <f>VLOOKUP(B1222,DONGIA,DG!$C$6,0)</f>
        <v>Co 135 độ PVC 90</v>
      </c>
      <c r="G1222" s="328" t="str">
        <f>VLOOKUP(B1222,DONGIA,DG!$D$6,0)</f>
        <v>cái</v>
      </c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S1222" s="332">
        <f t="shared" si="279"/>
        <v>0</v>
      </c>
      <c r="T1222" s="332">
        <f t="shared" ref="T1222:T1287" si="281">H1222*S1222</f>
        <v>0</v>
      </c>
    </row>
    <row r="1223" spans="2:20" hidden="1">
      <c r="B1223" s="332" t="s">
        <v>1914</v>
      </c>
      <c r="C1223" s="333">
        <f t="shared" si="280"/>
        <v>0</v>
      </c>
      <c r="D1223" s="328"/>
      <c r="E1223" s="328">
        <f>VLOOKUP(B1223,DONGIA,DG!$B$6,0)</f>
        <v>0</v>
      </c>
      <c r="F1223" s="329" t="str">
        <f>VLOOKUP(B1223,DONGIA,DG!$C$6,0)</f>
        <v>Keo dán ống PVC (100gr)</v>
      </c>
      <c r="G1223" s="328" t="str">
        <f>VLOOKUP(B1223,DONGIA,DG!$D$6,0)</f>
        <v>tuýp</v>
      </c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S1223" s="332">
        <f t="shared" si="279"/>
        <v>0</v>
      </c>
      <c r="T1223" s="332">
        <f t="shared" si="281"/>
        <v>0</v>
      </c>
    </row>
    <row r="1224" spans="2:20" hidden="1">
      <c r="B1224" s="332" t="s">
        <v>1195</v>
      </c>
      <c r="C1224" s="333">
        <f t="shared" si="280"/>
        <v>0</v>
      </c>
      <c r="D1224" s="328"/>
      <c r="E1224" s="328">
        <f>VLOOKUP(B1224,DONGIA,DG!$B$6,0)</f>
        <v>0</v>
      </c>
      <c r="F1224" s="329" t="str">
        <f>VLOOKUP(B1224,DONGIA,DG!$C$6,0)</f>
        <v>Keo silicon bít miệng ống</v>
      </c>
      <c r="G1224" s="328" t="str">
        <f>VLOOKUP(B1224,DONGIA,DG!$D$6,0)</f>
        <v>ống</v>
      </c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S1224" s="332">
        <f t="shared" si="279"/>
        <v>0</v>
      </c>
      <c r="T1224" s="332">
        <f t="shared" si="281"/>
        <v>0</v>
      </c>
    </row>
    <row r="1225" spans="2:20" hidden="1">
      <c r="B1225" s="332" t="s">
        <v>1193</v>
      </c>
      <c r="C1225" s="333">
        <f t="shared" si="280"/>
        <v>0</v>
      </c>
      <c r="D1225" s="328"/>
      <c r="E1225" s="328">
        <f>VLOOKUP(B1225,DONGIA,DG!$B$6,0)</f>
        <v>0</v>
      </c>
      <c r="F1225" s="329" t="str">
        <f>VLOOKUP(B1225,DONGIA,DG!$C$6,0)</f>
        <v>Băng keo cách điện</v>
      </c>
      <c r="G1225" s="328" t="str">
        <f>VLOOKUP(B1225,DONGIA,DG!$D$6,0)</f>
        <v>cuộn</v>
      </c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S1225" s="332">
        <f t="shared" si="279"/>
        <v>0</v>
      </c>
      <c r="T1225" s="332">
        <f t="shared" si="281"/>
        <v>0</v>
      </c>
    </row>
    <row r="1226" spans="2:20" hidden="1">
      <c r="B1226" s="332" t="s">
        <v>855</v>
      </c>
      <c r="C1226" s="333">
        <f t="shared" si="280"/>
        <v>0</v>
      </c>
      <c r="D1226" s="328"/>
      <c r="E1226" s="328" t="str">
        <f>VLOOKUP(B1226,DONGIA,DG!$B$6,0)</f>
        <v>T4.8003</v>
      </c>
      <c r="F1226" s="329" t="str">
        <f>VLOOKUP(B1226,DONGIA,DG!$C$6,0)</f>
        <v>Lắp ống nhựa PVC D90</v>
      </c>
      <c r="G1226" s="328" t="str">
        <f>VLOOKUP(B1226,DONGIA,DG!$D$6,0)</f>
        <v>mét</v>
      </c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S1226" s="332">
        <f t="shared" si="279"/>
        <v>0</v>
      </c>
      <c r="T1226" s="332">
        <f t="shared" si="281"/>
        <v>0</v>
      </c>
    </row>
    <row r="1227" spans="2:20" hidden="1">
      <c r="B1227" s="332" t="s">
        <v>1939</v>
      </c>
      <c r="C1227" s="333">
        <f t="shared" si="280"/>
        <v>0</v>
      </c>
      <c r="D1227" s="328"/>
      <c r="E1227" s="328" t="str">
        <f>VLOOKUP(B1227,DONGIA,DG!$B$6,0)</f>
        <v>T4.4201</v>
      </c>
      <c r="F1227" s="329" t="str">
        <f>VLOOKUP(B1227,DONGIA,DG!$C$6,0)</f>
        <v>Lắp cáp đồng xuống thiết bị D ≤ 95mm2</v>
      </c>
      <c r="G1227" s="328" t="str">
        <f>VLOOKUP(B1227,DONGIA,DG!$D$6,0)</f>
        <v>m</v>
      </c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S1227" s="332">
        <f t="shared" si="279"/>
        <v>0</v>
      </c>
      <c r="T1227" s="332">
        <f t="shared" si="281"/>
        <v>0</v>
      </c>
    </row>
    <row r="1228" spans="2:20" hidden="1">
      <c r="C1228" s="333">
        <f t="shared" si="280"/>
        <v>0</v>
      </c>
      <c r="D1228" s="372">
        <f>IF(H1228&lt;&gt;0,D1207+1,D1207)</f>
        <v>0</v>
      </c>
      <c r="E1228" s="372"/>
      <c r="F1228" s="373" t="s">
        <v>1938</v>
      </c>
      <c r="G1228" s="372" t="s">
        <v>138</v>
      </c>
      <c r="H1228" s="373"/>
      <c r="I1228" s="373"/>
      <c r="J1228" s="373"/>
      <c r="K1228" s="373"/>
      <c r="L1228" s="373"/>
      <c r="M1228" s="373"/>
      <c r="N1228" s="373"/>
      <c r="O1228" s="373"/>
      <c r="P1228" s="373"/>
      <c r="Q1228" s="373"/>
      <c r="S1228" s="332">
        <f t="shared" si="279"/>
        <v>0</v>
      </c>
      <c r="T1228" s="332">
        <f t="shared" si="281"/>
        <v>0</v>
      </c>
    </row>
    <row r="1229" spans="2:20" s="361" customFormat="1" hidden="1">
      <c r="C1229" s="374">
        <f t="shared" si="280"/>
        <v>0</v>
      </c>
      <c r="D1229" s="350"/>
      <c r="E1229" s="350"/>
      <c r="F1229" s="351" t="s">
        <v>1902</v>
      </c>
      <c r="G1229" s="350"/>
      <c r="H1229" s="351"/>
      <c r="I1229" s="351"/>
      <c r="J1229" s="351"/>
      <c r="K1229" s="351"/>
      <c r="L1229" s="351"/>
      <c r="M1229" s="351"/>
      <c r="N1229" s="351"/>
      <c r="O1229" s="351"/>
      <c r="P1229" s="351"/>
      <c r="Q1229" s="351"/>
      <c r="S1229" s="361">
        <f t="shared" si="279"/>
        <v>0</v>
      </c>
      <c r="T1229" s="361">
        <f t="shared" si="281"/>
        <v>0</v>
      </c>
    </row>
    <row r="1230" spans="2:20" hidden="1">
      <c r="B1230" s="332" t="s">
        <v>1907</v>
      </c>
      <c r="C1230" s="333">
        <f t="shared" si="280"/>
        <v>0</v>
      </c>
      <c r="D1230" s="328"/>
      <c r="E1230" s="328">
        <f>VLOOKUP(B1230,DONGIA,DG!$B$6,0)</f>
        <v>0</v>
      </c>
      <c r="F1230" s="329" t="str">
        <f>VLOOKUP(B1230,DONGIA,DG!$C$6,0)</f>
        <v>Cáp đồng bọc CV70</v>
      </c>
      <c r="G1230" s="328" t="str">
        <f>VLOOKUP(B1230,DONGIA,DG!$D$6,0)</f>
        <v>mét</v>
      </c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S1230" s="332">
        <f t="shared" si="279"/>
        <v>0.73899999999999999</v>
      </c>
      <c r="T1230" s="332">
        <f t="shared" si="281"/>
        <v>0</v>
      </c>
    </row>
    <row r="1231" spans="2:20" hidden="1">
      <c r="B1231" s="332" t="s">
        <v>1906</v>
      </c>
      <c r="C1231" s="333">
        <f t="shared" si="280"/>
        <v>0</v>
      </c>
      <c r="D1231" s="328"/>
      <c r="E1231" s="328">
        <f>VLOOKUP(B1231,DONGIA,DG!$B$6,0)</f>
        <v>0</v>
      </c>
      <c r="F1231" s="329" t="str">
        <f>VLOOKUP(B1231,DONGIA,DG!$C$6,0)</f>
        <v>Cáp đồng bọc CV50</v>
      </c>
      <c r="G1231" s="328" t="str">
        <f>VLOOKUP(B1231,DONGIA,DG!$D$6,0)</f>
        <v>mét</v>
      </c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S1231" s="332">
        <f t="shared" si="279"/>
        <v>0.53400000000000003</v>
      </c>
      <c r="T1231" s="332">
        <f t="shared" si="281"/>
        <v>0</v>
      </c>
    </row>
    <row r="1232" spans="2:20" hidden="1">
      <c r="B1232" s="332" t="s">
        <v>1113</v>
      </c>
      <c r="C1232" s="333">
        <f t="shared" si="280"/>
        <v>0</v>
      </c>
      <c r="D1232" s="328"/>
      <c r="E1232" s="328" t="str">
        <f>VLOOKUP(B1232,DONGIA,DG!$B$6,0)</f>
        <v>D4.5003</v>
      </c>
      <c r="F1232" s="329" t="str">
        <f>VLOOKUP(B1232,DONGIA,DG!$C$6,0)</f>
        <v>Đầu cosse ép Cu 70mm2</v>
      </c>
      <c r="G1232" s="328" t="str">
        <f>VLOOKUP(B1232,DONGIA,DG!$D$6,0)</f>
        <v>cái</v>
      </c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S1232" s="332">
        <f t="shared" si="279"/>
        <v>0.2</v>
      </c>
      <c r="T1232" s="332">
        <f t="shared" si="281"/>
        <v>0</v>
      </c>
    </row>
    <row r="1233" spans="1:20" hidden="1">
      <c r="B1233" s="332" t="s">
        <v>1110</v>
      </c>
      <c r="C1233" s="333">
        <f t="shared" si="280"/>
        <v>0</v>
      </c>
      <c r="D1233" s="328"/>
      <c r="E1233" s="328" t="str">
        <f>VLOOKUP(B1233,DONGIA,DG!$B$6,0)</f>
        <v>D4.5002</v>
      </c>
      <c r="F1233" s="329" t="str">
        <f>VLOOKUP(B1233,DONGIA,DG!$C$6,0)</f>
        <v>Đầu cosse ép Cu 50mm2</v>
      </c>
      <c r="G1233" s="328" t="str">
        <f>VLOOKUP(B1233,DONGIA,DG!$D$6,0)</f>
        <v>cái</v>
      </c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S1233" s="332">
        <f t="shared" si="279"/>
        <v>0.1</v>
      </c>
      <c r="T1233" s="332">
        <f t="shared" si="281"/>
        <v>0</v>
      </c>
    </row>
    <row r="1234" spans="1:20" hidden="1">
      <c r="B1234" s="332" t="s">
        <v>1147</v>
      </c>
      <c r="C1234" s="333">
        <f t="shared" si="280"/>
        <v>0</v>
      </c>
      <c r="D1234" s="328"/>
      <c r="E1234" s="328">
        <f>VLOOKUP(B1234,DONGIA,DG!$B$6,0)</f>
        <v>0</v>
      </c>
      <c r="F1234" s="329" t="str">
        <f>VLOOKUP(B1234,DONGIA,DG!$C$6,0)</f>
        <v>Chụp đầu cosse  70mm2</v>
      </c>
      <c r="G1234" s="328" t="str">
        <f>VLOOKUP(B1234,DONGIA,DG!$D$6,0)</f>
        <v>cái</v>
      </c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S1234" s="332">
        <f t="shared" si="279"/>
        <v>0</v>
      </c>
      <c r="T1234" s="332">
        <f t="shared" si="281"/>
        <v>0</v>
      </c>
    </row>
    <row r="1235" spans="1:20" hidden="1">
      <c r="B1235" s="332" t="s">
        <v>1145</v>
      </c>
      <c r="C1235" s="333">
        <f t="shared" si="280"/>
        <v>0</v>
      </c>
      <c r="D1235" s="328"/>
      <c r="E1235" s="328">
        <f>VLOOKUP(B1235,DONGIA,DG!$B$6,0)</f>
        <v>0</v>
      </c>
      <c r="F1235" s="329" t="str">
        <f>VLOOKUP(B1235,DONGIA,DG!$C$6,0)</f>
        <v>Chụp đầu cosse  50mm2</v>
      </c>
      <c r="G1235" s="328" t="str">
        <f>VLOOKUP(B1235,DONGIA,DG!$D$6,0)</f>
        <v>cái</v>
      </c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S1235" s="332">
        <f t="shared" si="279"/>
        <v>0</v>
      </c>
      <c r="T1235" s="332">
        <f t="shared" si="281"/>
        <v>0</v>
      </c>
    </row>
    <row r="1236" spans="1:20" hidden="1">
      <c r="B1236" s="332" t="s">
        <v>1177</v>
      </c>
      <c r="C1236" s="333">
        <f t="shared" si="280"/>
        <v>0</v>
      </c>
      <c r="D1236" s="328"/>
      <c r="E1236" s="328">
        <f>VLOOKUP(B1236,DONGIA,DG!$B$6,0)</f>
        <v>0</v>
      </c>
      <c r="F1236" s="329" t="str">
        <f>VLOOKUP(B1236,DONGIA,DG!$C$6,0)</f>
        <v xml:space="preserve">Ống PVC D90x3,8mm </v>
      </c>
      <c r="G1236" s="328" t="str">
        <f>VLOOKUP(B1236,DONGIA,DG!$D$6,0)</f>
        <v>m</v>
      </c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S1236" s="332">
        <f t="shared" si="279"/>
        <v>2</v>
      </c>
      <c r="T1236" s="332">
        <f t="shared" si="281"/>
        <v>0</v>
      </c>
    </row>
    <row r="1237" spans="1:20" hidden="1">
      <c r="B1237" s="332" t="s">
        <v>455</v>
      </c>
      <c r="C1237" s="333">
        <f t="shared" si="280"/>
        <v>0</v>
      </c>
      <c r="D1237" s="328"/>
      <c r="E1237" s="328">
        <f>VLOOKUP(B1237,DONGIA,DG!$B$6,0)</f>
        <v>0</v>
      </c>
      <c r="F1237" s="329" t="str">
        <f>VLOOKUP(B1237,DONGIA,DG!$C$6,0)</f>
        <v>Cổ dê kẹp ống PVC φ 90 (có giá nới)</v>
      </c>
      <c r="G1237" s="328" t="str">
        <f>VLOOKUP(B1237,DONGIA,DG!$D$6,0)</f>
        <v>bộ</v>
      </c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S1237" s="332">
        <f t="shared" si="279"/>
        <v>1.5</v>
      </c>
      <c r="T1237" s="332">
        <f t="shared" si="281"/>
        <v>0</v>
      </c>
    </row>
    <row r="1238" spans="1:20" hidden="1">
      <c r="B1238" s="332" t="s">
        <v>455</v>
      </c>
      <c r="C1238" s="333">
        <f t="shared" si="280"/>
        <v>0</v>
      </c>
      <c r="D1238" s="328"/>
      <c r="E1238" s="328">
        <f>VLOOKUP(B1238,DONGIA,DG!$B$6,0)</f>
        <v>0</v>
      </c>
      <c r="F1238" s="329" t="str">
        <f>VLOOKUP(B1238,DONGIA,DG!$C$6,0)</f>
        <v>Cổ dê kẹp ống PVC φ 90 (có giá nới)</v>
      </c>
      <c r="G1238" s="328" t="str">
        <f>VLOOKUP(B1238,DONGIA,DG!$D$6,0)</f>
        <v>bộ</v>
      </c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S1238" s="332">
        <f t="shared" si="279"/>
        <v>1.5</v>
      </c>
      <c r="T1238" s="332">
        <f t="shared" si="281"/>
        <v>0</v>
      </c>
    </row>
    <row r="1239" spans="1:20" hidden="1">
      <c r="B1239" s="332" t="s">
        <v>455</v>
      </c>
      <c r="C1239" s="333">
        <f t="shared" si="280"/>
        <v>0</v>
      </c>
      <c r="D1239" s="328"/>
      <c r="E1239" s="328">
        <f>VLOOKUP(B1239,DONGIA,DG!$B$6,0)</f>
        <v>0</v>
      </c>
      <c r="F1239" s="329" t="str">
        <f>VLOOKUP(B1239,DONGIA,DG!$C$6,0)</f>
        <v>Cổ dê kẹp ống PVC φ 90 (có giá nới)</v>
      </c>
      <c r="G1239" s="328" t="str">
        <f>VLOOKUP(B1239,DONGIA,DG!$D$6,0)</f>
        <v>bộ</v>
      </c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S1239" s="332">
        <f t="shared" si="279"/>
        <v>1.5</v>
      </c>
      <c r="T1239" s="332">
        <f t="shared" si="281"/>
        <v>0</v>
      </c>
    </row>
    <row r="1240" spans="1:20" hidden="1">
      <c r="B1240" s="332" t="s">
        <v>1183</v>
      </c>
      <c r="C1240" s="333">
        <f t="shared" si="280"/>
        <v>0</v>
      </c>
      <c r="D1240" s="328"/>
      <c r="E1240" s="328">
        <f>VLOOKUP(B1240,DONGIA,DG!$B$6,0)</f>
        <v>0</v>
      </c>
      <c r="F1240" s="329" t="str">
        <f>VLOOKUP(B1240,DONGIA,DG!$C$6,0)</f>
        <v>Co  90 độ PVC 90</v>
      </c>
      <c r="G1240" s="328" t="str">
        <f>VLOOKUP(B1240,DONGIA,DG!$D$6,0)</f>
        <v>cái</v>
      </c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S1240" s="332">
        <f t="shared" si="279"/>
        <v>0</v>
      </c>
      <c r="T1240" s="332">
        <f t="shared" si="281"/>
        <v>0</v>
      </c>
    </row>
    <row r="1241" spans="1:20" hidden="1">
      <c r="B1241" s="332" t="s">
        <v>1181</v>
      </c>
      <c r="C1241" s="333">
        <f t="shared" si="280"/>
        <v>0</v>
      </c>
      <c r="D1241" s="328"/>
      <c r="E1241" s="328">
        <f>VLOOKUP(B1241,DONGIA,DG!$B$6,0)</f>
        <v>0</v>
      </c>
      <c r="F1241" s="329" t="str">
        <f>VLOOKUP(B1241,DONGIA,DG!$C$6,0)</f>
        <v>Co 135 độ PVC 90</v>
      </c>
      <c r="G1241" s="328" t="str">
        <f>VLOOKUP(B1241,DONGIA,DG!$D$6,0)</f>
        <v>cái</v>
      </c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S1241" s="332">
        <f t="shared" si="279"/>
        <v>0</v>
      </c>
      <c r="T1241" s="332">
        <f t="shared" si="281"/>
        <v>0</v>
      </c>
    </row>
    <row r="1242" spans="1:20" hidden="1">
      <c r="B1242" s="332" t="s">
        <v>1914</v>
      </c>
      <c r="C1242" s="333">
        <f t="shared" si="280"/>
        <v>0</v>
      </c>
      <c r="D1242" s="328"/>
      <c r="E1242" s="328">
        <f>VLOOKUP(B1242,DONGIA,DG!$B$6,0)</f>
        <v>0</v>
      </c>
      <c r="F1242" s="329" t="str">
        <f>VLOOKUP(B1242,DONGIA,DG!$C$6,0)</f>
        <v>Keo dán ống PVC (100gr)</v>
      </c>
      <c r="G1242" s="328" t="str">
        <f>VLOOKUP(B1242,DONGIA,DG!$D$6,0)</f>
        <v>tuýp</v>
      </c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S1242" s="332">
        <f t="shared" si="279"/>
        <v>0</v>
      </c>
      <c r="T1242" s="332">
        <f t="shared" si="281"/>
        <v>0</v>
      </c>
    </row>
    <row r="1243" spans="1:20" hidden="1">
      <c r="B1243" s="332" t="s">
        <v>1195</v>
      </c>
      <c r="C1243" s="333">
        <f t="shared" si="280"/>
        <v>0</v>
      </c>
      <c r="D1243" s="328"/>
      <c r="E1243" s="328">
        <f>VLOOKUP(B1243,DONGIA,DG!$B$6,0)</f>
        <v>0</v>
      </c>
      <c r="F1243" s="329" t="str">
        <f>VLOOKUP(B1243,DONGIA,DG!$C$6,0)</f>
        <v>Keo silicon bít miệng ống</v>
      </c>
      <c r="G1243" s="328" t="str">
        <f>VLOOKUP(B1243,DONGIA,DG!$D$6,0)</f>
        <v>ống</v>
      </c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S1243" s="332">
        <f t="shared" si="279"/>
        <v>0</v>
      </c>
      <c r="T1243" s="332">
        <f t="shared" si="281"/>
        <v>0</v>
      </c>
    </row>
    <row r="1244" spans="1:20" hidden="1">
      <c r="B1244" s="332" t="s">
        <v>1193</v>
      </c>
      <c r="C1244" s="333">
        <f t="shared" si="280"/>
        <v>0</v>
      </c>
      <c r="D1244" s="328"/>
      <c r="E1244" s="328">
        <f>VLOOKUP(B1244,DONGIA,DG!$B$6,0)</f>
        <v>0</v>
      </c>
      <c r="F1244" s="329" t="str">
        <f>VLOOKUP(B1244,DONGIA,DG!$C$6,0)</f>
        <v>Băng keo cách điện</v>
      </c>
      <c r="G1244" s="328" t="str">
        <f>VLOOKUP(B1244,DONGIA,DG!$D$6,0)</f>
        <v>cuộn</v>
      </c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S1244" s="332">
        <f t="shared" si="279"/>
        <v>0</v>
      </c>
      <c r="T1244" s="332">
        <f t="shared" si="281"/>
        <v>0</v>
      </c>
    </row>
    <row r="1245" spans="1:20" hidden="1">
      <c r="B1245" s="332" t="s">
        <v>855</v>
      </c>
      <c r="C1245" s="333">
        <f t="shared" si="280"/>
        <v>0</v>
      </c>
      <c r="D1245" s="328"/>
      <c r="E1245" s="328" t="str">
        <f>VLOOKUP(B1245,DONGIA,DG!$B$6,0)</f>
        <v>T4.8003</v>
      </c>
      <c r="F1245" s="329" t="str">
        <f>VLOOKUP(B1245,DONGIA,DG!$C$6,0)</f>
        <v>Lắp ống nhựa PVC D90</v>
      </c>
      <c r="G1245" s="328" t="str">
        <f>VLOOKUP(B1245,DONGIA,DG!$D$6,0)</f>
        <v>mét</v>
      </c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S1245" s="332">
        <f t="shared" si="279"/>
        <v>0</v>
      </c>
      <c r="T1245" s="332">
        <f t="shared" si="281"/>
        <v>0</v>
      </c>
    </row>
    <row r="1246" spans="1:20" hidden="1">
      <c r="B1246" s="332" t="s">
        <v>1939</v>
      </c>
      <c r="C1246" s="333">
        <f t="shared" si="280"/>
        <v>0</v>
      </c>
      <c r="D1246" s="328"/>
      <c r="E1246" s="328" t="str">
        <f>VLOOKUP(B1246,DONGIA,DG!$B$6,0)</f>
        <v>T4.4201</v>
      </c>
      <c r="F1246" s="329" t="str">
        <f>VLOOKUP(B1246,DONGIA,DG!$C$6,0)</f>
        <v>Lắp cáp đồng xuống thiết bị D ≤ 95mm2</v>
      </c>
      <c r="G1246" s="328" t="str">
        <f>VLOOKUP(B1246,DONGIA,DG!$D$6,0)</f>
        <v>m</v>
      </c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S1246" s="332">
        <f t="shared" si="279"/>
        <v>0</v>
      </c>
      <c r="T1246" s="332">
        <f t="shared" si="281"/>
        <v>0</v>
      </c>
    </row>
    <row r="1247" spans="1:20" hidden="1">
      <c r="B1247" s="332" t="s">
        <v>1058</v>
      </c>
      <c r="C1247" s="333">
        <f t="shared" si="280"/>
        <v>0</v>
      </c>
      <c r="D1247" s="372">
        <f>IF(H1247&lt;&gt;0,D1228+1,D1228)</f>
        <v>0</v>
      </c>
      <c r="E1247" s="372">
        <f>VLOOKUP(B1247,DONGIA,DG!$B$6,0)</f>
        <v>0</v>
      </c>
      <c r="F1247" s="373" t="str">
        <f>VLOOKUP(B1247,DONGIA,DG!$C$6,0)</f>
        <v>Bảng tên trạm + bulon</v>
      </c>
      <c r="G1247" s="372" t="str">
        <f>VLOOKUP(B1247,DONGIA,DG!$D$6,0)</f>
        <v>bộ</v>
      </c>
      <c r="H1247" s="373"/>
      <c r="I1247" s="373"/>
      <c r="J1247" s="373"/>
      <c r="K1247" s="373"/>
      <c r="L1247" s="373"/>
      <c r="M1247" s="373"/>
      <c r="N1247" s="373"/>
      <c r="O1247" s="373"/>
      <c r="P1247" s="373"/>
      <c r="Q1247" s="373"/>
      <c r="S1247" s="332">
        <f t="shared" si="279"/>
        <v>0</v>
      </c>
      <c r="T1247" s="332">
        <f t="shared" si="281"/>
        <v>0</v>
      </c>
    </row>
    <row r="1248" spans="1:20" s="353" customFormat="1" hidden="1">
      <c r="A1248" s="353" t="s">
        <v>2468</v>
      </c>
      <c r="C1248" s="333">
        <f>IF((C1249+C1256)&lt;&gt;0,1,)</f>
        <v>0</v>
      </c>
      <c r="D1248" s="368"/>
      <c r="E1248" s="369" t="str">
        <f>TRNC3X50&amp;" Trạm NC từ 50kVA lên 3x50kVA"</f>
        <v xml:space="preserve"> Trạm NC từ 50kVA lên 3x50kVA</v>
      </c>
      <c r="F1248" s="368"/>
      <c r="G1248" s="368"/>
      <c r="H1248" s="368"/>
      <c r="I1248" s="325"/>
      <c r="J1248" s="325"/>
      <c r="K1248" s="325"/>
      <c r="L1248" s="325"/>
      <c r="M1248" s="325"/>
      <c r="N1248" s="325"/>
      <c r="O1248" s="325"/>
      <c r="P1248" s="325"/>
      <c r="Q1248" s="368"/>
      <c r="S1248" s="332">
        <f t="shared" si="279"/>
        <v>0</v>
      </c>
      <c r="T1248" s="332">
        <f t="shared" si="281"/>
        <v>0</v>
      </c>
    </row>
    <row r="1249" spans="1:20" hidden="1">
      <c r="A1249" s="332" t="str">
        <f>"TB"&amp;A1248</f>
        <v>TBTRNC3X50</v>
      </c>
      <c r="C1249" s="333">
        <f>IF(SUM(C1250:C1255)&lt;&gt;0,1,)</f>
        <v>0</v>
      </c>
      <c r="D1249" s="344"/>
      <c r="E1249" s="344"/>
      <c r="F1249" s="345" t="s">
        <v>1900</v>
      </c>
      <c r="G1249" s="344"/>
      <c r="H1249" s="345"/>
      <c r="I1249" s="345"/>
      <c r="J1249" s="345"/>
      <c r="K1249" s="345"/>
      <c r="L1249" s="345"/>
      <c r="M1249" s="345">
        <f>SUM(M1250:M1255)</f>
        <v>0</v>
      </c>
      <c r="N1249" s="345">
        <f>SUM(N1250:N1255)</f>
        <v>0</v>
      </c>
      <c r="O1249" s="345">
        <f>SUM(O1250:O1255)</f>
        <v>0</v>
      </c>
      <c r="P1249" s="345">
        <f>SUM(P1250:P1255)</f>
        <v>0</v>
      </c>
      <c r="Q1249" s="345"/>
      <c r="S1249" s="332">
        <f t="shared" si="279"/>
        <v>0</v>
      </c>
      <c r="T1249" s="371">
        <f>SUM(T1250:T1255)</f>
        <v>0</v>
      </c>
    </row>
    <row r="1250" spans="1:20" hidden="1">
      <c r="A1250" s="332" t="s">
        <v>477</v>
      </c>
      <c r="B1250" s="332" t="s">
        <v>902</v>
      </c>
      <c r="C1250" s="333">
        <f t="shared" si="280"/>
        <v>0</v>
      </c>
      <c r="D1250" s="328"/>
      <c r="E1250" s="328" t="str">
        <f>VLOOKUP(B1250,DONGIA,DG!$B$6,0)</f>
        <v>T1.1432</v>
      </c>
      <c r="F1250" s="329" t="str">
        <f>VLOOKUP(B1250,DONGIA,DG!$C$6,0)</f>
        <v>Máy biến áp AMORPHOUS 12,7/0,23-0,46kV 50kVA</v>
      </c>
      <c r="G1250" s="328" t="str">
        <f>VLOOKUP(B1250,DONGIA,DG!$D$6,0)</f>
        <v>máy</v>
      </c>
      <c r="H1250" s="329">
        <f>TRNC3X50*2</f>
        <v>0</v>
      </c>
      <c r="I1250" s="329">
        <f>VLOOKUP(B1250,DONGIA,DG!$E$6,0)</f>
        <v>30989760</v>
      </c>
      <c r="J1250" s="329"/>
      <c r="K1250" s="329">
        <f>VLOOKUP(B1250,DONGIA,DG!$F$6,0)</f>
        <v>746585</v>
      </c>
      <c r="L1250" s="329">
        <f>VLOOKUP(B1250,DONGIA,DG!$G$6,0)</f>
        <v>360605</v>
      </c>
      <c r="M1250" s="329">
        <f t="shared" ref="M1250:P1255" si="282">$H1250*I1250</f>
        <v>0</v>
      </c>
      <c r="N1250" s="329">
        <f t="shared" si="282"/>
        <v>0</v>
      </c>
      <c r="O1250" s="329">
        <f t="shared" si="282"/>
        <v>0</v>
      </c>
      <c r="P1250" s="329">
        <f t="shared" si="282"/>
        <v>0</v>
      </c>
      <c r="Q1250" s="329"/>
      <c r="S1250" s="332">
        <f t="shared" si="279"/>
        <v>390</v>
      </c>
      <c r="T1250" s="332">
        <f t="shared" si="281"/>
        <v>0</v>
      </c>
    </row>
    <row r="1251" spans="1:20" hidden="1">
      <c r="A1251" s="332" t="s">
        <v>477</v>
      </c>
      <c r="B1251" s="332" t="s">
        <v>1444</v>
      </c>
      <c r="C1251" s="333">
        <f t="shared" si="280"/>
        <v>0</v>
      </c>
      <c r="D1251" s="328"/>
      <c r="E1251" s="328" t="str">
        <f>VLOOKUP(B1251,DONGIA,DG!$B$6,0)</f>
        <v>T2.3505</v>
      </c>
      <c r="F1251" s="329" t="str">
        <f>VLOOKUP(B1251,DONGIA,DG!$C$6,0)</f>
        <v>FCO 27kV - 100A</v>
      </c>
      <c r="G1251" s="328" t="str">
        <f>VLOOKUP(B1251,DONGIA,DG!$D$6,0)</f>
        <v>cái</v>
      </c>
      <c r="H1251" s="329">
        <f>H1250</f>
        <v>0</v>
      </c>
      <c r="I1251" s="329">
        <f>VLOOKUP(B1251,DONGIA,DG!$E$6,0)</f>
        <v>1070000</v>
      </c>
      <c r="J1251" s="329"/>
      <c r="K1251" s="329">
        <f>VLOOKUP(B1251,DONGIA,DG!$F$6,0)/3</f>
        <v>63184</v>
      </c>
      <c r="L1251" s="329">
        <f>VLOOKUP(B1251,DONGIA,DG!$G$6,0)</f>
        <v>0</v>
      </c>
      <c r="M1251" s="329">
        <f t="shared" si="282"/>
        <v>0</v>
      </c>
      <c r="N1251" s="329">
        <f t="shared" si="282"/>
        <v>0</v>
      </c>
      <c r="O1251" s="329">
        <f t="shared" si="282"/>
        <v>0</v>
      </c>
      <c r="P1251" s="329">
        <f t="shared" si="282"/>
        <v>0</v>
      </c>
      <c r="Q1251" s="329"/>
      <c r="S1251" s="332">
        <f t="shared" si="279"/>
        <v>1.5</v>
      </c>
      <c r="T1251" s="332">
        <f t="shared" si="281"/>
        <v>0</v>
      </c>
    </row>
    <row r="1252" spans="1:20" hidden="1">
      <c r="A1252" s="332" t="s">
        <v>477</v>
      </c>
      <c r="B1252" s="332" t="s">
        <v>943</v>
      </c>
      <c r="C1252" s="333">
        <f t="shared" si="280"/>
        <v>0</v>
      </c>
      <c r="D1252" s="328"/>
      <c r="E1252" s="328" t="str">
        <f>VLOOKUP(B1252,DONGIA,DG!$B$6,0)</f>
        <v>T2.5004</v>
      </c>
      <c r="F1252" s="329" t="str">
        <f>VLOOKUP(B1252,DONGIA,DG!$C$6,0)</f>
        <v>LA 18kV 10kA</v>
      </c>
      <c r="G1252" s="328" t="str">
        <f>VLOOKUP(B1252,DONGIA,DG!$D$6,0)</f>
        <v>cái</v>
      </c>
      <c r="H1252" s="329">
        <f>H1250</f>
        <v>0</v>
      </c>
      <c r="I1252" s="329">
        <f>VLOOKUP(B1252,DONGIA,DG!$E$6,0)</f>
        <v>875000</v>
      </c>
      <c r="J1252" s="329"/>
      <c r="K1252" s="329">
        <f>VLOOKUP(B1252,DONGIA,DG!$F$6,0)/3</f>
        <v>23694</v>
      </c>
      <c r="L1252" s="329">
        <f>VLOOKUP(B1252,DONGIA,DG!$G$6,0)</f>
        <v>0</v>
      </c>
      <c r="M1252" s="329">
        <f t="shared" si="282"/>
        <v>0</v>
      </c>
      <c r="N1252" s="329">
        <f t="shared" si="282"/>
        <v>0</v>
      </c>
      <c r="O1252" s="329">
        <f t="shared" si="282"/>
        <v>0</v>
      </c>
      <c r="P1252" s="329">
        <f t="shared" si="282"/>
        <v>0</v>
      </c>
      <c r="Q1252" s="329"/>
      <c r="S1252" s="332">
        <f t="shared" si="279"/>
        <v>0.8</v>
      </c>
      <c r="T1252" s="332">
        <f t="shared" si="281"/>
        <v>0</v>
      </c>
    </row>
    <row r="1253" spans="1:20" hidden="1">
      <c r="A1253" s="332" t="s">
        <v>477</v>
      </c>
      <c r="B1253" s="332" t="s">
        <v>2064</v>
      </c>
      <c r="C1253" s="333">
        <f t="shared" si="280"/>
        <v>0</v>
      </c>
      <c r="D1253" s="328"/>
      <c r="E1253" s="328" t="str">
        <f>VLOOKUP(B1253,DONGIA,DG!$B$6,0)</f>
        <v>T2.8404</v>
      </c>
      <c r="F1253" s="329" t="str">
        <f>VLOOKUP(B1253,DONGIA,DG!$C$6,0)</f>
        <v>MCCB 3 cực 600V - 320A - 35KA (200-320A)</v>
      </c>
      <c r="G1253" s="328" t="str">
        <f>VLOOKUP(B1253,DONGIA,DG!$D$6,0)</f>
        <v>cái</v>
      </c>
      <c r="H1253" s="329">
        <f>TRNC3X50</f>
        <v>0</v>
      </c>
      <c r="I1253" s="329">
        <f>VLOOKUP(B1253,DONGIA,DG!$E$6,0)</f>
        <v>5560000</v>
      </c>
      <c r="J1253" s="329"/>
      <c r="K1253" s="329">
        <f>VLOOKUP(B1253,DONGIA,DG!$F$6,0)*0</f>
        <v>0</v>
      </c>
      <c r="L1253" s="329">
        <f>VLOOKUP(B1253,DONGIA,DG!$G$6,0)</f>
        <v>0</v>
      </c>
      <c r="M1253" s="329">
        <f t="shared" si="282"/>
        <v>0</v>
      </c>
      <c r="N1253" s="329">
        <f t="shared" si="282"/>
        <v>0</v>
      </c>
      <c r="O1253" s="329">
        <f t="shared" si="282"/>
        <v>0</v>
      </c>
      <c r="P1253" s="329">
        <f t="shared" si="282"/>
        <v>0</v>
      </c>
      <c r="Q1253" s="329"/>
      <c r="S1253" s="332">
        <f t="shared" si="279"/>
        <v>3</v>
      </c>
      <c r="T1253" s="332">
        <f t="shared" si="281"/>
        <v>0</v>
      </c>
    </row>
    <row r="1254" spans="1:20" hidden="1">
      <c r="A1254" s="332" t="s">
        <v>477</v>
      </c>
      <c r="B1254" s="332" t="s">
        <v>954</v>
      </c>
      <c r="C1254" s="333">
        <f t="shared" si="280"/>
        <v>0</v>
      </c>
      <c r="D1254" s="328"/>
      <c r="E1254" s="328">
        <f>VLOOKUP(B1254,DONGIA,DG!$B$6,0)</f>
        <v>0</v>
      </c>
      <c r="F1254" s="329" t="str">
        <f>VLOOKUP(B1254,DONGIA,DG!$C$6,0)</f>
        <v>Biến dòng 600V - 250/5A</v>
      </c>
      <c r="G1254" s="328" t="str">
        <f>VLOOKUP(B1254,DONGIA,DG!$D$6,0)</f>
        <v>cái</v>
      </c>
      <c r="H1254" s="329">
        <f>TRNC3X50*3</f>
        <v>0</v>
      </c>
      <c r="I1254" s="329">
        <f>VLOOKUP(B1254,DONGIA,DG!$E$6,0)</f>
        <v>0</v>
      </c>
      <c r="J1254" s="329"/>
      <c r="K1254" s="329">
        <f>VLOOKUP(B1254,DONGIA,DG!$F$6,0)</f>
        <v>0</v>
      </c>
      <c r="L1254" s="329">
        <f>VLOOKUP(B1254,DONGIA,DG!$G$6,0)</f>
        <v>0</v>
      </c>
      <c r="M1254" s="329">
        <f t="shared" si="282"/>
        <v>0</v>
      </c>
      <c r="N1254" s="329">
        <f t="shared" si="282"/>
        <v>0</v>
      </c>
      <c r="O1254" s="329">
        <f t="shared" si="282"/>
        <v>0</v>
      </c>
      <c r="P1254" s="329">
        <f t="shared" si="282"/>
        <v>0</v>
      </c>
      <c r="Q1254" s="329"/>
      <c r="S1254" s="332">
        <f t="shared" si="279"/>
        <v>1</v>
      </c>
      <c r="T1254" s="332">
        <f t="shared" si="281"/>
        <v>0</v>
      </c>
    </row>
    <row r="1255" spans="1:20" hidden="1">
      <c r="A1255" s="332" t="s">
        <v>477</v>
      </c>
      <c r="B1255" s="332" t="s">
        <v>1046</v>
      </c>
      <c r="C1255" s="333">
        <f t="shared" si="280"/>
        <v>0</v>
      </c>
      <c r="D1255" s="328"/>
      <c r="E1255" s="328">
        <f>VLOOKUP(B1255,DONGIA,DG!$B$6,0)</f>
        <v>0</v>
      </c>
      <c r="F1255" s="329" t="str">
        <f>VLOOKUP(B1255,DONGIA,DG!$C$6,0)</f>
        <v>Điện kế 3 pha 4 dây 220/380V-5A</v>
      </c>
      <c r="G1255" s="328" t="str">
        <f>VLOOKUP(B1255,DONGIA,DG!$D$6,0)</f>
        <v>cái</v>
      </c>
      <c r="H1255" s="329">
        <f>TRNC3X50</f>
        <v>0</v>
      </c>
      <c r="I1255" s="329">
        <f>VLOOKUP(B1255,DONGIA,DG!$E$6,0)</f>
        <v>0</v>
      </c>
      <c r="J1255" s="329"/>
      <c r="K1255" s="329">
        <f>VLOOKUP(B1255,DONGIA,DG!$F$6,0)</f>
        <v>0</v>
      </c>
      <c r="L1255" s="329">
        <f>VLOOKUP(B1255,DONGIA,DG!$G$6,0)</f>
        <v>0</v>
      </c>
      <c r="M1255" s="329">
        <f t="shared" si="282"/>
        <v>0</v>
      </c>
      <c r="N1255" s="329">
        <f t="shared" si="282"/>
        <v>0</v>
      </c>
      <c r="O1255" s="329">
        <f t="shared" si="282"/>
        <v>0</v>
      </c>
      <c r="P1255" s="329">
        <f t="shared" si="282"/>
        <v>0</v>
      </c>
      <c r="Q1255" s="329"/>
      <c r="S1255" s="332">
        <f t="shared" si="279"/>
        <v>1.5</v>
      </c>
      <c r="T1255" s="332">
        <f t="shared" si="281"/>
        <v>0</v>
      </c>
    </row>
    <row r="1256" spans="1:20" hidden="1">
      <c r="A1256" s="332" t="s">
        <v>2469</v>
      </c>
      <c r="C1256" s="333">
        <f>IF(SUM(C1257:C1343)&lt;&gt;0,1,)</f>
        <v>0</v>
      </c>
      <c r="D1256" s="344"/>
      <c r="E1256" s="344"/>
      <c r="F1256" s="345" t="s">
        <v>1901</v>
      </c>
      <c r="G1256" s="344"/>
      <c r="H1256" s="345"/>
      <c r="I1256" s="345"/>
      <c r="J1256" s="345"/>
      <c r="K1256" s="345"/>
      <c r="L1256" s="345"/>
      <c r="M1256" s="345">
        <f>SUM(M1257:M1343)</f>
        <v>0</v>
      </c>
      <c r="N1256" s="345">
        <f>SUM(N1257:N1343)</f>
        <v>0</v>
      </c>
      <c r="O1256" s="345">
        <f>SUM(O1257:O1343)</f>
        <v>0</v>
      </c>
      <c r="P1256" s="345">
        <f>SUM(P1257:P1343)</f>
        <v>0</v>
      </c>
      <c r="Q1256" s="345"/>
      <c r="S1256" s="332">
        <f t="shared" si="279"/>
        <v>0</v>
      </c>
      <c r="T1256" s="371">
        <f>SUM(T1257:T1343)</f>
        <v>0</v>
      </c>
    </row>
    <row r="1257" spans="1:20" hidden="1">
      <c r="C1257" s="333">
        <f t="shared" si="280"/>
        <v>0</v>
      </c>
      <c r="D1257" s="372">
        <f>IF(H1257&lt;&gt;0,1,)</f>
        <v>0</v>
      </c>
      <c r="E1257" s="372"/>
      <c r="F1257" s="373" t="s">
        <v>1931</v>
      </c>
      <c r="G1257" s="372" t="s">
        <v>138</v>
      </c>
      <c r="H1257" s="372">
        <f>TRNC3X50</f>
        <v>0</v>
      </c>
      <c r="I1257" s="373"/>
      <c r="J1257" s="373"/>
      <c r="K1257" s="373"/>
      <c r="L1257" s="373"/>
      <c r="M1257" s="373"/>
      <c r="N1257" s="373"/>
      <c r="O1257" s="373"/>
      <c r="P1257" s="373"/>
      <c r="Q1257" s="373"/>
      <c r="S1257" s="332">
        <f t="shared" si="279"/>
        <v>0</v>
      </c>
      <c r="T1257" s="332">
        <f t="shared" si="281"/>
        <v>0</v>
      </c>
    </row>
    <row r="1258" spans="1:20" hidden="1">
      <c r="A1258" s="332" t="s">
        <v>477</v>
      </c>
      <c r="B1258" s="332" t="s">
        <v>1010</v>
      </c>
      <c r="C1258" s="333">
        <f t="shared" si="280"/>
        <v>0</v>
      </c>
      <c r="D1258" s="328"/>
      <c r="E1258" s="328">
        <f>VLOOKUP(B1258,DONGIA,DG!$B$6,0)</f>
        <v>0</v>
      </c>
      <c r="F1258" s="329" t="str">
        <f>VLOOKUP(B1258,DONGIA,DG!$C$6,0)</f>
        <v>Dây chảy 6K</v>
      </c>
      <c r="G1258" s="328" t="str">
        <f>VLOOKUP(B1258,DONGIA,DG!$D$6,0)</f>
        <v>Sợi</v>
      </c>
      <c r="H1258" s="329">
        <f>H1257*3</f>
        <v>0</v>
      </c>
      <c r="I1258" s="329">
        <f>VLOOKUP(B1258,DONGIA,DG!$E$6,0)</f>
        <v>47000</v>
      </c>
      <c r="J1258" s="329"/>
      <c r="K1258" s="329">
        <f>VLOOKUP(B1258,DONGIA,DG!$F$6,0)</f>
        <v>0</v>
      </c>
      <c r="L1258" s="329">
        <f>VLOOKUP(B1258,DONGIA,DG!$G$6,0)</f>
        <v>0</v>
      </c>
      <c r="M1258" s="329">
        <f t="shared" ref="M1258:P1261" si="283">$H1258*I1258</f>
        <v>0</v>
      </c>
      <c r="N1258" s="329">
        <f t="shared" si="283"/>
        <v>0</v>
      </c>
      <c r="O1258" s="329">
        <f t="shared" si="283"/>
        <v>0</v>
      </c>
      <c r="P1258" s="329">
        <f t="shared" si="283"/>
        <v>0</v>
      </c>
      <c r="Q1258" s="329"/>
      <c r="S1258" s="332">
        <f t="shared" si="279"/>
        <v>0</v>
      </c>
      <c r="T1258" s="332">
        <f t="shared" si="281"/>
        <v>0</v>
      </c>
    </row>
    <row r="1259" spans="1:20" hidden="1">
      <c r="A1259" s="332" t="s">
        <v>477</v>
      </c>
      <c r="B1259" s="332" t="s">
        <v>131</v>
      </c>
      <c r="C1259" s="333">
        <f t="shared" si="280"/>
        <v>0</v>
      </c>
      <c r="D1259" s="328"/>
      <c r="E1259" s="328">
        <f>VLOOKUP(B1259,DONGIA,DG!$B$6,0)</f>
        <v>0</v>
      </c>
      <c r="F1259" s="329" t="str">
        <f>VLOOKUP(B1259,DONGIA,DG!$C$6,0)</f>
        <v>Chụp đầu FCO (Trên + Dưới)</v>
      </c>
      <c r="G1259" s="328" t="str">
        <f>VLOOKUP(B1259,DONGIA,DG!$D$6,0)</f>
        <v>bộ</v>
      </c>
      <c r="H1259" s="329">
        <f>H1257*3</f>
        <v>0</v>
      </c>
      <c r="I1259" s="329">
        <f>VLOOKUP(B1259,DONGIA,DG!$E$6,0)</f>
        <v>190000</v>
      </c>
      <c r="J1259" s="329"/>
      <c r="K1259" s="329">
        <f>VLOOKUP(B1259,DONGIA,DG!$F$6,0)</f>
        <v>0</v>
      </c>
      <c r="L1259" s="329">
        <f>VLOOKUP(B1259,DONGIA,DG!$G$6,0)</f>
        <v>0</v>
      </c>
      <c r="M1259" s="329">
        <f t="shared" si="283"/>
        <v>0</v>
      </c>
      <c r="N1259" s="329">
        <f t="shared" si="283"/>
        <v>0</v>
      </c>
      <c r="O1259" s="329">
        <f t="shared" si="283"/>
        <v>0</v>
      </c>
      <c r="P1259" s="329">
        <f t="shared" si="283"/>
        <v>0</v>
      </c>
      <c r="Q1259" s="329"/>
      <c r="S1259" s="332">
        <f t="shared" si="279"/>
        <v>0</v>
      </c>
      <c r="T1259" s="332">
        <f t="shared" si="281"/>
        <v>0</v>
      </c>
    </row>
    <row r="1260" spans="1:20" hidden="1">
      <c r="A1260" s="332" t="s">
        <v>477</v>
      </c>
      <c r="B1260" s="332" t="s">
        <v>133</v>
      </c>
      <c r="C1260" s="333">
        <f t="shared" si="280"/>
        <v>0</v>
      </c>
      <c r="D1260" s="328"/>
      <c r="E1260" s="328">
        <f>VLOOKUP(B1260,DONGIA,DG!$B$6,0)</f>
        <v>0</v>
      </c>
      <c r="F1260" s="329" t="str">
        <f>VLOOKUP(B1260,DONGIA,DG!$C$6,0)</f>
        <v>Chụp đầu LA</v>
      </c>
      <c r="G1260" s="328" t="str">
        <f>VLOOKUP(B1260,DONGIA,DG!$D$6,0)</f>
        <v>cái</v>
      </c>
      <c r="H1260" s="329">
        <f>H1257*3</f>
        <v>0</v>
      </c>
      <c r="I1260" s="329">
        <f>VLOOKUP(B1260,DONGIA,DG!$E$6,0)</f>
        <v>32000</v>
      </c>
      <c r="J1260" s="329"/>
      <c r="K1260" s="329">
        <f>VLOOKUP(B1260,DONGIA,DG!$F$6,0)</f>
        <v>0</v>
      </c>
      <c r="L1260" s="329">
        <f>VLOOKUP(B1260,DONGIA,DG!$G$6,0)</f>
        <v>0</v>
      </c>
      <c r="M1260" s="329">
        <f t="shared" si="283"/>
        <v>0</v>
      </c>
      <c r="N1260" s="329">
        <f t="shared" si="283"/>
        <v>0</v>
      </c>
      <c r="O1260" s="329">
        <f t="shared" si="283"/>
        <v>0</v>
      </c>
      <c r="P1260" s="329">
        <f t="shared" si="283"/>
        <v>0</v>
      </c>
      <c r="Q1260" s="329"/>
      <c r="S1260" s="332">
        <f t="shared" si="279"/>
        <v>0</v>
      </c>
      <c r="T1260" s="332">
        <f t="shared" si="281"/>
        <v>0</v>
      </c>
    </row>
    <row r="1261" spans="1:20" hidden="1">
      <c r="A1261" s="332" t="s">
        <v>477</v>
      </c>
      <c r="B1261" s="332" t="s">
        <v>135</v>
      </c>
      <c r="C1261" s="333">
        <f t="shared" si="280"/>
        <v>0</v>
      </c>
      <c r="D1261" s="328"/>
      <c r="E1261" s="328">
        <f>VLOOKUP(B1261,DONGIA,DG!$B$6,0)</f>
        <v>0</v>
      </c>
      <c r="F1261" s="329" t="str">
        <f>VLOOKUP(B1261,DONGIA,DG!$C$6,0)</f>
        <v>Chụp đầu cực MBA</v>
      </c>
      <c r="G1261" s="328" t="str">
        <f>VLOOKUP(B1261,DONGIA,DG!$D$6,0)</f>
        <v>cái</v>
      </c>
      <c r="H1261" s="329">
        <f>H1257*3</f>
        <v>0</v>
      </c>
      <c r="I1261" s="329">
        <f>VLOOKUP(B1261,DONGIA,DG!$E$6,0)</f>
        <v>52000</v>
      </c>
      <c r="J1261" s="329"/>
      <c r="K1261" s="329">
        <f>VLOOKUP(B1261,DONGIA,DG!$F$6,0)</f>
        <v>0</v>
      </c>
      <c r="L1261" s="329">
        <f>VLOOKUP(B1261,DONGIA,DG!$G$6,0)</f>
        <v>0</v>
      </c>
      <c r="M1261" s="329">
        <f t="shared" si="283"/>
        <v>0</v>
      </c>
      <c r="N1261" s="329">
        <f t="shared" si="283"/>
        <v>0</v>
      </c>
      <c r="O1261" s="329">
        <f t="shared" si="283"/>
        <v>0</v>
      </c>
      <c r="P1261" s="329">
        <f t="shared" si="283"/>
        <v>0</v>
      </c>
      <c r="Q1261" s="329"/>
      <c r="S1261" s="332">
        <f t="shared" si="279"/>
        <v>0</v>
      </c>
      <c r="T1261" s="332">
        <f t="shared" si="281"/>
        <v>0</v>
      </c>
    </row>
    <row r="1262" spans="1:20" hidden="1">
      <c r="A1262" s="332" t="s">
        <v>477</v>
      </c>
      <c r="C1262" s="333">
        <f t="shared" si="280"/>
        <v>0</v>
      </c>
      <c r="D1262" s="372">
        <f>IF(H1262&lt;&gt;0,D1257+1,D1257)</f>
        <v>0</v>
      </c>
      <c r="E1262" s="372"/>
      <c r="F1262" s="373" t="s">
        <v>1932</v>
      </c>
      <c r="G1262" s="372" t="s">
        <v>138</v>
      </c>
      <c r="H1262" s="372">
        <f>TRNC3X50</f>
        <v>0</v>
      </c>
      <c r="I1262" s="373"/>
      <c r="J1262" s="373"/>
      <c r="K1262" s="373"/>
      <c r="L1262" s="373"/>
      <c r="M1262" s="373"/>
      <c r="N1262" s="373"/>
      <c r="O1262" s="373"/>
      <c r="P1262" s="373"/>
      <c r="Q1262" s="373"/>
      <c r="S1262" s="332">
        <f t="shared" si="279"/>
        <v>0</v>
      </c>
      <c r="T1262" s="332">
        <f t="shared" si="281"/>
        <v>0</v>
      </c>
    </row>
    <row r="1263" spans="1:20" s="361" customFormat="1" hidden="1">
      <c r="A1263" s="361" t="s">
        <v>477</v>
      </c>
      <c r="C1263" s="374">
        <f t="shared" si="280"/>
        <v>0</v>
      </c>
      <c r="D1263" s="350"/>
      <c r="E1263" s="350"/>
      <c r="F1263" s="351" t="s">
        <v>1902</v>
      </c>
      <c r="G1263" s="350"/>
      <c r="H1263" s="351"/>
      <c r="I1263" s="351"/>
      <c r="J1263" s="351"/>
      <c r="K1263" s="351"/>
      <c r="L1263" s="351"/>
      <c r="M1263" s="351"/>
      <c r="N1263" s="351"/>
      <c r="O1263" s="351"/>
      <c r="P1263" s="351"/>
      <c r="Q1263" s="351"/>
      <c r="S1263" s="361">
        <f t="shared" si="279"/>
        <v>0</v>
      </c>
      <c r="T1263" s="361">
        <f t="shared" si="281"/>
        <v>0</v>
      </c>
    </row>
    <row r="1264" spans="1:20" hidden="1">
      <c r="A1264" s="332" t="s">
        <v>477</v>
      </c>
      <c r="B1264" s="332" t="s">
        <v>18</v>
      </c>
      <c r="C1264" s="333">
        <f t="shared" si="280"/>
        <v>0</v>
      </c>
      <c r="D1264" s="328"/>
      <c r="E1264" s="328">
        <f>VLOOKUP(B1264,DONGIA,DG!$B$6,0)</f>
        <v>0</v>
      </c>
      <c r="F1264" s="362" t="str">
        <f>VLOOKUP(B1264,DONGIA,DG!$C$6,0)</f>
        <v>Đà hộp composite 110x80x5-2400</v>
      </c>
      <c r="G1264" s="363" t="str">
        <f>VLOOKUP(B1264,DONGIA,DG!$D$6,0)</f>
        <v>cái</v>
      </c>
      <c r="H1264" s="362">
        <f>H1262</f>
        <v>0</v>
      </c>
      <c r="I1264" s="329">
        <f>VLOOKUP(B1264,DONGIA,DG!$E$6,0)</f>
        <v>812200</v>
      </c>
      <c r="J1264" s="329"/>
      <c r="K1264" s="329">
        <f>VLOOKUP(B1264,DONGIA,DG!$F$6,0)</f>
        <v>0</v>
      </c>
      <c r="L1264" s="329">
        <f>VLOOKUP(B1264,DONGIA,DG!$G$6,0)</f>
        <v>0</v>
      </c>
      <c r="M1264" s="329">
        <f t="shared" ref="M1264:P1270" si="284">$H1264*I1264</f>
        <v>0</v>
      </c>
      <c r="N1264" s="329">
        <f t="shared" si="284"/>
        <v>0</v>
      </c>
      <c r="O1264" s="329">
        <f t="shared" si="284"/>
        <v>0</v>
      </c>
      <c r="P1264" s="329">
        <f t="shared" si="284"/>
        <v>0</v>
      </c>
      <c r="Q1264" s="329"/>
      <c r="S1264" s="332">
        <f t="shared" si="279"/>
        <v>9.6</v>
      </c>
      <c r="T1264" s="332">
        <f t="shared" si="281"/>
        <v>0</v>
      </c>
    </row>
    <row r="1265" spans="1:20" hidden="1">
      <c r="A1265" s="332" t="s">
        <v>477</v>
      </c>
      <c r="B1265" s="332" t="s">
        <v>20</v>
      </c>
      <c r="C1265" s="333">
        <f t="shared" si="280"/>
        <v>0</v>
      </c>
      <c r="D1265" s="328"/>
      <c r="E1265" s="328">
        <f>VLOOKUP(B1265,DONGIA,DG!$B$6,0)</f>
        <v>0</v>
      </c>
      <c r="F1265" s="362" t="str">
        <f>VLOOKUP(B1265,DONGIA,DG!$C$6,0)</f>
        <v>Thanh chống Composite dẹp 10x40x920</v>
      </c>
      <c r="G1265" s="363" t="str">
        <f>VLOOKUP(B1265,DONGIA,DG!$D$6,0)</f>
        <v>cái</v>
      </c>
      <c r="H1265" s="362">
        <f>H1264*2</f>
        <v>0</v>
      </c>
      <c r="I1265" s="329">
        <f>VLOOKUP(B1265,DONGIA,DG!$E$6,0)</f>
        <v>108100</v>
      </c>
      <c r="J1265" s="329"/>
      <c r="K1265" s="329">
        <f>VLOOKUP(B1265,DONGIA,DG!$F$6,0)</f>
        <v>0</v>
      </c>
      <c r="L1265" s="329">
        <f>VLOOKUP(B1265,DONGIA,DG!$G$6,0)</f>
        <v>0</v>
      </c>
      <c r="M1265" s="329">
        <f t="shared" si="284"/>
        <v>0</v>
      </c>
      <c r="N1265" s="329">
        <f t="shared" si="284"/>
        <v>0</v>
      </c>
      <c r="O1265" s="329">
        <f t="shared" si="284"/>
        <v>0</v>
      </c>
      <c r="P1265" s="329">
        <f t="shared" si="284"/>
        <v>0</v>
      </c>
      <c r="Q1265" s="329"/>
      <c r="S1265" s="332">
        <f t="shared" si="279"/>
        <v>0.7</v>
      </c>
      <c r="T1265" s="332">
        <f t="shared" si="281"/>
        <v>0</v>
      </c>
    </row>
    <row r="1266" spans="1:20" hidden="1">
      <c r="A1266" s="332" t="s">
        <v>477</v>
      </c>
      <c r="B1266" s="332" t="s">
        <v>139</v>
      </c>
      <c r="C1266" s="333">
        <f t="shared" si="280"/>
        <v>0</v>
      </c>
      <c r="D1266" s="328"/>
      <c r="E1266" s="328">
        <f>VLOOKUP(B1266,DONGIA,DG!$B$6,0)</f>
        <v>0</v>
      </c>
      <c r="F1266" s="362" t="str">
        <f>VLOOKUP(B1266,DONGIA,DG!$C$6,0)</f>
        <v>Bass LL bắt FCO và LA</v>
      </c>
      <c r="G1266" s="363" t="str">
        <f>VLOOKUP(B1266,DONGIA,DG!$D$6,0)</f>
        <v>bộ</v>
      </c>
      <c r="H1266" s="362">
        <f>H1262*3</f>
        <v>0</v>
      </c>
      <c r="I1266" s="329">
        <f>VLOOKUP(B1266,DONGIA,DG!$E$6,0)</f>
        <v>56000</v>
      </c>
      <c r="J1266" s="329"/>
      <c r="K1266" s="329">
        <f>VLOOKUP(B1266,DONGIA,DG!$F$6,0)</f>
        <v>0</v>
      </c>
      <c r="L1266" s="329">
        <f>VLOOKUP(B1266,DONGIA,DG!$G$6,0)</f>
        <v>0</v>
      </c>
      <c r="M1266" s="329">
        <f t="shared" si="284"/>
        <v>0</v>
      </c>
      <c r="N1266" s="329">
        <f t="shared" si="284"/>
        <v>0</v>
      </c>
      <c r="O1266" s="329">
        <f t="shared" si="284"/>
        <v>0</v>
      </c>
      <c r="P1266" s="329">
        <f t="shared" si="284"/>
        <v>0</v>
      </c>
      <c r="Q1266" s="329"/>
      <c r="S1266" s="332">
        <f t="shared" si="279"/>
        <v>0.5</v>
      </c>
      <c r="T1266" s="332">
        <f t="shared" si="281"/>
        <v>0</v>
      </c>
    </row>
    <row r="1267" spans="1:20" hidden="1">
      <c r="A1267" s="332" t="s">
        <v>477</v>
      </c>
      <c r="B1267" s="332" t="s">
        <v>37</v>
      </c>
      <c r="C1267" s="333">
        <f t="shared" si="280"/>
        <v>0</v>
      </c>
      <c r="D1267" s="328"/>
      <c r="E1267" s="328">
        <f>VLOOKUP(B1267,DONGIA,DG!$B$6,0)</f>
        <v>0</v>
      </c>
      <c r="F1267" s="362" t="str">
        <f>VLOOKUP(B1267,DONGIA,DG!$C$6,0)</f>
        <v>Boulon 16x350+ 2 long đền vuông D18-50x50x3/Zn</v>
      </c>
      <c r="G1267" s="363" t="str">
        <f>VLOOKUP(B1267,DONGIA,DG!$D$6,0)</f>
        <v>bộ</v>
      </c>
      <c r="H1267" s="362">
        <f>H1262</f>
        <v>0</v>
      </c>
      <c r="I1267" s="329">
        <f>VLOOKUP(B1267,DONGIA,DG!$E$6,0)</f>
        <v>32000</v>
      </c>
      <c r="J1267" s="329"/>
      <c r="K1267" s="329">
        <f>VLOOKUP(B1267,DONGIA,DG!$F$6,0)</f>
        <v>0</v>
      </c>
      <c r="L1267" s="329">
        <f>VLOOKUP(B1267,DONGIA,DG!$G$6,0)</f>
        <v>0</v>
      </c>
      <c r="M1267" s="329">
        <f t="shared" si="284"/>
        <v>0</v>
      </c>
      <c r="N1267" s="329">
        <f t="shared" si="284"/>
        <v>0</v>
      </c>
      <c r="O1267" s="329">
        <f t="shared" si="284"/>
        <v>0</v>
      </c>
      <c r="P1267" s="329">
        <f t="shared" si="284"/>
        <v>0</v>
      </c>
      <c r="Q1267" s="329"/>
      <c r="S1267" s="332">
        <f t="shared" si="279"/>
        <v>0.3</v>
      </c>
      <c r="T1267" s="332">
        <f t="shared" si="281"/>
        <v>0</v>
      </c>
    </row>
    <row r="1268" spans="1:20" hidden="1">
      <c r="A1268" s="332" t="s">
        <v>477</v>
      </c>
      <c r="B1268" s="332" t="s">
        <v>35</v>
      </c>
      <c r="C1268" s="333">
        <f t="shared" si="280"/>
        <v>0</v>
      </c>
      <c r="D1268" s="328"/>
      <c r="E1268" s="328">
        <f>VLOOKUP(B1268,DONGIA,DG!$B$6,0)</f>
        <v>0</v>
      </c>
      <c r="F1268" s="362" t="str">
        <f>VLOOKUP(B1268,DONGIA,DG!$C$6,0)</f>
        <v>Boulon 16x300+ 2 long đền vuông D18-50x50x3/Zn</v>
      </c>
      <c r="G1268" s="363" t="str">
        <f>VLOOKUP(B1268,DONGIA,DG!$D$6,0)</f>
        <v>bộ</v>
      </c>
      <c r="H1268" s="362">
        <f>H1262</f>
        <v>0</v>
      </c>
      <c r="I1268" s="329">
        <f>VLOOKUP(B1268,DONGIA,DG!$E$6,0)</f>
        <v>30000</v>
      </c>
      <c r="J1268" s="329"/>
      <c r="K1268" s="329">
        <f>VLOOKUP(B1268,DONGIA,DG!$F$6,0)</f>
        <v>0</v>
      </c>
      <c r="L1268" s="329">
        <f>VLOOKUP(B1268,DONGIA,DG!$G$6,0)</f>
        <v>0</v>
      </c>
      <c r="M1268" s="329">
        <f t="shared" si="284"/>
        <v>0</v>
      </c>
      <c r="N1268" s="329">
        <f t="shared" si="284"/>
        <v>0</v>
      </c>
      <c r="O1268" s="329">
        <f t="shared" si="284"/>
        <v>0</v>
      </c>
      <c r="P1268" s="329">
        <f t="shared" si="284"/>
        <v>0</v>
      </c>
      <c r="Q1268" s="329"/>
      <c r="S1268" s="332">
        <f t="shared" si="279"/>
        <v>0.25</v>
      </c>
      <c r="T1268" s="332">
        <f t="shared" si="281"/>
        <v>0</v>
      </c>
    </row>
    <row r="1269" spans="1:20" hidden="1">
      <c r="A1269" s="332" t="s">
        <v>477</v>
      </c>
      <c r="B1269" s="332" t="s">
        <v>27</v>
      </c>
      <c r="C1269" s="333">
        <f t="shared" si="280"/>
        <v>0</v>
      </c>
      <c r="D1269" s="328"/>
      <c r="E1269" s="328">
        <f>VLOOKUP(B1269,DONGIA,DG!$B$6,0)</f>
        <v>0</v>
      </c>
      <c r="F1269" s="362" t="str">
        <f>VLOOKUP(B1269,DONGIA,DG!$C$6,0)</f>
        <v>Boulon 14x120+ 2 long đền vuông D16-50x50x3/Zn</v>
      </c>
      <c r="G1269" s="363" t="str">
        <f>VLOOKUP(B1269,DONGIA,DG!$D$6,0)</f>
        <v>bộ</v>
      </c>
      <c r="H1269" s="362">
        <f>H1265</f>
        <v>0</v>
      </c>
      <c r="I1269" s="329">
        <f>VLOOKUP(B1269,DONGIA,DG!$E$6,0)</f>
        <v>19000</v>
      </c>
      <c r="J1269" s="329"/>
      <c r="K1269" s="329">
        <f>VLOOKUP(B1269,DONGIA,DG!$F$6,0)</f>
        <v>0</v>
      </c>
      <c r="L1269" s="329">
        <f>VLOOKUP(B1269,DONGIA,DG!$G$6,0)</f>
        <v>0</v>
      </c>
      <c r="M1269" s="329">
        <f t="shared" si="284"/>
        <v>0</v>
      </c>
      <c r="N1269" s="329">
        <f t="shared" si="284"/>
        <v>0</v>
      </c>
      <c r="O1269" s="329">
        <f t="shared" si="284"/>
        <v>0</v>
      </c>
      <c r="P1269" s="329">
        <f t="shared" si="284"/>
        <v>0</v>
      </c>
      <c r="Q1269" s="329"/>
      <c r="S1269" s="332">
        <f t="shared" si="279"/>
        <v>0.2</v>
      </c>
      <c r="T1269" s="332">
        <f t="shared" si="281"/>
        <v>0</v>
      </c>
    </row>
    <row r="1270" spans="1:20" hidden="1">
      <c r="A1270" s="332" t="s">
        <v>477</v>
      </c>
      <c r="B1270" s="332" t="s">
        <v>618</v>
      </c>
      <c r="C1270" s="333">
        <f>IF(H1270&lt;&gt;0,1,)</f>
        <v>0</v>
      </c>
      <c r="D1270" s="328"/>
      <c r="E1270" s="328" t="str">
        <f>VLOOKUP(B1270,DONGIA,DG!$B$6,0)</f>
        <v>D2.6011</v>
      </c>
      <c r="F1270" s="329" t="str">
        <f>VLOOKUP(B1270,DONGIA,DG!$C$6,0)</f>
        <v>Lắp đà composite 2400mm đơn (KL &lt;=15kg, trụ BTLT, tính = 0.8 đà sắt)</v>
      </c>
      <c r="G1270" s="328" t="str">
        <f>VLOOKUP(B1270,DONGIA,DG!$D$6,0)</f>
        <v>bộ</v>
      </c>
      <c r="H1270" s="329">
        <f>H1262</f>
        <v>0</v>
      </c>
      <c r="I1270" s="329">
        <f>VLOOKUP(B1270,DONGIA,DG!$E$6,0)</f>
        <v>0</v>
      </c>
      <c r="J1270" s="329"/>
      <c r="K1270" s="329">
        <f>VLOOKUP(B1270,DONGIA,DG!$F$6,0)</f>
        <v>134360</v>
      </c>
      <c r="L1270" s="329">
        <f>VLOOKUP(B1270,DONGIA,DG!$G$6,0)</f>
        <v>0</v>
      </c>
      <c r="M1270" s="329">
        <f t="shared" si="284"/>
        <v>0</v>
      </c>
      <c r="N1270" s="329">
        <f t="shared" si="284"/>
        <v>0</v>
      </c>
      <c r="O1270" s="329">
        <f t="shared" si="284"/>
        <v>0</v>
      </c>
      <c r="P1270" s="329">
        <f t="shared" si="284"/>
        <v>0</v>
      </c>
      <c r="Q1270" s="329"/>
      <c r="S1270" s="332">
        <f>IFERROR(VLOOKUP(B1270,DONGIA,$S$25,0),0)</f>
        <v>0</v>
      </c>
      <c r="T1270" s="332">
        <f>H1270*S1270</f>
        <v>0</v>
      </c>
    </row>
    <row r="1271" spans="1:20" hidden="1">
      <c r="A1271" s="332" t="s">
        <v>477</v>
      </c>
      <c r="C1271" s="333">
        <f t="shared" si="280"/>
        <v>0</v>
      </c>
      <c r="D1271" s="372">
        <f>IF(H1271&lt;&gt;0,D1262+1,D1262)</f>
        <v>0</v>
      </c>
      <c r="E1271" s="372"/>
      <c r="F1271" s="373" t="s">
        <v>1910</v>
      </c>
      <c r="G1271" s="372" t="s">
        <v>138</v>
      </c>
      <c r="H1271" s="372">
        <f>TRNC3X50</f>
        <v>0</v>
      </c>
      <c r="I1271" s="373"/>
      <c r="J1271" s="373"/>
      <c r="K1271" s="373"/>
      <c r="L1271" s="373"/>
      <c r="M1271" s="373"/>
      <c r="N1271" s="373"/>
      <c r="O1271" s="373"/>
      <c r="P1271" s="373"/>
      <c r="Q1271" s="373"/>
      <c r="S1271" s="332">
        <f t="shared" si="279"/>
        <v>0</v>
      </c>
      <c r="T1271" s="332">
        <f t="shared" si="281"/>
        <v>0</v>
      </c>
    </row>
    <row r="1272" spans="1:20" s="361" customFormat="1" hidden="1">
      <c r="A1272" s="361" t="s">
        <v>477</v>
      </c>
      <c r="C1272" s="374">
        <f t="shared" si="280"/>
        <v>0</v>
      </c>
      <c r="D1272" s="350"/>
      <c r="E1272" s="350"/>
      <c r="F1272" s="351" t="s">
        <v>1902</v>
      </c>
      <c r="G1272" s="350"/>
      <c r="H1272" s="351"/>
      <c r="I1272" s="351"/>
      <c r="J1272" s="351"/>
      <c r="K1272" s="351"/>
      <c r="L1272" s="351"/>
      <c r="M1272" s="351"/>
      <c r="N1272" s="351"/>
      <c r="O1272" s="351"/>
      <c r="P1272" s="351"/>
      <c r="Q1272" s="351"/>
      <c r="S1272" s="361">
        <f t="shared" si="279"/>
        <v>0</v>
      </c>
      <c r="T1272" s="361">
        <f t="shared" si="281"/>
        <v>0</v>
      </c>
    </row>
    <row r="1273" spans="1:20" hidden="1">
      <c r="A1273" s="332" t="s">
        <v>477</v>
      </c>
      <c r="B1273" s="332" t="s">
        <v>1067</v>
      </c>
      <c r="C1273" s="333">
        <f t="shared" si="280"/>
        <v>0</v>
      </c>
      <c r="D1273" s="328"/>
      <c r="E1273" s="328" t="str">
        <f>VLOOKUP(B1273,DONGIA,DG!$B$6,0)</f>
        <v>T4.9302</v>
      </c>
      <c r="F1273" s="329" t="str">
        <f>VLOOKUP(B1273,DONGIA,DG!$C$6,0)</f>
        <v>Gía chùm treo máy biến áp 3x75</v>
      </c>
      <c r="G1273" s="328" t="str">
        <f>VLOOKUP(B1273,DONGIA,DG!$D$6,0)</f>
        <v>Bộ</v>
      </c>
      <c r="H1273" s="329">
        <f>H1271</f>
        <v>0</v>
      </c>
      <c r="I1273" s="329">
        <f>VLOOKUP(B1273,DONGIA,DG!$E$6,0)</f>
        <v>3816000</v>
      </c>
      <c r="J1273" s="329"/>
      <c r="K1273" s="329">
        <f>VLOOKUP(B1273,DONGIA,DG!$F$6,0)</f>
        <v>139062.31200000001</v>
      </c>
      <c r="L1273" s="329">
        <f>VLOOKUP(B1273,DONGIA,DG!$G$6,0)</f>
        <v>0</v>
      </c>
      <c r="M1273" s="329">
        <f t="shared" ref="M1273:P1275" si="285">$H1273*I1273</f>
        <v>0</v>
      </c>
      <c r="N1273" s="329">
        <f t="shared" si="285"/>
        <v>0</v>
      </c>
      <c r="O1273" s="329">
        <f t="shared" si="285"/>
        <v>0</v>
      </c>
      <c r="P1273" s="329">
        <f t="shared" si="285"/>
        <v>0</v>
      </c>
      <c r="Q1273" s="329"/>
      <c r="S1273" s="332">
        <f t="shared" si="279"/>
        <v>51</v>
      </c>
      <c r="T1273" s="332">
        <f t="shared" si="281"/>
        <v>0</v>
      </c>
    </row>
    <row r="1274" spans="1:20" hidden="1">
      <c r="A1274" s="332" t="s">
        <v>477</v>
      </c>
      <c r="B1274" s="332" t="s">
        <v>37</v>
      </c>
      <c r="C1274" s="333">
        <f t="shared" si="280"/>
        <v>0</v>
      </c>
      <c r="D1274" s="328"/>
      <c r="E1274" s="328">
        <f>VLOOKUP(B1274,DONGIA,DG!$B$6,0)</f>
        <v>0</v>
      </c>
      <c r="F1274" s="329" t="str">
        <f>VLOOKUP(B1274,DONGIA,DG!$C$6,0)</f>
        <v>Boulon 16x350+ 2 long đền vuông D18-50x50x3/Zn</v>
      </c>
      <c r="G1274" s="328" t="str">
        <f>VLOOKUP(B1274,DONGIA,DG!$D$6,0)</f>
        <v>bộ</v>
      </c>
      <c r="H1274" s="329">
        <f>H1271*2</f>
        <v>0</v>
      </c>
      <c r="I1274" s="329">
        <f>VLOOKUP(B1274,DONGIA,DG!$E$6,0)</f>
        <v>32000</v>
      </c>
      <c r="J1274" s="329"/>
      <c r="K1274" s="329">
        <f>VLOOKUP(B1274,DONGIA,DG!$F$6,0)</f>
        <v>0</v>
      </c>
      <c r="L1274" s="329">
        <f>VLOOKUP(B1274,DONGIA,DG!$G$6,0)</f>
        <v>0</v>
      </c>
      <c r="M1274" s="329">
        <f t="shared" si="285"/>
        <v>0</v>
      </c>
      <c r="N1274" s="329">
        <f t="shared" si="285"/>
        <v>0</v>
      </c>
      <c r="O1274" s="329">
        <f t="shared" si="285"/>
        <v>0</v>
      </c>
      <c r="P1274" s="329">
        <f t="shared" si="285"/>
        <v>0</v>
      </c>
      <c r="Q1274" s="329"/>
      <c r="S1274" s="332">
        <f t="shared" si="279"/>
        <v>0.3</v>
      </c>
      <c r="T1274" s="332">
        <f t="shared" si="281"/>
        <v>0</v>
      </c>
    </row>
    <row r="1275" spans="1:20" hidden="1">
      <c r="A1275" s="332" t="s">
        <v>477</v>
      </c>
      <c r="B1275" s="332" t="s">
        <v>29</v>
      </c>
      <c r="C1275" s="333">
        <f t="shared" si="280"/>
        <v>0</v>
      </c>
      <c r="D1275" s="328"/>
      <c r="E1275" s="328">
        <f>VLOOKUP(B1275,DONGIA,DG!$B$6,0)</f>
        <v>0</v>
      </c>
      <c r="F1275" s="329" t="str">
        <f>VLOOKUP(B1275,DONGIA,DG!$C$6,0)</f>
        <v>Boulon 16x50+ 2 long đền vuông D18-50x50x3/Zn</v>
      </c>
      <c r="G1275" s="328" t="str">
        <f>VLOOKUP(B1275,DONGIA,DG!$D$6,0)</f>
        <v>bộ</v>
      </c>
      <c r="H1275" s="329">
        <f>H1271*6</f>
        <v>0</v>
      </c>
      <c r="I1275" s="329">
        <f>VLOOKUP(B1275,DONGIA,DG!$E$6,0)</f>
        <v>17000</v>
      </c>
      <c r="J1275" s="329"/>
      <c r="K1275" s="329">
        <f>VLOOKUP(B1275,DONGIA,DG!$F$6,0)</f>
        <v>0</v>
      </c>
      <c r="L1275" s="329">
        <f>VLOOKUP(B1275,DONGIA,DG!$G$6,0)</f>
        <v>0</v>
      </c>
      <c r="M1275" s="329">
        <f t="shared" si="285"/>
        <v>0</v>
      </c>
      <c r="N1275" s="329">
        <f t="shared" si="285"/>
        <v>0</v>
      </c>
      <c r="O1275" s="329">
        <f t="shared" si="285"/>
        <v>0</v>
      </c>
      <c r="P1275" s="329">
        <f t="shared" si="285"/>
        <v>0</v>
      </c>
      <c r="Q1275" s="329"/>
      <c r="S1275" s="332">
        <f t="shared" si="279"/>
        <v>0.25</v>
      </c>
      <c r="T1275" s="332">
        <f t="shared" si="281"/>
        <v>0</v>
      </c>
    </row>
    <row r="1276" spans="1:20" hidden="1">
      <c r="A1276" s="332" t="s">
        <v>477</v>
      </c>
      <c r="C1276" s="333">
        <f t="shared" si="280"/>
        <v>0</v>
      </c>
      <c r="D1276" s="372">
        <f>IF(H1276&lt;&gt;0,D1271+1,D1271)</f>
        <v>0</v>
      </c>
      <c r="E1276" s="372"/>
      <c r="F1276" s="373" t="s">
        <v>1942</v>
      </c>
      <c r="G1276" s="372" t="s">
        <v>138</v>
      </c>
      <c r="H1276" s="372">
        <f>TRNC3X50</f>
        <v>0</v>
      </c>
      <c r="I1276" s="373"/>
      <c r="J1276" s="373"/>
      <c r="K1276" s="373"/>
      <c r="L1276" s="373"/>
      <c r="M1276" s="373"/>
      <c r="N1276" s="373"/>
      <c r="O1276" s="373"/>
      <c r="P1276" s="373"/>
      <c r="Q1276" s="373"/>
      <c r="S1276" s="332">
        <f t="shared" si="279"/>
        <v>0</v>
      </c>
      <c r="T1276" s="332">
        <f t="shared" si="281"/>
        <v>0</v>
      </c>
    </row>
    <row r="1277" spans="1:20" s="361" customFormat="1" hidden="1">
      <c r="A1277" s="361" t="s">
        <v>477</v>
      </c>
      <c r="C1277" s="374">
        <f t="shared" si="280"/>
        <v>0</v>
      </c>
      <c r="D1277" s="350"/>
      <c r="E1277" s="350"/>
      <c r="F1277" s="351" t="s">
        <v>1902</v>
      </c>
      <c r="G1277" s="350"/>
      <c r="H1277" s="351"/>
      <c r="I1277" s="351"/>
      <c r="J1277" s="351"/>
      <c r="K1277" s="351"/>
      <c r="L1277" s="351"/>
      <c r="M1277" s="351"/>
      <c r="N1277" s="351"/>
      <c r="O1277" s="351"/>
      <c r="P1277" s="351"/>
      <c r="Q1277" s="351"/>
      <c r="S1277" s="361">
        <f t="shared" si="279"/>
        <v>0</v>
      </c>
      <c r="T1277" s="361">
        <f t="shared" si="281"/>
        <v>0</v>
      </c>
    </row>
    <row r="1278" spans="1:20" hidden="1">
      <c r="A1278" s="332" t="s">
        <v>477</v>
      </c>
      <c r="B1278" s="332" t="s">
        <v>144</v>
      </c>
      <c r="C1278" s="333">
        <f t="shared" si="280"/>
        <v>0</v>
      </c>
      <c r="D1278" s="328"/>
      <c r="E1278" s="328">
        <f>VLOOKUP(B1278,DONGIA,DG!$B$6,0)</f>
        <v>0</v>
      </c>
      <c r="F1278" s="329" t="str">
        <f>VLOOKUP(B1278,DONGIA,DG!$C$6,0)</f>
        <v>Cáp đồng trần M25mm2</v>
      </c>
      <c r="G1278" s="328" t="str">
        <f>VLOOKUP(B1278,DONGIA,DG!$D$6,0)</f>
        <v>kg</v>
      </c>
      <c r="H1278" s="458">
        <f>H1276*10*0.224</f>
        <v>0</v>
      </c>
      <c r="I1278" s="329">
        <f>VLOOKUP(B1278,DONGIA,DG!$E$6,0)</f>
        <v>201380</v>
      </c>
      <c r="J1278" s="329"/>
      <c r="K1278" s="329">
        <f>VLOOKUP(B1278,DONGIA,DG!$F$6,0)</f>
        <v>0</v>
      </c>
      <c r="L1278" s="329">
        <f>VLOOKUP(B1278,DONGIA,DG!$G$6,0)</f>
        <v>0</v>
      </c>
      <c r="M1278" s="329">
        <f>$H1278*I1278</f>
        <v>0</v>
      </c>
      <c r="N1278" s="329">
        <f>$H1278*J1278</f>
        <v>0</v>
      </c>
      <c r="O1278" s="329">
        <f>$H1278*K1278</f>
        <v>0</v>
      </c>
      <c r="P1278" s="329">
        <f>$H1278*L1278</f>
        <v>0</v>
      </c>
      <c r="Q1278" s="329"/>
      <c r="S1278" s="332">
        <f t="shared" si="279"/>
        <v>1</v>
      </c>
      <c r="T1278" s="332">
        <f t="shared" si="281"/>
        <v>0</v>
      </c>
    </row>
    <row r="1279" spans="1:20" hidden="1">
      <c r="A1279" s="332" t="s">
        <v>477</v>
      </c>
      <c r="B1279" s="332" t="s">
        <v>278</v>
      </c>
      <c r="C1279" s="333">
        <f t="shared" si="280"/>
        <v>0</v>
      </c>
      <c r="D1279" s="328"/>
      <c r="E1279" s="328">
        <f>VLOOKUP(B1279,DONGIA,DG!$B$6,0)</f>
        <v>0</v>
      </c>
      <c r="F1279" s="329" t="str">
        <f>VLOOKUP(B1279,DONGIA,DG!$C$6,0)</f>
        <v>Cọc tiếp đất φ16 - 2,4m (mạ đồng 16µm)</v>
      </c>
      <c r="G1279" s="328" t="str">
        <f>VLOOKUP(B1279,DONGIA,DG!$D$6,0)</f>
        <v>cọc</v>
      </c>
      <c r="H1279" s="329"/>
      <c r="I1279" s="329">
        <f>VLOOKUP(B1279,DONGIA,DG!$E$6,0)</f>
        <v>130000</v>
      </c>
      <c r="J1279" s="329"/>
      <c r="K1279" s="329">
        <f>VLOOKUP(B1279,DONGIA,DG!$F$6,0)</f>
        <v>0</v>
      </c>
      <c r="L1279" s="329">
        <f>VLOOKUP(B1279,DONGIA,DG!$G$6,0)</f>
        <v>0</v>
      </c>
      <c r="M1279" s="329">
        <f t="shared" ref="M1279:M1286" si="286">$H1279*I1279</f>
        <v>0</v>
      </c>
      <c r="N1279" s="329">
        <f t="shared" ref="N1279:N1286" si="287">$H1279*J1279</f>
        <v>0</v>
      </c>
      <c r="O1279" s="329">
        <f t="shared" ref="O1279:O1286" si="288">$H1279*K1279</f>
        <v>0</v>
      </c>
      <c r="P1279" s="329">
        <f t="shared" ref="P1279:P1286" si="289">$H1279*L1279</f>
        <v>0</v>
      </c>
      <c r="Q1279" s="329"/>
      <c r="S1279" s="332">
        <f t="shared" si="279"/>
        <v>5.3</v>
      </c>
      <c r="T1279" s="332">
        <f t="shared" si="281"/>
        <v>0</v>
      </c>
    </row>
    <row r="1280" spans="1:20" hidden="1">
      <c r="A1280" s="332" t="s">
        <v>477</v>
      </c>
      <c r="B1280" s="332" t="s">
        <v>280</v>
      </c>
      <c r="C1280" s="333">
        <f t="shared" si="280"/>
        <v>0</v>
      </c>
      <c r="D1280" s="328"/>
      <c r="E1280" s="328">
        <f>VLOOKUP(B1280,DONGIA,DG!$B$6,0)</f>
        <v>0</v>
      </c>
      <c r="F1280" s="329" t="str">
        <f>VLOOKUP(B1280,DONGIA,DG!$C$6,0)</f>
        <v>Kẹp cọc tiếp địa</v>
      </c>
      <c r="G1280" s="328" t="str">
        <f>VLOOKUP(B1280,DONGIA,DG!$D$6,0)</f>
        <v>bộ</v>
      </c>
      <c r="H1280" s="329"/>
      <c r="I1280" s="329">
        <f>VLOOKUP(B1280,DONGIA,DG!$E$6,0)</f>
        <v>25000</v>
      </c>
      <c r="J1280" s="329"/>
      <c r="K1280" s="329">
        <f>VLOOKUP(B1280,DONGIA,DG!$F$6,0)</f>
        <v>0</v>
      </c>
      <c r="L1280" s="329">
        <f>VLOOKUP(B1280,DONGIA,DG!$G$6,0)</f>
        <v>0</v>
      </c>
      <c r="M1280" s="329">
        <f t="shared" si="286"/>
        <v>0</v>
      </c>
      <c r="N1280" s="329">
        <f t="shared" si="287"/>
        <v>0</v>
      </c>
      <c r="O1280" s="329">
        <f t="shared" si="288"/>
        <v>0</v>
      </c>
      <c r="P1280" s="329">
        <f t="shared" si="289"/>
        <v>0</v>
      </c>
      <c r="Q1280" s="329"/>
      <c r="S1280" s="332">
        <f t="shared" si="279"/>
        <v>0.05</v>
      </c>
      <c r="T1280" s="332">
        <f t="shared" si="281"/>
        <v>0</v>
      </c>
    </row>
    <row r="1281" spans="1:20" hidden="1">
      <c r="A1281" s="332" t="s">
        <v>477</v>
      </c>
      <c r="B1281" s="332" t="s">
        <v>1217</v>
      </c>
      <c r="C1281" s="333">
        <f t="shared" si="280"/>
        <v>0</v>
      </c>
      <c r="D1281" s="328"/>
      <c r="E1281" s="328">
        <f>VLOOKUP(B1281,DONGIA,DG!$B$6,0)</f>
        <v>0</v>
      </c>
      <c r="F1281" s="329" t="str">
        <f>VLOOKUP(B1281,DONGIA,DG!$C$6,0)</f>
        <v xml:space="preserve">Ốc xiết cáp cỡ 38mm2 </v>
      </c>
      <c r="G1281" s="328" t="str">
        <f>VLOOKUP(B1281,DONGIA,DG!$D$6,0)</f>
        <v>cái</v>
      </c>
      <c r="H1281" s="329">
        <f>H1276*4</f>
        <v>0</v>
      </c>
      <c r="I1281" s="329">
        <f>VLOOKUP(B1281,DONGIA,DG!$E$6,0)</f>
        <v>18000</v>
      </c>
      <c r="J1281" s="329"/>
      <c r="K1281" s="329">
        <f>VLOOKUP(B1281,DONGIA,DG!$F$6,0)</f>
        <v>0</v>
      </c>
      <c r="L1281" s="329">
        <f>VLOOKUP(B1281,DONGIA,DG!$G$6,0)</f>
        <v>0</v>
      </c>
      <c r="M1281" s="329">
        <f t="shared" si="286"/>
        <v>0</v>
      </c>
      <c r="N1281" s="329">
        <f t="shared" si="287"/>
        <v>0</v>
      </c>
      <c r="O1281" s="329">
        <f t="shared" si="288"/>
        <v>0</v>
      </c>
      <c r="P1281" s="329">
        <f t="shared" si="289"/>
        <v>0</v>
      </c>
      <c r="Q1281" s="329"/>
      <c r="S1281" s="332">
        <f t="shared" si="279"/>
        <v>0</v>
      </c>
      <c r="T1281" s="332">
        <f t="shared" si="281"/>
        <v>0</v>
      </c>
    </row>
    <row r="1282" spans="1:20" hidden="1">
      <c r="A1282" s="332" t="s">
        <v>477</v>
      </c>
      <c r="B1282" s="332" t="s">
        <v>323</v>
      </c>
      <c r="C1282" s="333">
        <f>IF(H1282&lt;&gt;0,1,)</f>
        <v>0</v>
      </c>
      <c r="D1282" s="328"/>
      <c r="E1282" s="328">
        <f>VLOOKUP(B1282,DONGIA,DG!$B$6,0)</f>
        <v>0</v>
      </c>
      <c r="F1282" s="329" t="str">
        <f>VLOOKUP(B1282,DONGIA,DG!$C$6,0)</f>
        <v>Kẹp ép WR cỡ dây 50mm2</v>
      </c>
      <c r="G1282" s="328" t="str">
        <f>VLOOKUP(B1282,DONGIA,DG!$D$6,0)</f>
        <v>cái</v>
      </c>
      <c r="H1282" s="329">
        <f>H1276*2</f>
        <v>0</v>
      </c>
      <c r="I1282" s="329">
        <f>VLOOKUP(B1282,DONGIA,DG!$E$6,0)</f>
        <v>10000</v>
      </c>
      <c r="J1282" s="329"/>
      <c r="K1282" s="329">
        <f>VLOOKUP(B1282,DONGIA,DG!$F$6,0)</f>
        <v>0</v>
      </c>
      <c r="L1282" s="329">
        <f>VLOOKUP(B1282,DONGIA,DG!$G$6,0)</f>
        <v>0</v>
      </c>
      <c r="M1282" s="329">
        <f>$H1282*I1282</f>
        <v>0</v>
      </c>
      <c r="N1282" s="329">
        <f>$H1282*J1282</f>
        <v>0</v>
      </c>
      <c r="O1282" s="329">
        <f>$H1282*K1282</f>
        <v>0</v>
      </c>
      <c r="P1282" s="329">
        <f>$H1282*L1282</f>
        <v>0</v>
      </c>
      <c r="Q1282" s="329"/>
      <c r="S1282" s="332">
        <f>IFERROR(VLOOKUP(B1282,DONGIA,$S$25,0),0)</f>
        <v>0.2</v>
      </c>
      <c r="T1282" s="332">
        <f>H1282*S1282</f>
        <v>0</v>
      </c>
    </row>
    <row r="1283" spans="1:20" hidden="1">
      <c r="A1283" s="332" t="s">
        <v>477</v>
      </c>
      <c r="B1283" s="332" t="s">
        <v>573</v>
      </c>
      <c r="C1283" s="333">
        <f t="shared" si="280"/>
        <v>0</v>
      </c>
      <c r="D1283" s="328"/>
      <c r="E1283" s="328" t="str">
        <f>VLOOKUP(B1283,DONGIA,DG!$B$6,0)</f>
        <v>T4.7001</v>
      </c>
      <c r="F1283" s="329" t="str">
        <f>VLOOKUP(B1283,DONGIA,DG!$C$6,0)</f>
        <v>Kéo dây tiếp địa trong TBA</v>
      </c>
      <c r="G1283" s="328" t="str">
        <f>VLOOKUP(B1283,DONGIA,DG!$D$6,0)</f>
        <v>mét</v>
      </c>
      <c r="H1283" s="329">
        <f>H1278/0.224</f>
        <v>0</v>
      </c>
      <c r="I1283" s="329">
        <f>VLOOKUP(B1283,DONGIA,DG!$E$6,0)</f>
        <v>0</v>
      </c>
      <c r="J1283" s="329"/>
      <c r="K1283" s="329">
        <f>VLOOKUP(B1283,DONGIA,DG!$F$6,0)</f>
        <v>6871</v>
      </c>
      <c r="L1283" s="329">
        <f>VLOOKUP(B1283,DONGIA,DG!$G$6,0)</f>
        <v>0</v>
      </c>
      <c r="M1283" s="329">
        <f t="shared" si="286"/>
        <v>0</v>
      </c>
      <c r="N1283" s="329">
        <f t="shared" si="287"/>
        <v>0</v>
      </c>
      <c r="O1283" s="329">
        <f t="shared" si="288"/>
        <v>0</v>
      </c>
      <c r="P1283" s="329">
        <f t="shared" si="289"/>
        <v>0</v>
      </c>
      <c r="Q1283" s="329"/>
      <c r="S1283" s="332">
        <f t="shared" si="279"/>
        <v>0</v>
      </c>
      <c r="T1283" s="332">
        <f t="shared" si="281"/>
        <v>0</v>
      </c>
    </row>
    <row r="1284" spans="1:20" hidden="1">
      <c r="A1284" s="332" t="s">
        <v>477</v>
      </c>
      <c r="B1284" s="332" t="s">
        <v>581</v>
      </c>
      <c r="C1284" s="333">
        <f t="shared" si="280"/>
        <v>0</v>
      </c>
      <c r="D1284" s="328"/>
      <c r="E1284" s="328" t="str">
        <f>VLOOKUP(B1284,DONGIA,DG!$B$6,0)</f>
        <v>D2.8103</v>
      </c>
      <c r="F1284" s="329" t="str">
        <f>VLOOKUP(B1284,DONGIA,DG!$C$6,0)</f>
        <v>Đóng cọc tiếp địa trong TBA (đất cấp 3)</v>
      </c>
      <c r="G1284" s="328" t="str">
        <f>VLOOKUP(B1284,DONGIA,DG!$D$6,0)</f>
        <v>cọc</v>
      </c>
      <c r="H1284" s="329"/>
      <c r="I1284" s="329">
        <f>VLOOKUP(B1284,DONGIA,DG!$E$6,0)</f>
        <v>0</v>
      </c>
      <c r="J1284" s="329"/>
      <c r="K1284" s="329">
        <f>VLOOKUP(B1284,DONGIA,DG!$F$6,0)</f>
        <v>76928</v>
      </c>
      <c r="L1284" s="329">
        <f>VLOOKUP(B1284,DONGIA,DG!$G$6,0)</f>
        <v>0</v>
      </c>
      <c r="M1284" s="329">
        <f t="shared" si="286"/>
        <v>0</v>
      </c>
      <c r="N1284" s="329">
        <f t="shared" si="287"/>
        <v>0</v>
      </c>
      <c r="O1284" s="329">
        <f t="shared" si="288"/>
        <v>0</v>
      </c>
      <c r="P1284" s="329">
        <f t="shared" si="289"/>
        <v>0</v>
      </c>
      <c r="Q1284" s="329"/>
      <c r="S1284" s="332">
        <f t="shared" si="279"/>
        <v>0</v>
      </c>
      <c r="T1284" s="332">
        <f t="shared" si="281"/>
        <v>0</v>
      </c>
    </row>
    <row r="1285" spans="1:20" hidden="1">
      <c r="A1285" s="332" t="s">
        <v>477</v>
      </c>
      <c r="B1285" s="332" t="s">
        <v>540</v>
      </c>
      <c r="C1285" s="333">
        <f t="shared" si="280"/>
        <v>0</v>
      </c>
      <c r="D1285" s="328"/>
      <c r="E1285" s="328" t="str">
        <f>VLOOKUP(B1285,DONGIA,DG!$B$6,0)</f>
        <v>AB.11513</v>
      </c>
      <c r="F1285" s="329" t="str">
        <f>VLOOKUP(B1285,DONGIA,DG!$C$6,0)</f>
        <v>Đào rãnh tiếp địa đất cấp 3</v>
      </c>
      <c r="G1285" s="328" t="str">
        <f>VLOOKUP(B1285,DONGIA,DG!$D$6,0)</f>
        <v>m3</v>
      </c>
      <c r="H1285" s="329"/>
      <c r="I1285" s="329">
        <f>VLOOKUP(B1285,DONGIA,DG!$E$6,0)</f>
        <v>0</v>
      </c>
      <c r="J1285" s="329"/>
      <c r="K1285" s="525">
        <f>ROUND(VLOOKUP(B1285,DONGIA,DG!$F$6,0)/NCTBA,0)</f>
        <v>241580</v>
      </c>
      <c r="L1285" s="329">
        <f>VLOOKUP(B1285,DONGIA,DG!$G$6,0)</f>
        <v>0</v>
      </c>
      <c r="M1285" s="329">
        <f t="shared" si="286"/>
        <v>0</v>
      </c>
      <c r="N1285" s="329">
        <f t="shared" si="287"/>
        <v>0</v>
      </c>
      <c r="O1285" s="329">
        <f t="shared" si="288"/>
        <v>0</v>
      </c>
      <c r="P1285" s="329">
        <f t="shared" si="289"/>
        <v>0</v>
      </c>
      <c r="Q1285" s="329"/>
      <c r="S1285" s="332">
        <f t="shared" si="279"/>
        <v>0</v>
      </c>
      <c r="T1285" s="332">
        <f t="shared" si="281"/>
        <v>0</v>
      </c>
    </row>
    <row r="1286" spans="1:20" hidden="1">
      <c r="A1286" s="332" t="s">
        <v>477</v>
      </c>
      <c r="B1286" s="332" t="s">
        <v>547</v>
      </c>
      <c r="C1286" s="333">
        <f t="shared" si="280"/>
        <v>0</v>
      </c>
      <c r="D1286" s="328"/>
      <c r="E1286" s="328" t="str">
        <f>VLOOKUP(B1286,DONGIA,DG!$B$6,0)</f>
        <v>AB.65110</v>
      </c>
      <c r="F1286" s="329" t="str">
        <f>VLOOKUP(B1286,DONGIA,DG!$C$6,0)</f>
        <v>Đắp đất rãnh tiếp địa (K=0,85)</v>
      </c>
      <c r="G1286" s="328" t="str">
        <f>VLOOKUP(B1286,DONGIA,DG!$D$6,0)</f>
        <v>m3</v>
      </c>
      <c r="H1286" s="329"/>
      <c r="I1286" s="329">
        <f>VLOOKUP(B1286,DONGIA,DG!$E$6,0)</f>
        <v>0</v>
      </c>
      <c r="J1286" s="329"/>
      <c r="K1286" s="525">
        <f>ROUND(VLOOKUP(B1286,DONGIA,DG!$F$6,0)/NCTBA,0)</f>
        <v>16267</v>
      </c>
      <c r="L1286" s="329">
        <f>VLOOKUP(B1286,DONGIA,DG!$G$6,0)</f>
        <v>11176</v>
      </c>
      <c r="M1286" s="329">
        <f t="shared" si="286"/>
        <v>0</v>
      </c>
      <c r="N1286" s="329">
        <f t="shared" si="287"/>
        <v>0</v>
      </c>
      <c r="O1286" s="329">
        <f t="shared" si="288"/>
        <v>0</v>
      </c>
      <c r="P1286" s="329">
        <f t="shared" si="289"/>
        <v>0</v>
      </c>
      <c r="Q1286" s="329"/>
      <c r="S1286" s="332">
        <f t="shared" si="279"/>
        <v>0</v>
      </c>
      <c r="T1286" s="332">
        <f t="shared" si="281"/>
        <v>0</v>
      </c>
    </row>
    <row r="1287" spans="1:20" hidden="1">
      <c r="A1287" s="332" t="s">
        <v>477</v>
      </c>
      <c r="C1287" s="333">
        <f t="shared" si="280"/>
        <v>0</v>
      </c>
      <c r="D1287" s="372">
        <f>IF(H1287&lt;&gt;0,D1276+1,D1276)</f>
        <v>0</v>
      </c>
      <c r="E1287" s="372"/>
      <c r="F1287" s="373" t="s">
        <v>1934</v>
      </c>
      <c r="G1287" s="372" t="s">
        <v>138</v>
      </c>
      <c r="H1287" s="372"/>
      <c r="I1287" s="373"/>
      <c r="J1287" s="373"/>
      <c r="K1287" s="373"/>
      <c r="L1287" s="373"/>
      <c r="M1287" s="373"/>
      <c r="N1287" s="373"/>
      <c r="O1287" s="373"/>
      <c r="P1287" s="373"/>
      <c r="Q1287" s="373"/>
      <c r="S1287" s="332">
        <f t="shared" ref="S1287:S1318" si="290">IFERROR(VLOOKUP(B1287,DONGIA,$S$25,0),0)</f>
        <v>0</v>
      </c>
      <c r="T1287" s="332">
        <f t="shared" si="281"/>
        <v>0</v>
      </c>
    </row>
    <row r="1288" spans="1:20" s="361" customFormat="1" hidden="1">
      <c r="A1288" s="361" t="s">
        <v>477</v>
      </c>
      <c r="C1288" s="374">
        <f t="shared" ref="C1288:C1319" si="291">IF(H1288&lt;&gt;0,1,)</f>
        <v>0</v>
      </c>
      <c r="D1288" s="350"/>
      <c r="E1288" s="350"/>
      <c r="F1288" s="351" t="s">
        <v>1902</v>
      </c>
      <c r="G1288" s="350"/>
      <c r="H1288" s="351"/>
      <c r="I1288" s="351"/>
      <c r="J1288" s="351"/>
      <c r="K1288" s="351"/>
      <c r="L1288" s="351"/>
      <c r="M1288" s="351"/>
      <c r="N1288" s="351"/>
      <c r="O1288" s="351"/>
      <c r="P1288" s="351"/>
      <c r="Q1288" s="351"/>
      <c r="S1288" s="361">
        <f t="shared" si="290"/>
        <v>0</v>
      </c>
      <c r="T1288" s="361">
        <f t="shared" ref="T1288:T1319" si="292">H1288*S1288</f>
        <v>0</v>
      </c>
    </row>
    <row r="1289" spans="1:20" hidden="1">
      <c r="A1289" s="332" t="s">
        <v>477</v>
      </c>
      <c r="B1289" s="332" t="s">
        <v>989</v>
      </c>
      <c r="C1289" s="333">
        <f t="shared" si="291"/>
        <v>0</v>
      </c>
      <c r="D1289" s="328"/>
      <c r="E1289" s="328" t="str">
        <f>VLOOKUP(B1289,DONGIA,DG!$B$6,0)</f>
        <v>T5.1001</v>
      </c>
      <c r="F1289" s="329" t="str">
        <f>VLOOKUP(B1289,DONGIA,DG!$C$6,0)</f>
        <v>Tủ trạm treo + khóa + boulon + Bakelit + Collier (1 pha)</v>
      </c>
      <c r="G1289" s="328" t="str">
        <f>VLOOKUP(B1289,DONGIA,DG!$D$6,0)</f>
        <v>bộ</v>
      </c>
      <c r="H1289" s="329"/>
      <c r="I1289" s="329">
        <f>VLOOKUP(B1289,DONGIA,DG!$E$6,0)</f>
        <v>5446000</v>
      </c>
      <c r="J1289" s="329"/>
      <c r="K1289" s="329">
        <f>VLOOKUP(B1289,DONGIA,DG!$F$6,0)</f>
        <v>645165</v>
      </c>
      <c r="L1289" s="329">
        <f>VLOOKUP(B1289,DONGIA,DG!$G$6,0)</f>
        <v>111154</v>
      </c>
      <c r="M1289" s="329">
        <f>$H1289*I1289</f>
        <v>0</v>
      </c>
      <c r="N1289" s="329">
        <f>$H1289*J1289</f>
        <v>0</v>
      </c>
      <c r="O1289" s="329">
        <f>$H1289*K1289</f>
        <v>0</v>
      </c>
      <c r="P1289" s="329">
        <f>$H1289*L1289</f>
        <v>0</v>
      </c>
      <c r="Q1289" s="329"/>
      <c r="S1289" s="332">
        <f t="shared" si="290"/>
        <v>45</v>
      </c>
      <c r="T1289" s="332">
        <f t="shared" si="292"/>
        <v>0</v>
      </c>
    </row>
    <row r="1290" spans="1:20" hidden="1">
      <c r="C1290" s="333">
        <f t="shared" si="291"/>
        <v>0</v>
      </c>
      <c r="D1290" s="372">
        <f>IF(H1290&lt;&gt;0,D1287+1,D1287)</f>
        <v>0</v>
      </c>
      <c r="E1290" s="372"/>
      <c r="F1290" s="373" t="s">
        <v>1935</v>
      </c>
      <c r="G1290" s="372" t="s">
        <v>138</v>
      </c>
      <c r="H1290" s="372">
        <f>TRNC3X50</f>
        <v>0</v>
      </c>
      <c r="I1290" s="373"/>
      <c r="J1290" s="373"/>
      <c r="K1290" s="373"/>
      <c r="L1290" s="373"/>
      <c r="M1290" s="373"/>
      <c r="N1290" s="373"/>
      <c r="O1290" s="373"/>
      <c r="P1290" s="373"/>
      <c r="Q1290" s="373"/>
      <c r="S1290" s="332">
        <f t="shared" si="290"/>
        <v>0</v>
      </c>
      <c r="T1290" s="332">
        <f t="shared" si="292"/>
        <v>0</v>
      </c>
    </row>
    <row r="1291" spans="1:20" s="361" customFormat="1" hidden="1">
      <c r="C1291" s="374">
        <f t="shared" si="291"/>
        <v>0</v>
      </c>
      <c r="D1291" s="350"/>
      <c r="E1291" s="350"/>
      <c r="F1291" s="351" t="s">
        <v>1902</v>
      </c>
      <c r="G1291" s="350"/>
      <c r="H1291" s="351"/>
      <c r="I1291" s="351"/>
      <c r="J1291" s="351"/>
      <c r="K1291" s="351"/>
      <c r="L1291" s="351"/>
      <c r="M1291" s="351"/>
      <c r="N1291" s="351"/>
      <c r="O1291" s="351"/>
      <c r="P1291" s="351"/>
      <c r="Q1291" s="351"/>
      <c r="S1291" s="361">
        <f t="shared" si="290"/>
        <v>0</v>
      </c>
      <c r="T1291" s="361">
        <f t="shared" si="292"/>
        <v>0</v>
      </c>
    </row>
    <row r="1292" spans="1:20" hidden="1">
      <c r="B1292" s="332" t="s">
        <v>1468</v>
      </c>
      <c r="C1292" s="333">
        <f t="shared" si="291"/>
        <v>0</v>
      </c>
      <c r="D1292" s="328"/>
      <c r="E1292" s="328">
        <f>VLOOKUP(B1292,DONGIA,DG!$B$6,0)</f>
        <v>0</v>
      </c>
      <c r="F1292" s="329" t="str">
        <f>VLOOKUP(B1292,DONGIA,DG!$C$6,0)</f>
        <v>Cáp 24KV C/XLPE/PVC 25mm2</v>
      </c>
      <c r="G1292" s="328" t="str">
        <f>VLOOKUP(B1292,DONGIA,DG!$D$6,0)</f>
        <v>mét</v>
      </c>
      <c r="H1292" s="329">
        <f>H1290*12</f>
        <v>0</v>
      </c>
      <c r="I1292" s="329">
        <f>VLOOKUP(B1292,DONGIA,DG!$E$6,0)</f>
        <v>87540</v>
      </c>
      <c r="J1292" s="329"/>
      <c r="K1292" s="329">
        <f>VLOOKUP(B1292,DONGIA,DG!$F$6,0)</f>
        <v>0</v>
      </c>
      <c r="L1292" s="329">
        <f>VLOOKUP(B1292,DONGIA,DG!$G$6,0)</f>
        <v>0</v>
      </c>
      <c r="M1292" s="329">
        <f t="shared" ref="M1292:P1296" si="293">$H1292*I1292</f>
        <v>0</v>
      </c>
      <c r="N1292" s="329">
        <f t="shared" si="293"/>
        <v>0</v>
      </c>
      <c r="O1292" s="329">
        <f t="shared" si="293"/>
        <v>0</v>
      </c>
      <c r="P1292" s="329">
        <f t="shared" si="293"/>
        <v>0</v>
      </c>
      <c r="Q1292" s="329"/>
      <c r="S1292" s="332">
        <f t="shared" si="290"/>
        <v>0.75</v>
      </c>
      <c r="T1292" s="332">
        <f t="shared" si="292"/>
        <v>0</v>
      </c>
    </row>
    <row r="1293" spans="1:20" hidden="1">
      <c r="B1293" s="332" t="s">
        <v>1507</v>
      </c>
      <c r="C1293" s="333">
        <f t="shared" si="291"/>
        <v>0</v>
      </c>
      <c r="D1293" s="328"/>
      <c r="E1293" s="328" t="str">
        <f>VLOOKUP(B1293,DONGIA,DG!$B$6,0)</f>
        <v>D6.6201</v>
      </c>
      <c r="F1293" s="329" t="str">
        <f>VLOOKUP(B1293,DONGIA,DG!$C$6,0)</f>
        <v>Kẹp quai 4/0 (quai đồng 8mm)</v>
      </c>
      <c r="G1293" s="328" t="str">
        <f>VLOOKUP(B1293,DONGIA,DG!$D$6,0)</f>
        <v>cái</v>
      </c>
      <c r="H1293" s="329">
        <f>H1290*3</f>
        <v>0</v>
      </c>
      <c r="I1293" s="329">
        <f>VLOOKUP(B1293,DONGIA,DG!$E$6,0)</f>
        <v>145000</v>
      </c>
      <c r="J1293" s="329"/>
      <c r="K1293" s="329">
        <f>VLOOKUP(B1293,DONGIA,DG!$F$6,0)</f>
        <v>87817</v>
      </c>
      <c r="L1293" s="329">
        <f>VLOOKUP(B1293,DONGIA,DG!$G$6,0)</f>
        <v>0</v>
      </c>
      <c r="M1293" s="329">
        <f t="shared" si="293"/>
        <v>0</v>
      </c>
      <c r="N1293" s="329">
        <f t="shared" si="293"/>
        <v>0</v>
      </c>
      <c r="O1293" s="329">
        <f t="shared" si="293"/>
        <v>0</v>
      </c>
      <c r="P1293" s="329">
        <f t="shared" si="293"/>
        <v>0</v>
      </c>
      <c r="Q1293" s="329"/>
      <c r="S1293" s="332">
        <f t="shared" si="290"/>
        <v>0.3</v>
      </c>
      <c r="T1293" s="332">
        <f t="shared" si="292"/>
        <v>0</v>
      </c>
    </row>
    <row r="1294" spans="1:20" hidden="1">
      <c r="B1294" s="332" t="s">
        <v>1511</v>
      </c>
      <c r="C1294" s="333">
        <f t="shared" si="291"/>
        <v>0</v>
      </c>
      <c r="D1294" s="328"/>
      <c r="E1294" s="328">
        <f>VLOOKUP(B1294,DONGIA,DG!$B$6,0)</f>
        <v>0</v>
      </c>
      <c r="F1294" s="329" t="str">
        <f>VLOOKUP(B1294,DONGIA,DG!$C$6,0)</f>
        <v>Chụp cách điện kẹp quai</v>
      </c>
      <c r="G1294" s="328" t="str">
        <f>VLOOKUP(B1294,DONGIA,DG!$D$6,0)</f>
        <v>cái</v>
      </c>
      <c r="H1294" s="329">
        <f>H1293</f>
        <v>0</v>
      </c>
      <c r="I1294" s="329">
        <f>VLOOKUP(B1294,DONGIA,DG!$E$6,0)</f>
        <v>122000</v>
      </c>
      <c r="J1294" s="329"/>
      <c r="K1294" s="329">
        <f>VLOOKUP(B1294,DONGIA,DG!$F$6,0)</f>
        <v>0</v>
      </c>
      <c r="L1294" s="329">
        <f>VLOOKUP(B1294,DONGIA,DG!$G$6,0)</f>
        <v>0</v>
      </c>
      <c r="M1294" s="329">
        <f t="shared" si="293"/>
        <v>0</v>
      </c>
      <c r="N1294" s="329">
        <f t="shared" si="293"/>
        <v>0</v>
      </c>
      <c r="O1294" s="329">
        <f t="shared" si="293"/>
        <v>0</v>
      </c>
      <c r="P1294" s="329">
        <f t="shared" si="293"/>
        <v>0</v>
      </c>
      <c r="Q1294" s="329"/>
      <c r="S1294" s="332">
        <f t="shared" si="290"/>
        <v>0.2</v>
      </c>
      <c r="T1294" s="332">
        <f t="shared" si="292"/>
        <v>0</v>
      </c>
    </row>
    <row r="1295" spans="1:20" hidden="1">
      <c r="B1295" s="332" t="s">
        <v>1508</v>
      </c>
      <c r="C1295" s="333">
        <f t="shared" si="291"/>
        <v>0</v>
      </c>
      <c r="D1295" s="328"/>
      <c r="E1295" s="328" t="str">
        <f>VLOOKUP(B1295,DONGIA,DG!$B$6,0)</f>
        <v>D6.6202</v>
      </c>
      <c r="F1295" s="329" t="str">
        <f>VLOOKUP(B1295,DONGIA,DG!$C$6,0)</f>
        <v>Kẹp hotline 2/0</v>
      </c>
      <c r="G1295" s="328" t="str">
        <f>VLOOKUP(B1295,DONGIA,DG!$D$6,0)</f>
        <v>cái</v>
      </c>
      <c r="H1295" s="329">
        <f>H1294</f>
        <v>0</v>
      </c>
      <c r="I1295" s="329">
        <f>VLOOKUP(B1295,DONGIA,DG!$E$6,0)</f>
        <v>68000</v>
      </c>
      <c r="J1295" s="329"/>
      <c r="K1295" s="329">
        <f>VLOOKUP(B1295,DONGIA,DG!$F$6,0)</f>
        <v>109771</v>
      </c>
      <c r="L1295" s="329">
        <f>VLOOKUP(B1295,DONGIA,DG!$G$6,0)</f>
        <v>0</v>
      </c>
      <c r="M1295" s="329">
        <f t="shared" si="293"/>
        <v>0</v>
      </c>
      <c r="N1295" s="329">
        <f t="shared" si="293"/>
        <v>0</v>
      </c>
      <c r="O1295" s="329">
        <f t="shared" si="293"/>
        <v>0</v>
      </c>
      <c r="P1295" s="329">
        <f t="shared" si="293"/>
        <v>0</v>
      </c>
      <c r="Q1295" s="329"/>
      <c r="S1295" s="332">
        <f t="shared" si="290"/>
        <v>0.1</v>
      </c>
      <c r="T1295" s="332">
        <f t="shared" si="292"/>
        <v>0</v>
      </c>
    </row>
    <row r="1296" spans="1:20" hidden="1">
      <c r="B1296" s="332" t="s">
        <v>1939</v>
      </c>
      <c r="C1296" s="333">
        <f t="shared" si="291"/>
        <v>0</v>
      </c>
      <c r="D1296" s="328"/>
      <c r="E1296" s="328" t="str">
        <f>VLOOKUP(B1296,DONGIA,DG!$B$6,0)</f>
        <v>T4.4201</v>
      </c>
      <c r="F1296" s="329" t="str">
        <f>VLOOKUP(B1296,DONGIA,DG!$C$6,0)</f>
        <v>Lắp cáp đồng xuống thiết bị D ≤ 95mm2</v>
      </c>
      <c r="G1296" s="328" t="str">
        <f>VLOOKUP(B1296,DONGIA,DG!$D$6,0)</f>
        <v>m</v>
      </c>
      <c r="H1296" s="329">
        <f>H1292</f>
        <v>0</v>
      </c>
      <c r="I1296" s="329">
        <f>VLOOKUP(B1296,DONGIA,DG!$E$6,0)</f>
        <v>0</v>
      </c>
      <c r="J1296" s="329"/>
      <c r="K1296" s="329">
        <f>VLOOKUP(B1296,DONGIA,DG!$F$6,0)</f>
        <v>11847</v>
      </c>
      <c r="L1296" s="329">
        <f>VLOOKUP(B1296,DONGIA,DG!$G$6,0)</f>
        <v>0</v>
      </c>
      <c r="M1296" s="329">
        <f t="shared" si="293"/>
        <v>0</v>
      </c>
      <c r="N1296" s="329">
        <f t="shared" si="293"/>
        <v>0</v>
      </c>
      <c r="O1296" s="329">
        <f t="shared" si="293"/>
        <v>0</v>
      </c>
      <c r="P1296" s="329">
        <f t="shared" si="293"/>
        <v>0</v>
      </c>
      <c r="Q1296" s="329"/>
      <c r="S1296" s="332">
        <f t="shared" si="290"/>
        <v>0</v>
      </c>
      <c r="T1296" s="332">
        <f t="shared" si="292"/>
        <v>0</v>
      </c>
    </row>
    <row r="1297" spans="2:20" hidden="1">
      <c r="C1297" s="333">
        <f t="shared" si="291"/>
        <v>0</v>
      </c>
      <c r="D1297" s="372">
        <f>IF(H1297&lt;&gt;0,D1290+1,D1290)</f>
        <v>0</v>
      </c>
      <c r="E1297" s="372"/>
      <c r="F1297" s="373" t="s">
        <v>1936</v>
      </c>
      <c r="G1297" s="372" t="s">
        <v>138</v>
      </c>
      <c r="H1297" s="372">
        <f>TRNC3X50</f>
        <v>0</v>
      </c>
      <c r="I1297" s="373"/>
      <c r="J1297" s="373"/>
      <c r="K1297" s="373"/>
      <c r="L1297" s="373"/>
      <c r="M1297" s="373"/>
      <c r="N1297" s="373"/>
      <c r="O1297" s="373"/>
      <c r="P1297" s="373"/>
      <c r="Q1297" s="373"/>
      <c r="S1297" s="332">
        <f t="shared" si="290"/>
        <v>0</v>
      </c>
      <c r="T1297" s="332">
        <f t="shared" si="292"/>
        <v>0</v>
      </c>
    </row>
    <row r="1298" spans="2:20" s="361" customFormat="1" hidden="1">
      <c r="C1298" s="374">
        <f t="shared" si="291"/>
        <v>0</v>
      </c>
      <c r="D1298" s="350"/>
      <c r="E1298" s="350"/>
      <c r="F1298" s="351" t="s">
        <v>1902</v>
      </c>
      <c r="G1298" s="350"/>
      <c r="H1298" s="351"/>
      <c r="I1298" s="351"/>
      <c r="J1298" s="351"/>
      <c r="K1298" s="351"/>
      <c r="L1298" s="351"/>
      <c r="M1298" s="351"/>
      <c r="N1298" s="351"/>
      <c r="O1298" s="351"/>
      <c r="P1298" s="351"/>
      <c r="Q1298" s="351"/>
      <c r="S1298" s="361">
        <f t="shared" si="290"/>
        <v>0</v>
      </c>
      <c r="T1298" s="361">
        <f t="shared" si="292"/>
        <v>0</v>
      </c>
    </row>
    <row r="1299" spans="2:20" hidden="1">
      <c r="B1299" s="332" t="s">
        <v>1908</v>
      </c>
      <c r="C1299" s="333">
        <f t="shared" si="291"/>
        <v>0</v>
      </c>
      <c r="D1299" s="328"/>
      <c r="E1299" s="328">
        <f>VLOOKUP(B1299,DONGIA,DG!$B$6,0)</f>
        <v>0</v>
      </c>
      <c r="F1299" s="329" t="str">
        <f>VLOOKUP(B1299,DONGIA,DG!$C$6,0)</f>
        <v>Cáp đồng bọc CV120</v>
      </c>
      <c r="G1299" s="328" t="str">
        <f>VLOOKUP(B1299,DONGIA,DG!$D$6,0)</f>
        <v>mét</v>
      </c>
      <c r="H1299" s="329">
        <f>H1297*3*10</f>
        <v>0</v>
      </c>
      <c r="I1299" s="329">
        <f>VLOOKUP(B1299,DONGIA,DG!$E$6,0)</f>
        <v>245040</v>
      </c>
      <c r="J1299" s="329"/>
      <c r="K1299" s="329">
        <f>VLOOKUP(B1299,DONGIA,DG!$F$6,0)</f>
        <v>0</v>
      </c>
      <c r="L1299" s="329">
        <f>VLOOKUP(B1299,DONGIA,DG!$G$6,0)</f>
        <v>0</v>
      </c>
      <c r="M1299" s="329">
        <f>$H1299*I1299</f>
        <v>0</v>
      </c>
      <c r="N1299" s="329">
        <f>$H1299*J1299</f>
        <v>0</v>
      </c>
      <c r="O1299" s="329">
        <f>$H1299*K1299</f>
        <v>0</v>
      </c>
      <c r="P1299" s="329">
        <f>$H1299*L1299</f>
        <v>0</v>
      </c>
      <c r="Q1299" s="329"/>
      <c r="S1299" s="332">
        <f t="shared" si="290"/>
        <v>1.2350000000000001</v>
      </c>
      <c r="T1299" s="332">
        <f t="shared" si="292"/>
        <v>0</v>
      </c>
    </row>
    <row r="1300" spans="2:20" hidden="1">
      <c r="B1300" s="332" t="s">
        <v>1907</v>
      </c>
      <c r="C1300" s="333">
        <f t="shared" si="291"/>
        <v>0</v>
      </c>
      <c r="D1300" s="328"/>
      <c r="E1300" s="328">
        <f>VLOOKUP(B1300,DONGIA,DG!$B$6,0)</f>
        <v>0</v>
      </c>
      <c r="F1300" s="329" t="str">
        <f>VLOOKUP(B1300,DONGIA,DG!$C$6,0)</f>
        <v>Cáp đồng bọc CV70</v>
      </c>
      <c r="G1300" s="328" t="str">
        <f>VLOOKUP(B1300,DONGIA,DG!$D$6,0)</f>
        <v>mét</v>
      </c>
      <c r="H1300" s="329">
        <f>H1297*14</f>
        <v>0</v>
      </c>
      <c r="I1300" s="329">
        <f>VLOOKUP(B1300,DONGIA,DG!$E$6,0)</f>
        <v>142880</v>
      </c>
      <c r="J1300" s="329"/>
      <c r="K1300" s="329">
        <f>VLOOKUP(B1300,DONGIA,DG!$F$6,0)</f>
        <v>0</v>
      </c>
      <c r="L1300" s="329">
        <f>VLOOKUP(B1300,DONGIA,DG!$G$6,0)</f>
        <v>0</v>
      </c>
      <c r="M1300" s="329">
        <f t="shared" ref="M1300:M1318" si="294">$H1300*I1300</f>
        <v>0</v>
      </c>
      <c r="N1300" s="329">
        <f t="shared" ref="N1300:N1318" si="295">$H1300*J1300</f>
        <v>0</v>
      </c>
      <c r="O1300" s="329">
        <f t="shared" ref="O1300:O1318" si="296">$H1300*K1300</f>
        <v>0</v>
      </c>
      <c r="P1300" s="329">
        <f t="shared" ref="P1300:P1318" si="297">$H1300*L1300</f>
        <v>0</v>
      </c>
      <c r="Q1300" s="329"/>
      <c r="S1300" s="332">
        <f t="shared" si="290"/>
        <v>0.73899999999999999</v>
      </c>
      <c r="T1300" s="332">
        <f t="shared" si="292"/>
        <v>0</v>
      </c>
    </row>
    <row r="1301" spans="2:20" hidden="1">
      <c r="B1301" s="332" t="s">
        <v>1937</v>
      </c>
      <c r="C1301" s="333">
        <f t="shared" si="291"/>
        <v>0</v>
      </c>
      <c r="D1301" s="328"/>
      <c r="E1301" s="328">
        <f>VLOOKUP(B1301,DONGIA,DG!$B$6,0)</f>
        <v>0</v>
      </c>
      <c r="F1301" s="329" t="str">
        <f>VLOOKUP(B1301,DONGIA,DG!$C$6,0)</f>
        <v>Cáp điều khiển CVV 4x4,0mm2</v>
      </c>
      <c r="G1301" s="328" t="str">
        <f>VLOOKUP(B1301,DONGIA,DG!$D$6,0)</f>
        <v>mét</v>
      </c>
      <c r="H1301" s="329">
        <f>H1297*2</f>
        <v>0</v>
      </c>
      <c r="I1301" s="329">
        <f>VLOOKUP(B1301,DONGIA,DG!$E$6,0)</f>
        <v>52400</v>
      </c>
      <c r="J1301" s="329"/>
      <c r="K1301" s="329">
        <f>VLOOKUP(B1301,DONGIA,DG!$F$6,0)</f>
        <v>0</v>
      </c>
      <c r="L1301" s="329">
        <f>VLOOKUP(B1301,DONGIA,DG!$G$6,0)</f>
        <v>0</v>
      </c>
      <c r="M1301" s="329">
        <f t="shared" si="294"/>
        <v>0</v>
      </c>
      <c r="N1301" s="329">
        <f t="shared" si="295"/>
        <v>0</v>
      </c>
      <c r="O1301" s="329">
        <f t="shared" si="296"/>
        <v>0</v>
      </c>
      <c r="P1301" s="329">
        <f t="shared" si="297"/>
        <v>0</v>
      </c>
      <c r="Q1301" s="329"/>
      <c r="S1301" s="332">
        <f t="shared" si="290"/>
        <v>3.024</v>
      </c>
      <c r="T1301" s="332">
        <f t="shared" si="292"/>
        <v>0</v>
      </c>
    </row>
    <row r="1302" spans="2:20" hidden="1">
      <c r="B1302" s="332" t="s">
        <v>1119</v>
      </c>
      <c r="C1302" s="333">
        <f t="shared" si="291"/>
        <v>0</v>
      </c>
      <c r="D1302" s="328"/>
      <c r="E1302" s="328" t="str">
        <f>VLOOKUP(B1302,DONGIA,DG!$B$6,0)</f>
        <v>D4.5005</v>
      </c>
      <c r="F1302" s="329" t="str">
        <f>VLOOKUP(B1302,DONGIA,DG!$C$6,0)</f>
        <v>Đầu cosse ép Cu 120mm2</v>
      </c>
      <c r="G1302" s="328" t="str">
        <f>VLOOKUP(B1302,DONGIA,DG!$D$6,0)</f>
        <v>cái</v>
      </c>
      <c r="H1302" s="329">
        <f>H1297*3</f>
        <v>0</v>
      </c>
      <c r="I1302" s="329">
        <f>VLOOKUP(B1302,DONGIA,DG!$E$6,0)</f>
        <v>65000</v>
      </c>
      <c r="J1302" s="329"/>
      <c r="K1302" s="329">
        <f>VLOOKUP(B1302,DONGIA,DG!$F$6,0)</f>
        <v>23226</v>
      </c>
      <c r="L1302" s="329">
        <f>VLOOKUP(B1302,DONGIA,DG!$G$6,0)</f>
        <v>2062</v>
      </c>
      <c r="M1302" s="329">
        <f t="shared" si="294"/>
        <v>0</v>
      </c>
      <c r="N1302" s="329">
        <f t="shared" si="295"/>
        <v>0</v>
      </c>
      <c r="O1302" s="329">
        <f t="shared" si="296"/>
        <v>0</v>
      </c>
      <c r="P1302" s="329">
        <f t="shared" si="297"/>
        <v>0</v>
      </c>
      <c r="Q1302" s="329"/>
      <c r="S1302" s="332">
        <f t="shared" si="290"/>
        <v>0.1</v>
      </c>
      <c r="T1302" s="332">
        <f t="shared" si="292"/>
        <v>0</v>
      </c>
    </row>
    <row r="1303" spans="2:20" hidden="1">
      <c r="B1303" s="332" t="s">
        <v>1113</v>
      </c>
      <c r="C1303" s="333">
        <f t="shared" si="291"/>
        <v>0</v>
      </c>
      <c r="D1303" s="328"/>
      <c r="E1303" s="328" t="str">
        <f>VLOOKUP(B1303,DONGIA,DG!$B$6,0)</f>
        <v>D4.5003</v>
      </c>
      <c r="F1303" s="329" t="str">
        <f>VLOOKUP(B1303,DONGIA,DG!$C$6,0)</f>
        <v>Đầu cosse ép Cu 70mm2</v>
      </c>
      <c r="G1303" s="328" t="str">
        <f>VLOOKUP(B1303,DONGIA,DG!$D$6,0)</f>
        <v>cái</v>
      </c>
      <c r="H1303" s="329">
        <f>H1297</f>
        <v>0</v>
      </c>
      <c r="I1303" s="329">
        <f>VLOOKUP(B1303,DONGIA,DG!$E$6,0)</f>
        <v>33000</v>
      </c>
      <c r="J1303" s="329"/>
      <c r="K1303" s="329">
        <f>VLOOKUP(B1303,DONGIA,DG!$F$6,0)</f>
        <v>14194</v>
      </c>
      <c r="L1303" s="329">
        <f>VLOOKUP(B1303,DONGIA,DG!$G$6,0)</f>
        <v>1767</v>
      </c>
      <c r="M1303" s="329">
        <f t="shared" si="294"/>
        <v>0</v>
      </c>
      <c r="N1303" s="329">
        <f t="shared" si="295"/>
        <v>0</v>
      </c>
      <c r="O1303" s="329">
        <f t="shared" si="296"/>
        <v>0</v>
      </c>
      <c r="P1303" s="329">
        <f t="shared" si="297"/>
        <v>0</v>
      </c>
      <c r="Q1303" s="329"/>
      <c r="S1303" s="332">
        <f t="shared" si="290"/>
        <v>0.2</v>
      </c>
      <c r="T1303" s="332">
        <f t="shared" si="292"/>
        <v>0</v>
      </c>
    </row>
    <row r="1304" spans="2:20" hidden="1">
      <c r="B1304" s="332" t="s">
        <v>1151</v>
      </c>
      <c r="C1304" s="333">
        <f t="shared" si="291"/>
        <v>0</v>
      </c>
      <c r="D1304" s="328"/>
      <c r="E1304" s="328">
        <f>VLOOKUP(B1304,DONGIA,DG!$B$6,0)</f>
        <v>0</v>
      </c>
      <c r="F1304" s="329" t="str">
        <f>VLOOKUP(B1304,DONGIA,DG!$C$6,0)</f>
        <v>Chụp đầu cosse  120mm2</v>
      </c>
      <c r="G1304" s="328" t="str">
        <f>VLOOKUP(B1304,DONGIA,DG!$D$6,0)</f>
        <v>cái</v>
      </c>
      <c r="H1304" s="329">
        <f>H1302</f>
        <v>0</v>
      </c>
      <c r="I1304" s="329">
        <f>VLOOKUP(B1304,DONGIA,DG!$E$6,0)</f>
        <v>3500</v>
      </c>
      <c r="J1304" s="329"/>
      <c r="K1304" s="329">
        <f>VLOOKUP(B1304,DONGIA,DG!$F$6,0)</f>
        <v>0</v>
      </c>
      <c r="L1304" s="329">
        <f>VLOOKUP(B1304,DONGIA,DG!$G$6,0)</f>
        <v>0</v>
      </c>
      <c r="M1304" s="329">
        <f t="shared" si="294"/>
        <v>0</v>
      </c>
      <c r="N1304" s="329">
        <f t="shared" si="295"/>
        <v>0</v>
      </c>
      <c r="O1304" s="329">
        <f t="shared" si="296"/>
        <v>0</v>
      </c>
      <c r="P1304" s="329">
        <f t="shared" si="297"/>
        <v>0</v>
      </c>
      <c r="Q1304" s="329"/>
      <c r="S1304" s="332">
        <f t="shared" si="290"/>
        <v>0</v>
      </c>
      <c r="T1304" s="332">
        <f t="shared" si="292"/>
        <v>0</v>
      </c>
    </row>
    <row r="1305" spans="2:20" hidden="1">
      <c r="B1305" s="332" t="s">
        <v>1147</v>
      </c>
      <c r="C1305" s="333">
        <f t="shared" si="291"/>
        <v>0</v>
      </c>
      <c r="D1305" s="328"/>
      <c r="E1305" s="328">
        <f>VLOOKUP(B1305,DONGIA,DG!$B$6,0)</f>
        <v>0</v>
      </c>
      <c r="F1305" s="329" t="str">
        <f>VLOOKUP(B1305,DONGIA,DG!$C$6,0)</f>
        <v>Chụp đầu cosse  70mm2</v>
      </c>
      <c r="G1305" s="328" t="str">
        <f>VLOOKUP(B1305,DONGIA,DG!$D$6,0)</f>
        <v>cái</v>
      </c>
      <c r="H1305" s="329">
        <f>H1303</f>
        <v>0</v>
      </c>
      <c r="I1305" s="329">
        <f>VLOOKUP(B1305,DONGIA,DG!$E$6,0)</f>
        <v>2000</v>
      </c>
      <c r="J1305" s="329"/>
      <c r="K1305" s="329">
        <f>VLOOKUP(B1305,DONGIA,DG!$F$6,0)</f>
        <v>0</v>
      </c>
      <c r="L1305" s="329">
        <f>VLOOKUP(B1305,DONGIA,DG!$G$6,0)</f>
        <v>0</v>
      </c>
      <c r="M1305" s="329">
        <f t="shared" si="294"/>
        <v>0</v>
      </c>
      <c r="N1305" s="329">
        <f t="shared" si="295"/>
        <v>0</v>
      </c>
      <c r="O1305" s="329">
        <f t="shared" si="296"/>
        <v>0</v>
      </c>
      <c r="P1305" s="329">
        <f t="shared" si="297"/>
        <v>0</v>
      </c>
      <c r="Q1305" s="329"/>
      <c r="S1305" s="332">
        <f t="shared" si="290"/>
        <v>0</v>
      </c>
      <c r="T1305" s="332">
        <f t="shared" si="292"/>
        <v>0</v>
      </c>
    </row>
    <row r="1306" spans="2:20" hidden="1">
      <c r="B1306" s="332" t="s">
        <v>1177</v>
      </c>
      <c r="C1306" s="333">
        <f t="shared" si="291"/>
        <v>0</v>
      </c>
      <c r="D1306" s="328"/>
      <c r="E1306" s="328">
        <f>VLOOKUP(B1306,DONGIA,DG!$B$6,0)</f>
        <v>0</v>
      </c>
      <c r="F1306" s="329" t="str">
        <f>VLOOKUP(B1306,DONGIA,DG!$C$6,0)</f>
        <v xml:space="preserve">Ống PVC D90x3,8mm </v>
      </c>
      <c r="G1306" s="328" t="str">
        <f>VLOOKUP(B1306,DONGIA,DG!$D$6,0)</f>
        <v>m</v>
      </c>
      <c r="H1306" s="329"/>
      <c r="I1306" s="329">
        <f>VLOOKUP(B1306,DONGIA,DG!$E$6,0)</f>
        <v>57000</v>
      </c>
      <c r="J1306" s="329"/>
      <c r="K1306" s="329">
        <f>VLOOKUP(B1306,DONGIA,DG!$F$6,0)</f>
        <v>0</v>
      </c>
      <c r="L1306" s="329">
        <f>VLOOKUP(B1306,DONGIA,DG!$G$6,0)</f>
        <v>0</v>
      </c>
      <c r="M1306" s="329">
        <f t="shared" si="294"/>
        <v>0</v>
      </c>
      <c r="N1306" s="329">
        <f t="shared" si="295"/>
        <v>0</v>
      </c>
      <c r="O1306" s="329">
        <f t="shared" si="296"/>
        <v>0</v>
      </c>
      <c r="P1306" s="329">
        <f t="shared" si="297"/>
        <v>0</v>
      </c>
      <c r="Q1306" s="329"/>
      <c r="S1306" s="332">
        <f t="shared" si="290"/>
        <v>2</v>
      </c>
      <c r="T1306" s="332">
        <f t="shared" si="292"/>
        <v>0</v>
      </c>
    </row>
    <row r="1307" spans="2:20" hidden="1">
      <c r="B1307" s="332" t="s">
        <v>455</v>
      </c>
      <c r="C1307" s="333">
        <f t="shared" si="291"/>
        <v>0</v>
      </c>
      <c r="D1307" s="328"/>
      <c r="E1307" s="328">
        <f>VLOOKUP(B1307,DONGIA,DG!$B$6,0)</f>
        <v>0</v>
      </c>
      <c r="F1307" s="329" t="str">
        <f>VLOOKUP(B1307,DONGIA,DG!$C$6,0)</f>
        <v>Cổ dê kẹp ống PVC φ 90 (có giá nới)</v>
      </c>
      <c r="G1307" s="328" t="str">
        <f>VLOOKUP(B1307,DONGIA,DG!$D$6,0)</f>
        <v>bộ</v>
      </c>
      <c r="H1307" s="329"/>
      <c r="I1307" s="329">
        <f>VLOOKUP(B1307,DONGIA,DG!$E$6,0)</f>
        <v>60000</v>
      </c>
      <c r="J1307" s="329"/>
      <c r="K1307" s="329"/>
      <c r="L1307" s="329">
        <f>VLOOKUP(B1307,DONGIA,DG!$G$6,0)</f>
        <v>0</v>
      </c>
      <c r="M1307" s="329">
        <f t="shared" si="294"/>
        <v>0</v>
      </c>
      <c r="N1307" s="329">
        <f t="shared" si="295"/>
        <v>0</v>
      </c>
      <c r="O1307" s="329">
        <f t="shared" si="296"/>
        <v>0</v>
      </c>
      <c r="P1307" s="329">
        <f t="shared" si="297"/>
        <v>0</v>
      </c>
      <c r="Q1307" s="329"/>
      <c r="S1307" s="332">
        <f t="shared" si="290"/>
        <v>1.5</v>
      </c>
      <c r="T1307" s="332">
        <f t="shared" si="292"/>
        <v>0</v>
      </c>
    </row>
    <row r="1308" spans="2:20" hidden="1">
      <c r="B1308" s="332" t="s">
        <v>455</v>
      </c>
      <c r="C1308" s="333">
        <f t="shared" si="291"/>
        <v>0</v>
      </c>
      <c r="D1308" s="328"/>
      <c r="E1308" s="328">
        <f>VLOOKUP(B1308,DONGIA,DG!$B$6,0)</f>
        <v>0</v>
      </c>
      <c r="F1308" s="329" t="str">
        <f>VLOOKUP(B1308,DONGIA,DG!$C$6,0)</f>
        <v>Cổ dê kẹp ống PVC φ 90 (có giá nới)</v>
      </c>
      <c r="G1308" s="328" t="str">
        <f>VLOOKUP(B1308,DONGIA,DG!$D$6,0)</f>
        <v>bộ</v>
      </c>
      <c r="H1308" s="329"/>
      <c r="I1308" s="329">
        <f>VLOOKUP(B1308,DONGIA,DG!$E$6,0)</f>
        <v>60000</v>
      </c>
      <c r="J1308" s="329"/>
      <c r="K1308" s="329"/>
      <c r="L1308" s="329">
        <f>VLOOKUP(B1308,DONGIA,DG!$G$6,0)</f>
        <v>0</v>
      </c>
      <c r="M1308" s="329">
        <f t="shared" si="294"/>
        <v>0</v>
      </c>
      <c r="N1308" s="329">
        <f t="shared" si="295"/>
        <v>0</v>
      </c>
      <c r="O1308" s="329">
        <f t="shared" si="296"/>
        <v>0</v>
      </c>
      <c r="P1308" s="329">
        <f t="shared" si="297"/>
        <v>0</v>
      </c>
      <c r="Q1308" s="329"/>
      <c r="S1308" s="332">
        <f t="shared" si="290"/>
        <v>1.5</v>
      </c>
      <c r="T1308" s="332">
        <f t="shared" si="292"/>
        <v>0</v>
      </c>
    </row>
    <row r="1309" spans="2:20" hidden="1">
      <c r="B1309" s="332" t="s">
        <v>455</v>
      </c>
      <c r="C1309" s="333">
        <f t="shared" si="291"/>
        <v>0</v>
      </c>
      <c r="D1309" s="328"/>
      <c r="E1309" s="328">
        <f>VLOOKUP(B1309,DONGIA,DG!$B$6,0)</f>
        <v>0</v>
      </c>
      <c r="F1309" s="329" t="str">
        <f>VLOOKUP(B1309,DONGIA,DG!$C$6,0)</f>
        <v>Cổ dê kẹp ống PVC φ 90 (có giá nới)</v>
      </c>
      <c r="G1309" s="328" t="str">
        <f>VLOOKUP(B1309,DONGIA,DG!$D$6,0)</f>
        <v>bộ</v>
      </c>
      <c r="H1309" s="329"/>
      <c r="I1309" s="329">
        <f>VLOOKUP(B1309,DONGIA,DG!$E$6,0)</f>
        <v>60000</v>
      </c>
      <c r="J1309" s="329"/>
      <c r="K1309" s="329"/>
      <c r="L1309" s="329">
        <f>VLOOKUP(B1309,DONGIA,DG!$G$6,0)</f>
        <v>0</v>
      </c>
      <c r="M1309" s="329">
        <f t="shared" si="294"/>
        <v>0</v>
      </c>
      <c r="N1309" s="329">
        <f t="shared" si="295"/>
        <v>0</v>
      </c>
      <c r="O1309" s="329">
        <f t="shared" si="296"/>
        <v>0</v>
      </c>
      <c r="P1309" s="329">
        <f t="shared" si="297"/>
        <v>0</v>
      </c>
      <c r="Q1309" s="329"/>
      <c r="S1309" s="332">
        <f t="shared" si="290"/>
        <v>1.5</v>
      </c>
      <c r="T1309" s="332">
        <f t="shared" si="292"/>
        <v>0</v>
      </c>
    </row>
    <row r="1310" spans="2:20" hidden="1">
      <c r="B1310" s="332" t="s">
        <v>1183</v>
      </c>
      <c r="C1310" s="333">
        <f t="shared" si="291"/>
        <v>0</v>
      </c>
      <c r="D1310" s="328"/>
      <c r="E1310" s="328">
        <f>VLOOKUP(B1310,DONGIA,DG!$B$6,0)</f>
        <v>0</v>
      </c>
      <c r="F1310" s="329" t="str">
        <f>VLOOKUP(B1310,DONGIA,DG!$C$6,0)</f>
        <v>Co  90 độ PVC 90</v>
      </c>
      <c r="G1310" s="328" t="str">
        <f>VLOOKUP(B1310,DONGIA,DG!$D$6,0)</f>
        <v>cái</v>
      </c>
      <c r="H1310" s="329">
        <f>H1297</f>
        <v>0</v>
      </c>
      <c r="I1310" s="329">
        <f>VLOOKUP(B1310,DONGIA,DG!$E$6,0)</f>
        <v>45400</v>
      </c>
      <c r="J1310" s="329"/>
      <c r="K1310" s="329">
        <f>VLOOKUP(B1310,DONGIA,DG!$F$6,0)</f>
        <v>0</v>
      </c>
      <c r="L1310" s="329">
        <f>VLOOKUP(B1310,DONGIA,DG!$G$6,0)</f>
        <v>0</v>
      </c>
      <c r="M1310" s="329">
        <f t="shared" si="294"/>
        <v>0</v>
      </c>
      <c r="N1310" s="329">
        <f t="shared" si="295"/>
        <v>0</v>
      </c>
      <c r="O1310" s="329">
        <f t="shared" si="296"/>
        <v>0</v>
      </c>
      <c r="P1310" s="329">
        <f t="shared" si="297"/>
        <v>0</v>
      </c>
      <c r="Q1310" s="329"/>
      <c r="S1310" s="332">
        <f t="shared" si="290"/>
        <v>0</v>
      </c>
      <c r="T1310" s="332">
        <f t="shared" si="292"/>
        <v>0</v>
      </c>
    </row>
    <row r="1311" spans="2:20" hidden="1">
      <c r="B1311" s="332" t="s">
        <v>1940</v>
      </c>
      <c r="C1311" s="333">
        <f t="shared" si="291"/>
        <v>0</v>
      </c>
      <c r="D1311" s="328"/>
      <c r="E1311" s="328">
        <f>VLOOKUP(B1311,DONGIA,DG!$B$6,0)</f>
        <v>0</v>
      </c>
      <c r="F1311" s="329" t="str">
        <f>VLOOKUP(B1311,DONGIA,DG!$C$6,0)</f>
        <v>Nối giảm PVC 114-90</v>
      </c>
      <c r="G1311" s="328" t="str">
        <f>VLOOKUP(B1311,DONGIA,DG!$D$6,0)</f>
        <v>cái</v>
      </c>
      <c r="H1311" s="329"/>
      <c r="I1311" s="329">
        <f>VLOOKUP(B1311,DONGIA,DG!$E$6,0)</f>
        <v>52800</v>
      </c>
      <c r="J1311" s="329"/>
      <c r="K1311" s="329">
        <f>VLOOKUP(B1311,DONGIA,DG!$F$6,0)</f>
        <v>0</v>
      </c>
      <c r="L1311" s="329">
        <f>VLOOKUP(B1311,DONGIA,DG!$G$6,0)</f>
        <v>0</v>
      </c>
      <c r="M1311" s="329">
        <f t="shared" si="294"/>
        <v>0</v>
      </c>
      <c r="N1311" s="329">
        <f t="shared" si="295"/>
        <v>0</v>
      </c>
      <c r="O1311" s="329">
        <f t="shared" si="296"/>
        <v>0</v>
      </c>
      <c r="P1311" s="329">
        <f t="shared" si="297"/>
        <v>0</v>
      </c>
      <c r="Q1311" s="329"/>
      <c r="S1311" s="332">
        <f t="shared" si="290"/>
        <v>0</v>
      </c>
      <c r="T1311" s="332">
        <f t="shared" si="292"/>
        <v>0</v>
      </c>
    </row>
    <row r="1312" spans="2:20" hidden="1">
      <c r="B1312" s="332" t="s">
        <v>1181</v>
      </c>
      <c r="C1312" s="333">
        <f t="shared" si="291"/>
        <v>0</v>
      </c>
      <c r="D1312" s="328"/>
      <c r="E1312" s="328">
        <f>VLOOKUP(B1312,DONGIA,DG!$B$6,0)</f>
        <v>0</v>
      </c>
      <c r="F1312" s="329" t="str">
        <f>VLOOKUP(B1312,DONGIA,DG!$C$6,0)</f>
        <v>Co 135 độ PVC 90</v>
      </c>
      <c r="G1312" s="328" t="str">
        <f>VLOOKUP(B1312,DONGIA,DG!$D$6,0)</f>
        <v>cái</v>
      </c>
      <c r="H1312" s="329">
        <f>H1297</f>
        <v>0</v>
      </c>
      <c r="I1312" s="329">
        <f>VLOOKUP(B1312,DONGIA,DG!$E$6,0)</f>
        <v>34800</v>
      </c>
      <c r="J1312" s="329"/>
      <c r="K1312" s="329">
        <f>VLOOKUP(B1312,DONGIA,DG!$F$6,0)</f>
        <v>0</v>
      </c>
      <c r="L1312" s="329">
        <f>VLOOKUP(B1312,DONGIA,DG!$G$6,0)</f>
        <v>0</v>
      </c>
      <c r="M1312" s="329">
        <f t="shared" si="294"/>
        <v>0</v>
      </c>
      <c r="N1312" s="329">
        <f t="shared" si="295"/>
        <v>0</v>
      </c>
      <c r="O1312" s="329">
        <f t="shared" si="296"/>
        <v>0</v>
      </c>
      <c r="P1312" s="329">
        <f t="shared" si="297"/>
        <v>0</v>
      </c>
      <c r="Q1312" s="329"/>
      <c r="S1312" s="332">
        <f t="shared" si="290"/>
        <v>0</v>
      </c>
      <c r="T1312" s="332">
        <f t="shared" si="292"/>
        <v>0</v>
      </c>
    </row>
    <row r="1313" spans="2:20" hidden="1">
      <c r="B1313" s="332" t="s">
        <v>1914</v>
      </c>
      <c r="C1313" s="333">
        <f t="shared" si="291"/>
        <v>0</v>
      </c>
      <c r="D1313" s="328"/>
      <c r="E1313" s="328">
        <f>VLOOKUP(B1313,DONGIA,DG!$B$6,0)</f>
        <v>0</v>
      </c>
      <c r="F1313" s="329" t="str">
        <f>VLOOKUP(B1313,DONGIA,DG!$C$6,0)</f>
        <v>Keo dán ống PVC (100gr)</v>
      </c>
      <c r="G1313" s="328" t="str">
        <f>VLOOKUP(B1313,DONGIA,DG!$D$6,0)</f>
        <v>tuýp</v>
      </c>
      <c r="H1313" s="329">
        <f>H1297</f>
        <v>0</v>
      </c>
      <c r="I1313" s="329">
        <f>VLOOKUP(B1313,DONGIA,DG!$E$6,0)</f>
        <v>11500</v>
      </c>
      <c r="J1313" s="329"/>
      <c r="K1313" s="329">
        <f>VLOOKUP(B1313,DONGIA,DG!$F$6,0)</f>
        <v>0</v>
      </c>
      <c r="L1313" s="329">
        <f>VLOOKUP(B1313,DONGIA,DG!$G$6,0)</f>
        <v>0</v>
      </c>
      <c r="M1313" s="329">
        <f t="shared" si="294"/>
        <v>0</v>
      </c>
      <c r="N1313" s="329">
        <f t="shared" si="295"/>
        <v>0</v>
      </c>
      <c r="O1313" s="329">
        <f t="shared" si="296"/>
        <v>0</v>
      </c>
      <c r="P1313" s="329">
        <f t="shared" si="297"/>
        <v>0</v>
      </c>
      <c r="Q1313" s="329"/>
      <c r="S1313" s="332">
        <f t="shared" si="290"/>
        <v>0</v>
      </c>
      <c r="T1313" s="332">
        <f t="shared" si="292"/>
        <v>0</v>
      </c>
    </row>
    <row r="1314" spans="2:20" hidden="1">
      <c r="B1314" s="332" t="s">
        <v>1195</v>
      </c>
      <c r="C1314" s="333">
        <f t="shared" si="291"/>
        <v>0</v>
      </c>
      <c r="D1314" s="328"/>
      <c r="E1314" s="328">
        <f>VLOOKUP(B1314,DONGIA,DG!$B$6,0)</f>
        <v>0</v>
      </c>
      <c r="F1314" s="329" t="str">
        <f>VLOOKUP(B1314,DONGIA,DG!$C$6,0)</f>
        <v>Keo silicon bít miệng ống</v>
      </c>
      <c r="G1314" s="328" t="str">
        <f>VLOOKUP(B1314,DONGIA,DG!$D$6,0)</f>
        <v>ống</v>
      </c>
      <c r="H1314" s="329">
        <f>H1297</f>
        <v>0</v>
      </c>
      <c r="I1314" s="329">
        <f>VLOOKUP(B1314,DONGIA,DG!$E$6,0)</f>
        <v>45000</v>
      </c>
      <c r="J1314" s="329"/>
      <c r="K1314" s="329">
        <f>VLOOKUP(B1314,DONGIA,DG!$F$6,0)</f>
        <v>0</v>
      </c>
      <c r="L1314" s="329">
        <f>VLOOKUP(B1314,DONGIA,DG!$G$6,0)</f>
        <v>0</v>
      </c>
      <c r="M1314" s="329">
        <f t="shared" si="294"/>
        <v>0</v>
      </c>
      <c r="N1314" s="329">
        <f t="shared" si="295"/>
        <v>0</v>
      </c>
      <c r="O1314" s="329">
        <f t="shared" si="296"/>
        <v>0</v>
      </c>
      <c r="P1314" s="329">
        <f t="shared" si="297"/>
        <v>0</v>
      </c>
      <c r="Q1314" s="329"/>
      <c r="S1314" s="332">
        <f t="shared" si="290"/>
        <v>0</v>
      </c>
      <c r="T1314" s="332">
        <f t="shared" si="292"/>
        <v>0</v>
      </c>
    </row>
    <row r="1315" spans="2:20" hidden="1">
      <c r="B1315" s="332" t="s">
        <v>1193</v>
      </c>
      <c r="C1315" s="333">
        <f t="shared" si="291"/>
        <v>0</v>
      </c>
      <c r="D1315" s="328"/>
      <c r="E1315" s="328">
        <f>VLOOKUP(B1315,DONGIA,DG!$B$6,0)</f>
        <v>0</v>
      </c>
      <c r="F1315" s="329" t="str">
        <f>VLOOKUP(B1315,DONGIA,DG!$C$6,0)</f>
        <v>Băng keo cách điện</v>
      </c>
      <c r="G1315" s="328" t="str">
        <f>VLOOKUP(B1315,DONGIA,DG!$D$6,0)</f>
        <v>cuộn</v>
      </c>
      <c r="H1315" s="329"/>
      <c r="I1315" s="329">
        <f>VLOOKUP(B1315,DONGIA,DG!$E$6,0)</f>
        <v>6500</v>
      </c>
      <c r="J1315" s="329"/>
      <c r="K1315" s="329">
        <f>VLOOKUP(B1315,DONGIA,DG!$F$6,0)</f>
        <v>0</v>
      </c>
      <c r="L1315" s="329">
        <f>VLOOKUP(B1315,DONGIA,DG!$G$6,0)</f>
        <v>0</v>
      </c>
      <c r="M1315" s="329">
        <f t="shared" si="294"/>
        <v>0</v>
      </c>
      <c r="N1315" s="329">
        <f t="shared" si="295"/>
        <v>0</v>
      </c>
      <c r="O1315" s="329">
        <f t="shared" si="296"/>
        <v>0</v>
      </c>
      <c r="P1315" s="329">
        <f t="shared" si="297"/>
        <v>0</v>
      </c>
      <c r="Q1315" s="329"/>
      <c r="S1315" s="332">
        <f t="shared" si="290"/>
        <v>0</v>
      </c>
      <c r="T1315" s="332">
        <f t="shared" si="292"/>
        <v>0</v>
      </c>
    </row>
    <row r="1316" spans="2:20" hidden="1">
      <c r="B1316" s="332" t="s">
        <v>855</v>
      </c>
      <c r="C1316" s="333">
        <f t="shared" si="291"/>
        <v>0</v>
      </c>
      <c r="D1316" s="328"/>
      <c r="E1316" s="328" t="str">
        <f>VLOOKUP(B1316,DONGIA,DG!$B$6,0)</f>
        <v>T4.8003</v>
      </c>
      <c r="F1316" s="329" t="str">
        <f>VLOOKUP(B1316,DONGIA,DG!$C$6,0)</f>
        <v>Lắp ống nhựa PVC D90</v>
      </c>
      <c r="G1316" s="328" t="str">
        <f>VLOOKUP(B1316,DONGIA,DG!$D$6,0)</f>
        <v>mét</v>
      </c>
      <c r="H1316" s="329">
        <f>H1306</f>
        <v>0</v>
      </c>
      <c r="I1316" s="329">
        <f>VLOOKUP(B1316,DONGIA,DG!$E$6,0)</f>
        <v>0</v>
      </c>
      <c r="J1316" s="329"/>
      <c r="K1316" s="329">
        <f>VLOOKUP(B1316,DONGIA,DG!$F$6,0)</f>
        <v>35541</v>
      </c>
      <c r="L1316" s="329">
        <f>VLOOKUP(B1316,DONGIA,DG!$G$6,0)</f>
        <v>0</v>
      </c>
      <c r="M1316" s="329">
        <f t="shared" si="294"/>
        <v>0</v>
      </c>
      <c r="N1316" s="329">
        <f t="shared" si="295"/>
        <v>0</v>
      </c>
      <c r="O1316" s="329">
        <f t="shared" si="296"/>
        <v>0</v>
      </c>
      <c r="P1316" s="329">
        <f t="shared" si="297"/>
        <v>0</v>
      </c>
      <c r="Q1316" s="329"/>
      <c r="S1316" s="332">
        <f t="shared" si="290"/>
        <v>0</v>
      </c>
      <c r="T1316" s="332">
        <f t="shared" si="292"/>
        <v>0</v>
      </c>
    </row>
    <row r="1317" spans="2:20" hidden="1">
      <c r="B1317" s="332" t="s">
        <v>1939</v>
      </c>
      <c r="C1317" s="333">
        <f t="shared" si="291"/>
        <v>0</v>
      </c>
      <c r="D1317" s="328"/>
      <c r="E1317" s="328" t="str">
        <f>VLOOKUP(B1317,DONGIA,DG!$B$6,0)</f>
        <v>T4.4201</v>
      </c>
      <c r="F1317" s="329" t="str">
        <f>VLOOKUP(B1317,DONGIA,DG!$C$6,0)</f>
        <v>Lắp cáp đồng xuống thiết bị D ≤ 95mm2</v>
      </c>
      <c r="G1317" s="328" t="str">
        <f>VLOOKUP(B1317,DONGIA,DG!$D$6,0)</f>
        <v>m</v>
      </c>
      <c r="H1317" s="329">
        <f>H1300</f>
        <v>0</v>
      </c>
      <c r="I1317" s="329">
        <f>VLOOKUP(B1317,DONGIA,DG!$E$6,0)</f>
        <v>0</v>
      </c>
      <c r="J1317" s="329"/>
      <c r="K1317" s="329">
        <f>VLOOKUP(B1317,DONGIA,DG!$F$6,0)</f>
        <v>11847</v>
      </c>
      <c r="L1317" s="329">
        <f>VLOOKUP(B1317,DONGIA,DG!$G$6,0)</f>
        <v>0</v>
      </c>
      <c r="M1317" s="329">
        <f t="shared" si="294"/>
        <v>0</v>
      </c>
      <c r="N1317" s="329">
        <f t="shared" si="295"/>
        <v>0</v>
      </c>
      <c r="O1317" s="329">
        <f t="shared" si="296"/>
        <v>0</v>
      </c>
      <c r="P1317" s="329">
        <f t="shared" si="297"/>
        <v>0</v>
      </c>
      <c r="Q1317" s="329"/>
      <c r="S1317" s="332">
        <f t="shared" si="290"/>
        <v>0</v>
      </c>
      <c r="T1317" s="332">
        <f t="shared" si="292"/>
        <v>0</v>
      </c>
    </row>
    <row r="1318" spans="2:20" hidden="1">
      <c r="B1318" s="332" t="s">
        <v>2063</v>
      </c>
      <c r="C1318" s="333">
        <f t="shared" si="291"/>
        <v>0</v>
      </c>
      <c r="D1318" s="328"/>
      <c r="E1318" s="328" t="str">
        <f>VLOOKUP(B1318,DONGIA,DG!$B$6,0)</f>
        <v>T4.4202</v>
      </c>
      <c r="F1318" s="329" t="str">
        <f>VLOOKUP(B1318,DONGIA,DG!$C$6,0)</f>
        <v>Lắp cáp đồng xuống thiết bị D ≤ 150mm2</v>
      </c>
      <c r="G1318" s="328" t="str">
        <f>VLOOKUP(B1318,DONGIA,DG!$D$6,0)</f>
        <v>m</v>
      </c>
      <c r="H1318" s="329">
        <f>H1299</f>
        <v>0</v>
      </c>
      <c r="I1318" s="329"/>
      <c r="J1318" s="329"/>
      <c r="K1318" s="329">
        <f>VLOOKUP(B1318,DONGIA,DG!$F$6,0)</f>
        <v>28433</v>
      </c>
      <c r="L1318" s="329">
        <f>VLOOKUP(B1318,DONGIA,DG!$G$6,0)</f>
        <v>0</v>
      </c>
      <c r="M1318" s="329">
        <f t="shared" si="294"/>
        <v>0</v>
      </c>
      <c r="N1318" s="329">
        <f t="shared" si="295"/>
        <v>0</v>
      </c>
      <c r="O1318" s="329">
        <f t="shared" si="296"/>
        <v>0</v>
      </c>
      <c r="P1318" s="329">
        <f t="shared" si="297"/>
        <v>0</v>
      </c>
      <c r="Q1318" s="329"/>
      <c r="S1318" s="332">
        <f t="shared" si="290"/>
        <v>0</v>
      </c>
      <c r="T1318" s="332">
        <f t="shared" si="292"/>
        <v>0</v>
      </c>
    </row>
    <row r="1319" spans="2:20" hidden="1">
      <c r="C1319" s="333">
        <f t="shared" si="291"/>
        <v>0</v>
      </c>
      <c r="D1319" s="372">
        <f>IF(H1319&lt;&gt;0,D1297+1,D1297)</f>
        <v>0</v>
      </c>
      <c r="E1319" s="372"/>
      <c r="F1319" s="373" t="s">
        <v>1938</v>
      </c>
      <c r="G1319" s="372" t="s">
        <v>138</v>
      </c>
      <c r="H1319" s="372">
        <f>TRNC3X50*2</f>
        <v>0</v>
      </c>
      <c r="I1319" s="373"/>
      <c r="J1319" s="373"/>
      <c r="K1319" s="373"/>
      <c r="L1319" s="373"/>
      <c r="M1319" s="373"/>
      <c r="N1319" s="373"/>
      <c r="O1319" s="373"/>
      <c r="P1319" s="373"/>
      <c r="Q1319" s="373"/>
      <c r="S1319" s="332">
        <f t="shared" ref="S1319:S1350" si="298">IFERROR(VLOOKUP(B1319,DONGIA,$S$25,0),0)</f>
        <v>0</v>
      </c>
      <c r="T1319" s="332">
        <f t="shared" si="292"/>
        <v>0</v>
      </c>
    </row>
    <row r="1320" spans="2:20" s="361" customFormat="1" hidden="1">
      <c r="C1320" s="374">
        <f t="shared" ref="C1320:C1343" si="299">IF(H1320&lt;&gt;0,1,)</f>
        <v>0</v>
      </c>
      <c r="D1320" s="350"/>
      <c r="E1320" s="350"/>
      <c r="F1320" s="351" t="s">
        <v>1902</v>
      </c>
      <c r="G1320" s="350"/>
      <c r="H1320" s="351"/>
      <c r="I1320" s="351"/>
      <c r="J1320" s="351"/>
      <c r="K1320" s="351"/>
      <c r="L1320" s="351"/>
      <c r="M1320" s="351"/>
      <c r="N1320" s="351"/>
      <c r="O1320" s="351"/>
      <c r="P1320" s="351"/>
      <c r="Q1320" s="351"/>
      <c r="S1320" s="361">
        <f t="shared" si="298"/>
        <v>0</v>
      </c>
      <c r="T1320" s="361">
        <f t="shared" ref="T1320:T1344" si="300">H1320*S1320</f>
        <v>0</v>
      </c>
    </row>
    <row r="1321" spans="2:20" hidden="1">
      <c r="B1321" s="332" t="s">
        <v>1742</v>
      </c>
      <c r="C1321" s="333">
        <f t="shared" si="299"/>
        <v>0</v>
      </c>
      <c r="D1321" s="328"/>
      <c r="E1321" s="328">
        <f>VLOOKUP(B1321,DONGIA,DG!$B$6,0)</f>
        <v>0</v>
      </c>
      <c r="F1321" s="329" t="str">
        <f>VLOOKUP(B1321,DONGIA,DG!$C$6,0)</f>
        <v>Cáp đồng bọc CV95</v>
      </c>
      <c r="G1321" s="328" t="str">
        <f>VLOOKUP(B1321,DONGIA,DG!$D$6,0)</f>
        <v>mét</v>
      </c>
      <c r="H1321" s="329"/>
      <c r="I1321" s="329">
        <f>VLOOKUP(B1321,DONGIA,DG!$E$6,0)</f>
        <v>196130</v>
      </c>
      <c r="J1321" s="329"/>
      <c r="K1321" s="329">
        <f>VLOOKUP(B1321,DONGIA,DG!$F$6,0)</f>
        <v>0</v>
      </c>
      <c r="L1321" s="329">
        <f>VLOOKUP(B1321,DONGIA,DG!$G$6,0)</f>
        <v>0</v>
      </c>
      <c r="M1321" s="329">
        <f>$H1321*I1321</f>
        <v>0</v>
      </c>
      <c r="N1321" s="329">
        <f>$H1321*J1321</f>
        <v>0</v>
      </c>
      <c r="O1321" s="329">
        <f>$H1321*K1321</f>
        <v>0</v>
      </c>
      <c r="P1321" s="329">
        <f>$H1321*L1321</f>
        <v>0</v>
      </c>
      <c r="Q1321" s="329"/>
      <c r="S1321" s="332">
        <f t="shared" si="298"/>
        <v>1.008</v>
      </c>
      <c r="T1321" s="332">
        <f t="shared" si="300"/>
        <v>0</v>
      </c>
    </row>
    <row r="1322" spans="2:20" hidden="1">
      <c r="B1322" s="332" t="s">
        <v>1907</v>
      </c>
      <c r="C1322" s="333">
        <f t="shared" si="299"/>
        <v>0</v>
      </c>
      <c r="D1322" s="328"/>
      <c r="E1322" s="328">
        <f>VLOOKUP(B1322,DONGIA,DG!$B$6,0)</f>
        <v>0</v>
      </c>
      <c r="F1322" s="329" t="str">
        <f>VLOOKUP(B1322,DONGIA,DG!$C$6,0)</f>
        <v>Cáp đồng bọc CV70</v>
      </c>
      <c r="G1322" s="328" t="str">
        <f>VLOOKUP(B1322,DONGIA,DG!$D$6,0)</f>
        <v>mét</v>
      </c>
      <c r="H1322" s="329"/>
      <c r="I1322" s="329">
        <f>VLOOKUP(B1322,DONGIA,DG!$E$6,0)</f>
        <v>142880</v>
      </c>
      <c r="J1322" s="329"/>
      <c r="K1322" s="329">
        <f>VLOOKUP(B1322,DONGIA,DG!$F$6,0)</f>
        <v>0</v>
      </c>
      <c r="L1322" s="329">
        <f>VLOOKUP(B1322,DONGIA,DG!$G$6,0)</f>
        <v>0</v>
      </c>
      <c r="M1322" s="329">
        <f t="shared" ref="M1322:M1342" si="301">$H1322*I1322</f>
        <v>0</v>
      </c>
      <c r="N1322" s="329">
        <f t="shared" ref="N1322:N1342" si="302">$H1322*J1322</f>
        <v>0</v>
      </c>
      <c r="O1322" s="329">
        <f t="shared" ref="O1322:O1342" si="303">$H1322*K1322</f>
        <v>0</v>
      </c>
      <c r="P1322" s="329">
        <f t="shared" ref="P1322:P1342" si="304">$H1322*L1322</f>
        <v>0</v>
      </c>
      <c r="Q1322" s="329"/>
      <c r="S1322" s="332">
        <f t="shared" si="298"/>
        <v>0.73899999999999999</v>
      </c>
      <c r="T1322" s="332">
        <f t="shared" si="300"/>
        <v>0</v>
      </c>
    </row>
    <row r="1323" spans="2:20" hidden="1">
      <c r="B1323" s="332" t="s">
        <v>1116</v>
      </c>
      <c r="C1323" s="333">
        <f t="shared" si="299"/>
        <v>0</v>
      </c>
      <c r="D1323" s="328"/>
      <c r="E1323" s="328" t="str">
        <f>VLOOKUP(B1323,DONGIA,DG!$B$6,0)</f>
        <v>D4.5004</v>
      </c>
      <c r="F1323" s="329" t="str">
        <f>VLOOKUP(B1323,DONGIA,DG!$C$6,0)</f>
        <v>Đầu cosse ép Cu 95mm2</v>
      </c>
      <c r="G1323" s="328" t="str">
        <f>VLOOKUP(B1323,DONGIA,DG!$D$6,0)</f>
        <v>cái</v>
      </c>
      <c r="H1323" s="329"/>
      <c r="I1323" s="329">
        <f>VLOOKUP(B1323,DONGIA,DG!$E$6,0)</f>
        <v>45000</v>
      </c>
      <c r="J1323" s="329"/>
      <c r="K1323" s="329">
        <f>VLOOKUP(B1323,DONGIA,DG!$F$6,0)</f>
        <v>18065</v>
      </c>
      <c r="L1323" s="329">
        <f>VLOOKUP(B1323,DONGIA,DG!$G$6,0)</f>
        <v>1767</v>
      </c>
      <c r="M1323" s="329">
        <f t="shared" si="301"/>
        <v>0</v>
      </c>
      <c r="N1323" s="329">
        <f t="shared" si="302"/>
        <v>0</v>
      </c>
      <c r="O1323" s="329">
        <f t="shared" si="303"/>
        <v>0</v>
      </c>
      <c r="P1323" s="329">
        <f t="shared" si="304"/>
        <v>0</v>
      </c>
      <c r="Q1323" s="329"/>
      <c r="S1323" s="332">
        <f t="shared" si="298"/>
        <v>0.2</v>
      </c>
      <c r="T1323" s="332">
        <f t="shared" si="300"/>
        <v>0</v>
      </c>
    </row>
    <row r="1324" spans="2:20" hidden="1">
      <c r="B1324" s="332" t="s">
        <v>1110</v>
      </c>
      <c r="C1324" s="333">
        <f t="shared" si="299"/>
        <v>0</v>
      </c>
      <c r="D1324" s="328"/>
      <c r="E1324" s="328" t="str">
        <f>VLOOKUP(B1324,DONGIA,DG!$B$6,0)</f>
        <v>D4.5002</v>
      </c>
      <c r="F1324" s="329" t="str">
        <f>VLOOKUP(B1324,DONGIA,DG!$C$6,0)</f>
        <v>Đầu cosse ép Cu 50mm2</v>
      </c>
      <c r="G1324" s="328" t="str">
        <f>VLOOKUP(B1324,DONGIA,DG!$D$6,0)</f>
        <v>cái</v>
      </c>
      <c r="H1324" s="329"/>
      <c r="I1324" s="329">
        <f>VLOOKUP(B1324,DONGIA,DG!$E$6,0)</f>
        <v>23000</v>
      </c>
      <c r="J1324" s="329"/>
      <c r="K1324" s="329">
        <f>VLOOKUP(B1324,DONGIA,DG!$F$6,0)</f>
        <v>9032</v>
      </c>
      <c r="L1324" s="329">
        <f>VLOOKUP(B1324,DONGIA,DG!$G$6,0)</f>
        <v>1473</v>
      </c>
      <c r="M1324" s="329">
        <f t="shared" si="301"/>
        <v>0</v>
      </c>
      <c r="N1324" s="329">
        <f t="shared" si="302"/>
        <v>0</v>
      </c>
      <c r="O1324" s="329">
        <f t="shared" si="303"/>
        <v>0</v>
      </c>
      <c r="P1324" s="329">
        <f t="shared" si="304"/>
        <v>0</v>
      </c>
      <c r="Q1324" s="329"/>
      <c r="S1324" s="332">
        <f t="shared" si="298"/>
        <v>0.1</v>
      </c>
      <c r="T1324" s="332">
        <f t="shared" si="300"/>
        <v>0</v>
      </c>
    </row>
    <row r="1325" spans="2:20" hidden="1">
      <c r="B1325" s="332" t="s">
        <v>1149</v>
      </c>
      <c r="C1325" s="333">
        <f t="shared" si="299"/>
        <v>0</v>
      </c>
      <c r="D1325" s="328"/>
      <c r="E1325" s="328">
        <f>VLOOKUP(B1325,DONGIA,DG!$B$6,0)</f>
        <v>0</v>
      </c>
      <c r="F1325" s="329" t="str">
        <f>VLOOKUP(B1325,DONGIA,DG!$C$6,0)</f>
        <v>Chụp đầu cosse  95mm2</v>
      </c>
      <c r="G1325" s="328" t="str">
        <f>VLOOKUP(B1325,DONGIA,DG!$D$6,0)</f>
        <v>cái</v>
      </c>
      <c r="H1325" s="329">
        <f>H1323</f>
        <v>0</v>
      </c>
      <c r="I1325" s="329">
        <f>VLOOKUP(B1325,DONGIA,DG!$E$6,0)</f>
        <v>3000</v>
      </c>
      <c r="J1325" s="329"/>
      <c r="K1325" s="329">
        <f>VLOOKUP(B1325,DONGIA,DG!$F$6,0)</f>
        <v>0</v>
      </c>
      <c r="L1325" s="329">
        <f>VLOOKUP(B1325,DONGIA,DG!$G$6,0)</f>
        <v>0</v>
      </c>
      <c r="M1325" s="329">
        <f t="shared" si="301"/>
        <v>0</v>
      </c>
      <c r="N1325" s="329">
        <f t="shared" si="302"/>
        <v>0</v>
      </c>
      <c r="O1325" s="329">
        <f t="shared" si="303"/>
        <v>0</v>
      </c>
      <c r="P1325" s="329">
        <f t="shared" si="304"/>
        <v>0</v>
      </c>
      <c r="Q1325" s="329"/>
      <c r="S1325" s="332">
        <f t="shared" si="298"/>
        <v>0</v>
      </c>
      <c r="T1325" s="332">
        <f t="shared" si="300"/>
        <v>0</v>
      </c>
    </row>
    <row r="1326" spans="2:20" hidden="1">
      <c r="B1326" s="332" t="s">
        <v>1145</v>
      </c>
      <c r="C1326" s="333">
        <f t="shared" si="299"/>
        <v>0</v>
      </c>
      <c r="D1326" s="328"/>
      <c r="E1326" s="328">
        <f>VLOOKUP(B1326,DONGIA,DG!$B$6,0)</f>
        <v>0</v>
      </c>
      <c r="F1326" s="329" t="str">
        <f>VLOOKUP(B1326,DONGIA,DG!$C$6,0)</f>
        <v>Chụp đầu cosse  50mm2</v>
      </c>
      <c r="G1326" s="328" t="str">
        <f>VLOOKUP(B1326,DONGIA,DG!$D$6,0)</f>
        <v>cái</v>
      </c>
      <c r="H1326" s="329"/>
      <c r="I1326" s="329">
        <f>VLOOKUP(B1326,DONGIA,DG!$E$6,0)</f>
        <v>2000</v>
      </c>
      <c r="J1326" s="329"/>
      <c r="K1326" s="329">
        <f>VLOOKUP(B1326,DONGIA,DG!$F$6,0)</f>
        <v>0</v>
      </c>
      <c r="L1326" s="329">
        <f>VLOOKUP(B1326,DONGIA,DG!$G$6,0)</f>
        <v>0</v>
      </c>
      <c r="M1326" s="329">
        <f t="shared" si="301"/>
        <v>0</v>
      </c>
      <c r="N1326" s="329">
        <f t="shared" si="302"/>
        <v>0</v>
      </c>
      <c r="O1326" s="329">
        <f t="shared" si="303"/>
        <v>0</v>
      </c>
      <c r="P1326" s="329">
        <f t="shared" si="304"/>
        <v>0</v>
      </c>
      <c r="Q1326" s="329"/>
      <c r="S1326" s="332">
        <f t="shared" si="298"/>
        <v>0</v>
      </c>
      <c r="T1326" s="332">
        <f t="shared" si="300"/>
        <v>0</v>
      </c>
    </row>
    <row r="1327" spans="2:20" hidden="1">
      <c r="B1327" s="332" t="s">
        <v>1177</v>
      </c>
      <c r="C1327" s="333">
        <f t="shared" si="299"/>
        <v>0</v>
      </c>
      <c r="D1327" s="328"/>
      <c r="E1327" s="328">
        <f>VLOOKUP(B1327,DONGIA,DG!$B$6,0)</f>
        <v>0</v>
      </c>
      <c r="F1327" s="329" t="str">
        <f>VLOOKUP(B1327,DONGIA,DG!$C$6,0)</f>
        <v xml:space="preserve">Ống PVC D90x3,8mm </v>
      </c>
      <c r="G1327" s="328" t="str">
        <f>VLOOKUP(B1327,DONGIA,DG!$D$6,0)</f>
        <v>m</v>
      </c>
      <c r="H1327" s="329">
        <f>H1319*6*0</f>
        <v>0</v>
      </c>
      <c r="I1327" s="329">
        <f>VLOOKUP(B1327,DONGIA,DG!$E$6,0)</f>
        <v>57000</v>
      </c>
      <c r="J1327" s="329"/>
      <c r="K1327" s="329">
        <f>VLOOKUP(B1327,DONGIA,DG!$F$6,0)</f>
        <v>0</v>
      </c>
      <c r="L1327" s="329">
        <f>VLOOKUP(B1327,DONGIA,DG!$G$6,0)</f>
        <v>0</v>
      </c>
      <c r="M1327" s="329">
        <f t="shared" si="301"/>
        <v>0</v>
      </c>
      <c r="N1327" s="329">
        <f t="shared" si="302"/>
        <v>0</v>
      </c>
      <c r="O1327" s="329">
        <f t="shared" si="303"/>
        <v>0</v>
      </c>
      <c r="P1327" s="329">
        <f t="shared" si="304"/>
        <v>0</v>
      </c>
      <c r="Q1327" s="329"/>
      <c r="S1327" s="332">
        <f t="shared" si="298"/>
        <v>2</v>
      </c>
      <c r="T1327" s="332">
        <f t="shared" si="300"/>
        <v>0</v>
      </c>
    </row>
    <row r="1328" spans="2:20" hidden="1">
      <c r="B1328" s="332" t="s">
        <v>455</v>
      </c>
      <c r="C1328" s="333">
        <f t="shared" si="299"/>
        <v>0</v>
      </c>
      <c r="D1328" s="328"/>
      <c r="E1328" s="328"/>
      <c r="F1328" s="329" t="str">
        <f>VLOOKUP(B1328,DONGIA,DG!$C$6,0)&amp;" (CD: 250)"</f>
        <v>Cổ dê kẹp ống PVC φ 90 (có giá nới) (CD: 250)</v>
      </c>
      <c r="G1328" s="328" t="str">
        <f>VLOOKUP(B1328,DONGIA,DG!$D$6,0)</f>
        <v>bộ</v>
      </c>
      <c r="H1328" s="329"/>
      <c r="I1328" s="329">
        <f>VLOOKUP(B1328,DONGIA,DG!$E$6,0)</f>
        <v>60000</v>
      </c>
      <c r="J1328" s="329"/>
      <c r="K1328" s="329"/>
      <c r="L1328" s="329">
        <f>VLOOKUP(B1328,DONGIA,DG!$G$6,0)</f>
        <v>0</v>
      </c>
      <c r="M1328" s="329">
        <f t="shared" si="301"/>
        <v>0</v>
      </c>
      <c r="N1328" s="329">
        <f t="shared" si="302"/>
        <v>0</v>
      </c>
      <c r="O1328" s="329">
        <f t="shared" si="303"/>
        <v>0</v>
      </c>
      <c r="P1328" s="329">
        <f t="shared" si="304"/>
        <v>0</v>
      </c>
      <c r="Q1328" s="329"/>
      <c r="S1328" s="332">
        <f t="shared" si="298"/>
        <v>1.5</v>
      </c>
      <c r="T1328" s="332">
        <f t="shared" si="300"/>
        <v>0</v>
      </c>
    </row>
    <row r="1329" spans="1:20" hidden="1">
      <c r="B1329" s="332" t="s">
        <v>455</v>
      </c>
      <c r="C1329" s="333">
        <f t="shared" si="299"/>
        <v>0</v>
      </c>
      <c r="D1329" s="328"/>
      <c r="E1329" s="328"/>
      <c r="F1329" s="329" t="str">
        <f>VLOOKUP(B1329,DONGIA,DG!$C$6,0)&amp;" (CD: 280)"</f>
        <v>Cổ dê kẹp ống PVC φ 90 (có giá nới) (CD: 280)</v>
      </c>
      <c r="G1329" s="328" t="str">
        <f>VLOOKUP(B1329,DONGIA,DG!$D$6,0)</f>
        <v>bộ</v>
      </c>
      <c r="H1329" s="329"/>
      <c r="I1329" s="329">
        <f>VLOOKUP(B1329,DONGIA,DG!$E$6,0)</f>
        <v>60000</v>
      </c>
      <c r="J1329" s="329"/>
      <c r="K1329" s="329"/>
      <c r="L1329" s="329">
        <f>VLOOKUP(B1329,DONGIA,DG!$G$6,0)</f>
        <v>0</v>
      </c>
      <c r="M1329" s="329">
        <f t="shared" si="301"/>
        <v>0</v>
      </c>
      <c r="N1329" s="329">
        <f t="shared" si="302"/>
        <v>0</v>
      </c>
      <c r="O1329" s="329">
        <f t="shared" si="303"/>
        <v>0</v>
      </c>
      <c r="P1329" s="329">
        <f t="shared" si="304"/>
        <v>0</v>
      </c>
      <c r="Q1329" s="329"/>
      <c r="S1329" s="332">
        <f t="shared" si="298"/>
        <v>1.5</v>
      </c>
      <c r="T1329" s="332">
        <f t="shared" si="300"/>
        <v>0</v>
      </c>
    </row>
    <row r="1330" spans="1:20" hidden="1">
      <c r="B1330" s="332" t="s">
        <v>455</v>
      </c>
      <c r="C1330" s="333">
        <f t="shared" si="299"/>
        <v>0</v>
      </c>
      <c r="D1330" s="328"/>
      <c r="E1330" s="328"/>
      <c r="F1330" s="329" t="str">
        <f>VLOOKUP(B1330,DONGIA,DG!$C$6,0)&amp;" (CD: 320)"</f>
        <v>Cổ dê kẹp ống PVC φ 90 (có giá nới) (CD: 320)</v>
      </c>
      <c r="G1330" s="328" t="str">
        <f>VLOOKUP(B1330,DONGIA,DG!$D$6,0)</f>
        <v>bộ</v>
      </c>
      <c r="H1330" s="329"/>
      <c r="I1330" s="329">
        <f>VLOOKUP(B1330,DONGIA,DG!$E$6,0)</f>
        <v>60000</v>
      </c>
      <c r="J1330" s="329"/>
      <c r="K1330" s="329"/>
      <c r="L1330" s="329">
        <f>VLOOKUP(B1330,DONGIA,DG!$G$6,0)</f>
        <v>0</v>
      </c>
      <c r="M1330" s="329">
        <f t="shared" si="301"/>
        <v>0</v>
      </c>
      <c r="N1330" s="329">
        <f t="shared" si="302"/>
        <v>0</v>
      </c>
      <c r="O1330" s="329">
        <f t="shared" si="303"/>
        <v>0</v>
      </c>
      <c r="P1330" s="329">
        <f t="shared" si="304"/>
        <v>0</v>
      </c>
      <c r="Q1330" s="329"/>
      <c r="S1330" s="332">
        <f t="shared" si="298"/>
        <v>1.5</v>
      </c>
      <c r="T1330" s="332">
        <f t="shared" si="300"/>
        <v>0</v>
      </c>
    </row>
    <row r="1331" spans="1:20" hidden="1">
      <c r="B1331" s="332" t="s">
        <v>1183</v>
      </c>
      <c r="C1331" s="333">
        <f t="shared" si="299"/>
        <v>0</v>
      </c>
      <c r="D1331" s="328"/>
      <c r="E1331" s="328">
        <f>VLOOKUP(B1331,DONGIA,DG!$B$6,0)</f>
        <v>0</v>
      </c>
      <c r="F1331" s="329" t="str">
        <f>VLOOKUP(B1331,DONGIA,DG!$C$6,0)</f>
        <v>Co  90 độ PVC 90</v>
      </c>
      <c r="G1331" s="328" t="str">
        <f>VLOOKUP(B1331,DONGIA,DG!$D$6,0)</f>
        <v>cái</v>
      </c>
      <c r="H1331" s="329">
        <f>H1319*3</f>
        <v>0</v>
      </c>
      <c r="I1331" s="329">
        <f>VLOOKUP(B1331,DONGIA,DG!$E$6,0)</f>
        <v>45400</v>
      </c>
      <c r="J1331" s="329"/>
      <c r="K1331" s="329">
        <f>VLOOKUP(B1331,DONGIA,DG!$F$6,0)</f>
        <v>0</v>
      </c>
      <c r="L1331" s="329">
        <f>VLOOKUP(B1331,DONGIA,DG!$G$6,0)</f>
        <v>0</v>
      </c>
      <c r="M1331" s="329">
        <f t="shared" si="301"/>
        <v>0</v>
      </c>
      <c r="N1331" s="329">
        <f t="shared" si="302"/>
        <v>0</v>
      </c>
      <c r="O1331" s="329">
        <f t="shared" si="303"/>
        <v>0</v>
      </c>
      <c r="P1331" s="329">
        <f t="shared" si="304"/>
        <v>0</v>
      </c>
      <c r="Q1331" s="329"/>
      <c r="S1331" s="332">
        <f t="shared" si="298"/>
        <v>0</v>
      </c>
      <c r="T1331" s="332">
        <f t="shared" si="300"/>
        <v>0</v>
      </c>
    </row>
    <row r="1332" spans="1:20" hidden="1">
      <c r="B1332" s="332" t="s">
        <v>1181</v>
      </c>
      <c r="C1332" s="333">
        <f t="shared" si="299"/>
        <v>0</v>
      </c>
      <c r="D1332" s="328"/>
      <c r="E1332" s="328">
        <f>VLOOKUP(B1332,DONGIA,DG!$B$6,0)</f>
        <v>0</v>
      </c>
      <c r="F1332" s="329" t="str">
        <f>VLOOKUP(B1332,DONGIA,DG!$C$6,0)</f>
        <v>Co 135 độ PVC 90</v>
      </c>
      <c r="G1332" s="328" t="str">
        <f>VLOOKUP(B1332,DONGIA,DG!$D$6,0)</f>
        <v>cái</v>
      </c>
      <c r="H1332" s="329">
        <f>H1319</f>
        <v>0</v>
      </c>
      <c r="I1332" s="329">
        <f>VLOOKUP(B1332,DONGIA,DG!$E$6,0)</f>
        <v>34800</v>
      </c>
      <c r="J1332" s="329"/>
      <c r="K1332" s="329">
        <f>VLOOKUP(B1332,DONGIA,DG!$F$6,0)</f>
        <v>0</v>
      </c>
      <c r="L1332" s="329">
        <f>VLOOKUP(B1332,DONGIA,DG!$G$6,0)</f>
        <v>0</v>
      </c>
      <c r="M1332" s="329">
        <f t="shared" si="301"/>
        <v>0</v>
      </c>
      <c r="N1332" s="329">
        <f t="shared" si="302"/>
        <v>0</v>
      </c>
      <c r="O1332" s="329">
        <f t="shared" si="303"/>
        <v>0</v>
      </c>
      <c r="P1332" s="329">
        <f t="shared" si="304"/>
        <v>0</v>
      </c>
      <c r="Q1332" s="329"/>
      <c r="S1332" s="332">
        <f t="shared" si="298"/>
        <v>0</v>
      </c>
      <c r="T1332" s="332">
        <f t="shared" si="300"/>
        <v>0</v>
      </c>
    </row>
    <row r="1333" spans="1:20" hidden="1">
      <c r="B1333" s="332" t="s">
        <v>1203</v>
      </c>
      <c r="C1333" s="333">
        <f t="shared" si="299"/>
        <v>0</v>
      </c>
      <c r="D1333" s="328"/>
      <c r="E1333" s="328">
        <f>VLOOKUP(B1333,DONGIA,DG!$B$6,0)</f>
        <v>0</v>
      </c>
      <c r="F1333" s="329" t="str">
        <f>VLOOKUP(B1333,DONGIA,DG!$C$6,0)</f>
        <v>Khâu ven răng trong D90</v>
      </c>
      <c r="G1333" s="328" t="str">
        <f>VLOOKUP(B1333,DONGIA,DG!$D$6,0)</f>
        <v>cái</v>
      </c>
      <c r="H1333" s="329">
        <f>H1319</f>
        <v>0</v>
      </c>
      <c r="I1333" s="329">
        <f>VLOOKUP(B1333,DONGIA,DG!$E$6,0)</f>
        <v>25800</v>
      </c>
      <c r="J1333" s="329"/>
      <c r="K1333" s="329">
        <f>VLOOKUP(B1333,DONGIA,DG!$F$6,0)</f>
        <v>0</v>
      </c>
      <c r="L1333" s="329">
        <f>VLOOKUP(B1333,DONGIA,DG!$G$6,0)</f>
        <v>0</v>
      </c>
      <c r="M1333" s="329">
        <f t="shared" si="301"/>
        <v>0</v>
      </c>
      <c r="N1333" s="329">
        <f t="shared" si="302"/>
        <v>0</v>
      </c>
      <c r="O1333" s="329">
        <f t="shared" si="303"/>
        <v>0</v>
      </c>
      <c r="P1333" s="329">
        <f t="shared" si="304"/>
        <v>0</v>
      </c>
      <c r="Q1333" s="329"/>
      <c r="S1333" s="332">
        <f t="shared" si="298"/>
        <v>0</v>
      </c>
      <c r="T1333" s="332">
        <f t="shared" si="300"/>
        <v>0</v>
      </c>
    </row>
    <row r="1334" spans="1:20" hidden="1">
      <c r="B1334" s="332" t="s">
        <v>1209</v>
      </c>
      <c r="C1334" s="333">
        <f t="shared" si="299"/>
        <v>0</v>
      </c>
      <c r="D1334" s="328"/>
      <c r="E1334" s="328">
        <f>VLOOKUP(B1334,DONGIA,DG!$B$6,0)</f>
        <v>0</v>
      </c>
      <c r="F1334" s="329" t="str">
        <f>VLOOKUP(B1334,DONGIA,DG!$C$6,0)</f>
        <v>Khâu ven răng ngoài D90</v>
      </c>
      <c r="G1334" s="328" t="str">
        <f>VLOOKUP(B1334,DONGIA,DG!$D$6,0)</f>
        <v>cái</v>
      </c>
      <c r="H1334" s="329">
        <f>H1333</f>
        <v>0</v>
      </c>
      <c r="I1334" s="329">
        <f>VLOOKUP(B1334,DONGIA,DG!$E$6,0)</f>
        <v>21500</v>
      </c>
      <c r="J1334" s="329"/>
      <c r="K1334" s="329">
        <f>VLOOKUP(B1334,DONGIA,DG!$F$6,0)</f>
        <v>0</v>
      </c>
      <c r="L1334" s="329">
        <f>VLOOKUP(B1334,DONGIA,DG!$G$6,0)</f>
        <v>0</v>
      </c>
      <c r="M1334" s="329">
        <f t="shared" si="301"/>
        <v>0</v>
      </c>
      <c r="N1334" s="329">
        <f t="shared" si="302"/>
        <v>0</v>
      </c>
      <c r="O1334" s="329">
        <f t="shared" si="303"/>
        <v>0</v>
      </c>
      <c r="P1334" s="329">
        <f t="shared" si="304"/>
        <v>0</v>
      </c>
      <c r="Q1334" s="329"/>
      <c r="S1334" s="332">
        <f t="shared" si="298"/>
        <v>0</v>
      </c>
      <c r="T1334" s="332">
        <f t="shared" si="300"/>
        <v>0</v>
      </c>
    </row>
    <row r="1335" spans="1:20" hidden="1">
      <c r="B1335" s="332" t="s">
        <v>1914</v>
      </c>
      <c r="C1335" s="333">
        <f t="shared" si="299"/>
        <v>0</v>
      </c>
      <c r="D1335" s="328"/>
      <c r="E1335" s="328">
        <f>VLOOKUP(B1335,DONGIA,DG!$B$6,0)</f>
        <v>0</v>
      </c>
      <c r="F1335" s="329" t="str">
        <f>VLOOKUP(B1335,DONGIA,DG!$C$6,0)</f>
        <v>Keo dán ống PVC (100gr)</v>
      </c>
      <c r="G1335" s="328" t="str">
        <f>VLOOKUP(B1335,DONGIA,DG!$D$6,0)</f>
        <v>tuýp</v>
      </c>
      <c r="H1335" s="329"/>
      <c r="I1335" s="329">
        <f>VLOOKUP(B1335,DONGIA,DG!$E$6,0)</f>
        <v>11500</v>
      </c>
      <c r="J1335" s="329"/>
      <c r="K1335" s="329">
        <f>VLOOKUP(B1335,DONGIA,DG!$F$6,0)</f>
        <v>0</v>
      </c>
      <c r="L1335" s="329">
        <f>VLOOKUP(B1335,DONGIA,DG!$G$6,0)</f>
        <v>0</v>
      </c>
      <c r="M1335" s="329">
        <f t="shared" si="301"/>
        <v>0</v>
      </c>
      <c r="N1335" s="329">
        <f t="shared" si="302"/>
        <v>0</v>
      </c>
      <c r="O1335" s="329">
        <f t="shared" si="303"/>
        <v>0</v>
      </c>
      <c r="P1335" s="329">
        <f t="shared" si="304"/>
        <v>0</v>
      </c>
      <c r="Q1335" s="329"/>
      <c r="S1335" s="332">
        <f t="shared" si="298"/>
        <v>0</v>
      </c>
      <c r="T1335" s="332">
        <f t="shared" si="300"/>
        <v>0</v>
      </c>
    </row>
    <row r="1336" spans="1:20" hidden="1">
      <c r="B1336" s="332" t="s">
        <v>1195</v>
      </c>
      <c r="C1336" s="333">
        <f t="shared" si="299"/>
        <v>0</v>
      </c>
      <c r="D1336" s="328"/>
      <c r="E1336" s="328">
        <f>VLOOKUP(B1336,DONGIA,DG!$B$6,0)</f>
        <v>0</v>
      </c>
      <c r="F1336" s="329" t="str">
        <f>VLOOKUP(B1336,DONGIA,DG!$C$6,0)</f>
        <v>Keo silicon bít miệng ống</v>
      </c>
      <c r="G1336" s="328" t="str">
        <f>VLOOKUP(B1336,DONGIA,DG!$D$6,0)</f>
        <v>ống</v>
      </c>
      <c r="H1336" s="329">
        <f>H1319</f>
        <v>0</v>
      </c>
      <c r="I1336" s="329">
        <f>VLOOKUP(B1336,DONGIA,DG!$E$6,0)</f>
        <v>45000</v>
      </c>
      <c r="J1336" s="329"/>
      <c r="K1336" s="329">
        <f>VLOOKUP(B1336,DONGIA,DG!$F$6,0)</f>
        <v>0</v>
      </c>
      <c r="L1336" s="329">
        <f>VLOOKUP(B1336,DONGIA,DG!$G$6,0)</f>
        <v>0</v>
      </c>
      <c r="M1336" s="329">
        <f t="shared" si="301"/>
        <v>0</v>
      </c>
      <c r="N1336" s="329">
        <f t="shared" si="302"/>
        <v>0</v>
      </c>
      <c r="O1336" s="329">
        <f t="shared" si="303"/>
        <v>0</v>
      </c>
      <c r="P1336" s="329">
        <f t="shared" si="304"/>
        <v>0</v>
      </c>
      <c r="Q1336" s="329"/>
      <c r="S1336" s="332">
        <f t="shared" si="298"/>
        <v>0</v>
      </c>
      <c r="T1336" s="332">
        <f t="shared" si="300"/>
        <v>0</v>
      </c>
    </row>
    <row r="1337" spans="1:20" hidden="1">
      <c r="B1337" s="332" t="s">
        <v>390</v>
      </c>
      <c r="C1337" s="333">
        <f t="shared" si="299"/>
        <v>0</v>
      </c>
      <c r="D1337" s="328"/>
      <c r="E1337" s="328" t="str">
        <f>VLOOKUP(B1337,DONGIA,DG!$B$6,0)</f>
        <v>D3.4011</v>
      </c>
      <c r="F1337" s="329" t="str">
        <f>VLOOKUP(B1337,DONGIA,DG!$C$6,0)</f>
        <v>Ống nối dây AC cỡ 95mm2 (Không lõi thép)</v>
      </c>
      <c r="G1337" s="328" t="str">
        <f>VLOOKUP(B1337,DONGIA,DG!$D$6,0)</f>
        <v>cái</v>
      </c>
      <c r="H1337" s="329"/>
      <c r="I1337" s="329">
        <f>VLOOKUP(B1337,DONGIA,DG!$E$6,0)</f>
        <v>48000</v>
      </c>
      <c r="J1337" s="329"/>
      <c r="K1337" s="329">
        <f>VLOOKUP(B1337,DONGIA,DG!$F$6,0)</f>
        <v>259649</v>
      </c>
      <c r="L1337" s="329">
        <f>VLOOKUP(B1337,DONGIA,DG!$G$6,0)</f>
        <v>4713</v>
      </c>
      <c r="M1337" s="329">
        <f t="shared" ref="M1337:P1339" si="305">$H1337*I1337</f>
        <v>0</v>
      </c>
      <c r="N1337" s="329">
        <f t="shared" si="305"/>
        <v>0</v>
      </c>
      <c r="O1337" s="329">
        <f t="shared" si="305"/>
        <v>0</v>
      </c>
      <c r="P1337" s="329">
        <f t="shared" si="305"/>
        <v>0</v>
      </c>
      <c r="Q1337" s="329"/>
      <c r="S1337" s="332">
        <f t="shared" si="298"/>
        <v>2.5</v>
      </c>
      <c r="T1337" s="332">
        <f t="shared" si="300"/>
        <v>0</v>
      </c>
    </row>
    <row r="1338" spans="1:20" hidden="1">
      <c r="B1338" s="332" t="s">
        <v>396</v>
      </c>
      <c r="C1338" s="333">
        <f t="shared" si="299"/>
        <v>0</v>
      </c>
      <c r="D1338" s="328"/>
      <c r="E1338" s="328">
        <f>VLOOKUP(B1338,DONGIA,DG!$B$6,0)</f>
        <v>0</v>
      </c>
      <c r="F1338" s="329" t="str">
        <f>VLOOKUP(B1338,DONGIA,DG!$C$6,0)</f>
        <v>Ống bọc cách điện D30/15</v>
      </c>
      <c r="G1338" s="328" t="str">
        <f>VLOOKUP(B1338,DONGIA,DG!$D$6,0)</f>
        <v>mét</v>
      </c>
      <c r="H1338" s="329">
        <f>H1337</f>
        <v>0</v>
      </c>
      <c r="I1338" s="329">
        <f>VLOOKUP(B1338,DONGIA,DG!$E$6,0)</f>
        <v>95000</v>
      </c>
      <c r="J1338" s="329"/>
      <c r="K1338" s="329">
        <f>VLOOKUP(B1338,DONGIA,DG!$F$6,0)</f>
        <v>0</v>
      </c>
      <c r="L1338" s="329">
        <f>VLOOKUP(B1338,DONGIA,DG!$G$6,0)</f>
        <v>0</v>
      </c>
      <c r="M1338" s="329">
        <f t="shared" si="305"/>
        <v>0</v>
      </c>
      <c r="N1338" s="329">
        <f t="shared" si="305"/>
        <v>0</v>
      </c>
      <c r="O1338" s="329">
        <f t="shared" si="305"/>
        <v>0</v>
      </c>
      <c r="P1338" s="329">
        <f t="shared" si="305"/>
        <v>0</v>
      </c>
      <c r="Q1338" s="329"/>
      <c r="S1338" s="332">
        <f t="shared" si="298"/>
        <v>0</v>
      </c>
      <c r="T1338" s="332">
        <f t="shared" si="300"/>
        <v>0</v>
      </c>
    </row>
    <row r="1339" spans="1:20" hidden="1">
      <c r="B1339" s="332" t="s">
        <v>1195</v>
      </c>
      <c r="C1339" s="333">
        <f t="shared" si="299"/>
        <v>0</v>
      </c>
      <c r="D1339" s="328"/>
      <c r="E1339" s="328">
        <f>VLOOKUP(B1339,DONGIA,DG!$B$6,0)</f>
        <v>0</v>
      </c>
      <c r="F1339" s="329" t="str">
        <f>VLOOKUP(B1339,DONGIA,DG!$C$6,0)</f>
        <v>Keo silicon bít miệng ống</v>
      </c>
      <c r="G1339" s="328" t="str">
        <f>VLOOKUP(B1339,DONGIA,DG!$D$6,0)</f>
        <v>ống</v>
      </c>
      <c r="H1339" s="329">
        <f>H1322</f>
        <v>0</v>
      </c>
      <c r="I1339" s="329">
        <f>VLOOKUP(B1339,DONGIA,DG!$E$6,0)</f>
        <v>45000</v>
      </c>
      <c r="J1339" s="329"/>
      <c r="K1339" s="329">
        <f>VLOOKUP(B1339,DONGIA,DG!$F$6,0)</f>
        <v>0</v>
      </c>
      <c r="L1339" s="329">
        <f>VLOOKUP(B1339,DONGIA,DG!$G$6,0)</f>
        <v>0</v>
      </c>
      <c r="M1339" s="329">
        <f t="shared" si="305"/>
        <v>0</v>
      </c>
      <c r="N1339" s="329">
        <f t="shared" si="305"/>
        <v>0</v>
      </c>
      <c r="O1339" s="329">
        <f t="shared" si="305"/>
        <v>0</v>
      </c>
      <c r="P1339" s="329">
        <f t="shared" si="305"/>
        <v>0</v>
      </c>
      <c r="Q1339" s="329"/>
      <c r="S1339" s="332">
        <f t="shared" si="298"/>
        <v>0</v>
      </c>
      <c r="T1339" s="332">
        <f t="shared" si="300"/>
        <v>0</v>
      </c>
    </row>
    <row r="1340" spans="1:20" hidden="1">
      <c r="B1340" s="332" t="s">
        <v>1193</v>
      </c>
      <c r="C1340" s="333">
        <f t="shared" si="299"/>
        <v>0</v>
      </c>
      <c r="D1340" s="328"/>
      <c r="E1340" s="328">
        <f>VLOOKUP(B1340,DONGIA,DG!$B$6,0)</f>
        <v>0</v>
      </c>
      <c r="F1340" s="329" t="str">
        <f>VLOOKUP(B1340,DONGIA,DG!$C$6,0)</f>
        <v>Băng keo cách điện</v>
      </c>
      <c r="G1340" s="328" t="str">
        <f>VLOOKUP(B1340,DONGIA,DG!$D$6,0)</f>
        <v>cuộn</v>
      </c>
      <c r="H1340" s="329"/>
      <c r="I1340" s="329">
        <f>VLOOKUP(B1340,DONGIA,DG!$E$6,0)</f>
        <v>6500</v>
      </c>
      <c r="J1340" s="329"/>
      <c r="K1340" s="329">
        <f>VLOOKUP(B1340,DONGIA,DG!$F$6,0)</f>
        <v>0</v>
      </c>
      <c r="L1340" s="329">
        <f>VLOOKUP(B1340,DONGIA,DG!$G$6,0)</f>
        <v>0</v>
      </c>
      <c r="M1340" s="329">
        <f t="shared" si="301"/>
        <v>0</v>
      </c>
      <c r="N1340" s="329">
        <f t="shared" si="302"/>
        <v>0</v>
      </c>
      <c r="O1340" s="329">
        <f t="shared" si="303"/>
        <v>0</v>
      </c>
      <c r="P1340" s="329">
        <f t="shared" si="304"/>
        <v>0</v>
      </c>
      <c r="Q1340" s="329"/>
      <c r="S1340" s="332">
        <f t="shared" si="298"/>
        <v>0</v>
      </c>
      <c r="T1340" s="332">
        <f t="shared" si="300"/>
        <v>0</v>
      </c>
    </row>
    <row r="1341" spans="1:20" hidden="1">
      <c r="B1341" s="332" t="s">
        <v>855</v>
      </c>
      <c r="C1341" s="333">
        <f t="shared" si="299"/>
        <v>0</v>
      </c>
      <c r="D1341" s="328"/>
      <c r="E1341" s="328" t="str">
        <f>VLOOKUP(B1341,DONGIA,DG!$B$6,0)</f>
        <v>T4.8003</v>
      </c>
      <c r="F1341" s="329" t="str">
        <f>VLOOKUP(B1341,DONGIA,DG!$C$6,0)</f>
        <v>Lắp ống nhựa PVC D90</v>
      </c>
      <c r="G1341" s="328" t="str">
        <f>VLOOKUP(B1341,DONGIA,DG!$D$6,0)</f>
        <v>mét</v>
      </c>
      <c r="H1341" s="329">
        <f>H1327</f>
        <v>0</v>
      </c>
      <c r="I1341" s="329">
        <f>VLOOKUP(B1341,DONGIA,DG!$E$6,0)</f>
        <v>0</v>
      </c>
      <c r="J1341" s="329"/>
      <c r="K1341" s="329">
        <f>VLOOKUP(B1341,DONGIA,DG!$F$6,0)</f>
        <v>35541</v>
      </c>
      <c r="L1341" s="329">
        <f>VLOOKUP(B1341,DONGIA,DG!$G$6,0)</f>
        <v>0</v>
      </c>
      <c r="M1341" s="329">
        <f t="shared" si="301"/>
        <v>0</v>
      </c>
      <c r="N1341" s="329">
        <f t="shared" si="302"/>
        <v>0</v>
      </c>
      <c r="O1341" s="329">
        <f t="shared" si="303"/>
        <v>0</v>
      </c>
      <c r="P1341" s="329">
        <f t="shared" si="304"/>
        <v>0</v>
      </c>
      <c r="Q1341" s="329"/>
      <c r="S1341" s="332">
        <f t="shared" si="298"/>
        <v>0</v>
      </c>
      <c r="T1341" s="332">
        <f t="shared" si="300"/>
        <v>0</v>
      </c>
    </row>
    <row r="1342" spans="1:20" hidden="1">
      <c r="B1342" s="332" t="s">
        <v>1939</v>
      </c>
      <c r="C1342" s="333">
        <f t="shared" si="299"/>
        <v>0</v>
      </c>
      <c r="D1342" s="328"/>
      <c r="E1342" s="328" t="str">
        <f>VLOOKUP(B1342,DONGIA,DG!$B$6,0)</f>
        <v>T4.4201</v>
      </c>
      <c r="F1342" s="329" t="str">
        <f>VLOOKUP(B1342,DONGIA,DG!$C$6,0)</f>
        <v>Lắp cáp đồng xuống thiết bị D ≤ 95mm2</v>
      </c>
      <c r="G1342" s="328" t="str">
        <f>VLOOKUP(B1342,DONGIA,DG!$D$6,0)</f>
        <v>m</v>
      </c>
      <c r="H1342" s="329">
        <f>H1321</f>
        <v>0</v>
      </c>
      <c r="I1342" s="329">
        <f>VLOOKUP(B1342,DONGIA,DG!$E$6,0)</f>
        <v>0</v>
      </c>
      <c r="J1342" s="329"/>
      <c r="K1342" s="329">
        <f>VLOOKUP(B1342,DONGIA,DG!$F$6,0)</f>
        <v>11847</v>
      </c>
      <c r="L1342" s="329">
        <f>VLOOKUP(B1342,DONGIA,DG!$G$6,0)</f>
        <v>0</v>
      </c>
      <c r="M1342" s="329">
        <f t="shared" si="301"/>
        <v>0</v>
      </c>
      <c r="N1342" s="329">
        <f t="shared" si="302"/>
        <v>0</v>
      </c>
      <c r="O1342" s="329">
        <f t="shared" si="303"/>
        <v>0</v>
      </c>
      <c r="P1342" s="329">
        <f t="shared" si="304"/>
        <v>0</v>
      </c>
      <c r="Q1342" s="329"/>
      <c r="S1342" s="332">
        <f t="shared" si="298"/>
        <v>0</v>
      </c>
      <c r="T1342" s="332">
        <f t="shared" si="300"/>
        <v>0</v>
      </c>
    </row>
    <row r="1343" spans="1:20" hidden="1">
      <c r="B1343" s="332" t="s">
        <v>1058</v>
      </c>
      <c r="C1343" s="333">
        <f t="shared" si="299"/>
        <v>0</v>
      </c>
      <c r="D1343" s="372">
        <f>IF(H1343&lt;&gt;0,D1319+1,D1319)</f>
        <v>0</v>
      </c>
      <c r="E1343" s="372">
        <f>VLOOKUP(B1343,DONGIA,DG!$B$6,0)</f>
        <v>0</v>
      </c>
      <c r="F1343" s="373" t="str">
        <f>VLOOKUP(B1343,DONGIA,DG!$C$6,0)</f>
        <v>Bảng tên trạm + bulon</v>
      </c>
      <c r="G1343" s="372" t="str">
        <f>VLOOKUP(B1343,DONGIA,DG!$D$6,0)</f>
        <v>bộ</v>
      </c>
      <c r="H1343" s="373"/>
      <c r="I1343" s="373"/>
      <c r="J1343" s="373"/>
      <c r="K1343" s="373"/>
      <c r="L1343" s="373"/>
      <c r="M1343" s="373"/>
      <c r="N1343" s="373"/>
      <c r="O1343" s="373"/>
      <c r="P1343" s="373"/>
      <c r="Q1343" s="373"/>
      <c r="S1343" s="332">
        <f t="shared" si="298"/>
        <v>0</v>
      </c>
      <c r="T1343" s="332">
        <f t="shared" si="300"/>
        <v>0</v>
      </c>
    </row>
    <row r="1344" spans="1:20" s="353" customFormat="1" hidden="1">
      <c r="A1344" s="353" t="s">
        <v>3218</v>
      </c>
      <c r="C1344" s="333">
        <f>IF((C1345+C1355)&lt;&gt;0,1,)</f>
        <v>0</v>
      </c>
      <c r="D1344" s="368"/>
      <c r="E1344" s="369" t="str">
        <f>TRNC2X375&amp;" Trạm NC từ 2x37,5kVA lên 3x37,5kVA"</f>
        <v xml:space="preserve"> Trạm NC từ 2x37,5kVA lên 3x37,5kVA</v>
      </c>
      <c r="F1344" s="368"/>
      <c r="G1344" s="368"/>
      <c r="H1344" s="368"/>
      <c r="I1344" s="325"/>
      <c r="J1344" s="325"/>
      <c r="K1344" s="325"/>
      <c r="L1344" s="325"/>
      <c r="M1344" s="325"/>
      <c r="N1344" s="325"/>
      <c r="O1344" s="325"/>
      <c r="P1344" s="325"/>
      <c r="Q1344" s="368"/>
      <c r="S1344" s="332">
        <f t="shared" si="298"/>
        <v>0</v>
      </c>
      <c r="T1344" s="332">
        <f t="shared" si="300"/>
        <v>0</v>
      </c>
    </row>
    <row r="1345" spans="1:20" hidden="1">
      <c r="A1345" s="332" t="str">
        <f>"TB"&amp;A1344</f>
        <v>TBTRNC3X375</v>
      </c>
      <c r="C1345" s="333">
        <f>IF(SUM(C1346:C1354)&lt;&gt;0,1,)</f>
        <v>0</v>
      </c>
      <c r="D1345" s="344"/>
      <c r="E1345" s="344"/>
      <c r="F1345" s="345" t="s">
        <v>1900</v>
      </c>
      <c r="G1345" s="344"/>
      <c r="H1345" s="345"/>
      <c r="I1345" s="345"/>
      <c r="J1345" s="345"/>
      <c r="K1345" s="345"/>
      <c r="L1345" s="345"/>
      <c r="M1345" s="345">
        <f>SUM(M1346:M1354)</f>
        <v>0</v>
      </c>
      <c r="N1345" s="345">
        <f>SUM(N1346:N1354)</f>
        <v>0</v>
      </c>
      <c r="O1345" s="345">
        <f>SUM(O1346:O1354)</f>
        <v>0</v>
      </c>
      <c r="P1345" s="345">
        <f>SUM(P1346:P1354)</f>
        <v>0</v>
      </c>
      <c r="Q1345" s="345"/>
      <c r="S1345" s="332">
        <f t="shared" si="298"/>
        <v>0</v>
      </c>
      <c r="T1345" s="371">
        <f>SUM(T1346:T1354)</f>
        <v>0</v>
      </c>
    </row>
    <row r="1346" spans="1:20" hidden="1">
      <c r="A1346" s="332" t="s">
        <v>477</v>
      </c>
      <c r="B1346" s="332" t="s">
        <v>900</v>
      </c>
      <c r="C1346" s="333">
        <f t="shared" ref="C1346:C1354" si="306">IF(H1346&lt;&gt;0,1,)</f>
        <v>0</v>
      </c>
      <c r="D1346" s="328"/>
      <c r="E1346" s="328" t="str">
        <f>VLOOKUP(B1346,DONGIA,DG!$B$6,0)</f>
        <v>T1.1432</v>
      </c>
      <c r="F1346" s="329" t="str">
        <f>VLOOKUP(B1346,DONGIA,DG!$C$6,0)</f>
        <v>Máy biến áp AMORPHOUS 12,7/0,22-0,44kV 37,5kVA</v>
      </c>
      <c r="G1346" s="328" t="str">
        <f>VLOOKUP(B1346,DONGIA,DG!$D$6,0)</f>
        <v>máy</v>
      </c>
      <c r="H1346" s="329">
        <f>TRNC2X375</f>
        <v>0</v>
      </c>
      <c r="I1346" s="329">
        <f>VLOOKUP(B1346,DONGIA,DG!$E$6,0)</f>
        <v>36124000</v>
      </c>
      <c r="J1346" s="329"/>
      <c r="K1346" s="329">
        <f>VLOOKUP(B1346,DONGIA,DG!$F$6,0)</f>
        <v>746585</v>
      </c>
      <c r="L1346" s="329">
        <f>VLOOKUP(B1346,DONGIA,DG!$G$6,0)</f>
        <v>360605</v>
      </c>
      <c r="M1346" s="329">
        <f t="shared" ref="M1346:M1354" si="307">$H1346*I1346</f>
        <v>0</v>
      </c>
      <c r="N1346" s="329">
        <f t="shared" ref="N1346:N1354" si="308">$H1346*J1346</f>
        <v>0</v>
      </c>
      <c r="O1346" s="329">
        <f t="shared" ref="O1346:O1354" si="309">$H1346*K1346</f>
        <v>0</v>
      </c>
      <c r="P1346" s="329">
        <f t="shared" ref="P1346:P1354" si="310">$H1346*L1346</f>
        <v>0</v>
      </c>
      <c r="Q1346" s="329"/>
      <c r="S1346" s="332">
        <f t="shared" si="298"/>
        <v>355</v>
      </c>
      <c r="T1346" s="332">
        <f t="shared" ref="T1346:T1354" si="311">H1346*S1346</f>
        <v>0</v>
      </c>
    </row>
    <row r="1347" spans="1:20" hidden="1">
      <c r="A1347" s="332" t="s">
        <v>477</v>
      </c>
      <c r="B1347" s="332" t="s">
        <v>1444</v>
      </c>
      <c r="C1347" s="333">
        <f t="shared" si="306"/>
        <v>0</v>
      </c>
      <c r="D1347" s="328"/>
      <c r="E1347" s="328" t="str">
        <f>VLOOKUP(B1347,DONGIA,DG!$B$6,0)</f>
        <v>T2.3505</v>
      </c>
      <c r="F1347" s="329" t="str">
        <f>VLOOKUP(B1347,DONGIA,DG!$C$6,0)</f>
        <v>FCO 27kV - 100A</v>
      </c>
      <c r="G1347" s="328" t="str">
        <f>VLOOKUP(B1347,DONGIA,DG!$D$6,0)</f>
        <v>cái</v>
      </c>
      <c r="H1347" s="329">
        <f>TRNC2X375*2</f>
        <v>0</v>
      </c>
      <c r="I1347" s="329">
        <f>VLOOKUP(B1347,DONGIA,DG!$E$6,0)</f>
        <v>1070000</v>
      </c>
      <c r="J1347" s="329"/>
      <c r="K1347" s="329">
        <f>VLOOKUP(B1347,DONGIA,DG!$F$6,0)</f>
        <v>189552</v>
      </c>
      <c r="L1347" s="329">
        <f>VLOOKUP(B1347,DONGIA,DG!$G$6,0)</f>
        <v>0</v>
      </c>
      <c r="M1347" s="329">
        <f t="shared" si="307"/>
        <v>0</v>
      </c>
      <c r="N1347" s="329">
        <f t="shared" si="308"/>
        <v>0</v>
      </c>
      <c r="O1347" s="329">
        <f t="shared" si="309"/>
        <v>0</v>
      </c>
      <c r="P1347" s="329">
        <f t="shared" si="310"/>
        <v>0</v>
      </c>
      <c r="Q1347" s="329"/>
      <c r="S1347" s="332">
        <f t="shared" si="298"/>
        <v>1.5</v>
      </c>
      <c r="T1347" s="332">
        <f t="shared" si="311"/>
        <v>0</v>
      </c>
    </row>
    <row r="1348" spans="1:20" hidden="1">
      <c r="A1348" s="332" t="s">
        <v>477</v>
      </c>
      <c r="B1348" s="332" t="s">
        <v>943</v>
      </c>
      <c r="C1348" s="333">
        <f t="shared" si="306"/>
        <v>0</v>
      </c>
      <c r="D1348" s="328"/>
      <c r="E1348" s="328" t="str">
        <f>VLOOKUP(B1348,DONGIA,DG!$B$6,0)</f>
        <v>T2.5004</v>
      </c>
      <c r="F1348" s="329" t="str">
        <f>VLOOKUP(B1348,DONGIA,DG!$C$6,0)</f>
        <v>LA 18kV 10kA</v>
      </c>
      <c r="G1348" s="328" t="str">
        <f>VLOOKUP(B1348,DONGIA,DG!$D$6,0)</f>
        <v>cái</v>
      </c>
      <c r="H1348" s="329">
        <f>TRNC2X375*2</f>
        <v>0</v>
      </c>
      <c r="I1348" s="329">
        <f>VLOOKUP(B1348,DONGIA,DG!$E$6,0)</f>
        <v>875000</v>
      </c>
      <c r="J1348" s="329"/>
      <c r="K1348" s="329">
        <f>VLOOKUP(B1348,DONGIA,DG!$F$6,0)</f>
        <v>71082</v>
      </c>
      <c r="L1348" s="329">
        <f>VLOOKUP(B1348,DONGIA,DG!$G$6,0)</f>
        <v>0</v>
      </c>
      <c r="M1348" s="329">
        <f t="shared" si="307"/>
        <v>0</v>
      </c>
      <c r="N1348" s="329">
        <f t="shared" si="308"/>
        <v>0</v>
      </c>
      <c r="O1348" s="329">
        <f t="shared" si="309"/>
        <v>0</v>
      </c>
      <c r="P1348" s="329">
        <f t="shared" si="310"/>
        <v>0</v>
      </c>
      <c r="Q1348" s="329"/>
      <c r="S1348" s="332">
        <f t="shared" si="298"/>
        <v>0.8</v>
      </c>
      <c r="T1348" s="332">
        <f t="shared" si="311"/>
        <v>0</v>
      </c>
    </row>
    <row r="1349" spans="1:20" hidden="1">
      <c r="A1349" s="332" t="s">
        <v>477</v>
      </c>
      <c r="B1349" s="332" t="s">
        <v>3264</v>
      </c>
      <c r="C1349" s="333">
        <f>IF(H1349&lt;&gt;0,1,)</f>
        <v>0</v>
      </c>
      <c r="D1349" s="328"/>
      <c r="E1349" s="328" t="str">
        <f>VLOOKUP(B1349,DONGIA,DG!$B$6,0)</f>
        <v>T1.1432</v>
      </c>
      <c r="F1349" s="329" t="str">
        <f>VLOOKUP(B1349,DONGIA,DG!$C$6,0)&amp;" (SDL)"</f>
        <v>Máy biến áp 12,7/0,22-0,44kV  37,5kVA (SDL)</v>
      </c>
      <c r="G1349" s="328" t="str">
        <f>VLOOKUP(B1349,DONGIA,DG!$D$6,0)</f>
        <v>máy</v>
      </c>
      <c r="H1349" s="329">
        <f>TRNC2X375*2</f>
        <v>0</v>
      </c>
      <c r="I1349" s="329"/>
      <c r="J1349" s="329"/>
      <c r="K1349" s="329">
        <f>VLOOKUP(B1349,DONGIA,DG!$F$6,0)</f>
        <v>746585</v>
      </c>
      <c r="L1349" s="329">
        <f>VLOOKUP(B1349,DONGIA,DG!$G$6,0)</f>
        <v>360605</v>
      </c>
      <c r="M1349" s="329">
        <f t="shared" ref="M1349:P1351" si="312">$H1349*I1349</f>
        <v>0</v>
      </c>
      <c r="N1349" s="329">
        <f t="shared" si="312"/>
        <v>0</v>
      </c>
      <c r="O1349" s="329">
        <f t="shared" si="312"/>
        <v>0</v>
      </c>
      <c r="P1349" s="329">
        <f t="shared" si="312"/>
        <v>0</v>
      </c>
      <c r="Q1349" s="329"/>
      <c r="S1349" s="332">
        <f t="shared" si="298"/>
        <v>355</v>
      </c>
      <c r="T1349" s="332">
        <f>H1349*S1349</f>
        <v>0</v>
      </c>
    </row>
    <row r="1350" spans="1:20" hidden="1">
      <c r="A1350" s="332" t="s">
        <v>477</v>
      </c>
      <c r="B1350" s="332" t="s">
        <v>1444</v>
      </c>
      <c r="C1350" s="333">
        <f>IF(H1350&lt;&gt;0,1,)</f>
        <v>0</v>
      </c>
      <c r="D1350" s="328"/>
      <c r="E1350" s="328" t="str">
        <f>VLOOKUP(B1350,DONGIA,DG!$B$6,0)</f>
        <v>T2.3505</v>
      </c>
      <c r="F1350" s="329" t="str">
        <f>VLOOKUP(B1350,DONGIA,DG!$C$6,0)&amp;" (SDL)"</f>
        <v>FCO 27kV - 100A (SDL)</v>
      </c>
      <c r="G1350" s="328" t="str">
        <f>VLOOKUP(B1350,DONGIA,DG!$D$6,0)</f>
        <v>cái</v>
      </c>
      <c r="H1350" s="329">
        <f>TRNC2X375</f>
        <v>0</v>
      </c>
      <c r="I1350" s="329"/>
      <c r="J1350" s="329"/>
      <c r="K1350" s="329">
        <f>VLOOKUP(B1350,DONGIA,DG!$F$6,0)</f>
        <v>189552</v>
      </c>
      <c r="L1350" s="329">
        <f>VLOOKUP(B1350,DONGIA,DG!$G$6,0)</f>
        <v>0</v>
      </c>
      <c r="M1350" s="329">
        <f t="shared" si="312"/>
        <v>0</v>
      </c>
      <c r="N1350" s="329">
        <f t="shared" si="312"/>
        <v>0</v>
      </c>
      <c r="O1350" s="329">
        <f t="shared" si="312"/>
        <v>0</v>
      </c>
      <c r="P1350" s="329">
        <f t="shared" si="312"/>
        <v>0</v>
      </c>
      <c r="Q1350" s="329"/>
      <c r="S1350" s="332">
        <f t="shared" si="298"/>
        <v>1.5</v>
      </c>
      <c r="T1350" s="332">
        <f>H1350*S1350</f>
        <v>0</v>
      </c>
    </row>
    <row r="1351" spans="1:20" hidden="1">
      <c r="A1351" s="332" t="s">
        <v>477</v>
      </c>
      <c r="B1351" s="332" t="s">
        <v>943</v>
      </c>
      <c r="C1351" s="333">
        <f>IF(H1351&lt;&gt;0,1,)</f>
        <v>0</v>
      </c>
      <c r="D1351" s="328"/>
      <c r="E1351" s="328" t="str">
        <f>VLOOKUP(B1351,DONGIA,DG!$B$6,0)</f>
        <v>T2.5004</v>
      </c>
      <c r="F1351" s="329" t="str">
        <f>VLOOKUP(B1351,DONGIA,DG!$C$6,0)&amp;" (SDL)"</f>
        <v>LA 18kV 10kA (SDL)</v>
      </c>
      <c r="G1351" s="328" t="str">
        <f>VLOOKUP(B1351,DONGIA,DG!$D$6,0)</f>
        <v>cái</v>
      </c>
      <c r="H1351" s="329">
        <f>TRNC2X375</f>
        <v>0</v>
      </c>
      <c r="I1351" s="329"/>
      <c r="J1351" s="329"/>
      <c r="K1351" s="329">
        <f>VLOOKUP(B1351,DONGIA,DG!$F$6,0)</f>
        <v>71082</v>
      </c>
      <c r="L1351" s="329">
        <f>VLOOKUP(B1351,DONGIA,DG!$G$6,0)</f>
        <v>0</v>
      </c>
      <c r="M1351" s="329">
        <f t="shared" si="312"/>
        <v>0</v>
      </c>
      <c r="N1351" s="329">
        <f t="shared" si="312"/>
        <v>0</v>
      </c>
      <c r="O1351" s="329">
        <f t="shared" si="312"/>
        <v>0</v>
      </c>
      <c r="P1351" s="329">
        <f t="shared" si="312"/>
        <v>0</v>
      </c>
      <c r="Q1351" s="329"/>
      <c r="S1351" s="332">
        <f t="shared" ref="S1351:S1385" si="313">IFERROR(VLOOKUP(B1351,DONGIA,$S$25,0),0)</f>
        <v>0.8</v>
      </c>
      <c r="T1351" s="332">
        <f>H1351*S1351</f>
        <v>0</v>
      </c>
    </row>
    <row r="1352" spans="1:20" hidden="1">
      <c r="A1352" s="332" t="s">
        <v>477</v>
      </c>
      <c r="B1352" s="332" t="s">
        <v>995</v>
      </c>
      <c r="C1352" s="333">
        <f t="shared" si="306"/>
        <v>0</v>
      </c>
      <c r="D1352" s="328"/>
      <c r="E1352" s="328" t="str">
        <f>VLOOKUP(B1352,DONGIA,DG!$B$6,0)</f>
        <v>T2.8403</v>
      </c>
      <c r="F1352" s="329" t="str">
        <f>VLOOKUP(B1352,DONGIA,DG!$C$6,0)</f>
        <v>MCCB 3 cực 400V - 200A - 35KA (125-200A)</v>
      </c>
      <c r="G1352" s="328" t="str">
        <f>VLOOKUP(B1352,DONGIA,DG!$D$6,0)</f>
        <v>cái</v>
      </c>
      <c r="H1352" s="329"/>
      <c r="I1352" s="329">
        <f>VLOOKUP(B1352,DONGIA,DG!$E$6,0)</f>
        <v>1440000</v>
      </c>
      <c r="J1352" s="329"/>
      <c r="K1352" s="329">
        <f>VLOOKUP(B1352,DONGIA,DG!$F$6,0)*0</f>
        <v>0</v>
      </c>
      <c r="L1352" s="329">
        <f>VLOOKUP(B1352,DONGIA,DG!$G$6,0)</f>
        <v>0</v>
      </c>
      <c r="M1352" s="329">
        <f t="shared" si="307"/>
        <v>0</v>
      </c>
      <c r="N1352" s="329">
        <f t="shared" si="308"/>
        <v>0</v>
      </c>
      <c r="O1352" s="329">
        <f t="shared" si="309"/>
        <v>0</v>
      </c>
      <c r="P1352" s="329">
        <f t="shared" si="310"/>
        <v>0</v>
      </c>
      <c r="Q1352" s="329"/>
      <c r="S1352" s="332">
        <f t="shared" si="313"/>
        <v>2</v>
      </c>
      <c r="T1352" s="332">
        <f t="shared" si="311"/>
        <v>0</v>
      </c>
    </row>
    <row r="1353" spans="1:20" hidden="1">
      <c r="A1353" s="332" t="s">
        <v>477</v>
      </c>
      <c r="B1353" s="332" t="s">
        <v>954</v>
      </c>
      <c r="C1353" s="333">
        <f t="shared" si="306"/>
        <v>0</v>
      </c>
      <c r="D1353" s="328"/>
      <c r="E1353" s="328">
        <f>VLOOKUP(B1353,DONGIA,DG!$B$6,0)</f>
        <v>0</v>
      </c>
      <c r="F1353" s="329" t="str">
        <f>VLOOKUP(B1353,DONGIA,DG!$C$6,0)</f>
        <v>Biến dòng 600V - 250/5A</v>
      </c>
      <c r="G1353" s="328" t="str">
        <f>VLOOKUP(B1353,DONGIA,DG!$D$6,0)</f>
        <v>cái</v>
      </c>
      <c r="H1353" s="329">
        <f>TRNC2X375*3</f>
        <v>0</v>
      </c>
      <c r="I1353" s="329">
        <f>VLOOKUP(B1353,DONGIA,DG!$E$6,0)</f>
        <v>0</v>
      </c>
      <c r="J1353" s="329"/>
      <c r="K1353" s="329">
        <f>VLOOKUP(B1353,DONGIA,DG!$F$6,0)</f>
        <v>0</v>
      </c>
      <c r="L1353" s="329">
        <f>VLOOKUP(B1353,DONGIA,DG!$G$6,0)</f>
        <v>0</v>
      </c>
      <c r="M1353" s="329">
        <f t="shared" si="307"/>
        <v>0</v>
      </c>
      <c r="N1353" s="329">
        <f t="shared" si="308"/>
        <v>0</v>
      </c>
      <c r="O1353" s="329">
        <f t="shared" si="309"/>
        <v>0</v>
      </c>
      <c r="P1353" s="329">
        <f t="shared" si="310"/>
        <v>0</v>
      </c>
      <c r="Q1353" s="329"/>
      <c r="S1353" s="332">
        <f t="shared" si="313"/>
        <v>1</v>
      </c>
      <c r="T1353" s="332">
        <f t="shared" si="311"/>
        <v>0</v>
      </c>
    </row>
    <row r="1354" spans="1:20" hidden="1">
      <c r="A1354" s="332" t="s">
        <v>477</v>
      </c>
      <c r="B1354" s="332" t="s">
        <v>1046</v>
      </c>
      <c r="C1354" s="333">
        <f t="shared" si="306"/>
        <v>0</v>
      </c>
      <c r="D1354" s="328"/>
      <c r="E1354" s="328">
        <f>VLOOKUP(B1354,DONGIA,DG!$B$6,0)</f>
        <v>0</v>
      </c>
      <c r="F1354" s="329" t="str">
        <f>VLOOKUP(B1354,DONGIA,DG!$C$6,0)</f>
        <v>Điện kế 3 pha 4 dây 220/380V-5A</v>
      </c>
      <c r="G1354" s="328" t="str">
        <f>VLOOKUP(B1354,DONGIA,DG!$D$6,0)</f>
        <v>cái</v>
      </c>
      <c r="H1354" s="329">
        <f>TRNC2X375</f>
        <v>0</v>
      </c>
      <c r="I1354" s="329">
        <f>VLOOKUP(B1354,DONGIA,DG!$E$6,0)</f>
        <v>0</v>
      </c>
      <c r="J1354" s="329"/>
      <c r="K1354" s="329">
        <f>VLOOKUP(B1354,DONGIA,DG!$F$6,0)</f>
        <v>0</v>
      </c>
      <c r="L1354" s="329">
        <f>VLOOKUP(B1354,DONGIA,DG!$G$6,0)</f>
        <v>0</v>
      </c>
      <c r="M1354" s="329">
        <f t="shared" si="307"/>
        <v>0</v>
      </c>
      <c r="N1354" s="329">
        <f t="shared" si="308"/>
        <v>0</v>
      </c>
      <c r="O1354" s="329">
        <f t="shared" si="309"/>
        <v>0</v>
      </c>
      <c r="P1354" s="329">
        <f t="shared" si="310"/>
        <v>0</v>
      </c>
      <c r="Q1354" s="329"/>
      <c r="S1354" s="332">
        <f t="shared" si="313"/>
        <v>1.5</v>
      </c>
      <c r="T1354" s="332">
        <f t="shared" si="311"/>
        <v>0</v>
      </c>
    </row>
    <row r="1355" spans="1:20" hidden="1">
      <c r="A1355" s="332" t="str">
        <f>"VL"&amp;A1344</f>
        <v>VLTRNC3X375</v>
      </c>
      <c r="C1355" s="333">
        <f>IF(SUM(C1356:C1442)&lt;&gt;0,1,)</f>
        <v>0</v>
      </c>
      <c r="D1355" s="344"/>
      <c r="E1355" s="344"/>
      <c r="F1355" s="345" t="s">
        <v>1901</v>
      </c>
      <c r="G1355" s="344"/>
      <c r="H1355" s="345"/>
      <c r="I1355" s="345"/>
      <c r="J1355" s="345"/>
      <c r="K1355" s="345"/>
      <c r="L1355" s="345"/>
      <c r="M1355" s="345">
        <f>SUM(M1356:M1442)</f>
        <v>0</v>
      </c>
      <c r="N1355" s="345">
        <f>SUM(N1356:N1442)</f>
        <v>0</v>
      </c>
      <c r="O1355" s="345">
        <f>SUM(O1356:O1442)</f>
        <v>0</v>
      </c>
      <c r="P1355" s="345">
        <f>SUM(P1356:P1442)</f>
        <v>0</v>
      </c>
      <c r="Q1355" s="345"/>
      <c r="S1355" s="332">
        <f t="shared" si="313"/>
        <v>0</v>
      </c>
      <c r="T1355" s="371">
        <f>SUM(T1356:T1442)</f>
        <v>0</v>
      </c>
    </row>
    <row r="1356" spans="1:20" hidden="1">
      <c r="C1356" s="333">
        <f t="shared" ref="C1356:C1421" si="314">IF(H1356&lt;&gt;0,1,)</f>
        <v>0</v>
      </c>
      <c r="D1356" s="372">
        <f>IF(H1356&lt;&gt;0,1,)</f>
        <v>0</v>
      </c>
      <c r="E1356" s="372"/>
      <c r="F1356" s="373" t="s">
        <v>1931</v>
      </c>
      <c r="G1356" s="372" t="s">
        <v>138</v>
      </c>
      <c r="H1356" s="372">
        <f>TRNC2X375</f>
        <v>0</v>
      </c>
      <c r="I1356" s="373"/>
      <c r="J1356" s="373"/>
      <c r="K1356" s="373"/>
      <c r="L1356" s="373"/>
      <c r="M1356" s="373"/>
      <c r="N1356" s="373"/>
      <c r="O1356" s="373"/>
      <c r="P1356" s="373"/>
      <c r="Q1356" s="373"/>
      <c r="S1356" s="332">
        <f t="shared" si="313"/>
        <v>0</v>
      </c>
      <c r="T1356" s="332">
        <f t="shared" ref="T1356:T1421" si="315">H1356*S1356</f>
        <v>0</v>
      </c>
    </row>
    <row r="1357" spans="1:20" hidden="1">
      <c r="A1357" s="332" t="s">
        <v>477</v>
      </c>
      <c r="B1357" s="332" t="s">
        <v>1007</v>
      </c>
      <c r="C1357" s="333">
        <f t="shared" si="314"/>
        <v>0</v>
      </c>
      <c r="D1357" s="328"/>
      <c r="E1357" s="328">
        <f>VLOOKUP(B1357,DONGIA,DG!$B$6,0)</f>
        <v>0</v>
      </c>
      <c r="F1357" s="329" t="str">
        <f>VLOOKUP(B1357,DONGIA,DG!$C$6,0)</f>
        <v>Dây chảy 3K</v>
      </c>
      <c r="G1357" s="328" t="str">
        <f>VLOOKUP(B1357,DONGIA,DG!$D$6,0)</f>
        <v>Sợi</v>
      </c>
      <c r="H1357" s="329">
        <f>H1356*3</f>
        <v>0</v>
      </c>
      <c r="I1357" s="329">
        <f>VLOOKUP(B1357,DONGIA,DG!$E$6,0)</f>
        <v>47000</v>
      </c>
      <c r="J1357" s="329"/>
      <c r="K1357" s="329">
        <f>VLOOKUP(B1357,DONGIA,DG!$F$6,0)</f>
        <v>0</v>
      </c>
      <c r="L1357" s="329">
        <f>VLOOKUP(B1357,DONGIA,DG!$G$6,0)</f>
        <v>0</v>
      </c>
      <c r="M1357" s="329">
        <f t="shared" ref="M1357:P1360" si="316">$H1357*I1357</f>
        <v>0</v>
      </c>
      <c r="N1357" s="329">
        <f t="shared" si="316"/>
        <v>0</v>
      </c>
      <c r="O1357" s="329">
        <f t="shared" si="316"/>
        <v>0</v>
      </c>
      <c r="P1357" s="329">
        <f t="shared" si="316"/>
        <v>0</v>
      </c>
      <c r="Q1357" s="329"/>
      <c r="S1357" s="332">
        <f t="shared" si="313"/>
        <v>0</v>
      </c>
      <c r="T1357" s="332">
        <f t="shared" si="315"/>
        <v>0</v>
      </c>
    </row>
    <row r="1358" spans="1:20" hidden="1">
      <c r="A1358" s="332" t="s">
        <v>477</v>
      </c>
      <c r="B1358" s="332" t="s">
        <v>131</v>
      </c>
      <c r="C1358" s="333">
        <f t="shared" si="314"/>
        <v>0</v>
      </c>
      <c r="D1358" s="328"/>
      <c r="E1358" s="328">
        <f>VLOOKUP(B1358,DONGIA,DG!$B$6,0)</f>
        <v>0</v>
      </c>
      <c r="F1358" s="329" t="str">
        <f>VLOOKUP(B1358,DONGIA,DG!$C$6,0)</f>
        <v>Chụp đầu FCO (Trên + Dưới)</v>
      </c>
      <c r="G1358" s="328" t="str">
        <f>VLOOKUP(B1358,DONGIA,DG!$D$6,0)</f>
        <v>bộ</v>
      </c>
      <c r="H1358" s="329">
        <f>H1356*3</f>
        <v>0</v>
      </c>
      <c r="I1358" s="329">
        <f>VLOOKUP(B1358,DONGIA,DG!$E$6,0)</f>
        <v>190000</v>
      </c>
      <c r="J1358" s="329"/>
      <c r="K1358" s="329">
        <f>VLOOKUP(B1358,DONGIA,DG!$F$6,0)</f>
        <v>0</v>
      </c>
      <c r="L1358" s="329">
        <f>VLOOKUP(B1358,DONGIA,DG!$G$6,0)</f>
        <v>0</v>
      </c>
      <c r="M1358" s="329">
        <f t="shared" si="316"/>
        <v>0</v>
      </c>
      <c r="N1358" s="329">
        <f t="shared" si="316"/>
        <v>0</v>
      </c>
      <c r="O1358" s="329">
        <f t="shared" si="316"/>
        <v>0</v>
      </c>
      <c r="P1358" s="329">
        <f t="shared" si="316"/>
        <v>0</v>
      </c>
      <c r="Q1358" s="329"/>
      <c r="S1358" s="332">
        <f t="shared" si="313"/>
        <v>0</v>
      </c>
      <c r="T1358" s="332">
        <f t="shared" si="315"/>
        <v>0</v>
      </c>
    </row>
    <row r="1359" spans="1:20" hidden="1">
      <c r="A1359" s="332" t="s">
        <v>477</v>
      </c>
      <c r="B1359" s="332" t="s">
        <v>133</v>
      </c>
      <c r="C1359" s="333">
        <f t="shared" si="314"/>
        <v>0</v>
      </c>
      <c r="D1359" s="328"/>
      <c r="E1359" s="328">
        <f>VLOOKUP(B1359,DONGIA,DG!$B$6,0)</f>
        <v>0</v>
      </c>
      <c r="F1359" s="329" t="str">
        <f>VLOOKUP(B1359,DONGIA,DG!$C$6,0)</f>
        <v>Chụp đầu LA</v>
      </c>
      <c r="G1359" s="328" t="str">
        <f>VLOOKUP(B1359,DONGIA,DG!$D$6,0)</f>
        <v>cái</v>
      </c>
      <c r="H1359" s="329">
        <f>H1356*3</f>
        <v>0</v>
      </c>
      <c r="I1359" s="329">
        <f>VLOOKUP(B1359,DONGIA,DG!$E$6,0)</f>
        <v>32000</v>
      </c>
      <c r="J1359" s="329"/>
      <c r="K1359" s="329">
        <f>VLOOKUP(B1359,DONGIA,DG!$F$6,0)</f>
        <v>0</v>
      </c>
      <c r="L1359" s="329">
        <f>VLOOKUP(B1359,DONGIA,DG!$G$6,0)</f>
        <v>0</v>
      </c>
      <c r="M1359" s="329">
        <f t="shared" si="316"/>
        <v>0</v>
      </c>
      <c r="N1359" s="329">
        <f t="shared" si="316"/>
        <v>0</v>
      </c>
      <c r="O1359" s="329">
        <f t="shared" si="316"/>
        <v>0</v>
      </c>
      <c r="P1359" s="329">
        <f t="shared" si="316"/>
        <v>0</v>
      </c>
      <c r="Q1359" s="329"/>
      <c r="S1359" s="332">
        <f t="shared" si="313"/>
        <v>0</v>
      </c>
      <c r="T1359" s="332">
        <f t="shared" si="315"/>
        <v>0</v>
      </c>
    </row>
    <row r="1360" spans="1:20" hidden="1">
      <c r="A1360" s="332" t="s">
        <v>477</v>
      </c>
      <c r="B1360" s="332" t="s">
        <v>135</v>
      </c>
      <c r="C1360" s="333">
        <f t="shared" si="314"/>
        <v>0</v>
      </c>
      <c r="D1360" s="328"/>
      <c r="E1360" s="328">
        <f>VLOOKUP(B1360,DONGIA,DG!$B$6,0)</f>
        <v>0</v>
      </c>
      <c r="F1360" s="329" t="str">
        <f>VLOOKUP(B1360,DONGIA,DG!$C$6,0)</f>
        <v>Chụp đầu cực MBA</v>
      </c>
      <c r="G1360" s="328" t="str">
        <f>VLOOKUP(B1360,DONGIA,DG!$D$6,0)</f>
        <v>cái</v>
      </c>
      <c r="H1360" s="329">
        <f>H1356*3</f>
        <v>0</v>
      </c>
      <c r="I1360" s="329">
        <f>VLOOKUP(B1360,DONGIA,DG!$E$6,0)</f>
        <v>52000</v>
      </c>
      <c r="J1360" s="329"/>
      <c r="K1360" s="329">
        <f>VLOOKUP(B1360,DONGIA,DG!$F$6,0)</f>
        <v>0</v>
      </c>
      <c r="L1360" s="329">
        <f>VLOOKUP(B1360,DONGIA,DG!$G$6,0)</f>
        <v>0</v>
      </c>
      <c r="M1360" s="329">
        <f t="shared" si="316"/>
        <v>0</v>
      </c>
      <c r="N1360" s="329">
        <f t="shared" si="316"/>
        <v>0</v>
      </c>
      <c r="O1360" s="329">
        <f t="shared" si="316"/>
        <v>0</v>
      </c>
      <c r="P1360" s="329">
        <f t="shared" si="316"/>
        <v>0</v>
      </c>
      <c r="Q1360" s="329"/>
      <c r="S1360" s="332">
        <f t="shared" si="313"/>
        <v>0</v>
      </c>
      <c r="T1360" s="332">
        <f t="shared" si="315"/>
        <v>0</v>
      </c>
    </row>
    <row r="1361" spans="1:20" hidden="1">
      <c r="A1361" s="332" t="s">
        <v>477</v>
      </c>
      <c r="C1361" s="333">
        <f t="shared" si="314"/>
        <v>0</v>
      </c>
      <c r="D1361" s="372">
        <f>IF(H1361&lt;&gt;0,D1356+1,D1356)</f>
        <v>0</v>
      </c>
      <c r="E1361" s="372"/>
      <c r="F1361" s="373" t="s">
        <v>1932</v>
      </c>
      <c r="G1361" s="372" t="s">
        <v>138</v>
      </c>
      <c r="H1361" s="372">
        <f>TRNC2X375</f>
        <v>0</v>
      </c>
      <c r="I1361" s="373"/>
      <c r="J1361" s="373"/>
      <c r="K1361" s="373"/>
      <c r="L1361" s="373"/>
      <c r="M1361" s="373"/>
      <c r="N1361" s="373"/>
      <c r="O1361" s="373"/>
      <c r="P1361" s="373"/>
      <c r="Q1361" s="373"/>
      <c r="S1361" s="332">
        <f t="shared" si="313"/>
        <v>0</v>
      </c>
      <c r="T1361" s="332">
        <f t="shared" si="315"/>
        <v>0</v>
      </c>
    </row>
    <row r="1362" spans="1:20" s="542" customFormat="1" hidden="1">
      <c r="A1362" s="542" t="s">
        <v>477</v>
      </c>
      <c r="C1362" s="543">
        <f t="shared" si="314"/>
        <v>0</v>
      </c>
      <c r="D1362" s="544"/>
      <c r="E1362" s="544"/>
      <c r="F1362" s="545" t="s">
        <v>1902</v>
      </c>
      <c r="G1362" s="544"/>
      <c r="H1362" s="545"/>
      <c r="I1362" s="545"/>
      <c r="J1362" s="545"/>
      <c r="K1362" s="545"/>
      <c r="L1362" s="545"/>
      <c r="M1362" s="545"/>
      <c r="N1362" s="545"/>
      <c r="O1362" s="545"/>
      <c r="P1362" s="545"/>
      <c r="Q1362" s="545"/>
      <c r="S1362" s="542">
        <f t="shared" si="313"/>
        <v>0</v>
      </c>
      <c r="T1362" s="542">
        <f t="shared" si="315"/>
        <v>0</v>
      </c>
    </row>
    <row r="1363" spans="1:20" s="405" customFormat="1" hidden="1">
      <c r="A1363" s="405" t="s">
        <v>477</v>
      </c>
      <c r="B1363" s="405" t="s">
        <v>18</v>
      </c>
      <c r="C1363" s="418">
        <f t="shared" si="314"/>
        <v>0</v>
      </c>
      <c r="D1363" s="523"/>
      <c r="E1363" s="523">
        <f>VLOOKUP(B1363,DONGIA,DG!$B$6,0)</f>
        <v>0</v>
      </c>
      <c r="F1363" s="525" t="str">
        <f>VLOOKUP(B1363,DONGIA,DG!$C$6,0)</f>
        <v>Đà hộp composite 110x80x5-2400</v>
      </c>
      <c r="G1363" s="523" t="str">
        <f>VLOOKUP(B1363,DONGIA,DG!$D$6,0)</f>
        <v>cái</v>
      </c>
      <c r="H1363" s="525">
        <f>H1361</f>
        <v>0</v>
      </c>
      <c r="I1363" s="525">
        <f>VLOOKUP(B1363,DONGIA,DG!$E$6,0)</f>
        <v>812200</v>
      </c>
      <c r="J1363" s="525"/>
      <c r="K1363" s="525">
        <f>VLOOKUP(B1363,DONGIA,DG!$F$6,0)</f>
        <v>0</v>
      </c>
      <c r="L1363" s="525">
        <f>VLOOKUP(B1363,DONGIA,DG!$G$6,0)</f>
        <v>0</v>
      </c>
      <c r="M1363" s="525">
        <f t="shared" ref="M1363:M1369" si="317">$H1363*I1363</f>
        <v>0</v>
      </c>
      <c r="N1363" s="525">
        <f t="shared" ref="N1363:N1369" si="318">$H1363*J1363</f>
        <v>0</v>
      </c>
      <c r="O1363" s="525">
        <f t="shared" ref="O1363:O1369" si="319">$H1363*K1363</f>
        <v>0</v>
      </c>
      <c r="P1363" s="525">
        <f t="shared" ref="P1363:P1369" si="320">$H1363*L1363</f>
        <v>0</v>
      </c>
      <c r="Q1363" s="525"/>
      <c r="S1363" s="405">
        <f t="shared" si="313"/>
        <v>9.6</v>
      </c>
      <c r="T1363" s="405">
        <f t="shared" si="315"/>
        <v>0</v>
      </c>
    </row>
    <row r="1364" spans="1:20" s="405" customFormat="1" hidden="1">
      <c r="A1364" s="405" t="s">
        <v>477</v>
      </c>
      <c r="B1364" s="405" t="s">
        <v>20</v>
      </c>
      <c r="C1364" s="418">
        <f t="shared" si="314"/>
        <v>0</v>
      </c>
      <c r="D1364" s="523"/>
      <c r="E1364" s="523">
        <f>VLOOKUP(B1364,DONGIA,DG!$B$6,0)</f>
        <v>0</v>
      </c>
      <c r="F1364" s="525" t="str">
        <f>VLOOKUP(B1364,DONGIA,DG!$C$6,0)</f>
        <v>Thanh chống Composite dẹp 10x40x920</v>
      </c>
      <c r="G1364" s="523" t="str">
        <f>VLOOKUP(B1364,DONGIA,DG!$D$6,0)</f>
        <v>cái</v>
      </c>
      <c r="H1364" s="525">
        <f>H1363*2</f>
        <v>0</v>
      </c>
      <c r="I1364" s="525">
        <f>VLOOKUP(B1364,DONGIA,DG!$E$6,0)</f>
        <v>108100</v>
      </c>
      <c r="J1364" s="525"/>
      <c r="K1364" s="525">
        <f>VLOOKUP(B1364,DONGIA,DG!$F$6,0)</f>
        <v>0</v>
      </c>
      <c r="L1364" s="525">
        <f>VLOOKUP(B1364,DONGIA,DG!$G$6,0)</f>
        <v>0</v>
      </c>
      <c r="M1364" s="525">
        <f t="shared" si="317"/>
        <v>0</v>
      </c>
      <c r="N1364" s="525">
        <f t="shared" si="318"/>
        <v>0</v>
      </c>
      <c r="O1364" s="525">
        <f t="shared" si="319"/>
        <v>0</v>
      </c>
      <c r="P1364" s="525">
        <f t="shared" si="320"/>
        <v>0</v>
      </c>
      <c r="Q1364" s="525"/>
      <c r="S1364" s="405">
        <f t="shared" si="313"/>
        <v>0.7</v>
      </c>
      <c r="T1364" s="405">
        <f t="shared" si="315"/>
        <v>0</v>
      </c>
    </row>
    <row r="1365" spans="1:20" s="405" customFormat="1" hidden="1">
      <c r="A1365" s="405" t="s">
        <v>477</v>
      </c>
      <c r="B1365" s="405" t="s">
        <v>139</v>
      </c>
      <c r="C1365" s="418">
        <f t="shared" si="314"/>
        <v>0</v>
      </c>
      <c r="D1365" s="523"/>
      <c r="E1365" s="523">
        <f>VLOOKUP(B1365,DONGIA,DG!$B$6,0)</f>
        <v>0</v>
      </c>
      <c r="F1365" s="525" t="str">
        <f>VLOOKUP(B1365,DONGIA,DG!$C$6,0)</f>
        <v>Bass LL bắt FCO và LA</v>
      </c>
      <c r="G1365" s="523" t="str">
        <f>VLOOKUP(B1365,DONGIA,DG!$D$6,0)</f>
        <v>bộ</v>
      </c>
      <c r="H1365" s="525">
        <f>H1361*3</f>
        <v>0</v>
      </c>
      <c r="I1365" s="525">
        <f>VLOOKUP(B1365,DONGIA,DG!$E$6,0)</f>
        <v>56000</v>
      </c>
      <c r="J1365" s="525"/>
      <c r="K1365" s="525">
        <f>VLOOKUP(B1365,DONGIA,DG!$F$6,0)</f>
        <v>0</v>
      </c>
      <c r="L1365" s="525">
        <f>VLOOKUP(B1365,DONGIA,DG!$G$6,0)</f>
        <v>0</v>
      </c>
      <c r="M1365" s="525">
        <f t="shared" si="317"/>
        <v>0</v>
      </c>
      <c r="N1365" s="525">
        <f t="shared" si="318"/>
        <v>0</v>
      </c>
      <c r="O1365" s="525">
        <f t="shared" si="319"/>
        <v>0</v>
      </c>
      <c r="P1365" s="525">
        <f t="shared" si="320"/>
        <v>0</v>
      </c>
      <c r="Q1365" s="525"/>
      <c r="S1365" s="405">
        <f t="shared" si="313"/>
        <v>0.5</v>
      </c>
      <c r="T1365" s="405">
        <f t="shared" si="315"/>
        <v>0</v>
      </c>
    </row>
    <row r="1366" spans="1:20" s="405" customFormat="1" hidden="1">
      <c r="A1366" s="405" t="s">
        <v>477</v>
      </c>
      <c r="B1366" s="405" t="s">
        <v>37</v>
      </c>
      <c r="C1366" s="418">
        <f t="shared" si="314"/>
        <v>0</v>
      </c>
      <c r="D1366" s="523"/>
      <c r="E1366" s="523">
        <f>VLOOKUP(B1366,DONGIA,DG!$B$6,0)</f>
        <v>0</v>
      </c>
      <c r="F1366" s="525" t="str">
        <f>VLOOKUP(B1366,DONGIA,DG!$C$6,0)</f>
        <v>Boulon 16x350+ 2 long đền vuông D18-50x50x3/Zn</v>
      </c>
      <c r="G1366" s="523" t="str">
        <f>VLOOKUP(B1366,DONGIA,DG!$D$6,0)</f>
        <v>bộ</v>
      </c>
      <c r="H1366" s="525">
        <f>H1361</f>
        <v>0</v>
      </c>
      <c r="I1366" s="525">
        <f>VLOOKUP(B1366,DONGIA,DG!$E$6,0)</f>
        <v>32000</v>
      </c>
      <c r="J1366" s="525"/>
      <c r="K1366" s="525">
        <f>VLOOKUP(B1366,DONGIA,DG!$F$6,0)</f>
        <v>0</v>
      </c>
      <c r="L1366" s="525">
        <f>VLOOKUP(B1366,DONGIA,DG!$G$6,0)</f>
        <v>0</v>
      </c>
      <c r="M1366" s="525">
        <f t="shared" si="317"/>
        <v>0</v>
      </c>
      <c r="N1366" s="525">
        <f t="shared" si="318"/>
        <v>0</v>
      </c>
      <c r="O1366" s="525">
        <f t="shared" si="319"/>
        <v>0</v>
      </c>
      <c r="P1366" s="525">
        <f t="shared" si="320"/>
        <v>0</v>
      </c>
      <c r="Q1366" s="525"/>
      <c r="S1366" s="405">
        <f t="shared" si="313"/>
        <v>0.3</v>
      </c>
      <c r="T1366" s="405">
        <f t="shared" si="315"/>
        <v>0</v>
      </c>
    </row>
    <row r="1367" spans="1:20" s="405" customFormat="1" hidden="1">
      <c r="A1367" s="405" t="s">
        <v>477</v>
      </c>
      <c r="B1367" s="405" t="s">
        <v>35</v>
      </c>
      <c r="C1367" s="418">
        <f t="shared" si="314"/>
        <v>0</v>
      </c>
      <c r="D1367" s="523"/>
      <c r="E1367" s="523">
        <f>VLOOKUP(B1367,DONGIA,DG!$B$6,0)</f>
        <v>0</v>
      </c>
      <c r="F1367" s="525" t="str">
        <f>VLOOKUP(B1367,DONGIA,DG!$C$6,0)</f>
        <v>Boulon 16x300+ 2 long đền vuông D18-50x50x3/Zn</v>
      </c>
      <c r="G1367" s="523" t="str">
        <f>VLOOKUP(B1367,DONGIA,DG!$D$6,0)</f>
        <v>bộ</v>
      </c>
      <c r="H1367" s="525">
        <f>H1361</f>
        <v>0</v>
      </c>
      <c r="I1367" s="525">
        <f>VLOOKUP(B1367,DONGIA,DG!$E$6,0)</f>
        <v>30000</v>
      </c>
      <c r="J1367" s="525"/>
      <c r="K1367" s="525">
        <f>VLOOKUP(B1367,DONGIA,DG!$F$6,0)</f>
        <v>0</v>
      </c>
      <c r="L1367" s="525">
        <f>VLOOKUP(B1367,DONGIA,DG!$G$6,0)</f>
        <v>0</v>
      </c>
      <c r="M1367" s="525">
        <f t="shared" si="317"/>
        <v>0</v>
      </c>
      <c r="N1367" s="525">
        <f t="shared" si="318"/>
        <v>0</v>
      </c>
      <c r="O1367" s="525">
        <f t="shared" si="319"/>
        <v>0</v>
      </c>
      <c r="P1367" s="525">
        <f t="shared" si="320"/>
        <v>0</v>
      </c>
      <c r="Q1367" s="525"/>
      <c r="S1367" s="405">
        <f t="shared" si="313"/>
        <v>0.25</v>
      </c>
      <c r="T1367" s="405">
        <f t="shared" si="315"/>
        <v>0</v>
      </c>
    </row>
    <row r="1368" spans="1:20" s="405" customFormat="1" hidden="1">
      <c r="A1368" s="405" t="s">
        <v>477</v>
      </c>
      <c r="B1368" s="405" t="s">
        <v>27</v>
      </c>
      <c r="C1368" s="418">
        <f t="shared" si="314"/>
        <v>0</v>
      </c>
      <c r="D1368" s="523"/>
      <c r="E1368" s="523">
        <f>VLOOKUP(B1368,DONGIA,DG!$B$6,0)</f>
        <v>0</v>
      </c>
      <c r="F1368" s="525" t="str">
        <f>VLOOKUP(B1368,DONGIA,DG!$C$6,0)</f>
        <v>Boulon 14x120+ 2 long đền vuông D16-50x50x3/Zn</v>
      </c>
      <c r="G1368" s="523" t="str">
        <f>VLOOKUP(B1368,DONGIA,DG!$D$6,0)</f>
        <v>bộ</v>
      </c>
      <c r="H1368" s="525">
        <f>H1364</f>
        <v>0</v>
      </c>
      <c r="I1368" s="525">
        <f>VLOOKUP(B1368,DONGIA,DG!$E$6,0)</f>
        <v>19000</v>
      </c>
      <c r="J1368" s="525"/>
      <c r="K1368" s="525">
        <f>VLOOKUP(B1368,DONGIA,DG!$F$6,0)</f>
        <v>0</v>
      </c>
      <c r="L1368" s="525">
        <f>VLOOKUP(B1368,DONGIA,DG!$G$6,0)</f>
        <v>0</v>
      </c>
      <c r="M1368" s="525">
        <f t="shared" si="317"/>
        <v>0</v>
      </c>
      <c r="N1368" s="525">
        <f t="shared" si="318"/>
        <v>0</v>
      </c>
      <c r="O1368" s="525">
        <f t="shared" si="319"/>
        <v>0</v>
      </c>
      <c r="P1368" s="525">
        <f t="shared" si="320"/>
        <v>0</v>
      </c>
      <c r="Q1368" s="525"/>
      <c r="S1368" s="405">
        <f t="shared" si="313"/>
        <v>0.2</v>
      </c>
      <c r="T1368" s="405">
        <f t="shared" si="315"/>
        <v>0</v>
      </c>
    </row>
    <row r="1369" spans="1:20" hidden="1">
      <c r="A1369" s="332" t="s">
        <v>477</v>
      </c>
      <c r="B1369" s="332" t="s">
        <v>618</v>
      </c>
      <c r="C1369" s="333">
        <f t="shared" si="314"/>
        <v>0</v>
      </c>
      <c r="D1369" s="328"/>
      <c r="E1369" s="328" t="str">
        <f>VLOOKUP(B1369,DONGIA,DG!$B$6,0)</f>
        <v>D2.6011</v>
      </c>
      <c r="F1369" s="329" t="str">
        <f>VLOOKUP(B1369,DONGIA,DG!$C$6,0)</f>
        <v>Lắp đà composite 2400mm đơn (KL &lt;=15kg, trụ BTLT, tính = 0.8 đà sắt)</v>
      </c>
      <c r="G1369" s="328" t="str">
        <f>VLOOKUP(B1369,DONGIA,DG!$D$6,0)</f>
        <v>bộ</v>
      </c>
      <c r="H1369" s="329">
        <f>H1361</f>
        <v>0</v>
      </c>
      <c r="I1369" s="329">
        <f>VLOOKUP(B1369,DONGIA,DG!$E$6,0)</f>
        <v>0</v>
      </c>
      <c r="J1369" s="329"/>
      <c r="K1369" s="329">
        <f>VLOOKUP(B1369,DONGIA,DG!$F$6,0)</f>
        <v>134360</v>
      </c>
      <c r="L1369" s="329">
        <f>VLOOKUP(B1369,DONGIA,DG!$G$6,0)</f>
        <v>0</v>
      </c>
      <c r="M1369" s="329">
        <f t="shared" si="317"/>
        <v>0</v>
      </c>
      <c r="N1369" s="329">
        <f t="shared" si="318"/>
        <v>0</v>
      </c>
      <c r="O1369" s="329">
        <f t="shared" si="319"/>
        <v>0</v>
      </c>
      <c r="P1369" s="329">
        <f t="shared" si="320"/>
        <v>0</v>
      </c>
      <c r="Q1369" s="329"/>
      <c r="S1369" s="332">
        <f t="shared" si="313"/>
        <v>0</v>
      </c>
      <c r="T1369" s="332">
        <f t="shared" si="315"/>
        <v>0</v>
      </c>
    </row>
    <row r="1370" spans="1:20" hidden="1">
      <c r="A1370" s="332" t="s">
        <v>477</v>
      </c>
      <c r="C1370" s="333">
        <f t="shared" si="314"/>
        <v>0</v>
      </c>
      <c r="D1370" s="372">
        <f>IF(H1370&lt;&gt;0,D1361+1,D1361)</f>
        <v>0</v>
      </c>
      <c r="E1370" s="372"/>
      <c r="F1370" s="373" t="s">
        <v>1910</v>
      </c>
      <c r="G1370" s="372" t="s">
        <v>138</v>
      </c>
      <c r="H1370" s="372">
        <f>TRNC2X375</f>
        <v>0</v>
      </c>
      <c r="I1370" s="373"/>
      <c r="J1370" s="373"/>
      <c r="K1370" s="373"/>
      <c r="L1370" s="373"/>
      <c r="M1370" s="373"/>
      <c r="N1370" s="373"/>
      <c r="O1370" s="373"/>
      <c r="P1370" s="373"/>
      <c r="Q1370" s="373"/>
      <c r="S1370" s="332">
        <f t="shared" si="313"/>
        <v>0</v>
      </c>
      <c r="T1370" s="332">
        <f t="shared" si="315"/>
        <v>0</v>
      </c>
    </row>
    <row r="1371" spans="1:20" s="361" customFormat="1" hidden="1">
      <c r="A1371" s="361" t="s">
        <v>477</v>
      </c>
      <c r="C1371" s="374">
        <f t="shared" si="314"/>
        <v>0</v>
      </c>
      <c r="D1371" s="350"/>
      <c r="E1371" s="350"/>
      <c r="F1371" s="351" t="s">
        <v>1902</v>
      </c>
      <c r="G1371" s="350"/>
      <c r="H1371" s="351"/>
      <c r="I1371" s="351"/>
      <c r="J1371" s="351"/>
      <c r="K1371" s="351"/>
      <c r="L1371" s="351"/>
      <c r="M1371" s="351"/>
      <c r="N1371" s="351"/>
      <c r="O1371" s="351"/>
      <c r="P1371" s="351"/>
      <c r="Q1371" s="351"/>
      <c r="S1371" s="361">
        <f t="shared" si="313"/>
        <v>0</v>
      </c>
      <c r="T1371" s="361">
        <f t="shared" si="315"/>
        <v>0</v>
      </c>
    </row>
    <row r="1372" spans="1:20" hidden="1">
      <c r="A1372" s="332" t="s">
        <v>477</v>
      </c>
      <c r="B1372" s="332" t="s">
        <v>1060</v>
      </c>
      <c r="C1372" s="333">
        <f t="shared" si="314"/>
        <v>0</v>
      </c>
      <c r="D1372" s="328"/>
      <c r="E1372" s="328" t="str">
        <f>VLOOKUP(B1372,DONGIA,DG!$B$6,0)</f>
        <v>T4.9302</v>
      </c>
      <c r="F1372" s="329" t="str">
        <f>VLOOKUP(B1372,DONGIA,DG!$C$6,0)</f>
        <v>Gía chùm treo máy biến áp 3x50</v>
      </c>
      <c r="G1372" s="328" t="str">
        <f>VLOOKUP(B1372,DONGIA,DG!$D$6,0)</f>
        <v>Bộ</v>
      </c>
      <c r="H1372" s="329">
        <f>H1370</f>
        <v>0</v>
      </c>
      <c r="I1372" s="329">
        <f>VLOOKUP(B1372,DONGIA,DG!$E$6,0)</f>
        <v>1950000</v>
      </c>
      <c r="J1372" s="329"/>
      <c r="K1372" s="329">
        <f>VLOOKUP(B1372,DONGIA,DG!$F$6,0)</f>
        <v>103615.056</v>
      </c>
      <c r="L1372" s="329">
        <f>VLOOKUP(B1372,DONGIA,DG!$G$6,0)</f>
        <v>0</v>
      </c>
      <c r="M1372" s="329">
        <f t="shared" ref="M1372:P1374" si="321">$H1372*I1372</f>
        <v>0</v>
      </c>
      <c r="N1372" s="329">
        <f t="shared" si="321"/>
        <v>0</v>
      </c>
      <c r="O1372" s="329">
        <f t="shared" si="321"/>
        <v>0</v>
      </c>
      <c r="P1372" s="329">
        <f t="shared" si="321"/>
        <v>0</v>
      </c>
      <c r="Q1372" s="329"/>
      <c r="S1372" s="332">
        <f t="shared" si="313"/>
        <v>38</v>
      </c>
      <c r="T1372" s="332">
        <f t="shared" si="315"/>
        <v>0</v>
      </c>
    </row>
    <row r="1373" spans="1:20" hidden="1">
      <c r="A1373" s="332" t="s">
        <v>477</v>
      </c>
      <c r="B1373" s="332" t="s">
        <v>37</v>
      </c>
      <c r="C1373" s="333">
        <f t="shared" si="314"/>
        <v>0</v>
      </c>
      <c r="D1373" s="328"/>
      <c r="E1373" s="328">
        <f>VLOOKUP(B1373,DONGIA,DG!$B$6,0)</f>
        <v>0</v>
      </c>
      <c r="F1373" s="329" t="str">
        <f>VLOOKUP(B1373,DONGIA,DG!$C$6,0)</f>
        <v>Boulon 16x350+ 2 long đền vuông D18-50x50x3/Zn</v>
      </c>
      <c r="G1373" s="328" t="str">
        <f>VLOOKUP(B1373,DONGIA,DG!$D$6,0)</f>
        <v>bộ</v>
      </c>
      <c r="H1373" s="329">
        <f>H1370*2</f>
        <v>0</v>
      </c>
      <c r="I1373" s="329">
        <f>VLOOKUP(B1373,DONGIA,DG!$E$6,0)</f>
        <v>32000</v>
      </c>
      <c r="J1373" s="329"/>
      <c r="K1373" s="329">
        <f>VLOOKUP(B1373,DONGIA,DG!$F$6,0)</f>
        <v>0</v>
      </c>
      <c r="L1373" s="329">
        <f>VLOOKUP(B1373,DONGIA,DG!$G$6,0)</f>
        <v>0</v>
      </c>
      <c r="M1373" s="329">
        <f t="shared" si="321"/>
        <v>0</v>
      </c>
      <c r="N1373" s="329">
        <f t="shared" si="321"/>
        <v>0</v>
      </c>
      <c r="O1373" s="329">
        <f t="shared" si="321"/>
        <v>0</v>
      </c>
      <c r="P1373" s="329">
        <f t="shared" si="321"/>
        <v>0</v>
      </c>
      <c r="Q1373" s="329"/>
      <c r="S1373" s="332">
        <f t="shared" si="313"/>
        <v>0.3</v>
      </c>
      <c r="T1373" s="332">
        <f t="shared" si="315"/>
        <v>0</v>
      </c>
    </row>
    <row r="1374" spans="1:20" hidden="1">
      <c r="A1374" s="332" t="s">
        <v>477</v>
      </c>
      <c r="B1374" s="332" t="s">
        <v>29</v>
      </c>
      <c r="C1374" s="333">
        <f t="shared" si="314"/>
        <v>0</v>
      </c>
      <c r="D1374" s="328"/>
      <c r="E1374" s="328">
        <f>VLOOKUP(B1374,DONGIA,DG!$B$6,0)</f>
        <v>0</v>
      </c>
      <c r="F1374" s="329" t="str">
        <f>VLOOKUP(B1374,DONGIA,DG!$C$6,0)</f>
        <v>Boulon 16x50+ 2 long đền vuông D18-50x50x3/Zn</v>
      </c>
      <c r="G1374" s="328" t="str">
        <f>VLOOKUP(B1374,DONGIA,DG!$D$6,0)</f>
        <v>bộ</v>
      </c>
      <c r="H1374" s="329">
        <f>H1370*6</f>
        <v>0</v>
      </c>
      <c r="I1374" s="329">
        <f>VLOOKUP(B1374,DONGIA,DG!$E$6,0)</f>
        <v>17000</v>
      </c>
      <c r="J1374" s="329"/>
      <c r="K1374" s="329">
        <f>VLOOKUP(B1374,DONGIA,DG!$F$6,0)</f>
        <v>0</v>
      </c>
      <c r="L1374" s="329">
        <f>VLOOKUP(B1374,DONGIA,DG!$G$6,0)</f>
        <v>0</v>
      </c>
      <c r="M1374" s="329">
        <f t="shared" si="321"/>
        <v>0</v>
      </c>
      <c r="N1374" s="329">
        <f t="shared" si="321"/>
        <v>0</v>
      </c>
      <c r="O1374" s="329">
        <f t="shared" si="321"/>
        <v>0</v>
      </c>
      <c r="P1374" s="329">
        <f t="shared" si="321"/>
        <v>0</v>
      </c>
      <c r="Q1374" s="329"/>
      <c r="S1374" s="332">
        <f t="shared" si="313"/>
        <v>0.25</v>
      </c>
      <c r="T1374" s="332">
        <f t="shared" si="315"/>
        <v>0</v>
      </c>
    </row>
    <row r="1375" spans="1:20" hidden="1">
      <c r="A1375" s="332" t="s">
        <v>477</v>
      </c>
      <c r="C1375" s="333">
        <f t="shared" si="314"/>
        <v>0</v>
      </c>
      <c r="D1375" s="372">
        <f>IF(H1375&lt;&gt;0,D1370+1,D1370)</f>
        <v>0</v>
      </c>
      <c r="E1375" s="372"/>
      <c r="F1375" s="373" t="s">
        <v>1942</v>
      </c>
      <c r="G1375" s="372" t="s">
        <v>138</v>
      </c>
      <c r="H1375" s="372">
        <f>TRNC2X375</f>
        <v>0</v>
      </c>
      <c r="I1375" s="373"/>
      <c r="J1375" s="373"/>
      <c r="K1375" s="373"/>
      <c r="L1375" s="373"/>
      <c r="M1375" s="373"/>
      <c r="N1375" s="373"/>
      <c r="O1375" s="373"/>
      <c r="P1375" s="373"/>
      <c r="Q1375" s="373"/>
      <c r="S1375" s="332">
        <f t="shared" si="313"/>
        <v>0</v>
      </c>
      <c r="T1375" s="332">
        <f t="shared" si="315"/>
        <v>0</v>
      </c>
    </row>
    <row r="1376" spans="1:20" s="361" customFormat="1" hidden="1">
      <c r="A1376" s="361" t="s">
        <v>477</v>
      </c>
      <c r="C1376" s="374">
        <f t="shared" si="314"/>
        <v>0</v>
      </c>
      <c r="D1376" s="350"/>
      <c r="E1376" s="350"/>
      <c r="F1376" s="351" t="s">
        <v>1902</v>
      </c>
      <c r="G1376" s="350"/>
      <c r="H1376" s="351"/>
      <c r="I1376" s="351"/>
      <c r="J1376" s="351"/>
      <c r="K1376" s="351"/>
      <c r="L1376" s="351"/>
      <c r="M1376" s="351"/>
      <c r="N1376" s="351"/>
      <c r="O1376" s="351"/>
      <c r="P1376" s="351"/>
      <c r="Q1376" s="351"/>
      <c r="S1376" s="361">
        <f t="shared" si="313"/>
        <v>0</v>
      </c>
      <c r="T1376" s="361">
        <f t="shared" si="315"/>
        <v>0</v>
      </c>
    </row>
    <row r="1377" spans="1:20" hidden="1">
      <c r="A1377" s="332" t="s">
        <v>477</v>
      </c>
      <c r="B1377" s="332" t="s">
        <v>144</v>
      </c>
      <c r="C1377" s="333">
        <f t="shared" si="314"/>
        <v>0</v>
      </c>
      <c r="D1377" s="328"/>
      <c r="E1377" s="328">
        <f>VLOOKUP(B1377,DONGIA,DG!$B$6,0)</f>
        <v>0</v>
      </c>
      <c r="F1377" s="329" t="str">
        <f>VLOOKUP(B1377,DONGIA,DG!$C$6,0)</f>
        <v>Cáp đồng trần M25mm2</v>
      </c>
      <c r="G1377" s="328" t="str">
        <f>VLOOKUP(B1377,DONGIA,DG!$D$6,0)</f>
        <v>kg</v>
      </c>
      <c r="H1377" s="458">
        <f>(TDTR3P+3)*H1375*0.224</f>
        <v>0</v>
      </c>
      <c r="I1377" s="329">
        <f>VLOOKUP(B1377,DONGIA,DG!$E$6,0)</f>
        <v>201380</v>
      </c>
      <c r="J1377" s="329"/>
      <c r="K1377" s="329">
        <f>VLOOKUP(B1377,DONGIA,DG!$F$6,0)</f>
        <v>0</v>
      </c>
      <c r="L1377" s="329">
        <f>VLOOKUP(B1377,DONGIA,DG!$G$6,0)</f>
        <v>0</v>
      </c>
      <c r="M1377" s="329">
        <f t="shared" ref="M1377:M1385" si="322">$H1377*I1377</f>
        <v>0</v>
      </c>
      <c r="N1377" s="329">
        <f t="shared" ref="N1377:N1385" si="323">$H1377*J1377</f>
        <v>0</v>
      </c>
      <c r="O1377" s="329">
        <f t="shared" ref="O1377:O1385" si="324">$H1377*K1377</f>
        <v>0</v>
      </c>
      <c r="P1377" s="329">
        <f t="shared" ref="P1377:P1385" si="325">$H1377*L1377</f>
        <v>0</v>
      </c>
      <c r="Q1377" s="329"/>
      <c r="S1377" s="332">
        <f t="shared" si="313"/>
        <v>1</v>
      </c>
      <c r="T1377" s="332">
        <f t="shared" si="315"/>
        <v>0</v>
      </c>
    </row>
    <row r="1378" spans="1:20" hidden="1">
      <c r="A1378" s="332" t="s">
        <v>477</v>
      </c>
      <c r="B1378" s="332" t="s">
        <v>278</v>
      </c>
      <c r="C1378" s="333">
        <f t="shared" si="314"/>
        <v>0</v>
      </c>
      <c r="D1378" s="328"/>
      <c r="E1378" s="328">
        <f>VLOOKUP(B1378,DONGIA,DG!$B$6,0)</f>
        <v>0</v>
      </c>
      <c r="F1378" s="329" t="str">
        <f>VLOOKUP(B1378,DONGIA,DG!$C$6,0)</f>
        <v>Cọc tiếp đất φ16 - 2,4m (mạ đồng 16µm)</v>
      </c>
      <c r="G1378" s="328" t="str">
        <f>VLOOKUP(B1378,DONGIA,DG!$D$6,0)</f>
        <v>cọc</v>
      </c>
      <c r="H1378" s="329">
        <f>H1375*9</f>
        <v>0</v>
      </c>
      <c r="I1378" s="329">
        <f>VLOOKUP(B1378,DONGIA,DG!$E$6,0)</f>
        <v>130000</v>
      </c>
      <c r="J1378" s="329"/>
      <c r="K1378" s="329">
        <f>VLOOKUP(B1378,DONGIA,DG!$F$6,0)</f>
        <v>0</v>
      </c>
      <c r="L1378" s="329">
        <f>VLOOKUP(B1378,DONGIA,DG!$G$6,0)</f>
        <v>0</v>
      </c>
      <c r="M1378" s="329">
        <f t="shared" si="322"/>
        <v>0</v>
      </c>
      <c r="N1378" s="329">
        <f t="shared" si="323"/>
        <v>0</v>
      </c>
      <c r="O1378" s="329">
        <f t="shared" si="324"/>
        <v>0</v>
      </c>
      <c r="P1378" s="329">
        <f t="shared" si="325"/>
        <v>0</v>
      </c>
      <c r="Q1378" s="329"/>
      <c r="S1378" s="332">
        <f t="shared" si="313"/>
        <v>5.3</v>
      </c>
      <c r="T1378" s="332">
        <f t="shared" si="315"/>
        <v>0</v>
      </c>
    </row>
    <row r="1379" spans="1:20" hidden="1">
      <c r="A1379" s="332" t="s">
        <v>477</v>
      </c>
      <c r="B1379" s="332" t="s">
        <v>280</v>
      </c>
      <c r="C1379" s="333">
        <f t="shared" si="314"/>
        <v>0</v>
      </c>
      <c r="D1379" s="328"/>
      <c r="E1379" s="328">
        <f>VLOOKUP(B1379,DONGIA,DG!$B$6,0)</f>
        <v>0</v>
      </c>
      <c r="F1379" s="329" t="str">
        <f>VLOOKUP(B1379,DONGIA,DG!$C$6,0)</f>
        <v>Kẹp cọc tiếp địa</v>
      </c>
      <c r="G1379" s="328" t="str">
        <f>VLOOKUP(B1379,DONGIA,DG!$D$6,0)</f>
        <v>bộ</v>
      </c>
      <c r="H1379" s="329">
        <f>H1378</f>
        <v>0</v>
      </c>
      <c r="I1379" s="329">
        <f>VLOOKUP(B1379,DONGIA,DG!$E$6,0)</f>
        <v>25000</v>
      </c>
      <c r="J1379" s="329"/>
      <c r="K1379" s="329">
        <f>VLOOKUP(B1379,DONGIA,DG!$F$6,0)</f>
        <v>0</v>
      </c>
      <c r="L1379" s="329">
        <f>VLOOKUP(B1379,DONGIA,DG!$G$6,0)</f>
        <v>0</v>
      </c>
      <c r="M1379" s="329">
        <f t="shared" si="322"/>
        <v>0</v>
      </c>
      <c r="N1379" s="329">
        <f t="shared" si="323"/>
        <v>0</v>
      </c>
      <c r="O1379" s="329">
        <f t="shared" si="324"/>
        <v>0</v>
      </c>
      <c r="P1379" s="329">
        <f t="shared" si="325"/>
        <v>0</v>
      </c>
      <c r="Q1379" s="329"/>
      <c r="S1379" s="332">
        <f t="shared" si="313"/>
        <v>0.05</v>
      </c>
      <c r="T1379" s="332">
        <f t="shared" si="315"/>
        <v>0</v>
      </c>
    </row>
    <row r="1380" spans="1:20" hidden="1">
      <c r="A1380" s="332" t="s">
        <v>477</v>
      </c>
      <c r="B1380" s="332" t="s">
        <v>1217</v>
      </c>
      <c r="C1380" s="333">
        <f t="shared" si="314"/>
        <v>0</v>
      </c>
      <c r="D1380" s="328"/>
      <c r="E1380" s="328">
        <f>VLOOKUP(B1380,DONGIA,DG!$B$6,0)</f>
        <v>0</v>
      </c>
      <c r="F1380" s="329" t="str">
        <f>VLOOKUP(B1380,DONGIA,DG!$C$6,0)</f>
        <v xml:space="preserve">Ốc xiết cáp cỡ 38mm2 </v>
      </c>
      <c r="G1380" s="328" t="str">
        <f>VLOOKUP(B1380,DONGIA,DG!$D$6,0)</f>
        <v>cái</v>
      </c>
      <c r="H1380" s="329">
        <f>H1375*6</f>
        <v>0</v>
      </c>
      <c r="I1380" s="329">
        <f>VLOOKUP(B1380,DONGIA,DG!$E$6,0)</f>
        <v>18000</v>
      </c>
      <c r="J1380" s="329"/>
      <c r="K1380" s="329">
        <f>VLOOKUP(B1380,DONGIA,DG!$F$6,0)</f>
        <v>0</v>
      </c>
      <c r="L1380" s="329">
        <f>VLOOKUP(B1380,DONGIA,DG!$G$6,0)</f>
        <v>0</v>
      </c>
      <c r="M1380" s="329">
        <f t="shared" si="322"/>
        <v>0</v>
      </c>
      <c r="N1380" s="329">
        <f t="shared" si="323"/>
        <v>0</v>
      </c>
      <c r="O1380" s="329">
        <f t="shared" si="324"/>
        <v>0</v>
      </c>
      <c r="P1380" s="329">
        <f t="shared" si="325"/>
        <v>0</v>
      </c>
      <c r="Q1380" s="329"/>
      <c r="S1380" s="332">
        <f t="shared" si="313"/>
        <v>0</v>
      </c>
      <c r="T1380" s="332">
        <f t="shared" si="315"/>
        <v>0</v>
      </c>
    </row>
    <row r="1381" spans="1:20" hidden="1">
      <c r="A1381" s="332" t="s">
        <v>477</v>
      </c>
      <c r="B1381" s="332" t="s">
        <v>323</v>
      </c>
      <c r="C1381" s="333">
        <f t="shared" si="314"/>
        <v>0</v>
      </c>
      <c r="D1381" s="328"/>
      <c r="E1381" s="328">
        <f>VLOOKUP(B1381,DONGIA,DG!$B$6,0)</f>
        <v>0</v>
      </c>
      <c r="F1381" s="329" t="str">
        <f>VLOOKUP(B1381,DONGIA,DG!$C$6,0)</f>
        <v>Kẹp ép WR cỡ dây 50mm2</v>
      </c>
      <c r="G1381" s="328" t="str">
        <f>VLOOKUP(B1381,DONGIA,DG!$D$6,0)</f>
        <v>cái</v>
      </c>
      <c r="H1381" s="329">
        <f>H1375*2</f>
        <v>0</v>
      </c>
      <c r="I1381" s="329">
        <f>VLOOKUP(B1381,DONGIA,DG!$E$6,0)</f>
        <v>10000</v>
      </c>
      <c r="J1381" s="329"/>
      <c r="K1381" s="329">
        <f>VLOOKUP(B1381,DONGIA,DG!$F$6,0)</f>
        <v>0</v>
      </c>
      <c r="L1381" s="329">
        <f>VLOOKUP(B1381,DONGIA,DG!$G$6,0)</f>
        <v>0</v>
      </c>
      <c r="M1381" s="329">
        <f t="shared" si="322"/>
        <v>0</v>
      </c>
      <c r="N1381" s="329">
        <f t="shared" si="323"/>
        <v>0</v>
      </c>
      <c r="O1381" s="329">
        <f t="shared" si="324"/>
        <v>0</v>
      </c>
      <c r="P1381" s="329">
        <f t="shared" si="325"/>
        <v>0</v>
      </c>
      <c r="Q1381" s="329"/>
      <c r="S1381" s="332">
        <f t="shared" si="313"/>
        <v>0.2</v>
      </c>
      <c r="T1381" s="332">
        <f t="shared" si="315"/>
        <v>0</v>
      </c>
    </row>
    <row r="1382" spans="1:20" hidden="1">
      <c r="A1382" s="332" t="s">
        <v>477</v>
      </c>
      <c r="B1382" s="332" t="s">
        <v>573</v>
      </c>
      <c r="C1382" s="333">
        <f t="shared" si="314"/>
        <v>0</v>
      </c>
      <c r="D1382" s="328"/>
      <c r="E1382" s="328" t="str">
        <f>VLOOKUP(B1382,DONGIA,DG!$B$6,0)</f>
        <v>T4.7001</v>
      </c>
      <c r="F1382" s="329" t="str">
        <f>VLOOKUP(B1382,DONGIA,DG!$C$6,0)</f>
        <v>Kéo dây tiếp địa trong TBA</v>
      </c>
      <c r="G1382" s="328" t="str">
        <f>VLOOKUP(B1382,DONGIA,DG!$D$6,0)</f>
        <v>mét</v>
      </c>
      <c r="H1382" s="329">
        <f>H1375*(TDTR3P+3)</f>
        <v>0</v>
      </c>
      <c r="I1382" s="329">
        <f>VLOOKUP(B1382,DONGIA,DG!$E$6,0)</f>
        <v>0</v>
      </c>
      <c r="J1382" s="329"/>
      <c r="K1382" s="329">
        <f>VLOOKUP(B1382,DONGIA,DG!$F$6,0)</f>
        <v>6871</v>
      </c>
      <c r="L1382" s="329">
        <f>VLOOKUP(B1382,DONGIA,DG!$G$6,0)</f>
        <v>0</v>
      </c>
      <c r="M1382" s="329">
        <f t="shared" si="322"/>
        <v>0</v>
      </c>
      <c r="N1382" s="329">
        <f t="shared" si="323"/>
        <v>0</v>
      </c>
      <c r="O1382" s="329">
        <f t="shared" si="324"/>
        <v>0</v>
      </c>
      <c r="P1382" s="329">
        <f t="shared" si="325"/>
        <v>0</v>
      </c>
      <c r="Q1382" s="329"/>
      <c r="S1382" s="332">
        <f t="shared" si="313"/>
        <v>0</v>
      </c>
      <c r="T1382" s="332">
        <f t="shared" si="315"/>
        <v>0</v>
      </c>
    </row>
    <row r="1383" spans="1:20" hidden="1">
      <c r="A1383" s="332" t="s">
        <v>477</v>
      </c>
      <c r="B1383" s="332" t="s">
        <v>581</v>
      </c>
      <c r="C1383" s="333">
        <f t="shared" si="314"/>
        <v>0</v>
      </c>
      <c r="D1383" s="328"/>
      <c r="E1383" s="328" t="str">
        <f>VLOOKUP(B1383,DONGIA,DG!$B$6,0)</f>
        <v>D2.8103</v>
      </c>
      <c r="F1383" s="329" t="str">
        <f>VLOOKUP(B1383,DONGIA,DG!$C$6,0)</f>
        <v>Đóng cọc tiếp địa trong TBA (đất cấp 3)</v>
      </c>
      <c r="G1383" s="328" t="str">
        <f>VLOOKUP(B1383,DONGIA,DG!$D$6,0)</f>
        <v>cọc</v>
      </c>
      <c r="H1383" s="329">
        <f>H1378</f>
        <v>0</v>
      </c>
      <c r="I1383" s="329">
        <f>VLOOKUP(B1383,DONGIA,DG!$E$6,0)</f>
        <v>0</v>
      </c>
      <c r="J1383" s="329"/>
      <c r="K1383" s="329">
        <f>VLOOKUP(B1383,DONGIA,DG!$F$6,0)</f>
        <v>76928</v>
      </c>
      <c r="L1383" s="329">
        <f>VLOOKUP(B1383,DONGIA,DG!$G$6,0)</f>
        <v>0</v>
      </c>
      <c r="M1383" s="329">
        <f t="shared" si="322"/>
        <v>0</v>
      </c>
      <c r="N1383" s="329">
        <f t="shared" si="323"/>
        <v>0</v>
      </c>
      <c r="O1383" s="329">
        <f t="shared" si="324"/>
        <v>0</v>
      </c>
      <c r="P1383" s="329">
        <f t="shared" si="325"/>
        <v>0</v>
      </c>
      <c r="Q1383" s="329"/>
      <c r="S1383" s="332">
        <f t="shared" si="313"/>
        <v>0</v>
      </c>
      <c r="T1383" s="332">
        <f t="shared" si="315"/>
        <v>0</v>
      </c>
    </row>
    <row r="1384" spans="1:20" hidden="1">
      <c r="A1384" s="332" t="s">
        <v>477</v>
      </c>
      <c r="B1384" s="332" t="s">
        <v>540</v>
      </c>
      <c r="C1384" s="333">
        <f t="shared" si="314"/>
        <v>0</v>
      </c>
      <c r="D1384" s="328"/>
      <c r="E1384" s="328" t="str">
        <f>VLOOKUP(B1384,DONGIA,DG!$B$6,0)</f>
        <v>AB.11513</v>
      </c>
      <c r="F1384" s="362" t="str">
        <f>VLOOKUP(B1384,DONGIA,DG!$C$6,0)</f>
        <v>Đào rãnh tiếp địa đất cấp 3</v>
      </c>
      <c r="G1384" s="328" t="str">
        <f>VLOOKUP(B1384,DONGIA,DG!$D$6,0)</f>
        <v>m3</v>
      </c>
      <c r="H1384" s="458">
        <f>H1375*DAOTD</f>
        <v>0</v>
      </c>
      <c r="I1384" s="329">
        <f>VLOOKUP(B1384,DONGIA,DG!$E$6,0)</f>
        <v>0</v>
      </c>
      <c r="J1384" s="329"/>
      <c r="K1384" s="525">
        <f>ROUND(VLOOKUP(B1384,DONGIA,DG!$F$6,0)/NCTBA,0)</f>
        <v>241580</v>
      </c>
      <c r="L1384" s="329">
        <f>VLOOKUP(B1384,DONGIA,DG!$G$6,0)</f>
        <v>0</v>
      </c>
      <c r="M1384" s="329">
        <f t="shared" si="322"/>
        <v>0</v>
      </c>
      <c r="N1384" s="329">
        <f t="shared" si="323"/>
        <v>0</v>
      </c>
      <c r="O1384" s="329">
        <f t="shared" si="324"/>
        <v>0</v>
      </c>
      <c r="P1384" s="329">
        <f t="shared" si="325"/>
        <v>0</v>
      </c>
      <c r="Q1384" s="329"/>
      <c r="S1384" s="332">
        <f t="shared" si="313"/>
        <v>0</v>
      </c>
      <c r="T1384" s="332">
        <f t="shared" si="315"/>
        <v>0</v>
      </c>
    </row>
    <row r="1385" spans="1:20" hidden="1">
      <c r="A1385" s="332" t="s">
        <v>477</v>
      </c>
      <c r="B1385" s="332" t="s">
        <v>547</v>
      </c>
      <c r="C1385" s="333">
        <f t="shared" si="314"/>
        <v>0</v>
      </c>
      <c r="D1385" s="328"/>
      <c r="E1385" s="328" t="str">
        <f>VLOOKUP(B1385,DONGIA,DG!$B$6,0)</f>
        <v>AB.65110</v>
      </c>
      <c r="F1385" s="362" t="str">
        <f>VLOOKUP(B1385,DONGIA,DG!$C$6,0)</f>
        <v>Đắp đất rãnh tiếp địa (K=0,85)</v>
      </c>
      <c r="G1385" s="328" t="str">
        <f>VLOOKUP(B1385,DONGIA,DG!$D$6,0)</f>
        <v>m3</v>
      </c>
      <c r="H1385" s="458">
        <f>H1384</f>
        <v>0</v>
      </c>
      <c r="I1385" s="329">
        <f>VLOOKUP(B1385,DONGIA,DG!$E$6,0)</f>
        <v>0</v>
      </c>
      <c r="J1385" s="329"/>
      <c r="K1385" s="525">
        <f>ROUND(VLOOKUP(B1385,DONGIA,DG!$F$6,0)/NCTBA,0)</f>
        <v>16267</v>
      </c>
      <c r="L1385" s="329">
        <f>VLOOKUP(B1385,DONGIA,DG!$G$6,0)</f>
        <v>11176</v>
      </c>
      <c r="M1385" s="329">
        <f t="shared" si="322"/>
        <v>0</v>
      </c>
      <c r="N1385" s="329">
        <f t="shared" si="323"/>
        <v>0</v>
      </c>
      <c r="O1385" s="329">
        <f t="shared" si="324"/>
        <v>0</v>
      </c>
      <c r="P1385" s="329">
        <f t="shared" si="325"/>
        <v>0</v>
      </c>
      <c r="Q1385" s="329"/>
      <c r="S1385" s="332">
        <f t="shared" si="313"/>
        <v>0</v>
      </c>
      <c r="T1385" s="332">
        <f t="shared" si="315"/>
        <v>0</v>
      </c>
    </row>
    <row r="1386" spans="1:20" hidden="1">
      <c r="A1386" s="332" t="s">
        <v>477</v>
      </c>
      <c r="C1386" s="333">
        <f t="shared" si="314"/>
        <v>0</v>
      </c>
      <c r="D1386" s="372">
        <f>IF(H1386&lt;&gt;0,D1375+1,D1375)</f>
        <v>0</v>
      </c>
      <c r="E1386" s="372"/>
      <c r="F1386" s="373" t="s">
        <v>1934</v>
      </c>
      <c r="G1386" s="372" t="s">
        <v>138</v>
      </c>
      <c r="H1386" s="372">
        <f>TRNC2X375</f>
        <v>0</v>
      </c>
      <c r="I1386" s="373"/>
      <c r="J1386" s="373"/>
      <c r="K1386" s="373"/>
      <c r="L1386" s="373"/>
      <c r="M1386" s="373"/>
      <c r="N1386" s="373"/>
      <c r="O1386" s="373"/>
      <c r="P1386" s="373"/>
      <c r="Q1386" s="373"/>
      <c r="S1386" s="332">
        <f t="shared" ref="S1386:S1452" si="326">IFERROR(VLOOKUP(B1386,DONGIA,$S$25,0),0)</f>
        <v>0</v>
      </c>
      <c r="T1386" s="332">
        <f t="shared" si="315"/>
        <v>0</v>
      </c>
    </row>
    <row r="1387" spans="1:20" s="361" customFormat="1" hidden="1">
      <c r="A1387" s="361" t="s">
        <v>477</v>
      </c>
      <c r="C1387" s="374">
        <f t="shared" si="314"/>
        <v>0</v>
      </c>
      <c r="D1387" s="350"/>
      <c r="E1387" s="350"/>
      <c r="F1387" s="351" t="s">
        <v>1902</v>
      </c>
      <c r="G1387" s="350"/>
      <c r="H1387" s="351"/>
      <c r="I1387" s="351"/>
      <c r="J1387" s="351"/>
      <c r="K1387" s="351"/>
      <c r="L1387" s="351"/>
      <c r="M1387" s="351"/>
      <c r="N1387" s="351"/>
      <c r="O1387" s="351"/>
      <c r="P1387" s="351"/>
      <c r="Q1387" s="351"/>
      <c r="S1387" s="361">
        <f t="shared" si="326"/>
        <v>0</v>
      </c>
      <c r="T1387" s="361">
        <f t="shared" si="315"/>
        <v>0</v>
      </c>
    </row>
    <row r="1388" spans="1:20" hidden="1">
      <c r="A1388" s="332" t="s">
        <v>477</v>
      </c>
      <c r="B1388" s="332" t="s">
        <v>989</v>
      </c>
      <c r="C1388" s="333">
        <f t="shared" si="314"/>
        <v>0</v>
      </c>
      <c r="D1388" s="328"/>
      <c r="E1388" s="328" t="str">
        <f>VLOOKUP(B1388,DONGIA,DG!$B$6,0)</f>
        <v>T5.1001</v>
      </c>
      <c r="F1388" s="329" t="str">
        <f>VLOOKUP(B1388,DONGIA,DG!$C$6,0)</f>
        <v>Tủ trạm treo + khóa + boulon + Bakelit + Collier (1 pha)</v>
      </c>
      <c r="G1388" s="328" t="str">
        <f>VLOOKUP(B1388,DONGIA,DG!$D$6,0)</f>
        <v>bộ</v>
      </c>
      <c r="H1388" s="329">
        <f>H1386</f>
        <v>0</v>
      </c>
      <c r="I1388" s="329">
        <f>VLOOKUP(B1388,DONGIA,DG!$E$6,0)</f>
        <v>5446000</v>
      </c>
      <c r="J1388" s="329"/>
      <c r="K1388" s="329">
        <f>VLOOKUP(B1388,DONGIA,DG!$F$6,0)</f>
        <v>645165</v>
      </c>
      <c r="L1388" s="329">
        <f>VLOOKUP(B1388,DONGIA,DG!$G$6,0)</f>
        <v>111154</v>
      </c>
      <c r="M1388" s="329">
        <f>$H1388*I1388</f>
        <v>0</v>
      </c>
      <c r="N1388" s="329">
        <f>$H1388*J1388</f>
        <v>0</v>
      </c>
      <c r="O1388" s="329">
        <f>$H1388*K1388</f>
        <v>0</v>
      </c>
      <c r="P1388" s="329">
        <f>$H1388*L1388</f>
        <v>0</v>
      </c>
      <c r="Q1388" s="329"/>
      <c r="S1388" s="332">
        <f t="shared" si="326"/>
        <v>45</v>
      </c>
      <c r="T1388" s="332">
        <f t="shared" si="315"/>
        <v>0</v>
      </c>
    </row>
    <row r="1389" spans="1:20" hidden="1">
      <c r="C1389" s="333">
        <f t="shared" si="314"/>
        <v>0</v>
      </c>
      <c r="D1389" s="372">
        <f>IF(H1389&lt;&gt;0,D1386+1,D1386)</f>
        <v>0</v>
      </c>
      <c r="E1389" s="372"/>
      <c r="F1389" s="373" t="s">
        <v>1935</v>
      </c>
      <c r="G1389" s="372" t="s">
        <v>138</v>
      </c>
      <c r="H1389" s="372">
        <f>TRNC2X375</f>
        <v>0</v>
      </c>
      <c r="I1389" s="373"/>
      <c r="J1389" s="373"/>
      <c r="K1389" s="373"/>
      <c r="L1389" s="373"/>
      <c r="M1389" s="373"/>
      <c r="N1389" s="373"/>
      <c r="O1389" s="373"/>
      <c r="P1389" s="373"/>
      <c r="Q1389" s="373"/>
      <c r="S1389" s="332">
        <f t="shared" si="326"/>
        <v>0</v>
      </c>
      <c r="T1389" s="332">
        <f t="shared" si="315"/>
        <v>0</v>
      </c>
    </row>
    <row r="1390" spans="1:20" s="361" customFormat="1" hidden="1">
      <c r="C1390" s="374">
        <f t="shared" si="314"/>
        <v>0</v>
      </c>
      <c r="D1390" s="350"/>
      <c r="E1390" s="350"/>
      <c r="F1390" s="351" t="s">
        <v>1902</v>
      </c>
      <c r="G1390" s="350"/>
      <c r="H1390" s="351"/>
      <c r="I1390" s="351"/>
      <c r="J1390" s="351"/>
      <c r="K1390" s="351"/>
      <c r="L1390" s="351"/>
      <c r="M1390" s="351"/>
      <c r="N1390" s="351"/>
      <c r="O1390" s="351"/>
      <c r="P1390" s="351"/>
      <c r="Q1390" s="351"/>
      <c r="S1390" s="361">
        <f t="shared" si="326"/>
        <v>0</v>
      </c>
      <c r="T1390" s="361">
        <f t="shared" si="315"/>
        <v>0</v>
      </c>
    </row>
    <row r="1391" spans="1:20" hidden="1">
      <c r="B1391" s="332" t="s">
        <v>1468</v>
      </c>
      <c r="C1391" s="333">
        <f t="shared" si="314"/>
        <v>0</v>
      </c>
      <c r="D1391" s="328"/>
      <c r="E1391" s="328">
        <f>VLOOKUP(B1391,DONGIA,DG!$B$6,0)</f>
        <v>0</v>
      </c>
      <c r="F1391" s="329" t="str">
        <f>VLOOKUP(B1391,DONGIA,DG!$C$6,0)</f>
        <v>Cáp 24KV C/XLPE/PVC 25mm2</v>
      </c>
      <c r="G1391" s="328" t="str">
        <f>VLOOKUP(B1391,DONGIA,DG!$D$6,0)</f>
        <v>mét</v>
      </c>
      <c r="H1391" s="329">
        <f>H1389*12</f>
        <v>0</v>
      </c>
      <c r="I1391" s="329">
        <f>VLOOKUP(B1391,DONGIA,DG!$E$6,0)</f>
        <v>87540</v>
      </c>
      <c r="J1391" s="329"/>
      <c r="K1391" s="329">
        <f>VLOOKUP(B1391,DONGIA,DG!$F$6,0)</f>
        <v>0</v>
      </c>
      <c r="L1391" s="329">
        <f>VLOOKUP(B1391,DONGIA,DG!$G$6,0)</f>
        <v>0</v>
      </c>
      <c r="M1391" s="329">
        <f t="shared" ref="M1391:P1395" si="327">$H1391*I1391</f>
        <v>0</v>
      </c>
      <c r="N1391" s="329">
        <f t="shared" si="327"/>
        <v>0</v>
      </c>
      <c r="O1391" s="329">
        <f t="shared" si="327"/>
        <v>0</v>
      </c>
      <c r="P1391" s="329">
        <f t="shared" si="327"/>
        <v>0</v>
      </c>
      <c r="Q1391" s="329"/>
      <c r="S1391" s="332">
        <f t="shared" si="326"/>
        <v>0.75</v>
      </c>
      <c r="T1391" s="332">
        <f t="shared" si="315"/>
        <v>0</v>
      </c>
    </row>
    <row r="1392" spans="1:20" hidden="1">
      <c r="B1392" s="332" t="s">
        <v>1507</v>
      </c>
      <c r="C1392" s="333">
        <f t="shared" si="314"/>
        <v>0</v>
      </c>
      <c r="D1392" s="328"/>
      <c r="E1392" s="328"/>
      <c r="F1392" s="329" t="str">
        <f>VLOOKUP(B1392,DONGIA,DG!$C$6,0)</f>
        <v>Kẹp quai 4/0 (quai đồng 8mm)</v>
      </c>
      <c r="G1392" s="328" t="str">
        <f>VLOOKUP(B1392,DONGIA,DG!$D$6,0)</f>
        <v>cái</v>
      </c>
      <c r="H1392" s="329">
        <f>H1389*3</f>
        <v>0</v>
      </c>
      <c r="I1392" s="329">
        <f>VLOOKUP(B1392,DONGIA,DG!$E$6,0)</f>
        <v>145000</v>
      </c>
      <c r="J1392" s="329"/>
      <c r="K1392" s="329"/>
      <c r="L1392" s="329">
        <f>VLOOKUP(B1392,DONGIA,DG!$G$6,0)</f>
        <v>0</v>
      </c>
      <c r="M1392" s="329">
        <f t="shared" si="327"/>
        <v>0</v>
      </c>
      <c r="N1392" s="329">
        <f t="shared" si="327"/>
        <v>0</v>
      </c>
      <c r="O1392" s="329">
        <f t="shared" si="327"/>
        <v>0</v>
      </c>
      <c r="P1392" s="329">
        <f t="shared" si="327"/>
        <v>0</v>
      </c>
      <c r="Q1392" s="329"/>
      <c r="S1392" s="332">
        <f t="shared" si="326"/>
        <v>0.3</v>
      </c>
      <c r="T1392" s="332">
        <f t="shared" si="315"/>
        <v>0</v>
      </c>
    </row>
    <row r="1393" spans="2:20" hidden="1">
      <c r="B1393" s="332" t="s">
        <v>1511</v>
      </c>
      <c r="C1393" s="333">
        <f t="shared" si="314"/>
        <v>0</v>
      </c>
      <c r="D1393" s="328"/>
      <c r="E1393" s="328"/>
      <c r="F1393" s="329" t="str">
        <f>VLOOKUP(B1393,DONGIA,DG!$C$6,0)</f>
        <v>Chụp cách điện kẹp quai</v>
      </c>
      <c r="G1393" s="328" t="str">
        <f>VLOOKUP(B1393,DONGIA,DG!$D$6,0)</f>
        <v>cái</v>
      </c>
      <c r="H1393" s="329">
        <f>H1392</f>
        <v>0</v>
      </c>
      <c r="I1393" s="329">
        <f>VLOOKUP(B1393,DONGIA,DG!$E$6,0)</f>
        <v>122000</v>
      </c>
      <c r="J1393" s="329"/>
      <c r="K1393" s="329"/>
      <c r="L1393" s="329">
        <f>VLOOKUP(B1393,DONGIA,DG!$G$6,0)</f>
        <v>0</v>
      </c>
      <c r="M1393" s="329">
        <f t="shared" si="327"/>
        <v>0</v>
      </c>
      <c r="N1393" s="329">
        <f t="shared" si="327"/>
        <v>0</v>
      </c>
      <c r="O1393" s="329">
        <f t="shared" si="327"/>
        <v>0</v>
      </c>
      <c r="P1393" s="329">
        <f t="shared" si="327"/>
        <v>0</v>
      </c>
      <c r="Q1393" s="329"/>
      <c r="S1393" s="332">
        <f t="shared" si="326"/>
        <v>0.2</v>
      </c>
      <c r="T1393" s="332">
        <f t="shared" si="315"/>
        <v>0</v>
      </c>
    </row>
    <row r="1394" spans="2:20" hidden="1">
      <c r="B1394" s="332" t="s">
        <v>1508</v>
      </c>
      <c r="C1394" s="333">
        <f t="shared" si="314"/>
        <v>0</v>
      </c>
      <c r="D1394" s="328"/>
      <c r="E1394" s="328"/>
      <c r="F1394" s="329" t="str">
        <f>VLOOKUP(B1394,DONGIA,DG!$C$6,0)</f>
        <v>Kẹp hotline 2/0</v>
      </c>
      <c r="G1394" s="328" t="str">
        <f>VLOOKUP(B1394,DONGIA,DG!$D$6,0)</f>
        <v>cái</v>
      </c>
      <c r="H1394" s="329">
        <f>H1393</f>
        <v>0</v>
      </c>
      <c r="I1394" s="329">
        <f>VLOOKUP(B1394,DONGIA,DG!$E$6,0)</f>
        <v>68000</v>
      </c>
      <c r="J1394" s="329"/>
      <c r="K1394" s="329"/>
      <c r="L1394" s="329">
        <f>VLOOKUP(B1394,DONGIA,DG!$G$6,0)</f>
        <v>0</v>
      </c>
      <c r="M1394" s="329">
        <f t="shared" si="327"/>
        <v>0</v>
      </c>
      <c r="N1394" s="329">
        <f t="shared" si="327"/>
        <v>0</v>
      </c>
      <c r="O1394" s="329">
        <f t="shared" si="327"/>
        <v>0</v>
      </c>
      <c r="P1394" s="329">
        <f t="shared" si="327"/>
        <v>0</v>
      </c>
      <c r="Q1394" s="329"/>
      <c r="S1394" s="332">
        <f t="shared" si="326"/>
        <v>0.1</v>
      </c>
      <c r="T1394" s="332">
        <f t="shared" si="315"/>
        <v>0</v>
      </c>
    </row>
    <row r="1395" spans="2:20" hidden="1">
      <c r="B1395" s="332" t="s">
        <v>1939</v>
      </c>
      <c r="C1395" s="333">
        <f t="shared" si="314"/>
        <v>0</v>
      </c>
      <c r="D1395" s="328"/>
      <c r="E1395" s="328" t="str">
        <f>VLOOKUP(B1395,DONGIA,DG!$B$6,0)</f>
        <v>T4.4201</v>
      </c>
      <c r="F1395" s="329" t="str">
        <f>VLOOKUP(B1395,DONGIA,DG!$C$6,0)</f>
        <v>Lắp cáp đồng xuống thiết bị D ≤ 95mm2</v>
      </c>
      <c r="G1395" s="328" t="str">
        <f>VLOOKUP(B1395,DONGIA,DG!$D$6,0)</f>
        <v>m</v>
      </c>
      <c r="H1395" s="329">
        <f>H1391</f>
        <v>0</v>
      </c>
      <c r="I1395" s="329">
        <f>VLOOKUP(B1395,DONGIA,DG!$E$6,0)</f>
        <v>0</v>
      </c>
      <c r="J1395" s="329"/>
      <c r="K1395" s="329">
        <f>VLOOKUP(B1395,DONGIA,DG!$F$6,0)</f>
        <v>11847</v>
      </c>
      <c r="L1395" s="329">
        <f>VLOOKUP(B1395,DONGIA,DG!$G$6,0)</f>
        <v>0</v>
      </c>
      <c r="M1395" s="329">
        <f t="shared" si="327"/>
        <v>0</v>
      </c>
      <c r="N1395" s="329">
        <f t="shared" si="327"/>
        <v>0</v>
      </c>
      <c r="O1395" s="329">
        <f t="shared" si="327"/>
        <v>0</v>
      </c>
      <c r="P1395" s="329">
        <f t="shared" si="327"/>
        <v>0</v>
      </c>
      <c r="Q1395" s="329"/>
      <c r="S1395" s="332">
        <f t="shared" si="326"/>
        <v>0</v>
      </c>
      <c r="T1395" s="332">
        <f t="shared" si="315"/>
        <v>0</v>
      </c>
    </row>
    <row r="1396" spans="2:20" hidden="1">
      <c r="C1396" s="333">
        <f t="shared" si="314"/>
        <v>0</v>
      </c>
      <c r="D1396" s="372">
        <f>IF(H1396&lt;&gt;0,D1389+1,D1389)</f>
        <v>0</v>
      </c>
      <c r="E1396" s="372"/>
      <c r="F1396" s="373" t="s">
        <v>1936</v>
      </c>
      <c r="G1396" s="372" t="s">
        <v>138</v>
      </c>
      <c r="H1396" s="372">
        <f>TRNC2X375</f>
        <v>0</v>
      </c>
      <c r="I1396" s="373"/>
      <c r="J1396" s="373"/>
      <c r="K1396" s="373"/>
      <c r="L1396" s="373"/>
      <c r="M1396" s="373"/>
      <c r="N1396" s="373"/>
      <c r="O1396" s="373"/>
      <c r="P1396" s="373"/>
      <c r="Q1396" s="373"/>
      <c r="S1396" s="332">
        <f t="shared" si="326"/>
        <v>0</v>
      </c>
      <c r="T1396" s="332">
        <f t="shared" si="315"/>
        <v>0</v>
      </c>
    </row>
    <row r="1397" spans="2:20" s="361" customFormat="1" hidden="1">
      <c r="C1397" s="374">
        <f t="shared" si="314"/>
        <v>0</v>
      </c>
      <c r="D1397" s="350"/>
      <c r="E1397" s="350"/>
      <c r="F1397" s="351" t="s">
        <v>1902</v>
      </c>
      <c r="G1397" s="350"/>
      <c r="H1397" s="351"/>
      <c r="I1397" s="351"/>
      <c r="J1397" s="351"/>
      <c r="K1397" s="351"/>
      <c r="L1397" s="351"/>
      <c r="M1397" s="351"/>
      <c r="N1397" s="351"/>
      <c r="O1397" s="351"/>
      <c r="P1397" s="351"/>
      <c r="Q1397" s="351"/>
      <c r="S1397" s="361">
        <f t="shared" si="326"/>
        <v>0</v>
      </c>
      <c r="T1397" s="361">
        <f t="shared" si="315"/>
        <v>0</v>
      </c>
    </row>
    <row r="1398" spans="2:20" hidden="1">
      <c r="B1398" s="332" t="s">
        <v>1908</v>
      </c>
      <c r="C1398" s="333">
        <f t="shared" si="314"/>
        <v>0</v>
      </c>
      <c r="D1398" s="328"/>
      <c r="E1398" s="328">
        <f>VLOOKUP(B1398,DONGIA,DG!$B$6,0)</f>
        <v>0</v>
      </c>
      <c r="F1398" s="329" t="str">
        <f>VLOOKUP(B1398,DONGIA,DG!$C$6,0)</f>
        <v>Cáp đồng bọc CV120</v>
      </c>
      <c r="G1398" s="328" t="str">
        <f>VLOOKUP(B1398,DONGIA,DG!$D$6,0)</f>
        <v>mét</v>
      </c>
      <c r="H1398" s="329">
        <f>H1396*3*11</f>
        <v>0</v>
      </c>
      <c r="I1398" s="329">
        <f>VLOOKUP(B1398,DONGIA,DG!$E$6,0)</f>
        <v>245040</v>
      </c>
      <c r="J1398" s="329"/>
      <c r="K1398" s="329">
        <f>VLOOKUP(B1398,DONGIA,DG!$F$6,0)</f>
        <v>0</v>
      </c>
      <c r="L1398" s="329">
        <f>VLOOKUP(B1398,DONGIA,DG!$G$6,0)</f>
        <v>0</v>
      </c>
      <c r="M1398" s="329">
        <f t="shared" ref="M1398:M1417" si="328">$H1398*I1398</f>
        <v>0</v>
      </c>
      <c r="N1398" s="329">
        <f t="shared" ref="N1398:N1417" si="329">$H1398*J1398</f>
        <v>0</v>
      </c>
      <c r="O1398" s="329">
        <f t="shared" ref="O1398:O1417" si="330">$H1398*K1398</f>
        <v>0</v>
      </c>
      <c r="P1398" s="329">
        <f t="shared" ref="P1398:P1417" si="331">$H1398*L1398</f>
        <v>0</v>
      </c>
      <c r="Q1398" s="329"/>
      <c r="S1398" s="332">
        <f t="shared" si="326"/>
        <v>1.2350000000000001</v>
      </c>
      <c r="T1398" s="332">
        <f t="shared" si="315"/>
        <v>0</v>
      </c>
    </row>
    <row r="1399" spans="2:20" hidden="1">
      <c r="B1399" s="332" t="s">
        <v>1907</v>
      </c>
      <c r="C1399" s="333">
        <f t="shared" si="314"/>
        <v>0</v>
      </c>
      <c r="D1399" s="328"/>
      <c r="E1399" s="328">
        <f>VLOOKUP(B1399,DONGIA,DG!$B$6,0)</f>
        <v>0</v>
      </c>
      <c r="F1399" s="329" t="str">
        <f>VLOOKUP(B1399,DONGIA,DG!$C$6,0)</f>
        <v>Cáp đồng bọc CV70</v>
      </c>
      <c r="G1399" s="328" t="str">
        <f>VLOOKUP(B1399,DONGIA,DG!$D$6,0)</f>
        <v>mét</v>
      </c>
      <c r="H1399" s="329">
        <f>H1396*16</f>
        <v>0</v>
      </c>
      <c r="I1399" s="329">
        <f>VLOOKUP(B1399,DONGIA,DG!$E$6,0)</f>
        <v>142880</v>
      </c>
      <c r="J1399" s="329"/>
      <c r="K1399" s="329">
        <f>VLOOKUP(B1399,DONGIA,DG!$F$6,0)</f>
        <v>0</v>
      </c>
      <c r="L1399" s="329">
        <f>VLOOKUP(B1399,DONGIA,DG!$G$6,0)</f>
        <v>0</v>
      </c>
      <c r="M1399" s="329">
        <f t="shared" si="328"/>
        <v>0</v>
      </c>
      <c r="N1399" s="329">
        <f t="shared" si="329"/>
        <v>0</v>
      </c>
      <c r="O1399" s="329">
        <f t="shared" si="330"/>
        <v>0</v>
      </c>
      <c r="P1399" s="329">
        <f t="shared" si="331"/>
        <v>0</v>
      </c>
      <c r="Q1399" s="329"/>
      <c r="S1399" s="332">
        <f t="shared" si="326"/>
        <v>0.73899999999999999</v>
      </c>
      <c r="T1399" s="332">
        <f t="shared" si="315"/>
        <v>0</v>
      </c>
    </row>
    <row r="1400" spans="2:20" hidden="1">
      <c r="B1400" s="332" t="s">
        <v>1937</v>
      </c>
      <c r="C1400" s="333">
        <f t="shared" si="314"/>
        <v>0</v>
      </c>
      <c r="D1400" s="328"/>
      <c r="E1400" s="328">
        <f>VLOOKUP(B1400,DONGIA,DG!$B$6,0)</f>
        <v>0</v>
      </c>
      <c r="F1400" s="329" t="str">
        <f>VLOOKUP(B1400,DONGIA,DG!$C$6,0)</f>
        <v>Cáp điều khiển CVV 4x4,0mm2</v>
      </c>
      <c r="G1400" s="328" t="str">
        <f>VLOOKUP(B1400,DONGIA,DG!$D$6,0)</f>
        <v>mét</v>
      </c>
      <c r="H1400" s="329">
        <f>H1396*3</f>
        <v>0</v>
      </c>
      <c r="I1400" s="329">
        <f>VLOOKUP(B1400,DONGIA,DG!$E$6,0)</f>
        <v>52400</v>
      </c>
      <c r="J1400" s="329"/>
      <c r="K1400" s="329">
        <f>VLOOKUP(B1400,DONGIA,DG!$F$6,0)</f>
        <v>0</v>
      </c>
      <c r="L1400" s="329">
        <f>VLOOKUP(B1400,DONGIA,DG!$G$6,0)</f>
        <v>0</v>
      </c>
      <c r="M1400" s="329">
        <f t="shared" si="328"/>
        <v>0</v>
      </c>
      <c r="N1400" s="329">
        <f t="shared" si="329"/>
        <v>0</v>
      </c>
      <c r="O1400" s="329">
        <f t="shared" si="330"/>
        <v>0</v>
      </c>
      <c r="P1400" s="329">
        <f t="shared" si="331"/>
        <v>0</v>
      </c>
      <c r="Q1400" s="329"/>
      <c r="S1400" s="332">
        <f t="shared" si="326"/>
        <v>3.024</v>
      </c>
      <c r="T1400" s="332">
        <f t="shared" si="315"/>
        <v>0</v>
      </c>
    </row>
    <row r="1401" spans="2:20" hidden="1">
      <c r="B1401" s="332" t="s">
        <v>1119</v>
      </c>
      <c r="C1401" s="333">
        <f t="shared" si="314"/>
        <v>0</v>
      </c>
      <c r="D1401" s="328"/>
      <c r="E1401" s="328"/>
      <c r="F1401" s="329" t="str">
        <f>VLOOKUP(B1401,DONGIA,DG!$C$6,0)</f>
        <v>Đầu cosse ép Cu 120mm2</v>
      </c>
      <c r="G1401" s="328" t="str">
        <f>VLOOKUP(B1401,DONGIA,DG!$D$6,0)</f>
        <v>cái</v>
      </c>
      <c r="H1401" s="329">
        <f>H1396*3</f>
        <v>0</v>
      </c>
      <c r="I1401" s="329">
        <f>VLOOKUP(B1401,DONGIA,DG!$E$6,0)</f>
        <v>65000</v>
      </c>
      <c r="J1401" s="329"/>
      <c r="K1401" s="329"/>
      <c r="L1401" s="329"/>
      <c r="M1401" s="329">
        <f t="shared" si="328"/>
        <v>0</v>
      </c>
      <c r="N1401" s="329">
        <f t="shared" si="329"/>
        <v>0</v>
      </c>
      <c r="O1401" s="329">
        <f t="shared" si="330"/>
        <v>0</v>
      </c>
      <c r="P1401" s="329">
        <f t="shared" si="331"/>
        <v>0</v>
      </c>
      <c r="Q1401" s="329"/>
      <c r="S1401" s="332">
        <f t="shared" si="326"/>
        <v>0.1</v>
      </c>
      <c r="T1401" s="332">
        <f t="shared" si="315"/>
        <v>0</v>
      </c>
    </row>
    <row r="1402" spans="2:20" hidden="1">
      <c r="B1402" s="332" t="s">
        <v>1113</v>
      </c>
      <c r="C1402" s="333">
        <f t="shared" si="314"/>
        <v>0</v>
      </c>
      <c r="D1402" s="328"/>
      <c r="E1402" s="328"/>
      <c r="F1402" s="329" t="str">
        <f>VLOOKUP(B1402,DONGIA,DG!$C$6,0)</f>
        <v>Đầu cosse ép Cu 70mm2</v>
      </c>
      <c r="G1402" s="328" t="str">
        <f>VLOOKUP(B1402,DONGIA,DG!$D$6,0)</f>
        <v>cái</v>
      </c>
      <c r="H1402" s="329">
        <f>H1396</f>
        <v>0</v>
      </c>
      <c r="I1402" s="329">
        <f>VLOOKUP(B1402,DONGIA,DG!$E$6,0)</f>
        <v>33000</v>
      </c>
      <c r="J1402" s="329"/>
      <c r="K1402" s="329"/>
      <c r="L1402" s="329"/>
      <c r="M1402" s="329">
        <f t="shared" si="328"/>
        <v>0</v>
      </c>
      <c r="N1402" s="329">
        <f t="shared" si="329"/>
        <v>0</v>
      </c>
      <c r="O1402" s="329">
        <f t="shared" si="330"/>
        <v>0</v>
      </c>
      <c r="P1402" s="329">
        <f t="shared" si="331"/>
        <v>0</v>
      </c>
      <c r="Q1402" s="329"/>
      <c r="S1402" s="332">
        <f t="shared" si="326"/>
        <v>0.2</v>
      </c>
      <c r="T1402" s="332">
        <f t="shared" si="315"/>
        <v>0</v>
      </c>
    </row>
    <row r="1403" spans="2:20" hidden="1">
      <c r="B1403" s="332" t="s">
        <v>1151</v>
      </c>
      <c r="C1403" s="333">
        <f t="shared" si="314"/>
        <v>0</v>
      </c>
      <c r="D1403" s="328"/>
      <c r="E1403" s="328">
        <f>VLOOKUP(B1403,DONGIA,DG!$B$6,0)</f>
        <v>0</v>
      </c>
      <c r="F1403" s="329" t="str">
        <f>VLOOKUP(B1403,DONGIA,DG!$C$6,0)</f>
        <v>Chụp đầu cosse  120mm2</v>
      </c>
      <c r="G1403" s="328" t="str">
        <f>VLOOKUP(B1403,DONGIA,DG!$D$6,0)</f>
        <v>cái</v>
      </c>
      <c r="H1403" s="329">
        <f>H1401</f>
        <v>0</v>
      </c>
      <c r="I1403" s="329">
        <f>VLOOKUP(B1403,DONGIA,DG!$E$6,0)</f>
        <v>3500</v>
      </c>
      <c r="J1403" s="329"/>
      <c r="K1403" s="329">
        <f>VLOOKUP(B1403,DONGIA,DG!$F$6,0)</f>
        <v>0</v>
      </c>
      <c r="L1403" s="329">
        <f>VLOOKUP(B1403,DONGIA,DG!$G$6,0)</f>
        <v>0</v>
      </c>
      <c r="M1403" s="329">
        <f t="shared" si="328"/>
        <v>0</v>
      </c>
      <c r="N1403" s="329">
        <f t="shared" si="329"/>
        <v>0</v>
      </c>
      <c r="O1403" s="329">
        <f t="shared" si="330"/>
        <v>0</v>
      </c>
      <c r="P1403" s="329">
        <f t="shared" si="331"/>
        <v>0</v>
      </c>
      <c r="Q1403" s="329"/>
      <c r="S1403" s="332">
        <f t="shared" si="326"/>
        <v>0</v>
      </c>
      <c r="T1403" s="332">
        <f t="shared" si="315"/>
        <v>0</v>
      </c>
    </row>
    <row r="1404" spans="2:20" hidden="1">
      <c r="B1404" s="332" t="s">
        <v>1147</v>
      </c>
      <c r="C1404" s="333">
        <f t="shared" si="314"/>
        <v>0</v>
      </c>
      <c r="D1404" s="328"/>
      <c r="E1404" s="328">
        <f>VLOOKUP(B1404,DONGIA,DG!$B$6,0)</f>
        <v>0</v>
      </c>
      <c r="F1404" s="329" t="str">
        <f>VLOOKUP(B1404,DONGIA,DG!$C$6,0)</f>
        <v>Chụp đầu cosse  70mm2</v>
      </c>
      <c r="G1404" s="328" t="str">
        <f>VLOOKUP(B1404,DONGIA,DG!$D$6,0)</f>
        <v>cái</v>
      </c>
      <c r="H1404" s="329">
        <f>H1402</f>
        <v>0</v>
      </c>
      <c r="I1404" s="329">
        <f>VLOOKUP(B1404,DONGIA,DG!$E$6,0)</f>
        <v>2000</v>
      </c>
      <c r="J1404" s="329"/>
      <c r="K1404" s="329">
        <f>VLOOKUP(B1404,DONGIA,DG!$F$6,0)</f>
        <v>0</v>
      </c>
      <c r="L1404" s="329">
        <f>VLOOKUP(B1404,DONGIA,DG!$G$6,0)</f>
        <v>0</v>
      </c>
      <c r="M1404" s="329">
        <f t="shared" si="328"/>
        <v>0</v>
      </c>
      <c r="N1404" s="329">
        <f t="shared" si="329"/>
        <v>0</v>
      </c>
      <c r="O1404" s="329">
        <f t="shared" si="330"/>
        <v>0</v>
      </c>
      <c r="P1404" s="329">
        <f t="shared" si="331"/>
        <v>0</v>
      </c>
      <c r="Q1404" s="329"/>
      <c r="S1404" s="332">
        <f t="shared" si="326"/>
        <v>0</v>
      </c>
      <c r="T1404" s="332">
        <f t="shared" si="315"/>
        <v>0</v>
      </c>
    </row>
    <row r="1405" spans="2:20" hidden="1">
      <c r="B1405" s="332" t="s">
        <v>1177</v>
      </c>
      <c r="C1405" s="333">
        <f t="shared" si="314"/>
        <v>0</v>
      </c>
      <c r="D1405" s="328"/>
      <c r="E1405" s="328">
        <f>VLOOKUP(B1405,DONGIA,DG!$B$6,0)</f>
        <v>0</v>
      </c>
      <c r="F1405" s="329" t="str">
        <f>VLOOKUP(B1405,DONGIA,DG!$C$6,0)</f>
        <v xml:space="preserve">Ống PVC D90x3,8mm </v>
      </c>
      <c r="G1405" s="328" t="str">
        <f>VLOOKUP(B1405,DONGIA,DG!$D$6,0)</f>
        <v>m</v>
      </c>
      <c r="H1405" s="329"/>
      <c r="I1405" s="329">
        <f>VLOOKUP(B1405,DONGIA,DG!$E$6,0)</f>
        <v>57000</v>
      </c>
      <c r="J1405" s="329"/>
      <c r="K1405" s="329">
        <f>VLOOKUP(B1405,DONGIA,DG!$F$6,0)</f>
        <v>0</v>
      </c>
      <c r="L1405" s="329">
        <f>VLOOKUP(B1405,DONGIA,DG!$G$6,0)</f>
        <v>0</v>
      </c>
      <c r="M1405" s="329">
        <f t="shared" si="328"/>
        <v>0</v>
      </c>
      <c r="N1405" s="329">
        <f t="shared" si="329"/>
        <v>0</v>
      </c>
      <c r="O1405" s="329">
        <f t="shared" si="330"/>
        <v>0</v>
      </c>
      <c r="P1405" s="329">
        <f t="shared" si="331"/>
        <v>0</v>
      </c>
      <c r="Q1405" s="329"/>
      <c r="S1405" s="332">
        <f t="shared" si="326"/>
        <v>2</v>
      </c>
      <c r="T1405" s="332">
        <f t="shared" si="315"/>
        <v>0</v>
      </c>
    </row>
    <row r="1406" spans="2:20" hidden="1">
      <c r="B1406" s="332" t="s">
        <v>455</v>
      </c>
      <c r="C1406" s="333">
        <f t="shared" si="314"/>
        <v>0</v>
      </c>
      <c r="D1406" s="328"/>
      <c r="E1406" s="328">
        <f>VLOOKUP(B1406,DONGIA,DG!$B$6,0)</f>
        <v>0</v>
      </c>
      <c r="F1406" s="329" t="str">
        <f>VLOOKUP(B1406,DONGIA,DG!$C$6,0)&amp;" (CD: 250)"</f>
        <v>Cổ dê kẹp ống PVC φ 90 (có giá nới) (CD: 250)</v>
      </c>
      <c r="G1406" s="328" t="str">
        <f>VLOOKUP(B1406,DONGIA,DG!$D$6,0)</f>
        <v>bộ</v>
      </c>
      <c r="H1406" s="329">
        <f>H1396</f>
        <v>0</v>
      </c>
      <c r="I1406" s="329">
        <f>VLOOKUP(B1406,DONGIA,DG!$E$6,0)</f>
        <v>60000</v>
      </c>
      <c r="J1406" s="329"/>
      <c r="K1406" s="329"/>
      <c r="L1406" s="329">
        <f>VLOOKUP(B1406,DONGIA,DG!$G$6,0)</f>
        <v>0</v>
      </c>
      <c r="M1406" s="329">
        <f t="shared" si="328"/>
        <v>0</v>
      </c>
      <c r="N1406" s="329">
        <f t="shared" si="329"/>
        <v>0</v>
      </c>
      <c r="O1406" s="329">
        <f t="shared" si="330"/>
        <v>0</v>
      </c>
      <c r="P1406" s="329">
        <f t="shared" si="331"/>
        <v>0</v>
      </c>
      <c r="Q1406" s="329"/>
      <c r="S1406" s="332">
        <f t="shared" si="326"/>
        <v>1.5</v>
      </c>
      <c r="T1406" s="332">
        <f t="shared" si="315"/>
        <v>0</v>
      </c>
    </row>
    <row r="1407" spans="2:20" hidden="1">
      <c r="B1407" s="332" t="s">
        <v>455</v>
      </c>
      <c r="C1407" s="333">
        <f t="shared" si="314"/>
        <v>0</v>
      </c>
      <c r="D1407" s="328"/>
      <c r="E1407" s="328">
        <f>VLOOKUP(B1407,DONGIA,DG!$B$6,0)</f>
        <v>0</v>
      </c>
      <c r="F1407" s="329" t="str">
        <f>VLOOKUP(B1407,DONGIA,DG!$C$6,0)&amp;" (CD: 280)"</f>
        <v>Cổ dê kẹp ống PVC φ 90 (có giá nới) (CD: 280)</v>
      </c>
      <c r="G1407" s="328" t="str">
        <f>VLOOKUP(B1407,DONGIA,DG!$D$6,0)</f>
        <v>bộ</v>
      </c>
      <c r="H1407" s="329">
        <f>H1396</f>
        <v>0</v>
      </c>
      <c r="I1407" s="329">
        <f>VLOOKUP(B1407,DONGIA,DG!$E$6,0)</f>
        <v>60000</v>
      </c>
      <c r="J1407" s="329"/>
      <c r="K1407" s="329"/>
      <c r="L1407" s="329">
        <f>VLOOKUP(B1407,DONGIA,DG!$G$6,0)</f>
        <v>0</v>
      </c>
      <c r="M1407" s="329">
        <f t="shared" si="328"/>
        <v>0</v>
      </c>
      <c r="N1407" s="329">
        <f t="shared" si="329"/>
        <v>0</v>
      </c>
      <c r="O1407" s="329">
        <f t="shared" si="330"/>
        <v>0</v>
      </c>
      <c r="P1407" s="329">
        <f t="shared" si="331"/>
        <v>0</v>
      </c>
      <c r="Q1407" s="329"/>
      <c r="S1407" s="332">
        <f t="shared" si="326"/>
        <v>1.5</v>
      </c>
      <c r="T1407" s="332">
        <f t="shared" si="315"/>
        <v>0</v>
      </c>
    </row>
    <row r="1408" spans="2:20" hidden="1">
      <c r="B1408" s="332" t="s">
        <v>455</v>
      </c>
      <c r="C1408" s="333">
        <f t="shared" si="314"/>
        <v>0</v>
      </c>
      <c r="D1408" s="328"/>
      <c r="E1408" s="328">
        <f>VLOOKUP(B1408,DONGIA,DG!$B$6,0)</f>
        <v>0</v>
      </c>
      <c r="F1408" s="329" t="str">
        <f>VLOOKUP(B1408,DONGIA,DG!$C$6,0)&amp;" (CD: 320)"</f>
        <v>Cổ dê kẹp ống PVC φ 90 (có giá nới) (CD: 320)</v>
      </c>
      <c r="G1408" s="328" t="str">
        <f>VLOOKUP(B1408,DONGIA,DG!$D$6,0)</f>
        <v>bộ</v>
      </c>
      <c r="H1408" s="329">
        <f>H1396</f>
        <v>0</v>
      </c>
      <c r="I1408" s="329">
        <f>VLOOKUP(B1408,DONGIA,DG!$E$6,0)</f>
        <v>60000</v>
      </c>
      <c r="J1408" s="329"/>
      <c r="K1408" s="329"/>
      <c r="L1408" s="329">
        <f>VLOOKUP(B1408,DONGIA,DG!$G$6,0)</f>
        <v>0</v>
      </c>
      <c r="M1408" s="329">
        <f t="shared" si="328"/>
        <v>0</v>
      </c>
      <c r="N1408" s="329">
        <f t="shared" si="329"/>
        <v>0</v>
      </c>
      <c r="O1408" s="329">
        <f t="shared" si="330"/>
        <v>0</v>
      </c>
      <c r="P1408" s="329">
        <f t="shared" si="331"/>
        <v>0</v>
      </c>
      <c r="Q1408" s="329"/>
      <c r="S1408" s="332">
        <f t="shared" si="326"/>
        <v>1.5</v>
      </c>
      <c r="T1408" s="332">
        <f t="shared" si="315"/>
        <v>0</v>
      </c>
    </row>
    <row r="1409" spans="2:20" hidden="1">
      <c r="B1409" s="332" t="s">
        <v>1183</v>
      </c>
      <c r="C1409" s="333">
        <f t="shared" si="314"/>
        <v>0</v>
      </c>
      <c r="D1409" s="328"/>
      <c r="E1409" s="328">
        <f>VLOOKUP(B1409,DONGIA,DG!$B$6,0)</f>
        <v>0</v>
      </c>
      <c r="F1409" s="329" t="str">
        <f>VLOOKUP(B1409,DONGIA,DG!$C$6,0)</f>
        <v>Co  90 độ PVC 90</v>
      </c>
      <c r="G1409" s="328" t="str">
        <f>VLOOKUP(B1409,DONGIA,DG!$D$6,0)</f>
        <v>cái</v>
      </c>
      <c r="H1409" s="329">
        <f>H1396</f>
        <v>0</v>
      </c>
      <c r="I1409" s="329">
        <f>VLOOKUP(B1409,DONGIA,DG!$E$6,0)</f>
        <v>45400</v>
      </c>
      <c r="J1409" s="329"/>
      <c r="K1409" s="329">
        <f>VLOOKUP(B1409,DONGIA,DG!$F$6,0)</f>
        <v>0</v>
      </c>
      <c r="L1409" s="329">
        <f>VLOOKUP(B1409,DONGIA,DG!$G$6,0)</f>
        <v>0</v>
      </c>
      <c r="M1409" s="329">
        <f t="shared" si="328"/>
        <v>0</v>
      </c>
      <c r="N1409" s="329">
        <f t="shared" si="329"/>
        <v>0</v>
      </c>
      <c r="O1409" s="329">
        <f t="shared" si="330"/>
        <v>0</v>
      </c>
      <c r="P1409" s="329">
        <f t="shared" si="331"/>
        <v>0</v>
      </c>
      <c r="Q1409" s="329"/>
      <c r="S1409" s="332">
        <f t="shared" si="326"/>
        <v>0</v>
      </c>
      <c r="T1409" s="332">
        <f t="shared" si="315"/>
        <v>0</v>
      </c>
    </row>
    <row r="1410" spans="2:20" hidden="1">
      <c r="B1410" s="332" t="s">
        <v>1940</v>
      </c>
      <c r="C1410" s="333">
        <f t="shared" si="314"/>
        <v>0</v>
      </c>
      <c r="D1410" s="328"/>
      <c r="E1410" s="328">
        <f>VLOOKUP(B1410,DONGIA,DG!$B$6,0)</f>
        <v>0</v>
      </c>
      <c r="F1410" s="329" t="str">
        <f>VLOOKUP(B1410,DONGIA,DG!$C$6,0)</f>
        <v>Nối giảm PVC 114-90</v>
      </c>
      <c r="G1410" s="328" t="str">
        <f>VLOOKUP(B1410,DONGIA,DG!$D$6,0)</f>
        <v>cái</v>
      </c>
      <c r="H1410" s="329"/>
      <c r="I1410" s="329">
        <f>VLOOKUP(B1410,DONGIA,DG!$E$6,0)</f>
        <v>52800</v>
      </c>
      <c r="J1410" s="329"/>
      <c r="K1410" s="329">
        <f>VLOOKUP(B1410,DONGIA,DG!$F$6,0)</f>
        <v>0</v>
      </c>
      <c r="L1410" s="329">
        <f>VLOOKUP(B1410,DONGIA,DG!$G$6,0)</f>
        <v>0</v>
      </c>
      <c r="M1410" s="329">
        <f t="shared" si="328"/>
        <v>0</v>
      </c>
      <c r="N1410" s="329">
        <f t="shared" si="329"/>
        <v>0</v>
      </c>
      <c r="O1410" s="329">
        <f t="shared" si="330"/>
        <v>0</v>
      </c>
      <c r="P1410" s="329">
        <f t="shared" si="331"/>
        <v>0</v>
      </c>
      <c r="Q1410" s="329"/>
      <c r="S1410" s="332">
        <f t="shared" si="326"/>
        <v>0</v>
      </c>
      <c r="T1410" s="332">
        <f t="shared" si="315"/>
        <v>0</v>
      </c>
    </row>
    <row r="1411" spans="2:20" hidden="1">
      <c r="B1411" s="332" t="s">
        <v>1181</v>
      </c>
      <c r="C1411" s="333">
        <f t="shared" si="314"/>
        <v>0</v>
      </c>
      <c r="D1411" s="328"/>
      <c r="E1411" s="328">
        <f>VLOOKUP(B1411,DONGIA,DG!$B$6,0)</f>
        <v>0</v>
      </c>
      <c r="F1411" s="329" t="str">
        <f>VLOOKUP(B1411,DONGIA,DG!$C$6,0)</f>
        <v>Co 135 độ PVC 90</v>
      </c>
      <c r="G1411" s="328" t="str">
        <f>VLOOKUP(B1411,DONGIA,DG!$D$6,0)</f>
        <v>cái</v>
      </c>
      <c r="H1411" s="329">
        <f>H1396</f>
        <v>0</v>
      </c>
      <c r="I1411" s="329">
        <f>VLOOKUP(B1411,DONGIA,DG!$E$6,0)</f>
        <v>34800</v>
      </c>
      <c r="J1411" s="329"/>
      <c r="K1411" s="329">
        <f>VLOOKUP(B1411,DONGIA,DG!$F$6,0)</f>
        <v>0</v>
      </c>
      <c r="L1411" s="329">
        <f>VLOOKUP(B1411,DONGIA,DG!$G$6,0)</f>
        <v>0</v>
      </c>
      <c r="M1411" s="329">
        <f t="shared" si="328"/>
        <v>0</v>
      </c>
      <c r="N1411" s="329">
        <f t="shared" si="329"/>
        <v>0</v>
      </c>
      <c r="O1411" s="329">
        <f t="shared" si="330"/>
        <v>0</v>
      </c>
      <c r="P1411" s="329">
        <f t="shared" si="331"/>
        <v>0</v>
      </c>
      <c r="Q1411" s="329"/>
      <c r="S1411" s="332">
        <f t="shared" si="326"/>
        <v>0</v>
      </c>
      <c r="T1411" s="332">
        <f t="shared" si="315"/>
        <v>0</v>
      </c>
    </row>
    <row r="1412" spans="2:20" hidden="1">
      <c r="B1412" s="332" t="s">
        <v>1914</v>
      </c>
      <c r="C1412" s="333">
        <f t="shared" si="314"/>
        <v>0</v>
      </c>
      <c r="D1412" s="328"/>
      <c r="E1412" s="328">
        <f>VLOOKUP(B1412,DONGIA,DG!$B$6,0)</f>
        <v>0</v>
      </c>
      <c r="F1412" s="329" t="str">
        <f>VLOOKUP(B1412,DONGIA,DG!$C$6,0)</f>
        <v>Keo dán ống PVC (100gr)</v>
      </c>
      <c r="G1412" s="328" t="str">
        <f>VLOOKUP(B1412,DONGIA,DG!$D$6,0)</f>
        <v>tuýp</v>
      </c>
      <c r="H1412" s="329">
        <f>H1396</f>
        <v>0</v>
      </c>
      <c r="I1412" s="329">
        <f>VLOOKUP(B1412,DONGIA,DG!$E$6,0)</f>
        <v>11500</v>
      </c>
      <c r="J1412" s="329"/>
      <c r="K1412" s="329">
        <f>VLOOKUP(B1412,DONGIA,DG!$F$6,0)</f>
        <v>0</v>
      </c>
      <c r="L1412" s="329">
        <f>VLOOKUP(B1412,DONGIA,DG!$G$6,0)</f>
        <v>0</v>
      </c>
      <c r="M1412" s="329">
        <f t="shared" si="328"/>
        <v>0</v>
      </c>
      <c r="N1412" s="329">
        <f t="shared" si="329"/>
        <v>0</v>
      </c>
      <c r="O1412" s="329">
        <f t="shared" si="330"/>
        <v>0</v>
      </c>
      <c r="P1412" s="329">
        <f t="shared" si="331"/>
        <v>0</v>
      </c>
      <c r="Q1412" s="329"/>
      <c r="S1412" s="332">
        <f t="shared" si="326"/>
        <v>0</v>
      </c>
      <c r="T1412" s="332">
        <f t="shared" si="315"/>
        <v>0</v>
      </c>
    </row>
    <row r="1413" spans="2:20" hidden="1">
      <c r="B1413" s="332" t="s">
        <v>1639</v>
      </c>
      <c r="C1413" s="333">
        <f t="shared" si="314"/>
        <v>0</v>
      </c>
      <c r="D1413" s="328"/>
      <c r="E1413" s="328">
        <f>VLOOKUP(B1413,DONGIA,DG!$B$6,0)</f>
        <v>0</v>
      </c>
      <c r="F1413" s="329" t="str">
        <f>VLOOKUP(B1413,DONGIA,DG!$C$6,0)&amp;" bịt miệng ống"</f>
        <v>Xi măng bịt miệng ống</v>
      </c>
      <c r="G1413" s="328" t="str">
        <f>VLOOKUP(B1413,DONGIA,DG!$D$6,0)</f>
        <v>kg</v>
      </c>
      <c r="H1413" s="489">
        <f>H1396*0.5</f>
        <v>0</v>
      </c>
      <c r="I1413" s="329">
        <f>VLOOKUP(B1413,DONGIA,DG!$E$6,0)</f>
        <v>1760</v>
      </c>
      <c r="J1413" s="329"/>
      <c r="K1413" s="329">
        <f>VLOOKUP(B1413,DONGIA,DG!$F$6,0)</f>
        <v>0</v>
      </c>
      <c r="L1413" s="329">
        <f>VLOOKUP(B1413,DONGIA,DG!$G$6,0)</f>
        <v>0</v>
      </c>
      <c r="M1413" s="329">
        <f t="shared" si="328"/>
        <v>0</v>
      </c>
      <c r="N1413" s="329">
        <f t="shared" si="329"/>
        <v>0</v>
      </c>
      <c r="O1413" s="329">
        <f t="shared" si="330"/>
        <v>0</v>
      </c>
      <c r="P1413" s="329">
        <f t="shared" si="331"/>
        <v>0</v>
      </c>
      <c r="Q1413" s="329"/>
      <c r="S1413" s="332">
        <f t="shared" si="326"/>
        <v>1</v>
      </c>
      <c r="T1413" s="332">
        <f t="shared" si="315"/>
        <v>0</v>
      </c>
    </row>
    <row r="1414" spans="2:20" hidden="1">
      <c r="B1414" s="332" t="s">
        <v>1193</v>
      </c>
      <c r="C1414" s="333">
        <f t="shared" si="314"/>
        <v>0</v>
      </c>
      <c r="D1414" s="328"/>
      <c r="E1414" s="328">
        <f>VLOOKUP(B1414,DONGIA,DG!$B$6,0)</f>
        <v>0</v>
      </c>
      <c r="F1414" s="329" t="str">
        <f>VLOOKUP(B1414,DONGIA,DG!$C$6,0)</f>
        <v>Băng keo cách điện</v>
      </c>
      <c r="G1414" s="328" t="str">
        <f>VLOOKUP(B1414,DONGIA,DG!$D$6,0)</f>
        <v>cuộn</v>
      </c>
      <c r="H1414" s="329"/>
      <c r="I1414" s="329">
        <f>VLOOKUP(B1414,DONGIA,DG!$E$6,0)</f>
        <v>6500</v>
      </c>
      <c r="J1414" s="329"/>
      <c r="K1414" s="329">
        <f>VLOOKUP(B1414,DONGIA,DG!$F$6,0)</f>
        <v>0</v>
      </c>
      <c r="L1414" s="329">
        <f>VLOOKUP(B1414,DONGIA,DG!$G$6,0)</f>
        <v>0</v>
      </c>
      <c r="M1414" s="329">
        <f t="shared" si="328"/>
        <v>0</v>
      </c>
      <c r="N1414" s="329">
        <f t="shared" si="329"/>
        <v>0</v>
      </c>
      <c r="O1414" s="329">
        <f t="shared" si="330"/>
        <v>0</v>
      </c>
      <c r="P1414" s="329">
        <f t="shared" si="331"/>
        <v>0</v>
      </c>
      <c r="Q1414" s="329"/>
      <c r="S1414" s="332">
        <f t="shared" si="326"/>
        <v>0</v>
      </c>
      <c r="T1414" s="332">
        <f t="shared" si="315"/>
        <v>0</v>
      </c>
    </row>
    <row r="1415" spans="2:20" hidden="1">
      <c r="B1415" s="332" t="s">
        <v>855</v>
      </c>
      <c r="C1415" s="333">
        <f t="shared" si="314"/>
        <v>0</v>
      </c>
      <c r="D1415" s="328"/>
      <c r="E1415" s="328" t="str">
        <f>VLOOKUP(B1415,DONGIA,DG!$B$6,0)</f>
        <v>T4.8003</v>
      </c>
      <c r="F1415" s="329" t="str">
        <f>VLOOKUP(B1415,DONGIA,DG!$C$6,0)</f>
        <v>Lắp ống nhựa PVC D90</v>
      </c>
      <c r="G1415" s="328" t="str">
        <f>VLOOKUP(B1415,DONGIA,DG!$D$6,0)</f>
        <v>mét</v>
      </c>
      <c r="H1415" s="329">
        <f>H1405</f>
        <v>0</v>
      </c>
      <c r="I1415" s="329">
        <f>VLOOKUP(B1415,DONGIA,DG!$E$6,0)</f>
        <v>0</v>
      </c>
      <c r="J1415" s="329"/>
      <c r="K1415" s="329">
        <f>VLOOKUP(B1415,DONGIA,DG!$F$6,0)</f>
        <v>35541</v>
      </c>
      <c r="L1415" s="329">
        <f>VLOOKUP(B1415,DONGIA,DG!$G$6,0)</f>
        <v>0</v>
      </c>
      <c r="M1415" s="329">
        <f t="shared" si="328"/>
        <v>0</v>
      </c>
      <c r="N1415" s="329">
        <f t="shared" si="329"/>
        <v>0</v>
      </c>
      <c r="O1415" s="329">
        <f t="shared" si="330"/>
        <v>0</v>
      </c>
      <c r="P1415" s="329">
        <f t="shared" si="331"/>
        <v>0</v>
      </c>
      <c r="Q1415" s="329"/>
      <c r="S1415" s="332">
        <f t="shared" si="326"/>
        <v>0</v>
      </c>
      <c r="T1415" s="332">
        <f t="shared" si="315"/>
        <v>0</v>
      </c>
    </row>
    <row r="1416" spans="2:20" hidden="1">
      <c r="B1416" s="332" t="s">
        <v>1939</v>
      </c>
      <c r="C1416" s="333">
        <f t="shared" si="314"/>
        <v>0</v>
      </c>
      <c r="D1416" s="328"/>
      <c r="E1416" s="328" t="str">
        <f>VLOOKUP(B1416,DONGIA,DG!$B$6,0)</f>
        <v>T4.4201</v>
      </c>
      <c r="F1416" s="329" t="str">
        <f>VLOOKUP(B1416,DONGIA,DG!$C$6,0)</f>
        <v>Lắp cáp đồng xuống thiết bị D ≤ 95mm2</v>
      </c>
      <c r="G1416" s="328" t="str">
        <f>VLOOKUP(B1416,DONGIA,DG!$D$6,0)</f>
        <v>m</v>
      </c>
      <c r="H1416" s="329">
        <f>H1399</f>
        <v>0</v>
      </c>
      <c r="I1416" s="329">
        <f>VLOOKUP(B1416,DONGIA,DG!$E$6,0)</f>
        <v>0</v>
      </c>
      <c r="J1416" s="329"/>
      <c r="K1416" s="329">
        <f>VLOOKUP(B1416,DONGIA,DG!$F$6,0)</f>
        <v>11847</v>
      </c>
      <c r="L1416" s="329">
        <f>VLOOKUP(B1416,DONGIA,DG!$G$6,0)</f>
        <v>0</v>
      </c>
      <c r="M1416" s="329">
        <f t="shared" si="328"/>
        <v>0</v>
      </c>
      <c r="N1416" s="329">
        <f t="shared" si="329"/>
        <v>0</v>
      </c>
      <c r="O1416" s="329">
        <f t="shared" si="330"/>
        <v>0</v>
      </c>
      <c r="P1416" s="329">
        <f t="shared" si="331"/>
        <v>0</v>
      </c>
      <c r="Q1416" s="329"/>
      <c r="S1416" s="332">
        <f t="shared" si="326"/>
        <v>0</v>
      </c>
      <c r="T1416" s="332">
        <f t="shared" si="315"/>
        <v>0</v>
      </c>
    </row>
    <row r="1417" spans="2:20" hidden="1">
      <c r="B1417" s="332" t="s">
        <v>2063</v>
      </c>
      <c r="C1417" s="333">
        <f t="shared" si="314"/>
        <v>0</v>
      </c>
      <c r="D1417" s="328"/>
      <c r="E1417" s="328" t="str">
        <f>VLOOKUP(B1417,DONGIA,DG!$B$6,0)</f>
        <v>T4.4202</v>
      </c>
      <c r="F1417" s="329" t="str">
        <f>VLOOKUP(B1417,DONGIA,DG!$C$6,0)</f>
        <v>Lắp cáp đồng xuống thiết bị D ≤ 150mm2</v>
      </c>
      <c r="G1417" s="328" t="str">
        <f>VLOOKUP(B1417,DONGIA,DG!$D$6,0)</f>
        <v>m</v>
      </c>
      <c r="H1417" s="329">
        <f>H1398</f>
        <v>0</v>
      </c>
      <c r="I1417" s="329"/>
      <c r="J1417" s="329"/>
      <c r="K1417" s="329">
        <f>VLOOKUP(B1417,DONGIA,DG!$F$6,0)</f>
        <v>28433</v>
      </c>
      <c r="L1417" s="329">
        <f>VLOOKUP(B1417,DONGIA,DG!$G$6,0)</f>
        <v>0</v>
      </c>
      <c r="M1417" s="329">
        <f t="shared" si="328"/>
        <v>0</v>
      </c>
      <c r="N1417" s="329">
        <f t="shared" si="329"/>
        <v>0</v>
      </c>
      <c r="O1417" s="329">
        <f t="shared" si="330"/>
        <v>0</v>
      </c>
      <c r="P1417" s="329">
        <f t="shared" si="331"/>
        <v>0</v>
      </c>
      <c r="Q1417" s="329"/>
      <c r="S1417" s="332">
        <f t="shared" si="326"/>
        <v>0</v>
      </c>
      <c r="T1417" s="332">
        <f t="shared" si="315"/>
        <v>0</v>
      </c>
    </row>
    <row r="1418" spans="2:20" hidden="1">
      <c r="C1418" s="333">
        <f t="shared" si="314"/>
        <v>0</v>
      </c>
      <c r="D1418" s="372">
        <f>IF(H1418&lt;&gt;0,D1396+1,D1396)</f>
        <v>0</v>
      </c>
      <c r="E1418" s="372"/>
      <c r="F1418" s="373" t="s">
        <v>1938</v>
      </c>
      <c r="G1418" s="372" t="s">
        <v>138</v>
      </c>
      <c r="H1418" s="372">
        <f>TRNC2X375*2</f>
        <v>0</v>
      </c>
      <c r="I1418" s="373"/>
      <c r="J1418" s="373"/>
      <c r="K1418" s="373"/>
      <c r="L1418" s="373"/>
      <c r="M1418" s="373"/>
      <c r="N1418" s="373"/>
      <c r="O1418" s="373"/>
      <c r="P1418" s="373"/>
      <c r="Q1418" s="373"/>
      <c r="S1418" s="332">
        <f t="shared" si="326"/>
        <v>0</v>
      </c>
      <c r="T1418" s="332">
        <f t="shared" si="315"/>
        <v>0</v>
      </c>
    </row>
    <row r="1419" spans="2:20" s="361" customFormat="1" hidden="1">
      <c r="C1419" s="374">
        <f t="shared" si="314"/>
        <v>0</v>
      </c>
      <c r="D1419" s="350"/>
      <c r="E1419" s="350"/>
      <c r="F1419" s="351" t="s">
        <v>1902</v>
      </c>
      <c r="G1419" s="350"/>
      <c r="H1419" s="351"/>
      <c r="I1419" s="351"/>
      <c r="J1419" s="351"/>
      <c r="K1419" s="351"/>
      <c r="L1419" s="351"/>
      <c r="M1419" s="351"/>
      <c r="N1419" s="351"/>
      <c r="O1419" s="351"/>
      <c r="P1419" s="351"/>
      <c r="Q1419" s="351"/>
      <c r="S1419" s="361">
        <f t="shared" si="326"/>
        <v>0</v>
      </c>
      <c r="T1419" s="361">
        <f t="shared" si="315"/>
        <v>0</v>
      </c>
    </row>
    <row r="1420" spans="2:20" hidden="1">
      <c r="B1420" s="332" t="s">
        <v>1907</v>
      </c>
      <c r="C1420" s="333">
        <f t="shared" si="314"/>
        <v>0</v>
      </c>
      <c r="D1420" s="328"/>
      <c r="E1420" s="328">
        <f>VLOOKUP(B1420,DONGIA,DG!$B$6,0)</f>
        <v>0</v>
      </c>
      <c r="F1420" s="329" t="str">
        <f>VLOOKUP(B1420,DONGIA,DG!$C$6,0)</f>
        <v>Cáp đồng bọc CV70</v>
      </c>
      <c r="G1420" s="328" t="str">
        <f>VLOOKUP(B1420,DONGIA,DG!$D$6,0)</f>
        <v>mét</v>
      </c>
      <c r="H1420" s="329">
        <f>H1418*10*3</f>
        <v>0</v>
      </c>
      <c r="I1420" s="329">
        <f>VLOOKUP(B1420,DONGIA,DG!$E$6,0)</f>
        <v>142880</v>
      </c>
      <c r="J1420" s="329"/>
      <c r="K1420" s="329">
        <f>VLOOKUP(B1420,DONGIA,DG!$F$6,0)</f>
        <v>0</v>
      </c>
      <c r="L1420" s="329">
        <f>VLOOKUP(B1420,DONGIA,DG!$G$6,0)</f>
        <v>0</v>
      </c>
      <c r="M1420" s="329">
        <f t="shared" ref="M1420:M1441" si="332">$H1420*I1420</f>
        <v>0</v>
      </c>
      <c r="N1420" s="329">
        <f t="shared" ref="N1420:N1441" si="333">$H1420*J1420</f>
        <v>0</v>
      </c>
      <c r="O1420" s="329">
        <f t="shared" ref="O1420:O1441" si="334">$H1420*K1420</f>
        <v>0</v>
      </c>
      <c r="P1420" s="329">
        <f t="shared" ref="P1420:P1441" si="335">$H1420*L1420</f>
        <v>0</v>
      </c>
      <c r="Q1420" s="329"/>
      <c r="S1420" s="332">
        <f t="shared" si="326"/>
        <v>0.73899999999999999</v>
      </c>
      <c r="T1420" s="332">
        <f t="shared" si="315"/>
        <v>0</v>
      </c>
    </row>
    <row r="1421" spans="2:20" hidden="1">
      <c r="B1421" s="332" t="s">
        <v>1906</v>
      </c>
      <c r="C1421" s="333">
        <f t="shared" si="314"/>
        <v>0</v>
      </c>
      <c r="D1421" s="328"/>
      <c r="E1421" s="328">
        <f>VLOOKUP(B1421,DONGIA,DG!$B$6,0)</f>
        <v>0</v>
      </c>
      <c r="F1421" s="329" t="str">
        <f>VLOOKUP(B1421,DONGIA,DG!$C$6,0)</f>
        <v>Cáp đồng bọc CV50</v>
      </c>
      <c r="G1421" s="328" t="str">
        <f>VLOOKUP(B1421,DONGIA,DG!$D$6,0)</f>
        <v>mét</v>
      </c>
      <c r="H1421" s="329">
        <f>H1418*10</f>
        <v>0</v>
      </c>
      <c r="I1421" s="329">
        <f>VLOOKUP(B1421,DONGIA,DG!$E$6,0)</f>
        <v>104370</v>
      </c>
      <c r="J1421" s="329"/>
      <c r="K1421" s="329">
        <f>VLOOKUP(B1421,DONGIA,DG!$F$6,0)</f>
        <v>0</v>
      </c>
      <c r="L1421" s="329">
        <f>VLOOKUP(B1421,DONGIA,DG!$G$6,0)</f>
        <v>0</v>
      </c>
      <c r="M1421" s="329">
        <f t="shared" si="332"/>
        <v>0</v>
      </c>
      <c r="N1421" s="329">
        <f t="shared" si="333"/>
        <v>0</v>
      </c>
      <c r="O1421" s="329">
        <f t="shared" si="334"/>
        <v>0</v>
      </c>
      <c r="P1421" s="329">
        <f t="shared" si="335"/>
        <v>0</v>
      </c>
      <c r="Q1421" s="329"/>
      <c r="S1421" s="332">
        <f t="shared" si="326"/>
        <v>0.53400000000000003</v>
      </c>
      <c r="T1421" s="332">
        <f t="shared" si="315"/>
        <v>0</v>
      </c>
    </row>
    <row r="1422" spans="2:20" hidden="1">
      <c r="B1422" s="332" t="s">
        <v>1113</v>
      </c>
      <c r="C1422" s="333">
        <f t="shared" ref="C1422:C1442" si="336">IF(H1422&lt;&gt;0,1,)</f>
        <v>0</v>
      </c>
      <c r="D1422" s="328"/>
      <c r="E1422" s="328"/>
      <c r="F1422" s="329" t="str">
        <f>VLOOKUP(B1422,DONGIA,DG!$C$6,0)</f>
        <v>Đầu cosse ép Cu 70mm2</v>
      </c>
      <c r="G1422" s="328" t="str">
        <f>VLOOKUP(B1422,DONGIA,DG!$D$6,0)</f>
        <v>cái</v>
      </c>
      <c r="H1422" s="329">
        <f>H1418*3</f>
        <v>0</v>
      </c>
      <c r="I1422" s="329">
        <f>VLOOKUP(B1422,DONGIA,DG!$E$6,0)</f>
        <v>33000</v>
      </c>
      <c r="J1422" s="329"/>
      <c r="K1422" s="329"/>
      <c r="L1422" s="329"/>
      <c r="M1422" s="329">
        <f t="shared" si="332"/>
        <v>0</v>
      </c>
      <c r="N1422" s="329">
        <f t="shared" si="333"/>
        <v>0</v>
      </c>
      <c r="O1422" s="329">
        <f t="shared" si="334"/>
        <v>0</v>
      </c>
      <c r="P1422" s="329">
        <f t="shared" si="335"/>
        <v>0</v>
      </c>
      <c r="Q1422" s="329"/>
      <c r="S1422" s="332">
        <f t="shared" si="326"/>
        <v>0.2</v>
      </c>
      <c r="T1422" s="332">
        <f t="shared" ref="T1422:T1443" si="337">H1422*S1422</f>
        <v>0</v>
      </c>
    </row>
    <row r="1423" spans="2:20" hidden="1">
      <c r="B1423" s="332" t="s">
        <v>1110</v>
      </c>
      <c r="C1423" s="333">
        <f t="shared" si="336"/>
        <v>0</v>
      </c>
      <c r="D1423" s="328"/>
      <c r="E1423" s="328"/>
      <c r="F1423" s="329" t="str">
        <f>VLOOKUP(B1423,DONGIA,DG!$C$6,0)</f>
        <v>Đầu cosse ép Cu 50mm2</v>
      </c>
      <c r="G1423" s="328" t="str">
        <f>VLOOKUP(B1423,DONGIA,DG!$D$6,0)</f>
        <v>cái</v>
      </c>
      <c r="H1423" s="329">
        <f>H1418</f>
        <v>0</v>
      </c>
      <c r="I1423" s="329">
        <f>VLOOKUP(B1423,DONGIA,DG!$E$6,0)</f>
        <v>23000</v>
      </c>
      <c r="J1423" s="329"/>
      <c r="K1423" s="329"/>
      <c r="L1423" s="329"/>
      <c r="M1423" s="329">
        <f t="shared" si="332"/>
        <v>0</v>
      </c>
      <c r="N1423" s="329">
        <f t="shared" si="333"/>
        <v>0</v>
      </c>
      <c r="O1423" s="329">
        <f t="shared" si="334"/>
        <v>0</v>
      </c>
      <c r="P1423" s="329">
        <f t="shared" si="335"/>
        <v>0</v>
      </c>
      <c r="Q1423" s="329"/>
      <c r="S1423" s="332">
        <f t="shared" si="326"/>
        <v>0.1</v>
      </c>
      <c r="T1423" s="332">
        <f t="shared" si="337"/>
        <v>0</v>
      </c>
    </row>
    <row r="1424" spans="2:20" hidden="1">
      <c r="B1424" s="332" t="s">
        <v>1147</v>
      </c>
      <c r="C1424" s="333">
        <f t="shared" si="336"/>
        <v>0</v>
      </c>
      <c r="D1424" s="328"/>
      <c r="E1424" s="328">
        <f>VLOOKUP(B1424,DONGIA,DG!$B$6,0)</f>
        <v>0</v>
      </c>
      <c r="F1424" s="329" t="str">
        <f>VLOOKUP(B1424,DONGIA,DG!$C$6,0)</f>
        <v>Chụp đầu cosse  70mm2</v>
      </c>
      <c r="G1424" s="328" t="str">
        <f>VLOOKUP(B1424,DONGIA,DG!$D$6,0)</f>
        <v>cái</v>
      </c>
      <c r="H1424" s="329">
        <f>H1422</f>
        <v>0</v>
      </c>
      <c r="I1424" s="329">
        <f>VLOOKUP(B1424,DONGIA,DG!$E$6,0)</f>
        <v>2000</v>
      </c>
      <c r="J1424" s="329"/>
      <c r="K1424" s="329">
        <f>VLOOKUP(B1424,DONGIA,DG!$F$6,0)</f>
        <v>0</v>
      </c>
      <c r="L1424" s="329">
        <f>VLOOKUP(B1424,DONGIA,DG!$G$6,0)</f>
        <v>0</v>
      </c>
      <c r="M1424" s="329">
        <f t="shared" si="332"/>
        <v>0</v>
      </c>
      <c r="N1424" s="329">
        <f t="shared" si="333"/>
        <v>0</v>
      </c>
      <c r="O1424" s="329">
        <f t="shared" si="334"/>
        <v>0</v>
      </c>
      <c r="P1424" s="329">
        <f t="shared" si="335"/>
        <v>0</v>
      </c>
      <c r="Q1424" s="329"/>
      <c r="S1424" s="332">
        <f t="shared" si="326"/>
        <v>0</v>
      </c>
      <c r="T1424" s="332">
        <f t="shared" si="337"/>
        <v>0</v>
      </c>
    </row>
    <row r="1425" spans="2:20" hidden="1">
      <c r="B1425" s="332" t="s">
        <v>1145</v>
      </c>
      <c r="C1425" s="333">
        <f t="shared" si="336"/>
        <v>0</v>
      </c>
      <c r="D1425" s="328"/>
      <c r="E1425" s="328">
        <f>VLOOKUP(B1425,DONGIA,DG!$B$6,0)</f>
        <v>0</v>
      </c>
      <c r="F1425" s="329" t="str">
        <f>VLOOKUP(B1425,DONGIA,DG!$C$6,0)</f>
        <v>Chụp đầu cosse  50mm2</v>
      </c>
      <c r="G1425" s="328" t="str">
        <f>VLOOKUP(B1425,DONGIA,DG!$D$6,0)</f>
        <v>cái</v>
      </c>
      <c r="H1425" s="329">
        <f>H1423</f>
        <v>0</v>
      </c>
      <c r="I1425" s="329">
        <f>VLOOKUP(B1425,DONGIA,DG!$E$6,0)</f>
        <v>2000</v>
      </c>
      <c r="J1425" s="329"/>
      <c r="K1425" s="329">
        <f>VLOOKUP(B1425,DONGIA,DG!$F$6,0)</f>
        <v>0</v>
      </c>
      <c r="L1425" s="329">
        <f>VLOOKUP(B1425,DONGIA,DG!$G$6,0)</f>
        <v>0</v>
      </c>
      <c r="M1425" s="329">
        <f t="shared" si="332"/>
        <v>0</v>
      </c>
      <c r="N1425" s="329">
        <f t="shared" si="333"/>
        <v>0</v>
      </c>
      <c r="O1425" s="329">
        <f t="shared" si="334"/>
        <v>0</v>
      </c>
      <c r="P1425" s="329">
        <f t="shared" si="335"/>
        <v>0</v>
      </c>
      <c r="Q1425" s="329"/>
      <c r="S1425" s="332">
        <f t="shared" si="326"/>
        <v>0</v>
      </c>
      <c r="T1425" s="332">
        <f t="shared" si="337"/>
        <v>0</v>
      </c>
    </row>
    <row r="1426" spans="2:20" hidden="1">
      <c r="B1426" s="332" t="s">
        <v>1177</v>
      </c>
      <c r="C1426" s="333">
        <f t="shared" si="336"/>
        <v>0</v>
      </c>
      <c r="D1426" s="328"/>
      <c r="E1426" s="328">
        <f>VLOOKUP(B1426,DONGIA,DG!$B$6,0)</f>
        <v>0</v>
      </c>
      <c r="F1426" s="329" t="str">
        <f>VLOOKUP(B1426,DONGIA,DG!$C$6,0)</f>
        <v xml:space="preserve">Ống PVC D90x3,8mm </v>
      </c>
      <c r="G1426" s="328" t="str">
        <f>VLOOKUP(B1426,DONGIA,DG!$D$6,0)</f>
        <v>m</v>
      </c>
      <c r="H1426" s="329">
        <f>H1418*7</f>
        <v>0</v>
      </c>
      <c r="I1426" s="329">
        <f>VLOOKUP(B1426,DONGIA,DG!$E$6,0)</f>
        <v>57000</v>
      </c>
      <c r="J1426" s="329"/>
      <c r="K1426" s="329">
        <f>VLOOKUP(B1426,DONGIA,DG!$F$6,0)</f>
        <v>0</v>
      </c>
      <c r="L1426" s="329">
        <f>VLOOKUP(B1426,DONGIA,DG!$G$6,0)</f>
        <v>0</v>
      </c>
      <c r="M1426" s="329">
        <f t="shared" si="332"/>
        <v>0</v>
      </c>
      <c r="N1426" s="329">
        <f t="shared" si="333"/>
        <v>0</v>
      </c>
      <c r="O1426" s="329">
        <f t="shared" si="334"/>
        <v>0</v>
      </c>
      <c r="P1426" s="329">
        <f t="shared" si="335"/>
        <v>0</v>
      </c>
      <c r="Q1426" s="329"/>
      <c r="S1426" s="332">
        <f t="shared" si="326"/>
        <v>2</v>
      </c>
      <c r="T1426" s="332">
        <f t="shared" si="337"/>
        <v>0</v>
      </c>
    </row>
    <row r="1427" spans="2:20" hidden="1">
      <c r="B1427" s="332" t="s">
        <v>455</v>
      </c>
      <c r="C1427" s="333">
        <f t="shared" si="336"/>
        <v>0</v>
      </c>
      <c r="D1427" s="328"/>
      <c r="E1427" s="328"/>
      <c r="F1427" s="329" t="str">
        <f>VLOOKUP(B1427,DONGIA,DG!$C$6,0)&amp;" (CD: 250)"</f>
        <v>Cổ dê kẹp ống PVC φ 90 (có giá nới) (CD: 250)</v>
      </c>
      <c r="G1427" s="328" t="str">
        <f>VLOOKUP(B1427,DONGIA,DG!$D$6,0)</f>
        <v>bộ</v>
      </c>
      <c r="H1427" s="329">
        <f>H1418</f>
        <v>0</v>
      </c>
      <c r="I1427" s="329">
        <f>VLOOKUP(B1427,DONGIA,DG!$E$6,0)</f>
        <v>60000</v>
      </c>
      <c r="J1427" s="329"/>
      <c r="K1427" s="329"/>
      <c r="L1427" s="329">
        <f>VLOOKUP(B1427,DONGIA,DG!$G$6,0)</f>
        <v>0</v>
      </c>
      <c r="M1427" s="329">
        <f t="shared" si="332"/>
        <v>0</v>
      </c>
      <c r="N1427" s="329">
        <f t="shared" si="333"/>
        <v>0</v>
      </c>
      <c r="O1427" s="329">
        <f t="shared" si="334"/>
        <v>0</v>
      </c>
      <c r="P1427" s="329">
        <f t="shared" si="335"/>
        <v>0</v>
      </c>
      <c r="Q1427" s="329"/>
      <c r="S1427" s="332">
        <f t="shared" si="326"/>
        <v>1.5</v>
      </c>
      <c r="T1427" s="332">
        <f t="shared" si="337"/>
        <v>0</v>
      </c>
    </row>
    <row r="1428" spans="2:20" hidden="1">
      <c r="B1428" s="332" t="s">
        <v>455</v>
      </c>
      <c r="C1428" s="333">
        <f t="shared" si="336"/>
        <v>0</v>
      </c>
      <c r="D1428" s="328"/>
      <c r="E1428" s="328"/>
      <c r="F1428" s="329" t="str">
        <f>VLOOKUP(B1428,DONGIA,DG!$C$6,0)&amp;" (CD: 280)"</f>
        <v>Cổ dê kẹp ống PVC φ 90 (có giá nới) (CD: 280)</v>
      </c>
      <c r="G1428" s="328" t="str">
        <f>VLOOKUP(B1428,DONGIA,DG!$D$6,0)</f>
        <v>bộ</v>
      </c>
      <c r="H1428" s="329">
        <f>H1418</f>
        <v>0</v>
      </c>
      <c r="I1428" s="329">
        <f>VLOOKUP(B1428,DONGIA,DG!$E$6,0)</f>
        <v>60000</v>
      </c>
      <c r="J1428" s="329"/>
      <c r="K1428" s="329"/>
      <c r="L1428" s="329">
        <f>VLOOKUP(B1428,DONGIA,DG!$G$6,0)</f>
        <v>0</v>
      </c>
      <c r="M1428" s="329">
        <f t="shared" si="332"/>
        <v>0</v>
      </c>
      <c r="N1428" s="329">
        <f t="shared" si="333"/>
        <v>0</v>
      </c>
      <c r="O1428" s="329">
        <f t="shared" si="334"/>
        <v>0</v>
      </c>
      <c r="P1428" s="329">
        <f t="shared" si="335"/>
        <v>0</v>
      </c>
      <c r="Q1428" s="329"/>
      <c r="S1428" s="332">
        <f t="shared" si="326"/>
        <v>1.5</v>
      </c>
      <c r="T1428" s="332">
        <f t="shared" si="337"/>
        <v>0</v>
      </c>
    </row>
    <row r="1429" spans="2:20" hidden="1">
      <c r="B1429" s="332" t="s">
        <v>455</v>
      </c>
      <c r="C1429" s="333">
        <f t="shared" si="336"/>
        <v>0</v>
      </c>
      <c r="D1429" s="328"/>
      <c r="E1429" s="328"/>
      <c r="F1429" s="329" t="str">
        <f>VLOOKUP(B1429,DONGIA,DG!$C$6,0)&amp;" (CD: 320)"</f>
        <v>Cổ dê kẹp ống PVC φ 90 (có giá nới) (CD: 320)</v>
      </c>
      <c r="G1429" s="328" t="str">
        <f>VLOOKUP(B1429,DONGIA,DG!$D$6,0)</f>
        <v>bộ</v>
      </c>
      <c r="H1429" s="329">
        <f>H1418</f>
        <v>0</v>
      </c>
      <c r="I1429" s="329">
        <f>VLOOKUP(B1429,DONGIA,DG!$E$6,0)</f>
        <v>60000</v>
      </c>
      <c r="J1429" s="329"/>
      <c r="K1429" s="329"/>
      <c r="L1429" s="329">
        <f>VLOOKUP(B1429,DONGIA,DG!$G$6,0)</f>
        <v>0</v>
      </c>
      <c r="M1429" s="329">
        <f t="shared" si="332"/>
        <v>0</v>
      </c>
      <c r="N1429" s="329">
        <f t="shared" si="333"/>
        <v>0</v>
      </c>
      <c r="O1429" s="329">
        <f t="shared" si="334"/>
        <v>0</v>
      </c>
      <c r="P1429" s="329">
        <f t="shared" si="335"/>
        <v>0</v>
      </c>
      <c r="Q1429" s="329"/>
      <c r="S1429" s="332">
        <f t="shared" si="326"/>
        <v>1.5</v>
      </c>
      <c r="T1429" s="332">
        <f t="shared" si="337"/>
        <v>0</v>
      </c>
    </row>
    <row r="1430" spans="2:20" hidden="1">
      <c r="B1430" s="332" t="s">
        <v>1183</v>
      </c>
      <c r="C1430" s="333">
        <f t="shared" si="336"/>
        <v>0</v>
      </c>
      <c r="D1430" s="328"/>
      <c r="E1430" s="328">
        <f>VLOOKUP(B1430,DONGIA,DG!$B$6,0)</f>
        <v>0</v>
      </c>
      <c r="F1430" s="329" t="str">
        <f>VLOOKUP(B1430,DONGIA,DG!$C$6,0)</f>
        <v>Co  90 độ PVC 90</v>
      </c>
      <c r="G1430" s="328" t="str">
        <f>VLOOKUP(B1430,DONGIA,DG!$D$6,0)</f>
        <v>cái</v>
      </c>
      <c r="H1430" s="329">
        <f>H1418*3</f>
        <v>0</v>
      </c>
      <c r="I1430" s="329">
        <f>VLOOKUP(B1430,DONGIA,DG!$E$6,0)</f>
        <v>45400</v>
      </c>
      <c r="J1430" s="329"/>
      <c r="K1430" s="329">
        <f>VLOOKUP(B1430,DONGIA,DG!$F$6,0)</f>
        <v>0</v>
      </c>
      <c r="L1430" s="329">
        <f>VLOOKUP(B1430,DONGIA,DG!$G$6,0)</f>
        <v>0</v>
      </c>
      <c r="M1430" s="329">
        <f t="shared" si="332"/>
        <v>0</v>
      </c>
      <c r="N1430" s="329">
        <f t="shared" si="333"/>
        <v>0</v>
      </c>
      <c r="O1430" s="329">
        <f t="shared" si="334"/>
        <v>0</v>
      </c>
      <c r="P1430" s="329">
        <f t="shared" si="335"/>
        <v>0</v>
      </c>
      <c r="Q1430" s="329"/>
      <c r="S1430" s="332">
        <f t="shared" si="326"/>
        <v>0</v>
      </c>
      <c r="T1430" s="332">
        <f t="shared" si="337"/>
        <v>0</v>
      </c>
    </row>
    <row r="1431" spans="2:20" hidden="1">
      <c r="B1431" s="332" t="s">
        <v>1181</v>
      </c>
      <c r="C1431" s="333">
        <f t="shared" si="336"/>
        <v>0</v>
      </c>
      <c r="D1431" s="328"/>
      <c r="E1431" s="328">
        <f>VLOOKUP(B1431,DONGIA,DG!$B$6,0)</f>
        <v>0</v>
      </c>
      <c r="F1431" s="329" t="str">
        <f>VLOOKUP(B1431,DONGIA,DG!$C$6,0)</f>
        <v>Co 135 độ PVC 90</v>
      </c>
      <c r="G1431" s="328" t="str">
        <f>VLOOKUP(B1431,DONGIA,DG!$D$6,0)</f>
        <v>cái</v>
      </c>
      <c r="H1431" s="329">
        <f>H1418</f>
        <v>0</v>
      </c>
      <c r="I1431" s="329">
        <f>VLOOKUP(B1431,DONGIA,DG!$E$6,0)</f>
        <v>34800</v>
      </c>
      <c r="J1431" s="329"/>
      <c r="K1431" s="329">
        <f>VLOOKUP(B1431,DONGIA,DG!$F$6,0)</f>
        <v>0</v>
      </c>
      <c r="L1431" s="329">
        <f>VLOOKUP(B1431,DONGIA,DG!$G$6,0)</f>
        <v>0</v>
      </c>
      <c r="M1431" s="329">
        <f t="shared" si="332"/>
        <v>0</v>
      </c>
      <c r="N1431" s="329">
        <f t="shared" si="333"/>
        <v>0</v>
      </c>
      <c r="O1431" s="329">
        <f t="shared" si="334"/>
        <v>0</v>
      </c>
      <c r="P1431" s="329">
        <f t="shared" si="335"/>
        <v>0</v>
      </c>
      <c r="Q1431" s="329"/>
      <c r="S1431" s="332">
        <f t="shared" si="326"/>
        <v>0</v>
      </c>
      <c r="T1431" s="332">
        <f t="shared" si="337"/>
        <v>0</v>
      </c>
    </row>
    <row r="1432" spans="2:20" hidden="1">
      <c r="B1432" s="332" t="s">
        <v>1203</v>
      </c>
      <c r="C1432" s="333">
        <f t="shared" si="336"/>
        <v>0</v>
      </c>
      <c r="D1432" s="328"/>
      <c r="E1432" s="328">
        <f>VLOOKUP(B1432,DONGIA,DG!$B$6,0)</f>
        <v>0</v>
      </c>
      <c r="F1432" s="329" t="str">
        <f>VLOOKUP(B1432,DONGIA,DG!$C$6,0)</f>
        <v>Khâu ven răng trong D90</v>
      </c>
      <c r="G1432" s="328" t="str">
        <f>VLOOKUP(B1432,DONGIA,DG!$D$6,0)</f>
        <v>cái</v>
      </c>
      <c r="H1432" s="329">
        <f>H1418</f>
        <v>0</v>
      </c>
      <c r="I1432" s="329">
        <f>VLOOKUP(B1432,DONGIA,DG!$E$6,0)</f>
        <v>25800</v>
      </c>
      <c r="J1432" s="329"/>
      <c r="K1432" s="329">
        <f>VLOOKUP(B1432,DONGIA,DG!$F$6,0)</f>
        <v>0</v>
      </c>
      <c r="L1432" s="329">
        <f>VLOOKUP(B1432,DONGIA,DG!$G$6,0)</f>
        <v>0</v>
      </c>
      <c r="M1432" s="329">
        <f t="shared" si="332"/>
        <v>0</v>
      </c>
      <c r="N1432" s="329">
        <f t="shared" si="333"/>
        <v>0</v>
      </c>
      <c r="O1432" s="329">
        <f t="shared" si="334"/>
        <v>0</v>
      </c>
      <c r="P1432" s="329">
        <f t="shared" si="335"/>
        <v>0</v>
      </c>
      <c r="Q1432" s="329"/>
      <c r="S1432" s="332">
        <f t="shared" si="326"/>
        <v>0</v>
      </c>
      <c r="T1432" s="332">
        <f t="shared" si="337"/>
        <v>0</v>
      </c>
    </row>
    <row r="1433" spans="2:20" hidden="1">
      <c r="B1433" s="332" t="s">
        <v>1209</v>
      </c>
      <c r="C1433" s="333">
        <f t="shared" si="336"/>
        <v>0</v>
      </c>
      <c r="D1433" s="328"/>
      <c r="E1433" s="328">
        <f>VLOOKUP(B1433,DONGIA,DG!$B$6,0)</f>
        <v>0</v>
      </c>
      <c r="F1433" s="329" t="str">
        <f>VLOOKUP(B1433,DONGIA,DG!$C$6,0)</f>
        <v>Khâu ven răng ngoài D90</v>
      </c>
      <c r="G1433" s="328" t="str">
        <f>VLOOKUP(B1433,DONGIA,DG!$D$6,0)</f>
        <v>cái</v>
      </c>
      <c r="H1433" s="329">
        <f>H1432</f>
        <v>0</v>
      </c>
      <c r="I1433" s="329">
        <f>VLOOKUP(B1433,DONGIA,DG!$E$6,0)</f>
        <v>21500</v>
      </c>
      <c r="J1433" s="329"/>
      <c r="K1433" s="329">
        <f>VLOOKUP(B1433,DONGIA,DG!$F$6,0)</f>
        <v>0</v>
      </c>
      <c r="L1433" s="329">
        <f>VLOOKUP(B1433,DONGIA,DG!$G$6,0)</f>
        <v>0</v>
      </c>
      <c r="M1433" s="329">
        <f t="shared" si="332"/>
        <v>0</v>
      </c>
      <c r="N1433" s="329">
        <f t="shared" si="333"/>
        <v>0</v>
      </c>
      <c r="O1433" s="329">
        <f t="shared" si="334"/>
        <v>0</v>
      </c>
      <c r="P1433" s="329">
        <f t="shared" si="335"/>
        <v>0</v>
      </c>
      <c r="Q1433" s="329"/>
      <c r="S1433" s="332">
        <f t="shared" si="326"/>
        <v>0</v>
      </c>
      <c r="T1433" s="332">
        <f t="shared" si="337"/>
        <v>0</v>
      </c>
    </row>
    <row r="1434" spans="2:20" hidden="1">
      <c r="B1434" s="332" t="s">
        <v>1914</v>
      </c>
      <c r="C1434" s="333">
        <f t="shared" si="336"/>
        <v>0</v>
      </c>
      <c r="D1434" s="328"/>
      <c r="E1434" s="328">
        <f>VLOOKUP(B1434,DONGIA,DG!$B$6,0)</f>
        <v>0</v>
      </c>
      <c r="F1434" s="329" t="str">
        <f>VLOOKUP(B1434,DONGIA,DG!$C$6,0)</f>
        <v>Keo dán ống PVC (100gr)</v>
      </c>
      <c r="G1434" s="328" t="str">
        <f>VLOOKUP(B1434,DONGIA,DG!$D$6,0)</f>
        <v>tuýp</v>
      </c>
      <c r="H1434" s="329"/>
      <c r="I1434" s="329">
        <f>VLOOKUP(B1434,DONGIA,DG!$E$6,0)</f>
        <v>11500</v>
      </c>
      <c r="J1434" s="329"/>
      <c r="K1434" s="329">
        <f>VLOOKUP(B1434,DONGIA,DG!$F$6,0)</f>
        <v>0</v>
      </c>
      <c r="L1434" s="329">
        <f>VLOOKUP(B1434,DONGIA,DG!$G$6,0)</f>
        <v>0</v>
      </c>
      <c r="M1434" s="329">
        <f t="shared" si="332"/>
        <v>0</v>
      </c>
      <c r="N1434" s="329">
        <f t="shared" si="333"/>
        <v>0</v>
      </c>
      <c r="O1434" s="329">
        <f t="shared" si="334"/>
        <v>0</v>
      </c>
      <c r="P1434" s="329">
        <f t="shared" si="335"/>
        <v>0</v>
      </c>
      <c r="Q1434" s="329"/>
      <c r="S1434" s="332">
        <f t="shared" si="326"/>
        <v>0</v>
      </c>
      <c r="T1434" s="332">
        <f t="shared" si="337"/>
        <v>0</v>
      </c>
    </row>
    <row r="1435" spans="2:20" hidden="1">
      <c r="B1435" s="332" t="s">
        <v>1639</v>
      </c>
      <c r="C1435" s="333">
        <f t="shared" si="336"/>
        <v>0</v>
      </c>
      <c r="D1435" s="328"/>
      <c r="E1435" s="328">
        <f>VLOOKUP(B1435,DONGIA,DG!$B$6,0)</f>
        <v>0</v>
      </c>
      <c r="F1435" s="329" t="str">
        <f>VLOOKUP(B1435,DONGIA,DG!$C$6,0)&amp;" bịt miệng ống"</f>
        <v>Xi măng bịt miệng ống</v>
      </c>
      <c r="G1435" s="328" t="str">
        <f>VLOOKUP(B1435,DONGIA,DG!$D$6,0)</f>
        <v>kg</v>
      </c>
      <c r="H1435" s="455">
        <f>H1418*0.5</f>
        <v>0</v>
      </c>
      <c r="I1435" s="329">
        <f>VLOOKUP(B1435,DONGIA,DG!$E$6,0)</f>
        <v>1760</v>
      </c>
      <c r="J1435" s="329"/>
      <c r="K1435" s="329">
        <f>VLOOKUP(B1435,DONGIA,DG!$F$6,0)</f>
        <v>0</v>
      </c>
      <c r="L1435" s="329">
        <f>VLOOKUP(B1435,DONGIA,DG!$G$6,0)</f>
        <v>0</v>
      </c>
      <c r="M1435" s="329">
        <f t="shared" si="332"/>
        <v>0</v>
      </c>
      <c r="N1435" s="329">
        <f t="shared" si="333"/>
        <v>0</v>
      </c>
      <c r="O1435" s="329">
        <f t="shared" si="334"/>
        <v>0</v>
      </c>
      <c r="P1435" s="329">
        <f t="shared" si="335"/>
        <v>0</v>
      </c>
      <c r="Q1435" s="329"/>
      <c r="S1435" s="332">
        <f t="shared" si="326"/>
        <v>1</v>
      </c>
      <c r="T1435" s="332">
        <f t="shared" si="337"/>
        <v>0</v>
      </c>
    </row>
    <row r="1436" spans="2:20" hidden="1">
      <c r="B1436" s="332" t="s">
        <v>391</v>
      </c>
      <c r="C1436" s="333">
        <f t="shared" si="336"/>
        <v>0</v>
      </c>
      <c r="D1436" s="328"/>
      <c r="E1436" s="328"/>
      <c r="F1436" s="329" t="str">
        <f>VLOOKUP(B1436,DONGIA,DG!$C$6,0)</f>
        <v>Ống nối dây AC cỡ 120mm2 (Không lõi thép)</v>
      </c>
      <c r="G1436" s="328" t="str">
        <f>VLOOKUP(B1436,DONGIA,DG!$D$6,0)</f>
        <v>cái</v>
      </c>
      <c r="H1436" s="329"/>
      <c r="I1436" s="329">
        <f>VLOOKUP(B1436,DONGIA,DG!$E$6,0)</f>
        <v>69000</v>
      </c>
      <c r="J1436" s="329"/>
      <c r="K1436" s="329"/>
      <c r="L1436" s="329"/>
      <c r="M1436" s="329">
        <f t="shared" si="332"/>
        <v>0</v>
      </c>
      <c r="N1436" s="329">
        <f t="shared" si="333"/>
        <v>0</v>
      </c>
      <c r="O1436" s="329">
        <f t="shared" si="334"/>
        <v>0</v>
      </c>
      <c r="P1436" s="329">
        <f t="shared" si="335"/>
        <v>0</v>
      </c>
      <c r="Q1436" s="329"/>
      <c r="S1436" s="332">
        <f t="shared" si="326"/>
        <v>2</v>
      </c>
      <c r="T1436" s="332">
        <f t="shared" si="337"/>
        <v>0</v>
      </c>
    </row>
    <row r="1437" spans="2:20" hidden="1">
      <c r="B1437" s="332" t="s">
        <v>396</v>
      </c>
      <c r="C1437" s="333">
        <f t="shared" si="336"/>
        <v>0</v>
      </c>
      <c r="D1437" s="328"/>
      <c r="E1437" s="328">
        <f>VLOOKUP(B1437,DONGIA,DG!$B$6,0)</f>
        <v>0</v>
      </c>
      <c r="F1437" s="329" t="str">
        <f>VLOOKUP(B1437,DONGIA,DG!$C$6,0)</f>
        <v>Ống bọc cách điện D30/15</v>
      </c>
      <c r="G1437" s="328" t="str">
        <f>VLOOKUP(B1437,DONGIA,DG!$D$6,0)</f>
        <v>mét</v>
      </c>
      <c r="H1437" s="329"/>
      <c r="I1437" s="329">
        <f>VLOOKUP(B1437,DONGIA,DG!$E$6,0)</f>
        <v>95000</v>
      </c>
      <c r="J1437" s="329"/>
      <c r="K1437" s="329">
        <f>VLOOKUP(B1437,DONGIA,DG!$F$6,0)</f>
        <v>0</v>
      </c>
      <c r="L1437" s="329">
        <f>VLOOKUP(B1437,DONGIA,DG!$G$6,0)</f>
        <v>0</v>
      </c>
      <c r="M1437" s="329">
        <f t="shared" si="332"/>
        <v>0</v>
      </c>
      <c r="N1437" s="329">
        <f t="shared" si="333"/>
        <v>0</v>
      </c>
      <c r="O1437" s="329">
        <f t="shared" si="334"/>
        <v>0</v>
      </c>
      <c r="P1437" s="329">
        <f t="shared" si="335"/>
        <v>0</v>
      </c>
      <c r="Q1437" s="329"/>
      <c r="S1437" s="332">
        <f t="shared" si="326"/>
        <v>0</v>
      </c>
      <c r="T1437" s="332">
        <f t="shared" si="337"/>
        <v>0</v>
      </c>
    </row>
    <row r="1438" spans="2:20" hidden="1">
      <c r="B1438" s="332" t="s">
        <v>1195</v>
      </c>
      <c r="C1438" s="333">
        <f t="shared" si="336"/>
        <v>0</v>
      </c>
      <c r="D1438" s="328"/>
      <c r="E1438" s="328">
        <f>VLOOKUP(B1438,DONGIA,DG!$B$6,0)</f>
        <v>0</v>
      </c>
      <c r="F1438" s="329" t="str">
        <f>VLOOKUP(B1438,DONGIA,DG!$C$6,0)</f>
        <v>Keo silicon bít miệng ống</v>
      </c>
      <c r="G1438" s="328" t="str">
        <f>VLOOKUP(B1438,DONGIA,DG!$D$6,0)</f>
        <v>ống</v>
      </c>
      <c r="H1438" s="329">
        <f>H1421</f>
        <v>0</v>
      </c>
      <c r="I1438" s="329">
        <f>VLOOKUP(B1438,DONGIA,DG!$E$6,0)</f>
        <v>45000</v>
      </c>
      <c r="J1438" s="329"/>
      <c r="K1438" s="329">
        <f>VLOOKUP(B1438,DONGIA,DG!$F$6,0)</f>
        <v>0</v>
      </c>
      <c r="L1438" s="329">
        <f>VLOOKUP(B1438,DONGIA,DG!$G$6,0)</f>
        <v>0</v>
      </c>
      <c r="M1438" s="329">
        <f t="shared" si="332"/>
        <v>0</v>
      </c>
      <c r="N1438" s="329">
        <f t="shared" si="333"/>
        <v>0</v>
      </c>
      <c r="O1438" s="329">
        <f t="shared" si="334"/>
        <v>0</v>
      </c>
      <c r="P1438" s="329">
        <f t="shared" si="335"/>
        <v>0</v>
      </c>
      <c r="Q1438" s="329"/>
      <c r="S1438" s="332">
        <f t="shared" si="326"/>
        <v>0</v>
      </c>
      <c r="T1438" s="332">
        <f t="shared" si="337"/>
        <v>0</v>
      </c>
    </row>
    <row r="1439" spans="2:20" hidden="1">
      <c r="B1439" s="332" t="s">
        <v>1193</v>
      </c>
      <c r="C1439" s="333">
        <f t="shared" si="336"/>
        <v>0</v>
      </c>
      <c r="D1439" s="328"/>
      <c r="E1439" s="328">
        <f>VLOOKUP(B1439,DONGIA,DG!$B$6,0)</f>
        <v>0</v>
      </c>
      <c r="F1439" s="329" t="str">
        <f>VLOOKUP(B1439,DONGIA,DG!$C$6,0)</f>
        <v>Băng keo cách điện</v>
      </c>
      <c r="G1439" s="328" t="str">
        <f>VLOOKUP(B1439,DONGIA,DG!$D$6,0)</f>
        <v>cuộn</v>
      </c>
      <c r="H1439" s="329"/>
      <c r="I1439" s="329">
        <f>VLOOKUP(B1439,DONGIA,DG!$E$6,0)</f>
        <v>6500</v>
      </c>
      <c r="J1439" s="329"/>
      <c r="K1439" s="329">
        <f>VLOOKUP(B1439,DONGIA,DG!$F$6,0)</f>
        <v>0</v>
      </c>
      <c r="L1439" s="329">
        <f>VLOOKUP(B1439,DONGIA,DG!$G$6,0)</f>
        <v>0</v>
      </c>
      <c r="M1439" s="329">
        <f t="shared" si="332"/>
        <v>0</v>
      </c>
      <c r="N1439" s="329">
        <f t="shared" si="333"/>
        <v>0</v>
      </c>
      <c r="O1439" s="329">
        <f t="shared" si="334"/>
        <v>0</v>
      </c>
      <c r="P1439" s="329">
        <f t="shared" si="335"/>
        <v>0</v>
      </c>
      <c r="Q1439" s="329"/>
      <c r="S1439" s="332">
        <f t="shared" si="326"/>
        <v>0</v>
      </c>
      <c r="T1439" s="332">
        <f t="shared" si="337"/>
        <v>0</v>
      </c>
    </row>
    <row r="1440" spans="2:20" hidden="1">
      <c r="B1440" s="332" t="s">
        <v>855</v>
      </c>
      <c r="C1440" s="333">
        <f t="shared" si="336"/>
        <v>0</v>
      </c>
      <c r="D1440" s="328"/>
      <c r="E1440" s="328" t="str">
        <f>VLOOKUP(B1440,DONGIA,DG!$B$6,0)</f>
        <v>T4.8003</v>
      </c>
      <c r="F1440" s="329" t="str">
        <f>VLOOKUP(B1440,DONGIA,DG!$C$6,0)</f>
        <v>Lắp ống nhựa PVC D90</v>
      </c>
      <c r="G1440" s="328" t="str">
        <f>VLOOKUP(B1440,DONGIA,DG!$D$6,0)</f>
        <v>mét</v>
      </c>
      <c r="H1440" s="329">
        <f>H1426</f>
        <v>0</v>
      </c>
      <c r="I1440" s="329">
        <f>VLOOKUP(B1440,DONGIA,DG!$E$6,0)</f>
        <v>0</v>
      </c>
      <c r="J1440" s="329"/>
      <c r="K1440" s="329">
        <f>VLOOKUP(B1440,DONGIA,DG!$F$6,0)</f>
        <v>35541</v>
      </c>
      <c r="L1440" s="329">
        <f>VLOOKUP(B1440,DONGIA,DG!$G$6,0)</f>
        <v>0</v>
      </c>
      <c r="M1440" s="329">
        <f t="shared" si="332"/>
        <v>0</v>
      </c>
      <c r="N1440" s="329">
        <f t="shared" si="333"/>
        <v>0</v>
      </c>
      <c r="O1440" s="329">
        <f t="shared" si="334"/>
        <v>0</v>
      </c>
      <c r="P1440" s="329">
        <f t="shared" si="335"/>
        <v>0</v>
      </c>
      <c r="Q1440" s="329"/>
      <c r="S1440" s="332">
        <f t="shared" si="326"/>
        <v>0</v>
      </c>
      <c r="T1440" s="332">
        <f t="shared" si="337"/>
        <v>0</v>
      </c>
    </row>
    <row r="1441" spans="1:20" hidden="1">
      <c r="B1441" s="332" t="s">
        <v>1939</v>
      </c>
      <c r="C1441" s="333">
        <f t="shared" si="336"/>
        <v>0</v>
      </c>
      <c r="D1441" s="328"/>
      <c r="E1441" s="328" t="str">
        <f>VLOOKUP(B1441,DONGIA,DG!$B$6,0)</f>
        <v>T4.4201</v>
      </c>
      <c r="F1441" s="329" t="str">
        <f>VLOOKUP(B1441,DONGIA,DG!$C$6,0)</f>
        <v>Lắp cáp đồng xuống thiết bị D ≤ 95mm2</v>
      </c>
      <c r="G1441" s="328" t="str">
        <f>VLOOKUP(B1441,DONGIA,DG!$D$6,0)</f>
        <v>m</v>
      </c>
      <c r="H1441" s="329">
        <f>H1420</f>
        <v>0</v>
      </c>
      <c r="I1441" s="329">
        <f>VLOOKUP(B1441,DONGIA,DG!$E$6,0)</f>
        <v>0</v>
      </c>
      <c r="J1441" s="329"/>
      <c r="K1441" s="329">
        <f>VLOOKUP(B1441,DONGIA,DG!$F$6,0)</f>
        <v>11847</v>
      </c>
      <c r="L1441" s="329">
        <f>VLOOKUP(B1441,DONGIA,DG!$G$6,0)</f>
        <v>0</v>
      </c>
      <c r="M1441" s="329">
        <f t="shared" si="332"/>
        <v>0</v>
      </c>
      <c r="N1441" s="329">
        <f t="shared" si="333"/>
        <v>0</v>
      </c>
      <c r="O1441" s="329">
        <f t="shared" si="334"/>
        <v>0</v>
      </c>
      <c r="P1441" s="329">
        <f t="shared" si="335"/>
        <v>0</v>
      </c>
      <c r="Q1441" s="329"/>
      <c r="S1441" s="332">
        <f t="shared" si="326"/>
        <v>0</v>
      </c>
      <c r="T1441" s="332">
        <f t="shared" si="337"/>
        <v>0</v>
      </c>
    </row>
    <row r="1442" spans="1:20" hidden="1">
      <c r="B1442" s="332" t="s">
        <v>1058</v>
      </c>
      <c r="C1442" s="333">
        <f t="shared" si="336"/>
        <v>0</v>
      </c>
      <c r="D1442" s="372">
        <f>IF(H1442&lt;&gt;0,D1418+1,D1418)</f>
        <v>0</v>
      </c>
      <c r="E1442" s="372">
        <f>VLOOKUP(B1442,DONGIA,DG!$B$6,0)</f>
        <v>0</v>
      </c>
      <c r="F1442" s="373" t="str">
        <f>VLOOKUP(B1442,DONGIA,DG!$C$6,0)</f>
        <v>Bảng tên trạm + bulon</v>
      </c>
      <c r="G1442" s="372" t="str">
        <f>VLOOKUP(B1442,DONGIA,DG!$D$6,0)</f>
        <v>bộ</v>
      </c>
      <c r="H1442" s="373">
        <f>TRNC2X375</f>
        <v>0</v>
      </c>
      <c r="I1442" s="373">
        <f>VLOOKUP(B1442,DONGIA,DG!$E$6,0)</f>
        <v>150000</v>
      </c>
      <c r="J1442" s="373"/>
      <c r="K1442" s="373"/>
      <c r="L1442" s="373"/>
      <c r="M1442" s="373">
        <f>H1442*I1442</f>
        <v>0</v>
      </c>
      <c r="N1442" s="373"/>
      <c r="O1442" s="373"/>
      <c r="P1442" s="373"/>
      <c r="Q1442" s="373"/>
      <c r="S1442" s="332">
        <f t="shared" si="326"/>
        <v>0</v>
      </c>
      <c r="T1442" s="332">
        <f t="shared" si="337"/>
        <v>0</v>
      </c>
    </row>
    <row r="1443" spans="1:20" s="353" customFormat="1">
      <c r="A1443" s="353" t="s">
        <v>3219</v>
      </c>
      <c r="C1443" s="333">
        <f>IF((C1444+C1454)&lt;&gt;0,1,)</f>
        <v>1</v>
      </c>
      <c r="D1443" s="368"/>
      <c r="E1443" s="369" t="str">
        <f>TRNC100&amp;" Trạm NC từ 100kVA lên 100+2x50kVA"</f>
        <v>2 Trạm NC từ 100kVA lên 100+2x50kVA</v>
      </c>
      <c r="F1443" s="777"/>
      <c r="G1443" s="368"/>
      <c r="H1443" s="368"/>
      <c r="I1443" s="325"/>
      <c r="J1443" s="325"/>
      <c r="K1443" s="325"/>
      <c r="L1443" s="325"/>
      <c r="M1443" s="325"/>
      <c r="N1443" s="325"/>
      <c r="O1443" s="325"/>
      <c r="P1443" s="325"/>
      <c r="Q1443" s="368"/>
      <c r="S1443" s="332">
        <f t="shared" si="326"/>
        <v>0</v>
      </c>
      <c r="T1443" s="332">
        <f t="shared" si="337"/>
        <v>0</v>
      </c>
    </row>
    <row r="1444" spans="1:20">
      <c r="A1444" s="332" t="str">
        <f>"TB"&amp;A1443</f>
        <v>TBTRNC100</v>
      </c>
      <c r="C1444" s="333">
        <f>IF(SUM(C1445:C1453)&lt;&gt;0,1,)</f>
        <v>1</v>
      </c>
      <c r="D1444" s="344"/>
      <c r="E1444" s="344"/>
      <c r="F1444" s="778" t="s">
        <v>1900</v>
      </c>
      <c r="G1444" s="344"/>
      <c r="H1444" s="345"/>
      <c r="I1444" s="345"/>
      <c r="J1444" s="345"/>
      <c r="K1444" s="345"/>
      <c r="L1444" s="345"/>
      <c r="M1444" s="345">
        <f>SUM(M1445:M1453)</f>
        <v>131739040</v>
      </c>
      <c r="N1444" s="345">
        <f>SUM(N1445:N1453)</f>
        <v>0</v>
      </c>
      <c r="O1444" s="345">
        <f>SUM(O1445:O1453)</f>
        <v>6043314</v>
      </c>
      <c r="P1444" s="345">
        <f>SUM(P1445:P1453)</f>
        <v>2163630</v>
      </c>
      <c r="Q1444" s="345"/>
      <c r="S1444" s="332">
        <f t="shared" si="326"/>
        <v>0</v>
      </c>
      <c r="T1444" s="371">
        <f>SUM(T1445:T1453)</f>
        <v>2362.7999999999997</v>
      </c>
    </row>
    <row r="1445" spans="1:20">
      <c r="A1445" s="332" t="s">
        <v>477</v>
      </c>
      <c r="B1445" s="332" t="s">
        <v>902</v>
      </c>
      <c r="C1445" s="333">
        <f t="shared" ref="C1445:C1453" si="338">IF(H1445&lt;&gt;0,1,)</f>
        <v>1</v>
      </c>
      <c r="D1445" s="328"/>
      <c r="E1445" s="328" t="str">
        <f>VLOOKUP(B1445,DONGIA,DG!$B$6,0)</f>
        <v>T1.1432</v>
      </c>
      <c r="F1445" s="779" t="str">
        <f>VLOOKUP(B1445,DONGIA,DG!$C$6,0)</f>
        <v>Máy biến áp AMORPHOUS 12,7/0,23-0,46kV 50kVA</v>
      </c>
      <c r="G1445" s="328" t="str">
        <f>VLOOKUP(B1445,DONGIA,DG!$D$6,0)</f>
        <v>máy</v>
      </c>
      <c r="H1445" s="329">
        <f>TRNC100*2</f>
        <v>4</v>
      </c>
      <c r="I1445" s="329">
        <f>VLOOKUP(B1445,DONGIA,DG!$E$6,0)</f>
        <v>30989760</v>
      </c>
      <c r="J1445" s="329"/>
      <c r="K1445" s="329">
        <f>VLOOKUP(B1445,DONGIA,DG!$F$6,0)</f>
        <v>746585</v>
      </c>
      <c r="L1445" s="329">
        <f>VLOOKUP(B1445,DONGIA,DG!$G$6,0)</f>
        <v>360605</v>
      </c>
      <c r="M1445" s="329">
        <f t="shared" ref="M1445:M1453" si="339">$H1445*I1445</f>
        <v>123959040</v>
      </c>
      <c r="N1445" s="329">
        <f t="shared" ref="N1445:N1453" si="340">$H1445*J1445</f>
        <v>0</v>
      </c>
      <c r="O1445" s="329">
        <f t="shared" ref="O1445:O1453" si="341">$H1445*K1445</f>
        <v>2986340</v>
      </c>
      <c r="P1445" s="329">
        <f t="shared" ref="P1445:P1453" si="342">$H1445*L1445</f>
        <v>1442420</v>
      </c>
      <c r="Q1445" s="329"/>
      <c r="S1445" s="332">
        <f t="shared" si="326"/>
        <v>390</v>
      </c>
      <c r="T1445" s="332">
        <f t="shared" ref="T1445:T1453" si="343">H1445*S1445</f>
        <v>1560</v>
      </c>
    </row>
    <row r="1446" spans="1:20">
      <c r="A1446" s="332" t="s">
        <v>477</v>
      </c>
      <c r="B1446" s="332" t="s">
        <v>1444</v>
      </c>
      <c r="C1446" s="333">
        <f t="shared" si="338"/>
        <v>1</v>
      </c>
      <c r="D1446" s="328"/>
      <c r="E1446" s="328" t="str">
        <f>VLOOKUP(B1446,DONGIA,DG!$B$6,0)</f>
        <v>T2.3505</v>
      </c>
      <c r="F1446" s="779" t="str">
        <f>VLOOKUP(B1446,DONGIA,DG!$C$6,0)</f>
        <v>FCO 27kV - 100A</v>
      </c>
      <c r="G1446" s="328" t="str">
        <f>VLOOKUP(B1446,DONGIA,DG!$D$6,0)</f>
        <v>cái</v>
      </c>
      <c r="H1446" s="329">
        <f>TRNC100*2</f>
        <v>4</v>
      </c>
      <c r="I1446" s="329">
        <f>VLOOKUP(B1446,DONGIA,DG!$E$6,0)</f>
        <v>1070000</v>
      </c>
      <c r="J1446" s="329"/>
      <c r="K1446" s="329">
        <f>VLOOKUP(B1446,DONGIA,DG!$F$6,0)</f>
        <v>189552</v>
      </c>
      <c r="L1446" s="329">
        <f>VLOOKUP(B1446,DONGIA,DG!$G$6,0)</f>
        <v>0</v>
      </c>
      <c r="M1446" s="329">
        <f t="shared" si="339"/>
        <v>4280000</v>
      </c>
      <c r="N1446" s="329">
        <f t="shared" si="340"/>
        <v>0</v>
      </c>
      <c r="O1446" s="329">
        <f t="shared" si="341"/>
        <v>758208</v>
      </c>
      <c r="P1446" s="329">
        <f t="shared" si="342"/>
        <v>0</v>
      </c>
      <c r="Q1446" s="329"/>
      <c r="S1446" s="332">
        <f t="shared" si="326"/>
        <v>1.5</v>
      </c>
      <c r="T1446" s="332">
        <f t="shared" si="343"/>
        <v>6</v>
      </c>
    </row>
    <row r="1447" spans="1:20">
      <c r="A1447" s="332" t="s">
        <v>477</v>
      </c>
      <c r="B1447" s="332" t="s">
        <v>943</v>
      </c>
      <c r="C1447" s="333">
        <f t="shared" si="338"/>
        <v>1</v>
      </c>
      <c r="D1447" s="328"/>
      <c r="E1447" s="328" t="str">
        <f>VLOOKUP(B1447,DONGIA,DG!$B$6,0)</f>
        <v>T2.5004</v>
      </c>
      <c r="F1447" s="779" t="str">
        <f>VLOOKUP(B1447,DONGIA,DG!$C$6,0)</f>
        <v>LA 18kV 10kA</v>
      </c>
      <c r="G1447" s="328" t="str">
        <f>VLOOKUP(B1447,DONGIA,DG!$D$6,0)</f>
        <v>cái</v>
      </c>
      <c r="H1447" s="329">
        <f>TRNC100*2</f>
        <v>4</v>
      </c>
      <c r="I1447" s="329">
        <f>VLOOKUP(B1447,DONGIA,DG!$E$6,0)</f>
        <v>875000</v>
      </c>
      <c r="J1447" s="329"/>
      <c r="K1447" s="329">
        <f>VLOOKUP(B1447,DONGIA,DG!$F$6,0)</f>
        <v>71082</v>
      </c>
      <c r="L1447" s="329">
        <f>VLOOKUP(B1447,DONGIA,DG!$G$6,0)</f>
        <v>0</v>
      </c>
      <c r="M1447" s="329">
        <f t="shared" si="339"/>
        <v>3500000</v>
      </c>
      <c r="N1447" s="329">
        <f t="shared" si="340"/>
        <v>0</v>
      </c>
      <c r="O1447" s="329">
        <f t="shared" si="341"/>
        <v>284328</v>
      </c>
      <c r="P1447" s="329">
        <f t="shared" si="342"/>
        <v>0</v>
      </c>
      <c r="Q1447" s="329"/>
      <c r="S1447" s="332">
        <f t="shared" si="326"/>
        <v>0.8</v>
      </c>
      <c r="T1447" s="332">
        <f t="shared" si="343"/>
        <v>3.2</v>
      </c>
    </row>
    <row r="1448" spans="1:20">
      <c r="A1448" s="332" t="s">
        <v>477</v>
      </c>
      <c r="B1448" s="332" t="s">
        <v>2090</v>
      </c>
      <c r="C1448" s="333">
        <f>IF(H1448&lt;&gt;0,1,)</f>
        <v>1</v>
      </c>
      <c r="D1448" s="328"/>
      <c r="E1448" s="328" t="str">
        <f>VLOOKUP(B1448,DONGIA,DG!$B$6,0)</f>
        <v>T1.1432</v>
      </c>
      <c r="F1448" s="779" t="str">
        <f>VLOOKUP(B1448,DONGIA,DG!$C$6,0)&amp;" (SDL)"</f>
        <v>Máy biến áp 12,7/0,23-0,46kV  50kVA (SDL)</v>
      </c>
      <c r="G1448" s="328" t="str">
        <f>VLOOKUP(B1448,DONGIA,DG!$D$6,0)</f>
        <v>máy</v>
      </c>
      <c r="H1448" s="329">
        <f>TRNC100</f>
        <v>2</v>
      </c>
      <c r="I1448" s="329"/>
      <c r="J1448" s="329"/>
      <c r="K1448" s="329">
        <f>VLOOKUP(B1448,DONGIA,DG!$F$6,0)</f>
        <v>746585</v>
      </c>
      <c r="L1448" s="329">
        <f>VLOOKUP(B1448,DONGIA,DG!$G$6,0)</f>
        <v>360605</v>
      </c>
      <c r="M1448" s="329">
        <f t="shared" ref="M1448:P1450" si="344">$H1448*I1448</f>
        <v>0</v>
      </c>
      <c r="N1448" s="329">
        <f t="shared" si="344"/>
        <v>0</v>
      </c>
      <c r="O1448" s="329">
        <f t="shared" si="344"/>
        <v>1493170</v>
      </c>
      <c r="P1448" s="329">
        <f t="shared" si="344"/>
        <v>721210</v>
      </c>
      <c r="Q1448" s="329"/>
      <c r="S1448" s="332">
        <f>IFERROR(VLOOKUP(B1448,DONGIA,$S$25,0),0)</f>
        <v>390</v>
      </c>
      <c r="T1448" s="332">
        <f>H1448*S1448</f>
        <v>780</v>
      </c>
    </row>
    <row r="1449" spans="1:20">
      <c r="A1449" s="332" t="s">
        <v>477</v>
      </c>
      <c r="B1449" s="332" t="s">
        <v>1444</v>
      </c>
      <c r="C1449" s="333">
        <f>IF(H1449&lt;&gt;0,1,)</f>
        <v>1</v>
      </c>
      <c r="D1449" s="328"/>
      <c r="E1449" s="328" t="str">
        <f>VLOOKUP(B1449,DONGIA,DG!$B$6,0)</f>
        <v>T2.3505</v>
      </c>
      <c r="F1449" s="779" t="str">
        <f>VLOOKUP(B1449,DONGIA,DG!$C$6,0)&amp;" (SDL)"</f>
        <v>FCO 27kV - 100A (SDL)</v>
      </c>
      <c r="G1449" s="328" t="str">
        <f>VLOOKUP(B1449,DONGIA,DG!$D$6,0)</f>
        <v>cái</v>
      </c>
      <c r="H1449" s="329">
        <f>TRNC100</f>
        <v>2</v>
      </c>
      <c r="I1449" s="329"/>
      <c r="J1449" s="329"/>
      <c r="K1449" s="329">
        <f>VLOOKUP(B1449,DONGIA,DG!$F$6,0)</f>
        <v>189552</v>
      </c>
      <c r="L1449" s="329">
        <f>VLOOKUP(B1449,DONGIA,DG!$G$6,0)</f>
        <v>0</v>
      </c>
      <c r="M1449" s="329">
        <f t="shared" si="344"/>
        <v>0</v>
      </c>
      <c r="N1449" s="329">
        <f t="shared" si="344"/>
        <v>0</v>
      </c>
      <c r="O1449" s="329">
        <f t="shared" si="344"/>
        <v>379104</v>
      </c>
      <c r="P1449" s="329">
        <f t="shared" si="344"/>
        <v>0</v>
      </c>
      <c r="Q1449" s="329"/>
      <c r="S1449" s="332">
        <f>IFERROR(VLOOKUP(B1449,DONGIA,$S$25,0),0)</f>
        <v>1.5</v>
      </c>
      <c r="T1449" s="332">
        <f>H1449*S1449</f>
        <v>3</v>
      </c>
    </row>
    <row r="1450" spans="1:20">
      <c r="A1450" s="332" t="s">
        <v>477</v>
      </c>
      <c r="B1450" s="332" t="s">
        <v>943</v>
      </c>
      <c r="C1450" s="333">
        <f>IF(H1450&lt;&gt;0,1,)</f>
        <v>1</v>
      </c>
      <c r="D1450" s="328"/>
      <c r="E1450" s="328" t="str">
        <f>VLOOKUP(B1450,DONGIA,DG!$B$6,0)</f>
        <v>T2.5004</v>
      </c>
      <c r="F1450" s="779" t="str">
        <f>VLOOKUP(B1450,DONGIA,DG!$C$6,0)&amp;" (SDL)"</f>
        <v>LA 18kV 10kA (SDL)</v>
      </c>
      <c r="G1450" s="328" t="str">
        <f>VLOOKUP(B1450,DONGIA,DG!$D$6,0)</f>
        <v>cái</v>
      </c>
      <c r="H1450" s="329">
        <f>TRNC100</f>
        <v>2</v>
      </c>
      <c r="I1450" s="329"/>
      <c r="J1450" s="329"/>
      <c r="K1450" s="329">
        <f>VLOOKUP(B1450,DONGIA,DG!$F$6,0)</f>
        <v>71082</v>
      </c>
      <c r="L1450" s="329">
        <f>VLOOKUP(B1450,DONGIA,DG!$G$6,0)</f>
        <v>0</v>
      </c>
      <c r="M1450" s="329">
        <f t="shared" si="344"/>
        <v>0</v>
      </c>
      <c r="N1450" s="329">
        <f t="shared" si="344"/>
        <v>0</v>
      </c>
      <c r="O1450" s="329">
        <f t="shared" si="344"/>
        <v>142164</v>
      </c>
      <c r="P1450" s="329">
        <f t="shared" si="344"/>
        <v>0</v>
      </c>
      <c r="Q1450" s="329"/>
      <c r="R1450" s="332">
        <f>100/2/0.22</f>
        <v>227.27272727272728</v>
      </c>
      <c r="S1450" s="332">
        <f>IFERROR(VLOOKUP(B1450,DONGIA,$S$25,0),0)</f>
        <v>0.8</v>
      </c>
      <c r="T1450" s="332">
        <f>H1450*S1450</f>
        <v>1.6</v>
      </c>
    </row>
    <row r="1451" spans="1:20" s="405" customFormat="1" hidden="1">
      <c r="A1451" s="405" t="s">
        <v>477</v>
      </c>
      <c r="B1451" s="405" t="s">
        <v>2064</v>
      </c>
      <c r="C1451" s="418">
        <f t="shared" si="338"/>
        <v>0</v>
      </c>
      <c r="D1451" s="523"/>
      <c r="E1451" s="523" t="str">
        <f>VLOOKUP(B1451,DONGIA,DG!$B$6,0)</f>
        <v>T2.8404</v>
      </c>
      <c r="F1451" s="525" t="str">
        <f>VLOOKUP(B1451,DONGIA,DG!$C$6,0)</f>
        <v>MCCB 3 cực 600V - 320A - 35KA (200-320A)</v>
      </c>
      <c r="G1451" s="523" t="str">
        <f>VLOOKUP(B1451,DONGIA,DG!$D$6,0)</f>
        <v>cái</v>
      </c>
      <c r="H1451" s="525"/>
      <c r="I1451" s="525">
        <f>VLOOKUP(B1451,DONGIA,DG!$E$6,0)</f>
        <v>5560000</v>
      </c>
      <c r="J1451" s="525"/>
      <c r="K1451" s="525">
        <f>VLOOKUP(B1451,DONGIA,DG!$F$6,0)*0</f>
        <v>0</v>
      </c>
      <c r="L1451" s="525">
        <f>VLOOKUP(B1451,DONGIA,DG!$G$6,0)</f>
        <v>0</v>
      </c>
      <c r="M1451" s="525">
        <f t="shared" si="339"/>
        <v>0</v>
      </c>
      <c r="N1451" s="525">
        <f t="shared" si="340"/>
        <v>0</v>
      </c>
      <c r="O1451" s="525">
        <f t="shared" si="341"/>
        <v>0</v>
      </c>
      <c r="P1451" s="525">
        <f t="shared" si="342"/>
        <v>0</v>
      </c>
      <c r="Q1451" s="525"/>
      <c r="R1451" s="405">
        <f>150/0.38/1.71</f>
        <v>230.84025854108958</v>
      </c>
      <c r="S1451" s="405">
        <f t="shared" si="326"/>
        <v>3</v>
      </c>
      <c r="T1451" s="405">
        <f t="shared" si="343"/>
        <v>0</v>
      </c>
    </row>
    <row r="1452" spans="1:20">
      <c r="A1452" s="332" t="s">
        <v>477</v>
      </c>
      <c r="B1452" s="332" t="s">
        <v>954</v>
      </c>
      <c r="C1452" s="333">
        <f t="shared" si="338"/>
        <v>1</v>
      </c>
      <c r="D1452" s="328"/>
      <c r="E1452" s="328">
        <f>VLOOKUP(B1452,DONGIA,DG!$B$6,0)</f>
        <v>0</v>
      </c>
      <c r="F1452" s="779" t="str">
        <f>VLOOKUP(B1452,DONGIA,DG!$C$6,0)</f>
        <v>Biến dòng 600V - 250/5A</v>
      </c>
      <c r="G1452" s="328" t="str">
        <f>VLOOKUP(B1452,DONGIA,DG!$D$6,0)</f>
        <v>cái</v>
      </c>
      <c r="H1452" s="329">
        <f>TRNC100*3</f>
        <v>6</v>
      </c>
      <c r="I1452" s="329">
        <f>VLOOKUP(B1452,DONGIA,DG!$E$6,0)</f>
        <v>0</v>
      </c>
      <c r="J1452" s="329"/>
      <c r="K1452" s="329">
        <f>VLOOKUP(B1452,DONGIA,DG!$F$6,0)</f>
        <v>0</v>
      </c>
      <c r="L1452" s="329">
        <f>VLOOKUP(B1452,DONGIA,DG!$G$6,0)</f>
        <v>0</v>
      </c>
      <c r="M1452" s="329">
        <f t="shared" si="339"/>
        <v>0</v>
      </c>
      <c r="N1452" s="329">
        <f t="shared" si="340"/>
        <v>0</v>
      </c>
      <c r="O1452" s="329">
        <f t="shared" si="341"/>
        <v>0</v>
      </c>
      <c r="P1452" s="329">
        <f t="shared" si="342"/>
        <v>0</v>
      </c>
      <c r="Q1452" s="329"/>
      <c r="S1452" s="332">
        <f t="shared" si="326"/>
        <v>1</v>
      </c>
      <c r="T1452" s="332">
        <f t="shared" si="343"/>
        <v>6</v>
      </c>
    </row>
    <row r="1453" spans="1:20">
      <c r="A1453" s="332" t="s">
        <v>477</v>
      </c>
      <c r="B1453" s="332" t="s">
        <v>1046</v>
      </c>
      <c r="C1453" s="333">
        <f t="shared" si="338"/>
        <v>1</v>
      </c>
      <c r="D1453" s="328"/>
      <c r="E1453" s="328">
        <f>VLOOKUP(B1453,DONGIA,DG!$B$6,0)</f>
        <v>0</v>
      </c>
      <c r="F1453" s="779" t="str">
        <f>VLOOKUP(B1453,DONGIA,DG!$C$6,0)</f>
        <v>Điện kế 3 pha 4 dây 220/380V-5A</v>
      </c>
      <c r="G1453" s="328" t="str">
        <f>VLOOKUP(B1453,DONGIA,DG!$D$6,0)</f>
        <v>cái</v>
      </c>
      <c r="H1453" s="329">
        <f>TRNC100</f>
        <v>2</v>
      </c>
      <c r="I1453" s="329">
        <f>VLOOKUP(B1453,DONGIA,DG!$E$6,0)</f>
        <v>0</v>
      </c>
      <c r="J1453" s="329"/>
      <c r="K1453" s="329">
        <f>VLOOKUP(B1453,DONGIA,DG!$F$6,0)</f>
        <v>0</v>
      </c>
      <c r="L1453" s="329">
        <f>VLOOKUP(B1453,DONGIA,DG!$G$6,0)</f>
        <v>0</v>
      </c>
      <c r="M1453" s="329">
        <f t="shared" si="339"/>
        <v>0</v>
      </c>
      <c r="N1453" s="329">
        <f t="shared" si="340"/>
        <v>0</v>
      </c>
      <c r="O1453" s="329">
        <f t="shared" si="341"/>
        <v>0</v>
      </c>
      <c r="P1453" s="329">
        <f t="shared" si="342"/>
        <v>0</v>
      </c>
      <c r="Q1453" s="329"/>
      <c r="S1453" s="332">
        <f t="shared" ref="S1453:S1579" si="345">IFERROR(VLOOKUP(B1453,DONGIA,$S$25,0),0)</f>
        <v>1.5</v>
      </c>
      <c r="T1453" s="332">
        <f t="shared" si="343"/>
        <v>3</v>
      </c>
    </row>
    <row r="1454" spans="1:20">
      <c r="A1454" s="332" t="str">
        <f>"VL"&amp;A1443</f>
        <v>VLTRNC100</v>
      </c>
      <c r="C1454" s="333">
        <f>IF(SUM(C1455:C1579)&lt;&gt;0,1,)</f>
        <v>1</v>
      </c>
      <c r="D1454" s="344"/>
      <c r="E1454" s="344"/>
      <c r="F1454" s="778" t="s">
        <v>1901</v>
      </c>
      <c r="G1454" s="344"/>
      <c r="H1454" s="345"/>
      <c r="I1454" s="345"/>
      <c r="J1454" s="345"/>
      <c r="K1454" s="345"/>
      <c r="L1454" s="345"/>
      <c r="M1454" s="345">
        <f>SUM(M1455:M1579)</f>
        <v>54214207.640000001</v>
      </c>
      <c r="N1454" s="345">
        <f>SUM(N1455:N1579)</f>
        <v>0</v>
      </c>
      <c r="O1454" s="345">
        <f>SUM(O1455:O1579)</f>
        <v>10533867.02</v>
      </c>
      <c r="P1454" s="345">
        <f>SUM(P1455:P1579)</f>
        <v>296069.59999999998</v>
      </c>
      <c r="Q1454" s="345"/>
      <c r="S1454" s="332">
        <f t="shared" si="345"/>
        <v>0</v>
      </c>
      <c r="T1454" s="371">
        <f>SUM(T1455:T1579)</f>
        <v>642.61930000000007</v>
      </c>
    </row>
    <row r="1455" spans="1:20">
      <c r="C1455" s="333">
        <f t="shared" ref="C1455:C1539" si="346">IF(H1455&lt;&gt;0,1,)</f>
        <v>1</v>
      </c>
      <c r="D1455" s="372">
        <f>IF(H1455&lt;&gt;0,1,)</f>
        <v>1</v>
      </c>
      <c r="E1455" s="372"/>
      <c r="F1455" s="780" t="s">
        <v>1931</v>
      </c>
      <c r="G1455" s="372" t="s">
        <v>138</v>
      </c>
      <c r="H1455" s="372">
        <f>TRNC100</f>
        <v>2</v>
      </c>
      <c r="I1455" s="373"/>
      <c r="J1455" s="373"/>
      <c r="K1455" s="373"/>
      <c r="L1455" s="373"/>
      <c r="M1455" s="373"/>
      <c r="N1455" s="373"/>
      <c r="O1455" s="373"/>
      <c r="P1455" s="373"/>
      <c r="Q1455" s="373"/>
      <c r="S1455" s="332">
        <f t="shared" si="345"/>
        <v>0</v>
      </c>
      <c r="T1455" s="332">
        <f t="shared" ref="T1455:T1540" si="347">H1455*S1455</f>
        <v>0</v>
      </c>
    </row>
    <row r="1456" spans="1:20" s="405" customFormat="1">
      <c r="A1456" s="405" t="s">
        <v>477</v>
      </c>
      <c r="B1456" s="405" t="s">
        <v>1010</v>
      </c>
      <c r="C1456" s="418">
        <f t="shared" si="346"/>
        <v>1</v>
      </c>
      <c r="D1456" s="523"/>
      <c r="E1456" s="523">
        <f>VLOOKUP(B1456,DONGIA,DG!$B$6,0)</f>
        <v>0</v>
      </c>
      <c r="F1456" s="666" t="str">
        <f>VLOOKUP(B1456,DONGIA,DG!$C$6,0)</f>
        <v>Dây chảy 6K</v>
      </c>
      <c r="G1456" s="523" t="str">
        <f>VLOOKUP(B1456,DONGIA,DG!$D$6,0)</f>
        <v>Sợi</v>
      </c>
      <c r="H1456" s="525">
        <f>H1455*2</f>
        <v>4</v>
      </c>
      <c r="I1456" s="525">
        <f>VLOOKUP(B1456,DONGIA,DG!$E$6,0)</f>
        <v>47000</v>
      </c>
      <c r="J1456" s="525"/>
      <c r="K1456" s="525">
        <f>VLOOKUP(B1456,DONGIA,DG!$F$6,0)</f>
        <v>0</v>
      </c>
      <c r="L1456" s="525">
        <f>VLOOKUP(B1456,DONGIA,DG!$G$6,0)</f>
        <v>0</v>
      </c>
      <c r="M1456" s="525">
        <f t="shared" ref="M1456:P1459" si="348">$H1456*I1456</f>
        <v>188000</v>
      </c>
      <c r="N1456" s="525">
        <f t="shared" si="348"/>
        <v>0</v>
      </c>
      <c r="O1456" s="525">
        <f t="shared" si="348"/>
        <v>0</v>
      </c>
      <c r="P1456" s="525">
        <f t="shared" si="348"/>
        <v>0</v>
      </c>
      <c r="Q1456" s="525"/>
      <c r="S1456" s="405">
        <f t="shared" si="345"/>
        <v>0</v>
      </c>
      <c r="T1456" s="405">
        <f t="shared" si="347"/>
        <v>0</v>
      </c>
    </row>
    <row r="1457" spans="1:20" s="405" customFormat="1">
      <c r="A1457" s="405" t="s">
        <v>477</v>
      </c>
      <c r="B1457" s="405" t="s">
        <v>131</v>
      </c>
      <c r="C1457" s="418">
        <f t="shared" si="346"/>
        <v>1</v>
      </c>
      <c r="D1457" s="523"/>
      <c r="E1457" s="523">
        <f>VLOOKUP(B1457,DONGIA,DG!$B$6,0)</f>
        <v>0</v>
      </c>
      <c r="F1457" s="666" t="str">
        <f>VLOOKUP(B1457,DONGIA,DG!$C$6,0)</f>
        <v>Chụp đầu FCO (Trên + Dưới)</v>
      </c>
      <c r="G1457" s="523" t="str">
        <f>VLOOKUP(B1457,DONGIA,DG!$D$6,0)</f>
        <v>bộ</v>
      </c>
      <c r="H1457" s="525">
        <f>H1455*3</f>
        <v>6</v>
      </c>
      <c r="I1457" s="525">
        <f>VLOOKUP(B1457,DONGIA,DG!$E$6,0)</f>
        <v>190000</v>
      </c>
      <c r="J1457" s="525"/>
      <c r="K1457" s="525">
        <f>VLOOKUP(B1457,DONGIA,DG!$F$6,0)</f>
        <v>0</v>
      </c>
      <c r="L1457" s="525">
        <f>VLOOKUP(B1457,DONGIA,DG!$G$6,0)</f>
        <v>0</v>
      </c>
      <c r="M1457" s="525">
        <f t="shared" si="348"/>
        <v>1140000</v>
      </c>
      <c r="N1457" s="525">
        <f t="shared" si="348"/>
        <v>0</v>
      </c>
      <c r="O1457" s="525">
        <f t="shared" si="348"/>
        <v>0</v>
      </c>
      <c r="P1457" s="525">
        <f t="shared" si="348"/>
        <v>0</v>
      </c>
      <c r="Q1457" s="525"/>
      <c r="S1457" s="405">
        <f t="shared" si="345"/>
        <v>0</v>
      </c>
      <c r="T1457" s="405">
        <f t="shared" si="347"/>
        <v>0</v>
      </c>
    </row>
    <row r="1458" spans="1:20" s="405" customFormat="1">
      <c r="A1458" s="405" t="s">
        <v>477</v>
      </c>
      <c r="B1458" s="405" t="s">
        <v>133</v>
      </c>
      <c r="C1458" s="418">
        <f t="shared" si="346"/>
        <v>1</v>
      </c>
      <c r="D1458" s="523"/>
      <c r="E1458" s="523">
        <f>VLOOKUP(B1458,DONGIA,DG!$B$6,0)</f>
        <v>0</v>
      </c>
      <c r="F1458" s="666" t="str">
        <f>VLOOKUP(B1458,DONGIA,DG!$C$6,0)</f>
        <v>Chụp đầu LA</v>
      </c>
      <c r="G1458" s="523" t="str">
        <f>VLOOKUP(B1458,DONGIA,DG!$D$6,0)</f>
        <v>cái</v>
      </c>
      <c r="H1458" s="525">
        <f>H1455*3</f>
        <v>6</v>
      </c>
      <c r="I1458" s="525">
        <f>VLOOKUP(B1458,DONGIA,DG!$E$6,0)</f>
        <v>32000</v>
      </c>
      <c r="J1458" s="525"/>
      <c r="K1458" s="525">
        <f>VLOOKUP(B1458,DONGIA,DG!$F$6,0)</f>
        <v>0</v>
      </c>
      <c r="L1458" s="525">
        <f>VLOOKUP(B1458,DONGIA,DG!$G$6,0)</f>
        <v>0</v>
      </c>
      <c r="M1458" s="525">
        <f t="shared" si="348"/>
        <v>192000</v>
      </c>
      <c r="N1458" s="525">
        <f t="shared" si="348"/>
        <v>0</v>
      </c>
      <c r="O1458" s="525">
        <f t="shared" si="348"/>
        <v>0</v>
      </c>
      <c r="P1458" s="525">
        <f t="shared" si="348"/>
        <v>0</v>
      </c>
      <c r="Q1458" s="525"/>
      <c r="S1458" s="405">
        <f t="shared" si="345"/>
        <v>0</v>
      </c>
      <c r="T1458" s="405">
        <f t="shared" si="347"/>
        <v>0</v>
      </c>
    </row>
    <row r="1459" spans="1:20" s="405" customFormat="1">
      <c r="A1459" s="405" t="s">
        <v>477</v>
      </c>
      <c r="B1459" s="405" t="s">
        <v>135</v>
      </c>
      <c r="C1459" s="418">
        <f t="shared" si="346"/>
        <v>1</v>
      </c>
      <c r="D1459" s="523"/>
      <c r="E1459" s="523">
        <f>VLOOKUP(B1459,DONGIA,DG!$B$6,0)</f>
        <v>0</v>
      </c>
      <c r="F1459" s="666" t="str">
        <f>VLOOKUP(B1459,DONGIA,DG!$C$6,0)</f>
        <v>Chụp đầu cực MBA</v>
      </c>
      <c r="G1459" s="523" t="str">
        <f>VLOOKUP(B1459,DONGIA,DG!$D$6,0)</f>
        <v>cái</v>
      </c>
      <c r="H1459" s="525">
        <f>H1455*3</f>
        <v>6</v>
      </c>
      <c r="I1459" s="525">
        <f>VLOOKUP(B1459,DONGIA,DG!$E$6,0)</f>
        <v>52000</v>
      </c>
      <c r="J1459" s="525"/>
      <c r="K1459" s="525">
        <f>VLOOKUP(B1459,DONGIA,DG!$F$6,0)</f>
        <v>0</v>
      </c>
      <c r="L1459" s="525">
        <f>VLOOKUP(B1459,DONGIA,DG!$G$6,0)</f>
        <v>0</v>
      </c>
      <c r="M1459" s="525">
        <f t="shared" si="348"/>
        <v>312000</v>
      </c>
      <c r="N1459" s="525">
        <f t="shared" si="348"/>
        <v>0</v>
      </c>
      <c r="O1459" s="525">
        <f t="shared" si="348"/>
        <v>0</v>
      </c>
      <c r="P1459" s="525">
        <f t="shared" si="348"/>
        <v>0</v>
      </c>
      <c r="Q1459" s="525"/>
      <c r="S1459" s="405">
        <f t="shared" si="345"/>
        <v>0</v>
      </c>
      <c r="T1459" s="405">
        <f t="shared" si="347"/>
        <v>0</v>
      </c>
    </row>
    <row r="1460" spans="1:20">
      <c r="A1460" s="332" t="s">
        <v>477</v>
      </c>
      <c r="C1460" s="333">
        <f t="shared" si="346"/>
        <v>1</v>
      </c>
      <c r="D1460" s="372">
        <f>IF(H1460&lt;&gt;0,D1455+1,D1455)</f>
        <v>2</v>
      </c>
      <c r="E1460" s="372"/>
      <c r="F1460" s="780" t="s">
        <v>1932</v>
      </c>
      <c r="G1460" s="372" t="s">
        <v>138</v>
      </c>
      <c r="H1460" s="372">
        <f>TRNC100</f>
        <v>2</v>
      </c>
      <c r="I1460" s="373"/>
      <c r="J1460" s="373"/>
      <c r="K1460" s="373"/>
      <c r="L1460" s="373"/>
      <c r="M1460" s="373"/>
      <c r="N1460" s="373"/>
      <c r="O1460" s="373"/>
      <c r="P1460" s="373"/>
      <c r="Q1460" s="373"/>
      <c r="S1460" s="332">
        <f t="shared" si="345"/>
        <v>0</v>
      </c>
      <c r="T1460" s="332">
        <f t="shared" si="347"/>
        <v>0</v>
      </c>
    </row>
    <row r="1461" spans="1:20" s="361" customFormat="1" hidden="1">
      <c r="A1461" s="361" t="s">
        <v>477</v>
      </c>
      <c r="C1461" s="374">
        <f t="shared" si="346"/>
        <v>0</v>
      </c>
      <c r="D1461" s="350"/>
      <c r="E1461" s="350"/>
      <c r="F1461" s="351" t="s">
        <v>1902</v>
      </c>
      <c r="G1461" s="350"/>
      <c r="H1461" s="351"/>
      <c r="I1461" s="351"/>
      <c r="J1461" s="351"/>
      <c r="K1461" s="351"/>
      <c r="L1461" s="351"/>
      <c r="M1461" s="351"/>
      <c r="N1461" s="351"/>
      <c r="O1461" s="351"/>
      <c r="P1461" s="351"/>
      <c r="Q1461" s="351"/>
      <c r="S1461" s="361">
        <f t="shared" si="345"/>
        <v>0</v>
      </c>
      <c r="T1461" s="361">
        <f t="shared" si="347"/>
        <v>0</v>
      </c>
    </row>
    <row r="1462" spans="1:20" s="405" customFormat="1">
      <c r="A1462" s="405" t="s">
        <v>477</v>
      </c>
      <c r="B1462" s="405" t="s">
        <v>18</v>
      </c>
      <c r="C1462" s="418">
        <f t="shared" si="346"/>
        <v>1</v>
      </c>
      <c r="D1462" s="523"/>
      <c r="E1462" s="523">
        <f>VLOOKUP(B1462,DONGIA,DG!$B$6,0)</f>
        <v>0</v>
      </c>
      <c r="F1462" s="666" t="str">
        <f>VLOOKUP(B1462,DONGIA,DG!$C$6,0)</f>
        <v>Đà hộp composite 110x80x5-2400</v>
      </c>
      <c r="G1462" s="523" t="str">
        <f>VLOOKUP(B1462,DONGIA,DG!$D$6,0)</f>
        <v>cái</v>
      </c>
      <c r="H1462" s="525">
        <f>H1460</f>
        <v>2</v>
      </c>
      <c r="I1462" s="525">
        <f>VLOOKUP(B1462,DONGIA,DG!$E$6,0)</f>
        <v>812200</v>
      </c>
      <c r="J1462" s="525"/>
      <c r="K1462" s="525">
        <f>VLOOKUP(B1462,DONGIA,DG!$F$6,0)</f>
        <v>0</v>
      </c>
      <c r="L1462" s="525">
        <f>VLOOKUP(B1462,DONGIA,DG!$G$6,0)</f>
        <v>0</v>
      </c>
      <c r="M1462" s="525">
        <f t="shared" ref="M1462:M1468" si="349">$H1462*I1462</f>
        <v>1624400</v>
      </c>
      <c r="N1462" s="525">
        <f t="shared" ref="N1462:N1468" si="350">$H1462*J1462</f>
        <v>0</v>
      </c>
      <c r="O1462" s="525">
        <f t="shared" ref="O1462:O1468" si="351">$H1462*K1462</f>
        <v>0</v>
      </c>
      <c r="P1462" s="525">
        <f t="shared" ref="P1462:P1468" si="352">$H1462*L1462</f>
        <v>0</v>
      </c>
      <c r="Q1462" s="525"/>
      <c r="S1462" s="405">
        <f t="shared" si="345"/>
        <v>9.6</v>
      </c>
      <c r="T1462" s="405">
        <f t="shared" si="347"/>
        <v>19.2</v>
      </c>
    </row>
    <row r="1463" spans="1:20" s="405" customFormat="1">
      <c r="A1463" s="405" t="s">
        <v>477</v>
      </c>
      <c r="B1463" s="405" t="s">
        <v>20</v>
      </c>
      <c r="C1463" s="418">
        <f t="shared" si="346"/>
        <v>1</v>
      </c>
      <c r="D1463" s="523"/>
      <c r="E1463" s="523">
        <f>VLOOKUP(B1463,DONGIA,DG!$B$6,0)</f>
        <v>0</v>
      </c>
      <c r="F1463" s="666" t="str">
        <f>VLOOKUP(B1463,DONGIA,DG!$C$6,0)</f>
        <v>Thanh chống Composite dẹp 10x40x920</v>
      </c>
      <c r="G1463" s="523" t="str">
        <f>VLOOKUP(B1463,DONGIA,DG!$D$6,0)</f>
        <v>cái</v>
      </c>
      <c r="H1463" s="525">
        <f>H1462*2</f>
        <v>4</v>
      </c>
      <c r="I1463" s="525">
        <f>VLOOKUP(B1463,DONGIA,DG!$E$6,0)</f>
        <v>108100</v>
      </c>
      <c r="J1463" s="525"/>
      <c r="K1463" s="525">
        <f>VLOOKUP(B1463,DONGIA,DG!$F$6,0)</f>
        <v>0</v>
      </c>
      <c r="L1463" s="525">
        <f>VLOOKUP(B1463,DONGIA,DG!$G$6,0)</f>
        <v>0</v>
      </c>
      <c r="M1463" s="525">
        <f t="shared" si="349"/>
        <v>432400</v>
      </c>
      <c r="N1463" s="525">
        <f t="shared" si="350"/>
        <v>0</v>
      </c>
      <c r="O1463" s="525">
        <f t="shared" si="351"/>
        <v>0</v>
      </c>
      <c r="P1463" s="525">
        <f t="shared" si="352"/>
        <v>0</v>
      </c>
      <c r="Q1463" s="525"/>
      <c r="S1463" s="405">
        <f t="shared" si="345"/>
        <v>0.7</v>
      </c>
      <c r="T1463" s="405">
        <f t="shared" si="347"/>
        <v>2.8</v>
      </c>
    </row>
    <row r="1464" spans="1:20" s="405" customFormat="1">
      <c r="A1464" s="405" t="s">
        <v>477</v>
      </c>
      <c r="B1464" s="405" t="s">
        <v>139</v>
      </c>
      <c r="C1464" s="418">
        <f t="shared" si="346"/>
        <v>1</v>
      </c>
      <c r="D1464" s="523"/>
      <c r="E1464" s="523">
        <f>VLOOKUP(B1464,DONGIA,DG!$B$6,0)</f>
        <v>0</v>
      </c>
      <c r="F1464" s="666" t="str">
        <f>VLOOKUP(B1464,DONGIA,DG!$C$6,0)</f>
        <v>Bass LL bắt FCO và LA</v>
      </c>
      <c r="G1464" s="523" t="str">
        <f>VLOOKUP(B1464,DONGIA,DG!$D$6,0)</f>
        <v>bộ</v>
      </c>
      <c r="H1464" s="525">
        <f>H1460*3</f>
        <v>6</v>
      </c>
      <c r="I1464" s="525">
        <f>VLOOKUP(B1464,DONGIA,DG!$E$6,0)</f>
        <v>56000</v>
      </c>
      <c r="J1464" s="525"/>
      <c r="K1464" s="525">
        <f>VLOOKUP(B1464,DONGIA,DG!$F$6,0)</f>
        <v>0</v>
      </c>
      <c r="L1464" s="525">
        <f>VLOOKUP(B1464,DONGIA,DG!$G$6,0)</f>
        <v>0</v>
      </c>
      <c r="M1464" s="525">
        <f t="shared" si="349"/>
        <v>336000</v>
      </c>
      <c r="N1464" s="525">
        <f t="shared" si="350"/>
        <v>0</v>
      </c>
      <c r="O1464" s="525">
        <f t="shared" si="351"/>
        <v>0</v>
      </c>
      <c r="P1464" s="525">
        <f t="shared" si="352"/>
        <v>0</v>
      </c>
      <c r="Q1464" s="525"/>
      <c r="S1464" s="405">
        <f t="shared" si="345"/>
        <v>0.5</v>
      </c>
      <c r="T1464" s="405">
        <f t="shared" si="347"/>
        <v>3</v>
      </c>
    </row>
    <row r="1465" spans="1:20" s="405" customFormat="1">
      <c r="A1465" s="405" t="s">
        <v>477</v>
      </c>
      <c r="B1465" s="405" t="s">
        <v>37</v>
      </c>
      <c r="C1465" s="418">
        <f t="shared" si="346"/>
        <v>1</v>
      </c>
      <c r="D1465" s="523"/>
      <c r="E1465" s="523">
        <f>VLOOKUP(B1465,DONGIA,DG!$B$6,0)</f>
        <v>0</v>
      </c>
      <c r="F1465" s="666" t="str">
        <f>VLOOKUP(B1465,DONGIA,DG!$C$6,0)</f>
        <v>Boulon 16x350+ 2 long đền vuông D18-50x50x3/Zn</v>
      </c>
      <c r="G1465" s="523" t="str">
        <f>VLOOKUP(B1465,DONGIA,DG!$D$6,0)</f>
        <v>bộ</v>
      </c>
      <c r="H1465" s="525">
        <f>H1460</f>
        <v>2</v>
      </c>
      <c r="I1465" s="525">
        <f>VLOOKUP(B1465,DONGIA,DG!$E$6,0)</f>
        <v>32000</v>
      </c>
      <c r="J1465" s="525"/>
      <c r="K1465" s="525">
        <f>VLOOKUP(B1465,DONGIA,DG!$F$6,0)</f>
        <v>0</v>
      </c>
      <c r="L1465" s="525">
        <f>VLOOKUP(B1465,DONGIA,DG!$G$6,0)</f>
        <v>0</v>
      </c>
      <c r="M1465" s="525">
        <f t="shared" si="349"/>
        <v>64000</v>
      </c>
      <c r="N1465" s="525">
        <f t="shared" si="350"/>
        <v>0</v>
      </c>
      <c r="O1465" s="525">
        <f t="shared" si="351"/>
        <v>0</v>
      </c>
      <c r="P1465" s="525">
        <f t="shared" si="352"/>
        <v>0</v>
      </c>
      <c r="Q1465" s="525"/>
      <c r="S1465" s="405">
        <f t="shared" si="345"/>
        <v>0.3</v>
      </c>
      <c r="T1465" s="405">
        <f t="shared" si="347"/>
        <v>0.6</v>
      </c>
    </row>
    <row r="1466" spans="1:20" s="405" customFormat="1">
      <c r="A1466" s="405" t="s">
        <v>477</v>
      </c>
      <c r="B1466" s="405" t="s">
        <v>35</v>
      </c>
      <c r="C1466" s="418">
        <f t="shared" si="346"/>
        <v>1</v>
      </c>
      <c r="D1466" s="523"/>
      <c r="E1466" s="523">
        <f>VLOOKUP(B1466,DONGIA,DG!$B$6,0)</f>
        <v>0</v>
      </c>
      <c r="F1466" s="666" t="str">
        <f>VLOOKUP(B1466,DONGIA,DG!$C$6,0)</f>
        <v>Boulon 16x300+ 2 long đền vuông D18-50x50x3/Zn</v>
      </c>
      <c r="G1466" s="523" t="str">
        <f>VLOOKUP(B1466,DONGIA,DG!$D$6,0)</f>
        <v>bộ</v>
      </c>
      <c r="H1466" s="525">
        <f>H1460</f>
        <v>2</v>
      </c>
      <c r="I1466" s="525">
        <f>VLOOKUP(B1466,DONGIA,DG!$E$6,0)</f>
        <v>30000</v>
      </c>
      <c r="J1466" s="525"/>
      <c r="K1466" s="525">
        <f>VLOOKUP(B1466,DONGIA,DG!$F$6,0)</f>
        <v>0</v>
      </c>
      <c r="L1466" s="525">
        <f>VLOOKUP(B1466,DONGIA,DG!$G$6,0)</f>
        <v>0</v>
      </c>
      <c r="M1466" s="525">
        <f t="shared" si="349"/>
        <v>60000</v>
      </c>
      <c r="N1466" s="525">
        <f t="shared" si="350"/>
        <v>0</v>
      </c>
      <c r="O1466" s="525">
        <f t="shared" si="351"/>
        <v>0</v>
      </c>
      <c r="P1466" s="525">
        <f t="shared" si="352"/>
        <v>0</v>
      </c>
      <c r="Q1466" s="525"/>
      <c r="S1466" s="405">
        <f t="shared" si="345"/>
        <v>0.25</v>
      </c>
      <c r="T1466" s="405">
        <f t="shared" si="347"/>
        <v>0.5</v>
      </c>
    </row>
    <row r="1467" spans="1:20" s="405" customFormat="1">
      <c r="A1467" s="405" t="s">
        <v>477</v>
      </c>
      <c r="B1467" s="405" t="s">
        <v>27</v>
      </c>
      <c r="C1467" s="418">
        <f t="shared" si="346"/>
        <v>1</v>
      </c>
      <c r="D1467" s="523"/>
      <c r="E1467" s="523">
        <f>VLOOKUP(B1467,DONGIA,DG!$B$6,0)</f>
        <v>0</v>
      </c>
      <c r="F1467" s="666" t="str">
        <f>VLOOKUP(B1467,DONGIA,DG!$C$6,0)</f>
        <v>Boulon 14x120+ 2 long đền vuông D16-50x50x3/Zn</v>
      </c>
      <c r="G1467" s="523" t="str">
        <f>VLOOKUP(B1467,DONGIA,DG!$D$6,0)</f>
        <v>bộ</v>
      </c>
      <c r="H1467" s="525">
        <f>H1463</f>
        <v>4</v>
      </c>
      <c r="I1467" s="525">
        <f>VLOOKUP(B1467,DONGIA,DG!$E$6,0)</f>
        <v>19000</v>
      </c>
      <c r="J1467" s="525"/>
      <c r="K1467" s="525">
        <f>VLOOKUP(B1467,DONGIA,DG!$F$6,0)</f>
        <v>0</v>
      </c>
      <c r="L1467" s="525">
        <f>VLOOKUP(B1467,DONGIA,DG!$G$6,0)</f>
        <v>0</v>
      </c>
      <c r="M1467" s="525">
        <f t="shared" si="349"/>
        <v>76000</v>
      </c>
      <c r="N1467" s="525">
        <f t="shared" si="350"/>
        <v>0</v>
      </c>
      <c r="O1467" s="525">
        <f t="shared" si="351"/>
        <v>0</v>
      </c>
      <c r="P1467" s="525">
        <f t="shared" si="352"/>
        <v>0</v>
      </c>
      <c r="Q1467" s="525"/>
      <c r="S1467" s="405">
        <f t="shared" si="345"/>
        <v>0.2</v>
      </c>
      <c r="T1467" s="405">
        <f t="shared" si="347"/>
        <v>0.8</v>
      </c>
    </row>
    <row r="1468" spans="1:20" ht="31.2">
      <c r="A1468" s="332" t="s">
        <v>477</v>
      </c>
      <c r="B1468" s="332" t="s">
        <v>618</v>
      </c>
      <c r="C1468" s="333">
        <f t="shared" si="346"/>
        <v>1</v>
      </c>
      <c r="D1468" s="328"/>
      <c r="E1468" s="328" t="str">
        <f>VLOOKUP(B1468,DONGIA,DG!$B$6,0)</f>
        <v>D2.6011</v>
      </c>
      <c r="F1468" s="779" t="str">
        <f>VLOOKUP(B1468,DONGIA,DG!$C$6,0)</f>
        <v>Lắp đà composite 2400mm đơn (KL &lt;=15kg, trụ BTLT, tính = 0.8 đà sắt)</v>
      </c>
      <c r="G1468" s="328" t="str">
        <f>VLOOKUP(B1468,DONGIA,DG!$D$6,0)</f>
        <v>bộ</v>
      </c>
      <c r="H1468" s="329">
        <f>H1460</f>
        <v>2</v>
      </c>
      <c r="I1468" s="329">
        <f>VLOOKUP(B1468,DONGIA,DG!$E$6,0)</f>
        <v>0</v>
      </c>
      <c r="J1468" s="329"/>
      <c r="K1468" s="329">
        <f>VLOOKUP(B1468,DONGIA,DG!$F$6,0)</f>
        <v>134360</v>
      </c>
      <c r="L1468" s="329">
        <f>VLOOKUP(B1468,DONGIA,DG!$G$6,0)</f>
        <v>0</v>
      </c>
      <c r="M1468" s="329">
        <f t="shared" si="349"/>
        <v>0</v>
      </c>
      <c r="N1468" s="329">
        <f t="shared" si="350"/>
        <v>0</v>
      </c>
      <c r="O1468" s="329">
        <f t="shared" si="351"/>
        <v>268720</v>
      </c>
      <c r="P1468" s="329">
        <f t="shared" si="352"/>
        <v>0</v>
      </c>
      <c r="Q1468" s="329"/>
      <c r="S1468" s="332">
        <f t="shared" si="345"/>
        <v>0</v>
      </c>
      <c r="T1468" s="332">
        <f t="shared" si="347"/>
        <v>0</v>
      </c>
    </row>
    <row r="1469" spans="1:20">
      <c r="A1469" s="332" t="s">
        <v>477</v>
      </c>
      <c r="C1469" s="333">
        <f t="shared" si="346"/>
        <v>1</v>
      </c>
      <c r="D1469" s="372">
        <f>IF(H1469&lt;&gt;0,D1460+1,D1460)</f>
        <v>3</v>
      </c>
      <c r="E1469" s="372"/>
      <c r="F1469" s="780" t="s">
        <v>1910</v>
      </c>
      <c r="G1469" s="372" t="s">
        <v>138</v>
      </c>
      <c r="H1469" s="372">
        <f>TRNC100</f>
        <v>2</v>
      </c>
      <c r="I1469" s="373"/>
      <c r="J1469" s="373"/>
      <c r="K1469" s="373"/>
      <c r="L1469" s="373"/>
      <c r="M1469" s="373"/>
      <c r="N1469" s="373"/>
      <c r="O1469" s="373"/>
      <c r="P1469" s="373"/>
      <c r="Q1469" s="373"/>
      <c r="S1469" s="332">
        <f t="shared" si="345"/>
        <v>0</v>
      </c>
      <c r="T1469" s="332">
        <f t="shared" si="347"/>
        <v>0</v>
      </c>
    </row>
    <row r="1470" spans="1:20" s="361" customFormat="1" hidden="1">
      <c r="A1470" s="361" t="s">
        <v>477</v>
      </c>
      <c r="C1470" s="374">
        <f t="shared" si="346"/>
        <v>0</v>
      </c>
      <c r="D1470" s="350"/>
      <c r="E1470" s="350"/>
      <c r="F1470" s="351" t="s">
        <v>1902</v>
      </c>
      <c r="G1470" s="350"/>
      <c r="H1470" s="351"/>
      <c r="I1470" s="351"/>
      <c r="J1470" s="351"/>
      <c r="K1470" s="351"/>
      <c r="L1470" s="351"/>
      <c r="M1470" s="351"/>
      <c r="N1470" s="351"/>
      <c r="O1470" s="351"/>
      <c r="P1470" s="351"/>
      <c r="Q1470" s="351"/>
      <c r="S1470" s="361">
        <f t="shared" si="345"/>
        <v>0</v>
      </c>
      <c r="T1470" s="361">
        <f t="shared" si="347"/>
        <v>0</v>
      </c>
    </row>
    <row r="1471" spans="1:20">
      <c r="A1471" s="332" t="s">
        <v>477</v>
      </c>
      <c r="B1471" s="332" t="s">
        <v>1069</v>
      </c>
      <c r="C1471" s="333">
        <f t="shared" si="346"/>
        <v>1</v>
      </c>
      <c r="D1471" s="328"/>
      <c r="E1471" s="328" t="str">
        <f>VLOOKUP(B1471,DONGIA,DG!$B$6,0)</f>
        <v>T4.9302</v>
      </c>
      <c r="F1471" s="779" t="str">
        <f>VLOOKUP(B1471,DONGIA,DG!$C$6,0)</f>
        <v>Gía chùm treo máy biến áp 3x100</v>
      </c>
      <c r="G1471" s="328" t="str">
        <f>VLOOKUP(B1471,DONGIA,DG!$D$6,0)</f>
        <v>Bộ</v>
      </c>
      <c r="H1471" s="329">
        <f>H1469</f>
        <v>2</v>
      </c>
      <c r="I1471" s="329">
        <f>VLOOKUP(B1471,DONGIA,DG!$E$6,0)</f>
        <v>3210000</v>
      </c>
      <c r="J1471" s="329"/>
      <c r="K1471" s="329">
        <f>VLOOKUP(B1471,DONGIA,DG!$F$6,0)</f>
        <v>149969.16</v>
      </c>
      <c r="L1471" s="329">
        <f>VLOOKUP(B1471,DONGIA,DG!$G$6,0)</f>
        <v>0</v>
      </c>
      <c r="M1471" s="329">
        <f t="shared" ref="M1471:P1473" si="353">$H1471*I1471</f>
        <v>6420000</v>
      </c>
      <c r="N1471" s="329">
        <f t="shared" si="353"/>
        <v>0</v>
      </c>
      <c r="O1471" s="329">
        <f t="shared" si="353"/>
        <v>299938.32</v>
      </c>
      <c r="P1471" s="329">
        <f t="shared" si="353"/>
        <v>0</v>
      </c>
      <c r="Q1471" s="329"/>
      <c r="S1471" s="332">
        <f t="shared" si="345"/>
        <v>55</v>
      </c>
      <c r="T1471" s="332">
        <f t="shared" si="347"/>
        <v>110</v>
      </c>
    </row>
    <row r="1472" spans="1:20">
      <c r="A1472" s="332" t="s">
        <v>477</v>
      </c>
      <c r="B1472" s="332" t="s">
        <v>37</v>
      </c>
      <c r="C1472" s="333">
        <f t="shared" si="346"/>
        <v>1</v>
      </c>
      <c r="D1472" s="328"/>
      <c r="E1472" s="328">
        <f>VLOOKUP(B1472,DONGIA,DG!$B$6,0)</f>
        <v>0</v>
      </c>
      <c r="F1472" s="779" t="str">
        <f>VLOOKUP(B1472,DONGIA,DG!$C$6,0)</f>
        <v>Boulon 16x350+ 2 long đền vuông D18-50x50x3/Zn</v>
      </c>
      <c r="G1472" s="328" t="str">
        <f>VLOOKUP(B1472,DONGIA,DG!$D$6,0)</f>
        <v>bộ</v>
      </c>
      <c r="H1472" s="329">
        <f>H1469*2</f>
        <v>4</v>
      </c>
      <c r="I1472" s="329">
        <f>VLOOKUP(B1472,DONGIA,DG!$E$6,0)</f>
        <v>32000</v>
      </c>
      <c r="J1472" s="329"/>
      <c r="K1472" s="329">
        <f>VLOOKUP(B1472,DONGIA,DG!$F$6,0)</f>
        <v>0</v>
      </c>
      <c r="L1472" s="329">
        <f>VLOOKUP(B1472,DONGIA,DG!$G$6,0)</f>
        <v>0</v>
      </c>
      <c r="M1472" s="329">
        <f t="shared" si="353"/>
        <v>128000</v>
      </c>
      <c r="N1472" s="329">
        <f t="shared" si="353"/>
        <v>0</v>
      </c>
      <c r="O1472" s="329">
        <f t="shared" si="353"/>
        <v>0</v>
      </c>
      <c r="P1472" s="329">
        <f t="shared" si="353"/>
        <v>0</v>
      </c>
      <c r="Q1472" s="329"/>
      <c r="S1472" s="332">
        <f t="shared" si="345"/>
        <v>0.3</v>
      </c>
      <c r="T1472" s="332">
        <f t="shared" si="347"/>
        <v>1.2</v>
      </c>
    </row>
    <row r="1473" spans="1:20">
      <c r="A1473" s="332" t="s">
        <v>477</v>
      </c>
      <c r="B1473" s="332" t="s">
        <v>29</v>
      </c>
      <c r="C1473" s="333">
        <f t="shared" si="346"/>
        <v>1</v>
      </c>
      <c r="D1473" s="328"/>
      <c r="E1473" s="328">
        <f>VLOOKUP(B1473,DONGIA,DG!$B$6,0)</f>
        <v>0</v>
      </c>
      <c r="F1473" s="779" t="str">
        <f>VLOOKUP(B1473,DONGIA,DG!$C$6,0)</f>
        <v>Boulon 16x50+ 2 long đền vuông D18-50x50x3/Zn</v>
      </c>
      <c r="G1473" s="328" t="str">
        <f>VLOOKUP(B1473,DONGIA,DG!$D$6,0)</f>
        <v>bộ</v>
      </c>
      <c r="H1473" s="329">
        <f>H1469*6</f>
        <v>12</v>
      </c>
      <c r="I1473" s="329">
        <f>VLOOKUP(B1473,DONGIA,DG!$E$6,0)</f>
        <v>17000</v>
      </c>
      <c r="J1473" s="329"/>
      <c r="K1473" s="329">
        <f>VLOOKUP(B1473,DONGIA,DG!$F$6,0)</f>
        <v>0</v>
      </c>
      <c r="L1473" s="329">
        <f>VLOOKUP(B1473,DONGIA,DG!$G$6,0)</f>
        <v>0</v>
      </c>
      <c r="M1473" s="329">
        <f t="shared" si="353"/>
        <v>204000</v>
      </c>
      <c r="N1473" s="329">
        <f t="shared" si="353"/>
        <v>0</v>
      </c>
      <c r="O1473" s="329">
        <f t="shared" si="353"/>
        <v>0</v>
      </c>
      <c r="P1473" s="329">
        <f t="shared" si="353"/>
        <v>0</v>
      </c>
      <c r="Q1473" s="329"/>
      <c r="S1473" s="332">
        <f t="shared" si="345"/>
        <v>0.25</v>
      </c>
      <c r="T1473" s="332">
        <f t="shared" si="347"/>
        <v>3</v>
      </c>
    </row>
    <row r="1474" spans="1:20">
      <c r="A1474" s="332" t="s">
        <v>477</v>
      </c>
      <c r="C1474" s="333">
        <f t="shared" si="346"/>
        <v>1</v>
      </c>
      <c r="D1474" s="372">
        <f>IF(H1474&lt;&gt;0,D1469+1,D1469)</f>
        <v>4</v>
      </c>
      <c r="E1474" s="372"/>
      <c r="F1474" s="780" t="s">
        <v>1942</v>
      </c>
      <c r="G1474" s="372" t="s">
        <v>138</v>
      </c>
      <c r="H1474" s="372">
        <f>TRNC100</f>
        <v>2</v>
      </c>
      <c r="I1474" s="373"/>
      <c r="J1474" s="373"/>
      <c r="K1474" s="373"/>
      <c r="L1474" s="373"/>
      <c r="M1474" s="373"/>
      <c r="N1474" s="373"/>
      <c r="O1474" s="373"/>
      <c r="P1474" s="373"/>
      <c r="Q1474" s="373"/>
      <c r="S1474" s="332">
        <f t="shared" si="345"/>
        <v>0</v>
      </c>
      <c r="T1474" s="332">
        <f t="shared" si="347"/>
        <v>0</v>
      </c>
    </row>
    <row r="1475" spans="1:20" s="361" customFormat="1" hidden="1">
      <c r="A1475" s="361" t="s">
        <v>477</v>
      </c>
      <c r="C1475" s="374">
        <f t="shared" si="346"/>
        <v>0</v>
      </c>
      <c r="D1475" s="350"/>
      <c r="E1475" s="350"/>
      <c r="F1475" s="351" t="s">
        <v>1902</v>
      </c>
      <c r="G1475" s="350"/>
      <c r="H1475" s="351"/>
      <c r="I1475" s="351"/>
      <c r="J1475" s="351"/>
      <c r="K1475" s="351"/>
      <c r="L1475" s="351"/>
      <c r="M1475" s="351"/>
      <c r="N1475" s="351"/>
      <c r="O1475" s="351"/>
      <c r="P1475" s="351"/>
      <c r="Q1475" s="351"/>
      <c r="S1475" s="361">
        <f t="shared" si="345"/>
        <v>0</v>
      </c>
      <c r="T1475" s="361">
        <f t="shared" si="347"/>
        <v>0</v>
      </c>
    </row>
    <row r="1476" spans="1:20">
      <c r="A1476" s="332" t="s">
        <v>477</v>
      </c>
      <c r="B1476" s="332" t="s">
        <v>144</v>
      </c>
      <c r="C1476" s="333">
        <f t="shared" si="346"/>
        <v>1</v>
      </c>
      <c r="D1476" s="328"/>
      <c r="E1476" s="328">
        <f>VLOOKUP(B1476,DONGIA,DG!$B$6,0)</f>
        <v>0</v>
      </c>
      <c r="F1476" s="779" t="str">
        <f>VLOOKUP(B1476,DONGIA,DG!$C$6,0)</f>
        <v>Cáp đồng trần M25mm2</v>
      </c>
      <c r="G1476" s="328" t="str">
        <f>VLOOKUP(B1476,DONGIA,DG!$D$6,0)</f>
        <v>kg</v>
      </c>
      <c r="H1476" s="458">
        <f>TDTR3P*H1474*0.224</f>
        <v>27.327999999999999</v>
      </c>
      <c r="I1476" s="329">
        <f>VLOOKUP(B1476,DONGIA,DG!$E$6,0)</f>
        <v>201380</v>
      </c>
      <c r="J1476" s="329"/>
      <c r="K1476" s="329">
        <f>VLOOKUP(B1476,DONGIA,DG!$F$6,0)</f>
        <v>0</v>
      </c>
      <c r="L1476" s="329">
        <f>VLOOKUP(B1476,DONGIA,DG!$G$6,0)</f>
        <v>0</v>
      </c>
      <c r="M1476" s="329">
        <f t="shared" ref="M1476:M1484" si="354">$H1476*I1476</f>
        <v>5503312.6399999997</v>
      </c>
      <c r="N1476" s="329">
        <f t="shared" ref="N1476:N1484" si="355">$H1476*J1476</f>
        <v>0</v>
      </c>
      <c r="O1476" s="329">
        <f t="shared" ref="O1476:O1484" si="356">$H1476*K1476</f>
        <v>0</v>
      </c>
      <c r="P1476" s="329">
        <f t="shared" ref="P1476:P1484" si="357">$H1476*L1476</f>
        <v>0</v>
      </c>
      <c r="Q1476" s="329"/>
      <c r="S1476" s="332">
        <f t="shared" si="345"/>
        <v>1</v>
      </c>
      <c r="T1476" s="332">
        <f t="shared" si="347"/>
        <v>27.327999999999999</v>
      </c>
    </row>
    <row r="1477" spans="1:20">
      <c r="A1477" s="332" t="s">
        <v>477</v>
      </c>
      <c r="B1477" s="332" t="s">
        <v>278</v>
      </c>
      <c r="C1477" s="333">
        <f t="shared" si="346"/>
        <v>1</v>
      </c>
      <c r="D1477" s="328"/>
      <c r="E1477" s="328">
        <f>VLOOKUP(B1477,DONGIA,DG!$B$6,0)</f>
        <v>0</v>
      </c>
      <c r="F1477" s="779" t="str">
        <f>VLOOKUP(B1477,DONGIA,DG!$C$6,0)</f>
        <v>Cọc tiếp đất φ16 - 2,4m (mạ đồng 16µm)</v>
      </c>
      <c r="G1477" s="328" t="str">
        <f>VLOOKUP(B1477,DONGIA,DG!$D$6,0)</f>
        <v>cọc</v>
      </c>
      <c r="H1477" s="329">
        <f>H1474*9</f>
        <v>18</v>
      </c>
      <c r="I1477" s="329">
        <f>VLOOKUP(B1477,DONGIA,DG!$E$6,0)</f>
        <v>130000</v>
      </c>
      <c r="J1477" s="329"/>
      <c r="K1477" s="329">
        <f>VLOOKUP(B1477,DONGIA,DG!$F$6,0)</f>
        <v>0</v>
      </c>
      <c r="L1477" s="329">
        <f>VLOOKUP(B1477,DONGIA,DG!$G$6,0)</f>
        <v>0</v>
      </c>
      <c r="M1477" s="329">
        <f t="shared" si="354"/>
        <v>2340000</v>
      </c>
      <c r="N1477" s="329">
        <f t="shared" si="355"/>
        <v>0</v>
      </c>
      <c r="O1477" s="329">
        <f t="shared" si="356"/>
        <v>0</v>
      </c>
      <c r="P1477" s="329">
        <f t="shared" si="357"/>
        <v>0</v>
      </c>
      <c r="Q1477" s="329"/>
      <c r="S1477" s="332">
        <f t="shared" si="345"/>
        <v>5.3</v>
      </c>
      <c r="T1477" s="332">
        <f t="shared" si="347"/>
        <v>95.399999999999991</v>
      </c>
    </row>
    <row r="1478" spans="1:20">
      <c r="A1478" s="332" t="s">
        <v>477</v>
      </c>
      <c r="B1478" s="332" t="s">
        <v>280</v>
      </c>
      <c r="C1478" s="333">
        <f t="shared" si="346"/>
        <v>1</v>
      </c>
      <c r="D1478" s="328"/>
      <c r="E1478" s="328">
        <f>VLOOKUP(B1478,DONGIA,DG!$B$6,0)</f>
        <v>0</v>
      </c>
      <c r="F1478" s="779" t="str">
        <f>VLOOKUP(B1478,DONGIA,DG!$C$6,0)</f>
        <v>Kẹp cọc tiếp địa</v>
      </c>
      <c r="G1478" s="328" t="str">
        <f>VLOOKUP(B1478,DONGIA,DG!$D$6,0)</f>
        <v>bộ</v>
      </c>
      <c r="H1478" s="329">
        <f>H1477</f>
        <v>18</v>
      </c>
      <c r="I1478" s="329">
        <f>VLOOKUP(B1478,DONGIA,DG!$E$6,0)</f>
        <v>25000</v>
      </c>
      <c r="J1478" s="329"/>
      <c r="K1478" s="329">
        <f>VLOOKUP(B1478,DONGIA,DG!$F$6,0)</f>
        <v>0</v>
      </c>
      <c r="L1478" s="329">
        <f>VLOOKUP(B1478,DONGIA,DG!$G$6,0)</f>
        <v>0</v>
      </c>
      <c r="M1478" s="329">
        <f t="shared" si="354"/>
        <v>450000</v>
      </c>
      <c r="N1478" s="329">
        <f t="shared" si="355"/>
        <v>0</v>
      </c>
      <c r="O1478" s="329">
        <f t="shared" si="356"/>
        <v>0</v>
      </c>
      <c r="P1478" s="329">
        <f t="shared" si="357"/>
        <v>0</v>
      </c>
      <c r="Q1478" s="329"/>
      <c r="S1478" s="332">
        <f t="shared" si="345"/>
        <v>0.05</v>
      </c>
      <c r="T1478" s="332">
        <f t="shared" si="347"/>
        <v>0.9</v>
      </c>
    </row>
    <row r="1479" spans="1:20">
      <c r="A1479" s="332" t="s">
        <v>477</v>
      </c>
      <c r="B1479" s="332" t="s">
        <v>1217</v>
      </c>
      <c r="C1479" s="333">
        <f t="shared" si="346"/>
        <v>1</v>
      </c>
      <c r="D1479" s="328"/>
      <c r="E1479" s="328">
        <f>VLOOKUP(B1479,DONGIA,DG!$B$6,0)</f>
        <v>0</v>
      </c>
      <c r="F1479" s="779" t="str">
        <f>VLOOKUP(B1479,DONGIA,DG!$C$6,0)</f>
        <v xml:space="preserve">Ốc xiết cáp cỡ 38mm2 </v>
      </c>
      <c r="G1479" s="328" t="str">
        <f>VLOOKUP(B1479,DONGIA,DG!$D$6,0)</f>
        <v>cái</v>
      </c>
      <c r="H1479" s="329">
        <f>H1474*6</f>
        <v>12</v>
      </c>
      <c r="I1479" s="329">
        <f>VLOOKUP(B1479,DONGIA,DG!$E$6,0)</f>
        <v>18000</v>
      </c>
      <c r="J1479" s="329"/>
      <c r="K1479" s="329">
        <f>VLOOKUP(B1479,DONGIA,DG!$F$6,0)</f>
        <v>0</v>
      </c>
      <c r="L1479" s="329">
        <f>VLOOKUP(B1479,DONGIA,DG!$G$6,0)</f>
        <v>0</v>
      </c>
      <c r="M1479" s="329">
        <f t="shared" si="354"/>
        <v>216000</v>
      </c>
      <c r="N1479" s="329">
        <f t="shared" si="355"/>
        <v>0</v>
      </c>
      <c r="O1479" s="329">
        <f t="shared" si="356"/>
        <v>0</v>
      </c>
      <c r="P1479" s="329">
        <f t="shared" si="357"/>
        <v>0</v>
      </c>
      <c r="Q1479" s="329"/>
      <c r="S1479" s="332">
        <f t="shared" si="345"/>
        <v>0</v>
      </c>
      <c r="T1479" s="332">
        <f t="shared" si="347"/>
        <v>0</v>
      </c>
    </row>
    <row r="1480" spans="1:20">
      <c r="A1480" s="332" t="s">
        <v>477</v>
      </c>
      <c r="B1480" s="332" t="s">
        <v>323</v>
      </c>
      <c r="C1480" s="333">
        <f t="shared" si="346"/>
        <v>1</v>
      </c>
      <c r="D1480" s="328"/>
      <c r="E1480" s="328">
        <f>VLOOKUP(B1480,DONGIA,DG!$B$6,0)</f>
        <v>0</v>
      </c>
      <c r="F1480" s="779" t="str">
        <f>VLOOKUP(B1480,DONGIA,DG!$C$6,0)</f>
        <v>Kẹp ép WR cỡ dây 50mm2</v>
      </c>
      <c r="G1480" s="328" t="str">
        <f>VLOOKUP(B1480,DONGIA,DG!$D$6,0)</f>
        <v>cái</v>
      </c>
      <c r="H1480" s="329">
        <f>H1474*2</f>
        <v>4</v>
      </c>
      <c r="I1480" s="329">
        <f>VLOOKUP(B1480,DONGIA,DG!$E$6,0)</f>
        <v>10000</v>
      </c>
      <c r="J1480" s="329"/>
      <c r="K1480" s="329">
        <f>VLOOKUP(B1480,DONGIA,DG!$F$6,0)</f>
        <v>0</v>
      </c>
      <c r="L1480" s="329">
        <f>VLOOKUP(B1480,DONGIA,DG!$G$6,0)</f>
        <v>0</v>
      </c>
      <c r="M1480" s="329">
        <f t="shared" si="354"/>
        <v>40000</v>
      </c>
      <c r="N1480" s="329">
        <f t="shared" si="355"/>
        <v>0</v>
      </c>
      <c r="O1480" s="329">
        <f t="shared" si="356"/>
        <v>0</v>
      </c>
      <c r="P1480" s="329">
        <f t="shared" si="357"/>
        <v>0</v>
      </c>
      <c r="Q1480" s="329"/>
      <c r="S1480" s="332">
        <f t="shared" si="345"/>
        <v>0.2</v>
      </c>
      <c r="T1480" s="332">
        <f t="shared" si="347"/>
        <v>0.8</v>
      </c>
    </row>
    <row r="1481" spans="1:20">
      <c r="A1481" s="332" t="s">
        <v>477</v>
      </c>
      <c r="B1481" s="332" t="s">
        <v>573</v>
      </c>
      <c r="C1481" s="333">
        <f t="shared" si="346"/>
        <v>1</v>
      </c>
      <c r="D1481" s="328"/>
      <c r="E1481" s="328" t="str">
        <f>VLOOKUP(B1481,DONGIA,DG!$B$6,0)</f>
        <v>T4.7001</v>
      </c>
      <c r="F1481" s="779" t="str">
        <f>VLOOKUP(B1481,DONGIA,DG!$C$6,0)</f>
        <v>Kéo dây tiếp địa trong TBA</v>
      </c>
      <c r="G1481" s="328" t="str">
        <f>VLOOKUP(B1481,DONGIA,DG!$D$6,0)</f>
        <v>mét</v>
      </c>
      <c r="H1481" s="329">
        <f>H1474*TDTR3P</f>
        <v>122</v>
      </c>
      <c r="I1481" s="329">
        <f>VLOOKUP(B1481,DONGIA,DG!$E$6,0)</f>
        <v>0</v>
      </c>
      <c r="J1481" s="329"/>
      <c r="K1481" s="329">
        <f>VLOOKUP(B1481,DONGIA,DG!$F$6,0)</f>
        <v>6871</v>
      </c>
      <c r="L1481" s="329">
        <f>VLOOKUP(B1481,DONGIA,DG!$G$6,0)</f>
        <v>0</v>
      </c>
      <c r="M1481" s="329">
        <f t="shared" si="354"/>
        <v>0</v>
      </c>
      <c r="N1481" s="329">
        <f t="shared" si="355"/>
        <v>0</v>
      </c>
      <c r="O1481" s="329">
        <f t="shared" si="356"/>
        <v>838262</v>
      </c>
      <c r="P1481" s="329">
        <f t="shared" si="357"/>
        <v>0</v>
      </c>
      <c r="Q1481" s="329"/>
      <c r="S1481" s="332">
        <f t="shared" si="345"/>
        <v>0</v>
      </c>
      <c r="T1481" s="332">
        <f t="shared" si="347"/>
        <v>0</v>
      </c>
    </row>
    <row r="1482" spans="1:20">
      <c r="A1482" s="332" t="s">
        <v>477</v>
      </c>
      <c r="B1482" s="332" t="s">
        <v>581</v>
      </c>
      <c r="C1482" s="333">
        <f t="shared" si="346"/>
        <v>1</v>
      </c>
      <c r="D1482" s="328"/>
      <c r="E1482" s="328" t="str">
        <f>VLOOKUP(B1482,DONGIA,DG!$B$6,0)</f>
        <v>D2.8103</v>
      </c>
      <c r="F1482" s="779" t="str">
        <f>VLOOKUP(B1482,DONGIA,DG!$C$6,0)</f>
        <v>Đóng cọc tiếp địa trong TBA (đất cấp 3)</v>
      </c>
      <c r="G1482" s="328" t="str">
        <f>VLOOKUP(B1482,DONGIA,DG!$D$6,0)</f>
        <v>cọc</v>
      </c>
      <c r="H1482" s="329">
        <f>H1477</f>
        <v>18</v>
      </c>
      <c r="I1482" s="329">
        <f>VLOOKUP(B1482,DONGIA,DG!$E$6,0)</f>
        <v>0</v>
      </c>
      <c r="J1482" s="329"/>
      <c r="K1482" s="329">
        <f>VLOOKUP(B1482,DONGIA,DG!$F$6,0)</f>
        <v>76928</v>
      </c>
      <c r="L1482" s="329">
        <f>VLOOKUP(B1482,DONGIA,DG!$G$6,0)</f>
        <v>0</v>
      </c>
      <c r="M1482" s="329">
        <f t="shared" si="354"/>
        <v>0</v>
      </c>
      <c r="N1482" s="329">
        <f t="shared" si="355"/>
        <v>0</v>
      </c>
      <c r="O1482" s="329">
        <f t="shared" si="356"/>
        <v>1384704</v>
      </c>
      <c r="P1482" s="329">
        <f t="shared" si="357"/>
        <v>0</v>
      </c>
      <c r="Q1482" s="329"/>
      <c r="S1482" s="332">
        <f t="shared" si="345"/>
        <v>0</v>
      </c>
      <c r="T1482" s="332">
        <f t="shared" si="347"/>
        <v>0</v>
      </c>
    </row>
    <row r="1483" spans="1:20">
      <c r="A1483" s="332" t="s">
        <v>477</v>
      </c>
      <c r="B1483" s="332" t="s">
        <v>540</v>
      </c>
      <c r="C1483" s="333">
        <f t="shared" si="346"/>
        <v>1</v>
      </c>
      <c r="D1483" s="328"/>
      <c r="E1483" s="328" t="str">
        <f>VLOOKUP(B1483,DONGIA,DG!$B$6,0)</f>
        <v>AB.11513</v>
      </c>
      <c r="F1483" s="731" t="str">
        <f>VLOOKUP(B1483,DONGIA,DG!$C$6,0)</f>
        <v>Đào rãnh tiếp địa đất cấp 3</v>
      </c>
      <c r="G1483" s="328" t="str">
        <f>VLOOKUP(B1483,DONGIA,DG!$D$6,0)</f>
        <v>m3</v>
      </c>
      <c r="H1483" s="458">
        <f>H1474*DAOTD</f>
        <v>6.6000000000000005</v>
      </c>
      <c r="I1483" s="329">
        <f>VLOOKUP(B1483,DONGIA,DG!$E$6,0)</f>
        <v>0</v>
      </c>
      <c r="J1483" s="329"/>
      <c r="K1483" s="525">
        <f>ROUND(VLOOKUP(B1483,DONGIA,DG!$F$6,0)/NCTBA,0)</f>
        <v>241580</v>
      </c>
      <c r="L1483" s="329">
        <f>VLOOKUP(B1483,DONGIA,DG!$G$6,0)</f>
        <v>0</v>
      </c>
      <c r="M1483" s="329">
        <f t="shared" si="354"/>
        <v>0</v>
      </c>
      <c r="N1483" s="329">
        <f t="shared" si="355"/>
        <v>0</v>
      </c>
      <c r="O1483" s="329">
        <f t="shared" si="356"/>
        <v>1594428.0000000002</v>
      </c>
      <c r="P1483" s="329">
        <f t="shared" si="357"/>
        <v>0</v>
      </c>
      <c r="Q1483" s="329"/>
      <c r="S1483" s="332">
        <f t="shared" si="345"/>
        <v>0</v>
      </c>
      <c r="T1483" s="332">
        <f t="shared" si="347"/>
        <v>0</v>
      </c>
    </row>
    <row r="1484" spans="1:20">
      <c r="A1484" s="332" t="s">
        <v>477</v>
      </c>
      <c r="B1484" s="332" t="s">
        <v>547</v>
      </c>
      <c r="C1484" s="333">
        <f t="shared" si="346"/>
        <v>1</v>
      </c>
      <c r="D1484" s="328"/>
      <c r="E1484" s="328" t="str">
        <f>VLOOKUP(B1484,DONGIA,DG!$B$6,0)</f>
        <v>AB.65110</v>
      </c>
      <c r="F1484" s="731" t="str">
        <f>VLOOKUP(B1484,DONGIA,DG!$C$6,0)</f>
        <v>Đắp đất rãnh tiếp địa (K=0,85)</v>
      </c>
      <c r="G1484" s="328" t="str">
        <f>VLOOKUP(B1484,DONGIA,DG!$D$6,0)</f>
        <v>m3</v>
      </c>
      <c r="H1484" s="458">
        <f>H1483</f>
        <v>6.6000000000000005</v>
      </c>
      <c r="I1484" s="329">
        <f>VLOOKUP(B1484,DONGIA,DG!$E$6,0)</f>
        <v>0</v>
      </c>
      <c r="J1484" s="329"/>
      <c r="K1484" s="525">
        <f>ROUND(VLOOKUP(B1484,DONGIA,DG!$F$6,0)/NCTBA,0)</f>
        <v>16267</v>
      </c>
      <c r="L1484" s="329">
        <f>VLOOKUP(B1484,DONGIA,DG!$G$6,0)</f>
        <v>11176</v>
      </c>
      <c r="M1484" s="329">
        <f t="shared" si="354"/>
        <v>0</v>
      </c>
      <c r="N1484" s="329">
        <f t="shared" si="355"/>
        <v>0</v>
      </c>
      <c r="O1484" s="329">
        <f t="shared" si="356"/>
        <v>107362.20000000001</v>
      </c>
      <c r="P1484" s="329">
        <f t="shared" si="357"/>
        <v>73761.600000000006</v>
      </c>
      <c r="Q1484" s="329"/>
      <c r="S1484" s="332">
        <f t="shared" si="345"/>
        <v>0</v>
      </c>
      <c r="T1484" s="332">
        <f t="shared" si="347"/>
        <v>0</v>
      </c>
    </row>
    <row r="1485" spans="1:20">
      <c r="A1485" s="332" t="s">
        <v>477</v>
      </c>
      <c r="C1485" s="333">
        <f t="shared" si="346"/>
        <v>1</v>
      </c>
      <c r="D1485" s="372">
        <f>IF(H1485&lt;&gt;0,D1474+1,D1474)</f>
        <v>5</v>
      </c>
      <c r="E1485" s="372"/>
      <c r="F1485" s="780" t="s">
        <v>3880</v>
      </c>
      <c r="G1485" s="372" t="s">
        <v>138</v>
      </c>
      <c r="H1485" s="372">
        <f>TRNC100</f>
        <v>2</v>
      </c>
      <c r="I1485" s="373"/>
      <c r="J1485" s="373"/>
      <c r="K1485" s="373"/>
      <c r="L1485" s="373"/>
      <c r="M1485" s="373"/>
      <c r="N1485" s="373"/>
      <c r="O1485" s="373"/>
      <c r="P1485" s="373"/>
      <c r="Q1485" s="373"/>
      <c r="S1485" s="332">
        <f t="shared" si="345"/>
        <v>0</v>
      </c>
      <c r="T1485" s="332">
        <f t="shared" si="347"/>
        <v>0</v>
      </c>
    </row>
    <row r="1486" spans="1:20" s="361" customFormat="1" hidden="1">
      <c r="A1486" s="361" t="s">
        <v>477</v>
      </c>
      <c r="C1486" s="374">
        <f t="shared" si="346"/>
        <v>0</v>
      </c>
      <c r="D1486" s="350"/>
      <c r="E1486" s="350"/>
      <c r="F1486" s="351" t="s">
        <v>1902</v>
      </c>
      <c r="G1486" s="350"/>
      <c r="H1486" s="351"/>
      <c r="I1486" s="351"/>
      <c r="J1486" s="351"/>
      <c r="K1486" s="351"/>
      <c r="L1486" s="351"/>
      <c r="M1486" s="351"/>
      <c r="N1486" s="351"/>
      <c r="O1486" s="351"/>
      <c r="P1486" s="351"/>
      <c r="Q1486" s="351"/>
      <c r="S1486" s="361">
        <f t="shared" si="345"/>
        <v>0</v>
      </c>
      <c r="T1486" s="361">
        <f t="shared" si="347"/>
        <v>0</v>
      </c>
    </row>
    <row r="1487" spans="1:20">
      <c r="A1487" s="332" t="s">
        <v>477</v>
      </c>
      <c r="B1487" s="332" t="s">
        <v>1913</v>
      </c>
      <c r="C1487" s="333">
        <f t="shared" si="346"/>
        <v>1</v>
      </c>
      <c r="D1487" s="328"/>
      <c r="E1487" s="328" t="str">
        <f>VLOOKUP(B1487,DONGIA,DG!$B$6,0)</f>
        <v>T5.1002</v>
      </c>
      <c r="F1487" s="779" t="str">
        <f>VLOOKUP(B1487,DONGIA,DG!$C$6,0)</f>
        <v>Tủ trạm treo + khóa + boulon + Bakelit + Collier (3 pha)</v>
      </c>
      <c r="G1487" s="328" t="str">
        <f>VLOOKUP(B1487,DONGIA,DG!$D$6,0)</f>
        <v>bộ</v>
      </c>
      <c r="H1487" s="329">
        <v>1</v>
      </c>
      <c r="I1487" s="329">
        <f>VLOOKUP(B1487,DONGIA,DG!$E$6,0)</f>
        <v>5446000</v>
      </c>
      <c r="J1487" s="329"/>
      <c r="K1487" s="329">
        <f>VLOOKUP(B1487,DONGIA,DG!$F$6,0)</f>
        <v>743230</v>
      </c>
      <c r="L1487" s="329">
        <f>VLOOKUP(B1487,DONGIA,DG!$G$6,0)</f>
        <v>111154</v>
      </c>
      <c r="M1487" s="329">
        <f t="shared" ref="M1487:P1488" si="358">$H1487*I1487</f>
        <v>5446000</v>
      </c>
      <c r="N1487" s="329">
        <f t="shared" si="358"/>
        <v>0</v>
      </c>
      <c r="O1487" s="329">
        <f t="shared" si="358"/>
        <v>743230</v>
      </c>
      <c r="P1487" s="329">
        <f t="shared" si="358"/>
        <v>111154</v>
      </c>
      <c r="Q1487" s="329" t="s">
        <v>3878</v>
      </c>
      <c r="S1487" s="332">
        <f t="shared" si="345"/>
        <v>45</v>
      </c>
      <c r="T1487" s="332">
        <f t="shared" si="347"/>
        <v>45</v>
      </c>
    </row>
    <row r="1488" spans="1:20">
      <c r="A1488" s="332" t="s">
        <v>477</v>
      </c>
      <c r="B1488" s="332" t="s">
        <v>1913</v>
      </c>
      <c r="C1488" s="333">
        <f>IF(H1488&lt;&gt;0,1,)</f>
        <v>1</v>
      </c>
      <c r="D1488" s="328"/>
      <c r="E1488" s="328" t="str">
        <f>VLOOKUP(B1488,DONGIA,DG!$B$6,0)</f>
        <v>T5.1002</v>
      </c>
      <c r="F1488" s="779" t="str">
        <f>VLOOKUP(B1488,DONGIA,DG!$C$6,0)&amp;" (SDL)"</f>
        <v>Tủ trạm treo + khóa + boulon + Bakelit + Collier (3 pha) (SDL)</v>
      </c>
      <c r="G1488" s="328" t="str">
        <f>VLOOKUP(B1488,DONGIA,DG!$D$6,0)</f>
        <v>bộ</v>
      </c>
      <c r="H1488" s="329">
        <v>1</v>
      </c>
      <c r="I1488" s="329"/>
      <c r="J1488" s="329"/>
      <c r="K1488" s="329">
        <f>VLOOKUP(B1488,DONGIA,DG!$F$6,0)</f>
        <v>743230</v>
      </c>
      <c r="L1488" s="329">
        <f>VLOOKUP(B1488,DONGIA,DG!$G$6,0)</f>
        <v>111154</v>
      </c>
      <c r="M1488" s="329">
        <f t="shared" si="358"/>
        <v>0</v>
      </c>
      <c r="N1488" s="329">
        <f t="shared" si="358"/>
        <v>0</v>
      </c>
      <c r="O1488" s="329">
        <f t="shared" si="358"/>
        <v>743230</v>
      </c>
      <c r="P1488" s="329">
        <f t="shared" si="358"/>
        <v>111154</v>
      </c>
      <c r="Q1488" s="329" t="s">
        <v>3879</v>
      </c>
      <c r="S1488" s="332">
        <f>IFERROR(VLOOKUP(B1488,DONGIA,$S$25,0),0)</f>
        <v>45</v>
      </c>
      <c r="T1488" s="332">
        <f>H1488*S1488</f>
        <v>45</v>
      </c>
    </row>
    <row r="1489" spans="2:20">
      <c r="C1489" s="333">
        <f t="shared" si="346"/>
        <v>1</v>
      </c>
      <c r="D1489" s="372">
        <f>IF(H1489&lt;&gt;0,D1485+1,D1485)</f>
        <v>6</v>
      </c>
      <c r="E1489" s="372"/>
      <c r="F1489" s="780" t="s">
        <v>3881</v>
      </c>
      <c r="G1489" s="372" t="s">
        <v>138</v>
      </c>
      <c r="H1489" s="372">
        <f>TRNC100</f>
        <v>2</v>
      </c>
      <c r="I1489" s="373"/>
      <c r="J1489" s="373"/>
      <c r="K1489" s="373"/>
      <c r="L1489" s="373"/>
      <c r="M1489" s="373"/>
      <c r="N1489" s="373"/>
      <c r="O1489" s="373"/>
      <c r="P1489" s="373"/>
      <c r="Q1489" s="373"/>
      <c r="S1489" s="332">
        <f t="shared" si="345"/>
        <v>0</v>
      </c>
      <c r="T1489" s="332">
        <f t="shared" si="347"/>
        <v>0</v>
      </c>
    </row>
    <row r="1490" spans="2:20" s="361" customFormat="1" hidden="1">
      <c r="C1490" s="374">
        <f t="shared" si="346"/>
        <v>0</v>
      </c>
      <c r="D1490" s="350"/>
      <c r="E1490" s="350"/>
      <c r="F1490" s="351" t="s">
        <v>1902</v>
      </c>
      <c r="G1490" s="350"/>
      <c r="H1490" s="351"/>
      <c r="I1490" s="351"/>
      <c r="J1490" s="351"/>
      <c r="K1490" s="351"/>
      <c r="L1490" s="351"/>
      <c r="M1490" s="351"/>
      <c r="N1490" s="351"/>
      <c r="O1490" s="351"/>
      <c r="P1490" s="351"/>
      <c r="Q1490" s="351"/>
      <c r="S1490" s="361">
        <f t="shared" si="345"/>
        <v>0</v>
      </c>
      <c r="T1490" s="361">
        <f t="shared" si="347"/>
        <v>0</v>
      </c>
    </row>
    <row r="1491" spans="2:20">
      <c r="B1491" s="332" t="s">
        <v>1468</v>
      </c>
      <c r="C1491" s="333">
        <f t="shared" si="346"/>
        <v>1</v>
      </c>
      <c r="D1491" s="328"/>
      <c r="E1491" s="328">
        <f>VLOOKUP(B1491,DONGIA,DG!$B$6,0)</f>
        <v>0</v>
      </c>
      <c r="F1491" s="779" t="str">
        <f>VLOOKUP(B1491,DONGIA,DG!$C$6,0)</f>
        <v>Cáp 24KV C/XLPE/PVC 25mm2</v>
      </c>
      <c r="G1491" s="328" t="str">
        <f>VLOOKUP(B1491,DONGIA,DG!$D$6,0)</f>
        <v>mét</v>
      </c>
      <c r="H1491" s="489">
        <f>H1489*10.5</f>
        <v>21</v>
      </c>
      <c r="I1491" s="329">
        <f>VLOOKUP(B1491,DONGIA,DG!$E$6,0)</f>
        <v>87540</v>
      </c>
      <c r="J1491" s="329"/>
      <c r="K1491" s="329">
        <f>VLOOKUP(B1491,DONGIA,DG!$F$6,0)</f>
        <v>0</v>
      </c>
      <c r="L1491" s="329">
        <f>VLOOKUP(B1491,DONGIA,DG!$G$6,0)</f>
        <v>0</v>
      </c>
      <c r="M1491" s="329">
        <f t="shared" ref="M1491:P1495" si="359">$H1491*I1491</f>
        <v>1838340</v>
      </c>
      <c r="N1491" s="329">
        <f t="shared" si="359"/>
        <v>0</v>
      </c>
      <c r="O1491" s="329">
        <f t="shared" si="359"/>
        <v>0</v>
      </c>
      <c r="P1491" s="329">
        <f t="shared" si="359"/>
        <v>0</v>
      </c>
      <c r="Q1491" s="329"/>
      <c r="S1491" s="332">
        <f t="shared" si="345"/>
        <v>0.75</v>
      </c>
      <c r="T1491" s="332">
        <f t="shared" si="347"/>
        <v>15.75</v>
      </c>
    </row>
    <row r="1492" spans="2:20">
      <c r="B1492" s="332" t="s">
        <v>1507</v>
      </c>
      <c r="C1492" s="333">
        <f t="shared" si="346"/>
        <v>1</v>
      </c>
      <c r="D1492" s="328"/>
      <c r="E1492" s="328"/>
      <c r="F1492" s="779" t="str">
        <f>VLOOKUP(B1492,DONGIA,DG!$C$6,0)</f>
        <v>Kẹp quai 4/0 (quai đồng 8mm)</v>
      </c>
      <c r="G1492" s="328" t="str">
        <f>VLOOKUP(B1492,DONGIA,DG!$D$6,0)</f>
        <v>cái</v>
      </c>
      <c r="H1492" s="329">
        <f>H1489*3</f>
        <v>6</v>
      </c>
      <c r="I1492" s="329">
        <f>VLOOKUP(B1492,DONGIA,DG!$E$6,0)</f>
        <v>145000</v>
      </c>
      <c r="J1492" s="329"/>
      <c r="K1492" s="329"/>
      <c r="L1492" s="329">
        <f>VLOOKUP(B1492,DONGIA,DG!$G$6,0)</f>
        <v>0</v>
      </c>
      <c r="M1492" s="329">
        <f t="shared" si="359"/>
        <v>870000</v>
      </c>
      <c r="N1492" s="329">
        <f t="shared" si="359"/>
        <v>0</v>
      </c>
      <c r="O1492" s="329">
        <f t="shared" si="359"/>
        <v>0</v>
      </c>
      <c r="P1492" s="329">
        <f t="shared" si="359"/>
        <v>0</v>
      </c>
      <c r="Q1492" s="329"/>
      <c r="S1492" s="332">
        <f t="shared" si="345"/>
        <v>0.3</v>
      </c>
      <c r="T1492" s="332">
        <f t="shared" si="347"/>
        <v>1.7999999999999998</v>
      </c>
    </row>
    <row r="1493" spans="2:20">
      <c r="B1493" s="332" t="s">
        <v>1511</v>
      </c>
      <c r="C1493" s="333">
        <f t="shared" si="346"/>
        <v>1</v>
      </c>
      <c r="D1493" s="328"/>
      <c r="E1493" s="328"/>
      <c r="F1493" s="779" t="str">
        <f>VLOOKUP(B1493,DONGIA,DG!$C$6,0)</f>
        <v>Chụp cách điện kẹp quai</v>
      </c>
      <c r="G1493" s="328" t="str">
        <f>VLOOKUP(B1493,DONGIA,DG!$D$6,0)</f>
        <v>cái</v>
      </c>
      <c r="H1493" s="329">
        <f>H1492</f>
        <v>6</v>
      </c>
      <c r="I1493" s="329">
        <f>VLOOKUP(B1493,DONGIA,DG!$E$6,0)</f>
        <v>122000</v>
      </c>
      <c r="J1493" s="329"/>
      <c r="K1493" s="329"/>
      <c r="L1493" s="329">
        <f>VLOOKUP(B1493,DONGIA,DG!$G$6,0)</f>
        <v>0</v>
      </c>
      <c r="M1493" s="329">
        <f t="shared" si="359"/>
        <v>732000</v>
      </c>
      <c r="N1493" s="329">
        <f t="shared" si="359"/>
        <v>0</v>
      </c>
      <c r="O1493" s="329">
        <f t="shared" si="359"/>
        <v>0</v>
      </c>
      <c r="P1493" s="329">
        <f t="shared" si="359"/>
        <v>0</v>
      </c>
      <c r="Q1493" s="329"/>
      <c r="S1493" s="332">
        <f t="shared" si="345"/>
        <v>0.2</v>
      </c>
      <c r="T1493" s="332">
        <f t="shared" si="347"/>
        <v>1.2000000000000002</v>
      </c>
    </row>
    <row r="1494" spans="2:20">
      <c r="B1494" s="332" t="s">
        <v>1508</v>
      </c>
      <c r="C1494" s="333">
        <f t="shared" si="346"/>
        <v>1</v>
      </c>
      <c r="D1494" s="328"/>
      <c r="E1494" s="328"/>
      <c r="F1494" s="779" t="str">
        <f>VLOOKUP(B1494,DONGIA,DG!$C$6,0)</f>
        <v>Kẹp hotline 2/0</v>
      </c>
      <c r="G1494" s="328" t="str">
        <f>VLOOKUP(B1494,DONGIA,DG!$D$6,0)</f>
        <v>cái</v>
      </c>
      <c r="H1494" s="329">
        <f>H1493</f>
        <v>6</v>
      </c>
      <c r="I1494" s="329">
        <f>VLOOKUP(B1494,DONGIA,DG!$E$6,0)</f>
        <v>68000</v>
      </c>
      <c r="J1494" s="329"/>
      <c r="K1494" s="329"/>
      <c r="L1494" s="329">
        <f>VLOOKUP(B1494,DONGIA,DG!$G$6,0)</f>
        <v>0</v>
      </c>
      <c r="M1494" s="329">
        <f t="shared" si="359"/>
        <v>408000</v>
      </c>
      <c r="N1494" s="329">
        <f t="shared" si="359"/>
        <v>0</v>
      </c>
      <c r="O1494" s="329">
        <f t="shared" si="359"/>
        <v>0</v>
      </c>
      <c r="P1494" s="329">
        <f t="shared" si="359"/>
        <v>0</v>
      </c>
      <c r="Q1494" s="329"/>
      <c r="S1494" s="332">
        <f t="shared" si="345"/>
        <v>0.1</v>
      </c>
      <c r="T1494" s="332">
        <f t="shared" si="347"/>
        <v>0.60000000000000009</v>
      </c>
    </row>
    <row r="1495" spans="2:20">
      <c r="B1495" s="332" t="s">
        <v>1939</v>
      </c>
      <c r="C1495" s="333">
        <f t="shared" si="346"/>
        <v>1</v>
      </c>
      <c r="D1495" s="328"/>
      <c r="E1495" s="328" t="str">
        <f>VLOOKUP(B1495,DONGIA,DG!$B$6,0)</f>
        <v>T4.4201</v>
      </c>
      <c r="F1495" s="779" t="str">
        <f>VLOOKUP(B1495,DONGIA,DG!$C$6,0)</f>
        <v>Lắp cáp đồng xuống thiết bị D ≤ 95mm2</v>
      </c>
      <c r="G1495" s="328" t="str">
        <f>VLOOKUP(B1495,DONGIA,DG!$D$6,0)</f>
        <v>m</v>
      </c>
      <c r="H1495" s="489">
        <f>H1491</f>
        <v>21</v>
      </c>
      <c r="I1495" s="329">
        <f>VLOOKUP(B1495,DONGIA,DG!$E$6,0)</f>
        <v>0</v>
      </c>
      <c r="J1495" s="329"/>
      <c r="K1495" s="329">
        <f>VLOOKUP(B1495,DONGIA,DG!$F$6,0)</f>
        <v>11847</v>
      </c>
      <c r="L1495" s="329">
        <f>VLOOKUP(B1495,DONGIA,DG!$G$6,0)</f>
        <v>0</v>
      </c>
      <c r="M1495" s="329">
        <f t="shared" si="359"/>
        <v>0</v>
      </c>
      <c r="N1495" s="329">
        <f t="shared" si="359"/>
        <v>0</v>
      </c>
      <c r="O1495" s="329">
        <f t="shared" si="359"/>
        <v>248787</v>
      </c>
      <c r="P1495" s="329">
        <f t="shared" si="359"/>
        <v>0</v>
      </c>
      <c r="Q1495" s="329"/>
      <c r="S1495" s="332">
        <f t="shared" si="345"/>
        <v>0</v>
      </c>
      <c r="T1495" s="332">
        <f t="shared" si="347"/>
        <v>0</v>
      </c>
    </row>
    <row r="1496" spans="2:20">
      <c r="C1496" s="333">
        <f t="shared" si="346"/>
        <v>1</v>
      </c>
      <c r="D1496" s="372">
        <f>IF(H1496&lt;&gt;0,D1489+1,D1489)</f>
        <v>7</v>
      </c>
      <c r="E1496" s="372"/>
      <c r="F1496" s="780" t="s">
        <v>1936</v>
      </c>
      <c r="G1496" s="372" t="s">
        <v>138</v>
      </c>
      <c r="H1496" s="372">
        <f>TRNC100</f>
        <v>2</v>
      </c>
      <c r="I1496" s="373"/>
      <c r="J1496" s="373"/>
      <c r="K1496" s="373"/>
      <c r="L1496" s="373"/>
      <c r="M1496" s="373"/>
      <c r="N1496" s="373"/>
      <c r="O1496" s="373"/>
      <c r="P1496" s="373"/>
      <c r="Q1496" s="373"/>
      <c r="S1496" s="332">
        <f t="shared" si="345"/>
        <v>0</v>
      </c>
      <c r="T1496" s="332">
        <f t="shared" si="347"/>
        <v>0</v>
      </c>
    </row>
    <row r="1497" spans="2:20" s="361" customFormat="1">
      <c r="C1497" s="374">
        <f>C1496</f>
        <v>1</v>
      </c>
      <c r="D1497" s="350"/>
      <c r="E1497" s="350"/>
      <c r="F1497" s="737" t="s">
        <v>1902</v>
      </c>
      <c r="G1497" s="350"/>
      <c r="H1497" s="351"/>
      <c r="I1497" s="351"/>
      <c r="J1497" s="351"/>
      <c r="K1497" s="351"/>
      <c r="L1497" s="351"/>
      <c r="M1497" s="351"/>
      <c r="N1497" s="351"/>
      <c r="O1497" s="351"/>
      <c r="P1497" s="351"/>
      <c r="Q1497" s="351"/>
      <c r="S1497" s="361">
        <f t="shared" si="345"/>
        <v>0</v>
      </c>
      <c r="T1497" s="361">
        <f t="shared" si="347"/>
        <v>0</v>
      </c>
    </row>
    <row r="1498" spans="2:20" s="361" customFormat="1">
      <c r="C1498" s="374">
        <f>IF(SUM(C1499:C1518)&lt;&gt;0,1,)</f>
        <v>1</v>
      </c>
      <c r="D1498" s="555"/>
      <c r="E1498" s="555"/>
      <c r="F1498" s="782" t="s">
        <v>3876</v>
      </c>
      <c r="G1498" s="555"/>
      <c r="H1498" s="556">
        <v>1</v>
      </c>
      <c r="I1498" s="556"/>
      <c r="J1498" s="556"/>
      <c r="K1498" s="556"/>
      <c r="L1498" s="556"/>
      <c r="M1498" s="556"/>
      <c r="N1498" s="556"/>
      <c r="O1498" s="556"/>
      <c r="P1498" s="556"/>
      <c r="Q1498" s="556"/>
    </row>
    <row r="1499" spans="2:20">
      <c r="B1499" s="332" t="s">
        <v>1742</v>
      </c>
      <c r="C1499" s="333">
        <f t="shared" si="346"/>
        <v>1</v>
      </c>
      <c r="D1499" s="328"/>
      <c r="E1499" s="328">
        <f>VLOOKUP(B1499,DONGIA,DG!$B$6,0)</f>
        <v>0</v>
      </c>
      <c r="F1499" s="779" t="str">
        <f>VLOOKUP(B1499,DONGIA,DG!$C$6,0)</f>
        <v>Cáp đồng bọc CV95</v>
      </c>
      <c r="G1499" s="328" t="str">
        <f>VLOOKUP(B1499,DONGIA,DG!$D$6,0)</f>
        <v>mét</v>
      </c>
      <c r="H1499" s="489">
        <f>9.5</f>
        <v>9.5</v>
      </c>
      <c r="I1499" s="329">
        <f>VLOOKUP(B1499,DONGIA,DG!$E$6,0)</f>
        <v>196130</v>
      </c>
      <c r="J1499" s="329"/>
      <c r="K1499" s="329">
        <f>VLOOKUP(B1499,DONGIA,DG!$F$6,0)</f>
        <v>0</v>
      </c>
      <c r="L1499" s="329">
        <f>VLOOKUP(B1499,DONGIA,DG!$G$6,0)</f>
        <v>0</v>
      </c>
      <c r="M1499" s="329">
        <f t="shared" ref="M1499:M1518" si="360">$H1499*I1499</f>
        <v>1863235</v>
      </c>
      <c r="N1499" s="329">
        <f t="shared" ref="N1499:N1518" si="361">$H1499*J1499</f>
        <v>0</v>
      </c>
      <c r="O1499" s="329">
        <f t="shared" ref="O1499:O1518" si="362">$H1499*K1499</f>
        <v>0</v>
      </c>
      <c r="P1499" s="329">
        <f t="shared" ref="P1499:P1518" si="363">$H1499*L1499</f>
        <v>0</v>
      </c>
      <c r="Q1499" s="329"/>
      <c r="S1499" s="332">
        <f t="shared" si="345"/>
        <v>1.008</v>
      </c>
      <c r="T1499" s="332">
        <f t="shared" si="347"/>
        <v>9.5760000000000005</v>
      </c>
    </row>
    <row r="1500" spans="2:20">
      <c r="B1500" s="332" t="s">
        <v>1742</v>
      </c>
      <c r="C1500" s="333">
        <f>IF(H1500&lt;&gt;0,1,)</f>
        <v>1</v>
      </c>
      <c r="D1500" s="328"/>
      <c r="E1500" s="328">
        <f>VLOOKUP(B1500,DONGIA,DG!$B$6,0)</f>
        <v>0</v>
      </c>
      <c r="F1500" s="779" t="str">
        <f>VLOOKUP(B1500,DONGIA,DG!$C$6,0)&amp;" (SDL)"</f>
        <v>Cáp đồng bọc CV95 (SDL)</v>
      </c>
      <c r="G1500" s="328" t="str">
        <f>VLOOKUP(B1500,DONGIA,DG!$D$6,0)</f>
        <v>mét</v>
      </c>
      <c r="H1500" s="489">
        <f>9.5*2</f>
        <v>19</v>
      </c>
      <c r="I1500" s="329"/>
      <c r="J1500" s="329"/>
      <c r="K1500" s="329">
        <f>VLOOKUP(B1500,DONGIA,DG!$F$6,0)</f>
        <v>0</v>
      </c>
      <c r="L1500" s="329">
        <f>VLOOKUP(B1500,DONGIA,DG!$G$6,0)</f>
        <v>0</v>
      </c>
      <c r="M1500" s="329">
        <f>$H1500*I1500</f>
        <v>0</v>
      </c>
      <c r="N1500" s="329">
        <f>$H1500*J1500</f>
        <v>0</v>
      </c>
      <c r="O1500" s="329">
        <f>$H1500*K1500</f>
        <v>0</v>
      </c>
      <c r="P1500" s="329">
        <f>$H1500*L1500</f>
        <v>0</v>
      </c>
      <c r="Q1500" s="329"/>
      <c r="S1500" s="332">
        <f>IFERROR(VLOOKUP(B1500,DONGIA,$S$25,0),0)</f>
        <v>1.008</v>
      </c>
      <c r="T1500" s="332">
        <f>H1500*S1500</f>
        <v>19.152000000000001</v>
      </c>
    </row>
    <row r="1501" spans="2:20">
      <c r="B1501" s="332" t="s">
        <v>1907</v>
      </c>
      <c r="C1501" s="333">
        <f t="shared" si="346"/>
        <v>1</v>
      </c>
      <c r="D1501" s="328"/>
      <c r="E1501" s="328">
        <f>VLOOKUP(B1501,DONGIA,DG!$B$6,0)</f>
        <v>0</v>
      </c>
      <c r="F1501" s="779" t="str">
        <f>VLOOKUP(B1501,DONGIA,DG!$C$6,0)&amp;" (SDL)"</f>
        <v>Cáp đồng bọc CV70 (SDL)</v>
      </c>
      <c r="G1501" s="328" t="str">
        <f>VLOOKUP(B1501,DONGIA,DG!$D$6,0)</f>
        <v>mét</v>
      </c>
      <c r="H1501" s="489">
        <f>9.5</f>
        <v>9.5</v>
      </c>
      <c r="I1501" s="329"/>
      <c r="J1501" s="329"/>
      <c r="K1501" s="329">
        <f>VLOOKUP(B1501,DONGIA,DG!$F$6,0)</f>
        <v>0</v>
      </c>
      <c r="L1501" s="329">
        <f>VLOOKUP(B1501,DONGIA,DG!$G$6,0)</f>
        <v>0</v>
      </c>
      <c r="M1501" s="329">
        <f t="shared" si="360"/>
        <v>0</v>
      </c>
      <c r="N1501" s="329">
        <f t="shared" si="361"/>
        <v>0</v>
      </c>
      <c r="O1501" s="329">
        <f t="shared" si="362"/>
        <v>0</v>
      </c>
      <c r="P1501" s="329">
        <f t="shared" si="363"/>
        <v>0</v>
      </c>
      <c r="Q1501" s="329"/>
      <c r="S1501" s="332">
        <f t="shared" si="345"/>
        <v>0.73899999999999999</v>
      </c>
      <c r="T1501" s="332">
        <f t="shared" si="347"/>
        <v>7.0205000000000002</v>
      </c>
    </row>
    <row r="1502" spans="2:20">
      <c r="B1502" s="332" t="s">
        <v>3520</v>
      </c>
      <c r="C1502" s="333">
        <f>IF(H1502&lt;&gt;0,1,)</f>
        <v>1</v>
      </c>
      <c r="D1502" s="328"/>
      <c r="E1502" s="328">
        <f>VLOOKUP(B1502,DONGIA,DG!$B$6,0)</f>
        <v>0</v>
      </c>
      <c r="F1502" s="779" t="str">
        <f>VLOOKUP(B1502,DONGIA,DG!$C$6,0)</f>
        <v>Cáp điều khiển CVV 6x4,0mm2</v>
      </c>
      <c r="G1502" s="328" t="str">
        <f>VLOOKUP(B1502,DONGIA,DG!$D$6,0)</f>
        <v>mét</v>
      </c>
      <c r="H1502" s="489">
        <f>H1498*0.8</f>
        <v>0.8</v>
      </c>
      <c r="I1502" s="329">
        <f>VLOOKUP(B1502,DONGIA,DG!$E$6,0)</f>
        <v>71600</v>
      </c>
      <c r="J1502" s="329"/>
      <c r="K1502" s="329">
        <f>VLOOKUP(B1502,DONGIA,DG!$F$6,0)</f>
        <v>0</v>
      </c>
      <c r="L1502" s="329">
        <f>VLOOKUP(B1502,DONGIA,DG!$G$6,0)</f>
        <v>0</v>
      </c>
      <c r="M1502" s="329">
        <f>$H1502*I1502</f>
        <v>57280</v>
      </c>
      <c r="N1502" s="329">
        <f>$H1502*J1502</f>
        <v>0</v>
      </c>
      <c r="O1502" s="329">
        <f>$H1502*K1502</f>
        <v>0</v>
      </c>
      <c r="P1502" s="329">
        <f>$H1502*L1502</f>
        <v>0</v>
      </c>
      <c r="Q1502" s="329"/>
      <c r="S1502" s="332">
        <f>IFERROR(VLOOKUP(B1502,DONGIA,$S$25,0),0)</f>
        <v>3.024</v>
      </c>
      <c r="T1502" s="332">
        <f>H1502*S1502</f>
        <v>2.4192</v>
      </c>
    </row>
    <row r="1503" spans="2:20">
      <c r="B1503" s="332" t="s">
        <v>1937</v>
      </c>
      <c r="C1503" s="333">
        <f t="shared" si="346"/>
        <v>1</v>
      </c>
      <c r="D1503" s="328"/>
      <c r="E1503" s="328">
        <f>VLOOKUP(B1503,DONGIA,DG!$B$6,0)</f>
        <v>0</v>
      </c>
      <c r="F1503" s="779" t="str">
        <f>VLOOKUP(B1503,DONGIA,DG!$C$6,0)</f>
        <v>Cáp điều khiển CVV 4x4,0mm2</v>
      </c>
      <c r="G1503" s="328" t="str">
        <f>VLOOKUP(B1503,DONGIA,DG!$D$6,0)</f>
        <v>mét</v>
      </c>
      <c r="H1503" s="489">
        <f>H1498*1.3</f>
        <v>1.3</v>
      </c>
      <c r="I1503" s="329">
        <f>VLOOKUP(B1503,DONGIA,DG!$E$6,0)</f>
        <v>52400</v>
      </c>
      <c r="J1503" s="329"/>
      <c r="K1503" s="329">
        <f>VLOOKUP(B1503,DONGIA,DG!$F$6,0)</f>
        <v>0</v>
      </c>
      <c r="L1503" s="329">
        <f>VLOOKUP(B1503,DONGIA,DG!$G$6,0)</f>
        <v>0</v>
      </c>
      <c r="M1503" s="329">
        <f t="shared" si="360"/>
        <v>68120</v>
      </c>
      <c r="N1503" s="329">
        <f t="shared" si="361"/>
        <v>0</v>
      </c>
      <c r="O1503" s="329">
        <f t="shared" si="362"/>
        <v>0</v>
      </c>
      <c r="P1503" s="329">
        <f t="shared" si="363"/>
        <v>0</v>
      </c>
      <c r="Q1503" s="329"/>
      <c r="S1503" s="332">
        <f t="shared" si="345"/>
        <v>3.024</v>
      </c>
      <c r="T1503" s="332">
        <f t="shared" si="347"/>
        <v>3.9312</v>
      </c>
    </row>
    <row r="1504" spans="2:20">
      <c r="B1504" s="332" t="s">
        <v>1116</v>
      </c>
      <c r="C1504" s="333">
        <f t="shared" si="346"/>
        <v>1</v>
      </c>
      <c r="D1504" s="328"/>
      <c r="E1504" s="328"/>
      <c r="F1504" s="779" t="str">
        <f>VLOOKUP(B1504,DONGIA,DG!$C$6,0)</f>
        <v>Đầu cosse ép Cu 95mm2</v>
      </c>
      <c r="G1504" s="328" t="str">
        <f>VLOOKUP(B1504,DONGIA,DG!$D$6,0)</f>
        <v>cái</v>
      </c>
      <c r="H1504" s="329">
        <v>1</v>
      </c>
      <c r="I1504" s="329">
        <f>VLOOKUP(B1504,DONGIA,DG!$E$6,0)</f>
        <v>45000</v>
      </c>
      <c r="J1504" s="329"/>
      <c r="K1504" s="329"/>
      <c r="L1504" s="329"/>
      <c r="M1504" s="329">
        <f t="shared" si="360"/>
        <v>45000</v>
      </c>
      <c r="N1504" s="329">
        <f t="shared" si="361"/>
        <v>0</v>
      </c>
      <c r="O1504" s="329">
        <f t="shared" si="362"/>
        <v>0</v>
      </c>
      <c r="P1504" s="329">
        <f t="shared" si="363"/>
        <v>0</v>
      </c>
      <c r="Q1504" s="329"/>
      <c r="S1504" s="332">
        <f t="shared" si="345"/>
        <v>0.2</v>
      </c>
      <c r="T1504" s="332">
        <f t="shared" si="347"/>
        <v>0.2</v>
      </c>
    </row>
    <row r="1505" spans="2:20" hidden="1">
      <c r="B1505" s="332" t="s">
        <v>1113</v>
      </c>
      <c r="C1505" s="333">
        <f t="shared" si="346"/>
        <v>0</v>
      </c>
      <c r="D1505" s="328"/>
      <c r="E1505" s="328" t="str">
        <f>VLOOKUP(B1505,DONGIA,DG!$B$6,0)</f>
        <v>D4.5003</v>
      </c>
      <c r="F1505" s="329" t="str">
        <f>VLOOKUP(B1505,DONGIA,DG!$C$6,0)</f>
        <v>Đầu cosse ép Cu 70mm2</v>
      </c>
      <c r="G1505" s="328" t="str">
        <f>VLOOKUP(B1505,DONGIA,DG!$D$6,0)</f>
        <v>cái</v>
      </c>
      <c r="H1505" s="329"/>
      <c r="I1505" s="329">
        <f>VLOOKUP(B1505,DONGIA,DG!$E$6,0)</f>
        <v>33000</v>
      </c>
      <c r="J1505" s="329"/>
      <c r="K1505" s="329">
        <f>VLOOKUP(B1505,DONGIA,DG!$F$6,0)</f>
        <v>14194</v>
      </c>
      <c r="L1505" s="329">
        <f>VLOOKUP(B1505,DONGIA,DG!$G$6,0)</f>
        <v>1767</v>
      </c>
      <c r="M1505" s="329">
        <f t="shared" si="360"/>
        <v>0</v>
      </c>
      <c r="N1505" s="329">
        <f t="shared" si="361"/>
        <v>0</v>
      </c>
      <c r="O1505" s="329">
        <f t="shared" si="362"/>
        <v>0</v>
      </c>
      <c r="P1505" s="329">
        <f t="shared" si="363"/>
        <v>0</v>
      </c>
      <c r="Q1505" s="329"/>
      <c r="S1505" s="332">
        <f t="shared" si="345"/>
        <v>0.2</v>
      </c>
      <c r="T1505" s="332">
        <f t="shared" si="347"/>
        <v>0</v>
      </c>
    </row>
    <row r="1506" spans="2:20">
      <c r="B1506" s="332" t="s">
        <v>1149</v>
      </c>
      <c r="C1506" s="333">
        <f t="shared" si="346"/>
        <v>1</v>
      </c>
      <c r="D1506" s="328"/>
      <c r="E1506" s="328">
        <f>VLOOKUP(B1506,DONGIA,DG!$B$6,0)</f>
        <v>0</v>
      </c>
      <c r="F1506" s="779" t="str">
        <f>VLOOKUP(B1506,DONGIA,DG!$C$6,0)</f>
        <v>Chụp đầu cosse  95mm2</v>
      </c>
      <c r="G1506" s="328" t="str">
        <f>VLOOKUP(B1506,DONGIA,DG!$D$6,0)</f>
        <v>cái</v>
      </c>
      <c r="H1506" s="329">
        <f>H1504</f>
        <v>1</v>
      </c>
      <c r="I1506" s="329">
        <f>VLOOKUP(B1506,DONGIA,DG!$E$6,0)</f>
        <v>3000</v>
      </c>
      <c r="J1506" s="329"/>
      <c r="K1506" s="329">
        <f>VLOOKUP(B1506,DONGIA,DG!$F$6,0)</f>
        <v>0</v>
      </c>
      <c r="L1506" s="329">
        <f>VLOOKUP(B1506,DONGIA,DG!$G$6,0)</f>
        <v>0</v>
      </c>
      <c r="M1506" s="329">
        <f t="shared" si="360"/>
        <v>3000</v>
      </c>
      <c r="N1506" s="329">
        <f t="shared" si="361"/>
        <v>0</v>
      </c>
      <c r="O1506" s="329">
        <f t="shared" si="362"/>
        <v>0</v>
      </c>
      <c r="P1506" s="329">
        <f t="shared" si="363"/>
        <v>0</v>
      </c>
      <c r="Q1506" s="329"/>
      <c r="S1506" s="332">
        <f t="shared" si="345"/>
        <v>0</v>
      </c>
      <c r="T1506" s="332">
        <f t="shared" si="347"/>
        <v>0</v>
      </c>
    </row>
    <row r="1507" spans="2:20" hidden="1">
      <c r="B1507" s="332" t="s">
        <v>1147</v>
      </c>
      <c r="C1507" s="333">
        <f t="shared" si="346"/>
        <v>0</v>
      </c>
      <c r="D1507" s="328"/>
      <c r="E1507" s="328">
        <f>VLOOKUP(B1507,DONGIA,DG!$B$6,0)</f>
        <v>0</v>
      </c>
      <c r="F1507" s="329" t="str">
        <f>VLOOKUP(B1507,DONGIA,DG!$C$6,0)</f>
        <v>Chụp đầu cosse  70mm2</v>
      </c>
      <c r="G1507" s="328" t="str">
        <f>VLOOKUP(B1507,DONGIA,DG!$D$6,0)</f>
        <v>cái</v>
      </c>
      <c r="H1507" s="329">
        <f>H1505</f>
        <v>0</v>
      </c>
      <c r="I1507" s="329">
        <f>VLOOKUP(B1507,DONGIA,DG!$E$6,0)</f>
        <v>2000</v>
      </c>
      <c r="J1507" s="329"/>
      <c r="K1507" s="329">
        <f>VLOOKUP(B1507,DONGIA,DG!$F$6,0)</f>
        <v>0</v>
      </c>
      <c r="L1507" s="329">
        <f>VLOOKUP(B1507,DONGIA,DG!$G$6,0)</f>
        <v>0</v>
      </c>
      <c r="M1507" s="329">
        <f t="shared" si="360"/>
        <v>0</v>
      </c>
      <c r="N1507" s="329">
        <f t="shared" si="361"/>
        <v>0</v>
      </c>
      <c r="O1507" s="329">
        <f t="shared" si="362"/>
        <v>0</v>
      </c>
      <c r="P1507" s="329">
        <f t="shared" si="363"/>
        <v>0</v>
      </c>
      <c r="Q1507" s="329"/>
      <c r="S1507" s="332">
        <f t="shared" si="345"/>
        <v>0</v>
      </c>
      <c r="T1507" s="332">
        <f t="shared" si="347"/>
        <v>0</v>
      </c>
    </row>
    <row r="1508" spans="2:20" s="352" customFormat="1">
      <c r="B1508" s="352" t="s">
        <v>1177</v>
      </c>
      <c r="C1508" s="484">
        <f t="shared" si="346"/>
        <v>1</v>
      </c>
      <c r="D1508" s="363"/>
      <c r="E1508" s="363">
        <f>VLOOKUP(B1508,DONGIA,DG!$B$6,0)</f>
        <v>0</v>
      </c>
      <c r="F1508" s="731" t="str">
        <f>VLOOKUP(B1508,DONGIA,DG!$C$6,0)&amp;" (SDL)"</f>
        <v>Ống PVC D90x3,8mm  (SDL)</v>
      </c>
      <c r="G1508" s="363" t="str">
        <f>VLOOKUP(B1508,DONGIA,DG!$D$6,0)</f>
        <v>m</v>
      </c>
      <c r="H1508" s="483">
        <f>5.5</f>
        <v>5.5</v>
      </c>
      <c r="I1508" s="362"/>
      <c r="J1508" s="362"/>
      <c r="K1508" s="362">
        <f>VLOOKUP(B1508,DONGIA,DG!$F$6,0)</f>
        <v>0</v>
      </c>
      <c r="L1508" s="362">
        <f>VLOOKUP(B1508,DONGIA,DG!$G$6,0)</f>
        <v>0</v>
      </c>
      <c r="M1508" s="362">
        <f t="shared" si="360"/>
        <v>0</v>
      </c>
      <c r="N1508" s="362">
        <f t="shared" si="361"/>
        <v>0</v>
      </c>
      <c r="O1508" s="362">
        <f t="shared" si="362"/>
        <v>0</v>
      </c>
      <c r="P1508" s="362">
        <f t="shared" si="363"/>
        <v>0</v>
      </c>
      <c r="Q1508" s="362"/>
      <c r="S1508" s="352">
        <f t="shared" si="345"/>
        <v>2</v>
      </c>
      <c r="T1508" s="352">
        <f t="shared" si="347"/>
        <v>11</v>
      </c>
    </row>
    <row r="1509" spans="2:20" hidden="1">
      <c r="B1509" s="332" t="s">
        <v>456</v>
      </c>
      <c r="C1509" s="333">
        <f t="shared" si="346"/>
        <v>0</v>
      </c>
      <c r="D1509" s="328"/>
      <c r="E1509" s="328">
        <f>VLOOKUP(B1509,DONGIA,DG!$B$6,0)</f>
        <v>0</v>
      </c>
      <c r="F1509" s="329" t="str">
        <f>VLOOKUP(B1509,DONGIA,DG!$C$6,0)&amp;" (CD: 230)"</f>
        <v>Cổ dê kẹp ống PVC φ 114 (có giá nới) (CD: 230)</v>
      </c>
      <c r="G1509" s="328" t="str">
        <f>VLOOKUP(B1509,DONGIA,DG!$D$6,0)</f>
        <v>bộ</v>
      </c>
      <c r="H1509" s="329"/>
      <c r="I1509" s="329">
        <f>VLOOKUP(B1509,DONGIA,DG!$E$6,0)</f>
        <v>68000</v>
      </c>
      <c r="J1509" s="329"/>
      <c r="K1509" s="329"/>
      <c r="L1509" s="329">
        <f>VLOOKUP(B1509,DONGIA,DG!$G$6,0)</f>
        <v>0</v>
      </c>
      <c r="M1509" s="329">
        <f t="shared" si="360"/>
        <v>0</v>
      </c>
      <c r="N1509" s="329">
        <f t="shared" si="361"/>
        <v>0</v>
      </c>
      <c r="O1509" s="329">
        <f t="shared" si="362"/>
        <v>0</v>
      </c>
      <c r="P1509" s="329">
        <f t="shared" si="363"/>
        <v>0</v>
      </c>
      <c r="Q1509" s="329"/>
      <c r="S1509" s="332">
        <f t="shared" si="345"/>
        <v>1.5</v>
      </c>
      <c r="T1509" s="332">
        <f t="shared" si="347"/>
        <v>0</v>
      </c>
    </row>
    <row r="1510" spans="2:20" hidden="1">
      <c r="B1510" s="332" t="s">
        <v>456</v>
      </c>
      <c r="C1510" s="333">
        <f t="shared" si="346"/>
        <v>0</v>
      </c>
      <c r="D1510" s="328"/>
      <c r="E1510" s="328">
        <f>VLOOKUP(B1510,DONGIA,DG!$B$6,0)</f>
        <v>0</v>
      </c>
      <c r="F1510" s="329" t="str">
        <f>VLOOKUP(B1510,DONGIA,DG!$C$6,0)&amp;" (CD: 250)"</f>
        <v>Cổ dê kẹp ống PVC φ 114 (có giá nới) (CD: 250)</v>
      </c>
      <c r="G1510" s="328" t="str">
        <f>VLOOKUP(B1510,DONGIA,DG!$D$6,0)</f>
        <v>bộ</v>
      </c>
      <c r="H1510" s="329"/>
      <c r="I1510" s="329">
        <f>VLOOKUP(B1510,DONGIA,DG!$E$6,0)</f>
        <v>68000</v>
      </c>
      <c r="J1510" s="329"/>
      <c r="K1510" s="329"/>
      <c r="L1510" s="329">
        <f>VLOOKUP(B1510,DONGIA,DG!$G$6,0)</f>
        <v>0</v>
      </c>
      <c r="M1510" s="329">
        <f t="shared" si="360"/>
        <v>0</v>
      </c>
      <c r="N1510" s="329">
        <f t="shared" si="361"/>
        <v>0</v>
      </c>
      <c r="O1510" s="329">
        <f t="shared" si="362"/>
        <v>0</v>
      </c>
      <c r="P1510" s="329">
        <f t="shared" si="363"/>
        <v>0</v>
      </c>
      <c r="Q1510" s="329"/>
      <c r="S1510" s="332">
        <f t="shared" si="345"/>
        <v>1.5</v>
      </c>
      <c r="T1510" s="332">
        <f t="shared" si="347"/>
        <v>0</v>
      </c>
    </row>
    <row r="1511" spans="2:20" hidden="1">
      <c r="B1511" s="332" t="s">
        <v>456</v>
      </c>
      <c r="C1511" s="333">
        <f t="shared" si="346"/>
        <v>0</v>
      </c>
      <c r="D1511" s="328"/>
      <c r="E1511" s="328">
        <f>VLOOKUP(B1511,DONGIA,DG!$B$6,0)</f>
        <v>0</v>
      </c>
      <c r="F1511" s="329" t="str">
        <f>VLOOKUP(B1511,DONGIA,DG!$C$6,0)&amp;" (CD: 280)"</f>
        <v>Cổ dê kẹp ống PVC φ 114 (có giá nới) (CD: 280)</v>
      </c>
      <c r="G1511" s="328" t="str">
        <f>VLOOKUP(B1511,DONGIA,DG!$D$6,0)</f>
        <v>bộ</v>
      </c>
      <c r="H1511" s="329"/>
      <c r="I1511" s="329">
        <f>VLOOKUP(B1511,DONGIA,DG!$E$6,0)</f>
        <v>68000</v>
      </c>
      <c r="J1511" s="329"/>
      <c r="K1511" s="329"/>
      <c r="L1511" s="329">
        <f>VLOOKUP(B1511,DONGIA,DG!$G$6,0)</f>
        <v>0</v>
      </c>
      <c r="M1511" s="329">
        <f t="shared" si="360"/>
        <v>0</v>
      </c>
      <c r="N1511" s="329">
        <f t="shared" si="361"/>
        <v>0</v>
      </c>
      <c r="O1511" s="329">
        <f t="shared" si="362"/>
        <v>0</v>
      </c>
      <c r="P1511" s="329">
        <f t="shared" si="363"/>
        <v>0</v>
      </c>
      <c r="Q1511" s="329"/>
      <c r="S1511" s="332">
        <f t="shared" si="345"/>
        <v>1.5</v>
      </c>
      <c r="T1511" s="332">
        <f t="shared" si="347"/>
        <v>0</v>
      </c>
    </row>
    <row r="1512" spans="2:20" hidden="1">
      <c r="B1512" s="332" t="s">
        <v>1185</v>
      </c>
      <c r="C1512" s="333">
        <f t="shared" si="346"/>
        <v>0</v>
      </c>
      <c r="D1512" s="328"/>
      <c r="E1512" s="328">
        <f>VLOOKUP(B1512,DONGIA,DG!$B$6,0)</f>
        <v>0</v>
      </c>
      <c r="F1512" s="329" t="str">
        <f>VLOOKUP(B1512,DONGIA,DG!$C$6,0)</f>
        <v>Co  90 độ PVC 114</v>
      </c>
      <c r="G1512" s="328" t="str">
        <f>VLOOKUP(B1512,DONGIA,DG!$D$6,0)</f>
        <v>cái</v>
      </c>
      <c r="H1512" s="329"/>
      <c r="I1512" s="329">
        <f>VLOOKUP(B1512,DONGIA,DG!$E$6,0)</f>
        <v>104800</v>
      </c>
      <c r="J1512" s="329"/>
      <c r="K1512" s="329">
        <f>VLOOKUP(B1512,DONGIA,DG!$F$6,0)</f>
        <v>0</v>
      </c>
      <c r="L1512" s="329">
        <f>VLOOKUP(B1512,DONGIA,DG!$G$6,0)</f>
        <v>0</v>
      </c>
      <c r="M1512" s="329">
        <f t="shared" si="360"/>
        <v>0</v>
      </c>
      <c r="N1512" s="329">
        <f t="shared" si="361"/>
        <v>0</v>
      </c>
      <c r="O1512" s="329">
        <f t="shared" si="362"/>
        <v>0</v>
      </c>
      <c r="P1512" s="329">
        <f t="shared" si="363"/>
        <v>0</v>
      </c>
      <c r="Q1512" s="329"/>
      <c r="S1512" s="332">
        <f t="shared" si="345"/>
        <v>0</v>
      </c>
      <c r="T1512" s="332">
        <f t="shared" si="347"/>
        <v>0</v>
      </c>
    </row>
    <row r="1513" spans="2:20" hidden="1">
      <c r="B1513" s="332" t="s">
        <v>1189</v>
      </c>
      <c r="C1513" s="333">
        <f t="shared" si="346"/>
        <v>0</v>
      </c>
      <c r="D1513" s="328"/>
      <c r="E1513" s="328">
        <f>VLOOKUP(B1513,DONGIA,DG!$B$6,0)</f>
        <v>0</v>
      </c>
      <c r="F1513" s="329" t="str">
        <f>VLOOKUP(B1513,DONGIA,DG!$C$6,0)</f>
        <v>Co 135 độ PVC 114</v>
      </c>
      <c r="G1513" s="328" t="str">
        <f>VLOOKUP(B1513,DONGIA,DG!$D$6,0)</f>
        <v>cái</v>
      </c>
      <c r="H1513" s="329"/>
      <c r="I1513" s="329">
        <f>VLOOKUP(B1513,DONGIA,DG!$E$6,0)</f>
        <v>70800</v>
      </c>
      <c r="J1513" s="329"/>
      <c r="K1513" s="329">
        <f>VLOOKUP(B1513,DONGIA,DG!$F$6,0)</f>
        <v>0</v>
      </c>
      <c r="L1513" s="329">
        <f>VLOOKUP(B1513,DONGIA,DG!$G$6,0)</f>
        <v>0</v>
      </c>
      <c r="M1513" s="329">
        <f t="shared" si="360"/>
        <v>0</v>
      </c>
      <c r="N1513" s="329">
        <f t="shared" si="361"/>
        <v>0</v>
      </c>
      <c r="O1513" s="329">
        <f t="shared" si="362"/>
        <v>0</v>
      </c>
      <c r="P1513" s="329">
        <f t="shared" si="363"/>
        <v>0</v>
      </c>
      <c r="Q1513" s="329"/>
      <c r="S1513" s="332">
        <f t="shared" si="345"/>
        <v>0</v>
      </c>
      <c r="T1513" s="332">
        <f t="shared" si="347"/>
        <v>0</v>
      </c>
    </row>
    <row r="1514" spans="2:20" hidden="1">
      <c r="B1514" s="332" t="s">
        <v>1914</v>
      </c>
      <c r="C1514" s="333">
        <f t="shared" si="346"/>
        <v>0</v>
      </c>
      <c r="D1514" s="328"/>
      <c r="E1514" s="328">
        <f>VLOOKUP(B1514,DONGIA,DG!$B$6,0)</f>
        <v>0</v>
      </c>
      <c r="F1514" s="329" t="str">
        <f>VLOOKUP(B1514,DONGIA,DG!$C$6,0)</f>
        <v>Keo dán ống PVC (100gr)</v>
      </c>
      <c r="G1514" s="328" t="str">
        <f>VLOOKUP(B1514,DONGIA,DG!$D$6,0)</f>
        <v>tuýp</v>
      </c>
      <c r="H1514" s="329"/>
      <c r="I1514" s="329">
        <f>VLOOKUP(B1514,DONGIA,DG!$E$6,0)</f>
        <v>11500</v>
      </c>
      <c r="J1514" s="329"/>
      <c r="K1514" s="329">
        <f>VLOOKUP(B1514,DONGIA,DG!$F$6,0)</f>
        <v>0</v>
      </c>
      <c r="L1514" s="329">
        <f>VLOOKUP(B1514,DONGIA,DG!$G$6,0)</f>
        <v>0</v>
      </c>
      <c r="M1514" s="329">
        <f t="shared" si="360"/>
        <v>0</v>
      </c>
      <c r="N1514" s="329">
        <f t="shared" si="361"/>
        <v>0</v>
      </c>
      <c r="O1514" s="329">
        <f t="shared" si="362"/>
        <v>0</v>
      </c>
      <c r="P1514" s="329">
        <f t="shared" si="363"/>
        <v>0</v>
      </c>
      <c r="Q1514" s="329"/>
      <c r="S1514" s="332">
        <f t="shared" si="345"/>
        <v>0</v>
      </c>
      <c r="T1514" s="332">
        <f t="shared" si="347"/>
        <v>0</v>
      </c>
    </row>
    <row r="1515" spans="2:20">
      <c r="B1515" s="332" t="s">
        <v>1639</v>
      </c>
      <c r="C1515" s="333">
        <f t="shared" si="346"/>
        <v>1</v>
      </c>
      <c r="D1515" s="328"/>
      <c r="E1515" s="328">
        <f>VLOOKUP(B1515,DONGIA,DG!$B$6,0)</f>
        <v>0</v>
      </c>
      <c r="F1515" s="779" t="str">
        <f>VLOOKUP(B1515,DONGIA,DG!$C$6,0)&amp;" bịt miệng ống"</f>
        <v>Xi măng bịt miệng ống</v>
      </c>
      <c r="G1515" s="328" t="str">
        <f>VLOOKUP(B1515,DONGIA,DG!$D$6,0)</f>
        <v>kg</v>
      </c>
      <c r="H1515" s="489">
        <v>0.5</v>
      </c>
      <c r="I1515" s="329">
        <f>VLOOKUP(B1515,DONGIA,DG!$E$6,0)</f>
        <v>1760</v>
      </c>
      <c r="J1515" s="329"/>
      <c r="K1515" s="329">
        <f>VLOOKUP(B1515,DONGIA,DG!$F$6,0)</f>
        <v>0</v>
      </c>
      <c r="L1515" s="329">
        <f>VLOOKUP(B1515,DONGIA,DG!$G$6,0)</f>
        <v>0</v>
      </c>
      <c r="M1515" s="329">
        <f t="shared" si="360"/>
        <v>880</v>
      </c>
      <c r="N1515" s="329">
        <f t="shared" si="361"/>
        <v>0</v>
      </c>
      <c r="O1515" s="329">
        <f t="shared" si="362"/>
        <v>0</v>
      </c>
      <c r="P1515" s="329">
        <f t="shared" si="363"/>
        <v>0</v>
      </c>
      <c r="Q1515" s="329"/>
      <c r="S1515" s="332">
        <f t="shared" si="345"/>
        <v>1</v>
      </c>
      <c r="T1515" s="332">
        <f t="shared" si="347"/>
        <v>0.5</v>
      </c>
    </row>
    <row r="1516" spans="2:20">
      <c r="B1516" s="332" t="s">
        <v>855</v>
      </c>
      <c r="C1516" s="333">
        <f t="shared" si="346"/>
        <v>1</v>
      </c>
      <c r="D1516" s="328"/>
      <c r="E1516" s="328" t="str">
        <f>VLOOKUP(B1516,DONGIA,DG!$B$6,0)</f>
        <v>T4.8003</v>
      </c>
      <c r="F1516" s="779" t="str">
        <f>VLOOKUP(B1516,DONGIA,DG!$C$6,0)</f>
        <v>Lắp ống nhựa PVC D90</v>
      </c>
      <c r="G1516" s="328" t="str">
        <f>VLOOKUP(B1516,DONGIA,DG!$D$6,0)</f>
        <v>mét</v>
      </c>
      <c r="H1516" s="489">
        <f>H1508</f>
        <v>5.5</v>
      </c>
      <c r="I1516" s="329">
        <f>VLOOKUP(B1516,DONGIA,DG!$E$6,0)</f>
        <v>0</v>
      </c>
      <c r="J1516" s="329"/>
      <c r="K1516" s="329">
        <f>VLOOKUP(B1516,DONGIA,DG!$F$6,0)</f>
        <v>35541</v>
      </c>
      <c r="L1516" s="329">
        <f>VLOOKUP(B1516,DONGIA,DG!$G$6,0)</f>
        <v>0</v>
      </c>
      <c r="M1516" s="329">
        <f t="shared" si="360"/>
        <v>0</v>
      </c>
      <c r="N1516" s="329">
        <f t="shared" si="361"/>
        <v>0</v>
      </c>
      <c r="O1516" s="329">
        <f t="shared" si="362"/>
        <v>195475.5</v>
      </c>
      <c r="P1516" s="329">
        <f t="shared" si="363"/>
        <v>0</v>
      </c>
      <c r="Q1516" s="329"/>
      <c r="S1516" s="332">
        <f t="shared" si="345"/>
        <v>0</v>
      </c>
      <c r="T1516" s="332">
        <f t="shared" si="347"/>
        <v>0</v>
      </c>
    </row>
    <row r="1517" spans="2:20">
      <c r="B1517" s="332" t="s">
        <v>1939</v>
      </c>
      <c r="C1517" s="333">
        <f t="shared" si="346"/>
        <v>1</v>
      </c>
      <c r="D1517" s="328"/>
      <c r="E1517" s="328" t="str">
        <f>VLOOKUP(B1517,DONGIA,DG!$B$6,0)</f>
        <v>T4.4201</v>
      </c>
      <c r="F1517" s="779" t="str">
        <f>VLOOKUP(B1517,DONGIA,DG!$C$6,0)</f>
        <v>Lắp cáp đồng xuống thiết bị D ≤ 95mm2</v>
      </c>
      <c r="G1517" s="328" t="str">
        <f>VLOOKUP(B1517,DONGIA,DG!$D$6,0)</f>
        <v>m</v>
      </c>
      <c r="H1517" s="489">
        <f>H1499+H1500+H1501</f>
        <v>38</v>
      </c>
      <c r="I1517" s="329">
        <f>VLOOKUP(B1517,DONGIA,DG!$E$6,0)</f>
        <v>0</v>
      </c>
      <c r="J1517" s="329"/>
      <c r="K1517" s="329">
        <f>VLOOKUP(B1517,DONGIA,DG!$F$6,0)</f>
        <v>11847</v>
      </c>
      <c r="L1517" s="329">
        <f>VLOOKUP(B1517,DONGIA,DG!$G$6,0)</f>
        <v>0</v>
      </c>
      <c r="M1517" s="329">
        <f t="shared" si="360"/>
        <v>0</v>
      </c>
      <c r="N1517" s="329">
        <f t="shared" si="361"/>
        <v>0</v>
      </c>
      <c r="O1517" s="329">
        <f t="shared" si="362"/>
        <v>450186</v>
      </c>
      <c r="P1517" s="329">
        <f t="shared" si="363"/>
        <v>0</v>
      </c>
      <c r="Q1517" s="329"/>
      <c r="S1517" s="332">
        <f t="shared" si="345"/>
        <v>0</v>
      </c>
      <c r="T1517" s="332">
        <f t="shared" si="347"/>
        <v>0</v>
      </c>
    </row>
    <row r="1518" spans="2:20" hidden="1">
      <c r="B1518" s="332" t="s">
        <v>2063</v>
      </c>
      <c r="C1518" s="333">
        <f t="shared" si="346"/>
        <v>0</v>
      </c>
      <c r="D1518" s="328"/>
      <c r="E1518" s="328" t="str">
        <f>VLOOKUP(B1518,DONGIA,DG!$B$6,0)</f>
        <v>T4.4202</v>
      </c>
      <c r="F1518" s="329" t="str">
        <f>VLOOKUP(B1518,DONGIA,DG!$C$6,0)</f>
        <v>Lắp cáp đồng xuống thiết bị D ≤ 150mm2</v>
      </c>
      <c r="G1518" s="328" t="str">
        <f>VLOOKUP(B1518,DONGIA,DG!$D$6,0)</f>
        <v>m</v>
      </c>
      <c r="H1518" s="489"/>
      <c r="I1518" s="329"/>
      <c r="J1518" s="329"/>
      <c r="K1518" s="329">
        <f>VLOOKUP(B1518,DONGIA,DG!$F$6,0)</f>
        <v>28433</v>
      </c>
      <c r="L1518" s="329">
        <f>VLOOKUP(B1518,DONGIA,DG!$G$6,0)</f>
        <v>0</v>
      </c>
      <c r="M1518" s="329">
        <f t="shared" si="360"/>
        <v>0</v>
      </c>
      <c r="N1518" s="329">
        <f t="shared" si="361"/>
        <v>0</v>
      </c>
      <c r="O1518" s="329">
        <f t="shared" si="362"/>
        <v>0</v>
      </c>
      <c r="P1518" s="329">
        <f t="shared" si="363"/>
        <v>0</v>
      </c>
      <c r="Q1518" s="329"/>
      <c r="S1518" s="332">
        <f t="shared" si="345"/>
        <v>0</v>
      </c>
      <c r="T1518" s="332">
        <f t="shared" si="347"/>
        <v>0</v>
      </c>
    </row>
    <row r="1519" spans="2:20" s="361" customFormat="1">
      <c r="C1519" s="374">
        <f>IF(SUM(C1520:C1538)&lt;&gt;0,1,)</f>
        <v>1</v>
      </c>
      <c r="D1519" s="555"/>
      <c r="E1519" s="555"/>
      <c r="F1519" s="782" t="s">
        <v>3870</v>
      </c>
      <c r="G1519" s="555"/>
      <c r="H1519" s="556">
        <v>1</v>
      </c>
      <c r="I1519" s="556"/>
      <c r="J1519" s="556"/>
      <c r="K1519" s="556"/>
      <c r="L1519" s="556"/>
      <c r="M1519" s="556"/>
      <c r="N1519" s="556"/>
      <c r="O1519" s="556"/>
      <c r="P1519" s="556"/>
      <c r="Q1519" s="556"/>
    </row>
    <row r="1520" spans="2:20">
      <c r="B1520" s="332" t="s">
        <v>1908</v>
      </c>
      <c r="C1520" s="333">
        <f t="shared" ref="C1520:C1538" si="364">IF(H1520&lt;&gt;0,1,)</f>
        <v>1</v>
      </c>
      <c r="D1520" s="328"/>
      <c r="E1520" s="328">
        <f>VLOOKUP(B1520,DONGIA,DG!$B$6,0)</f>
        <v>0</v>
      </c>
      <c r="F1520" s="779" t="str">
        <f>VLOOKUP(B1520,DONGIA,DG!$C$6,0)</f>
        <v>Cáp đồng bọc CV120</v>
      </c>
      <c r="G1520" s="328" t="str">
        <f>VLOOKUP(B1520,DONGIA,DG!$D$6,0)</f>
        <v>mét</v>
      </c>
      <c r="H1520" s="489">
        <f>H1519*3*9.5</f>
        <v>28.5</v>
      </c>
      <c r="I1520" s="329">
        <f>VLOOKUP(B1520,DONGIA,DG!$E$6,0)</f>
        <v>245040</v>
      </c>
      <c r="J1520" s="329"/>
      <c r="K1520" s="329">
        <f>VLOOKUP(B1520,DONGIA,DG!$F$6,0)</f>
        <v>0</v>
      </c>
      <c r="L1520" s="329">
        <f>VLOOKUP(B1520,DONGIA,DG!$G$6,0)</f>
        <v>0</v>
      </c>
      <c r="M1520" s="329">
        <f t="shared" ref="M1520:M1538" si="365">$H1520*I1520</f>
        <v>6983640</v>
      </c>
      <c r="N1520" s="329">
        <f t="shared" ref="N1520:N1538" si="366">$H1520*J1520</f>
        <v>0</v>
      </c>
      <c r="O1520" s="329">
        <f t="shared" ref="O1520:O1538" si="367">$H1520*K1520</f>
        <v>0</v>
      </c>
      <c r="P1520" s="329">
        <f t="shared" ref="P1520:P1538" si="368">$H1520*L1520</f>
        <v>0</v>
      </c>
      <c r="Q1520" s="329"/>
      <c r="S1520" s="332">
        <f t="shared" ref="S1520:S1538" si="369">IFERROR(VLOOKUP(B1520,DONGIA,$S$25,0),0)</f>
        <v>1.2350000000000001</v>
      </c>
      <c r="T1520" s="332">
        <f t="shared" ref="T1520:T1538" si="370">H1520*S1520</f>
        <v>35.197500000000005</v>
      </c>
    </row>
    <row r="1521" spans="2:20">
      <c r="B1521" s="332" t="s">
        <v>1907</v>
      </c>
      <c r="C1521" s="333">
        <f t="shared" si="364"/>
        <v>1</v>
      </c>
      <c r="D1521" s="328"/>
      <c r="E1521" s="328">
        <f>VLOOKUP(B1521,DONGIA,DG!$B$6,0)</f>
        <v>0</v>
      </c>
      <c r="F1521" s="779" t="str">
        <f>VLOOKUP(B1521,DONGIA,DG!$C$6,0)</f>
        <v>Cáp đồng bọc CV70</v>
      </c>
      <c r="G1521" s="328" t="str">
        <f>VLOOKUP(B1521,DONGIA,DG!$D$6,0)</f>
        <v>mét</v>
      </c>
      <c r="H1521" s="489">
        <f>H1519*9.5+5</f>
        <v>14.5</v>
      </c>
      <c r="I1521" s="329">
        <f>VLOOKUP(B1521,DONGIA,DG!$E$6,0)</f>
        <v>142880</v>
      </c>
      <c r="J1521" s="329"/>
      <c r="K1521" s="329">
        <f>VLOOKUP(B1521,DONGIA,DG!$F$6,0)</f>
        <v>0</v>
      </c>
      <c r="L1521" s="329">
        <f>VLOOKUP(B1521,DONGIA,DG!$G$6,0)</f>
        <v>0</v>
      </c>
      <c r="M1521" s="329">
        <f t="shared" si="365"/>
        <v>2071760</v>
      </c>
      <c r="N1521" s="329">
        <f t="shared" si="366"/>
        <v>0</v>
      </c>
      <c r="O1521" s="329">
        <f t="shared" si="367"/>
        <v>0</v>
      </c>
      <c r="P1521" s="329">
        <f t="shared" si="368"/>
        <v>0</v>
      </c>
      <c r="Q1521" s="329"/>
      <c r="S1521" s="332">
        <f t="shared" si="369"/>
        <v>0.73899999999999999</v>
      </c>
      <c r="T1521" s="332">
        <f t="shared" si="370"/>
        <v>10.7155</v>
      </c>
    </row>
    <row r="1522" spans="2:20">
      <c r="B1522" s="332" t="s">
        <v>3520</v>
      </c>
      <c r="C1522" s="333">
        <f t="shared" si="364"/>
        <v>1</v>
      </c>
      <c r="D1522" s="328"/>
      <c r="E1522" s="328">
        <f>VLOOKUP(B1522,DONGIA,DG!$B$6,0)</f>
        <v>0</v>
      </c>
      <c r="F1522" s="779" t="str">
        <f>VLOOKUP(B1522,DONGIA,DG!$C$6,0)</f>
        <v>Cáp điều khiển CVV 6x4,0mm2</v>
      </c>
      <c r="G1522" s="328" t="str">
        <f>VLOOKUP(B1522,DONGIA,DG!$D$6,0)</f>
        <v>mét</v>
      </c>
      <c r="H1522" s="489">
        <f>H1519*0.8</f>
        <v>0.8</v>
      </c>
      <c r="I1522" s="329">
        <f>VLOOKUP(B1522,DONGIA,DG!$E$6,0)</f>
        <v>71600</v>
      </c>
      <c r="J1522" s="329"/>
      <c r="K1522" s="329">
        <f>VLOOKUP(B1522,DONGIA,DG!$F$6,0)</f>
        <v>0</v>
      </c>
      <c r="L1522" s="329">
        <f>VLOOKUP(B1522,DONGIA,DG!$G$6,0)</f>
        <v>0</v>
      </c>
      <c r="M1522" s="329">
        <f t="shared" si="365"/>
        <v>57280</v>
      </c>
      <c r="N1522" s="329">
        <f t="shared" si="366"/>
        <v>0</v>
      </c>
      <c r="O1522" s="329">
        <f t="shared" si="367"/>
        <v>0</v>
      </c>
      <c r="P1522" s="329">
        <f t="shared" si="368"/>
        <v>0</v>
      </c>
      <c r="Q1522" s="329"/>
      <c r="S1522" s="332">
        <f t="shared" si="369"/>
        <v>3.024</v>
      </c>
      <c r="T1522" s="332">
        <f t="shared" si="370"/>
        <v>2.4192</v>
      </c>
    </row>
    <row r="1523" spans="2:20">
      <c r="B1523" s="332" t="s">
        <v>1937</v>
      </c>
      <c r="C1523" s="333">
        <f>IF(H1523&lt;&gt;0,1,)</f>
        <v>1</v>
      </c>
      <c r="D1523" s="328"/>
      <c r="E1523" s="328">
        <f>VLOOKUP(B1523,DONGIA,DG!$B$6,0)</f>
        <v>0</v>
      </c>
      <c r="F1523" s="779" t="str">
        <f>VLOOKUP(B1523,DONGIA,DG!$C$6,0)</f>
        <v>Cáp điều khiển CVV 4x4,0mm2</v>
      </c>
      <c r="G1523" s="328" t="str">
        <f>VLOOKUP(B1523,DONGIA,DG!$D$6,0)</f>
        <v>mét</v>
      </c>
      <c r="H1523" s="489">
        <f>H1519*1.3</f>
        <v>1.3</v>
      </c>
      <c r="I1523" s="329">
        <f>VLOOKUP(B1523,DONGIA,DG!$E$6,0)</f>
        <v>52400</v>
      </c>
      <c r="J1523" s="329"/>
      <c r="K1523" s="329">
        <f>VLOOKUP(B1523,DONGIA,DG!$F$6,0)</f>
        <v>0</v>
      </c>
      <c r="L1523" s="329">
        <f>VLOOKUP(B1523,DONGIA,DG!$G$6,0)</f>
        <v>0</v>
      </c>
      <c r="M1523" s="329">
        <f>$H1523*I1523</f>
        <v>68120</v>
      </c>
      <c r="N1523" s="329">
        <f>$H1523*J1523</f>
        <v>0</v>
      </c>
      <c r="O1523" s="329">
        <f>$H1523*K1523</f>
        <v>0</v>
      </c>
      <c r="P1523" s="329">
        <f>$H1523*L1523</f>
        <v>0</v>
      </c>
      <c r="Q1523" s="329"/>
      <c r="S1523" s="332">
        <f>IFERROR(VLOOKUP(B1523,DONGIA,$S$25,0),0)</f>
        <v>3.024</v>
      </c>
      <c r="T1523" s="332">
        <f>H1523*S1523</f>
        <v>3.9312</v>
      </c>
    </row>
    <row r="1524" spans="2:20">
      <c r="B1524" s="332" t="s">
        <v>1119</v>
      </c>
      <c r="C1524" s="333">
        <f t="shared" si="364"/>
        <v>1</v>
      </c>
      <c r="D1524" s="328"/>
      <c r="E1524" s="328"/>
      <c r="F1524" s="779" t="str">
        <f>VLOOKUP(B1524,DONGIA,DG!$C$6,0)</f>
        <v>Đầu cosse ép Cu 120mm2</v>
      </c>
      <c r="G1524" s="328" t="str">
        <f>VLOOKUP(B1524,DONGIA,DG!$D$6,0)</f>
        <v>cái</v>
      </c>
      <c r="H1524" s="329">
        <f>H1519*3</f>
        <v>3</v>
      </c>
      <c r="I1524" s="329">
        <f>VLOOKUP(B1524,DONGIA,DG!$E$6,0)</f>
        <v>65000</v>
      </c>
      <c r="J1524" s="329"/>
      <c r="K1524" s="329"/>
      <c r="L1524" s="329"/>
      <c r="M1524" s="329">
        <f t="shared" si="365"/>
        <v>195000</v>
      </c>
      <c r="N1524" s="329">
        <f t="shared" si="366"/>
        <v>0</v>
      </c>
      <c r="O1524" s="329">
        <f t="shared" si="367"/>
        <v>0</v>
      </c>
      <c r="P1524" s="329">
        <f t="shared" si="368"/>
        <v>0</v>
      </c>
      <c r="Q1524" s="329"/>
      <c r="S1524" s="332">
        <f t="shared" si="369"/>
        <v>0.1</v>
      </c>
      <c r="T1524" s="332">
        <f t="shared" si="370"/>
        <v>0.30000000000000004</v>
      </c>
    </row>
    <row r="1525" spans="2:20">
      <c r="B1525" s="332" t="s">
        <v>1113</v>
      </c>
      <c r="C1525" s="333">
        <f t="shared" si="364"/>
        <v>1</v>
      </c>
      <c r="D1525" s="328"/>
      <c r="E1525" s="328"/>
      <c r="F1525" s="779" t="str">
        <f>VLOOKUP(B1525,DONGIA,DG!$C$6,0)</f>
        <v>Đầu cosse ép Cu 70mm2</v>
      </c>
      <c r="G1525" s="328" t="str">
        <f>VLOOKUP(B1525,DONGIA,DG!$D$6,0)</f>
        <v>cái</v>
      </c>
      <c r="H1525" s="329">
        <f>H1519</f>
        <v>1</v>
      </c>
      <c r="I1525" s="329">
        <f>VLOOKUP(B1525,DONGIA,DG!$E$6,0)</f>
        <v>33000</v>
      </c>
      <c r="J1525" s="329"/>
      <c r="K1525" s="329"/>
      <c r="L1525" s="329"/>
      <c r="M1525" s="329">
        <f t="shared" si="365"/>
        <v>33000</v>
      </c>
      <c r="N1525" s="329">
        <f t="shared" si="366"/>
        <v>0</v>
      </c>
      <c r="O1525" s="329">
        <f t="shared" si="367"/>
        <v>0</v>
      </c>
      <c r="P1525" s="329">
        <f t="shared" si="368"/>
        <v>0</v>
      </c>
      <c r="Q1525" s="329"/>
      <c r="S1525" s="332">
        <f t="shared" si="369"/>
        <v>0.2</v>
      </c>
      <c r="T1525" s="332">
        <f t="shared" si="370"/>
        <v>0.2</v>
      </c>
    </row>
    <row r="1526" spans="2:20">
      <c r="B1526" s="332" t="s">
        <v>1151</v>
      </c>
      <c r="C1526" s="333">
        <f t="shared" si="364"/>
        <v>1</v>
      </c>
      <c r="D1526" s="328"/>
      <c r="E1526" s="328">
        <f>VLOOKUP(B1526,DONGIA,DG!$B$6,0)</f>
        <v>0</v>
      </c>
      <c r="F1526" s="779" t="str">
        <f>VLOOKUP(B1526,DONGIA,DG!$C$6,0)</f>
        <v>Chụp đầu cosse  120mm2</v>
      </c>
      <c r="G1526" s="328" t="str">
        <f>VLOOKUP(B1526,DONGIA,DG!$D$6,0)</f>
        <v>cái</v>
      </c>
      <c r="H1526" s="329">
        <f>H1524</f>
        <v>3</v>
      </c>
      <c r="I1526" s="329">
        <f>VLOOKUP(B1526,DONGIA,DG!$E$6,0)</f>
        <v>3500</v>
      </c>
      <c r="J1526" s="329"/>
      <c r="K1526" s="329">
        <f>VLOOKUP(B1526,DONGIA,DG!$F$6,0)</f>
        <v>0</v>
      </c>
      <c r="L1526" s="329">
        <f>VLOOKUP(B1526,DONGIA,DG!$G$6,0)</f>
        <v>0</v>
      </c>
      <c r="M1526" s="329">
        <f t="shared" si="365"/>
        <v>10500</v>
      </c>
      <c r="N1526" s="329">
        <f t="shared" si="366"/>
        <v>0</v>
      </c>
      <c r="O1526" s="329">
        <f t="shared" si="367"/>
        <v>0</v>
      </c>
      <c r="P1526" s="329">
        <f t="shared" si="368"/>
        <v>0</v>
      </c>
      <c r="Q1526" s="329"/>
      <c r="S1526" s="332">
        <f t="shared" si="369"/>
        <v>0</v>
      </c>
      <c r="T1526" s="332">
        <f t="shared" si="370"/>
        <v>0</v>
      </c>
    </row>
    <row r="1527" spans="2:20">
      <c r="B1527" s="332" t="s">
        <v>1147</v>
      </c>
      <c r="C1527" s="333">
        <f t="shared" si="364"/>
        <v>1</v>
      </c>
      <c r="D1527" s="328"/>
      <c r="E1527" s="328">
        <f>VLOOKUP(B1527,DONGIA,DG!$B$6,0)</f>
        <v>0</v>
      </c>
      <c r="F1527" s="779" t="str">
        <f>VLOOKUP(B1527,DONGIA,DG!$C$6,0)</f>
        <v>Chụp đầu cosse  70mm2</v>
      </c>
      <c r="G1527" s="328" t="str">
        <f>VLOOKUP(B1527,DONGIA,DG!$D$6,0)</f>
        <v>cái</v>
      </c>
      <c r="H1527" s="329">
        <f>H1525</f>
        <v>1</v>
      </c>
      <c r="I1527" s="329">
        <f>VLOOKUP(B1527,DONGIA,DG!$E$6,0)</f>
        <v>2000</v>
      </c>
      <c r="J1527" s="329"/>
      <c r="K1527" s="329">
        <f>VLOOKUP(B1527,DONGIA,DG!$F$6,0)</f>
        <v>0</v>
      </c>
      <c r="L1527" s="329">
        <f>VLOOKUP(B1527,DONGIA,DG!$G$6,0)</f>
        <v>0</v>
      </c>
      <c r="M1527" s="329">
        <f t="shared" si="365"/>
        <v>2000</v>
      </c>
      <c r="N1527" s="329">
        <f t="shared" si="366"/>
        <v>0</v>
      </c>
      <c r="O1527" s="329">
        <f t="shared" si="367"/>
        <v>0</v>
      </c>
      <c r="P1527" s="329">
        <f t="shared" si="368"/>
        <v>0</v>
      </c>
      <c r="Q1527" s="329"/>
      <c r="S1527" s="332">
        <f t="shared" si="369"/>
        <v>0</v>
      </c>
      <c r="T1527" s="332">
        <f t="shared" si="370"/>
        <v>0</v>
      </c>
    </row>
    <row r="1528" spans="2:20" s="352" customFormat="1">
      <c r="B1528" s="352" t="s">
        <v>1175</v>
      </c>
      <c r="C1528" s="484">
        <f t="shared" si="364"/>
        <v>1</v>
      </c>
      <c r="D1528" s="363"/>
      <c r="E1528" s="363">
        <f>VLOOKUP(B1528,DONGIA,DG!$B$6,0)</f>
        <v>0</v>
      </c>
      <c r="F1528" s="731" t="str">
        <f>VLOOKUP(B1528,DONGIA,DG!$C$6,0)</f>
        <v xml:space="preserve">Ống PVC D114x4,9mm </v>
      </c>
      <c r="G1528" s="363" t="str">
        <f>VLOOKUP(B1528,DONGIA,DG!$D$6,0)</f>
        <v>m</v>
      </c>
      <c r="H1528" s="483">
        <f>H1519*5.5</f>
        <v>5.5</v>
      </c>
      <c r="I1528" s="362">
        <f>VLOOKUP(B1528,DONGIA,DG!$E$6,0)</f>
        <v>102000</v>
      </c>
      <c r="J1528" s="362"/>
      <c r="K1528" s="362">
        <f>VLOOKUP(B1528,DONGIA,DG!$F$6,0)</f>
        <v>0</v>
      </c>
      <c r="L1528" s="362">
        <f>VLOOKUP(B1528,DONGIA,DG!$G$6,0)</f>
        <v>0</v>
      </c>
      <c r="M1528" s="362">
        <f t="shared" si="365"/>
        <v>561000</v>
      </c>
      <c r="N1528" s="362">
        <f t="shared" si="366"/>
        <v>0</v>
      </c>
      <c r="O1528" s="362">
        <f t="shared" si="367"/>
        <v>0</v>
      </c>
      <c r="P1528" s="362">
        <f t="shared" si="368"/>
        <v>0</v>
      </c>
      <c r="Q1528" s="362"/>
      <c r="S1528" s="352">
        <f t="shared" si="369"/>
        <v>2</v>
      </c>
      <c r="T1528" s="352">
        <f t="shared" si="370"/>
        <v>11</v>
      </c>
    </row>
    <row r="1529" spans="2:20">
      <c r="B1529" s="332" t="s">
        <v>456</v>
      </c>
      <c r="C1529" s="333">
        <f t="shared" si="364"/>
        <v>1</v>
      </c>
      <c r="D1529" s="328"/>
      <c r="E1529" s="328">
        <f>VLOOKUP(B1529,DONGIA,DG!$B$6,0)</f>
        <v>0</v>
      </c>
      <c r="F1529" s="779" t="str">
        <f>VLOOKUP(B1529,DONGIA,DG!$C$6,0)&amp;" (CD: 230)"</f>
        <v>Cổ dê kẹp ống PVC φ 114 (có giá nới) (CD: 230)</v>
      </c>
      <c r="G1529" s="328" t="str">
        <f>VLOOKUP(B1529,DONGIA,DG!$D$6,0)</f>
        <v>bộ</v>
      </c>
      <c r="H1529" s="329">
        <f>H1519</f>
        <v>1</v>
      </c>
      <c r="I1529" s="329">
        <f>VLOOKUP(B1529,DONGIA,DG!$E$6,0)</f>
        <v>68000</v>
      </c>
      <c r="J1529" s="329"/>
      <c r="K1529" s="329"/>
      <c r="L1529" s="329">
        <f>VLOOKUP(B1529,DONGIA,DG!$G$6,0)</f>
        <v>0</v>
      </c>
      <c r="M1529" s="329">
        <f t="shared" si="365"/>
        <v>68000</v>
      </c>
      <c r="N1529" s="329">
        <f t="shared" si="366"/>
        <v>0</v>
      </c>
      <c r="O1529" s="329">
        <f t="shared" si="367"/>
        <v>0</v>
      </c>
      <c r="P1529" s="329">
        <f t="shared" si="368"/>
        <v>0</v>
      </c>
      <c r="Q1529" s="329"/>
      <c r="S1529" s="332">
        <f t="shared" si="369"/>
        <v>1.5</v>
      </c>
      <c r="T1529" s="332">
        <f t="shared" si="370"/>
        <v>1.5</v>
      </c>
    </row>
    <row r="1530" spans="2:20">
      <c r="B1530" s="332" t="s">
        <v>456</v>
      </c>
      <c r="C1530" s="333">
        <f t="shared" si="364"/>
        <v>1</v>
      </c>
      <c r="D1530" s="328"/>
      <c r="E1530" s="328">
        <f>VLOOKUP(B1530,DONGIA,DG!$B$6,0)</f>
        <v>0</v>
      </c>
      <c r="F1530" s="779" t="str">
        <f>VLOOKUP(B1530,DONGIA,DG!$C$6,0)&amp;" (CD: 250)"</f>
        <v>Cổ dê kẹp ống PVC φ 114 (có giá nới) (CD: 250)</v>
      </c>
      <c r="G1530" s="328" t="str">
        <f>VLOOKUP(B1530,DONGIA,DG!$D$6,0)</f>
        <v>bộ</v>
      </c>
      <c r="H1530" s="329">
        <f>H1519</f>
        <v>1</v>
      </c>
      <c r="I1530" s="329">
        <f>VLOOKUP(B1530,DONGIA,DG!$E$6,0)</f>
        <v>68000</v>
      </c>
      <c r="J1530" s="329"/>
      <c r="K1530" s="329"/>
      <c r="L1530" s="329">
        <f>VLOOKUP(B1530,DONGIA,DG!$G$6,0)</f>
        <v>0</v>
      </c>
      <c r="M1530" s="329">
        <f t="shared" si="365"/>
        <v>68000</v>
      </c>
      <c r="N1530" s="329">
        <f t="shared" si="366"/>
        <v>0</v>
      </c>
      <c r="O1530" s="329">
        <f t="shared" si="367"/>
        <v>0</v>
      </c>
      <c r="P1530" s="329">
        <f t="shared" si="368"/>
        <v>0</v>
      </c>
      <c r="Q1530" s="329"/>
      <c r="S1530" s="332">
        <f t="shared" si="369"/>
        <v>1.5</v>
      </c>
      <c r="T1530" s="332">
        <f t="shared" si="370"/>
        <v>1.5</v>
      </c>
    </row>
    <row r="1531" spans="2:20">
      <c r="B1531" s="332" t="s">
        <v>456</v>
      </c>
      <c r="C1531" s="333">
        <f t="shared" si="364"/>
        <v>1</v>
      </c>
      <c r="D1531" s="328"/>
      <c r="E1531" s="328">
        <f>VLOOKUP(B1531,DONGIA,DG!$B$6,0)</f>
        <v>0</v>
      </c>
      <c r="F1531" s="779" t="str">
        <f>VLOOKUP(B1531,DONGIA,DG!$C$6,0)&amp;" (CD: 280)"</f>
        <v>Cổ dê kẹp ống PVC φ 114 (có giá nới) (CD: 280)</v>
      </c>
      <c r="G1531" s="328" t="str">
        <f>VLOOKUP(B1531,DONGIA,DG!$D$6,0)</f>
        <v>bộ</v>
      </c>
      <c r="H1531" s="329">
        <f>H1519</f>
        <v>1</v>
      </c>
      <c r="I1531" s="329">
        <f>VLOOKUP(B1531,DONGIA,DG!$E$6,0)</f>
        <v>68000</v>
      </c>
      <c r="J1531" s="329"/>
      <c r="K1531" s="329"/>
      <c r="L1531" s="329">
        <f>VLOOKUP(B1531,DONGIA,DG!$G$6,0)</f>
        <v>0</v>
      </c>
      <c r="M1531" s="329">
        <f t="shared" si="365"/>
        <v>68000</v>
      </c>
      <c r="N1531" s="329">
        <f t="shared" si="366"/>
        <v>0</v>
      </c>
      <c r="O1531" s="329">
        <f t="shared" si="367"/>
        <v>0</v>
      </c>
      <c r="P1531" s="329">
        <f t="shared" si="368"/>
        <v>0</v>
      </c>
      <c r="Q1531" s="329"/>
      <c r="S1531" s="332">
        <f t="shared" si="369"/>
        <v>1.5</v>
      </c>
      <c r="T1531" s="332">
        <f t="shared" si="370"/>
        <v>1.5</v>
      </c>
    </row>
    <row r="1532" spans="2:20">
      <c r="B1532" s="332" t="s">
        <v>1185</v>
      </c>
      <c r="C1532" s="333">
        <f t="shared" si="364"/>
        <v>1</v>
      </c>
      <c r="D1532" s="328"/>
      <c r="E1532" s="328">
        <f>VLOOKUP(B1532,DONGIA,DG!$B$6,0)</f>
        <v>0</v>
      </c>
      <c r="F1532" s="779" t="str">
        <f>VLOOKUP(B1532,DONGIA,DG!$C$6,0)</f>
        <v>Co  90 độ PVC 114</v>
      </c>
      <c r="G1532" s="328" t="str">
        <f>VLOOKUP(B1532,DONGIA,DG!$D$6,0)</f>
        <v>cái</v>
      </c>
      <c r="H1532" s="329">
        <f>H1519</f>
        <v>1</v>
      </c>
      <c r="I1532" s="329">
        <f>VLOOKUP(B1532,DONGIA,DG!$E$6,0)</f>
        <v>104800</v>
      </c>
      <c r="J1532" s="329"/>
      <c r="K1532" s="329">
        <f>VLOOKUP(B1532,DONGIA,DG!$F$6,0)</f>
        <v>0</v>
      </c>
      <c r="L1532" s="329">
        <f>VLOOKUP(B1532,DONGIA,DG!$G$6,0)</f>
        <v>0</v>
      </c>
      <c r="M1532" s="329">
        <f t="shared" si="365"/>
        <v>104800</v>
      </c>
      <c r="N1532" s="329">
        <f t="shared" si="366"/>
        <v>0</v>
      </c>
      <c r="O1532" s="329">
        <f t="shared" si="367"/>
        <v>0</v>
      </c>
      <c r="P1532" s="329">
        <f t="shared" si="368"/>
        <v>0</v>
      </c>
      <c r="Q1532" s="329"/>
      <c r="S1532" s="332">
        <f t="shared" si="369"/>
        <v>0</v>
      </c>
      <c r="T1532" s="332">
        <f t="shared" si="370"/>
        <v>0</v>
      </c>
    </row>
    <row r="1533" spans="2:20">
      <c r="B1533" s="332" t="s">
        <v>1189</v>
      </c>
      <c r="C1533" s="333">
        <f t="shared" si="364"/>
        <v>1</v>
      </c>
      <c r="D1533" s="328"/>
      <c r="E1533" s="328">
        <f>VLOOKUP(B1533,DONGIA,DG!$B$6,0)</f>
        <v>0</v>
      </c>
      <c r="F1533" s="779" t="str">
        <f>VLOOKUP(B1533,DONGIA,DG!$C$6,0)</f>
        <v>Co 135 độ PVC 114</v>
      </c>
      <c r="G1533" s="328" t="str">
        <f>VLOOKUP(B1533,DONGIA,DG!$D$6,0)</f>
        <v>cái</v>
      </c>
      <c r="H1533" s="329">
        <f>H1519</f>
        <v>1</v>
      </c>
      <c r="I1533" s="329">
        <f>VLOOKUP(B1533,DONGIA,DG!$E$6,0)</f>
        <v>70800</v>
      </c>
      <c r="J1533" s="329"/>
      <c r="K1533" s="329">
        <f>VLOOKUP(B1533,DONGIA,DG!$F$6,0)</f>
        <v>0</v>
      </c>
      <c r="L1533" s="329">
        <f>VLOOKUP(B1533,DONGIA,DG!$G$6,0)</f>
        <v>0</v>
      </c>
      <c r="M1533" s="329">
        <f t="shared" si="365"/>
        <v>70800</v>
      </c>
      <c r="N1533" s="329">
        <f t="shared" si="366"/>
        <v>0</v>
      </c>
      <c r="O1533" s="329">
        <f t="shared" si="367"/>
        <v>0</v>
      </c>
      <c r="P1533" s="329">
        <f t="shared" si="368"/>
        <v>0</v>
      </c>
      <c r="Q1533" s="329"/>
      <c r="S1533" s="332">
        <f t="shared" si="369"/>
        <v>0</v>
      </c>
      <c r="T1533" s="332">
        <f t="shared" si="370"/>
        <v>0</v>
      </c>
    </row>
    <row r="1534" spans="2:20" hidden="1">
      <c r="B1534" s="332" t="s">
        <v>1914</v>
      </c>
      <c r="C1534" s="333">
        <f t="shared" si="364"/>
        <v>0</v>
      </c>
      <c r="D1534" s="328"/>
      <c r="E1534" s="328">
        <f>VLOOKUP(B1534,DONGIA,DG!$B$6,0)</f>
        <v>0</v>
      </c>
      <c r="F1534" s="329" t="str">
        <f>VLOOKUP(B1534,DONGIA,DG!$C$6,0)</f>
        <v>Keo dán ống PVC (100gr)</v>
      </c>
      <c r="G1534" s="328" t="str">
        <f>VLOOKUP(B1534,DONGIA,DG!$D$6,0)</f>
        <v>tuýp</v>
      </c>
      <c r="H1534" s="329"/>
      <c r="I1534" s="329">
        <f>VLOOKUP(B1534,DONGIA,DG!$E$6,0)</f>
        <v>11500</v>
      </c>
      <c r="J1534" s="329"/>
      <c r="K1534" s="329">
        <f>VLOOKUP(B1534,DONGIA,DG!$F$6,0)</f>
        <v>0</v>
      </c>
      <c r="L1534" s="329">
        <f>VLOOKUP(B1534,DONGIA,DG!$G$6,0)</f>
        <v>0</v>
      </c>
      <c r="M1534" s="329">
        <f t="shared" si="365"/>
        <v>0</v>
      </c>
      <c r="N1534" s="329">
        <f t="shared" si="366"/>
        <v>0</v>
      </c>
      <c r="O1534" s="329">
        <f t="shared" si="367"/>
        <v>0</v>
      </c>
      <c r="P1534" s="329">
        <f t="shared" si="368"/>
        <v>0</v>
      </c>
      <c r="Q1534" s="329"/>
      <c r="S1534" s="332">
        <f t="shared" si="369"/>
        <v>0</v>
      </c>
      <c r="T1534" s="332">
        <f t="shared" si="370"/>
        <v>0</v>
      </c>
    </row>
    <row r="1535" spans="2:20">
      <c r="B1535" s="332" t="s">
        <v>1639</v>
      </c>
      <c r="C1535" s="333">
        <f t="shared" si="364"/>
        <v>1</v>
      </c>
      <c r="D1535" s="328"/>
      <c r="E1535" s="328">
        <f>VLOOKUP(B1535,DONGIA,DG!$B$6,0)</f>
        <v>0</v>
      </c>
      <c r="F1535" s="779" t="str">
        <f>VLOOKUP(B1535,DONGIA,DG!$C$6,0)&amp;" bịt miệng ống"</f>
        <v>Xi măng bịt miệng ống</v>
      </c>
      <c r="G1535" s="328" t="str">
        <f>VLOOKUP(B1535,DONGIA,DG!$D$6,0)</f>
        <v>kg</v>
      </c>
      <c r="H1535" s="489">
        <v>1</v>
      </c>
      <c r="I1535" s="329">
        <f>VLOOKUP(B1535,DONGIA,DG!$E$6,0)</f>
        <v>1760</v>
      </c>
      <c r="J1535" s="329"/>
      <c r="K1535" s="329">
        <f>VLOOKUP(B1535,DONGIA,DG!$F$6,0)</f>
        <v>0</v>
      </c>
      <c r="L1535" s="329">
        <f>VLOOKUP(B1535,DONGIA,DG!$G$6,0)</f>
        <v>0</v>
      </c>
      <c r="M1535" s="329">
        <f t="shared" si="365"/>
        <v>1760</v>
      </c>
      <c r="N1535" s="329">
        <f t="shared" si="366"/>
        <v>0</v>
      </c>
      <c r="O1535" s="329">
        <f t="shared" si="367"/>
        <v>0</v>
      </c>
      <c r="P1535" s="329">
        <f t="shared" si="368"/>
        <v>0</v>
      </c>
      <c r="Q1535" s="329"/>
      <c r="S1535" s="332">
        <f t="shared" si="369"/>
        <v>1</v>
      </c>
      <c r="T1535" s="332">
        <f t="shared" si="370"/>
        <v>1</v>
      </c>
    </row>
    <row r="1536" spans="2:20">
      <c r="B1536" s="332" t="s">
        <v>857</v>
      </c>
      <c r="C1536" s="333">
        <f t="shared" si="364"/>
        <v>1</v>
      </c>
      <c r="D1536" s="328"/>
      <c r="E1536" s="328" t="str">
        <f>VLOOKUP(B1536,DONGIA,DG!$B$6,0)</f>
        <v>T4.8003</v>
      </c>
      <c r="F1536" s="779" t="str">
        <f>VLOOKUP(B1536,DONGIA,DG!$C$6,0)</f>
        <v>Lắp ống nhựa PVC D114</v>
      </c>
      <c r="G1536" s="328" t="str">
        <f>VLOOKUP(B1536,DONGIA,DG!$D$6,0)</f>
        <v>mét</v>
      </c>
      <c r="H1536" s="489">
        <f>H1528</f>
        <v>5.5</v>
      </c>
      <c r="I1536" s="329">
        <f>VLOOKUP(B1536,DONGIA,DG!$E$6,0)</f>
        <v>0</v>
      </c>
      <c r="J1536" s="329"/>
      <c r="K1536" s="329">
        <f>VLOOKUP(B1536,DONGIA,DG!$F$6,0)</f>
        <v>35541</v>
      </c>
      <c r="L1536" s="329">
        <f>VLOOKUP(B1536,DONGIA,DG!$G$6,0)</f>
        <v>0</v>
      </c>
      <c r="M1536" s="329">
        <f t="shared" si="365"/>
        <v>0</v>
      </c>
      <c r="N1536" s="329">
        <f t="shared" si="366"/>
        <v>0</v>
      </c>
      <c r="O1536" s="329">
        <f t="shared" si="367"/>
        <v>195475.5</v>
      </c>
      <c r="P1536" s="329">
        <f t="shared" si="368"/>
        <v>0</v>
      </c>
      <c r="Q1536" s="329"/>
      <c r="S1536" s="332">
        <f t="shared" si="369"/>
        <v>0</v>
      </c>
      <c r="T1536" s="332">
        <f t="shared" si="370"/>
        <v>0</v>
      </c>
    </row>
    <row r="1537" spans="2:20">
      <c r="B1537" s="332" t="s">
        <v>1939</v>
      </c>
      <c r="C1537" s="333">
        <f t="shared" si="364"/>
        <v>1</v>
      </c>
      <c r="D1537" s="328"/>
      <c r="E1537" s="328" t="str">
        <f>VLOOKUP(B1537,DONGIA,DG!$B$6,0)</f>
        <v>T4.4201</v>
      </c>
      <c r="F1537" s="779" t="str">
        <f>VLOOKUP(B1537,DONGIA,DG!$C$6,0)</f>
        <v>Lắp cáp đồng xuống thiết bị D ≤ 95mm2</v>
      </c>
      <c r="G1537" s="328" t="str">
        <f>VLOOKUP(B1537,DONGIA,DG!$D$6,0)</f>
        <v>m</v>
      </c>
      <c r="H1537" s="489">
        <f>H1521</f>
        <v>14.5</v>
      </c>
      <c r="I1537" s="329">
        <f>VLOOKUP(B1537,DONGIA,DG!$E$6,0)</f>
        <v>0</v>
      </c>
      <c r="J1537" s="329"/>
      <c r="K1537" s="329">
        <f>VLOOKUP(B1537,DONGIA,DG!$F$6,0)</f>
        <v>11847</v>
      </c>
      <c r="L1537" s="329">
        <f>VLOOKUP(B1537,DONGIA,DG!$G$6,0)</f>
        <v>0</v>
      </c>
      <c r="M1537" s="329">
        <f t="shared" si="365"/>
        <v>0</v>
      </c>
      <c r="N1537" s="329">
        <f t="shared" si="366"/>
        <v>0</v>
      </c>
      <c r="O1537" s="329">
        <f t="shared" si="367"/>
        <v>171781.5</v>
      </c>
      <c r="P1537" s="329">
        <f t="shared" si="368"/>
        <v>0</v>
      </c>
      <c r="Q1537" s="329"/>
      <c r="S1537" s="332">
        <f t="shared" si="369"/>
        <v>0</v>
      </c>
      <c r="T1537" s="332">
        <f t="shared" si="370"/>
        <v>0</v>
      </c>
    </row>
    <row r="1538" spans="2:20">
      <c r="B1538" s="332" t="s">
        <v>2063</v>
      </c>
      <c r="C1538" s="333">
        <f t="shared" si="364"/>
        <v>1</v>
      </c>
      <c r="D1538" s="328"/>
      <c r="E1538" s="328" t="str">
        <f>VLOOKUP(B1538,DONGIA,DG!$B$6,0)</f>
        <v>T4.4202</v>
      </c>
      <c r="F1538" s="779" t="str">
        <f>VLOOKUP(B1538,DONGIA,DG!$C$6,0)</f>
        <v>Lắp cáp đồng xuống thiết bị D ≤ 150mm2</v>
      </c>
      <c r="G1538" s="328" t="str">
        <f>VLOOKUP(B1538,DONGIA,DG!$D$6,0)</f>
        <v>m</v>
      </c>
      <c r="H1538" s="489">
        <f>H1520</f>
        <v>28.5</v>
      </c>
      <c r="I1538" s="329"/>
      <c r="J1538" s="329"/>
      <c r="K1538" s="329">
        <f>VLOOKUP(B1538,DONGIA,DG!$F$6,0)</f>
        <v>28433</v>
      </c>
      <c r="L1538" s="329">
        <f>VLOOKUP(B1538,DONGIA,DG!$G$6,0)</f>
        <v>0</v>
      </c>
      <c r="M1538" s="329">
        <f t="shared" si="365"/>
        <v>0</v>
      </c>
      <c r="N1538" s="329">
        <f t="shared" si="366"/>
        <v>0</v>
      </c>
      <c r="O1538" s="329">
        <f t="shared" si="367"/>
        <v>810340.5</v>
      </c>
      <c r="P1538" s="329">
        <f t="shared" si="368"/>
        <v>0</v>
      </c>
      <c r="Q1538" s="329"/>
      <c r="S1538" s="332">
        <f t="shared" si="369"/>
        <v>0</v>
      </c>
      <c r="T1538" s="332">
        <f t="shared" si="370"/>
        <v>0</v>
      </c>
    </row>
    <row r="1539" spans="2:20">
      <c r="C1539" s="333">
        <f t="shared" si="346"/>
        <v>1</v>
      </c>
      <c r="D1539" s="372">
        <f>IF(H1539&lt;&gt;0,D1496+1,D1496)</f>
        <v>8</v>
      </c>
      <c r="E1539" s="372"/>
      <c r="F1539" s="780" t="s">
        <v>1938</v>
      </c>
      <c r="G1539" s="372" t="s">
        <v>138</v>
      </c>
      <c r="H1539" s="372">
        <f>H1541+H1559</f>
        <v>4</v>
      </c>
      <c r="I1539" s="373"/>
      <c r="J1539" s="373"/>
      <c r="K1539" s="373"/>
      <c r="L1539" s="373"/>
      <c r="M1539" s="373"/>
      <c r="N1539" s="373"/>
      <c r="O1539" s="373"/>
      <c r="P1539" s="373"/>
      <c r="Q1539" s="373"/>
      <c r="S1539" s="332">
        <f t="shared" si="345"/>
        <v>0</v>
      </c>
      <c r="T1539" s="332">
        <f t="shared" si="347"/>
        <v>0</v>
      </c>
    </row>
    <row r="1540" spans="2:20" s="361" customFormat="1">
      <c r="C1540" s="374">
        <f>C1539</f>
        <v>1</v>
      </c>
      <c r="D1540" s="350"/>
      <c r="E1540" s="350"/>
      <c r="F1540" s="737" t="s">
        <v>1902</v>
      </c>
      <c r="G1540" s="350"/>
      <c r="H1540" s="351"/>
      <c r="I1540" s="351"/>
      <c r="J1540" s="351"/>
      <c r="K1540" s="351"/>
      <c r="L1540" s="351"/>
      <c r="M1540" s="351"/>
      <c r="N1540" s="351"/>
      <c r="O1540" s="351"/>
      <c r="P1540" s="351"/>
      <c r="Q1540" s="351"/>
      <c r="S1540" s="361">
        <f t="shared" si="345"/>
        <v>0</v>
      </c>
      <c r="T1540" s="361">
        <f t="shared" si="347"/>
        <v>0</v>
      </c>
    </row>
    <row r="1541" spans="2:20" s="361" customFormat="1">
      <c r="C1541" s="374">
        <f>IF(SUM(C1542:C1558)&lt;&gt;0,1,)</f>
        <v>1</v>
      </c>
      <c r="D1541" s="555"/>
      <c r="E1541" s="555"/>
      <c r="F1541" s="782" t="s">
        <v>3876</v>
      </c>
      <c r="G1541" s="555"/>
      <c r="H1541" s="555">
        <v>2</v>
      </c>
      <c r="I1541" s="556"/>
      <c r="J1541" s="556"/>
      <c r="K1541" s="556"/>
      <c r="L1541" s="556"/>
      <c r="M1541" s="556"/>
      <c r="N1541" s="556"/>
      <c r="O1541" s="556"/>
      <c r="P1541" s="556"/>
      <c r="Q1541" s="556"/>
    </row>
    <row r="1542" spans="2:20">
      <c r="B1542" s="332" t="s">
        <v>1906</v>
      </c>
      <c r="C1542" s="333">
        <f t="shared" ref="C1542:C1558" si="371">IF(H1542&lt;&gt;0,1,)</f>
        <v>1</v>
      </c>
      <c r="D1542" s="328"/>
      <c r="E1542" s="328">
        <f>VLOOKUP(B1542,DONGIA,DG!$B$6,0)</f>
        <v>0</v>
      </c>
      <c r="F1542" s="779" t="str">
        <f>VLOOKUP(B1542,DONGIA,DG!$C$6,0)</f>
        <v>Cáp đồng bọc CV50</v>
      </c>
      <c r="G1542" s="328" t="str">
        <f>VLOOKUP(B1542,DONGIA,DG!$D$6,0)</f>
        <v>mét</v>
      </c>
      <c r="H1542" s="489">
        <f>8.5*H1541</f>
        <v>17</v>
      </c>
      <c r="I1542" s="329">
        <f>VLOOKUP(B1542,DONGIA,DG!$E$6,0)</f>
        <v>104370</v>
      </c>
      <c r="J1542" s="329"/>
      <c r="K1542" s="329">
        <f>VLOOKUP(B1542,DONGIA,DG!$F$6,0)</f>
        <v>0</v>
      </c>
      <c r="L1542" s="329">
        <f>VLOOKUP(B1542,DONGIA,DG!$G$6,0)</f>
        <v>0</v>
      </c>
      <c r="M1542" s="329">
        <f t="shared" ref="M1542:P1543" si="372">$H1542*I1542</f>
        <v>1774290</v>
      </c>
      <c r="N1542" s="329">
        <f t="shared" si="372"/>
        <v>0</v>
      </c>
      <c r="O1542" s="329">
        <f t="shared" si="372"/>
        <v>0</v>
      </c>
      <c r="P1542" s="329">
        <f t="shared" si="372"/>
        <v>0</v>
      </c>
      <c r="Q1542" s="329"/>
      <c r="S1542" s="332">
        <f>IFERROR(VLOOKUP(B1542,DONGIA,$S$25,0),0)</f>
        <v>0.53400000000000003</v>
      </c>
      <c r="T1542" s="332">
        <f t="shared" ref="T1542:T1558" si="373">H1542*S1542</f>
        <v>9.0780000000000012</v>
      </c>
    </row>
    <row r="1543" spans="2:20">
      <c r="B1543" s="332" t="s">
        <v>1906</v>
      </c>
      <c r="C1543" s="333">
        <f t="shared" si="371"/>
        <v>1</v>
      </c>
      <c r="D1543" s="328"/>
      <c r="E1543" s="328">
        <f>VLOOKUP(B1543,DONGIA,DG!$B$6,0)</f>
        <v>0</v>
      </c>
      <c r="F1543" s="731" t="str">
        <f>VLOOKUP(B1543,DONGIA,DG!$C$6,0)&amp;" (SDL)"</f>
        <v>Cáp đồng bọc CV50 (SDL)</v>
      </c>
      <c r="G1543" s="328" t="str">
        <f>VLOOKUP(B1543,DONGIA,DG!$D$6,0)</f>
        <v>mét</v>
      </c>
      <c r="H1543" s="489">
        <f>H1541*3*8.5</f>
        <v>51</v>
      </c>
      <c r="I1543" s="329"/>
      <c r="J1543" s="329"/>
      <c r="K1543" s="329">
        <f>VLOOKUP(B1543,DONGIA,DG!$F$6,0)</f>
        <v>0</v>
      </c>
      <c r="L1543" s="329">
        <f>VLOOKUP(B1543,DONGIA,DG!$G$6,0)</f>
        <v>0</v>
      </c>
      <c r="M1543" s="329">
        <f t="shared" si="372"/>
        <v>0</v>
      </c>
      <c r="N1543" s="329">
        <f t="shared" si="372"/>
        <v>0</v>
      </c>
      <c r="O1543" s="329">
        <f t="shared" si="372"/>
        <v>0</v>
      </c>
      <c r="P1543" s="329">
        <f t="shared" si="372"/>
        <v>0</v>
      </c>
      <c r="Q1543" s="329"/>
      <c r="S1543" s="332">
        <f>IFERROR(VLOOKUP(B1543,DONGIA,$S$25,0),0)</f>
        <v>0.53400000000000003</v>
      </c>
      <c r="T1543" s="332">
        <f t="shared" si="373"/>
        <v>27.234000000000002</v>
      </c>
    </row>
    <row r="1544" spans="2:20">
      <c r="B1544" s="332" t="s">
        <v>1110</v>
      </c>
      <c r="C1544" s="333">
        <f t="shared" si="371"/>
        <v>1</v>
      </c>
      <c r="D1544" s="328"/>
      <c r="E1544" s="328"/>
      <c r="F1544" s="779" t="str">
        <f>VLOOKUP(B1544,DONGIA,DG!$C$6,0)</f>
        <v>Đầu cosse ép Cu 50mm2</v>
      </c>
      <c r="G1544" s="328" t="str">
        <f>VLOOKUP(B1544,DONGIA,DG!$D$6,0)</f>
        <v>cái</v>
      </c>
      <c r="H1544" s="329">
        <f>H1541</f>
        <v>2</v>
      </c>
      <c r="I1544" s="329">
        <f>VLOOKUP(B1544,DONGIA,DG!$E$6,0)</f>
        <v>23000</v>
      </c>
      <c r="J1544" s="329"/>
      <c r="K1544" s="329"/>
      <c r="L1544" s="329"/>
      <c r="M1544" s="329">
        <f t="shared" ref="M1544:M1557" si="374">$H1544*I1544</f>
        <v>46000</v>
      </c>
      <c r="N1544" s="329">
        <f t="shared" ref="N1544:N1557" si="375">$H1544*J1544</f>
        <v>0</v>
      </c>
      <c r="O1544" s="329">
        <f t="shared" ref="O1544:O1557" si="376">$H1544*K1544</f>
        <v>0</v>
      </c>
      <c r="P1544" s="329">
        <f t="shared" ref="P1544:P1557" si="377">$H1544*L1544</f>
        <v>0</v>
      </c>
      <c r="Q1544" s="329"/>
      <c r="S1544" s="332">
        <f t="shared" si="345"/>
        <v>0.1</v>
      </c>
      <c r="T1544" s="332">
        <f t="shared" si="373"/>
        <v>0.2</v>
      </c>
    </row>
    <row r="1545" spans="2:20">
      <c r="B1545" s="332" t="s">
        <v>1145</v>
      </c>
      <c r="C1545" s="333">
        <f t="shared" si="371"/>
        <v>1</v>
      </c>
      <c r="D1545" s="328"/>
      <c r="E1545" s="328">
        <f>VLOOKUP(B1545,DONGIA,DG!$B$6,0)</f>
        <v>0</v>
      </c>
      <c r="F1545" s="779" t="str">
        <f>VLOOKUP(B1545,DONGIA,DG!$C$6,0)</f>
        <v>Chụp đầu cosse  50mm2</v>
      </c>
      <c r="G1545" s="328" t="str">
        <f>VLOOKUP(B1545,DONGIA,DG!$D$6,0)</f>
        <v>cái</v>
      </c>
      <c r="H1545" s="329">
        <f>H1544</f>
        <v>2</v>
      </c>
      <c r="I1545" s="329">
        <f>VLOOKUP(B1545,DONGIA,DG!$E$6,0)</f>
        <v>2000</v>
      </c>
      <c r="J1545" s="329"/>
      <c r="K1545" s="329">
        <f>VLOOKUP(B1545,DONGIA,DG!$F$6,0)</f>
        <v>0</v>
      </c>
      <c r="L1545" s="329">
        <f>VLOOKUP(B1545,DONGIA,DG!$G$6,0)</f>
        <v>0</v>
      </c>
      <c r="M1545" s="329">
        <f t="shared" si="374"/>
        <v>4000</v>
      </c>
      <c r="N1545" s="329">
        <f t="shared" si="375"/>
        <v>0</v>
      </c>
      <c r="O1545" s="329">
        <f t="shared" si="376"/>
        <v>0</v>
      </c>
      <c r="P1545" s="329">
        <f t="shared" si="377"/>
        <v>0</v>
      </c>
      <c r="Q1545" s="329"/>
      <c r="S1545" s="332">
        <f t="shared" si="345"/>
        <v>0</v>
      </c>
      <c r="T1545" s="332">
        <f t="shared" si="373"/>
        <v>0</v>
      </c>
    </row>
    <row r="1546" spans="2:20" s="352" customFormat="1">
      <c r="B1546" s="352" t="s">
        <v>1177</v>
      </c>
      <c r="C1546" s="484">
        <f t="shared" si="371"/>
        <v>1</v>
      </c>
      <c r="D1546" s="363"/>
      <c r="E1546" s="363">
        <f>VLOOKUP(B1546,DONGIA,DG!$B$6,0)</f>
        <v>0</v>
      </c>
      <c r="F1546" s="731" t="str">
        <f>VLOOKUP(B1546,DONGIA,DG!$C$6,0)&amp;" (SDL)"</f>
        <v>Ống PVC D90x3,8mm  (SDL)</v>
      </c>
      <c r="G1546" s="363" t="str">
        <f>VLOOKUP(B1546,DONGIA,DG!$D$6,0)</f>
        <v>m</v>
      </c>
      <c r="H1546" s="483">
        <f>12.5</f>
        <v>12.5</v>
      </c>
      <c r="I1546" s="362"/>
      <c r="J1546" s="362"/>
      <c r="K1546" s="362">
        <f>VLOOKUP(B1546,DONGIA,DG!$F$6,0)</f>
        <v>0</v>
      </c>
      <c r="L1546" s="362">
        <f>VLOOKUP(B1546,DONGIA,DG!$G$6,0)</f>
        <v>0</v>
      </c>
      <c r="M1546" s="362">
        <f>$H1546*I1546</f>
        <v>0</v>
      </c>
      <c r="N1546" s="362">
        <f>$H1546*J1546</f>
        <v>0</v>
      </c>
      <c r="O1546" s="362">
        <f>$H1546*K1546</f>
        <v>0</v>
      </c>
      <c r="P1546" s="362">
        <f>$H1546*L1546</f>
        <v>0</v>
      </c>
      <c r="Q1546" s="362"/>
      <c r="S1546" s="352">
        <f>IFERROR(VLOOKUP(B1546,DONGIA,$S$25,0),0)</f>
        <v>2</v>
      </c>
      <c r="T1546" s="352">
        <f t="shared" si="373"/>
        <v>25</v>
      </c>
    </row>
    <row r="1547" spans="2:20" hidden="1">
      <c r="B1547" s="332" t="s">
        <v>455</v>
      </c>
      <c r="C1547" s="333">
        <f t="shared" si="371"/>
        <v>0</v>
      </c>
      <c r="D1547" s="328"/>
      <c r="E1547" s="328"/>
      <c r="F1547" s="329" t="str">
        <f>VLOOKUP(B1547,DONGIA,DG!$C$6,0)&amp;" (CD: 250)"</f>
        <v>Cổ dê kẹp ống PVC φ 90 (có giá nới) (CD: 250)</v>
      </c>
      <c r="G1547" s="328" t="str">
        <f>VLOOKUP(B1547,DONGIA,DG!$D$6,0)</f>
        <v>bộ</v>
      </c>
      <c r="H1547" s="329"/>
      <c r="I1547" s="329">
        <f>VLOOKUP(B1547,DONGIA,DG!$E$6,0)</f>
        <v>60000</v>
      </c>
      <c r="J1547" s="329"/>
      <c r="K1547" s="329"/>
      <c r="L1547" s="329">
        <f>VLOOKUP(B1547,DONGIA,DG!$G$6,0)</f>
        <v>0</v>
      </c>
      <c r="M1547" s="329">
        <f t="shared" si="374"/>
        <v>0</v>
      </c>
      <c r="N1547" s="329">
        <f t="shared" si="375"/>
        <v>0</v>
      </c>
      <c r="O1547" s="329">
        <f t="shared" si="376"/>
        <v>0</v>
      </c>
      <c r="P1547" s="329">
        <f t="shared" si="377"/>
        <v>0</v>
      </c>
      <c r="Q1547" s="329"/>
      <c r="S1547" s="332">
        <f t="shared" si="345"/>
        <v>1.5</v>
      </c>
      <c r="T1547" s="332">
        <f t="shared" si="373"/>
        <v>0</v>
      </c>
    </row>
    <row r="1548" spans="2:20" hidden="1">
      <c r="B1548" s="332" t="s">
        <v>455</v>
      </c>
      <c r="C1548" s="333">
        <f t="shared" si="371"/>
        <v>0</v>
      </c>
      <c r="D1548" s="328"/>
      <c r="E1548" s="328"/>
      <c r="F1548" s="329" t="str">
        <f>VLOOKUP(B1548,DONGIA,DG!$C$6,0)&amp;" (CD: 280)"</f>
        <v>Cổ dê kẹp ống PVC φ 90 (có giá nới) (CD: 280)</v>
      </c>
      <c r="G1548" s="328" t="str">
        <f>VLOOKUP(B1548,DONGIA,DG!$D$6,0)</f>
        <v>bộ</v>
      </c>
      <c r="H1548" s="329"/>
      <c r="I1548" s="329">
        <f>VLOOKUP(B1548,DONGIA,DG!$E$6,0)</f>
        <v>60000</v>
      </c>
      <c r="J1548" s="329"/>
      <c r="K1548" s="329"/>
      <c r="L1548" s="329">
        <f>VLOOKUP(B1548,DONGIA,DG!$G$6,0)</f>
        <v>0</v>
      </c>
      <c r="M1548" s="329">
        <f t="shared" si="374"/>
        <v>0</v>
      </c>
      <c r="N1548" s="329">
        <f t="shared" si="375"/>
        <v>0</v>
      </c>
      <c r="O1548" s="329">
        <f t="shared" si="376"/>
        <v>0</v>
      </c>
      <c r="P1548" s="329">
        <f t="shared" si="377"/>
        <v>0</v>
      </c>
      <c r="Q1548" s="329"/>
      <c r="S1548" s="332">
        <f t="shared" si="345"/>
        <v>1.5</v>
      </c>
      <c r="T1548" s="332">
        <f t="shared" si="373"/>
        <v>0</v>
      </c>
    </row>
    <row r="1549" spans="2:20" hidden="1">
      <c r="B1549" s="332" t="s">
        <v>455</v>
      </c>
      <c r="C1549" s="333">
        <f t="shared" si="371"/>
        <v>0</v>
      </c>
      <c r="D1549" s="328"/>
      <c r="E1549" s="328"/>
      <c r="F1549" s="329" t="str">
        <f>VLOOKUP(B1549,DONGIA,DG!$C$6,0)&amp;" (CD: 320)"</f>
        <v>Cổ dê kẹp ống PVC φ 90 (có giá nới) (CD: 320)</v>
      </c>
      <c r="G1549" s="328" t="str">
        <f>VLOOKUP(B1549,DONGIA,DG!$D$6,0)</f>
        <v>bộ</v>
      </c>
      <c r="H1549" s="329"/>
      <c r="I1549" s="329">
        <f>VLOOKUP(B1549,DONGIA,DG!$E$6,0)</f>
        <v>60000</v>
      </c>
      <c r="J1549" s="329"/>
      <c r="K1549" s="329"/>
      <c r="L1549" s="329">
        <f>VLOOKUP(B1549,DONGIA,DG!$G$6,0)</f>
        <v>0</v>
      </c>
      <c r="M1549" s="329">
        <f t="shared" si="374"/>
        <v>0</v>
      </c>
      <c r="N1549" s="329">
        <f t="shared" si="375"/>
        <v>0</v>
      </c>
      <c r="O1549" s="329">
        <f t="shared" si="376"/>
        <v>0</v>
      </c>
      <c r="P1549" s="329">
        <f t="shared" si="377"/>
        <v>0</v>
      </c>
      <c r="Q1549" s="329"/>
      <c r="S1549" s="332">
        <f t="shared" si="345"/>
        <v>1.5</v>
      </c>
      <c r="T1549" s="332">
        <f t="shared" si="373"/>
        <v>0</v>
      </c>
    </row>
    <row r="1550" spans="2:20" hidden="1">
      <c r="B1550" s="332" t="s">
        <v>1183</v>
      </c>
      <c r="C1550" s="333">
        <f t="shared" si="371"/>
        <v>0</v>
      </c>
      <c r="D1550" s="328"/>
      <c r="E1550" s="328">
        <f>VLOOKUP(B1550,DONGIA,DG!$B$6,0)</f>
        <v>0</v>
      </c>
      <c r="F1550" s="329" t="str">
        <f>VLOOKUP(B1550,DONGIA,DG!$C$6,0)</f>
        <v>Co  90 độ PVC 90</v>
      </c>
      <c r="G1550" s="328" t="str">
        <f>VLOOKUP(B1550,DONGIA,DG!$D$6,0)</f>
        <v>cái</v>
      </c>
      <c r="H1550" s="329"/>
      <c r="I1550" s="329">
        <f>VLOOKUP(B1550,DONGIA,DG!$E$6,0)</f>
        <v>45400</v>
      </c>
      <c r="J1550" s="329"/>
      <c r="K1550" s="329">
        <f>VLOOKUP(B1550,DONGIA,DG!$F$6,0)</f>
        <v>0</v>
      </c>
      <c r="L1550" s="329">
        <f>VLOOKUP(B1550,DONGIA,DG!$G$6,0)</f>
        <v>0</v>
      </c>
      <c r="M1550" s="329">
        <f t="shared" si="374"/>
        <v>0</v>
      </c>
      <c r="N1550" s="329">
        <f t="shared" si="375"/>
        <v>0</v>
      </c>
      <c r="O1550" s="329">
        <f t="shared" si="376"/>
        <v>0</v>
      </c>
      <c r="P1550" s="329">
        <f t="shared" si="377"/>
        <v>0</v>
      </c>
      <c r="Q1550" s="329"/>
      <c r="S1550" s="332">
        <f t="shared" si="345"/>
        <v>0</v>
      </c>
      <c r="T1550" s="332">
        <f t="shared" si="373"/>
        <v>0</v>
      </c>
    </row>
    <row r="1551" spans="2:20" hidden="1">
      <c r="B1551" s="332" t="s">
        <v>1181</v>
      </c>
      <c r="C1551" s="333">
        <f t="shared" si="371"/>
        <v>0</v>
      </c>
      <c r="D1551" s="328"/>
      <c r="E1551" s="328">
        <f>VLOOKUP(B1551,DONGIA,DG!$B$6,0)</f>
        <v>0</v>
      </c>
      <c r="F1551" s="329" t="str">
        <f>VLOOKUP(B1551,DONGIA,DG!$C$6,0)</f>
        <v>Co 135 độ PVC 90</v>
      </c>
      <c r="G1551" s="328" t="str">
        <f>VLOOKUP(B1551,DONGIA,DG!$D$6,0)</f>
        <v>cái</v>
      </c>
      <c r="H1551" s="329"/>
      <c r="I1551" s="329">
        <f>VLOOKUP(B1551,DONGIA,DG!$E$6,0)</f>
        <v>34800</v>
      </c>
      <c r="J1551" s="329"/>
      <c r="K1551" s="329">
        <f>VLOOKUP(B1551,DONGIA,DG!$F$6,0)</f>
        <v>0</v>
      </c>
      <c r="L1551" s="329">
        <f>VLOOKUP(B1551,DONGIA,DG!$G$6,0)</f>
        <v>0</v>
      </c>
      <c r="M1551" s="329">
        <f t="shared" si="374"/>
        <v>0</v>
      </c>
      <c r="N1551" s="329">
        <f t="shared" si="375"/>
        <v>0</v>
      </c>
      <c r="O1551" s="329">
        <f t="shared" si="376"/>
        <v>0</v>
      </c>
      <c r="P1551" s="329">
        <f t="shared" si="377"/>
        <v>0</v>
      </c>
      <c r="Q1551" s="329"/>
      <c r="S1551" s="332">
        <f t="shared" si="345"/>
        <v>0</v>
      </c>
      <c r="T1551" s="332">
        <f t="shared" si="373"/>
        <v>0</v>
      </c>
    </row>
    <row r="1552" spans="2:20" hidden="1">
      <c r="B1552" s="332" t="s">
        <v>1203</v>
      </c>
      <c r="C1552" s="333">
        <f t="shared" si="371"/>
        <v>0</v>
      </c>
      <c r="D1552" s="328"/>
      <c r="E1552" s="328">
        <f>VLOOKUP(B1552,DONGIA,DG!$B$6,0)</f>
        <v>0</v>
      </c>
      <c r="F1552" s="329" t="str">
        <f>VLOOKUP(B1552,DONGIA,DG!$C$6,0)</f>
        <v>Khâu ven răng trong D90</v>
      </c>
      <c r="G1552" s="328" t="str">
        <f>VLOOKUP(B1552,DONGIA,DG!$D$6,0)</f>
        <v>cái</v>
      </c>
      <c r="H1552" s="329"/>
      <c r="I1552" s="329">
        <f>VLOOKUP(B1552,DONGIA,DG!$E$6,0)</f>
        <v>25800</v>
      </c>
      <c r="J1552" s="329"/>
      <c r="K1552" s="329">
        <f>VLOOKUP(B1552,DONGIA,DG!$F$6,0)</f>
        <v>0</v>
      </c>
      <c r="L1552" s="329">
        <f>VLOOKUP(B1552,DONGIA,DG!$G$6,0)</f>
        <v>0</v>
      </c>
      <c r="M1552" s="329">
        <f t="shared" si="374"/>
        <v>0</v>
      </c>
      <c r="N1552" s="329">
        <f t="shared" si="375"/>
        <v>0</v>
      </c>
      <c r="O1552" s="329">
        <f t="shared" si="376"/>
        <v>0</v>
      </c>
      <c r="P1552" s="329">
        <f t="shared" si="377"/>
        <v>0</v>
      </c>
      <c r="Q1552" s="329"/>
      <c r="S1552" s="332">
        <f t="shared" si="345"/>
        <v>0</v>
      </c>
      <c r="T1552" s="332">
        <f t="shared" si="373"/>
        <v>0</v>
      </c>
    </row>
    <row r="1553" spans="2:20" hidden="1">
      <c r="B1553" s="332" t="s">
        <v>1209</v>
      </c>
      <c r="C1553" s="333">
        <f t="shared" si="371"/>
        <v>0</v>
      </c>
      <c r="D1553" s="328"/>
      <c r="E1553" s="328">
        <f>VLOOKUP(B1553,DONGIA,DG!$B$6,0)</f>
        <v>0</v>
      </c>
      <c r="F1553" s="329" t="str">
        <f>VLOOKUP(B1553,DONGIA,DG!$C$6,0)</f>
        <v>Khâu ven răng ngoài D90</v>
      </c>
      <c r="G1553" s="328" t="str">
        <f>VLOOKUP(B1553,DONGIA,DG!$D$6,0)</f>
        <v>cái</v>
      </c>
      <c r="H1553" s="329"/>
      <c r="I1553" s="329">
        <f>VLOOKUP(B1553,DONGIA,DG!$E$6,0)</f>
        <v>21500</v>
      </c>
      <c r="J1553" s="329"/>
      <c r="K1553" s="329">
        <f>VLOOKUP(B1553,DONGIA,DG!$F$6,0)</f>
        <v>0</v>
      </c>
      <c r="L1553" s="329">
        <f>VLOOKUP(B1553,DONGIA,DG!$G$6,0)</f>
        <v>0</v>
      </c>
      <c r="M1553" s="329">
        <f t="shared" si="374"/>
        <v>0</v>
      </c>
      <c r="N1553" s="329">
        <f t="shared" si="375"/>
        <v>0</v>
      </c>
      <c r="O1553" s="329">
        <f t="shared" si="376"/>
        <v>0</v>
      </c>
      <c r="P1553" s="329">
        <f t="shared" si="377"/>
        <v>0</v>
      </c>
      <c r="Q1553" s="329"/>
      <c r="S1553" s="332">
        <f t="shared" si="345"/>
        <v>0</v>
      </c>
      <c r="T1553" s="332">
        <f t="shared" si="373"/>
        <v>0</v>
      </c>
    </row>
    <row r="1554" spans="2:20">
      <c r="B1554" s="332" t="s">
        <v>1639</v>
      </c>
      <c r="C1554" s="333">
        <f t="shared" si="371"/>
        <v>1</v>
      </c>
      <c r="D1554" s="328"/>
      <c r="E1554" s="328">
        <f>VLOOKUP(B1554,DONGIA,DG!$B$6,0)</f>
        <v>0</v>
      </c>
      <c r="F1554" s="779" t="str">
        <f>VLOOKUP(B1554,DONGIA,DG!$C$6,0)&amp;" bịt miệng ống"</f>
        <v>Xi măng bịt miệng ống</v>
      </c>
      <c r="G1554" s="328" t="str">
        <f>VLOOKUP(B1554,DONGIA,DG!$D$6,0)</f>
        <v>kg</v>
      </c>
      <c r="H1554" s="489">
        <v>1</v>
      </c>
      <c r="I1554" s="329">
        <f>VLOOKUP(B1554,DONGIA,DG!$E$6,0)</f>
        <v>1760</v>
      </c>
      <c r="J1554" s="329"/>
      <c r="K1554" s="329">
        <f>VLOOKUP(B1554,DONGIA,DG!$F$6,0)</f>
        <v>0</v>
      </c>
      <c r="L1554" s="329">
        <f>VLOOKUP(B1554,DONGIA,DG!$G$6,0)</f>
        <v>0</v>
      </c>
      <c r="M1554" s="329">
        <f t="shared" si="374"/>
        <v>1760</v>
      </c>
      <c r="N1554" s="329">
        <f t="shared" si="375"/>
        <v>0</v>
      </c>
      <c r="O1554" s="329">
        <f t="shared" si="376"/>
        <v>0</v>
      </c>
      <c r="P1554" s="329">
        <f t="shared" si="377"/>
        <v>0</v>
      </c>
      <c r="Q1554" s="329"/>
      <c r="S1554" s="332">
        <f t="shared" si="345"/>
        <v>1</v>
      </c>
      <c r="T1554" s="332">
        <f t="shared" si="373"/>
        <v>1</v>
      </c>
    </row>
    <row r="1555" spans="2:20">
      <c r="B1555" s="332" t="s">
        <v>1193</v>
      </c>
      <c r="C1555" s="333">
        <f t="shared" si="371"/>
        <v>1</v>
      </c>
      <c r="D1555" s="328"/>
      <c r="E1555" s="328">
        <f>VLOOKUP(B1555,DONGIA,DG!$B$6,0)</f>
        <v>0</v>
      </c>
      <c r="F1555" s="779" t="str">
        <f>VLOOKUP(B1555,DONGIA,DG!$C$6,0)</f>
        <v>Băng keo cách điện</v>
      </c>
      <c r="G1555" s="328" t="str">
        <f>VLOOKUP(B1555,DONGIA,DG!$D$6,0)</f>
        <v>cuộn</v>
      </c>
      <c r="H1555" s="329">
        <v>1</v>
      </c>
      <c r="I1555" s="329">
        <f>VLOOKUP(B1555,DONGIA,DG!$E$6,0)</f>
        <v>6500</v>
      </c>
      <c r="J1555" s="329"/>
      <c r="K1555" s="329">
        <f>VLOOKUP(B1555,DONGIA,DG!$F$6,0)</f>
        <v>0</v>
      </c>
      <c r="L1555" s="329">
        <f>VLOOKUP(B1555,DONGIA,DG!$G$6,0)</f>
        <v>0</v>
      </c>
      <c r="M1555" s="329">
        <f t="shared" si="374"/>
        <v>6500</v>
      </c>
      <c r="N1555" s="329">
        <f t="shared" si="375"/>
        <v>0</v>
      </c>
      <c r="O1555" s="329">
        <f t="shared" si="376"/>
        <v>0</v>
      </c>
      <c r="P1555" s="329">
        <f t="shared" si="377"/>
        <v>0</v>
      </c>
      <c r="Q1555" s="329"/>
      <c r="S1555" s="332">
        <f t="shared" si="345"/>
        <v>0</v>
      </c>
      <c r="T1555" s="332">
        <f t="shared" si="373"/>
        <v>0</v>
      </c>
    </row>
    <row r="1556" spans="2:20">
      <c r="B1556" s="332" t="s">
        <v>855</v>
      </c>
      <c r="C1556" s="333">
        <f t="shared" si="371"/>
        <v>1</v>
      </c>
      <c r="D1556" s="328"/>
      <c r="E1556" s="328" t="str">
        <f>VLOOKUP(B1556,DONGIA,DG!$B$6,0)</f>
        <v>T4.8003</v>
      </c>
      <c r="F1556" s="779" t="str">
        <f>VLOOKUP(B1556,DONGIA,DG!$C$6,0)</f>
        <v>Lắp ống nhựa PVC D90</v>
      </c>
      <c r="G1556" s="328" t="str">
        <f>VLOOKUP(B1556,DONGIA,DG!$D$6,0)</f>
        <v>mét</v>
      </c>
      <c r="H1556" s="489">
        <f>H1546</f>
        <v>12.5</v>
      </c>
      <c r="I1556" s="329">
        <f>VLOOKUP(B1556,DONGIA,DG!$E$6,0)</f>
        <v>0</v>
      </c>
      <c r="J1556" s="329"/>
      <c r="K1556" s="329">
        <f>VLOOKUP(B1556,DONGIA,DG!$F$6,0)</f>
        <v>35541</v>
      </c>
      <c r="L1556" s="329">
        <f>VLOOKUP(B1556,DONGIA,DG!$G$6,0)</f>
        <v>0</v>
      </c>
      <c r="M1556" s="329">
        <f t="shared" si="374"/>
        <v>0</v>
      </c>
      <c r="N1556" s="329">
        <f t="shared" si="375"/>
        <v>0</v>
      </c>
      <c r="O1556" s="329">
        <f t="shared" si="376"/>
        <v>444262.5</v>
      </c>
      <c r="P1556" s="329">
        <f t="shared" si="377"/>
        <v>0</v>
      </c>
      <c r="Q1556" s="329"/>
      <c r="S1556" s="332">
        <f t="shared" si="345"/>
        <v>0</v>
      </c>
      <c r="T1556" s="332">
        <f t="shared" si="373"/>
        <v>0</v>
      </c>
    </row>
    <row r="1557" spans="2:20">
      <c r="B1557" s="332" t="s">
        <v>1939</v>
      </c>
      <c r="C1557" s="333">
        <f t="shared" si="371"/>
        <v>1</v>
      </c>
      <c r="D1557" s="328"/>
      <c r="E1557" s="328" t="str">
        <f>VLOOKUP(B1557,DONGIA,DG!$B$6,0)</f>
        <v>T4.4201</v>
      </c>
      <c r="F1557" s="779" t="str">
        <f>VLOOKUP(B1557,DONGIA,DG!$C$6,0)</f>
        <v>Lắp cáp đồng xuống thiết bị D ≤ 95mm2</v>
      </c>
      <c r="G1557" s="328" t="str">
        <f>VLOOKUP(B1557,DONGIA,DG!$D$6,0)</f>
        <v>m</v>
      </c>
      <c r="H1557" s="489">
        <f>H1542+H1543</f>
        <v>68</v>
      </c>
      <c r="I1557" s="329">
        <f>VLOOKUP(B1557,DONGIA,DG!$E$6,0)</f>
        <v>0</v>
      </c>
      <c r="J1557" s="329"/>
      <c r="K1557" s="329">
        <f>VLOOKUP(B1557,DONGIA,DG!$F$6,0)</f>
        <v>11847</v>
      </c>
      <c r="L1557" s="329">
        <f>VLOOKUP(B1557,DONGIA,DG!$G$6,0)</f>
        <v>0</v>
      </c>
      <c r="M1557" s="329">
        <f t="shared" si="374"/>
        <v>0</v>
      </c>
      <c r="N1557" s="329">
        <f t="shared" si="375"/>
        <v>0</v>
      </c>
      <c r="O1557" s="329">
        <f t="shared" si="376"/>
        <v>805596</v>
      </c>
      <c r="P1557" s="329">
        <f t="shared" si="377"/>
        <v>0</v>
      </c>
      <c r="Q1557" s="329"/>
      <c r="S1557" s="332">
        <f t="shared" si="345"/>
        <v>0</v>
      </c>
      <c r="T1557" s="332">
        <f t="shared" si="373"/>
        <v>0</v>
      </c>
    </row>
    <row r="1558" spans="2:20" hidden="1">
      <c r="B1558" s="332" t="s">
        <v>2063</v>
      </c>
      <c r="C1558" s="333">
        <f t="shared" si="371"/>
        <v>0</v>
      </c>
      <c r="D1558" s="328"/>
      <c r="E1558" s="328" t="str">
        <f>VLOOKUP(B1558,DONGIA,DG!$B$6,0)</f>
        <v>T4.4202</v>
      </c>
      <c r="F1558" s="329" t="str">
        <f>VLOOKUP(B1558,DONGIA,DG!$C$6,0)</f>
        <v>Lắp cáp đồng xuống thiết bị D ≤ 150mm2</v>
      </c>
      <c r="G1558" s="328" t="str">
        <f>VLOOKUP(B1558,DONGIA,DG!$D$6,0)</f>
        <v>m</v>
      </c>
      <c r="H1558" s="329"/>
      <c r="I1558" s="329">
        <f>VLOOKUP(B1558,DONGIA,DG!$E$6,0)</f>
        <v>0</v>
      </c>
      <c r="J1558" s="329"/>
      <c r="K1558" s="329">
        <f>VLOOKUP(B1558,DONGIA,DG!$F$6,0)</f>
        <v>28433</v>
      </c>
      <c r="L1558" s="329">
        <f>VLOOKUP(B1558,DONGIA,DG!$G$6,0)</f>
        <v>0</v>
      </c>
      <c r="M1558" s="329">
        <f>$H1558*I1558</f>
        <v>0</v>
      </c>
      <c r="N1558" s="329">
        <f>$H1558*J1558</f>
        <v>0</v>
      </c>
      <c r="O1558" s="329">
        <f>$H1558*K1558</f>
        <v>0</v>
      </c>
      <c r="P1558" s="329">
        <f>$H1558*L1558</f>
        <v>0</v>
      </c>
      <c r="Q1558" s="329"/>
      <c r="S1558" s="332">
        <f>IFERROR(VLOOKUP(B1558,DONGIA,$S$25,0),0)</f>
        <v>0</v>
      </c>
      <c r="T1558" s="332">
        <f t="shared" si="373"/>
        <v>0</v>
      </c>
    </row>
    <row r="1559" spans="2:20" s="361" customFormat="1">
      <c r="C1559" s="374">
        <f>IF(SUM(C1560:C1578)&lt;&gt;0,1,)</f>
        <v>1</v>
      </c>
      <c r="D1559" s="555"/>
      <c r="E1559" s="555"/>
      <c r="F1559" s="782" t="s">
        <v>3870</v>
      </c>
      <c r="G1559" s="555"/>
      <c r="H1559" s="555">
        <v>2</v>
      </c>
      <c r="I1559" s="556"/>
      <c r="J1559" s="556"/>
      <c r="K1559" s="556"/>
      <c r="L1559" s="556"/>
      <c r="M1559" s="556"/>
      <c r="N1559" s="556"/>
      <c r="O1559" s="556"/>
      <c r="P1559" s="556"/>
      <c r="Q1559" s="556"/>
    </row>
    <row r="1560" spans="2:20">
      <c r="B1560" s="332" t="s">
        <v>1907</v>
      </c>
      <c r="C1560" s="333">
        <f t="shared" ref="C1560:C1578" si="378">IF(H1560&lt;&gt;0,1,)</f>
        <v>1</v>
      </c>
      <c r="D1560" s="328"/>
      <c r="E1560" s="328">
        <f>VLOOKUP(B1560,DONGIA,DG!$B$6,0)</f>
        <v>0</v>
      </c>
      <c r="F1560" s="779" t="str">
        <f>VLOOKUP(B1560,DONGIA,DG!$C$6,0)</f>
        <v>Cáp đồng bọc CV70</v>
      </c>
      <c r="G1560" s="328" t="str">
        <f>VLOOKUP(B1560,DONGIA,DG!$D$6,0)</f>
        <v>mét</v>
      </c>
      <c r="H1560" s="329">
        <f>H1559*8.5*3</f>
        <v>51</v>
      </c>
      <c r="I1560" s="329">
        <f>VLOOKUP(B1560,DONGIA,DG!$E$6,0)</f>
        <v>142880</v>
      </c>
      <c r="J1560" s="329"/>
      <c r="K1560" s="329">
        <f>VLOOKUP(B1560,DONGIA,DG!$F$6,0)</f>
        <v>0</v>
      </c>
      <c r="L1560" s="329">
        <f>VLOOKUP(B1560,DONGIA,DG!$G$6,0)</f>
        <v>0</v>
      </c>
      <c r="M1560" s="329">
        <f t="shared" ref="M1560:M1578" si="379">$H1560*I1560</f>
        <v>7286880</v>
      </c>
      <c r="N1560" s="329">
        <f t="shared" ref="N1560:N1578" si="380">$H1560*J1560</f>
        <v>0</v>
      </c>
      <c r="O1560" s="329">
        <f t="shared" ref="O1560:O1578" si="381">$H1560*K1560</f>
        <v>0</v>
      </c>
      <c r="P1560" s="329">
        <f t="shared" ref="P1560:P1578" si="382">$H1560*L1560</f>
        <v>0</v>
      </c>
      <c r="Q1560" s="329"/>
      <c r="S1560" s="332">
        <f t="shared" ref="S1560:S1578" si="383">IFERROR(VLOOKUP(B1560,DONGIA,$S$25,0),0)</f>
        <v>0.73899999999999999</v>
      </c>
      <c r="T1560" s="332">
        <f t="shared" ref="T1560:T1578" si="384">H1560*S1560</f>
        <v>37.689</v>
      </c>
    </row>
    <row r="1561" spans="2:20">
      <c r="B1561" s="332" t="s">
        <v>1906</v>
      </c>
      <c r="C1561" s="333">
        <f t="shared" si="378"/>
        <v>1</v>
      </c>
      <c r="D1561" s="328"/>
      <c r="E1561" s="328">
        <f>VLOOKUP(B1561,DONGIA,DG!$B$6,0)</f>
        <v>0</v>
      </c>
      <c r="F1561" s="779" t="str">
        <f>VLOOKUP(B1561,DONGIA,DG!$C$6,0)</f>
        <v>Cáp đồng bọc CV50</v>
      </c>
      <c r="G1561" s="328" t="str">
        <f>VLOOKUP(B1561,DONGIA,DG!$D$6,0)</f>
        <v>mét</v>
      </c>
      <c r="H1561" s="329">
        <f>H1559*8.5</f>
        <v>17</v>
      </c>
      <c r="I1561" s="329">
        <f>VLOOKUP(B1561,DONGIA,DG!$E$6,0)</f>
        <v>104370</v>
      </c>
      <c r="J1561" s="329"/>
      <c r="K1561" s="329">
        <f>VLOOKUP(B1561,DONGIA,DG!$F$6,0)</f>
        <v>0</v>
      </c>
      <c r="L1561" s="329">
        <f>VLOOKUP(B1561,DONGIA,DG!$G$6,0)</f>
        <v>0</v>
      </c>
      <c r="M1561" s="329">
        <f t="shared" si="379"/>
        <v>1774290</v>
      </c>
      <c r="N1561" s="329">
        <f t="shared" si="380"/>
        <v>0</v>
      </c>
      <c r="O1561" s="329">
        <f t="shared" si="381"/>
        <v>0</v>
      </c>
      <c r="P1561" s="329">
        <f t="shared" si="382"/>
        <v>0</v>
      </c>
      <c r="Q1561" s="329"/>
      <c r="S1561" s="332">
        <f t="shared" si="383"/>
        <v>0.53400000000000003</v>
      </c>
      <c r="T1561" s="332">
        <f t="shared" si="384"/>
        <v>9.0780000000000012</v>
      </c>
    </row>
    <row r="1562" spans="2:20">
      <c r="B1562" s="332" t="s">
        <v>1113</v>
      </c>
      <c r="C1562" s="333">
        <f t="shared" si="378"/>
        <v>1</v>
      </c>
      <c r="D1562" s="328"/>
      <c r="E1562" s="328"/>
      <c r="F1562" s="779" t="str">
        <f>VLOOKUP(B1562,DONGIA,DG!$C$6,0)</f>
        <v>Đầu cosse ép Cu 70mm2</v>
      </c>
      <c r="G1562" s="328" t="str">
        <f>VLOOKUP(B1562,DONGIA,DG!$D$6,0)</f>
        <v>cái</v>
      </c>
      <c r="H1562" s="329">
        <f>H1559*3</f>
        <v>6</v>
      </c>
      <c r="I1562" s="329">
        <f>VLOOKUP(B1562,DONGIA,DG!$E$6,0)</f>
        <v>33000</v>
      </c>
      <c r="J1562" s="329"/>
      <c r="K1562" s="329"/>
      <c r="L1562" s="329"/>
      <c r="M1562" s="329">
        <f t="shared" si="379"/>
        <v>198000</v>
      </c>
      <c r="N1562" s="329">
        <f t="shared" si="380"/>
        <v>0</v>
      </c>
      <c r="O1562" s="329">
        <f t="shared" si="381"/>
        <v>0</v>
      </c>
      <c r="P1562" s="329">
        <f t="shared" si="382"/>
        <v>0</v>
      </c>
      <c r="Q1562" s="329"/>
      <c r="S1562" s="332">
        <f t="shared" si="383"/>
        <v>0.2</v>
      </c>
      <c r="T1562" s="332">
        <f t="shared" si="384"/>
        <v>1.2000000000000002</v>
      </c>
    </row>
    <row r="1563" spans="2:20">
      <c r="B1563" s="332" t="s">
        <v>1110</v>
      </c>
      <c r="C1563" s="333">
        <f t="shared" si="378"/>
        <v>1</v>
      </c>
      <c r="D1563" s="328"/>
      <c r="E1563" s="328"/>
      <c r="F1563" s="779" t="str">
        <f>VLOOKUP(B1563,DONGIA,DG!$C$6,0)</f>
        <v>Đầu cosse ép Cu 50mm2</v>
      </c>
      <c r="G1563" s="328" t="str">
        <f>VLOOKUP(B1563,DONGIA,DG!$D$6,0)</f>
        <v>cái</v>
      </c>
      <c r="H1563" s="329">
        <f>H1559</f>
        <v>2</v>
      </c>
      <c r="I1563" s="329">
        <f>VLOOKUP(B1563,DONGIA,DG!$E$6,0)</f>
        <v>23000</v>
      </c>
      <c r="J1563" s="329"/>
      <c r="K1563" s="329"/>
      <c r="L1563" s="329"/>
      <c r="M1563" s="329">
        <f t="shared" si="379"/>
        <v>46000</v>
      </c>
      <c r="N1563" s="329">
        <f t="shared" si="380"/>
        <v>0</v>
      </c>
      <c r="O1563" s="329">
        <f t="shared" si="381"/>
        <v>0</v>
      </c>
      <c r="P1563" s="329">
        <f t="shared" si="382"/>
        <v>0</v>
      </c>
      <c r="Q1563" s="329"/>
      <c r="S1563" s="332">
        <f t="shared" si="383"/>
        <v>0.1</v>
      </c>
      <c r="T1563" s="332">
        <f t="shared" si="384"/>
        <v>0.2</v>
      </c>
    </row>
    <row r="1564" spans="2:20">
      <c r="B1564" s="332" t="s">
        <v>1147</v>
      </c>
      <c r="C1564" s="333">
        <f t="shared" si="378"/>
        <v>1</v>
      </c>
      <c r="D1564" s="328"/>
      <c r="E1564" s="328">
        <f>VLOOKUP(B1564,DONGIA,DG!$B$6,0)</f>
        <v>0</v>
      </c>
      <c r="F1564" s="779" t="str">
        <f>VLOOKUP(B1564,DONGIA,DG!$C$6,0)</f>
        <v>Chụp đầu cosse  70mm2</v>
      </c>
      <c r="G1564" s="328" t="str">
        <f>VLOOKUP(B1564,DONGIA,DG!$D$6,0)</f>
        <v>cái</v>
      </c>
      <c r="H1564" s="329">
        <f>H1562</f>
        <v>6</v>
      </c>
      <c r="I1564" s="329">
        <f>VLOOKUP(B1564,DONGIA,DG!$E$6,0)</f>
        <v>2000</v>
      </c>
      <c r="J1564" s="329"/>
      <c r="K1564" s="329">
        <f>VLOOKUP(B1564,DONGIA,DG!$F$6,0)</f>
        <v>0</v>
      </c>
      <c r="L1564" s="329">
        <f>VLOOKUP(B1564,DONGIA,DG!$G$6,0)</f>
        <v>0</v>
      </c>
      <c r="M1564" s="329">
        <f t="shared" si="379"/>
        <v>12000</v>
      </c>
      <c r="N1564" s="329">
        <f t="shared" si="380"/>
        <v>0</v>
      </c>
      <c r="O1564" s="329">
        <f t="shared" si="381"/>
        <v>0</v>
      </c>
      <c r="P1564" s="329">
        <f t="shared" si="382"/>
        <v>0</v>
      </c>
      <c r="Q1564" s="329"/>
      <c r="S1564" s="332">
        <f t="shared" si="383"/>
        <v>0</v>
      </c>
      <c r="T1564" s="332">
        <f t="shared" si="384"/>
        <v>0</v>
      </c>
    </row>
    <row r="1565" spans="2:20">
      <c r="B1565" s="332" t="s">
        <v>1145</v>
      </c>
      <c r="C1565" s="333">
        <f t="shared" si="378"/>
        <v>1</v>
      </c>
      <c r="D1565" s="328"/>
      <c r="E1565" s="328">
        <f>VLOOKUP(B1565,DONGIA,DG!$B$6,0)</f>
        <v>0</v>
      </c>
      <c r="F1565" s="779" t="str">
        <f>VLOOKUP(B1565,DONGIA,DG!$C$6,0)</f>
        <v>Chụp đầu cosse  50mm2</v>
      </c>
      <c r="G1565" s="328" t="str">
        <f>VLOOKUP(B1565,DONGIA,DG!$D$6,0)</f>
        <v>cái</v>
      </c>
      <c r="H1565" s="329">
        <f>H1563</f>
        <v>2</v>
      </c>
      <c r="I1565" s="329">
        <f>VLOOKUP(B1565,DONGIA,DG!$E$6,0)</f>
        <v>2000</v>
      </c>
      <c r="J1565" s="329"/>
      <c r="K1565" s="329">
        <f>VLOOKUP(B1565,DONGIA,DG!$F$6,0)</f>
        <v>0</v>
      </c>
      <c r="L1565" s="329">
        <f>VLOOKUP(B1565,DONGIA,DG!$G$6,0)</f>
        <v>0</v>
      </c>
      <c r="M1565" s="329">
        <f t="shared" si="379"/>
        <v>4000</v>
      </c>
      <c r="N1565" s="329">
        <f t="shared" si="380"/>
        <v>0</v>
      </c>
      <c r="O1565" s="329">
        <f t="shared" si="381"/>
        <v>0</v>
      </c>
      <c r="P1565" s="329">
        <f t="shared" si="382"/>
        <v>0</v>
      </c>
      <c r="Q1565" s="329"/>
      <c r="S1565" s="332">
        <f t="shared" si="383"/>
        <v>0</v>
      </c>
      <c r="T1565" s="332">
        <f t="shared" si="384"/>
        <v>0</v>
      </c>
    </row>
    <row r="1566" spans="2:20" s="352" customFormat="1">
      <c r="B1566" s="352" t="s">
        <v>1177</v>
      </c>
      <c r="C1566" s="484">
        <f t="shared" si="378"/>
        <v>1</v>
      </c>
      <c r="D1566" s="363"/>
      <c r="E1566" s="363">
        <f>VLOOKUP(B1566,DONGIA,DG!$B$6,0)</f>
        <v>0</v>
      </c>
      <c r="F1566" s="731" t="str">
        <f>VLOOKUP(B1566,DONGIA,DG!$C$6,0)</f>
        <v xml:space="preserve">Ống PVC D90x3,8mm </v>
      </c>
      <c r="G1566" s="363" t="str">
        <f>VLOOKUP(B1566,DONGIA,DG!$D$6,0)</f>
        <v>m</v>
      </c>
      <c r="H1566" s="362">
        <f>H1559*6</f>
        <v>12</v>
      </c>
      <c r="I1566" s="362">
        <f>VLOOKUP(B1566,DONGIA,DG!$E$6,0)</f>
        <v>57000</v>
      </c>
      <c r="J1566" s="362"/>
      <c r="K1566" s="362">
        <f>VLOOKUP(B1566,DONGIA,DG!$F$6,0)</f>
        <v>0</v>
      </c>
      <c r="L1566" s="362">
        <f>VLOOKUP(B1566,DONGIA,DG!$G$6,0)</f>
        <v>0</v>
      </c>
      <c r="M1566" s="362">
        <f t="shared" si="379"/>
        <v>684000</v>
      </c>
      <c r="N1566" s="362">
        <f t="shared" si="380"/>
        <v>0</v>
      </c>
      <c r="O1566" s="362">
        <f t="shared" si="381"/>
        <v>0</v>
      </c>
      <c r="P1566" s="362">
        <f t="shared" si="382"/>
        <v>0</v>
      </c>
      <c r="Q1566" s="362"/>
      <c r="S1566" s="352">
        <f t="shared" si="383"/>
        <v>2</v>
      </c>
      <c r="T1566" s="352">
        <f t="shared" si="384"/>
        <v>24</v>
      </c>
    </row>
    <row r="1567" spans="2:20" s="352" customFormat="1" hidden="1">
      <c r="B1567" s="352" t="s">
        <v>1177</v>
      </c>
      <c r="C1567" s="484">
        <f t="shared" si="378"/>
        <v>0</v>
      </c>
      <c r="D1567" s="363"/>
      <c r="E1567" s="363">
        <f>VLOOKUP(B1567,DONGIA,DG!$B$6,0)</f>
        <v>0</v>
      </c>
      <c r="F1567" s="362" t="str">
        <f>VLOOKUP(B1567,DONGIA,DG!$C$6,0)&amp;" (SDL)"</f>
        <v>Ống PVC D90x3,8mm  (SDL)</v>
      </c>
      <c r="G1567" s="363" t="str">
        <f>VLOOKUP(B1567,DONGIA,DG!$D$6,0)</f>
        <v>m</v>
      </c>
      <c r="H1567" s="362"/>
      <c r="I1567" s="362"/>
      <c r="J1567" s="362"/>
      <c r="K1567" s="362">
        <f>VLOOKUP(B1567,DONGIA,DG!$F$6,0)</f>
        <v>0</v>
      </c>
      <c r="L1567" s="362">
        <f>VLOOKUP(B1567,DONGIA,DG!$G$6,0)</f>
        <v>0</v>
      </c>
      <c r="M1567" s="362">
        <f t="shared" si="379"/>
        <v>0</v>
      </c>
      <c r="N1567" s="362">
        <f t="shared" si="380"/>
        <v>0</v>
      </c>
      <c r="O1567" s="362">
        <f t="shared" si="381"/>
        <v>0</v>
      </c>
      <c r="P1567" s="362">
        <f t="shared" si="382"/>
        <v>0</v>
      </c>
      <c r="Q1567" s="362"/>
      <c r="S1567" s="352">
        <f t="shared" si="383"/>
        <v>2</v>
      </c>
      <c r="T1567" s="352">
        <f t="shared" si="384"/>
        <v>0</v>
      </c>
    </row>
    <row r="1568" spans="2:20">
      <c r="B1568" s="332" t="s">
        <v>455</v>
      </c>
      <c r="C1568" s="333">
        <f t="shared" si="378"/>
        <v>1</v>
      </c>
      <c r="D1568" s="328"/>
      <c r="E1568" s="328"/>
      <c r="F1568" s="779" t="str">
        <f>VLOOKUP(B1568,DONGIA,DG!$C$6,0)&amp;" (CD: 250)"</f>
        <v>Cổ dê kẹp ống PVC φ 90 (có giá nới) (CD: 250)</v>
      </c>
      <c r="G1568" s="328" t="str">
        <f>VLOOKUP(B1568,DONGIA,DG!$D$6,0)</f>
        <v>bộ</v>
      </c>
      <c r="H1568" s="329">
        <f>H1559</f>
        <v>2</v>
      </c>
      <c r="I1568" s="329">
        <f>VLOOKUP(B1568,DONGIA,DG!$E$6,0)</f>
        <v>60000</v>
      </c>
      <c r="J1568" s="329"/>
      <c r="K1568" s="329"/>
      <c r="L1568" s="329">
        <f>VLOOKUP(B1568,DONGIA,DG!$G$6,0)</f>
        <v>0</v>
      </c>
      <c r="M1568" s="329">
        <f t="shared" si="379"/>
        <v>120000</v>
      </c>
      <c r="N1568" s="329">
        <f t="shared" si="380"/>
        <v>0</v>
      </c>
      <c r="O1568" s="329">
        <f t="shared" si="381"/>
        <v>0</v>
      </c>
      <c r="P1568" s="329">
        <f t="shared" si="382"/>
        <v>0</v>
      </c>
      <c r="Q1568" s="329"/>
      <c r="S1568" s="332">
        <f t="shared" si="383"/>
        <v>1.5</v>
      </c>
      <c r="T1568" s="332">
        <f t="shared" si="384"/>
        <v>3</v>
      </c>
    </row>
    <row r="1569" spans="1:20">
      <c r="B1569" s="332" t="s">
        <v>455</v>
      </c>
      <c r="C1569" s="333">
        <f t="shared" si="378"/>
        <v>1</v>
      </c>
      <c r="D1569" s="328"/>
      <c r="E1569" s="328"/>
      <c r="F1569" s="779" t="str">
        <f>VLOOKUP(B1569,DONGIA,DG!$C$6,0)&amp;" (CD: 280)"</f>
        <v>Cổ dê kẹp ống PVC φ 90 (có giá nới) (CD: 280)</v>
      </c>
      <c r="G1569" s="328" t="str">
        <f>VLOOKUP(B1569,DONGIA,DG!$D$6,0)</f>
        <v>bộ</v>
      </c>
      <c r="H1569" s="329">
        <f>H1559</f>
        <v>2</v>
      </c>
      <c r="I1569" s="329">
        <f>VLOOKUP(B1569,DONGIA,DG!$E$6,0)</f>
        <v>60000</v>
      </c>
      <c r="J1569" s="329"/>
      <c r="K1569" s="329"/>
      <c r="L1569" s="329">
        <f>VLOOKUP(B1569,DONGIA,DG!$G$6,0)</f>
        <v>0</v>
      </c>
      <c r="M1569" s="329">
        <f t="shared" si="379"/>
        <v>120000</v>
      </c>
      <c r="N1569" s="329">
        <f t="shared" si="380"/>
        <v>0</v>
      </c>
      <c r="O1569" s="329">
        <f t="shared" si="381"/>
        <v>0</v>
      </c>
      <c r="P1569" s="329">
        <f t="shared" si="382"/>
        <v>0</v>
      </c>
      <c r="Q1569" s="329"/>
      <c r="S1569" s="332">
        <f t="shared" si="383"/>
        <v>1.5</v>
      </c>
      <c r="T1569" s="332">
        <f t="shared" si="384"/>
        <v>3</v>
      </c>
    </row>
    <row r="1570" spans="1:20">
      <c r="B1570" s="332" t="s">
        <v>455</v>
      </c>
      <c r="C1570" s="333">
        <f t="shared" si="378"/>
        <v>1</v>
      </c>
      <c r="D1570" s="328"/>
      <c r="E1570" s="328"/>
      <c r="F1570" s="779" t="str">
        <f>VLOOKUP(B1570,DONGIA,DG!$C$6,0)&amp;" (CD: 320)"</f>
        <v>Cổ dê kẹp ống PVC φ 90 (có giá nới) (CD: 320)</v>
      </c>
      <c r="G1570" s="328" t="str">
        <f>VLOOKUP(B1570,DONGIA,DG!$D$6,0)</f>
        <v>bộ</v>
      </c>
      <c r="H1570" s="329">
        <f>H1559</f>
        <v>2</v>
      </c>
      <c r="I1570" s="329">
        <f>VLOOKUP(B1570,DONGIA,DG!$E$6,0)</f>
        <v>60000</v>
      </c>
      <c r="J1570" s="329"/>
      <c r="K1570" s="329"/>
      <c r="L1570" s="329">
        <f>VLOOKUP(B1570,DONGIA,DG!$G$6,0)</f>
        <v>0</v>
      </c>
      <c r="M1570" s="329">
        <f t="shared" si="379"/>
        <v>120000</v>
      </c>
      <c r="N1570" s="329">
        <f t="shared" si="380"/>
        <v>0</v>
      </c>
      <c r="O1570" s="329">
        <f t="shared" si="381"/>
        <v>0</v>
      </c>
      <c r="P1570" s="329">
        <f t="shared" si="382"/>
        <v>0</v>
      </c>
      <c r="Q1570" s="329"/>
      <c r="S1570" s="332">
        <f t="shared" si="383"/>
        <v>1.5</v>
      </c>
      <c r="T1570" s="332">
        <f t="shared" si="384"/>
        <v>3</v>
      </c>
    </row>
    <row r="1571" spans="1:20">
      <c r="B1571" s="332" t="s">
        <v>1183</v>
      </c>
      <c r="C1571" s="333">
        <f t="shared" si="378"/>
        <v>1</v>
      </c>
      <c r="D1571" s="328"/>
      <c r="E1571" s="328">
        <f>VLOOKUP(B1571,DONGIA,DG!$B$6,0)</f>
        <v>0</v>
      </c>
      <c r="F1571" s="779" t="str">
        <f>VLOOKUP(B1571,DONGIA,DG!$C$6,0)</f>
        <v>Co  90 độ PVC 90</v>
      </c>
      <c r="G1571" s="328" t="str">
        <f>VLOOKUP(B1571,DONGIA,DG!$D$6,0)</f>
        <v>cái</v>
      </c>
      <c r="H1571" s="329">
        <f>H1559*3</f>
        <v>6</v>
      </c>
      <c r="I1571" s="329">
        <f>VLOOKUP(B1571,DONGIA,DG!$E$6,0)</f>
        <v>45400</v>
      </c>
      <c r="J1571" s="329"/>
      <c r="K1571" s="329">
        <f>VLOOKUP(B1571,DONGIA,DG!$F$6,0)</f>
        <v>0</v>
      </c>
      <c r="L1571" s="329">
        <f>VLOOKUP(B1571,DONGIA,DG!$G$6,0)</f>
        <v>0</v>
      </c>
      <c r="M1571" s="329">
        <f t="shared" si="379"/>
        <v>272400</v>
      </c>
      <c r="N1571" s="329">
        <f t="shared" si="380"/>
        <v>0</v>
      </c>
      <c r="O1571" s="329">
        <f t="shared" si="381"/>
        <v>0</v>
      </c>
      <c r="P1571" s="329">
        <f t="shared" si="382"/>
        <v>0</v>
      </c>
      <c r="Q1571" s="329"/>
      <c r="S1571" s="332">
        <f t="shared" si="383"/>
        <v>0</v>
      </c>
      <c r="T1571" s="332">
        <f t="shared" si="384"/>
        <v>0</v>
      </c>
    </row>
    <row r="1572" spans="1:20">
      <c r="B1572" s="332" t="s">
        <v>1181</v>
      </c>
      <c r="C1572" s="333">
        <f t="shared" si="378"/>
        <v>1</v>
      </c>
      <c r="D1572" s="328"/>
      <c r="E1572" s="328">
        <f>VLOOKUP(B1572,DONGIA,DG!$B$6,0)</f>
        <v>0</v>
      </c>
      <c r="F1572" s="779" t="str">
        <f>VLOOKUP(B1572,DONGIA,DG!$C$6,0)</f>
        <v>Co 135 độ PVC 90</v>
      </c>
      <c r="G1572" s="328" t="str">
        <f>VLOOKUP(B1572,DONGIA,DG!$D$6,0)</f>
        <v>cái</v>
      </c>
      <c r="H1572" s="329">
        <f>H1559</f>
        <v>2</v>
      </c>
      <c r="I1572" s="329">
        <f>VLOOKUP(B1572,DONGIA,DG!$E$6,0)</f>
        <v>34800</v>
      </c>
      <c r="J1572" s="329"/>
      <c r="K1572" s="329">
        <f>VLOOKUP(B1572,DONGIA,DG!$F$6,0)</f>
        <v>0</v>
      </c>
      <c r="L1572" s="329">
        <f>VLOOKUP(B1572,DONGIA,DG!$G$6,0)</f>
        <v>0</v>
      </c>
      <c r="M1572" s="329">
        <f t="shared" si="379"/>
        <v>69600</v>
      </c>
      <c r="N1572" s="329">
        <f t="shared" si="380"/>
        <v>0</v>
      </c>
      <c r="O1572" s="329">
        <f t="shared" si="381"/>
        <v>0</v>
      </c>
      <c r="P1572" s="329">
        <f t="shared" si="382"/>
        <v>0</v>
      </c>
      <c r="Q1572" s="329"/>
      <c r="S1572" s="332">
        <f t="shared" si="383"/>
        <v>0</v>
      </c>
      <c r="T1572" s="332">
        <f t="shared" si="384"/>
        <v>0</v>
      </c>
    </row>
    <row r="1573" spans="1:20">
      <c r="B1573" s="332" t="s">
        <v>1203</v>
      </c>
      <c r="C1573" s="333">
        <f t="shared" si="378"/>
        <v>1</v>
      </c>
      <c r="D1573" s="328"/>
      <c r="E1573" s="328">
        <f>VLOOKUP(B1573,DONGIA,DG!$B$6,0)</f>
        <v>0</v>
      </c>
      <c r="F1573" s="779" t="str">
        <f>VLOOKUP(B1573,DONGIA,DG!$C$6,0)</f>
        <v>Khâu ven răng trong D90</v>
      </c>
      <c r="G1573" s="328" t="str">
        <f>VLOOKUP(B1573,DONGIA,DG!$D$6,0)</f>
        <v>cái</v>
      </c>
      <c r="H1573" s="329">
        <f>H1559</f>
        <v>2</v>
      </c>
      <c r="I1573" s="329">
        <f>VLOOKUP(B1573,DONGIA,DG!$E$6,0)</f>
        <v>25800</v>
      </c>
      <c r="J1573" s="329"/>
      <c r="K1573" s="329">
        <f>VLOOKUP(B1573,DONGIA,DG!$F$6,0)</f>
        <v>0</v>
      </c>
      <c r="L1573" s="329">
        <f>VLOOKUP(B1573,DONGIA,DG!$G$6,0)</f>
        <v>0</v>
      </c>
      <c r="M1573" s="329">
        <f t="shared" si="379"/>
        <v>51600</v>
      </c>
      <c r="N1573" s="329">
        <f t="shared" si="380"/>
        <v>0</v>
      </c>
      <c r="O1573" s="329">
        <f t="shared" si="381"/>
        <v>0</v>
      </c>
      <c r="P1573" s="329">
        <f t="shared" si="382"/>
        <v>0</v>
      </c>
      <c r="Q1573" s="329"/>
      <c r="S1573" s="332">
        <f t="shared" si="383"/>
        <v>0</v>
      </c>
      <c r="T1573" s="332">
        <f t="shared" si="384"/>
        <v>0</v>
      </c>
    </row>
    <row r="1574" spans="1:20">
      <c r="B1574" s="332" t="s">
        <v>1209</v>
      </c>
      <c r="C1574" s="333">
        <f t="shared" si="378"/>
        <v>1</v>
      </c>
      <c r="D1574" s="328"/>
      <c r="E1574" s="328">
        <f>VLOOKUP(B1574,DONGIA,DG!$B$6,0)</f>
        <v>0</v>
      </c>
      <c r="F1574" s="779" t="str">
        <f>VLOOKUP(B1574,DONGIA,DG!$C$6,0)</f>
        <v>Khâu ven răng ngoài D90</v>
      </c>
      <c r="G1574" s="328" t="str">
        <f>VLOOKUP(B1574,DONGIA,DG!$D$6,0)</f>
        <v>cái</v>
      </c>
      <c r="H1574" s="329">
        <f>H1573</f>
        <v>2</v>
      </c>
      <c r="I1574" s="329">
        <f>VLOOKUP(B1574,DONGIA,DG!$E$6,0)</f>
        <v>21500</v>
      </c>
      <c r="J1574" s="329"/>
      <c r="K1574" s="329">
        <f>VLOOKUP(B1574,DONGIA,DG!$F$6,0)</f>
        <v>0</v>
      </c>
      <c r="L1574" s="329">
        <f>VLOOKUP(B1574,DONGIA,DG!$G$6,0)</f>
        <v>0</v>
      </c>
      <c r="M1574" s="329">
        <f t="shared" si="379"/>
        <v>43000</v>
      </c>
      <c r="N1574" s="329">
        <f t="shared" si="380"/>
        <v>0</v>
      </c>
      <c r="O1574" s="329">
        <f t="shared" si="381"/>
        <v>0</v>
      </c>
      <c r="P1574" s="329">
        <f t="shared" si="382"/>
        <v>0</v>
      </c>
      <c r="Q1574" s="329"/>
      <c r="S1574" s="332">
        <f t="shared" si="383"/>
        <v>0</v>
      </c>
      <c r="T1574" s="332">
        <f t="shared" si="384"/>
        <v>0</v>
      </c>
    </row>
    <row r="1575" spans="1:20">
      <c r="B1575" s="332" t="s">
        <v>1639</v>
      </c>
      <c r="C1575" s="333">
        <f t="shared" si="378"/>
        <v>1</v>
      </c>
      <c r="D1575" s="328"/>
      <c r="E1575" s="328">
        <f>VLOOKUP(B1575,DONGIA,DG!$B$6,0)</f>
        <v>0</v>
      </c>
      <c r="F1575" s="779" t="str">
        <f>VLOOKUP(B1575,DONGIA,DG!$C$6,0)&amp;" bịt miệng ống"</f>
        <v>Xi măng bịt miệng ống</v>
      </c>
      <c r="G1575" s="328" t="str">
        <f>VLOOKUP(B1575,DONGIA,DG!$D$6,0)</f>
        <v>kg</v>
      </c>
      <c r="H1575" s="489">
        <v>1</v>
      </c>
      <c r="I1575" s="329">
        <f>VLOOKUP(B1575,DONGIA,DG!$E$6,0)</f>
        <v>1760</v>
      </c>
      <c r="J1575" s="329"/>
      <c r="K1575" s="329">
        <f>VLOOKUP(B1575,DONGIA,DG!$F$6,0)</f>
        <v>0</v>
      </c>
      <c r="L1575" s="329">
        <f>VLOOKUP(B1575,DONGIA,DG!$G$6,0)</f>
        <v>0</v>
      </c>
      <c r="M1575" s="329">
        <f t="shared" si="379"/>
        <v>1760</v>
      </c>
      <c r="N1575" s="329">
        <f t="shared" si="380"/>
        <v>0</v>
      </c>
      <c r="O1575" s="329">
        <f t="shared" si="381"/>
        <v>0</v>
      </c>
      <c r="P1575" s="329">
        <f t="shared" si="382"/>
        <v>0</v>
      </c>
      <c r="Q1575" s="329"/>
      <c r="S1575" s="332">
        <f t="shared" si="383"/>
        <v>1</v>
      </c>
      <c r="T1575" s="332">
        <f t="shared" si="384"/>
        <v>1</v>
      </c>
    </row>
    <row r="1576" spans="1:20">
      <c r="B1576" s="332" t="s">
        <v>1193</v>
      </c>
      <c r="C1576" s="333">
        <f t="shared" si="378"/>
        <v>1</v>
      </c>
      <c r="D1576" s="328"/>
      <c r="E1576" s="328">
        <f>VLOOKUP(B1576,DONGIA,DG!$B$6,0)</f>
        <v>0</v>
      </c>
      <c r="F1576" s="779" t="str">
        <f>VLOOKUP(B1576,DONGIA,DG!$C$6,0)</f>
        <v>Băng keo cách điện</v>
      </c>
      <c r="G1576" s="328" t="str">
        <f>VLOOKUP(B1576,DONGIA,DG!$D$6,0)</f>
        <v>cuộn</v>
      </c>
      <c r="H1576" s="329">
        <v>1</v>
      </c>
      <c r="I1576" s="329">
        <f>VLOOKUP(B1576,DONGIA,DG!$E$6,0)</f>
        <v>6500</v>
      </c>
      <c r="J1576" s="329"/>
      <c r="K1576" s="329">
        <f>VLOOKUP(B1576,DONGIA,DG!$F$6,0)</f>
        <v>0</v>
      </c>
      <c r="L1576" s="329">
        <f>VLOOKUP(B1576,DONGIA,DG!$G$6,0)</f>
        <v>0</v>
      </c>
      <c r="M1576" s="329">
        <f t="shared" si="379"/>
        <v>6500</v>
      </c>
      <c r="N1576" s="329">
        <f t="shared" si="380"/>
        <v>0</v>
      </c>
      <c r="O1576" s="329">
        <f t="shared" si="381"/>
        <v>0</v>
      </c>
      <c r="P1576" s="329">
        <f t="shared" si="382"/>
        <v>0</v>
      </c>
      <c r="Q1576" s="329"/>
      <c r="S1576" s="332">
        <f t="shared" si="383"/>
        <v>0</v>
      </c>
      <c r="T1576" s="332">
        <f t="shared" si="384"/>
        <v>0</v>
      </c>
    </row>
    <row r="1577" spans="1:20">
      <c r="B1577" s="332" t="s">
        <v>855</v>
      </c>
      <c r="C1577" s="333">
        <f t="shared" si="378"/>
        <v>1</v>
      </c>
      <c r="D1577" s="328"/>
      <c r="E1577" s="328" t="str">
        <f>VLOOKUP(B1577,DONGIA,DG!$B$6,0)</f>
        <v>T4.8003</v>
      </c>
      <c r="F1577" s="779" t="str">
        <f>VLOOKUP(B1577,DONGIA,DG!$C$6,0)</f>
        <v>Lắp ống nhựa PVC D90</v>
      </c>
      <c r="G1577" s="328" t="str">
        <f>VLOOKUP(B1577,DONGIA,DG!$D$6,0)</f>
        <v>mét</v>
      </c>
      <c r="H1577" s="329">
        <f>H1566</f>
        <v>12</v>
      </c>
      <c r="I1577" s="329">
        <f>VLOOKUP(B1577,DONGIA,DG!$E$6,0)</f>
        <v>0</v>
      </c>
      <c r="J1577" s="329"/>
      <c r="K1577" s="329">
        <f>VLOOKUP(B1577,DONGIA,DG!$F$6,0)</f>
        <v>35541</v>
      </c>
      <c r="L1577" s="329">
        <f>VLOOKUP(B1577,DONGIA,DG!$G$6,0)</f>
        <v>0</v>
      </c>
      <c r="M1577" s="329">
        <f t="shared" si="379"/>
        <v>0</v>
      </c>
      <c r="N1577" s="329">
        <f t="shared" si="380"/>
        <v>0</v>
      </c>
      <c r="O1577" s="329">
        <f t="shared" si="381"/>
        <v>426492</v>
      </c>
      <c r="P1577" s="329">
        <f t="shared" si="382"/>
        <v>0</v>
      </c>
      <c r="Q1577" s="329"/>
      <c r="S1577" s="332">
        <f t="shared" si="383"/>
        <v>0</v>
      </c>
      <c r="T1577" s="332">
        <f t="shared" si="384"/>
        <v>0</v>
      </c>
    </row>
    <row r="1578" spans="1:20">
      <c r="B1578" s="332" t="s">
        <v>1939</v>
      </c>
      <c r="C1578" s="333">
        <f t="shared" si="378"/>
        <v>1</v>
      </c>
      <c r="D1578" s="328"/>
      <c r="E1578" s="328" t="str">
        <f>VLOOKUP(B1578,DONGIA,DG!$B$6,0)</f>
        <v>T4.4201</v>
      </c>
      <c r="F1578" s="779" t="str">
        <f>VLOOKUP(B1578,DONGIA,DG!$C$6,0)</f>
        <v>Lắp cáp đồng xuống thiết bị D ≤ 95mm2</v>
      </c>
      <c r="G1578" s="328" t="str">
        <f>VLOOKUP(B1578,DONGIA,DG!$D$6,0)</f>
        <v>m</v>
      </c>
      <c r="H1578" s="329">
        <f>H1560+H1561</f>
        <v>68</v>
      </c>
      <c r="I1578" s="329">
        <f>VLOOKUP(B1578,DONGIA,DG!$E$6,0)</f>
        <v>0</v>
      </c>
      <c r="J1578" s="329"/>
      <c r="K1578" s="329">
        <f>VLOOKUP(B1578,DONGIA,DG!$F$6,0)</f>
        <v>11847</v>
      </c>
      <c r="L1578" s="329">
        <f>VLOOKUP(B1578,DONGIA,DG!$G$6,0)</f>
        <v>0</v>
      </c>
      <c r="M1578" s="329">
        <f t="shared" si="379"/>
        <v>0</v>
      </c>
      <c r="N1578" s="329">
        <f t="shared" si="380"/>
        <v>0</v>
      </c>
      <c r="O1578" s="329">
        <f t="shared" si="381"/>
        <v>805596</v>
      </c>
      <c r="P1578" s="329">
        <f t="shared" si="382"/>
        <v>0</v>
      </c>
      <c r="Q1578" s="329"/>
      <c r="S1578" s="332">
        <f t="shared" si="383"/>
        <v>0</v>
      </c>
      <c r="T1578" s="332">
        <f t="shared" si="384"/>
        <v>0</v>
      </c>
    </row>
    <row r="1579" spans="1:20">
      <c r="B1579" s="332" t="s">
        <v>1058</v>
      </c>
      <c r="C1579" s="333">
        <f>IF(H1579&lt;&gt;0,1,)</f>
        <v>1</v>
      </c>
      <c r="D1579" s="372">
        <f>IF(H1579&lt;&gt;0,D1539+1,D1539)</f>
        <v>9</v>
      </c>
      <c r="E1579" s="372">
        <f>VLOOKUP(B1579,DONGIA,DG!$B$6,0)</f>
        <v>0</v>
      </c>
      <c r="F1579" s="780" t="str">
        <f>VLOOKUP(B1579,DONGIA,DG!$C$6,0)</f>
        <v>Bảng tên trạm + bulon</v>
      </c>
      <c r="G1579" s="372" t="str">
        <f>VLOOKUP(B1579,DONGIA,DG!$D$6,0)</f>
        <v>bộ</v>
      </c>
      <c r="H1579" s="373">
        <v>1</v>
      </c>
      <c r="I1579" s="373">
        <f>VLOOKUP(B1579,DONGIA,DG!$E$6,0)</f>
        <v>150000</v>
      </c>
      <c r="J1579" s="373"/>
      <c r="K1579" s="373"/>
      <c r="L1579" s="373"/>
      <c r="M1579" s="373">
        <f>H1579*I1579</f>
        <v>150000</v>
      </c>
      <c r="N1579" s="373"/>
      <c r="O1579" s="373"/>
      <c r="P1579" s="373"/>
      <c r="Q1579" s="373" t="s">
        <v>3878</v>
      </c>
      <c r="S1579" s="332">
        <f t="shared" si="345"/>
        <v>0</v>
      </c>
      <c r="T1579" s="332">
        <f>H1579*S1579</f>
        <v>0</v>
      </c>
    </row>
    <row r="1580" spans="1:20" s="353" customFormat="1" hidden="1">
      <c r="A1580" s="353" t="s">
        <v>3456</v>
      </c>
      <c r="C1580" s="333">
        <f>IF((C1581+C1591)&lt;&gt;0,1,)</f>
        <v>0</v>
      </c>
      <c r="D1580" s="368"/>
      <c r="E1580" s="369" t="str">
        <f>TRNC2X50&amp;" Trạm NC từ 2x50kVA lên 3x50kVA"</f>
        <v xml:space="preserve"> Trạm NC từ 2x50kVA lên 3x50kVA</v>
      </c>
      <c r="F1580" s="368"/>
      <c r="G1580" s="368"/>
      <c r="H1580" s="368"/>
      <c r="I1580" s="325"/>
      <c r="J1580" s="325"/>
      <c r="K1580" s="325"/>
      <c r="L1580" s="325"/>
      <c r="M1580" s="325"/>
      <c r="N1580" s="325"/>
      <c r="O1580" s="325"/>
      <c r="P1580" s="325"/>
      <c r="Q1580" s="368"/>
      <c r="S1580" s="332">
        <f t="shared" ref="S1580:S1653" si="385">IFERROR(VLOOKUP(B1580,DONGIA,$S$25,0),0)</f>
        <v>0</v>
      </c>
      <c r="T1580" s="332">
        <f>H1580*S1580</f>
        <v>0</v>
      </c>
    </row>
    <row r="1581" spans="1:20" hidden="1">
      <c r="A1581" s="332" t="str">
        <f>"TB"&amp;A1580</f>
        <v>TBTRNC2x50</v>
      </c>
      <c r="C1581" s="333">
        <f>IF(SUM(C1582:C1590)&lt;&gt;0,1,)</f>
        <v>0</v>
      </c>
      <c r="D1581" s="344"/>
      <c r="E1581" s="344"/>
      <c r="F1581" s="345" t="s">
        <v>1900</v>
      </c>
      <c r="G1581" s="344"/>
      <c r="H1581" s="345"/>
      <c r="I1581" s="345"/>
      <c r="J1581" s="345"/>
      <c r="K1581" s="345"/>
      <c r="L1581" s="345"/>
      <c r="M1581" s="345">
        <f>SUM(M1582:M1590)</f>
        <v>0</v>
      </c>
      <c r="N1581" s="345">
        <f>SUM(N1582:N1590)</f>
        <v>0</v>
      </c>
      <c r="O1581" s="345">
        <f>SUM(O1582:O1590)</f>
        <v>0</v>
      </c>
      <c r="P1581" s="345">
        <f>SUM(P1582:P1590)</f>
        <v>0</v>
      </c>
      <c r="Q1581" s="345"/>
      <c r="S1581" s="332">
        <f t="shared" si="385"/>
        <v>0</v>
      </c>
      <c r="T1581" s="371">
        <f>SUM(T1582:T1590)</f>
        <v>0</v>
      </c>
    </row>
    <row r="1582" spans="1:20" hidden="1">
      <c r="A1582" s="332" t="s">
        <v>477</v>
      </c>
      <c r="B1582" s="332" t="s">
        <v>902</v>
      </c>
      <c r="C1582" s="333">
        <f t="shared" ref="C1582:C1590" si="386">IF(H1582&lt;&gt;0,1,)</f>
        <v>0</v>
      </c>
      <c r="D1582" s="328"/>
      <c r="E1582" s="328" t="str">
        <f>VLOOKUP(B1582,DONGIA,DG!$B$6,0)</f>
        <v>T1.1432</v>
      </c>
      <c r="F1582" s="329" t="str">
        <f>VLOOKUP(B1582,DONGIA,DG!$C$6,0)</f>
        <v>Máy biến áp AMORPHOUS 12,7/0,23-0,46kV 50kVA</v>
      </c>
      <c r="G1582" s="328" t="str">
        <f>VLOOKUP(B1582,DONGIA,DG!$D$6,0)</f>
        <v>máy</v>
      </c>
      <c r="H1582" s="329">
        <f>TRNC2X50</f>
        <v>0</v>
      </c>
      <c r="I1582" s="329">
        <f>VLOOKUP(B1582,DONGIA,DG!$E$6,0)</f>
        <v>30989760</v>
      </c>
      <c r="J1582" s="329"/>
      <c r="K1582" s="329">
        <f>VLOOKUP(B1582,DONGIA,DG!$F$6,0)</f>
        <v>746585</v>
      </c>
      <c r="L1582" s="329">
        <f>VLOOKUP(B1582,DONGIA,DG!$G$6,0)</f>
        <v>360605</v>
      </c>
      <c r="M1582" s="329">
        <f t="shared" ref="M1582:M1590" si="387">$H1582*I1582</f>
        <v>0</v>
      </c>
      <c r="N1582" s="329">
        <f t="shared" ref="N1582:N1590" si="388">$H1582*J1582</f>
        <v>0</v>
      </c>
      <c r="O1582" s="329">
        <f t="shared" ref="O1582:O1590" si="389">$H1582*K1582</f>
        <v>0</v>
      </c>
      <c r="P1582" s="329">
        <f t="shared" ref="P1582:P1590" si="390">$H1582*L1582</f>
        <v>0</v>
      </c>
      <c r="Q1582" s="329"/>
      <c r="S1582" s="332">
        <f t="shared" si="385"/>
        <v>390</v>
      </c>
      <c r="T1582" s="332">
        <f t="shared" ref="T1582:T1590" si="391">H1582*S1582</f>
        <v>0</v>
      </c>
    </row>
    <row r="1583" spans="1:20" hidden="1">
      <c r="A1583" s="332" t="s">
        <v>477</v>
      </c>
      <c r="B1583" s="332" t="s">
        <v>1444</v>
      </c>
      <c r="C1583" s="333">
        <f t="shared" si="386"/>
        <v>0</v>
      </c>
      <c r="D1583" s="328"/>
      <c r="E1583" s="328" t="str">
        <f>VLOOKUP(B1583,DONGIA,DG!$B$6,0)</f>
        <v>T2.3505</v>
      </c>
      <c r="F1583" s="329" t="str">
        <f>VLOOKUP(B1583,DONGIA,DG!$C$6,0)</f>
        <v>FCO 27kV - 100A</v>
      </c>
      <c r="G1583" s="328" t="str">
        <f>VLOOKUP(B1583,DONGIA,DG!$D$6,0)</f>
        <v>cái</v>
      </c>
      <c r="H1583" s="329">
        <f>TRNC2X50*2</f>
        <v>0</v>
      </c>
      <c r="I1583" s="329">
        <f>VLOOKUP(B1583,DONGIA,DG!$E$6,0)</f>
        <v>1070000</v>
      </c>
      <c r="J1583" s="329"/>
      <c r="K1583" s="329">
        <f>VLOOKUP(B1583,DONGIA,DG!$F$6,0)</f>
        <v>189552</v>
      </c>
      <c r="L1583" s="329">
        <f>VLOOKUP(B1583,DONGIA,DG!$G$6,0)</f>
        <v>0</v>
      </c>
      <c r="M1583" s="329">
        <f t="shared" si="387"/>
        <v>0</v>
      </c>
      <c r="N1583" s="329">
        <f t="shared" si="388"/>
        <v>0</v>
      </c>
      <c r="O1583" s="329">
        <f t="shared" si="389"/>
        <v>0</v>
      </c>
      <c r="P1583" s="329">
        <f t="shared" si="390"/>
        <v>0</v>
      </c>
      <c r="Q1583" s="329"/>
      <c r="S1583" s="332">
        <f t="shared" si="385"/>
        <v>1.5</v>
      </c>
      <c r="T1583" s="332">
        <f t="shared" si="391"/>
        <v>0</v>
      </c>
    </row>
    <row r="1584" spans="1:20" hidden="1">
      <c r="A1584" s="332" t="s">
        <v>477</v>
      </c>
      <c r="B1584" s="332" t="s">
        <v>943</v>
      </c>
      <c r="C1584" s="333">
        <f t="shared" si="386"/>
        <v>0</v>
      </c>
      <c r="D1584" s="328"/>
      <c r="E1584" s="328" t="str">
        <f>VLOOKUP(B1584,DONGIA,DG!$B$6,0)</f>
        <v>T2.5004</v>
      </c>
      <c r="F1584" s="329" t="str">
        <f>VLOOKUP(B1584,DONGIA,DG!$C$6,0)</f>
        <v>LA 18kV 10kA</v>
      </c>
      <c r="G1584" s="328" t="str">
        <f>VLOOKUP(B1584,DONGIA,DG!$D$6,0)</f>
        <v>cái</v>
      </c>
      <c r="H1584" s="329">
        <f>TRNC2X50*2</f>
        <v>0</v>
      </c>
      <c r="I1584" s="329">
        <f>VLOOKUP(B1584,DONGIA,DG!$E$6,0)</f>
        <v>875000</v>
      </c>
      <c r="J1584" s="329"/>
      <c r="K1584" s="329">
        <f>VLOOKUP(B1584,DONGIA,DG!$F$6,0)</f>
        <v>71082</v>
      </c>
      <c r="L1584" s="329">
        <f>VLOOKUP(B1584,DONGIA,DG!$G$6,0)</f>
        <v>0</v>
      </c>
      <c r="M1584" s="329">
        <f t="shared" si="387"/>
        <v>0</v>
      </c>
      <c r="N1584" s="329">
        <f t="shared" si="388"/>
        <v>0</v>
      </c>
      <c r="O1584" s="329">
        <f t="shared" si="389"/>
        <v>0</v>
      </c>
      <c r="P1584" s="329">
        <f t="shared" si="390"/>
        <v>0</v>
      </c>
      <c r="Q1584" s="329"/>
      <c r="S1584" s="332">
        <f t="shared" si="385"/>
        <v>0.8</v>
      </c>
      <c r="T1584" s="332">
        <f t="shared" si="391"/>
        <v>0</v>
      </c>
    </row>
    <row r="1585" spans="1:20" hidden="1">
      <c r="A1585" s="332" t="s">
        <v>477</v>
      </c>
      <c r="B1585" s="332" t="s">
        <v>902</v>
      </c>
      <c r="C1585" s="333">
        <f t="shared" si="386"/>
        <v>0</v>
      </c>
      <c r="D1585" s="328"/>
      <c r="E1585" s="328" t="str">
        <f>VLOOKUP(B1585,DONGIA,DG!$B$6,0)</f>
        <v>T1.1432</v>
      </c>
      <c r="F1585" s="329" t="str">
        <f>VLOOKUP(B1585,DONGIA,DG!$C$6,0)&amp;" (SDL)"</f>
        <v>Máy biến áp AMORPHOUS 12,7/0,23-0,46kV 50kVA (SDL)</v>
      </c>
      <c r="G1585" s="328" t="str">
        <f>VLOOKUP(B1585,DONGIA,DG!$D$6,0)</f>
        <v>máy</v>
      </c>
      <c r="H1585" s="329">
        <f>'11.CP-VTTH'!G326</f>
        <v>0</v>
      </c>
      <c r="I1585" s="329"/>
      <c r="J1585" s="329"/>
      <c r="K1585" s="329">
        <f>VLOOKUP(B1585,DONGIA,DG!$F$6,0)</f>
        <v>746585</v>
      </c>
      <c r="L1585" s="329">
        <f>VLOOKUP(B1585,DONGIA,DG!$G$6,0)</f>
        <v>360605</v>
      </c>
      <c r="M1585" s="329">
        <f t="shared" si="387"/>
        <v>0</v>
      </c>
      <c r="N1585" s="329">
        <f t="shared" si="388"/>
        <v>0</v>
      </c>
      <c r="O1585" s="329">
        <f t="shared" si="389"/>
        <v>0</v>
      </c>
      <c r="P1585" s="329">
        <f t="shared" si="390"/>
        <v>0</v>
      </c>
      <c r="Q1585" s="329"/>
      <c r="S1585" s="332">
        <f t="shared" si="385"/>
        <v>390</v>
      </c>
      <c r="T1585" s="332">
        <f t="shared" si="391"/>
        <v>0</v>
      </c>
    </row>
    <row r="1586" spans="1:20" hidden="1">
      <c r="A1586" s="332" t="s">
        <v>477</v>
      </c>
      <c r="B1586" s="332" t="s">
        <v>1444</v>
      </c>
      <c r="C1586" s="333">
        <f t="shared" si="386"/>
        <v>0</v>
      </c>
      <c r="D1586" s="328"/>
      <c r="E1586" s="328" t="str">
        <f>VLOOKUP(B1586,DONGIA,DG!$B$6,0)</f>
        <v>T2.3505</v>
      </c>
      <c r="F1586" s="329" t="str">
        <f>VLOOKUP(B1586,DONGIA,DG!$C$6,0)&amp;" (SDL)"</f>
        <v>FCO 27kV - 100A (SDL)</v>
      </c>
      <c r="G1586" s="328" t="str">
        <f>VLOOKUP(B1586,DONGIA,DG!$D$6,0)</f>
        <v>cái</v>
      </c>
      <c r="H1586" s="329"/>
      <c r="I1586" s="329"/>
      <c r="J1586" s="329"/>
      <c r="K1586" s="329">
        <f>VLOOKUP(B1586,DONGIA,DG!$F$6,0)</f>
        <v>189552</v>
      </c>
      <c r="L1586" s="329">
        <f>VLOOKUP(B1586,DONGIA,DG!$G$6,0)</f>
        <v>0</v>
      </c>
      <c r="M1586" s="329">
        <f t="shared" si="387"/>
        <v>0</v>
      </c>
      <c r="N1586" s="329">
        <f t="shared" si="388"/>
        <v>0</v>
      </c>
      <c r="O1586" s="329">
        <f t="shared" si="389"/>
        <v>0</v>
      </c>
      <c r="P1586" s="329">
        <f t="shared" si="390"/>
        <v>0</v>
      </c>
      <c r="Q1586" s="329"/>
      <c r="S1586" s="332">
        <f t="shared" si="385"/>
        <v>1.5</v>
      </c>
      <c r="T1586" s="332">
        <f t="shared" si="391"/>
        <v>0</v>
      </c>
    </row>
    <row r="1587" spans="1:20" hidden="1">
      <c r="A1587" s="332" t="s">
        <v>477</v>
      </c>
      <c r="B1587" s="332" t="s">
        <v>943</v>
      </c>
      <c r="C1587" s="333">
        <f t="shared" si="386"/>
        <v>0</v>
      </c>
      <c r="D1587" s="328"/>
      <c r="E1587" s="328" t="str">
        <f>VLOOKUP(B1587,DONGIA,DG!$B$6,0)</f>
        <v>T2.5004</v>
      </c>
      <c r="F1587" s="329" t="str">
        <f>VLOOKUP(B1587,DONGIA,DG!$C$6,0)&amp;" (SDL)"</f>
        <v>LA 18kV 10kA (SDL)</v>
      </c>
      <c r="G1587" s="328" t="str">
        <f>VLOOKUP(B1587,DONGIA,DG!$D$6,0)</f>
        <v>cái</v>
      </c>
      <c r="H1587" s="329"/>
      <c r="I1587" s="329"/>
      <c r="J1587" s="329"/>
      <c r="K1587" s="329">
        <f>VLOOKUP(B1587,DONGIA,DG!$F$6,0)</f>
        <v>71082</v>
      </c>
      <c r="L1587" s="329">
        <f>VLOOKUP(B1587,DONGIA,DG!$G$6,0)</f>
        <v>0</v>
      </c>
      <c r="M1587" s="329">
        <f t="shared" si="387"/>
        <v>0</v>
      </c>
      <c r="N1587" s="329">
        <f t="shared" si="388"/>
        <v>0</v>
      </c>
      <c r="O1587" s="329">
        <f t="shared" si="389"/>
        <v>0</v>
      </c>
      <c r="P1587" s="329">
        <f t="shared" si="390"/>
        <v>0</v>
      </c>
      <c r="Q1587" s="329"/>
      <c r="S1587" s="332">
        <f t="shared" si="385"/>
        <v>0.8</v>
      </c>
      <c r="T1587" s="332">
        <f t="shared" si="391"/>
        <v>0</v>
      </c>
    </row>
    <row r="1588" spans="1:20" s="405" customFormat="1" hidden="1">
      <c r="A1588" s="405" t="s">
        <v>477</v>
      </c>
      <c r="B1588" s="405" t="s">
        <v>998</v>
      </c>
      <c r="C1588" s="418">
        <f t="shared" si="386"/>
        <v>0</v>
      </c>
      <c r="D1588" s="523"/>
      <c r="E1588" s="523" t="str">
        <f>VLOOKUP(B1588,DONGIA,DG!$B$6,0)</f>
        <v>T2.8405</v>
      </c>
      <c r="F1588" s="525" t="str">
        <f>VLOOKUP(B1588,DONGIA,DG!$C$6,0)</f>
        <v>MCCB 3 cực 400V - 400A - 35KA (250-400A)</v>
      </c>
      <c r="G1588" s="523" t="str">
        <f>VLOOKUP(B1588,DONGIA,DG!$D$6,0)</f>
        <v>cái</v>
      </c>
      <c r="H1588" s="525"/>
      <c r="I1588" s="525">
        <f>VLOOKUP(B1588,DONGIA,DG!$E$6,0)</f>
        <v>5550000</v>
      </c>
      <c r="J1588" s="525"/>
      <c r="K1588" s="525">
        <f>VLOOKUP(B1588,DONGIA,DG!$F$6,0)*0</f>
        <v>0</v>
      </c>
      <c r="L1588" s="525">
        <f>VLOOKUP(B1588,DONGIA,DG!$G$6,0)</f>
        <v>0</v>
      </c>
      <c r="M1588" s="525">
        <f t="shared" si="387"/>
        <v>0</v>
      </c>
      <c r="N1588" s="525">
        <f t="shared" si="388"/>
        <v>0</v>
      </c>
      <c r="O1588" s="525">
        <f t="shared" si="389"/>
        <v>0</v>
      </c>
      <c r="P1588" s="525">
        <f t="shared" si="390"/>
        <v>0</v>
      </c>
      <c r="Q1588" s="525"/>
      <c r="S1588" s="405">
        <f t="shared" si="385"/>
        <v>3</v>
      </c>
      <c r="T1588" s="405">
        <f t="shared" si="391"/>
        <v>0</v>
      </c>
    </row>
    <row r="1589" spans="1:20" hidden="1">
      <c r="A1589" s="332" t="s">
        <v>477</v>
      </c>
      <c r="B1589" s="332" t="s">
        <v>954</v>
      </c>
      <c r="C1589" s="333">
        <f t="shared" si="386"/>
        <v>0</v>
      </c>
      <c r="D1589" s="328"/>
      <c r="E1589" s="328">
        <f>VLOOKUP(B1589,DONGIA,DG!$B$6,0)</f>
        <v>0</v>
      </c>
      <c r="F1589" s="329" t="str">
        <f>VLOOKUP(B1589,DONGIA,DG!$C$6,0)</f>
        <v>Biến dòng 600V - 250/5A</v>
      </c>
      <c r="G1589" s="328" t="str">
        <f>VLOOKUP(B1589,DONGIA,DG!$D$6,0)</f>
        <v>cái</v>
      </c>
      <c r="H1589" s="329">
        <f>TRNC2X50*3</f>
        <v>0</v>
      </c>
      <c r="I1589" s="329">
        <f>VLOOKUP(B1589,DONGIA,DG!$E$6,0)</f>
        <v>0</v>
      </c>
      <c r="J1589" s="329"/>
      <c r="K1589" s="329">
        <f>VLOOKUP(B1589,DONGIA,DG!$F$6,0)</f>
        <v>0</v>
      </c>
      <c r="L1589" s="329">
        <f>VLOOKUP(B1589,DONGIA,DG!$G$6,0)</f>
        <v>0</v>
      </c>
      <c r="M1589" s="329">
        <f t="shared" si="387"/>
        <v>0</v>
      </c>
      <c r="N1589" s="329">
        <f t="shared" si="388"/>
        <v>0</v>
      </c>
      <c r="O1589" s="329">
        <f t="shared" si="389"/>
        <v>0</v>
      </c>
      <c r="P1589" s="329">
        <f t="shared" si="390"/>
        <v>0</v>
      </c>
      <c r="Q1589" s="329" t="s">
        <v>3458</v>
      </c>
      <c r="S1589" s="332">
        <f t="shared" si="385"/>
        <v>1</v>
      </c>
      <c r="T1589" s="332">
        <f t="shared" si="391"/>
        <v>0</v>
      </c>
    </row>
    <row r="1590" spans="1:20" hidden="1">
      <c r="A1590" s="332" t="s">
        <v>477</v>
      </c>
      <c r="B1590" s="332" t="s">
        <v>1046</v>
      </c>
      <c r="C1590" s="333">
        <f t="shared" si="386"/>
        <v>0</v>
      </c>
      <c r="D1590" s="328"/>
      <c r="E1590" s="328">
        <f>VLOOKUP(B1590,DONGIA,DG!$B$6,0)</f>
        <v>0</v>
      </c>
      <c r="F1590" s="329" t="str">
        <f>VLOOKUP(B1590,DONGIA,DG!$C$6,0)</f>
        <v>Điện kế 3 pha 4 dây 220/380V-5A</v>
      </c>
      <c r="G1590" s="328" t="str">
        <f>VLOOKUP(B1590,DONGIA,DG!$D$6,0)</f>
        <v>cái</v>
      </c>
      <c r="H1590" s="329">
        <f>TRNC2X50</f>
        <v>0</v>
      </c>
      <c r="I1590" s="329">
        <f>VLOOKUP(B1590,DONGIA,DG!$E$6,0)</f>
        <v>0</v>
      </c>
      <c r="J1590" s="329"/>
      <c r="K1590" s="329">
        <f>VLOOKUP(B1590,DONGIA,DG!$F$6,0)</f>
        <v>0</v>
      </c>
      <c r="L1590" s="329">
        <f>VLOOKUP(B1590,DONGIA,DG!$G$6,0)</f>
        <v>0</v>
      </c>
      <c r="M1590" s="329">
        <f t="shared" si="387"/>
        <v>0</v>
      </c>
      <c r="N1590" s="329">
        <f t="shared" si="388"/>
        <v>0</v>
      </c>
      <c r="O1590" s="329">
        <f t="shared" si="389"/>
        <v>0</v>
      </c>
      <c r="P1590" s="329">
        <f t="shared" si="390"/>
        <v>0</v>
      </c>
      <c r="Q1590" s="329" t="s">
        <v>3458</v>
      </c>
      <c r="S1590" s="332">
        <f t="shared" si="385"/>
        <v>1.5</v>
      </c>
      <c r="T1590" s="332">
        <f t="shared" si="391"/>
        <v>0</v>
      </c>
    </row>
    <row r="1591" spans="1:20" hidden="1">
      <c r="A1591" s="332" t="str">
        <f>"VL"&amp;A1580</f>
        <v>VLTRNC2x50</v>
      </c>
      <c r="C1591" s="333">
        <f>IF(SUM(C1592:C1690)&lt;&gt;0,1,)</f>
        <v>0</v>
      </c>
      <c r="D1591" s="344"/>
      <c r="E1591" s="344"/>
      <c r="F1591" s="345" t="s">
        <v>1901</v>
      </c>
      <c r="G1591" s="344"/>
      <c r="H1591" s="345"/>
      <c r="I1591" s="345"/>
      <c r="J1591" s="345"/>
      <c r="K1591" s="345"/>
      <c r="L1591" s="345"/>
      <c r="M1591" s="345">
        <f>SUM(M1592:M1690)</f>
        <v>0</v>
      </c>
      <c r="N1591" s="345">
        <f>SUM(N1592:N1690)</f>
        <v>0</v>
      </c>
      <c r="O1591" s="345">
        <f>SUM(O1592:O1690)</f>
        <v>0</v>
      </c>
      <c r="P1591" s="345">
        <f>SUM(P1592:P1690)</f>
        <v>0</v>
      </c>
      <c r="Q1591" s="345"/>
      <c r="S1591" s="332">
        <f t="shared" si="385"/>
        <v>0</v>
      </c>
      <c r="T1591" s="371">
        <f>SUM(T1592:T1690)</f>
        <v>0</v>
      </c>
    </row>
    <row r="1592" spans="1:20" hidden="1">
      <c r="C1592" s="333">
        <f t="shared" ref="C1592:C1668" si="392">IF(H1592&lt;&gt;0,1,)</f>
        <v>0</v>
      </c>
      <c r="D1592" s="372">
        <f>IF(H1592&lt;&gt;0,1,)</f>
        <v>0</v>
      </c>
      <c r="E1592" s="372"/>
      <c r="F1592" s="373" t="s">
        <v>1931</v>
      </c>
      <c r="G1592" s="372" t="s">
        <v>138</v>
      </c>
      <c r="H1592" s="372">
        <f>TRNC2X50</f>
        <v>0</v>
      </c>
      <c r="I1592" s="373"/>
      <c r="J1592" s="373"/>
      <c r="K1592" s="373"/>
      <c r="L1592" s="373"/>
      <c r="M1592" s="373"/>
      <c r="N1592" s="373"/>
      <c r="O1592" s="373"/>
      <c r="P1592" s="373"/>
      <c r="Q1592" s="373"/>
      <c r="S1592" s="332">
        <f t="shared" si="385"/>
        <v>0</v>
      </c>
      <c r="T1592" s="332">
        <f t="shared" ref="T1592:T1668" si="393">H1592*S1592</f>
        <v>0</v>
      </c>
    </row>
    <row r="1593" spans="1:20" hidden="1">
      <c r="A1593" s="332" t="s">
        <v>477</v>
      </c>
      <c r="B1593" s="332" t="s">
        <v>1010</v>
      </c>
      <c r="C1593" s="333">
        <f t="shared" si="392"/>
        <v>0</v>
      </c>
      <c r="D1593" s="328"/>
      <c r="E1593" s="328">
        <f>VLOOKUP(B1593,DONGIA,DG!$B$6,0)</f>
        <v>0</v>
      </c>
      <c r="F1593" s="329" t="str">
        <f>VLOOKUP(B1593,DONGIA,DG!$C$6,0)</f>
        <v>Dây chảy 6K</v>
      </c>
      <c r="G1593" s="328" t="str">
        <f>VLOOKUP(B1593,DONGIA,DG!$D$6,0)</f>
        <v>Sợi</v>
      </c>
      <c r="H1593" s="329">
        <f>H1592*3</f>
        <v>0</v>
      </c>
      <c r="I1593" s="329">
        <f>VLOOKUP(B1593,DONGIA,DG!$E$6,0)</f>
        <v>47000</v>
      </c>
      <c r="J1593" s="329"/>
      <c r="K1593" s="329">
        <f>VLOOKUP(B1593,DONGIA,DG!$F$6,0)</f>
        <v>0</v>
      </c>
      <c r="L1593" s="329">
        <f>VLOOKUP(B1593,DONGIA,DG!$G$6,0)</f>
        <v>0</v>
      </c>
      <c r="M1593" s="329">
        <f t="shared" ref="M1593:P1596" si="394">$H1593*I1593</f>
        <v>0</v>
      </c>
      <c r="N1593" s="329">
        <f t="shared" si="394"/>
        <v>0</v>
      </c>
      <c r="O1593" s="329">
        <f t="shared" si="394"/>
        <v>0</v>
      </c>
      <c r="P1593" s="329">
        <f t="shared" si="394"/>
        <v>0</v>
      </c>
      <c r="Q1593" s="329"/>
      <c r="R1593" s="552"/>
      <c r="S1593" s="332">
        <f t="shared" si="385"/>
        <v>0</v>
      </c>
      <c r="T1593" s="332">
        <f t="shared" si="393"/>
        <v>0</v>
      </c>
    </row>
    <row r="1594" spans="1:20" hidden="1">
      <c r="A1594" s="332" t="s">
        <v>477</v>
      </c>
      <c r="B1594" s="332" t="s">
        <v>131</v>
      </c>
      <c r="C1594" s="333">
        <f t="shared" si="392"/>
        <v>0</v>
      </c>
      <c r="D1594" s="328"/>
      <c r="E1594" s="328">
        <f>VLOOKUP(B1594,DONGIA,DG!$B$6,0)</f>
        <v>0</v>
      </c>
      <c r="F1594" s="329" t="str">
        <f>VLOOKUP(B1594,DONGIA,DG!$C$6,0)</f>
        <v>Chụp đầu FCO (Trên + Dưới)</v>
      </c>
      <c r="G1594" s="328" t="str">
        <f>VLOOKUP(B1594,DONGIA,DG!$D$6,0)</f>
        <v>bộ</v>
      </c>
      <c r="H1594" s="329">
        <f>H1592*3</f>
        <v>0</v>
      </c>
      <c r="I1594" s="329">
        <f>VLOOKUP(B1594,DONGIA,DG!$E$6,0)</f>
        <v>190000</v>
      </c>
      <c r="J1594" s="329"/>
      <c r="K1594" s="329">
        <f>VLOOKUP(B1594,DONGIA,DG!$F$6,0)</f>
        <v>0</v>
      </c>
      <c r="L1594" s="329">
        <f>VLOOKUP(B1594,DONGIA,DG!$G$6,0)</f>
        <v>0</v>
      </c>
      <c r="M1594" s="329">
        <f t="shared" si="394"/>
        <v>0</v>
      </c>
      <c r="N1594" s="329">
        <f t="shared" si="394"/>
        <v>0</v>
      </c>
      <c r="O1594" s="329">
        <f t="shared" si="394"/>
        <v>0</v>
      </c>
      <c r="P1594" s="329">
        <f t="shared" si="394"/>
        <v>0</v>
      </c>
      <c r="Q1594" s="329"/>
      <c r="S1594" s="332">
        <f t="shared" si="385"/>
        <v>0</v>
      </c>
      <c r="T1594" s="332">
        <f t="shared" si="393"/>
        <v>0</v>
      </c>
    </row>
    <row r="1595" spans="1:20" hidden="1">
      <c r="A1595" s="332" t="s">
        <v>477</v>
      </c>
      <c r="B1595" s="332" t="s">
        <v>133</v>
      </c>
      <c r="C1595" s="333">
        <f t="shared" si="392"/>
        <v>0</v>
      </c>
      <c r="D1595" s="328"/>
      <c r="E1595" s="328">
        <f>VLOOKUP(B1595,DONGIA,DG!$B$6,0)</f>
        <v>0</v>
      </c>
      <c r="F1595" s="329" t="str">
        <f>VLOOKUP(B1595,DONGIA,DG!$C$6,0)</f>
        <v>Chụp đầu LA</v>
      </c>
      <c r="G1595" s="328" t="str">
        <f>VLOOKUP(B1595,DONGIA,DG!$D$6,0)</f>
        <v>cái</v>
      </c>
      <c r="H1595" s="329">
        <f>H1592*3</f>
        <v>0</v>
      </c>
      <c r="I1595" s="329">
        <f>VLOOKUP(B1595,DONGIA,DG!$E$6,0)</f>
        <v>32000</v>
      </c>
      <c r="J1595" s="329"/>
      <c r="K1595" s="329">
        <f>VLOOKUP(B1595,DONGIA,DG!$F$6,0)</f>
        <v>0</v>
      </c>
      <c r="L1595" s="329">
        <f>VLOOKUP(B1595,DONGIA,DG!$G$6,0)</f>
        <v>0</v>
      </c>
      <c r="M1595" s="329">
        <f t="shared" si="394"/>
        <v>0</v>
      </c>
      <c r="N1595" s="329">
        <f t="shared" si="394"/>
        <v>0</v>
      </c>
      <c r="O1595" s="329">
        <f t="shared" si="394"/>
        <v>0</v>
      </c>
      <c r="P1595" s="329">
        <f t="shared" si="394"/>
        <v>0</v>
      </c>
      <c r="Q1595" s="329"/>
      <c r="S1595" s="332">
        <f t="shared" si="385"/>
        <v>0</v>
      </c>
      <c r="T1595" s="332">
        <f t="shared" si="393"/>
        <v>0</v>
      </c>
    </row>
    <row r="1596" spans="1:20" hidden="1">
      <c r="A1596" s="332" t="s">
        <v>477</v>
      </c>
      <c r="B1596" s="332" t="s">
        <v>135</v>
      </c>
      <c r="C1596" s="333">
        <f t="shared" si="392"/>
        <v>0</v>
      </c>
      <c r="D1596" s="328"/>
      <c r="E1596" s="328">
        <f>VLOOKUP(B1596,DONGIA,DG!$B$6,0)</f>
        <v>0</v>
      </c>
      <c r="F1596" s="329" t="str">
        <f>VLOOKUP(B1596,DONGIA,DG!$C$6,0)</f>
        <v>Chụp đầu cực MBA</v>
      </c>
      <c r="G1596" s="328" t="str">
        <f>VLOOKUP(B1596,DONGIA,DG!$D$6,0)</f>
        <v>cái</v>
      </c>
      <c r="H1596" s="329">
        <f>H1592*3</f>
        <v>0</v>
      </c>
      <c r="I1596" s="329">
        <f>VLOOKUP(B1596,DONGIA,DG!$E$6,0)</f>
        <v>52000</v>
      </c>
      <c r="J1596" s="329"/>
      <c r="K1596" s="329">
        <f>VLOOKUP(B1596,DONGIA,DG!$F$6,0)</f>
        <v>0</v>
      </c>
      <c r="L1596" s="329">
        <f>VLOOKUP(B1596,DONGIA,DG!$G$6,0)</f>
        <v>0</v>
      </c>
      <c r="M1596" s="329">
        <f t="shared" si="394"/>
        <v>0</v>
      </c>
      <c r="N1596" s="329">
        <f t="shared" si="394"/>
        <v>0</v>
      </c>
      <c r="O1596" s="329">
        <f t="shared" si="394"/>
        <v>0</v>
      </c>
      <c r="P1596" s="329">
        <f t="shared" si="394"/>
        <v>0</v>
      </c>
      <c r="Q1596" s="329"/>
      <c r="S1596" s="332">
        <f t="shared" si="385"/>
        <v>0</v>
      </c>
      <c r="T1596" s="332">
        <f t="shared" si="393"/>
        <v>0</v>
      </c>
    </row>
    <row r="1597" spans="1:20" hidden="1">
      <c r="A1597" s="332" t="s">
        <v>477</v>
      </c>
      <c r="C1597" s="333">
        <f t="shared" si="392"/>
        <v>0</v>
      </c>
      <c r="D1597" s="372">
        <f>IF(H1597&lt;&gt;0,D1592+1,D1592)</f>
        <v>0</v>
      </c>
      <c r="E1597" s="372"/>
      <c r="F1597" s="373" t="s">
        <v>1932</v>
      </c>
      <c r="G1597" s="372" t="s">
        <v>138</v>
      </c>
      <c r="H1597" s="372">
        <f>TRNC2X50</f>
        <v>0</v>
      </c>
      <c r="I1597" s="373"/>
      <c r="J1597" s="373"/>
      <c r="K1597" s="373"/>
      <c r="L1597" s="373"/>
      <c r="M1597" s="373"/>
      <c r="N1597" s="373"/>
      <c r="O1597" s="373"/>
      <c r="P1597" s="373"/>
      <c r="Q1597" s="373"/>
      <c r="S1597" s="332">
        <f t="shared" si="385"/>
        <v>0</v>
      </c>
      <c r="T1597" s="332">
        <f t="shared" si="393"/>
        <v>0</v>
      </c>
    </row>
    <row r="1598" spans="1:20" s="361" customFormat="1" hidden="1">
      <c r="A1598" s="361" t="s">
        <v>477</v>
      </c>
      <c r="C1598" s="374">
        <f t="shared" si="392"/>
        <v>0</v>
      </c>
      <c r="D1598" s="350"/>
      <c r="E1598" s="350"/>
      <c r="F1598" s="351" t="s">
        <v>1902</v>
      </c>
      <c r="G1598" s="350"/>
      <c r="H1598" s="351"/>
      <c r="I1598" s="351"/>
      <c r="J1598" s="351"/>
      <c r="K1598" s="351"/>
      <c r="L1598" s="351"/>
      <c r="M1598" s="351"/>
      <c r="N1598" s="351"/>
      <c r="O1598" s="351"/>
      <c r="P1598" s="351"/>
      <c r="Q1598" s="351"/>
      <c r="S1598" s="361">
        <f t="shared" si="385"/>
        <v>0</v>
      </c>
      <c r="T1598" s="361">
        <f t="shared" si="393"/>
        <v>0</v>
      </c>
    </row>
    <row r="1599" spans="1:20" s="405" customFormat="1" hidden="1">
      <c r="A1599" s="405" t="s">
        <v>477</v>
      </c>
      <c r="B1599" s="405" t="s">
        <v>18</v>
      </c>
      <c r="C1599" s="418">
        <f t="shared" si="392"/>
        <v>0</v>
      </c>
      <c r="D1599" s="523"/>
      <c r="E1599" s="523">
        <f>VLOOKUP(B1599,DONGIA,DG!$B$6,0)</f>
        <v>0</v>
      </c>
      <c r="F1599" s="525" t="str">
        <f>VLOOKUP(B1599,DONGIA,DG!$C$6,0)</f>
        <v>Đà hộp composite 110x80x5-2400</v>
      </c>
      <c r="G1599" s="523" t="str">
        <f>VLOOKUP(B1599,DONGIA,DG!$D$6,0)</f>
        <v>cái</v>
      </c>
      <c r="H1599" s="525">
        <f>H1597</f>
        <v>0</v>
      </c>
      <c r="I1599" s="525">
        <f>VLOOKUP(B1599,DONGIA,DG!$E$6,0)</f>
        <v>812200</v>
      </c>
      <c r="J1599" s="525"/>
      <c r="K1599" s="525">
        <f>VLOOKUP(B1599,DONGIA,DG!$F$6,0)</f>
        <v>0</v>
      </c>
      <c r="L1599" s="525">
        <f>VLOOKUP(B1599,DONGIA,DG!$G$6,0)</f>
        <v>0</v>
      </c>
      <c r="M1599" s="525">
        <f t="shared" ref="M1599:M1605" si="395">$H1599*I1599</f>
        <v>0</v>
      </c>
      <c r="N1599" s="525">
        <f t="shared" ref="N1599:N1605" si="396">$H1599*J1599</f>
        <v>0</v>
      </c>
      <c r="O1599" s="525">
        <f t="shared" ref="O1599:O1605" si="397">$H1599*K1599</f>
        <v>0</v>
      </c>
      <c r="P1599" s="525">
        <f t="shared" ref="P1599:P1605" si="398">$H1599*L1599</f>
        <v>0</v>
      </c>
      <c r="Q1599" s="525"/>
      <c r="S1599" s="405">
        <f t="shared" si="385"/>
        <v>9.6</v>
      </c>
      <c r="T1599" s="405">
        <f t="shared" si="393"/>
        <v>0</v>
      </c>
    </row>
    <row r="1600" spans="1:20" s="405" customFormat="1" hidden="1">
      <c r="A1600" s="405" t="s">
        <v>477</v>
      </c>
      <c r="B1600" s="405" t="s">
        <v>20</v>
      </c>
      <c r="C1600" s="418">
        <f t="shared" si="392"/>
        <v>0</v>
      </c>
      <c r="D1600" s="523"/>
      <c r="E1600" s="523">
        <f>VLOOKUP(B1600,DONGIA,DG!$B$6,0)</f>
        <v>0</v>
      </c>
      <c r="F1600" s="525" t="str">
        <f>VLOOKUP(B1600,DONGIA,DG!$C$6,0)</f>
        <v>Thanh chống Composite dẹp 10x40x920</v>
      </c>
      <c r="G1600" s="523" t="str">
        <f>VLOOKUP(B1600,DONGIA,DG!$D$6,0)</f>
        <v>cái</v>
      </c>
      <c r="H1600" s="525">
        <f>H1599*2</f>
        <v>0</v>
      </c>
      <c r="I1600" s="525">
        <f>VLOOKUP(B1600,DONGIA,DG!$E$6,0)</f>
        <v>108100</v>
      </c>
      <c r="J1600" s="525"/>
      <c r="K1600" s="525">
        <f>VLOOKUP(B1600,DONGIA,DG!$F$6,0)</f>
        <v>0</v>
      </c>
      <c r="L1600" s="525">
        <f>VLOOKUP(B1600,DONGIA,DG!$G$6,0)</f>
        <v>0</v>
      </c>
      <c r="M1600" s="525">
        <f t="shared" si="395"/>
        <v>0</v>
      </c>
      <c r="N1600" s="525">
        <f t="shared" si="396"/>
        <v>0</v>
      </c>
      <c r="O1600" s="525">
        <f t="shared" si="397"/>
        <v>0</v>
      </c>
      <c r="P1600" s="525">
        <f t="shared" si="398"/>
        <v>0</v>
      </c>
      <c r="Q1600" s="525"/>
      <c r="S1600" s="405">
        <f t="shared" si="385"/>
        <v>0.7</v>
      </c>
      <c r="T1600" s="405">
        <f t="shared" si="393"/>
        <v>0</v>
      </c>
    </row>
    <row r="1601" spans="1:20" s="405" customFormat="1" hidden="1">
      <c r="A1601" s="405" t="s">
        <v>477</v>
      </c>
      <c r="B1601" s="405" t="s">
        <v>139</v>
      </c>
      <c r="C1601" s="418">
        <f t="shared" si="392"/>
        <v>0</v>
      </c>
      <c r="D1601" s="523"/>
      <c r="E1601" s="523">
        <f>VLOOKUP(B1601,DONGIA,DG!$B$6,0)</f>
        <v>0</v>
      </c>
      <c r="F1601" s="525" t="str">
        <f>VLOOKUP(B1601,DONGIA,DG!$C$6,0)</f>
        <v>Bass LL bắt FCO và LA</v>
      </c>
      <c r="G1601" s="523" t="str">
        <f>VLOOKUP(B1601,DONGIA,DG!$D$6,0)</f>
        <v>bộ</v>
      </c>
      <c r="H1601" s="525">
        <f>H1597*3</f>
        <v>0</v>
      </c>
      <c r="I1601" s="525">
        <f>VLOOKUP(B1601,DONGIA,DG!$E$6,0)</f>
        <v>56000</v>
      </c>
      <c r="J1601" s="525"/>
      <c r="K1601" s="525">
        <f>VLOOKUP(B1601,DONGIA,DG!$F$6,0)</f>
        <v>0</v>
      </c>
      <c r="L1601" s="525">
        <f>VLOOKUP(B1601,DONGIA,DG!$G$6,0)</f>
        <v>0</v>
      </c>
      <c r="M1601" s="525">
        <f t="shared" si="395"/>
        <v>0</v>
      </c>
      <c r="N1601" s="525">
        <f t="shared" si="396"/>
        <v>0</v>
      </c>
      <c r="O1601" s="525">
        <f t="shared" si="397"/>
        <v>0</v>
      </c>
      <c r="P1601" s="525">
        <f t="shared" si="398"/>
        <v>0</v>
      </c>
      <c r="Q1601" s="525"/>
      <c r="S1601" s="405">
        <f t="shared" si="385"/>
        <v>0.5</v>
      </c>
      <c r="T1601" s="405">
        <f t="shared" si="393"/>
        <v>0</v>
      </c>
    </row>
    <row r="1602" spans="1:20" s="405" customFormat="1" hidden="1">
      <c r="A1602" s="405" t="s">
        <v>477</v>
      </c>
      <c r="B1602" s="405" t="s">
        <v>37</v>
      </c>
      <c r="C1602" s="418">
        <f t="shared" si="392"/>
        <v>0</v>
      </c>
      <c r="D1602" s="523"/>
      <c r="E1602" s="523">
        <f>VLOOKUP(B1602,DONGIA,DG!$B$6,0)</f>
        <v>0</v>
      </c>
      <c r="F1602" s="525" t="str">
        <f>VLOOKUP(B1602,DONGIA,DG!$C$6,0)</f>
        <v>Boulon 16x350+ 2 long đền vuông D18-50x50x3/Zn</v>
      </c>
      <c r="G1602" s="523" t="str">
        <f>VLOOKUP(B1602,DONGIA,DG!$D$6,0)</f>
        <v>bộ</v>
      </c>
      <c r="H1602" s="525">
        <f>H1597</f>
        <v>0</v>
      </c>
      <c r="I1602" s="525">
        <f>VLOOKUP(B1602,DONGIA,DG!$E$6,0)</f>
        <v>32000</v>
      </c>
      <c r="J1602" s="525"/>
      <c r="K1602" s="525">
        <f>VLOOKUP(B1602,DONGIA,DG!$F$6,0)</f>
        <v>0</v>
      </c>
      <c r="L1602" s="525">
        <f>VLOOKUP(B1602,DONGIA,DG!$G$6,0)</f>
        <v>0</v>
      </c>
      <c r="M1602" s="525">
        <f t="shared" si="395"/>
        <v>0</v>
      </c>
      <c r="N1602" s="525">
        <f t="shared" si="396"/>
        <v>0</v>
      </c>
      <c r="O1602" s="525">
        <f t="shared" si="397"/>
        <v>0</v>
      </c>
      <c r="P1602" s="525">
        <f t="shared" si="398"/>
        <v>0</v>
      </c>
      <c r="Q1602" s="525"/>
      <c r="S1602" s="405">
        <f t="shared" si="385"/>
        <v>0.3</v>
      </c>
      <c r="T1602" s="405">
        <f t="shared" si="393"/>
        <v>0</v>
      </c>
    </row>
    <row r="1603" spans="1:20" s="405" customFormat="1" hidden="1">
      <c r="A1603" s="405" t="s">
        <v>477</v>
      </c>
      <c r="B1603" s="405" t="s">
        <v>35</v>
      </c>
      <c r="C1603" s="418">
        <f t="shared" si="392"/>
        <v>0</v>
      </c>
      <c r="D1603" s="523"/>
      <c r="E1603" s="523">
        <f>VLOOKUP(B1603,DONGIA,DG!$B$6,0)</f>
        <v>0</v>
      </c>
      <c r="F1603" s="525" t="str">
        <f>VLOOKUP(B1603,DONGIA,DG!$C$6,0)</f>
        <v>Boulon 16x300+ 2 long đền vuông D18-50x50x3/Zn</v>
      </c>
      <c r="G1603" s="523" t="str">
        <f>VLOOKUP(B1603,DONGIA,DG!$D$6,0)</f>
        <v>bộ</v>
      </c>
      <c r="H1603" s="525">
        <f>H1597</f>
        <v>0</v>
      </c>
      <c r="I1603" s="525">
        <f>VLOOKUP(B1603,DONGIA,DG!$E$6,0)</f>
        <v>30000</v>
      </c>
      <c r="J1603" s="525"/>
      <c r="K1603" s="525">
        <f>VLOOKUP(B1603,DONGIA,DG!$F$6,0)</f>
        <v>0</v>
      </c>
      <c r="L1603" s="525">
        <f>VLOOKUP(B1603,DONGIA,DG!$G$6,0)</f>
        <v>0</v>
      </c>
      <c r="M1603" s="525">
        <f t="shared" si="395"/>
        <v>0</v>
      </c>
      <c r="N1603" s="525">
        <f t="shared" si="396"/>
        <v>0</v>
      </c>
      <c r="O1603" s="525">
        <f t="shared" si="397"/>
        <v>0</v>
      </c>
      <c r="P1603" s="525">
        <f t="shared" si="398"/>
        <v>0</v>
      </c>
      <c r="Q1603" s="525"/>
      <c r="S1603" s="405">
        <f t="shared" si="385"/>
        <v>0.25</v>
      </c>
      <c r="T1603" s="405">
        <f t="shared" si="393"/>
        <v>0</v>
      </c>
    </row>
    <row r="1604" spans="1:20" s="405" customFormat="1" hidden="1">
      <c r="A1604" s="405" t="s">
        <v>477</v>
      </c>
      <c r="B1604" s="405" t="s">
        <v>3053</v>
      </c>
      <c r="C1604" s="418">
        <f t="shared" si="392"/>
        <v>0</v>
      </c>
      <c r="D1604" s="523"/>
      <c r="E1604" s="523">
        <f>VLOOKUP(B1604,DONGIA,DG!$B$6,0)</f>
        <v>0</v>
      </c>
      <c r="F1604" s="525" t="str">
        <f>VLOOKUP(B1604,DONGIA,DG!$C$6,0)</f>
        <v>Boulon 14x150+ 2 long đền vuông D16-50x50x3/Zn</v>
      </c>
      <c r="G1604" s="523" t="str">
        <f>VLOOKUP(B1604,DONGIA,DG!$D$6,0)</f>
        <v>bộ</v>
      </c>
      <c r="H1604" s="525">
        <f>H1600</f>
        <v>0</v>
      </c>
      <c r="I1604" s="525">
        <f>VLOOKUP(B1604,DONGIA,DG!$E$6,0)</f>
        <v>19000</v>
      </c>
      <c r="J1604" s="525"/>
      <c r="K1604" s="525">
        <f>VLOOKUP(B1604,DONGIA,DG!$F$6,0)</f>
        <v>0</v>
      </c>
      <c r="L1604" s="525">
        <f>VLOOKUP(B1604,DONGIA,DG!$G$6,0)</f>
        <v>0</v>
      </c>
      <c r="M1604" s="525">
        <f t="shared" si="395"/>
        <v>0</v>
      </c>
      <c r="N1604" s="525">
        <f t="shared" si="396"/>
        <v>0</v>
      </c>
      <c r="O1604" s="525">
        <f t="shared" si="397"/>
        <v>0</v>
      </c>
      <c r="P1604" s="525">
        <f t="shared" si="398"/>
        <v>0</v>
      </c>
      <c r="Q1604" s="525"/>
      <c r="S1604" s="405">
        <f t="shared" si="385"/>
        <v>0.2</v>
      </c>
      <c r="T1604" s="405">
        <f t="shared" si="393"/>
        <v>0</v>
      </c>
    </row>
    <row r="1605" spans="1:20" hidden="1">
      <c r="A1605" s="332" t="s">
        <v>477</v>
      </c>
      <c r="B1605" s="332" t="s">
        <v>618</v>
      </c>
      <c r="C1605" s="333">
        <f t="shared" si="392"/>
        <v>0</v>
      </c>
      <c r="D1605" s="328"/>
      <c r="E1605" s="328" t="str">
        <f>VLOOKUP(B1605,DONGIA,DG!$B$6,0)</f>
        <v>D2.6011</v>
      </c>
      <c r="F1605" s="329" t="str">
        <f>VLOOKUP(B1605,DONGIA,DG!$C$6,0)</f>
        <v>Lắp đà composite 2400mm đơn (KL &lt;=15kg, trụ BTLT, tính = 0.8 đà sắt)</v>
      </c>
      <c r="G1605" s="328" t="str">
        <f>VLOOKUP(B1605,DONGIA,DG!$D$6,0)</f>
        <v>bộ</v>
      </c>
      <c r="H1605" s="329">
        <f>H1597</f>
        <v>0</v>
      </c>
      <c r="I1605" s="329">
        <f>VLOOKUP(B1605,DONGIA,DG!$E$6,0)</f>
        <v>0</v>
      </c>
      <c r="J1605" s="329"/>
      <c r="K1605" s="329">
        <f>VLOOKUP(B1605,DONGIA,DG!$F$6,0)</f>
        <v>134360</v>
      </c>
      <c r="L1605" s="329">
        <f>VLOOKUP(B1605,DONGIA,DG!$G$6,0)</f>
        <v>0</v>
      </c>
      <c r="M1605" s="329">
        <f t="shared" si="395"/>
        <v>0</v>
      </c>
      <c r="N1605" s="329">
        <f t="shared" si="396"/>
        <v>0</v>
      </c>
      <c r="O1605" s="329">
        <f t="shared" si="397"/>
        <v>0</v>
      </c>
      <c r="P1605" s="329">
        <f t="shared" si="398"/>
        <v>0</v>
      </c>
      <c r="Q1605" s="329"/>
      <c r="S1605" s="332">
        <f t="shared" si="385"/>
        <v>0</v>
      </c>
      <c r="T1605" s="332">
        <f t="shared" si="393"/>
        <v>0</v>
      </c>
    </row>
    <row r="1606" spans="1:20" hidden="1">
      <c r="A1606" s="332" t="s">
        <v>477</v>
      </c>
      <c r="C1606" s="333">
        <f t="shared" si="392"/>
        <v>0</v>
      </c>
      <c r="D1606" s="372">
        <f>IF(H1606&lt;&gt;0,D1597+1,D1597)</f>
        <v>0</v>
      </c>
      <c r="E1606" s="372"/>
      <c r="F1606" s="373" t="s">
        <v>1910</v>
      </c>
      <c r="G1606" s="372" t="s">
        <v>138</v>
      </c>
      <c r="H1606" s="372">
        <f>TRNC2X50</f>
        <v>0</v>
      </c>
      <c r="I1606" s="373"/>
      <c r="J1606" s="373"/>
      <c r="K1606" s="373"/>
      <c r="L1606" s="373"/>
      <c r="M1606" s="373"/>
      <c r="N1606" s="373"/>
      <c r="O1606" s="373"/>
      <c r="P1606" s="373"/>
      <c r="Q1606" s="373"/>
      <c r="S1606" s="332">
        <f t="shared" si="385"/>
        <v>0</v>
      </c>
      <c r="T1606" s="332">
        <f t="shared" si="393"/>
        <v>0</v>
      </c>
    </row>
    <row r="1607" spans="1:20" s="361" customFormat="1" hidden="1">
      <c r="A1607" s="361" t="s">
        <v>477</v>
      </c>
      <c r="C1607" s="374">
        <f t="shared" si="392"/>
        <v>0</v>
      </c>
      <c r="D1607" s="350"/>
      <c r="E1607" s="350"/>
      <c r="F1607" s="351" t="s">
        <v>1902</v>
      </c>
      <c r="G1607" s="350"/>
      <c r="H1607" s="351"/>
      <c r="I1607" s="351"/>
      <c r="J1607" s="351"/>
      <c r="K1607" s="351"/>
      <c r="L1607" s="351"/>
      <c r="M1607" s="351"/>
      <c r="N1607" s="351"/>
      <c r="O1607" s="351"/>
      <c r="P1607" s="351"/>
      <c r="Q1607" s="351"/>
      <c r="S1607" s="361">
        <f t="shared" si="385"/>
        <v>0</v>
      </c>
      <c r="T1607" s="361">
        <f t="shared" si="393"/>
        <v>0</v>
      </c>
    </row>
    <row r="1608" spans="1:20" hidden="1">
      <c r="A1608" s="332" t="s">
        <v>477</v>
      </c>
      <c r="B1608" s="332" t="s">
        <v>1067</v>
      </c>
      <c r="C1608" s="333">
        <f t="shared" si="392"/>
        <v>0</v>
      </c>
      <c r="D1608" s="328"/>
      <c r="E1608" s="328" t="str">
        <f>VLOOKUP(B1608,DONGIA,DG!$B$6,0)</f>
        <v>T4.9302</v>
      </c>
      <c r="F1608" s="329" t="str">
        <f>VLOOKUP(B1608,DONGIA,DG!$C$6,0)</f>
        <v>Gía chùm treo máy biến áp 3x75</v>
      </c>
      <c r="G1608" s="328" t="str">
        <f>VLOOKUP(B1608,DONGIA,DG!$D$6,0)</f>
        <v>Bộ</v>
      </c>
      <c r="H1608" s="329">
        <f>H1606</f>
        <v>0</v>
      </c>
      <c r="I1608" s="329">
        <f>VLOOKUP(B1608,DONGIA,DG!$E$6,0)</f>
        <v>3816000</v>
      </c>
      <c r="J1608" s="329"/>
      <c r="K1608" s="329">
        <f>VLOOKUP(B1608,DONGIA,DG!$F$6,0)</f>
        <v>139062.31200000001</v>
      </c>
      <c r="L1608" s="329">
        <f>VLOOKUP(B1608,DONGIA,DG!$G$6,0)</f>
        <v>0</v>
      </c>
      <c r="M1608" s="329">
        <f t="shared" ref="M1608:P1610" si="399">$H1608*I1608</f>
        <v>0</v>
      </c>
      <c r="N1608" s="329">
        <f t="shared" si="399"/>
        <v>0</v>
      </c>
      <c r="O1608" s="329">
        <f t="shared" si="399"/>
        <v>0</v>
      </c>
      <c r="P1608" s="329">
        <f t="shared" si="399"/>
        <v>0</v>
      </c>
      <c r="Q1608" s="329"/>
      <c r="S1608" s="332">
        <f t="shared" si="385"/>
        <v>51</v>
      </c>
      <c r="T1608" s="332">
        <f t="shared" si="393"/>
        <v>0</v>
      </c>
    </row>
    <row r="1609" spans="1:20" hidden="1">
      <c r="A1609" s="332" t="s">
        <v>477</v>
      </c>
      <c r="B1609" s="332" t="s">
        <v>37</v>
      </c>
      <c r="C1609" s="333">
        <f t="shared" si="392"/>
        <v>0</v>
      </c>
      <c r="D1609" s="328"/>
      <c r="E1609" s="328">
        <f>VLOOKUP(B1609,DONGIA,DG!$B$6,0)</f>
        <v>0</v>
      </c>
      <c r="F1609" s="329" t="str">
        <f>VLOOKUP(B1609,DONGIA,DG!$C$6,0)</f>
        <v>Boulon 16x350+ 2 long đền vuông D18-50x50x3/Zn</v>
      </c>
      <c r="G1609" s="328" t="str">
        <f>VLOOKUP(B1609,DONGIA,DG!$D$6,0)</f>
        <v>bộ</v>
      </c>
      <c r="H1609" s="329">
        <f>H1606*2</f>
        <v>0</v>
      </c>
      <c r="I1609" s="329">
        <f>VLOOKUP(B1609,DONGIA,DG!$E$6,0)</f>
        <v>32000</v>
      </c>
      <c r="J1609" s="329"/>
      <c r="K1609" s="329">
        <f>VLOOKUP(B1609,DONGIA,DG!$F$6,0)</f>
        <v>0</v>
      </c>
      <c r="L1609" s="329">
        <f>VLOOKUP(B1609,DONGIA,DG!$G$6,0)</f>
        <v>0</v>
      </c>
      <c r="M1609" s="329">
        <f t="shared" si="399"/>
        <v>0</v>
      </c>
      <c r="N1609" s="329">
        <f t="shared" si="399"/>
        <v>0</v>
      </c>
      <c r="O1609" s="329">
        <f t="shared" si="399"/>
        <v>0</v>
      </c>
      <c r="P1609" s="329">
        <f t="shared" si="399"/>
        <v>0</v>
      </c>
      <c r="Q1609" s="329"/>
      <c r="S1609" s="332">
        <f t="shared" si="385"/>
        <v>0.3</v>
      </c>
      <c r="T1609" s="332">
        <f t="shared" si="393"/>
        <v>0</v>
      </c>
    </row>
    <row r="1610" spans="1:20" hidden="1">
      <c r="A1610" s="332" t="s">
        <v>477</v>
      </c>
      <c r="B1610" s="332" t="s">
        <v>29</v>
      </c>
      <c r="C1610" s="333">
        <f t="shared" si="392"/>
        <v>0</v>
      </c>
      <c r="D1610" s="328"/>
      <c r="E1610" s="328">
        <f>VLOOKUP(B1610,DONGIA,DG!$B$6,0)</f>
        <v>0</v>
      </c>
      <c r="F1610" s="329" t="str">
        <f>VLOOKUP(B1610,DONGIA,DG!$C$6,0)</f>
        <v>Boulon 16x50+ 2 long đền vuông D18-50x50x3/Zn</v>
      </c>
      <c r="G1610" s="328" t="str">
        <f>VLOOKUP(B1610,DONGIA,DG!$D$6,0)</f>
        <v>bộ</v>
      </c>
      <c r="H1610" s="329">
        <f>H1606*6</f>
        <v>0</v>
      </c>
      <c r="I1610" s="329">
        <f>VLOOKUP(B1610,DONGIA,DG!$E$6,0)</f>
        <v>17000</v>
      </c>
      <c r="J1610" s="329"/>
      <c r="K1610" s="329">
        <f>VLOOKUP(B1610,DONGIA,DG!$F$6,0)</f>
        <v>0</v>
      </c>
      <c r="L1610" s="329">
        <f>VLOOKUP(B1610,DONGIA,DG!$G$6,0)</f>
        <v>0</v>
      </c>
      <c r="M1610" s="329">
        <f t="shared" si="399"/>
        <v>0</v>
      </c>
      <c r="N1610" s="329">
        <f t="shared" si="399"/>
        <v>0</v>
      </c>
      <c r="O1610" s="329">
        <f t="shared" si="399"/>
        <v>0</v>
      </c>
      <c r="P1610" s="329">
        <f t="shared" si="399"/>
        <v>0</v>
      </c>
      <c r="Q1610" s="329"/>
      <c r="S1610" s="332">
        <f t="shared" si="385"/>
        <v>0.25</v>
      </c>
      <c r="T1610" s="332">
        <f t="shared" si="393"/>
        <v>0</v>
      </c>
    </row>
    <row r="1611" spans="1:20" hidden="1">
      <c r="A1611" s="332" t="s">
        <v>477</v>
      </c>
      <c r="C1611" s="333">
        <f t="shared" si="392"/>
        <v>0</v>
      </c>
      <c r="D1611" s="372">
        <f>IF(H1611&lt;&gt;0,D1606+1,D1606)</f>
        <v>0</v>
      </c>
      <c r="E1611" s="372"/>
      <c r="F1611" s="373" t="s">
        <v>1942</v>
      </c>
      <c r="G1611" s="372" t="s">
        <v>138</v>
      </c>
      <c r="H1611" s="372">
        <f>TRNC2X50</f>
        <v>0</v>
      </c>
      <c r="I1611" s="373"/>
      <c r="J1611" s="373"/>
      <c r="K1611" s="373"/>
      <c r="L1611" s="373"/>
      <c r="M1611" s="373"/>
      <c r="N1611" s="373"/>
      <c r="O1611" s="373"/>
      <c r="P1611" s="373"/>
      <c r="Q1611" s="373"/>
      <c r="S1611" s="332">
        <f t="shared" si="385"/>
        <v>0</v>
      </c>
      <c r="T1611" s="332">
        <f t="shared" si="393"/>
        <v>0</v>
      </c>
    </row>
    <row r="1612" spans="1:20" s="361" customFormat="1" hidden="1">
      <c r="A1612" s="361" t="s">
        <v>477</v>
      </c>
      <c r="C1612" s="374">
        <f t="shared" si="392"/>
        <v>0</v>
      </c>
      <c r="D1612" s="536"/>
      <c r="E1612" s="536"/>
      <c r="F1612" s="537" t="s">
        <v>1902</v>
      </c>
      <c r="G1612" s="536"/>
      <c r="H1612" s="537"/>
      <c r="I1612" s="537"/>
      <c r="J1612" s="537"/>
      <c r="K1612" s="537"/>
      <c r="L1612" s="537"/>
      <c r="M1612" s="537"/>
      <c r="N1612" s="537"/>
      <c r="O1612" s="537"/>
      <c r="P1612" s="537"/>
      <c r="Q1612" s="537"/>
      <c r="S1612" s="361">
        <f t="shared" si="385"/>
        <v>0</v>
      </c>
      <c r="T1612" s="361">
        <f t="shared" si="393"/>
        <v>0</v>
      </c>
    </row>
    <row r="1613" spans="1:20" hidden="1">
      <c r="A1613" s="332" t="s">
        <v>477</v>
      </c>
      <c r="B1613" s="332" t="s">
        <v>144</v>
      </c>
      <c r="C1613" s="333">
        <f t="shared" si="392"/>
        <v>0</v>
      </c>
      <c r="D1613" s="643"/>
      <c r="E1613" s="643">
        <f>VLOOKUP(B1613,DONGIA,DG!$B$6,0)</f>
        <v>0</v>
      </c>
      <c r="F1613" s="362" t="str">
        <f>VLOOKUP(B1613,DONGIA,DG!$C$6,0)</f>
        <v>Cáp đồng trần M25mm2</v>
      </c>
      <c r="G1613" s="643" t="str">
        <f>VLOOKUP(B1613,DONGIA,DG!$D$6,0)</f>
        <v>kg</v>
      </c>
      <c r="H1613" s="645">
        <f>TDTR3P*H1611*0.224</f>
        <v>0</v>
      </c>
      <c r="I1613" s="362">
        <f>VLOOKUP(B1613,DONGIA,DG!$E$6,0)</f>
        <v>201380</v>
      </c>
      <c r="J1613" s="362"/>
      <c r="K1613" s="362">
        <f>VLOOKUP(B1613,DONGIA,DG!$F$6,0)</f>
        <v>0</v>
      </c>
      <c r="L1613" s="362">
        <f>VLOOKUP(B1613,DONGIA,DG!$G$6,0)</f>
        <v>0</v>
      </c>
      <c r="M1613" s="362">
        <f t="shared" ref="M1613:M1621" si="400">$H1613*I1613</f>
        <v>0</v>
      </c>
      <c r="N1613" s="362">
        <f t="shared" ref="N1613:N1621" si="401">$H1613*J1613</f>
        <v>0</v>
      </c>
      <c r="O1613" s="362">
        <f t="shared" ref="O1613:O1621" si="402">$H1613*K1613</f>
        <v>0</v>
      </c>
      <c r="P1613" s="362">
        <f t="shared" ref="P1613:P1621" si="403">$H1613*L1613</f>
        <v>0</v>
      </c>
      <c r="Q1613" s="362"/>
      <c r="S1613" s="332">
        <f t="shared" si="385"/>
        <v>1</v>
      </c>
      <c r="T1613" s="332">
        <f t="shared" si="393"/>
        <v>0</v>
      </c>
    </row>
    <row r="1614" spans="1:20" hidden="1">
      <c r="A1614" s="332" t="s">
        <v>477</v>
      </c>
      <c r="B1614" s="332" t="s">
        <v>278</v>
      </c>
      <c r="C1614" s="333">
        <f t="shared" si="392"/>
        <v>0</v>
      </c>
      <c r="D1614" s="643"/>
      <c r="E1614" s="643">
        <f>VLOOKUP(B1614,DONGIA,DG!$B$6,0)</f>
        <v>0</v>
      </c>
      <c r="F1614" s="362" t="str">
        <f>VLOOKUP(B1614,DONGIA,DG!$C$6,0)</f>
        <v>Cọc tiếp đất φ16 - 2,4m (mạ đồng 16µm)</v>
      </c>
      <c r="G1614" s="643" t="str">
        <f>VLOOKUP(B1614,DONGIA,DG!$D$6,0)</f>
        <v>cọc</v>
      </c>
      <c r="H1614" s="362">
        <f>H1611*12</f>
        <v>0</v>
      </c>
      <c r="I1614" s="362">
        <f>VLOOKUP(B1614,DONGIA,DG!$E$6,0)</f>
        <v>130000</v>
      </c>
      <c r="J1614" s="362"/>
      <c r="K1614" s="362">
        <f>VLOOKUP(B1614,DONGIA,DG!$F$6,0)</f>
        <v>0</v>
      </c>
      <c r="L1614" s="362">
        <f>VLOOKUP(B1614,DONGIA,DG!$G$6,0)</f>
        <v>0</v>
      </c>
      <c r="M1614" s="362">
        <f t="shared" si="400"/>
        <v>0</v>
      </c>
      <c r="N1614" s="362">
        <f t="shared" si="401"/>
        <v>0</v>
      </c>
      <c r="O1614" s="362">
        <f t="shared" si="402"/>
        <v>0</v>
      </c>
      <c r="P1614" s="362">
        <f t="shared" si="403"/>
        <v>0</v>
      </c>
      <c r="Q1614" s="362"/>
      <c r="S1614" s="332">
        <f t="shared" si="385"/>
        <v>5.3</v>
      </c>
      <c r="T1614" s="332">
        <f t="shared" si="393"/>
        <v>0</v>
      </c>
    </row>
    <row r="1615" spans="1:20" hidden="1">
      <c r="A1615" s="332" t="s">
        <v>477</v>
      </c>
      <c r="B1615" s="332" t="s">
        <v>280</v>
      </c>
      <c r="C1615" s="333">
        <f t="shared" si="392"/>
        <v>0</v>
      </c>
      <c r="D1615" s="643"/>
      <c r="E1615" s="643">
        <f>VLOOKUP(B1615,DONGIA,DG!$B$6,0)</f>
        <v>0</v>
      </c>
      <c r="F1615" s="362" t="str">
        <f>VLOOKUP(B1615,DONGIA,DG!$C$6,0)</f>
        <v>Kẹp cọc tiếp địa</v>
      </c>
      <c r="G1615" s="643" t="str">
        <f>VLOOKUP(B1615,DONGIA,DG!$D$6,0)</f>
        <v>bộ</v>
      </c>
      <c r="H1615" s="362">
        <f>H1614</f>
        <v>0</v>
      </c>
      <c r="I1615" s="362">
        <f>VLOOKUP(B1615,DONGIA,DG!$E$6,0)</f>
        <v>25000</v>
      </c>
      <c r="J1615" s="362"/>
      <c r="K1615" s="362">
        <f>VLOOKUP(B1615,DONGIA,DG!$F$6,0)</f>
        <v>0</v>
      </c>
      <c r="L1615" s="362">
        <f>VLOOKUP(B1615,DONGIA,DG!$G$6,0)</f>
        <v>0</v>
      </c>
      <c r="M1615" s="362">
        <f t="shared" si="400"/>
        <v>0</v>
      </c>
      <c r="N1615" s="362">
        <f t="shared" si="401"/>
        <v>0</v>
      </c>
      <c r="O1615" s="362">
        <f t="shared" si="402"/>
        <v>0</v>
      </c>
      <c r="P1615" s="362">
        <f t="shared" si="403"/>
        <v>0</v>
      </c>
      <c r="Q1615" s="362"/>
      <c r="S1615" s="332">
        <f t="shared" si="385"/>
        <v>0.05</v>
      </c>
      <c r="T1615" s="332">
        <f t="shared" si="393"/>
        <v>0</v>
      </c>
    </row>
    <row r="1616" spans="1:20" hidden="1">
      <c r="A1616" s="332" t="s">
        <v>477</v>
      </c>
      <c r="B1616" s="332" t="s">
        <v>1217</v>
      </c>
      <c r="C1616" s="333">
        <f t="shared" si="392"/>
        <v>0</v>
      </c>
      <c r="D1616" s="643"/>
      <c r="E1616" s="643">
        <f>VLOOKUP(B1616,DONGIA,DG!$B$6,0)</f>
        <v>0</v>
      </c>
      <c r="F1616" s="362" t="str">
        <f>VLOOKUP(B1616,DONGIA,DG!$C$6,0)</f>
        <v xml:space="preserve">Ốc xiết cáp cỡ 38mm2 </v>
      </c>
      <c r="G1616" s="643" t="str">
        <f>VLOOKUP(B1616,DONGIA,DG!$D$6,0)</f>
        <v>cái</v>
      </c>
      <c r="H1616" s="362">
        <f>H1611*12</f>
        <v>0</v>
      </c>
      <c r="I1616" s="362">
        <f>VLOOKUP(B1616,DONGIA,DG!$E$6,0)</f>
        <v>18000</v>
      </c>
      <c r="J1616" s="362"/>
      <c r="K1616" s="362">
        <f>VLOOKUP(B1616,DONGIA,DG!$F$6,0)</f>
        <v>0</v>
      </c>
      <c r="L1616" s="362">
        <f>VLOOKUP(B1616,DONGIA,DG!$G$6,0)</f>
        <v>0</v>
      </c>
      <c r="M1616" s="362">
        <f t="shared" si="400"/>
        <v>0</v>
      </c>
      <c r="N1616" s="362">
        <f t="shared" si="401"/>
        <v>0</v>
      </c>
      <c r="O1616" s="362">
        <f t="shared" si="402"/>
        <v>0</v>
      </c>
      <c r="P1616" s="362">
        <f t="shared" si="403"/>
        <v>0</v>
      </c>
      <c r="Q1616" s="362"/>
      <c r="S1616" s="332">
        <f t="shared" si="385"/>
        <v>0</v>
      </c>
      <c r="T1616" s="332">
        <f t="shared" si="393"/>
        <v>0</v>
      </c>
    </row>
    <row r="1617" spans="1:20" hidden="1">
      <c r="A1617" s="332" t="s">
        <v>477</v>
      </c>
      <c r="B1617" s="332" t="s">
        <v>323</v>
      </c>
      <c r="C1617" s="333">
        <f t="shared" si="392"/>
        <v>0</v>
      </c>
      <c r="D1617" s="643"/>
      <c r="E1617" s="643">
        <f>VLOOKUP(B1617,DONGIA,DG!$B$6,0)</f>
        <v>0</v>
      </c>
      <c r="F1617" s="362" t="str">
        <f>VLOOKUP(B1617,DONGIA,DG!$C$6,0)</f>
        <v>Kẹp ép WR cỡ dây 50mm2</v>
      </c>
      <c r="G1617" s="643" t="str">
        <f>VLOOKUP(B1617,DONGIA,DG!$D$6,0)</f>
        <v>cái</v>
      </c>
      <c r="H1617" s="362">
        <f>H1611*2</f>
        <v>0</v>
      </c>
      <c r="I1617" s="362">
        <f>VLOOKUP(B1617,DONGIA,DG!$E$6,0)</f>
        <v>10000</v>
      </c>
      <c r="J1617" s="362"/>
      <c r="K1617" s="362">
        <f>VLOOKUP(B1617,DONGIA,DG!$F$6,0)</f>
        <v>0</v>
      </c>
      <c r="L1617" s="362">
        <f>VLOOKUP(B1617,DONGIA,DG!$G$6,0)</f>
        <v>0</v>
      </c>
      <c r="M1617" s="362">
        <f t="shared" si="400"/>
        <v>0</v>
      </c>
      <c r="N1617" s="362">
        <f t="shared" si="401"/>
        <v>0</v>
      </c>
      <c r="O1617" s="362">
        <f t="shared" si="402"/>
        <v>0</v>
      </c>
      <c r="P1617" s="362">
        <f t="shared" si="403"/>
        <v>0</v>
      </c>
      <c r="Q1617" s="362"/>
      <c r="S1617" s="332">
        <f t="shared" si="385"/>
        <v>0.2</v>
      </c>
      <c r="T1617" s="332">
        <f t="shared" si="393"/>
        <v>0</v>
      </c>
    </row>
    <row r="1618" spans="1:20" hidden="1">
      <c r="A1618" s="332" t="s">
        <v>477</v>
      </c>
      <c r="B1618" s="332" t="s">
        <v>573</v>
      </c>
      <c r="C1618" s="333">
        <f t="shared" si="392"/>
        <v>0</v>
      </c>
      <c r="D1618" s="643"/>
      <c r="E1618" s="643" t="str">
        <f>VLOOKUP(B1618,DONGIA,DG!$B$6,0)</f>
        <v>T4.7001</v>
      </c>
      <c r="F1618" s="362" t="str">
        <f>VLOOKUP(B1618,DONGIA,DG!$C$6,0)</f>
        <v>Kéo dây tiếp địa trong TBA</v>
      </c>
      <c r="G1618" s="643" t="str">
        <f>VLOOKUP(B1618,DONGIA,DG!$D$6,0)</f>
        <v>mét</v>
      </c>
      <c r="H1618" s="362">
        <f>H1611*TDTR3P</f>
        <v>0</v>
      </c>
      <c r="I1618" s="362">
        <f>VLOOKUP(B1618,DONGIA,DG!$E$6,0)</f>
        <v>0</v>
      </c>
      <c r="J1618" s="362"/>
      <c r="K1618" s="362">
        <f>VLOOKUP(B1618,DONGIA,DG!$F$6,0)</f>
        <v>6871</v>
      </c>
      <c r="L1618" s="362">
        <f>VLOOKUP(B1618,DONGIA,DG!$G$6,0)</f>
        <v>0</v>
      </c>
      <c r="M1618" s="362">
        <f t="shared" si="400"/>
        <v>0</v>
      </c>
      <c r="N1618" s="362">
        <f t="shared" si="401"/>
        <v>0</v>
      </c>
      <c r="O1618" s="362">
        <f t="shared" si="402"/>
        <v>0</v>
      </c>
      <c r="P1618" s="362">
        <f t="shared" si="403"/>
        <v>0</v>
      </c>
      <c r="Q1618" s="362"/>
      <c r="S1618" s="332">
        <f t="shared" si="385"/>
        <v>0</v>
      </c>
      <c r="T1618" s="332">
        <f t="shared" si="393"/>
        <v>0</v>
      </c>
    </row>
    <row r="1619" spans="1:20" hidden="1">
      <c r="A1619" s="332" t="s">
        <v>477</v>
      </c>
      <c r="B1619" s="332" t="s">
        <v>581</v>
      </c>
      <c r="C1619" s="333">
        <f t="shared" si="392"/>
        <v>0</v>
      </c>
      <c r="D1619" s="643"/>
      <c r="E1619" s="643" t="str">
        <f>VLOOKUP(B1619,DONGIA,DG!$B$6,0)</f>
        <v>D2.8103</v>
      </c>
      <c r="F1619" s="362" t="str">
        <f>VLOOKUP(B1619,DONGIA,DG!$C$6,0)</f>
        <v>Đóng cọc tiếp địa trong TBA (đất cấp 3)</v>
      </c>
      <c r="G1619" s="643" t="str">
        <f>VLOOKUP(B1619,DONGIA,DG!$D$6,0)</f>
        <v>cọc</v>
      </c>
      <c r="H1619" s="362">
        <f>H1614</f>
        <v>0</v>
      </c>
      <c r="I1619" s="362">
        <f>VLOOKUP(B1619,DONGIA,DG!$E$6,0)</f>
        <v>0</v>
      </c>
      <c r="J1619" s="362"/>
      <c r="K1619" s="362">
        <f>VLOOKUP(B1619,DONGIA,DG!$F$6,0)</f>
        <v>76928</v>
      </c>
      <c r="L1619" s="362">
        <f>VLOOKUP(B1619,DONGIA,DG!$G$6,0)</f>
        <v>0</v>
      </c>
      <c r="M1619" s="362">
        <f t="shared" si="400"/>
        <v>0</v>
      </c>
      <c r="N1619" s="362">
        <f t="shared" si="401"/>
        <v>0</v>
      </c>
      <c r="O1619" s="362">
        <f t="shared" si="402"/>
        <v>0</v>
      </c>
      <c r="P1619" s="362">
        <f t="shared" si="403"/>
        <v>0</v>
      </c>
      <c r="Q1619" s="362"/>
      <c r="S1619" s="332">
        <f t="shared" si="385"/>
        <v>0</v>
      </c>
      <c r="T1619" s="332">
        <f t="shared" si="393"/>
        <v>0</v>
      </c>
    </row>
    <row r="1620" spans="1:20" hidden="1">
      <c r="A1620" s="332" t="s">
        <v>477</v>
      </c>
      <c r="B1620" s="332" t="s">
        <v>540</v>
      </c>
      <c r="C1620" s="333">
        <f t="shared" si="392"/>
        <v>0</v>
      </c>
      <c r="D1620" s="643"/>
      <c r="E1620" s="643" t="str">
        <f>VLOOKUP(B1620,DONGIA,DG!$B$6,0)</f>
        <v>AB.11513</v>
      </c>
      <c r="F1620" s="362" t="str">
        <f>VLOOKUP(B1620,DONGIA,DG!$C$6,0)</f>
        <v>Đào rãnh tiếp địa đất cấp 3</v>
      </c>
      <c r="G1620" s="643" t="str">
        <f>VLOOKUP(B1620,DONGIA,DG!$D$6,0)</f>
        <v>m3</v>
      </c>
      <c r="H1620" s="645">
        <f>H1611*DAOTD</f>
        <v>0</v>
      </c>
      <c r="I1620" s="362">
        <f>VLOOKUP(B1620,DONGIA,DG!$E$6,0)</f>
        <v>0</v>
      </c>
      <c r="J1620" s="362"/>
      <c r="K1620" s="362">
        <f>ROUND(VLOOKUP(B1620,DONGIA,DG!$F$6,0)/NCTBA,0)</f>
        <v>241580</v>
      </c>
      <c r="L1620" s="362">
        <f>VLOOKUP(B1620,DONGIA,DG!$G$6,0)</f>
        <v>0</v>
      </c>
      <c r="M1620" s="362">
        <f t="shared" si="400"/>
        <v>0</v>
      </c>
      <c r="N1620" s="362">
        <f t="shared" si="401"/>
        <v>0</v>
      </c>
      <c r="O1620" s="362">
        <f t="shared" si="402"/>
        <v>0</v>
      </c>
      <c r="P1620" s="362">
        <f t="shared" si="403"/>
        <v>0</v>
      </c>
      <c r="Q1620" s="362"/>
      <c r="S1620" s="332">
        <f t="shared" si="385"/>
        <v>0</v>
      </c>
      <c r="T1620" s="332">
        <f t="shared" si="393"/>
        <v>0</v>
      </c>
    </row>
    <row r="1621" spans="1:20" hidden="1">
      <c r="A1621" s="332" t="s">
        <v>477</v>
      </c>
      <c r="B1621" s="332" t="s">
        <v>547</v>
      </c>
      <c r="C1621" s="333">
        <f t="shared" si="392"/>
        <v>0</v>
      </c>
      <c r="D1621" s="643"/>
      <c r="E1621" s="643" t="str">
        <f>VLOOKUP(B1621,DONGIA,DG!$B$6,0)</f>
        <v>AB.65110</v>
      </c>
      <c r="F1621" s="362" t="str">
        <f>VLOOKUP(B1621,DONGIA,DG!$C$6,0)</f>
        <v>Đắp đất rãnh tiếp địa (K=0,85)</v>
      </c>
      <c r="G1621" s="643" t="str">
        <f>VLOOKUP(B1621,DONGIA,DG!$D$6,0)</f>
        <v>m3</v>
      </c>
      <c r="H1621" s="645">
        <f>H1620</f>
        <v>0</v>
      </c>
      <c r="I1621" s="362">
        <f>VLOOKUP(B1621,DONGIA,DG!$E$6,0)</f>
        <v>0</v>
      </c>
      <c r="J1621" s="362"/>
      <c r="K1621" s="362">
        <f>ROUND(VLOOKUP(B1621,DONGIA,DG!$F$6,0)/NCTBA,0)</f>
        <v>16267</v>
      </c>
      <c r="L1621" s="362">
        <f>VLOOKUP(B1621,DONGIA,DG!$G$6,0)</f>
        <v>11176</v>
      </c>
      <c r="M1621" s="362">
        <f t="shared" si="400"/>
        <v>0</v>
      </c>
      <c r="N1621" s="362">
        <f t="shared" si="401"/>
        <v>0</v>
      </c>
      <c r="O1621" s="362">
        <f t="shared" si="402"/>
        <v>0</v>
      </c>
      <c r="P1621" s="362">
        <f t="shared" si="403"/>
        <v>0</v>
      </c>
      <c r="Q1621" s="362"/>
      <c r="S1621" s="332">
        <f t="shared" si="385"/>
        <v>0</v>
      </c>
      <c r="T1621" s="332">
        <f t="shared" si="393"/>
        <v>0</v>
      </c>
    </row>
    <row r="1622" spans="1:20" hidden="1">
      <c r="A1622" s="332" t="s">
        <v>477</v>
      </c>
      <c r="C1622" s="333">
        <f t="shared" si="392"/>
        <v>0</v>
      </c>
      <c r="D1622" s="372">
        <f>IF(H1622&lt;&gt;0,D1611+1,D1611)</f>
        <v>0</v>
      </c>
      <c r="E1622" s="372"/>
      <c r="F1622" s="373" t="s">
        <v>1934</v>
      </c>
      <c r="G1622" s="372" t="s">
        <v>138</v>
      </c>
      <c r="H1622" s="372">
        <f>TRNC2X50</f>
        <v>0</v>
      </c>
      <c r="I1622" s="373"/>
      <c r="J1622" s="373"/>
      <c r="K1622" s="373"/>
      <c r="L1622" s="373"/>
      <c r="M1622" s="373"/>
      <c r="N1622" s="373"/>
      <c r="O1622" s="373"/>
      <c r="P1622" s="373"/>
      <c r="Q1622" s="373"/>
      <c r="S1622" s="332">
        <f t="shared" si="385"/>
        <v>0</v>
      </c>
      <c r="T1622" s="332">
        <f t="shared" si="393"/>
        <v>0</v>
      </c>
    </row>
    <row r="1623" spans="1:20" s="361" customFormat="1" hidden="1">
      <c r="A1623" s="361" t="s">
        <v>477</v>
      </c>
      <c r="C1623" s="374">
        <f t="shared" si="392"/>
        <v>0</v>
      </c>
      <c r="D1623" s="350"/>
      <c r="E1623" s="350"/>
      <c r="F1623" s="351" t="s">
        <v>1902</v>
      </c>
      <c r="G1623" s="350"/>
      <c r="H1623" s="351"/>
      <c r="I1623" s="351"/>
      <c r="J1623" s="351"/>
      <c r="K1623" s="351"/>
      <c r="L1623" s="351"/>
      <c r="M1623" s="351"/>
      <c r="N1623" s="351"/>
      <c r="O1623" s="351"/>
      <c r="P1623" s="351"/>
      <c r="Q1623" s="351"/>
      <c r="S1623" s="361">
        <f t="shared" si="385"/>
        <v>0</v>
      </c>
      <c r="T1623" s="361">
        <f t="shared" si="393"/>
        <v>0</v>
      </c>
    </row>
    <row r="1624" spans="1:20" hidden="1">
      <c r="A1624" s="332" t="s">
        <v>477</v>
      </c>
      <c r="B1624" s="332" t="s">
        <v>1913</v>
      </c>
      <c r="C1624" s="333">
        <f>IF(H1624&lt;&gt;0,1,)</f>
        <v>0</v>
      </c>
      <c r="D1624" s="328"/>
      <c r="E1624" s="328" t="str">
        <f>VLOOKUP(B1624,DONGIA,DG!$B$6,0)</f>
        <v>T5.1002</v>
      </c>
      <c r="F1624" s="329" t="str">
        <f>VLOOKUP(B1624,DONGIA,DG!$C$6,0)</f>
        <v>Tủ trạm treo + khóa + boulon + Bakelit + Collier (3 pha)</v>
      </c>
      <c r="G1624" s="328" t="str">
        <f>VLOOKUP(B1624,DONGIA,DG!$D$6,0)</f>
        <v>bộ</v>
      </c>
      <c r="H1624" s="329"/>
      <c r="I1624" s="329">
        <f>VLOOKUP(B1624,DONGIA,DG!$E$6,0)</f>
        <v>5446000</v>
      </c>
      <c r="J1624" s="329"/>
      <c r="K1624" s="515">
        <f>VLOOKUP(B1624,DONGIA,DG!$F$6,0)</f>
        <v>743230</v>
      </c>
      <c r="L1624" s="329">
        <f>VLOOKUP(B1624,DONGIA,DG!$G$6,0)</f>
        <v>111154</v>
      </c>
      <c r="M1624" s="329">
        <f t="shared" ref="M1624:P1625" si="404">$H1624*I1624</f>
        <v>0</v>
      </c>
      <c r="N1624" s="329">
        <f t="shared" si="404"/>
        <v>0</v>
      </c>
      <c r="O1624" s="329">
        <f t="shared" si="404"/>
        <v>0</v>
      </c>
      <c r="P1624" s="329">
        <f t="shared" si="404"/>
        <v>0</v>
      </c>
      <c r="Q1624" s="329" t="s">
        <v>3460</v>
      </c>
      <c r="S1624" s="332">
        <f>IFERROR(VLOOKUP(B1624,DONGIA,$S$25,0),0)</f>
        <v>45</v>
      </c>
      <c r="T1624" s="332">
        <f>H1624*S1624</f>
        <v>0</v>
      </c>
    </row>
    <row r="1625" spans="1:20" hidden="1">
      <c r="A1625" s="332" t="s">
        <v>477</v>
      </c>
      <c r="B1625" s="332" t="s">
        <v>1913</v>
      </c>
      <c r="C1625" s="333">
        <f t="shared" si="392"/>
        <v>0</v>
      </c>
      <c r="D1625" s="328"/>
      <c r="E1625" s="328" t="str">
        <f>VLOOKUP(B1625,DONGIA,DG!$B$6,0)</f>
        <v>T5.1002</v>
      </c>
      <c r="F1625" s="329" t="str">
        <f>VLOOKUP(B1625,DONGIA,DG!$C$6,0)&amp;" (SDL)"</f>
        <v>Tủ trạm treo + khóa + boulon + Bakelit + Collier (3 pha) (SDL)</v>
      </c>
      <c r="G1625" s="328" t="str">
        <f>VLOOKUP(B1625,DONGIA,DG!$D$6,0)</f>
        <v>bộ</v>
      </c>
      <c r="H1625" s="329"/>
      <c r="I1625" s="329"/>
      <c r="J1625" s="329"/>
      <c r="K1625" s="515">
        <f>VLOOKUP(B1625,DONGIA,DG!$F$6,0)</f>
        <v>743230</v>
      </c>
      <c r="L1625" s="329">
        <f>VLOOKUP(B1625,DONGIA,DG!$G$6,0)</f>
        <v>111154</v>
      </c>
      <c r="M1625" s="329">
        <f t="shared" si="404"/>
        <v>0</v>
      </c>
      <c r="N1625" s="329">
        <f t="shared" si="404"/>
        <v>0</v>
      </c>
      <c r="O1625" s="329">
        <f t="shared" si="404"/>
        <v>0</v>
      </c>
      <c r="P1625" s="329">
        <f t="shared" si="404"/>
        <v>0</v>
      </c>
      <c r="Q1625" s="329" t="s">
        <v>3459</v>
      </c>
      <c r="S1625" s="332">
        <f t="shared" si="385"/>
        <v>45</v>
      </c>
      <c r="T1625" s="332">
        <f t="shared" si="393"/>
        <v>0</v>
      </c>
    </row>
    <row r="1626" spans="1:20" hidden="1">
      <c r="C1626" s="333">
        <f t="shared" si="392"/>
        <v>0</v>
      </c>
      <c r="D1626" s="372">
        <f>IF(H1626&lt;&gt;0,D1622+1,D1622)</f>
        <v>0</v>
      </c>
      <c r="E1626" s="372"/>
      <c r="F1626" s="373" t="s">
        <v>1935</v>
      </c>
      <c r="G1626" s="372" t="s">
        <v>138</v>
      </c>
      <c r="H1626" s="372">
        <f>TRNC2X50</f>
        <v>0</v>
      </c>
      <c r="I1626" s="373"/>
      <c r="J1626" s="373"/>
      <c r="K1626" s="373"/>
      <c r="L1626" s="373"/>
      <c r="M1626" s="373"/>
      <c r="N1626" s="373"/>
      <c r="O1626" s="373"/>
      <c r="P1626" s="373"/>
      <c r="Q1626" s="373"/>
      <c r="S1626" s="332">
        <f t="shared" si="385"/>
        <v>0</v>
      </c>
      <c r="T1626" s="332">
        <f t="shared" si="393"/>
        <v>0</v>
      </c>
    </row>
    <row r="1627" spans="1:20" s="361" customFormat="1" hidden="1">
      <c r="C1627" s="374">
        <f t="shared" si="392"/>
        <v>0</v>
      </c>
      <c r="D1627" s="350"/>
      <c r="E1627" s="350"/>
      <c r="F1627" s="351" t="s">
        <v>1902</v>
      </c>
      <c r="G1627" s="350"/>
      <c r="H1627" s="351"/>
      <c r="I1627" s="351"/>
      <c r="J1627" s="351"/>
      <c r="K1627" s="351"/>
      <c r="L1627" s="351"/>
      <c r="M1627" s="351"/>
      <c r="N1627" s="351"/>
      <c r="O1627" s="351"/>
      <c r="P1627" s="351"/>
      <c r="Q1627" s="351"/>
      <c r="S1627" s="361">
        <f t="shared" si="385"/>
        <v>0</v>
      </c>
      <c r="T1627" s="361">
        <f t="shared" si="393"/>
        <v>0</v>
      </c>
    </row>
    <row r="1628" spans="1:20" hidden="1">
      <c r="B1628" s="332" t="s">
        <v>1468</v>
      </c>
      <c r="C1628" s="333">
        <f t="shared" si="392"/>
        <v>0</v>
      </c>
      <c r="D1628" s="328"/>
      <c r="E1628" s="328">
        <f>VLOOKUP(B1628,DONGIA,DG!$B$6,0)</f>
        <v>0</v>
      </c>
      <c r="F1628" s="329" t="str">
        <f>VLOOKUP(B1628,DONGIA,DG!$C$6,0)</f>
        <v>Cáp 24KV C/XLPE/PVC 25mm2</v>
      </c>
      <c r="G1628" s="328" t="str">
        <f>VLOOKUP(B1628,DONGIA,DG!$D$6,0)</f>
        <v>mét</v>
      </c>
      <c r="H1628" s="329">
        <f>H1626*12</f>
        <v>0</v>
      </c>
      <c r="I1628" s="329">
        <f>VLOOKUP(B1628,DONGIA,DG!$E$6,0)</f>
        <v>87540</v>
      </c>
      <c r="J1628" s="329"/>
      <c r="K1628" s="329">
        <f>VLOOKUP(B1628,DONGIA,DG!$F$6,0)</f>
        <v>0</v>
      </c>
      <c r="L1628" s="329">
        <f>VLOOKUP(B1628,DONGIA,DG!$G$6,0)</f>
        <v>0</v>
      </c>
      <c r="M1628" s="329">
        <f t="shared" ref="M1628:P1632" si="405">$H1628*I1628</f>
        <v>0</v>
      </c>
      <c r="N1628" s="329">
        <f t="shared" si="405"/>
        <v>0</v>
      </c>
      <c r="O1628" s="329">
        <f t="shared" si="405"/>
        <v>0</v>
      </c>
      <c r="P1628" s="329">
        <f t="shared" si="405"/>
        <v>0</v>
      </c>
      <c r="Q1628" s="329"/>
      <c r="S1628" s="332">
        <f t="shared" si="385"/>
        <v>0.75</v>
      </c>
      <c r="T1628" s="332">
        <f t="shared" si="393"/>
        <v>0</v>
      </c>
    </row>
    <row r="1629" spans="1:20" hidden="1">
      <c r="B1629" s="332" t="s">
        <v>1507</v>
      </c>
      <c r="C1629" s="333">
        <f t="shared" si="392"/>
        <v>0</v>
      </c>
      <c r="D1629" s="328"/>
      <c r="E1629" s="328"/>
      <c r="F1629" s="329" t="str">
        <f>VLOOKUP(B1629,DONGIA,DG!$C$6,0)</f>
        <v>Kẹp quai 4/0 (quai đồng 8mm)</v>
      </c>
      <c r="G1629" s="328" t="str">
        <f>VLOOKUP(B1629,DONGIA,DG!$D$6,0)</f>
        <v>cái</v>
      </c>
      <c r="H1629" s="329">
        <f>H1626*3</f>
        <v>0</v>
      </c>
      <c r="I1629" s="329">
        <f>VLOOKUP(B1629,DONGIA,DG!$E$6,0)</f>
        <v>145000</v>
      </c>
      <c r="J1629" s="329"/>
      <c r="K1629" s="329"/>
      <c r="L1629" s="329">
        <f>VLOOKUP(B1629,DONGIA,DG!$G$6,0)</f>
        <v>0</v>
      </c>
      <c r="M1629" s="329">
        <f t="shared" si="405"/>
        <v>0</v>
      </c>
      <c r="N1629" s="329">
        <f t="shared" si="405"/>
        <v>0</v>
      </c>
      <c r="O1629" s="329">
        <f t="shared" si="405"/>
        <v>0</v>
      </c>
      <c r="P1629" s="329">
        <f t="shared" si="405"/>
        <v>0</v>
      </c>
      <c r="Q1629" s="329"/>
      <c r="S1629" s="332">
        <f t="shared" si="385"/>
        <v>0.3</v>
      </c>
      <c r="T1629" s="332">
        <f t="shared" si="393"/>
        <v>0</v>
      </c>
    </row>
    <row r="1630" spans="1:20" hidden="1">
      <c r="B1630" s="332" t="s">
        <v>1511</v>
      </c>
      <c r="C1630" s="333">
        <f t="shared" si="392"/>
        <v>0</v>
      </c>
      <c r="D1630" s="328"/>
      <c r="E1630" s="328"/>
      <c r="F1630" s="329" t="str">
        <f>VLOOKUP(B1630,DONGIA,DG!$C$6,0)</f>
        <v>Chụp cách điện kẹp quai</v>
      </c>
      <c r="G1630" s="328" t="str">
        <f>VLOOKUP(B1630,DONGIA,DG!$D$6,0)</f>
        <v>cái</v>
      </c>
      <c r="H1630" s="329">
        <f>H1629</f>
        <v>0</v>
      </c>
      <c r="I1630" s="329">
        <f>VLOOKUP(B1630,DONGIA,DG!$E$6,0)</f>
        <v>122000</v>
      </c>
      <c r="J1630" s="329"/>
      <c r="K1630" s="329"/>
      <c r="L1630" s="329">
        <f>VLOOKUP(B1630,DONGIA,DG!$G$6,0)</f>
        <v>0</v>
      </c>
      <c r="M1630" s="329">
        <f t="shared" si="405"/>
        <v>0</v>
      </c>
      <c r="N1630" s="329">
        <f t="shared" si="405"/>
        <v>0</v>
      </c>
      <c r="O1630" s="329">
        <f t="shared" si="405"/>
        <v>0</v>
      </c>
      <c r="P1630" s="329">
        <f t="shared" si="405"/>
        <v>0</v>
      </c>
      <c r="Q1630" s="329"/>
      <c r="S1630" s="332">
        <f t="shared" si="385"/>
        <v>0.2</v>
      </c>
      <c r="T1630" s="332">
        <f t="shared" si="393"/>
        <v>0</v>
      </c>
    </row>
    <row r="1631" spans="1:20" hidden="1">
      <c r="B1631" s="332" t="s">
        <v>1508</v>
      </c>
      <c r="C1631" s="333">
        <f t="shared" si="392"/>
        <v>0</v>
      </c>
      <c r="D1631" s="328"/>
      <c r="E1631" s="328"/>
      <c r="F1631" s="329" t="str">
        <f>VLOOKUP(B1631,DONGIA,DG!$C$6,0)</f>
        <v>Kẹp hotline 2/0</v>
      </c>
      <c r="G1631" s="328" t="str">
        <f>VLOOKUP(B1631,DONGIA,DG!$D$6,0)</f>
        <v>cái</v>
      </c>
      <c r="H1631" s="329">
        <f>H1630</f>
        <v>0</v>
      </c>
      <c r="I1631" s="329">
        <f>VLOOKUP(B1631,DONGIA,DG!$E$6,0)</f>
        <v>68000</v>
      </c>
      <c r="J1631" s="329"/>
      <c r="K1631" s="329"/>
      <c r="L1631" s="329">
        <f>VLOOKUP(B1631,DONGIA,DG!$G$6,0)</f>
        <v>0</v>
      </c>
      <c r="M1631" s="329">
        <f t="shared" si="405"/>
        <v>0</v>
      </c>
      <c r="N1631" s="329">
        <f t="shared" si="405"/>
        <v>0</v>
      </c>
      <c r="O1631" s="329">
        <f t="shared" si="405"/>
        <v>0</v>
      </c>
      <c r="P1631" s="329">
        <f t="shared" si="405"/>
        <v>0</v>
      </c>
      <c r="Q1631" s="329"/>
      <c r="S1631" s="332">
        <f t="shared" si="385"/>
        <v>0.1</v>
      </c>
      <c r="T1631" s="332">
        <f t="shared" si="393"/>
        <v>0</v>
      </c>
    </row>
    <row r="1632" spans="1:20" hidden="1">
      <c r="B1632" s="332" t="s">
        <v>1939</v>
      </c>
      <c r="C1632" s="333">
        <f t="shared" si="392"/>
        <v>0</v>
      </c>
      <c r="D1632" s="328"/>
      <c r="E1632" s="328" t="str">
        <f>VLOOKUP(B1632,DONGIA,DG!$B$6,0)</f>
        <v>T4.4201</v>
      </c>
      <c r="F1632" s="329" t="str">
        <f>VLOOKUP(B1632,DONGIA,DG!$C$6,0)</f>
        <v>Lắp cáp đồng xuống thiết bị D ≤ 95mm2</v>
      </c>
      <c r="G1632" s="328" t="str">
        <f>VLOOKUP(B1632,DONGIA,DG!$D$6,0)</f>
        <v>m</v>
      </c>
      <c r="H1632" s="329">
        <f>H1628</f>
        <v>0</v>
      </c>
      <c r="I1632" s="329">
        <f>VLOOKUP(B1632,DONGIA,DG!$E$6,0)</f>
        <v>0</v>
      </c>
      <c r="J1632" s="329"/>
      <c r="K1632" s="329">
        <f>VLOOKUP(B1632,DONGIA,DG!$F$6,0)</f>
        <v>11847</v>
      </c>
      <c r="L1632" s="329">
        <f>VLOOKUP(B1632,DONGIA,DG!$G$6,0)</f>
        <v>0</v>
      </c>
      <c r="M1632" s="329">
        <f t="shared" si="405"/>
        <v>0</v>
      </c>
      <c r="N1632" s="329">
        <f t="shared" si="405"/>
        <v>0</v>
      </c>
      <c r="O1632" s="329">
        <f t="shared" si="405"/>
        <v>0</v>
      </c>
      <c r="P1632" s="329">
        <f t="shared" si="405"/>
        <v>0</v>
      </c>
      <c r="Q1632" s="329"/>
      <c r="S1632" s="332">
        <f t="shared" si="385"/>
        <v>0</v>
      </c>
      <c r="T1632" s="332">
        <f t="shared" si="393"/>
        <v>0</v>
      </c>
    </row>
    <row r="1633" spans="2:20" hidden="1">
      <c r="C1633" s="333">
        <f t="shared" si="392"/>
        <v>0</v>
      </c>
      <c r="D1633" s="372">
        <f>IF(H1633&lt;&gt;0,D1626+1,D1626)</f>
        <v>0</v>
      </c>
      <c r="E1633" s="372"/>
      <c r="F1633" s="373" t="s">
        <v>1936</v>
      </c>
      <c r="G1633" s="372" t="s">
        <v>138</v>
      </c>
      <c r="H1633" s="372">
        <f>TRNC2X50</f>
        <v>0</v>
      </c>
      <c r="I1633" s="373"/>
      <c r="J1633" s="373"/>
      <c r="K1633" s="373"/>
      <c r="L1633" s="373"/>
      <c r="M1633" s="373"/>
      <c r="N1633" s="373"/>
      <c r="O1633" s="373"/>
      <c r="P1633" s="373"/>
      <c r="Q1633" s="373"/>
      <c r="S1633" s="332">
        <f t="shared" si="385"/>
        <v>0</v>
      </c>
      <c r="T1633" s="332">
        <f t="shared" si="393"/>
        <v>0</v>
      </c>
    </row>
    <row r="1634" spans="2:20" s="361" customFormat="1" hidden="1">
      <c r="C1634" s="374">
        <f t="shared" si="392"/>
        <v>0</v>
      </c>
      <c r="D1634" s="544"/>
      <c r="E1634" s="544"/>
      <c r="F1634" s="545" t="s">
        <v>1902</v>
      </c>
      <c r="G1634" s="544"/>
      <c r="H1634" s="545"/>
      <c r="I1634" s="545"/>
      <c r="J1634" s="545"/>
      <c r="K1634" s="545"/>
      <c r="L1634" s="545"/>
      <c r="M1634" s="545"/>
      <c r="N1634" s="545"/>
      <c r="O1634" s="545"/>
      <c r="P1634" s="545"/>
      <c r="Q1634" s="545"/>
      <c r="S1634" s="361">
        <f t="shared" si="385"/>
        <v>0</v>
      </c>
      <c r="T1634" s="361">
        <f t="shared" si="393"/>
        <v>0</v>
      </c>
    </row>
    <row r="1635" spans="2:20" hidden="1">
      <c r="B1635" s="332" t="s">
        <v>1911</v>
      </c>
      <c r="C1635" s="333">
        <f t="shared" si="392"/>
        <v>0</v>
      </c>
      <c r="D1635" s="523"/>
      <c r="E1635" s="523">
        <f>VLOOKUP(B1635,DONGIA,DG!$B$6,0)</f>
        <v>0</v>
      </c>
      <c r="F1635" s="525" t="str">
        <f>VLOOKUP(B1635,DONGIA,DG!$C$6,0)&amp;" (SDL)"</f>
        <v>Cáp đồng bọc CV150 (SDL)</v>
      </c>
      <c r="G1635" s="523" t="str">
        <f>VLOOKUP(B1635,DONGIA,DG!$D$6,0)</f>
        <v>mét</v>
      </c>
      <c r="H1635" s="525">
        <f>'BKTL Tram'!S13</f>
        <v>0</v>
      </c>
      <c r="I1635" s="525"/>
      <c r="J1635" s="525"/>
      <c r="K1635" s="525">
        <f>VLOOKUP(B1635,DONGIA,DG!$F$6,0)</f>
        <v>0</v>
      </c>
      <c r="L1635" s="525">
        <f>VLOOKUP(B1635,DONGIA,DG!$G$6,0)</f>
        <v>0</v>
      </c>
      <c r="M1635" s="525">
        <f t="shared" ref="M1635:M1661" si="406">$H1635*I1635</f>
        <v>0</v>
      </c>
      <c r="N1635" s="525">
        <f t="shared" ref="N1635:N1661" si="407">$H1635*J1635</f>
        <v>0</v>
      </c>
      <c r="O1635" s="525">
        <f t="shared" ref="O1635:O1661" si="408">$H1635*K1635</f>
        <v>0</v>
      </c>
      <c r="P1635" s="525">
        <f t="shared" ref="P1635:P1661" si="409">$H1635*L1635</f>
        <v>0</v>
      </c>
      <c r="Q1635" s="525" t="s">
        <v>3459</v>
      </c>
      <c r="S1635" s="332">
        <f t="shared" si="385"/>
        <v>1.5980000000000001</v>
      </c>
      <c r="T1635" s="332">
        <f t="shared" si="393"/>
        <v>0</v>
      </c>
    </row>
    <row r="1636" spans="2:20" hidden="1">
      <c r="B1636" s="332" t="s">
        <v>1742</v>
      </c>
      <c r="C1636" s="333">
        <f t="shared" si="392"/>
        <v>0</v>
      </c>
      <c r="D1636" s="523"/>
      <c r="E1636" s="523">
        <f>VLOOKUP(B1636,DONGIA,DG!$B$6,0)</f>
        <v>0</v>
      </c>
      <c r="F1636" s="525" t="str">
        <f>VLOOKUP(B1636,DONGIA,DG!$C$6,0)&amp;" (SDL)"</f>
        <v>Cáp đồng bọc CV95 (SDL)</v>
      </c>
      <c r="G1636" s="523" t="str">
        <f>VLOOKUP(B1636,DONGIA,DG!$D$6,0)</f>
        <v>mét</v>
      </c>
      <c r="H1636" s="525"/>
      <c r="I1636" s="525"/>
      <c r="J1636" s="525"/>
      <c r="K1636" s="525">
        <f>VLOOKUP(B1636,DONGIA,DG!$F$6,0)</f>
        <v>0</v>
      </c>
      <c r="L1636" s="525">
        <f>VLOOKUP(B1636,DONGIA,DG!$G$6,0)</f>
        <v>0</v>
      </c>
      <c r="M1636" s="525">
        <f t="shared" si="406"/>
        <v>0</v>
      </c>
      <c r="N1636" s="525">
        <f t="shared" si="407"/>
        <v>0</v>
      </c>
      <c r="O1636" s="525">
        <f t="shared" si="408"/>
        <v>0</v>
      </c>
      <c r="P1636" s="525">
        <f t="shared" si="409"/>
        <v>0</v>
      </c>
      <c r="Q1636" s="525" t="s">
        <v>3459</v>
      </c>
      <c r="S1636" s="332">
        <f t="shared" si="385"/>
        <v>1.008</v>
      </c>
      <c r="T1636" s="332">
        <f t="shared" si="393"/>
        <v>0</v>
      </c>
    </row>
    <row r="1637" spans="2:20" hidden="1">
      <c r="B1637" s="332" t="s">
        <v>1911</v>
      </c>
      <c r="C1637" s="333">
        <f t="shared" si="392"/>
        <v>0</v>
      </c>
      <c r="D1637" s="523"/>
      <c r="E1637" s="523">
        <f>VLOOKUP(B1637,DONGIA,DG!$B$6,0)</f>
        <v>0</v>
      </c>
      <c r="F1637" s="525" t="str">
        <f>VLOOKUP(B1637,DONGIA,DG!$C$6,0)</f>
        <v>Cáp đồng bọc CV150</v>
      </c>
      <c r="G1637" s="523" t="str">
        <f>VLOOKUP(B1637,DONGIA,DG!$D$6,0)</f>
        <v>mét</v>
      </c>
      <c r="H1637" s="525"/>
      <c r="I1637" s="525">
        <f>VLOOKUP(B1637,DONGIA,DG!$E$6,0)</f>
        <v>315870</v>
      </c>
      <c r="J1637" s="525"/>
      <c r="K1637" s="525">
        <f>VLOOKUP(B1637,DONGIA,DG!$F$6,0)</f>
        <v>0</v>
      </c>
      <c r="L1637" s="525">
        <f>VLOOKUP(B1637,DONGIA,DG!$G$6,0)</f>
        <v>0</v>
      </c>
      <c r="M1637" s="525">
        <f t="shared" si="406"/>
        <v>0</v>
      </c>
      <c r="N1637" s="525">
        <f t="shared" si="407"/>
        <v>0</v>
      </c>
      <c r="O1637" s="525">
        <f t="shared" si="408"/>
        <v>0</v>
      </c>
      <c r="P1637" s="525">
        <f t="shared" si="409"/>
        <v>0</v>
      </c>
      <c r="Q1637" s="525" t="s">
        <v>3459</v>
      </c>
      <c r="S1637" s="332">
        <f t="shared" si="385"/>
        <v>1.5980000000000001</v>
      </c>
      <c r="T1637" s="332">
        <f t="shared" si="393"/>
        <v>0</v>
      </c>
    </row>
    <row r="1638" spans="2:20" hidden="1">
      <c r="B1638" s="332" t="s">
        <v>1908</v>
      </c>
      <c r="C1638" s="333">
        <f>IF(H1638&lt;&gt;0,1,)</f>
        <v>0</v>
      </c>
      <c r="D1638" s="523"/>
      <c r="E1638" s="523">
        <f>VLOOKUP(B1638,DONGIA,DG!$B$6,0)</f>
        <v>0</v>
      </c>
      <c r="F1638" s="525" t="str">
        <f>VLOOKUP(B1638,DONGIA,DG!$C$6,0)</f>
        <v>Cáp đồng bọc CV120</v>
      </c>
      <c r="G1638" s="523" t="str">
        <f>VLOOKUP(B1638,DONGIA,DG!$D$6,0)</f>
        <v>mét</v>
      </c>
      <c r="H1638" s="525"/>
      <c r="I1638" s="525">
        <f>VLOOKUP(B1638,DONGIA,DG!$E$6,0)</f>
        <v>245040</v>
      </c>
      <c r="J1638" s="525"/>
      <c r="K1638" s="525">
        <f>VLOOKUP(B1638,DONGIA,DG!$F$6,0)</f>
        <v>0</v>
      </c>
      <c r="L1638" s="525">
        <f>VLOOKUP(B1638,DONGIA,DG!$G$6,0)</f>
        <v>0</v>
      </c>
      <c r="M1638" s="525">
        <f>$H1638*I1638</f>
        <v>0</v>
      </c>
      <c r="N1638" s="525">
        <f>$H1638*J1638</f>
        <v>0</v>
      </c>
      <c r="O1638" s="525">
        <f>$H1638*K1638</f>
        <v>0</v>
      </c>
      <c r="P1638" s="525">
        <f>$H1638*L1638</f>
        <v>0</v>
      </c>
      <c r="Q1638" s="525" t="s">
        <v>3460</v>
      </c>
      <c r="S1638" s="332">
        <f>IFERROR(VLOOKUP(B1638,DONGIA,$S$25,0),0)</f>
        <v>1.2350000000000001</v>
      </c>
      <c r="T1638" s="332">
        <f>H1638*S1638</f>
        <v>0</v>
      </c>
    </row>
    <row r="1639" spans="2:20" hidden="1">
      <c r="B1639" s="332" t="s">
        <v>1907</v>
      </c>
      <c r="C1639" s="333">
        <f t="shared" si="392"/>
        <v>0</v>
      </c>
      <c r="D1639" s="523"/>
      <c r="E1639" s="523">
        <f>VLOOKUP(B1639,DONGIA,DG!$B$6,0)</f>
        <v>0</v>
      </c>
      <c r="F1639" s="525" t="str">
        <f>VLOOKUP(B1639,DONGIA,DG!$C$6,0)</f>
        <v>Cáp đồng bọc CV70</v>
      </c>
      <c r="G1639" s="523" t="str">
        <f>VLOOKUP(B1639,DONGIA,DG!$D$6,0)</f>
        <v>mét</v>
      </c>
      <c r="H1639" s="525"/>
      <c r="I1639" s="525">
        <f>VLOOKUP(B1639,DONGIA,DG!$E$6,0)</f>
        <v>142880</v>
      </c>
      <c r="J1639" s="525"/>
      <c r="K1639" s="525">
        <f>VLOOKUP(B1639,DONGIA,DG!$F$6,0)</f>
        <v>0</v>
      </c>
      <c r="L1639" s="525">
        <f>VLOOKUP(B1639,DONGIA,DG!$G$6,0)</f>
        <v>0</v>
      </c>
      <c r="M1639" s="525">
        <f t="shared" si="406"/>
        <v>0</v>
      </c>
      <c r="N1639" s="525">
        <f t="shared" si="407"/>
        <v>0</v>
      </c>
      <c r="O1639" s="525">
        <f t="shared" si="408"/>
        <v>0</v>
      </c>
      <c r="P1639" s="525">
        <f t="shared" si="409"/>
        <v>0</v>
      </c>
      <c r="Q1639" s="525" t="s">
        <v>3496</v>
      </c>
      <c r="S1639" s="332">
        <f t="shared" si="385"/>
        <v>0.73899999999999999</v>
      </c>
      <c r="T1639" s="332">
        <f t="shared" si="393"/>
        <v>0</v>
      </c>
    </row>
    <row r="1640" spans="2:20" hidden="1">
      <c r="B1640" s="332" t="s">
        <v>3520</v>
      </c>
      <c r="C1640" s="333">
        <f t="shared" si="392"/>
        <v>0</v>
      </c>
      <c r="D1640" s="643"/>
      <c r="E1640" s="643">
        <f>VLOOKUP(B1640,DONGIA,DG!$B$6,0)</f>
        <v>0</v>
      </c>
      <c r="F1640" s="362" t="str">
        <f>VLOOKUP(B1640,DONGIA,DG!$C$6,0)</f>
        <v>Cáp điều khiển CVV 6x4,0mm2</v>
      </c>
      <c r="G1640" s="643" t="str">
        <f>VLOOKUP(B1640,DONGIA,DG!$D$6,0)</f>
        <v>mét</v>
      </c>
      <c r="H1640" s="362">
        <f>H1633*3</f>
        <v>0</v>
      </c>
      <c r="I1640" s="362">
        <f>VLOOKUP(B1640,DONGIA,DG!$E$6,0)</f>
        <v>71600</v>
      </c>
      <c r="J1640" s="362"/>
      <c r="K1640" s="362">
        <f>VLOOKUP(B1640,DONGIA,DG!$F$6,0)</f>
        <v>0</v>
      </c>
      <c r="L1640" s="362">
        <f>VLOOKUP(B1640,DONGIA,DG!$G$6,0)</f>
        <v>0</v>
      </c>
      <c r="M1640" s="362">
        <f t="shared" si="406"/>
        <v>0</v>
      </c>
      <c r="N1640" s="362">
        <f t="shared" si="407"/>
        <v>0</v>
      </c>
      <c r="O1640" s="362">
        <f t="shared" si="408"/>
        <v>0</v>
      </c>
      <c r="P1640" s="362">
        <f t="shared" si="409"/>
        <v>0</v>
      </c>
      <c r="Q1640" s="362"/>
      <c r="S1640" s="332">
        <f t="shared" si="385"/>
        <v>3.024</v>
      </c>
      <c r="T1640" s="332">
        <f t="shared" si="393"/>
        <v>0</v>
      </c>
    </row>
    <row r="1641" spans="2:20" hidden="1">
      <c r="B1641" s="332" t="s">
        <v>1122</v>
      </c>
      <c r="C1641" s="333">
        <f t="shared" si="392"/>
        <v>0</v>
      </c>
      <c r="D1641" s="523"/>
      <c r="E1641" s="523"/>
      <c r="F1641" s="525" t="str">
        <f>VLOOKUP(B1641,DONGIA,DG!$C$6,0)</f>
        <v>Đầu cosse ép Cu 150mm2</v>
      </c>
      <c r="G1641" s="523" t="str">
        <f>VLOOKUP(B1641,DONGIA,DG!$D$6,0)</f>
        <v>cái</v>
      </c>
      <c r="H1641" s="525"/>
      <c r="I1641" s="525">
        <f>VLOOKUP(B1641,DONGIA,DG!$E$6,0)</f>
        <v>150000</v>
      </c>
      <c r="J1641" s="525"/>
      <c r="K1641" s="525"/>
      <c r="L1641" s="525"/>
      <c r="M1641" s="525">
        <f t="shared" si="406"/>
        <v>0</v>
      </c>
      <c r="N1641" s="525">
        <f t="shared" si="407"/>
        <v>0</v>
      </c>
      <c r="O1641" s="525">
        <f t="shared" si="408"/>
        <v>0</v>
      </c>
      <c r="P1641" s="525">
        <f t="shared" si="409"/>
        <v>0</v>
      </c>
      <c r="Q1641" s="525"/>
      <c r="S1641" s="332">
        <f t="shared" si="385"/>
        <v>0.2</v>
      </c>
      <c r="T1641" s="332">
        <f t="shared" si="393"/>
        <v>0</v>
      </c>
    </row>
    <row r="1642" spans="2:20" hidden="1">
      <c r="B1642" s="332" t="s">
        <v>1119</v>
      </c>
      <c r="C1642" s="333">
        <f>IF(H1642&lt;&gt;0,1,)</f>
        <v>0</v>
      </c>
      <c r="D1642" s="523"/>
      <c r="E1642" s="523"/>
      <c r="F1642" s="525" t="str">
        <f>VLOOKUP(B1642,DONGIA,DG!$C$6,0)</f>
        <v>Đầu cosse ép Cu 120mm2</v>
      </c>
      <c r="G1642" s="523" t="str">
        <f>VLOOKUP(B1642,DONGIA,DG!$D$6,0)</f>
        <v>cái</v>
      </c>
      <c r="H1642" s="525"/>
      <c r="I1642" s="525">
        <f>VLOOKUP(B1642,DONGIA,DG!$E$6,0)</f>
        <v>65000</v>
      </c>
      <c r="J1642" s="525"/>
      <c r="K1642" s="525"/>
      <c r="L1642" s="525"/>
      <c r="M1642" s="525">
        <f>$H1642*I1642</f>
        <v>0</v>
      </c>
      <c r="N1642" s="525">
        <f>$H1642*J1642</f>
        <v>0</v>
      </c>
      <c r="O1642" s="525">
        <f>$H1642*K1642</f>
        <v>0</v>
      </c>
      <c r="P1642" s="525">
        <f>$H1642*L1642</f>
        <v>0</v>
      </c>
      <c r="Q1642" s="525"/>
      <c r="S1642" s="332">
        <f>IFERROR(VLOOKUP(B1642,DONGIA,$S$25,0),0)</f>
        <v>0.1</v>
      </c>
      <c r="T1642" s="332">
        <f>H1642*S1642</f>
        <v>0</v>
      </c>
    </row>
    <row r="1643" spans="2:20" hidden="1">
      <c r="B1643" s="332" t="s">
        <v>1113</v>
      </c>
      <c r="C1643" s="333">
        <f t="shared" si="392"/>
        <v>0</v>
      </c>
      <c r="D1643" s="523"/>
      <c r="E1643" s="523"/>
      <c r="F1643" s="525" t="str">
        <f>VLOOKUP(B1643,DONGIA,DG!$C$6,0)</f>
        <v>Đầu cosse ép Cu 70mm2</v>
      </c>
      <c r="G1643" s="523" t="str">
        <f>VLOOKUP(B1643,DONGIA,DG!$D$6,0)</f>
        <v>cái</v>
      </c>
      <c r="H1643" s="525"/>
      <c r="I1643" s="525">
        <f>VLOOKUP(B1643,DONGIA,DG!$E$6,0)</f>
        <v>33000</v>
      </c>
      <c r="J1643" s="525"/>
      <c r="K1643" s="525"/>
      <c r="L1643" s="525"/>
      <c r="M1643" s="525">
        <f t="shared" si="406"/>
        <v>0</v>
      </c>
      <c r="N1643" s="525">
        <f t="shared" si="407"/>
        <v>0</v>
      </c>
      <c r="O1643" s="525">
        <f t="shared" si="408"/>
        <v>0</v>
      </c>
      <c r="P1643" s="525">
        <f t="shared" si="409"/>
        <v>0</v>
      </c>
      <c r="Q1643" s="525"/>
      <c r="S1643" s="332">
        <f t="shared" si="385"/>
        <v>0.2</v>
      </c>
      <c r="T1643" s="332">
        <f t="shared" si="393"/>
        <v>0</v>
      </c>
    </row>
    <row r="1644" spans="2:20" hidden="1">
      <c r="B1644" s="332" t="s">
        <v>1153</v>
      </c>
      <c r="C1644" s="333">
        <f t="shared" si="392"/>
        <v>0</v>
      </c>
      <c r="D1644" s="523"/>
      <c r="E1644" s="523">
        <f>VLOOKUP(B1644,DONGIA,DG!$B$6,0)</f>
        <v>0</v>
      </c>
      <c r="F1644" s="525" t="str">
        <f>VLOOKUP(B1644,DONGIA,DG!$C$6,0)</f>
        <v>Chụp đầu cosse  150mm2</v>
      </c>
      <c r="G1644" s="523" t="str">
        <f>VLOOKUP(B1644,DONGIA,DG!$D$6,0)</f>
        <v>cái</v>
      </c>
      <c r="H1644" s="525">
        <f>H1641</f>
        <v>0</v>
      </c>
      <c r="I1644" s="525">
        <f>VLOOKUP(B1644,DONGIA,DG!$E$6,0)</f>
        <v>4000</v>
      </c>
      <c r="J1644" s="525"/>
      <c r="K1644" s="525">
        <f>VLOOKUP(B1644,DONGIA,DG!$F$6,0)</f>
        <v>0</v>
      </c>
      <c r="L1644" s="525">
        <f>VLOOKUP(B1644,DONGIA,DG!$G$6,0)</f>
        <v>0</v>
      </c>
      <c r="M1644" s="525">
        <f t="shared" si="406"/>
        <v>0</v>
      </c>
      <c r="N1644" s="525">
        <f t="shared" si="407"/>
        <v>0</v>
      </c>
      <c r="O1644" s="525">
        <f t="shared" si="408"/>
        <v>0</v>
      </c>
      <c r="P1644" s="525">
        <f t="shared" si="409"/>
        <v>0</v>
      </c>
      <c r="Q1644" s="525"/>
      <c r="S1644" s="332">
        <f t="shared" si="385"/>
        <v>0</v>
      </c>
      <c r="T1644" s="332">
        <f t="shared" si="393"/>
        <v>0</v>
      </c>
    </row>
    <row r="1645" spans="2:20" hidden="1">
      <c r="B1645" s="332" t="s">
        <v>1151</v>
      </c>
      <c r="C1645" s="333">
        <f>IF(H1645&lt;&gt;0,1,)</f>
        <v>0</v>
      </c>
      <c r="D1645" s="523"/>
      <c r="E1645" s="523">
        <f>VLOOKUP(B1645,DONGIA,DG!$B$6,0)</f>
        <v>0</v>
      </c>
      <c r="F1645" s="525" t="str">
        <f>VLOOKUP(B1645,DONGIA,DG!$C$6,0)</f>
        <v>Chụp đầu cosse  120mm2</v>
      </c>
      <c r="G1645" s="523" t="str">
        <f>VLOOKUP(B1645,DONGIA,DG!$D$6,0)</f>
        <v>cái</v>
      </c>
      <c r="H1645" s="525">
        <f>H1642</f>
        <v>0</v>
      </c>
      <c r="I1645" s="525">
        <f>VLOOKUP(B1645,DONGIA,DG!$E$6,0)</f>
        <v>3500</v>
      </c>
      <c r="J1645" s="525"/>
      <c r="K1645" s="525">
        <f>VLOOKUP(B1645,DONGIA,DG!$F$6,0)</f>
        <v>0</v>
      </c>
      <c r="L1645" s="525">
        <f>VLOOKUP(B1645,DONGIA,DG!$G$6,0)</f>
        <v>0</v>
      </c>
      <c r="M1645" s="525">
        <f>$H1645*I1645</f>
        <v>0</v>
      </c>
      <c r="N1645" s="525">
        <f>$H1645*J1645</f>
        <v>0</v>
      </c>
      <c r="O1645" s="525">
        <f>$H1645*K1645</f>
        <v>0</v>
      </c>
      <c r="P1645" s="525">
        <f>$H1645*L1645</f>
        <v>0</v>
      </c>
      <c r="Q1645" s="525"/>
      <c r="S1645" s="332">
        <f>IFERROR(VLOOKUP(B1645,DONGIA,$S$25,0),0)</f>
        <v>0</v>
      </c>
      <c r="T1645" s="332">
        <f>H1645*S1645</f>
        <v>0</v>
      </c>
    </row>
    <row r="1646" spans="2:20" hidden="1">
      <c r="B1646" s="332" t="s">
        <v>1147</v>
      </c>
      <c r="C1646" s="333">
        <f t="shared" si="392"/>
        <v>0</v>
      </c>
      <c r="D1646" s="523"/>
      <c r="E1646" s="523">
        <f>VLOOKUP(B1646,DONGIA,DG!$B$6,0)</f>
        <v>0</v>
      </c>
      <c r="F1646" s="525" t="str">
        <f>VLOOKUP(B1646,DONGIA,DG!$C$6,0)</f>
        <v>Chụp đầu cosse  70mm2</v>
      </c>
      <c r="G1646" s="523" t="str">
        <f>VLOOKUP(B1646,DONGIA,DG!$D$6,0)</f>
        <v>cái</v>
      </c>
      <c r="H1646" s="525">
        <f>H1643</f>
        <v>0</v>
      </c>
      <c r="I1646" s="525">
        <f>VLOOKUP(B1646,DONGIA,DG!$E$6,0)</f>
        <v>2000</v>
      </c>
      <c r="J1646" s="525"/>
      <c r="K1646" s="525">
        <f>VLOOKUP(B1646,DONGIA,DG!$F$6,0)</f>
        <v>0</v>
      </c>
      <c r="L1646" s="525">
        <f>VLOOKUP(B1646,DONGIA,DG!$G$6,0)</f>
        <v>0</v>
      </c>
      <c r="M1646" s="525">
        <f t="shared" si="406"/>
        <v>0</v>
      </c>
      <c r="N1646" s="525">
        <f t="shared" si="407"/>
        <v>0</v>
      </c>
      <c r="O1646" s="525">
        <f t="shared" si="408"/>
        <v>0</v>
      </c>
      <c r="P1646" s="525">
        <f t="shared" si="409"/>
        <v>0</v>
      </c>
      <c r="Q1646" s="525"/>
      <c r="S1646" s="332">
        <f t="shared" si="385"/>
        <v>0</v>
      </c>
      <c r="T1646" s="332">
        <f t="shared" si="393"/>
        <v>0</v>
      </c>
    </row>
    <row r="1647" spans="2:20" hidden="1">
      <c r="B1647" s="332" t="s">
        <v>1175</v>
      </c>
      <c r="C1647" s="333">
        <f t="shared" si="392"/>
        <v>0</v>
      </c>
      <c r="D1647" s="643"/>
      <c r="E1647" s="643">
        <f>VLOOKUP(B1647,DONGIA,DG!$B$6,0)</f>
        <v>0</v>
      </c>
      <c r="F1647" s="525" t="str">
        <f>VLOOKUP(B1647,DONGIA,DG!$C$6,0)</f>
        <v xml:space="preserve">Ống PVC D114x4,9mm </v>
      </c>
      <c r="G1647" s="523" t="str">
        <f>VLOOKUP(B1647,DONGIA,DG!$D$6,0)</f>
        <v>m</v>
      </c>
      <c r="H1647" s="525"/>
      <c r="I1647" s="525">
        <f>VLOOKUP(B1647,DONGIA,DG!$E$6,0)</f>
        <v>102000</v>
      </c>
      <c r="J1647" s="525"/>
      <c r="K1647" s="525">
        <f>VLOOKUP(B1647,DONGIA,DG!$F$6,0)</f>
        <v>0</v>
      </c>
      <c r="L1647" s="525">
        <f>VLOOKUP(B1647,DONGIA,DG!$G$6,0)</f>
        <v>0</v>
      </c>
      <c r="M1647" s="525">
        <f t="shared" si="406"/>
        <v>0</v>
      </c>
      <c r="N1647" s="525">
        <f t="shared" si="407"/>
        <v>0</v>
      </c>
      <c r="O1647" s="525">
        <f t="shared" si="408"/>
        <v>0</v>
      </c>
      <c r="P1647" s="525">
        <f t="shared" si="409"/>
        <v>0</v>
      </c>
      <c r="Q1647" s="525" t="s">
        <v>3460</v>
      </c>
      <c r="S1647" s="332">
        <f t="shared" si="385"/>
        <v>2</v>
      </c>
      <c r="T1647" s="332">
        <f t="shared" si="393"/>
        <v>0</v>
      </c>
    </row>
    <row r="1648" spans="2:20" hidden="1">
      <c r="B1648" s="332" t="s">
        <v>1177</v>
      </c>
      <c r="C1648" s="333">
        <f>IF(H1648&lt;&gt;0,1,)</f>
        <v>0</v>
      </c>
      <c r="D1648" s="648"/>
      <c r="E1648" s="648">
        <f>VLOOKUP(B1648,DONGIA,DG!$B$6,0)</f>
        <v>0</v>
      </c>
      <c r="F1648" s="525" t="str">
        <f>VLOOKUP(B1648,DONGIA,DG!$C$6,0)&amp;"(SDL)"</f>
        <v>Ống PVC D90x3,8mm (SDL)</v>
      </c>
      <c r="G1648" s="523" t="str">
        <f>VLOOKUP(B1648,DONGIA,DG!$D$6,0)</f>
        <v>m</v>
      </c>
      <c r="H1648" s="525"/>
      <c r="I1648" s="525"/>
      <c r="J1648" s="525"/>
      <c r="K1648" s="525">
        <f>VLOOKUP(B1648,DONGIA,DG!$F$6,0)</f>
        <v>0</v>
      </c>
      <c r="L1648" s="525">
        <f>VLOOKUP(B1648,DONGIA,DG!$G$6,0)</f>
        <v>0</v>
      </c>
      <c r="M1648" s="525">
        <f>$H1648*I1648</f>
        <v>0</v>
      </c>
      <c r="N1648" s="525">
        <f>$H1648*J1648</f>
        <v>0</v>
      </c>
      <c r="O1648" s="525">
        <f>$H1648*K1648</f>
        <v>0</v>
      </c>
      <c r="P1648" s="525">
        <f>$H1648*L1648</f>
        <v>0</v>
      </c>
      <c r="Q1648" s="525" t="s">
        <v>3459</v>
      </c>
      <c r="S1648" s="332">
        <f>IFERROR(VLOOKUP(B1648,DONGIA,$S$25,0),0)</f>
        <v>2</v>
      </c>
      <c r="T1648" s="332">
        <f>H1648*S1648</f>
        <v>0</v>
      </c>
    </row>
    <row r="1649" spans="2:20" hidden="1">
      <c r="B1649" s="332" t="s">
        <v>2854</v>
      </c>
      <c r="C1649" s="333">
        <f t="shared" si="392"/>
        <v>0</v>
      </c>
      <c r="D1649" s="523"/>
      <c r="E1649" s="523">
        <f>VLOOKUP(B1649,DONGIA,DG!$B$6,0)</f>
        <v>0</v>
      </c>
      <c r="F1649" s="525" t="str">
        <f>VLOOKUP(B1649,DONGIA,DG!$C$6,0)&amp;" (CD: 230)"</f>
        <v>Cổ dê kẹp ống PVC φ 114 trụ ghép (có giá nới) (CD: 230)</v>
      </c>
      <c r="G1649" s="523" t="str">
        <f>VLOOKUP(B1649,DONGIA,DG!$D$6,0)</f>
        <v>bộ</v>
      </c>
      <c r="H1649" s="525"/>
      <c r="I1649" s="525">
        <f>VLOOKUP(B1649,DONGIA,DG!$E$6,0)</f>
        <v>125000</v>
      </c>
      <c r="J1649" s="525"/>
      <c r="K1649" s="525"/>
      <c r="L1649" s="525">
        <f>VLOOKUP(B1649,DONGIA,DG!$G$6,0)</f>
        <v>0</v>
      </c>
      <c r="M1649" s="525">
        <f t="shared" si="406"/>
        <v>0</v>
      </c>
      <c r="N1649" s="525">
        <f t="shared" si="407"/>
        <v>0</v>
      </c>
      <c r="O1649" s="525">
        <f t="shared" si="408"/>
        <v>0</v>
      </c>
      <c r="P1649" s="525">
        <f t="shared" si="409"/>
        <v>0</v>
      </c>
      <c r="Q1649" s="525"/>
      <c r="S1649" s="332">
        <f t="shared" si="385"/>
        <v>1.5</v>
      </c>
      <c r="T1649" s="332">
        <f t="shared" si="393"/>
        <v>0</v>
      </c>
    </row>
    <row r="1650" spans="2:20" hidden="1">
      <c r="B1650" s="332" t="s">
        <v>2854</v>
      </c>
      <c r="C1650" s="333">
        <f t="shared" si="392"/>
        <v>0</v>
      </c>
      <c r="D1650" s="523"/>
      <c r="E1650" s="523">
        <f>VLOOKUP(B1650,DONGIA,DG!$B$6,0)</f>
        <v>0</v>
      </c>
      <c r="F1650" s="525" t="str">
        <f>VLOOKUP(B1650,DONGIA,DG!$C$6,0)&amp;" (CD: 250)"</f>
        <v>Cổ dê kẹp ống PVC φ 114 trụ ghép (có giá nới) (CD: 250)</v>
      </c>
      <c r="G1650" s="523" t="str">
        <f>VLOOKUP(B1650,DONGIA,DG!$D$6,0)</f>
        <v>bộ</v>
      </c>
      <c r="H1650" s="525"/>
      <c r="I1650" s="525">
        <f>VLOOKUP(B1650,DONGIA,DG!$E$6,0)</f>
        <v>125000</v>
      </c>
      <c r="J1650" s="525"/>
      <c r="K1650" s="525"/>
      <c r="L1650" s="525">
        <f>VLOOKUP(B1650,DONGIA,DG!$G$6,0)</f>
        <v>0</v>
      </c>
      <c r="M1650" s="525">
        <f t="shared" si="406"/>
        <v>0</v>
      </c>
      <c r="N1650" s="525">
        <f t="shared" si="407"/>
        <v>0</v>
      </c>
      <c r="O1650" s="525">
        <f t="shared" si="408"/>
        <v>0</v>
      </c>
      <c r="P1650" s="525">
        <f t="shared" si="409"/>
        <v>0</v>
      </c>
      <c r="Q1650" s="525"/>
      <c r="S1650" s="332">
        <f t="shared" si="385"/>
        <v>1.5</v>
      </c>
      <c r="T1650" s="332">
        <f t="shared" si="393"/>
        <v>0</v>
      </c>
    </row>
    <row r="1651" spans="2:20" hidden="1">
      <c r="B1651" s="332" t="s">
        <v>2854</v>
      </c>
      <c r="C1651" s="333">
        <f t="shared" si="392"/>
        <v>0</v>
      </c>
      <c r="D1651" s="523"/>
      <c r="E1651" s="523">
        <f>VLOOKUP(B1651,DONGIA,DG!$B$6,0)</f>
        <v>0</v>
      </c>
      <c r="F1651" s="525" t="str">
        <f>VLOOKUP(B1651,DONGIA,DG!$C$6,0)&amp;" (CD: 280)"</f>
        <v>Cổ dê kẹp ống PVC φ 114 trụ ghép (có giá nới) (CD: 280)</v>
      </c>
      <c r="G1651" s="523" t="str">
        <f>VLOOKUP(B1651,DONGIA,DG!$D$6,0)</f>
        <v>bộ</v>
      </c>
      <c r="H1651" s="525"/>
      <c r="I1651" s="525">
        <f>VLOOKUP(B1651,DONGIA,DG!$E$6,0)</f>
        <v>125000</v>
      </c>
      <c r="J1651" s="525"/>
      <c r="K1651" s="525"/>
      <c r="L1651" s="525">
        <f>VLOOKUP(B1651,DONGIA,DG!$G$6,0)</f>
        <v>0</v>
      </c>
      <c r="M1651" s="525">
        <f t="shared" si="406"/>
        <v>0</v>
      </c>
      <c r="N1651" s="525">
        <f t="shared" si="407"/>
        <v>0</v>
      </c>
      <c r="O1651" s="525">
        <f t="shared" si="408"/>
        <v>0</v>
      </c>
      <c r="P1651" s="525">
        <f t="shared" si="409"/>
        <v>0</v>
      </c>
      <c r="Q1651" s="525"/>
      <c r="S1651" s="332">
        <f t="shared" si="385"/>
        <v>1.5</v>
      </c>
      <c r="T1651" s="332">
        <f t="shared" si="393"/>
        <v>0</v>
      </c>
    </row>
    <row r="1652" spans="2:20" hidden="1">
      <c r="B1652" s="332" t="s">
        <v>2957</v>
      </c>
      <c r="C1652" s="333">
        <f t="shared" si="392"/>
        <v>0</v>
      </c>
      <c r="D1652" s="523"/>
      <c r="E1652" s="523">
        <f>VLOOKUP(B1652,DONGIA,DG!$B$6,0)</f>
        <v>0</v>
      </c>
      <c r="F1652" s="525" t="str">
        <f>VLOOKUP(B1652,DONGIA,DG!$C$6,0)</f>
        <v>Co  90 độ PVC 114 (Loại dày)</v>
      </c>
      <c r="G1652" s="523" t="str">
        <f>VLOOKUP(B1652,DONGIA,DG!$D$6,0)</f>
        <v>cái</v>
      </c>
      <c r="H1652" s="525"/>
      <c r="I1652" s="525">
        <f>VLOOKUP(B1652,DONGIA,DG!$E$6,0)</f>
        <v>104800</v>
      </c>
      <c r="J1652" s="525"/>
      <c r="K1652" s="525">
        <f>VLOOKUP(B1652,DONGIA,DG!$F$6,0)</f>
        <v>0</v>
      </c>
      <c r="L1652" s="525">
        <f>VLOOKUP(B1652,DONGIA,DG!$G$6,0)</f>
        <v>0</v>
      </c>
      <c r="M1652" s="525">
        <f t="shared" si="406"/>
        <v>0</v>
      </c>
      <c r="N1652" s="525">
        <f t="shared" si="407"/>
        <v>0</v>
      </c>
      <c r="O1652" s="525">
        <f t="shared" si="408"/>
        <v>0</v>
      </c>
      <c r="P1652" s="525">
        <f t="shared" si="409"/>
        <v>0</v>
      </c>
      <c r="Q1652" s="525"/>
      <c r="S1652" s="332">
        <f t="shared" si="385"/>
        <v>0</v>
      </c>
      <c r="T1652" s="332">
        <f t="shared" si="393"/>
        <v>0</v>
      </c>
    </row>
    <row r="1653" spans="2:20" hidden="1">
      <c r="B1653" s="332" t="s">
        <v>1940</v>
      </c>
      <c r="C1653" s="333">
        <f t="shared" si="392"/>
        <v>0</v>
      </c>
      <c r="D1653" s="523"/>
      <c r="E1653" s="523">
        <f>VLOOKUP(B1653,DONGIA,DG!$B$6,0)</f>
        <v>0</v>
      </c>
      <c r="F1653" s="525" t="str">
        <f>VLOOKUP(B1653,DONGIA,DG!$C$6,0)</f>
        <v>Nối giảm PVC 114-90</v>
      </c>
      <c r="G1653" s="523" t="str">
        <f>VLOOKUP(B1653,DONGIA,DG!$D$6,0)</f>
        <v>cái</v>
      </c>
      <c r="H1653" s="525"/>
      <c r="I1653" s="525">
        <f>VLOOKUP(B1653,DONGIA,DG!$E$6,0)</f>
        <v>52800</v>
      </c>
      <c r="J1653" s="525"/>
      <c r="K1653" s="525">
        <f>VLOOKUP(B1653,DONGIA,DG!$F$6,0)</f>
        <v>0</v>
      </c>
      <c r="L1653" s="525">
        <f>VLOOKUP(B1653,DONGIA,DG!$G$6,0)</f>
        <v>0</v>
      </c>
      <c r="M1653" s="525">
        <f t="shared" si="406"/>
        <v>0</v>
      </c>
      <c r="N1653" s="525">
        <f t="shared" si="407"/>
        <v>0</v>
      </c>
      <c r="O1653" s="525">
        <f t="shared" si="408"/>
        <v>0</v>
      </c>
      <c r="P1653" s="525">
        <f t="shared" si="409"/>
        <v>0</v>
      </c>
      <c r="Q1653" s="525"/>
      <c r="S1653" s="332">
        <f t="shared" si="385"/>
        <v>0</v>
      </c>
      <c r="T1653" s="332">
        <f t="shared" si="393"/>
        <v>0</v>
      </c>
    </row>
    <row r="1654" spans="2:20" hidden="1">
      <c r="B1654" s="332" t="s">
        <v>1189</v>
      </c>
      <c r="C1654" s="333">
        <f t="shared" si="392"/>
        <v>0</v>
      </c>
      <c r="D1654" s="523"/>
      <c r="E1654" s="523">
        <f>VLOOKUP(B1654,DONGIA,DG!$B$6,0)</f>
        <v>0</v>
      </c>
      <c r="F1654" s="525" t="str">
        <f>VLOOKUP(B1654,DONGIA,DG!$C$6,0)</f>
        <v>Co 135 độ PVC 114</v>
      </c>
      <c r="G1654" s="523" t="str">
        <f>VLOOKUP(B1654,DONGIA,DG!$D$6,0)</f>
        <v>cái</v>
      </c>
      <c r="H1654" s="525"/>
      <c r="I1654" s="525">
        <f>VLOOKUP(B1654,DONGIA,DG!$E$6,0)</f>
        <v>70800</v>
      </c>
      <c r="J1654" s="525"/>
      <c r="K1654" s="525">
        <f>VLOOKUP(B1654,DONGIA,DG!$F$6,0)</f>
        <v>0</v>
      </c>
      <c r="L1654" s="525">
        <f>VLOOKUP(B1654,DONGIA,DG!$G$6,0)</f>
        <v>0</v>
      </c>
      <c r="M1654" s="525">
        <f t="shared" si="406"/>
        <v>0</v>
      </c>
      <c r="N1654" s="525">
        <f t="shared" si="407"/>
        <v>0</v>
      </c>
      <c r="O1654" s="525">
        <f t="shared" si="408"/>
        <v>0</v>
      </c>
      <c r="P1654" s="525">
        <f t="shared" si="409"/>
        <v>0</v>
      </c>
      <c r="Q1654" s="525"/>
      <c r="S1654" s="332">
        <f t="shared" ref="S1654:S1690" si="410">IFERROR(VLOOKUP(B1654,DONGIA,$S$25,0),0)</f>
        <v>0</v>
      </c>
      <c r="T1654" s="332">
        <f t="shared" si="393"/>
        <v>0</v>
      </c>
    </row>
    <row r="1655" spans="2:20" hidden="1">
      <c r="B1655" s="332" t="s">
        <v>1914</v>
      </c>
      <c r="C1655" s="333">
        <f t="shared" si="392"/>
        <v>0</v>
      </c>
      <c r="D1655" s="523"/>
      <c r="E1655" s="523">
        <f>VLOOKUP(B1655,DONGIA,DG!$B$6,0)</f>
        <v>0</v>
      </c>
      <c r="F1655" s="525" t="str">
        <f>VLOOKUP(B1655,DONGIA,DG!$C$6,0)</f>
        <v>Keo dán ống PVC (100gr)</v>
      </c>
      <c r="G1655" s="523" t="str">
        <f>VLOOKUP(B1655,DONGIA,DG!$D$6,0)</f>
        <v>tuýp</v>
      </c>
      <c r="H1655" s="525"/>
      <c r="I1655" s="525">
        <f>VLOOKUP(B1655,DONGIA,DG!$E$6,0)</f>
        <v>11500</v>
      </c>
      <c r="J1655" s="525"/>
      <c r="K1655" s="525">
        <f>VLOOKUP(B1655,DONGIA,DG!$F$6,0)</f>
        <v>0</v>
      </c>
      <c r="L1655" s="525">
        <f>VLOOKUP(B1655,DONGIA,DG!$G$6,0)</f>
        <v>0</v>
      </c>
      <c r="M1655" s="525">
        <f t="shared" si="406"/>
        <v>0</v>
      </c>
      <c r="N1655" s="525">
        <f t="shared" si="407"/>
        <v>0</v>
      </c>
      <c r="O1655" s="525">
        <f t="shared" si="408"/>
        <v>0</v>
      </c>
      <c r="P1655" s="525">
        <f t="shared" si="409"/>
        <v>0</v>
      </c>
      <c r="Q1655" s="525"/>
      <c r="S1655" s="332">
        <f t="shared" si="410"/>
        <v>0</v>
      </c>
      <c r="T1655" s="332">
        <f t="shared" si="393"/>
        <v>0</v>
      </c>
    </row>
    <row r="1656" spans="2:20" hidden="1">
      <c r="B1656" s="332" t="s">
        <v>1639</v>
      </c>
      <c r="C1656" s="333">
        <f t="shared" si="392"/>
        <v>0</v>
      </c>
      <c r="D1656" s="523"/>
      <c r="E1656" s="523">
        <f>VLOOKUP(B1656,DONGIA,DG!$B$6,0)</f>
        <v>0</v>
      </c>
      <c r="F1656" s="525" t="str">
        <f>VLOOKUP(B1656,DONGIA,DG!$C$6,0)&amp;" bịt miệng ống"</f>
        <v>Xi măng bịt miệng ống</v>
      </c>
      <c r="G1656" s="523" t="str">
        <f>VLOOKUP(B1656,DONGIA,DG!$D$6,0)</f>
        <v>kg</v>
      </c>
      <c r="H1656" s="554">
        <f>H1633*0.5</f>
        <v>0</v>
      </c>
      <c r="I1656" s="525">
        <f>VLOOKUP(B1656,DONGIA,DG!$E$6,0)</f>
        <v>1760</v>
      </c>
      <c r="J1656" s="525"/>
      <c r="K1656" s="525">
        <f>VLOOKUP(B1656,DONGIA,DG!$F$6,0)</f>
        <v>0</v>
      </c>
      <c r="L1656" s="525">
        <f>VLOOKUP(B1656,DONGIA,DG!$G$6,0)</f>
        <v>0</v>
      </c>
      <c r="M1656" s="525">
        <f t="shared" si="406"/>
        <v>0</v>
      </c>
      <c r="N1656" s="525">
        <f t="shared" si="407"/>
        <v>0</v>
      </c>
      <c r="O1656" s="525">
        <f t="shared" si="408"/>
        <v>0</v>
      </c>
      <c r="P1656" s="525">
        <f t="shared" si="409"/>
        <v>0</v>
      </c>
      <c r="Q1656" s="525"/>
      <c r="S1656" s="332">
        <f t="shared" si="410"/>
        <v>1</v>
      </c>
      <c r="T1656" s="332">
        <f t="shared" si="393"/>
        <v>0</v>
      </c>
    </row>
    <row r="1657" spans="2:20" hidden="1">
      <c r="B1657" s="332" t="s">
        <v>1193</v>
      </c>
      <c r="C1657" s="333">
        <f t="shared" si="392"/>
        <v>0</v>
      </c>
      <c r="D1657" s="523"/>
      <c r="E1657" s="523">
        <f>VLOOKUP(B1657,DONGIA,DG!$B$6,0)</f>
        <v>0</v>
      </c>
      <c r="F1657" s="525" t="str">
        <f>VLOOKUP(B1657,DONGIA,DG!$C$6,0)</f>
        <v>Băng keo cách điện</v>
      </c>
      <c r="G1657" s="523" t="str">
        <f>VLOOKUP(B1657,DONGIA,DG!$D$6,0)</f>
        <v>cuộn</v>
      </c>
      <c r="H1657" s="525"/>
      <c r="I1657" s="525">
        <f>VLOOKUP(B1657,DONGIA,DG!$E$6,0)</f>
        <v>6500</v>
      </c>
      <c r="J1657" s="525"/>
      <c r="K1657" s="525">
        <f>VLOOKUP(B1657,DONGIA,DG!$F$6,0)</f>
        <v>0</v>
      </c>
      <c r="L1657" s="525">
        <f>VLOOKUP(B1657,DONGIA,DG!$G$6,0)</f>
        <v>0</v>
      </c>
      <c r="M1657" s="525">
        <f t="shared" si="406"/>
        <v>0</v>
      </c>
      <c r="N1657" s="525">
        <f t="shared" si="407"/>
        <v>0</v>
      </c>
      <c r="O1657" s="525">
        <f t="shared" si="408"/>
        <v>0</v>
      </c>
      <c r="P1657" s="525">
        <f t="shared" si="409"/>
        <v>0</v>
      </c>
      <c r="Q1657" s="525"/>
      <c r="S1657" s="332">
        <f t="shared" si="410"/>
        <v>0</v>
      </c>
      <c r="T1657" s="332">
        <f t="shared" si="393"/>
        <v>0</v>
      </c>
    </row>
    <row r="1658" spans="2:20" hidden="1">
      <c r="B1658" s="332" t="s">
        <v>855</v>
      </c>
      <c r="C1658" s="333">
        <f t="shared" si="392"/>
        <v>0</v>
      </c>
      <c r="D1658" s="523"/>
      <c r="E1658" s="523" t="str">
        <f>VLOOKUP(B1658,DONGIA,DG!$B$6,0)</f>
        <v>T4.8003</v>
      </c>
      <c r="F1658" s="525" t="str">
        <f>VLOOKUP(B1658,DONGIA,DG!$C$6,0)</f>
        <v>Lắp ống nhựa PVC D90</v>
      </c>
      <c r="G1658" s="523" t="str">
        <f>VLOOKUP(B1658,DONGIA,DG!$D$6,0)</f>
        <v>mét</v>
      </c>
      <c r="H1658" s="525">
        <f>H1648</f>
        <v>0</v>
      </c>
      <c r="I1658" s="525">
        <f>VLOOKUP(B1658,DONGIA,DG!$E$6,0)</f>
        <v>0</v>
      </c>
      <c r="J1658" s="525"/>
      <c r="K1658" s="525">
        <f>VLOOKUP(B1658,DONGIA,DG!$F$6,0)</f>
        <v>35541</v>
      </c>
      <c r="L1658" s="525">
        <f>VLOOKUP(B1658,DONGIA,DG!$G$6,0)</f>
        <v>0</v>
      </c>
      <c r="M1658" s="525">
        <f t="shared" si="406"/>
        <v>0</v>
      </c>
      <c r="N1658" s="525">
        <f t="shared" si="407"/>
        <v>0</v>
      </c>
      <c r="O1658" s="525">
        <f t="shared" si="408"/>
        <v>0</v>
      </c>
      <c r="P1658" s="525">
        <f t="shared" si="409"/>
        <v>0</v>
      </c>
      <c r="Q1658" s="525"/>
      <c r="S1658" s="332">
        <f t="shared" si="410"/>
        <v>0</v>
      </c>
      <c r="T1658" s="332">
        <f t="shared" si="393"/>
        <v>0</v>
      </c>
    </row>
    <row r="1659" spans="2:20" hidden="1">
      <c r="B1659" s="332" t="s">
        <v>857</v>
      </c>
      <c r="C1659" s="333">
        <f>IF(H1659&lt;&gt;0,1,)</f>
        <v>0</v>
      </c>
      <c r="D1659" s="523"/>
      <c r="E1659" s="523" t="str">
        <f>VLOOKUP(B1659,DONGIA,DG!$B$6,0)</f>
        <v>T4.8003</v>
      </c>
      <c r="F1659" s="525" t="str">
        <f>VLOOKUP(B1659,DONGIA,DG!$C$6,0)</f>
        <v>Lắp ống nhựa PVC D114</v>
      </c>
      <c r="G1659" s="523" t="str">
        <f>VLOOKUP(B1659,DONGIA,DG!$D$6,0)</f>
        <v>mét</v>
      </c>
      <c r="H1659" s="525">
        <f>H1647</f>
        <v>0</v>
      </c>
      <c r="I1659" s="525">
        <f>VLOOKUP(B1659,DONGIA,DG!$E$6,0)</f>
        <v>0</v>
      </c>
      <c r="J1659" s="525"/>
      <c r="K1659" s="525">
        <f>VLOOKUP(B1659,DONGIA,DG!$F$6,0)</f>
        <v>35541</v>
      </c>
      <c r="L1659" s="525">
        <f>VLOOKUP(B1659,DONGIA,DG!$G$6,0)</f>
        <v>0</v>
      </c>
      <c r="M1659" s="525">
        <f>$H1659*I1659</f>
        <v>0</v>
      </c>
      <c r="N1659" s="525">
        <f>$H1659*J1659</f>
        <v>0</v>
      </c>
      <c r="O1659" s="525">
        <f>$H1659*K1659</f>
        <v>0</v>
      </c>
      <c r="P1659" s="525">
        <f>$H1659*L1659</f>
        <v>0</v>
      </c>
      <c r="Q1659" s="525"/>
      <c r="S1659" s="332">
        <f>IFERROR(VLOOKUP(B1659,DONGIA,$S$25,0),0)</f>
        <v>0</v>
      </c>
      <c r="T1659" s="332">
        <f>H1659*S1659</f>
        <v>0</v>
      </c>
    </row>
    <row r="1660" spans="2:20" hidden="1">
      <c r="B1660" s="332" t="s">
        <v>1939</v>
      </c>
      <c r="C1660" s="333">
        <f t="shared" si="392"/>
        <v>0</v>
      </c>
      <c r="D1660" s="523"/>
      <c r="E1660" s="523" t="str">
        <f>VLOOKUP(B1660,DONGIA,DG!$B$6,0)</f>
        <v>T4.4201</v>
      </c>
      <c r="F1660" s="525" t="str">
        <f>VLOOKUP(B1660,DONGIA,DG!$C$6,0)</f>
        <v>Lắp cáp đồng xuống thiết bị D ≤ 95mm2</v>
      </c>
      <c r="G1660" s="523" t="str">
        <f>VLOOKUP(B1660,DONGIA,DG!$D$6,0)</f>
        <v>m</v>
      </c>
      <c r="H1660" s="525">
        <f>H1636+H1639</f>
        <v>0</v>
      </c>
      <c r="I1660" s="525">
        <f>VLOOKUP(B1660,DONGIA,DG!$E$6,0)</f>
        <v>0</v>
      </c>
      <c r="J1660" s="525"/>
      <c r="K1660" s="525">
        <f>VLOOKUP(B1660,DONGIA,DG!$F$6,0)</f>
        <v>11847</v>
      </c>
      <c r="L1660" s="525">
        <f>VLOOKUP(B1660,DONGIA,DG!$G$6,0)</f>
        <v>0</v>
      </c>
      <c r="M1660" s="525">
        <f t="shared" si="406"/>
        <v>0</v>
      </c>
      <c r="N1660" s="525">
        <f t="shared" si="407"/>
        <v>0</v>
      </c>
      <c r="O1660" s="525">
        <f t="shared" si="408"/>
        <v>0</v>
      </c>
      <c r="P1660" s="525">
        <f t="shared" si="409"/>
        <v>0</v>
      </c>
      <c r="Q1660" s="525"/>
      <c r="S1660" s="332">
        <f t="shared" si="410"/>
        <v>0</v>
      </c>
      <c r="T1660" s="332">
        <f t="shared" si="393"/>
        <v>0</v>
      </c>
    </row>
    <row r="1661" spans="2:20" hidden="1">
      <c r="B1661" s="332" t="s">
        <v>2063</v>
      </c>
      <c r="C1661" s="333">
        <f t="shared" si="392"/>
        <v>0</v>
      </c>
      <c r="D1661" s="523"/>
      <c r="E1661" s="523" t="str">
        <f>VLOOKUP(B1661,DONGIA,DG!$B$6,0)</f>
        <v>T4.4202</v>
      </c>
      <c r="F1661" s="525" t="str">
        <f>VLOOKUP(B1661,DONGIA,DG!$C$6,0)</f>
        <v>Lắp cáp đồng xuống thiết bị D ≤ 150mm2</v>
      </c>
      <c r="G1661" s="523" t="str">
        <f>VLOOKUP(B1661,DONGIA,DG!$D$6,0)</f>
        <v>m</v>
      </c>
      <c r="H1661" s="525">
        <f>H1635+H1637+H1638</f>
        <v>0</v>
      </c>
      <c r="I1661" s="525"/>
      <c r="J1661" s="525"/>
      <c r="K1661" s="525">
        <f>VLOOKUP(B1661,DONGIA,DG!$F$6,0)</f>
        <v>28433</v>
      </c>
      <c r="L1661" s="525">
        <f>VLOOKUP(B1661,DONGIA,DG!$G$6,0)</f>
        <v>0</v>
      </c>
      <c r="M1661" s="525">
        <f t="shared" si="406"/>
        <v>0</v>
      </c>
      <c r="N1661" s="525">
        <f t="shared" si="407"/>
        <v>0</v>
      </c>
      <c r="O1661" s="525">
        <f t="shared" si="408"/>
        <v>0</v>
      </c>
      <c r="P1661" s="525">
        <f t="shared" si="409"/>
        <v>0</v>
      </c>
      <c r="Q1661" s="525"/>
      <c r="S1661" s="332">
        <f t="shared" si="410"/>
        <v>0</v>
      </c>
      <c r="T1661" s="332">
        <f t="shared" si="393"/>
        <v>0</v>
      </c>
    </row>
    <row r="1662" spans="2:20" hidden="1">
      <c r="C1662" s="333">
        <f t="shared" si="392"/>
        <v>0</v>
      </c>
      <c r="D1662" s="372">
        <f>IF(H1662&lt;&gt;0,D1633+1,D1633)</f>
        <v>0</v>
      </c>
      <c r="E1662" s="372"/>
      <c r="F1662" s="373" t="s">
        <v>1938</v>
      </c>
      <c r="G1662" s="372" t="s">
        <v>138</v>
      </c>
      <c r="H1662" s="372">
        <f>TRNC2X50*2</f>
        <v>0</v>
      </c>
      <c r="I1662" s="373"/>
      <c r="J1662" s="373"/>
      <c r="K1662" s="373"/>
      <c r="L1662" s="373"/>
      <c r="M1662" s="373"/>
      <c r="N1662" s="373"/>
      <c r="O1662" s="373"/>
      <c r="P1662" s="373"/>
      <c r="Q1662" s="373"/>
      <c r="S1662" s="332">
        <f t="shared" si="410"/>
        <v>0</v>
      </c>
      <c r="T1662" s="332">
        <f t="shared" si="393"/>
        <v>0</v>
      </c>
    </row>
    <row r="1663" spans="2:20" s="361" customFormat="1" hidden="1">
      <c r="C1663" s="374">
        <f t="shared" si="392"/>
        <v>0</v>
      </c>
      <c r="D1663" s="350"/>
      <c r="E1663" s="350"/>
      <c r="F1663" s="351" t="s">
        <v>1902</v>
      </c>
      <c r="G1663" s="350"/>
      <c r="H1663" s="351"/>
      <c r="I1663" s="351"/>
      <c r="J1663" s="351"/>
      <c r="K1663" s="351"/>
      <c r="L1663" s="351"/>
      <c r="M1663" s="351"/>
      <c r="N1663" s="351"/>
      <c r="O1663" s="351"/>
      <c r="P1663" s="351"/>
      <c r="Q1663" s="351"/>
      <c r="S1663" s="361">
        <f t="shared" si="410"/>
        <v>0</v>
      </c>
      <c r="T1663" s="361">
        <f t="shared" si="393"/>
        <v>0</v>
      </c>
    </row>
    <row r="1664" spans="2:20" hidden="1">
      <c r="B1664" s="332" t="s">
        <v>1742</v>
      </c>
      <c r="C1664" s="333">
        <f t="shared" si="392"/>
        <v>0</v>
      </c>
      <c r="D1664" s="328"/>
      <c r="E1664" s="328">
        <f>VLOOKUP(B1664,DONGIA,DG!$B$6,0)</f>
        <v>0</v>
      </c>
      <c r="F1664" s="329" t="str">
        <f>VLOOKUP(B1664,DONGIA,DG!$C$6,0)&amp;" (SDL)"</f>
        <v>Cáp đồng bọc CV95 (SDL)</v>
      </c>
      <c r="G1664" s="328" t="str">
        <f>VLOOKUP(B1664,DONGIA,DG!$D$6,0)</f>
        <v>mét</v>
      </c>
      <c r="H1664" s="329"/>
      <c r="I1664" s="329"/>
      <c r="J1664" s="329"/>
      <c r="K1664" s="329">
        <f>VLOOKUP(B1664,DONGIA,DG!$F$6,0)</f>
        <v>0</v>
      </c>
      <c r="L1664" s="329">
        <f>VLOOKUP(B1664,DONGIA,DG!$G$6,0)</f>
        <v>0</v>
      </c>
      <c r="M1664" s="329">
        <f t="shared" ref="M1664:M1689" si="411">$H1664*I1664</f>
        <v>0</v>
      </c>
      <c r="N1664" s="329">
        <f t="shared" ref="N1664:N1689" si="412">$H1664*J1664</f>
        <v>0</v>
      </c>
      <c r="O1664" s="329">
        <f t="shared" ref="O1664:O1689" si="413">$H1664*K1664</f>
        <v>0</v>
      </c>
      <c r="P1664" s="329">
        <f t="shared" ref="P1664:P1689" si="414">$H1664*L1664</f>
        <v>0</v>
      </c>
      <c r="Q1664" s="329" t="s">
        <v>3459</v>
      </c>
      <c r="S1664" s="332">
        <f t="shared" si="410"/>
        <v>1.008</v>
      </c>
      <c r="T1664" s="332">
        <f t="shared" si="393"/>
        <v>0</v>
      </c>
    </row>
    <row r="1665" spans="2:20" hidden="1">
      <c r="B1665" s="332" t="s">
        <v>1906</v>
      </c>
      <c r="C1665" s="333">
        <f t="shared" si="392"/>
        <v>0</v>
      </c>
      <c r="D1665" s="328"/>
      <c r="E1665" s="328">
        <f>VLOOKUP(B1665,DONGIA,DG!$B$6,0)</f>
        <v>0</v>
      </c>
      <c r="F1665" s="329" t="str">
        <f>VLOOKUP(B1665,DONGIA,DG!$C$6,0)&amp;" (SDL)"</f>
        <v>Cáp đồng bọc CV50 (SDL)</v>
      </c>
      <c r="G1665" s="328" t="str">
        <f>VLOOKUP(B1665,DONGIA,DG!$D$6,0)</f>
        <v>mét</v>
      </c>
      <c r="H1665" s="329"/>
      <c r="I1665" s="329"/>
      <c r="J1665" s="329"/>
      <c r="K1665" s="329">
        <f>VLOOKUP(B1665,DONGIA,DG!$F$6,0)</f>
        <v>0</v>
      </c>
      <c r="L1665" s="329">
        <f>VLOOKUP(B1665,DONGIA,DG!$G$6,0)</f>
        <v>0</v>
      </c>
      <c r="M1665" s="329">
        <f t="shared" si="411"/>
        <v>0</v>
      </c>
      <c r="N1665" s="329">
        <f t="shared" si="412"/>
        <v>0</v>
      </c>
      <c r="O1665" s="329">
        <f t="shared" si="413"/>
        <v>0</v>
      </c>
      <c r="P1665" s="329">
        <f t="shared" si="414"/>
        <v>0</v>
      </c>
      <c r="Q1665" s="329" t="s">
        <v>3459</v>
      </c>
      <c r="S1665" s="332">
        <f t="shared" si="410"/>
        <v>0.53400000000000003</v>
      </c>
      <c r="T1665" s="332">
        <f t="shared" si="393"/>
        <v>0</v>
      </c>
    </row>
    <row r="1666" spans="2:20" hidden="1">
      <c r="B1666" s="332" t="s">
        <v>1742</v>
      </c>
      <c r="C1666" s="333">
        <f t="shared" si="392"/>
        <v>0</v>
      </c>
      <c r="D1666" s="328"/>
      <c r="E1666" s="328">
        <f>VLOOKUP(B1666,DONGIA,DG!$B$6,0)</f>
        <v>0</v>
      </c>
      <c r="F1666" s="329" t="str">
        <f>VLOOKUP(B1666,DONGIA,DG!$C$6,0)</f>
        <v>Cáp đồng bọc CV95</v>
      </c>
      <c r="G1666" s="328" t="str">
        <f>VLOOKUP(B1666,DONGIA,DG!$D$6,0)</f>
        <v>mét</v>
      </c>
      <c r="H1666" s="329"/>
      <c r="I1666" s="329">
        <f>VLOOKUP(B1666,DONGIA,DG!$E$6,0)</f>
        <v>196130</v>
      </c>
      <c r="J1666" s="329"/>
      <c r="K1666" s="329">
        <f>VLOOKUP(B1666,DONGIA,DG!$F$6,0)</f>
        <v>0</v>
      </c>
      <c r="L1666" s="329">
        <f>VLOOKUP(B1666,DONGIA,DG!$G$6,0)</f>
        <v>0</v>
      </c>
      <c r="M1666" s="329">
        <f t="shared" si="411"/>
        <v>0</v>
      </c>
      <c r="N1666" s="329">
        <f t="shared" si="412"/>
        <v>0</v>
      </c>
      <c r="O1666" s="329">
        <f t="shared" si="413"/>
        <v>0</v>
      </c>
      <c r="P1666" s="329">
        <f t="shared" si="414"/>
        <v>0</v>
      </c>
      <c r="Q1666" s="329" t="s">
        <v>3459</v>
      </c>
      <c r="S1666" s="332">
        <f t="shared" si="410"/>
        <v>1.008</v>
      </c>
      <c r="T1666" s="332">
        <f t="shared" si="393"/>
        <v>0</v>
      </c>
    </row>
    <row r="1667" spans="2:20" hidden="1">
      <c r="B1667" s="332" t="s">
        <v>1907</v>
      </c>
      <c r="C1667" s="333">
        <f>IF(H1667&lt;&gt;0,1,)</f>
        <v>0</v>
      </c>
      <c r="D1667" s="328"/>
      <c r="E1667" s="328">
        <f>VLOOKUP(B1667,DONGIA,DG!$B$6,0)</f>
        <v>0</v>
      </c>
      <c r="F1667" s="329" t="str">
        <f>VLOOKUP(B1667,DONGIA,DG!$C$6,0)</f>
        <v>Cáp đồng bọc CV70</v>
      </c>
      <c r="G1667" s="328" t="str">
        <f>VLOOKUP(B1667,DONGIA,DG!$D$6,0)</f>
        <v>mét</v>
      </c>
      <c r="H1667" s="329"/>
      <c r="I1667" s="329">
        <f>VLOOKUP(B1667,DONGIA,DG!$E$6,0)</f>
        <v>142880</v>
      </c>
      <c r="J1667" s="329"/>
      <c r="K1667" s="329">
        <f>VLOOKUP(B1667,DONGIA,DG!$F$6,0)</f>
        <v>0</v>
      </c>
      <c r="L1667" s="329">
        <f>VLOOKUP(B1667,DONGIA,DG!$G$6,0)</f>
        <v>0</v>
      </c>
      <c r="M1667" s="329">
        <f>$H1667*I1667</f>
        <v>0</v>
      </c>
      <c r="N1667" s="329">
        <f>$H1667*J1667</f>
        <v>0</v>
      </c>
      <c r="O1667" s="329">
        <f>$H1667*K1667</f>
        <v>0</v>
      </c>
      <c r="P1667" s="329">
        <f>$H1667*L1667</f>
        <v>0</v>
      </c>
      <c r="Q1667" s="329" t="s">
        <v>3460</v>
      </c>
      <c r="S1667" s="332">
        <f>IFERROR(VLOOKUP(B1667,DONGIA,$S$25,0),0)</f>
        <v>0.73899999999999999</v>
      </c>
      <c r="T1667" s="332">
        <f>H1667*S1667</f>
        <v>0</v>
      </c>
    </row>
    <row r="1668" spans="2:20" hidden="1">
      <c r="B1668" s="332" t="s">
        <v>1906</v>
      </c>
      <c r="C1668" s="333">
        <f t="shared" si="392"/>
        <v>0</v>
      </c>
      <c r="D1668" s="328"/>
      <c r="E1668" s="328">
        <f>VLOOKUP(B1668,DONGIA,DG!$B$6,0)</f>
        <v>0</v>
      </c>
      <c r="F1668" s="329" t="str">
        <f>VLOOKUP(B1668,DONGIA,DG!$C$6,0)</f>
        <v>Cáp đồng bọc CV50</v>
      </c>
      <c r="G1668" s="328" t="str">
        <f>VLOOKUP(B1668,DONGIA,DG!$D$6,0)</f>
        <v>mét</v>
      </c>
      <c r="H1668" s="329"/>
      <c r="I1668" s="329">
        <f>VLOOKUP(B1668,DONGIA,DG!$E$6,0)</f>
        <v>104370</v>
      </c>
      <c r="J1668" s="329"/>
      <c r="K1668" s="329">
        <f>VLOOKUP(B1668,DONGIA,DG!$F$6,0)</f>
        <v>0</v>
      </c>
      <c r="L1668" s="329">
        <f>VLOOKUP(B1668,DONGIA,DG!$G$6,0)</f>
        <v>0</v>
      </c>
      <c r="M1668" s="329">
        <f t="shared" si="411"/>
        <v>0</v>
      </c>
      <c r="N1668" s="329">
        <f t="shared" si="412"/>
        <v>0</v>
      </c>
      <c r="O1668" s="329">
        <f t="shared" si="413"/>
        <v>0</v>
      </c>
      <c r="P1668" s="329">
        <f t="shared" si="414"/>
        <v>0</v>
      </c>
      <c r="Q1668" s="329" t="s">
        <v>3460</v>
      </c>
      <c r="S1668" s="332">
        <f t="shared" si="410"/>
        <v>0.53400000000000003</v>
      </c>
      <c r="T1668" s="332">
        <f t="shared" si="393"/>
        <v>0</v>
      </c>
    </row>
    <row r="1669" spans="2:20" hidden="1">
      <c r="B1669" s="332" t="s">
        <v>1116</v>
      </c>
      <c r="C1669" s="333">
        <f t="shared" ref="C1669:C1690" si="415">IF(H1669&lt;&gt;0,1,)</f>
        <v>0</v>
      </c>
      <c r="D1669" s="328"/>
      <c r="E1669" s="328"/>
      <c r="F1669" s="329" t="str">
        <f>VLOOKUP(B1669,DONGIA,DG!$C$6,0)</f>
        <v>Đầu cosse ép Cu 95mm2</v>
      </c>
      <c r="G1669" s="328" t="str">
        <f>VLOOKUP(B1669,DONGIA,DG!$D$6,0)</f>
        <v>cái</v>
      </c>
      <c r="H1669" s="329"/>
      <c r="I1669" s="329">
        <f>VLOOKUP(B1669,DONGIA,DG!$E$6,0)</f>
        <v>45000</v>
      </c>
      <c r="J1669" s="329"/>
      <c r="K1669" s="329"/>
      <c r="L1669" s="329"/>
      <c r="M1669" s="329">
        <f t="shared" si="411"/>
        <v>0</v>
      </c>
      <c r="N1669" s="329">
        <f t="shared" si="412"/>
        <v>0</v>
      </c>
      <c r="O1669" s="329">
        <f t="shared" si="413"/>
        <v>0</v>
      </c>
      <c r="P1669" s="329">
        <f t="shared" si="414"/>
        <v>0</v>
      </c>
      <c r="Q1669" s="329"/>
      <c r="S1669" s="332">
        <f t="shared" si="410"/>
        <v>0.2</v>
      </c>
      <c r="T1669" s="332">
        <f t="shared" ref="T1669:T1690" si="416">H1669*S1669</f>
        <v>0</v>
      </c>
    </row>
    <row r="1670" spans="2:20" hidden="1">
      <c r="B1670" s="332" t="s">
        <v>1113</v>
      </c>
      <c r="C1670" s="333">
        <f>IF(H1670&lt;&gt;0,1,)</f>
        <v>0</v>
      </c>
      <c r="D1670" s="328"/>
      <c r="E1670" s="328"/>
      <c r="F1670" s="329" t="str">
        <f>VLOOKUP(B1670,DONGIA,DG!$C$6,0)</f>
        <v>Đầu cosse ép Cu 70mm2</v>
      </c>
      <c r="G1670" s="328" t="str">
        <f>VLOOKUP(B1670,DONGIA,DG!$D$6,0)</f>
        <v>cái</v>
      </c>
      <c r="H1670" s="329"/>
      <c r="I1670" s="329">
        <f>VLOOKUP(B1670,DONGIA,DG!$E$6,0)</f>
        <v>33000</v>
      </c>
      <c r="J1670" s="329"/>
      <c r="K1670" s="329"/>
      <c r="L1670" s="329"/>
      <c r="M1670" s="329">
        <f>$H1670*I1670</f>
        <v>0</v>
      </c>
      <c r="N1670" s="329">
        <f>$H1670*J1670</f>
        <v>0</v>
      </c>
      <c r="O1670" s="329">
        <f>$H1670*K1670</f>
        <v>0</v>
      </c>
      <c r="P1670" s="329">
        <f>$H1670*L1670</f>
        <v>0</v>
      </c>
      <c r="Q1670" s="329"/>
      <c r="S1670" s="332">
        <f>IFERROR(VLOOKUP(B1670,DONGIA,$S$25,0),0)</f>
        <v>0.2</v>
      </c>
      <c r="T1670" s="332">
        <f>H1670*S1670</f>
        <v>0</v>
      </c>
    </row>
    <row r="1671" spans="2:20" hidden="1">
      <c r="B1671" s="332" t="s">
        <v>1110</v>
      </c>
      <c r="C1671" s="333">
        <f t="shared" si="415"/>
        <v>0</v>
      </c>
      <c r="D1671" s="328"/>
      <c r="E1671" s="328"/>
      <c r="F1671" s="329" t="str">
        <f>VLOOKUP(B1671,DONGIA,DG!$C$6,0)</f>
        <v>Đầu cosse ép Cu 50mm2</v>
      </c>
      <c r="G1671" s="328" t="str">
        <f>VLOOKUP(B1671,DONGIA,DG!$D$6,0)</f>
        <v>cái</v>
      </c>
      <c r="H1671" s="329"/>
      <c r="I1671" s="329">
        <f>VLOOKUP(B1671,DONGIA,DG!$E$6,0)</f>
        <v>23000</v>
      </c>
      <c r="J1671" s="329"/>
      <c r="K1671" s="329"/>
      <c r="L1671" s="329"/>
      <c r="M1671" s="329">
        <f t="shared" si="411"/>
        <v>0</v>
      </c>
      <c r="N1671" s="329">
        <f t="shared" si="412"/>
        <v>0</v>
      </c>
      <c r="O1671" s="329">
        <f t="shared" si="413"/>
        <v>0</v>
      </c>
      <c r="P1671" s="329">
        <f t="shared" si="414"/>
        <v>0</v>
      </c>
      <c r="Q1671" s="329"/>
      <c r="S1671" s="332">
        <f t="shared" si="410"/>
        <v>0.1</v>
      </c>
      <c r="T1671" s="332">
        <f t="shared" si="416"/>
        <v>0</v>
      </c>
    </row>
    <row r="1672" spans="2:20" hidden="1">
      <c r="B1672" s="332" t="s">
        <v>1149</v>
      </c>
      <c r="C1672" s="333">
        <f t="shared" si="415"/>
        <v>0</v>
      </c>
      <c r="D1672" s="328"/>
      <c r="E1672" s="328">
        <f>VLOOKUP(B1672,DONGIA,DG!$B$6,0)</f>
        <v>0</v>
      </c>
      <c r="F1672" s="329" t="str">
        <f>VLOOKUP(B1672,DONGIA,DG!$C$6,0)</f>
        <v>Chụp đầu cosse  95mm2</v>
      </c>
      <c r="G1672" s="328" t="str">
        <f>VLOOKUP(B1672,DONGIA,DG!$D$6,0)</f>
        <v>cái</v>
      </c>
      <c r="H1672" s="329">
        <f>H1669</f>
        <v>0</v>
      </c>
      <c r="I1672" s="329">
        <f>VLOOKUP(B1672,DONGIA,DG!$E$6,0)</f>
        <v>3000</v>
      </c>
      <c r="J1672" s="329"/>
      <c r="K1672" s="329">
        <f>VLOOKUP(B1672,DONGIA,DG!$F$6,0)</f>
        <v>0</v>
      </c>
      <c r="L1672" s="329">
        <f>VLOOKUP(B1672,DONGIA,DG!$G$6,0)</f>
        <v>0</v>
      </c>
      <c r="M1672" s="329">
        <f t="shared" si="411"/>
        <v>0</v>
      </c>
      <c r="N1672" s="329">
        <f t="shared" si="412"/>
        <v>0</v>
      </c>
      <c r="O1672" s="329">
        <f t="shared" si="413"/>
        <v>0</v>
      </c>
      <c r="P1672" s="329">
        <f t="shared" si="414"/>
        <v>0</v>
      </c>
      <c r="Q1672" s="329"/>
      <c r="S1672" s="332">
        <f t="shared" si="410"/>
        <v>0</v>
      </c>
      <c r="T1672" s="332">
        <f t="shared" si="416"/>
        <v>0</v>
      </c>
    </row>
    <row r="1673" spans="2:20" hidden="1">
      <c r="B1673" s="332" t="s">
        <v>1147</v>
      </c>
      <c r="C1673" s="333">
        <f>IF(H1673&lt;&gt;0,1,)</f>
        <v>0</v>
      </c>
      <c r="D1673" s="328"/>
      <c r="E1673" s="328">
        <f>VLOOKUP(B1673,DONGIA,DG!$B$6,0)</f>
        <v>0</v>
      </c>
      <c r="F1673" s="329" t="str">
        <f>VLOOKUP(B1673,DONGIA,DG!$C$6,0)</f>
        <v>Chụp đầu cosse  70mm2</v>
      </c>
      <c r="G1673" s="328" t="str">
        <f>VLOOKUP(B1673,DONGIA,DG!$D$6,0)</f>
        <v>cái</v>
      </c>
      <c r="H1673" s="329">
        <f>H1670</f>
        <v>0</v>
      </c>
      <c r="I1673" s="329">
        <f>VLOOKUP(B1673,DONGIA,DG!$E$6,0)</f>
        <v>2000</v>
      </c>
      <c r="J1673" s="329"/>
      <c r="K1673" s="329">
        <f>VLOOKUP(B1673,DONGIA,DG!$F$6,0)</f>
        <v>0</v>
      </c>
      <c r="L1673" s="329">
        <f>VLOOKUP(B1673,DONGIA,DG!$G$6,0)</f>
        <v>0</v>
      </c>
      <c r="M1673" s="329">
        <f>$H1673*I1673</f>
        <v>0</v>
      </c>
      <c r="N1673" s="329">
        <f>$H1673*J1673</f>
        <v>0</v>
      </c>
      <c r="O1673" s="329">
        <f>$H1673*K1673</f>
        <v>0</v>
      </c>
      <c r="P1673" s="329">
        <f>$H1673*L1673</f>
        <v>0</v>
      </c>
      <c r="Q1673" s="329"/>
      <c r="S1673" s="332">
        <f>IFERROR(VLOOKUP(B1673,DONGIA,$S$25,0),0)</f>
        <v>0</v>
      </c>
      <c r="T1673" s="332">
        <f>H1673*S1673</f>
        <v>0</v>
      </c>
    </row>
    <row r="1674" spans="2:20" hidden="1">
      <c r="B1674" s="332" t="s">
        <v>1145</v>
      </c>
      <c r="C1674" s="333">
        <f t="shared" si="415"/>
        <v>0</v>
      </c>
      <c r="D1674" s="328"/>
      <c r="E1674" s="328">
        <f>VLOOKUP(B1674,DONGIA,DG!$B$6,0)</f>
        <v>0</v>
      </c>
      <c r="F1674" s="329" t="str">
        <f>VLOOKUP(B1674,DONGIA,DG!$C$6,0)</f>
        <v>Chụp đầu cosse  50mm2</v>
      </c>
      <c r="G1674" s="328" t="str">
        <f>VLOOKUP(B1674,DONGIA,DG!$D$6,0)</f>
        <v>cái</v>
      </c>
      <c r="H1674" s="329">
        <f>H1671</f>
        <v>0</v>
      </c>
      <c r="I1674" s="329">
        <f>VLOOKUP(B1674,DONGIA,DG!$E$6,0)</f>
        <v>2000</v>
      </c>
      <c r="J1674" s="329"/>
      <c r="K1674" s="329">
        <f>VLOOKUP(B1674,DONGIA,DG!$F$6,0)</f>
        <v>0</v>
      </c>
      <c r="L1674" s="329">
        <f>VLOOKUP(B1674,DONGIA,DG!$G$6,0)</f>
        <v>0</v>
      </c>
      <c r="M1674" s="329">
        <f t="shared" si="411"/>
        <v>0</v>
      </c>
      <c r="N1674" s="329">
        <f t="shared" si="412"/>
        <v>0</v>
      </c>
      <c r="O1674" s="329">
        <f t="shared" si="413"/>
        <v>0</v>
      </c>
      <c r="P1674" s="329">
        <f t="shared" si="414"/>
        <v>0</v>
      </c>
      <c r="Q1674" s="329"/>
      <c r="S1674" s="332">
        <f t="shared" si="410"/>
        <v>0</v>
      </c>
      <c r="T1674" s="332">
        <f t="shared" si="416"/>
        <v>0</v>
      </c>
    </row>
    <row r="1675" spans="2:20" s="352" customFormat="1" hidden="1">
      <c r="B1675" s="352" t="s">
        <v>1177</v>
      </c>
      <c r="C1675" s="484">
        <f t="shared" si="415"/>
        <v>0</v>
      </c>
      <c r="D1675" s="641"/>
      <c r="E1675" s="641">
        <f>VLOOKUP(B1675,DONGIA,DG!$B$6,0)</f>
        <v>0</v>
      </c>
      <c r="F1675" s="525" t="str">
        <f>VLOOKUP(B1675,DONGIA,DG!$C$6,0)&amp;" (SDL)"</f>
        <v>Ống PVC D90x3,8mm  (SDL)</v>
      </c>
      <c r="G1675" s="523" t="str">
        <f>VLOOKUP(B1675,DONGIA,DG!$D$6,0)</f>
        <v>m</v>
      </c>
      <c r="H1675" s="525"/>
      <c r="I1675" s="525"/>
      <c r="J1675" s="525"/>
      <c r="K1675" s="525">
        <f>VLOOKUP(B1675,DONGIA,DG!$F$6,0)</f>
        <v>0</v>
      </c>
      <c r="L1675" s="525">
        <f>VLOOKUP(B1675,DONGIA,DG!$G$6,0)</f>
        <v>0</v>
      </c>
      <c r="M1675" s="525">
        <f t="shared" si="411"/>
        <v>0</v>
      </c>
      <c r="N1675" s="525">
        <f t="shared" si="412"/>
        <v>0</v>
      </c>
      <c r="O1675" s="525">
        <f t="shared" si="413"/>
        <v>0</v>
      </c>
      <c r="P1675" s="525">
        <f t="shared" si="414"/>
        <v>0</v>
      </c>
      <c r="Q1675" s="525" t="s">
        <v>3459</v>
      </c>
      <c r="S1675" s="352">
        <f t="shared" si="410"/>
        <v>2</v>
      </c>
      <c r="T1675" s="352">
        <f t="shared" si="416"/>
        <v>0</v>
      </c>
    </row>
    <row r="1676" spans="2:20" hidden="1">
      <c r="B1676" s="352" t="s">
        <v>1177</v>
      </c>
      <c r="C1676" s="333">
        <f>IF(H1676&lt;&gt;0,1,)</f>
        <v>0</v>
      </c>
      <c r="D1676" s="328"/>
      <c r="E1676" s="328"/>
      <c r="F1676" s="329" t="str">
        <f>VLOOKUP(B1676,DONGIA,DG!$C$6,0)</f>
        <v xml:space="preserve">Ống PVC D90x3,8mm </v>
      </c>
      <c r="G1676" s="328" t="str">
        <f>VLOOKUP(B1676,DONGIA,DG!$D$6,0)</f>
        <v>m</v>
      </c>
      <c r="H1676" s="329"/>
      <c r="I1676" s="329">
        <f>VLOOKUP(B1676,DONGIA,DG!$E$6,0)</f>
        <v>57000</v>
      </c>
      <c r="J1676" s="329"/>
      <c r="K1676" s="329"/>
      <c r="L1676" s="329">
        <f>VLOOKUP(B1676,DONGIA,DG!$G$6,0)</f>
        <v>0</v>
      </c>
      <c r="M1676" s="329">
        <f>$H1676*I1676</f>
        <v>0</v>
      </c>
      <c r="N1676" s="329">
        <f>$H1676*J1676</f>
        <v>0</v>
      </c>
      <c r="O1676" s="329">
        <f>$H1676*K1676</f>
        <v>0</v>
      </c>
      <c r="P1676" s="329">
        <f>$H1676*L1676</f>
        <v>0</v>
      </c>
      <c r="Q1676" s="329" t="s">
        <v>3460</v>
      </c>
      <c r="S1676" s="332">
        <f>IFERROR(VLOOKUP(B1676,DONGIA,$S$25,0),0)</f>
        <v>2</v>
      </c>
      <c r="T1676" s="332">
        <f>H1676*S1676</f>
        <v>0</v>
      </c>
    </row>
    <row r="1677" spans="2:20" hidden="1">
      <c r="B1677" s="332" t="s">
        <v>2855</v>
      </c>
      <c r="C1677" s="333">
        <f t="shared" si="415"/>
        <v>0</v>
      </c>
      <c r="D1677" s="328"/>
      <c r="E1677" s="328"/>
      <c r="F1677" s="329" t="str">
        <f>VLOOKUP(B1677,DONGIA,DG!$C$6,0)&amp;" (CD: 250)"</f>
        <v>Cổ dê kẹp ống PVC φ 90 trụ ghép (có giá nới) (CD: 250)</v>
      </c>
      <c r="G1677" s="328" t="str">
        <f>VLOOKUP(B1677,DONGIA,DG!$D$6,0)</f>
        <v>bộ</v>
      </c>
      <c r="H1677" s="329"/>
      <c r="I1677" s="329">
        <f>VLOOKUP(B1677,DONGIA,DG!$E$6,0)</f>
        <v>125000</v>
      </c>
      <c r="J1677" s="329"/>
      <c r="K1677" s="329"/>
      <c r="L1677" s="329">
        <f>VLOOKUP(B1677,DONGIA,DG!$G$6,0)</f>
        <v>0</v>
      </c>
      <c r="M1677" s="329">
        <f t="shared" si="411"/>
        <v>0</v>
      </c>
      <c r="N1677" s="329">
        <f t="shared" si="412"/>
        <v>0</v>
      </c>
      <c r="O1677" s="329">
        <f t="shared" si="413"/>
        <v>0</v>
      </c>
      <c r="P1677" s="329">
        <f t="shared" si="414"/>
        <v>0</v>
      </c>
      <c r="Q1677" s="329"/>
      <c r="S1677" s="332">
        <f t="shared" si="410"/>
        <v>1.5</v>
      </c>
      <c r="T1677" s="332">
        <f t="shared" si="416"/>
        <v>0</v>
      </c>
    </row>
    <row r="1678" spans="2:20" hidden="1">
      <c r="B1678" s="332" t="s">
        <v>2855</v>
      </c>
      <c r="C1678" s="333">
        <f t="shared" si="415"/>
        <v>0</v>
      </c>
      <c r="D1678" s="328"/>
      <c r="E1678" s="328"/>
      <c r="F1678" s="329" t="str">
        <f>VLOOKUP(B1678,DONGIA,DG!$C$6,0)&amp;" (CD: 280)"</f>
        <v>Cổ dê kẹp ống PVC φ 90 trụ ghép (có giá nới) (CD: 280)</v>
      </c>
      <c r="G1678" s="328" t="str">
        <f>VLOOKUP(B1678,DONGIA,DG!$D$6,0)</f>
        <v>bộ</v>
      </c>
      <c r="H1678" s="329"/>
      <c r="I1678" s="329">
        <f>VLOOKUP(B1678,DONGIA,DG!$E$6,0)</f>
        <v>125000</v>
      </c>
      <c r="J1678" s="329"/>
      <c r="K1678" s="329"/>
      <c r="L1678" s="329">
        <f>VLOOKUP(B1678,DONGIA,DG!$G$6,0)</f>
        <v>0</v>
      </c>
      <c r="M1678" s="329">
        <f t="shared" si="411"/>
        <v>0</v>
      </c>
      <c r="N1678" s="329">
        <f t="shared" si="412"/>
        <v>0</v>
      </c>
      <c r="O1678" s="329">
        <f t="shared" si="413"/>
        <v>0</v>
      </c>
      <c r="P1678" s="329">
        <f t="shared" si="414"/>
        <v>0</v>
      </c>
      <c r="Q1678" s="329"/>
      <c r="S1678" s="332">
        <f t="shared" si="410"/>
        <v>1.5</v>
      </c>
      <c r="T1678" s="332">
        <f t="shared" si="416"/>
        <v>0</v>
      </c>
    </row>
    <row r="1679" spans="2:20" hidden="1">
      <c r="B1679" s="332" t="s">
        <v>2855</v>
      </c>
      <c r="C1679" s="333">
        <f t="shared" si="415"/>
        <v>0</v>
      </c>
      <c r="D1679" s="328"/>
      <c r="E1679" s="328"/>
      <c r="F1679" s="329" t="str">
        <f>VLOOKUP(B1679,DONGIA,DG!$C$6,0)&amp;" (CD: 320)"</f>
        <v>Cổ dê kẹp ống PVC φ 90 trụ ghép (có giá nới) (CD: 320)</v>
      </c>
      <c r="G1679" s="328" t="str">
        <f>VLOOKUP(B1679,DONGIA,DG!$D$6,0)</f>
        <v>bộ</v>
      </c>
      <c r="H1679" s="329"/>
      <c r="I1679" s="329">
        <f>VLOOKUP(B1679,DONGIA,DG!$E$6,0)</f>
        <v>125000</v>
      </c>
      <c r="J1679" s="329"/>
      <c r="K1679" s="329"/>
      <c r="L1679" s="329">
        <f>VLOOKUP(B1679,DONGIA,DG!$G$6,0)</f>
        <v>0</v>
      </c>
      <c r="M1679" s="329">
        <f t="shared" si="411"/>
        <v>0</v>
      </c>
      <c r="N1679" s="329">
        <f t="shared" si="412"/>
        <v>0</v>
      </c>
      <c r="O1679" s="329">
        <f t="shared" si="413"/>
        <v>0</v>
      </c>
      <c r="P1679" s="329">
        <f t="shared" si="414"/>
        <v>0</v>
      </c>
      <c r="Q1679" s="329"/>
      <c r="S1679" s="332">
        <f t="shared" si="410"/>
        <v>1.5</v>
      </c>
      <c r="T1679" s="332">
        <f t="shared" si="416"/>
        <v>0</v>
      </c>
    </row>
    <row r="1680" spans="2:20" hidden="1">
      <c r="B1680" s="332" t="s">
        <v>2956</v>
      </c>
      <c r="C1680" s="333">
        <f t="shared" si="415"/>
        <v>0</v>
      </c>
      <c r="D1680" s="328"/>
      <c r="E1680" s="328">
        <f>VLOOKUP(B1680,DONGIA,DG!$B$6,0)</f>
        <v>0</v>
      </c>
      <c r="F1680" s="329" t="str">
        <f>VLOOKUP(B1680,DONGIA,DG!$C$6,0)</f>
        <v>Co  90 độ PVC 90 (Loại dày)</v>
      </c>
      <c r="G1680" s="328" t="str">
        <f>VLOOKUP(B1680,DONGIA,DG!$D$6,0)</f>
        <v>cái</v>
      </c>
      <c r="H1680" s="329"/>
      <c r="I1680" s="329">
        <f>VLOOKUP(B1680,DONGIA,DG!$E$6,0)</f>
        <v>45400</v>
      </c>
      <c r="J1680" s="329"/>
      <c r="K1680" s="329">
        <f>VLOOKUP(B1680,DONGIA,DG!$F$6,0)</f>
        <v>0</v>
      </c>
      <c r="L1680" s="329">
        <f>VLOOKUP(B1680,DONGIA,DG!$G$6,0)</f>
        <v>0</v>
      </c>
      <c r="M1680" s="329">
        <f t="shared" si="411"/>
        <v>0</v>
      </c>
      <c r="N1680" s="329">
        <f t="shared" si="412"/>
        <v>0</v>
      </c>
      <c r="O1680" s="329">
        <f t="shared" si="413"/>
        <v>0</v>
      </c>
      <c r="P1680" s="329">
        <f t="shared" si="414"/>
        <v>0</v>
      </c>
      <c r="Q1680" s="329"/>
      <c r="S1680" s="332">
        <f t="shared" si="410"/>
        <v>0</v>
      </c>
      <c r="T1680" s="332">
        <f t="shared" si="416"/>
        <v>0</v>
      </c>
    </row>
    <row r="1681" spans="1:20" hidden="1">
      <c r="B1681" s="332" t="s">
        <v>1183</v>
      </c>
      <c r="C1681" s="333">
        <f t="shared" si="415"/>
        <v>0</v>
      </c>
      <c r="D1681" s="328"/>
      <c r="E1681" s="328">
        <f>VLOOKUP(B1681,DONGIA,DG!$B$6,0)</f>
        <v>0</v>
      </c>
      <c r="F1681" s="329" t="str">
        <f>VLOOKUP(B1681,DONGIA,DG!$C$6,0)</f>
        <v>Co  90 độ PVC 90</v>
      </c>
      <c r="G1681" s="328" t="str">
        <f>VLOOKUP(B1681,DONGIA,DG!$D$6,0)</f>
        <v>cái</v>
      </c>
      <c r="H1681" s="329"/>
      <c r="I1681" s="329">
        <f>VLOOKUP(B1681,DONGIA,DG!$E$6,0)</f>
        <v>45400</v>
      </c>
      <c r="J1681" s="329"/>
      <c r="K1681" s="329">
        <f>VLOOKUP(B1681,DONGIA,DG!$F$6,0)</f>
        <v>0</v>
      </c>
      <c r="L1681" s="329">
        <f>VLOOKUP(B1681,DONGIA,DG!$G$6,0)</f>
        <v>0</v>
      </c>
      <c r="M1681" s="329">
        <f t="shared" si="411"/>
        <v>0</v>
      </c>
      <c r="N1681" s="329">
        <f t="shared" si="412"/>
        <v>0</v>
      </c>
      <c r="O1681" s="329">
        <f t="shared" si="413"/>
        <v>0</v>
      </c>
      <c r="P1681" s="329">
        <f t="shared" si="414"/>
        <v>0</v>
      </c>
      <c r="Q1681" s="329"/>
      <c r="S1681" s="332">
        <f t="shared" si="410"/>
        <v>0</v>
      </c>
      <c r="T1681" s="332">
        <f t="shared" si="416"/>
        <v>0</v>
      </c>
    </row>
    <row r="1682" spans="1:20" hidden="1">
      <c r="B1682" s="332" t="s">
        <v>1181</v>
      </c>
      <c r="C1682" s="333">
        <f t="shared" si="415"/>
        <v>0</v>
      </c>
      <c r="D1682" s="328"/>
      <c r="E1682" s="328">
        <f>VLOOKUP(B1682,DONGIA,DG!$B$6,0)</f>
        <v>0</v>
      </c>
      <c r="F1682" s="329" t="str">
        <f>VLOOKUP(B1682,DONGIA,DG!$C$6,0)</f>
        <v>Co 135 độ PVC 90</v>
      </c>
      <c r="G1682" s="328" t="str">
        <f>VLOOKUP(B1682,DONGIA,DG!$D$6,0)</f>
        <v>cái</v>
      </c>
      <c r="H1682" s="329"/>
      <c r="I1682" s="329">
        <f>VLOOKUP(B1682,DONGIA,DG!$E$6,0)</f>
        <v>34800</v>
      </c>
      <c r="J1682" s="329"/>
      <c r="K1682" s="329">
        <f>VLOOKUP(B1682,DONGIA,DG!$F$6,0)</f>
        <v>0</v>
      </c>
      <c r="L1682" s="329">
        <f>VLOOKUP(B1682,DONGIA,DG!$G$6,0)</f>
        <v>0</v>
      </c>
      <c r="M1682" s="329">
        <f t="shared" si="411"/>
        <v>0</v>
      </c>
      <c r="N1682" s="329">
        <f t="shared" si="412"/>
        <v>0</v>
      </c>
      <c r="O1682" s="329">
        <f t="shared" si="413"/>
        <v>0</v>
      </c>
      <c r="P1682" s="329">
        <f t="shared" si="414"/>
        <v>0</v>
      </c>
      <c r="Q1682" s="329"/>
      <c r="S1682" s="332">
        <f t="shared" si="410"/>
        <v>0</v>
      </c>
      <c r="T1682" s="332">
        <f t="shared" si="416"/>
        <v>0</v>
      </c>
    </row>
    <row r="1683" spans="1:20" hidden="1">
      <c r="B1683" s="332" t="s">
        <v>1203</v>
      </c>
      <c r="C1683" s="333">
        <f t="shared" si="415"/>
        <v>0</v>
      </c>
      <c r="D1683" s="328"/>
      <c r="E1683" s="328">
        <f>VLOOKUP(B1683,DONGIA,DG!$B$6,0)</f>
        <v>0</v>
      </c>
      <c r="F1683" s="329" t="str">
        <f>VLOOKUP(B1683,DONGIA,DG!$C$6,0)</f>
        <v>Khâu ven răng trong D90</v>
      </c>
      <c r="G1683" s="328" t="str">
        <f>VLOOKUP(B1683,DONGIA,DG!$D$6,0)</f>
        <v>cái</v>
      </c>
      <c r="H1683" s="329"/>
      <c r="I1683" s="329">
        <f>VLOOKUP(B1683,DONGIA,DG!$E$6,0)</f>
        <v>25800</v>
      </c>
      <c r="J1683" s="329"/>
      <c r="K1683" s="329">
        <f>VLOOKUP(B1683,DONGIA,DG!$F$6,0)</f>
        <v>0</v>
      </c>
      <c r="L1683" s="329">
        <f>VLOOKUP(B1683,DONGIA,DG!$G$6,0)</f>
        <v>0</v>
      </c>
      <c r="M1683" s="329">
        <f t="shared" si="411"/>
        <v>0</v>
      </c>
      <c r="N1683" s="329">
        <f t="shared" si="412"/>
        <v>0</v>
      </c>
      <c r="O1683" s="329">
        <f t="shared" si="413"/>
        <v>0</v>
      </c>
      <c r="P1683" s="329">
        <f t="shared" si="414"/>
        <v>0</v>
      </c>
      <c r="Q1683" s="329"/>
      <c r="S1683" s="332">
        <f t="shared" si="410"/>
        <v>0</v>
      </c>
      <c r="T1683" s="332">
        <f t="shared" si="416"/>
        <v>0</v>
      </c>
    </row>
    <row r="1684" spans="1:20" hidden="1">
      <c r="B1684" s="332" t="s">
        <v>1209</v>
      </c>
      <c r="C1684" s="333">
        <f t="shared" si="415"/>
        <v>0</v>
      </c>
      <c r="D1684" s="328"/>
      <c r="E1684" s="328">
        <f>VLOOKUP(B1684,DONGIA,DG!$B$6,0)</f>
        <v>0</v>
      </c>
      <c r="F1684" s="329" t="str">
        <f>VLOOKUP(B1684,DONGIA,DG!$C$6,0)</f>
        <v>Khâu ven răng ngoài D90</v>
      </c>
      <c r="G1684" s="328" t="str">
        <f>VLOOKUP(B1684,DONGIA,DG!$D$6,0)</f>
        <v>cái</v>
      </c>
      <c r="H1684" s="329"/>
      <c r="I1684" s="329">
        <f>VLOOKUP(B1684,DONGIA,DG!$E$6,0)</f>
        <v>21500</v>
      </c>
      <c r="J1684" s="329"/>
      <c r="K1684" s="329">
        <f>VLOOKUP(B1684,DONGIA,DG!$F$6,0)</f>
        <v>0</v>
      </c>
      <c r="L1684" s="329">
        <f>VLOOKUP(B1684,DONGIA,DG!$G$6,0)</f>
        <v>0</v>
      </c>
      <c r="M1684" s="329">
        <f t="shared" si="411"/>
        <v>0</v>
      </c>
      <c r="N1684" s="329">
        <f t="shared" si="412"/>
        <v>0</v>
      </c>
      <c r="O1684" s="329">
        <f t="shared" si="413"/>
        <v>0</v>
      </c>
      <c r="P1684" s="329">
        <f t="shared" si="414"/>
        <v>0</v>
      </c>
      <c r="Q1684" s="329"/>
      <c r="S1684" s="332">
        <f t="shared" si="410"/>
        <v>0</v>
      </c>
      <c r="T1684" s="332">
        <f t="shared" si="416"/>
        <v>0</v>
      </c>
    </row>
    <row r="1685" spans="1:20" hidden="1">
      <c r="B1685" s="332" t="s">
        <v>1914</v>
      </c>
      <c r="C1685" s="333">
        <f t="shared" si="415"/>
        <v>0</v>
      </c>
      <c r="D1685" s="328"/>
      <c r="E1685" s="328">
        <f>VLOOKUP(B1685,DONGIA,DG!$B$6,0)</f>
        <v>0</v>
      </c>
      <c r="F1685" s="329" t="str">
        <f>VLOOKUP(B1685,DONGIA,DG!$C$6,0)</f>
        <v>Keo dán ống PVC (100gr)</v>
      </c>
      <c r="G1685" s="328" t="str">
        <f>VLOOKUP(B1685,DONGIA,DG!$D$6,0)</f>
        <v>tuýp</v>
      </c>
      <c r="H1685" s="329"/>
      <c r="I1685" s="329">
        <f>VLOOKUP(B1685,DONGIA,DG!$E$6,0)</f>
        <v>11500</v>
      </c>
      <c r="J1685" s="329"/>
      <c r="K1685" s="329">
        <f>VLOOKUP(B1685,DONGIA,DG!$F$6,0)</f>
        <v>0</v>
      </c>
      <c r="L1685" s="329">
        <f>VLOOKUP(B1685,DONGIA,DG!$G$6,0)</f>
        <v>0</v>
      </c>
      <c r="M1685" s="329">
        <f t="shared" si="411"/>
        <v>0</v>
      </c>
      <c r="N1685" s="329">
        <f t="shared" si="412"/>
        <v>0</v>
      </c>
      <c r="O1685" s="329">
        <f t="shared" si="413"/>
        <v>0</v>
      </c>
      <c r="P1685" s="329">
        <f t="shared" si="414"/>
        <v>0</v>
      </c>
      <c r="Q1685" s="329"/>
      <c r="S1685" s="332">
        <f t="shared" si="410"/>
        <v>0</v>
      </c>
      <c r="T1685" s="332">
        <f t="shared" si="416"/>
        <v>0</v>
      </c>
    </row>
    <row r="1686" spans="1:20" hidden="1">
      <c r="B1686" s="332" t="s">
        <v>1639</v>
      </c>
      <c r="C1686" s="333">
        <f t="shared" si="415"/>
        <v>0</v>
      </c>
      <c r="D1686" s="328"/>
      <c r="E1686" s="328">
        <f>VLOOKUP(B1686,DONGIA,DG!$B$6,0)</f>
        <v>0</v>
      </c>
      <c r="F1686" s="329" t="str">
        <f>VLOOKUP(B1686,DONGIA,DG!$C$6,0)&amp;" bịt miệng ống"</f>
        <v>Xi măng bịt miệng ống</v>
      </c>
      <c r="G1686" s="328" t="str">
        <f>VLOOKUP(B1686,DONGIA,DG!$D$6,0)</f>
        <v>kg</v>
      </c>
      <c r="H1686" s="489">
        <f>H1662*0.5</f>
        <v>0</v>
      </c>
      <c r="I1686" s="329">
        <f>VLOOKUP(B1686,DONGIA,DG!$E$6,0)</f>
        <v>1760</v>
      </c>
      <c r="J1686" s="329"/>
      <c r="K1686" s="329">
        <f>VLOOKUP(B1686,DONGIA,DG!$F$6,0)</f>
        <v>0</v>
      </c>
      <c r="L1686" s="329">
        <f>VLOOKUP(B1686,DONGIA,DG!$G$6,0)</f>
        <v>0</v>
      </c>
      <c r="M1686" s="329">
        <f t="shared" si="411"/>
        <v>0</v>
      </c>
      <c r="N1686" s="329">
        <f t="shared" si="412"/>
        <v>0</v>
      </c>
      <c r="O1686" s="329">
        <f t="shared" si="413"/>
        <v>0</v>
      </c>
      <c r="P1686" s="329">
        <f t="shared" si="414"/>
        <v>0</v>
      </c>
      <c r="Q1686" s="329"/>
      <c r="S1686" s="332">
        <f t="shared" si="410"/>
        <v>1</v>
      </c>
      <c r="T1686" s="332">
        <f t="shared" si="416"/>
        <v>0</v>
      </c>
    </row>
    <row r="1687" spans="1:20" hidden="1">
      <c r="B1687" s="332" t="s">
        <v>1193</v>
      </c>
      <c r="C1687" s="333">
        <f t="shared" si="415"/>
        <v>0</v>
      </c>
      <c r="D1687" s="328"/>
      <c r="E1687" s="328">
        <f>VLOOKUP(B1687,DONGIA,DG!$B$6,0)</f>
        <v>0</v>
      </c>
      <c r="F1687" s="329" t="str">
        <f>VLOOKUP(B1687,DONGIA,DG!$C$6,0)</f>
        <v>Băng keo cách điện</v>
      </c>
      <c r="G1687" s="328" t="str">
        <f>VLOOKUP(B1687,DONGIA,DG!$D$6,0)</f>
        <v>cuộn</v>
      </c>
      <c r="H1687" s="329"/>
      <c r="I1687" s="329">
        <f>VLOOKUP(B1687,DONGIA,DG!$E$6,0)</f>
        <v>6500</v>
      </c>
      <c r="J1687" s="329"/>
      <c r="K1687" s="329">
        <f>VLOOKUP(B1687,DONGIA,DG!$F$6,0)</f>
        <v>0</v>
      </c>
      <c r="L1687" s="329">
        <f>VLOOKUP(B1687,DONGIA,DG!$G$6,0)</f>
        <v>0</v>
      </c>
      <c r="M1687" s="329">
        <f t="shared" si="411"/>
        <v>0</v>
      </c>
      <c r="N1687" s="329">
        <f t="shared" si="412"/>
        <v>0</v>
      </c>
      <c r="O1687" s="329">
        <f t="shared" si="413"/>
        <v>0</v>
      </c>
      <c r="P1687" s="329">
        <f t="shared" si="414"/>
        <v>0</v>
      </c>
      <c r="Q1687" s="329"/>
      <c r="S1687" s="332">
        <f t="shared" si="410"/>
        <v>0</v>
      </c>
      <c r="T1687" s="332">
        <f t="shared" si="416"/>
        <v>0</v>
      </c>
    </row>
    <row r="1688" spans="1:20" hidden="1">
      <c r="B1688" s="332" t="s">
        <v>855</v>
      </c>
      <c r="C1688" s="333">
        <f t="shared" si="415"/>
        <v>0</v>
      </c>
      <c r="D1688" s="328"/>
      <c r="E1688" s="328" t="str">
        <f>VLOOKUP(B1688,DONGIA,DG!$B$6,0)</f>
        <v>T4.8003</v>
      </c>
      <c r="F1688" s="329" t="str">
        <f>VLOOKUP(B1688,DONGIA,DG!$C$6,0)</f>
        <v>Lắp ống nhựa PVC D90</v>
      </c>
      <c r="G1688" s="328" t="str">
        <f>VLOOKUP(B1688,DONGIA,DG!$D$6,0)</f>
        <v>mét</v>
      </c>
      <c r="H1688" s="329">
        <f>H1675+H1676</f>
        <v>0</v>
      </c>
      <c r="I1688" s="329">
        <f>VLOOKUP(B1688,DONGIA,DG!$E$6,0)</f>
        <v>0</v>
      </c>
      <c r="J1688" s="329"/>
      <c r="K1688" s="329">
        <f>VLOOKUP(B1688,DONGIA,DG!$F$6,0)</f>
        <v>35541</v>
      </c>
      <c r="L1688" s="329">
        <f>VLOOKUP(B1688,DONGIA,DG!$G$6,0)</f>
        <v>0</v>
      </c>
      <c r="M1688" s="329">
        <f t="shared" si="411"/>
        <v>0</v>
      </c>
      <c r="N1688" s="329">
        <f t="shared" si="412"/>
        <v>0</v>
      </c>
      <c r="O1688" s="329">
        <f t="shared" si="413"/>
        <v>0</v>
      </c>
      <c r="P1688" s="329">
        <f t="shared" si="414"/>
        <v>0</v>
      </c>
      <c r="Q1688" s="329"/>
      <c r="S1688" s="332">
        <f t="shared" si="410"/>
        <v>0</v>
      </c>
      <c r="T1688" s="332">
        <f t="shared" si="416"/>
        <v>0</v>
      </c>
    </row>
    <row r="1689" spans="1:20" hidden="1">
      <c r="B1689" s="332" t="s">
        <v>1939</v>
      </c>
      <c r="C1689" s="333">
        <f t="shared" si="415"/>
        <v>0</v>
      </c>
      <c r="D1689" s="328"/>
      <c r="E1689" s="328" t="str">
        <f>VLOOKUP(B1689,DONGIA,DG!$B$6,0)</f>
        <v>T4.4201</v>
      </c>
      <c r="F1689" s="329" t="str">
        <f>VLOOKUP(B1689,DONGIA,DG!$C$6,0)</f>
        <v>Lắp cáp đồng xuống thiết bị D ≤ 95mm2</v>
      </c>
      <c r="G1689" s="328" t="str">
        <f>VLOOKUP(B1689,DONGIA,DG!$D$6,0)</f>
        <v>m</v>
      </c>
      <c r="H1689" s="329">
        <f>SUM(H1664:H1668)</f>
        <v>0</v>
      </c>
      <c r="I1689" s="329">
        <f>VLOOKUP(B1689,DONGIA,DG!$E$6,0)</f>
        <v>0</v>
      </c>
      <c r="J1689" s="329"/>
      <c r="K1689" s="329">
        <f>VLOOKUP(B1689,DONGIA,DG!$F$6,0)</f>
        <v>11847</v>
      </c>
      <c r="L1689" s="329">
        <f>VLOOKUP(B1689,DONGIA,DG!$G$6,0)</f>
        <v>0</v>
      </c>
      <c r="M1689" s="329">
        <f t="shared" si="411"/>
        <v>0</v>
      </c>
      <c r="N1689" s="329">
        <f t="shared" si="412"/>
        <v>0</v>
      </c>
      <c r="O1689" s="329">
        <f t="shared" si="413"/>
        <v>0</v>
      </c>
      <c r="P1689" s="329">
        <f t="shared" si="414"/>
        <v>0</v>
      </c>
      <c r="Q1689" s="329"/>
      <c r="S1689" s="332">
        <f t="shared" si="410"/>
        <v>0</v>
      </c>
      <c r="T1689" s="332">
        <f t="shared" si="416"/>
        <v>0</v>
      </c>
    </row>
    <row r="1690" spans="1:20" hidden="1">
      <c r="B1690" s="332" t="s">
        <v>1058</v>
      </c>
      <c r="C1690" s="333">
        <f t="shared" si="415"/>
        <v>0</v>
      </c>
      <c r="D1690" s="372">
        <f>IF(H1690&lt;&gt;0,D1662+1,D1662)</f>
        <v>0</v>
      </c>
      <c r="E1690" s="372">
        <f>VLOOKUP(B1690,DONGIA,DG!$B$6,0)</f>
        <v>0</v>
      </c>
      <c r="F1690" s="373" t="str">
        <f>VLOOKUP(B1690,DONGIA,DG!$C$6,0)</f>
        <v>Bảng tên trạm + bulon</v>
      </c>
      <c r="G1690" s="372" t="str">
        <f>VLOOKUP(B1690,DONGIA,DG!$D$6,0)</f>
        <v>bộ</v>
      </c>
      <c r="H1690" s="373"/>
      <c r="I1690" s="373">
        <f>VLOOKUP(B1690,DONGIA,DG!$E$6,0)</f>
        <v>150000</v>
      </c>
      <c r="J1690" s="373"/>
      <c r="K1690" s="373"/>
      <c r="L1690" s="373"/>
      <c r="M1690" s="373">
        <f>H1690*I1690</f>
        <v>0</v>
      </c>
      <c r="N1690" s="373"/>
      <c r="O1690" s="373"/>
      <c r="P1690" s="373"/>
      <c r="Q1690" s="473" t="s">
        <v>3460</v>
      </c>
      <c r="S1690" s="332">
        <f t="shared" si="410"/>
        <v>0</v>
      </c>
      <c r="T1690" s="332">
        <f t="shared" si="416"/>
        <v>0</v>
      </c>
    </row>
    <row r="1691" spans="1:20" s="353" customFormat="1">
      <c r="A1691" s="353" t="s">
        <v>3220</v>
      </c>
      <c r="C1691" s="333">
        <f>IF((C1692+C1702)&lt;&gt;0,1,)</f>
        <v>1</v>
      </c>
      <c r="D1691" s="368"/>
      <c r="E1691" s="369" t="str">
        <f>TRNC2X75&amp;" Trạm NC từ 2x75kVA lên 3x75kVA"</f>
        <v>2 Trạm NC từ 2x75kVA lên 3x75kVA</v>
      </c>
      <c r="F1691" s="777"/>
      <c r="G1691" s="368"/>
      <c r="H1691" s="368"/>
      <c r="I1691" s="325"/>
      <c r="J1691" s="325"/>
      <c r="K1691" s="325"/>
      <c r="L1691" s="325"/>
      <c r="M1691" s="325"/>
      <c r="N1691" s="325"/>
      <c r="O1691" s="325"/>
      <c r="P1691" s="325"/>
      <c r="Q1691" s="368"/>
      <c r="S1691" s="332">
        <f t="shared" ref="S1691:S1773" si="417">IFERROR(VLOOKUP(B1691,DONGIA,$S$25,0),0)</f>
        <v>0</v>
      </c>
      <c r="T1691" s="332">
        <f>H1691*S1691</f>
        <v>0</v>
      </c>
    </row>
    <row r="1692" spans="1:20">
      <c r="A1692" s="332" t="str">
        <f>"TB"&amp;A1691</f>
        <v>TBTRNC2x75</v>
      </c>
      <c r="C1692" s="333">
        <f>IF(SUM(C1693:C1701)&lt;&gt;0,1,)</f>
        <v>1</v>
      </c>
      <c r="D1692" s="344"/>
      <c r="E1692" s="344"/>
      <c r="F1692" s="778" t="s">
        <v>1900</v>
      </c>
      <c r="G1692" s="344"/>
      <c r="H1692" s="345"/>
      <c r="I1692" s="345"/>
      <c r="J1692" s="345"/>
      <c r="K1692" s="345"/>
      <c r="L1692" s="345"/>
      <c r="M1692" s="345">
        <f>SUM(M1693:M1701)</f>
        <v>88127520</v>
      </c>
      <c r="N1692" s="345">
        <f>SUM(N1693:N1701)</f>
        <v>0</v>
      </c>
      <c r="O1692" s="345">
        <f>SUM(O1693:O1701)</f>
        <v>7525128</v>
      </c>
      <c r="P1692" s="345">
        <f>SUM(P1693:P1701)</f>
        <v>2163630</v>
      </c>
      <c r="Q1692" s="345"/>
      <c r="S1692" s="332">
        <f t="shared" si="417"/>
        <v>0</v>
      </c>
      <c r="T1692" s="371">
        <f>SUM(T1693:T1701)</f>
        <v>2752.7999999999997</v>
      </c>
    </row>
    <row r="1693" spans="1:20">
      <c r="A1693" s="332" t="s">
        <v>477</v>
      </c>
      <c r="B1693" s="332" t="s">
        <v>903</v>
      </c>
      <c r="C1693" s="333">
        <f t="shared" ref="C1693:C1701" si="418">IF(H1693&lt;&gt;0,1,)</f>
        <v>1</v>
      </c>
      <c r="D1693" s="328"/>
      <c r="E1693" s="328" t="str">
        <f>VLOOKUP(B1693,DONGIA,DG!$B$6,0)</f>
        <v>T1.1433</v>
      </c>
      <c r="F1693" s="779" t="str">
        <f>VLOOKUP(B1693,DONGIA,DG!$C$6,0)</f>
        <v>Máy biến áp AMORPHOUS 12,7/0,22-0,44kV 75kVA</v>
      </c>
      <c r="G1693" s="328" t="str">
        <f>VLOOKUP(B1693,DONGIA,DG!$D$6,0)</f>
        <v>máy</v>
      </c>
      <c r="H1693" s="329">
        <f>TRNC2X75</f>
        <v>2</v>
      </c>
      <c r="I1693" s="329">
        <f>VLOOKUP(B1693,DONGIA,DG!$E$6,0)</f>
        <v>40173760</v>
      </c>
      <c r="J1693" s="329"/>
      <c r="K1693" s="329">
        <f>VLOOKUP(B1693,DONGIA,DG!$F$6,0)</f>
        <v>993554</v>
      </c>
      <c r="L1693" s="329">
        <f>VLOOKUP(B1693,DONGIA,DG!$G$6,0)</f>
        <v>360605</v>
      </c>
      <c r="M1693" s="329">
        <f t="shared" ref="M1693:M1701" si="419">$H1693*I1693</f>
        <v>80347520</v>
      </c>
      <c r="N1693" s="329">
        <f t="shared" ref="N1693:N1701" si="420">$H1693*J1693</f>
        <v>0</v>
      </c>
      <c r="O1693" s="329">
        <f t="shared" ref="O1693:O1701" si="421">$H1693*K1693</f>
        <v>1987108</v>
      </c>
      <c r="P1693" s="329">
        <f t="shared" ref="P1693:P1701" si="422">$H1693*L1693</f>
        <v>721210</v>
      </c>
      <c r="Q1693" s="329"/>
      <c r="S1693" s="332">
        <f t="shared" si="417"/>
        <v>455</v>
      </c>
      <c r="T1693" s="332">
        <f t="shared" ref="T1693:T1701" si="423">H1693*S1693</f>
        <v>910</v>
      </c>
    </row>
    <row r="1694" spans="1:20">
      <c r="A1694" s="332" t="s">
        <v>477</v>
      </c>
      <c r="B1694" s="332" t="s">
        <v>1444</v>
      </c>
      <c r="C1694" s="333">
        <f t="shared" si="418"/>
        <v>1</v>
      </c>
      <c r="D1694" s="328"/>
      <c r="E1694" s="328" t="str">
        <f>VLOOKUP(B1694,DONGIA,DG!$B$6,0)</f>
        <v>T2.3505</v>
      </c>
      <c r="F1694" s="779" t="str">
        <f>VLOOKUP(B1694,DONGIA,DG!$C$6,0)</f>
        <v>FCO 27kV - 100A</v>
      </c>
      <c r="G1694" s="328" t="str">
        <f>VLOOKUP(B1694,DONGIA,DG!$D$6,0)</f>
        <v>cái</v>
      </c>
      <c r="H1694" s="329">
        <f>TRNC2X75*2</f>
        <v>4</v>
      </c>
      <c r="I1694" s="329">
        <f>VLOOKUP(B1694,DONGIA,DG!$E$6,0)</f>
        <v>1070000</v>
      </c>
      <c r="J1694" s="329"/>
      <c r="K1694" s="329">
        <f>VLOOKUP(B1694,DONGIA,DG!$F$6,0)</f>
        <v>189552</v>
      </c>
      <c r="L1694" s="329">
        <f>VLOOKUP(B1694,DONGIA,DG!$G$6,0)</f>
        <v>0</v>
      </c>
      <c r="M1694" s="329">
        <f t="shared" si="419"/>
        <v>4280000</v>
      </c>
      <c r="N1694" s="329">
        <f t="shared" si="420"/>
        <v>0</v>
      </c>
      <c r="O1694" s="329">
        <f t="shared" si="421"/>
        <v>758208</v>
      </c>
      <c r="P1694" s="329">
        <f t="shared" si="422"/>
        <v>0</v>
      </c>
      <c r="Q1694" s="329"/>
      <c r="S1694" s="332">
        <f t="shared" si="417"/>
        <v>1.5</v>
      </c>
      <c r="T1694" s="332">
        <f t="shared" si="423"/>
        <v>6</v>
      </c>
    </row>
    <row r="1695" spans="1:20">
      <c r="A1695" s="332" t="s">
        <v>477</v>
      </c>
      <c r="B1695" s="332" t="s">
        <v>943</v>
      </c>
      <c r="C1695" s="333">
        <f t="shared" si="418"/>
        <v>1</v>
      </c>
      <c r="D1695" s="328"/>
      <c r="E1695" s="328" t="str">
        <f>VLOOKUP(B1695,DONGIA,DG!$B$6,0)</f>
        <v>T2.5004</v>
      </c>
      <c r="F1695" s="779" t="str">
        <f>VLOOKUP(B1695,DONGIA,DG!$C$6,0)</f>
        <v>LA 18kV 10kA</v>
      </c>
      <c r="G1695" s="328" t="str">
        <f>VLOOKUP(B1695,DONGIA,DG!$D$6,0)</f>
        <v>cái</v>
      </c>
      <c r="H1695" s="329">
        <f>TRNC2X75*2</f>
        <v>4</v>
      </c>
      <c r="I1695" s="329">
        <f>VLOOKUP(B1695,DONGIA,DG!$E$6,0)</f>
        <v>875000</v>
      </c>
      <c r="J1695" s="329"/>
      <c r="K1695" s="329">
        <f>VLOOKUP(B1695,DONGIA,DG!$F$6,0)</f>
        <v>71082</v>
      </c>
      <c r="L1695" s="329">
        <f>VLOOKUP(B1695,DONGIA,DG!$G$6,0)</f>
        <v>0</v>
      </c>
      <c r="M1695" s="329">
        <f t="shared" si="419"/>
        <v>3500000</v>
      </c>
      <c r="N1695" s="329">
        <f t="shared" si="420"/>
        <v>0</v>
      </c>
      <c r="O1695" s="329">
        <f t="shared" si="421"/>
        <v>284328</v>
      </c>
      <c r="P1695" s="329">
        <f t="shared" si="422"/>
        <v>0</v>
      </c>
      <c r="Q1695" s="329"/>
      <c r="S1695" s="332">
        <f t="shared" si="417"/>
        <v>0.8</v>
      </c>
      <c r="T1695" s="332">
        <f t="shared" si="423"/>
        <v>3.2</v>
      </c>
    </row>
    <row r="1696" spans="1:20">
      <c r="A1696" s="332" t="s">
        <v>477</v>
      </c>
      <c r="B1696" s="332" t="s">
        <v>903</v>
      </c>
      <c r="C1696" s="333">
        <f>IF(H1696&lt;&gt;0,1,)</f>
        <v>1</v>
      </c>
      <c r="D1696" s="328"/>
      <c r="E1696" s="328" t="str">
        <f>VLOOKUP(B1696,DONGIA,DG!$B$6,0)</f>
        <v>T1.1433</v>
      </c>
      <c r="F1696" s="779" t="str">
        <f>VLOOKUP(B1696,DONGIA,DG!$C$6,0)&amp;" (SDL)"</f>
        <v>Máy biến áp AMORPHOUS 12,7/0,22-0,44kV 75kVA (SDL)</v>
      </c>
      <c r="G1696" s="328" t="str">
        <f>VLOOKUP(B1696,DONGIA,DG!$D$6,0)</f>
        <v>máy</v>
      </c>
      <c r="H1696" s="329">
        <f>TRNC2X75*2</f>
        <v>4</v>
      </c>
      <c r="I1696" s="329"/>
      <c r="J1696" s="329"/>
      <c r="K1696" s="329">
        <f>VLOOKUP(B1696,DONGIA,DG!$F$6,0)</f>
        <v>993554</v>
      </c>
      <c r="L1696" s="329">
        <f>VLOOKUP(B1696,DONGIA,DG!$G$6,0)</f>
        <v>360605</v>
      </c>
      <c r="M1696" s="329">
        <f t="shared" ref="M1696:P1698" si="424">$H1696*I1696</f>
        <v>0</v>
      </c>
      <c r="N1696" s="329">
        <f t="shared" si="424"/>
        <v>0</v>
      </c>
      <c r="O1696" s="329">
        <f t="shared" si="424"/>
        <v>3974216</v>
      </c>
      <c r="P1696" s="329">
        <f t="shared" si="424"/>
        <v>1442420</v>
      </c>
      <c r="Q1696" s="329"/>
      <c r="S1696" s="332">
        <f>IFERROR(VLOOKUP(B1696,DONGIA,$S$25,0),0)</f>
        <v>455</v>
      </c>
      <c r="T1696" s="332">
        <f>H1696*S1696</f>
        <v>1820</v>
      </c>
    </row>
    <row r="1697" spans="1:20">
      <c r="A1697" s="332" t="s">
        <v>477</v>
      </c>
      <c r="B1697" s="332" t="s">
        <v>1444</v>
      </c>
      <c r="C1697" s="333">
        <f>IF(H1697&lt;&gt;0,1,)</f>
        <v>1</v>
      </c>
      <c r="D1697" s="328"/>
      <c r="E1697" s="328" t="str">
        <f>VLOOKUP(B1697,DONGIA,DG!$B$6,0)</f>
        <v>T2.3505</v>
      </c>
      <c r="F1697" s="779" t="str">
        <f>VLOOKUP(B1697,DONGIA,DG!$C$6,0)&amp;" (SDL)"</f>
        <v>FCO 27kV - 100A (SDL)</v>
      </c>
      <c r="G1697" s="328" t="str">
        <f>VLOOKUP(B1697,DONGIA,DG!$D$6,0)</f>
        <v>cái</v>
      </c>
      <c r="H1697" s="329">
        <f>TRNC2X75</f>
        <v>2</v>
      </c>
      <c r="I1697" s="329"/>
      <c r="J1697" s="329"/>
      <c r="K1697" s="329">
        <f>VLOOKUP(B1697,DONGIA,DG!$F$6,0)</f>
        <v>189552</v>
      </c>
      <c r="L1697" s="329">
        <f>VLOOKUP(B1697,DONGIA,DG!$G$6,0)</f>
        <v>0</v>
      </c>
      <c r="M1697" s="329">
        <f t="shared" si="424"/>
        <v>0</v>
      </c>
      <c r="N1697" s="329">
        <f t="shared" si="424"/>
        <v>0</v>
      </c>
      <c r="O1697" s="329">
        <f t="shared" si="424"/>
        <v>379104</v>
      </c>
      <c r="P1697" s="329">
        <f t="shared" si="424"/>
        <v>0</v>
      </c>
      <c r="Q1697" s="329"/>
      <c r="S1697" s="332">
        <f>IFERROR(VLOOKUP(B1697,DONGIA,$S$25,0),0)</f>
        <v>1.5</v>
      </c>
      <c r="T1697" s="332">
        <f>H1697*S1697</f>
        <v>3</v>
      </c>
    </row>
    <row r="1698" spans="1:20">
      <c r="A1698" s="332" t="s">
        <v>477</v>
      </c>
      <c r="B1698" s="332" t="s">
        <v>943</v>
      </c>
      <c r="C1698" s="333">
        <f>IF(H1698&lt;&gt;0,1,)</f>
        <v>1</v>
      </c>
      <c r="D1698" s="328"/>
      <c r="E1698" s="328" t="str">
        <f>VLOOKUP(B1698,DONGIA,DG!$B$6,0)</f>
        <v>T2.5004</v>
      </c>
      <c r="F1698" s="779" t="str">
        <f>VLOOKUP(B1698,DONGIA,DG!$C$6,0)&amp;" (SDL)"</f>
        <v>LA 18kV 10kA (SDL)</v>
      </c>
      <c r="G1698" s="328" t="str">
        <f>VLOOKUP(B1698,DONGIA,DG!$D$6,0)</f>
        <v>cái</v>
      </c>
      <c r="H1698" s="329">
        <f>TRNC2X75</f>
        <v>2</v>
      </c>
      <c r="I1698" s="329"/>
      <c r="J1698" s="329"/>
      <c r="K1698" s="329">
        <f>VLOOKUP(B1698,DONGIA,DG!$F$6,0)</f>
        <v>71082</v>
      </c>
      <c r="L1698" s="329">
        <f>VLOOKUP(B1698,DONGIA,DG!$G$6,0)</f>
        <v>0</v>
      </c>
      <c r="M1698" s="329">
        <f t="shared" si="424"/>
        <v>0</v>
      </c>
      <c r="N1698" s="329">
        <f t="shared" si="424"/>
        <v>0</v>
      </c>
      <c r="O1698" s="329">
        <f t="shared" si="424"/>
        <v>142164</v>
      </c>
      <c r="P1698" s="329">
        <f t="shared" si="424"/>
        <v>0</v>
      </c>
      <c r="Q1698" s="329"/>
      <c r="S1698" s="332">
        <f>IFERROR(VLOOKUP(B1698,DONGIA,$S$25,0),0)</f>
        <v>0.8</v>
      </c>
      <c r="T1698" s="332">
        <f>H1698*S1698</f>
        <v>1.6</v>
      </c>
    </row>
    <row r="1699" spans="1:20" s="405" customFormat="1" hidden="1">
      <c r="A1699" s="405" t="s">
        <v>477</v>
      </c>
      <c r="B1699" s="405" t="s">
        <v>998</v>
      </c>
      <c r="C1699" s="418">
        <f t="shared" si="418"/>
        <v>0</v>
      </c>
      <c r="D1699" s="523"/>
      <c r="E1699" s="523" t="str">
        <f>VLOOKUP(B1699,DONGIA,DG!$B$6,0)</f>
        <v>T2.8405</v>
      </c>
      <c r="F1699" s="525" t="str">
        <f>VLOOKUP(B1699,DONGIA,DG!$C$6,0)</f>
        <v>MCCB 3 cực 400V - 400A - 35KA (250-400A)</v>
      </c>
      <c r="G1699" s="523" t="str">
        <f>VLOOKUP(B1699,DONGIA,DG!$D$6,0)</f>
        <v>cái</v>
      </c>
      <c r="H1699" s="525"/>
      <c r="I1699" s="525">
        <f>VLOOKUP(B1699,DONGIA,DG!$E$6,0)</f>
        <v>5550000</v>
      </c>
      <c r="J1699" s="525"/>
      <c r="K1699" s="525">
        <f>VLOOKUP(B1699,DONGIA,DG!$F$6,0)*0</f>
        <v>0</v>
      </c>
      <c r="L1699" s="525">
        <f>VLOOKUP(B1699,DONGIA,DG!$G$6,0)</f>
        <v>0</v>
      </c>
      <c r="M1699" s="525">
        <f t="shared" si="419"/>
        <v>0</v>
      </c>
      <c r="N1699" s="525">
        <f t="shared" si="420"/>
        <v>0</v>
      </c>
      <c r="O1699" s="525">
        <f t="shared" si="421"/>
        <v>0</v>
      </c>
      <c r="P1699" s="525">
        <f t="shared" si="422"/>
        <v>0</v>
      </c>
      <c r="Q1699" s="525"/>
      <c r="S1699" s="405">
        <f t="shared" si="417"/>
        <v>3</v>
      </c>
      <c r="T1699" s="405">
        <f t="shared" si="423"/>
        <v>0</v>
      </c>
    </row>
    <row r="1700" spans="1:20">
      <c r="A1700" s="332" t="s">
        <v>477</v>
      </c>
      <c r="B1700" s="332" t="s">
        <v>954</v>
      </c>
      <c r="C1700" s="333">
        <f t="shared" si="418"/>
        <v>1</v>
      </c>
      <c r="D1700" s="328"/>
      <c r="E1700" s="328">
        <f>VLOOKUP(B1700,DONGIA,DG!$B$6,0)</f>
        <v>0</v>
      </c>
      <c r="F1700" s="779" t="str">
        <f>VLOOKUP(B1700,DONGIA,DG!$C$6,0)</f>
        <v>Biến dòng 600V - 250/5A</v>
      </c>
      <c r="G1700" s="328" t="str">
        <f>VLOOKUP(B1700,DONGIA,DG!$D$6,0)</f>
        <v>cái</v>
      </c>
      <c r="H1700" s="329">
        <f>TRNC2X75*3</f>
        <v>6</v>
      </c>
      <c r="I1700" s="329">
        <f>VLOOKUP(B1700,DONGIA,DG!$E$6,0)</f>
        <v>0</v>
      </c>
      <c r="J1700" s="329"/>
      <c r="K1700" s="329">
        <f>VLOOKUP(B1700,DONGIA,DG!$F$6,0)</f>
        <v>0</v>
      </c>
      <c r="L1700" s="329">
        <f>VLOOKUP(B1700,DONGIA,DG!$G$6,0)</f>
        <v>0</v>
      </c>
      <c r="M1700" s="329">
        <f t="shared" si="419"/>
        <v>0</v>
      </c>
      <c r="N1700" s="329">
        <f t="shared" si="420"/>
        <v>0</v>
      </c>
      <c r="O1700" s="329">
        <f t="shared" si="421"/>
        <v>0</v>
      </c>
      <c r="P1700" s="329">
        <f t="shared" si="422"/>
        <v>0</v>
      </c>
      <c r="Q1700" s="329"/>
      <c r="S1700" s="332">
        <f t="shared" si="417"/>
        <v>1</v>
      </c>
      <c r="T1700" s="332">
        <f t="shared" si="423"/>
        <v>6</v>
      </c>
    </row>
    <row r="1701" spans="1:20">
      <c r="A1701" s="332" t="s">
        <v>477</v>
      </c>
      <c r="B1701" s="332" t="s">
        <v>1046</v>
      </c>
      <c r="C1701" s="333">
        <f t="shared" si="418"/>
        <v>1</v>
      </c>
      <c r="D1701" s="328"/>
      <c r="E1701" s="328">
        <f>VLOOKUP(B1701,DONGIA,DG!$B$6,0)</f>
        <v>0</v>
      </c>
      <c r="F1701" s="779" t="str">
        <f>VLOOKUP(B1701,DONGIA,DG!$C$6,0)</f>
        <v>Điện kế 3 pha 4 dây 220/380V-5A</v>
      </c>
      <c r="G1701" s="328" t="str">
        <f>VLOOKUP(B1701,DONGIA,DG!$D$6,0)</f>
        <v>cái</v>
      </c>
      <c r="H1701" s="329">
        <f>TRNC2X75</f>
        <v>2</v>
      </c>
      <c r="I1701" s="329">
        <f>VLOOKUP(B1701,DONGIA,DG!$E$6,0)</f>
        <v>0</v>
      </c>
      <c r="J1701" s="329"/>
      <c r="K1701" s="329">
        <f>VLOOKUP(B1701,DONGIA,DG!$F$6,0)</f>
        <v>0</v>
      </c>
      <c r="L1701" s="329">
        <f>VLOOKUP(B1701,DONGIA,DG!$G$6,0)</f>
        <v>0</v>
      </c>
      <c r="M1701" s="329">
        <f t="shared" si="419"/>
        <v>0</v>
      </c>
      <c r="N1701" s="329">
        <f t="shared" si="420"/>
        <v>0</v>
      </c>
      <c r="O1701" s="329">
        <f t="shared" si="421"/>
        <v>0</v>
      </c>
      <c r="P1701" s="329">
        <f t="shared" si="422"/>
        <v>0</v>
      </c>
      <c r="Q1701" s="329"/>
      <c r="S1701" s="332">
        <f t="shared" si="417"/>
        <v>1.5</v>
      </c>
      <c r="T1701" s="332">
        <f t="shared" si="423"/>
        <v>3</v>
      </c>
    </row>
    <row r="1702" spans="1:20">
      <c r="A1702" s="332" t="str">
        <f>"VL"&amp;A1691</f>
        <v>VLTRNC2x75</v>
      </c>
      <c r="C1702" s="333">
        <f>IF(SUM(C1703:C1863)&lt;&gt;0,1,)</f>
        <v>1</v>
      </c>
      <c r="D1702" s="344"/>
      <c r="E1702" s="344"/>
      <c r="F1702" s="778" t="s">
        <v>1901</v>
      </c>
      <c r="G1702" s="344"/>
      <c r="H1702" s="345"/>
      <c r="I1702" s="345"/>
      <c r="J1702" s="345"/>
      <c r="K1702" s="345"/>
      <c r="L1702" s="345"/>
      <c r="M1702" s="345">
        <f>SUM(M1703:M1863)</f>
        <v>57886367.519999996</v>
      </c>
      <c r="N1702" s="345">
        <f>SUM(N1703:N1863)</f>
        <v>0</v>
      </c>
      <c r="O1702" s="345">
        <f>SUM(O1703:O1863)</f>
        <v>10352169.92</v>
      </c>
      <c r="P1702" s="345">
        <f>SUM(P1703:P1863)</f>
        <v>260955.8</v>
      </c>
      <c r="Q1702" s="345"/>
      <c r="S1702" s="332">
        <f t="shared" si="417"/>
        <v>0</v>
      </c>
      <c r="T1702" s="371">
        <f>SUM(T1703:T1863)</f>
        <v>666.13080000000002</v>
      </c>
    </row>
    <row r="1703" spans="1:20">
      <c r="C1703" s="333">
        <f t="shared" ref="C1703:C1811" si="425">IF(H1703&lt;&gt;0,1,)</f>
        <v>1</v>
      </c>
      <c r="D1703" s="372">
        <f>IF(H1703&lt;&gt;0,1,)</f>
        <v>1</v>
      </c>
      <c r="E1703" s="372"/>
      <c r="F1703" s="780" t="s">
        <v>1931</v>
      </c>
      <c r="G1703" s="372" t="s">
        <v>138</v>
      </c>
      <c r="H1703" s="372">
        <f>TRNC2X75</f>
        <v>2</v>
      </c>
      <c r="I1703" s="373"/>
      <c r="J1703" s="373"/>
      <c r="K1703" s="373"/>
      <c r="L1703" s="373"/>
      <c r="M1703" s="373"/>
      <c r="N1703" s="373"/>
      <c r="O1703" s="373"/>
      <c r="P1703" s="373"/>
      <c r="Q1703" s="373"/>
      <c r="S1703" s="332">
        <f t="shared" si="417"/>
        <v>0</v>
      </c>
      <c r="T1703" s="332">
        <f t="shared" ref="T1703:T1811" si="426">H1703*S1703</f>
        <v>0</v>
      </c>
    </row>
    <row r="1704" spans="1:20">
      <c r="A1704" s="332" t="s">
        <v>477</v>
      </c>
      <c r="B1704" s="332" t="s">
        <v>1010</v>
      </c>
      <c r="C1704" s="333">
        <f t="shared" si="425"/>
        <v>1</v>
      </c>
      <c r="D1704" s="328"/>
      <c r="E1704" s="328">
        <f>VLOOKUP(B1704,DONGIA,DG!$B$6,0)</f>
        <v>0</v>
      </c>
      <c r="F1704" s="779" t="str">
        <f>VLOOKUP(B1704,DONGIA,DG!$C$6,0)</f>
        <v>Dây chảy 6K</v>
      </c>
      <c r="G1704" s="328" t="str">
        <f>VLOOKUP(B1704,DONGIA,DG!$D$6,0)</f>
        <v>Sợi</v>
      </c>
      <c r="H1704" s="329">
        <f>H1703*3</f>
        <v>6</v>
      </c>
      <c r="I1704" s="329">
        <f>VLOOKUP(B1704,DONGIA,DG!$E$6,0)</f>
        <v>47000</v>
      </c>
      <c r="J1704" s="329"/>
      <c r="K1704" s="329">
        <f>VLOOKUP(B1704,DONGIA,DG!$F$6,0)</f>
        <v>0</v>
      </c>
      <c r="L1704" s="329">
        <f>VLOOKUP(B1704,DONGIA,DG!$G$6,0)</f>
        <v>0</v>
      </c>
      <c r="M1704" s="329">
        <f t="shared" ref="M1704:P1707" si="427">$H1704*I1704</f>
        <v>282000</v>
      </c>
      <c r="N1704" s="329">
        <f t="shared" si="427"/>
        <v>0</v>
      </c>
      <c r="O1704" s="329">
        <f t="shared" si="427"/>
        <v>0</v>
      </c>
      <c r="P1704" s="329">
        <f t="shared" si="427"/>
        <v>0</v>
      </c>
      <c r="Q1704" s="455"/>
      <c r="R1704" s="552"/>
      <c r="S1704" s="332">
        <f t="shared" si="417"/>
        <v>0</v>
      </c>
      <c r="T1704" s="332">
        <f t="shared" si="426"/>
        <v>0</v>
      </c>
    </row>
    <row r="1705" spans="1:20">
      <c r="A1705" s="332" t="s">
        <v>477</v>
      </c>
      <c r="B1705" s="332" t="s">
        <v>131</v>
      </c>
      <c r="C1705" s="333">
        <f t="shared" si="425"/>
        <v>1</v>
      </c>
      <c r="D1705" s="328"/>
      <c r="E1705" s="328">
        <f>VLOOKUP(B1705,DONGIA,DG!$B$6,0)</f>
        <v>0</v>
      </c>
      <c r="F1705" s="779" t="str">
        <f>VLOOKUP(B1705,DONGIA,DG!$C$6,0)</f>
        <v>Chụp đầu FCO (Trên + Dưới)</v>
      </c>
      <c r="G1705" s="328" t="str">
        <f>VLOOKUP(B1705,DONGIA,DG!$D$6,0)</f>
        <v>bộ</v>
      </c>
      <c r="H1705" s="329">
        <f>H1703*3</f>
        <v>6</v>
      </c>
      <c r="I1705" s="329">
        <f>VLOOKUP(B1705,DONGIA,DG!$E$6,0)</f>
        <v>190000</v>
      </c>
      <c r="J1705" s="329"/>
      <c r="K1705" s="329">
        <f>VLOOKUP(B1705,DONGIA,DG!$F$6,0)</f>
        <v>0</v>
      </c>
      <c r="L1705" s="329">
        <f>VLOOKUP(B1705,DONGIA,DG!$G$6,0)</f>
        <v>0</v>
      </c>
      <c r="M1705" s="329">
        <f t="shared" si="427"/>
        <v>1140000</v>
      </c>
      <c r="N1705" s="329">
        <f t="shared" si="427"/>
        <v>0</v>
      </c>
      <c r="O1705" s="329">
        <f t="shared" si="427"/>
        <v>0</v>
      </c>
      <c r="P1705" s="329">
        <f t="shared" si="427"/>
        <v>0</v>
      </c>
      <c r="Q1705" s="329"/>
      <c r="S1705" s="332">
        <f t="shared" si="417"/>
        <v>0</v>
      </c>
      <c r="T1705" s="332">
        <f t="shared" si="426"/>
        <v>0</v>
      </c>
    </row>
    <row r="1706" spans="1:20">
      <c r="A1706" s="332" t="s">
        <v>477</v>
      </c>
      <c r="B1706" s="332" t="s">
        <v>133</v>
      </c>
      <c r="C1706" s="333">
        <f t="shared" si="425"/>
        <v>1</v>
      </c>
      <c r="D1706" s="328"/>
      <c r="E1706" s="328">
        <f>VLOOKUP(B1706,DONGIA,DG!$B$6,0)</f>
        <v>0</v>
      </c>
      <c r="F1706" s="779" t="str">
        <f>VLOOKUP(B1706,DONGIA,DG!$C$6,0)</f>
        <v>Chụp đầu LA</v>
      </c>
      <c r="G1706" s="328" t="str">
        <f>VLOOKUP(B1706,DONGIA,DG!$D$6,0)</f>
        <v>cái</v>
      </c>
      <c r="H1706" s="329">
        <f>H1703*3</f>
        <v>6</v>
      </c>
      <c r="I1706" s="329">
        <f>VLOOKUP(B1706,DONGIA,DG!$E$6,0)</f>
        <v>32000</v>
      </c>
      <c r="J1706" s="329"/>
      <c r="K1706" s="329">
        <f>VLOOKUP(B1706,DONGIA,DG!$F$6,0)</f>
        <v>0</v>
      </c>
      <c r="L1706" s="329">
        <f>VLOOKUP(B1706,DONGIA,DG!$G$6,0)</f>
        <v>0</v>
      </c>
      <c r="M1706" s="329">
        <f t="shared" si="427"/>
        <v>192000</v>
      </c>
      <c r="N1706" s="329">
        <f t="shared" si="427"/>
        <v>0</v>
      </c>
      <c r="O1706" s="329">
        <f t="shared" si="427"/>
        <v>0</v>
      </c>
      <c r="P1706" s="329">
        <f t="shared" si="427"/>
        <v>0</v>
      </c>
      <c r="Q1706" s="329"/>
      <c r="S1706" s="332">
        <f t="shared" si="417"/>
        <v>0</v>
      </c>
      <c r="T1706" s="332">
        <f t="shared" si="426"/>
        <v>0</v>
      </c>
    </row>
    <row r="1707" spans="1:20">
      <c r="A1707" s="332" t="s">
        <v>477</v>
      </c>
      <c r="B1707" s="332" t="s">
        <v>135</v>
      </c>
      <c r="C1707" s="333">
        <f t="shared" si="425"/>
        <v>1</v>
      </c>
      <c r="D1707" s="328"/>
      <c r="E1707" s="328">
        <f>VLOOKUP(B1707,DONGIA,DG!$B$6,0)</f>
        <v>0</v>
      </c>
      <c r="F1707" s="779" t="str">
        <f>VLOOKUP(B1707,DONGIA,DG!$C$6,0)</f>
        <v>Chụp đầu cực MBA</v>
      </c>
      <c r="G1707" s="328" t="str">
        <f>VLOOKUP(B1707,DONGIA,DG!$D$6,0)</f>
        <v>cái</v>
      </c>
      <c r="H1707" s="329">
        <f>H1703*3</f>
        <v>6</v>
      </c>
      <c r="I1707" s="329">
        <f>VLOOKUP(B1707,DONGIA,DG!$E$6,0)</f>
        <v>52000</v>
      </c>
      <c r="J1707" s="329"/>
      <c r="K1707" s="329">
        <f>VLOOKUP(B1707,DONGIA,DG!$F$6,0)</f>
        <v>0</v>
      </c>
      <c r="L1707" s="329">
        <f>VLOOKUP(B1707,DONGIA,DG!$G$6,0)</f>
        <v>0</v>
      </c>
      <c r="M1707" s="329">
        <f t="shared" si="427"/>
        <v>312000</v>
      </c>
      <c r="N1707" s="329">
        <f t="shared" si="427"/>
        <v>0</v>
      </c>
      <c r="O1707" s="329">
        <f t="shared" si="427"/>
        <v>0</v>
      </c>
      <c r="P1707" s="329">
        <f t="shared" si="427"/>
        <v>0</v>
      </c>
      <c r="Q1707" s="329"/>
      <c r="S1707" s="332">
        <f t="shared" si="417"/>
        <v>0</v>
      </c>
      <c r="T1707" s="332">
        <f t="shared" si="426"/>
        <v>0</v>
      </c>
    </row>
    <row r="1708" spans="1:20">
      <c r="A1708" s="332" t="s">
        <v>477</v>
      </c>
      <c r="C1708" s="333">
        <f t="shared" si="425"/>
        <v>1</v>
      </c>
      <c r="D1708" s="372">
        <f>IF(H1708&lt;&gt;0,D1703+1,D1703)</f>
        <v>2</v>
      </c>
      <c r="E1708" s="372"/>
      <c r="F1708" s="780" t="s">
        <v>1932</v>
      </c>
      <c r="G1708" s="372" t="s">
        <v>138</v>
      </c>
      <c r="H1708" s="372">
        <f>TRNC2X75</f>
        <v>2</v>
      </c>
      <c r="I1708" s="373"/>
      <c r="J1708" s="373"/>
      <c r="K1708" s="373"/>
      <c r="L1708" s="373"/>
      <c r="M1708" s="373"/>
      <c r="N1708" s="373"/>
      <c r="O1708" s="373"/>
      <c r="P1708" s="373"/>
      <c r="Q1708" s="373"/>
      <c r="S1708" s="332">
        <f t="shared" si="417"/>
        <v>0</v>
      </c>
      <c r="T1708" s="332">
        <f t="shared" si="426"/>
        <v>0</v>
      </c>
    </row>
    <row r="1709" spans="1:20" s="361" customFormat="1" hidden="1">
      <c r="A1709" s="361" t="s">
        <v>477</v>
      </c>
      <c r="C1709" s="374">
        <f t="shared" si="425"/>
        <v>0</v>
      </c>
      <c r="D1709" s="350"/>
      <c r="E1709" s="350"/>
      <c r="F1709" s="351" t="s">
        <v>1902</v>
      </c>
      <c r="G1709" s="350"/>
      <c r="H1709" s="351"/>
      <c r="I1709" s="351"/>
      <c r="J1709" s="351"/>
      <c r="K1709" s="351"/>
      <c r="L1709" s="351"/>
      <c r="M1709" s="351"/>
      <c r="N1709" s="351"/>
      <c r="O1709" s="351"/>
      <c r="P1709" s="351"/>
      <c r="Q1709" s="351"/>
      <c r="S1709" s="361">
        <f t="shared" si="417"/>
        <v>0</v>
      </c>
      <c r="T1709" s="361">
        <f t="shared" si="426"/>
        <v>0</v>
      </c>
    </row>
    <row r="1710" spans="1:20" s="405" customFormat="1">
      <c r="A1710" s="405" t="s">
        <v>477</v>
      </c>
      <c r="B1710" s="405" t="s">
        <v>18</v>
      </c>
      <c r="C1710" s="418">
        <f t="shared" si="425"/>
        <v>1</v>
      </c>
      <c r="D1710" s="523"/>
      <c r="E1710" s="523">
        <f>VLOOKUP(B1710,DONGIA,DG!$B$6,0)</f>
        <v>0</v>
      </c>
      <c r="F1710" s="666" t="str">
        <f>VLOOKUP(B1710,DONGIA,DG!$C$6,0)</f>
        <v>Đà hộp composite 110x80x5-2400</v>
      </c>
      <c r="G1710" s="523" t="str">
        <f>VLOOKUP(B1710,DONGIA,DG!$D$6,0)</f>
        <v>cái</v>
      </c>
      <c r="H1710" s="525">
        <f>H1708</f>
        <v>2</v>
      </c>
      <c r="I1710" s="525">
        <f>VLOOKUP(B1710,DONGIA,DG!$E$6,0)</f>
        <v>812200</v>
      </c>
      <c r="J1710" s="525"/>
      <c r="K1710" s="525">
        <f>VLOOKUP(B1710,DONGIA,DG!$F$6,0)</f>
        <v>0</v>
      </c>
      <c r="L1710" s="525">
        <f>VLOOKUP(B1710,DONGIA,DG!$G$6,0)</f>
        <v>0</v>
      </c>
      <c r="M1710" s="525">
        <f t="shared" ref="M1710:M1716" si="428">$H1710*I1710</f>
        <v>1624400</v>
      </c>
      <c r="N1710" s="525">
        <f t="shared" ref="N1710:N1716" si="429">$H1710*J1710</f>
        <v>0</v>
      </c>
      <c r="O1710" s="525">
        <f t="shared" ref="O1710:O1716" si="430">$H1710*K1710</f>
        <v>0</v>
      </c>
      <c r="P1710" s="525">
        <f t="shared" ref="P1710:P1716" si="431">$H1710*L1710</f>
        <v>0</v>
      </c>
      <c r="Q1710" s="525"/>
      <c r="S1710" s="405">
        <f t="shared" si="417"/>
        <v>9.6</v>
      </c>
      <c r="T1710" s="405">
        <f t="shared" si="426"/>
        <v>19.2</v>
      </c>
    </row>
    <row r="1711" spans="1:20" s="405" customFormat="1">
      <c r="A1711" s="405" t="s">
        <v>477</v>
      </c>
      <c r="B1711" s="405" t="s">
        <v>20</v>
      </c>
      <c r="C1711" s="418">
        <f t="shared" si="425"/>
        <v>1</v>
      </c>
      <c r="D1711" s="523"/>
      <c r="E1711" s="523">
        <f>VLOOKUP(B1711,DONGIA,DG!$B$6,0)</f>
        <v>0</v>
      </c>
      <c r="F1711" s="666" t="str">
        <f>VLOOKUP(B1711,DONGIA,DG!$C$6,0)</f>
        <v>Thanh chống Composite dẹp 10x40x920</v>
      </c>
      <c r="G1711" s="523" t="str">
        <f>VLOOKUP(B1711,DONGIA,DG!$D$6,0)</f>
        <v>cái</v>
      </c>
      <c r="H1711" s="525">
        <f>H1710*2</f>
        <v>4</v>
      </c>
      <c r="I1711" s="525">
        <f>VLOOKUP(B1711,DONGIA,DG!$E$6,0)</f>
        <v>108100</v>
      </c>
      <c r="J1711" s="525"/>
      <c r="K1711" s="525">
        <f>VLOOKUP(B1711,DONGIA,DG!$F$6,0)</f>
        <v>0</v>
      </c>
      <c r="L1711" s="525">
        <f>VLOOKUP(B1711,DONGIA,DG!$G$6,0)</f>
        <v>0</v>
      </c>
      <c r="M1711" s="525">
        <f t="shared" si="428"/>
        <v>432400</v>
      </c>
      <c r="N1711" s="525">
        <f t="shared" si="429"/>
        <v>0</v>
      </c>
      <c r="O1711" s="525">
        <f t="shared" si="430"/>
        <v>0</v>
      </c>
      <c r="P1711" s="525">
        <f t="shared" si="431"/>
        <v>0</v>
      </c>
      <c r="Q1711" s="525"/>
      <c r="S1711" s="405">
        <f t="shared" si="417"/>
        <v>0.7</v>
      </c>
      <c r="T1711" s="405">
        <f t="shared" si="426"/>
        <v>2.8</v>
      </c>
    </row>
    <row r="1712" spans="1:20" s="405" customFormat="1">
      <c r="A1712" s="405" t="s">
        <v>477</v>
      </c>
      <c r="B1712" s="405" t="s">
        <v>139</v>
      </c>
      <c r="C1712" s="418">
        <f t="shared" si="425"/>
        <v>1</v>
      </c>
      <c r="D1712" s="523"/>
      <c r="E1712" s="523">
        <f>VLOOKUP(B1712,DONGIA,DG!$B$6,0)</f>
        <v>0</v>
      </c>
      <c r="F1712" s="666" t="str">
        <f>VLOOKUP(B1712,DONGIA,DG!$C$6,0)</f>
        <v>Bass LL bắt FCO và LA</v>
      </c>
      <c r="G1712" s="523" t="str">
        <f>VLOOKUP(B1712,DONGIA,DG!$D$6,0)</f>
        <v>bộ</v>
      </c>
      <c r="H1712" s="525">
        <f>H1708*3</f>
        <v>6</v>
      </c>
      <c r="I1712" s="525">
        <f>VLOOKUP(B1712,DONGIA,DG!$E$6,0)</f>
        <v>56000</v>
      </c>
      <c r="J1712" s="525"/>
      <c r="K1712" s="525">
        <f>VLOOKUP(B1712,DONGIA,DG!$F$6,0)</f>
        <v>0</v>
      </c>
      <c r="L1712" s="525">
        <f>VLOOKUP(B1712,DONGIA,DG!$G$6,0)</f>
        <v>0</v>
      </c>
      <c r="M1712" s="525">
        <f t="shared" si="428"/>
        <v>336000</v>
      </c>
      <c r="N1712" s="525">
        <f t="shared" si="429"/>
        <v>0</v>
      </c>
      <c r="O1712" s="525">
        <f t="shared" si="430"/>
        <v>0</v>
      </c>
      <c r="P1712" s="525">
        <f t="shared" si="431"/>
        <v>0</v>
      </c>
      <c r="Q1712" s="525"/>
      <c r="S1712" s="405">
        <f t="shared" si="417"/>
        <v>0.5</v>
      </c>
      <c r="T1712" s="405">
        <f t="shared" si="426"/>
        <v>3</v>
      </c>
    </row>
    <row r="1713" spans="1:20" s="405" customFormat="1">
      <c r="A1713" s="405" t="s">
        <v>477</v>
      </c>
      <c r="B1713" s="405" t="s">
        <v>37</v>
      </c>
      <c r="C1713" s="418">
        <f t="shared" si="425"/>
        <v>1</v>
      </c>
      <c r="D1713" s="523"/>
      <c r="E1713" s="523">
        <f>VLOOKUP(B1713,DONGIA,DG!$B$6,0)</f>
        <v>0</v>
      </c>
      <c r="F1713" s="666" t="str">
        <f>VLOOKUP(B1713,DONGIA,DG!$C$6,0)</f>
        <v>Boulon 16x350+ 2 long đền vuông D18-50x50x3/Zn</v>
      </c>
      <c r="G1713" s="523" t="str">
        <f>VLOOKUP(B1713,DONGIA,DG!$D$6,0)</f>
        <v>bộ</v>
      </c>
      <c r="H1713" s="525">
        <f>H1708</f>
        <v>2</v>
      </c>
      <c r="I1713" s="525">
        <f>VLOOKUP(B1713,DONGIA,DG!$E$6,0)</f>
        <v>32000</v>
      </c>
      <c r="J1713" s="525"/>
      <c r="K1713" s="525">
        <f>VLOOKUP(B1713,DONGIA,DG!$F$6,0)</f>
        <v>0</v>
      </c>
      <c r="L1713" s="525">
        <f>VLOOKUP(B1713,DONGIA,DG!$G$6,0)</f>
        <v>0</v>
      </c>
      <c r="M1713" s="525">
        <f t="shared" si="428"/>
        <v>64000</v>
      </c>
      <c r="N1713" s="525">
        <f t="shared" si="429"/>
        <v>0</v>
      </c>
      <c r="O1713" s="525">
        <f t="shared" si="430"/>
        <v>0</v>
      </c>
      <c r="P1713" s="525">
        <f t="shared" si="431"/>
        <v>0</v>
      </c>
      <c r="Q1713" s="525"/>
      <c r="S1713" s="405">
        <f t="shared" si="417"/>
        <v>0.3</v>
      </c>
      <c r="T1713" s="405">
        <f t="shared" si="426"/>
        <v>0.6</v>
      </c>
    </row>
    <row r="1714" spans="1:20" s="405" customFormat="1">
      <c r="A1714" s="405" t="s">
        <v>477</v>
      </c>
      <c r="B1714" s="405" t="s">
        <v>35</v>
      </c>
      <c r="C1714" s="418">
        <f t="shared" si="425"/>
        <v>1</v>
      </c>
      <c r="D1714" s="523"/>
      <c r="E1714" s="523">
        <f>VLOOKUP(B1714,DONGIA,DG!$B$6,0)</f>
        <v>0</v>
      </c>
      <c r="F1714" s="666" t="str">
        <f>VLOOKUP(B1714,DONGIA,DG!$C$6,0)</f>
        <v>Boulon 16x300+ 2 long đền vuông D18-50x50x3/Zn</v>
      </c>
      <c r="G1714" s="523" t="str">
        <f>VLOOKUP(B1714,DONGIA,DG!$D$6,0)</f>
        <v>bộ</v>
      </c>
      <c r="H1714" s="525">
        <f>H1708</f>
        <v>2</v>
      </c>
      <c r="I1714" s="525">
        <f>VLOOKUP(B1714,DONGIA,DG!$E$6,0)</f>
        <v>30000</v>
      </c>
      <c r="J1714" s="525"/>
      <c r="K1714" s="525">
        <f>VLOOKUP(B1714,DONGIA,DG!$F$6,0)</f>
        <v>0</v>
      </c>
      <c r="L1714" s="525">
        <f>VLOOKUP(B1714,DONGIA,DG!$G$6,0)</f>
        <v>0</v>
      </c>
      <c r="M1714" s="525">
        <f t="shared" si="428"/>
        <v>60000</v>
      </c>
      <c r="N1714" s="525">
        <f t="shared" si="429"/>
        <v>0</v>
      </c>
      <c r="O1714" s="525">
        <f t="shared" si="430"/>
        <v>0</v>
      </c>
      <c r="P1714" s="525">
        <f t="shared" si="431"/>
        <v>0</v>
      </c>
      <c r="Q1714" s="525"/>
      <c r="S1714" s="405">
        <f t="shared" si="417"/>
        <v>0.25</v>
      </c>
      <c r="T1714" s="405">
        <f t="shared" si="426"/>
        <v>0.5</v>
      </c>
    </row>
    <row r="1715" spans="1:20" s="405" customFormat="1">
      <c r="A1715" s="405" t="s">
        <v>477</v>
      </c>
      <c r="B1715" s="405" t="s">
        <v>3053</v>
      </c>
      <c r="C1715" s="418">
        <f t="shared" si="425"/>
        <v>1</v>
      </c>
      <c r="D1715" s="523"/>
      <c r="E1715" s="523">
        <f>VLOOKUP(B1715,DONGIA,DG!$B$6,0)</f>
        <v>0</v>
      </c>
      <c r="F1715" s="666" t="str">
        <f>VLOOKUP(B1715,DONGIA,DG!$C$6,0)</f>
        <v>Boulon 14x150+ 2 long đền vuông D16-50x50x3/Zn</v>
      </c>
      <c r="G1715" s="523" t="str">
        <f>VLOOKUP(B1715,DONGIA,DG!$D$6,0)</f>
        <v>bộ</v>
      </c>
      <c r="H1715" s="525">
        <f>H1711</f>
        <v>4</v>
      </c>
      <c r="I1715" s="525">
        <f>VLOOKUP(B1715,DONGIA,DG!$E$6,0)</f>
        <v>19000</v>
      </c>
      <c r="J1715" s="525"/>
      <c r="K1715" s="525">
        <f>VLOOKUP(B1715,DONGIA,DG!$F$6,0)</f>
        <v>0</v>
      </c>
      <c r="L1715" s="525">
        <f>VLOOKUP(B1715,DONGIA,DG!$G$6,0)</f>
        <v>0</v>
      </c>
      <c r="M1715" s="525">
        <f t="shared" si="428"/>
        <v>76000</v>
      </c>
      <c r="N1715" s="525">
        <f t="shared" si="429"/>
        <v>0</v>
      </c>
      <c r="O1715" s="525">
        <f t="shared" si="430"/>
        <v>0</v>
      </c>
      <c r="P1715" s="525">
        <f t="shared" si="431"/>
        <v>0</v>
      </c>
      <c r="Q1715" s="525"/>
      <c r="S1715" s="405">
        <f t="shared" si="417"/>
        <v>0.2</v>
      </c>
      <c r="T1715" s="405">
        <f t="shared" si="426"/>
        <v>0.8</v>
      </c>
    </row>
    <row r="1716" spans="1:20" ht="31.2">
      <c r="A1716" s="332" t="s">
        <v>477</v>
      </c>
      <c r="B1716" s="332" t="s">
        <v>618</v>
      </c>
      <c r="C1716" s="333">
        <f t="shared" si="425"/>
        <v>1</v>
      </c>
      <c r="D1716" s="328"/>
      <c r="E1716" s="328" t="str">
        <f>VLOOKUP(B1716,DONGIA,DG!$B$6,0)</f>
        <v>D2.6011</v>
      </c>
      <c r="F1716" s="779" t="str">
        <f>VLOOKUP(B1716,DONGIA,DG!$C$6,0)</f>
        <v>Lắp đà composite 2400mm đơn (KL &lt;=15kg, trụ BTLT, tính = 0.8 đà sắt)</v>
      </c>
      <c r="G1716" s="328" t="str">
        <f>VLOOKUP(B1716,DONGIA,DG!$D$6,0)</f>
        <v>bộ</v>
      </c>
      <c r="H1716" s="329">
        <f>H1708</f>
        <v>2</v>
      </c>
      <c r="I1716" s="329">
        <f>VLOOKUP(B1716,DONGIA,DG!$E$6,0)</f>
        <v>0</v>
      </c>
      <c r="J1716" s="329"/>
      <c r="K1716" s="329">
        <f>VLOOKUP(B1716,DONGIA,DG!$F$6,0)</f>
        <v>134360</v>
      </c>
      <c r="L1716" s="329">
        <f>VLOOKUP(B1716,DONGIA,DG!$G$6,0)</f>
        <v>0</v>
      </c>
      <c r="M1716" s="329">
        <f t="shared" si="428"/>
        <v>0</v>
      </c>
      <c r="N1716" s="329">
        <f t="shared" si="429"/>
        <v>0</v>
      </c>
      <c r="O1716" s="329">
        <f t="shared" si="430"/>
        <v>268720</v>
      </c>
      <c r="P1716" s="329">
        <f t="shared" si="431"/>
        <v>0</v>
      </c>
      <c r="Q1716" s="329"/>
      <c r="S1716" s="332">
        <f t="shared" si="417"/>
        <v>0</v>
      </c>
      <c r="T1716" s="332">
        <f t="shared" si="426"/>
        <v>0</v>
      </c>
    </row>
    <row r="1717" spans="1:20">
      <c r="A1717" s="332" t="s">
        <v>477</v>
      </c>
      <c r="C1717" s="333">
        <f t="shared" si="425"/>
        <v>1</v>
      </c>
      <c r="D1717" s="372">
        <f>IF(H1717&lt;&gt;0,D1708+1,D1708)</f>
        <v>3</v>
      </c>
      <c r="E1717" s="372"/>
      <c r="F1717" s="780" t="s">
        <v>1910</v>
      </c>
      <c r="G1717" s="372" t="s">
        <v>138</v>
      </c>
      <c r="H1717" s="372">
        <f>TRNC2X75</f>
        <v>2</v>
      </c>
      <c r="I1717" s="373"/>
      <c r="J1717" s="373"/>
      <c r="K1717" s="373"/>
      <c r="L1717" s="373"/>
      <c r="M1717" s="373"/>
      <c r="N1717" s="373"/>
      <c r="O1717" s="373"/>
      <c r="P1717" s="373"/>
      <c r="Q1717" s="373"/>
      <c r="S1717" s="332">
        <f t="shared" si="417"/>
        <v>0</v>
      </c>
      <c r="T1717" s="332">
        <f t="shared" si="426"/>
        <v>0</v>
      </c>
    </row>
    <row r="1718" spans="1:20" s="361" customFormat="1" hidden="1">
      <c r="A1718" s="361" t="s">
        <v>477</v>
      </c>
      <c r="C1718" s="374">
        <f t="shared" si="425"/>
        <v>0</v>
      </c>
      <c r="D1718" s="350"/>
      <c r="E1718" s="350"/>
      <c r="F1718" s="351" t="s">
        <v>1902</v>
      </c>
      <c r="G1718" s="350"/>
      <c r="H1718" s="351"/>
      <c r="I1718" s="351"/>
      <c r="J1718" s="351"/>
      <c r="K1718" s="351"/>
      <c r="L1718" s="351"/>
      <c r="M1718" s="351"/>
      <c r="N1718" s="351"/>
      <c r="O1718" s="351"/>
      <c r="P1718" s="351"/>
      <c r="Q1718" s="351"/>
      <c r="S1718" s="361">
        <f t="shared" si="417"/>
        <v>0</v>
      </c>
      <c r="T1718" s="361">
        <f t="shared" si="426"/>
        <v>0</v>
      </c>
    </row>
    <row r="1719" spans="1:20">
      <c r="A1719" s="332" t="s">
        <v>477</v>
      </c>
      <c r="B1719" s="332" t="s">
        <v>1069</v>
      </c>
      <c r="C1719" s="333">
        <f t="shared" si="425"/>
        <v>1</v>
      </c>
      <c r="D1719" s="328"/>
      <c r="E1719" s="328" t="str">
        <f>VLOOKUP(B1719,DONGIA,DG!$B$6,0)</f>
        <v>T4.9302</v>
      </c>
      <c r="F1719" s="779" t="str">
        <f>VLOOKUP(B1719,DONGIA,DG!$C$6,0)</f>
        <v>Gía chùm treo máy biến áp 3x100</v>
      </c>
      <c r="G1719" s="328" t="str">
        <f>VLOOKUP(B1719,DONGIA,DG!$D$6,0)</f>
        <v>Bộ</v>
      </c>
      <c r="H1719" s="329">
        <f>H1717</f>
        <v>2</v>
      </c>
      <c r="I1719" s="329">
        <f>VLOOKUP(B1719,DONGIA,DG!$E$6,0)</f>
        <v>3210000</v>
      </c>
      <c r="J1719" s="329"/>
      <c r="K1719" s="329">
        <f>VLOOKUP(B1719,DONGIA,DG!$F$6,0)</f>
        <v>149969.16</v>
      </c>
      <c r="L1719" s="329">
        <f>VLOOKUP(B1719,DONGIA,DG!$G$6,0)</f>
        <v>0</v>
      </c>
      <c r="M1719" s="329">
        <f t="shared" ref="M1719:P1721" si="432">$H1719*I1719</f>
        <v>6420000</v>
      </c>
      <c r="N1719" s="329">
        <f t="shared" si="432"/>
        <v>0</v>
      </c>
      <c r="O1719" s="329">
        <f t="shared" si="432"/>
        <v>299938.32</v>
      </c>
      <c r="P1719" s="329">
        <f t="shared" si="432"/>
        <v>0</v>
      </c>
      <c r="Q1719" s="329"/>
      <c r="S1719" s="332">
        <f t="shared" si="417"/>
        <v>55</v>
      </c>
      <c r="T1719" s="332">
        <f t="shared" si="426"/>
        <v>110</v>
      </c>
    </row>
    <row r="1720" spans="1:20">
      <c r="A1720" s="332" t="s">
        <v>477</v>
      </c>
      <c r="B1720" s="332" t="s">
        <v>37</v>
      </c>
      <c r="C1720" s="333">
        <f t="shared" si="425"/>
        <v>1</v>
      </c>
      <c r="D1720" s="328"/>
      <c r="E1720" s="328">
        <f>VLOOKUP(B1720,DONGIA,DG!$B$6,0)</f>
        <v>0</v>
      </c>
      <c r="F1720" s="779" t="str">
        <f>VLOOKUP(B1720,DONGIA,DG!$C$6,0)</f>
        <v>Boulon 16x350+ 2 long đền vuông D18-50x50x3/Zn</v>
      </c>
      <c r="G1720" s="328" t="str">
        <f>VLOOKUP(B1720,DONGIA,DG!$D$6,0)</f>
        <v>bộ</v>
      </c>
      <c r="H1720" s="329">
        <f>H1717*2</f>
        <v>4</v>
      </c>
      <c r="I1720" s="329">
        <f>VLOOKUP(B1720,DONGIA,DG!$E$6,0)</f>
        <v>32000</v>
      </c>
      <c r="J1720" s="329"/>
      <c r="K1720" s="329">
        <f>VLOOKUP(B1720,DONGIA,DG!$F$6,0)</f>
        <v>0</v>
      </c>
      <c r="L1720" s="329">
        <f>VLOOKUP(B1720,DONGIA,DG!$G$6,0)</f>
        <v>0</v>
      </c>
      <c r="M1720" s="329">
        <f t="shared" si="432"/>
        <v>128000</v>
      </c>
      <c r="N1720" s="329">
        <f t="shared" si="432"/>
        <v>0</v>
      </c>
      <c r="O1720" s="329">
        <f t="shared" si="432"/>
        <v>0</v>
      </c>
      <c r="P1720" s="329">
        <f t="shared" si="432"/>
        <v>0</v>
      </c>
      <c r="Q1720" s="329"/>
      <c r="S1720" s="332">
        <f t="shared" si="417"/>
        <v>0.3</v>
      </c>
      <c r="T1720" s="332">
        <f t="shared" si="426"/>
        <v>1.2</v>
      </c>
    </row>
    <row r="1721" spans="1:20">
      <c r="A1721" s="332" t="s">
        <v>477</v>
      </c>
      <c r="B1721" s="332" t="s">
        <v>29</v>
      </c>
      <c r="C1721" s="333">
        <f t="shared" si="425"/>
        <v>1</v>
      </c>
      <c r="D1721" s="328"/>
      <c r="E1721" s="328">
        <f>VLOOKUP(B1721,DONGIA,DG!$B$6,0)</f>
        <v>0</v>
      </c>
      <c r="F1721" s="779" t="str">
        <f>VLOOKUP(B1721,DONGIA,DG!$C$6,0)</f>
        <v>Boulon 16x50+ 2 long đền vuông D18-50x50x3/Zn</v>
      </c>
      <c r="G1721" s="328" t="str">
        <f>VLOOKUP(B1721,DONGIA,DG!$D$6,0)</f>
        <v>bộ</v>
      </c>
      <c r="H1721" s="329">
        <f>H1717*6</f>
        <v>12</v>
      </c>
      <c r="I1721" s="329">
        <f>VLOOKUP(B1721,DONGIA,DG!$E$6,0)</f>
        <v>17000</v>
      </c>
      <c r="J1721" s="329"/>
      <c r="K1721" s="329">
        <f>VLOOKUP(B1721,DONGIA,DG!$F$6,0)</f>
        <v>0</v>
      </c>
      <c r="L1721" s="329">
        <f>VLOOKUP(B1721,DONGIA,DG!$G$6,0)</f>
        <v>0</v>
      </c>
      <c r="M1721" s="329">
        <f t="shared" si="432"/>
        <v>204000</v>
      </c>
      <c r="N1721" s="329">
        <f t="shared" si="432"/>
        <v>0</v>
      </c>
      <c r="O1721" s="329">
        <f t="shared" si="432"/>
        <v>0</v>
      </c>
      <c r="P1721" s="329">
        <f t="shared" si="432"/>
        <v>0</v>
      </c>
      <c r="Q1721" s="329"/>
      <c r="S1721" s="332">
        <f t="shared" si="417"/>
        <v>0.25</v>
      </c>
      <c r="T1721" s="332">
        <f t="shared" si="426"/>
        <v>3</v>
      </c>
    </row>
    <row r="1722" spans="1:20">
      <c r="A1722" s="332" t="s">
        <v>477</v>
      </c>
      <c r="C1722" s="333">
        <f t="shared" si="425"/>
        <v>1</v>
      </c>
      <c r="D1722" s="372">
        <f>IF(H1722&lt;&gt;0,D1717+1,D1717)</f>
        <v>4</v>
      </c>
      <c r="E1722" s="372"/>
      <c r="F1722" s="780" t="s">
        <v>1942</v>
      </c>
      <c r="G1722" s="372" t="s">
        <v>138</v>
      </c>
      <c r="H1722" s="372">
        <f>TRNC2X75</f>
        <v>2</v>
      </c>
      <c r="I1722" s="373"/>
      <c r="J1722" s="373"/>
      <c r="K1722" s="373"/>
      <c r="L1722" s="373"/>
      <c r="M1722" s="373"/>
      <c r="N1722" s="373"/>
      <c r="O1722" s="373"/>
      <c r="P1722" s="373"/>
      <c r="Q1722" s="373"/>
      <c r="S1722" s="332">
        <f t="shared" si="417"/>
        <v>0</v>
      </c>
      <c r="T1722" s="332">
        <f t="shared" si="426"/>
        <v>0</v>
      </c>
    </row>
    <row r="1723" spans="1:20" s="361" customFormat="1" hidden="1">
      <c r="A1723" s="361" t="s">
        <v>477</v>
      </c>
      <c r="C1723" s="374">
        <f t="shared" si="425"/>
        <v>0</v>
      </c>
      <c r="D1723" s="536"/>
      <c r="E1723" s="536"/>
      <c r="F1723" s="537" t="s">
        <v>1902</v>
      </c>
      <c r="G1723" s="536"/>
      <c r="H1723" s="537"/>
      <c r="I1723" s="537"/>
      <c r="J1723" s="537"/>
      <c r="K1723" s="537"/>
      <c r="L1723" s="537"/>
      <c r="M1723" s="537"/>
      <c r="N1723" s="537"/>
      <c r="O1723" s="537"/>
      <c r="P1723" s="537"/>
      <c r="Q1723" s="351"/>
      <c r="S1723" s="361">
        <f t="shared" si="417"/>
        <v>0</v>
      </c>
      <c r="T1723" s="361">
        <f t="shared" si="426"/>
        <v>0</v>
      </c>
    </row>
    <row r="1724" spans="1:20" s="361" customFormat="1">
      <c r="C1724" s="374">
        <f>IF(SUM(C1725:C1742)&lt;&gt;0,1,)</f>
        <v>1</v>
      </c>
      <c r="D1724" s="555"/>
      <c r="E1724" s="555"/>
      <c r="F1724" s="782" t="s">
        <v>3872</v>
      </c>
      <c r="G1724" s="555"/>
      <c r="H1724" s="555">
        <v>1</v>
      </c>
      <c r="I1724" s="556"/>
      <c r="J1724" s="556"/>
      <c r="K1724" s="556"/>
      <c r="L1724" s="556"/>
      <c r="M1724" s="556"/>
      <c r="N1724" s="556"/>
      <c r="O1724" s="556"/>
      <c r="P1724" s="556"/>
      <c r="Q1724" s="556"/>
    </row>
    <row r="1725" spans="1:20">
      <c r="A1725" s="332" t="s">
        <v>477</v>
      </c>
      <c r="B1725" s="332" t="s">
        <v>144</v>
      </c>
      <c r="C1725" s="333">
        <f t="shared" si="425"/>
        <v>1</v>
      </c>
      <c r="D1725" s="643"/>
      <c r="E1725" s="643">
        <f>VLOOKUP(B1725,DONGIA,DG!$B$6,0)</f>
        <v>0</v>
      </c>
      <c r="F1725" s="731" t="str">
        <f>VLOOKUP(B1725,DONGIA,DG!$C$6,0)</f>
        <v>Cáp đồng trần M25mm2</v>
      </c>
      <c r="G1725" s="643" t="str">
        <f>VLOOKUP(B1725,DONGIA,DG!$D$6,0)</f>
        <v>kg</v>
      </c>
      <c r="H1725" s="645">
        <f>10*0.224</f>
        <v>2.2400000000000002</v>
      </c>
      <c r="I1725" s="362">
        <f>VLOOKUP(B1725,DONGIA,DG!$E$6,0)</f>
        <v>201380</v>
      </c>
      <c r="J1725" s="362"/>
      <c r="K1725" s="362">
        <f>VLOOKUP(B1725,DONGIA,DG!$F$6,0)</f>
        <v>0</v>
      </c>
      <c r="L1725" s="362">
        <f>VLOOKUP(B1725,DONGIA,DG!$G$6,0)</f>
        <v>0</v>
      </c>
      <c r="M1725" s="362">
        <f t="shared" ref="M1725:M1733" si="433">$H1725*I1725</f>
        <v>451091.20000000007</v>
      </c>
      <c r="N1725" s="362">
        <f t="shared" ref="N1725:N1733" si="434">$H1725*J1725</f>
        <v>0</v>
      </c>
      <c r="O1725" s="362">
        <f t="shared" ref="O1725:O1733" si="435">$H1725*K1725</f>
        <v>0</v>
      </c>
      <c r="P1725" s="362">
        <f t="shared" ref="P1725:P1733" si="436">$H1725*L1725</f>
        <v>0</v>
      </c>
      <c r="Q1725" s="329"/>
      <c r="S1725" s="332">
        <f t="shared" si="417"/>
        <v>1</v>
      </c>
      <c r="T1725" s="332">
        <f t="shared" si="426"/>
        <v>2.2400000000000002</v>
      </c>
    </row>
    <row r="1726" spans="1:20" hidden="1">
      <c r="A1726" s="332" t="s">
        <v>477</v>
      </c>
      <c r="B1726" s="332" t="s">
        <v>278</v>
      </c>
      <c r="C1726" s="333">
        <f t="shared" si="425"/>
        <v>0</v>
      </c>
      <c r="D1726" s="643"/>
      <c r="E1726" s="643">
        <f>VLOOKUP(B1726,DONGIA,DG!$B$6,0)</f>
        <v>0</v>
      </c>
      <c r="F1726" s="362" t="str">
        <f>VLOOKUP(B1726,DONGIA,DG!$C$6,0)</f>
        <v>Cọc tiếp đất φ16 - 2,4m (mạ đồng 16µm)</v>
      </c>
      <c r="G1726" s="643" t="str">
        <f>VLOOKUP(B1726,DONGIA,DG!$D$6,0)</f>
        <v>cọc</v>
      </c>
      <c r="H1726" s="362"/>
      <c r="I1726" s="362">
        <f>VLOOKUP(B1726,DONGIA,DG!$E$6,0)</f>
        <v>130000</v>
      </c>
      <c r="J1726" s="362"/>
      <c r="K1726" s="362">
        <f>VLOOKUP(B1726,DONGIA,DG!$F$6,0)</f>
        <v>0</v>
      </c>
      <c r="L1726" s="362">
        <f>VLOOKUP(B1726,DONGIA,DG!$G$6,0)</f>
        <v>0</v>
      </c>
      <c r="M1726" s="362">
        <f t="shared" si="433"/>
        <v>0</v>
      </c>
      <c r="N1726" s="362">
        <f t="shared" si="434"/>
        <v>0</v>
      </c>
      <c r="O1726" s="362">
        <f t="shared" si="435"/>
        <v>0</v>
      </c>
      <c r="P1726" s="362">
        <f t="shared" si="436"/>
        <v>0</v>
      </c>
      <c r="Q1726" s="329"/>
      <c r="S1726" s="332">
        <f t="shared" si="417"/>
        <v>5.3</v>
      </c>
      <c r="T1726" s="332">
        <f t="shared" si="426"/>
        <v>0</v>
      </c>
    </row>
    <row r="1727" spans="1:20" hidden="1">
      <c r="A1727" s="332" t="s">
        <v>477</v>
      </c>
      <c r="B1727" s="332" t="s">
        <v>280</v>
      </c>
      <c r="C1727" s="333">
        <f t="shared" si="425"/>
        <v>0</v>
      </c>
      <c r="D1727" s="643"/>
      <c r="E1727" s="643">
        <f>VLOOKUP(B1727,DONGIA,DG!$B$6,0)</f>
        <v>0</v>
      </c>
      <c r="F1727" s="362" t="str">
        <f>VLOOKUP(B1727,DONGIA,DG!$C$6,0)</f>
        <v>Kẹp cọc tiếp địa</v>
      </c>
      <c r="G1727" s="643" t="str">
        <f>VLOOKUP(B1727,DONGIA,DG!$D$6,0)</f>
        <v>bộ</v>
      </c>
      <c r="H1727" s="362"/>
      <c r="I1727" s="362">
        <f>VLOOKUP(B1727,DONGIA,DG!$E$6,0)</f>
        <v>25000</v>
      </c>
      <c r="J1727" s="362"/>
      <c r="K1727" s="362">
        <f>VLOOKUP(B1727,DONGIA,DG!$F$6,0)</f>
        <v>0</v>
      </c>
      <c r="L1727" s="362">
        <f>VLOOKUP(B1727,DONGIA,DG!$G$6,0)</f>
        <v>0</v>
      </c>
      <c r="M1727" s="362">
        <f t="shared" si="433"/>
        <v>0</v>
      </c>
      <c r="N1727" s="362">
        <f t="shared" si="434"/>
        <v>0</v>
      </c>
      <c r="O1727" s="362">
        <f t="shared" si="435"/>
        <v>0</v>
      </c>
      <c r="P1727" s="362">
        <f t="shared" si="436"/>
        <v>0</v>
      </c>
      <c r="Q1727" s="329"/>
      <c r="S1727" s="332">
        <f t="shared" si="417"/>
        <v>0.05</v>
      </c>
      <c r="T1727" s="332">
        <f t="shared" si="426"/>
        <v>0</v>
      </c>
    </row>
    <row r="1728" spans="1:20">
      <c r="A1728" s="332" t="s">
        <v>477</v>
      </c>
      <c r="B1728" s="332" t="s">
        <v>1217</v>
      </c>
      <c r="C1728" s="333">
        <f t="shared" si="425"/>
        <v>1</v>
      </c>
      <c r="D1728" s="643"/>
      <c r="E1728" s="643">
        <f>VLOOKUP(B1728,DONGIA,DG!$B$6,0)</f>
        <v>0</v>
      </c>
      <c r="F1728" s="731" t="str">
        <f>VLOOKUP(B1728,DONGIA,DG!$C$6,0)</f>
        <v xml:space="preserve">Ốc xiết cáp cỡ 38mm2 </v>
      </c>
      <c r="G1728" s="643" t="str">
        <f>VLOOKUP(B1728,DONGIA,DG!$D$6,0)</f>
        <v>cái</v>
      </c>
      <c r="H1728" s="362">
        <f>4</f>
        <v>4</v>
      </c>
      <c r="I1728" s="362">
        <f>VLOOKUP(B1728,DONGIA,DG!$E$6,0)</f>
        <v>18000</v>
      </c>
      <c r="J1728" s="362"/>
      <c r="K1728" s="362">
        <f>VLOOKUP(B1728,DONGIA,DG!$F$6,0)</f>
        <v>0</v>
      </c>
      <c r="L1728" s="362">
        <f>VLOOKUP(B1728,DONGIA,DG!$G$6,0)</f>
        <v>0</v>
      </c>
      <c r="M1728" s="362">
        <f t="shared" si="433"/>
        <v>72000</v>
      </c>
      <c r="N1728" s="362">
        <f t="shared" si="434"/>
        <v>0</v>
      </c>
      <c r="O1728" s="362">
        <f t="shared" si="435"/>
        <v>0</v>
      </c>
      <c r="P1728" s="362">
        <f t="shared" si="436"/>
        <v>0</v>
      </c>
      <c r="Q1728" s="329"/>
      <c r="S1728" s="332">
        <f t="shared" si="417"/>
        <v>0</v>
      </c>
      <c r="T1728" s="332">
        <f t="shared" si="426"/>
        <v>0</v>
      </c>
    </row>
    <row r="1729" spans="1:20" hidden="1">
      <c r="A1729" s="332" t="s">
        <v>477</v>
      </c>
      <c r="B1729" s="332" t="s">
        <v>323</v>
      </c>
      <c r="C1729" s="333">
        <f t="shared" si="425"/>
        <v>0</v>
      </c>
      <c r="D1729" s="643"/>
      <c r="E1729" s="643">
        <f>VLOOKUP(B1729,DONGIA,DG!$B$6,0)</f>
        <v>0</v>
      </c>
      <c r="F1729" s="362" t="str">
        <f>VLOOKUP(B1729,DONGIA,DG!$C$6,0)</f>
        <v>Kẹp ép WR cỡ dây 50mm2</v>
      </c>
      <c r="G1729" s="643" t="str">
        <f>VLOOKUP(B1729,DONGIA,DG!$D$6,0)</f>
        <v>cái</v>
      </c>
      <c r="H1729" s="362"/>
      <c r="I1729" s="362">
        <f>VLOOKUP(B1729,DONGIA,DG!$E$6,0)</f>
        <v>10000</v>
      </c>
      <c r="J1729" s="362"/>
      <c r="K1729" s="362">
        <f>VLOOKUP(B1729,DONGIA,DG!$F$6,0)</f>
        <v>0</v>
      </c>
      <c r="L1729" s="362">
        <f>VLOOKUP(B1729,DONGIA,DG!$G$6,0)</f>
        <v>0</v>
      </c>
      <c r="M1729" s="362">
        <f t="shared" si="433"/>
        <v>0</v>
      </c>
      <c r="N1729" s="362">
        <f t="shared" si="434"/>
        <v>0</v>
      </c>
      <c r="O1729" s="362">
        <f t="shared" si="435"/>
        <v>0</v>
      </c>
      <c r="P1729" s="362">
        <f t="shared" si="436"/>
        <v>0</v>
      </c>
      <c r="Q1729" s="329"/>
      <c r="S1729" s="332">
        <f t="shared" si="417"/>
        <v>0.2</v>
      </c>
      <c r="T1729" s="332">
        <f t="shared" si="426"/>
        <v>0</v>
      </c>
    </row>
    <row r="1730" spans="1:20">
      <c r="A1730" s="332" t="s">
        <v>477</v>
      </c>
      <c r="B1730" s="332" t="s">
        <v>573</v>
      </c>
      <c r="C1730" s="333">
        <f t="shared" si="425"/>
        <v>1</v>
      </c>
      <c r="D1730" s="643"/>
      <c r="E1730" s="643" t="str">
        <f>VLOOKUP(B1730,DONGIA,DG!$B$6,0)</f>
        <v>T4.7001</v>
      </c>
      <c r="F1730" s="731" t="str">
        <f>VLOOKUP(B1730,DONGIA,DG!$C$6,0)</f>
        <v>Kéo dây tiếp địa trong TBA</v>
      </c>
      <c r="G1730" s="643" t="str">
        <f>VLOOKUP(B1730,DONGIA,DG!$D$6,0)</f>
        <v>mét</v>
      </c>
      <c r="H1730" s="362">
        <f>H1725/0.224</f>
        <v>10</v>
      </c>
      <c r="I1730" s="362">
        <f>VLOOKUP(B1730,DONGIA,DG!$E$6,0)</f>
        <v>0</v>
      </c>
      <c r="J1730" s="362"/>
      <c r="K1730" s="362">
        <f>VLOOKUP(B1730,DONGIA,DG!$F$6,0)</f>
        <v>6871</v>
      </c>
      <c r="L1730" s="362">
        <f>VLOOKUP(B1730,DONGIA,DG!$G$6,0)</f>
        <v>0</v>
      </c>
      <c r="M1730" s="362">
        <f t="shared" si="433"/>
        <v>0</v>
      </c>
      <c r="N1730" s="362">
        <f t="shared" si="434"/>
        <v>0</v>
      </c>
      <c r="O1730" s="362">
        <f t="shared" si="435"/>
        <v>68710</v>
      </c>
      <c r="P1730" s="362">
        <f t="shared" si="436"/>
        <v>0</v>
      </c>
      <c r="Q1730" s="329"/>
      <c r="S1730" s="332">
        <f t="shared" si="417"/>
        <v>0</v>
      </c>
      <c r="T1730" s="332">
        <f t="shared" si="426"/>
        <v>0</v>
      </c>
    </row>
    <row r="1731" spans="1:20" hidden="1">
      <c r="A1731" s="332" t="s">
        <v>477</v>
      </c>
      <c r="B1731" s="332" t="s">
        <v>581</v>
      </c>
      <c r="C1731" s="333">
        <f t="shared" si="425"/>
        <v>0</v>
      </c>
      <c r="D1731" s="643"/>
      <c r="E1731" s="643" t="str">
        <f>VLOOKUP(B1731,DONGIA,DG!$B$6,0)</f>
        <v>D2.8103</v>
      </c>
      <c r="F1731" s="362" t="str">
        <f>VLOOKUP(B1731,DONGIA,DG!$C$6,0)</f>
        <v>Đóng cọc tiếp địa trong TBA (đất cấp 3)</v>
      </c>
      <c r="G1731" s="643" t="str">
        <f>VLOOKUP(B1731,DONGIA,DG!$D$6,0)</f>
        <v>cọc</v>
      </c>
      <c r="H1731" s="362"/>
      <c r="I1731" s="362">
        <f>VLOOKUP(B1731,DONGIA,DG!$E$6,0)</f>
        <v>0</v>
      </c>
      <c r="J1731" s="362"/>
      <c r="K1731" s="362">
        <f>VLOOKUP(B1731,DONGIA,DG!$F$6,0)</f>
        <v>76928</v>
      </c>
      <c r="L1731" s="362">
        <f>VLOOKUP(B1731,DONGIA,DG!$G$6,0)</f>
        <v>0</v>
      </c>
      <c r="M1731" s="362">
        <f t="shared" si="433"/>
        <v>0</v>
      </c>
      <c r="N1731" s="362">
        <f t="shared" si="434"/>
        <v>0</v>
      </c>
      <c r="O1731" s="362">
        <f t="shared" si="435"/>
        <v>0</v>
      </c>
      <c r="P1731" s="362">
        <f t="shared" si="436"/>
        <v>0</v>
      </c>
      <c r="Q1731" s="329"/>
      <c r="S1731" s="332">
        <f t="shared" si="417"/>
        <v>0</v>
      </c>
      <c r="T1731" s="332">
        <f t="shared" si="426"/>
        <v>0</v>
      </c>
    </row>
    <row r="1732" spans="1:20" hidden="1">
      <c r="A1732" s="332" t="s">
        <v>477</v>
      </c>
      <c r="B1732" s="332" t="s">
        <v>540</v>
      </c>
      <c r="C1732" s="333">
        <f t="shared" si="425"/>
        <v>0</v>
      </c>
      <c r="D1732" s="643"/>
      <c r="E1732" s="643" t="str">
        <f>VLOOKUP(B1732,DONGIA,DG!$B$6,0)</f>
        <v>AB.11513</v>
      </c>
      <c r="F1732" s="362" t="str">
        <f>VLOOKUP(B1732,DONGIA,DG!$C$6,0)</f>
        <v>Đào rãnh tiếp địa đất cấp 3</v>
      </c>
      <c r="G1732" s="643" t="str">
        <f>VLOOKUP(B1732,DONGIA,DG!$D$6,0)</f>
        <v>m3</v>
      </c>
      <c r="H1732" s="645"/>
      <c r="I1732" s="362">
        <f>VLOOKUP(B1732,DONGIA,DG!$E$6,0)</f>
        <v>0</v>
      </c>
      <c r="J1732" s="362"/>
      <c r="K1732" s="362">
        <f>ROUND(VLOOKUP(B1732,DONGIA,DG!$F$6,0)/NCTBA,0)</f>
        <v>241580</v>
      </c>
      <c r="L1732" s="362">
        <f>VLOOKUP(B1732,DONGIA,DG!$G$6,0)</f>
        <v>0</v>
      </c>
      <c r="M1732" s="362">
        <f t="shared" si="433"/>
        <v>0</v>
      </c>
      <c r="N1732" s="362">
        <f t="shared" si="434"/>
        <v>0</v>
      </c>
      <c r="O1732" s="362">
        <f t="shared" si="435"/>
        <v>0</v>
      </c>
      <c r="P1732" s="362">
        <f t="shared" si="436"/>
        <v>0</v>
      </c>
      <c r="Q1732" s="329"/>
      <c r="S1732" s="332">
        <f t="shared" si="417"/>
        <v>0</v>
      </c>
      <c r="T1732" s="332">
        <f t="shared" si="426"/>
        <v>0</v>
      </c>
    </row>
    <row r="1733" spans="1:20" hidden="1">
      <c r="A1733" s="332" t="s">
        <v>477</v>
      </c>
      <c r="B1733" s="332" t="s">
        <v>547</v>
      </c>
      <c r="C1733" s="333">
        <f t="shared" si="425"/>
        <v>0</v>
      </c>
      <c r="D1733" s="643"/>
      <c r="E1733" s="643" t="str">
        <f>VLOOKUP(B1733,DONGIA,DG!$B$6,0)</f>
        <v>AB.65110</v>
      </c>
      <c r="F1733" s="362" t="str">
        <f>VLOOKUP(B1733,DONGIA,DG!$C$6,0)</f>
        <v>Đắp đất rãnh tiếp địa (K=0,85)</v>
      </c>
      <c r="G1733" s="643" t="str">
        <f>VLOOKUP(B1733,DONGIA,DG!$D$6,0)</f>
        <v>m3</v>
      </c>
      <c r="H1733" s="645">
        <f>H1732</f>
        <v>0</v>
      </c>
      <c r="I1733" s="362">
        <f>VLOOKUP(B1733,DONGIA,DG!$E$6,0)</f>
        <v>0</v>
      </c>
      <c r="J1733" s="362"/>
      <c r="K1733" s="362">
        <f>ROUND(VLOOKUP(B1733,DONGIA,DG!$F$6,0)/NCTBA,0)</f>
        <v>16267</v>
      </c>
      <c r="L1733" s="362">
        <f>VLOOKUP(B1733,DONGIA,DG!$G$6,0)</f>
        <v>11176</v>
      </c>
      <c r="M1733" s="362">
        <f t="shared" si="433"/>
        <v>0</v>
      </c>
      <c r="N1733" s="362">
        <f t="shared" si="434"/>
        <v>0</v>
      </c>
      <c r="O1733" s="362">
        <f t="shared" si="435"/>
        <v>0</v>
      </c>
      <c r="P1733" s="362">
        <f t="shared" si="436"/>
        <v>0</v>
      </c>
      <c r="Q1733" s="329"/>
      <c r="S1733" s="332">
        <f t="shared" si="417"/>
        <v>0</v>
      </c>
      <c r="T1733" s="332">
        <f t="shared" si="426"/>
        <v>0</v>
      </c>
    </row>
    <row r="1734" spans="1:20" s="361" customFormat="1">
      <c r="C1734" s="374">
        <f>IF(SUM(C1735:C1752)&lt;&gt;0,1,)</f>
        <v>1</v>
      </c>
      <c r="D1734" s="555"/>
      <c r="E1734" s="555"/>
      <c r="F1734" s="782" t="s">
        <v>3875</v>
      </c>
      <c r="G1734" s="555"/>
      <c r="H1734" s="555">
        <v>1</v>
      </c>
      <c r="I1734" s="556"/>
      <c r="J1734" s="556"/>
      <c r="K1734" s="556"/>
      <c r="L1734" s="556"/>
      <c r="M1734" s="556"/>
      <c r="N1734" s="556"/>
      <c r="O1734" s="556"/>
      <c r="P1734" s="556"/>
      <c r="Q1734" s="556"/>
    </row>
    <row r="1735" spans="1:20">
      <c r="A1735" s="332" t="s">
        <v>477</v>
      </c>
      <c r="B1735" s="332" t="s">
        <v>144</v>
      </c>
      <c r="C1735" s="333">
        <f t="shared" ref="C1735:C1743" si="437">IF(H1735&lt;&gt;0,1,)</f>
        <v>1</v>
      </c>
      <c r="D1735" s="757"/>
      <c r="E1735" s="757">
        <f>VLOOKUP(B1735,DONGIA,DG!$B$6,0)</f>
        <v>0</v>
      </c>
      <c r="F1735" s="731" t="str">
        <f>VLOOKUP(B1735,DONGIA,DG!$C$6,0)</f>
        <v>Cáp đồng trần M25mm2</v>
      </c>
      <c r="G1735" s="757" t="str">
        <f>VLOOKUP(B1735,DONGIA,DG!$D$6,0)</f>
        <v>kg</v>
      </c>
      <c r="H1735" s="645">
        <f>TDTR3P*H1734*0.224</f>
        <v>13.664</v>
      </c>
      <c r="I1735" s="362">
        <f>VLOOKUP(B1735,DONGIA,DG!$E$6,0)</f>
        <v>201380</v>
      </c>
      <c r="J1735" s="362"/>
      <c r="K1735" s="362">
        <f>VLOOKUP(B1735,DONGIA,DG!$F$6,0)</f>
        <v>0</v>
      </c>
      <c r="L1735" s="362">
        <f>VLOOKUP(B1735,DONGIA,DG!$G$6,0)</f>
        <v>0</v>
      </c>
      <c r="M1735" s="362">
        <f t="shared" ref="M1735:M1743" si="438">$H1735*I1735</f>
        <v>2751656.32</v>
      </c>
      <c r="N1735" s="362">
        <f t="shared" ref="N1735:N1743" si="439">$H1735*J1735</f>
        <v>0</v>
      </c>
      <c r="O1735" s="362">
        <f t="shared" ref="O1735:O1743" si="440">$H1735*K1735</f>
        <v>0</v>
      </c>
      <c r="P1735" s="362">
        <f t="shared" ref="P1735:P1743" si="441">$H1735*L1735</f>
        <v>0</v>
      </c>
      <c r="Q1735" s="329"/>
      <c r="S1735" s="332">
        <f t="shared" ref="S1735:S1743" si="442">IFERROR(VLOOKUP(B1735,DONGIA,$S$25,0),0)</f>
        <v>1</v>
      </c>
      <c r="T1735" s="332">
        <f t="shared" ref="T1735:T1743" si="443">H1735*S1735</f>
        <v>13.664</v>
      </c>
    </row>
    <row r="1736" spans="1:20">
      <c r="A1736" s="332" t="s">
        <v>477</v>
      </c>
      <c r="B1736" s="332" t="s">
        <v>278</v>
      </c>
      <c r="C1736" s="333">
        <f t="shared" si="437"/>
        <v>1</v>
      </c>
      <c r="D1736" s="757"/>
      <c r="E1736" s="757">
        <f>VLOOKUP(B1736,DONGIA,DG!$B$6,0)</f>
        <v>0</v>
      </c>
      <c r="F1736" s="731" t="str">
        <f>VLOOKUP(B1736,DONGIA,DG!$C$6,0)</f>
        <v>Cọc tiếp đất φ16 - 2,4m (mạ đồng 16µm)</v>
      </c>
      <c r="G1736" s="757" t="str">
        <f>VLOOKUP(B1736,DONGIA,DG!$D$6,0)</f>
        <v>cọc</v>
      </c>
      <c r="H1736" s="362">
        <f>H1734*12</f>
        <v>12</v>
      </c>
      <c r="I1736" s="362">
        <f>VLOOKUP(B1736,DONGIA,DG!$E$6,0)</f>
        <v>130000</v>
      </c>
      <c r="J1736" s="362"/>
      <c r="K1736" s="362">
        <f>VLOOKUP(B1736,DONGIA,DG!$F$6,0)</f>
        <v>0</v>
      </c>
      <c r="L1736" s="362">
        <f>VLOOKUP(B1736,DONGIA,DG!$G$6,0)</f>
        <v>0</v>
      </c>
      <c r="M1736" s="362">
        <f t="shared" si="438"/>
        <v>1560000</v>
      </c>
      <c r="N1736" s="362">
        <f t="shared" si="439"/>
        <v>0</v>
      </c>
      <c r="O1736" s="362">
        <f t="shared" si="440"/>
        <v>0</v>
      </c>
      <c r="P1736" s="362">
        <f t="shared" si="441"/>
        <v>0</v>
      </c>
      <c r="Q1736" s="329"/>
      <c r="S1736" s="332">
        <f t="shared" si="442"/>
        <v>5.3</v>
      </c>
      <c r="T1736" s="332">
        <f t="shared" si="443"/>
        <v>63.599999999999994</v>
      </c>
    </row>
    <row r="1737" spans="1:20">
      <c r="A1737" s="332" t="s">
        <v>477</v>
      </c>
      <c r="B1737" s="332" t="s">
        <v>280</v>
      </c>
      <c r="C1737" s="333">
        <f t="shared" si="437"/>
        <v>1</v>
      </c>
      <c r="D1737" s="757"/>
      <c r="E1737" s="757">
        <f>VLOOKUP(B1737,DONGIA,DG!$B$6,0)</f>
        <v>0</v>
      </c>
      <c r="F1737" s="731" t="str">
        <f>VLOOKUP(B1737,DONGIA,DG!$C$6,0)</f>
        <v>Kẹp cọc tiếp địa</v>
      </c>
      <c r="G1737" s="757" t="str">
        <f>VLOOKUP(B1737,DONGIA,DG!$D$6,0)</f>
        <v>bộ</v>
      </c>
      <c r="H1737" s="362">
        <f>H1736</f>
        <v>12</v>
      </c>
      <c r="I1737" s="362">
        <f>VLOOKUP(B1737,DONGIA,DG!$E$6,0)</f>
        <v>25000</v>
      </c>
      <c r="J1737" s="362"/>
      <c r="K1737" s="362">
        <f>VLOOKUP(B1737,DONGIA,DG!$F$6,0)</f>
        <v>0</v>
      </c>
      <c r="L1737" s="362">
        <f>VLOOKUP(B1737,DONGIA,DG!$G$6,0)</f>
        <v>0</v>
      </c>
      <c r="M1737" s="362">
        <f t="shared" si="438"/>
        <v>300000</v>
      </c>
      <c r="N1737" s="362">
        <f t="shared" si="439"/>
        <v>0</v>
      </c>
      <c r="O1737" s="362">
        <f t="shared" si="440"/>
        <v>0</v>
      </c>
      <c r="P1737" s="362">
        <f t="shared" si="441"/>
        <v>0</v>
      </c>
      <c r="Q1737" s="329"/>
      <c r="S1737" s="332">
        <f t="shared" si="442"/>
        <v>0.05</v>
      </c>
      <c r="T1737" s="332">
        <f t="shared" si="443"/>
        <v>0.60000000000000009</v>
      </c>
    </row>
    <row r="1738" spans="1:20">
      <c r="A1738" s="332" t="s">
        <v>477</v>
      </c>
      <c r="B1738" s="332" t="s">
        <v>1217</v>
      </c>
      <c r="C1738" s="333">
        <f t="shared" si="437"/>
        <v>1</v>
      </c>
      <c r="D1738" s="757"/>
      <c r="E1738" s="757">
        <f>VLOOKUP(B1738,DONGIA,DG!$B$6,0)</f>
        <v>0</v>
      </c>
      <c r="F1738" s="731" t="str">
        <f>VLOOKUP(B1738,DONGIA,DG!$C$6,0)</f>
        <v xml:space="preserve">Ốc xiết cáp cỡ 38mm2 </v>
      </c>
      <c r="G1738" s="757" t="str">
        <f>VLOOKUP(B1738,DONGIA,DG!$D$6,0)</f>
        <v>cái</v>
      </c>
      <c r="H1738" s="362">
        <f>H1734*10</f>
        <v>10</v>
      </c>
      <c r="I1738" s="362">
        <f>VLOOKUP(B1738,DONGIA,DG!$E$6,0)</f>
        <v>18000</v>
      </c>
      <c r="J1738" s="362"/>
      <c r="K1738" s="362">
        <f>VLOOKUP(B1738,DONGIA,DG!$F$6,0)</f>
        <v>0</v>
      </c>
      <c r="L1738" s="362">
        <f>VLOOKUP(B1738,DONGIA,DG!$G$6,0)</f>
        <v>0</v>
      </c>
      <c r="M1738" s="362">
        <f t="shared" si="438"/>
        <v>180000</v>
      </c>
      <c r="N1738" s="362">
        <f t="shared" si="439"/>
        <v>0</v>
      </c>
      <c r="O1738" s="362">
        <f t="shared" si="440"/>
        <v>0</v>
      </c>
      <c r="P1738" s="362">
        <f t="shared" si="441"/>
        <v>0</v>
      </c>
      <c r="Q1738" s="329"/>
      <c r="S1738" s="332">
        <f t="shared" si="442"/>
        <v>0</v>
      </c>
      <c r="T1738" s="332">
        <f t="shared" si="443"/>
        <v>0</v>
      </c>
    </row>
    <row r="1739" spans="1:20">
      <c r="A1739" s="332" t="s">
        <v>477</v>
      </c>
      <c r="B1739" s="332" t="s">
        <v>323</v>
      </c>
      <c r="C1739" s="333">
        <f t="shared" si="437"/>
        <v>1</v>
      </c>
      <c r="D1739" s="757"/>
      <c r="E1739" s="757">
        <f>VLOOKUP(B1739,DONGIA,DG!$B$6,0)</f>
        <v>0</v>
      </c>
      <c r="F1739" s="731" t="str">
        <f>VLOOKUP(B1739,DONGIA,DG!$C$6,0)</f>
        <v>Kẹp ép WR cỡ dây 50mm2</v>
      </c>
      <c r="G1739" s="757" t="str">
        <f>VLOOKUP(B1739,DONGIA,DG!$D$6,0)</f>
        <v>cái</v>
      </c>
      <c r="H1739" s="362">
        <f>H1734*2</f>
        <v>2</v>
      </c>
      <c r="I1739" s="362">
        <f>VLOOKUP(B1739,DONGIA,DG!$E$6,0)</f>
        <v>10000</v>
      </c>
      <c r="J1739" s="362"/>
      <c r="K1739" s="362">
        <f>VLOOKUP(B1739,DONGIA,DG!$F$6,0)</f>
        <v>0</v>
      </c>
      <c r="L1739" s="362">
        <f>VLOOKUP(B1739,DONGIA,DG!$G$6,0)</f>
        <v>0</v>
      </c>
      <c r="M1739" s="362">
        <f t="shared" si="438"/>
        <v>20000</v>
      </c>
      <c r="N1739" s="362">
        <f t="shared" si="439"/>
        <v>0</v>
      </c>
      <c r="O1739" s="362">
        <f t="shared" si="440"/>
        <v>0</v>
      </c>
      <c r="P1739" s="362">
        <f t="shared" si="441"/>
        <v>0</v>
      </c>
      <c r="Q1739" s="329"/>
      <c r="S1739" s="332">
        <f t="shared" si="442"/>
        <v>0.2</v>
      </c>
      <c r="T1739" s="332">
        <f t="shared" si="443"/>
        <v>0.4</v>
      </c>
    </row>
    <row r="1740" spans="1:20">
      <c r="A1740" s="332" t="s">
        <v>477</v>
      </c>
      <c r="B1740" s="332" t="s">
        <v>573</v>
      </c>
      <c r="C1740" s="333">
        <f t="shared" si="437"/>
        <v>1</v>
      </c>
      <c r="D1740" s="757"/>
      <c r="E1740" s="757" t="str">
        <f>VLOOKUP(B1740,DONGIA,DG!$B$6,0)</f>
        <v>T4.7001</v>
      </c>
      <c r="F1740" s="731" t="str">
        <f>VLOOKUP(B1740,DONGIA,DG!$C$6,0)</f>
        <v>Kéo dây tiếp địa trong TBA</v>
      </c>
      <c r="G1740" s="757" t="str">
        <f>VLOOKUP(B1740,DONGIA,DG!$D$6,0)</f>
        <v>mét</v>
      </c>
      <c r="H1740" s="362">
        <f>TDTR3P*H1734</f>
        <v>61</v>
      </c>
      <c r="I1740" s="362">
        <f>VLOOKUP(B1740,DONGIA,DG!$E$6,0)</f>
        <v>0</v>
      </c>
      <c r="J1740" s="362"/>
      <c r="K1740" s="362">
        <f>VLOOKUP(B1740,DONGIA,DG!$F$6,0)</f>
        <v>6871</v>
      </c>
      <c r="L1740" s="362">
        <f>VLOOKUP(B1740,DONGIA,DG!$G$6,0)</f>
        <v>0</v>
      </c>
      <c r="M1740" s="362">
        <f t="shared" si="438"/>
        <v>0</v>
      </c>
      <c r="N1740" s="362">
        <f t="shared" si="439"/>
        <v>0</v>
      </c>
      <c r="O1740" s="362">
        <f t="shared" si="440"/>
        <v>419131</v>
      </c>
      <c r="P1740" s="362">
        <f t="shared" si="441"/>
        <v>0</v>
      </c>
      <c r="Q1740" s="329"/>
      <c r="S1740" s="332">
        <f t="shared" si="442"/>
        <v>0</v>
      </c>
      <c r="T1740" s="332">
        <f t="shared" si="443"/>
        <v>0</v>
      </c>
    </row>
    <row r="1741" spans="1:20">
      <c r="A1741" s="332" t="s">
        <v>477</v>
      </c>
      <c r="B1741" s="332" t="s">
        <v>581</v>
      </c>
      <c r="C1741" s="333">
        <f t="shared" si="437"/>
        <v>1</v>
      </c>
      <c r="D1741" s="757"/>
      <c r="E1741" s="757" t="str">
        <f>VLOOKUP(B1741,DONGIA,DG!$B$6,0)</f>
        <v>D2.8103</v>
      </c>
      <c r="F1741" s="731" t="str">
        <f>VLOOKUP(B1741,DONGIA,DG!$C$6,0)</f>
        <v>Đóng cọc tiếp địa trong TBA (đất cấp 3)</v>
      </c>
      <c r="G1741" s="757" t="str">
        <f>VLOOKUP(B1741,DONGIA,DG!$D$6,0)</f>
        <v>cọc</v>
      </c>
      <c r="H1741" s="362">
        <f>H1736</f>
        <v>12</v>
      </c>
      <c r="I1741" s="362">
        <f>VLOOKUP(B1741,DONGIA,DG!$E$6,0)</f>
        <v>0</v>
      </c>
      <c r="J1741" s="362"/>
      <c r="K1741" s="362">
        <f>VLOOKUP(B1741,DONGIA,DG!$F$6,0)</f>
        <v>76928</v>
      </c>
      <c r="L1741" s="362">
        <f>VLOOKUP(B1741,DONGIA,DG!$G$6,0)</f>
        <v>0</v>
      </c>
      <c r="M1741" s="362">
        <f t="shared" si="438"/>
        <v>0</v>
      </c>
      <c r="N1741" s="362">
        <f t="shared" si="439"/>
        <v>0</v>
      </c>
      <c r="O1741" s="362">
        <f t="shared" si="440"/>
        <v>923136</v>
      </c>
      <c r="P1741" s="362">
        <f t="shared" si="441"/>
        <v>0</v>
      </c>
      <c r="Q1741" s="329"/>
      <c r="S1741" s="332">
        <f t="shared" si="442"/>
        <v>0</v>
      </c>
      <c r="T1741" s="332">
        <f t="shared" si="443"/>
        <v>0</v>
      </c>
    </row>
    <row r="1742" spans="1:20">
      <c r="A1742" s="332" t="s">
        <v>477</v>
      </c>
      <c r="B1742" s="332" t="s">
        <v>540</v>
      </c>
      <c r="C1742" s="333">
        <f t="shared" si="437"/>
        <v>1</v>
      </c>
      <c r="D1742" s="757"/>
      <c r="E1742" s="757" t="str">
        <f>VLOOKUP(B1742,DONGIA,DG!$B$6,0)</f>
        <v>AB.11513</v>
      </c>
      <c r="F1742" s="731" t="str">
        <f>VLOOKUP(B1742,DONGIA,DG!$C$6,0)</f>
        <v>Đào rãnh tiếp địa đất cấp 3</v>
      </c>
      <c r="G1742" s="757" t="str">
        <f>VLOOKUP(B1742,DONGIA,DG!$D$6,0)</f>
        <v>m3</v>
      </c>
      <c r="H1742" s="645">
        <f>H1734*DAOTD</f>
        <v>3.3000000000000003</v>
      </c>
      <c r="I1742" s="362">
        <f>VLOOKUP(B1742,DONGIA,DG!$E$6,0)</f>
        <v>0</v>
      </c>
      <c r="J1742" s="362"/>
      <c r="K1742" s="362">
        <f>ROUND(VLOOKUP(B1742,DONGIA,DG!$F$6,0)/NCTBA,0)</f>
        <v>241580</v>
      </c>
      <c r="L1742" s="362">
        <f>VLOOKUP(B1742,DONGIA,DG!$G$6,0)</f>
        <v>0</v>
      </c>
      <c r="M1742" s="362">
        <f t="shared" si="438"/>
        <v>0</v>
      </c>
      <c r="N1742" s="362">
        <f t="shared" si="439"/>
        <v>0</v>
      </c>
      <c r="O1742" s="362">
        <f t="shared" si="440"/>
        <v>797214.00000000012</v>
      </c>
      <c r="P1742" s="362">
        <f t="shared" si="441"/>
        <v>0</v>
      </c>
      <c r="Q1742" s="329"/>
      <c r="S1742" s="332">
        <f t="shared" si="442"/>
        <v>0</v>
      </c>
      <c r="T1742" s="332">
        <f t="shared" si="443"/>
        <v>0</v>
      </c>
    </row>
    <row r="1743" spans="1:20">
      <c r="A1743" s="332" t="s">
        <v>477</v>
      </c>
      <c r="B1743" s="332" t="s">
        <v>547</v>
      </c>
      <c r="C1743" s="333">
        <f t="shared" si="437"/>
        <v>1</v>
      </c>
      <c r="D1743" s="757"/>
      <c r="E1743" s="757" t="str">
        <f>VLOOKUP(B1743,DONGIA,DG!$B$6,0)</f>
        <v>AB.65110</v>
      </c>
      <c r="F1743" s="731" t="str">
        <f>VLOOKUP(B1743,DONGIA,DG!$C$6,0)</f>
        <v>Đắp đất rãnh tiếp địa (K=0,85)</v>
      </c>
      <c r="G1743" s="757" t="str">
        <f>VLOOKUP(B1743,DONGIA,DG!$D$6,0)</f>
        <v>m3</v>
      </c>
      <c r="H1743" s="645">
        <f>H1742</f>
        <v>3.3000000000000003</v>
      </c>
      <c r="I1743" s="362">
        <f>VLOOKUP(B1743,DONGIA,DG!$E$6,0)</f>
        <v>0</v>
      </c>
      <c r="J1743" s="362"/>
      <c r="K1743" s="362">
        <f>ROUND(VLOOKUP(B1743,DONGIA,DG!$F$6,0)/NCTBA,0)</f>
        <v>16267</v>
      </c>
      <c r="L1743" s="362">
        <f>VLOOKUP(B1743,DONGIA,DG!$G$6,0)</f>
        <v>11176</v>
      </c>
      <c r="M1743" s="362">
        <f t="shared" si="438"/>
        <v>0</v>
      </c>
      <c r="N1743" s="362">
        <f t="shared" si="439"/>
        <v>0</v>
      </c>
      <c r="O1743" s="362">
        <f t="shared" si="440"/>
        <v>53681.100000000006</v>
      </c>
      <c r="P1743" s="362">
        <f t="shared" si="441"/>
        <v>36880.800000000003</v>
      </c>
      <c r="Q1743" s="329"/>
      <c r="S1743" s="332">
        <f t="shared" si="442"/>
        <v>0</v>
      </c>
      <c r="T1743" s="332">
        <f t="shared" si="443"/>
        <v>0</v>
      </c>
    </row>
    <row r="1744" spans="1:20">
      <c r="A1744" s="332" t="s">
        <v>477</v>
      </c>
      <c r="C1744" s="333">
        <f t="shared" si="425"/>
        <v>1</v>
      </c>
      <c r="D1744" s="372">
        <f>IF(H1744&lt;&gt;0,D1722+1,D1722)</f>
        <v>5</v>
      </c>
      <c r="E1744" s="372"/>
      <c r="F1744" s="780" t="s">
        <v>1934</v>
      </c>
      <c r="G1744" s="372" t="s">
        <v>138</v>
      </c>
      <c r="H1744" s="372">
        <f>TRNC2X75</f>
        <v>2</v>
      </c>
      <c r="I1744" s="373"/>
      <c r="J1744" s="373"/>
      <c r="K1744" s="373"/>
      <c r="L1744" s="373"/>
      <c r="M1744" s="373"/>
      <c r="N1744" s="373"/>
      <c r="O1744" s="373"/>
      <c r="P1744" s="373"/>
      <c r="Q1744" s="373"/>
      <c r="S1744" s="332">
        <f t="shared" si="417"/>
        <v>0</v>
      </c>
      <c r="T1744" s="332">
        <f t="shared" si="426"/>
        <v>0</v>
      </c>
    </row>
    <row r="1745" spans="1:20" s="361" customFormat="1" hidden="1">
      <c r="A1745" s="361" t="s">
        <v>477</v>
      </c>
      <c r="C1745" s="374">
        <f t="shared" si="425"/>
        <v>0</v>
      </c>
      <c r="D1745" s="350"/>
      <c r="E1745" s="350"/>
      <c r="F1745" s="351" t="s">
        <v>1902</v>
      </c>
      <c r="G1745" s="350"/>
      <c r="H1745" s="351"/>
      <c r="I1745" s="351"/>
      <c r="J1745" s="351"/>
      <c r="K1745" s="351"/>
      <c r="L1745" s="351"/>
      <c r="M1745" s="351"/>
      <c r="N1745" s="351"/>
      <c r="O1745" s="351"/>
      <c r="P1745" s="351"/>
      <c r="Q1745" s="351"/>
      <c r="S1745" s="361">
        <f t="shared" si="417"/>
        <v>0</v>
      </c>
      <c r="T1745" s="361">
        <f t="shared" si="426"/>
        <v>0</v>
      </c>
    </row>
    <row r="1746" spans="1:20">
      <c r="A1746" s="332" t="s">
        <v>477</v>
      </c>
      <c r="B1746" s="332" t="s">
        <v>1913</v>
      </c>
      <c r="C1746" s="333">
        <f>IF(H1746&lt;&gt;0,1,)</f>
        <v>1</v>
      </c>
      <c r="D1746" s="648"/>
      <c r="E1746" s="648" t="str">
        <f>VLOOKUP(B1746,DONGIA,DG!$B$6,0)</f>
        <v>T5.1002</v>
      </c>
      <c r="F1746" s="731" t="str">
        <f>VLOOKUP(B1746,DONGIA,DG!$C$6,0)</f>
        <v>Tủ trạm treo + khóa + boulon + Bakelit + Collier (3 pha)</v>
      </c>
      <c r="G1746" s="648" t="str">
        <f>VLOOKUP(B1746,DONGIA,DG!$D$6,0)</f>
        <v>bộ</v>
      </c>
      <c r="H1746" s="362">
        <v>1</v>
      </c>
      <c r="I1746" s="362">
        <f>VLOOKUP(B1746,DONGIA,DG!$E$6,0)</f>
        <v>5446000</v>
      </c>
      <c r="J1746" s="362"/>
      <c r="K1746" s="362">
        <f>VLOOKUP(B1746,DONGIA,DG!$F$6,0)</f>
        <v>743230</v>
      </c>
      <c r="L1746" s="362">
        <f>VLOOKUP(B1746,DONGIA,DG!$G$6,0)</f>
        <v>111154</v>
      </c>
      <c r="M1746" s="362">
        <f t="shared" ref="M1746:P1747" si="444">$H1746*I1746</f>
        <v>5446000</v>
      </c>
      <c r="N1746" s="362">
        <f t="shared" si="444"/>
        <v>0</v>
      </c>
      <c r="O1746" s="362">
        <f t="shared" si="444"/>
        <v>743230</v>
      </c>
      <c r="P1746" s="362">
        <f t="shared" si="444"/>
        <v>111154</v>
      </c>
      <c r="Q1746" s="362" t="s">
        <v>3883</v>
      </c>
      <c r="S1746" s="332">
        <f>IFERROR(VLOOKUP(B1746,DONGIA,$S$25,0),0)</f>
        <v>45</v>
      </c>
      <c r="T1746" s="332">
        <f>H1746*S1746</f>
        <v>45</v>
      </c>
    </row>
    <row r="1747" spans="1:20">
      <c r="A1747" s="332" t="s">
        <v>477</v>
      </c>
      <c r="B1747" s="332" t="s">
        <v>1913</v>
      </c>
      <c r="C1747" s="333">
        <f t="shared" si="425"/>
        <v>1</v>
      </c>
      <c r="D1747" s="643"/>
      <c r="E1747" s="643" t="str">
        <f>VLOOKUP(B1747,DONGIA,DG!$B$6,0)</f>
        <v>T5.1002</v>
      </c>
      <c r="F1747" s="731" t="str">
        <f>VLOOKUP(B1747,DONGIA,DG!$C$6,0)&amp;" (SDL)"</f>
        <v>Tủ trạm treo + khóa + boulon + Bakelit + Collier (3 pha) (SDL)</v>
      </c>
      <c r="G1747" s="643" t="str">
        <f>VLOOKUP(B1747,DONGIA,DG!$D$6,0)</f>
        <v>bộ</v>
      </c>
      <c r="H1747" s="362">
        <v>1</v>
      </c>
      <c r="I1747" s="362"/>
      <c r="J1747" s="362"/>
      <c r="K1747" s="362">
        <f>VLOOKUP(B1747,DONGIA,DG!$F$6,0)</f>
        <v>743230</v>
      </c>
      <c r="L1747" s="362">
        <f>VLOOKUP(B1747,DONGIA,DG!$G$6,0)</f>
        <v>111154</v>
      </c>
      <c r="M1747" s="362">
        <f t="shared" si="444"/>
        <v>0</v>
      </c>
      <c r="N1747" s="362">
        <f t="shared" si="444"/>
        <v>0</v>
      </c>
      <c r="O1747" s="362">
        <f t="shared" si="444"/>
        <v>743230</v>
      </c>
      <c r="P1747" s="362">
        <f t="shared" si="444"/>
        <v>111154</v>
      </c>
      <c r="Q1747" s="362" t="s">
        <v>3882</v>
      </c>
      <c r="S1747" s="332">
        <f t="shared" si="417"/>
        <v>45</v>
      </c>
      <c r="T1747" s="332">
        <f t="shared" si="426"/>
        <v>45</v>
      </c>
    </row>
    <row r="1748" spans="1:20">
      <c r="C1748" s="333">
        <f t="shared" si="425"/>
        <v>1</v>
      </c>
      <c r="D1748" s="372">
        <f>IF(H1748&lt;&gt;0,D1744+1,D1744)</f>
        <v>6</v>
      </c>
      <c r="E1748" s="372"/>
      <c r="F1748" s="780" t="s">
        <v>1935</v>
      </c>
      <c r="G1748" s="372" t="s">
        <v>138</v>
      </c>
      <c r="H1748" s="372">
        <f>TRNC2X75</f>
        <v>2</v>
      </c>
      <c r="I1748" s="373"/>
      <c r="J1748" s="373"/>
      <c r="K1748" s="373"/>
      <c r="L1748" s="373"/>
      <c r="M1748" s="373"/>
      <c r="N1748" s="373"/>
      <c r="O1748" s="373"/>
      <c r="P1748" s="373"/>
      <c r="Q1748" s="373"/>
      <c r="S1748" s="332">
        <f t="shared" si="417"/>
        <v>0</v>
      </c>
      <c r="T1748" s="332">
        <f t="shared" si="426"/>
        <v>0</v>
      </c>
    </row>
    <row r="1749" spans="1:20" s="361" customFormat="1" hidden="1">
      <c r="C1749" s="374">
        <f t="shared" si="425"/>
        <v>0</v>
      </c>
      <c r="D1749" s="350"/>
      <c r="E1749" s="350"/>
      <c r="F1749" s="351" t="s">
        <v>1902</v>
      </c>
      <c r="G1749" s="350"/>
      <c r="H1749" s="351"/>
      <c r="I1749" s="351"/>
      <c r="J1749" s="351"/>
      <c r="K1749" s="351"/>
      <c r="L1749" s="351"/>
      <c r="M1749" s="351"/>
      <c r="N1749" s="351"/>
      <c r="O1749" s="351"/>
      <c r="P1749" s="351"/>
      <c r="Q1749" s="351"/>
      <c r="S1749" s="361">
        <f t="shared" si="417"/>
        <v>0</v>
      </c>
      <c r="T1749" s="361">
        <f t="shared" si="426"/>
        <v>0</v>
      </c>
    </row>
    <row r="1750" spans="1:20">
      <c r="B1750" s="332" t="s">
        <v>1468</v>
      </c>
      <c r="C1750" s="333">
        <f t="shared" si="425"/>
        <v>1</v>
      </c>
      <c r="D1750" s="328"/>
      <c r="E1750" s="328">
        <f>VLOOKUP(B1750,DONGIA,DG!$B$6,0)</f>
        <v>0</v>
      </c>
      <c r="F1750" s="779" t="str">
        <f>VLOOKUP(B1750,DONGIA,DG!$C$6,0)</f>
        <v>Cáp 24KV C/XLPE/PVC 25mm2</v>
      </c>
      <c r="G1750" s="328" t="str">
        <f>VLOOKUP(B1750,DONGIA,DG!$D$6,0)</f>
        <v>mét</v>
      </c>
      <c r="H1750" s="489">
        <f>H1748*10.5-3.5</f>
        <v>17.5</v>
      </c>
      <c r="I1750" s="329">
        <f>VLOOKUP(B1750,DONGIA,DG!$E$6,0)</f>
        <v>87540</v>
      </c>
      <c r="J1750" s="329"/>
      <c r="K1750" s="329">
        <f>VLOOKUP(B1750,DONGIA,DG!$F$6,0)</f>
        <v>0</v>
      </c>
      <c r="L1750" s="329">
        <f>VLOOKUP(B1750,DONGIA,DG!$G$6,0)</f>
        <v>0</v>
      </c>
      <c r="M1750" s="329">
        <f t="shared" ref="M1750:P1754" si="445">$H1750*I1750</f>
        <v>1531950</v>
      </c>
      <c r="N1750" s="329">
        <f t="shared" si="445"/>
        <v>0</v>
      </c>
      <c r="O1750" s="329">
        <f t="shared" si="445"/>
        <v>0</v>
      </c>
      <c r="P1750" s="329">
        <f t="shared" si="445"/>
        <v>0</v>
      </c>
      <c r="Q1750" s="329" t="s">
        <v>3884</v>
      </c>
      <c r="S1750" s="332">
        <f t="shared" si="417"/>
        <v>0.75</v>
      </c>
      <c r="T1750" s="332">
        <f t="shared" si="426"/>
        <v>13.125</v>
      </c>
    </row>
    <row r="1751" spans="1:20">
      <c r="B1751" s="332" t="s">
        <v>1507</v>
      </c>
      <c r="C1751" s="333">
        <f t="shared" si="425"/>
        <v>1</v>
      </c>
      <c r="D1751" s="328"/>
      <c r="E1751" s="328"/>
      <c r="F1751" s="731" t="str">
        <f>VLOOKUP(B1751,DONGIA,DG!$C$6,0)</f>
        <v>Kẹp quai 4/0 (quai đồng 8mm)</v>
      </c>
      <c r="G1751" s="648" t="str">
        <f>VLOOKUP(B1751,DONGIA,DG!$D$6,0)</f>
        <v>cái</v>
      </c>
      <c r="H1751" s="644">
        <f>H1748*3</f>
        <v>6</v>
      </c>
      <c r="I1751" s="362">
        <f>VLOOKUP(B1751,DONGIA,DG!$E$6,0)</f>
        <v>145000</v>
      </c>
      <c r="J1751" s="362"/>
      <c r="K1751" s="362"/>
      <c r="L1751" s="362">
        <f>VLOOKUP(B1751,DONGIA,DG!$G$6,0)</f>
        <v>0</v>
      </c>
      <c r="M1751" s="362">
        <f t="shared" si="445"/>
        <v>870000</v>
      </c>
      <c r="N1751" s="362">
        <f t="shared" si="445"/>
        <v>0</v>
      </c>
      <c r="O1751" s="362">
        <f t="shared" si="445"/>
        <v>0</v>
      </c>
      <c r="P1751" s="329">
        <f t="shared" si="445"/>
        <v>0</v>
      </c>
      <c r="Q1751" s="329"/>
      <c r="S1751" s="332">
        <f t="shared" si="417"/>
        <v>0.3</v>
      </c>
      <c r="T1751" s="332">
        <f t="shared" si="426"/>
        <v>1.7999999999999998</v>
      </c>
    </row>
    <row r="1752" spans="1:20">
      <c r="B1752" s="332" t="s">
        <v>1511</v>
      </c>
      <c r="C1752" s="333">
        <f t="shared" si="425"/>
        <v>1</v>
      </c>
      <c r="D1752" s="328"/>
      <c r="E1752" s="328"/>
      <c r="F1752" s="779" t="str">
        <f>VLOOKUP(B1752,DONGIA,DG!$C$6,0)</f>
        <v>Chụp cách điện kẹp quai</v>
      </c>
      <c r="G1752" s="328" t="str">
        <f>VLOOKUP(B1752,DONGIA,DG!$D$6,0)</f>
        <v>cái</v>
      </c>
      <c r="H1752" s="329">
        <f>H1751</f>
        <v>6</v>
      </c>
      <c r="I1752" s="329">
        <f>VLOOKUP(B1752,DONGIA,DG!$E$6,0)</f>
        <v>122000</v>
      </c>
      <c r="J1752" s="329"/>
      <c r="K1752" s="329"/>
      <c r="L1752" s="329">
        <f>VLOOKUP(B1752,DONGIA,DG!$G$6,0)</f>
        <v>0</v>
      </c>
      <c r="M1752" s="329">
        <f t="shared" si="445"/>
        <v>732000</v>
      </c>
      <c r="N1752" s="329">
        <f t="shared" si="445"/>
        <v>0</v>
      </c>
      <c r="O1752" s="329">
        <f t="shared" si="445"/>
        <v>0</v>
      </c>
      <c r="P1752" s="329">
        <f t="shared" si="445"/>
        <v>0</v>
      </c>
      <c r="Q1752" s="329"/>
      <c r="S1752" s="332">
        <f t="shared" si="417"/>
        <v>0.2</v>
      </c>
      <c r="T1752" s="332">
        <f t="shared" si="426"/>
        <v>1.2000000000000002</v>
      </c>
    </row>
    <row r="1753" spans="1:20">
      <c r="B1753" s="332" t="s">
        <v>1508</v>
      </c>
      <c r="C1753" s="333">
        <f t="shared" si="425"/>
        <v>1</v>
      </c>
      <c r="D1753" s="328"/>
      <c r="E1753" s="328"/>
      <c r="F1753" s="779" t="str">
        <f>VLOOKUP(B1753,DONGIA,DG!$C$6,0)</f>
        <v>Kẹp hotline 2/0</v>
      </c>
      <c r="G1753" s="328" t="str">
        <f>VLOOKUP(B1753,DONGIA,DG!$D$6,0)</f>
        <v>cái</v>
      </c>
      <c r="H1753" s="329">
        <f>H1752</f>
        <v>6</v>
      </c>
      <c r="I1753" s="329">
        <f>VLOOKUP(B1753,DONGIA,DG!$E$6,0)</f>
        <v>68000</v>
      </c>
      <c r="J1753" s="329"/>
      <c r="K1753" s="329"/>
      <c r="L1753" s="329">
        <f>VLOOKUP(B1753,DONGIA,DG!$G$6,0)</f>
        <v>0</v>
      </c>
      <c r="M1753" s="329">
        <f t="shared" si="445"/>
        <v>408000</v>
      </c>
      <c r="N1753" s="329">
        <f t="shared" si="445"/>
        <v>0</v>
      </c>
      <c r="O1753" s="329">
        <f t="shared" si="445"/>
        <v>0</v>
      </c>
      <c r="P1753" s="329">
        <f t="shared" si="445"/>
        <v>0</v>
      </c>
      <c r="Q1753" s="329"/>
      <c r="S1753" s="332">
        <f t="shared" si="417"/>
        <v>0.1</v>
      </c>
      <c r="T1753" s="332">
        <f t="shared" si="426"/>
        <v>0.60000000000000009</v>
      </c>
    </row>
    <row r="1754" spans="1:20">
      <c r="B1754" s="332" t="s">
        <v>1939</v>
      </c>
      <c r="C1754" s="333">
        <f t="shared" si="425"/>
        <v>1</v>
      </c>
      <c r="D1754" s="328"/>
      <c r="E1754" s="328" t="str">
        <f>VLOOKUP(B1754,DONGIA,DG!$B$6,0)</f>
        <v>T4.4201</v>
      </c>
      <c r="F1754" s="779" t="str">
        <f>VLOOKUP(B1754,DONGIA,DG!$C$6,0)</f>
        <v>Lắp cáp đồng xuống thiết bị D ≤ 95mm2</v>
      </c>
      <c r="G1754" s="328" t="str">
        <f>VLOOKUP(B1754,DONGIA,DG!$D$6,0)</f>
        <v>m</v>
      </c>
      <c r="H1754" s="489">
        <f>H1750</f>
        <v>17.5</v>
      </c>
      <c r="I1754" s="329">
        <f>VLOOKUP(B1754,DONGIA,DG!$E$6,0)</f>
        <v>0</v>
      </c>
      <c r="J1754" s="329"/>
      <c r="K1754" s="329">
        <f>VLOOKUP(B1754,DONGIA,DG!$F$6,0)</f>
        <v>11847</v>
      </c>
      <c r="L1754" s="329">
        <f>VLOOKUP(B1754,DONGIA,DG!$G$6,0)</f>
        <v>0</v>
      </c>
      <c r="M1754" s="329">
        <f t="shared" si="445"/>
        <v>0</v>
      </c>
      <c r="N1754" s="329">
        <f t="shared" si="445"/>
        <v>0</v>
      </c>
      <c r="O1754" s="329">
        <f t="shared" si="445"/>
        <v>207322.5</v>
      </c>
      <c r="P1754" s="329">
        <f t="shared" si="445"/>
        <v>0</v>
      </c>
      <c r="Q1754" s="329"/>
      <c r="S1754" s="332">
        <f t="shared" si="417"/>
        <v>0</v>
      </c>
      <c r="T1754" s="332">
        <f t="shared" si="426"/>
        <v>0</v>
      </c>
    </row>
    <row r="1755" spans="1:20">
      <c r="C1755" s="333">
        <f t="shared" si="425"/>
        <v>1</v>
      </c>
      <c r="D1755" s="372">
        <f>IF(H1755&lt;&gt;0,D1748+1,D1748)</f>
        <v>7</v>
      </c>
      <c r="E1755" s="372"/>
      <c r="F1755" s="780" t="s">
        <v>1936</v>
      </c>
      <c r="G1755" s="372" t="s">
        <v>138</v>
      </c>
      <c r="H1755" s="372">
        <f>TRNC2X75</f>
        <v>2</v>
      </c>
      <c r="I1755" s="373"/>
      <c r="J1755" s="373"/>
      <c r="K1755" s="373"/>
      <c r="L1755" s="373"/>
      <c r="M1755" s="373"/>
      <c r="N1755" s="373"/>
      <c r="O1755" s="373"/>
      <c r="P1755" s="373"/>
      <c r="Q1755" s="373"/>
      <c r="S1755" s="332">
        <f t="shared" si="417"/>
        <v>0</v>
      </c>
      <c r="T1755" s="332">
        <f t="shared" si="426"/>
        <v>0</v>
      </c>
    </row>
    <row r="1756" spans="1:20" s="361" customFormat="1" hidden="1">
      <c r="C1756" s="374">
        <f t="shared" si="425"/>
        <v>0</v>
      </c>
      <c r="D1756" s="350"/>
      <c r="E1756" s="350"/>
      <c r="F1756" s="351" t="s">
        <v>1902</v>
      </c>
      <c r="G1756" s="350"/>
      <c r="H1756" s="351"/>
      <c r="I1756" s="351"/>
      <c r="J1756" s="351"/>
      <c r="K1756" s="351"/>
      <c r="L1756" s="351"/>
      <c r="M1756" s="351"/>
      <c r="N1756" s="351"/>
      <c r="O1756" s="351"/>
      <c r="P1756" s="351"/>
      <c r="Q1756" s="351"/>
      <c r="S1756" s="361">
        <f t="shared" si="417"/>
        <v>0</v>
      </c>
      <c r="T1756" s="361">
        <f t="shared" si="426"/>
        <v>0</v>
      </c>
    </row>
    <row r="1757" spans="1:20" s="361" customFormat="1">
      <c r="C1757" s="374">
        <f>IF(SUM(C1758:C1776)&lt;&gt;0,1,)</f>
        <v>1</v>
      </c>
      <c r="D1757" s="555"/>
      <c r="E1757" s="555"/>
      <c r="F1757" s="782" t="s">
        <v>3872</v>
      </c>
      <c r="G1757" s="555"/>
      <c r="H1757" s="555">
        <v>1</v>
      </c>
      <c r="I1757" s="556"/>
      <c r="J1757" s="556"/>
      <c r="K1757" s="556"/>
      <c r="L1757" s="556"/>
      <c r="M1757" s="556"/>
      <c r="N1757" s="556"/>
      <c r="O1757" s="556"/>
      <c r="P1757" s="556"/>
      <c r="Q1757" s="556"/>
    </row>
    <row r="1758" spans="1:20">
      <c r="B1758" s="332" t="s">
        <v>1908</v>
      </c>
      <c r="C1758" s="333">
        <f>IF(H1758&lt;&gt;0,1,)</f>
        <v>1</v>
      </c>
      <c r="D1758" s="328"/>
      <c r="E1758" s="328">
        <f>VLOOKUP(B1758,DONGIA,DG!$B$6,0)</f>
        <v>0</v>
      </c>
      <c r="F1758" s="779" t="str">
        <f>VLOOKUP(B1758,DONGIA,DG!$C$6,0)&amp;" (SDL)"</f>
        <v>Cáp đồng bọc CV120 (SDL)</v>
      </c>
      <c r="G1758" s="328" t="str">
        <f>VLOOKUP(B1758,DONGIA,DG!$D$6,0)</f>
        <v>mét</v>
      </c>
      <c r="H1758" s="489">
        <f>9.5*2</f>
        <v>19</v>
      </c>
      <c r="I1758" s="329"/>
      <c r="J1758" s="329"/>
      <c r="K1758" s="329">
        <f>VLOOKUP(B1758,DONGIA,DG!$F$6,0)</f>
        <v>0</v>
      </c>
      <c r="L1758" s="329">
        <f>VLOOKUP(B1758,DONGIA,DG!$G$6,0)</f>
        <v>0</v>
      </c>
      <c r="M1758" s="329">
        <f t="shared" ref="M1758:P1759" si="446">$H1758*I1758</f>
        <v>0</v>
      </c>
      <c r="N1758" s="329">
        <f t="shared" si="446"/>
        <v>0</v>
      </c>
      <c r="O1758" s="329">
        <f t="shared" si="446"/>
        <v>0</v>
      </c>
      <c r="P1758" s="329">
        <f t="shared" si="446"/>
        <v>0</v>
      </c>
      <c r="Q1758" s="329"/>
      <c r="S1758" s="332">
        <f>IFERROR(VLOOKUP(B1758,DONGIA,$S$25,0),0)</f>
        <v>1.2350000000000001</v>
      </c>
      <c r="T1758" s="332">
        <f>H1758*S1758</f>
        <v>23.465000000000003</v>
      </c>
    </row>
    <row r="1759" spans="1:20">
      <c r="B1759" s="332" t="s">
        <v>1907</v>
      </c>
      <c r="C1759" s="333">
        <f>IF(H1759&lt;&gt;0,1,)</f>
        <v>1</v>
      </c>
      <c r="D1759" s="328"/>
      <c r="E1759" s="328">
        <f>VLOOKUP(B1759,DONGIA,DG!$B$6,0)</f>
        <v>0</v>
      </c>
      <c r="F1759" s="779" t="str">
        <f>VLOOKUP(B1759,DONGIA,DG!$C$6,0)&amp;" (SDL)"</f>
        <v>Cáp đồng bọc CV70 (SDL)</v>
      </c>
      <c r="G1759" s="328" t="str">
        <f>VLOOKUP(B1759,DONGIA,DG!$D$6,0)</f>
        <v>mét</v>
      </c>
      <c r="H1759" s="489">
        <f>9.5</f>
        <v>9.5</v>
      </c>
      <c r="I1759" s="329"/>
      <c r="J1759" s="329"/>
      <c r="K1759" s="329">
        <f>VLOOKUP(B1759,DONGIA,DG!$F$6,0)</f>
        <v>0</v>
      </c>
      <c r="L1759" s="329">
        <f>VLOOKUP(B1759,DONGIA,DG!$G$6,0)</f>
        <v>0</v>
      </c>
      <c r="M1759" s="329">
        <f t="shared" si="446"/>
        <v>0</v>
      </c>
      <c r="N1759" s="329">
        <f t="shared" si="446"/>
        <v>0</v>
      </c>
      <c r="O1759" s="329">
        <f t="shared" si="446"/>
        <v>0</v>
      </c>
      <c r="P1759" s="329">
        <f t="shared" si="446"/>
        <v>0</v>
      </c>
      <c r="Q1759" s="329"/>
      <c r="S1759" s="332">
        <f>IFERROR(VLOOKUP(B1759,DONGIA,$S$25,0),0)</f>
        <v>0.73899999999999999</v>
      </c>
      <c r="T1759" s="332">
        <f>H1759*S1759</f>
        <v>7.0205000000000002</v>
      </c>
    </row>
    <row r="1760" spans="1:20">
      <c r="B1760" s="332" t="s">
        <v>1908</v>
      </c>
      <c r="C1760" s="333">
        <f t="shared" si="425"/>
        <v>1</v>
      </c>
      <c r="D1760" s="328"/>
      <c r="E1760" s="328">
        <f>VLOOKUP(B1760,DONGIA,DG!$B$6,0)</f>
        <v>0</v>
      </c>
      <c r="F1760" s="779" t="str">
        <f>VLOOKUP(B1760,DONGIA,DG!$C$6,0)</f>
        <v>Cáp đồng bọc CV120</v>
      </c>
      <c r="G1760" s="328" t="str">
        <f>VLOOKUP(B1760,DONGIA,DG!$D$6,0)</f>
        <v>mét</v>
      </c>
      <c r="H1760" s="489">
        <f>9.5</f>
        <v>9.5</v>
      </c>
      <c r="I1760" s="329">
        <f>VLOOKUP(B1760,DONGIA,DG!$E$6,0)</f>
        <v>245040</v>
      </c>
      <c r="J1760" s="329"/>
      <c r="K1760" s="329">
        <f>VLOOKUP(B1760,DONGIA,DG!$F$6,0)</f>
        <v>0</v>
      </c>
      <c r="L1760" s="329">
        <f>VLOOKUP(B1760,DONGIA,DG!$G$6,0)</f>
        <v>0</v>
      </c>
      <c r="M1760" s="329">
        <f t="shared" ref="M1760:M1780" si="447">$H1760*I1760</f>
        <v>2327880</v>
      </c>
      <c r="N1760" s="329">
        <f t="shared" ref="N1760:N1780" si="448">$H1760*J1760</f>
        <v>0</v>
      </c>
      <c r="O1760" s="329">
        <f t="shared" ref="O1760:O1780" si="449">$H1760*K1760</f>
        <v>0</v>
      </c>
      <c r="P1760" s="329">
        <f t="shared" ref="P1760:P1780" si="450">$H1760*L1760</f>
        <v>0</v>
      </c>
      <c r="Q1760" s="329"/>
      <c r="S1760" s="332">
        <f t="shared" si="417"/>
        <v>1.2350000000000001</v>
      </c>
      <c r="T1760" s="332">
        <f t="shared" si="426"/>
        <v>11.732500000000002</v>
      </c>
    </row>
    <row r="1761" spans="2:20">
      <c r="B1761" s="332" t="s">
        <v>1907</v>
      </c>
      <c r="C1761" s="333">
        <f t="shared" si="425"/>
        <v>1</v>
      </c>
      <c r="D1761" s="328"/>
      <c r="E1761" s="328">
        <f>VLOOKUP(B1761,DONGIA,DG!$B$6,0)</f>
        <v>0</v>
      </c>
      <c r="F1761" s="779" t="str">
        <f>VLOOKUP(B1761,DONGIA,DG!$C$6,0)</f>
        <v>Cáp đồng bọc CV70</v>
      </c>
      <c r="G1761" s="328" t="str">
        <f>VLOOKUP(B1761,DONGIA,DG!$D$6,0)</f>
        <v>mét</v>
      </c>
      <c r="H1761" s="489">
        <f>5</f>
        <v>5</v>
      </c>
      <c r="I1761" s="329">
        <f>VLOOKUP(B1761,DONGIA,DG!$E$6,0)</f>
        <v>142880</v>
      </c>
      <c r="J1761" s="329"/>
      <c r="K1761" s="329">
        <f>VLOOKUP(B1761,DONGIA,DG!$F$6,0)</f>
        <v>0</v>
      </c>
      <c r="L1761" s="329">
        <f>VLOOKUP(B1761,DONGIA,DG!$G$6,0)</f>
        <v>0</v>
      </c>
      <c r="M1761" s="329">
        <f t="shared" si="447"/>
        <v>714400</v>
      </c>
      <c r="N1761" s="329">
        <f t="shared" si="448"/>
        <v>0</v>
      </c>
      <c r="O1761" s="329">
        <f t="shared" si="449"/>
        <v>0</v>
      </c>
      <c r="P1761" s="329">
        <f t="shared" si="450"/>
        <v>0</v>
      </c>
      <c r="Q1761" s="329"/>
      <c r="S1761" s="332">
        <f t="shared" si="417"/>
        <v>0.73899999999999999</v>
      </c>
      <c r="T1761" s="332">
        <f t="shared" si="426"/>
        <v>3.6949999999999998</v>
      </c>
    </row>
    <row r="1762" spans="2:20">
      <c r="B1762" s="332" t="s">
        <v>3520</v>
      </c>
      <c r="C1762" s="333">
        <f t="shared" si="425"/>
        <v>1</v>
      </c>
      <c r="D1762" s="648"/>
      <c r="E1762" s="648">
        <f>VLOOKUP(B1762,DONGIA,DG!$B$6,0)</f>
        <v>0</v>
      </c>
      <c r="F1762" s="362" t="str">
        <f>VLOOKUP(B1762,DONGIA,DG!$C$6,0)</f>
        <v>Cáp điều khiển CVV 6x4,0mm2</v>
      </c>
      <c r="G1762" s="648" t="str">
        <f>VLOOKUP(B1762,DONGIA,DG!$D$6,0)</f>
        <v>mét</v>
      </c>
      <c r="H1762" s="483">
        <f>H1757*0.8</f>
        <v>0.8</v>
      </c>
      <c r="I1762" s="362">
        <f>VLOOKUP(B1762,DONGIA,DG!$E$6,0)</f>
        <v>71600</v>
      </c>
      <c r="J1762" s="362"/>
      <c r="K1762" s="362">
        <f>VLOOKUP(B1762,DONGIA,DG!$F$6,0)</f>
        <v>0</v>
      </c>
      <c r="L1762" s="362">
        <f>VLOOKUP(B1762,DONGIA,DG!$G$6,0)</f>
        <v>0</v>
      </c>
      <c r="M1762" s="362">
        <f t="shared" si="447"/>
        <v>57280</v>
      </c>
      <c r="N1762" s="362">
        <f t="shared" si="448"/>
        <v>0</v>
      </c>
      <c r="O1762" s="362">
        <f t="shared" si="449"/>
        <v>0</v>
      </c>
      <c r="P1762" s="362">
        <f t="shared" si="450"/>
        <v>0</v>
      </c>
      <c r="Q1762" s="362"/>
      <c r="S1762" s="332">
        <f t="shared" si="417"/>
        <v>3.024</v>
      </c>
      <c r="T1762" s="332">
        <f t="shared" si="426"/>
        <v>2.4192</v>
      </c>
    </row>
    <row r="1763" spans="2:20">
      <c r="B1763" s="332" t="s">
        <v>1937</v>
      </c>
      <c r="C1763" s="333">
        <f>IF(H1763&lt;&gt;0,1,)</f>
        <v>1</v>
      </c>
      <c r="D1763" s="757"/>
      <c r="E1763" s="757">
        <f>VLOOKUP(B1763,DONGIA,DG!$B$6,0)</f>
        <v>0</v>
      </c>
      <c r="F1763" s="731" t="str">
        <f>VLOOKUP(B1763,DONGIA,DG!$C$6,0)</f>
        <v>Cáp điều khiển CVV 4x4,0mm2</v>
      </c>
      <c r="G1763" s="757" t="str">
        <f>VLOOKUP(B1763,DONGIA,DG!$D$6,0)</f>
        <v>mét</v>
      </c>
      <c r="H1763" s="483">
        <f>H1757*1.3</f>
        <v>1.3</v>
      </c>
      <c r="I1763" s="362">
        <f>VLOOKUP(B1763,DONGIA,DG!$E$6,0)</f>
        <v>52400</v>
      </c>
      <c r="J1763" s="362"/>
      <c r="K1763" s="362">
        <f>VLOOKUP(B1763,DONGIA,DG!$F$6,0)</f>
        <v>0</v>
      </c>
      <c r="L1763" s="362">
        <f>VLOOKUP(B1763,DONGIA,DG!$G$6,0)</f>
        <v>0</v>
      </c>
      <c r="M1763" s="362">
        <f>$H1763*I1763</f>
        <v>68120</v>
      </c>
      <c r="N1763" s="362">
        <f>$H1763*J1763</f>
        <v>0</v>
      </c>
      <c r="O1763" s="362">
        <f>$H1763*K1763</f>
        <v>0</v>
      </c>
      <c r="P1763" s="362">
        <f>$H1763*L1763</f>
        <v>0</v>
      </c>
      <c r="Q1763" s="362"/>
      <c r="S1763" s="332">
        <f>IFERROR(VLOOKUP(B1763,DONGIA,$S$25,0),0)</f>
        <v>3.024</v>
      </c>
      <c r="T1763" s="332">
        <f>H1763*S1763</f>
        <v>3.9312</v>
      </c>
    </row>
    <row r="1764" spans="2:20">
      <c r="B1764" s="332" t="s">
        <v>1119</v>
      </c>
      <c r="C1764" s="333">
        <f t="shared" si="425"/>
        <v>1</v>
      </c>
      <c r="D1764" s="328"/>
      <c r="E1764" s="328"/>
      <c r="F1764" s="779" t="str">
        <f>VLOOKUP(B1764,DONGIA,DG!$C$6,0)</f>
        <v>Đầu cosse ép Cu 120mm2</v>
      </c>
      <c r="G1764" s="328" t="str">
        <f>VLOOKUP(B1764,DONGIA,DG!$D$6,0)</f>
        <v>cái</v>
      </c>
      <c r="H1764" s="329">
        <v>1</v>
      </c>
      <c r="I1764" s="329">
        <f>VLOOKUP(B1764,DONGIA,DG!$E$6,0)</f>
        <v>65000</v>
      </c>
      <c r="J1764" s="329"/>
      <c r="K1764" s="329"/>
      <c r="L1764" s="329"/>
      <c r="M1764" s="329">
        <f t="shared" si="447"/>
        <v>65000</v>
      </c>
      <c r="N1764" s="329">
        <f t="shared" si="448"/>
        <v>0</v>
      </c>
      <c r="O1764" s="329">
        <f t="shared" si="449"/>
        <v>0</v>
      </c>
      <c r="P1764" s="329">
        <f t="shared" si="450"/>
        <v>0</v>
      </c>
      <c r="Q1764" s="329"/>
      <c r="S1764" s="332">
        <f t="shared" si="417"/>
        <v>0.1</v>
      </c>
      <c r="T1764" s="332">
        <f t="shared" si="426"/>
        <v>0.1</v>
      </c>
    </row>
    <row r="1765" spans="2:20" hidden="1">
      <c r="B1765" s="332" t="s">
        <v>1113</v>
      </c>
      <c r="C1765" s="333">
        <f t="shared" si="425"/>
        <v>0</v>
      </c>
      <c r="D1765" s="328"/>
      <c r="E1765" s="328" t="str">
        <f>VLOOKUP(B1765,DONGIA,DG!$B$6,0)</f>
        <v>D4.5003</v>
      </c>
      <c r="F1765" s="329" t="str">
        <f>VLOOKUP(B1765,DONGIA,DG!$C$6,0)</f>
        <v>Đầu cosse ép Cu 70mm2</v>
      </c>
      <c r="G1765" s="328" t="str">
        <f>VLOOKUP(B1765,DONGIA,DG!$D$6,0)</f>
        <v>cái</v>
      </c>
      <c r="H1765" s="329"/>
      <c r="I1765" s="329">
        <f>VLOOKUP(B1765,DONGIA,DG!$E$6,0)</f>
        <v>33000</v>
      </c>
      <c r="J1765" s="329"/>
      <c r="K1765" s="329">
        <f>VLOOKUP(B1765,DONGIA,DG!$F$6,0)</f>
        <v>14194</v>
      </c>
      <c r="L1765" s="329">
        <f>VLOOKUP(B1765,DONGIA,DG!$G$6,0)</f>
        <v>1767</v>
      </c>
      <c r="M1765" s="329">
        <f t="shared" si="447"/>
        <v>0</v>
      </c>
      <c r="N1765" s="329">
        <f t="shared" si="448"/>
        <v>0</v>
      </c>
      <c r="O1765" s="329">
        <f t="shared" si="449"/>
        <v>0</v>
      </c>
      <c r="P1765" s="329">
        <f t="shared" si="450"/>
        <v>0</v>
      </c>
      <c r="Q1765" s="329"/>
      <c r="S1765" s="332">
        <f t="shared" si="417"/>
        <v>0.2</v>
      </c>
      <c r="T1765" s="332">
        <f t="shared" si="426"/>
        <v>0</v>
      </c>
    </row>
    <row r="1766" spans="2:20">
      <c r="B1766" s="332" t="s">
        <v>1151</v>
      </c>
      <c r="C1766" s="333">
        <f t="shared" si="425"/>
        <v>1</v>
      </c>
      <c r="D1766" s="328"/>
      <c r="E1766" s="328">
        <f>VLOOKUP(B1766,DONGIA,DG!$B$6,0)</f>
        <v>0</v>
      </c>
      <c r="F1766" s="779" t="str">
        <f>VLOOKUP(B1766,DONGIA,DG!$C$6,0)</f>
        <v>Chụp đầu cosse  120mm2</v>
      </c>
      <c r="G1766" s="328" t="str">
        <f>VLOOKUP(B1766,DONGIA,DG!$D$6,0)</f>
        <v>cái</v>
      </c>
      <c r="H1766" s="329">
        <f>H1764</f>
        <v>1</v>
      </c>
      <c r="I1766" s="329">
        <f>VLOOKUP(B1766,DONGIA,DG!$E$6,0)</f>
        <v>3500</v>
      </c>
      <c r="J1766" s="329"/>
      <c r="K1766" s="329">
        <f>VLOOKUP(B1766,DONGIA,DG!$F$6,0)</f>
        <v>0</v>
      </c>
      <c r="L1766" s="329">
        <f>VLOOKUP(B1766,DONGIA,DG!$G$6,0)</f>
        <v>0</v>
      </c>
      <c r="M1766" s="329">
        <f t="shared" si="447"/>
        <v>3500</v>
      </c>
      <c r="N1766" s="329">
        <f t="shared" si="448"/>
        <v>0</v>
      </c>
      <c r="O1766" s="329">
        <f t="shared" si="449"/>
        <v>0</v>
      </c>
      <c r="P1766" s="329">
        <f t="shared" si="450"/>
        <v>0</v>
      </c>
      <c r="Q1766" s="329"/>
      <c r="S1766" s="332">
        <f t="shared" si="417"/>
        <v>0</v>
      </c>
      <c r="T1766" s="332">
        <f t="shared" si="426"/>
        <v>0</v>
      </c>
    </row>
    <row r="1767" spans="2:20" hidden="1">
      <c r="B1767" s="332" t="s">
        <v>1147</v>
      </c>
      <c r="C1767" s="333">
        <f t="shared" si="425"/>
        <v>0</v>
      </c>
      <c r="D1767" s="328"/>
      <c r="E1767" s="328">
        <f>VLOOKUP(B1767,DONGIA,DG!$B$6,0)</f>
        <v>0</v>
      </c>
      <c r="F1767" s="329" t="str">
        <f>VLOOKUP(B1767,DONGIA,DG!$C$6,0)</f>
        <v>Chụp đầu cosse  70mm2</v>
      </c>
      <c r="G1767" s="328" t="str">
        <f>VLOOKUP(B1767,DONGIA,DG!$D$6,0)</f>
        <v>cái</v>
      </c>
      <c r="H1767" s="329"/>
      <c r="I1767" s="329">
        <f>VLOOKUP(B1767,DONGIA,DG!$E$6,0)</f>
        <v>2000</v>
      </c>
      <c r="J1767" s="329"/>
      <c r="K1767" s="329">
        <f>VLOOKUP(B1767,DONGIA,DG!$F$6,0)</f>
        <v>0</v>
      </c>
      <c r="L1767" s="329">
        <f>VLOOKUP(B1767,DONGIA,DG!$G$6,0)</f>
        <v>0</v>
      </c>
      <c r="M1767" s="329">
        <f t="shared" si="447"/>
        <v>0</v>
      </c>
      <c r="N1767" s="329">
        <f t="shared" si="448"/>
        <v>0</v>
      </c>
      <c r="O1767" s="329">
        <f t="shared" si="449"/>
        <v>0</v>
      </c>
      <c r="P1767" s="329">
        <f t="shared" si="450"/>
        <v>0</v>
      </c>
      <c r="Q1767" s="329"/>
      <c r="S1767" s="332">
        <f t="shared" si="417"/>
        <v>0</v>
      </c>
      <c r="T1767" s="332">
        <f t="shared" si="426"/>
        <v>0</v>
      </c>
    </row>
    <row r="1768" spans="2:20">
      <c r="B1768" s="332" t="s">
        <v>1175</v>
      </c>
      <c r="C1768" s="333">
        <f t="shared" si="425"/>
        <v>1</v>
      </c>
      <c r="D1768" s="328"/>
      <c r="E1768" s="328">
        <f>VLOOKUP(B1768,DONGIA,DG!$B$6,0)</f>
        <v>0</v>
      </c>
      <c r="F1768" s="779" t="str">
        <f>VLOOKUP(B1768,DONGIA,DG!$C$6,0)</f>
        <v xml:space="preserve">Ống PVC D114x4,9mm </v>
      </c>
      <c r="G1768" s="328" t="str">
        <f>VLOOKUP(B1768,DONGIA,DG!$D$6,0)</f>
        <v>m</v>
      </c>
      <c r="H1768" s="489">
        <f>5.5</f>
        <v>5.5</v>
      </c>
      <c r="I1768" s="329">
        <f>VLOOKUP(B1768,DONGIA,DG!$E$6,0)</f>
        <v>102000</v>
      </c>
      <c r="J1768" s="329"/>
      <c r="K1768" s="329">
        <f>VLOOKUP(B1768,DONGIA,DG!$F$6,0)</f>
        <v>0</v>
      </c>
      <c r="L1768" s="329">
        <f>VLOOKUP(B1768,DONGIA,DG!$G$6,0)</f>
        <v>0</v>
      </c>
      <c r="M1768" s="329">
        <f t="shared" si="447"/>
        <v>561000</v>
      </c>
      <c r="N1768" s="329">
        <f t="shared" si="448"/>
        <v>0</v>
      </c>
      <c r="O1768" s="329">
        <f t="shared" si="449"/>
        <v>0</v>
      </c>
      <c r="P1768" s="329">
        <f t="shared" si="450"/>
        <v>0</v>
      </c>
      <c r="Q1768" s="329"/>
      <c r="S1768" s="332">
        <f t="shared" si="417"/>
        <v>2</v>
      </c>
      <c r="T1768" s="332">
        <f t="shared" si="426"/>
        <v>11</v>
      </c>
    </row>
    <row r="1769" spans="2:20">
      <c r="B1769" s="332" t="s">
        <v>456</v>
      </c>
      <c r="C1769" s="333">
        <f t="shared" si="425"/>
        <v>1</v>
      </c>
      <c r="D1769" s="328"/>
      <c r="E1769" s="328">
        <f>VLOOKUP(B1769,DONGIA,DG!$B$6,0)</f>
        <v>0</v>
      </c>
      <c r="F1769" s="779" t="str">
        <f>VLOOKUP(B1769,DONGIA,DG!$C$6,0)&amp;" (CD: 230)"</f>
        <v>Cổ dê kẹp ống PVC φ 114 (có giá nới) (CD: 230)</v>
      </c>
      <c r="G1769" s="328" t="str">
        <f>VLOOKUP(B1769,DONGIA,DG!$D$6,0)</f>
        <v>bộ</v>
      </c>
      <c r="H1769" s="329">
        <v>1</v>
      </c>
      <c r="I1769" s="329">
        <f>VLOOKUP(B1769,DONGIA,DG!$E$6,0)</f>
        <v>68000</v>
      </c>
      <c r="J1769" s="329"/>
      <c r="K1769" s="329"/>
      <c r="L1769" s="329">
        <f>VLOOKUP(B1769,DONGIA,DG!$G$6,0)</f>
        <v>0</v>
      </c>
      <c r="M1769" s="329">
        <f t="shared" si="447"/>
        <v>68000</v>
      </c>
      <c r="N1769" s="329">
        <f t="shared" si="448"/>
        <v>0</v>
      </c>
      <c r="O1769" s="329">
        <f t="shared" si="449"/>
        <v>0</v>
      </c>
      <c r="P1769" s="329">
        <f t="shared" si="450"/>
        <v>0</v>
      </c>
      <c r="Q1769" s="329"/>
      <c r="S1769" s="332">
        <f t="shared" si="417"/>
        <v>1.5</v>
      </c>
      <c r="T1769" s="332">
        <f t="shared" si="426"/>
        <v>1.5</v>
      </c>
    </row>
    <row r="1770" spans="2:20">
      <c r="B1770" s="332" t="s">
        <v>456</v>
      </c>
      <c r="C1770" s="333">
        <f t="shared" si="425"/>
        <v>1</v>
      </c>
      <c r="D1770" s="328"/>
      <c r="E1770" s="328">
        <f>VLOOKUP(B1770,DONGIA,DG!$B$6,0)</f>
        <v>0</v>
      </c>
      <c r="F1770" s="779" t="str">
        <f>VLOOKUP(B1770,DONGIA,DG!$C$6,0)&amp;" (CD: 250)"</f>
        <v>Cổ dê kẹp ống PVC φ 114 (có giá nới) (CD: 250)</v>
      </c>
      <c r="G1770" s="328" t="str">
        <f>VLOOKUP(B1770,DONGIA,DG!$D$6,0)</f>
        <v>bộ</v>
      </c>
      <c r="H1770" s="329">
        <v>1</v>
      </c>
      <c r="I1770" s="329">
        <f>VLOOKUP(B1770,DONGIA,DG!$E$6,0)</f>
        <v>68000</v>
      </c>
      <c r="J1770" s="329"/>
      <c r="K1770" s="329"/>
      <c r="L1770" s="329">
        <f>VLOOKUP(B1770,DONGIA,DG!$G$6,0)</f>
        <v>0</v>
      </c>
      <c r="M1770" s="329">
        <f t="shared" si="447"/>
        <v>68000</v>
      </c>
      <c r="N1770" s="329">
        <f t="shared" si="448"/>
        <v>0</v>
      </c>
      <c r="O1770" s="329">
        <f t="shared" si="449"/>
        <v>0</v>
      </c>
      <c r="P1770" s="329">
        <f t="shared" si="450"/>
        <v>0</v>
      </c>
      <c r="Q1770" s="329"/>
      <c r="S1770" s="332">
        <f t="shared" si="417"/>
        <v>1.5</v>
      </c>
      <c r="T1770" s="332">
        <f t="shared" si="426"/>
        <v>1.5</v>
      </c>
    </row>
    <row r="1771" spans="2:20">
      <c r="B1771" s="332" t="s">
        <v>456</v>
      </c>
      <c r="C1771" s="333">
        <f t="shared" si="425"/>
        <v>1</v>
      </c>
      <c r="D1771" s="328"/>
      <c r="E1771" s="328">
        <f>VLOOKUP(B1771,DONGIA,DG!$B$6,0)</f>
        <v>0</v>
      </c>
      <c r="F1771" s="779" t="str">
        <f>VLOOKUP(B1771,DONGIA,DG!$C$6,0)&amp;" (CD: 280)"</f>
        <v>Cổ dê kẹp ống PVC φ 114 (có giá nới) (CD: 280)</v>
      </c>
      <c r="G1771" s="328" t="str">
        <f>VLOOKUP(B1771,DONGIA,DG!$D$6,0)</f>
        <v>bộ</v>
      </c>
      <c r="H1771" s="329">
        <v>1</v>
      </c>
      <c r="I1771" s="329">
        <f>VLOOKUP(B1771,DONGIA,DG!$E$6,0)</f>
        <v>68000</v>
      </c>
      <c r="J1771" s="329"/>
      <c r="K1771" s="329"/>
      <c r="L1771" s="329">
        <f>VLOOKUP(B1771,DONGIA,DG!$G$6,0)</f>
        <v>0</v>
      </c>
      <c r="M1771" s="329">
        <f t="shared" si="447"/>
        <v>68000</v>
      </c>
      <c r="N1771" s="329">
        <f t="shared" si="448"/>
        <v>0</v>
      </c>
      <c r="O1771" s="329">
        <f t="shared" si="449"/>
        <v>0</v>
      </c>
      <c r="P1771" s="329">
        <f t="shared" si="450"/>
        <v>0</v>
      </c>
      <c r="Q1771" s="329"/>
      <c r="S1771" s="332">
        <f t="shared" si="417"/>
        <v>1.5</v>
      </c>
      <c r="T1771" s="332">
        <f t="shared" si="426"/>
        <v>1.5</v>
      </c>
    </row>
    <row r="1772" spans="2:20">
      <c r="B1772" s="332" t="s">
        <v>2957</v>
      </c>
      <c r="C1772" s="333">
        <f t="shared" si="425"/>
        <v>1</v>
      </c>
      <c r="D1772" s="328"/>
      <c r="E1772" s="328">
        <f>VLOOKUP(B1772,DONGIA,DG!$B$6,0)</f>
        <v>0</v>
      </c>
      <c r="F1772" s="779" t="str">
        <f>VLOOKUP(B1772,DONGIA,DG!$C$6,0)</f>
        <v>Co  90 độ PVC 114 (Loại dày)</v>
      </c>
      <c r="G1772" s="328" t="str">
        <f>VLOOKUP(B1772,DONGIA,DG!$D$6,0)</f>
        <v>cái</v>
      </c>
      <c r="H1772" s="329">
        <v>1</v>
      </c>
      <c r="I1772" s="329">
        <f>VLOOKUP(B1772,DONGIA,DG!$E$6,0)</f>
        <v>104800</v>
      </c>
      <c r="J1772" s="329"/>
      <c r="K1772" s="329">
        <f>VLOOKUP(B1772,DONGIA,DG!$F$6,0)</f>
        <v>0</v>
      </c>
      <c r="L1772" s="329">
        <f>VLOOKUP(B1772,DONGIA,DG!$G$6,0)</f>
        <v>0</v>
      </c>
      <c r="M1772" s="329">
        <f t="shared" si="447"/>
        <v>104800</v>
      </c>
      <c r="N1772" s="329">
        <f t="shared" si="448"/>
        <v>0</v>
      </c>
      <c r="O1772" s="329">
        <f t="shared" si="449"/>
        <v>0</v>
      </c>
      <c r="P1772" s="329">
        <f t="shared" si="450"/>
        <v>0</v>
      </c>
      <c r="Q1772" s="329"/>
      <c r="S1772" s="332">
        <f t="shared" si="417"/>
        <v>0</v>
      </c>
      <c r="T1772" s="332">
        <f t="shared" si="426"/>
        <v>0</v>
      </c>
    </row>
    <row r="1773" spans="2:20" hidden="1">
      <c r="B1773" s="332" t="s">
        <v>1940</v>
      </c>
      <c r="C1773" s="333">
        <f t="shared" si="425"/>
        <v>0</v>
      </c>
      <c r="D1773" s="328"/>
      <c r="E1773" s="328">
        <f>VLOOKUP(B1773,DONGIA,DG!$B$6,0)</f>
        <v>0</v>
      </c>
      <c r="F1773" s="329" t="str">
        <f>VLOOKUP(B1773,DONGIA,DG!$C$6,0)</f>
        <v>Nối giảm PVC 114-90</v>
      </c>
      <c r="G1773" s="328" t="str">
        <f>VLOOKUP(B1773,DONGIA,DG!$D$6,0)</f>
        <v>cái</v>
      </c>
      <c r="H1773" s="329"/>
      <c r="I1773" s="329">
        <f>VLOOKUP(B1773,DONGIA,DG!$E$6,0)</f>
        <v>52800</v>
      </c>
      <c r="J1773" s="329"/>
      <c r="K1773" s="329">
        <f>VLOOKUP(B1773,DONGIA,DG!$F$6,0)</f>
        <v>0</v>
      </c>
      <c r="L1773" s="329">
        <f>VLOOKUP(B1773,DONGIA,DG!$G$6,0)</f>
        <v>0</v>
      </c>
      <c r="M1773" s="329">
        <f t="shared" si="447"/>
        <v>0</v>
      </c>
      <c r="N1773" s="329">
        <f t="shared" si="448"/>
        <v>0</v>
      </c>
      <c r="O1773" s="329">
        <f t="shared" si="449"/>
        <v>0</v>
      </c>
      <c r="P1773" s="329">
        <f t="shared" si="450"/>
        <v>0</v>
      </c>
      <c r="Q1773" s="329"/>
      <c r="S1773" s="332">
        <f t="shared" si="417"/>
        <v>0</v>
      </c>
      <c r="T1773" s="332">
        <f t="shared" si="426"/>
        <v>0</v>
      </c>
    </row>
    <row r="1774" spans="2:20">
      <c r="B1774" s="332" t="s">
        <v>1189</v>
      </c>
      <c r="C1774" s="333">
        <f t="shared" si="425"/>
        <v>1</v>
      </c>
      <c r="D1774" s="328"/>
      <c r="E1774" s="328">
        <f>VLOOKUP(B1774,DONGIA,DG!$B$6,0)</f>
        <v>0</v>
      </c>
      <c r="F1774" s="779" t="str">
        <f>VLOOKUP(B1774,DONGIA,DG!$C$6,0)</f>
        <v>Co 135 độ PVC 114</v>
      </c>
      <c r="G1774" s="328" t="str">
        <f>VLOOKUP(B1774,DONGIA,DG!$D$6,0)</f>
        <v>cái</v>
      </c>
      <c r="H1774" s="329">
        <v>1</v>
      </c>
      <c r="I1774" s="329">
        <f>VLOOKUP(B1774,DONGIA,DG!$E$6,0)</f>
        <v>70800</v>
      </c>
      <c r="J1774" s="329"/>
      <c r="K1774" s="329">
        <f>VLOOKUP(B1774,DONGIA,DG!$F$6,0)</f>
        <v>0</v>
      </c>
      <c r="L1774" s="329">
        <f>VLOOKUP(B1774,DONGIA,DG!$G$6,0)</f>
        <v>0</v>
      </c>
      <c r="M1774" s="329">
        <f t="shared" si="447"/>
        <v>70800</v>
      </c>
      <c r="N1774" s="329">
        <f t="shared" si="448"/>
        <v>0</v>
      </c>
      <c r="O1774" s="329">
        <f t="shared" si="449"/>
        <v>0</v>
      </c>
      <c r="P1774" s="329">
        <f t="shared" si="450"/>
        <v>0</v>
      </c>
      <c r="Q1774" s="329"/>
      <c r="S1774" s="332">
        <f t="shared" ref="S1774:S1780" si="451">IFERROR(VLOOKUP(B1774,DONGIA,$S$25,0),0)</f>
        <v>0</v>
      </c>
      <c r="T1774" s="332">
        <f t="shared" si="426"/>
        <v>0</v>
      </c>
    </row>
    <row r="1775" spans="2:20" hidden="1">
      <c r="B1775" s="332" t="s">
        <v>1914</v>
      </c>
      <c r="C1775" s="333">
        <f t="shared" si="425"/>
        <v>0</v>
      </c>
      <c r="D1775" s="328"/>
      <c r="E1775" s="328">
        <f>VLOOKUP(B1775,DONGIA,DG!$B$6,0)</f>
        <v>0</v>
      </c>
      <c r="F1775" s="329" t="str">
        <f>VLOOKUP(B1775,DONGIA,DG!$C$6,0)</f>
        <v>Keo dán ống PVC (100gr)</v>
      </c>
      <c r="G1775" s="328" t="str">
        <f>VLOOKUP(B1775,DONGIA,DG!$D$6,0)</f>
        <v>tuýp</v>
      </c>
      <c r="H1775" s="329"/>
      <c r="I1775" s="329">
        <f>VLOOKUP(B1775,DONGIA,DG!$E$6,0)</f>
        <v>11500</v>
      </c>
      <c r="J1775" s="329"/>
      <c r="K1775" s="329">
        <f>VLOOKUP(B1775,DONGIA,DG!$F$6,0)</f>
        <v>0</v>
      </c>
      <c r="L1775" s="329">
        <f>VLOOKUP(B1775,DONGIA,DG!$G$6,0)</f>
        <v>0</v>
      </c>
      <c r="M1775" s="329">
        <f t="shared" si="447"/>
        <v>0</v>
      </c>
      <c r="N1775" s="329">
        <f t="shared" si="448"/>
        <v>0</v>
      </c>
      <c r="O1775" s="329">
        <f t="shared" si="449"/>
        <v>0</v>
      </c>
      <c r="P1775" s="329">
        <f t="shared" si="450"/>
        <v>0</v>
      </c>
      <c r="Q1775" s="329"/>
      <c r="S1775" s="332">
        <f t="shared" si="451"/>
        <v>0</v>
      </c>
      <c r="T1775" s="332">
        <f t="shared" si="426"/>
        <v>0</v>
      </c>
    </row>
    <row r="1776" spans="2:20">
      <c r="B1776" s="332" t="s">
        <v>1639</v>
      </c>
      <c r="C1776" s="333">
        <f t="shared" si="425"/>
        <v>1</v>
      </c>
      <c r="D1776" s="328"/>
      <c r="E1776" s="328">
        <f>VLOOKUP(B1776,DONGIA,DG!$B$6,0)</f>
        <v>0</v>
      </c>
      <c r="F1776" s="779" t="str">
        <f>VLOOKUP(B1776,DONGIA,DG!$C$6,0)&amp;" bịt miệng ống"</f>
        <v>Xi măng bịt miệng ống</v>
      </c>
      <c r="G1776" s="328" t="str">
        <f>VLOOKUP(B1776,DONGIA,DG!$D$6,0)</f>
        <v>kg</v>
      </c>
      <c r="H1776" s="489">
        <f>H1755*0.5</f>
        <v>1</v>
      </c>
      <c r="I1776" s="329">
        <f>VLOOKUP(B1776,DONGIA,DG!$E$6,0)</f>
        <v>1760</v>
      </c>
      <c r="J1776" s="329"/>
      <c r="K1776" s="329">
        <f>VLOOKUP(B1776,DONGIA,DG!$F$6,0)</f>
        <v>0</v>
      </c>
      <c r="L1776" s="329">
        <f>VLOOKUP(B1776,DONGIA,DG!$G$6,0)</f>
        <v>0</v>
      </c>
      <c r="M1776" s="329">
        <f t="shared" si="447"/>
        <v>1760</v>
      </c>
      <c r="N1776" s="329">
        <f t="shared" si="448"/>
        <v>0</v>
      </c>
      <c r="O1776" s="329">
        <f t="shared" si="449"/>
        <v>0</v>
      </c>
      <c r="P1776" s="329">
        <f t="shared" si="450"/>
        <v>0</v>
      </c>
      <c r="Q1776" s="329"/>
      <c r="S1776" s="332">
        <f t="shared" si="451"/>
        <v>1</v>
      </c>
      <c r="T1776" s="332">
        <f t="shared" si="426"/>
        <v>1</v>
      </c>
    </row>
    <row r="1777" spans="2:20" hidden="1">
      <c r="B1777" s="332" t="s">
        <v>1193</v>
      </c>
      <c r="C1777" s="333">
        <f t="shared" si="425"/>
        <v>0</v>
      </c>
      <c r="D1777" s="328"/>
      <c r="E1777" s="328">
        <f>VLOOKUP(B1777,DONGIA,DG!$B$6,0)</f>
        <v>0</v>
      </c>
      <c r="F1777" s="329" t="str">
        <f>VLOOKUP(B1777,DONGIA,DG!$C$6,0)</f>
        <v>Băng keo cách điện</v>
      </c>
      <c r="G1777" s="328" t="str">
        <f>VLOOKUP(B1777,DONGIA,DG!$D$6,0)</f>
        <v>cuộn</v>
      </c>
      <c r="H1777" s="329"/>
      <c r="I1777" s="329">
        <f>VLOOKUP(B1777,DONGIA,DG!$E$6,0)</f>
        <v>6500</v>
      </c>
      <c r="J1777" s="329"/>
      <c r="K1777" s="329">
        <f>VLOOKUP(B1777,DONGIA,DG!$F$6,0)</f>
        <v>0</v>
      </c>
      <c r="L1777" s="329">
        <f>VLOOKUP(B1777,DONGIA,DG!$G$6,0)</f>
        <v>0</v>
      </c>
      <c r="M1777" s="329">
        <f t="shared" si="447"/>
        <v>0</v>
      </c>
      <c r="N1777" s="329">
        <f t="shared" si="448"/>
        <v>0</v>
      </c>
      <c r="O1777" s="329">
        <f t="shared" si="449"/>
        <v>0</v>
      </c>
      <c r="P1777" s="329">
        <f t="shared" si="450"/>
        <v>0</v>
      </c>
      <c r="Q1777" s="329"/>
      <c r="S1777" s="332">
        <f t="shared" si="451"/>
        <v>0</v>
      </c>
      <c r="T1777" s="332">
        <f t="shared" si="426"/>
        <v>0</v>
      </c>
    </row>
    <row r="1778" spans="2:20">
      <c r="B1778" s="332" t="s">
        <v>857</v>
      </c>
      <c r="C1778" s="333">
        <f t="shared" si="425"/>
        <v>1</v>
      </c>
      <c r="D1778" s="328"/>
      <c r="E1778" s="328" t="str">
        <f>VLOOKUP(B1778,DONGIA,DG!$B$6,0)</f>
        <v>T4.8003</v>
      </c>
      <c r="F1778" s="779" t="str">
        <f>VLOOKUP(B1778,DONGIA,DG!$C$6,0)</f>
        <v>Lắp ống nhựa PVC D114</v>
      </c>
      <c r="G1778" s="328" t="str">
        <f>VLOOKUP(B1778,DONGIA,DG!$D$6,0)</f>
        <v>mét</v>
      </c>
      <c r="H1778" s="489">
        <f>H1768</f>
        <v>5.5</v>
      </c>
      <c r="I1778" s="329">
        <f>VLOOKUP(B1778,DONGIA,DG!$E$6,0)</f>
        <v>0</v>
      </c>
      <c r="J1778" s="329"/>
      <c r="K1778" s="329">
        <f>VLOOKUP(B1778,DONGIA,DG!$F$6,0)</f>
        <v>35541</v>
      </c>
      <c r="L1778" s="329">
        <f>VLOOKUP(B1778,DONGIA,DG!$G$6,0)</f>
        <v>0</v>
      </c>
      <c r="M1778" s="329">
        <f t="shared" si="447"/>
        <v>0</v>
      </c>
      <c r="N1778" s="329">
        <f t="shared" si="448"/>
        <v>0</v>
      </c>
      <c r="O1778" s="329">
        <f t="shared" si="449"/>
        <v>195475.5</v>
      </c>
      <c r="P1778" s="329">
        <f t="shared" si="450"/>
        <v>0</v>
      </c>
      <c r="Q1778" s="329"/>
      <c r="S1778" s="332">
        <f t="shared" si="451"/>
        <v>0</v>
      </c>
      <c r="T1778" s="332">
        <f t="shared" si="426"/>
        <v>0</v>
      </c>
    </row>
    <row r="1779" spans="2:20">
      <c r="B1779" s="332" t="s">
        <v>1939</v>
      </c>
      <c r="C1779" s="333">
        <f t="shared" si="425"/>
        <v>1</v>
      </c>
      <c r="D1779" s="328"/>
      <c r="E1779" s="328" t="str">
        <f>VLOOKUP(B1779,DONGIA,DG!$B$6,0)</f>
        <v>T4.4201</v>
      </c>
      <c r="F1779" s="779" t="str">
        <f>VLOOKUP(B1779,DONGIA,DG!$C$6,0)</f>
        <v>Lắp cáp đồng xuống thiết bị D ≤ 95mm2</v>
      </c>
      <c r="G1779" s="328" t="str">
        <f>VLOOKUP(B1779,DONGIA,DG!$D$6,0)</f>
        <v>m</v>
      </c>
      <c r="H1779" s="489">
        <f>H1759+H1761</f>
        <v>14.5</v>
      </c>
      <c r="I1779" s="329">
        <f>VLOOKUP(B1779,DONGIA,DG!$E$6,0)</f>
        <v>0</v>
      </c>
      <c r="J1779" s="329"/>
      <c r="K1779" s="329">
        <f>VLOOKUP(B1779,DONGIA,DG!$F$6,0)</f>
        <v>11847</v>
      </c>
      <c r="L1779" s="329">
        <f>VLOOKUP(B1779,DONGIA,DG!$G$6,0)</f>
        <v>0</v>
      </c>
      <c r="M1779" s="329">
        <f t="shared" si="447"/>
        <v>0</v>
      </c>
      <c r="N1779" s="329">
        <f t="shared" si="448"/>
        <v>0</v>
      </c>
      <c r="O1779" s="329">
        <f t="shared" si="449"/>
        <v>171781.5</v>
      </c>
      <c r="P1779" s="329">
        <f t="shared" si="450"/>
        <v>0</v>
      </c>
      <c r="Q1779" s="329"/>
      <c r="S1779" s="332">
        <f t="shared" si="451"/>
        <v>0</v>
      </c>
      <c r="T1779" s="332">
        <f t="shared" si="426"/>
        <v>0</v>
      </c>
    </row>
    <row r="1780" spans="2:20">
      <c r="B1780" s="332" t="s">
        <v>2063</v>
      </c>
      <c r="C1780" s="333">
        <f t="shared" si="425"/>
        <v>1</v>
      </c>
      <c r="D1780" s="328"/>
      <c r="E1780" s="328" t="str">
        <f>VLOOKUP(B1780,DONGIA,DG!$B$6,0)</f>
        <v>T4.4202</v>
      </c>
      <c r="F1780" s="779" t="str">
        <f>VLOOKUP(B1780,DONGIA,DG!$C$6,0)</f>
        <v>Lắp cáp đồng xuống thiết bị D ≤ 150mm2</v>
      </c>
      <c r="G1780" s="328" t="str">
        <f>VLOOKUP(B1780,DONGIA,DG!$D$6,0)</f>
        <v>m</v>
      </c>
      <c r="H1780" s="489">
        <f>H1758+H1760</f>
        <v>28.5</v>
      </c>
      <c r="I1780" s="329"/>
      <c r="J1780" s="329"/>
      <c r="K1780" s="329">
        <f>VLOOKUP(B1780,DONGIA,DG!$F$6,0)</f>
        <v>28433</v>
      </c>
      <c r="L1780" s="329">
        <f>VLOOKUP(B1780,DONGIA,DG!$G$6,0)</f>
        <v>0</v>
      </c>
      <c r="M1780" s="329">
        <f t="shared" si="447"/>
        <v>0</v>
      </c>
      <c r="N1780" s="329">
        <f t="shared" si="448"/>
        <v>0</v>
      </c>
      <c r="O1780" s="329">
        <f t="shared" si="449"/>
        <v>810340.5</v>
      </c>
      <c r="P1780" s="329">
        <f t="shared" si="450"/>
        <v>0</v>
      </c>
      <c r="Q1780" s="329"/>
      <c r="S1780" s="332">
        <f t="shared" si="451"/>
        <v>0</v>
      </c>
      <c r="T1780" s="332">
        <f t="shared" si="426"/>
        <v>0</v>
      </c>
    </row>
    <row r="1781" spans="2:20" s="361" customFormat="1">
      <c r="C1781" s="374">
        <f>IF(SUM(C1782:C1798)&lt;&gt;0,1,)</f>
        <v>1</v>
      </c>
      <c r="D1781" s="555"/>
      <c r="E1781" s="555"/>
      <c r="F1781" s="782" t="s">
        <v>3875</v>
      </c>
      <c r="G1781" s="555"/>
      <c r="H1781" s="555">
        <v>1</v>
      </c>
      <c r="I1781" s="556"/>
      <c r="J1781" s="556"/>
      <c r="K1781" s="556"/>
      <c r="L1781" s="556"/>
      <c r="M1781" s="556"/>
      <c r="N1781" s="556"/>
      <c r="O1781" s="556"/>
      <c r="P1781" s="556"/>
      <c r="Q1781" s="556"/>
    </row>
    <row r="1782" spans="2:20">
      <c r="B1782" s="332" t="s">
        <v>1911</v>
      </c>
      <c r="C1782" s="333">
        <f t="shared" ref="C1782:C1802" si="452">IF(H1782&lt;&gt;0,1,)</f>
        <v>1</v>
      </c>
      <c r="D1782" s="328"/>
      <c r="E1782" s="328">
        <f>VLOOKUP(B1782,DONGIA,DG!$B$6,0)</f>
        <v>0</v>
      </c>
      <c r="F1782" s="779" t="str">
        <f>VLOOKUP(B1782,DONGIA,DG!$C$6,0)</f>
        <v>Cáp đồng bọc CV150</v>
      </c>
      <c r="G1782" s="328" t="str">
        <f>VLOOKUP(B1782,DONGIA,DG!$D$6,0)</f>
        <v>mét</v>
      </c>
      <c r="H1782" s="489">
        <f>H1781*3*9.5</f>
        <v>28.5</v>
      </c>
      <c r="I1782" s="329">
        <f>VLOOKUP(B1782,DONGIA,DG!$E$6,0)</f>
        <v>315870</v>
      </c>
      <c r="J1782" s="329"/>
      <c r="K1782" s="329">
        <f>VLOOKUP(B1782,DONGIA,DG!$F$6,0)</f>
        <v>0</v>
      </c>
      <c r="L1782" s="329">
        <f>VLOOKUP(B1782,DONGIA,DG!$G$6,0)</f>
        <v>0</v>
      </c>
      <c r="M1782" s="329">
        <f t="shared" ref="M1782:M1802" si="453">$H1782*I1782</f>
        <v>9002295</v>
      </c>
      <c r="N1782" s="329">
        <f t="shared" ref="N1782:N1802" si="454">$H1782*J1782</f>
        <v>0</v>
      </c>
      <c r="O1782" s="329">
        <f t="shared" ref="O1782:O1802" si="455">$H1782*K1782</f>
        <v>0</v>
      </c>
      <c r="P1782" s="329">
        <f t="shared" ref="P1782:P1802" si="456">$H1782*L1782</f>
        <v>0</v>
      </c>
      <c r="Q1782" s="329" t="s">
        <v>3498</v>
      </c>
      <c r="S1782" s="332">
        <f t="shared" ref="S1782:S1802" si="457">IFERROR(VLOOKUP(B1782,DONGIA,$S$25,0),0)</f>
        <v>1.5980000000000001</v>
      </c>
      <c r="T1782" s="332">
        <f t="shared" ref="T1782:T1802" si="458">H1782*S1782</f>
        <v>45.542999999999999</v>
      </c>
    </row>
    <row r="1783" spans="2:20">
      <c r="B1783" s="332" t="s">
        <v>1742</v>
      </c>
      <c r="C1783" s="333">
        <f t="shared" si="452"/>
        <v>1</v>
      </c>
      <c r="D1783" s="328"/>
      <c r="E1783" s="328">
        <f>VLOOKUP(B1783,DONGIA,DG!$B$6,0)</f>
        <v>0</v>
      </c>
      <c r="F1783" s="779" t="str">
        <f>VLOOKUP(B1783,DONGIA,DG!$C$6,0)</f>
        <v>Cáp đồng bọc CV95</v>
      </c>
      <c r="G1783" s="328" t="str">
        <f>VLOOKUP(B1783,DONGIA,DG!$D$6,0)</f>
        <v>mét</v>
      </c>
      <c r="H1783" s="489">
        <f>H1781*14.5</f>
        <v>14.5</v>
      </c>
      <c r="I1783" s="329">
        <f>VLOOKUP(B1783,DONGIA,DG!$E$6,0)</f>
        <v>196130</v>
      </c>
      <c r="J1783" s="329"/>
      <c r="K1783" s="329">
        <f>VLOOKUP(B1783,DONGIA,DG!$F$6,0)</f>
        <v>0</v>
      </c>
      <c r="L1783" s="329">
        <f>VLOOKUP(B1783,DONGIA,DG!$G$6,0)</f>
        <v>0</v>
      </c>
      <c r="M1783" s="329">
        <f t="shared" si="453"/>
        <v>2843885</v>
      </c>
      <c r="N1783" s="329">
        <f t="shared" si="454"/>
        <v>0</v>
      </c>
      <c r="O1783" s="329">
        <f t="shared" si="455"/>
        <v>0</v>
      </c>
      <c r="P1783" s="329">
        <f t="shared" si="456"/>
        <v>0</v>
      </c>
      <c r="Q1783" s="329" t="s">
        <v>3497</v>
      </c>
      <c r="S1783" s="332">
        <f t="shared" si="457"/>
        <v>1.008</v>
      </c>
      <c r="T1783" s="332">
        <f t="shared" si="458"/>
        <v>14.616</v>
      </c>
    </row>
    <row r="1784" spans="2:20">
      <c r="B1784" s="332" t="s">
        <v>3520</v>
      </c>
      <c r="C1784" s="333">
        <f t="shared" si="452"/>
        <v>1</v>
      </c>
      <c r="D1784" s="757"/>
      <c r="E1784" s="757">
        <f>VLOOKUP(B1784,DONGIA,DG!$B$6,0)</f>
        <v>0</v>
      </c>
      <c r="F1784" s="731" t="str">
        <f>VLOOKUP(B1784,DONGIA,DG!$C$6,0)</f>
        <v>Cáp điều khiển CVV 6x4,0mm2</v>
      </c>
      <c r="G1784" s="757" t="str">
        <f>VLOOKUP(B1784,DONGIA,DG!$D$6,0)</f>
        <v>mét</v>
      </c>
      <c r="H1784" s="483">
        <v>0.8</v>
      </c>
      <c r="I1784" s="362">
        <f>VLOOKUP(B1784,DONGIA,DG!$E$6,0)</f>
        <v>71600</v>
      </c>
      <c r="J1784" s="362"/>
      <c r="K1784" s="362">
        <f>VLOOKUP(B1784,DONGIA,DG!$F$6,0)</f>
        <v>0</v>
      </c>
      <c r="L1784" s="362">
        <f>VLOOKUP(B1784,DONGIA,DG!$G$6,0)</f>
        <v>0</v>
      </c>
      <c r="M1784" s="362">
        <f t="shared" si="453"/>
        <v>57280</v>
      </c>
      <c r="N1784" s="362">
        <f t="shared" si="454"/>
        <v>0</v>
      </c>
      <c r="O1784" s="362">
        <f t="shared" si="455"/>
        <v>0</v>
      </c>
      <c r="P1784" s="362">
        <f t="shared" si="456"/>
        <v>0</v>
      </c>
      <c r="Q1784" s="362"/>
      <c r="S1784" s="332">
        <f t="shared" si="457"/>
        <v>3.024</v>
      </c>
      <c r="T1784" s="332">
        <f t="shared" si="458"/>
        <v>2.4192</v>
      </c>
    </row>
    <row r="1785" spans="2:20">
      <c r="B1785" s="332" t="s">
        <v>1937</v>
      </c>
      <c r="C1785" s="333">
        <f>IF(H1785&lt;&gt;0,1,)</f>
        <v>1</v>
      </c>
      <c r="D1785" s="757"/>
      <c r="E1785" s="757">
        <f>VLOOKUP(B1785,DONGIA,DG!$B$6,0)</f>
        <v>0</v>
      </c>
      <c r="F1785" s="731" t="str">
        <f>VLOOKUP(B1785,DONGIA,DG!$C$6,0)</f>
        <v>Cáp điều khiển CVV 4x4,0mm2</v>
      </c>
      <c r="G1785" s="757" t="str">
        <f>VLOOKUP(B1785,DONGIA,DG!$D$6,0)</f>
        <v>mét</v>
      </c>
      <c r="H1785" s="483">
        <v>1.3</v>
      </c>
      <c r="I1785" s="362">
        <f>VLOOKUP(B1785,DONGIA,DG!$E$6,0)</f>
        <v>52400</v>
      </c>
      <c r="J1785" s="362"/>
      <c r="K1785" s="362">
        <f>VLOOKUP(B1785,DONGIA,DG!$F$6,0)</f>
        <v>0</v>
      </c>
      <c r="L1785" s="362">
        <f>VLOOKUP(B1785,DONGIA,DG!$G$6,0)</f>
        <v>0</v>
      </c>
      <c r="M1785" s="362">
        <f>$H1785*I1785</f>
        <v>68120</v>
      </c>
      <c r="N1785" s="362">
        <f>$H1785*J1785</f>
        <v>0</v>
      </c>
      <c r="O1785" s="362">
        <f>$H1785*K1785</f>
        <v>0</v>
      </c>
      <c r="P1785" s="362">
        <f>$H1785*L1785</f>
        <v>0</v>
      </c>
      <c r="Q1785" s="362"/>
      <c r="S1785" s="332">
        <f>IFERROR(VLOOKUP(B1785,DONGIA,$S$25,0),0)</f>
        <v>3.024</v>
      </c>
      <c r="T1785" s="332">
        <f>H1785*S1785</f>
        <v>3.9312</v>
      </c>
    </row>
    <row r="1786" spans="2:20">
      <c r="B1786" s="332" t="s">
        <v>1122</v>
      </c>
      <c r="C1786" s="333">
        <f t="shared" si="452"/>
        <v>1</v>
      </c>
      <c r="D1786" s="328"/>
      <c r="E1786" s="328"/>
      <c r="F1786" s="779" t="str">
        <f>VLOOKUP(B1786,DONGIA,DG!$C$6,0)</f>
        <v>Đầu cosse ép Cu 150mm2</v>
      </c>
      <c r="G1786" s="328" t="str">
        <f>VLOOKUP(B1786,DONGIA,DG!$D$6,0)</f>
        <v>cái</v>
      </c>
      <c r="H1786" s="329">
        <v>3</v>
      </c>
      <c r="I1786" s="329">
        <f>VLOOKUP(B1786,DONGIA,DG!$E$6,0)</f>
        <v>150000</v>
      </c>
      <c r="J1786" s="329"/>
      <c r="K1786" s="329"/>
      <c r="L1786" s="329"/>
      <c r="M1786" s="329">
        <f t="shared" si="453"/>
        <v>450000</v>
      </c>
      <c r="N1786" s="329">
        <f t="shared" si="454"/>
        <v>0</v>
      </c>
      <c r="O1786" s="329">
        <f t="shared" si="455"/>
        <v>0</v>
      </c>
      <c r="P1786" s="329">
        <f t="shared" si="456"/>
        <v>0</v>
      </c>
      <c r="Q1786" s="329"/>
      <c r="S1786" s="332">
        <f t="shared" si="457"/>
        <v>0.2</v>
      </c>
      <c r="T1786" s="332">
        <f t="shared" si="458"/>
        <v>0.60000000000000009</v>
      </c>
    </row>
    <row r="1787" spans="2:20">
      <c r="B1787" s="332" t="s">
        <v>1116</v>
      </c>
      <c r="C1787" s="333">
        <f t="shared" si="452"/>
        <v>1</v>
      </c>
      <c r="D1787" s="328"/>
      <c r="E1787" s="328" t="str">
        <f>VLOOKUP(B1787,DONGIA,DG!$B$6,0)</f>
        <v>D4.5004</v>
      </c>
      <c r="F1787" s="779" t="str">
        <f>VLOOKUP(B1787,DONGIA,DG!$C$6,0)</f>
        <v>Đầu cosse ép Cu 95mm2</v>
      </c>
      <c r="G1787" s="328" t="str">
        <f>VLOOKUP(B1787,DONGIA,DG!$D$6,0)</f>
        <v>cái</v>
      </c>
      <c r="H1787" s="329">
        <v>1</v>
      </c>
      <c r="I1787" s="329">
        <f>VLOOKUP(B1787,DONGIA,DG!$E$6,0)</f>
        <v>45000</v>
      </c>
      <c r="J1787" s="329"/>
      <c r="K1787" s="329">
        <f>VLOOKUP(B1787,DONGIA,DG!$F$6,0)</f>
        <v>18065</v>
      </c>
      <c r="L1787" s="329">
        <f>VLOOKUP(B1787,DONGIA,DG!$G$6,0)</f>
        <v>1767</v>
      </c>
      <c r="M1787" s="329">
        <f t="shared" si="453"/>
        <v>45000</v>
      </c>
      <c r="N1787" s="329">
        <f t="shared" si="454"/>
        <v>0</v>
      </c>
      <c r="O1787" s="329">
        <f t="shared" si="455"/>
        <v>18065</v>
      </c>
      <c r="P1787" s="329">
        <f t="shared" si="456"/>
        <v>1767</v>
      </c>
      <c r="Q1787" s="329"/>
      <c r="S1787" s="332">
        <f t="shared" si="457"/>
        <v>0.2</v>
      </c>
      <c r="T1787" s="332">
        <f t="shared" si="458"/>
        <v>0.2</v>
      </c>
    </row>
    <row r="1788" spans="2:20">
      <c r="B1788" s="332" t="s">
        <v>1153</v>
      </c>
      <c r="C1788" s="333">
        <f t="shared" si="452"/>
        <v>1</v>
      </c>
      <c r="D1788" s="328"/>
      <c r="E1788" s="328">
        <f>VLOOKUP(B1788,DONGIA,DG!$B$6,0)</f>
        <v>0</v>
      </c>
      <c r="F1788" s="779" t="str">
        <f>VLOOKUP(B1788,DONGIA,DG!$C$6,0)</f>
        <v>Chụp đầu cosse  150mm2</v>
      </c>
      <c r="G1788" s="328" t="str">
        <f>VLOOKUP(B1788,DONGIA,DG!$D$6,0)</f>
        <v>cái</v>
      </c>
      <c r="H1788" s="329">
        <f>H1786</f>
        <v>3</v>
      </c>
      <c r="I1788" s="329">
        <f>VLOOKUP(B1788,DONGIA,DG!$E$6,0)</f>
        <v>4000</v>
      </c>
      <c r="J1788" s="329"/>
      <c r="K1788" s="329">
        <f>VLOOKUP(B1788,DONGIA,DG!$F$6,0)</f>
        <v>0</v>
      </c>
      <c r="L1788" s="329">
        <f>VLOOKUP(B1788,DONGIA,DG!$G$6,0)</f>
        <v>0</v>
      </c>
      <c r="M1788" s="329">
        <f t="shared" si="453"/>
        <v>12000</v>
      </c>
      <c r="N1788" s="329">
        <f t="shared" si="454"/>
        <v>0</v>
      </c>
      <c r="O1788" s="329">
        <f t="shared" si="455"/>
        <v>0</v>
      </c>
      <c r="P1788" s="329">
        <f t="shared" si="456"/>
        <v>0</v>
      </c>
      <c r="Q1788" s="329"/>
      <c r="S1788" s="332">
        <f t="shared" si="457"/>
        <v>0</v>
      </c>
      <c r="T1788" s="332">
        <f t="shared" si="458"/>
        <v>0</v>
      </c>
    </row>
    <row r="1789" spans="2:20">
      <c r="B1789" s="332" t="s">
        <v>1149</v>
      </c>
      <c r="C1789" s="333">
        <f t="shared" si="452"/>
        <v>1</v>
      </c>
      <c r="D1789" s="328"/>
      <c r="E1789" s="328">
        <f>VLOOKUP(B1789,DONGIA,DG!$B$6,0)</f>
        <v>0</v>
      </c>
      <c r="F1789" s="779" t="str">
        <f>VLOOKUP(B1789,DONGIA,DG!$C$6,0)</f>
        <v>Chụp đầu cosse  95mm2</v>
      </c>
      <c r="G1789" s="328" t="str">
        <f>VLOOKUP(B1789,DONGIA,DG!$D$6,0)</f>
        <v>cái</v>
      </c>
      <c r="H1789" s="329">
        <f>H1787</f>
        <v>1</v>
      </c>
      <c r="I1789" s="329">
        <f>VLOOKUP(B1789,DONGIA,DG!$E$6,0)</f>
        <v>3000</v>
      </c>
      <c r="J1789" s="329"/>
      <c r="K1789" s="329">
        <f>VLOOKUP(B1789,DONGIA,DG!$F$6,0)</f>
        <v>0</v>
      </c>
      <c r="L1789" s="329">
        <f>VLOOKUP(B1789,DONGIA,DG!$G$6,0)</f>
        <v>0</v>
      </c>
      <c r="M1789" s="329">
        <f t="shared" si="453"/>
        <v>3000</v>
      </c>
      <c r="N1789" s="329">
        <f t="shared" si="454"/>
        <v>0</v>
      </c>
      <c r="O1789" s="329">
        <f t="shared" si="455"/>
        <v>0</v>
      </c>
      <c r="P1789" s="329">
        <f t="shared" si="456"/>
        <v>0</v>
      </c>
      <c r="Q1789" s="329"/>
      <c r="S1789" s="332">
        <f t="shared" si="457"/>
        <v>0</v>
      </c>
      <c r="T1789" s="332">
        <f t="shared" si="458"/>
        <v>0</v>
      </c>
    </row>
    <row r="1790" spans="2:20">
      <c r="B1790" s="332" t="s">
        <v>1175</v>
      </c>
      <c r="C1790" s="333">
        <f t="shared" si="452"/>
        <v>1</v>
      </c>
      <c r="D1790" s="328"/>
      <c r="E1790" s="328">
        <f>VLOOKUP(B1790,DONGIA,DG!$B$6,0)</f>
        <v>0</v>
      </c>
      <c r="F1790" s="779" t="str">
        <f>VLOOKUP(B1790,DONGIA,DG!$C$6,0)</f>
        <v xml:space="preserve">Ống PVC D114x4,9mm </v>
      </c>
      <c r="G1790" s="328" t="str">
        <f>VLOOKUP(B1790,DONGIA,DG!$D$6,0)</f>
        <v>m</v>
      </c>
      <c r="H1790" s="329">
        <v>5.5</v>
      </c>
      <c r="I1790" s="329">
        <f>VLOOKUP(B1790,DONGIA,DG!$E$6,0)</f>
        <v>102000</v>
      </c>
      <c r="J1790" s="329"/>
      <c r="K1790" s="329">
        <f>VLOOKUP(B1790,DONGIA,DG!$F$6,0)</f>
        <v>0</v>
      </c>
      <c r="L1790" s="329">
        <f>VLOOKUP(B1790,DONGIA,DG!$G$6,0)</f>
        <v>0</v>
      </c>
      <c r="M1790" s="329">
        <f t="shared" si="453"/>
        <v>561000</v>
      </c>
      <c r="N1790" s="329">
        <f t="shared" si="454"/>
        <v>0</v>
      </c>
      <c r="O1790" s="329">
        <f t="shared" si="455"/>
        <v>0</v>
      </c>
      <c r="P1790" s="329">
        <f t="shared" si="456"/>
        <v>0</v>
      </c>
      <c r="Q1790" s="329"/>
      <c r="S1790" s="332">
        <f t="shared" si="457"/>
        <v>2</v>
      </c>
      <c r="T1790" s="332">
        <f t="shared" si="458"/>
        <v>11</v>
      </c>
    </row>
    <row r="1791" spans="2:20">
      <c r="B1791" s="332" t="s">
        <v>456</v>
      </c>
      <c r="C1791" s="333">
        <f t="shared" si="452"/>
        <v>1</v>
      </c>
      <c r="D1791" s="328"/>
      <c r="E1791" s="328">
        <f>VLOOKUP(B1791,DONGIA,DG!$B$6,0)</f>
        <v>0</v>
      </c>
      <c r="F1791" s="779" t="str">
        <f>VLOOKUP(B1791,DONGIA,DG!$C$6,0)&amp;" (CD: 230)"</f>
        <v>Cổ dê kẹp ống PVC φ 114 (có giá nới) (CD: 230)</v>
      </c>
      <c r="G1791" s="328" t="str">
        <f>VLOOKUP(B1791,DONGIA,DG!$D$6,0)</f>
        <v>bộ</v>
      </c>
      <c r="H1791" s="329">
        <v>1</v>
      </c>
      <c r="I1791" s="329">
        <f>VLOOKUP(B1791,DONGIA,DG!$E$6,0)</f>
        <v>68000</v>
      </c>
      <c r="J1791" s="329"/>
      <c r="K1791" s="329"/>
      <c r="L1791" s="329">
        <f>VLOOKUP(B1791,DONGIA,DG!$G$6,0)</f>
        <v>0</v>
      </c>
      <c r="M1791" s="329">
        <f t="shared" si="453"/>
        <v>68000</v>
      </c>
      <c r="N1791" s="329">
        <f t="shared" si="454"/>
        <v>0</v>
      </c>
      <c r="O1791" s="329">
        <f t="shared" si="455"/>
        <v>0</v>
      </c>
      <c r="P1791" s="329">
        <f t="shared" si="456"/>
        <v>0</v>
      </c>
      <c r="Q1791" s="329"/>
      <c r="S1791" s="332">
        <f t="shared" si="457"/>
        <v>1.5</v>
      </c>
      <c r="T1791" s="332">
        <f t="shared" si="458"/>
        <v>1.5</v>
      </c>
    </row>
    <row r="1792" spans="2:20">
      <c r="B1792" s="332" t="s">
        <v>456</v>
      </c>
      <c r="C1792" s="333">
        <f t="shared" si="452"/>
        <v>1</v>
      </c>
      <c r="D1792" s="328"/>
      <c r="E1792" s="328">
        <f>VLOOKUP(B1792,DONGIA,DG!$B$6,0)</f>
        <v>0</v>
      </c>
      <c r="F1792" s="779" t="str">
        <f>VLOOKUP(B1792,DONGIA,DG!$C$6,0)&amp;" (CD: 250)"</f>
        <v>Cổ dê kẹp ống PVC φ 114 (có giá nới) (CD: 250)</v>
      </c>
      <c r="G1792" s="328" t="str">
        <f>VLOOKUP(B1792,DONGIA,DG!$D$6,0)</f>
        <v>bộ</v>
      </c>
      <c r="H1792" s="329">
        <v>1</v>
      </c>
      <c r="I1792" s="329">
        <f>VLOOKUP(B1792,DONGIA,DG!$E$6,0)</f>
        <v>68000</v>
      </c>
      <c r="J1792" s="329"/>
      <c r="K1792" s="329"/>
      <c r="L1792" s="329">
        <f>VLOOKUP(B1792,DONGIA,DG!$G$6,0)</f>
        <v>0</v>
      </c>
      <c r="M1792" s="329">
        <f t="shared" si="453"/>
        <v>68000</v>
      </c>
      <c r="N1792" s="329">
        <f t="shared" si="454"/>
        <v>0</v>
      </c>
      <c r="O1792" s="329">
        <f t="shared" si="455"/>
        <v>0</v>
      </c>
      <c r="P1792" s="329">
        <f t="shared" si="456"/>
        <v>0</v>
      </c>
      <c r="Q1792" s="329"/>
      <c r="S1792" s="332">
        <f t="shared" si="457"/>
        <v>1.5</v>
      </c>
      <c r="T1792" s="332">
        <f t="shared" si="458"/>
        <v>1.5</v>
      </c>
    </row>
    <row r="1793" spans="2:20">
      <c r="B1793" s="332" t="s">
        <v>456</v>
      </c>
      <c r="C1793" s="333">
        <f t="shared" si="452"/>
        <v>1</v>
      </c>
      <c r="D1793" s="328"/>
      <c r="E1793" s="328">
        <f>VLOOKUP(B1793,DONGIA,DG!$B$6,0)</f>
        <v>0</v>
      </c>
      <c r="F1793" s="779" t="str">
        <f>VLOOKUP(B1793,DONGIA,DG!$C$6,0)&amp;" (CD: 280)"</f>
        <v>Cổ dê kẹp ống PVC φ 114 (có giá nới) (CD: 280)</v>
      </c>
      <c r="G1793" s="328" t="str">
        <f>VLOOKUP(B1793,DONGIA,DG!$D$6,0)</f>
        <v>bộ</v>
      </c>
      <c r="H1793" s="329">
        <v>1</v>
      </c>
      <c r="I1793" s="329">
        <f>VLOOKUP(B1793,DONGIA,DG!$E$6,0)</f>
        <v>68000</v>
      </c>
      <c r="J1793" s="329"/>
      <c r="K1793" s="329"/>
      <c r="L1793" s="329">
        <f>VLOOKUP(B1793,DONGIA,DG!$G$6,0)</f>
        <v>0</v>
      </c>
      <c r="M1793" s="329">
        <f t="shared" si="453"/>
        <v>68000</v>
      </c>
      <c r="N1793" s="329">
        <f t="shared" si="454"/>
        <v>0</v>
      </c>
      <c r="O1793" s="329">
        <f t="shared" si="455"/>
        <v>0</v>
      </c>
      <c r="P1793" s="329">
        <f t="shared" si="456"/>
        <v>0</v>
      </c>
      <c r="Q1793" s="329"/>
      <c r="S1793" s="332">
        <f t="shared" si="457"/>
        <v>1.5</v>
      </c>
      <c r="T1793" s="332">
        <f t="shared" si="458"/>
        <v>1.5</v>
      </c>
    </row>
    <row r="1794" spans="2:20">
      <c r="B1794" s="332" t="s">
        <v>2957</v>
      </c>
      <c r="C1794" s="333">
        <f t="shared" si="452"/>
        <v>1</v>
      </c>
      <c r="D1794" s="328"/>
      <c r="E1794" s="328">
        <f>VLOOKUP(B1794,DONGIA,DG!$B$6,0)</f>
        <v>0</v>
      </c>
      <c r="F1794" s="779" t="str">
        <f>VLOOKUP(B1794,DONGIA,DG!$C$6,0)</f>
        <v>Co  90 độ PVC 114 (Loại dày)</v>
      </c>
      <c r="G1794" s="328" t="str">
        <f>VLOOKUP(B1794,DONGIA,DG!$D$6,0)</f>
        <v>cái</v>
      </c>
      <c r="H1794" s="329">
        <v>1</v>
      </c>
      <c r="I1794" s="329">
        <f>VLOOKUP(B1794,DONGIA,DG!$E$6,0)</f>
        <v>104800</v>
      </c>
      <c r="J1794" s="329"/>
      <c r="K1794" s="329">
        <f>VLOOKUP(B1794,DONGIA,DG!$F$6,0)</f>
        <v>0</v>
      </c>
      <c r="L1794" s="329">
        <f>VLOOKUP(B1794,DONGIA,DG!$G$6,0)</f>
        <v>0</v>
      </c>
      <c r="M1794" s="329">
        <f t="shared" si="453"/>
        <v>104800</v>
      </c>
      <c r="N1794" s="329">
        <f t="shared" si="454"/>
        <v>0</v>
      </c>
      <c r="O1794" s="329">
        <f t="shared" si="455"/>
        <v>0</v>
      </c>
      <c r="P1794" s="329">
        <f t="shared" si="456"/>
        <v>0</v>
      </c>
      <c r="Q1794" s="329"/>
      <c r="S1794" s="332">
        <f t="shared" si="457"/>
        <v>0</v>
      </c>
      <c r="T1794" s="332">
        <f t="shared" si="458"/>
        <v>0</v>
      </c>
    </row>
    <row r="1795" spans="2:20" hidden="1">
      <c r="B1795" s="332" t="s">
        <v>1940</v>
      </c>
      <c r="C1795" s="333">
        <f t="shared" si="452"/>
        <v>0</v>
      </c>
      <c r="D1795" s="328"/>
      <c r="E1795" s="328">
        <f>VLOOKUP(B1795,DONGIA,DG!$B$6,0)</f>
        <v>0</v>
      </c>
      <c r="F1795" s="329" t="str">
        <f>VLOOKUP(B1795,DONGIA,DG!$C$6,0)</f>
        <v>Nối giảm PVC 114-90</v>
      </c>
      <c r="G1795" s="328" t="str">
        <f>VLOOKUP(B1795,DONGIA,DG!$D$6,0)</f>
        <v>cái</v>
      </c>
      <c r="H1795" s="329"/>
      <c r="I1795" s="329">
        <f>VLOOKUP(B1795,DONGIA,DG!$E$6,0)</f>
        <v>52800</v>
      </c>
      <c r="J1795" s="329"/>
      <c r="K1795" s="329">
        <f>VLOOKUP(B1795,DONGIA,DG!$F$6,0)</f>
        <v>0</v>
      </c>
      <c r="L1795" s="329">
        <f>VLOOKUP(B1795,DONGIA,DG!$G$6,0)</f>
        <v>0</v>
      </c>
      <c r="M1795" s="329">
        <f t="shared" si="453"/>
        <v>0</v>
      </c>
      <c r="N1795" s="329">
        <f t="shared" si="454"/>
        <v>0</v>
      </c>
      <c r="O1795" s="329">
        <f t="shared" si="455"/>
        <v>0</v>
      </c>
      <c r="P1795" s="329">
        <f t="shared" si="456"/>
        <v>0</v>
      </c>
      <c r="Q1795" s="329"/>
      <c r="S1795" s="332">
        <f t="shared" si="457"/>
        <v>0</v>
      </c>
      <c r="T1795" s="332">
        <f t="shared" si="458"/>
        <v>0</v>
      </c>
    </row>
    <row r="1796" spans="2:20">
      <c r="B1796" s="332" t="s">
        <v>1189</v>
      </c>
      <c r="C1796" s="333">
        <f t="shared" si="452"/>
        <v>1</v>
      </c>
      <c r="D1796" s="328"/>
      <c r="E1796" s="328">
        <f>VLOOKUP(B1796,DONGIA,DG!$B$6,0)</f>
        <v>0</v>
      </c>
      <c r="F1796" s="779" t="str">
        <f>VLOOKUP(B1796,DONGIA,DG!$C$6,0)</f>
        <v>Co 135 độ PVC 114</v>
      </c>
      <c r="G1796" s="328" t="str">
        <f>VLOOKUP(B1796,DONGIA,DG!$D$6,0)</f>
        <v>cái</v>
      </c>
      <c r="H1796" s="329">
        <v>1</v>
      </c>
      <c r="I1796" s="329">
        <f>VLOOKUP(B1796,DONGIA,DG!$E$6,0)</f>
        <v>70800</v>
      </c>
      <c r="J1796" s="329"/>
      <c r="K1796" s="329">
        <f>VLOOKUP(B1796,DONGIA,DG!$F$6,0)</f>
        <v>0</v>
      </c>
      <c r="L1796" s="329">
        <f>VLOOKUP(B1796,DONGIA,DG!$G$6,0)</f>
        <v>0</v>
      </c>
      <c r="M1796" s="329">
        <f t="shared" si="453"/>
        <v>70800</v>
      </c>
      <c r="N1796" s="329">
        <f t="shared" si="454"/>
        <v>0</v>
      </c>
      <c r="O1796" s="329">
        <f t="shared" si="455"/>
        <v>0</v>
      </c>
      <c r="P1796" s="329">
        <f t="shared" si="456"/>
        <v>0</v>
      </c>
      <c r="Q1796" s="329"/>
      <c r="S1796" s="332">
        <f t="shared" si="457"/>
        <v>0</v>
      </c>
      <c r="T1796" s="332">
        <f t="shared" si="458"/>
        <v>0</v>
      </c>
    </row>
    <row r="1797" spans="2:20" hidden="1">
      <c r="B1797" s="332" t="s">
        <v>1914</v>
      </c>
      <c r="C1797" s="333">
        <f t="shared" si="452"/>
        <v>0</v>
      </c>
      <c r="D1797" s="328"/>
      <c r="E1797" s="328">
        <f>VLOOKUP(B1797,DONGIA,DG!$B$6,0)</f>
        <v>0</v>
      </c>
      <c r="F1797" s="329" t="str">
        <f>VLOOKUP(B1797,DONGIA,DG!$C$6,0)</f>
        <v>Keo dán ống PVC (100gr)</v>
      </c>
      <c r="G1797" s="328" t="str">
        <f>VLOOKUP(B1797,DONGIA,DG!$D$6,0)</f>
        <v>tuýp</v>
      </c>
      <c r="H1797" s="329"/>
      <c r="I1797" s="329">
        <f>VLOOKUP(B1797,DONGIA,DG!$E$6,0)</f>
        <v>11500</v>
      </c>
      <c r="J1797" s="329"/>
      <c r="K1797" s="329">
        <f>VLOOKUP(B1797,DONGIA,DG!$F$6,0)</f>
        <v>0</v>
      </c>
      <c r="L1797" s="329">
        <f>VLOOKUP(B1797,DONGIA,DG!$G$6,0)</f>
        <v>0</v>
      </c>
      <c r="M1797" s="329">
        <f t="shared" si="453"/>
        <v>0</v>
      </c>
      <c r="N1797" s="329">
        <f t="shared" si="454"/>
        <v>0</v>
      </c>
      <c r="O1797" s="329">
        <f t="shared" si="455"/>
        <v>0</v>
      </c>
      <c r="P1797" s="329">
        <f t="shared" si="456"/>
        <v>0</v>
      </c>
      <c r="Q1797" s="329"/>
      <c r="S1797" s="332">
        <f t="shared" si="457"/>
        <v>0</v>
      </c>
      <c r="T1797" s="332">
        <f t="shared" si="458"/>
        <v>0</v>
      </c>
    </row>
    <row r="1798" spans="2:20">
      <c r="B1798" s="332" t="s">
        <v>1639</v>
      </c>
      <c r="C1798" s="333">
        <f t="shared" si="452"/>
        <v>1</v>
      </c>
      <c r="D1798" s="328"/>
      <c r="E1798" s="328">
        <f>VLOOKUP(B1798,DONGIA,DG!$B$6,0)</f>
        <v>0</v>
      </c>
      <c r="F1798" s="779" t="str">
        <f>VLOOKUP(B1798,DONGIA,DG!$C$6,0)&amp;" bịt miệng ống"</f>
        <v>Xi măng bịt miệng ống</v>
      </c>
      <c r="G1798" s="328" t="str">
        <f>VLOOKUP(B1798,DONGIA,DG!$D$6,0)</f>
        <v>kg</v>
      </c>
      <c r="H1798" s="489">
        <v>1</v>
      </c>
      <c r="I1798" s="329">
        <f>VLOOKUP(B1798,DONGIA,DG!$E$6,0)</f>
        <v>1760</v>
      </c>
      <c r="J1798" s="329"/>
      <c r="K1798" s="329">
        <f>VLOOKUP(B1798,DONGIA,DG!$F$6,0)</f>
        <v>0</v>
      </c>
      <c r="L1798" s="329">
        <f>VLOOKUP(B1798,DONGIA,DG!$G$6,0)</f>
        <v>0</v>
      </c>
      <c r="M1798" s="329">
        <f t="shared" si="453"/>
        <v>1760</v>
      </c>
      <c r="N1798" s="329">
        <f t="shared" si="454"/>
        <v>0</v>
      </c>
      <c r="O1798" s="329">
        <f t="shared" si="455"/>
        <v>0</v>
      </c>
      <c r="P1798" s="329">
        <f t="shared" si="456"/>
        <v>0</v>
      </c>
      <c r="Q1798" s="329"/>
      <c r="S1798" s="332">
        <f t="shared" si="457"/>
        <v>1</v>
      </c>
      <c r="T1798" s="332">
        <f t="shared" si="458"/>
        <v>1</v>
      </c>
    </row>
    <row r="1799" spans="2:20" hidden="1">
      <c r="B1799" s="332" t="s">
        <v>1193</v>
      </c>
      <c r="C1799" s="333">
        <f t="shared" si="452"/>
        <v>0</v>
      </c>
      <c r="D1799" s="328"/>
      <c r="E1799" s="328">
        <f>VLOOKUP(B1799,DONGIA,DG!$B$6,0)</f>
        <v>0</v>
      </c>
      <c r="F1799" s="329" t="str">
        <f>VLOOKUP(B1799,DONGIA,DG!$C$6,0)</f>
        <v>Băng keo cách điện</v>
      </c>
      <c r="G1799" s="328" t="str">
        <f>VLOOKUP(B1799,DONGIA,DG!$D$6,0)</f>
        <v>cuộn</v>
      </c>
      <c r="H1799" s="329"/>
      <c r="I1799" s="329">
        <f>VLOOKUP(B1799,DONGIA,DG!$E$6,0)</f>
        <v>6500</v>
      </c>
      <c r="J1799" s="329"/>
      <c r="K1799" s="329">
        <f>VLOOKUP(B1799,DONGIA,DG!$F$6,0)</f>
        <v>0</v>
      </c>
      <c r="L1799" s="329">
        <f>VLOOKUP(B1799,DONGIA,DG!$G$6,0)</f>
        <v>0</v>
      </c>
      <c r="M1799" s="329">
        <f t="shared" si="453"/>
        <v>0</v>
      </c>
      <c r="N1799" s="329">
        <f t="shared" si="454"/>
        <v>0</v>
      </c>
      <c r="O1799" s="329">
        <f t="shared" si="455"/>
        <v>0</v>
      </c>
      <c r="P1799" s="329">
        <f t="shared" si="456"/>
        <v>0</v>
      </c>
      <c r="Q1799" s="329"/>
      <c r="S1799" s="332">
        <f t="shared" si="457"/>
        <v>0</v>
      </c>
      <c r="T1799" s="332">
        <f t="shared" si="458"/>
        <v>0</v>
      </c>
    </row>
    <row r="1800" spans="2:20">
      <c r="B1800" s="332" t="s">
        <v>857</v>
      </c>
      <c r="C1800" s="333">
        <f t="shared" si="452"/>
        <v>1</v>
      </c>
      <c r="D1800" s="328"/>
      <c r="E1800" s="328" t="str">
        <f>VLOOKUP(B1800,DONGIA,DG!$B$6,0)</f>
        <v>T4.8003</v>
      </c>
      <c r="F1800" s="779" t="str">
        <f>VLOOKUP(B1800,DONGIA,DG!$C$6,0)</f>
        <v>Lắp ống nhựa PVC D114</v>
      </c>
      <c r="G1800" s="328" t="str">
        <f>VLOOKUP(B1800,DONGIA,DG!$D$6,0)</f>
        <v>mét</v>
      </c>
      <c r="H1800" s="329">
        <f>H1790</f>
        <v>5.5</v>
      </c>
      <c r="I1800" s="329">
        <f>VLOOKUP(B1800,DONGIA,DG!$E$6,0)</f>
        <v>0</v>
      </c>
      <c r="J1800" s="329"/>
      <c r="K1800" s="329">
        <f>VLOOKUP(B1800,DONGIA,DG!$F$6,0)</f>
        <v>35541</v>
      </c>
      <c r="L1800" s="329">
        <f>VLOOKUP(B1800,DONGIA,DG!$G$6,0)</f>
        <v>0</v>
      </c>
      <c r="M1800" s="329">
        <f t="shared" si="453"/>
        <v>0</v>
      </c>
      <c r="N1800" s="329">
        <f t="shared" si="454"/>
        <v>0</v>
      </c>
      <c r="O1800" s="329">
        <f t="shared" si="455"/>
        <v>195475.5</v>
      </c>
      <c r="P1800" s="329">
        <f t="shared" si="456"/>
        <v>0</v>
      </c>
      <c r="Q1800" s="329"/>
      <c r="S1800" s="332">
        <f t="shared" si="457"/>
        <v>0</v>
      </c>
      <c r="T1800" s="332">
        <f t="shared" si="458"/>
        <v>0</v>
      </c>
    </row>
    <row r="1801" spans="2:20">
      <c r="B1801" s="332" t="s">
        <v>1939</v>
      </c>
      <c r="C1801" s="333">
        <f t="shared" si="452"/>
        <v>1</v>
      </c>
      <c r="D1801" s="328"/>
      <c r="E1801" s="328" t="str">
        <f>VLOOKUP(B1801,DONGIA,DG!$B$6,0)</f>
        <v>T4.4201</v>
      </c>
      <c r="F1801" s="779" t="str">
        <f>VLOOKUP(B1801,DONGIA,DG!$C$6,0)</f>
        <v>Lắp cáp đồng xuống thiết bị D ≤ 95mm2</v>
      </c>
      <c r="G1801" s="328" t="str">
        <f>VLOOKUP(B1801,DONGIA,DG!$D$6,0)</f>
        <v>m</v>
      </c>
      <c r="H1801" s="329">
        <f>H1783</f>
        <v>14.5</v>
      </c>
      <c r="I1801" s="329">
        <f>VLOOKUP(B1801,DONGIA,DG!$E$6,0)</f>
        <v>0</v>
      </c>
      <c r="J1801" s="329"/>
      <c r="K1801" s="329">
        <f>VLOOKUP(B1801,DONGIA,DG!$F$6,0)</f>
        <v>11847</v>
      </c>
      <c r="L1801" s="329">
        <f>VLOOKUP(B1801,DONGIA,DG!$G$6,0)</f>
        <v>0</v>
      </c>
      <c r="M1801" s="329">
        <f t="shared" si="453"/>
        <v>0</v>
      </c>
      <c r="N1801" s="329">
        <f t="shared" si="454"/>
        <v>0</v>
      </c>
      <c r="O1801" s="329">
        <f t="shared" si="455"/>
        <v>171781.5</v>
      </c>
      <c r="P1801" s="329">
        <f t="shared" si="456"/>
        <v>0</v>
      </c>
      <c r="Q1801" s="329"/>
      <c r="S1801" s="332">
        <f t="shared" si="457"/>
        <v>0</v>
      </c>
      <c r="T1801" s="332">
        <f t="shared" si="458"/>
        <v>0</v>
      </c>
    </row>
    <row r="1802" spans="2:20">
      <c r="B1802" s="332" t="s">
        <v>2063</v>
      </c>
      <c r="C1802" s="333">
        <f t="shared" si="452"/>
        <v>1</v>
      </c>
      <c r="D1802" s="328"/>
      <c r="E1802" s="328" t="str">
        <f>VLOOKUP(B1802,DONGIA,DG!$B$6,0)</f>
        <v>T4.4202</v>
      </c>
      <c r="F1802" s="779" t="str">
        <f>VLOOKUP(B1802,DONGIA,DG!$C$6,0)</f>
        <v>Lắp cáp đồng xuống thiết bị D ≤ 150mm2</v>
      </c>
      <c r="G1802" s="328" t="str">
        <f>VLOOKUP(B1802,DONGIA,DG!$D$6,0)</f>
        <v>m</v>
      </c>
      <c r="H1802" s="329">
        <f>H1782</f>
        <v>28.5</v>
      </c>
      <c r="I1802" s="329"/>
      <c r="J1802" s="329"/>
      <c r="K1802" s="329">
        <f>VLOOKUP(B1802,DONGIA,DG!$F$6,0)</f>
        <v>28433</v>
      </c>
      <c r="L1802" s="329">
        <f>VLOOKUP(B1802,DONGIA,DG!$G$6,0)</f>
        <v>0</v>
      </c>
      <c r="M1802" s="329">
        <f t="shared" si="453"/>
        <v>0</v>
      </c>
      <c r="N1802" s="329">
        <f t="shared" si="454"/>
        <v>0</v>
      </c>
      <c r="O1802" s="329">
        <f t="shared" si="455"/>
        <v>810340.5</v>
      </c>
      <c r="P1802" s="329">
        <f t="shared" si="456"/>
        <v>0</v>
      </c>
      <c r="Q1802" s="329"/>
      <c r="S1802" s="332">
        <f t="shared" si="457"/>
        <v>0</v>
      </c>
      <c r="T1802" s="332">
        <f t="shared" si="458"/>
        <v>0</v>
      </c>
    </row>
    <row r="1803" spans="2:20">
      <c r="C1803" s="333">
        <f t="shared" si="425"/>
        <v>1</v>
      </c>
      <c r="D1803" s="372">
        <f>IF(H1803&lt;&gt;0,D1755+1,D1755)</f>
        <v>8</v>
      </c>
      <c r="E1803" s="372"/>
      <c r="F1803" s="780" t="s">
        <v>1938</v>
      </c>
      <c r="G1803" s="372" t="s">
        <v>138</v>
      </c>
      <c r="H1803" s="372">
        <f>TRNC2X75*2</f>
        <v>4</v>
      </c>
      <c r="I1803" s="373"/>
      <c r="J1803" s="373"/>
      <c r="K1803" s="373"/>
      <c r="L1803" s="373"/>
      <c r="M1803" s="373"/>
      <c r="N1803" s="373"/>
      <c r="O1803" s="373"/>
      <c r="P1803" s="373"/>
      <c r="Q1803" s="373"/>
      <c r="S1803" s="332">
        <f>IFERROR(VLOOKUP(B1803,DONGIA,$S$25,0),0)</f>
        <v>0</v>
      </c>
      <c r="T1803" s="332">
        <f t="shared" si="426"/>
        <v>0</v>
      </c>
    </row>
    <row r="1804" spans="2:20" s="361" customFormat="1" hidden="1">
      <c r="C1804" s="374">
        <f t="shared" si="425"/>
        <v>0</v>
      </c>
      <c r="D1804" s="350"/>
      <c r="E1804" s="350"/>
      <c r="F1804" s="351" t="s">
        <v>1902</v>
      </c>
      <c r="G1804" s="350"/>
      <c r="H1804" s="351"/>
      <c r="I1804" s="351"/>
      <c r="J1804" s="351"/>
      <c r="K1804" s="351"/>
      <c r="L1804" s="351"/>
      <c r="M1804" s="351"/>
      <c r="N1804" s="351"/>
      <c r="O1804" s="351"/>
      <c r="P1804" s="351"/>
      <c r="Q1804" s="351"/>
      <c r="S1804" s="361">
        <f>IFERROR(VLOOKUP(B1804,DONGIA,$S$25,0),0)</f>
        <v>0</v>
      </c>
      <c r="T1804" s="361">
        <f t="shared" si="426"/>
        <v>0</v>
      </c>
    </row>
    <row r="1805" spans="2:20" s="361" customFormat="1">
      <c r="C1805" s="374">
        <f>IF(SUM(C1806:C1824)&lt;&gt;0,1,)</f>
        <v>1</v>
      </c>
      <c r="D1805" s="555"/>
      <c r="E1805" s="555"/>
      <c r="F1805" s="782" t="s">
        <v>3872</v>
      </c>
      <c r="G1805" s="555"/>
      <c r="H1805" s="555">
        <v>1</v>
      </c>
      <c r="I1805" s="556"/>
      <c r="J1805" s="556"/>
      <c r="K1805" s="556"/>
      <c r="L1805" s="556"/>
      <c r="M1805" s="556"/>
      <c r="N1805" s="556"/>
      <c r="O1805" s="556"/>
      <c r="P1805" s="556"/>
      <c r="Q1805" s="556"/>
    </row>
    <row r="1806" spans="2:20">
      <c r="B1806" s="332" t="s">
        <v>1908</v>
      </c>
      <c r="C1806" s="333">
        <f>IF(H1806&lt;&gt;0,1,)</f>
        <v>1</v>
      </c>
      <c r="D1806" s="328"/>
      <c r="E1806" s="328">
        <f>VLOOKUP(B1806,DONGIA,DG!$B$6,0)</f>
        <v>0</v>
      </c>
      <c r="F1806" s="779" t="str">
        <f>VLOOKUP(B1806,DONGIA,DG!$C$6,0)&amp;" (SDL)"</f>
        <v>Cáp đồng bọc CV120 (SDL)</v>
      </c>
      <c r="G1806" s="328" t="str">
        <f>VLOOKUP(B1806,DONGIA,DG!$D$6,0)</f>
        <v>mét</v>
      </c>
      <c r="H1806" s="329">
        <f>8.5*2</f>
        <v>17</v>
      </c>
      <c r="I1806" s="329"/>
      <c r="J1806" s="329"/>
      <c r="K1806" s="329">
        <f>VLOOKUP(B1806,DONGIA,DG!$F$6,0)</f>
        <v>0</v>
      </c>
      <c r="L1806" s="329">
        <f>VLOOKUP(B1806,DONGIA,DG!$G$6,0)</f>
        <v>0</v>
      </c>
      <c r="M1806" s="329">
        <f t="shared" ref="M1806:P1808" si="459">$H1806*I1806</f>
        <v>0</v>
      </c>
      <c r="N1806" s="329">
        <f t="shared" si="459"/>
        <v>0</v>
      </c>
      <c r="O1806" s="329">
        <f t="shared" si="459"/>
        <v>0</v>
      </c>
      <c r="P1806" s="329">
        <f t="shared" si="459"/>
        <v>0</v>
      </c>
      <c r="Q1806" s="329"/>
      <c r="S1806" s="332">
        <f t="shared" ref="S1806:S1833" si="460">IFERROR(VLOOKUP(B1806,DONGIA,$S$25,0),0)</f>
        <v>1.2350000000000001</v>
      </c>
      <c r="T1806" s="332">
        <f>H1806*S1806</f>
        <v>20.995000000000001</v>
      </c>
    </row>
    <row r="1807" spans="2:20">
      <c r="B1807" s="332" t="s">
        <v>1907</v>
      </c>
      <c r="C1807" s="333">
        <f>IF(H1807&lt;&gt;0,1,)</f>
        <v>1</v>
      </c>
      <c r="D1807" s="328"/>
      <c r="E1807" s="328">
        <f>VLOOKUP(B1807,DONGIA,DG!$B$6,0)</f>
        <v>0</v>
      </c>
      <c r="F1807" s="779" t="str">
        <f>VLOOKUP(B1807,DONGIA,DG!$C$6,0)&amp;" (SDL)"</f>
        <v>Cáp đồng bọc CV70 (SDL)</v>
      </c>
      <c r="G1807" s="328" t="str">
        <f>VLOOKUP(B1807,DONGIA,DG!$D$6,0)</f>
        <v>mét</v>
      </c>
      <c r="H1807" s="329">
        <f>8.5</f>
        <v>8.5</v>
      </c>
      <c r="I1807" s="329"/>
      <c r="J1807" s="329"/>
      <c r="K1807" s="329">
        <f>VLOOKUP(B1807,DONGIA,DG!$F$6,0)</f>
        <v>0</v>
      </c>
      <c r="L1807" s="329">
        <f>VLOOKUP(B1807,DONGIA,DG!$G$6,0)</f>
        <v>0</v>
      </c>
      <c r="M1807" s="329">
        <f t="shared" si="459"/>
        <v>0</v>
      </c>
      <c r="N1807" s="329">
        <f t="shared" si="459"/>
        <v>0</v>
      </c>
      <c r="O1807" s="329">
        <f t="shared" si="459"/>
        <v>0</v>
      </c>
      <c r="P1807" s="329">
        <f t="shared" si="459"/>
        <v>0</v>
      </c>
      <c r="Q1807" s="329"/>
      <c r="S1807" s="332">
        <f t="shared" si="460"/>
        <v>0.73899999999999999</v>
      </c>
      <c r="T1807" s="332">
        <f>H1807*S1807</f>
        <v>6.2815000000000003</v>
      </c>
    </row>
    <row r="1808" spans="2:20" hidden="1">
      <c r="B1808" s="332" t="s">
        <v>1906</v>
      </c>
      <c r="C1808" s="333">
        <f>IF(H1808&lt;&gt;0,1,)</f>
        <v>0</v>
      </c>
      <c r="D1808" s="328"/>
      <c r="E1808" s="328">
        <f>VLOOKUP(B1808,DONGIA,DG!$B$6,0)</f>
        <v>0</v>
      </c>
      <c r="F1808" s="329" t="str">
        <f>VLOOKUP(B1808,DONGIA,DG!$C$6,0)&amp;" (SDL)"</f>
        <v>Cáp đồng bọc CV50 (SDL)</v>
      </c>
      <c r="G1808" s="328" t="str">
        <f>VLOOKUP(B1808,DONGIA,DG!$D$6,0)</f>
        <v>mét</v>
      </c>
      <c r="H1808" s="329"/>
      <c r="I1808" s="329"/>
      <c r="J1808" s="329"/>
      <c r="K1808" s="329">
        <f>VLOOKUP(B1808,DONGIA,DG!$F$6,0)</f>
        <v>0</v>
      </c>
      <c r="L1808" s="329">
        <f>VLOOKUP(B1808,DONGIA,DG!$G$6,0)</f>
        <v>0</v>
      </c>
      <c r="M1808" s="329">
        <f t="shared" si="459"/>
        <v>0</v>
      </c>
      <c r="N1808" s="329">
        <f t="shared" si="459"/>
        <v>0</v>
      </c>
      <c r="O1808" s="329">
        <f t="shared" si="459"/>
        <v>0</v>
      </c>
      <c r="P1808" s="329">
        <f t="shared" si="459"/>
        <v>0</v>
      </c>
      <c r="Q1808" s="329"/>
      <c r="S1808" s="332">
        <f t="shared" si="460"/>
        <v>0.53400000000000003</v>
      </c>
      <c r="T1808" s="332">
        <f>H1808*S1808</f>
        <v>0</v>
      </c>
    </row>
    <row r="1809" spans="2:20" hidden="1">
      <c r="B1809" s="332" t="s">
        <v>1742</v>
      </c>
      <c r="C1809" s="333">
        <f t="shared" si="425"/>
        <v>0</v>
      </c>
      <c r="D1809" s="328"/>
      <c r="E1809" s="328">
        <f>VLOOKUP(B1809,DONGIA,DG!$B$6,0)</f>
        <v>0</v>
      </c>
      <c r="F1809" s="329" t="str">
        <f>VLOOKUP(B1809,DONGIA,DG!$C$6,0)</f>
        <v>Cáp đồng bọc CV95</v>
      </c>
      <c r="G1809" s="328" t="str">
        <f>VLOOKUP(B1809,DONGIA,DG!$D$6,0)</f>
        <v>mét</v>
      </c>
      <c r="H1809" s="329"/>
      <c r="I1809" s="329">
        <f>VLOOKUP(B1809,DONGIA,DG!$E$6,0)</f>
        <v>196130</v>
      </c>
      <c r="J1809" s="329"/>
      <c r="K1809" s="329">
        <f>VLOOKUP(B1809,DONGIA,DG!$F$6,0)</f>
        <v>0</v>
      </c>
      <c r="L1809" s="329">
        <f>VLOOKUP(B1809,DONGIA,DG!$G$6,0)</f>
        <v>0</v>
      </c>
      <c r="M1809" s="329">
        <f t="shared" ref="M1809:M1832" si="461">$H1809*I1809</f>
        <v>0</v>
      </c>
      <c r="N1809" s="329">
        <f t="shared" ref="N1809:N1832" si="462">$H1809*J1809</f>
        <v>0</v>
      </c>
      <c r="O1809" s="329">
        <f t="shared" ref="O1809:O1832" si="463">$H1809*K1809</f>
        <v>0</v>
      </c>
      <c r="P1809" s="329">
        <f t="shared" ref="P1809:P1832" si="464">$H1809*L1809</f>
        <v>0</v>
      </c>
      <c r="Q1809" s="329"/>
      <c r="S1809" s="332">
        <f t="shared" si="460"/>
        <v>1.008</v>
      </c>
      <c r="T1809" s="332">
        <f t="shared" si="426"/>
        <v>0</v>
      </c>
    </row>
    <row r="1810" spans="2:20">
      <c r="B1810" s="332" t="s">
        <v>1907</v>
      </c>
      <c r="C1810" s="333">
        <f>IF(H1810&lt;&gt;0,1,)</f>
        <v>1</v>
      </c>
      <c r="D1810" s="328"/>
      <c r="E1810" s="328">
        <f>VLOOKUP(B1810,DONGIA,DG!$B$6,0)</f>
        <v>0</v>
      </c>
      <c r="F1810" s="779" t="str">
        <f>VLOOKUP(B1810,DONGIA,DG!$C$6,0)</f>
        <v>Cáp đồng bọc CV70</v>
      </c>
      <c r="G1810" s="328" t="str">
        <f>VLOOKUP(B1810,DONGIA,DG!$D$6,0)</f>
        <v>mét</v>
      </c>
      <c r="H1810" s="329">
        <f>8.5*4</f>
        <v>34</v>
      </c>
      <c r="I1810" s="329">
        <f>VLOOKUP(B1810,DONGIA,DG!$E$6,0)</f>
        <v>142880</v>
      </c>
      <c r="J1810" s="329"/>
      <c r="K1810" s="329">
        <f>VLOOKUP(B1810,DONGIA,DG!$F$6,0)</f>
        <v>0</v>
      </c>
      <c r="L1810" s="329">
        <f>VLOOKUP(B1810,DONGIA,DG!$G$6,0)</f>
        <v>0</v>
      </c>
      <c r="M1810" s="329">
        <f>$H1810*I1810</f>
        <v>4857920</v>
      </c>
      <c r="N1810" s="329">
        <f>$H1810*J1810</f>
        <v>0</v>
      </c>
      <c r="O1810" s="329">
        <f>$H1810*K1810</f>
        <v>0</v>
      </c>
      <c r="P1810" s="329">
        <f>$H1810*L1810</f>
        <v>0</v>
      </c>
      <c r="Q1810" s="329"/>
      <c r="S1810" s="332">
        <f t="shared" si="460"/>
        <v>0.73899999999999999</v>
      </c>
      <c r="T1810" s="332">
        <f>H1810*S1810</f>
        <v>25.126000000000001</v>
      </c>
    </row>
    <row r="1811" spans="2:20">
      <c r="B1811" s="332" t="s">
        <v>1906</v>
      </c>
      <c r="C1811" s="333">
        <f t="shared" si="425"/>
        <v>1</v>
      </c>
      <c r="D1811" s="328"/>
      <c r="E1811" s="328">
        <f>VLOOKUP(B1811,DONGIA,DG!$B$6,0)</f>
        <v>0</v>
      </c>
      <c r="F1811" s="779" t="str">
        <f>VLOOKUP(B1811,DONGIA,DG!$C$6,0)</f>
        <v>Cáp đồng bọc CV50</v>
      </c>
      <c r="G1811" s="328" t="str">
        <f>VLOOKUP(B1811,DONGIA,DG!$D$6,0)</f>
        <v>mét</v>
      </c>
      <c r="H1811" s="329">
        <v>8.5</v>
      </c>
      <c r="I1811" s="329">
        <f>VLOOKUP(B1811,DONGIA,DG!$E$6,0)</f>
        <v>104370</v>
      </c>
      <c r="J1811" s="329"/>
      <c r="K1811" s="329">
        <f>VLOOKUP(B1811,DONGIA,DG!$F$6,0)</f>
        <v>0</v>
      </c>
      <c r="L1811" s="329">
        <f>VLOOKUP(B1811,DONGIA,DG!$G$6,0)</f>
        <v>0</v>
      </c>
      <c r="M1811" s="329">
        <f t="shared" si="461"/>
        <v>887145</v>
      </c>
      <c r="N1811" s="329">
        <f t="shared" si="462"/>
        <v>0</v>
      </c>
      <c r="O1811" s="329">
        <f t="shared" si="463"/>
        <v>0</v>
      </c>
      <c r="P1811" s="329">
        <f t="shared" si="464"/>
        <v>0</v>
      </c>
      <c r="Q1811" s="329"/>
      <c r="S1811" s="332">
        <f t="shared" si="460"/>
        <v>0.53400000000000003</v>
      </c>
      <c r="T1811" s="332">
        <f t="shared" si="426"/>
        <v>4.5390000000000006</v>
      </c>
    </row>
    <row r="1812" spans="2:20" hidden="1">
      <c r="B1812" s="332" t="s">
        <v>1116</v>
      </c>
      <c r="C1812" s="333">
        <f t="shared" ref="C1812:C1833" si="465">IF(H1812&lt;&gt;0,1,)</f>
        <v>0</v>
      </c>
      <c r="D1812" s="328"/>
      <c r="E1812" s="328"/>
      <c r="F1812" s="329" t="str">
        <f>VLOOKUP(B1812,DONGIA,DG!$C$6,0)</f>
        <v>Đầu cosse ép Cu 95mm2</v>
      </c>
      <c r="G1812" s="328" t="str">
        <f>VLOOKUP(B1812,DONGIA,DG!$D$6,0)</f>
        <v>cái</v>
      </c>
      <c r="H1812" s="329"/>
      <c r="I1812" s="329">
        <f>VLOOKUP(B1812,DONGIA,DG!$E$6,0)</f>
        <v>45000</v>
      </c>
      <c r="J1812" s="329"/>
      <c r="K1812" s="329"/>
      <c r="L1812" s="329"/>
      <c r="M1812" s="329">
        <f t="shared" si="461"/>
        <v>0</v>
      </c>
      <c r="N1812" s="329">
        <f t="shared" si="462"/>
        <v>0</v>
      </c>
      <c r="O1812" s="329">
        <f t="shared" si="463"/>
        <v>0</v>
      </c>
      <c r="P1812" s="329">
        <f t="shared" si="464"/>
        <v>0</v>
      </c>
      <c r="Q1812" s="329"/>
      <c r="S1812" s="332">
        <f t="shared" si="460"/>
        <v>0.2</v>
      </c>
      <c r="T1812" s="332">
        <f t="shared" ref="T1812:T1833" si="466">H1812*S1812</f>
        <v>0</v>
      </c>
    </row>
    <row r="1813" spans="2:20">
      <c r="B1813" s="332" t="s">
        <v>1113</v>
      </c>
      <c r="C1813" s="333">
        <f t="shared" si="465"/>
        <v>1</v>
      </c>
      <c r="D1813" s="328"/>
      <c r="E1813" s="328"/>
      <c r="F1813" s="779" t="str">
        <f>VLOOKUP(B1813,DONGIA,DG!$C$6,0)</f>
        <v>Đầu cosse ép Cu 70mm2</v>
      </c>
      <c r="G1813" s="328" t="str">
        <f>VLOOKUP(B1813,DONGIA,DG!$D$6,0)</f>
        <v>cái</v>
      </c>
      <c r="H1813" s="329">
        <f>4</f>
        <v>4</v>
      </c>
      <c r="I1813" s="329">
        <f>VLOOKUP(B1813,DONGIA,DG!$E$6,0)</f>
        <v>33000</v>
      </c>
      <c r="J1813" s="329"/>
      <c r="K1813" s="329"/>
      <c r="L1813" s="329"/>
      <c r="M1813" s="329">
        <f>$H1813*I1813</f>
        <v>132000</v>
      </c>
      <c r="N1813" s="329">
        <f>$H1813*J1813</f>
        <v>0</v>
      </c>
      <c r="O1813" s="329">
        <f>$H1813*K1813</f>
        <v>0</v>
      </c>
      <c r="P1813" s="329">
        <f>$H1813*L1813</f>
        <v>0</v>
      </c>
      <c r="Q1813" s="329"/>
      <c r="S1813" s="332">
        <f t="shared" si="460"/>
        <v>0.2</v>
      </c>
      <c r="T1813" s="332">
        <f t="shared" si="466"/>
        <v>0.8</v>
      </c>
    </row>
    <row r="1814" spans="2:20">
      <c r="B1814" s="332" t="s">
        <v>1110</v>
      </c>
      <c r="C1814" s="333">
        <f t="shared" si="465"/>
        <v>1</v>
      </c>
      <c r="D1814" s="328"/>
      <c r="E1814" s="328"/>
      <c r="F1814" s="779" t="str">
        <f>VLOOKUP(B1814,DONGIA,DG!$C$6,0)</f>
        <v>Đầu cosse ép Cu 50mm2</v>
      </c>
      <c r="G1814" s="328" t="str">
        <f>VLOOKUP(B1814,DONGIA,DG!$D$6,0)</f>
        <v>cái</v>
      </c>
      <c r="H1814" s="329">
        <v>1</v>
      </c>
      <c r="I1814" s="329">
        <f>VLOOKUP(B1814,DONGIA,DG!$E$6,0)</f>
        <v>23000</v>
      </c>
      <c r="J1814" s="329"/>
      <c r="K1814" s="329"/>
      <c r="L1814" s="329"/>
      <c r="M1814" s="329">
        <f t="shared" si="461"/>
        <v>23000</v>
      </c>
      <c r="N1814" s="329">
        <f t="shared" si="462"/>
        <v>0</v>
      </c>
      <c r="O1814" s="329">
        <f t="shared" si="463"/>
        <v>0</v>
      </c>
      <c r="P1814" s="329">
        <f t="shared" si="464"/>
        <v>0</v>
      </c>
      <c r="Q1814" s="329"/>
      <c r="S1814" s="332">
        <f t="shared" si="460"/>
        <v>0.1</v>
      </c>
      <c r="T1814" s="332">
        <f t="shared" si="466"/>
        <v>0.1</v>
      </c>
    </row>
    <row r="1815" spans="2:20" hidden="1">
      <c r="B1815" s="332" t="s">
        <v>1149</v>
      </c>
      <c r="C1815" s="333">
        <f t="shared" si="465"/>
        <v>0</v>
      </c>
      <c r="D1815" s="328"/>
      <c r="E1815" s="328">
        <f>VLOOKUP(B1815,DONGIA,DG!$B$6,0)</f>
        <v>0</v>
      </c>
      <c r="F1815" s="329" t="str">
        <f>VLOOKUP(B1815,DONGIA,DG!$C$6,0)</f>
        <v>Chụp đầu cosse  95mm2</v>
      </c>
      <c r="G1815" s="328" t="str">
        <f>VLOOKUP(B1815,DONGIA,DG!$D$6,0)</f>
        <v>cái</v>
      </c>
      <c r="H1815" s="329"/>
      <c r="I1815" s="329">
        <f>VLOOKUP(B1815,DONGIA,DG!$E$6,0)</f>
        <v>3000</v>
      </c>
      <c r="J1815" s="329"/>
      <c r="K1815" s="329">
        <f>VLOOKUP(B1815,DONGIA,DG!$F$6,0)</f>
        <v>0</v>
      </c>
      <c r="L1815" s="329">
        <f>VLOOKUP(B1815,DONGIA,DG!$G$6,0)</f>
        <v>0</v>
      </c>
      <c r="M1815" s="329">
        <f t="shared" si="461"/>
        <v>0</v>
      </c>
      <c r="N1815" s="329">
        <f t="shared" si="462"/>
        <v>0</v>
      </c>
      <c r="O1815" s="329">
        <f t="shared" si="463"/>
        <v>0</v>
      </c>
      <c r="P1815" s="329">
        <f t="shared" si="464"/>
        <v>0</v>
      </c>
      <c r="Q1815" s="329"/>
      <c r="S1815" s="332">
        <f t="shared" si="460"/>
        <v>0</v>
      </c>
      <c r="T1815" s="332">
        <f t="shared" si="466"/>
        <v>0</v>
      </c>
    </row>
    <row r="1816" spans="2:20">
      <c r="B1816" s="332" t="s">
        <v>1147</v>
      </c>
      <c r="C1816" s="333">
        <f t="shared" si="465"/>
        <v>1</v>
      </c>
      <c r="D1816" s="328"/>
      <c r="E1816" s="328">
        <f>VLOOKUP(B1816,DONGIA,DG!$B$6,0)</f>
        <v>0</v>
      </c>
      <c r="F1816" s="779" t="str">
        <f>VLOOKUP(B1816,DONGIA,DG!$C$6,0)</f>
        <v>Chụp đầu cosse  70mm2</v>
      </c>
      <c r="G1816" s="328" t="str">
        <f>VLOOKUP(B1816,DONGIA,DG!$D$6,0)</f>
        <v>cái</v>
      </c>
      <c r="H1816" s="329">
        <f>H1813</f>
        <v>4</v>
      </c>
      <c r="I1816" s="329">
        <f>VLOOKUP(B1816,DONGIA,DG!$E$6,0)</f>
        <v>2000</v>
      </c>
      <c r="J1816" s="329"/>
      <c r="K1816" s="329">
        <f>VLOOKUP(B1816,DONGIA,DG!$F$6,0)</f>
        <v>0</v>
      </c>
      <c r="L1816" s="329">
        <f>VLOOKUP(B1816,DONGIA,DG!$G$6,0)</f>
        <v>0</v>
      </c>
      <c r="M1816" s="329">
        <f>$H1816*I1816</f>
        <v>8000</v>
      </c>
      <c r="N1816" s="329">
        <f>$H1816*J1816</f>
        <v>0</v>
      </c>
      <c r="O1816" s="329">
        <f>$H1816*K1816</f>
        <v>0</v>
      </c>
      <c r="P1816" s="329">
        <f>$H1816*L1816</f>
        <v>0</v>
      </c>
      <c r="Q1816" s="329"/>
      <c r="S1816" s="332">
        <f t="shared" si="460"/>
        <v>0</v>
      </c>
      <c r="T1816" s="332">
        <f t="shared" si="466"/>
        <v>0</v>
      </c>
    </row>
    <row r="1817" spans="2:20">
      <c r="B1817" s="332" t="s">
        <v>1145</v>
      </c>
      <c r="C1817" s="333">
        <f t="shared" si="465"/>
        <v>1</v>
      </c>
      <c r="D1817" s="328"/>
      <c r="E1817" s="328">
        <f>VLOOKUP(B1817,DONGIA,DG!$B$6,0)</f>
        <v>0</v>
      </c>
      <c r="F1817" s="779" t="str">
        <f>VLOOKUP(B1817,DONGIA,DG!$C$6,0)</f>
        <v>Chụp đầu cosse  50mm2</v>
      </c>
      <c r="G1817" s="328" t="str">
        <f>VLOOKUP(B1817,DONGIA,DG!$D$6,0)</f>
        <v>cái</v>
      </c>
      <c r="H1817" s="329">
        <f>H1814</f>
        <v>1</v>
      </c>
      <c r="I1817" s="329">
        <f>VLOOKUP(B1817,DONGIA,DG!$E$6,0)</f>
        <v>2000</v>
      </c>
      <c r="J1817" s="329"/>
      <c r="K1817" s="329">
        <f>VLOOKUP(B1817,DONGIA,DG!$F$6,0)</f>
        <v>0</v>
      </c>
      <c r="L1817" s="329">
        <f>VLOOKUP(B1817,DONGIA,DG!$G$6,0)</f>
        <v>0</v>
      </c>
      <c r="M1817" s="329">
        <f t="shared" si="461"/>
        <v>2000</v>
      </c>
      <c r="N1817" s="329">
        <f t="shared" si="462"/>
        <v>0</v>
      </c>
      <c r="O1817" s="329">
        <f t="shared" si="463"/>
        <v>0</v>
      </c>
      <c r="P1817" s="329">
        <f t="shared" si="464"/>
        <v>0</v>
      </c>
      <c r="Q1817" s="329"/>
      <c r="S1817" s="332">
        <f t="shared" si="460"/>
        <v>0</v>
      </c>
      <c r="T1817" s="332">
        <f t="shared" si="466"/>
        <v>0</v>
      </c>
    </row>
    <row r="1818" spans="2:20" s="352" customFormat="1">
      <c r="B1818" s="352" t="s">
        <v>1177</v>
      </c>
      <c r="C1818" s="484">
        <f t="shared" si="465"/>
        <v>1</v>
      </c>
      <c r="D1818" s="363"/>
      <c r="E1818" s="363">
        <f>VLOOKUP(B1818,DONGIA,DG!$B$6,0)</f>
        <v>0</v>
      </c>
      <c r="F1818" s="731" t="str">
        <f>VLOOKUP(B1818,DONGIA,DG!$C$6,0)</f>
        <v xml:space="preserve">Ống PVC D90x3,8mm </v>
      </c>
      <c r="G1818" s="363" t="str">
        <f>VLOOKUP(B1818,DONGIA,DG!$D$6,0)</f>
        <v>m</v>
      </c>
      <c r="H1818" s="362">
        <v>2</v>
      </c>
      <c r="I1818" s="329">
        <f>VLOOKUP(B1818,DONGIA,DG!$E$6,0)</f>
        <v>57000</v>
      </c>
      <c r="J1818" s="362"/>
      <c r="K1818" s="362">
        <f>VLOOKUP(B1818,DONGIA,DG!$F$6,0)</f>
        <v>0</v>
      </c>
      <c r="L1818" s="362">
        <f>VLOOKUP(B1818,DONGIA,DG!$G$6,0)</f>
        <v>0</v>
      </c>
      <c r="M1818" s="362">
        <f t="shared" si="461"/>
        <v>114000</v>
      </c>
      <c r="N1818" s="362">
        <f t="shared" si="462"/>
        <v>0</v>
      </c>
      <c r="O1818" s="362">
        <f t="shared" si="463"/>
        <v>0</v>
      </c>
      <c r="P1818" s="362">
        <f t="shared" si="464"/>
        <v>0</v>
      </c>
      <c r="Q1818" s="362"/>
      <c r="S1818" s="352">
        <f t="shared" si="460"/>
        <v>2</v>
      </c>
      <c r="T1818" s="352">
        <f t="shared" si="466"/>
        <v>4</v>
      </c>
    </row>
    <row r="1819" spans="2:20" s="352" customFormat="1">
      <c r="B1819" s="352" t="s">
        <v>1177</v>
      </c>
      <c r="C1819" s="484">
        <f t="shared" si="465"/>
        <v>1</v>
      </c>
      <c r="D1819" s="648"/>
      <c r="E1819" s="648">
        <f>VLOOKUP(B1819,DONGIA,DG!$B$6,0)</f>
        <v>0</v>
      </c>
      <c r="F1819" s="731" t="str">
        <f>VLOOKUP(B1819,DONGIA,DG!$C$6,0)&amp;" (SDL)"</f>
        <v>Ống PVC D90x3,8mm  (SDL)</v>
      </c>
      <c r="G1819" s="648" t="str">
        <f>VLOOKUP(B1819,DONGIA,DG!$D$6,0)</f>
        <v>m</v>
      </c>
      <c r="H1819" s="362">
        <v>11</v>
      </c>
      <c r="I1819" s="362"/>
      <c r="J1819" s="362"/>
      <c r="K1819" s="362">
        <f>VLOOKUP(B1819,DONGIA,DG!$F$6,0)</f>
        <v>0</v>
      </c>
      <c r="L1819" s="362">
        <f>VLOOKUP(B1819,DONGIA,DG!$G$6,0)</f>
        <v>0</v>
      </c>
      <c r="M1819" s="362">
        <f>$H1819*I1819</f>
        <v>0</v>
      </c>
      <c r="N1819" s="362">
        <f>$H1819*J1819</f>
        <v>0</v>
      </c>
      <c r="O1819" s="362">
        <f>$H1819*K1819</f>
        <v>0</v>
      </c>
      <c r="P1819" s="362">
        <f>$H1819*L1819</f>
        <v>0</v>
      </c>
      <c r="Q1819" s="362"/>
      <c r="S1819" s="352">
        <f t="shared" si="460"/>
        <v>2</v>
      </c>
      <c r="T1819" s="352">
        <f t="shared" si="466"/>
        <v>22</v>
      </c>
    </row>
    <row r="1820" spans="2:20">
      <c r="B1820" s="332" t="s">
        <v>455</v>
      </c>
      <c r="C1820" s="333">
        <f t="shared" si="465"/>
        <v>1</v>
      </c>
      <c r="D1820" s="328"/>
      <c r="E1820" s="328"/>
      <c r="F1820" s="779" t="str">
        <f>VLOOKUP(B1820,DONGIA,DG!$C$6,0)&amp;" (CD: 250)"</f>
        <v>Cổ dê kẹp ống PVC φ 90 (có giá nới) (CD: 250)</v>
      </c>
      <c r="G1820" s="328" t="str">
        <f>VLOOKUP(B1820,DONGIA,DG!$D$6,0)</f>
        <v>bộ</v>
      </c>
      <c r="H1820" s="329">
        <v>1</v>
      </c>
      <c r="I1820" s="329">
        <f>VLOOKUP(B1820,DONGIA,DG!$E$6,0)</f>
        <v>60000</v>
      </c>
      <c r="J1820" s="329"/>
      <c r="K1820" s="329"/>
      <c r="L1820" s="329">
        <f>VLOOKUP(B1820,DONGIA,DG!$G$6,0)</f>
        <v>0</v>
      </c>
      <c r="M1820" s="329">
        <f t="shared" si="461"/>
        <v>60000</v>
      </c>
      <c r="N1820" s="329">
        <f t="shared" si="462"/>
        <v>0</v>
      </c>
      <c r="O1820" s="329">
        <f t="shared" si="463"/>
        <v>0</v>
      </c>
      <c r="P1820" s="329">
        <f t="shared" si="464"/>
        <v>0</v>
      </c>
      <c r="Q1820" s="362"/>
      <c r="S1820" s="332">
        <f t="shared" si="460"/>
        <v>1.5</v>
      </c>
      <c r="T1820" s="332">
        <f t="shared" si="466"/>
        <v>1.5</v>
      </c>
    </row>
    <row r="1821" spans="2:20">
      <c r="B1821" s="332" t="s">
        <v>455</v>
      </c>
      <c r="C1821" s="333">
        <f t="shared" si="465"/>
        <v>1</v>
      </c>
      <c r="D1821" s="328"/>
      <c r="E1821" s="328"/>
      <c r="F1821" s="779" t="str">
        <f>VLOOKUP(B1821,DONGIA,DG!$C$6,0)&amp;" (CD: 280)"</f>
        <v>Cổ dê kẹp ống PVC φ 90 (có giá nới) (CD: 280)</v>
      </c>
      <c r="G1821" s="328" t="str">
        <f>VLOOKUP(B1821,DONGIA,DG!$D$6,0)</f>
        <v>bộ</v>
      </c>
      <c r="H1821" s="329">
        <v>1</v>
      </c>
      <c r="I1821" s="329">
        <f>VLOOKUP(B1821,DONGIA,DG!$E$6,0)</f>
        <v>60000</v>
      </c>
      <c r="J1821" s="329"/>
      <c r="K1821" s="329"/>
      <c r="L1821" s="329">
        <f>VLOOKUP(B1821,DONGIA,DG!$G$6,0)</f>
        <v>0</v>
      </c>
      <c r="M1821" s="329">
        <f t="shared" si="461"/>
        <v>60000</v>
      </c>
      <c r="N1821" s="329">
        <f t="shared" si="462"/>
        <v>0</v>
      </c>
      <c r="O1821" s="329">
        <f t="shared" si="463"/>
        <v>0</v>
      </c>
      <c r="P1821" s="329">
        <f t="shared" si="464"/>
        <v>0</v>
      </c>
      <c r="Q1821" s="362"/>
      <c r="S1821" s="332">
        <f t="shared" si="460"/>
        <v>1.5</v>
      </c>
      <c r="T1821" s="332">
        <f t="shared" si="466"/>
        <v>1.5</v>
      </c>
    </row>
    <row r="1822" spans="2:20">
      <c r="B1822" s="332" t="s">
        <v>455</v>
      </c>
      <c r="C1822" s="333">
        <f t="shared" si="465"/>
        <v>1</v>
      </c>
      <c r="D1822" s="328"/>
      <c r="E1822" s="328"/>
      <c r="F1822" s="779" t="str">
        <f>VLOOKUP(B1822,DONGIA,DG!$C$6,0)&amp;" (CD: 320)"</f>
        <v>Cổ dê kẹp ống PVC φ 90 (có giá nới) (CD: 320)</v>
      </c>
      <c r="G1822" s="328" t="str">
        <f>VLOOKUP(B1822,DONGIA,DG!$D$6,0)</f>
        <v>bộ</v>
      </c>
      <c r="H1822" s="329">
        <v>1</v>
      </c>
      <c r="I1822" s="329">
        <f>VLOOKUP(B1822,DONGIA,DG!$E$6,0)</f>
        <v>60000</v>
      </c>
      <c r="J1822" s="329"/>
      <c r="K1822" s="329"/>
      <c r="L1822" s="329">
        <f>VLOOKUP(B1822,DONGIA,DG!$G$6,0)</f>
        <v>0</v>
      </c>
      <c r="M1822" s="329">
        <f t="shared" si="461"/>
        <v>60000</v>
      </c>
      <c r="N1822" s="329">
        <f t="shared" si="462"/>
        <v>0</v>
      </c>
      <c r="O1822" s="329">
        <f t="shared" si="463"/>
        <v>0</v>
      </c>
      <c r="P1822" s="329">
        <f t="shared" si="464"/>
        <v>0</v>
      </c>
      <c r="Q1822" s="362"/>
      <c r="S1822" s="332">
        <f t="shared" si="460"/>
        <v>1.5</v>
      </c>
      <c r="T1822" s="332">
        <f t="shared" si="466"/>
        <v>1.5</v>
      </c>
    </row>
    <row r="1823" spans="2:20">
      <c r="B1823" s="332" t="s">
        <v>2956</v>
      </c>
      <c r="C1823" s="333">
        <f t="shared" si="465"/>
        <v>1</v>
      </c>
      <c r="D1823" s="328"/>
      <c r="E1823" s="328">
        <f>VLOOKUP(B1823,DONGIA,DG!$B$6,0)</f>
        <v>0</v>
      </c>
      <c r="F1823" s="779" t="str">
        <f>VLOOKUP(B1823,DONGIA,DG!$C$6,0)</f>
        <v>Co  90 độ PVC 90 (Loại dày)</v>
      </c>
      <c r="G1823" s="328" t="str">
        <f>VLOOKUP(B1823,DONGIA,DG!$D$6,0)</f>
        <v>cái</v>
      </c>
      <c r="H1823" s="329">
        <v>3</v>
      </c>
      <c r="I1823" s="329">
        <f>VLOOKUP(B1823,DONGIA,DG!$E$6,0)</f>
        <v>45400</v>
      </c>
      <c r="J1823" s="329"/>
      <c r="K1823" s="329">
        <f>VLOOKUP(B1823,DONGIA,DG!$F$6,0)</f>
        <v>0</v>
      </c>
      <c r="L1823" s="329">
        <f>VLOOKUP(B1823,DONGIA,DG!$G$6,0)</f>
        <v>0</v>
      </c>
      <c r="M1823" s="329">
        <f>$H1823*I1823</f>
        <v>136200</v>
      </c>
      <c r="N1823" s="329">
        <f>$H1823*J1823</f>
        <v>0</v>
      </c>
      <c r="O1823" s="329">
        <f>$H1823*K1823</f>
        <v>0</v>
      </c>
      <c r="P1823" s="329">
        <f>$H1823*L1823</f>
        <v>0</v>
      </c>
      <c r="Q1823" s="329"/>
      <c r="S1823" s="332">
        <f t="shared" si="460"/>
        <v>0</v>
      </c>
      <c r="T1823" s="332">
        <f t="shared" si="466"/>
        <v>0</v>
      </c>
    </row>
    <row r="1824" spans="2:20" hidden="1">
      <c r="B1824" s="332" t="s">
        <v>1183</v>
      </c>
      <c r="C1824" s="333">
        <f t="shared" si="465"/>
        <v>0</v>
      </c>
      <c r="D1824" s="328"/>
      <c r="E1824" s="328">
        <f>VLOOKUP(B1824,DONGIA,DG!$B$6,0)</f>
        <v>0</v>
      </c>
      <c r="F1824" s="329" t="str">
        <f>VLOOKUP(B1824,DONGIA,DG!$C$6,0)</f>
        <v>Co  90 độ PVC 90</v>
      </c>
      <c r="G1824" s="328" t="str">
        <f>VLOOKUP(B1824,DONGIA,DG!$D$6,0)</f>
        <v>cái</v>
      </c>
      <c r="H1824" s="329"/>
      <c r="I1824" s="329">
        <f>VLOOKUP(B1824,DONGIA,DG!$E$6,0)</f>
        <v>45400</v>
      </c>
      <c r="J1824" s="329"/>
      <c r="K1824" s="329">
        <f>VLOOKUP(B1824,DONGIA,DG!$F$6,0)</f>
        <v>0</v>
      </c>
      <c r="L1824" s="329">
        <f>VLOOKUP(B1824,DONGIA,DG!$G$6,0)</f>
        <v>0</v>
      </c>
      <c r="M1824" s="329">
        <f t="shared" si="461"/>
        <v>0</v>
      </c>
      <c r="N1824" s="329">
        <f t="shared" si="462"/>
        <v>0</v>
      </c>
      <c r="O1824" s="329">
        <f t="shared" si="463"/>
        <v>0</v>
      </c>
      <c r="P1824" s="329">
        <f t="shared" si="464"/>
        <v>0</v>
      </c>
      <c r="Q1824" s="329"/>
      <c r="S1824" s="332">
        <f t="shared" si="460"/>
        <v>0</v>
      </c>
      <c r="T1824" s="332">
        <f t="shared" si="466"/>
        <v>0</v>
      </c>
    </row>
    <row r="1825" spans="2:20">
      <c r="B1825" s="332" t="s">
        <v>1181</v>
      </c>
      <c r="C1825" s="333">
        <f t="shared" si="465"/>
        <v>1</v>
      </c>
      <c r="D1825" s="328"/>
      <c r="E1825" s="328">
        <f>VLOOKUP(B1825,DONGIA,DG!$B$6,0)</f>
        <v>0</v>
      </c>
      <c r="F1825" s="779" t="str">
        <f>VLOOKUP(B1825,DONGIA,DG!$C$6,0)</f>
        <v>Co 135 độ PVC 90</v>
      </c>
      <c r="G1825" s="328" t="str">
        <f>VLOOKUP(B1825,DONGIA,DG!$D$6,0)</f>
        <v>cái</v>
      </c>
      <c r="H1825" s="329">
        <v>1</v>
      </c>
      <c r="I1825" s="329">
        <f>VLOOKUP(B1825,DONGIA,DG!$E$6,0)</f>
        <v>34800</v>
      </c>
      <c r="J1825" s="329"/>
      <c r="K1825" s="329">
        <f>VLOOKUP(B1825,DONGIA,DG!$F$6,0)</f>
        <v>0</v>
      </c>
      <c r="L1825" s="329">
        <f>VLOOKUP(B1825,DONGIA,DG!$G$6,0)</f>
        <v>0</v>
      </c>
      <c r="M1825" s="329">
        <f t="shared" si="461"/>
        <v>34800</v>
      </c>
      <c r="N1825" s="329">
        <f t="shared" si="462"/>
        <v>0</v>
      </c>
      <c r="O1825" s="329">
        <f t="shared" si="463"/>
        <v>0</v>
      </c>
      <c r="P1825" s="329">
        <f t="shared" si="464"/>
        <v>0</v>
      </c>
      <c r="Q1825" s="329"/>
      <c r="S1825" s="332">
        <f t="shared" si="460"/>
        <v>0</v>
      </c>
      <c r="T1825" s="332">
        <f t="shared" si="466"/>
        <v>0</v>
      </c>
    </row>
    <row r="1826" spans="2:20">
      <c r="B1826" s="332" t="s">
        <v>1203</v>
      </c>
      <c r="C1826" s="333">
        <f t="shared" si="465"/>
        <v>1</v>
      </c>
      <c r="D1826" s="328"/>
      <c r="E1826" s="328">
        <f>VLOOKUP(B1826,DONGIA,DG!$B$6,0)</f>
        <v>0</v>
      </c>
      <c r="F1826" s="779" t="str">
        <f>VLOOKUP(B1826,DONGIA,DG!$C$6,0)</f>
        <v>Khâu ven răng trong D90</v>
      </c>
      <c r="G1826" s="328" t="str">
        <f>VLOOKUP(B1826,DONGIA,DG!$D$6,0)</f>
        <v>cái</v>
      </c>
      <c r="H1826" s="329">
        <v>1</v>
      </c>
      <c r="I1826" s="329">
        <f>VLOOKUP(B1826,DONGIA,DG!$E$6,0)</f>
        <v>25800</v>
      </c>
      <c r="J1826" s="329"/>
      <c r="K1826" s="329">
        <f>VLOOKUP(B1826,DONGIA,DG!$F$6,0)</f>
        <v>0</v>
      </c>
      <c r="L1826" s="329">
        <f>VLOOKUP(B1826,DONGIA,DG!$G$6,0)</f>
        <v>0</v>
      </c>
      <c r="M1826" s="329">
        <f t="shared" si="461"/>
        <v>25800</v>
      </c>
      <c r="N1826" s="329">
        <f t="shared" si="462"/>
        <v>0</v>
      </c>
      <c r="O1826" s="329">
        <f t="shared" si="463"/>
        <v>0</v>
      </c>
      <c r="P1826" s="329">
        <f t="shared" si="464"/>
        <v>0</v>
      </c>
      <c r="Q1826" s="329"/>
      <c r="S1826" s="332">
        <f t="shared" si="460"/>
        <v>0</v>
      </c>
      <c r="T1826" s="332">
        <f t="shared" si="466"/>
        <v>0</v>
      </c>
    </row>
    <row r="1827" spans="2:20">
      <c r="B1827" s="332" t="s">
        <v>1209</v>
      </c>
      <c r="C1827" s="333">
        <f t="shared" si="465"/>
        <v>1</v>
      </c>
      <c r="D1827" s="328"/>
      <c r="E1827" s="328">
        <f>VLOOKUP(B1827,DONGIA,DG!$B$6,0)</f>
        <v>0</v>
      </c>
      <c r="F1827" s="779" t="str">
        <f>VLOOKUP(B1827,DONGIA,DG!$C$6,0)</f>
        <v>Khâu ven răng ngoài D90</v>
      </c>
      <c r="G1827" s="328" t="str">
        <f>VLOOKUP(B1827,DONGIA,DG!$D$6,0)</f>
        <v>cái</v>
      </c>
      <c r="H1827" s="329">
        <f>H1826</f>
        <v>1</v>
      </c>
      <c r="I1827" s="329">
        <f>VLOOKUP(B1827,DONGIA,DG!$E$6,0)</f>
        <v>21500</v>
      </c>
      <c r="J1827" s="329"/>
      <c r="K1827" s="329">
        <f>VLOOKUP(B1827,DONGIA,DG!$F$6,0)</f>
        <v>0</v>
      </c>
      <c r="L1827" s="329">
        <f>VLOOKUP(B1827,DONGIA,DG!$G$6,0)</f>
        <v>0</v>
      </c>
      <c r="M1827" s="329">
        <f t="shared" si="461"/>
        <v>21500</v>
      </c>
      <c r="N1827" s="329">
        <f t="shared" si="462"/>
        <v>0</v>
      </c>
      <c r="O1827" s="329">
        <f t="shared" si="463"/>
        <v>0</v>
      </c>
      <c r="P1827" s="329">
        <f t="shared" si="464"/>
        <v>0</v>
      </c>
      <c r="Q1827" s="329"/>
      <c r="S1827" s="332">
        <f t="shared" si="460"/>
        <v>0</v>
      </c>
      <c r="T1827" s="332">
        <f t="shared" si="466"/>
        <v>0</v>
      </c>
    </row>
    <row r="1828" spans="2:20" hidden="1">
      <c r="B1828" s="332" t="s">
        <v>1914</v>
      </c>
      <c r="C1828" s="333">
        <f t="shared" si="465"/>
        <v>0</v>
      </c>
      <c r="D1828" s="328"/>
      <c r="E1828" s="328">
        <f>VLOOKUP(B1828,DONGIA,DG!$B$6,0)</f>
        <v>0</v>
      </c>
      <c r="F1828" s="329" t="str">
        <f>VLOOKUP(B1828,DONGIA,DG!$C$6,0)</f>
        <v>Keo dán ống PVC (100gr)</v>
      </c>
      <c r="G1828" s="328" t="str">
        <f>VLOOKUP(B1828,DONGIA,DG!$D$6,0)</f>
        <v>tuýp</v>
      </c>
      <c r="H1828" s="329"/>
      <c r="I1828" s="329">
        <f>VLOOKUP(B1828,DONGIA,DG!$E$6,0)</f>
        <v>11500</v>
      </c>
      <c r="J1828" s="329"/>
      <c r="K1828" s="329">
        <f>VLOOKUP(B1828,DONGIA,DG!$F$6,0)</f>
        <v>0</v>
      </c>
      <c r="L1828" s="329">
        <f>VLOOKUP(B1828,DONGIA,DG!$G$6,0)</f>
        <v>0</v>
      </c>
      <c r="M1828" s="329">
        <f t="shared" si="461"/>
        <v>0</v>
      </c>
      <c r="N1828" s="329">
        <f t="shared" si="462"/>
        <v>0</v>
      </c>
      <c r="O1828" s="329">
        <f t="shared" si="463"/>
        <v>0</v>
      </c>
      <c r="P1828" s="329">
        <f t="shared" si="464"/>
        <v>0</v>
      </c>
      <c r="Q1828" s="329"/>
      <c r="S1828" s="332">
        <f t="shared" si="460"/>
        <v>0</v>
      </c>
      <c r="T1828" s="332">
        <f t="shared" si="466"/>
        <v>0</v>
      </c>
    </row>
    <row r="1829" spans="2:20">
      <c r="B1829" s="332" t="s">
        <v>1639</v>
      </c>
      <c r="C1829" s="333">
        <f t="shared" si="465"/>
        <v>1</v>
      </c>
      <c r="D1829" s="328"/>
      <c r="E1829" s="328">
        <f>VLOOKUP(B1829,DONGIA,DG!$B$6,0)</f>
        <v>0</v>
      </c>
      <c r="F1829" s="779" t="str">
        <f>VLOOKUP(B1829,DONGIA,DG!$C$6,0)&amp;" bịt miệng ống"</f>
        <v>Xi măng bịt miệng ống</v>
      </c>
      <c r="G1829" s="328" t="str">
        <f>VLOOKUP(B1829,DONGIA,DG!$D$6,0)</f>
        <v>kg</v>
      </c>
      <c r="H1829" s="489">
        <v>1</v>
      </c>
      <c r="I1829" s="329">
        <f>VLOOKUP(B1829,DONGIA,DG!$E$6,0)</f>
        <v>1760</v>
      </c>
      <c r="J1829" s="329"/>
      <c r="K1829" s="329">
        <f>VLOOKUP(B1829,DONGIA,DG!$F$6,0)</f>
        <v>0</v>
      </c>
      <c r="L1829" s="329">
        <f>VLOOKUP(B1829,DONGIA,DG!$G$6,0)</f>
        <v>0</v>
      </c>
      <c r="M1829" s="329">
        <f t="shared" si="461"/>
        <v>1760</v>
      </c>
      <c r="N1829" s="329">
        <f t="shared" si="462"/>
        <v>0</v>
      </c>
      <c r="O1829" s="329">
        <f t="shared" si="463"/>
        <v>0</v>
      </c>
      <c r="P1829" s="329">
        <f t="shared" si="464"/>
        <v>0</v>
      </c>
      <c r="Q1829" s="329"/>
      <c r="S1829" s="332">
        <f t="shared" si="460"/>
        <v>1</v>
      </c>
      <c r="T1829" s="332">
        <f t="shared" si="466"/>
        <v>1</v>
      </c>
    </row>
    <row r="1830" spans="2:20">
      <c r="B1830" s="332" t="s">
        <v>1193</v>
      </c>
      <c r="C1830" s="333">
        <f t="shared" si="465"/>
        <v>1</v>
      </c>
      <c r="D1830" s="328"/>
      <c r="E1830" s="328">
        <f>VLOOKUP(B1830,DONGIA,DG!$B$6,0)</f>
        <v>0</v>
      </c>
      <c r="F1830" s="779" t="str">
        <f>VLOOKUP(B1830,DONGIA,DG!$C$6,0)</f>
        <v>Băng keo cách điện</v>
      </c>
      <c r="G1830" s="328" t="str">
        <f>VLOOKUP(B1830,DONGIA,DG!$D$6,0)</f>
        <v>cuộn</v>
      </c>
      <c r="H1830" s="329">
        <v>1</v>
      </c>
      <c r="I1830" s="329">
        <f>VLOOKUP(B1830,DONGIA,DG!$E$6,0)</f>
        <v>6500</v>
      </c>
      <c r="J1830" s="329"/>
      <c r="K1830" s="329">
        <f>VLOOKUP(B1830,DONGIA,DG!$F$6,0)</f>
        <v>0</v>
      </c>
      <c r="L1830" s="329">
        <f>VLOOKUP(B1830,DONGIA,DG!$G$6,0)</f>
        <v>0</v>
      </c>
      <c r="M1830" s="329">
        <f t="shared" si="461"/>
        <v>6500</v>
      </c>
      <c r="N1830" s="329">
        <f t="shared" si="462"/>
        <v>0</v>
      </c>
      <c r="O1830" s="329">
        <f t="shared" si="463"/>
        <v>0</v>
      </c>
      <c r="P1830" s="329">
        <f t="shared" si="464"/>
        <v>0</v>
      </c>
      <c r="Q1830" s="329"/>
      <c r="S1830" s="332">
        <f t="shared" si="460"/>
        <v>0</v>
      </c>
      <c r="T1830" s="332">
        <f t="shared" si="466"/>
        <v>0</v>
      </c>
    </row>
    <row r="1831" spans="2:20">
      <c r="B1831" s="332" t="s">
        <v>855</v>
      </c>
      <c r="C1831" s="333">
        <f t="shared" si="465"/>
        <v>1</v>
      </c>
      <c r="D1831" s="328"/>
      <c r="E1831" s="328" t="str">
        <f>VLOOKUP(B1831,DONGIA,DG!$B$6,0)</f>
        <v>T4.8003</v>
      </c>
      <c r="F1831" s="779" t="str">
        <f>VLOOKUP(B1831,DONGIA,DG!$C$6,0)</f>
        <v>Lắp ống nhựa PVC D90</v>
      </c>
      <c r="G1831" s="328" t="str">
        <f>VLOOKUP(B1831,DONGIA,DG!$D$6,0)</f>
        <v>mét</v>
      </c>
      <c r="H1831" s="329">
        <f>H1818+H1819</f>
        <v>13</v>
      </c>
      <c r="I1831" s="329">
        <f>VLOOKUP(B1831,DONGIA,DG!$E$6,0)</f>
        <v>0</v>
      </c>
      <c r="J1831" s="329"/>
      <c r="K1831" s="329">
        <f>VLOOKUP(B1831,DONGIA,DG!$F$6,0)</f>
        <v>35541</v>
      </c>
      <c r="L1831" s="329">
        <f>VLOOKUP(B1831,DONGIA,DG!$G$6,0)</f>
        <v>0</v>
      </c>
      <c r="M1831" s="329">
        <f t="shared" si="461"/>
        <v>0</v>
      </c>
      <c r="N1831" s="329">
        <f t="shared" si="462"/>
        <v>0</v>
      </c>
      <c r="O1831" s="329">
        <f t="shared" si="463"/>
        <v>462033</v>
      </c>
      <c r="P1831" s="329">
        <f t="shared" si="464"/>
        <v>0</v>
      </c>
      <c r="Q1831" s="329"/>
      <c r="S1831" s="332">
        <f t="shared" si="460"/>
        <v>0</v>
      </c>
      <c r="T1831" s="332">
        <f t="shared" si="466"/>
        <v>0</v>
      </c>
    </row>
    <row r="1832" spans="2:20">
      <c r="B1832" s="332" t="s">
        <v>1939</v>
      </c>
      <c r="C1832" s="333">
        <f t="shared" si="465"/>
        <v>1</v>
      </c>
      <c r="D1832" s="328"/>
      <c r="E1832" s="328" t="str">
        <f>VLOOKUP(B1832,DONGIA,DG!$B$6,0)</f>
        <v>T4.4201</v>
      </c>
      <c r="F1832" s="779" t="str">
        <f>VLOOKUP(B1832,DONGIA,DG!$C$6,0)</f>
        <v>Lắp cáp đồng xuống thiết bị D ≤ 95mm2</v>
      </c>
      <c r="G1832" s="328" t="str">
        <f>VLOOKUP(B1832,DONGIA,DG!$D$6,0)</f>
        <v>m</v>
      </c>
      <c r="H1832" s="329">
        <f>H1807+H1810+H1811</f>
        <v>51</v>
      </c>
      <c r="I1832" s="329">
        <f>VLOOKUP(B1832,DONGIA,DG!$E$6,0)</f>
        <v>0</v>
      </c>
      <c r="J1832" s="329"/>
      <c r="K1832" s="329">
        <f>VLOOKUP(B1832,DONGIA,DG!$F$6,0)</f>
        <v>11847</v>
      </c>
      <c r="L1832" s="329">
        <f>VLOOKUP(B1832,DONGIA,DG!$G$6,0)</f>
        <v>0</v>
      </c>
      <c r="M1832" s="329">
        <f t="shared" si="461"/>
        <v>0</v>
      </c>
      <c r="N1832" s="329">
        <f t="shared" si="462"/>
        <v>0</v>
      </c>
      <c r="O1832" s="329">
        <f t="shared" si="463"/>
        <v>604197</v>
      </c>
      <c r="P1832" s="329">
        <f t="shared" si="464"/>
        <v>0</v>
      </c>
      <c r="Q1832" s="329"/>
      <c r="S1832" s="332">
        <f t="shared" si="460"/>
        <v>0</v>
      </c>
      <c r="T1832" s="332">
        <f t="shared" si="466"/>
        <v>0</v>
      </c>
    </row>
    <row r="1833" spans="2:20">
      <c r="B1833" s="332" t="s">
        <v>2063</v>
      </c>
      <c r="C1833" s="333">
        <f t="shared" si="465"/>
        <v>1</v>
      </c>
      <c r="D1833" s="328"/>
      <c r="E1833" s="328" t="str">
        <f>VLOOKUP(B1833,DONGIA,DG!$B$6,0)</f>
        <v>T4.4202</v>
      </c>
      <c r="F1833" s="779" t="str">
        <f>VLOOKUP(B1833,DONGIA,DG!$C$6,0)</f>
        <v>Lắp cáp đồng xuống thiết bị D ≤ 150mm2</v>
      </c>
      <c r="G1833" s="328" t="str">
        <f>VLOOKUP(B1833,DONGIA,DG!$D$6,0)</f>
        <v>m</v>
      </c>
      <c r="H1833" s="329">
        <f>H1806</f>
        <v>17</v>
      </c>
      <c r="I1833" s="329">
        <f>VLOOKUP(B1833,DONGIA,DG!$E$6,0)</f>
        <v>0</v>
      </c>
      <c r="J1833" s="329"/>
      <c r="K1833" s="329">
        <f>VLOOKUP(B1833,DONGIA,DG!$F$6,0)</f>
        <v>28433</v>
      </c>
      <c r="L1833" s="329">
        <f>VLOOKUP(B1833,DONGIA,DG!$G$6,0)</f>
        <v>0</v>
      </c>
      <c r="M1833" s="329">
        <f>$H1833*I1833</f>
        <v>0</v>
      </c>
      <c r="N1833" s="329">
        <f>$H1833*J1833</f>
        <v>0</v>
      </c>
      <c r="O1833" s="329">
        <f>$H1833*K1833</f>
        <v>483361</v>
      </c>
      <c r="P1833" s="329">
        <f>$H1833*L1833</f>
        <v>0</v>
      </c>
      <c r="Q1833" s="329"/>
      <c r="S1833" s="332">
        <f t="shared" si="460"/>
        <v>0</v>
      </c>
      <c r="T1833" s="332">
        <f t="shared" si="466"/>
        <v>0</v>
      </c>
    </row>
    <row r="1834" spans="2:20" s="361" customFormat="1">
      <c r="C1834" s="374">
        <f>IF(SUM(C1835:C1853)&lt;&gt;0,1,)</f>
        <v>1</v>
      </c>
      <c r="D1834" s="555"/>
      <c r="E1834" s="555"/>
      <c r="F1834" s="782" t="s">
        <v>3875</v>
      </c>
      <c r="G1834" s="555"/>
      <c r="H1834" s="555">
        <v>1</v>
      </c>
      <c r="I1834" s="556"/>
      <c r="J1834" s="556"/>
      <c r="K1834" s="556"/>
      <c r="L1834" s="556"/>
      <c r="M1834" s="556"/>
      <c r="N1834" s="556"/>
      <c r="O1834" s="556"/>
      <c r="P1834" s="556"/>
      <c r="Q1834" s="556"/>
    </row>
    <row r="1835" spans="2:20">
      <c r="B1835" s="332" t="s">
        <v>1908</v>
      </c>
      <c r="C1835" s="333">
        <f t="shared" ref="C1835:C1861" si="467">IF(H1835&lt;&gt;0,1,)</f>
        <v>1</v>
      </c>
      <c r="D1835" s="328"/>
      <c r="E1835" s="328">
        <f>VLOOKUP(B1835,DONGIA,DG!$B$6,0)</f>
        <v>0</v>
      </c>
      <c r="F1835" s="779" t="str">
        <f>VLOOKUP(B1835,DONGIA,DG!$C$6,0)&amp;" (SDL)"</f>
        <v>Cáp đồng bọc CV120 (SDL)</v>
      </c>
      <c r="G1835" s="328" t="str">
        <f>VLOOKUP(B1835,DONGIA,DG!$D$6,0)</f>
        <v>mét</v>
      </c>
      <c r="H1835" s="489">
        <f>'BKTL Tram'!T34</f>
        <v>16</v>
      </c>
      <c r="I1835" s="329"/>
      <c r="J1835" s="329"/>
      <c r="K1835" s="329">
        <f>VLOOKUP(B1835,DONGIA,DG!$F$6,0)</f>
        <v>0</v>
      </c>
      <c r="L1835" s="329">
        <f>VLOOKUP(B1835,DONGIA,DG!$G$6,0)</f>
        <v>0</v>
      </c>
      <c r="M1835" s="329">
        <f t="shared" ref="M1835:M1861" si="468">$H1835*I1835</f>
        <v>0</v>
      </c>
      <c r="N1835" s="329">
        <f t="shared" ref="N1835:N1861" si="469">$H1835*J1835</f>
        <v>0</v>
      </c>
      <c r="O1835" s="329">
        <f t="shared" ref="O1835:O1861" si="470">$H1835*K1835</f>
        <v>0</v>
      </c>
      <c r="P1835" s="329">
        <f t="shared" ref="P1835:P1861" si="471">$H1835*L1835</f>
        <v>0</v>
      </c>
      <c r="Q1835" s="329"/>
      <c r="S1835" s="332">
        <f t="shared" ref="S1835:S1861" si="472">IFERROR(VLOOKUP(B1835,DONGIA,$S$25,0),0)</f>
        <v>1.2350000000000001</v>
      </c>
      <c r="T1835" s="332">
        <f t="shared" ref="T1835:T1861" si="473">H1835*S1835</f>
        <v>19.760000000000002</v>
      </c>
    </row>
    <row r="1836" spans="2:20">
      <c r="B1836" s="332" t="s">
        <v>1742</v>
      </c>
      <c r="C1836" s="333">
        <f t="shared" si="467"/>
        <v>1</v>
      </c>
      <c r="D1836" s="328"/>
      <c r="E1836" s="328">
        <f>VLOOKUP(B1836,DONGIA,DG!$B$6,0)</f>
        <v>0</v>
      </c>
      <c r="F1836" s="779" t="str">
        <f>VLOOKUP(B1836,DONGIA,DG!$C$6,0)&amp;" (SDL)"</f>
        <v>Cáp đồng bọc CV95 (SDL)</v>
      </c>
      <c r="G1836" s="328" t="str">
        <f>VLOOKUP(B1836,DONGIA,DG!$D$6,0)</f>
        <v>mét</v>
      </c>
      <c r="H1836" s="489">
        <f>'BKTL Tram'!U34</f>
        <v>8</v>
      </c>
      <c r="I1836" s="329"/>
      <c r="J1836" s="329"/>
      <c r="K1836" s="329">
        <f>VLOOKUP(B1836,DONGIA,DG!$F$6,0)</f>
        <v>0</v>
      </c>
      <c r="L1836" s="329">
        <f>VLOOKUP(B1836,DONGIA,DG!$G$6,0)</f>
        <v>0</v>
      </c>
      <c r="M1836" s="329">
        <f t="shared" si="468"/>
        <v>0</v>
      </c>
      <c r="N1836" s="329">
        <f t="shared" si="469"/>
        <v>0</v>
      </c>
      <c r="O1836" s="329">
        <f t="shared" si="470"/>
        <v>0</v>
      </c>
      <c r="P1836" s="329">
        <f t="shared" si="471"/>
        <v>0</v>
      </c>
      <c r="Q1836" s="329"/>
      <c r="S1836" s="332">
        <f t="shared" si="472"/>
        <v>1.008</v>
      </c>
      <c r="T1836" s="332">
        <f t="shared" si="473"/>
        <v>8.0640000000000001</v>
      </c>
    </row>
    <row r="1837" spans="2:20" hidden="1">
      <c r="B1837" s="332" t="s">
        <v>1906</v>
      </c>
      <c r="C1837" s="333">
        <f t="shared" si="467"/>
        <v>0</v>
      </c>
      <c r="D1837" s="328"/>
      <c r="E1837" s="328">
        <f>VLOOKUP(B1837,DONGIA,DG!$B$6,0)</f>
        <v>0</v>
      </c>
      <c r="F1837" s="329" t="str">
        <f>VLOOKUP(B1837,DONGIA,DG!$C$6,0)&amp;" (SDL)"</f>
        <v>Cáp đồng bọc CV50 (SDL)</v>
      </c>
      <c r="G1837" s="328" t="str">
        <f>VLOOKUP(B1837,DONGIA,DG!$D$6,0)</f>
        <v>mét</v>
      </c>
      <c r="H1837" s="489"/>
      <c r="I1837" s="329"/>
      <c r="J1837" s="329"/>
      <c r="K1837" s="329">
        <f>VLOOKUP(B1837,DONGIA,DG!$F$6,0)</f>
        <v>0</v>
      </c>
      <c r="L1837" s="329">
        <f>VLOOKUP(B1837,DONGIA,DG!$G$6,0)</f>
        <v>0</v>
      </c>
      <c r="M1837" s="329">
        <f t="shared" si="468"/>
        <v>0</v>
      </c>
      <c r="N1837" s="329">
        <f t="shared" si="469"/>
        <v>0</v>
      </c>
      <c r="O1837" s="329">
        <f t="shared" si="470"/>
        <v>0</v>
      </c>
      <c r="P1837" s="329">
        <f t="shared" si="471"/>
        <v>0</v>
      </c>
      <c r="Q1837" s="329"/>
      <c r="S1837" s="332">
        <f t="shared" si="472"/>
        <v>0.53400000000000003</v>
      </c>
      <c r="T1837" s="332">
        <f t="shared" si="473"/>
        <v>0</v>
      </c>
    </row>
    <row r="1838" spans="2:20">
      <c r="B1838" s="332" t="s">
        <v>1908</v>
      </c>
      <c r="C1838" s="333">
        <f t="shared" si="467"/>
        <v>1</v>
      </c>
      <c r="D1838" s="328"/>
      <c r="E1838" s="328">
        <f>VLOOKUP(B1838,DONGIA,DG!$B$6,0)</f>
        <v>0</v>
      </c>
      <c r="F1838" s="779" t="str">
        <f>VLOOKUP(B1838,DONGIA,DG!$C$6,0)</f>
        <v>Cáp đồng bọc CV120</v>
      </c>
      <c r="G1838" s="328" t="str">
        <f>VLOOKUP(B1838,DONGIA,DG!$D$6,0)</f>
        <v>mét</v>
      </c>
      <c r="H1838" s="489">
        <v>8</v>
      </c>
      <c r="I1838" s="329">
        <f>VLOOKUP(B1838,DONGIA,DG!$E$6,0)</f>
        <v>245040</v>
      </c>
      <c r="J1838" s="329"/>
      <c r="K1838" s="329">
        <f>VLOOKUP(B1838,DONGIA,DG!$F$6,0)</f>
        <v>0</v>
      </c>
      <c r="L1838" s="329">
        <f>VLOOKUP(B1838,DONGIA,DG!$G$6,0)</f>
        <v>0</v>
      </c>
      <c r="M1838" s="329">
        <f t="shared" si="468"/>
        <v>1960320</v>
      </c>
      <c r="N1838" s="329">
        <f t="shared" si="469"/>
        <v>0</v>
      </c>
      <c r="O1838" s="329">
        <f t="shared" si="470"/>
        <v>0</v>
      </c>
      <c r="P1838" s="329">
        <f t="shared" si="471"/>
        <v>0</v>
      </c>
      <c r="Q1838" s="329"/>
      <c r="S1838" s="332">
        <f t="shared" si="472"/>
        <v>1.2350000000000001</v>
      </c>
      <c r="T1838" s="332">
        <f t="shared" si="473"/>
        <v>9.8800000000000008</v>
      </c>
    </row>
    <row r="1839" spans="2:20">
      <c r="B1839" s="332" t="s">
        <v>1907</v>
      </c>
      <c r="C1839" s="333">
        <f t="shared" si="467"/>
        <v>1</v>
      </c>
      <c r="D1839" s="328"/>
      <c r="E1839" s="328">
        <f>VLOOKUP(B1839,DONGIA,DG!$B$6,0)</f>
        <v>0</v>
      </c>
      <c r="F1839" s="779" t="str">
        <f>VLOOKUP(B1839,DONGIA,DG!$C$6,0)</f>
        <v>Cáp đồng bọc CV70</v>
      </c>
      <c r="G1839" s="328" t="str">
        <f>VLOOKUP(B1839,DONGIA,DG!$D$6,0)</f>
        <v>mét</v>
      </c>
      <c r="H1839" s="489">
        <f>8.5*3</f>
        <v>25.5</v>
      </c>
      <c r="I1839" s="329">
        <f>VLOOKUP(B1839,DONGIA,DG!$E$6,0)</f>
        <v>142880</v>
      </c>
      <c r="J1839" s="329"/>
      <c r="K1839" s="329">
        <f>VLOOKUP(B1839,DONGIA,DG!$F$6,0)</f>
        <v>0</v>
      </c>
      <c r="L1839" s="329">
        <f>VLOOKUP(B1839,DONGIA,DG!$G$6,0)</f>
        <v>0</v>
      </c>
      <c r="M1839" s="329">
        <f t="shared" si="468"/>
        <v>3643440</v>
      </c>
      <c r="N1839" s="329">
        <f t="shared" si="469"/>
        <v>0</v>
      </c>
      <c r="O1839" s="329">
        <f t="shared" si="470"/>
        <v>0</v>
      </c>
      <c r="P1839" s="329">
        <f t="shared" si="471"/>
        <v>0</v>
      </c>
      <c r="Q1839" s="329"/>
      <c r="S1839" s="332">
        <f t="shared" si="472"/>
        <v>0.73899999999999999</v>
      </c>
      <c r="T1839" s="332">
        <f t="shared" si="473"/>
        <v>18.8445</v>
      </c>
    </row>
    <row r="1840" spans="2:20">
      <c r="B1840" s="332" t="s">
        <v>1906</v>
      </c>
      <c r="C1840" s="333">
        <f t="shared" si="467"/>
        <v>1</v>
      </c>
      <c r="D1840" s="328"/>
      <c r="E1840" s="328">
        <f>VLOOKUP(B1840,DONGIA,DG!$B$6,0)</f>
        <v>0</v>
      </c>
      <c r="F1840" s="779" t="str">
        <f>VLOOKUP(B1840,DONGIA,DG!$C$6,0)</f>
        <v>Cáp đồng bọc CV50</v>
      </c>
      <c r="G1840" s="328" t="str">
        <f>VLOOKUP(B1840,DONGIA,DG!$D$6,0)</f>
        <v>mét</v>
      </c>
      <c r="H1840" s="489">
        <f>8.5</f>
        <v>8.5</v>
      </c>
      <c r="I1840" s="329">
        <f>VLOOKUP(B1840,DONGIA,DG!$E$6,0)</f>
        <v>104370</v>
      </c>
      <c r="J1840" s="329"/>
      <c r="K1840" s="329">
        <f>VLOOKUP(B1840,DONGIA,DG!$F$6,0)</f>
        <v>0</v>
      </c>
      <c r="L1840" s="329">
        <f>VLOOKUP(B1840,DONGIA,DG!$G$6,0)</f>
        <v>0</v>
      </c>
      <c r="M1840" s="329">
        <f t="shared" si="468"/>
        <v>887145</v>
      </c>
      <c r="N1840" s="329">
        <f t="shared" si="469"/>
        <v>0</v>
      </c>
      <c r="O1840" s="329">
        <f t="shared" si="470"/>
        <v>0</v>
      </c>
      <c r="P1840" s="329">
        <f t="shared" si="471"/>
        <v>0</v>
      </c>
      <c r="Q1840" s="329"/>
      <c r="S1840" s="332">
        <f t="shared" si="472"/>
        <v>0.53400000000000003</v>
      </c>
      <c r="T1840" s="332">
        <f t="shared" si="473"/>
        <v>4.5390000000000006</v>
      </c>
    </row>
    <row r="1841" spans="2:20" hidden="1">
      <c r="B1841" s="332" t="s">
        <v>1116</v>
      </c>
      <c r="C1841" s="333">
        <f t="shared" si="467"/>
        <v>0</v>
      </c>
      <c r="D1841" s="328"/>
      <c r="E1841" s="328"/>
      <c r="F1841" s="329" t="str">
        <f>VLOOKUP(B1841,DONGIA,DG!$C$6,0)</f>
        <v>Đầu cosse ép Cu 95mm2</v>
      </c>
      <c r="G1841" s="328" t="str">
        <f>VLOOKUP(B1841,DONGIA,DG!$D$6,0)</f>
        <v>cái</v>
      </c>
      <c r="H1841" s="329"/>
      <c r="I1841" s="329">
        <f>VLOOKUP(B1841,DONGIA,DG!$E$6,0)</f>
        <v>45000</v>
      </c>
      <c r="J1841" s="329"/>
      <c r="K1841" s="329"/>
      <c r="L1841" s="329"/>
      <c r="M1841" s="329">
        <f t="shared" si="468"/>
        <v>0</v>
      </c>
      <c r="N1841" s="329">
        <f t="shared" si="469"/>
        <v>0</v>
      </c>
      <c r="O1841" s="329">
        <f t="shared" si="470"/>
        <v>0</v>
      </c>
      <c r="P1841" s="329">
        <f t="shared" si="471"/>
        <v>0</v>
      </c>
      <c r="Q1841" s="329"/>
      <c r="S1841" s="332">
        <f t="shared" si="472"/>
        <v>0.2</v>
      </c>
      <c r="T1841" s="332">
        <f t="shared" si="473"/>
        <v>0</v>
      </c>
    </row>
    <row r="1842" spans="2:20">
      <c r="B1842" s="332" t="s">
        <v>1113</v>
      </c>
      <c r="C1842" s="333">
        <f t="shared" si="467"/>
        <v>1</v>
      </c>
      <c r="D1842" s="328"/>
      <c r="E1842" s="328"/>
      <c r="F1842" s="779" t="str">
        <f>VLOOKUP(B1842,DONGIA,DG!$C$6,0)</f>
        <v>Đầu cosse ép Cu 70mm2</v>
      </c>
      <c r="G1842" s="328" t="str">
        <f>VLOOKUP(B1842,DONGIA,DG!$D$6,0)</f>
        <v>cái</v>
      </c>
      <c r="H1842" s="329">
        <v>3</v>
      </c>
      <c r="I1842" s="329">
        <f>VLOOKUP(B1842,DONGIA,DG!$E$6,0)</f>
        <v>33000</v>
      </c>
      <c r="J1842" s="329"/>
      <c r="K1842" s="329"/>
      <c r="L1842" s="329"/>
      <c r="M1842" s="329">
        <f t="shared" si="468"/>
        <v>99000</v>
      </c>
      <c r="N1842" s="329">
        <f t="shared" si="469"/>
        <v>0</v>
      </c>
      <c r="O1842" s="329">
        <f t="shared" si="470"/>
        <v>0</v>
      </c>
      <c r="P1842" s="329">
        <f t="shared" si="471"/>
        <v>0</v>
      </c>
      <c r="Q1842" s="329"/>
      <c r="S1842" s="332">
        <f t="shared" si="472"/>
        <v>0.2</v>
      </c>
      <c r="T1842" s="332">
        <f t="shared" si="473"/>
        <v>0.60000000000000009</v>
      </c>
    </row>
    <row r="1843" spans="2:20">
      <c r="B1843" s="332" t="s">
        <v>1110</v>
      </c>
      <c r="C1843" s="333">
        <f t="shared" si="467"/>
        <v>1</v>
      </c>
      <c r="D1843" s="328"/>
      <c r="E1843" s="328"/>
      <c r="F1843" s="779" t="str">
        <f>VLOOKUP(B1843,DONGIA,DG!$C$6,0)</f>
        <v>Đầu cosse ép Cu 50mm2</v>
      </c>
      <c r="G1843" s="328" t="str">
        <f>VLOOKUP(B1843,DONGIA,DG!$D$6,0)</f>
        <v>cái</v>
      </c>
      <c r="H1843" s="329">
        <v>1</v>
      </c>
      <c r="I1843" s="329">
        <f>VLOOKUP(B1843,DONGIA,DG!$E$6,0)</f>
        <v>23000</v>
      </c>
      <c r="J1843" s="329"/>
      <c r="K1843" s="329"/>
      <c r="L1843" s="329"/>
      <c r="M1843" s="329">
        <f t="shared" si="468"/>
        <v>23000</v>
      </c>
      <c r="N1843" s="329">
        <f t="shared" si="469"/>
        <v>0</v>
      </c>
      <c r="O1843" s="329">
        <f t="shared" si="470"/>
        <v>0</v>
      </c>
      <c r="P1843" s="329">
        <f t="shared" si="471"/>
        <v>0</v>
      </c>
      <c r="Q1843" s="329"/>
      <c r="S1843" s="332">
        <f t="shared" si="472"/>
        <v>0.1</v>
      </c>
      <c r="T1843" s="332">
        <f t="shared" si="473"/>
        <v>0.1</v>
      </c>
    </row>
    <row r="1844" spans="2:20" hidden="1">
      <c r="B1844" s="332" t="s">
        <v>1149</v>
      </c>
      <c r="C1844" s="333">
        <f t="shared" si="467"/>
        <v>0</v>
      </c>
      <c r="D1844" s="328"/>
      <c r="E1844" s="328">
        <f>VLOOKUP(B1844,DONGIA,DG!$B$6,0)</f>
        <v>0</v>
      </c>
      <c r="F1844" s="329" t="str">
        <f>VLOOKUP(B1844,DONGIA,DG!$C$6,0)</f>
        <v>Chụp đầu cosse  95mm2</v>
      </c>
      <c r="G1844" s="328" t="str">
        <f>VLOOKUP(B1844,DONGIA,DG!$D$6,0)</f>
        <v>cái</v>
      </c>
      <c r="H1844" s="329"/>
      <c r="I1844" s="329">
        <f>VLOOKUP(B1844,DONGIA,DG!$E$6,0)</f>
        <v>3000</v>
      </c>
      <c r="J1844" s="329"/>
      <c r="K1844" s="329">
        <f>VLOOKUP(B1844,DONGIA,DG!$F$6,0)</f>
        <v>0</v>
      </c>
      <c r="L1844" s="329">
        <f>VLOOKUP(B1844,DONGIA,DG!$G$6,0)</f>
        <v>0</v>
      </c>
      <c r="M1844" s="329">
        <f t="shared" si="468"/>
        <v>0</v>
      </c>
      <c r="N1844" s="329">
        <f t="shared" si="469"/>
        <v>0</v>
      </c>
      <c r="O1844" s="329">
        <f t="shared" si="470"/>
        <v>0</v>
      </c>
      <c r="P1844" s="329">
        <f t="shared" si="471"/>
        <v>0</v>
      </c>
      <c r="Q1844" s="329"/>
      <c r="S1844" s="332">
        <f t="shared" si="472"/>
        <v>0</v>
      </c>
      <c r="T1844" s="332">
        <f t="shared" si="473"/>
        <v>0</v>
      </c>
    </row>
    <row r="1845" spans="2:20">
      <c r="B1845" s="332" t="s">
        <v>1147</v>
      </c>
      <c r="C1845" s="333">
        <f t="shared" si="467"/>
        <v>1</v>
      </c>
      <c r="D1845" s="328"/>
      <c r="E1845" s="328">
        <f>VLOOKUP(B1845,DONGIA,DG!$B$6,0)</f>
        <v>0</v>
      </c>
      <c r="F1845" s="779" t="str">
        <f>VLOOKUP(B1845,DONGIA,DG!$C$6,0)</f>
        <v>Chụp đầu cosse  70mm2</v>
      </c>
      <c r="G1845" s="328" t="str">
        <f>VLOOKUP(B1845,DONGIA,DG!$D$6,0)</f>
        <v>cái</v>
      </c>
      <c r="H1845" s="329">
        <f>H1842</f>
        <v>3</v>
      </c>
      <c r="I1845" s="329">
        <f>VLOOKUP(B1845,DONGIA,DG!$E$6,0)</f>
        <v>2000</v>
      </c>
      <c r="J1845" s="329"/>
      <c r="K1845" s="329">
        <f>VLOOKUP(B1845,DONGIA,DG!$F$6,0)</f>
        <v>0</v>
      </c>
      <c r="L1845" s="329">
        <f>VLOOKUP(B1845,DONGIA,DG!$G$6,0)</f>
        <v>0</v>
      </c>
      <c r="M1845" s="329">
        <f t="shared" si="468"/>
        <v>6000</v>
      </c>
      <c r="N1845" s="329">
        <f t="shared" si="469"/>
        <v>0</v>
      </c>
      <c r="O1845" s="329">
        <f t="shared" si="470"/>
        <v>0</v>
      </c>
      <c r="P1845" s="329">
        <f t="shared" si="471"/>
        <v>0</v>
      </c>
      <c r="Q1845" s="329"/>
      <c r="S1845" s="332">
        <f t="shared" si="472"/>
        <v>0</v>
      </c>
      <c r="T1845" s="332">
        <f t="shared" si="473"/>
        <v>0</v>
      </c>
    </row>
    <row r="1846" spans="2:20">
      <c r="B1846" s="332" t="s">
        <v>1145</v>
      </c>
      <c r="C1846" s="333">
        <f t="shared" si="467"/>
        <v>1</v>
      </c>
      <c r="D1846" s="328"/>
      <c r="E1846" s="328">
        <f>VLOOKUP(B1846,DONGIA,DG!$B$6,0)</f>
        <v>0</v>
      </c>
      <c r="F1846" s="779" t="str">
        <f>VLOOKUP(B1846,DONGIA,DG!$C$6,0)</f>
        <v>Chụp đầu cosse  50mm2</v>
      </c>
      <c r="G1846" s="328" t="str">
        <f>VLOOKUP(B1846,DONGIA,DG!$D$6,0)</f>
        <v>cái</v>
      </c>
      <c r="H1846" s="329">
        <f>H1843</f>
        <v>1</v>
      </c>
      <c r="I1846" s="329">
        <f>VLOOKUP(B1846,DONGIA,DG!$E$6,0)</f>
        <v>2000</v>
      </c>
      <c r="J1846" s="329"/>
      <c r="K1846" s="329">
        <f>VLOOKUP(B1846,DONGIA,DG!$F$6,0)</f>
        <v>0</v>
      </c>
      <c r="L1846" s="329">
        <f>VLOOKUP(B1846,DONGIA,DG!$G$6,0)</f>
        <v>0</v>
      </c>
      <c r="M1846" s="329">
        <f t="shared" si="468"/>
        <v>2000</v>
      </c>
      <c r="N1846" s="329">
        <f t="shared" si="469"/>
        <v>0</v>
      </c>
      <c r="O1846" s="329">
        <f t="shared" si="470"/>
        <v>0</v>
      </c>
      <c r="P1846" s="329">
        <f t="shared" si="471"/>
        <v>0</v>
      </c>
      <c r="Q1846" s="329"/>
      <c r="S1846" s="332">
        <f t="shared" si="472"/>
        <v>0</v>
      </c>
      <c r="T1846" s="332">
        <f t="shared" si="473"/>
        <v>0</v>
      </c>
    </row>
    <row r="1847" spans="2:20" s="352" customFormat="1">
      <c r="B1847" s="352" t="s">
        <v>1177</v>
      </c>
      <c r="C1847" s="484">
        <f t="shared" si="467"/>
        <v>1</v>
      </c>
      <c r="D1847" s="757"/>
      <c r="E1847" s="757">
        <f>VLOOKUP(B1847,DONGIA,DG!$B$6,0)</f>
        <v>0</v>
      </c>
      <c r="F1847" s="731" t="str">
        <f>VLOOKUP(B1847,DONGIA,DG!$C$6,0)</f>
        <v xml:space="preserve">Ống PVC D90x3,8mm </v>
      </c>
      <c r="G1847" s="757" t="str">
        <f>VLOOKUP(B1847,DONGIA,DG!$D$6,0)</f>
        <v>m</v>
      </c>
      <c r="H1847" s="483">
        <v>12</v>
      </c>
      <c r="I1847" s="329">
        <f>VLOOKUP(B1847,DONGIA,DG!$E$6,0)</f>
        <v>57000</v>
      </c>
      <c r="J1847" s="362"/>
      <c r="K1847" s="362">
        <f>VLOOKUP(B1847,DONGIA,DG!$F$6,0)</f>
        <v>0</v>
      </c>
      <c r="L1847" s="362">
        <f>VLOOKUP(B1847,DONGIA,DG!$G$6,0)</f>
        <v>0</v>
      </c>
      <c r="M1847" s="362">
        <f t="shared" si="468"/>
        <v>684000</v>
      </c>
      <c r="N1847" s="362">
        <f t="shared" si="469"/>
        <v>0</v>
      </c>
      <c r="O1847" s="362">
        <f t="shared" si="470"/>
        <v>0</v>
      </c>
      <c r="P1847" s="362">
        <f t="shared" si="471"/>
        <v>0</v>
      </c>
      <c r="Q1847" s="362"/>
      <c r="S1847" s="352">
        <f t="shared" si="472"/>
        <v>2</v>
      </c>
      <c r="T1847" s="352">
        <f t="shared" si="473"/>
        <v>24</v>
      </c>
    </row>
    <row r="1848" spans="2:20" s="352" customFormat="1" hidden="1">
      <c r="B1848" s="352" t="s">
        <v>1177</v>
      </c>
      <c r="C1848" s="484">
        <f t="shared" si="467"/>
        <v>0</v>
      </c>
      <c r="D1848" s="757"/>
      <c r="E1848" s="757">
        <f>VLOOKUP(B1848,DONGIA,DG!$B$6,0)</f>
        <v>0</v>
      </c>
      <c r="F1848" s="362" t="str">
        <f>VLOOKUP(B1848,DONGIA,DG!$C$6,0)&amp;" (SDL)"</f>
        <v>Ống PVC D90x3,8mm  (SDL)</v>
      </c>
      <c r="G1848" s="757" t="str">
        <f>VLOOKUP(B1848,DONGIA,DG!$D$6,0)</f>
        <v>m</v>
      </c>
      <c r="H1848" s="483"/>
      <c r="I1848" s="362"/>
      <c r="J1848" s="362"/>
      <c r="K1848" s="362">
        <f>VLOOKUP(B1848,DONGIA,DG!$F$6,0)</f>
        <v>0</v>
      </c>
      <c r="L1848" s="362">
        <f>VLOOKUP(B1848,DONGIA,DG!$G$6,0)</f>
        <v>0</v>
      </c>
      <c r="M1848" s="362">
        <f t="shared" si="468"/>
        <v>0</v>
      </c>
      <c r="N1848" s="362">
        <f t="shared" si="469"/>
        <v>0</v>
      </c>
      <c r="O1848" s="362">
        <f t="shared" si="470"/>
        <v>0</v>
      </c>
      <c r="P1848" s="362">
        <f t="shared" si="471"/>
        <v>0</v>
      </c>
      <c r="Q1848" s="362"/>
      <c r="S1848" s="352">
        <f t="shared" si="472"/>
        <v>2</v>
      </c>
      <c r="T1848" s="352">
        <f t="shared" si="473"/>
        <v>0</v>
      </c>
    </row>
    <row r="1849" spans="2:20">
      <c r="B1849" s="332" t="s">
        <v>455</v>
      </c>
      <c r="C1849" s="333">
        <f t="shared" si="467"/>
        <v>1</v>
      </c>
      <c r="D1849" s="328"/>
      <c r="E1849" s="328"/>
      <c r="F1849" s="779" t="str">
        <f>VLOOKUP(B1849,DONGIA,DG!$C$6,0)&amp;" (CD: 250)"</f>
        <v>Cổ dê kẹp ống PVC φ 90 (có giá nới) (CD: 250)</v>
      </c>
      <c r="G1849" s="328" t="str">
        <f>VLOOKUP(B1849,DONGIA,DG!$D$6,0)</f>
        <v>bộ</v>
      </c>
      <c r="H1849" s="329">
        <v>2</v>
      </c>
      <c r="I1849" s="329">
        <f>VLOOKUP(B1849,DONGIA,DG!$E$6,0)</f>
        <v>60000</v>
      </c>
      <c r="J1849" s="329"/>
      <c r="K1849" s="329"/>
      <c r="L1849" s="329">
        <f>VLOOKUP(B1849,DONGIA,DG!$G$6,0)</f>
        <v>0</v>
      </c>
      <c r="M1849" s="329">
        <f t="shared" si="468"/>
        <v>120000</v>
      </c>
      <c r="N1849" s="329">
        <f t="shared" si="469"/>
        <v>0</v>
      </c>
      <c r="O1849" s="329">
        <f t="shared" si="470"/>
        <v>0</v>
      </c>
      <c r="P1849" s="329">
        <f t="shared" si="471"/>
        <v>0</v>
      </c>
      <c r="Q1849" s="362"/>
      <c r="S1849" s="332">
        <f t="shared" si="472"/>
        <v>1.5</v>
      </c>
      <c r="T1849" s="332">
        <f t="shared" si="473"/>
        <v>3</v>
      </c>
    </row>
    <row r="1850" spans="2:20">
      <c r="B1850" s="332" t="s">
        <v>455</v>
      </c>
      <c r="C1850" s="333">
        <f t="shared" si="467"/>
        <v>1</v>
      </c>
      <c r="D1850" s="328"/>
      <c r="E1850" s="328"/>
      <c r="F1850" s="779" t="str">
        <f>VLOOKUP(B1850,DONGIA,DG!$C$6,0)&amp;" (CD: 280)"</f>
        <v>Cổ dê kẹp ống PVC φ 90 (có giá nới) (CD: 280)</v>
      </c>
      <c r="G1850" s="328" t="str">
        <f>VLOOKUP(B1850,DONGIA,DG!$D$6,0)</f>
        <v>bộ</v>
      </c>
      <c r="H1850" s="329">
        <v>2</v>
      </c>
      <c r="I1850" s="329">
        <f>VLOOKUP(B1850,DONGIA,DG!$E$6,0)</f>
        <v>60000</v>
      </c>
      <c r="J1850" s="329"/>
      <c r="K1850" s="329"/>
      <c r="L1850" s="329">
        <f>VLOOKUP(B1850,DONGIA,DG!$G$6,0)</f>
        <v>0</v>
      </c>
      <c r="M1850" s="329">
        <f t="shared" si="468"/>
        <v>120000</v>
      </c>
      <c r="N1850" s="329">
        <f t="shared" si="469"/>
        <v>0</v>
      </c>
      <c r="O1850" s="329">
        <f t="shared" si="470"/>
        <v>0</v>
      </c>
      <c r="P1850" s="329">
        <f t="shared" si="471"/>
        <v>0</v>
      </c>
      <c r="Q1850" s="362"/>
      <c r="S1850" s="332">
        <f t="shared" si="472"/>
        <v>1.5</v>
      </c>
      <c r="T1850" s="332">
        <f t="shared" si="473"/>
        <v>3</v>
      </c>
    </row>
    <row r="1851" spans="2:20">
      <c r="B1851" s="332" t="s">
        <v>455</v>
      </c>
      <c r="C1851" s="333">
        <f t="shared" si="467"/>
        <v>1</v>
      </c>
      <c r="D1851" s="328"/>
      <c r="E1851" s="328"/>
      <c r="F1851" s="779" t="str">
        <f>VLOOKUP(B1851,DONGIA,DG!$C$6,0)&amp;" (CD: 320)"</f>
        <v>Cổ dê kẹp ống PVC φ 90 (có giá nới) (CD: 320)</v>
      </c>
      <c r="G1851" s="328" t="str">
        <f>VLOOKUP(B1851,DONGIA,DG!$D$6,0)</f>
        <v>bộ</v>
      </c>
      <c r="H1851" s="329">
        <v>2</v>
      </c>
      <c r="I1851" s="329">
        <f>VLOOKUP(B1851,DONGIA,DG!$E$6,0)</f>
        <v>60000</v>
      </c>
      <c r="J1851" s="329"/>
      <c r="K1851" s="329"/>
      <c r="L1851" s="329">
        <f>VLOOKUP(B1851,DONGIA,DG!$G$6,0)</f>
        <v>0</v>
      </c>
      <c r="M1851" s="329">
        <f t="shared" si="468"/>
        <v>120000</v>
      </c>
      <c r="N1851" s="329">
        <f t="shared" si="469"/>
        <v>0</v>
      </c>
      <c r="O1851" s="329">
        <f t="shared" si="470"/>
        <v>0</v>
      </c>
      <c r="P1851" s="329">
        <f t="shared" si="471"/>
        <v>0</v>
      </c>
      <c r="Q1851" s="362"/>
      <c r="S1851" s="332">
        <f t="shared" si="472"/>
        <v>1.5</v>
      </c>
      <c r="T1851" s="332">
        <f t="shared" si="473"/>
        <v>3</v>
      </c>
    </row>
    <row r="1852" spans="2:20">
      <c r="B1852" s="332" t="s">
        <v>2956</v>
      </c>
      <c r="C1852" s="333">
        <f t="shared" si="467"/>
        <v>1</v>
      </c>
      <c r="D1852" s="328"/>
      <c r="E1852" s="328">
        <f>VLOOKUP(B1852,DONGIA,DG!$B$6,0)</f>
        <v>0</v>
      </c>
      <c r="F1852" s="779" t="str">
        <f>VLOOKUP(B1852,DONGIA,DG!$C$6,0)</f>
        <v>Co  90 độ PVC 90 (Loại dày)</v>
      </c>
      <c r="G1852" s="328" t="str">
        <f>VLOOKUP(B1852,DONGIA,DG!$D$6,0)</f>
        <v>cái</v>
      </c>
      <c r="H1852" s="329">
        <v>6</v>
      </c>
      <c r="I1852" s="329">
        <f>VLOOKUP(B1852,DONGIA,DG!$E$6,0)</f>
        <v>45400</v>
      </c>
      <c r="J1852" s="329"/>
      <c r="K1852" s="329">
        <f>VLOOKUP(B1852,DONGIA,DG!$F$6,0)</f>
        <v>0</v>
      </c>
      <c r="L1852" s="329">
        <f>VLOOKUP(B1852,DONGIA,DG!$G$6,0)</f>
        <v>0</v>
      </c>
      <c r="M1852" s="329">
        <f t="shared" si="468"/>
        <v>272400</v>
      </c>
      <c r="N1852" s="329">
        <f t="shared" si="469"/>
        <v>0</v>
      </c>
      <c r="O1852" s="329">
        <f t="shared" si="470"/>
        <v>0</v>
      </c>
      <c r="P1852" s="329">
        <f t="shared" si="471"/>
        <v>0</v>
      </c>
      <c r="Q1852" s="329"/>
      <c r="S1852" s="332">
        <f t="shared" si="472"/>
        <v>0</v>
      </c>
      <c r="T1852" s="332">
        <f t="shared" si="473"/>
        <v>0</v>
      </c>
    </row>
    <row r="1853" spans="2:20" hidden="1">
      <c r="B1853" s="332" t="s">
        <v>1183</v>
      </c>
      <c r="C1853" s="333">
        <f t="shared" si="467"/>
        <v>0</v>
      </c>
      <c r="D1853" s="328"/>
      <c r="E1853" s="328">
        <f>VLOOKUP(B1853,DONGIA,DG!$B$6,0)</f>
        <v>0</v>
      </c>
      <c r="F1853" s="329" t="str">
        <f>VLOOKUP(B1853,DONGIA,DG!$C$6,0)</f>
        <v>Co  90 độ PVC 90</v>
      </c>
      <c r="G1853" s="328" t="str">
        <f>VLOOKUP(B1853,DONGIA,DG!$D$6,0)</f>
        <v>cái</v>
      </c>
      <c r="H1853" s="329"/>
      <c r="I1853" s="329">
        <f>VLOOKUP(B1853,DONGIA,DG!$E$6,0)</f>
        <v>45400</v>
      </c>
      <c r="J1853" s="329"/>
      <c r="K1853" s="329">
        <f>VLOOKUP(B1853,DONGIA,DG!$F$6,0)</f>
        <v>0</v>
      </c>
      <c r="L1853" s="329">
        <f>VLOOKUP(B1853,DONGIA,DG!$G$6,0)</f>
        <v>0</v>
      </c>
      <c r="M1853" s="329">
        <f t="shared" si="468"/>
        <v>0</v>
      </c>
      <c r="N1853" s="329">
        <f t="shared" si="469"/>
        <v>0</v>
      </c>
      <c r="O1853" s="329">
        <f t="shared" si="470"/>
        <v>0</v>
      </c>
      <c r="P1853" s="329">
        <f t="shared" si="471"/>
        <v>0</v>
      </c>
      <c r="Q1853" s="329"/>
      <c r="S1853" s="332">
        <f t="shared" si="472"/>
        <v>0</v>
      </c>
      <c r="T1853" s="332">
        <f t="shared" si="473"/>
        <v>0</v>
      </c>
    </row>
    <row r="1854" spans="2:20">
      <c r="B1854" s="332" t="s">
        <v>1181</v>
      </c>
      <c r="C1854" s="333">
        <f t="shared" si="467"/>
        <v>1</v>
      </c>
      <c r="D1854" s="328"/>
      <c r="E1854" s="328">
        <f>VLOOKUP(B1854,DONGIA,DG!$B$6,0)</f>
        <v>0</v>
      </c>
      <c r="F1854" s="779" t="str">
        <f>VLOOKUP(B1854,DONGIA,DG!$C$6,0)</f>
        <v>Co 135 độ PVC 90</v>
      </c>
      <c r="G1854" s="328" t="str">
        <f>VLOOKUP(B1854,DONGIA,DG!$D$6,0)</f>
        <v>cái</v>
      </c>
      <c r="H1854" s="329">
        <v>2</v>
      </c>
      <c r="I1854" s="329">
        <f>VLOOKUP(B1854,DONGIA,DG!$E$6,0)</f>
        <v>34800</v>
      </c>
      <c r="J1854" s="329"/>
      <c r="K1854" s="329">
        <f>VLOOKUP(B1854,DONGIA,DG!$F$6,0)</f>
        <v>0</v>
      </c>
      <c r="L1854" s="329">
        <f>VLOOKUP(B1854,DONGIA,DG!$G$6,0)</f>
        <v>0</v>
      </c>
      <c r="M1854" s="329">
        <f t="shared" si="468"/>
        <v>69600</v>
      </c>
      <c r="N1854" s="329">
        <f t="shared" si="469"/>
        <v>0</v>
      </c>
      <c r="O1854" s="329">
        <f t="shared" si="470"/>
        <v>0</v>
      </c>
      <c r="P1854" s="329">
        <f t="shared" si="471"/>
        <v>0</v>
      </c>
      <c r="Q1854" s="329"/>
      <c r="S1854" s="332">
        <f t="shared" si="472"/>
        <v>0</v>
      </c>
      <c r="T1854" s="332">
        <f t="shared" si="473"/>
        <v>0</v>
      </c>
    </row>
    <row r="1855" spans="2:20">
      <c r="B1855" s="332" t="s">
        <v>1203</v>
      </c>
      <c r="C1855" s="333">
        <f t="shared" si="467"/>
        <v>1</v>
      </c>
      <c r="D1855" s="328"/>
      <c r="E1855" s="328">
        <f>VLOOKUP(B1855,DONGIA,DG!$B$6,0)</f>
        <v>0</v>
      </c>
      <c r="F1855" s="779" t="str">
        <f>VLOOKUP(B1855,DONGIA,DG!$C$6,0)</f>
        <v>Khâu ven răng trong D90</v>
      </c>
      <c r="G1855" s="328" t="str">
        <f>VLOOKUP(B1855,DONGIA,DG!$D$6,0)</f>
        <v>cái</v>
      </c>
      <c r="H1855" s="329">
        <v>2</v>
      </c>
      <c r="I1855" s="329">
        <f>VLOOKUP(B1855,DONGIA,DG!$E$6,0)</f>
        <v>25800</v>
      </c>
      <c r="J1855" s="329"/>
      <c r="K1855" s="329">
        <f>VLOOKUP(B1855,DONGIA,DG!$F$6,0)</f>
        <v>0</v>
      </c>
      <c r="L1855" s="329">
        <f>VLOOKUP(B1855,DONGIA,DG!$G$6,0)</f>
        <v>0</v>
      </c>
      <c r="M1855" s="329">
        <f t="shared" si="468"/>
        <v>51600</v>
      </c>
      <c r="N1855" s="329">
        <f t="shared" si="469"/>
        <v>0</v>
      </c>
      <c r="O1855" s="329">
        <f t="shared" si="470"/>
        <v>0</v>
      </c>
      <c r="P1855" s="329">
        <f t="shared" si="471"/>
        <v>0</v>
      </c>
      <c r="Q1855" s="329"/>
      <c r="S1855" s="332">
        <f t="shared" si="472"/>
        <v>0</v>
      </c>
      <c r="T1855" s="332">
        <f t="shared" si="473"/>
        <v>0</v>
      </c>
    </row>
    <row r="1856" spans="2:20">
      <c r="B1856" s="332" t="s">
        <v>1209</v>
      </c>
      <c r="C1856" s="333">
        <f t="shared" si="467"/>
        <v>1</v>
      </c>
      <c r="D1856" s="328"/>
      <c r="E1856" s="328">
        <f>VLOOKUP(B1856,DONGIA,DG!$B$6,0)</f>
        <v>0</v>
      </c>
      <c r="F1856" s="779" t="str">
        <f>VLOOKUP(B1856,DONGIA,DG!$C$6,0)</f>
        <v>Khâu ven răng ngoài D90</v>
      </c>
      <c r="G1856" s="328" t="str">
        <f>VLOOKUP(B1856,DONGIA,DG!$D$6,0)</f>
        <v>cái</v>
      </c>
      <c r="H1856" s="329">
        <f>H1855</f>
        <v>2</v>
      </c>
      <c r="I1856" s="329">
        <f>VLOOKUP(B1856,DONGIA,DG!$E$6,0)</f>
        <v>21500</v>
      </c>
      <c r="J1856" s="329"/>
      <c r="K1856" s="329">
        <f>VLOOKUP(B1856,DONGIA,DG!$F$6,0)</f>
        <v>0</v>
      </c>
      <c r="L1856" s="329">
        <f>VLOOKUP(B1856,DONGIA,DG!$G$6,0)</f>
        <v>0</v>
      </c>
      <c r="M1856" s="329">
        <f t="shared" si="468"/>
        <v>43000</v>
      </c>
      <c r="N1856" s="329">
        <f t="shared" si="469"/>
        <v>0</v>
      </c>
      <c r="O1856" s="329">
        <f t="shared" si="470"/>
        <v>0</v>
      </c>
      <c r="P1856" s="329">
        <f t="shared" si="471"/>
        <v>0</v>
      </c>
      <c r="Q1856" s="329"/>
      <c r="S1856" s="332">
        <f t="shared" si="472"/>
        <v>0</v>
      </c>
      <c r="T1856" s="332">
        <f t="shared" si="473"/>
        <v>0</v>
      </c>
    </row>
    <row r="1857" spans="1:20" hidden="1">
      <c r="B1857" s="332" t="s">
        <v>1914</v>
      </c>
      <c r="C1857" s="333">
        <f t="shared" si="467"/>
        <v>0</v>
      </c>
      <c r="D1857" s="328"/>
      <c r="E1857" s="328">
        <f>VLOOKUP(B1857,DONGIA,DG!$B$6,0)</f>
        <v>0</v>
      </c>
      <c r="F1857" s="329" t="str">
        <f>VLOOKUP(B1857,DONGIA,DG!$C$6,0)</f>
        <v>Keo dán ống PVC (100gr)</v>
      </c>
      <c r="G1857" s="328" t="str">
        <f>VLOOKUP(B1857,DONGIA,DG!$D$6,0)</f>
        <v>tuýp</v>
      </c>
      <c r="H1857" s="329"/>
      <c r="I1857" s="329">
        <f>VLOOKUP(B1857,DONGIA,DG!$E$6,0)</f>
        <v>11500</v>
      </c>
      <c r="J1857" s="329"/>
      <c r="K1857" s="329">
        <f>VLOOKUP(B1857,DONGIA,DG!$F$6,0)</f>
        <v>0</v>
      </c>
      <c r="L1857" s="329">
        <f>VLOOKUP(B1857,DONGIA,DG!$G$6,0)</f>
        <v>0</v>
      </c>
      <c r="M1857" s="329">
        <f t="shared" si="468"/>
        <v>0</v>
      </c>
      <c r="N1857" s="329">
        <f t="shared" si="469"/>
        <v>0</v>
      </c>
      <c r="O1857" s="329">
        <f t="shared" si="470"/>
        <v>0</v>
      </c>
      <c r="P1857" s="329">
        <f t="shared" si="471"/>
        <v>0</v>
      </c>
      <c r="Q1857" s="329"/>
      <c r="S1857" s="332">
        <f t="shared" si="472"/>
        <v>0</v>
      </c>
      <c r="T1857" s="332">
        <f t="shared" si="473"/>
        <v>0</v>
      </c>
    </row>
    <row r="1858" spans="1:20">
      <c r="B1858" s="332" t="s">
        <v>1639</v>
      </c>
      <c r="C1858" s="333">
        <f t="shared" si="467"/>
        <v>1</v>
      </c>
      <c r="D1858" s="328"/>
      <c r="E1858" s="328">
        <f>VLOOKUP(B1858,DONGIA,DG!$B$6,0)</f>
        <v>0</v>
      </c>
      <c r="F1858" s="779" t="str">
        <f>VLOOKUP(B1858,DONGIA,DG!$C$6,0)&amp;" bịt miệng ống"</f>
        <v>Xi măng bịt miệng ống</v>
      </c>
      <c r="G1858" s="328" t="str">
        <f>VLOOKUP(B1858,DONGIA,DG!$D$6,0)</f>
        <v>kg</v>
      </c>
      <c r="H1858" s="489">
        <v>1</v>
      </c>
      <c r="I1858" s="329">
        <f>VLOOKUP(B1858,DONGIA,DG!$E$6,0)</f>
        <v>1760</v>
      </c>
      <c r="J1858" s="329"/>
      <c r="K1858" s="329">
        <f>VLOOKUP(B1858,DONGIA,DG!$F$6,0)</f>
        <v>0</v>
      </c>
      <c r="L1858" s="329">
        <f>VLOOKUP(B1858,DONGIA,DG!$G$6,0)</f>
        <v>0</v>
      </c>
      <c r="M1858" s="329">
        <f t="shared" si="468"/>
        <v>1760</v>
      </c>
      <c r="N1858" s="329">
        <f t="shared" si="469"/>
        <v>0</v>
      </c>
      <c r="O1858" s="329">
        <f t="shared" si="470"/>
        <v>0</v>
      </c>
      <c r="P1858" s="329">
        <f t="shared" si="471"/>
        <v>0</v>
      </c>
      <c r="Q1858" s="329"/>
      <c r="S1858" s="332">
        <f t="shared" si="472"/>
        <v>1</v>
      </c>
      <c r="T1858" s="332">
        <f t="shared" si="473"/>
        <v>1</v>
      </c>
    </row>
    <row r="1859" spans="1:20">
      <c r="B1859" s="332" t="s">
        <v>1193</v>
      </c>
      <c r="C1859" s="333">
        <f t="shared" si="467"/>
        <v>1</v>
      </c>
      <c r="D1859" s="328"/>
      <c r="E1859" s="328">
        <f>VLOOKUP(B1859,DONGIA,DG!$B$6,0)</f>
        <v>0</v>
      </c>
      <c r="F1859" s="779" t="str">
        <f>VLOOKUP(B1859,DONGIA,DG!$C$6,0)</f>
        <v>Băng keo cách điện</v>
      </c>
      <c r="G1859" s="328" t="str">
        <f>VLOOKUP(B1859,DONGIA,DG!$D$6,0)</f>
        <v>cuộn</v>
      </c>
      <c r="H1859" s="329">
        <v>1</v>
      </c>
      <c r="I1859" s="329">
        <f>VLOOKUP(B1859,DONGIA,DG!$E$6,0)</f>
        <v>6500</v>
      </c>
      <c r="J1859" s="329"/>
      <c r="K1859" s="329">
        <f>VLOOKUP(B1859,DONGIA,DG!$F$6,0)</f>
        <v>0</v>
      </c>
      <c r="L1859" s="329">
        <f>VLOOKUP(B1859,DONGIA,DG!$G$6,0)</f>
        <v>0</v>
      </c>
      <c r="M1859" s="329">
        <f t="shared" si="468"/>
        <v>6500</v>
      </c>
      <c r="N1859" s="329">
        <f t="shared" si="469"/>
        <v>0</v>
      </c>
      <c r="O1859" s="329">
        <f t="shared" si="470"/>
        <v>0</v>
      </c>
      <c r="P1859" s="329">
        <f t="shared" si="471"/>
        <v>0</v>
      </c>
      <c r="Q1859" s="329"/>
      <c r="S1859" s="332">
        <f t="shared" si="472"/>
        <v>0</v>
      </c>
      <c r="T1859" s="332">
        <f t="shared" si="473"/>
        <v>0</v>
      </c>
    </row>
    <row r="1860" spans="1:20">
      <c r="B1860" s="332" t="s">
        <v>855</v>
      </c>
      <c r="C1860" s="333">
        <f t="shared" si="467"/>
        <v>1</v>
      </c>
      <c r="D1860" s="328"/>
      <c r="E1860" s="328" t="str">
        <f>VLOOKUP(B1860,DONGIA,DG!$B$6,0)</f>
        <v>T4.8003</v>
      </c>
      <c r="F1860" s="779" t="str">
        <f>VLOOKUP(B1860,DONGIA,DG!$C$6,0)</f>
        <v>Lắp ống nhựa PVC D90</v>
      </c>
      <c r="G1860" s="328" t="str">
        <f>VLOOKUP(B1860,DONGIA,DG!$D$6,0)</f>
        <v>mét</v>
      </c>
      <c r="H1860" s="489">
        <f>H1847+H1848</f>
        <v>12</v>
      </c>
      <c r="I1860" s="329">
        <f>VLOOKUP(B1860,DONGIA,DG!$E$6,0)</f>
        <v>0</v>
      </c>
      <c r="J1860" s="329"/>
      <c r="K1860" s="329">
        <f>VLOOKUP(B1860,DONGIA,DG!$F$6,0)</f>
        <v>35541</v>
      </c>
      <c r="L1860" s="329">
        <f>VLOOKUP(B1860,DONGIA,DG!$G$6,0)</f>
        <v>0</v>
      </c>
      <c r="M1860" s="329">
        <f t="shared" si="468"/>
        <v>0</v>
      </c>
      <c r="N1860" s="329">
        <f t="shared" si="469"/>
        <v>0</v>
      </c>
      <c r="O1860" s="329">
        <f t="shared" si="470"/>
        <v>426492</v>
      </c>
      <c r="P1860" s="329">
        <f t="shared" si="471"/>
        <v>0</v>
      </c>
      <c r="Q1860" s="329"/>
      <c r="S1860" s="332">
        <f t="shared" si="472"/>
        <v>0</v>
      </c>
      <c r="T1860" s="332">
        <f t="shared" si="473"/>
        <v>0</v>
      </c>
    </row>
    <row r="1861" spans="1:20">
      <c r="B1861" s="332" t="s">
        <v>1939</v>
      </c>
      <c r="C1861" s="333">
        <f t="shared" si="467"/>
        <v>1</v>
      </c>
      <c r="D1861" s="328"/>
      <c r="E1861" s="328" t="str">
        <f>VLOOKUP(B1861,DONGIA,DG!$B$6,0)</f>
        <v>T4.4201</v>
      </c>
      <c r="F1861" s="779" t="str">
        <f>VLOOKUP(B1861,DONGIA,DG!$C$6,0)</f>
        <v>Lắp cáp đồng xuống thiết bị D ≤ 95mm2</v>
      </c>
      <c r="G1861" s="328" t="str">
        <f>VLOOKUP(B1861,DONGIA,DG!$D$6,0)</f>
        <v>m</v>
      </c>
      <c r="H1861" s="489">
        <f>H1835+H1838</f>
        <v>24</v>
      </c>
      <c r="I1861" s="329">
        <f>VLOOKUP(B1861,DONGIA,DG!$E$6,0)</f>
        <v>0</v>
      </c>
      <c r="J1861" s="329"/>
      <c r="K1861" s="329">
        <f>VLOOKUP(B1861,DONGIA,DG!$F$6,0)</f>
        <v>11847</v>
      </c>
      <c r="L1861" s="329">
        <f>VLOOKUP(B1861,DONGIA,DG!$G$6,0)</f>
        <v>0</v>
      </c>
      <c r="M1861" s="329">
        <f t="shared" si="468"/>
        <v>0</v>
      </c>
      <c r="N1861" s="329">
        <f t="shared" si="469"/>
        <v>0</v>
      </c>
      <c r="O1861" s="329">
        <f t="shared" si="470"/>
        <v>284328</v>
      </c>
      <c r="P1861" s="329">
        <f t="shared" si="471"/>
        <v>0</v>
      </c>
      <c r="Q1861" s="329"/>
      <c r="S1861" s="332">
        <f t="shared" si="472"/>
        <v>0</v>
      </c>
      <c r="T1861" s="332">
        <f t="shared" si="473"/>
        <v>0</v>
      </c>
    </row>
    <row r="1862" spans="1:20">
      <c r="B1862" s="332" t="s">
        <v>2063</v>
      </c>
      <c r="C1862" s="333">
        <f>IF(H1862&lt;&gt;0,1,)</f>
        <v>1</v>
      </c>
      <c r="D1862" s="328"/>
      <c r="E1862" s="328" t="str">
        <f>VLOOKUP(B1862,DONGIA,DG!$B$6,0)</f>
        <v>T4.4202</v>
      </c>
      <c r="F1862" s="779" t="str">
        <f>VLOOKUP(B1862,DONGIA,DG!$C$6,0)</f>
        <v>Lắp cáp đồng xuống thiết bị D ≤ 150mm2</v>
      </c>
      <c r="G1862" s="328" t="str">
        <f>VLOOKUP(B1862,DONGIA,DG!$D$6,0)</f>
        <v>m</v>
      </c>
      <c r="H1862" s="489">
        <f>H1836+H1839+H1840</f>
        <v>42</v>
      </c>
      <c r="I1862" s="329">
        <f>VLOOKUP(B1862,DONGIA,DG!$E$6,0)</f>
        <v>0</v>
      </c>
      <c r="J1862" s="329"/>
      <c r="K1862" s="329">
        <f>VLOOKUP(B1862,DONGIA,DG!$F$6,0)</f>
        <v>28433</v>
      </c>
      <c r="L1862" s="329">
        <f>VLOOKUP(B1862,DONGIA,DG!$G$6,0)</f>
        <v>0</v>
      </c>
      <c r="M1862" s="329">
        <f>$H1862*I1862</f>
        <v>0</v>
      </c>
      <c r="N1862" s="329">
        <f>$H1862*J1862</f>
        <v>0</v>
      </c>
      <c r="O1862" s="329">
        <f>$H1862*K1862</f>
        <v>1194186</v>
      </c>
      <c r="P1862" s="329">
        <f>$H1862*L1862</f>
        <v>0</v>
      </c>
      <c r="Q1862" s="329"/>
      <c r="S1862" s="332">
        <f t="shared" ref="S1862:S1898" si="474">IFERROR(VLOOKUP(B1862,DONGIA,$S$25,0),0)</f>
        <v>0</v>
      </c>
      <c r="T1862" s="332">
        <f>H1862*S1862</f>
        <v>0</v>
      </c>
    </row>
    <row r="1863" spans="1:20">
      <c r="B1863" s="332" t="s">
        <v>1058</v>
      </c>
      <c r="C1863" s="333">
        <f>IF(H1863&lt;&gt;0,1,)</f>
        <v>1</v>
      </c>
      <c r="D1863" s="372">
        <f>IF(H1863&lt;&gt;0,D1803+1,D1803)</f>
        <v>9</v>
      </c>
      <c r="E1863" s="372">
        <f>VLOOKUP(B1863,DONGIA,DG!$B$6,0)</f>
        <v>0</v>
      </c>
      <c r="F1863" s="780" t="str">
        <f>VLOOKUP(B1863,DONGIA,DG!$C$6,0)</f>
        <v>Bảng tên trạm + bulon</v>
      </c>
      <c r="G1863" s="372" t="str">
        <f>VLOOKUP(B1863,DONGIA,DG!$D$6,0)</f>
        <v>bộ</v>
      </c>
      <c r="H1863" s="372">
        <v>1</v>
      </c>
      <c r="I1863" s="373">
        <f>VLOOKUP(B1863,DONGIA,DG!$E$6,0)</f>
        <v>150000</v>
      </c>
      <c r="J1863" s="373"/>
      <c r="K1863" s="373"/>
      <c r="L1863" s="373"/>
      <c r="M1863" s="373">
        <f>H1863*I1863</f>
        <v>150000</v>
      </c>
      <c r="N1863" s="373"/>
      <c r="O1863" s="373"/>
      <c r="P1863" s="373"/>
      <c r="Q1863" s="473"/>
      <c r="S1863" s="332">
        <f t="shared" si="474"/>
        <v>0</v>
      </c>
      <c r="T1863" s="332">
        <f>H1863*S1863</f>
        <v>0</v>
      </c>
    </row>
    <row r="1864" spans="1:20" s="353" customFormat="1">
      <c r="A1864" s="353" t="s">
        <v>3221</v>
      </c>
      <c r="C1864" s="333">
        <f>IF((C1865+C1875)&lt;&gt;0,1,)</f>
        <v>1</v>
      </c>
      <c r="D1864" s="368"/>
      <c r="E1864" s="369" t="str">
        <f>TRNC2X100&amp;" Trạm NC từ 2x100kVA lên 3x100kVA"</f>
        <v>1 Trạm NC từ 2x100kVA lên 3x100kVA</v>
      </c>
      <c r="F1864" s="777"/>
      <c r="G1864" s="368"/>
      <c r="H1864" s="368"/>
      <c r="I1864" s="325"/>
      <c r="J1864" s="325"/>
      <c r="K1864" s="325"/>
      <c r="L1864" s="325"/>
      <c r="M1864" s="325"/>
      <c r="N1864" s="325"/>
      <c r="O1864" s="325"/>
      <c r="P1864" s="325"/>
      <c r="Q1864" s="368"/>
      <c r="S1864" s="332">
        <f t="shared" si="474"/>
        <v>0</v>
      </c>
      <c r="T1864" s="332">
        <f>H1864*S1864</f>
        <v>0</v>
      </c>
    </row>
    <row r="1865" spans="1:20">
      <c r="A1865" s="332" t="str">
        <f>"TB"&amp;A1864</f>
        <v>TBTRNC2x100</v>
      </c>
      <c r="C1865" s="333">
        <f>IF(SUM(C1866:C1874)&lt;&gt;0,1,)</f>
        <v>1</v>
      </c>
      <c r="D1865" s="344"/>
      <c r="E1865" s="344"/>
      <c r="F1865" s="778" t="s">
        <v>1900</v>
      </c>
      <c r="G1865" s="344"/>
      <c r="H1865" s="345"/>
      <c r="I1865" s="345"/>
      <c r="J1865" s="345"/>
      <c r="K1865" s="345"/>
      <c r="L1865" s="345"/>
      <c r="M1865" s="345">
        <f>SUM(M1866:M1874)</f>
        <v>95178000</v>
      </c>
      <c r="N1865" s="345">
        <f>SUM(N1866:N1874)</f>
        <v>0</v>
      </c>
      <c r="O1865" s="345">
        <f>SUM(O1866:O1874)</f>
        <v>3949920</v>
      </c>
      <c r="P1865" s="345">
        <f>SUM(P1866:P1874)</f>
        <v>1081815</v>
      </c>
      <c r="Q1865" s="345"/>
      <c r="S1865" s="332">
        <f t="shared" si="474"/>
        <v>0</v>
      </c>
      <c r="T1865" s="371">
        <f>SUM(T1866:T1874)</f>
        <v>1706.3999999999999</v>
      </c>
    </row>
    <row r="1866" spans="1:20">
      <c r="A1866" s="332" t="s">
        <v>477</v>
      </c>
      <c r="B1866" s="332" t="s">
        <v>905</v>
      </c>
      <c r="C1866" s="333">
        <f t="shared" ref="C1866:C1874" si="475">IF(H1866&lt;&gt;0,1,)</f>
        <v>1</v>
      </c>
      <c r="D1866" s="328"/>
      <c r="E1866" s="328" t="str">
        <f>VLOOKUP(B1866,DONGIA,DG!$B$6,0)</f>
        <v>T1.1434</v>
      </c>
      <c r="F1866" s="779" t="str">
        <f>VLOOKUP(B1866,DONGIA,DG!$C$6,0)</f>
        <v>Máy biến áp AMORPHOUS 12,7/0,22-0,44kV 100kVA</v>
      </c>
      <c r="G1866" s="328" t="str">
        <f>VLOOKUP(B1866,DONGIA,DG!$D$6,0)</f>
        <v>máy</v>
      </c>
      <c r="H1866" s="329">
        <f>TRNC2X100</f>
        <v>1</v>
      </c>
      <c r="I1866" s="329">
        <f>VLOOKUP(B1866,DONGIA,DG!$E$6,0)</f>
        <v>91288000</v>
      </c>
      <c r="J1866" s="329"/>
      <c r="K1866" s="329">
        <f>VLOOKUP(B1866,DONGIA,DG!$F$6,0)</f>
        <v>1056006</v>
      </c>
      <c r="L1866" s="329">
        <f>VLOOKUP(B1866,DONGIA,DG!$G$6,0)</f>
        <v>360605</v>
      </c>
      <c r="M1866" s="329">
        <f t="shared" ref="M1866:M1874" si="476">$H1866*I1866</f>
        <v>91288000</v>
      </c>
      <c r="N1866" s="329">
        <f t="shared" ref="N1866:N1874" si="477">$H1866*J1866</f>
        <v>0</v>
      </c>
      <c r="O1866" s="329">
        <f t="shared" ref="O1866:O1874" si="478">$H1866*K1866</f>
        <v>1056006</v>
      </c>
      <c r="P1866" s="329">
        <f t="shared" ref="P1866:P1874" si="479">$H1866*L1866</f>
        <v>360605</v>
      </c>
      <c r="Q1866" s="329"/>
      <c r="S1866" s="332">
        <f t="shared" si="474"/>
        <v>565</v>
      </c>
      <c r="T1866" s="332">
        <f t="shared" ref="T1866:T1874" si="480">H1866*S1866</f>
        <v>565</v>
      </c>
    </row>
    <row r="1867" spans="1:20">
      <c r="A1867" s="332" t="s">
        <v>477</v>
      </c>
      <c r="B1867" s="332" t="s">
        <v>1444</v>
      </c>
      <c r="C1867" s="333">
        <f t="shared" si="475"/>
        <v>1</v>
      </c>
      <c r="D1867" s="328"/>
      <c r="E1867" s="328" t="str">
        <f>VLOOKUP(B1867,DONGIA,DG!$B$6,0)</f>
        <v>T2.3505</v>
      </c>
      <c r="F1867" s="779" t="str">
        <f>VLOOKUP(B1867,DONGIA,DG!$C$6,0)</f>
        <v>FCO 27kV - 100A</v>
      </c>
      <c r="G1867" s="328" t="str">
        <f>VLOOKUP(B1867,DONGIA,DG!$D$6,0)</f>
        <v>cái</v>
      </c>
      <c r="H1867" s="329">
        <f>TRNC2X100*2</f>
        <v>2</v>
      </c>
      <c r="I1867" s="329">
        <f>VLOOKUP(B1867,DONGIA,DG!$E$6,0)</f>
        <v>1070000</v>
      </c>
      <c r="J1867" s="329"/>
      <c r="K1867" s="329">
        <f>VLOOKUP(B1867,DONGIA,DG!$F$6,0)</f>
        <v>189552</v>
      </c>
      <c r="L1867" s="329">
        <f>VLOOKUP(B1867,DONGIA,DG!$G$6,0)</f>
        <v>0</v>
      </c>
      <c r="M1867" s="329">
        <f t="shared" si="476"/>
        <v>2140000</v>
      </c>
      <c r="N1867" s="329">
        <f t="shared" si="477"/>
        <v>0</v>
      </c>
      <c r="O1867" s="329">
        <f t="shared" si="478"/>
        <v>379104</v>
      </c>
      <c r="P1867" s="329">
        <f t="shared" si="479"/>
        <v>0</v>
      </c>
      <c r="Q1867" s="329"/>
      <c r="S1867" s="332">
        <f t="shared" si="474"/>
        <v>1.5</v>
      </c>
      <c r="T1867" s="332">
        <f t="shared" si="480"/>
        <v>3</v>
      </c>
    </row>
    <row r="1868" spans="1:20">
      <c r="A1868" s="332" t="s">
        <v>477</v>
      </c>
      <c r="B1868" s="332" t="s">
        <v>943</v>
      </c>
      <c r="C1868" s="333">
        <f t="shared" si="475"/>
        <v>1</v>
      </c>
      <c r="D1868" s="328"/>
      <c r="E1868" s="328" t="str">
        <f>VLOOKUP(B1868,DONGIA,DG!$B$6,0)</f>
        <v>T2.5004</v>
      </c>
      <c r="F1868" s="779" t="str">
        <f>VLOOKUP(B1868,DONGIA,DG!$C$6,0)</f>
        <v>LA 18kV 10kA</v>
      </c>
      <c r="G1868" s="328" t="str">
        <f>VLOOKUP(B1868,DONGIA,DG!$D$6,0)</f>
        <v>cái</v>
      </c>
      <c r="H1868" s="329">
        <f>TRNC2X100*2</f>
        <v>2</v>
      </c>
      <c r="I1868" s="329">
        <f>VLOOKUP(B1868,DONGIA,DG!$E$6,0)</f>
        <v>875000</v>
      </c>
      <c r="J1868" s="329"/>
      <c r="K1868" s="329">
        <f>VLOOKUP(B1868,DONGIA,DG!$F$6,0)</f>
        <v>71082</v>
      </c>
      <c r="L1868" s="329">
        <f>VLOOKUP(B1868,DONGIA,DG!$G$6,0)</f>
        <v>0</v>
      </c>
      <c r="M1868" s="329">
        <f t="shared" si="476"/>
        <v>1750000</v>
      </c>
      <c r="N1868" s="329">
        <f t="shared" si="477"/>
        <v>0</v>
      </c>
      <c r="O1868" s="329">
        <f t="shared" si="478"/>
        <v>142164</v>
      </c>
      <c r="P1868" s="329">
        <f t="shared" si="479"/>
        <v>0</v>
      </c>
      <c r="Q1868" s="329"/>
      <c r="S1868" s="332">
        <f t="shared" si="474"/>
        <v>0.8</v>
      </c>
      <c r="T1868" s="332">
        <f t="shared" si="480"/>
        <v>1.6</v>
      </c>
    </row>
    <row r="1869" spans="1:20">
      <c r="A1869" s="332" t="s">
        <v>477</v>
      </c>
      <c r="B1869" s="332" t="s">
        <v>905</v>
      </c>
      <c r="C1869" s="333">
        <f>IF(H1869&lt;&gt;0,1,)</f>
        <v>1</v>
      </c>
      <c r="D1869" s="328"/>
      <c r="E1869" s="328" t="str">
        <f>VLOOKUP(B1869,DONGIA,DG!$B$6,0)</f>
        <v>T1.1434</v>
      </c>
      <c r="F1869" s="779" t="str">
        <f>VLOOKUP(B1869,DONGIA,DG!$C$6,0)&amp;" (SDL)"</f>
        <v>Máy biến áp AMORPHOUS 12,7/0,22-0,44kV 100kVA (SDL)</v>
      </c>
      <c r="G1869" s="328" t="str">
        <f>VLOOKUP(B1869,DONGIA,DG!$D$6,0)</f>
        <v>máy</v>
      </c>
      <c r="H1869" s="329">
        <f>TRNC2X100*2</f>
        <v>2</v>
      </c>
      <c r="I1869" s="329"/>
      <c r="J1869" s="329"/>
      <c r="K1869" s="329">
        <f>VLOOKUP(B1869,DONGIA,DG!$F$6,0)</f>
        <v>1056006</v>
      </c>
      <c r="L1869" s="329">
        <f>VLOOKUP(B1869,DONGIA,DG!$G$6,0)</f>
        <v>360605</v>
      </c>
      <c r="M1869" s="329">
        <f t="shared" ref="M1869:P1871" si="481">$H1869*I1869</f>
        <v>0</v>
      </c>
      <c r="N1869" s="329">
        <f t="shared" si="481"/>
        <v>0</v>
      </c>
      <c r="O1869" s="329">
        <f t="shared" si="481"/>
        <v>2112012</v>
      </c>
      <c r="P1869" s="329">
        <f t="shared" si="481"/>
        <v>721210</v>
      </c>
      <c r="Q1869" s="329"/>
      <c r="S1869" s="332">
        <f t="shared" si="474"/>
        <v>565</v>
      </c>
      <c r="T1869" s="332">
        <f>H1869*S1869</f>
        <v>1130</v>
      </c>
    </row>
    <row r="1870" spans="1:20">
      <c r="A1870" s="332" t="s">
        <v>477</v>
      </c>
      <c r="B1870" s="332" t="s">
        <v>1444</v>
      </c>
      <c r="C1870" s="333">
        <f>IF(H1870&lt;&gt;0,1,)</f>
        <v>1</v>
      </c>
      <c r="D1870" s="328"/>
      <c r="E1870" s="328" t="str">
        <f>VLOOKUP(B1870,DONGIA,DG!$B$6,0)</f>
        <v>T2.3505</v>
      </c>
      <c r="F1870" s="779" t="str">
        <f>VLOOKUP(B1870,DONGIA,DG!$C$6,0)&amp;" (SDL)"</f>
        <v>FCO 27kV - 100A (SDL)</v>
      </c>
      <c r="G1870" s="328" t="str">
        <f>VLOOKUP(B1870,DONGIA,DG!$D$6,0)</f>
        <v>cái</v>
      </c>
      <c r="H1870" s="329">
        <f>TRNC2X100</f>
        <v>1</v>
      </c>
      <c r="I1870" s="329"/>
      <c r="J1870" s="329"/>
      <c r="K1870" s="329">
        <f>VLOOKUP(B1870,DONGIA,DG!$F$6,0)</f>
        <v>189552</v>
      </c>
      <c r="L1870" s="329">
        <f>VLOOKUP(B1870,DONGIA,DG!$G$6,0)</f>
        <v>0</v>
      </c>
      <c r="M1870" s="329">
        <f t="shared" si="481"/>
        <v>0</v>
      </c>
      <c r="N1870" s="329">
        <f t="shared" si="481"/>
        <v>0</v>
      </c>
      <c r="O1870" s="329">
        <f t="shared" si="481"/>
        <v>189552</v>
      </c>
      <c r="P1870" s="329">
        <f t="shared" si="481"/>
        <v>0</v>
      </c>
      <c r="Q1870" s="329"/>
      <c r="S1870" s="332">
        <f t="shared" si="474"/>
        <v>1.5</v>
      </c>
      <c r="T1870" s="332">
        <f>H1870*S1870</f>
        <v>1.5</v>
      </c>
    </row>
    <row r="1871" spans="1:20">
      <c r="A1871" s="332" t="s">
        <v>477</v>
      </c>
      <c r="B1871" s="332" t="s">
        <v>943</v>
      </c>
      <c r="C1871" s="333">
        <f>IF(H1871&lt;&gt;0,1,)</f>
        <v>1</v>
      </c>
      <c r="D1871" s="328"/>
      <c r="E1871" s="328" t="str">
        <f>VLOOKUP(B1871,DONGIA,DG!$B$6,0)</f>
        <v>T2.5004</v>
      </c>
      <c r="F1871" s="779" t="str">
        <f>VLOOKUP(B1871,DONGIA,DG!$C$6,0)&amp;" (SDL)"</f>
        <v>LA 18kV 10kA (SDL)</v>
      </c>
      <c r="G1871" s="328" t="str">
        <f>VLOOKUP(B1871,DONGIA,DG!$D$6,0)</f>
        <v>cái</v>
      </c>
      <c r="H1871" s="329">
        <f>TRNC2X100</f>
        <v>1</v>
      </c>
      <c r="I1871" s="329"/>
      <c r="J1871" s="329"/>
      <c r="K1871" s="329">
        <f>VLOOKUP(B1871,DONGIA,DG!$F$6,0)</f>
        <v>71082</v>
      </c>
      <c r="L1871" s="329">
        <f>VLOOKUP(B1871,DONGIA,DG!$G$6,0)</f>
        <v>0</v>
      </c>
      <c r="M1871" s="329">
        <f t="shared" si="481"/>
        <v>0</v>
      </c>
      <c r="N1871" s="329">
        <f t="shared" si="481"/>
        <v>0</v>
      </c>
      <c r="O1871" s="329">
        <f t="shared" si="481"/>
        <v>71082</v>
      </c>
      <c r="P1871" s="329">
        <f t="shared" si="481"/>
        <v>0</v>
      </c>
      <c r="Q1871" s="329"/>
      <c r="S1871" s="332">
        <f t="shared" si="474"/>
        <v>0.8</v>
      </c>
      <c r="T1871" s="332">
        <f>H1871*S1871</f>
        <v>0.8</v>
      </c>
    </row>
    <row r="1872" spans="1:20" s="352" customFormat="1" hidden="1">
      <c r="A1872" s="352" t="s">
        <v>477</v>
      </c>
      <c r="B1872" s="352" t="s">
        <v>1000</v>
      </c>
      <c r="C1872" s="484">
        <f t="shared" si="475"/>
        <v>0</v>
      </c>
      <c r="D1872" s="363"/>
      <c r="E1872" s="363" t="str">
        <f>VLOOKUP(B1872,DONGIA,DG!$B$6,0)</f>
        <v>T2.8406</v>
      </c>
      <c r="F1872" s="362" t="str">
        <f>VLOOKUP(B1872,DONGIA,DG!$C$6,0)</f>
        <v>MCCB 3 cực 600V - 500A - 45KA</v>
      </c>
      <c r="G1872" s="363" t="str">
        <f>VLOOKUP(B1872,DONGIA,DG!$D$6,0)</f>
        <v>cái</v>
      </c>
      <c r="H1872" s="362"/>
      <c r="I1872" s="362">
        <f>VLOOKUP(B1872,DONGIA,DG!$E$6,0)</f>
        <v>0</v>
      </c>
      <c r="J1872" s="362"/>
      <c r="K1872" s="362">
        <f>VLOOKUP(B1872,DONGIA,DG!$F$6,0)*0</f>
        <v>0</v>
      </c>
      <c r="L1872" s="362">
        <f>VLOOKUP(B1872,DONGIA,DG!$G$6,0)</f>
        <v>0</v>
      </c>
      <c r="M1872" s="362">
        <f t="shared" si="476"/>
        <v>0</v>
      </c>
      <c r="N1872" s="362">
        <f t="shared" si="477"/>
        <v>0</v>
      </c>
      <c r="O1872" s="362">
        <f t="shared" si="478"/>
        <v>0</v>
      </c>
      <c r="P1872" s="362">
        <f t="shared" si="479"/>
        <v>0</v>
      </c>
      <c r="Q1872" s="362"/>
      <c r="S1872" s="352">
        <f t="shared" si="474"/>
        <v>3</v>
      </c>
      <c r="T1872" s="352">
        <f t="shared" si="480"/>
        <v>0</v>
      </c>
    </row>
    <row r="1873" spans="1:20">
      <c r="A1873" s="332" t="s">
        <v>477</v>
      </c>
      <c r="B1873" s="332" t="s">
        <v>954</v>
      </c>
      <c r="C1873" s="333">
        <f t="shared" si="475"/>
        <v>1</v>
      </c>
      <c r="D1873" s="328"/>
      <c r="E1873" s="328">
        <f>VLOOKUP(B1873,DONGIA,DG!$B$6,0)</f>
        <v>0</v>
      </c>
      <c r="F1873" s="779" t="str">
        <f>VLOOKUP(B1873,DONGIA,DG!$C$6,0)</f>
        <v>Biến dòng 600V - 250/5A</v>
      </c>
      <c r="G1873" s="328" t="str">
        <f>VLOOKUP(B1873,DONGIA,DG!$D$6,0)</f>
        <v>cái</v>
      </c>
      <c r="H1873" s="329">
        <f>TRNC2X100*3</f>
        <v>3</v>
      </c>
      <c r="I1873" s="329">
        <f>VLOOKUP(B1873,DONGIA,DG!$E$6,0)</f>
        <v>0</v>
      </c>
      <c r="J1873" s="329"/>
      <c r="K1873" s="329">
        <f>VLOOKUP(B1873,DONGIA,DG!$F$6,0)</f>
        <v>0</v>
      </c>
      <c r="L1873" s="329">
        <f>VLOOKUP(B1873,DONGIA,DG!$G$6,0)</f>
        <v>0</v>
      </c>
      <c r="M1873" s="329">
        <f t="shared" si="476"/>
        <v>0</v>
      </c>
      <c r="N1873" s="329">
        <f t="shared" si="477"/>
        <v>0</v>
      </c>
      <c r="O1873" s="329">
        <f t="shared" si="478"/>
        <v>0</v>
      </c>
      <c r="P1873" s="329">
        <f t="shared" si="479"/>
        <v>0</v>
      </c>
      <c r="Q1873" s="329"/>
      <c r="S1873" s="332">
        <f t="shared" si="474"/>
        <v>1</v>
      </c>
      <c r="T1873" s="332">
        <f t="shared" si="480"/>
        <v>3</v>
      </c>
    </row>
    <row r="1874" spans="1:20">
      <c r="A1874" s="332" t="s">
        <v>477</v>
      </c>
      <c r="B1874" s="332" t="s">
        <v>1046</v>
      </c>
      <c r="C1874" s="333">
        <f t="shared" si="475"/>
        <v>1</v>
      </c>
      <c r="D1874" s="328"/>
      <c r="E1874" s="328">
        <f>VLOOKUP(B1874,DONGIA,DG!$B$6,0)</f>
        <v>0</v>
      </c>
      <c r="F1874" s="779" t="str">
        <f>VLOOKUP(B1874,DONGIA,DG!$C$6,0)</f>
        <v>Điện kế 3 pha 4 dây 220/380V-5A</v>
      </c>
      <c r="G1874" s="328" t="str">
        <f>VLOOKUP(B1874,DONGIA,DG!$D$6,0)</f>
        <v>cái</v>
      </c>
      <c r="H1874" s="329">
        <f>TRNC2X100</f>
        <v>1</v>
      </c>
      <c r="I1874" s="329">
        <f>VLOOKUP(B1874,DONGIA,DG!$E$6,0)</f>
        <v>0</v>
      </c>
      <c r="J1874" s="329"/>
      <c r="K1874" s="329">
        <f>VLOOKUP(B1874,DONGIA,DG!$F$6,0)</f>
        <v>0</v>
      </c>
      <c r="L1874" s="329">
        <f>VLOOKUP(B1874,DONGIA,DG!$G$6,0)</f>
        <v>0</v>
      </c>
      <c r="M1874" s="329">
        <f t="shared" si="476"/>
        <v>0</v>
      </c>
      <c r="N1874" s="329">
        <f t="shared" si="477"/>
        <v>0</v>
      </c>
      <c r="O1874" s="329">
        <f t="shared" si="478"/>
        <v>0</v>
      </c>
      <c r="P1874" s="329">
        <f t="shared" si="479"/>
        <v>0</v>
      </c>
      <c r="Q1874" s="329"/>
      <c r="S1874" s="332">
        <f t="shared" si="474"/>
        <v>1.5</v>
      </c>
      <c r="T1874" s="332">
        <f t="shared" si="480"/>
        <v>1.5</v>
      </c>
    </row>
    <row r="1875" spans="1:20">
      <c r="A1875" s="332" t="str">
        <f>"VL"&amp;A1864</f>
        <v>VLTRNC2x100</v>
      </c>
      <c r="C1875" s="333">
        <f>IF(SUM(C1876:C1968)&lt;&gt;0,1,)</f>
        <v>1</v>
      </c>
      <c r="D1875" s="344"/>
      <c r="E1875" s="344"/>
      <c r="F1875" s="778" t="s">
        <v>1901</v>
      </c>
      <c r="G1875" s="344"/>
      <c r="H1875" s="345"/>
      <c r="I1875" s="345"/>
      <c r="J1875" s="345"/>
      <c r="K1875" s="345"/>
      <c r="L1875" s="345"/>
      <c r="M1875" s="345">
        <f>SUM(M1876:M1968)</f>
        <v>30823601.199999999</v>
      </c>
      <c r="N1875" s="345">
        <f>SUM(N1876:N1968)</f>
        <v>0</v>
      </c>
      <c r="O1875" s="345">
        <f>SUM(O1876:O1968)</f>
        <v>4021299.16</v>
      </c>
      <c r="P1875" s="345">
        <f>SUM(P1876:P1968)</f>
        <v>111154</v>
      </c>
      <c r="Q1875" s="345"/>
      <c r="S1875" s="332">
        <f t="shared" si="474"/>
        <v>0</v>
      </c>
      <c r="T1875" s="371">
        <f>SUM(T1876:T1968)</f>
        <v>355.77389999999991</v>
      </c>
    </row>
    <row r="1876" spans="1:20">
      <c r="C1876" s="333">
        <f t="shared" ref="C1876:C1947" si="482">IF(H1876&lt;&gt;0,1,)</f>
        <v>1</v>
      </c>
      <c r="D1876" s="372">
        <f>IF(H1876&lt;&gt;0,1,)</f>
        <v>1</v>
      </c>
      <c r="E1876" s="372"/>
      <c r="F1876" s="780" t="s">
        <v>1931</v>
      </c>
      <c r="G1876" s="372" t="s">
        <v>138</v>
      </c>
      <c r="H1876" s="372">
        <f>TRNC2X100</f>
        <v>1</v>
      </c>
      <c r="I1876" s="373"/>
      <c r="J1876" s="373"/>
      <c r="K1876" s="373"/>
      <c r="L1876" s="373"/>
      <c r="M1876" s="373"/>
      <c r="N1876" s="373"/>
      <c r="O1876" s="373"/>
      <c r="P1876" s="373"/>
      <c r="Q1876" s="373"/>
      <c r="S1876" s="332">
        <f t="shared" si="474"/>
        <v>0</v>
      </c>
      <c r="T1876" s="332">
        <f t="shared" ref="T1876:T1947" si="483">H1876*S1876</f>
        <v>0</v>
      </c>
    </row>
    <row r="1877" spans="1:20" s="405" customFormat="1">
      <c r="A1877" s="405" t="s">
        <v>477</v>
      </c>
      <c r="B1877" s="405" t="s">
        <v>1012</v>
      </c>
      <c r="C1877" s="418">
        <f t="shared" si="482"/>
        <v>1</v>
      </c>
      <c r="D1877" s="523"/>
      <c r="E1877" s="523">
        <f>VLOOKUP(B1877,DONGIA,DG!$B$6,0)</f>
        <v>0</v>
      </c>
      <c r="F1877" s="666" t="str">
        <f>VLOOKUP(B1877,DONGIA,DG!$C$6,0)</f>
        <v>Dây chảy 8K</v>
      </c>
      <c r="G1877" s="523" t="str">
        <f>VLOOKUP(B1877,DONGIA,DG!$D$6,0)</f>
        <v>Sợi</v>
      </c>
      <c r="H1877" s="525">
        <f>H1876*3</f>
        <v>3</v>
      </c>
      <c r="I1877" s="525">
        <f>VLOOKUP(B1877,DONGIA,DG!$E$6,0)</f>
        <v>47000</v>
      </c>
      <c r="J1877" s="525"/>
      <c r="K1877" s="525">
        <f>VLOOKUP(B1877,DONGIA,DG!$F$6,0)</f>
        <v>0</v>
      </c>
      <c r="L1877" s="525">
        <f>VLOOKUP(B1877,DONGIA,DG!$G$6,0)</f>
        <v>0</v>
      </c>
      <c r="M1877" s="525">
        <f t="shared" ref="M1877:P1880" si="484">$H1877*I1877</f>
        <v>141000</v>
      </c>
      <c r="N1877" s="525">
        <f t="shared" si="484"/>
        <v>0</v>
      </c>
      <c r="O1877" s="525">
        <f t="shared" si="484"/>
        <v>0</v>
      </c>
      <c r="P1877" s="525">
        <f t="shared" si="484"/>
        <v>0</v>
      </c>
      <c r="Q1877" s="549"/>
      <c r="R1877" s="553"/>
      <c r="S1877" s="405">
        <f t="shared" si="474"/>
        <v>0</v>
      </c>
      <c r="T1877" s="405">
        <f t="shared" si="483"/>
        <v>0</v>
      </c>
    </row>
    <row r="1878" spans="1:20">
      <c r="A1878" s="332" t="s">
        <v>477</v>
      </c>
      <c r="B1878" s="332" t="s">
        <v>131</v>
      </c>
      <c r="C1878" s="333">
        <f t="shared" si="482"/>
        <v>1</v>
      </c>
      <c r="D1878" s="328"/>
      <c r="E1878" s="328">
        <f>VLOOKUP(B1878,DONGIA,DG!$B$6,0)</f>
        <v>0</v>
      </c>
      <c r="F1878" s="779" t="str">
        <f>VLOOKUP(B1878,DONGIA,DG!$C$6,0)</f>
        <v>Chụp đầu FCO (Trên + Dưới)</v>
      </c>
      <c r="G1878" s="328" t="str">
        <f>VLOOKUP(B1878,DONGIA,DG!$D$6,0)</f>
        <v>bộ</v>
      </c>
      <c r="H1878" s="329">
        <f>H1876*3</f>
        <v>3</v>
      </c>
      <c r="I1878" s="329">
        <f>VLOOKUP(B1878,DONGIA,DG!$E$6,0)</f>
        <v>190000</v>
      </c>
      <c r="J1878" s="329"/>
      <c r="K1878" s="329">
        <f>VLOOKUP(B1878,DONGIA,DG!$F$6,0)</f>
        <v>0</v>
      </c>
      <c r="L1878" s="329">
        <f>VLOOKUP(B1878,DONGIA,DG!$G$6,0)</f>
        <v>0</v>
      </c>
      <c r="M1878" s="329">
        <f t="shared" si="484"/>
        <v>570000</v>
      </c>
      <c r="N1878" s="329">
        <f t="shared" si="484"/>
        <v>0</v>
      </c>
      <c r="O1878" s="329">
        <f t="shared" si="484"/>
        <v>0</v>
      </c>
      <c r="P1878" s="329">
        <f t="shared" si="484"/>
        <v>0</v>
      </c>
      <c r="Q1878" s="329"/>
      <c r="S1878" s="332">
        <f t="shared" si="474"/>
        <v>0</v>
      </c>
      <c r="T1878" s="332">
        <f t="shared" si="483"/>
        <v>0</v>
      </c>
    </row>
    <row r="1879" spans="1:20">
      <c r="A1879" s="332" t="s">
        <v>477</v>
      </c>
      <c r="B1879" s="332" t="s">
        <v>133</v>
      </c>
      <c r="C1879" s="333">
        <f t="shared" si="482"/>
        <v>1</v>
      </c>
      <c r="D1879" s="328"/>
      <c r="E1879" s="328">
        <f>VLOOKUP(B1879,DONGIA,DG!$B$6,0)</f>
        <v>0</v>
      </c>
      <c r="F1879" s="779" t="str">
        <f>VLOOKUP(B1879,DONGIA,DG!$C$6,0)</f>
        <v>Chụp đầu LA</v>
      </c>
      <c r="G1879" s="328" t="str">
        <f>VLOOKUP(B1879,DONGIA,DG!$D$6,0)</f>
        <v>cái</v>
      </c>
      <c r="H1879" s="329">
        <f>H1876*3</f>
        <v>3</v>
      </c>
      <c r="I1879" s="329">
        <f>VLOOKUP(B1879,DONGIA,DG!$E$6,0)</f>
        <v>32000</v>
      </c>
      <c r="J1879" s="329"/>
      <c r="K1879" s="329">
        <f>VLOOKUP(B1879,DONGIA,DG!$F$6,0)</f>
        <v>0</v>
      </c>
      <c r="L1879" s="329">
        <f>VLOOKUP(B1879,DONGIA,DG!$G$6,0)</f>
        <v>0</v>
      </c>
      <c r="M1879" s="329">
        <f t="shared" si="484"/>
        <v>96000</v>
      </c>
      <c r="N1879" s="329">
        <f t="shared" si="484"/>
        <v>0</v>
      </c>
      <c r="O1879" s="329">
        <f t="shared" si="484"/>
        <v>0</v>
      </c>
      <c r="P1879" s="329">
        <f t="shared" si="484"/>
        <v>0</v>
      </c>
      <c r="Q1879" s="329"/>
      <c r="S1879" s="332">
        <f t="shared" si="474"/>
        <v>0</v>
      </c>
      <c r="T1879" s="332">
        <f t="shared" si="483"/>
        <v>0</v>
      </c>
    </row>
    <row r="1880" spans="1:20">
      <c r="A1880" s="332" t="s">
        <v>477</v>
      </c>
      <c r="B1880" s="332" t="s">
        <v>135</v>
      </c>
      <c r="C1880" s="333">
        <f t="shared" si="482"/>
        <v>1</v>
      </c>
      <c r="D1880" s="328"/>
      <c r="E1880" s="328">
        <f>VLOOKUP(B1880,DONGIA,DG!$B$6,0)</f>
        <v>0</v>
      </c>
      <c r="F1880" s="779" t="str">
        <f>VLOOKUP(B1880,DONGIA,DG!$C$6,0)</f>
        <v>Chụp đầu cực MBA</v>
      </c>
      <c r="G1880" s="328" t="str">
        <f>VLOOKUP(B1880,DONGIA,DG!$D$6,0)</f>
        <v>cái</v>
      </c>
      <c r="H1880" s="329">
        <f>H1876*3</f>
        <v>3</v>
      </c>
      <c r="I1880" s="329">
        <f>VLOOKUP(B1880,DONGIA,DG!$E$6,0)</f>
        <v>52000</v>
      </c>
      <c r="J1880" s="329"/>
      <c r="K1880" s="329">
        <f>VLOOKUP(B1880,DONGIA,DG!$F$6,0)</f>
        <v>0</v>
      </c>
      <c r="L1880" s="329">
        <f>VLOOKUP(B1880,DONGIA,DG!$G$6,0)</f>
        <v>0</v>
      </c>
      <c r="M1880" s="329">
        <f t="shared" si="484"/>
        <v>156000</v>
      </c>
      <c r="N1880" s="329">
        <f t="shared" si="484"/>
        <v>0</v>
      </c>
      <c r="O1880" s="329">
        <f t="shared" si="484"/>
        <v>0</v>
      </c>
      <c r="P1880" s="329">
        <f t="shared" si="484"/>
        <v>0</v>
      </c>
      <c r="Q1880" s="329"/>
      <c r="S1880" s="332">
        <f t="shared" si="474"/>
        <v>0</v>
      </c>
      <c r="T1880" s="332">
        <f t="shared" si="483"/>
        <v>0</v>
      </c>
    </row>
    <row r="1881" spans="1:20">
      <c r="A1881" s="332" t="s">
        <v>477</v>
      </c>
      <c r="C1881" s="333">
        <f t="shared" si="482"/>
        <v>1</v>
      </c>
      <c r="D1881" s="372">
        <f>IF(H1881&lt;&gt;0,D1876+1,D1876)</f>
        <v>2</v>
      </c>
      <c r="E1881" s="372"/>
      <c r="F1881" s="780" t="s">
        <v>1932</v>
      </c>
      <c r="G1881" s="372" t="s">
        <v>138</v>
      </c>
      <c r="H1881" s="372">
        <f>TRNC2X100</f>
        <v>1</v>
      </c>
      <c r="I1881" s="373"/>
      <c r="J1881" s="373"/>
      <c r="K1881" s="373"/>
      <c r="L1881" s="373"/>
      <c r="M1881" s="373"/>
      <c r="N1881" s="373"/>
      <c r="O1881" s="373"/>
      <c r="P1881" s="373"/>
      <c r="Q1881" s="373"/>
      <c r="S1881" s="332">
        <f t="shared" si="474"/>
        <v>0</v>
      </c>
      <c r="T1881" s="332">
        <f t="shared" si="483"/>
        <v>0</v>
      </c>
    </row>
    <row r="1882" spans="1:20" s="361" customFormat="1" hidden="1">
      <c r="A1882" s="361" t="s">
        <v>477</v>
      </c>
      <c r="C1882" s="374">
        <f t="shared" si="482"/>
        <v>0</v>
      </c>
      <c r="D1882" s="350"/>
      <c r="E1882" s="350"/>
      <c r="F1882" s="351" t="s">
        <v>1902</v>
      </c>
      <c r="G1882" s="350"/>
      <c r="H1882" s="351"/>
      <c r="I1882" s="351"/>
      <c r="J1882" s="351"/>
      <c r="K1882" s="351"/>
      <c r="L1882" s="351"/>
      <c r="M1882" s="351"/>
      <c r="N1882" s="351"/>
      <c r="O1882" s="351"/>
      <c r="P1882" s="351"/>
      <c r="Q1882" s="351"/>
      <c r="S1882" s="361">
        <f t="shared" si="474"/>
        <v>0</v>
      </c>
      <c r="T1882" s="361">
        <f t="shared" si="483"/>
        <v>0</v>
      </c>
    </row>
    <row r="1883" spans="1:20" s="405" customFormat="1">
      <c r="A1883" s="405" t="s">
        <v>477</v>
      </c>
      <c r="B1883" s="405" t="s">
        <v>18</v>
      </c>
      <c r="C1883" s="418">
        <f t="shared" si="482"/>
        <v>1</v>
      </c>
      <c r="D1883" s="523"/>
      <c r="E1883" s="523">
        <f>VLOOKUP(B1883,DONGIA,DG!$B$6,0)</f>
        <v>0</v>
      </c>
      <c r="F1883" s="666" t="str">
        <f>VLOOKUP(B1883,DONGIA,DG!$C$6,0)</f>
        <v>Đà hộp composite 110x80x5-2400</v>
      </c>
      <c r="G1883" s="523" t="str">
        <f>VLOOKUP(B1883,DONGIA,DG!$D$6,0)</f>
        <v>cái</v>
      </c>
      <c r="H1883" s="525">
        <f>H1881</f>
        <v>1</v>
      </c>
      <c r="I1883" s="525">
        <f>VLOOKUP(B1883,DONGIA,DG!$E$6,0)</f>
        <v>812200</v>
      </c>
      <c r="J1883" s="525"/>
      <c r="K1883" s="525">
        <f>VLOOKUP(B1883,DONGIA,DG!$F$6,0)</f>
        <v>0</v>
      </c>
      <c r="L1883" s="525">
        <f>VLOOKUP(B1883,DONGIA,DG!$G$6,0)</f>
        <v>0</v>
      </c>
      <c r="M1883" s="525">
        <f t="shared" ref="M1883:M1889" si="485">$H1883*I1883</f>
        <v>812200</v>
      </c>
      <c r="N1883" s="525">
        <f t="shared" ref="N1883:N1889" si="486">$H1883*J1883</f>
        <v>0</v>
      </c>
      <c r="O1883" s="525">
        <f t="shared" ref="O1883:O1889" si="487">$H1883*K1883</f>
        <v>0</v>
      </c>
      <c r="P1883" s="525">
        <f t="shared" ref="P1883:P1889" si="488">$H1883*L1883</f>
        <v>0</v>
      </c>
      <c r="Q1883" s="525"/>
      <c r="S1883" s="405">
        <f t="shared" si="474"/>
        <v>9.6</v>
      </c>
      <c r="T1883" s="405">
        <f t="shared" si="483"/>
        <v>9.6</v>
      </c>
    </row>
    <row r="1884" spans="1:20" s="405" customFormat="1">
      <c r="A1884" s="405" t="s">
        <v>477</v>
      </c>
      <c r="B1884" s="405" t="s">
        <v>20</v>
      </c>
      <c r="C1884" s="418">
        <f t="shared" si="482"/>
        <v>1</v>
      </c>
      <c r="D1884" s="523"/>
      <c r="E1884" s="523">
        <f>VLOOKUP(B1884,DONGIA,DG!$B$6,0)</f>
        <v>0</v>
      </c>
      <c r="F1884" s="666" t="str">
        <f>VLOOKUP(B1884,DONGIA,DG!$C$6,0)</f>
        <v>Thanh chống Composite dẹp 10x40x920</v>
      </c>
      <c r="G1884" s="523" t="str">
        <f>VLOOKUP(B1884,DONGIA,DG!$D$6,0)</f>
        <v>cái</v>
      </c>
      <c r="H1884" s="525">
        <f>H1883*2</f>
        <v>2</v>
      </c>
      <c r="I1884" s="525">
        <f>VLOOKUP(B1884,DONGIA,DG!$E$6,0)</f>
        <v>108100</v>
      </c>
      <c r="J1884" s="525"/>
      <c r="K1884" s="525">
        <f>VLOOKUP(B1884,DONGIA,DG!$F$6,0)</f>
        <v>0</v>
      </c>
      <c r="L1884" s="525">
        <f>VLOOKUP(B1884,DONGIA,DG!$G$6,0)</f>
        <v>0</v>
      </c>
      <c r="M1884" s="525">
        <f t="shared" si="485"/>
        <v>216200</v>
      </c>
      <c r="N1884" s="525">
        <f t="shared" si="486"/>
        <v>0</v>
      </c>
      <c r="O1884" s="525">
        <f t="shared" si="487"/>
        <v>0</v>
      </c>
      <c r="P1884" s="525">
        <f t="shared" si="488"/>
        <v>0</v>
      </c>
      <c r="Q1884" s="525"/>
      <c r="S1884" s="405">
        <f t="shared" si="474"/>
        <v>0.7</v>
      </c>
      <c r="T1884" s="405">
        <f t="shared" si="483"/>
        <v>1.4</v>
      </c>
    </row>
    <row r="1885" spans="1:20" s="405" customFormat="1">
      <c r="A1885" s="405" t="s">
        <v>477</v>
      </c>
      <c r="B1885" s="405" t="s">
        <v>139</v>
      </c>
      <c r="C1885" s="418">
        <f t="shared" si="482"/>
        <v>1</v>
      </c>
      <c r="D1885" s="523"/>
      <c r="E1885" s="523">
        <f>VLOOKUP(B1885,DONGIA,DG!$B$6,0)</f>
        <v>0</v>
      </c>
      <c r="F1885" s="666" t="str">
        <f>VLOOKUP(B1885,DONGIA,DG!$C$6,0)</f>
        <v>Bass LL bắt FCO và LA</v>
      </c>
      <c r="G1885" s="523" t="str">
        <f>VLOOKUP(B1885,DONGIA,DG!$D$6,0)</f>
        <v>bộ</v>
      </c>
      <c r="H1885" s="525">
        <f>H1881*3</f>
        <v>3</v>
      </c>
      <c r="I1885" s="525">
        <f>VLOOKUP(B1885,DONGIA,DG!$E$6,0)</f>
        <v>56000</v>
      </c>
      <c r="J1885" s="525"/>
      <c r="K1885" s="525">
        <f>VLOOKUP(B1885,DONGIA,DG!$F$6,0)</f>
        <v>0</v>
      </c>
      <c r="L1885" s="525">
        <f>VLOOKUP(B1885,DONGIA,DG!$G$6,0)</f>
        <v>0</v>
      </c>
      <c r="M1885" s="525">
        <f t="shared" si="485"/>
        <v>168000</v>
      </c>
      <c r="N1885" s="525">
        <f t="shared" si="486"/>
        <v>0</v>
      </c>
      <c r="O1885" s="525">
        <f t="shared" si="487"/>
        <v>0</v>
      </c>
      <c r="P1885" s="525">
        <f t="shared" si="488"/>
        <v>0</v>
      </c>
      <c r="Q1885" s="525"/>
      <c r="S1885" s="405">
        <f t="shared" si="474"/>
        <v>0.5</v>
      </c>
      <c r="T1885" s="405">
        <f t="shared" si="483"/>
        <v>1.5</v>
      </c>
    </row>
    <row r="1886" spans="1:20" s="405" customFormat="1">
      <c r="A1886" s="405" t="s">
        <v>477</v>
      </c>
      <c r="B1886" s="405" t="s">
        <v>37</v>
      </c>
      <c r="C1886" s="418">
        <f t="shared" si="482"/>
        <v>1</v>
      </c>
      <c r="D1886" s="523"/>
      <c r="E1886" s="523">
        <f>VLOOKUP(B1886,DONGIA,DG!$B$6,0)</f>
        <v>0</v>
      </c>
      <c r="F1886" s="666" t="str">
        <f>VLOOKUP(B1886,DONGIA,DG!$C$6,0)</f>
        <v>Boulon 16x350+ 2 long đền vuông D18-50x50x3/Zn</v>
      </c>
      <c r="G1886" s="523" t="str">
        <f>VLOOKUP(B1886,DONGIA,DG!$D$6,0)</f>
        <v>bộ</v>
      </c>
      <c r="H1886" s="525">
        <f>H1881</f>
        <v>1</v>
      </c>
      <c r="I1886" s="525">
        <f>VLOOKUP(B1886,DONGIA,DG!$E$6,0)</f>
        <v>32000</v>
      </c>
      <c r="J1886" s="525"/>
      <c r="K1886" s="525">
        <f>VLOOKUP(B1886,DONGIA,DG!$F$6,0)</f>
        <v>0</v>
      </c>
      <c r="L1886" s="525">
        <f>VLOOKUP(B1886,DONGIA,DG!$G$6,0)</f>
        <v>0</v>
      </c>
      <c r="M1886" s="525">
        <f t="shared" si="485"/>
        <v>32000</v>
      </c>
      <c r="N1886" s="525">
        <f t="shared" si="486"/>
        <v>0</v>
      </c>
      <c r="O1886" s="525">
        <f t="shared" si="487"/>
        <v>0</v>
      </c>
      <c r="P1886" s="525">
        <f t="shared" si="488"/>
        <v>0</v>
      </c>
      <c r="Q1886" s="525"/>
      <c r="S1886" s="405">
        <f t="shared" si="474"/>
        <v>0.3</v>
      </c>
      <c r="T1886" s="405">
        <f t="shared" si="483"/>
        <v>0.3</v>
      </c>
    </row>
    <row r="1887" spans="1:20" s="405" customFormat="1">
      <c r="A1887" s="405" t="s">
        <v>477</v>
      </c>
      <c r="B1887" s="405" t="s">
        <v>35</v>
      </c>
      <c r="C1887" s="418">
        <f t="shared" si="482"/>
        <v>1</v>
      </c>
      <c r="D1887" s="523"/>
      <c r="E1887" s="523">
        <f>VLOOKUP(B1887,DONGIA,DG!$B$6,0)</f>
        <v>0</v>
      </c>
      <c r="F1887" s="666" t="str">
        <f>VLOOKUP(B1887,DONGIA,DG!$C$6,0)</f>
        <v>Boulon 16x300+ 2 long đền vuông D18-50x50x3/Zn</v>
      </c>
      <c r="G1887" s="523" t="str">
        <f>VLOOKUP(B1887,DONGIA,DG!$D$6,0)</f>
        <v>bộ</v>
      </c>
      <c r="H1887" s="525">
        <f>H1881</f>
        <v>1</v>
      </c>
      <c r="I1887" s="525">
        <f>VLOOKUP(B1887,DONGIA,DG!$E$6,0)</f>
        <v>30000</v>
      </c>
      <c r="J1887" s="525"/>
      <c r="K1887" s="525">
        <f>VLOOKUP(B1887,DONGIA,DG!$F$6,0)</f>
        <v>0</v>
      </c>
      <c r="L1887" s="525">
        <f>VLOOKUP(B1887,DONGIA,DG!$G$6,0)</f>
        <v>0</v>
      </c>
      <c r="M1887" s="525">
        <f t="shared" si="485"/>
        <v>30000</v>
      </c>
      <c r="N1887" s="525">
        <f t="shared" si="486"/>
        <v>0</v>
      </c>
      <c r="O1887" s="525">
        <f t="shared" si="487"/>
        <v>0</v>
      </c>
      <c r="P1887" s="525">
        <f t="shared" si="488"/>
        <v>0</v>
      </c>
      <c r="Q1887" s="525"/>
      <c r="S1887" s="405">
        <f t="shared" si="474"/>
        <v>0.25</v>
      </c>
      <c r="T1887" s="405">
        <f t="shared" si="483"/>
        <v>0.25</v>
      </c>
    </row>
    <row r="1888" spans="1:20" s="405" customFormat="1">
      <c r="A1888" s="405" t="s">
        <v>477</v>
      </c>
      <c r="B1888" s="405" t="s">
        <v>3053</v>
      </c>
      <c r="C1888" s="418">
        <f t="shared" si="482"/>
        <v>1</v>
      </c>
      <c r="D1888" s="523"/>
      <c r="E1888" s="523">
        <f>VLOOKUP(B1888,DONGIA,DG!$B$6,0)</f>
        <v>0</v>
      </c>
      <c r="F1888" s="666" t="str">
        <f>VLOOKUP(B1888,DONGIA,DG!$C$6,0)</f>
        <v>Boulon 14x150+ 2 long đền vuông D16-50x50x3/Zn</v>
      </c>
      <c r="G1888" s="523" t="str">
        <f>VLOOKUP(B1888,DONGIA,DG!$D$6,0)</f>
        <v>bộ</v>
      </c>
      <c r="H1888" s="525">
        <f>H1884</f>
        <v>2</v>
      </c>
      <c r="I1888" s="525">
        <f>VLOOKUP(B1888,DONGIA,DG!$E$6,0)</f>
        <v>19000</v>
      </c>
      <c r="J1888" s="525"/>
      <c r="K1888" s="525">
        <f>VLOOKUP(B1888,DONGIA,DG!$F$6,0)</f>
        <v>0</v>
      </c>
      <c r="L1888" s="525">
        <f>VLOOKUP(B1888,DONGIA,DG!$G$6,0)</f>
        <v>0</v>
      </c>
      <c r="M1888" s="525">
        <f t="shared" si="485"/>
        <v>38000</v>
      </c>
      <c r="N1888" s="525">
        <f t="shared" si="486"/>
        <v>0</v>
      </c>
      <c r="O1888" s="525">
        <f t="shared" si="487"/>
        <v>0</v>
      </c>
      <c r="P1888" s="525">
        <f t="shared" si="488"/>
        <v>0</v>
      </c>
      <c r="Q1888" s="525"/>
      <c r="S1888" s="405">
        <f t="shared" si="474"/>
        <v>0.2</v>
      </c>
      <c r="T1888" s="405">
        <f t="shared" si="483"/>
        <v>0.4</v>
      </c>
    </row>
    <row r="1889" spans="1:20" ht="31.2">
      <c r="A1889" s="332" t="s">
        <v>477</v>
      </c>
      <c r="B1889" s="332" t="s">
        <v>618</v>
      </c>
      <c r="C1889" s="333">
        <f t="shared" si="482"/>
        <v>1</v>
      </c>
      <c r="D1889" s="328"/>
      <c r="E1889" s="328" t="str">
        <f>VLOOKUP(B1889,DONGIA,DG!$B$6,0)</f>
        <v>D2.6011</v>
      </c>
      <c r="F1889" s="779" t="str">
        <f>VLOOKUP(B1889,DONGIA,DG!$C$6,0)</f>
        <v>Lắp đà composite 2400mm đơn (KL &lt;=15kg, trụ BTLT, tính = 0.8 đà sắt)</v>
      </c>
      <c r="G1889" s="328" t="str">
        <f>VLOOKUP(B1889,DONGIA,DG!$D$6,0)</f>
        <v>bộ</v>
      </c>
      <c r="H1889" s="329">
        <f>H1881</f>
        <v>1</v>
      </c>
      <c r="I1889" s="329">
        <f>VLOOKUP(B1889,DONGIA,DG!$E$6,0)</f>
        <v>0</v>
      </c>
      <c r="J1889" s="329"/>
      <c r="K1889" s="329">
        <f>VLOOKUP(B1889,DONGIA,DG!$F$6,0)</f>
        <v>134360</v>
      </c>
      <c r="L1889" s="329">
        <f>VLOOKUP(B1889,DONGIA,DG!$G$6,0)</f>
        <v>0</v>
      </c>
      <c r="M1889" s="329">
        <f t="shared" si="485"/>
        <v>0</v>
      </c>
      <c r="N1889" s="329">
        <f t="shared" si="486"/>
        <v>0</v>
      </c>
      <c r="O1889" s="329">
        <f t="shared" si="487"/>
        <v>134360</v>
      </c>
      <c r="P1889" s="329">
        <f t="shared" si="488"/>
        <v>0</v>
      </c>
      <c r="Q1889" s="329"/>
      <c r="S1889" s="332">
        <f t="shared" si="474"/>
        <v>0</v>
      </c>
      <c r="T1889" s="332">
        <f t="shared" si="483"/>
        <v>0</v>
      </c>
    </row>
    <row r="1890" spans="1:20">
      <c r="A1890" s="332" t="s">
        <v>477</v>
      </c>
      <c r="C1890" s="333">
        <f t="shared" si="482"/>
        <v>1</v>
      </c>
      <c r="D1890" s="372">
        <f>IF(H1890&lt;&gt;0,D1881+1,D1881)</f>
        <v>3</v>
      </c>
      <c r="E1890" s="372"/>
      <c r="F1890" s="780" t="s">
        <v>1910</v>
      </c>
      <c r="G1890" s="372" t="s">
        <v>138</v>
      </c>
      <c r="H1890" s="372">
        <f>TRNC2X100</f>
        <v>1</v>
      </c>
      <c r="I1890" s="373"/>
      <c r="J1890" s="373"/>
      <c r="K1890" s="373"/>
      <c r="L1890" s="373"/>
      <c r="M1890" s="373"/>
      <c r="N1890" s="373"/>
      <c r="O1890" s="373"/>
      <c r="P1890" s="373"/>
      <c r="Q1890" s="373"/>
      <c r="S1890" s="332">
        <f t="shared" si="474"/>
        <v>0</v>
      </c>
      <c r="T1890" s="332">
        <f t="shared" si="483"/>
        <v>0</v>
      </c>
    </row>
    <row r="1891" spans="1:20" s="361" customFormat="1" hidden="1">
      <c r="A1891" s="361" t="s">
        <v>477</v>
      </c>
      <c r="C1891" s="374">
        <f t="shared" si="482"/>
        <v>0</v>
      </c>
      <c r="D1891" s="350"/>
      <c r="E1891" s="350"/>
      <c r="F1891" s="351" t="s">
        <v>1902</v>
      </c>
      <c r="G1891" s="350"/>
      <c r="H1891" s="351"/>
      <c r="I1891" s="351"/>
      <c r="J1891" s="351"/>
      <c r="K1891" s="351"/>
      <c r="L1891" s="351"/>
      <c r="M1891" s="351"/>
      <c r="N1891" s="351"/>
      <c r="O1891" s="351"/>
      <c r="P1891" s="351"/>
      <c r="Q1891" s="351"/>
      <c r="S1891" s="361">
        <f t="shared" si="474"/>
        <v>0</v>
      </c>
      <c r="T1891" s="361">
        <f t="shared" si="483"/>
        <v>0</v>
      </c>
    </row>
    <row r="1892" spans="1:20">
      <c r="A1892" s="332" t="s">
        <v>477</v>
      </c>
      <c r="B1892" s="332" t="s">
        <v>1069</v>
      </c>
      <c r="C1892" s="333">
        <f t="shared" si="482"/>
        <v>1</v>
      </c>
      <c r="D1892" s="328"/>
      <c r="E1892" s="328" t="str">
        <f>VLOOKUP(B1892,DONGIA,DG!$B$6,0)</f>
        <v>T4.9302</v>
      </c>
      <c r="F1892" s="779" t="str">
        <f>VLOOKUP(B1892,DONGIA,DG!$C$6,0)</f>
        <v>Gía chùm treo máy biến áp 3x100</v>
      </c>
      <c r="G1892" s="328" t="str">
        <f>VLOOKUP(B1892,DONGIA,DG!$D$6,0)</f>
        <v>Bộ</v>
      </c>
      <c r="H1892" s="329">
        <f>H1890</f>
        <v>1</v>
      </c>
      <c r="I1892" s="329">
        <f>VLOOKUP(B1892,DONGIA,DG!$E$6,0)</f>
        <v>3210000</v>
      </c>
      <c r="J1892" s="329"/>
      <c r="K1892" s="329">
        <f>VLOOKUP(B1892,DONGIA,DG!$F$6,0)</f>
        <v>149969.16</v>
      </c>
      <c r="L1892" s="329">
        <f>VLOOKUP(B1892,DONGIA,DG!$G$6,0)</f>
        <v>0</v>
      </c>
      <c r="M1892" s="329">
        <f t="shared" ref="M1892:P1894" si="489">$H1892*I1892</f>
        <v>3210000</v>
      </c>
      <c r="N1892" s="329">
        <f t="shared" si="489"/>
        <v>0</v>
      </c>
      <c r="O1892" s="329">
        <f t="shared" si="489"/>
        <v>149969.16</v>
      </c>
      <c r="P1892" s="329">
        <f t="shared" si="489"/>
        <v>0</v>
      </c>
      <c r="Q1892" s="329"/>
      <c r="S1892" s="332">
        <f t="shared" si="474"/>
        <v>55</v>
      </c>
      <c r="T1892" s="332">
        <f t="shared" si="483"/>
        <v>55</v>
      </c>
    </row>
    <row r="1893" spans="1:20">
      <c r="A1893" s="332" t="s">
        <v>477</v>
      </c>
      <c r="B1893" s="332" t="s">
        <v>37</v>
      </c>
      <c r="C1893" s="333">
        <f t="shared" si="482"/>
        <v>1</v>
      </c>
      <c r="D1893" s="328"/>
      <c r="E1893" s="328">
        <f>VLOOKUP(B1893,DONGIA,DG!$B$6,0)</f>
        <v>0</v>
      </c>
      <c r="F1893" s="779" t="str">
        <f>VLOOKUP(B1893,DONGIA,DG!$C$6,0)</f>
        <v>Boulon 16x350+ 2 long đền vuông D18-50x50x3/Zn</v>
      </c>
      <c r="G1893" s="328" t="str">
        <f>VLOOKUP(B1893,DONGIA,DG!$D$6,0)</f>
        <v>bộ</v>
      </c>
      <c r="H1893" s="329">
        <f>H1890*2</f>
        <v>2</v>
      </c>
      <c r="I1893" s="329">
        <f>VLOOKUP(B1893,DONGIA,DG!$E$6,0)</f>
        <v>32000</v>
      </c>
      <c r="J1893" s="329"/>
      <c r="K1893" s="329">
        <f>VLOOKUP(B1893,DONGIA,DG!$F$6,0)</f>
        <v>0</v>
      </c>
      <c r="L1893" s="329">
        <f>VLOOKUP(B1893,DONGIA,DG!$G$6,0)</f>
        <v>0</v>
      </c>
      <c r="M1893" s="329">
        <f t="shared" si="489"/>
        <v>64000</v>
      </c>
      <c r="N1893" s="329">
        <f t="shared" si="489"/>
        <v>0</v>
      </c>
      <c r="O1893" s="329">
        <f t="shared" si="489"/>
        <v>0</v>
      </c>
      <c r="P1893" s="329">
        <f t="shared" si="489"/>
        <v>0</v>
      </c>
      <c r="Q1893" s="329"/>
      <c r="S1893" s="332">
        <f t="shared" si="474"/>
        <v>0.3</v>
      </c>
      <c r="T1893" s="332">
        <f t="shared" si="483"/>
        <v>0.6</v>
      </c>
    </row>
    <row r="1894" spans="1:20">
      <c r="A1894" s="332" t="s">
        <v>477</v>
      </c>
      <c r="B1894" s="332" t="s">
        <v>29</v>
      </c>
      <c r="C1894" s="333">
        <f t="shared" si="482"/>
        <v>1</v>
      </c>
      <c r="D1894" s="328"/>
      <c r="E1894" s="328">
        <f>VLOOKUP(B1894,DONGIA,DG!$B$6,0)</f>
        <v>0</v>
      </c>
      <c r="F1894" s="779" t="str">
        <f>VLOOKUP(B1894,DONGIA,DG!$C$6,0)</f>
        <v>Boulon 16x50+ 2 long đền vuông D18-50x50x3/Zn</v>
      </c>
      <c r="G1894" s="328" t="str">
        <f>VLOOKUP(B1894,DONGIA,DG!$D$6,0)</f>
        <v>bộ</v>
      </c>
      <c r="H1894" s="329">
        <f>H1890*6</f>
        <v>6</v>
      </c>
      <c r="I1894" s="329">
        <f>VLOOKUP(B1894,DONGIA,DG!$E$6,0)</f>
        <v>17000</v>
      </c>
      <c r="J1894" s="329"/>
      <c r="K1894" s="329">
        <f>VLOOKUP(B1894,DONGIA,DG!$F$6,0)</f>
        <v>0</v>
      </c>
      <c r="L1894" s="329">
        <f>VLOOKUP(B1894,DONGIA,DG!$G$6,0)</f>
        <v>0</v>
      </c>
      <c r="M1894" s="329">
        <f t="shared" si="489"/>
        <v>102000</v>
      </c>
      <c r="N1894" s="329">
        <f t="shared" si="489"/>
        <v>0</v>
      </c>
      <c r="O1894" s="329">
        <f t="shared" si="489"/>
        <v>0</v>
      </c>
      <c r="P1894" s="329">
        <f t="shared" si="489"/>
        <v>0</v>
      </c>
      <c r="Q1894" s="329"/>
      <c r="S1894" s="332">
        <f t="shared" si="474"/>
        <v>0.25</v>
      </c>
      <c r="T1894" s="332">
        <f t="shared" si="483"/>
        <v>1.5</v>
      </c>
    </row>
    <row r="1895" spans="1:20">
      <c r="A1895" s="332" t="s">
        <v>477</v>
      </c>
      <c r="C1895" s="333">
        <f t="shared" si="482"/>
        <v>1</v>
      </c>
      <c r="D1895" s="372">
        <f>IF(H1895&lt;&gt;0,D1890+1,D1890)</f>
        <v>4</v>
      </c>
      <c r="E1895" s="372"/>
      <c r="F1895" s="780" t="s">
        <v>1942</v>
      </c>
      <c r="G1895" s="372" t="s">
        <v>138</v>
      </c>
      <c r="H1895" s="372">
        <f>TRNC2X100</f>
        <v>1</v>
      </c>
      <c r="I1895" s="373"/>
      <c r="J1895" s="373"/>
      <c r="K1895" s="373"/>
      <c r="L1895" s="373"/>
      <c r="M1895" s="373"/>
      <c r="N1895" s="373"/>
      <c r="O1895" s="373"/>
      <c r="P1895" s="373"/>
      <c r="Q1895" s="373"/>
      <c r="S1895" s="332">
        <f t="shared" si="474"/>
        <v>0</v>
      </c>
      <c r="T1895" s="332">
        <f t="shared" si="483"/>
        <v>0</v>
      </c>
    </row>
    <row r="1896" spans="1:20" s="361" customFormat="1" hidden="1">
      <c r="A1896" s="361" t="s">
        <v>477</v>
      </c>
      <c r="C1896" s="374">
        <f t="shared" si="482"/>
        <v>0</v>
      </c>
      <c r="D1896" s="350"/>
      <c r="E1896" s="350"/>
      <c r="F1896" s="351" t="s">
        <v>1902</v>
      </c>
      <c r="G1896" s="350"/>
      <c r="H1896" s="351"/>
      <c r="I1896" s="351"/>
      <c r="J1896" s="351"/>
      <c r="K1896" s="351"/>
      <c r="L1896" s="351"/>
      <c r="M1896" s="351"/>
      <c r="N1896" s="351"/>
      <c r="O1896" s="351"/>
      <c r="P1896" s="351"/>
      <c r="Q1896" s="351"/>
      <c r="S1896" s="361">
        <f t="shared" si="474"/>
        <v>0</v>
      </c>
      <c r="T1896" s="361">
        <f t="shared" si="483"/>
        <v>0</v>
      </c>
    </row>
    <row r="1897" spans="1:20">
      <c r="A1897" s="332" t="s">
        <v>477</v>
      </c>
      <c r="B1897" s="332" t="s">
        <v>144</v>
      </c>
      <c r="C1897" s="333">
        <f t="shared" si="482"/>
        <v>1</v>
      </c>
      <c r="D1897" s="328"/>
      <c r="E1897" s="328">
        <f>VLOOKUP(B1897,DONGIA,DG!$B$6,0)</f>
        <v>0</v>
      </c>
      <c r="F1897" s="779" t="str">
        <f>VLOOKUP(B1897,DONGIA,DG!$C$6,0)</f>
        <v>Cáp đồng trần M25mm2</v>
      </c>
      <c r="G1897" s="328" t="str">
        <f>VLOOKUP(B1897,DONGIA,DG!$D$6,0)</f>
        <v>kg</v>
      </c>
      <c r="H1897" s="458">
        <f>10*0.224</f>
        <v>2.2400000000000002</v>
      </c>
      <c r="I1897" s="329">
        <f>VLOOKUP(B1897,DONGIA,DG!$E$6,0)</f>
        <v>201380</v>
      </c>
      <c r="J1897" s="329"/>
      <c r="K1897" s="329">
        <f>VLOOKUP(B1897,DONGIA,DG!$F$6,0)</f>
        <v>0</v>
      </c>
      <c r="L1897" s="329">
        <f>VLOOKUP(B1897,DONGIA,DG!$G$6,0)</f>
        <v>0</v>
      </c>
      <c r="M1897" s="329">
        <f t="shared" ref="M1897:M1905" si="490">$H1897*I1897</f>
        <v>451091.20000000007</v>
      </c>
      <c r="N1897" s="329">
        <f t="shared" ref="N1897:N1905" si="491">$H1897*J1897</f>
        <v>0</v>
      </c>
      <c r="O1897" s="329">
        <f t="shared" ref="O1897:O1905" si="492">$H1897*K1897</f>
        <v>0</v>
      </c>
      <c r="P1897" s="329">
        <f t="shared" ref="P1897:P1905" si="493">$H1897*L1897</f>
        <v>0</v>
      </c>
      <c r="Q1897" s="329"/>
      <c r="S1897" s="332">
        <f t="shared" si="474"/>
        <v>1</v>
      </c>
      <c r="T1897" s="332">
        <f t="shared" si="483"/>
        <v>2.2400000000000002</v>
      </c>
    </row>
    <row r="1898" spans="1:20" hidden="1">
      <c r="A1898" s="332" t="s">
        <v>477</v>
      </c>
      <c r="B1898" s="332" t="s">
        <v>278</v>
      </c>
      <c r="C1898" s="333">
        <f t="shared" si="482"/>
        <v>0</v>
      </c>
      <c r="D1898" s="328"/>
      <c r="E1898" s="328">
        <f>VLOOKUP(B1898,DONGIA,DG!$B$6,0)</f>
        <v>0</v>
      </c>
      <c r="F1898" s="329" t="str">
        <f>VLOOKUP(B1898,DONGIA,DG!$C$6,0)</f>
        <v>Cọc tiếp đất φ16 - 2,4m (mạ đồng 16µm)</v>
      </c>
      <c r="G1898" s="328" t="str">
        <f>VLOOKUP(B1898,DONGIA,DG!$D$6,0)</f>
        <v>cọc</v>
      </c>
      <c r="H1898" s="329"/>
      <c r="I1898" s="329">
        <f>VLOOKUP(B1898,DONGIA,DG!$E$6,0)</f>
        <v>130000</v>
      </c>
      <c r="J1898" s="329"/>
      <c r="K1898" s="329">
        <f>VLOOKUP(B1898,DONGIA,DG!$F$6,0)</f>
        <v>0</v>
      </c>
      <c r="L1898" s="329">
        <f>VLOOKUP(B1898,DONGIA,DG!$G$6,0)</f>
        <v>0</v>
      </c>
      <c r="M1898" s="329">
        <f t="shared" si="490"/>
        <v>0</v>
      </c>
      <c r="N1898" s="329">
        <f t="shared" si="491"/>
        <v>0</v>
      </c>
      <c r="O1898" s="329">
        <f t="shared" si="492"/>
        <v>0</v>
      </c>
      <c r="P1898" s="329">
        <f t="shared" si="493"/>
        <v>0</v>
      </c>
      <c r="Q1898" s="329"/>
      <c r="S1898" s="332">
        <f t="shared" si="474"/>
        <v>5.3</v>
      </c>
      <c r="T1898" s="332">
        <f t="shared" si="483"/>
        <v>0</v>
      </c>
    </row>
    <row r="1899" spans="1:20" hidden="1">
      <c r="A1899" s="332" t="s">
        <v>477</v>
      </c>
      <c r="B1899" s="332" t="s">
        <v>280</v>
      </c>
      <c r="C1899" s="333">
        <f t="shared" si="482"/>
        <v>0</v>
      </c>
      <c r="D1899" s="328"/>
      <c r="E1899" s="328">
        <f>VLOOKUP(B1899,DONGIA,DG!$B$6,0)</f>
        <v>0</v>
      </c>
      <c r="F1899" s="329" t="str">
        <f>VLOOKUP(B1899,DONGIA,DG!$C$6,0)</f>
        <v>Kẹp cọc tiếp địa</v>
      </c>
      <c r="G1899" s="328" t="str">
        <f>VLOOKUP(B1899,DONGIA,DG!$D$6,0)</f>
        <v>bộ</v>
      </c>
      <c r="H1899" s="329">
        <f>H1898</f>
        <v>0</v>
      </c>
      <c r="I1899" s="329">
        <f>VLOOKUP(B1899,DONGIA,DG!$E$6,0)</f>
        <v>25000</v>
      </c>
      <c r="J1899" s="329"/>
      <c r="K1899" s="329">
        <f>VLOOKUP(B1899,DONGIA,DG!$F$6,0)</f>
        <v>0</v>
      </c>
      <c r="L1899" s="329">
        <f>VLOOKUP(B1899,DONGIA,DG!$G$6,0)</f>
        <v>0</v>
      </c>
      <c r="M1899" s="329">
        <f t="shared" si="490"/>
        <v>0</v>
      </c>
      <c r="N1899" s="329">
        <f t="shared" si="491"/>
        <v>0</v>
      </c>
      <c r="O1899" s="329">
        <f t="shared" si="492"/>
        <v>0</v>
      </c>
      <c r="P1899" s="329">
        <f t="shared" si="493"/>
        <v>0</v>
      </c>
      <c r="Q1899" s="329"/>
      <c r="S1899" s="332">
        <f t="shared" ref="S1899:S1968" si="494">IFERROR(VLOOKUP(B1899,DONGIA,$S$25,0),0)</f>
        <v>0.05</v>
      </c>
      <c r="T1899" s="332">
        <f t="shared" si="483"/>
        <v>0</v>
      </c>
    </row>
    <row r="1900" spans="1:20">
      <c r="A1900" s="332" t="s">
        <v>477</v>
      </c>
      <c r="B1900" s="332" t="s">
        <v>1217</v>
      </c>
      <c r="C1900" s="333">
        <f t="shared" si="482"/>
        <v>1</v>
      </c>
      <c r="D1900" s="328"/>
      <c r="E1900" s="328">
        <f>VLOOKUP(B1900,DONGIA,DG!$B$6,0)</f>
        <v>0</v>
      </c>
      <c r="F1900" s="779" t="str">
        <f>VLOOKUP(B1900,DONGIA,DG!$C$6,0)</f>
        <v xml:space="preserve">Ốc xiết cáp cỡ 38mm2 </v>
      </c>
      <c r="G1900" s="328" t="str">
        <f>VLOOKUP(B1900,DONGIA,DG!$D$6,0)</f>
        <v>cái</v>
      </c>
      <c r="H1900" s="329">
        <v>4</v>
      </c>
      <c r="I1900" s="329">
        <f>VLOOKUP(B1900,DONGIA,DG!$E$6,0)</f>
        <v>18000</v>
      </c>
      <c r="J1900" s="329"/>
      <c r="K1900" s="329">
        <f>VLOOKUP(B1900,DONGIA,DG!$F$6,0)</f>
        <v>0</v>
      </c>
      <c r="L1900" s="329">
        <f>VLOOKUP(B1900,DONGIA,DG!$G$6,0)</f>
        <v>0</v>
      </c>
      <c r="M1900" s="329">
        <f t="shared" si="490"/>
        <v>72000</v>
      </c>
      <c r="N1900" s="329">
        <f t="shared" si="491"/>
        <v>0</v>
      </c>
      <c r="O1900" s="329">
        <f t="shared" si="492"/>
        <v>0</v>
      </c>
      <c r="P1900" s="329">
        <f t="shared" si="493"/>
        <v>0</v>
      </c>
      <c r="Q1900" s="329"/>
      <c r="S1900" s="332">
        <f t="shared" si="494"/>
        <v>0</v>
      </c>
      <c r="T1900" s="332">
        <f t="shared" si="483"/>
        <v>0</v>
      </c>
    </row>
    <row r="1901" spans="1:20">
      <c r="A1901" s="332" t="s">
        <v>477</v>
      </c>
      <c r="B1901" s="332" t="s">
        <v>323</v>
      </c>
      <c r="C1901" s="333">
        <f t="shared" si="482"/>
        <v>1</v>
      </c>
      <c r="D1901" s="328"/>
      <c r="E1901" s="328">
        <f>VLOOKUP(B1901,DONGIA,DG!$B$6,0)</f>
        <v>0</v>
      </c>
      <c r="F1901" s="779" t="str">
        <f>VLOOKUP(B1901,DONGIA,DG!$C$6,0)</f>
        <v>Kẹp ép WR cỡ dây 50mm2</v>
      </c>
      <c r="G1901" s="328" t="str">
        <f>VLOOKUP(B1901,DONGIA,DG!$D$6,0)</f>
        <v>cái</v>
      </c>
      <c r="H1901" s="329">
        <v>2</v>
      </c>
      <c r="I1901" s="329">
        <f>VLOOKUP(B1901,DONGIA,DG!$E$6,0)</f>
        <v>10000</v>
      </c>
      <c r="J1901" s="329"/>
      <c r="K1901" s="329">
        <f>VLOOKUP(B1901,DONGIA,DG!$F$6,0)</f>
        <v>0</v>
      </c>
      <c r="L1901" s="329">
        <f>VLOOKUP(B1901,DONGIA,DG!$G$6,0)</f>
        <v>0</v>
      </c>
      <c r="M1901" s="329">
        <f t="shared" si="490"/>
        <v>20000</v>
      </c>
      <c r="N1901" s="329">
        <f t="shared" si="491"/>
        <v>0</v>
      </c>
      <c r="O1901" s="329">
        <f t="shared" si="492"/>
        <v>0</v>
      </c>
      <c r="P1901" s="329">
        <f t="shared" si="493"/>
        <v>0</v>
      </c>
      <c r="Q1901" s="329"/>
      <c r="S1901" s="332">
        <f t="shared" si="494"/>
        <v>0.2</v>
      </c>
      <c r="T1901" s="332">
        <f t="shared" si="483"/>
        <v>0.4</v>
      </c>
    </row>
    <row r="1902" spans="1:20">
      <c r="A1902" s="332" t="s">
        <v>477</v>
      </c>
      <c r="B1902" s="332" t="s">
        <v>573</v>
      </c>
      <c r="C1902" s="333">
        <f t="shared" si="482"/>
        <v>1</v>
      </c>
      <c r="D1902" s="328"/>
      <c r="E1902" s="328" t="str">
        <f>VLOOKUP(B1902,DONGIA,DG!$B$6,0)</f>
        <v>T4.7001</v>
      </c>
      <c r="F1902" s="779" t="str">
        <f>VLOOKUP(B1902,DONGIA,DG!$C$6,0)</f>
        <v>Kéo dây tiếp địa trong TBA</v>
      </c>
      <c r="G1902" s="328" t="str">
        <f>VLOOKUP(B1902,DONGIA,DG!$D$6,0)</f>
        <v>mét</v>
      </c>
      <c r="H1902" s="329">
        <f>H1897/0.224</f>
        <v>10</v>
      </c>
      <c r="I1902" s="329">
        <f>VLOOKUP(B1902,DONGIA,DG!$E$6,0)</f>
        <v>0</v>
      </c>
      <c r="J1902" s="329"/>
      <c r="K1902" s="329">
        <f>VLOOKUP(B1902,DONGIA,DG!$F$6,0)</f>
        <v>6871</v>
      </c>
      <c r="L1902" s="329">
        <f>VLOOKUP(B1902,DONGIA,DG!$G$6,0)</f>
        <v>0</v>
      </c>
      <c r="M1902" s="329">
        <f t="shared" si="490"/>
        <v>0</v>
      </c>
      <c r="N1902" s="329">
        <f t="shared" si="491"/>
        <v>0</v>
      </c>
      <c r="O1902" s="329">
        <f t="shared" si="492"/>
        <v>68710</v>
      </c>
      <c r="P1902" s="329">
        <f t="shared" si="493"/>
        <v>0</v>
      </c>
      <c r="Q1902" s="329"/>
      <c r="S1902" s="332">
        <f t="shared" si="494"/>
        <v>0</v>
      </c>
      <c r="T1902" s="332">
        <f t="shared" si="483"/>
        <v>0</v>
      </c>
    </row>
    <row r="1903" spans="1:20" hidden="1">
      <c r="A1903" s="332" t="s">
        <v>477</v>
      </c>
      <c r="B1903" s="332" t="s">
        <v>581</v>
      </c>
      <c r="C1903" s="333">
        <f t="shared" si="482"/>
        <v>0</v>
      </c>
      <c r="D1903" s="328"/>
      <c r="E1903" s="328" t="str">
        <f>VLOOKUP(B1903,DONGIA,DG!$B$6,0)</f>
        <v>D2.8103</v>
      </c>
      <c r="F1903" s="329" t="str">
        <f>VLOOKUP(B1903,DONGIA,DG!$C$6,0)</f>
        <v>Đóng cọc tiếp địa trong TBA (đất cấp 3)</v>
      </c>
      <c r="G1903" s="328" t="str">
        <f>VLOOKUP(B1903,DONGIA,DG!$D$6,0)</f>
        <v>cọc</v>
      </c>
      <c r="H1903" s="329">
        <f>H1898</f>
        <v>0</v>
      </c>
      <c r="I1903" s="329">
        <f>VLOOKUP(B1903,DONGIA,DG!$E$6,0)</f>
        <v>0</v>
      </c>
      <c r="J1903" s="329"/>
      <c r="K1903" s="329">
        <f>VLOOKUP(B1903,DONGIA,DG!$F$6,0)</f>
        <v>76928</v>
      </c>
      <c r="L1903" s="329">
        <f>VLOOKUP(B1903,DONGIA,DG!$G$6,0)</f>
        <v>0</v>
      </c>
      <c r="M1903" s="329">
        <f t="shared" si="490"/>
        <v>0</v>
      </c>
      <c r="N1903" s="329">
        <f t="shared" si="491"/>
        <v>0</v>
      </c>
      <c r="O1903" s="329">
        <f t="shared" si="492"/>
        <v>0</v>
      </c>
      <c r="P1903" s="329">
        <f t="shared" si="493"/>
        <v>0</v>
      </c>
      <c r="Q1903" s="329"/>
      <c r="S1903" s="332">
        <f t="shared" si="494"/>
        <v>0</v>
      </c>
      <c r="T1903" s="332">
        <f t="shared" si="483"/>
        <v>0</v>
      </c>
    </row>
    <row r="1904" spans="1:20" hidden="1">
      <c r="A1904" s="332" t="s">
        <v>477</v>
      </c>
      <c r="B1904" s="332" t="s">
        <v>540</v>
      </c>
      <c r="C1904" s="333">
        <f t="shared" si="482"/>
        <v>0</v>
      </c>
      <c r="D1904" s="328"/>
      <c r="E1904" s="328" t="str">
        <f>VLOOKUP(B1904,DONGIA,DG!$B$6,0)</f>
        <v>AB.11513</v>
      </c>
      <c r="F1904" s="362" t="str">
        <f>VLOOKUP(B1904,DONGIA,DG!$C$6,0)</f>
        <v>Đào rãnh tiếp địa đất cấp 3</v>
      </c>
      <c r="G1904" s="328" t="str">
        <f>VLOOKUP(B1904,DONGIA,DG!$D$6,0)</f>
        <v>m3</v>
      </c>
      <c r="H1904" s="458"/>
      <c r="I1904" s="329">
        <f>VLOOKUP(B1904,DONGIA,DG!$E$6,0)</f>
        <v>0</v>
      </c>
      <c r="J1904" s="329"/>
      <c r="K1904" s="525">
        <f>ROUND(VLOOKUP(B1904,DONGIA,DG!$F$6,0)/NCTBA,0)</f>
        <v>241580</v>
      </c>
      <c r="L1904" s="329">
        <f>VLOOKUP(B1904,DONGIA,DG!$G$6,0)</f>
        <v>0</v>
      </c>
      <c r="M1904" s="329">
        <f t="shared" si="490"/>
        <v>0</v>
      </c>
      <c r="N1904" s="329">
        <f t="shared" si="491"/>
        <v>0</v>
      </c>
      <c r="O1904" s="329">
        <f t="shared" si="492"/>
        <v>0</v>
      </c>
      <c r="P1904" s="329">
        <f t="shared" si="493"/>
        <v>0</v>
      </c>
      <c r="Q1904" s="329"/>
      <c r="S1904" s="332">
        <f t="shared" si="494"/>
        <v>0</v>
      </c>
      <c r="T1904" s="332">
        <f t="shared" si="483"/>
        <v>0</v>
      </c>
    </row>
    <row r="1905" spans="1:20" hidden="1">
      <c r="A1905" s="332" t="s">
        <v>477</v>
      </c>
      <c r="B1905" s="332" t="s">
        <v>547</v>
      </c>
      <c r="C1905" s="333">
        <f t="shared" si="482"/>
        <v>0</v>
      </c>
      <c r="D1905" s="328"/>
      <c r="E1905" s="328" t="str">
        <f>VLOOKUP(B1905,DONGIA,DG!$B$6,0)</f>
        <v>AB.65110</v>
      </c>
      <c r="F1905" s="362" t="str">
        <f>VLOOKUP(B1905,DONGIA,DG!$C$6,0)</f>
        <v>Đắp đất rãnh tiếp địa (K=0,85)</v>
      </c>
      <c r="G1905" s="328" t="str">
        <f>VLOOKUP(B1905,DONGIA,DG!$D$6,0)</f>
        <v>m3</v>
      </c>
      <c r="H1905" s="458">
        <f>H1904</f>
        <v>0</v>
      </c>
      <c r="I1905" s="329">
        <f>VLOOKUP(B1905,DONGIA,DG!$E$6,0)</f>
        <v>0</v>
      </c>
      <c r="J1905" s="329"/>
      <c r="K1905" s="525">
        <f>ROUND(VLOOKUP(B1905,DONGIA,DG!$F$6,0)/NCTBA,0)</f>
        <v>16267</v>
      </c>
      <c r="L1905" s="329">
        <f>VLOOKUP(B1905,DONGIA,DG!$G$6,0)</f>
        <v>11176</v>
      </c>
      <c r="M1905" s="329">
        <f t="shared" si="490"/>
        <v>0</v>
      </c>
      <c r="N1905" s="329">
        <f t="shared" si="491"/>
        <v>0</v>
      </c>
      <c r="O1905" s="329">
        <f t="shared" si="492"/>
        <v>0</v>
      </c>
      <c r="P1905" s="329">
        <f t="shared" si="493"/>
        <v>0</v>
      </c>
      <c r="Q1905" s="329"/>
      <c r="S1905" s="332">
        <f t="shared" si="494"/>
        <v>0</v>
      </c>
      <c r="T1905" s="332">
        <f t="shared" si="483"/>
        <v>0</v>
      </c>
    </row>
    <row r="1906" spans="1:20">
      <c r="A1906" s="332" t="s">
        <v>477</v>
      </c>
      <c r="C1906" s="333">
        <f t="shared" si="482"/>
        <v>1</v>
      </c>
      <c r="D1906" s="372">
        <f>IF(H1906&lt;&gt;0,D1895+1,D1895)</f>
        <v>5</v>
      </c>
      <c r="E1906" s="372"/>
      <c r="F1906" s="780" t="s">
        <v>3885</v>
      </c>
      <c r="G1906" s="372" t="s">
        <v>138</v>
      </c>
      <c r="H1906" s="372">
        <f>TRNC2X100</f>
        <v>1</v>
      </c>
      <c r="I1906" s="373"/>
      <c r="J1906" s="373"/>
      <c r="K1906" s="373"/>
      <c r="L1906" s="373"/>
      <c r="M1906" s="373"/>
      <c r="N1906" s="373"/>
      <c r="O1906" s="373"/>
      <c r="P1906" s="373"/>
      <c r="Q1906" s="373"/>
      <c r="S1906" s="332">
        <f t="shared" si="494"/>
        <v>0</v>
      </c>
      <c r="T1906" s="332">
        <f t="shared" si="483"/>
        <v>0</v>
      </c>
    </row>
    <row r="1907" spans="1:20" s="361" customFormat="1" hidden="1">
      <c r="A1907" s="361" t="s">
        <v>477</v>
      </c>
      <c r="C1907" s="374">
        <f t="shared" si="482"/>
        <v>0</v>
      </c>
      <c r="D1907" s="350"/>
      <c r="E1907" s="350"/>
      <c r="F1907" s="351" t="s">
        <v>1902</v>
      </c>
      <c r="G1907" s="350"/>
      <c r="H1907" s="351"/>
      <c r="I1907" s="351"/>
      <c r="J1907" s="351"/>
      <c r="K1907" s="351"/>
      <c r="L1907" s="351"/>
      <c r="M1907" s="351"/>
      <c r="N1907" s="351"/>
      <c r="O1907" s="351"/>
      <c r="P1907" s="351"/>
      <c r="Q1907" s="351"/>
      <c r="S1907" s="361">
        <f t="shared" si="494"/>
        <v>0</v>
      </c>
      <c r="T1907" s="361">
        <f t="shared" si="483"/>
        <v>0</v>
      </c>
    </row>
    <row r="1908" spans="1:20">
      <c r="A1908" s="332" t="s">
        <v>477</v>
      </c>
      <c r="B1908" s="332" t="s">
        <v>1913</v>
      </c>
      <c r="C1908" s="333">
        <f t="shared" si="482"/>
        <v>1</v>
      </c>
      <c r="D1908" s="328"/>
      <c r="E1908" s="328" t="str">
        <f>VLOOKUP(B1908,DONGIA,DG!$B$6,0)</f>
        <v>T5.1002</v>
      </c>
      <c r="F1908" s="779" t="str">
        <f>VLOOKUP(B1908,DONGIA,DG!$C$6,0)</f>
        <v>Tủ trạm treo + khóa + boulon + Bakelit + Collier (3 pha)</v>
      </c>
      <c r="G1908" s="328" t="str">
        <f>VLOOKUP(B1908,DONGIA,DG!$D$6,0)</f>
        <v>bộ</v>
      </c>
      <c r="H1908" s="329">
        <f>H1906</f>
        <v>1</v>
      </c>
      <c r="I1908" s="329">
        <f>VLOOKUP(B1908,DONGIA,DG!$E$6,0)</f>
        <v>5446000</v>
      </c>
      <c r="J1908" s="329"/>
      <c r="K1908" s="329">
        <f>VLOOKUP(B1908,DONGIA,DG!$F$6,0)</f>
        <v>743230</v>
      </c>
      <c r="L1908" s="329">
        <f>VLOOKUP(B1908,DONGIA,DG!$G$6,0)</f>
        <v>111154</v>
      </c>
      <c r="M1908" s="329">
        <f>$H1908*I1908</f>
        <v>5446000</v>
      </c>
      <c r="N1908" s="329">
        <f>$H1908*J1908</f>
        <v>0</v>
      </c>
      <c r="O1908" s="329">
        <f>$H1908*K1908</f>
        <v>743230</v>
      </c>
      <c r="P1908" s="329">
        <f>$H1908*L1908</f>
        <v>111154</v>
      </c>
      <c r="Q1908" s="329"/>
      <c r="S1908" s="332">
        <f t="shared" si="494"/>
        <v>45</v>
      </c>
      <c r="T1908" s="332">
        <f t="shared" si="483"/>
        <v>45</v>
      </c>
    </row>
    <row r="1909" spans="1:20">
      <c r="C1909" s="333">
        <f t="shared" si="482"/>
        <v>1</v>
      </c>
      <c r="D1909" s="372">
        <f>IF(H1909&lt;&gt;0,D1906+1,D1906)</f>
        <v>6</v>
      </c>
      <c r="E1909" s="372"/>
      <c r="F1909" s="780" t="s">
        <v>1935</v>
      </c>
      <c r="G1909" s="372" t="s">
        <v>138</v>
      </c>
      <c r="H1909" s="372">
        <f>TRNC2X100</f>
        <v>1</v>
      </c>
      <c r="I1909" s="373"/>
      <c r="J1909" s="373"/>
      <c r="K1909" s="373"/>
      <c r="L1909" s="373"/>
      <c r="M1909" s="373"/>
      <c r="N1909" s="373"/>
      <c r="O1909" s="373"/>
      <c r="P1909" s="373"/>
      <c r="Q1909" s="373"/>
      <c r="S1909" s="332">
        <f t="shared" si="494"/>
        <v>0</v>
      </c>
      <c r="T1909" s="332">
        <f t="shared" si="483"/>
        <v>0</v>
      </c>
    </row>
    <row r="1910" spans="1:20" s="361" customFormat="1" hidden="1">
      <c r="C1910" s="374">
        <f t="shared" si="482"/>
        <v>0</v>
      </c>
      <c r="D1910" s="350"/>
      <c r="E1910" s="350"/>
      <c r="F1910" s="351" t="s">
        <v>1902</v>
      </c>
      <c r="G1910" s="350"/>
      <c r="H1910" s="351"/>
      <c r="I1910" s="351"/>
      <c r="J1910" s="351"/>
      <c r="K1910" s="351"/>
      <c r="L1910" s="351"/>
      <c r="M1910" s="351"/>
      <c r="N1910" s="351"/>
      <c r="O1910" s="351"/>
      <c r="P1910" s="351"/>
      <c r="Q1910" s="351"/>
      <c r="S1910" s="361">
        <f t="shared" si="494"/>
        <v>0</v>
      </c>
      <c r="T1910" s="361">
        <f t="shared" si="483"/>
        <v>0</v>
      </c>
    </row>
    <row r="1911" spans="1:20">
      <c r="B1911" s="332" t="s">
        <v>1468</v>
      </c>
      <c r="C1911" s="333">
        <f t="shared" si="482"/>
        <v>1</v>
      </c>
      <c r="D1911" s="328"/>
      <c r="E1911" s="328">
        <f>VLOOKUP(B1911,DONGIA,DG!$B$6,0)</f>
        <v>0</v>
      </c>
      <c r="F1911" s="779" t="str">
        <f>VLOOKUP(B1911,DONGIA,DG!$C$6,0)</f>
        <v>Cáp 24KV C/XLPE/PVC 25mm2</v>
      </c>
      <c r="G1911" s="328" t="str">
        <f>VLOOKUP(B1911,DONGIA,DG!$D$6,0)</f>
        <v>mét</v>
      </c>
      <c r="H1911" s="489">
        <f>H1909*10.5</f>
        <v>10.5</v>
      </c>
      <c r="I1911" s="329">
        <f>VLOOKUP(B1911,DONGIA,DG!$E$6,0)</f>
        <v>87540</v>
      </c>
      <c r="J1911" s="329"/>
      <c r="K1911" s="329">
        <f>VLOOKUP(B1911,DONGIA,DG!$F$6,0)</f>
        <v>0</v>
      </c>
      <c r="L1911" s="329">
        <f>VLOOKUP(B1911,DONGIA,DG!$G$6,0)</f>
        <v>0</v>
      </c>
      <c r="M1911" s="329">
        <f t="shared" ref="M1911:P1915" si="495">$H1911*I1911</f>
        <v>919170</v>
      </c>
      <c r="N1911" s="329">
        <f t="shared" si="495"/>
        <v>0</v>
      </c>
      <c r="O1911" s="329">
        <f t="shared" si="495"/>
        <v>0</v>
      </c>
      <c r="P1911" s="329">
        <f t="shared" si="495"/>
        <v>0</v>
      </c>
      <c r="Q1911" s="329"/>
      <c r="S1911" s="332">
        <f t="shared" si="494"/>
        <v>0.75</v>
      </c>
      <c r="T1911" s="332">
        <f t="shared" si="483"/>
        <v>7.875</v>
      </c>
    </row>
    <row r="1912" spans="1:20">
      <c r="B1912" s="332" t="s">
        <v>1507</v>
      </c>
      <c r="C1912" s="333">
        <f t="shared" si="482"/>
        <v>1</v>
      </c>
      <c r="D1912" s="328"/>
      <c r="E1912" s="328"/>
      <c r="F1912" s="779" t="str">
        <f>VLOOKUP(B1912,DONGIA,DG!$C$6,0)</f>
        <v>Kẹp quai 4/0 (quai đồng 8mm)</v>
      </c>
      <c r="G1912" s="328" t="str">
        <f>VLOOKUP(B1912,DONGIA,DG!$D$6,0)</f>
        <v>cái</v>
      </c>
      <c r="H1912" s="329">
        <v>2</v>
      </c>
      <c r="I1912" s="329">
        <f>VLOOKUP(B1912,DONGIA,DG!$E$6,0)</f>
        <v>145000</v>
      </c>
      <c r="J1912" s="329"/>
      <c r="K1912" s="329"/>
      <c r="L1912" s="329">
        <f>VLOOKUP(B1912,DONGIA,DG!$G$6,0)</f>
        <v>0</v>
      </c>
      <c r="M1912" s="329">
        <f t="shared" si="495"/>
        <v>290000</v>
      </c>
      <c r="N1912" s="329">
        <f t="shared" si="495"/>
        <v>0</v>
      </c>
      <c r="O1912" s="329">
        <f t="shared" si="495"/>
        <v>0</v>
      </c>
      <c r="P1912" s="329">
        <f t="shared" si="495"/>
        <v>0</v>
      </c>
      <c r="Q1912" s="329"/>
      <c r="S1912" s="332">
        <f t="shared" si="494"/>
        <v>0.3</v>
      </c>
      <c r="T1912" s="332">
        <f t="shared" si="483"/>
        <v>0.6</v>
      </c>
    </row>
    <row r="1913" spans="1:20">
      <c r="B1913" s="332" t="s">
        <v>1511</v>
      </c>
      <c r="C1913" s="333">
        <f t="shared" si="482"/>
        <v>1</v>
      </c>
      <c r="D1913" s="328"/>
      <c r="E1913" s="328"/>
      <c r="F1913" s="779" t="str">
        <f>VLOOKUP(B1913,DONGIA,DG!$C$6,0)</f>
        <v>Chụp cách điện kẹp quai</v>
      </c>
      <c r="G1913" s="328" t="str">
        <f>VLOOKUP(B1913,DONGIA,DG!$D$6,0)</f>
        <v>cái</v>
      </c>
      <c r="H1913" s="329">
        <f>H1912</f>
        <v>2</v>
      </c>
      <c r="I1913" s="329">
        <f>VLOOKUP(B1913,DONGIA,DG!$E$6,0)</f>
        <v>122000</v>
      </c>
      <c r="J1913" s="329"/>
      <c r="K1913" s="329"/>
      <c r="L1913" s="329">
        <f>VLOOKUP(B1913,DONGIA,DG!$G$6,0)</f>
        <v>0</v>
      </c>
      <c r="M1913" s="329">
        <f t="shared" si="495"/>
        <v>244000</v>
      </c>
      <c r="N1913" s="329">
        <f t="shared" si="495"/>
        <v>0</v>
      </c>
      <c r="O1913" s="329">
        <f t="shared" si="495"/>
        <v>0</v>
      </c>
      <c r="P1913" s="329">
        <f t="shared" si="495"/>
        <v>0</v>
      </c>
      <c r="Q1913" s="329"/>
      <c r="S1913" s="332">
        <f t="shared" si="494"/>
        <v>0.2</v>
      </c>
      <c r="T1913" s="332">
        <f t="shared" si="483"/>
        <v>0.4</v>
      </c>
    </row>
    <row r="1914" spans="1:20">
      <c r="B1914" s="332" t="s">
        <v>1508</v>
      </c>
      <c r="C1914" s="333">
        <f t="shared" si="482"/>
        <v>1</v>
      </c>
      <c r="D1914" s="328"/>
      <c r="E1914" s="328"/>
      <c r="F1914" s="779" t="str">
        <f>VLOOKUP(B1914,DONGIA,DG!$C$6,0)</f>
        <v>Kẹp hotline 2/0</v>
      </c>
      <c r="G1914" s="328" t="str">
        <f>VLOOKUP(B1914,DONGIA,DG!$D$6,0)</f>
        <v>cái</v>
      </c>
      <c r="H1914" s="329">
        <f>H1913</f>
        <v>2</v>
      </c>
      <c r="I1914" s="329">
        <f>VLOOKUP(B1914,DONGIA,DG!$E$6,0)</f>
        <v>68000</v>
      </c>
      <c r="J1914" s="329"/>
      <c r="K1914" s="329"/>
      <c r="L1914" s="329">
        <f>VLOOKUP(B1914,DONGIA,DG!$G$6,0)</f>
        <v>0</v>
      </c>
      <c r="M1914" s="329">
        <f t="shared" si="495"/>
        <v>136000</v>
      </c>
      <c r="N1914" s="329">
        <f t="shared" si="495"/>
        <v>0</v>
      </c>
      <c r="O1914" s="329">
        <f t="shared" si="495"/>
        <v>0</v>
      </c>
      <c r="P1914" s="329">
        <f t="shared" si="495"/>
        <v>0</v>
      </c>
      <c r="Q1914" s="329"/>
      <c r="S1914" s="332">
        <f t="shared" si="494"/>
        <v>0.1</v>
      </c>
      <c r="T1914" s="332">
        <f t="shared" si="483"/>
        <v>0.2</v>
      </c>
    </row>
    <row r="1915" spans="1:20">
      <c r="B1915" s="332" t="s">
        <v>1939</v>
      </c>
      <c r="C1915" s="333">
        <f t="shared" si="482"/>
        <v>1</v>
      </c>
      <c r="D1915" s="328"/>
      <c r="E1915" s="328" t="str">
        <f>VLOOKUP(B1915,DONGIA,DG!$B$6,0)</f>
        <v>T4.4201</v>
      </c>
      <c r="F1915" s="779" t="str">
        <f>VLOOKUP(B1915,DONGIA,DG!$C$6,0)</f>
        <v>Lắp cáp đồng xuống thiết bị D ≤ 95mm2</v>
      </c>
      <c r="G1915" s="328" t="str">
        <f>VLOOKUP(B1915,DONGIA,DG!$D$6,0)</f>
        <v>m</v>
      </c>
      <c r="H1915" s="489">
        <f>H1911</f>
        <v>10.5</v>
      </c>
      <c r="I1915" s="329">
        <f>VLOOKUP(B1915,DONGIA,DG!$E$6,0)</f>
        <v>0</v>
      </c>
      <c r="J1915" s="329"/>
      <c r="K1915" s="329">
        <f>VLOOKUP(B1915,DONGIA,DG!$F$6,0)</f>
        <v>11847</v>
      </c>
      <c r="L1915" s="329">
        <f>VLOOKUP(B1915,DONGIA,DG!$G$6,0)</f>
        <v>0</v>
      </c>
      <c r="M1915" s="329">
        <f t="shared" si="495"/>
        <v>0</v>
      </c>
      <c r="N1915" s="329">
        <f t="shared" si="495"/>
        <v>0</v>
      </c>
      <c r="O1915" s="329">
        <f t="shared" si="495"/>
        <v>124393.5</v>
      </c>
      <c r="P1915" s="329">
        <f t="shared" si="495"/>
        <v>0</v>
      </c>
      <c r="Q1915" s="329"/>
      <c r="S1915" s="332">
        <f t="shared" si="494"/>
        <v>0</v>
      </c>
      <c r="T1915" s="332">
        <f t="shared" si="483"/>
        <v>0</v>
      </c>
    </row>
    <row r="1916" spans="1:20">
      <c r="C1916" s="333">
        <f t="shared" si="482"/>
        <v>1</v>
      </c>
      <c r="D1916" s="372">
        <f>IF(H1916&lt;&gt;0,D1909+1,D1909)</f>
        <v>7</v>
      </c>
      <c r="E1916" s="372"/>
      <c r="F1916" s="780" t="s">
        <v>1936</v>
      </c>
      <c r="G1916" s="372" t="s">
        <v>138</v>
      </c>
      <c r="H1916" s="372">
        <f>TRNC2X100</f>
        <v>1</v>
      </c>
      <c r="I1916" s="373"/>
      <c r="J1916" s="373"/>
      <c r="K1916" s="373"/>
      <c r="L1916" s="373"/>
      <c r="M1916" s="373"/>
      <c r="N1916" s="373"/>
      <c r="O1916" s="373"/>
      <c r="P1916" s="373"/>
      <c r="Q1916" s="373"/>
      <c r="S1916" s="332">
        <f t="shared" si="494"/>
        <v>0</v>
      </c>
      <c r="T1916" s="332">
        <f t="shared" si="483"/>
        <v>0</v>
      </c>
    </row>
    <row r="1917" spans="1:20" s="361" customFormat="1" hidden="1">
      <c r="C1917" s="374">
        <f t="shared" si="482"/>
        <v>0</v>
      </c>
      <c r="D1917" s="536"/>
      <c r="E1917" s="536"/>
      <c r="F1917" s="537" t="s">
        <v>1902</v>
      </c>
      <c r="G1917" s="536"/>
      <c r="H1917" s="537"/>
      <c r="I1917" s="537"/>
      <c r="J1917" s="537"/>
      <c r="K1917" s="537"/>
      <c r="L1917" s="537"/>
      <c r="M1917" s="537"/>
      <c r="N1917" s="537"/>
      <c r="O1917" s="537"/>
      <c r="P1917" s="537"/>
      <c r="Q1917" s="537"/>
      <c r="S1917" s="361">
        <f t="shared" si="494"/>
        <v>0</v>
      </c>
      <c r="T1917" s="361">
        <f t="shared" si="483"/>
        <v>0</v>
      </c>
    </row>
    <row r="1918" spans="1:20" hidden="1">
      <c r="B1918" s="332" t="s">
        <v>1908</v>
      </c>
      <c r="C1918" s="333">
        <f>IF(H1918&lt;&gt;0,1,)</f>
        <v>0</v>
      </c>
      <c r="D1918" s="523"/>
      <c r="E1918" s="523">
        <f>VLOOKUP(B1918,DONGIA,DG!$B$6,0)</f>
        <v>0</v>
      </c>
      <c r="F1918" s="525" t="str">
        <f>VLOOKUP(B1918,DONGIA,DG!$C$6,0)&amp;" (SDL)"</f>
        <v>Cáp đồng bọc CV120 (SDL)</v>
      </c>
      <c r="G1918" s="523" t="str">
        <f>VLOOKUP(B1918,DONGIA,DG!$D$6,0)</f>
        <v>mét</v>
      </c>
      <c r="H1918" s="554"/>
      <c r="I1918" s="525"/>
      <c r="J1918" s="525"/>
      <c r="K1918" s="525">
        <f>VLOOKUP(B1918,DONGIA,DG!$F$6,0)</f>
        <v>0</v>
      </c>
      <c r="L1918" s="525">
        <f>VLOOKUP(B1918,DONGIA,DG!$G$6,0)</f>
        <v>0</v>
      </c>
      <c r="M1918" s="525">
        <f t="shared" ref="M1918:P1919" si="496">$H1918*I1918</f>
        <v>0</v>
      </c>
      <c r="N1918" s="525">
        <f t="shared" si="496"/>
        <v>0</v>
      </c>
      <c r="O1918" s="525">
        <f t="shared" si="496"/>
        <v>0</v>
      </c>
      <c r="P1918" s="525">
        <f t="shared" si="496"/>
        <v>0</v>
      </c>
      <c r="Q1918" s="525"/>
      <c r="S1918" s="332">
        <f>IFERROR(VLOOKUP(B1918,DONGIA,$S$25,0),0)</f>
        <v>1.2350000000000001</v>
      </c>
      <c r="T1918" s="332">
        <f>H1918*S1918</f>
        <v>0</v>
      </c>
    </row>
    <row r="1919" spans="1:20" hidden="1">
      <c r="B1919" s="332" t="s">
        <v>1742</v>
      </c>
      <c r="C1919" s="333">
        <f>IF(H1919&lt;&gt;0,1,)</f>
        <v>0</v>
      </c>
      <c r="D1919" s="523"/>
      <c r="E1919" s="523">
        <f>VLOOKUP(B1919,DONGIA,DG!$B$6,0)</f>
        <v>0</v>
      </c>
      <c r="F1919" s="525" t="str">
        <f>VLOOKUP(B1919,DONGIA,DG!$C$6,0)&amp;" (SDL)"</f>
        <v>Cáp đồng bọc CV95 (SDL)</v>
      </c>
      <c r="G1919" s="523" t="str">
        <f>VLOOKUP(B1919,DONGIA,DG!$D$6,0)</f>
        <v>mét</v>
      </c>
      <c r="H1919" s="554"/>
      <c r="I1919" s="525"/>
      <c r="J1919" s="525"/>
      <c r="K1919" s="525">
        <f>VLOOKUP(B1919,DONGIA,DG!$F$6,0)</f>
        <v>0</v>
      </c>
      <c r="L1919" s="525">
        <f>VLOOKUP(B1919,DONGIA,DG!$G$6,0)</f>
        <v>0</v>
      </c>
      <c r="M1919" s="525">
        <f t="shared" si="496"/>
        <v>0</v>
      </c>
      <c r="N1919" s="525">
        <f t="shared" si="496"/>
        <v>0</v>
      </c>
      <c r="O1919" s="525">
        <f t="shared" si="496"/>
        <v>0</v>
      </c>
      <c r="P1919" s="525">
        <f t="shared" si="496"/>
        <v>0</v>
      </c>
      <c r="Q1919" s="525"/>
      <c r="S1919" s="332">
        <f>IFERROR(VLOOKUP(B1919,DONGIA,$S$25,0),0)</f>
        <v>1.008</v>
      </c>
      <c r="T1919" s="332">
        <f>H1919*S1919</f>
        <v>0</v>
      </c>
    </row>
    <row r="1920" spans="1:20">
      <c r="B1920" s="332" t="s">
        <v>1911</v>
      </c>
      <c r="C1920" s="333">
        <f t="shared" si="482"/>
        <v>1</v>
      </c>
      <c r="D1920" s="523"/>
      <c r="E1920" s="523">
        <f>VLOOKUP(B1920,DONGIA,DG!$B$6,0)</f>
        <v>0</v>
      </c>
      <c r="F1920" s="666" t="str">
        <f>VLOOKUP(B1920,DONGIA,DG!$C$6,0)</f>
        <v>Cáp đồng bọc CV150</v>
      </c>
      <c r="G1920" s="523" t="str">
        <f>VLOOKUP(B1920,DONGIA,DG!$D$6,0)</f>
        <v>mét</v>
      </c>
      <c r="H1920" s="554">
        <f>H1916*9.5*3</f>
        <v>28.5</v>
      </c>
      <c r="I1920" s="525">
        <f>VLOOKUP(B1920,DONGIA,DG!$E$6,0)</f>
        <v>315870</v>
      </c>
      <c r="J1920" s="525"/>
      <c r="K1920" s="525">
        <f>VLOOKUP(B1920,DONGIA,DG!$F$6,0)</f>
        <v>0</v>
      </c>
      <c r="L1920" s="525">
        <f>VLOOKUP(B1920,DONGIA,DG!$G$6,0)</f>
        <v>0</v>
      </c>
      <c r="M1920" s="525">
        <f t="shared" ref="M1920:M1940" si="497">$H1920*I1920</f>
        <v>9002295</v>
      </c>
      <c r="N1920" s="525">
        <f t="shared" ref="N1920:N1940" si="498">$H1920*J1920</f>
        <v>0</v>
      </c>
      <c r="O1920" s="525">
        <f t="shared" ref="O1920:O1940" si="499">$H1920*K1920</f>
        <v>0</v>
      </c>
      <c r="P1920" s="525">
        <f t="shared" ref="P1920:P1940" si="500">$H1920*L1920</f>
        <v>0</v>
      </c>
      <c r="Q1920" s="525"/>
      <c r="S1920" s="332">
        <f t="shared" si="494"/>
        <v>1.5980000000000001</v>
      </c>
      <c r="T1920" s="332">
        <f t="shared" si="483"/>
        <v>45.542999999999999</v>
      </c>
    </row>
    <row r="1921" spans="2:20">
      <c r="B1921" s="332" t="s">
        <v>1742</v>
      </c>
      <c r="C1921" s="333">
        <f t="shared" si="482"/>
        <v>1</v>
      </c>
      <c r="D1921" s="523"/>
      <c r="E1921" s="523">
        <f>VLOOKUP(B1921,DONGIA,DG!$B$6,0)</f>
        <v>0</v>
      </c>
      <c r="F1921" s="666" t="str">
        <f>VLOOKUP(B1921,DONGIA,DG!$C$6,0)</f>
        <v>Cáp đồng bọc CV95</v>
      </c>
      <c r="G1921" s="523" t="str">
        <f>VLOOKUP(B1921,DONGIA,DG!$D$6,0)</f>
        <v>mét</v>
      </c>
      <c r="H1921" s="554">
        <f>H1916*14.5</f>
        <v>14.5</v>
      </c>
      <c r="I1921" s="525">
        <f>VLOOKUP(B1921,DONGIA,DG!$E$6,0)</f>
        <v>196130</v>
      </c>
      <c r="J1921" s="525"/>
      <c r="K1921" s="525">
        <f>VLOOKUP(B1921,DONGIA,DG!$F$6,0)</f>
        <v>0</v>
      </c>
      <c r="L1921" s="525">
        <f>VLOOKUP(B1921,DONGIA,DG!$G$6,0)</f>
        <v>0</v>
      </c>
      <c r="M1921" s="525">
        <f t="shared" si="497"/>
        <v>2843885</v>
      </c>
      <c r="N1921" s="525">
        <f t="shared" si="498"/>
        <v>0</v>
      </c>
      <c r="O1921" s="525">
        <f t="shared" si="499"/>
        <v>0</v>
      </c>
      <c r="P1921" s="525">
        <f t="shared" si="500"/>
        <v>0</v>
      </c>
      <c r="Q1921" s="525"/>
      <c r="S1921" s="332">
        <f t="shared" si="494"/>
        <v>1.008</v>
      </c>
      <c r="T1921" s="332">
        <f t="shared" si="483"/>
        <v>14.616</v>
      </c>
    </row>
    <row r="1922" spans="2:20">
      <c r="B1922" s="332" t="s">
        <v>3520</v>
      </c>
      <c r="C1922" s="333">
        <f t="shared" si="482"/>
        <v>1</v>
      </c>
      <c r="D1922" s="643"/>
      <c r="E1922" s="643">
        <f>VLOOKUP(B1922,DONGIA,DG!$B$6,0)</f>
        <v>0</v>
      </c>
      <c r="F1922" s="731" t="str">
        <f>VLOOKUP(B1922,DONGIA,DG!$C$6,0)</f>
        <v>Cáp điều khiển CVV 6x4,0mm2</v>
      </c>
      <c r="G1922" s="643" t="str">
        <f>VLOOKUP(B1922,DONGIA,DG!$D$6,0)</f>
        <v>mét</v>
      </c>
      <c r="H1922" s="483">
        <v>0.8</v>
      </c>
      <c r="I1922" s="362">
        <f>VLOOKUP(B1922,DONGIA,DG!$E$6,0)</f>
        <v>71600</v>
      </c>
      <c r="J1922" s="362"/>
      <c r="K1922" s="362">
        <f>VLOOKUP(B1922,DONGIA,DG!$F$6,0)</f>
        <v>0</v>
      </c>
      <c r="L1922" s="362">
        <f>VLOOKUP(B1922,DONGIA,DG!$G$6,0)</f>
        <v>0</v>
      </c>
      <c r="M1922" s="362">
        <f t="shared" si="497"/>
        <v>57280</v>
      </c>
      <c r="N1922" s="362">
        <f t="shared" si="498"/>
        <v>0</v>
      </c>
      <c r="O1922" s="362">
        <f t="shared" si="499"/>
        <v>0</v>
      </c>
      <c r="P1922" s="362">
        <f t="shared" si="500"/>
        <v>0</v>
      </c>
      <c r="Q1922" s="362"/>
      <c r="S1922" s="332">
        <f t="shared" si="494"/>
        <v>3.024</v>
      </c>
      <c r="T1922" s="332">
        <f t="shared" si="483"/>
        <v>2.4192</v>
      </c>
    </row>
    <row r="1923" spans="2:20">
      <c r="B1923" s="332" t="s">
        <v>1937</v>
      </c>
      <c r="C1923" s="333">
        <f>IF(H1923&lt;&gt;0,1,)</f>
        <v>1</v>
      </c>
      <c r="D1923" s="757"/>
      <c r="E1923" s="757">
        <f>VLOOKUP(B1923,DONGIA,DG!$B$6,0)</f>
        <v>0</v>
      </c>
      <c r="F1923" s="731" t="str">
        <f>VLOOKUP(B1923,DONGIA,DG!$C$6,0)</f>
        <v>Cáp điều khiển CVV 4x4,0mm2</v>
      </c>
      <c r="G1923" s="757" t="str">
        <f>VLOOKUP(B1923,DONGIA,DG!$D$6,0)</f>
        <v>mét</v>
      </c>
      <c r="H1923" s="483">
        <v>1.3</v>
      </c>
      <c r="I1923" s="362">
        <f>VLOOKUP(B1923,DONGIA,DG!$E$6,0)</f>
        <v>52400</v>
      </c>
      <c r="J1923" s="362"/>
      <c r="K1923" s="362">
        <f>VLOOKUP(B1923,DONGIA,DG!$F$6,0)</f>
        <v>0</v>
      </c>
      <c r="L1923" s="362">
        <f>VLOOKUP(B1923,DONGIA,DG!$G$6,0)</f>
        <v>0</v>
      </c>
      <c r="M1923" s="362">
        <f>$H1923*I1923</f>
        <v>68120</v>
      </c>
      <c r="N1923" s="362">
        <f>$H1923*J1923</f>
        <v>0</v>
      </c>
      <c r="O1923" s="362">
        <f>$H1923*K1923</f>
        <v>0</v>
      </c>
      <c r="P1923" s="362">
        <f>$H1923*L1923</f>
        <v>0</v>
      </c>
      <c r="Q1923" s="362"/>
      <c r="S1923" s="332">
        <f>IFERROR(VLOOKUP(B1923,DONGIA,$S$25,0),0)</f>
        <v>3.024</v>
      </c>
      <c r="T1923" s="332">
        <f>H1923*S1923</f>
        <v>3.9312</v>
      </c>
    </row>
    <row r="1924" spans="2:20">
      <c r="B1924" s="332" t="s">
        <v>1122</v>
      </c>
      <c r="C1924" s="333">
        <f t="shared" si="482"/>
        <v>1</v>
      </c>
      <c r="D1924" s="523"/>
      <c r="E1924" s="523"/>
      <c r="F1924" s="666" t="str">
        <f>VLOOKUP(B1924,DONGIA,DG!$C$6,0)</f>
        <v>Đầu cosse ép Cu 150mm2</v>
      </c>
      <c r="G1924" s="523" t="str">
        <f>VLOOKUP(B1924,DONGIA,DG!$D$6,0)</f>
        <v>cái</v>
      </c>
      <c r="H1924" s="525">
        <f>H1916*3</f>
        <v>3</v>
      </c>
      <c r="I1924" s="525">
        <f>VLOOKUP(B1924,DONGIA,DG!$E$6,0)</f>
        <v>150000</v>
      </c>
      <c r="J1924" s="525"/>
      <c r="K1924" s="525"/>
      <c r="L1924" s="525"/>
      <c r="M1924" s="525">
        <f t="shared" si="497"/>
        <v>450000</v>
      </c>
      <c r="N1924" s="525">
        <f t="shared" si="498"/>
        <v>0</v>
      </c>
      <c r="O1924" s="525">
        <f t="shared" si="499"/>
        <v>0</v>
      </c>
      <c r="P1924" s="525">
        <f t="shared" si="500"/>
        <v>0</v>
      </c>
      <c r="Q1924" s="525"/>
      <c r="S1924" s="332">
        <f t="shared" si="494"/>
        <v>0.2</v>
      </c>
      <c r="T1924" s="332">
        <f t="shared" si="483"/>
        <v>0.60000000000000009</v>
      </c>
    </row>
    <row r="1925" spans="2:20">
      <c r="B1925" s="332" t="s">
        <v>1116</v>
      </c>
      <c r="C1925" s="333">
        <f t="shared" si="482"/>
        <v>1</v>
      </c>
      <c r="D1925" s="523"/>
      <c r="E1925" s="523"/>
      <c r="F1925" s="666" t="str">
        <f>VLOOKUP(B1925,DONGIA,DG!$C$6,0)</f>
        <v>Đầu cosse ép Cu 95mm2</v>
      </c>
      <c r="G1925" s="523" t="str">
        <f>VLOOKUP(B1925,DONGIA,DG!$D$6,0)</f>
        <v>cái</v>
      </c>
      <c r="H1925" s="525">
        <f>H1916</f>
        <v>1</v>
      </c>
      <c r="I1925" s="525">
        <f>VLOOKUP(B1925,DONGIA,DG!$E$6,0)</f>
        <v>45000</v>
      </c>
      <c r="J1925" s="525"/>
      <c r="K1925" s="525"/>
      <c r="L1925" s="525"/>
      <c r="M1925" s="525">
        <f t="shared" si="497"/>
        <v>45000</v>
      </c>
      <c r="N1925" s="525">
        <f t="shared" si="498"/>
        <v>0</v>
      </c>
      <c r="O1925" s="525">
        <f t="shared" si="499"/>
        <v>0</v>
      </c>
      <c r="P1925" s="525">
        <f t="shared" si="500"/>
        <v>0</v>
      </c>
      <c r="Q1925" s="525"/>
      <c r="S1925" s="332">
        <f t="shared" si="494"/>
        <v>0.2</v>
      </c>
      <c r="T1925" s="332">
        <f t="shared" si="483"/>
        <v>0.2</v>
      </c>
    </row>
    <row r="1926" spans="2:20">
      <c r="B1926" s="332" t="s">
        <v>1153</v>
      </c>
      <c r="C1926" s="333">
        <f t="shared" si="482"/>
        <v>1</v>
      </c>
      <c r="D1926" s="523"/>
      <c r="E1926" s="523">
        <f>VLOOKUP(B1926,DONGIA,DG!$B$6,0)</f>
        <v>0</v>
      </c>
      <c r="F1926" s="666" t="str">
        <f>VLOOKUP(B1926,DONGIA,DG!$C$6,0)</f>
        <v>Chụp đầu cosse  150mm2</v>
      </c>
      <c r="G1926" s="523" t="str">
        <f>VLOOKUP(B1926,DONGIA,DG!$D$6,0)</f>
        <v>cái</v>
      </c>
      <c r="H1926" s="525">
        <f>H1924</f>
        <v>3</v>
      </c>
      <c r="I1926" s="525">
        <f>VLOOKUP(B1926,DONGIA,DG!$E$6,0)</f>
        <v>4000</v>
      </c>
      <c r="J1926" s="525"/>
      <c r="K1926" s="525">
        <f>VLOOKUP(B1926,DONGIA,DG!$F$6,0)</f>
        <v>0</v>
      </c>
      <c r="L1926" s="525">
        <f>VLOOKUP(B1926,DONGIA,DG!$G$6,0)</f>
        <v>0</v>
      </c>
      <c r="M1926" s="525">
        <f t="shared" si="497"/>
        <v>12000</v>
      </c>
      <c r="N1926" s="525">
        <f t="shared" si="498"/>
        <v>0</v>
      </c>
      <c r="O1926" s="525">
        <f t="shared" si="499"/>
        <v>0</v>
      </c>
      <c r="P1926" s="525">
        <f t="shared" si="500"/>
        <v>0</v>
      </c>
      <c r="Q1926" s="525"/>
      <c r="S1926" s="332">
        <f t="shared" si="494"/>
        <v>0</v>
      </c>
      <c r="T1926" s="332">
        <f t="shared" si="483"/>
        <v>0</v>
      </c>
    </row>
    <row r="1927" spans="2:20">
      <c r="B1927" s="332" t="s">
        <v>1149</v>
      </c>
      <c r="C1927" s="333">
        <f t="shared" si="482"/>
        <v>1</v>
      </c>
      <c r="D1927" s="523"/>
      <c r="E1927" s="523">
        <f>VLOOKUP(B1927,DONGIA,DG!$B$6,0)</f>
        <v>0</v>
      </c>
      <c r="F1927" s="666" t="str">
        <f>VLOOKUP(B1927,DONGIA,DG!$C$6,0)</f>
        <v>Chụp đầu cosse  95mm2</v>
      </c>
      <c r="G1927" s="523" t="str">
        <f>VLOOKUP(B1927,DONGIA,DG!$D$6,0)</f>
        <v>cái</v>
      </c>
      <c r="H1927" s="525">
        <f>H1925</f>
        <v>1</v>
      </c>
      <c r="I1927" s="525">
        <f>VLOOKUP(B1927,DONGIA,DG!$E$6,0)</f>
        <v>3000</v>
      </c>
      <c r="J1927" s="525"/>
      <c r="K1927" s="525">
        <f>VLOOKUP(B1927,DONGIA,DG!$F$6,0)</f>
        <v>0</v>
      </c>
      <c r="L1927" s="525">
        <f>VLOOKUP(B1927,DONGIA,DG!$G$6,0)</f>
        <v>0</v>
      </c>
      <c r="M1927" s="525">
        <f t="shared" si="497"/>
        <v>3000</v>
      </c>
      <c r="N1927" s="525">
        <f t="shared" si="498"/>
        <v>0</v>
      </c>
      <c r="O1927" s="525">
        <f t="shared" si="499"/>
        <v>0</v>
      </c>
      <c r="P1927" s="525">
        <f t="shared" si="500"/>
        <v>0</v>
      </c>
      <c r="Q1927" s="525"/>
      <c r="S1927" s="332">
        <f t="shared" si="494"/>
        <v>0</v>
      </c>
      <c r="T1927" s="332">
        <f t="shared" si="483"/>
        <v>0</v>
      </c>
    </row>
    <row r="1928" spans="2:20">
      <c r="B1928" s="332" t="s">
        <v>1175</v>
      </c>
      <c r="C1928" s="333">
        <f t="shared" si="482"/>
        <v>1</v>
      </c>
      <c r="D1928" s="643"/>
      <c r="E1928" s="523">
        <f>VLOOKUP(B1928,DONGIA,DG!$B$6,0)</f>
        <v>0</v>
      </c>
      <c r="F1928" s="666" t="str">
        <f>VLOOKUP(B1928,DONGIA,DG!$C$6,0)</f>
        <v xml:space="preserve">Ống PVC D114x4,9mm </v>
      </c>
      <c r="G1928" s="523" t="str">
        <f>VLOOKUP(B1928,DONGIA,DG!$D$6,0)</f>
        <v>m</v>
      </c>
      <c r="H1928" s="554">
        <v>5.5</v>
      </c>
      <c r="I1928" s="525">
        <f>VLOOKUP(B1928,DONGIA,DG!$E$6,0)</f>
        <v>102000</v>
      </c>
      <c r="J1928" s="525"/>
      <c r="K1928" s="525">
        <f>VLOOKUP(B1928,DONGIA,DG!$F$6,0)</f>
        <v>0</v>
      </c>
      <c r="L1928" s="525">
        <f>VLOOKUP(B1928,DONGIA,DG!$G$6,0)</f>
        <v>0</v>
      </c>
      <c r="M1928" s="525">
        <f t="shared" si="497"/>
        <v>561000</v>
      </c>
      <c r="N1928" s="525">
        <f t="shared" si="498"/>
        <v>0</v>
      </c>
      <c r="O1928" s="525">
        <f t="shared" si="499"/>
        <v>0</v>
      </c>
      <c r="P1928" s="525">
        <f t="shared" si="500"/>
        <v>0</v>
      </c>
      <c r="Q1928" s="525"/>
      <c r="S1928" s="332">
        <f t="shared" si="494"/>
        <v>2</v>
      </c>
      <c r="T1928" s="332">
        <f t="shared" si="483"/>
        <v>11</v>
      </c>
    </row>
    <row r="1929" spans="2:20">
      <c r="B1929" s="332" t="s">
        <v>456</v>
      </c>
      <c r="C1929" s="333">
        <f t="shared" si="482"/>
        <v>1</v>
      </c>
      <c r="D1929" s="643"/>
      <c r="E1929" s="523">
        <f>VLOOKUP(B1929,DONGIA,DG!$B$6,0)</f>
        <v>0</v>
      </c>
      <c r="F1929" s="666" t="str">
        <f>VLOOKUP(B1929,DONGIA,DG!$C$6,0)&amp;" (CD: 230)"</f>
        <v>Cổ dê kẹp ống PVC φ 114 (có giá nới) (CD: 230)</v>
      </c>
      <c r="G1929" s="523" t="str">
        <f>VLOOKUP(B1929,DONGIA,DG!$D$6,0)</f>
        <v>bộ</v>
      </c>
      <c r="H1929" s="525">
        <f>H1916</f>
        <v>1</v>
      </c>
      <c r="I1929" s="525">
        <f>VLOOKUP(B1929,DONGIA,DG!$E$6,0)</f>
        <v>68000</v>
      </c>
      <c r="J1929" s="525"/>
      <c r="K1929" s="525"/>
      <c r="L1929" s="525">
        <f>VLOOKUP(B1929,DONGIA,DG!$G$6,0)</f>
        <v>0</v>
      </c>
      <c r="M1929" s="525">
        <f t="shared" si="497"/>
        <v>68000</v>
      </c>
      <c r="N1929" s="525">
        <f t="shared" si="498"/>
        <v>0</v>
      </c>
      <c r="O1929" s="525">
        <f t="shared" si="499"/>
        <v>0</v>
      </c>
      <c r="P1929" s="525">
        <f t="shared" si="500"/>
        <v>0</v>
      </c>
      <c r="Q1929" s="525"/>
      <c r="S1929" s="332">
        <f t="shared" si="494"/>
        <v>1.5</v>
      </c>
      <c r="T1929" s="332">
        <f t="shared" si="483"/>
        <v>1.5</v>
      </c>
    </row>
    <row r="1930" spans="2:20">
      <c r="B1930" s="332" t="s">
        <v>456</v>
      </c>
      <c r="C1930" s="333">
        <f t="shared" si="482"/>
        <v>1</v>
      </c>
      <c r="D1930" s="643"/>
      <c r="E1930" s="523">
        <f>VLOOKUP(B1930,DONGIA,DG!$B$6,0)</f>
        <v>0</v>
      </c>
      <c r="F1930" s="666" t="str">
        <f>VLOOKUP(B1930,DONGIA,DG!$C$6,0)&amp;" (CD: 250)"</f>
        <v>Cổ dê kẹp ống PVC φ 114 (có giá nới) (CD: 250)</v>
      </c>
      <c r="G1930" s="523" t="str">
        <f>VLOOKUP(B1930,DONGIA,DG!$D$6,0)</f>
        <v>bộ</v>
      </c>
      <c r="H1930" s="525">
        <f>H1916</f>
        <v>1</v>
      </c>
      <c r="I1930" s="525">
        <f>VLOOKUP(B1930,DONGIA,DG!$E$6,0)</f>
        <v>68000</v>
      </c>
      <c r="J1930" s="525"/>
      <c r="K1930" s="525"/>
      <c r="L1930" s="525">
        <f>VLOOKUP(B1930,DONGIA,DG!$G$6,0)</f>
        <v>0</v>
      </c>
      <c r="M1930" s="525">
        <f t="shared" si="497"/>
        <v>68000</v>
      </c>
      <c r="N1930" s="525">
        <f t="shared" si="498"/>
        <v>0</v>
      </c>
      <c r="O1930" s="525">
        <f t="shared" si="499"/>
        <v>0</v>
      </c>
      <c r="P1930" s="525">
        <f t="shared" si="500"/>
        <v>0</v>
      </c>
      <c r="Q1930" s="525"/>
      <c r="S1930" s="332">
        <f t="shared" si="494"/>
        <v>1.5</v>
      </c>
      <c r="T1930" s="332">
        <f t="shared" si="483"/>
        <v>1.5</v>
      </c>
    </row>
    <row r="1931" spans="2:20">
      <c r="B1931" s="332" t="s">
        <v>456</v>
      </c>
      <c r="C1931" s="333">
        <f t="shared" si="482"/>
        <v>1</v>
      </c>
      <c r="D1931" s="643"/>
      <c r="E1931" s="523">
        <f>VLOOKUP(B1931,DONGIA,DG!$B$6,0)</f>
        <v>0</v>
      </c>
      <c r="F1931" s="666" t="str">
        <f>VLOOKUP(B1931,DONGIA,DG!$C$6,0)&amp;" (CD: 280)"</f>
        <v>Cổ dê kẹp ống PVC φ 114 (có giá nới) (CD: 280)</v>
      </c>
      <c r="G1931" s="523" t="str">
        <f>VLOOKUP(B1931,DONGIA,DG!$D$6,0)</f>
        <v>bộ</v>
      </c>
      <c r="H1931" s="525">
        <f>H1916</f>
        <v>1</v>
      </c>
      <c r="I1931" s="525">
        <f>VLOOKUP(B1931,DONGIA,DG!$E$6,0)</f>
        <v>68000</v>
      </c>
      <c r="J1931" s="525"/>
      <c r="K1931" s="525"/>
      <c r="L1931" s="525">
        <f>VLOOKUP(B1931,DONGIA,DG!$G$6,0)</f>
        <v>0</v>
      </c>
      <c r="M1931" s="525">
        <f t="shared" si="497"/>
        <v>68000</v>
      </c>
      <c r="N1931" s="525">
        <f t="shared" si="498"/>
        <v>0</v>
      </c>
      <c r="O1931" s="525">
        <f t="shared" si="499"/>
        <v>0</v>
      </c>
      <c r="P1931" s="525">
        <f t="shared" si="500"/>
        <v>0</v>
      </c>
      <c r="Q1931" s="525"/>
      <c r="S1931" s="332">
        <f t="shared" si="494"/>
        <v>1.5</v>
      </c>
      <c r="T1931" s="332">
        <f t="shared" si="483"/>
        <v>1.5</v>
      </c>
    </row>
    <row r="1932" spans="2:20">
      <c r="B1932" s="332" t="s">
        <v>2957</v>
      </c>
      <c r="C1932" s="333">
        <f t="shared" si="482"/>
        <v>1</v>
      </c>
      <c r="D1932" s="643"/>
      <c r="E1932" s="523">
        <f>VLOOKUP(B1932,DONGIA,DG!$B$6,0)</f>
        <v>0</v>
      </c>
      <c r="F1932" s="666" t="str">
        <f>VLOOKUP(B1932,DONGIA,DG!$C$6,0)</f>
        <v>Co  90 độ PVC 114 (Loại dày)</v>
      </c>
      <c r="G1932" s="523" t="str">
        <f>VLOOKUP(B1932,DONGIA,DG!$D$6,0)</f>
        <v>cái</v>
      </c>
      <c r="H1932" s="525">
        <f>H1916</f>
        <v>1</v>
      </c>
      <c r="I1932" s="525">
        <f>VLOOKUP(B1932,DONGIA,DG!$E$6,0)</f>
        <v>104800</v>
      </c>
      <c r="J1932" s="525"/>
      <c r="K1932" s="525">
        <f>VLOOKUP(B1932,DONGIA,DG!$F$6,0)</f>
        <v>0</v>
      </c>
      <c r="L1932" s="525">
        <f>VLOOKUP(B1932,DONGIA,DG!$G$6,0)</f>
        <v>0</v>
      </c>
      <c r="M1932" s="525">
        <f t="shared" si="497"/>
        <v>104800</v>
      </c>
      <c r="N1932" s="525">
        <f t="shared" si="498"/>
        <v>0</v>
      </c>
      <c r="O1932" s="525">
        <f t="shared" si="499"/>
        <v>0</v>
      </c>
      <c r="P1932" s="525">
        <f t="shared" si="500"/>
        <v>0</v>
      </c>
      <c r="Q1932" s="525"/>
      <c r="S1932" s="332">
        <f t="shared" si="494"/>
        <v>0</v>
      </c>
      <c r="T1932" s="332">
        <f t="shared" si="483"/>
        <v>0</v>
      </c>
    </row>
    <row r="1933" spans="2:20" hidden="1">
      <c r="B1933" s="332" t="s">
        <v>1940</v>
      </c>
      <c r="C1933" s="333">
        <f t="shared" si="482"/>
        <v>0</v>
      </c>
      <c r="D1933" s="643"/>
      <c r="E1933" s="523">
        <f>VLOOKUP(B1933,DONGIA,DG!$B$6,0)</f>
        <v>0</v>
      </c>
      <c r="F1933" s="525" t="str">
        <f>VLOOKUP(B1933,DONGIA,DG!$C$6,0)</f>
        <v>Nối giảm PVC 114-90</v>
      </c>
      <c r="G1933" s="523" t="str">
        <f>VLOOKUP(B1933,DONGIA,DG!$D$6,0)</f>
        <v>cái</v>
      </c>
      <c r="H1933" s="525"/>
      <c r="I1933" s="525">
        <f>VLOOKUP(B1933,DONGIA,DG!$E$6,0)</f>
        <v>52800</v>
      </c>
      <c r="J1933" s="525"/>
      <c r="K1933" s="525">
        <f>VLOOKUP(B1933,DONGIA,DG!$F$6,0)</f>
        <v>0</v>
      </c>
      <c r="L1933" s="525">
        <f>VLOOKUP(B1933,DONGIA,DG!$G$6,0)</f>
        <v>0</v>
      </c>
      <c r="M1933" s="525">
        <f t="shared" si="497"/>
        <v>0</v>
      </c>
      <c r="N1933" s="525">
        <f t="shared" si="498"/>
        <v>0</v>
      </c>
      <c r="O1933" s="525">
        <f t="shared" si="499"/>
        <v>0</v>
      </c>
      <c r="P1933" s="525">
        <f t="shared" si="500"/>
        <v>0</v>
      </c>
      <c r="Q1933" s="525"/>
      <c r="S1933" s="332">
        <f t="shared" si="494"/>
        <v>0</v>
      </c>
      <c r="T1933" s="332">
        <f t="shared" si="483"/>
        <v>0</v>
      </c>
    </row>
    <row r="1934" spans="2:20">
      <c r="B1934" s="332" t="s">
        <v>1189</v>
      </c>
      <c r="C1934" s="333">
        <f t="shared" si="482"/>
        <v>1</v>
      </c>
      <c r="D1934" s="643"/>
      <c r="E1934" s="523">
        <f>VLOOKUP(B1934,DONGIA,DG!$B$6,0)</f>
        <v>0</v>
      </c>
      <c r="F1934" s="666" t="str">
        <f>VLOOKUP(B1934,DONGIA,DG!$C$6,0)</f>
        <v>Co 135 độ PVC 114</v>
      </c>
      <c r="G1934" s="523" t="str">
        <f>VLOOKUP(B1934,DONGIA,DG!$D$6,0)</f>
        <v>cái</v>
      </c>
      <c r="H1934" s="525">
        <f>H1916</f>
        <v>1</v>
      </c>
      <c r="I1934" s="525">
        <f>VLOOKUP(B1934,DONGIA,DG!$E$6,0)</f>
        <v>70800</v>
      </c>
      <c r="J1934" s="525"/>
      <c r="K1934" s="525">
        <f>VLOOKUP(B1934,DONGIA,DG!$F$6,0)</f>
        <v>0</v>
      </c>
      <c r="L1934" s="525">
        <f>VLOOKUP(B1934,DONGIA,DG!$G$6,0)</f>
        <v>0</v>
      </c>
      <c r="M1934" s="525">
        <f t="shared" si="497"/>
        <v>70800</v>
      </c>
      <c r="N1934" s="525">
        <f t="shared" si="498"/>
        <v>0</v>
      </c>
      <c r="O1934" s="525">
        <f t="shared" si="499"/>
        <v>0</v>
      </c>
      <c r="P1934" s="525">
        <f t="shared" si="500"/>
        <v>0</v>
      </c>
      <c r="Q1934" s="525"/>
      <c r="S1934" s="332">
        <f t="shared" si="494"/>
        <v>0</v>
      </c>
      <c r="T1934" s="332">
        <f t="shared" si="483"/>
        <v>0</v>
      </c>
    </row>
    <row r="1935" spans="2:20" hidden="1">
      <c r="B1935" s="332" t="s">
        <v>1914</v>
      </c>
      <c r="C1935" s="333">
        <f t="shared" si="482"/>
        <v>0</v>
      </c>
      <c r="D1935" s="643"/>
      <c r="E1935" s="523">
        <f>VLOOKUP(B1935,DONGIA,DG!$B$6,0)</f>
        <v>0</v>
      </c>
      <c r="F1935" s="525" t="str">
        <f>VLOOKUP(B1935,DONGIA,DG!$C$6,0)</f>
        <v>Keo dán ống PVC (100gr)</v>
      </c>
      <c r="G1935" s="523" t="str">
        <f>VLOOKUP(B1935,DONGIA,DG!$D$6,0)</f>
        <v>tuýp</v>
      </c>
      <c r="H1935" s="525"/>
      <c r="I1935" s="525">
        <f>VLOOKUP(B1935,DONGIA,DG!$E$6,0)</f>
        <v>11500</v>
      </c>
      <c r="J1935" s="525"/>
      <c r="K1935" s="525">
        <f>VLOOKUP(B1935,DONGIA,DG!$F$6,0)</f>
        <v>0</v>
      </c>
      <c r="L1935" s="525">
        <f>VLOOKUP(B1935,DONGIA,DG!$G$6,0)</f>
        <v>0</v>
      </c>
      <c r="M1935" s="525">
        <f t="shared" si="497"/>
        <v>0</v>
      </c>
      <c r="N1935" s="525">
        <f t="shared" si="498"/>
        <v>0</v>
      </c>
      <c r="O1935" s="525">
        <f t="shared" si="499"/>
        <v>0</v>
      </c>
      <c r="P1935" s="525">
        <f t="shared" si="500"/>
        <v>0</v>
      </c>
      <c r="Q1935" s="525"/>
      <c r="S1935" s="332">
        <f t="shared" si="494"/>
        <v>0</v>
      </c>
      <c r="T1935" s="332">
        <f t="shared" si="483"/>
        <v>0</v>
      </c>
    </row>
    <row r="1936" spans="2:20">
      <c r="B1936" s="332" t="s">
        <v>1639</v>
      </c>
      <c r="C1936" s="333">
        <f t="shared" si="482"/>
        <v>1</v>
      </c>
      <c r="D1936" s="643"/>
      <c r="E1936" s="523">
        <f>VLOOKUP(B1936,DONGIA,DG!$B$6,0)</f>
        <v>0</v>
      </c>
      <c r="F1936" s="666" t="str">
        <f>VLOOKUP(B1936,DONGIA,DG!$C$6,0)&amp;" bịt miệng ống"</f>
        <v>Xi măng bịt miệng ống</v>
      </c>
      <c r="G1936" s="523" t="str">
        <f>VLOOKUP(B1936,DONGIA,DG!$D$6,0)</f>
        <v>kg</v>
      </c>
      <c r="H1936" s="554">
        <v>1</v>
      </c>
      <c r="I1936" s="525">
        <f>VLOOKUP(B1936,DONGIA,DG!$E$6,0)</f>
        <v>1760</v>
      </c>
      <c r="J1936" s="525"/>
      <c r="K1936" s="525">
        <f>VLOOKUP(B1936,DONGIA,DG!$F$6,0)</f>
        <v>0</v>
      </c>
      <c r="L1936" s="525">
        <f>VLOOKUP(B1936,DONGIA,DG!$G$6,0)</f>
        <v>0</v>
      </c>
      <c r="M1936" s="525">
        <f t="shared" si="497"/>
        <v>1760</v>
      </c>
      <c r="N1936" s="525">
        <f t="shared" si="498"/>
        <v>0</v>
      </c>
      <c r="O1936" s="525">
        <f t="shared" si="499"/>
        <v>0</v>
      </c>
      <c r="P1936" s="525">
        <f t="shared" si="500"/>
        <v>0</v>
      </c>
      <c r="Q1936" s="525"/>
      <c r="S1936" s="332">
        <f t="shared" si="494"/>
        <v>1</v>
      </c>
      <c r="T1936" s="332">
        <f t="shared" si="483"/>
        <v>1</v>
      </c>
    </row>
    <row r="1937" spans="2:20" hidden="1">
      <c r="B1937" s="332" t="s">
        <v>1193</v>
      </c>
      <c r="C1937" s="333">
        <f t="shared" si="482"/>
        <v>0</v>
      </c>
      <c r="D1937" s="643"/>
      <c r="E1937" s="523">
        <f>VLOOKUP(B1937,DONGIA,DG!$B$6,0)</f>
        <v>0</v>
      </c>
      <c r="F1937" s="525" t="str">
        <f>VLOOKUP(B1937,DONGIA,DG!$C$6,0)</f>
        <v>Băng keo cách điện</v>
      </c>
      <c r="G1937" s="523" t="str">
        <f>VLOOKUP(B1937,DONGIA,DG!$D$6,0)</f>
        <v>cuộn</v>
      </c>
      <c r="H1937" s="525"/>
      <c r="I1937" s="525">
        <f>VLOOKUP(B1937,DONGIA,DG!$E$6,0)</f>
        <v>6500</v>
      </c>
      <c r="J1937" s="525"/>
      <c r="K1937" s="525">
        <f>VLOOKUP(B1937,DONGIA,DG!$F$6,0)</f>
        <v>0</v>
      </c>
      <c r="L1937" s="525">
        <f>VLOOKUP(B1937,DONGIA,DG!$G$6,0)</f>
        <v>0</v>
      </c>
      <c r="M1937" s="525">
        <f t="shared" si="497"/>
        <v>0</v>
      </c>
      <c r="N1937" s="525">
        <f t="shared" si="498"/>
        <v>0</v>
      </c>
      <c r="O1937" s="525">
        <f t="shared" si="499"/>
        <v>0</v>
      </c>
      <c r="P1937" s="525">
        <f t="shared" si="500"/>
        <v>0</v>
      </c>
      <c r="Q1937" s="525"/>
      <c r="S1937" s="332">
        <f t="shared" si="494"/>
        <v>0</v>
      </c>
      <c r="T1937" s="332">
        <f t="shared" si="483"/>
        <v>0</v>
      </c>
    </row>
    <row r="1938" spans="2:20">
      <c r="B1938" s="332" t="s">
        <v>857</v>
      </c>
      <c r="C1938" s="333">
        <f t="shared" si="482"/>
        <v>1</v>
      </c>
      <c r="D1938" s="643"/>
      <c r="E1938" s="523" t="str">
        <f>VLOOKUP(B1938,DONGIA,DG!$B$6,0)</f>
        <v>T4.8003</v>
      </c>
      <c r="F1938" s="666" t="str">
        <f>VLOOKUP(B1938,DONGIA,DG!$C$6,0)</f>
        <v>Lắp ống nhựa PVC D114</v>
      </c>
      <c r="G1938" s="523" t="str">
        <f>VLOOKUP(B1938,DONGIA,DG!$D$6,0)</f>
        <v>mét</v>
      </c>
      <c r="H1938" s="554">
        <f>H1928</f>
        <v>5.5</v>
      </c>
      <c r="I1938" s="525">
        <f>VLOOKUP(B1938,DONGIA,DG!$E$6,0)</f>
        <v>0</v>
      </c>
      <c r="J1938" s="525"/>
      <c r="K1938" s="525">
        <f>VLOOKUP(B1938,DONGIA,DG!$F$6,0)</f>
        <v>35541</v>
      </c>
      <c r="L1938" s="525">
        <f>VLOOKUP(B1938,DONGIA,DG!$G$6,0)</f>
        <v>0</v>
      </c>
      <c r="M1938" s="525">
        <f t="shared" si="497"/>
        <v>0</v>
      </c>
      <c r="N1938" s="525">
        <f t="shared" si="498"/>
        <v>0</v>
      </c>
      <c r="O1938" s="525">
        <f t="shared" si="499"/>
        <v>195475.5</v>
      </c>
      <c r="P1938" s="525">
        <f t="shared" si="500"/>
        <v>0</v>
      </c>
      <c r="Q1938" s="525"/>
      <c r="S1938" s="332">
        <f t="shared" si="494"/>
        <v>0</v>
      </c>
      <c r="T1938" s="332">
        <f t="shared" si="483"/>
        <v>0</v>
      </c>
    </row>
    <row r="1939" spans="2:20">
      <c r="B1939" s="332" t="s">
        <v>1939</v>
      </c>
      <c r="C1939" s="333">
        <f t="shared" si="482"/>
        <v>1</v>
      </c>
      <c r="D1939" s="643"/>
      <c r="E1939" s="523" t="str">
        <f>VLOOKUP(B1939,DONGIA,DG!$B$6,0)</f>
        <v>T4.4201</v>
      </c>
      <c r="F1939" s="666" t="str">
        <f>VLOOKUP(B1939,DONGIA,DG!$C$6,0)</f>
        <v>Lắp cáp đồng xuống thiết bị D ≤ 95mm2</v>
      </c>
      <c r="G1939" s="523" t="str">
        <f>VLOOKUP(B1939,DONGIA,DG!$D$6,0)</f>
        <v>m</v>
      </c>
      <c r="H1939" s="554">
        <f>H1919+H1921</f>
        <v>14.5</v>
      </c>
      <c r="I1939" s="525">
        <f>VLOOKUP(B1939,DONGIA,DG!$E$6,0)</f>
        <v>0</v>
      </c>
      <c r="J1939" s="525"/>
      <c r="K1939" s="525">
        <f>VLOOKUP(B1939,DONGIA,DG!$F$6,0)</f>
        <v>11847</v>
      </c>
      <c r="L1939" s="525">
        <f>VLOOKUP(B1939,DONGIA,DG!$G$6,0)</f>
        <v>0</v>
      </c>
      <c r="M1939" s="525">
        <f t="shared" si="497"/>
        <v>0</v>
      </c>
      <c r="N1939" s="525">
        <f t="shared" si="498"/>
        <v>0</v>
      </c>
      <c r="O1939" s="525">
        <f t="shared" si="499"/>
        <v>171781.5</v>
      </c>
      <c r="P1939" s="525">
        <f t="shared" si="500"/>
        <v>0</v>
      </c>
      <c r="Q1939" s="525"/>
      <c r="S1939" s="332">
        <f t="shared" si="494"/>
        <v>0</v>
      </c>
      <c r="T1939" s="332">
        <f t="shared" si="483"/>
        <v>0</v>
      </c>
    </row>
    <row r="1940" spans="2:20">
      <c r="B1940" s="332" t="s">
        <v>2063</v>
      </c>
      <c r="C1940" s="333">
        <f t="shared" si="482"/>
        <v>1</v>
      </c>
      <c r="D1940" s="643"/>
      <c r="E1940" s="523" t="str">
        <f>VLOOKUP(B1940,DONGIA,DG!$B$6,0)</f>
        <v>T4.4202</v>
      </c>
      <c r="F1940" s="666" t="str">
        <f>VLOOKUP(B1940,DONGIA,DG!$C$6,0)</f>
        <v>Lắp cáp đồng xuống thiết bị D ≤ 150mm2</v>
      </c>
      <c r="G1940" s="523" t="str">
        <f>VLOOKUP(B1940,DONGIA,DG!$D$6,0)</f>
        <v>m</v>
      </c>
      <c r="H1940" s="554">
        <f>H1918+H1920</f>
        <v>28.5</v>
      </c>
      <c r="I1940" s="525"/>
      <c r="J1940" s="525"/>
      <c r="K1940" s="525">
        <f>VLOOKUP(B1940,DONGIA,DG!$F$6,0)</f>
        <v>28433</v>
      </c>
      <c r="L1940" s="525">
        <f>VLOOKUP(B1940,DONGIA,DG!$G$6,0)</f>
        <v>0</v>
      </c>
      <c r="M1940" s="525">
        <f t="shared" si="497"/>
        <v>0</v>
      </c>
      <c r="N1940" s="525">
        <f t="shared" si="498"/>
        <v>0</v>
      </c>
      <c r="O1940" s="525">
        <f t="shared" si="499"/>
        <v>810340.5</v>
      </c>
      <c r="P1940" s="525">
        <f t="shared" si="500"/>
        <v>0</v>
      </c>
      <c r="Q1940" s="525"/>
      <c r="S1940" s="332">
        <f t="shared" si="494"/>
        <v>0</v>
      </c>
      <c r="T1940" s="332">
        <f t="shared" si="483"/>
        <v>0</v>
      </c>
    </row>
    <row r="1941" spans="2:20">
      <c r="C1941" s="333">
        <f t="shared" si="482"/>
        <v>1</v>
      </c>
      <c r="D1941" s="532">
        <f>IF(H1941&lt;&gt;0,D1916+1,D1916)</f>
        <v>8</v>
      </c>
      <c r="E1941" s="532"/>
      <c r="F1941" s="783" t="s">
        <v>1938</v>
      </c>
      <c r="G1941" s="532" t="s">
        <v>138</v>
      </c>
      <c r="H1941" s="532">
        <f>TRNC2X100*2</f>
        <v>2</v>
      </c>
      <c r="I1941" s="533"/>
      <c r="J1941" s="533"/>
      <c r="K1941" s="533"/>
      <c r="L1941" s="533"/>
      <c r="M1941" s="533"/>
      <c r="N1941" s="533"/>
      <c r="O1941" s="533"/>
      <c r="P1941" s="533"/>
      <c r="Q1941" s="533"/>
      <c r="S1941" s="332">
        <f t="shared" si="494"/>
        <v>0</v>
      </c>
      <c r="T1941" s="332">
        <f t="shared" si="483"/>
        <v>0</v>
      </c>
    </row>
    <row r="1942" spans="2:20" s="361" customFormat="1" hidden="1">
      <c r="C1942" s="374">
        <f t="shared" si="482"/>
        <v>0</v>
      </c>
      <c r="D1942" s="536"/>
      <c r="E1942" s="536"/>
      <c r="F1942" s="537" t="s">
        <v>1902</v>
      </c>
      <c r="G1942" s="536"/>
      <c r="H1942" s="537"/>
      <c r="I1942" s="537"/>
      <c r="J1942" s="537"/>
      <c r="K1942" s="537"/>
      <c r="L1942" s="537"/>
      <c r="M1942" s="537"/>
      <c r="N1942" s="537"/>
      <c r="O1942" s="537"/>
      <c r="P1942" s="537"/>
      <c r="Q1942" s="537"/>
      <c r="S1942" s="361">
        <f t="shared" si="494"/>
        <v>0</v>
      </c>
      <c r="T1942" s="361">
        <f t="shared" si="483"/>
        <v>0</v>
      </c>
    </row>
    <row r="1943" spans="2:20">
      <c r="B1943" s="332" t="s">
        <v>1908</v>
      </c>
      <c r="C1943" s="333">
        <f t="shared" si="482"/>
        <v>1</v>
      </c>
      <c r="D1943" s="770"/>
      <c r="E1943" s="770">
        <f>VLOOKUP(B1943,DONGIA,DG!$B$6,0)</f>
        <v>0</v>
      </c>
      <c r="F1943" s="731" t="str">
        <f>VLOOKUP(B1943,DONGIA,DG!$C$6,0)&amp;" (SDL)"</f>
        <v>Cáp đồng bọc CV120 (SDL)</v>
      </c>
      <c r="G1943" s="770" t="str">
        <f>VLOOKUP(B1943,DONGIA,DG!$D$6,0)</f>
        <v>mét</v>
      </c>
      <c r="H1943" s="483">
        <f>8.5*2</f>
        <v>17</v>
      </c>
      <c r="I1943" s="362"/>
      <c r="J1943" s="362"/>
      <c r="K1943" s="362">
        <f>VLOOKUP(B1943,DONGIA,DG!$F$6,0)</f>
        <v>0</v>
      </c>
      <c r="L1943" s="362">
        <f>VLOOKUP(B1943,DONGIA,DG!$G$6,0)</f>
        <v>0</v>
      </c>
      <c r="M1943" s="362">
        <f t="shared" ref="M1943:P1945" si="501">$H1943*I1943</f>
        <v>0</v>
      </c>
      <c r="N1943" s="362">
        <f t="shared" si="501"/>
        <v>0</v>
      </c>
      <c r="O1943" s="362">
        <f t="shared" si="501"/>
        <v>0</v>
      </c>
      <c r="P1943" s="362">
        <f t="shared" si="501"/>
        <v>0</v>
      </c>
      <c r="Q1943" s="362"/>
      <c r="S1943" s="332">
        <f t="shared" si="494"/>
        <v>1.2350000000000001</v>
      </c>
      <c r="T1943" s="332">
        <f t="shared" si="483"/>
        <v>20.995000000000001</v>
      </c>
    </row>
    <row r="1944" spans="2:20">
      <c r="B1944" s="332" t="s">
        <v>1742</v>
      </c>
      <c r="C1944" s="333">
        <f>IF(H1944&lt;&gt;0,1,)</f>
        <v>1</v>
      </c>
      <c r="D1944" s="643"/>
      <c r="E1944" s="643">
        <f>VLOOKUP(B1944,DONGIA,DG!$B$6,0)</f>
        <v>0</v>
      </c>
      <c r="F1944" s="731" t="str">
        <f>VLOOKUP(B1944,DONGIA,DG!$C$6,0)&amp;" (SDL)"</f>
        <v>Cáp đồng bọc CV95 (SDL)</v>
      </c>
      <c r="G1944" s="643" t="str">
        <f>VLOOKUP(B1944,DONGIA,DG!$D$6,0)</f>
        <v>mét</v>
      </c>
      <c r="H1944" s="483">
        <f>8*2+8*2+8.5*2+8.5</f>
        <v>57.5</v>
      </c>
      <c r="I1944" s="362"/>
      <c r="J1944" s="362"/>
      <c r="K1944" s="362">
        <f>VLOOKUP(B1944,DONGIA,DG!$F$6,0)</f>
        <v>0</v>
      </c>
      <c r="L1944" s="362">
        <f>VLOOKUP(B1944,DONGIA,DG!$G$6,0)</f>
        <v>0</v>
      </c>
      <c r="M1944" s="362">
        <f t="shared" si="501"/>
        <v>0</v>
      </c>
      <c r="N1944" s="362">
        <f t="shared" si="501"/>
        <v>0</v>
      </c>
      <c r="O1944" s="362">
        <f t="shared" si="501"/>
        <v>0</v>
      </c>
      <c r="P1944" s="362">
        <f t="shared" si="501"/>
        <v>0</v>
      </c>
      <c r="Q1944" s="362"/>
      <c r="S1944" s="332">
        <f>IFERROR(VLOOKUP(B1944,DONGIA,$S$25,0),0)</f>
        <v>1.008</v>
      </c>
      <c r="T1944" s="332">
        <f>H1944*S1944</f>
        <v>57.96</v>
      </c>
    </row>
    <row r="1945" spans="2:20">
      <c r="B1945" s="332" t="s">
        <v>1907</v>
      </c>
      <c r="C1945" s="333">
        <f>IF(H1945&lt;&gt;0,1,)</f>
        <v>1</v>
      </c>
      <c r="D1945" s="643"/>
      <c r="E1945" s="643">
        <f>VLOOKUP(B1945,DONGIA,DG!$B$6,0)</f>
        <v>0</v>
      </c>
      <c r="F1945" s="731" t="str">
        <f>VLOOKUP(B1945,DONGIA,DG!$C$6,0)&amp;" (SDL)"</f>
        <v>Cáp đồng bọc CV70 (SDL)</v>
      </c>
      <c r="G1945" s="643" t="str">
        <f>VLOOKUP(B1945,DONGIA,DG!$D$6,0)</f>
        <v>mét</v>
      </c>
      <c r="H1945" s="483">
        <f>8.5</f>
        <v>8.5</v>
      </c>
      <c r="I1945" s="362"/>
      <c r="J1945" s="362"/>
      <c r="K1945" s="362">
        <f>VLOOKUP(B1945,DONGIA,DG!$F$6,0)</f>
        <v>0</v>
      </c>
      <c r="L1945" s="362">
        <f>VLOOKUP(B1945,DONGIA,DG!$G$6,0)</f>
        <v>0</v>
      </c>
      <c r="M1945" s="362">
        <f t="shared" si="501"/>
        <v>0</v>
      </c>
      <c r="N1945" s="362">
        <f t="shared" si="501"/>
        <v>0</v>
      </c>
      <c r="O1945" s="362">
        <f t="shared" si="501"/>
        <v>0</v>
      </c>
      <c r="P1945" s="362">
        <f t="shared" si="501"/>
        <v>0</v>
      </c>
      <c r="Q1945" s="362"/>
      <c r="S1945" s="332">
        <f>IFERROR(VLOOKUP(B1945,DONGIA,$S$25,0),0)</f>
        <v>0.73899999999999999</v>
      </c>
      <c r="T1945" s="332">
        <f>H1945*S1945</f>
        <v>6.2815000000000003</v>
      </c>
    </row>
    <row r="1946" spans="2:20">
      <c r="B1946" s="332" t="s">
        <v>1907</v>
      </c>
      <c r="C1946" s="333">
        <f t="shared" si="482"/>
        <v>1</v>
      </c>
      <c r="D1946" s="643"/>
      <c r="E1946" s="643">
        <f>VLOOKUP(B1946,DONGIA,DG!$B$6,0)</f>
        <v>0</v>
      </c>
      <c r="F1946" s="731" t="str">
        <f>VLOOKUP(B1946,DONGIA,DG!$C$6,0)</f>
        <v>Cáp đồng bọc CV70</v>
      </c>
      <c r="G1946" s="643" t="str">
        <f>VLOOKUP(B1946,DONGIA,DG!$D$6,0)</f>
        <v>mét</v>
      </c>
      <c r="H1946" s="483">
        <f>8.5*2</f>
        <v>17</v>
      </c>
      <c r="I1946" s="362">
        <f>VLOOKUP(B1946,DONGIA,DG!$E$6,0)</f>
        <v>142880</v>
      </c>
      <c r="J1946" s="362"/>
      <c r="K1946" s="362">
        <f>VLOOKUP(B1946,DONGIA,DG!$F$6,0)</f>
        <v>0</v>
      </c>
      <c r="L1946" s="362">
        <f>VLOOKUP(B1946,DONGIA,DG!$G$6,0)</f>
        <v>0</v>
      </c>
      <c r="M1946" s="362">
        <f t="shared" ref="M1946:M1967" si="502">$H1946*I1946</f>
        <v>2428960</v>
      </c>
      <c r="N1946" s="362">
        <f t="shared" ref="N1946:N1967" si="503">$H1946*J1946</f>
        <v>0</v>
      </c>
      <c r="O1946" s="362">
        <f t="shared" ref="O1946:O1967" si="504">$H1946*K1946</f>
        <v>0</v>
      </c>
      <c r="P1946" s="362">
        <f t="shared" ref="P1946:P1967" si="505">$H1946*L1946</f>
        <v>0</v>
      </c>
      <c r="Q1946" s="362"/>
      <c r="S1946" s="332">
        <f t="shared" si="494"/>
        <v>0.73899999999999999</v>
      </c>
      <c r="T1946" s="332">
        <f t="shared" si="483"/>
        <v>12.563000000000001</v>
      </c>
    </row>
    <row r="1947" spans="2:20" hidden="1">
      <c r="B1947" s="332" t="s">
        <v>1742</v>
      </c>
      <c r="C1947" s="333">
        <f t="shared" si="482"/>
        <v>0</v>
      </c>
      <c r="D1947" s="643"/>
      <c r="E1947" s="643">
        <f>VLOOKUP(B1947,DONGIA,DG!$B$6,0)</f>
        <v>0</v>
      </c>
      <c r="F1947" s="362" t="str">
        <f>VLOOKUP(B1947,DONGIA,DG!$C$6,0)</f>
        <v>Cáp đồng bọc CV95</v>
      </c>
      <c r="G1947" s="643" t="str">
        <f>VLOOKUP(B1947,DONGIA,DG!$D$6,0)</f>
        <v>mét</v>
      </c>
      <c r="H1947" s="483"/>
      <c r="I1947" s="362">
        <f>VLOOKUP(B1947,DONGIA,DG!$E$6,0)</f>
        <v>196130</v>
      </c>
      <c r="J1947" s="362"/>
      <c r="K1947" s="362">
        <f>VLOOKUP(B1947,DONGIA,DG!$F$6,0)</f>
        <v>0</v>
      </c>
      <c r="L1947" s="362">
        <f>VLOOKUP(B1947,DONGIA,DG!$G$6,0)</f>
        <v>0</v>
      </c>
      <c r="M1947" s="362">
        <f t="shared" si="502"/>
        <v>0</v>
      </c>
      <c r="N1947" s="362">
        <f t="shared" si="503"/>
        <v>0</v>
      </c>
      <c r="O1947" s="362">
        <f t="shared" si="504"/>
        <v>0</v>
      </c>
      <c r="P1947" s="362">
        <f t="shared" si="505"/>
        <v>0</v>
      </c>
      <c r="Q1947" s="362"/>
      <c r="S1947" s="332">
        <f t="shared" si="494"/>
        <v>1.008</v>
      </c>
      <c r="T1947" s="332">
        <f t="shared" si="483"/>
        <v>0</v>
      </c>
    </row>
    <row r="1948" spans="2:20">
      <c r="B1948" s="332" t="s">
        <v>1113</v>
      </c>
      <c r="C1948" s="333">
        <f t="shared" ref="C1948:C1968" si="506">IF(H1948&lt;&gt;0,1,)</f>
        <v>1</v>
      </c>
      <c r="D1948" s="643"/>
      <c r="E1948" s="643"/>
      <c r="F1948" s="731" t="str">
        <f>VLOOKUP(B1948,DONGIA,DG!$C$6,0)</f>
        <v>Đầu cosse ép Cu 70mm2</v>
      </c>
      <c r="G1948" s="643" t="str">
        <f>VLOOKUP(B1948,DONGIA,DG!$D$6,0)</f>
        <v>cái</v>
      </c>
      <c r="H1948" s="362">
        <v>2</v>
      </c>
      <c r="I1948" s="362">
        <f>VLOOKUP(B1948,DONGIA,DG!$E$6,0)</f>
        <v>33000</v>
      </c>
      <c r="J1948" s="362"/>
      <c r="K1948" s="362"/>
      <c r="L1948" s="362"/>
      <c r="M1948" s="362">
        <f t="shared" si="502"/>
        <v>66000</v>
      </c>
      <c r="N1948" s="362">
        <f t="shared" si="503"/>
        <v>0</v>
      </c>
      <c r="O1948" s="362">
        <f t="shared" si="504"/>
        <v>0</v>
      </c>
      <c r="P1948" s="362">
        <f t="shared" si="505"/>
        <v>0</v>
      </c>
      <c r="Q1948" s="362"/>
      <c r="S1948" s="332">
        <f t="shared" si="494"/>
        <v>0.2</v>
      </c>
      <c r="T1948" s="332">
        <f t="shared" ref="T1948:T1969" si="507">H1948*S1948</f>
        <v>0.4</v>
      </c>
    </row>
    <row r="1949" spans="2:20" hidden="1">
      <c r="B1949" s="332" t="s">
        <v>1116</v>
      </c>
      <c r="C1949" s="333">
        <f t="shared" si="506"/>
        <v>0</v>
      </c>
      <c r="D1949" s="643"/>
      <c r="E1949" s="643"/>
      <c r="F1949" s="362" t="str">
        <f>VLOOKUP(B1949,DONGIA,DG!$C$6,0)</f>
        <v>Đầu cosse ép Cu 95mm2</v>
      </c>
      <c r="G1949" s="643" t="str">
        <f>VLOOKUP(B1949,DONGIA,DG!$D$6,0)</f>
        <v>cái</v>
      </c>
      <c r="H1949" s="362"/>
      <c r="I1949" s="362">
        <f>VLOOKUP(B1949,DONGIA,DG!$E$6,0)</f>
        <v>45000</v>
      </c>
      <c r="J1949" s="362"/>
      <c r="K1949" s="362"/>
      <c r="L1949" s="362"/>
      <c r="M1949" s="362">
        <f t="shared" si="502"/>
        <v>0</v>
      </c>
      <c r="N1949" s="362">
        <f t="shared" si="503"/>
        <v>0</v>
      </c>
      <c r="O1949" s="362">
        <f t="shared" si="504"/>
        <v>0</v>
      </c>
      <c r="P1949" s="362">
        <f t="shared" si="505"/>
        <v>0</v>
      </c>
      <c r="Q1949" s="362"/>
      <c r="S1949" s="332">
        <f t="shared" si="494"/>
        <v>0.2</v>
      </c>
      <c r="T1949" s="332">
        <f t="shared" si="507"/>
        <v>0</v>
      </c>
    </row>
    <row r="1950" spans="2:20">
      <c r="B1950" s="332" t="s">
        <v>1147</v>
      </c>
      <c r="C1950" s="333">
        <f t="shared" si="506"/>
        <v>1</v>
      </c>
      <c r="D1950" s="643"/>
      <c r="E1950" s="643">
        <f>VLOOKUP(B1950,DONGIA,DG!$B$6,0)</f>
        <v>0</v>
      </c>
      <c r="F1950" s="731" t="str">
        <f>VLOOKUP(B1950,DONGIA,DG!$C$6,0)</f>
        <v>Chụp đầu cosse  70mm2</v>
      </c>
      <c r="G1950" s="643" t="str">
        <f>VLOOKUP(B1950,DONGIA,DG!$D$6,0)</f>
        <v>cái</v>
      </c>
      <c r="H1950" s="362">
        <f>H1948</f>
        <v>2</v>
      </c>
      <c r="I1950" s="362">
        <f>VLOOKUP(B1950,DONGIA,DG!$E$6,0)</f>
        <v>2000</v>
      </c>
      <c r="J1950" s="362"/>
      <c r="K1950" s="362">
        <f>VLOOKUP(B1950,DONGIA,DG!$F$6,0)</f>
        <v>0</v>
      </c>
      <c r="L1950" s="362">
        <f>VLOOKUP(B1950,DONGIA,DG!$G$6,0)</f>
        <v>0</v>
      </c>
      <c r="M1950" s="362">
        <f t="shared" si="502"/>
        <v>4000</v>
      </c>
      <c r="N1950" s="362">
        <f t="shared" si="503"/>
        <v>0</v>
      </c>
      <c r="O1950" s="362">
        <f t="shared" si="504"/>
        <v>0</v>
      </c>
      <c r="P1950" s="362">
        <f t="shared" si="505"/>
        <v>0</v>
      </c>
      <c r="Q1950" s="362"/>
      <c r="S1950" s="332">
        <f t="shared" si="494"/>
        <v>0</v>
      </c>
      <c r="T1950" s="332">
        <f t="shared" si="507"/>
        <v>0</v>
      </c>
    </row>
    <row r="1951" spans="2:20" hidden="1">
      <c r="B1951" s="332" t="s">
        <v>1149</v>
      </c>
      <c r="C1951" s="333">
        <f t="shared" si="506"/>
        <v>0</v>
      </c>
      <c r="D1951" s="643"/>
      <c r="E1951" s="643">
        <f>VLOOKUP(B1951,DONGIA,DG!$B$6,0)</f>
        <v>0</v>
      </c>
      <c r="F1951" s="362" t="str">
        <f>VLOOKUP(B1951,DONGIA,DG!$C$6,0)</f>
        <v>Chụp đầu cosse  95mm2</v>
      </c>
      <c r="G1951" s="643" t="str">
        <f>VLOOKUP(B1951,DONGIA,DG!$D$6,0)</f>
        <v>cái</v>
      </c>
      <c r="H1951" s="362">
        <f>H1949</f>
        <v>0</v>
      </c>
      <c r="I1951" s="362">
        <f>VLOOKUP(B1951,DONGIA,DG!$E$6,0)</f>
        <v>3000</v>
      </c>
      <c r="J1951" s="362"/>
      <c r="K1951" s="362">
        <f>VLOOKUP(B1951,DONGIA,DG!$F$6,0)</f>
        <v>0</v>
      </c>
      <c r="L1951" s="362">
        <f>VLOOKUP(B1951,DONGIA,DG!$G$6,0)</f>
        <v>0</v>
      </c>
      <c r="M1951" s="362">
        <f t="shared" si="502"/>
        <v>0</v>
      </c>
      <c r="N1951" s="362">
        <f t="shared" si="503"/>
        <v>0</v>
      </c>
      <c r="O1951" s="362">
        <f t="shared" si="504"/>
        <v>0</v>
      </c>
      <c r="P1951" s="362">
        <f t="shared" si="505"/>
        <v>0</v>
      </c>
      <c r="Q1951" s="362"/>
      <c r="S1951" s="332">
        <f t="shared" si="494"/>
        <v>0</v>
      </c>
      <c r="T1951" s="332">
        <f t="shared" si="507"/>
        <v>0</v>
      </c>
    </row>
    <row r="1952" spans="2:20" s="352" customFormat="1">
      <c r="B1952" s="352" t="s">
        <v>1177</v>
      </c>
      <c r="C1952" s="484">
        <f t="shared" si="506"/>
        <v>1</v>
      </c>
      <c r="D1952" s="643"/>
      <c r="E1952" s="643">
        <f>VLOOKUP(B1952,DONGIA,DG!$B$6,0)</f>
        <v>0</v>
      </c>
      <c r="F1952" s="731" t="str">
        <f>VLOOKUP(B1952,DONGIA,DG!$C$6,0)&amp;" (SDL)"</f>
        <v>Ống PVC D90x3,8mm  (SDL)</v>
      </c>
      <c r="G1952" s="643" t="str">
        <f>VLOOKUP(B1952,DONGIA,DG!$D$6,0)</f>
        <v>m</v>
      </c>
      <c r="H1952" s="483">
        <v>6</v>
      </c>
      <c r="I1952" s="362"/>
      <c r="J1952" s="362"/>
      <c r="K1952" s="362">
        <f>VLOOKUP(B1952,DONGIA,DG!$F$6,0)</f>
        <v>0</v>
      </c>
      <c r="L1952" s="362">
        <f>VLOOKUP(B1952,DONGIA,DG!$G$6,0)</f>
        <v>0</v>
      </c>
      <c r="M1952" s="362">
        <f t="shared" si="502"/>
        <v>0</v>
      </c>
      <c r="N1952" s="362">
        <f t="shared" si="503"/>
        <v>0</v>
      </c>
      <c r="O1952" s="362">
        <f t="shared" si="504"/>
        <v>0</v>
      </c>
      <c r="P1952" s="362">
        <f t="shared" si="505"/>
        <v>0</v>
      </c>
      <c r="Q1952" s="362"/>
      <c r="S1952" s="352">
        <f t="shared" si="494"/>
        <v>2</v>
      </c>
      <c r="T1952" s="352">
        <f t="shared" si="507"/>
        <v>12</v>
      </c>
    </row>
    <row r="1953" spans="2:20" s="352" customFormat="1">
      <c r="B1953" s="352" t="s">
        <v>1177</v>
      </c>
      <c r="C1953" s="484">
        <f>IF(H1953&lt;&gt;0,1,)</f>
        <v>1</v>
      </c>
      <c r="D1953" s="757"/>
      <c r="E1953" s="757">
        <f>VLOOKUP(B1953,DONGIA,DG!$B$6,0)</f>
        <v>0</v>
      </c>
      <c r="F1953" s="731" t="str">
        <f>VLOOKUP(B1953,DONGIA,DG!$C$6,0)</f>
        <v xml:space="preserve">Ống PVC D90x3,8mm </v>
      </c>
      <c r="G1953" s="757" t="str">
        <f>VLOOKUP(B1953,DONGIA,DG!$D$6,0)</f>
        <v>m</v>
      </c>
      <c r="H1953" s="483">
        <v>12</v>
      </c>
      <c r="I1953" s="362">
        <f>VLOOKUP(B1953,DONGIA,DG!$E$6,0)</f>
        <v>57000</v>
      </c>
      <c r="J1953" s="362"/>
      <c r="K1953" s="362">
        <f>VLOOKUP(B1953,DONGIA,DG!$F$6,0)</f>
        <v>0</v>
      </c>
      <c r="L1953" s="362">
        <f>VLOOKUP(B1953,DONGIA,DG!$G$6,0)</f>
        <v>0</v>
      </c>
      <c r="M1953" s="362">
        <f>$H1953*I1953</f>
        <v>684000</v>
      </c>
      <c r="N1953" s="362">
        <f>$H1953*J1953</f>
        <v>0</v>
      </c>
      <c r="O1953" s="362">
        <f>$H1953*K1953</f>
        <v>0</v>
      </c>
      <c r="P1953" s="362">
        <f>$H1953*L1953</f>
        <v>0</v>
      </c>
      <c r="Q1953" s="362"/>
      <c r="S1953" s="352">
        <f>IFERROR(VLOOKUP(B1953,DONGIA,$S$25,0),0)</f>
        <v>2</v>
      </c>
      <c r="T1953" s="352">
        <f>H1953*S1953</f>
        <v>24</v>
      </c>
    </row>
    <row r="1954" spans="2:20">
      <c r="B1954" s="332" t="s">
        <v>455</v>
      </c>
      <c r="C1954" s="333">
        <f t="shared" si="506"/>
        <v>1</v>
      </c>
      <c r="D1954" s="643"/>
      <c r="E1954" s="643"/>
      <c r="F1954" s="731" t="str">
        <f>VLOOKUP(B1954,DONGIA,DG!$C$6,0)&amp;" (CD: 250)"</f>
        <v>Cổ dê kẹp ống PVC φ 90 (có giá nới) (CD: 250)</v>
      </c>
      <c r="G1954" s="643" t="str">
        <f>VLOOKUP(B1954,DONGIA,DG!$D$6,0)</f>
        <v>bộ</v>
      </c>
      <c r="H1954" s="362">
        <v>2</v>
      </c>
      <c r="I1954" s="362">
        <f>VLOOKUP(B1954,DONGIA,DG!$E$6,0)</f>
        <v>60000</v>
      </c>
      <c r="J1954" s="362"/>
      <c r="K1954" s="362"/>
      <c r="L1954" s="362">
        <f>VLOOKUP(B1954,DONGIA,DG!$G$6,0)</f>
        <v>0</v>
      </c>
      <c r="M1954" s="362">
        <f t="shared" si="502"/>
        <v>120000</v>
      </c>
      <c r="N1954" s="362">
        <f t="shared" si="503"/>
        <v>0</v>
      </c>
      <c r="O1954" s="362">
        <f t="shared" si="504"/>
        <v>0</v>
      </c>
      <c r="P1954" s="362">
        <f t="shared" si="505"/>
        <v>0</v>
      </c>
      <c r="Q1954" s="362"/>
      <c r="S1954" s="332">
        <f t="shared" si="494"/>
        <v>1.5</v>
      </c>
      <c r="T1954" s="332">
        <f t="shared" si="507"/>
        <v>3</v>
      </c>
    </row>
    <row r="1955" spans="2:20">
      <c r="B1955" s="332" t="s">
        <v>455</v>
      </c>
      <c r="C1955" s="333">
        <f t="shared" si="506"/>
        <v>1</v>
      </c>
      <c r="D1955" s="643"/>
      <c r="E1955" s="643"/>
      <c r="F1955" s="731" t="str">
        <f>VLOOKUP(B1955,DONGIA,DG!$C$6,0)&amp;" (CD: 280)"</f>
        <v>Cổ dê kẹp ống PVC φ 90 (có giá nới) (CD: 280)</v>
      </c>
      <c r="G1955" s="643" t="str">
        <f>VLOOKUP(B1955,DONGIA,DG!$D$6,0)</f>
        <v>bộ</v>
      </c>
      <c r="H1955" s="362">
        <v>2</v>
      </c>
      <c r="I1955" s="362">
        <f>VLOOKUP(B1955,DONGIA,DG!$E$6,0)</f>
        <v>60000</v>
      </c>
      <c r="J1955" s="362"/>
      <c r="K1955" s="362"/>
      <c r="L1955" s="362">
        <f>VLOOKUP(B1955,DONGIA,DG!$G$6,0)</f>
        <v>0</v>
      </c>
      <c r="M1955" s="362">
        <f t="shared" si="502"/>
        <v>120000</v>
      </c>
      <c r="N1955" s="362">
        <f t="shared" si="503"/>
        <v>0</v>
      </c>
      <c r="O1955" s="362">
        <f t="shared" si="504"/>
        <v>0</v>
      </c>
      <c r="P1955" s="362">
        <f t="shared" si="505"/>
        <v>0</v>
      </c>
      <c r="Q1955" s="362"/>
      <c r="S1955" s="332">
        <f t="shared" si="494"/>
        <v>1.5</v>
      </c>
      <c r="T1955" s="332">
        <f t="shared" si="507"/>
        <v>3</v>
      </c>
    </row>
    <row r="1956" spans="2:20">
      <c r="B1956" s="332" t="s">
        <v>455</v>
      </c>
      <c r="C1956" s="333">
        <f t="shared" si="506"/>
        <v>1</v>
      </c>
      <c r="D1956" s="643"/>
      <c r="E1956" s="643"/>
      <c r="F1956" s="731" t="str">
        <f>VLOOKUP(B1956,DONGIA,DG!$C$6,0)&amp;" (CD: 320)"</f>
        <v>Cổ dê kẹp ống PVC φ 90 (có giá nới) (CD: 320)</v>
      </c>
      <c r="G1956" s="643" t="str">
        <f>VLOOKUP(B1956,DONGIA,DG!$D$6,0)</f>
        <v>bộ</v>
      </c>
      <c r="H1956" s="362">
        <v>2</v>
      </c>
      <c r="I1956" s="362">
        <f>VLOOKUP(B1956,DONGIA,DG!$E$6,0)</f>
        <v>60000</v>
      </c>
      <c r="J1956" s="362"/>
      <c r="K1956" s="362"/>
      <c r="L1956" s="362">
        <f>VLOOKUP(B1956,DONGIA,DG!$G$6,0)</f>
        <v>0</v>
      </c>
      <c r="M1956" s="362">
        <f t="shared" si="502"/>
        <v>120000</v>
      </c>
      <c r="N1956" s="362">
        <f t="shared" si="503"/>
        <v>0</v>
      </c>
      <c r="O1956" s="362">
        <f t="shared" si="504"/>
        <v>0</v>
      </c>
      <c r="P1956" s="362">
        <f t="shared" si="505"/>
        <v>0</v>
      </c>
      <c r="Q1956" s="362"/>
      <c r="S1956" s="332">
        <f t="shared" si="494"/>
        <v>1.5</v>
      </c>
      <c r="T1956" s="332">
        <f t="shared" si="507"/>
        <v>3</v>
      </c>
    </row>
    <row r="1957" spans="2:20">
      <c r="B1957" s="332" t="s">
        <v>2956</v>
      </c>
      <c r="C1957" s="333">
        <f>IF(H1957&lt;&gt;0,1,)</f>
        <v>1</v>
      </c>
      <c r="D1957" s="643"/>
      <c r="E1957" s="643">
        <f>VLOOKUP(B1957,DONGIA,DG!$B$6,0)</f>
        <v>0</v>
      </c>
      <c r="F1957" s="731" t="str">
        <f>VLOOKUP(B1957,DONGIA,DG!$C$6,0)</f>
        <v>Co  90 độ PVC 90 (Loại dày)</v>
      </c>
      <c r="G1957" s="643" t="str">
        <f>VLOOKUP(B1957,DONGIA,DG!$D$6,0)</f>
        <v>cái</v>
      </c>
      <c r="H1957" s="362">
        <v>6</v>
      </c>
      <c r="I1957" s="362">
        <f>VLOOKUP(B1957,DONGIA,DG!$E$6,0)</f>
        <v>45400</v>
      </c>
      <c r="J1957" s="362"/>
      <c r="K1957" s="362">
        <f>VLOOKUP(B1957,DONGIA,DG!$F$6,0)</f>
        <v>0</v>
      </c>
      <c r="L1957" s="362">
        <f>VLOOKUP(B1957,DONGIA,DG!$G$6,0)</f>
        <v>0</v>
      </c>
      <c r="M1957" s="362">
        <f>$H1957*I1957</f>
        <v>272400</v>
      </c>
      <c r="N1957" s="362">
        <f>$H1957*J1957</f>
        <v>0</v>
      </c>
      <c r="O1957" s="362">
        <f>$H1957*K1957</f>
        <v>0</v>
      </c>
      <c r="P1957" s="362">
        <f>$H1957*L1957</f>
        <v>0</v>
      </c>
      <c r="Q1957" s="362"/>
      <c r="S1957" s="332">
        <f>IFERROR(VLOOKUP(B1957,DONGIA,$S$25,0),0)</f>
        <v>0</v>
      </c>
      <c r="T1957" s="332">
        <f>H1957*S1957</f>
        <v>0</v>
      </c>
    </row>
    <row r="1958" spans="2:20" hidden="1">
      <c r="B1958" s="332" t="s">
        <v>1183</v>
      </c>
      <c r="C1958" s="333">
        <f t="shared" si="506"/>
        <v>0</v>
      </c>
      <c r="D1958" s="643"/>
      <c r="E1958" s="643">
        <f>VLOOKUP(B1958,DONGIA,DG!$B$6,0)</f>
        <v>0</v>
      </c>
      <c r="F1958" s="362" t="str">
        <f>VLOOKUP(B1958,DONGIA,DG!$C$6,0)</f>
        <v>Co  90 độ PVC 90</v>
      </c>
      <c r="G1958" s="643" t="str">
        <f>VLOOKUP(B1958,DONGIA,DG!$D$6,0)</f>
        <v>cái</v>
      </c>
      <c r="H1958" s="362"/>
      <c r="I1958" s="362">
        <f>VLOOKUP(B1958,DONGIA,DG!$E$6,0)</f>
        <v>45400</v>
      </c>
      <c r="J1958" s="362"/>
      <c r="K1958" s="362">
        <f>VLOOKUP(B1958,DONGIA,DG!$F$6,0)</f>
        <v>0</v>
      </c>
      <c r="L1958" s="362">
        <f>VLOOKUP(B1958,DONGIA,DG!$G$6,0)</f>
        <v>0</v>
      </c>
      <c r="M1958" s="362">
        <f t="shared" si="502"/>
        <v>0</v>
      </c>
      <c r="N1958" s="362">
        <f t="shared" si="503"/>
        <v>0</v>
      </c>
      <c r="O1958" s="362">
        <f t="shared" si="504"/>
        <v>0</v>
      </c>
      <c r="P1958" s="362">
        <f t="shared" si="505"/>
        <v>0</v>
      </c>
      <c r="Q1958" s="362"/>
      <c r="S1958" s="332">
        <f t="shared" si="494"/>
        <v>0</v>
      </c>
      <c r="T1958" s="332">
        <f t="shared" si="507"/>
        <v>0</v>
      </c>
    </row>
    <row r="1959" spans="2:20">
      <c r="B1959" s="332" t="s">
        <v>1181</v>
      </c>
      <c r="C1959" s="333">
        <f t="shared" si="506"/>
        <v>1</v>
      </c>
      <c r="D1959" s="643"/>
      <c r="E1959" s="643">
        <f>VLOOKUP(B1959,DONGIA,DG!$B$6,0)</f>
        <v>0</v>
      </c>
      <c r="F1959" s="731" t="str">
        <f>VLOOKUP(B1959,DONGIA,DG!$C$6,0)</f>
        <v>Co 135 độ PVC 90</v>
      </c>
      <c r="G1959" s="643" t="str">
        <f>VLOOKUP(B1959,DONGIA,DG!$D$6,0)</f>
        <v>cái</v>
      </c>
      <c r="H1959" s="362">
        <v>2</v>
      </c>
      <c r="I1959" s="362">
        <f>VLOOKUP(B1959,DONGIA,DG!$E$6,0)</f>
        <v>34800</v>
      </c>
      <c r="J1959" s="362"/>
      <c r="K1959" s="362">
        <f>VLOOKUP(B1959,DONGIA,DG!$F$6,0)</f>
        <v>0</v>
      </c>
      <c r="L1959" s="362">
        <f>VLOOKUP(B1959,DONGIA,DG!$G$6,0)</f>
        <v>0</v>
      </c>
      <c r="M1959" s="362">
        <f t="shared" si="502"/>
        <v>69600</v>
      </c>
      <c r="N1959" s="362">
        <f t="shared" si="503"/>
        <v>0</v>
      </c>
      <c r="O1959" s="362">
        <f t="shared" si="504"/>
        <v>0</v>
      </c>
      <c r="P1959" s="362">
        <f t="shared" si="505"/>
        <v>0</v>
      </c>
      <c r="Q1959" s="362"/>
      <c r="S1959" s="332">
        <f t="shared" si="494"/>
        <v>0</v>
      </c>
      <c r="T1959" s="332">
        <f t="shared" si="507"/>
        <v>0</v>
      </c>
    </row>
    <row r="1960" spans="2:20">
      <c r="B1960" s="332" t="s">
        <v>1203</v>
      </c>
      <c r="C1960" s="333">
        <f t="shared" si="506"/>
        <v>1</v>
      </c>
      <c r="D1960" s="643"/>
      <c r="E1960" s="643">
        <f>VLOOKUP(B1960,DONGIA,DG!$B$6,0)</f>
        <v>0</v>
      </c>
      <c r="F1960" s="731" t="str">
        <f>VLOOKUP(B1960,DONGIA,DG!$C$6,0)</f>
        <v>Khâu ven răng trong D90</v>
      </c>
      <c r="G1960" s="643" t="str">
        <f>VLOOKUP(B1960,DONGIA,DG!$D$6,0)</f>
        <v>cái</v>
      </c>
      <c r="H1960" s="362">
        <v>3</v>
      </c>
      <c r="I1960" s="362">
        <f>VLOOKUP(B1960,DONGIA,DG!$E$6,0)</f>
        <v>25800</v>
      </c>
      <c r="J1960" s="362"/>
      <c r="K1960" s="362">
        <f>VLOOKUP(B1960,DONGIA,DG!$F$6,0)</f>
        <v>0</v>
      </c>
      <c r="L1960" s="362">
        <f>VLOOKUP(B1960,DONGIA,DG!$G$6,0)</f>
        <v>0</v>
      </c>
      <c r="M1960" s="362">
        <f t="shared" si="502"/>
        <v>77400</v>
      </c>
      <c r="N1960" s="362">
        <f t="shared" si="503"/>
        <v>0</v>
      </c>
      <c r="O1960" s="362">
        <f t="shared" si="504"/>
        <v>0</v>
      </c>
      <c r="P1960" s="362">
        <f t="shared" si="505"/>
        <v>0</v>
      </c>
      <c r="Q1960" s="362"/>
      <c r="S1960" s="332">
        <f t="shared" si="494"/>
        <v>0</v>
      </c>
      <c r="T1960" s="332">
        <f t="shared" si="507"/>
        <v>0</v>
      </c>
    </row>
    <row r="1961" spans="2:20">
      <c r="B1961" s="332" t="s">
        <v>1209</v>
      </c>
      <c r="C1961" s="333">
        <f t="shared" si="506"/>
        <v>1</v>
      </c>
      <c r="D1961" s="643"/>
      <c r="E1961" s="643">
        <f>VLOOKUP(B1961,DONGIA,DG!$B$6,0)</f>
        <v>0</v>
      </c>
      <c r="F1961" s="731" t="str">
        <f>VLOOKUP(B1961,DONGIA,DG!$C$6,0)</f>
        <v>Khâu ven răng ngoài D90</v>
      </c>
      <c r="G1961" s="643" t="str">
        <f>VLOOKUP(B1961,DONGIA,DG!$D$6,0)</f>
        <v>cái</v>
      </c>
      <c r="H1961" s="362">
        <f>H1960</f>
        <v>3</v>
      </c>
      <c r="I1961" s="362">
        <f>VLOOKUP(B1961,DONGIA,DG!$E$6,0)</f>
        <v>21500</v>
      </c>
      <c r="J1961" s="362"/>
      <c r="K1961" s="362">
        <f>VLOOKUP(B1961,DONGIA,DG!$F$6,0)</f>
        <v>0</v>
      </c>
      <c r="L1961" s="362">
        <f>VLOOKUP(B1961,DONGIA,DG!$G$6,0)</f>
        <v>0</v>
      </c>
      <c r="M1961" s="362">
        <f t="shared" si="502"/>
        <v>64500</v>
      </c>
      <c r="N1961" s="362">
        <f t="shared" si="503"/>
        <v>0</v>
      </c>
      <c r="O1961" s="362">
        <f t="shared" si="504"/>
        <v>0</v>
      </c>
      <c r="P1961" s="362">
        <f t="shared" si="505"/>
        <v>0</v>
      </c>
      <c r="Q1961" s="362"/>
      <c r="S1961" s="332">
        <f t="shared" si="494"/>
        <v>0</v>
      </c>
      <c r="T1961" s="332">
        <f t="shared" si="507"/>
        <v>0</v>
      </c>
    </row>
    <row r="1962" spans="2:20" hidden="1">
      <c r="B1962" s="332" t="s">
        <v>1914</v>
      </c>
      <c r="C1962" s="333">
        <f t="shared" si="506"/>
        <v>0</v>
      </c>
      <c r="D1962" s="643"/>
      <c r="E1962" s="643">
        <f>VLOOKUP(B1962,DONGIA,DG!$B$6,0)</f>
        <v>0</v>
      </c>
      <c r="F1962" s="362" t="str">
        <f>VLOOKUP(B1962,DONGIA,DG!$C$6,0)</f>
        <v>Keo dán ống PVC (100gr)</v>
      </c>
      <c r="G1962" s="643" t="str">
        <f>VLOOKUP(B1962,DONGIA,DG!$D$6,0)</f>
        <v>tuýp</v>
      </c>
      <c r="H1962" s="362"/>
      <c r="I1962" s="362">
        <f>VLOOKUP(B1962,DONGIA,DG!$E$6,0)</f>
        <v>11500</v>
      </c>
      <c r="J1962" s="362"/>
      <c r="K1962" s="362">
        <f>VLOOKUP(B1962,DONGIA,DG!$F$6,0)</f>
        <v>0</v>
      </c>
      <c r="L1962" s="362">
        <f>VLOOKUP(B1962,DONGIA,DG!$G$6,0)</f>
        <v>0</v>
      </c>
      <c r="M1962" s="362">
        <f t="shared" si="502"/>
        <v>0</v>
      </c>
      <c r="N1962" s="362">
        <f t="shared" si="503"/>
        <v>0</v>
      </c>
      <c r="O1962" s="362">
        <f t="shared" si="504"/>
        <v>0</v>
      </c>
      <c r="P1962" s="362">
        <f t="shared" si="505"/>
        <v>0</v>
      </c>
      <c r="Q1962" s="362"/>
      <c r="S1962" s="332">
        <f t="shared" si="494"/>
        <v>0</v>
      </c>
      <c r="T1962" s="332">
        <f t="shared" si="507"/>
        <v>0</v>
      </c>
    </row>
    <row r="1963" spans="2:20">
      <c r="B1963" s="332" t="s">
        <v>1639</v>
      </c>
      <c r="C1963" s="333">
        <f t="shared" si="506"/>
        <v>1</v>
      </c>
      <c r="D1963" s="643"/>
      <c r="E1963" s="643">
        <f>VLOOKUP(B1963,DONGIA,DG!$B$6,0)</f>
        <v>0</v>
      </c>
      <c r="F1963" s="731" t="str">
        <f>VLOOKUP(B1963,DONGIA,DG!$C$6,0)&amp;" bịt miệng ống"</f>
        <v>Xi măng bịt miệng ống</v>
      </c>
      <c r="G1963" s="643" t="str">
        <f>VLOOKUP(B1963,DONGIA,DG!$D$6,0)</f>
        <v>kg</v>
      </c>
      <c r="H1963" s="483">
        <v>1.5</v>
      </c>
      <c r="I1963" s="362">
        <f>VLOOKUP(B1963,DONGIA,DG!$E$6,0)</f>
        <v>1760</v>
      </c>
      <c r="J1963" s="362"/>
      <c r="K1963" s="362">
        <f>VLOOKUP(B1963,DONGIA,DG!$F$6,0)</f>
        <v>0</v>
      </c>
      <c r="L1963" s="362">
        <f>VLOOKUP(B1963,DONGIA,DG!$G$6,0)</f>
        <v>0</v>
      </c>
      <c r="M1963" s="362">
        <f t="shared" si="502"/>
        <v>2640</v>
      </c>
      <c r="N1963" s="362">
        <f t="shared" si="503"/>
        <v>0</v>
      </c>
      <c r="O1963" s="362">
        <f t="shared" si="504"/>
        <v>0</v>
      </c>
      <c r="P1963" s="362">
        <f t="shared" si="505"/>
        <v>0</v>
      </c>
      <c r="Q1963" s="362"/>
      <c r="S1963" s="332">
        <f t="shared" si="494"/>
        <v>1</v>
      </c>
      <c r="T1963" s="332">
        <f t="shared" si="507"/>
        <v>1.5</v>
      </c>
    </row>
    <row r="1964" spans="2:20" hidden="1">
      <c r="B1964" s="332" t="s">
        <v>1195</v>
      </c>
      <c r="C1964" s="333">
        <f t="shared" si="506"/>
        <v>0</v>
      </c>
      <c r="D1964" s="643"/>
      <c r="E1964" s="643">
        <f>VLOOKUP(B1964,DONGIA,DG!$B$6,0)</f>
        <v>0</v>
      </c>
      <c r="F1964" s="362" t="str">
        <f>VLOOKUP(B1964,DONGIA,DG!$C$6,0)</f>
        <v>Keo silicon bít miệng ống</v>
      </c>
      <c r="G1964" s="643" t="str">
        <f>VLOOKUP(B1964,DONGIA,DG!$D$6,0)</f>
        <v>ống</v>
      </c>
      <c r="H1964" s="362"/>
      <c r="I1964" s="362">
        <f>VLOOKUP(B1964,DONGIA,DG!$E$6,0)</f>
        <v>45000</v>
      </c>
      <c r="J1964" s="362"/>
      <c r="K1964" s="362">
        <f>VLOOKUP(B1964,DONGIA,DG!$F$6,0)</f>
        <v>0</v>
      </c>
      <c r="L1964" s="362">
        <f>VLOOKUP(B1964,DONGIA,DG!$G$6,0)</f>
        <v>0</v>
      </c>
      <c r="M1964" s="362">
        <f t="shared" si="502"/>
        <v>0</v>
      </c>
      <c r="N1964" s="362">
        <f t="shared" si="503"/>
        <v>0</v>
      </c>
      <c r="O1964" s="362">
        <f t="shared" si="504"/>
        <v>0</v>
      </c>
      <c r="P1964" s="362">
        <f t="shared" si="505"/>
        <v>0</v>
      </c>
      <c r="Q1964" s="362"/>
      <c r="S1964" s="332">
        <f t="shared" si="494"/>
        <v>0</v>
      </c>
      <c r="T1964" s="332">
        <f t="shared" si="507"/>
        <v>0</v>
      </c>
    </row>
    <row r="1965" spans="2:20">
      <c r="B1965" s="332" t="s">
        <v>1193</v>
      </c>
      <c r="C1965" s="333">
        <f t="shared" si="506"/>
        <v>1</v>
      </c>
      <c r="D1965" s="643"/>
      <c r="E1965" s="643">
        <f>VLOOKUP(B1965,DONGIA,DG!$B$6,0)</f>
        <v>0</v>
      </c>
      <c r="F1965" s="731" t="str">
        <f>VLOOKUP(B1965,DONGIA,DG!$C$6,0)</f>
        <v>Băng keo cách điện</v>
      </c>
      <c r="G1965" s="643" t="str">
        <f>VLOOKUP(B1965,DONGIA,DG!$D$6,0)</f>
        <v>cuộn</v>
      </c>
      <c r="H1965" s="362">
        <v>1</v>
      </c>
      <c r="I1965" s="362">
        <f>VLOOKUP(B1965,DONGIA,DG!$E$6,0)</f>
        <v>6500</v>
      </c>
      <c r="J1965" s="362"/>
      <c r="K1965" s="362">
        <f>VLOOKUP(B1965,DONGIA,DG!$F$6,0)</f>
        <v>0</v>
      </c>
      <c r="L1965" s="362">
        <f>VLOOKUP(B1965,DONGIA,DG!$G$6,0)</f>
        <v>0</v>
      </c>
      <c r="M1965" s="362">
        <f t="shared" si="502"/>
        <v>6500</v>
      </c>
      <c r="N1965" s="362">
        <f t="shared" si="503"/>
        <v>0</v>
      </c>
      <c r="O1965" s="362">
        <f t="shared" si="504"/>
        <v>0</v>
      </c>
      <c r="P1965" s="362">
        <f t="shared" si="505"/>
        <v>0</v>
      </c>
      <c r="Q1965" s="362"/>
      <c r="S1965" s="332">
        <f t="shared" si="494"/>
        <v>0</v>
      </c>
      <c r="T1965" s="332">
        <f t="shared" si="507"/>
        <v>0</v>
      </c>
    </row>
    <row r="1966" spans="2:20">
      <c r="B1966" s="332" t="s">
        <v>855</v>
      </c>
      <c r="C1966" s="333">
        <f t="shared" si="506"/>
        <v>1</v>
      </c>
      <c r="D1966" s="643"/>
      <c r="E1966" s="643" t="str">
        <f>VLOOKUP(B1966,DONGIA,DG!$B$6,0)</f>
        <v>T4.8003</v>
      </c>
      <c r="F1966" s="731" t="str">
        <f>VLOOKUP(B1966,DONGIA,DG!$C$6,0)</f>
        <v>Lắp ống nhựa PVC D90</v>
      </c>
      <c r="G1966" s="643" t="str">
        <f>VLOOKUP(B1966,DONGIA,DG!$D$6,0)</f>
        <v>mét</v>
      </c>
      <c r="H1966" s="483">
        <f>H1952+H1953</f>
        <v>18</v>
      </c>
      <c r="I1966" s="362">
        <f>VLOOKUP(B1966,DONGIA,DG!$E$6,0)</f>
        <v>0</v>
      </c>
      <c r="J1966" s="362"/>
      <c r="K1966" s="362">
        <f>VLOOKUP(B1966,DONGIA,DG!$F$6,0)</f>
        <v>35541</v>
      </c>
      <c r="L1966" s="362">
        <f>VLOOKUP(B1966,DONGIA,DG!$G$6,0)</f>
        <v>0</v>
      </c>
      <c r="M1966" s="362">
        <f t="shared" si="502"/>
        <v>0</v>
      </c>
      <c r="N1966" s="362">
        <f t="shared" si="503"/>
        <v>0</v>
      </c>
      <c r="O1966" s="362">
        <f t="shared" si="504"/>
        <v>639738</v>
      </c>
      <c r="P1966" s="362">
        <f t="shared" si="505"/>
        <v>0</v>
      </c>
      <c r="Q1966" s="362"/>
      <c r="S1966" s="332">
        <f t="shared" si="494"/>
        <v>0</v>
      </c>
      <c r="T1966" s="332">
        <f t="shared" si="507"/>
        <v>0</v>
      </c>
    </row>
    <row r="1967" spans="2:20">
      <c r="B1967" s="332" t="s">
        <v>1939</v>
      </c>
      <c r="C1967" s="333">
        <f t="shared" si="506"/>
        <v>1</v>
      </c>
      <c r="D1967" s="643"/>
      <c r="E1967" s="643" t="str">
        <f>VLOOKUP(B1967,DONGIA,DG!$B$6,0)</f>
        <v>T4.4201</v>
      </c>
      <c r="F1967" s="731" t="str">
        <f>VLOOKUP(B1967,DONGIA,DG!$C$6,0)</f>
        <v>Lắp cáp đồng xuống thiết bị D ≤ 95mm2</v>
      </c>
      <c r="G1967" s="643" t="str">
        <f>VLOOKUP(B1967,DONGIA,DG!$D$6,0)</f>
        <v>m</v>
      </c>
      <c r="H1967" s="483">
        <f>H1944+H1945+H1946+H1947</f>
        <v>83</v>
      </c>
      <c r="I1967" s="362">
        <f>VLOOKUP(B1967,DONGIA,DG!$E$6,0)</f>
        <v>0</v>
      </c>
      <c r="J1967" s="362"/>
      <c r="K1967" s="362">
        <f>VLOOKUP(B1967,DONGIA,DG!$F$6,0)</f>
        <v>11847</v>
      </c>
      <c r="L1967" s="362">
        <f>VLOOKUP(B1967,DONGIA,DG!$G$6,0)</f>
        <v>0</v>
      </c>
      <c r="M1967" s="362">
        <f t="shared" si="502"/>
        <v>0</v>
      </c>
      <c r="N1967" s="362">
        <f t="shared" si="503"/>
        <v>0</v>
      </c>
      <c r="O1967" s="362">
        <f t="shared" si="504"/>
        <v>983301</v>
      </c>
      <c r="P1967" s="362">
        <f t="shared" si="505"/>
        <v>0</v>
      </c>
      <c r="Q1967" s="362"/>
      <c r="S1967" s="332">
        <f t="shared" si="494"/>
        <v>0</v>
      </c>
      <c r="T1967" s="332">
        <f t="shared" si="507"/>
        <v>0</v>
      </c>
    </row>
    <row r="1968" spans="2:20">
      <c r="B1968" s="332" t="s">
        <v>1058</v>
      </c>
      <c r="C1968" s="333">
        <f t="shared" si="506"/>
        <v>1</v>
      </c>
      <c r="D1968" s="372">
        <f>IF(H1968&lt;&gt;0,D1941+1,D1941)</f>
        <v>9</v>
      </c>
      <c r="E1968" s="372">
        <f>VLOOKUP(B1968,DONGIA,DG!$B$6,0)</f>
        <v>0</v>
      </c>
      <c r="F1968" s="780" t="str">
        <f>VLOOKUP(B1968,DONGIA,DG!$C$6,0)</f>
        <v>Bảng tên trạm + bulon</v>
      </c>
      <c r="G1968" s="372" t="str">
        <f>VLOOKUP(B1968,DONGIA,DG!$D$6,0)</f>
        <v>bộ</v>
      </c>
      <c r="H1968" s="372">
        <v>1</v>
      </c>
      <c r="I1968" s="373">
        <f>VLOOKUP(B1968,DONGIA,DG!$E$6,0)</f>
        <v>150000</v>
      </c>
      <c r="J1968" s="373"/>
      <c r="K1968" s="373"/>
      <c r="L1968" s="373"/>
      <c r="M1968" s="373">
        <f>H1968*I1968</f>
        <v>150000</v>
      </c>
      <c r="N1968" s="373"/>
      <c r="O1968" s="373"/>
      <c r="P1968" s="373"/>
      <c r="Q1968" s="373"/>
      <c r="S1968" s="332">
        <f t="shared" si="494"/>
        <v>0</v>
      </c>
      <c r="T1968" s="332">
        <f t="shared" si="507"/>
        <v>0</v>
      </c>
    </row>
    <row r="1969" spans="1:20" s="526" customFormat="1">
      <c r="A1969" s="526" t="s">
        <v>3243</v>
      </c>
      <c r="C1969" s="484">
        <f>IF((C1970+C1981)&lt;&gt;0,1,)</f>
        <v>1</v>
      </c>
      <c r="D1969" s="527"/>
      <c r="E1969" s="528" t="str">
        <f>DTR1P&amp;" Trạm 1 pha di dời"</f>
        <v>2 Trạm 1 pha di dời</v>
      </c>
      <c r="F1969" s="784"/>
      <c r="G1969" s="527"/>
      <c r="H1969" s="527"/>
      <c r="I1969" s="529"/>
      <c r="J1969" s="529"/>
      <c r="K1969" s="529"/>
      <c r="L1969" s="529"/>
      <c r="M1969" s="529"/>
      <c r="N1969" s="529"/>
      <c r="O1969" s="529"/>
      <c r="P1969" s="529"/>
      <c r="Q1969" s="527"/>
      <c r="S1969" s="352">
        <f t="shared" ref="S1969:S2041" si="508">IFERROR(VLOOKUP(B1969,DONGIA,$S$25,0),0)</f>
        <v>0</v>
      </c>
      <c r="T1969" s="352">
        <f t="shared" si="507"/>
        <v>0</v>
      </c>
    </row>
    <row r="1970" spans="1:20" s="405" customFormat="1">
      <c r="A1970" s="405" t="str">
        <f>"TB"&amp;A1969</f>
        <v>TBDTR1P</v>
      </c>
      <c r="C1970" s="418">
        <f>IF(SUM(C1971:C1980)&lt;&gt;0,1,)</f>
        <v>1</v>
      </c>
      <c r="D1970" s="538"/>
      <c r="E1970" s="538"/>
      <c r="F1970" s="785" t="s">
        <v>1900</v>
      </c>
      <c r="G1970" s="538"/>
      <c r="H1970" s="539"/>
      <c r="I1970" s="539"/>
      <c r="J1970" s="539"/>
      <c r="K1970" s="539"/>
      <c r="L1970" s="539"/>
      <c r="M1970" s="539">
        <f>SUM(M1971:M1980)</f>
        <v>0</v>
      </c>
      <c r="N1970" s="539">
        <f>SUM(N1971:N1980)</f>
        <v>0</v>
      </c>
      <c r="O1970" s="539">
        <f>SUM(O1971:O1980)</f>
        <v>4126450</v>
      </c>
      <c r="P1970" s="539">
        <f>SUM(P1971:P1980)</f>
        <v>1442420</v>
      </c>
      <c r="Q1970" s="539"/>
      <c r="S1970" s="405">
        <f t="shared" si="508"/>
        <v>0</v>
      </c>
      <c r="T1970" s="439">
        <f>SUM(T1971:T1980)</f>
        <v>1844.6</v>
      </c>
    </row>
    <row r="1971" spans="1:20" s="405" customFormat="1" hidden="1">
      <c r="A1971" s="405" t="s">
        <v>477</v>
      </c>
      <c r="B1971" s="405" t="s">
        <v>899</v>
      </c>
      <c r="C1971" s="418">
        <f t="shared" ref="C1971:C1980" si="509">IF(H1971&lt;&gt;0,1,)</f>
        <v>0</v>
      </c>
      <c r="D1971" s="523"/>
      <c r="E1971" s="523" t="str">
        <f>VLOOKUP(B1971,DONGIA,DG!$B$6,0)</f>
        <v>T1.1431</v>
      </c>
      <c r="F1971" s="525" t="str">
        <f>VLOOKUP(B1971,DONGIA,DG!$C$6,0)&amp;" (SDL)"</f>
        <v>Máy biến áp 12,7/0,22-0,44kV  25kVA (SDL)</v>
      </c>
      <c r="G1971" s="523" t="str">
        <f>VLOOKUP(B1971,DONGIA,DG!$D$6,0)</f>
        <v>máy</v>
      </c>
      <c r="H1971" s="525">
        <f>'BKTL Tram'!C18</f>
        <v>0</v>
      </c>
      <c r="I1971" s="525"/>
      <c r="J1971" s="525"/>
      <c r="K1971" s="525">
        <f>VLOOKUP(B1971,DONGIA,DG!$F$6,0)</f>
        <v>647230</v>
      </c>
      <c r="L1971" s="525">
        <f>VLOOKUP(B1971,DONGIA,DG!$G$6,0)</f>
        <v>360605</v>
      </c>
      <c r="M1971" s="525">
        <f t="shared" ref="M1971:M1980" si="510">$H1971*I1971</f>
        <v>0</v>
      </c>
      <c r="N1971" s="525">
        <f t="shared" ref="N1971:N1980" si="511">$H1971*J1971</f>
        <v>0</v>
      </c>
      <c r="O1971" s="525">
        <f t="shared" ref="O1971:O1980" si="512">$H1971*K1971</f>
        <v>0</v>
      </c>
      <c r="P1971" s="525">
        <f t="shared" ref="P1971:P1980" si="513">$H1971*L1971</f>
        <v>0</v>
      </c>
      <c r="Q1971" s="525"/>
      <c r="S1971" s="405">
        <f t="shared" si="508"/>
        <v>320</v>
      </c>
      <c r="T1971" s="405">
        <f t="shared" ref="T1971:T1980" si="514">H1971*S1971</f>
        <v>0</v>
      </c>
    </row>
    <row r="1972" spans="1:20" s="405" customFormat="1">
      <c r="A1972" s="405" t="s">
        <v>477</v>
      </c>
      <c r="B1972" s="405" t="s">
        <v>3264</v>
      </c>
      <c r="C1972" s="418">
        <f>IF(H1972&lt;&gt;0,1,)</f>
        <v>1</v>
      </c>
      <c r="D1972" s="523"/>
      <c r="E1972" s="523" t="str">
        <f>VLOOKUP(B1972,DONGIA,DG!$B$6,0)</f>
        <v>T1.1432</v>
      </c>
      <c r="F1972" s="666" t="str">
        <f>VLOOKUP(B1972,DONGIA,DG!$C$6,0)&amp;" (SDL)"</f>
        <v>Máy biến áp 12,7/0,22-0,44kV  37,5kVA (SDL)</v>
      </c>
      <c r="G1972" s="523" t="str">
        <f>VLOOKUP(B1972,DONGIA,DG!$D$6,0)</f>
        <v>máy</v>
      </c>
      <c r="H1972" s="525">
        <f>'BKTL Tram'!D30</f>
        <v>2</v>
      </c>
      <c r="I1972" s="525"/>
      <c r="J1972" s="525"/>
      <c r="K1972" s="525">
        <f>VLOOKUP(B1972,DONGIA,DG!$F$6,0)</f>
        <v>746585</v>
      </c>
      <c r="L1972" s="525">
        <f>VLOOKUP(B1972,DONGIA,DG!$G$6,0)</f>
        <v>360605</v>
      </c>
      <c r="M1972" s="525">
        <f t="shared" ref="M1972:P1975" si="515">$H1972*I1972</f>
        <v>0</v>
      </c>
      <c r="N1972" s="525">
        <f t="shared" si="515"/>
        <v>0</v>
      </c>
      <c r="O1972" s="525">
        <f t="shared" si="515"/>
        <v>1493170</v>
      </c>
      <c r="P1972" s="525">
        <f t="shared" si="515"/>
        <v>721210</v>
      </c>
      <c r="Q1972" s="525"/>
      <c r="S1972" s="405">
        <f>IFERROR(VLOOKUP(B1972,DONGIA,$S$25,0),0)</f>
        <v>355</v>
      </c>
      <c r="T1972" s="405">
        <f>H1972*S1972</f>
        <v>710</v>
      </c>
    </row>
    <row r="1973" spans="1:20" s="405" customFormat="1" hidden="1">
      <c r="A1973" s="405" t="s">
        <v>477</v>
      </c>
      <c r="B1973" s="405" t="s">
        <v>2090</v>
      </c>
      <c r="C1973" s="418">
        <f>IF(H1973&lt;&gt;0,1,)</f>
        <v>0</v>
      </c>
      <c r="D1973" s="523"/>
      <c r="E1973" s="523" t="str">
        <f>VLOOKUP(B1973,DONGIA,DG!$B$6,0)</f>
        <v>T1.1432</v>
      </c>
      <c r="F1973" s="525" t="str">
        <f>VLOOKUP(B1973,DONGIA,DG!$C$6,0)&amp;" (SDL)"</f>
        <v>Máy biến áp 12,7/0,23-0,46kV  50kVA (SDL)</v>
      </c>
      <c r="G1973" s="523" t="str">
        <f>VLOOKUP(B1973,DONGIA,DG!$D$6,0)</f>
        <v>máy</v>
      </c>
      <c r="H1973" s="525">
        <v>0</v>
      </c>
      <c r="I1973" s="525"/>
      <c r="J1973" s="525"/>
      <c r="K1973" s="525">
        <f>VLOOKUP(B1973,DONGIA,DG!$F$6,0)</f>
        <v>746585</v>
      </c>
      <c r="L1973" s="525">
        <f>VLOOKUP(B1973,DONGIA,DG!$G$6,0)</f>
        <v>360605</v>
      </c>
      <c r="M1973" s="525">
        <f t="shared" si="515"/>
        <v>0</v>
      </c>
      <c r="N1973" s="525">
        <f t="shared" si="515"/>
        <v>0</v>
      </c>
      <c r="O1973" s="525">
        <f t="shared" si="515"/>
        <v>0</v>
      </c>
      <c r="P1973" s="525">
        <f t="shared" si="515"/>
        <v>0</v>
      </c>
      <c r="Q1973" s="525"/>
      <c r="S1973" s="405">
        <f>IFERROR(VLOOKUP(B1973,DONGIA,$S$25,0),0)</f>
        <v>390</v>
      </c>
      <c r="T1973" s="405">
        <f>H1973*S1973</f>
        <v>0</v>
      </c>
    </row>
    <row r="1974" spans="1:20" s="405" customFormat="1" hidden="1">
      <c r="A1974" s="405" t="s">
        <v>477</v>
      </c>
      <c r="B1974" s="405" t="s">
        <v>2071</v>
      </c>
      <c r="C1974" s="418">
        <f>IF(H1974&lt;&gt;0,1,)</f>
        <v>0</v>
      </c>
      <c r="D1974" s="523"/>
      <c r="E1974" s="523" t="str">
        <f>VLOOKUP(B1974,DONGIA,DG!$B$6,0)</f>
        <v>T1.1433</v>
      </c>
      <c r="F1974" s="525" t="str">
        <f>VLOOKUP(B1974,DONGIA,DG!$C$6,0)&amp;" (SDL)"</f>
        <v>Máy biến áp 12,7/0,22-0,44kV  75kVA (SDL)</v>
      </c>
      <c r="G1974" s="523" t="str">
        <f>VLOOKUP(B1974,DONGIA,DG!$D$6,0)</f>
        <v>máy</v>
      </c>
      <c r="H1974" s="525">
        <f>'BKTL Tram'!F7+'BKTL Tram'!F9+'BKTL Tram'!F10+'BKTL Tram'!F16</f>
        <v>0</v>
      </c>
      <c r="I1974" s="525"/>
      <c r="J1974" s="525"/>
      <c r="K1974" s="525">
        <f>VLOOKUP(B1974,DONGIA,DG!$F$6,0)</f>
        <v>993554</v>
      </c>
      <c r="L1974" s="525">
        <f>VLOOKUP(B1974,DONGIA,DG!$G$6,0)</f>
        <v>360605</v>
      </c>
      <c r="M1974" s="525">
        <f t="shared" si="515"/>
        <v>0</v>
      </c>
      <c r="N1974" s="525">
        <f t="shared" si="515"/>
        <v>0</v>
      </c>
      <c r="O1974" s="525">
        <f t="shared" si="515"/>
        <v>0</v>
      </c>
      <c r="P1974" s="525">
        <f t="shared" si="515"/>
        <v>0</v>
      </c>
      <c r="Q1974" s="525"/>
      <c r="S1974" s="405">
        <f>IFERROR(VLOOKUP(B1974,DONGIA,$S$25,0),0)</f>
        <v>455</v>
      </c>
      <c r="T1974" s="405">
        <f>H1974*S1974</f>
        <v>0</v>
      </c>
    </row>
    <row r="1975" spans="1:20" s="405" customFormat="1">
      <c r="A1975" s="405" t="s">
        <v>477</v>
      </c>
      <c r="B1975" s="405" t="s">
        <v>2073</v>
      </c>
      <c r="C1975" s="418">
        <f>IF(H1975&lt;&gt;0,1,)</f>
        <v>1</v>
      </c>
      <c r="D1975" s="523"/>
      <c r="E1975" s="523" t="str">
        <f>VLOOKUP(B1975,DONGIA,DG!$B$6,0)</f>
        <v>T1.1434</v>
      </c>
      <c r="F1975" s="666" t="str">
        <f>VLOOKUP(B1975,DONGIA,DG!$C$6,0)&amp;" (SDL)"</f>
        <v>Máy biến áp 12,7/0,22-0,44kV  100kVA (SDL)</v>
      </c>
      <c r="G1975" s="523" t="str">
        <f>VLOOKUP(B1975,DONGIA,DG!$D$6,0)</f>
        <v>máy</v>
      </c>
      <c r="H1975" s="525">
        <f>'BKTL Tram'!G29</f>
        <v>2</v>
      </c>
      <c r="I1975" s="525"/>
      <c r="J1975" s="525"/>
      <c r="K1975" s="525">
        <f>VLOOKUP(B1975,DONGIA,DG!$F$6,0)</f>
        <v>1056006</v>
      </c>
      <c r="L1975" s="525">
        <f>VLOOKUP(B1975,DONGIA,DG!$G$6,0)</f>
        <v>360605</v>
      </c>
      <c r="M1975" s="525">
        <f t="shared" si="515"/>
        <v>0</v>
      </c>
      <c r="N1975" s="525">
        <f t="shared" si="515"/>
        <v>0</v>
      </c>
      <c r="O1975" s="525">
        <f t="shared" si="515"/>
        <v>2112012</v>
      </c>
      <c r="P1975" s="525">
        <f t="shared" si="515"/>
        <v>721210</v>
      </c>
      <c r="Q1975" s="525"/>
      <c r="S1975" s="405">
        <f>IFERROR(VLOOKUP(B1975,DONGIA,$S$25,0),0)</f>
        <v>565</v>
      </c>
      <c r="T1975" s="405">
        <f>H1975*S1975</f>
        <v>1130</v>
      </c>
    </row>
    <row r="1976" spans="1:20" s="405" customFormat="1">
      <c r="A1976" s="405" t="s">
        <v>477</v>
      </c>
      <c r="B1976" s="405" t="s">
        <v>1444</v>
      </c>
      <c r="C1976" s="418">
        <f t="shared" si="509"/>
        <v>1</v>
      </c>
      <c r="D1976" s="523"/>
      <c r="E1976" s="523" t="str">
        <f>VLOOKUP(B1976,DONGIA,DG!$B$6,0)</f>
        <v>T2.3505</v>
      </c>
      <c r="F1976" s="666" t="str">
        <f>VLOOKUP(B1976,DONGIA,DG!$C$6,0)&amp;" (SDL)"</f>
        <v>FCO 27kV - 100A (SDL)</v>
      </c>
      <c r="G1976" s="523" t="str">
        <f>VLOOKUP(B1976,DONGIA,DG!$D$6,0)</f>
        <v>cái</v>
      </c>
      <c r="H1976" s="525">
        <f>DTR1P</f>
        <v>2</v>
      </c>
      <c r="I1976" s="525"/>
      <c r="J1976" s="525"/>
      <c r="K1976" s="525">
        <f>VLOOKUP(B1976,DONGIA,DG!$F$6,0)</f>
        <v>189552</v>
      </c>
      <c r="L1976" s="525">
        <f>VLOOKUP(B1976,DONGIA,DG!$G$6,0)</f>
        <v>0</v>
      </c>
      <c r="M1976" s="525">
        <f t="shared" si="510"/>
        <v>0</v>
      </c>
      <c r="N1976" s="525">
        <f t="shared" si="511"/>
        <v>0</v>
      </c>
      <c r="O1976" s="525">
        <f t="shared" si="512"/>
        <v>379104</v>
      </c>
      <c r="P1976" s="525">
        <f t="shared" si="513"/>
        <v>0</v>
      </c>
      <c r="Q1976" s="525"/>
      <c r="S1976" s="405">
        <f t="shared" si="508"/>
        <v>1.5</v>
      </c>
      <c r="T1976" s="405">
        <f t="shared" si="514"/>
        <v>3</v>
      </c>
    </row>
    <row r="1977" spans="1:20" s="405" customFormat="1">
      <c r="A1977" s="405" t="s">
        <v>477</v>
      </c>
      <c r="B1977" s="405" t="s">
        <v>943</v>
      </c>
      <c r="C1977" s="418">
        <f t="shared" si="509"/>
        <v>1</v>
      </c>
      <c r="D1977" s="523"/>
      <c r="E1977" s="523" t="str">
        <f>VLOOKUP(B1977,DONGIA,DG!$B$6,0)</f>
        <v>T2.5004</v>
      </c>
      <c r="F1977" s="666" t="str">
        <f>VLOOKUP(B1977,DONGIA,DG!$C$6,0)&amp;" (SDL)"</f>
        <v>LA 18kV 10kA (SDL)</v>
      </c>
      <c r="G1977" s="523" t="str">
        <f>VLOOKUP(B1977,DONGIA,DG!$D$6,0)</f>
        <v>cái</v>
      </c>
      <c r="H1977" s="525">
        <f>DTR1P</f>
        <v>2</v>
      </c>
      <c r="I1977" s="525"/>
      <c r="J1977" s="525"/>
      <c r="K1977" s="525">
        <f>VLOOKUP(B1977,DONGIA,DG!$F$6,0)</f>
        <v>71082</v>
      </c>
      <c r="L1977" s="525">
        <f>VLOOKUP(B1977,DONGIA,DG!$G$6,0)</f>
        <v>0</v>
      </c>
      <c r="M1977" s="525">
        <f t="shared" si="510"/>
        <v>0</v>
      </c>
      <c r="N1977" s="525">
        <f t="shared" si="511"/>
        <v>0</v>
      </c>
      <c r="O1977" s="525">
        <f t="shared" si="512"/>
        <v>142164</v>
      </c>
      <c r="P1977" s="525">
        <f t="shared" si="513"/>
        <v>0</v>
      </c>
      <c r="Q1977" s="525"/>
      <c r="S1977" s="405">
        <f t="shared" si="508"/>
        <v>0.8</v>
      </c>
      <c r="T1977" s="405">
        <f t="shared" si="514"/>
        <v>1.6</v>
      </c>
    </row>
    <row r="1978" spans="1:20" s="405" customFormat="1" hidden="1">
      <c r="A1978" s="405" t="s">
        <v>477</v>
      </c>
      <c r="B1978" s="405" t="s">
        <v>996</v>
      </c>
      <c r="C1978" s="418">
        <f t="shared" si="509"/>
        <v>0</v>
      </c>
      <c r="D1978" s="523"/>
      <c r="E1978" s="523" t="str">
        <f>VLOOKUP(B1978,DONGIA,DG!$B$6,0)</f>
        <v>T2.8404</v>
      </c>
      <c r="F1978" s="525" t="str">
        <f>VLOOKUP(B1978,DONGIA,DG!$C$6,0)</f>
        <v>MCCB 3 cực 600V - 250A - 35KA (160-250A)</v>
      </c>
      <c r="G1978" s="523" t="str">
        <f>VLOOKUP(B1978,DONGIA,DG!$D$6,0)</f>
        <v>cái</v>
      </c>
      <c r="H1978" s="525"/>
      <c r="I1978" s="525">
        <f>VLOOKUP(B1978,DONGIA,DG!$E$6,0)</f>
        <v>1440000</v>
      </c>
      <c r="J1978" s="525"/>
      <c r="K1978" s="525">
        <f>VLOOKUP(B1978,DONGIA,DG!$F$6,0)*0</f>
        <v>0</v>
      </c>
      <c r="L1978" s="525">
        <f>VLOOKUP(B1978,DONGIA,DG!$G$6,0)</f>
        <v>0</v>
      </c>
      <c r="M1978" s="525">
        <f t="shared" si="510"/>
        <v>0</v>
      </c>
      <c r="N1978" s="525">
        <f t="shared" si="511"/>
        <v>0</v>
      </c>
      <c r="O1978" s="525">
        <f t="shared" si="512"/>
        <v>0</v>
      </c>
      <c r="P1978" s="525">
        <f t="shared" si="513"/>
        <v>0</v>
      </c>
      <c r="Q1978" s="525"/>
      <c r="S1978" s="405">
        <f t="shared" si="508"/>
        <v>2</v>
      </c>
      <c r="T1978" s="405">
        <f t="shared" si="514"/>
        <v>0</v>
      </c>
    </row>
    <row r="1979" spans="1:20" s="405" customFormat="1" hidden="1">
      <c r="A1979" s="405" t="s">
        <v>477</v>
      </c>
      <c r="B1979" s="405" t="s">
        <v>954</v>
      </c>
      <c r="C1979" s="418">
        <f t="shared" si="509"/>
        <v>0</v>
      </c>
      <c r="D1979" s="523"/>
      <c r="E1979" s="523">
        <f>VLOOKUP(B1979,DONGIA,DG!$B$6,0)</f>
        <v>0</v>
      </c>
      <c r="F1979" s="525" t="str">
        <f>VLOOKUP(B1979,DONGIA,DG!$C$6,0)</f>
        <v>Biến dòng 600V - 250/5A</v>
      </c>
      <c r="G1979" s="523" t="str">
        <f>VLOOKUP(B1979,DONGIA,DG!$D$6,0)</f>
        <v>cái</v>
      </c>
      <c r="H1979" s="525"/>
      <c r="I1979" s="525">
        <f>VLOOKUP(B1979,DONGIA,DG!$E$6,0)</f>
        <v>0</v>
      </c>
      <c r="J1979" s="525"/>
      <c r="K1979" s="525">
        <f>VLOOKUP(B1979,DONGIA,DG!$F$6,0)</f>
        <v>0</v>
      </c>
      <c r="L1979" s="525">
        <f>VLOOKUP(B1979,DONGIA,DG!$G$6,0)</f>
        <v>0</v>
      </c>
      <c r="M1979" s="525">
        <f t="shared" si="510"/>
        <v>0</v>
      </c>
      <c r="N1979" s="525">
        <f t="shared" si="511"/>
        <v>0</v>
      </c>
      <c r="O1979" s="525">
        <f t="shared" si="512"/>
        <v>0</v>
      </c>
      <c r="P1979" s="525">
        <f t="shared" si="513"/>
        <v>0</v>
      </c>
      <c r="Q1979" s="525"/>
      <c r="S1979" s="405">
        <f t="shared" si="508"/>
        <v>1</v>
      </c>
      <c r="T1979" s="405">
        <f t="shared" si="514"/>
        <v>0</v>
      </c>
    </row>
    <row r="1980" spans="1:20" s="405" customFormat="1" hidden="1">
      <c r="A1980" s="405" t="s">
        <v>477</v>
      </c>
      <c r="B1980" s="405" t="s">
        <v>1046</v>
      </c>
      <c r="C1980" s="418">
        <f t="shared" si="509"/>
        <v>0</v>
      </c>
      <c r="D1980" s="523"/>
      <c r="E1980" s="523">
        <f>VLOOKUP(B1980,DONGIA,DG!$B$6,0)</f>
        <v>0</v>
      </c>
      <c r="F1980" s="525" t="str">
        <f>VLOOKUP(B1980,DONGIA,DG!$C$6,0)</f>
        <v>Điện kế 3 pha 4 dây 220/380V-5A</v>
      </c>
      <c r="G1980" s="523" t="str">
        <f>VLOOKUP(B1980,DONGIA,DG!$D$6,0)</f>
        <v>cái</v>
      </c>
      <c r="H1980" s="525"/>
      <c r="I1980" s="525">
        <f>VLOOKUP(B1980,DONGIA,DG!$E$6,0)</f>
        <v>0</v>
      </c>
      <c r="J1980" s="525"/>
      <c r="K1980" s="525">
        <f>VLOOKUP(B1980,DONGIA,DG!$F$6,0)</f>
        <v>0</v>
      </c>
      <c r="L1980" s="525">
        <f>VLOOKUP(B1980,DONGIA,DG!$G$6,0)</f>
        <v>0</v>
      </c>
      <c r="M1980" s="525">
        <f t="shared" si="510"/>
        <v>0</v>
      </c>
      <c r="N1980" s="525">
        <f t="shared" si="511"/>
        <v>0</v>
      </c>
      <c r="O1980" s="525">
        <f t="shared" si="512"/>
        <v>0</v>
      </c>
      <c r="P1980" s="525">
        <f t="shared" si="513"/>
        <v>0</v>
      </c>
      <c r="Q1980" s="525"/>
      <c r="S1980" s="405">
        <f t="shared" si="508"/>
        <v>1.5</v>
      </c>
      <c r="T1980" s="405">
        <f t="shared" si="514"/>
        <v>0</v>
      </c>
    </row>
    <row r="1981" spans="1:20" s="405" customFormat="1">
      <c r="A1981" s="405" t="str">
        <f>"VL"&amp;A1969</f>
        <v>VLDTR1P</v>
      </c>
      <c r="C1981" s="418">
        <f>IF(SUM(C1982:C2121)&lt;&gt;0,1,)</f>
        <v>1</v>
      </c>
      <c r="D1981" s="538"/>
      <c r="E1981" s="538"/>
      <c r="F1981" s="785" t="s">
        <v>1901</v>
      </c>
      <c r="G1981" s="538"/>
      <c r="H1981" s="539"/>
      <c r="I1981" s="539"/>
      <c r="J1981" s="539"/>
      <c r="K1981" s="539"/>
      <c r="L1981" s="539"/>
      <c r="M1981" s="539">
        <f>SUM(M1982:M2121)</f>
        <v>25500859.960000001</v>
      </c>
      <c r="N1981" s="539">
        <f>SUM(N1982:N2121)</f>
        <v>0</v>
      </c>
      <c r="O1981" s="539">
        <f>SUM(O1982:O2121)</f>
        <v>9640921.6999999993</v>
      </c>
      <c r="P1981" s="539">
        <f>SUM(P1982:P2121)</f>
        <v>301076.59999999998</v>
      </c>
      <c r="Q1981" s="539"/>
      <c r="S1981" s="405">
        <f t="shared" si="508"/>
        <v>0</v>
      </c>
      <c r="T1981" s="439">
        <f>SUM(T1982:T2121)</f>
        <v>472.75999999999988</v>
      </c>
    </row>
    <row r="1982" spans="1:20" s="405" customFormat="1">
      <c r="C1982" s="418">
        <f t="shared" ref="C1982:C2076" si="516">IF(H1982&lt;&gt;0,1,)</f>
        <v>1</v>
      </c>
      <c r="D1982" s="540">
        <f>IF(H1982&lt;&gt;0,1,)</f>
        <v>1</v>
      </c>
      <c r="E1982" s="540"/>
      <c r="F1982" s="781" t="s">
        <v>1931</v>
      </c>
      <c r="G1982" s="540" t="s">
        <v>138</v>
      </c>
      <c r="H1982" s="540">
        <f>DTR1P</f>
        <v>2</v>
      </c>
      <c r="I1982" s="541"/>
      <c r="J1982" s="541"/>
      <c r="K1982" s="541"/>
      <c r="L1982" s="541"/>
      <c r="M1982" s="541"/>
      <c r="N1982" s="541"/>
      <c r="O1982" s="541"/>
      <c r="P1982" s="541"/>
      <c r="Q1982" s="541"/>
      <c r="S1982" s="405">
        <f t="shared" si="508"/>
        <v>0</v>
      </c>
      <c r="T1982" s="405">
        <f t="shared" ref="T1982:T2076" si="517">H1982*S1982</f>
        <v>0</v>
      </c>
    </row>
    <row r="1983" spans="1:20" s="405" customFormat="1" hidden="1">
      <c r="A1983" s="405" t="s">
        <v>477</v>
      </c>
      <c r="B1983" s="405" t="s">
        <v>1010</v>
      </c>
      <c r="C1983" s="418">
        <f t="shared" si="516"/>
        <v>0</v>
      </c>
      <c r="D1983" s="523"/>
      <c r="E1983" s="523">
        <f>VLOOKUP(B1983,DONGIA,DG!$B$6,0)</f>
        <v>0</v>
      </c>
      <c r="F1983" s="525" t="str">
        <f>VLOOKUP(B1983,DONGIA,DG!$C$6,0)</f>
        <v>Dây chảy 6K</v>
      </c>
      <c r="G1983" s="523" t="str">
        <f>VLOOKUP(B1983,DONGIA,DG!$D$6,0)</f>
        <v>Sợi</v>
      </c>
      <c r="H1983" s="525">
        <f>H1982*3*0</f>
        <v>0</v>
      </c>
      <c r="I1983" s="525">
        <f>VLOOKUP(B1983,DONGIA,DG!$E$6,0)</f>
        <v>47000</v>
      </c>
      <c r="J1983" s="525"/>
      <c r="K1983" s="525">
        <f>VLOOKUP(B1983,DONGIA,DG!$F$6,0)</f>
        <v>0</v>
      </c>
      <c r="L1983" s="525">
        <f>VLOOKUP(B1983,DONGIA,DG!$G$6,0)</f>
        <v>0</v>
      </c>
      <c r="M1983" s="525">
        <f t="shared" ref="M1983:P1987" si="518">$H1983*I1983</f>
        <v>0</v>
      </c>
      <c r="N1983" s="525">
        <f t="shared" si="518"/>
        <v>0</v>
      </c>
      <c r="O1983" s="525">
        <f t="shared" si="518"/>
        <v>0</v>
      </c>
      <c r="P1983" s="525">
        <f t="shared" si="518"/>
        <v>0</v>
      </c>
      <c r="Q1983" s="525"/>
      <c r="S1983" s="405">
        <f t="shared" si="508"/>
        <v>0</v>
      </c>
      <c r="T1983" s="405">
        <f t="shared" si="517"/>
        <v>0</v>
      </c>
    </row>
    <row r="1984" spans="1:20" s="405" customFormat="1" hidden="1">
      <c r="A1984" s="405" t="s">
        <v>477</v>
      </c>
      <c r="B1984" s="405" t="s">
        <v>131</v>
      </c>
      <c r="C1984" s="418">
        <f t="shared" si="516"/>
        <v>0</v>
      </c>
      <c r="D1984" s="523"/>
      <c r="E1984" s="523">
        <f>VLOOKUP(B1984,DONGIA,DG!$B$6,0)</f>
        <v>0</v>
      </c>
      <c r="F1984" s="525" t="str">
        <f>VLOOKUP(B1984,DONGIA,DG!$C$6,0)</f>
        <v>Chụp đầu FCO (Trên + Dưới)</v>
      </c>
      <c r="G1984" s="523" t="str">
        <f>VLOOKUP(B1984,DONGIA,DG!$D$6,0)</f>
        <v>bộ</v>
      </c>
      <c r="H1984" s="525"/>
      <c r="I1984" s="525">
        <f>VLOOKUP(B1984,DONGIA,DG!$E$6,0)</f>
        <v>190000</v>
      </c>
      <c r="J1984" s="525"/>
      <c r="K1984" s="525">
        <f>VLOOKUP(B1984,DONGIA,DG!$F$6,0)</f>
        <v>0</v>
      </c>
      <c r="L1984" s="525">
        <f>VLOOKUP(B1984,DONGIA,DG!$G$6,0)</f>
        <v>0</v>
      </c>
      <c r="M1984" s="525">
        <f t="shared" si="518"/>
        <v>0</v>
      </c>
      <c r="N1984" s="525">
        <f t="shared" si="518"/>
        <v>0</v>
      </c>
      <c r="O1984" s="525">
        <f t="shared" si="518"/>
        <v>0</v>
      </c>
      <c r="P1984" s="525">
        <f t="shared" si="518"/>
        <v>0</v>
      </c>
      <c r="Q1984" s="525"/>
      <c r="S1984" s="405">
        <f t="shared" si="508"/>
        <v>0</v>
      </c>
      <c r="T1984" s="405">
        <f t="shared" si="517"/>
        <v>0</v>
      </c>
    </row>
    <row r="1985" spans="1:20" s="405" customFormat="1" hidden="1">
      <c r="A1985" s="405" t="s">
        <v>477</v>
      </c>
      <c r="B1985" s="405" t="s">
        <v>133</v>
      </c>
      <c r="C1985" s="418">
        <f t="shared" si="516"/>
        <v>0</v>
      </c>
      <c r="D1985" s="523"/>
      <c r="E1985" s="523">
        <f>VLOOKUP(B1985,DONGIA,DG!$B$6,0)</f>
        <v>0</v>
      </c>
      <c r="F1985" s="525" t="str">
        <f>VLOOKUP(B1985,DONGIA,DG!$C$6,0)</f>
        <v>Chụp đầu LA</v>
      </c>
      <c r="G1985" s="523" t="str">
        <f>VLOOKUP(B1985,DONGIA,DG!$D$6,0)</f>
        <v>cái</v>
      </c>
      <c r="H1985" s="525"/>
      <c r="I1985" s="525">
        <f>VLOOKUP(B1985,DONGIA,DG!$E$6,0)</f>
        <v>32000</v>
      </c>
      <c r="J1985" s="525"/>
      <c r="K1985" s="525">
        <f>VLOOKUP(B1985,DONGIA,DG!$F$6,0)</f>
        <v>0</v>
      </c>
      <c r="L1985" s="525">
        <f>VLOOKUP(B1985,DONGIA,DG!$G$6,0)</f>
        <v>0</v>
      </c>
      <c r="M1985" s="525">
        <f t="shared" si="518"/>
        <v>0</v>
      </c>
      <c r="N1985" s="525">
        <f t="shared" si="518"/>
        <v>0</v>
      </c>
      <c r="O1985" s="525">
        <f t="shared" si="518"/>
        <v>0</v>
      </c>
      <c r="P1985" s="525">
        <f t="shared" si="518"/>
        <v>0</v>
      </c>
      <c r="Q1985" s="525"/>
      <c r="S1985" s="405">
        <f t="shared" si="508"/>
        <v>0</v>
      </c>
      <c r="T1985" s="405">
        <f t="shared" si="517"/>
        <v>0</v>
      </c>
    </row>
    <row r="1986" spans="1:20" s="405" customFormat="1" hidden="1">
      <c r="A1986" s="405" t="s">
        <v>477</v>
      </c>
      <c r="B1986" s="405" t="s">
        <v>135</v>
      </c>
      <c r="C1986" s="418">
        <f t="shared" si="516"/>
        <v>0</v>
      </c>
      <c r="D1986" s="523"/>
      <c r="E1986" s="523">
        <f>VLOOKUP(B1986,DONGIA,DG!$B$6,0)</f>
        <v>0</v>
      </c>
      <c r="F1986" s="525" t="str">
        <f>VLOOKUP(B1986,DONGIA,DG!$C$6,0)</f>
        <v>Chụp đầu cực MBA</v>
      </c>
      <c r="G1986" s="523" t="str">
        <f>VLOOKUP(B1986,DONGIA,DG!$D$6,0)</f>
        <v>cái</v>
      </c>
      <c r="H1986" s="525"/>
      <c r="I1986" s="525">
        <f>VLOOKUP(B1986,DONGIA,DG!$E$6,0)</f>
        <v>52000</v>
      </c>
      <c r="J1986" s="525"/>
      <c r="K1986" s="525">
        <f>VLOOKUP(B1986,DONGIA,DG!$F$6,0)</f>
        <v>0</v>
      </c>
      <c r="L1986" s="525">
        <f>VLOOKUP(B1986,DONGIA,DG!$G$6,0)</f>
        <v>0</v>
      </c>
      <c r="M1986" s="525">
        <f t="shared" si="518"/>
        <v>0</v>
      </c>
      <c r="N1986" s="525">
        <f t="shared" si="518"/>
        <v>0</v>
      </c>
      <c r="O1986" s="525">
        <f t="shared" si="518"/>
        <v>0</v>
      </c>
      <c r="P1986" s="525">
        <f t="shared" si="518"/>
        <v>0</v>
      </c>
      <c r="Q1986" s="525"/>
      <c r="S1986" s="405">
        <f t="shared" si="508"/>
        <v>0</v>
      </c>
      <c r="T1986" s="405">
        <f t="shared" si="517"/>
        <v>0</v>
      </c>
    </row>
    <row r="1987" spans="1:20" s="405" customFormat="1">
      <c r="A1987" s="405" t="s">
        <v>477</v>
      </c>
      <c r="B1987" s="405" t="s">
        <v>37</v>
      </c>
      <c r="C1987" s="418">
        <f>IF(H1987&lt;&gt;0,1,)</f>
        <v>1</v>
      </c>
      <c r="D1987" s="523"/>
      <c r="E1987" s="523">
        <f>VLOOKUP(B1987,DONGIA,DG!$B$6,0)</f>
        <v>0</v>
      </c>
      <c r="F1987" s="666" t="str">
        <f>VLOOKUP(B1987,DONGIA,DG!$C$6,0)</f>
        <v>Boulon 16x350+ 2 long đền vuông D18-50x50x3/Zn</v>
      </c>
      <c r="G1987" s="523" t="str">
        <f>VLOOKUP(B1987,DONGIA,DG!$D$6,0)</f>
        <v>bộ</v>
      </c>
      <c r="H1987" s="525">
        <f>SUM(H1971:H1975)*2</f>
        <v>8</v>
      </c>
      <c r="I1987" s="525">
        <f>VLOOKUP(B1987,DONGIA,DG!$E$6,0)</f>
        <v>32000</v>
      </c>
      <c r="J1987" s="525"/>
      <c r="K1987" s="525">
        <f>VLOOKUP(B1987,DONGIA,DG!$F$6,0)</f>
        <v>0</v>
      </c>
      <c r="L1987" s="525">
        <f>VLOOKUP(B1987,DONGIA,DG!$G$6,0)</f>
        <v>0</v>
      </c>
      <c r="M1987" s="525">
        <f t="shared" si="518"/>
        <v>256000</v>
      </c>
      <c r="N1987" s="525">
        <f t="shared" si="518"/>
        <v>0</v>
      </c>
      <c r="O1987" s="525">
        <f t="shared" si="518"/>
        <v>0</v>
      </c>
      <c r="P1987" s="525">
        <f t="shared" si="518"/>
        <v>0</v>
      </c>
      <c r="Q1987" s="525"/>
      <c r="S1987" s="405">
        <f>IFERROR(VLOOKUP(B1987,DONGIA,$S$25,0),0)</f>
        <v>0.3</v>
      </c>
      <c r="T1987" s="405">
        <f>H1987*S1987</f>
        <v>2.4</v>
      </c>
    </row>
    <row r="1988" spans="1:20" s="405" customFormat="1">
      <c r="A1988" s="405" t="s">
        <v>477</v>
      </c>
      <c r="C1988" s="418">
        <f t="shared" si="516"/>
        <v>1</v>
      </c>
      <c r="D1988" s="540">
        <f>IF(H1988&lt;&gt;0,D1982+1,D1982)</f>
        <v>2</v>
      </c>
      <c r="E1988" s="540"/>
      <c r="F1988" s="781" t="s">
        <v>1932</v>
      </c>
      <c r="G1988" s="540" t="s">
        <v>138</v>
      </c>
      <c r="H1988" s="532">
        <v>1</v>
      </c>
      <c r="I1988" s="541"/>
      <c r="J1988" s="541"/>
      <c r="K1988" s="541"/>
      <c r="L1988" s="541"/>
      <c r="M1988" s="541"/>
      <c r="N1988" s="541"/>
      <c r="O1988" s="541"/>
      <c r="P1988" s="541"/>
      <c r="Q1988" s="541" t="s">
        <v>3905</v>
      </c>
      <c r="S1988" s="405">
        <f t="shared" si="508"/>
        <v>0</v>
      </c>
      <c r="T1988" s="405">
        <f t="shared" si="517"/>
        <v>0</v>
      </c>
    </row>
    <row r="1989" spans="1:20" s="542" customFormat="1" hidden="1">
      <c r="A1989" s="542" t="s">
        <v>477</v>
      </c>
      <c r="C1989" s="543">
        <f t="shared" si="516"/>
        <v>0</v>
      </c>
      <c r="D1989" s="544"/>
      <c r="E1989" s="544"/>
      <c r="F1989" s="545" t="s">
        <v>1902</v>
      </c>
      <c r="G1989" s="544"/>
      <c r="H1989" s="537"/>
      <c r="I1989" s="545"/>
      <c r="J1989" s="545"/>
      <c r="K1989" s="545"/>
      <c r="L1989" s="545"/>
      <c r="M1989" s="545"/>
      <c r="N1989" s="545"/>
      <c r="O1989" s="545"/>
      <c r="P1989" s="545"/>
      <c r="Q1989" s="545"/>
      <c r="S1989" s="542">
        <f t="shared" si="508"/>
        <v>0</v>
      </c>
      <c r="T1989" s="542">
        <f t="shared" si="517"/>
        <v>0</v>
      </c>
    </row>
    <row r="1990" spans="1:20" s="405" customFormat="1">
      <c r="A1990" s="405" t="s">
        <v>477</v>
      </c>
      <c r="B1990" s="405" t="s">
        <v>15</v>
      </c>
      <c r="C1990" s="418">
        <f t="shared" si="516"/>
        <v>1</v>
      </c>
      <c r="D1990" s="523"/>
      <c r="E1990" s="523">
        <f>VLOOKUP(B1990,DONGIA,DG!$B$6,0)</f>
        <v>0</v>
      </c>
      <c r="F1990" s="666" t="str">
        <f>VLOOKUP(B1990,DONGIA,DG!$C$6,0)</f>
        <v>Đà hộp composite 110x80x5-800</v>
      </c>
      <c r="G1990" s="523" t="str">
        <f>VLOOKUP(B1990,DONGIA,DG!$D$6,0)</f>
        <v>cái</v>
      </c>
      <c r="H1990" s="362">
        <f>H1988</f>
        <v>1</v>
      </c>
      <c r="I1990" s="525">
        <f>VLOOKUP(B1990,DONGIA,DG!$E$6,0)</f>
        <v>541200</v>
      </c>
      <c r="J1990" s="525"/>
      <c r="K1990" s="525">
        <f>VLOOKUP(B1990,DONGIA,DG!$F$6,0)</f>
        <v>0</v>
      </c>
      <c r="L1990" s="525">
        <f>VLOOKUP(B1990,DONGIA,DG!$G$6,0)</f>
        <v>0</v>
      </c>
      <c r="M1990" s="525">
        <f t="shared" ref="M1990:M1996" si="519">$H1990*I1990</f>
        <v>541200</v>
      </c>
      <c r="N1990" s="525">
        <f t="shared" ref="N1990:N1996" si="520">$H1990*J1990</f>
        <v>0</v>
      </c>
      <c r="O1990" s="525">
        <f t="shared" ref="O1990:O1996" si="521">$H1990*K1990</f>
        <v>0</v>
      </c>
      <c r="P1990" s="525">
        <f t="shared" ref="P1990:P1996" si="522">$H1990*L1990</f>
        <v>0</v>
      </c>
      <c r="Q1990" s="525" t="s">
        <v>3906</v>
      </c>
      <c r="S1990" s="405">
        <f t="shared" si="508"/>
        <v>3.2</v>
      </c>
      <c r="T1990" s="405">
        <f t="shared" si="517"/>
        <v>3.2</v>
      </c>
    </row>
    <row r="1991" spans="1:20" s="405" customFormat="1">
      <c r="A1991" s="405" t="s">
        <v>477</v>
      </c>
      <c r="B1991" s="405" t="s">
        <v>17</v>
      </c>
      <c r="C1991" s="418">
        <f t="shared" si="516"/>
        <v>1</v>
      </c>
      <c r="D1991" s="523"/>
      <c r="E1991" s="523">
        <f>VLOOKUP(B1991,DONGIA,DG!$B$6,0)</f>
        <v>0</v>
      </c>
      <c r="F1991" s="666" t="str">
        <f>VLOOKUP(B1991,DONGIA,DG!$C$6,0)</f>
        <v>Thanh chống 10x40x710</v>
      </c>
      <c r="G1991" s="523" t="str">
        <f>VLOOKUP(B1991,DONGIA,DG!$D$6,0)</f>
        <v>cái</v>
      </c>
      <c r="H1991" s="362">
        <f>H1990</f>
        <v>1</v>
      </c>
      <c r="I1991" s="525">
        <f>VLOOKUP(B1991,DONGIA,DG!$E$6,0)</f>
        <v>79800</v>
      </c>
      <c r="J1991" s="525"/>
      <c r="K1991" s="525">
        <f>VLOOKUP(B1991,DONGIA,DG!$F$6,0)</f>
        <v>0</v>
      </c>
      <c r="L1991" s="525">
        <f>VLOOKUP(B1991,DONGIA,DG!$G$6,0)</f>
        <v>0</v>
      </c>
      <c r="M1991" s="525">
        <f t="shared" si="519"/>
        <v>79800</v>
      </c>
      <c r="N1991" s="525">
        <f t="shared" si="520"/>
        <v>0</v>
      </c>
      <c r="O1991" s="525">
        <f t="shared" si="521"/>
        <v>0</v>
      </c>
      <c r="P1991" s="525">
        <f t="shared" si="522"/>
        <v>0</v>
      </c>
      <c r="Q1991" s="525" t="s">
        <v>3906</v>
      </c>
      <c r="S1991" s="405">
        <f t="shared" si="508"/>
        <v>0.5</v>
      </c>
      <c r="T1991" s="405">
        <f t="shared" si="517"/>
        <v>0.5</v>
      </c>
    </row>
    <row r="1992" spans="1:20" s="405" customFormat="1">
      <c r="A1992" s="405" t="s">
        <v>477</v>
      </c>
      <c r="B1992" s="405" t="s">
        <v>139</v>
      </c>
      <c r="C1992" s="418">
        <f t="shared" si="516"/>
        <v>1</v>
      </c>
      <c r="D1992" s="523"/>
      <c r="E1992" s="523">
        <f>VLOOKUP(B1992,DONGIA,DG!$B$6,0)</f>
        <v>0</v>
      </c>
      <c r="F1992" s="666" t="str">
        <f>VLOOKUP(B1992,DONGIA,DG!$C$6,0)</f>
        <v>Bass LL bắt FCO và LA</v>
      </c>
      <c r="G1992" s="523" t="str">
        <f>VLOOKUP(B1992,DONGIA,DG!$D$6,0)</f>
        <v>bộ</v>
      </c>
      <c r="H1992" s="362">
        <f>H1988</f>
        <v>1</v>
      </c>
      <c r="I1992" s="525">
        <f>VLOOKUP(B1992,DONGIA,DG!$E$6,0)</f>
        <v>56000</v>
      </c>
      <c r="J1992" s="525"/>
      <c r="K1992" s="525">
        <f>VLOOKUP(B1992,DONGIA,DG!$F$6,0)</f>
        <v>0</v>
      </c>
      <c r="L1992" s="525">
        <f>VLOOKUP(B1992,DONGIA,DG!$G$6,0)</f>
        <v>0</v>
      </c>
      <c r="M1992" s="525">
        <f t="shared" si="519"/>
        <v>56000</v>
      </c>
      <c r="N1992" s="525">
        <f t="shared" si="520"/>
        <v>0</v>
      </c>
      <c r="O1992" s="525">
        <f t="shared" si="521"/>
        <v>0</v>
      </c>
      <c r="P1992" s="525">
        <f t="shared" si="522"/>
        <v>0</v>
      </c>
      <c r="Q1992" s="525"/>
      <c r="S1992" s="405">
        <f t="shared" si="508"/>
        <v>0.5</v>
      </c>
      <c r="T1992" s="405">
        <f t="shared" si="517"/>
        <v>0.5</v>
      </c>
    </row>
    <row r="1993" spans="1:20" s="405" customFormat="1">
      <c r="A1993" s="405" t="s">
        <v>477</v>
      </c>
      <c r="B1993" s="405" t="s">
        <v>37</v>
      </c>
      <c r="C1993" s="418">
        <f t="shared" si="516"/>
        <v>1</v>
      </c>
      <c r="D1993" s="523"/>
      <c r="E1993" s="523">
        <f>VLOOKUP(B1993,DONGIA,DG!$B$6,0)</f>
        <v>0</v>
      </c>
      <c r="F1993" s="666" t="str">
        <f>VLOOKUP(B1993,DONGIA,DG!$C$6,0)</f>
        <v>Boulon 16x350+ 2 long đền vuông D18-50x50x3/Zn</v>
      </c>
      <c r="G1993" s="523" t="str">
        <f>VLOOKUP(B1993,DONGIA,DG!$D$6,0)</f>
        <v>bộ</v>
      </c>
      <c r="H1993" s="362">
        <f>H1988</f>
        <v>1</v>
      </c>
      <c r="I1993" s="525">
        <f>VLOOKUP(B1993,DONGIA,DG!$E$6,0)</f>
        <v>32000</v>
      </c>
      <c r="J1993" s="525"/>
      <c r="K1993" s="525">
        <f>VLOOKUP(B1993,DONGIA,DG!$F$6,0)</f>
        <v>0</v>
      </c>
      <c r="L1993" s="525">
        <f>VLOOKUP(B1993,DONGIA,DG!$G$6,0)</f>
        <v>0</v>
      </c>
      <c r="M1993" s="525">
        <f t="shared" si="519"/>
        <v>32000</v>
      </c>
      <c r="N1993" s="525">
        <f t="shared" si="520"/>
        <v>0</v>
      </c>
      <c r="O1993" s="525">
        <f t="shared" si="521"/>
        <v>0</v>
      </c>
      <c r="P1993" s="525">
        <f t="shared" si="522"/>
        <v>0</v>
      </c>
      <c r="Q1993" s="525"/>
      <c r="S1993" s="405">
        <f t="shared" si="508"/>
        <v>0.3</v>
      </c>
      <c r="T1993" s="405">
        <f t="shared" si="517"/>
        <v>0.3</v>
      </c>
    </row>
    <row r="1994" spans="1:20" s="405" customFormat="1">
      <c r="A1994" s="405" t="s">
        <v>477</v>
      </c>
      <c r="B1994" s="405" t="s">
        <v>35</v>
      </c>
      <c r="C1994" s="418">
        <f t="shared" si="516"/>
        <v>1</v>
      </c>
      <c r="D1994" s="523"/>
      <c r="E1994" s="523">
        <f>VLOOKUP(B1994,DONGIA,DG!$B$6,0)</f>
        <v>0</v>
      </c>
      <c r="F1994" s="666" t="str">
        <f>VLOOKUP(B1994,DONGIA,DG!$C$6,0)</f>
        <v>Boulon 16x300+ 2 long đền vuông D18-50x50x3/Zn</v>
      </c>
      <c r="G1994" s="523" t="str">
        <f>VLOOKUP(B1994,DONGIA,DG!$D$6,0)</f>
        <v>bộ</v>
      </c>
      <c r="H1994" s="362">
        <f>H1988</f>
        <v>1</v>
      </c>
      <c r="I1994" s="525">
        <f>VLOOKUP(B1994,DONGIA,DG!$E$6,0)</f>
        <v>30000</v>
      </c>
      <c r="J1994" s="525"/>
      <c r="K1994" s="525">
        <f>VLOOKUP(B1994,DONGIA,DG!$F$6,0)</f>
        <v>0</v>
      </c>
      <c r="L1994" s="525">
        <f>VLOOKUP(B1994,DONGIA,DG!$G$6,0)</f>
        <v>0</v>
      </c>
      <c r="M1994" s="525">
        <f t="shared" si="519"/>
        <v>30000</v>
      </c>
      <c r="N1994" s="525">
        <f t="shared" si="520"/>
        <v>0</v>
      </c>
      <c r="O1994" s="525">
        <f t="shared" si="521"/>
        <v>0</v>
      </c>
      <c r="P1994" s="525">
        <f t="shared" si="522"/>
        <v>0</v>
      </c>
      <c r="Q1994" s="525"/>
      <c r="S1994" s="405">
        <f t="shared" si="508"/>
        <v>0.25</v>
      </c>
      <c r="T1994" s="405">
        <f t="shared" si="517"/>
        <v>0.25</v>
      </c>
    </row>
    <row r="1995" spans="1:20" s="405" customFormat="1">
      <c r="A1995" s="405" t="s">
        <v>477</v>
      </c>
      <c r="B1995" s="405" t="s">
        <v>3053</v>
      </c>
      <c r="C1995" s="418">
        <f t="shared" si="516"/>
        <v>1</v>
      </c>
      <c r="D1995" s="523"/>
      <c r="E1995" s="523">
        <f>VLOOKUP(B1995,DONGIA,DG!$B$6,0)</f>
        <v>0</v>
      </c>
      <c r="F1995" s="666" t="str">
        <f>VLOOKUP(B1995,DONGIA,DG!$C$6,0)</f>
        <v>Boulon 14x150+ 2 long đền vuông D16-50x50x3/Zn</v>
      </c>
      <c r="G1995" s="523" t="str">
        <f>VLOOKUP(B1995,DONGIA,DG!$D$6,0)</f>
        <v>bộ</v>
      </c>
      <c r="H1995" s="362">
        <f>H1991</f>
        <v>1</v>
      </c>
      <c r="I1995" s="525">
        <f>VLOOKUP(B1995,DONGIA,DG!$E$6,0)</f>
        <v>19000</v>
      </c>
      <c r="J1995" s="525"/>
      <c r="K1995" s="525">
        <f>VLOOKUP(B1995,DONGIA,DG!$F$6,0)</f>
        <v>0</v>
      </c>
      <c r="L1995" s="525">
        <f>VLOOKUP(B1995,DONGIA,DG!$G$6,0)</f>
        <v>0</v>
      </c>
      <c r="M1995" s="525">
        <f t="shared" si="519"/>
        <v>19000</v>
      </c>
      <c r="N1995" s="525">
        <f t="shared" si="520"/>
        <v>0</v>
      </c>
      <c r="O1995" s="525">
        <f t="shared" si="521"/>
        <v>0</v>
      </c>
      <c r="P1995" s="525">
        <f t="shared" si="522"/>
        <v>0</v>
      </c>
      <c r="Q1995" s="525"/>
      <c r="S1995" s="405">
        <f t="shared" si="508"/>
        <v>0.2</v>
      </c>
      <c r="T1995" s="405">
        <f t="shared" si="517"/>
        <v>0.2</v>
      </c>
    </row>
    <row r="1996" spans="1:20" s="405" customFormat="1" ht="31.2">
      <c r="A1996" s="405" t="s">
        <v>477</v>
      </c>
      <c r="B1996" s="405" t="s">
        <v>617</v>
      </c>
      <c r="C1996" s="418">
        <f t="shared" si="516"/>
        <v>1</v>
      </c>
      <c r="D1996" s="523"/>
      <c r="E1996" s="523" t="str">
        <f>VLOOKUP(B1996,DONGIA,DG!$B$6,0)</f>
        <v>D2.6011</v>
      </c>
      <c r="F1996" s="666" t="str">
        <f>VLOOKUP(B1996,DONGIA,DG!$C$6,0)</f>
        <v>Lắp đà composite 800mm đơn (KL &lt;=15kg, trụ BTLT, tính = 0.8 đà sắt)</v>
      </c>
      <c r="G1996" s="523" t="str">
        <f>VLOOKUP(B1996,DONGIA,DG!$D$6,0)</f>
        <v>bộ</v>
      </c>
      <c r="H1996" s="362">
        <f>H1988+1</f>
        <v>2</v>
      </c>
      <c r="I1996" s="525">
        <f>VLOOKUP(B1996,DONGIA,DG!$E$6,0)</f>
        <v>0</v>
      </c>
      <c r="J1996" s="525"/>
      <c r="K1996" s="525">
        <f>VLOOKUP(B1996,DONGIA,DG!$F$6,0)</f>
        <v>134360</v>
      </c>
      <c r="L1996" s="525">
        <f>VLOOKUP(B1996,DONGIA,DG!$G$6,0)</f>
        <v>0</v>
      </c>
      <c r="M1996" s="525">
        <f t="shared" si="519"/>
        <v>0</v>
      </c>
      <c r="N1996" s="525">
        <f t="shared" si="520"/>
        <v>0</v>
      </c>
      <c r="O1996" s="525">
        <f t="shared" si="521"/>
        <v>268720</v>
      </c>
      <c r="P1996" s="525">
        <f t="shared" si="522"/>
        <v>0</v>
      </c>
      <c r="Q1996" s="525" t="s">
        <v>3983</v>
      </c>
      <c r="S1996" s="405">
        <f t="shared" si="508"/>
        <v>0</v>
      </c>
      <c r="T1996" s="405">
        <f t="shared" si="517"/>
        <v>0</v>
      </c>
    </row>
    <row r="1997" spans="1:20" s="405" customFormat="1" hidden="1">
      <c r="A1997" s="405" t="s">
        <v>477</v>
      </c>
      <c r="C1997" s="418">
        <f t="shared" si="516"/>
        <v>0</v>
      </c>
      <c r="D1997" s="540">
        <f>IF(H1997&lt;&gt;0,D1988+1,D1988)</f>
        <v>2</v>
      </c>
      <c r="E1997" s="540"/>
      <c r="F1997" s="541" t="s">
        <v>1910</v>
      </c>
      <c r="G1997" s="540" t="s">
        <v>138</v>
      </c>
      <c r="H1997" s="540"/>
      <c r="I1997" s="541"/>
      <c r="J1997" s="541"/>
      <c r="K1997" s="541"/>
      <c r="L1997" s="541"/>
      <c r="M1997" s="541"/>
      <c r="N1997" s="541"/>
      <c r="O1997" s="541"/>
      <c r="P1997" s="541"/>
      <c r="Q1997" s="541"/>
      <c r="S1997" s="405">
        <f t="shared" si="508"/>
        <v>0</v>
      </c>
      <c r="T1997" s="405">
        <f t="shared" si="517"/>
        <v>0</v>
      </c>
    </row>
    <row r="1998" spans="1:20" s="542" customFormat="1" hidden="1">
      <c r="A1998" s="542" t="s">
        <v>477</v>
      </c>
      <c r="C1998" s="543">
        <f t="shared" si="516"/>
        <v>0</v>
      </c>
      <c r="D1998" s="544"/>
      <c r="E1998" s="544"/>
      <c r="F1998" s="545" t="s">
        <v>1902</v>
      </c>
      <c r="G1998" s="544"/>
      <c r="H1998" s="545"/>
      <c r="I1998" s="545"/>
      <c r="J1998" s="545"/>
      <c r="K1998" s="545"/>
      <c r="L1998" s="545"/>
      <c r="M1998" s="545"/>
      <c r="N1998" s="545"/>
      <c r="O1998" s="545"/>
      <c r="P1998" s="545"/>
      <c r="Q1998" s="545"/>
      <c r="S1998" s="542">
        <f t="shared" si="508"/>
        <v>0</v>
      </c>
      <c r="T1998" s="542">
        <f t="shared" si="517"/>
        <v>0</v>
      </c>
    </row>
    <row r="1999" spans="1:20" s="405" customFormat="1" hidden="1">
      <c r="A1999" s="405" t="s">
        <v>477</v>
      </c>
      <c r="B1999" s="405" t="s">
        <v>1069</v>
      </c>
      <c r="C1999" s="418">
        <f t="shared" si="516"/>
        <v>0</v>
      </c>
      <c r="D1999" s="523"/>
      <c r="E1999" s="523" t="str">
        <f>VLOOKUP(B1999,DONGIA,DG!$B$6,0)</f>
        <v>T4.9302</v>
      </c>
      <c r="F1999" s="525" t="str">
        <f>VLOOKUP(B1999,DONGIA,DG!$C$6,0)</f>
        <v>Gía chùm treo máy biến áp 3x100</v>
      </c>
      <c r="G1999" s="523" t="str">
        <f>VLOOKUP(B1999,DONGIA,DG!$D$6,0)</f>
        <v>Bộ</v>
      </c>
      <c r="H1999" s="525">
        <f>H1997</f>
        <v>0</v>
      </c>
      <c r="I1999" s="525">
        <f>VLOOKUP(B1999,DONGIA,DG!$E$6,0)</f>
        <v>3210000</v>
      </c>
      <c r="J1999" s="525"/>
      <c r="K1999" s="525">
        <f>VLOOKUP(B1999,DONGIA,DG!$F$6,0)</f>
        <v>149969.16</v>
      </c>
      <c r="L1999" s="525">
        <f>VLOOKUP(B1999,DONGIA,DG!$G$6,0)</f>
        <v>0</v>
      </c>
      <c r="M1999" s="525">
        <f t="shared" ref="M1999:P2001" si="523">$H1999*I1999</f>
        <v>0</v>
      </c>
      <c r="N1999" s="525">
        <f t="shared" si="523"/>
        <v>0</v>
      </c>
      <c r="O1999" s="525">
        <f t="shared" si="523"/>
        <v>0</v>
      </c>
      <c r="P1999" s="525">
        <f t="shared" si="523"/>
        <v>0</v>
      </c>
      <c r="Q1999" s="525"/>
      <c r="S1999" s="405">
        <f t="shared" si="508"/>
        <v>55</v>
      </c>
      <c r="T1999" s="405">
        <f t="shared" si="517"/>
        <v>0</v>
      </c>
    </row>
    <row r="2000" spans="1:20" s="405" customFormat="1" hidden="1">
      <c r="A2000" s="405" t="s">
        <v>477</v>
      </c>
      <c r="B2000" s="405" t="s">
        <v>37</v>
      </c>
      <c r="C2000" s="418">
        <f t="shared" si="516"/>
        <v>0</v>
      </c>
      <c r="D2000" s="523"/>
      <c r="E2000" s="523">
        <f>VLOOKUP(B2000,DONGIA,DG!$B$6,0)</f>
        <v>0</v>
      </c>
      <c r="F2000" s="525" t="str">
        <f>VLOOKUP(B2000,DONGIA,DG!$C$6,0)</f>
        <v>Boulon 16x350+ 2 long đền vuông D18-50x50x3/Zn</v>
      </c>
      <c r="G2000" s="523" t="str">
        <f>VLOOKUP(B2000,DONGIA,DG!$D$6,0)</f>
        <v>bộ</v>
      </c>
      <c r="H2000" s="525">
        <f>H1997*2</f>
        <v>0</v>
      </c>
      <c r="I2000" s="525">
        <f>VLOOKUP(B2000,DONGIA,DG!$E$6,0)</f>
        <v>32000</v>
      </c>
      <c r="J2000" s="525"/>
      <c r="K2000" s="525">
        <f>VLOOKUP(B2000,DONGIA,DG!$F$6,0)</f>
        <v>0</v>
      </c>
      <c r="L2000" s="525">
        <f>VLOOKUP(B2000,DONGIA,DG!$G$6,0)</f>
        <v>0</v>
      </c>
      <c r="M2000" s="525">
        <f t="shared" si="523"/>
        <v>0</v>
      </c>
      <c r="N2000" s="525">
        <f t="shared" si="523"/>
        <v>0</v>
      </c>
      <c r="O2000" s="525">
        <f t="shared" si="523"/>
        <v>0</v>
      </c>
      <c r="P2000" s="525">
        <f t="shared" si="523"/>
        <v>0</v>
      </c>
      <c r="Q2000" s="525"/>
      <c r="S2000" s="405">
        <f t="shared" si="508"/>
        <v>0.3</v>
      </c>
      <c r="T2000" s="405">
        <f t="shared" si="517"/>
        <v>0</v>
      </c>
    </row>
    <row r="2001" spans="1:20" s="405" customFormat="1" hidden="1">
      <c r="A2001" s="405" t="s">
        <v>477</v>
      </c>
      <c r="B2001" s="405" t="s">
        <v>29</v>
      </c>
      <c r="C2001" s="418">
        <f t="shared" si="516"/>
        <v>0</v>
      </c>
      <c r="D2001" s="523"/>
      <c r="E2001" s="523">
        <f>VLOOKUP(B2001,DONGIA,DG!$B$6,0)</f>
        <v>0</v>
      </c>
      <c r="F2001" s="525" t="str">
        <f>VLOOKUP(B2001,DONGIA,DG!$C$6,0)</f>
        <v>Boulon 16x50+ 2 long đền vuông D18-50x50x3/Zn</v>
      </c>
      <c r="G2001" s="523" t="str">
        <f>VLOOKUP(B2001,DONGIA,DG!$D$6,0)</f>
        <v>bộ</v>
      </c>
      <c r="H2001" s="525">
        <f>H1997*6</f>
        <v>0</v>
      </c>
      <c r="I2001" s="525">
        <f>VLOOKUP(B2001,DONGIA,DG!$E$6,0)</f>
        <v>17000</v>
      </c>
      <c r="J2001" s="525"/>
      <c r="K2001" s="525">
        <f>VLOOKUP(B2001,DONGIA,DG!$F$6,0)</f>
        <v>0</v>
      </c>
      <c r="L2001" s="525">
        <f>VLOOKUP(B2001,DONGIA,DG!$G$6,0)</f>
        <v>0</v>
      </c>
      <c r="M2001" s="525">
        <f t="shared" si="523"/>
        <v>0</v>
      </c>
      <c r="N2001" s="525">
        <f t="shared" si="523"/>
        <v>0</v>
      </c>
      <c r="O2001" s="525">
        <f t="shared" si="523"/>
        <v>0</v>
      </c>
      <c r="P2001" s="525">
        <f t="shared" si="523"/>
        <v>0</v>
      </c>
      <c r="Q2001" s="525"/>
      <c r="S2001" s="405">
        <f t="shared" si="508"/>
        <v>0.25</v>
      </c>
      <c r="T2001" s="405">
        <f t="shared" si="517"/>
        <v>0</v>
      </c>
    </row>
    <row r="2002" spans="1:20" s="405" customFormat="1">
      <c r="A2002" s="405" t="s">
        <v>477</v>
      </c>
      <c r="C2002" s="418">
        <f t="shared" si="516"/>
        <v>1</v>
      </c>
      <c r="D2002" s="540">
        <f>IF(H2002&lt;&gt;0,D1997+1,D1997)</f>
        <v>3</v>
      </c>
      <c r="E2002" s="540"/>
      <c r="F2002" s="781" t="s">
        <v>1933</v>
      </c>
      <c r="G2002" s="540" t="s">
        <v>138</v>
      </c>
      <c r="H2002" s="540">
        <f>DTR1P</f>
        <v>2</v>
      </c>
      <c r="I2002" s="541"/>
      <c r="J2002" s="541"/>
      <c r="K2002" s="541"/>
      <c r="L2002" s="541"/>
      <c r="M2002" s="541"/>
      <c r="N2002" s="541"/>
      <c r="O2002" s="541"/>
      <c r="P2002" s="541"/>
      <c r="Q2002" s="541"/>
      <c r="S2002" s="405">
        <f t="shared" si="508"/>
        <v>0</v>
      </c>
      <c r="T2002" s="405">
        <f t="shared" si="517"/>
        <v>0</v>
      </c>
    </row>
    <row r="2003" spans="1:20" s="542" customFormat="1" hidden="1">
      <c r="A2003" s="542" t="s">
        <v>477</v>
      </c>
      <c r="C2003" s="543">
        <f t="shared" si="516"/>
        <v>0</v>
      </c>
      <c r="D2003" s="544"/>
      <c r="E2003" s="544"/>
      <c r="F2003" s="545" t="s">
        <v>1902</v>
      </c>
      <c r="G2003" s="544"/>
      <c r="H2003" s="545"/>
      <c r="I2003" s="545"/>
      <c r="J2003" s="545"/>
      <c r="K2003" s="545"/>
      <c r="L2003" s="545"/>
      <c r="M2003" s="545"/>
      <c r="N2003" s="545"/>
      <c r="O2003" s="545"/>
      <c r="P2003" s="545"/>
      <c r="Q2003" s="545"/>
      <c r="S2003" s="542">
        <f t="shared" si="508"/>
        <v>0</v>
      </c>
      <c r="T2003" s="542">
        <f t="shared" si="517"/>
        <v>0</v>
      </c>
    </row>
    <row r="2004" spans="1:20" s="405" customFormat="1">
      <c r="A2004" s="405" t="s">
        <v>477</v>
      </c>
      <c r="B2004" s="405" t="s">
        <v>144</v>
      </c>
      <c r="C2004" s="418">
        <f t="shared" si="516"/>
        <v>1</v>
      </c>
      <c r="D2004" s="523"/>
      <c r="E2004" s="523">
        <f>VLOOKUP(B2004,DONGIA,DG!$B$6,0)</f>
        <v>0</v>
      </c>
      <c r="F2004" s="666" t="str">
        <f>VLOOKUP(B2004,DONGIA,DG!$C$6,0)</f>
        <v>Cáp đồng trần M25mm2</v>
      </c>
      <c r="G2004" s="523" t="str">
        <f>VLOOKUP(B2004,DONGIA,DG!$D$6,0)</f>
        <v>kg</v>
      </c>
      <c r="H2004" s="546">
        <f>TDTR1P*H2002*0.224</f>
        <v>24.192</v>
      </c>
      <c r="I2004" s="525">
        <f>VLOOKUP(B2004,DONGIA,DG!$E$6,0)</f>
        <v>201380</v>
      </c>
      <c r="J2004" s="525"/>
      <c r="K2004" s="525">
        <f>VLOOKUP(B2004,DONGIA,DG!$F$6,0)</f>
        <v>0</v>
      </c>
      <c r="L2004" s="525">
        <f>VLOOKUP(B2004,DONGIA,DG!$G$6,0)</f>
        <v>0</v>
      </c>
      <c r="M2004" s="525">
        <f t="shared" ref="M2004:M2012" si="524">$H2004*I2004</f>
        <v>4871784.96</v>
      </c>
      <c r="N2004" s="525">
        <f t="shared" ref="N2004:N2012" si="525">$H2004*J2004</f>
        <v>0</v>
      </c>
      <c r="O2004" s="525">
        <f t="shared" ref="O2004:O2012" si="526">$H2004*K2004</f>
        <v>0</v>
      </c>
      <c r="P2004" s="525">
        <f t="shared" ref="P2004:P2012" si="527">$H2004*L2004</f>
        <v>0</v>
      </c>
      <c r="Q2004" s="525"/>
      <c r="S2004" s="405">
        <f t="shared" si="508"/>
        <v>1</v>
      </c>
      <c r="T2004" s="405">
        <f t="shared" si="517"/>
        <v>24.192</v>
      </c>
    </row>
    <row r="2005" spans="1:20" s="405" customFormat="1">
      <c r="A2005" s="405" t="s">
        <v>477</v>
      </c>
      <c r="B2005" s="405" t="s">
        <v>278</v>
      </c>
      <c r="C2005" s="418">
        <f t="shared" si="516"/>
        <v>1</v>
      </c>
      <c r="D2005" s="523"/>
      <c r="E2005" s="523">
        <f>VLOOKUP(B2005,DONGIA,DG!$B$6,0)</f>
        <v>0</v>
      </c>
      <c r="F2005" s="666" t="str">
        <f>VLOOKUP(B2005,DONGIA,DG!$C$6,0)</f>
        <v>Cọc tiếp đất φ16 - 2,4m (mạ đồng 16µm)</v>
      </c>
      <c r="G2005" s="523" t="str">
        <f>VLOOKUP(B2005,DONGIA,DG!$D$6,0)</f>
        <v>cọc</v>
      </c>
      <c r="H2005" s="525">
        <f>H2002*12</f>
        <v>24</v>
      </c>
      <c r="I2005" s="525">
        <f>VLOOKUP(B2005,DONGIA,DG!$E$6,0)</f>
        <v>130000</v>
      </c>
      <c r="J2005" s="525"/>
      <c r="K2005" s="525">
        <f>VLOOKUP(B2005,DONGIA,DG!$F$6,0)</f>
        <v>0</v>
      </c>
      <c r="L2005" s="525">
        <f>VLOOKUP(B2005,DONGIA,DG!$G$6,0)</f>
        <v>0</v>
      </c>
      <c r="M2005" s="525">
        <f t="shared" si="524"/>
        <v>3120000</v>
      </c>
      <c r="N2005" s="525">
        <f t="shared" si="525"/>
        <v>0</v>
      </c>
      <c r="O2005" s="525">
        <f t="shared" si="526"/>
        <v>0</v>
      </c>
      <c r="P2005" s="525">
        <f t="shared" si="527"/>
        <v>0</v>
      </c>
      <c r="Q2005" s="525"/>
      <c r="S2005" s="405">
        <f t="shared" si="508"/>
        <v>5.3</v>
      </c>
      <c r="T2005" s="405">
        <f t="shared" si="517"/>
        <v>127.19999999999999</v>
      </c>
    </row>
    <row r="2006" spans="1:20" s="405" customFormat="1">
      <c r="A2006" s="405" t="s">
        <v>477</v>
      </c>
      <c r="B2006" s="405" t="s">
        <v>280</v>
      </c>
      <c r="C2006" s="418">
        <f t="shared" si="516"/>
        <v>1</v>
      </c>
      <c r="D2006" s="523"/>
      <c r="E2006" s="523">
        <f>VLOOKUP(B2006,DONGIA,DG!$B$6,0)</f>
        <v>0</v>
      </c>
      <c r="F2006" s="666" t="str">
        <f>VLOOKUP(B2006,DONGIA,DG!$C$6,0)</f>
        <v>Kẹp cọc tiếp địa</v>
      </c>
      <c r="G2006" s="523" t="str">
        <f>VLOOKUP(B2006,DONGIA,DG!$D$6,0)</f>
        <v>bộ</v>
      </c>
      <c r="H2006" s="525">
        <f>H2005</f>
        <v>24</v>
      </c>
      <c r="I2006" s="525">
        <f>VLOOKUP(B2006,DONGIA,DG!$E$6,0)</f>
        <v>25000</v>
      </c>
      <c r="J2006" s="525"/>
      <c r="K2006" s="525">
        <f>VLOOKUP(B2006,DONGIA,DG!$F$6,0)</f>
        <v>0</v>
      </c>
      <c r="L2006" s="525">
        <f>VLOOKUP(B2006,DONGIA,DG!$G$6,0)</f>
        <v>0</v>
      </c>
      <c r="M2006" s="525">
        <f t="shared" si="524"/>
        <v>600000</v>
      </c>
      <c r="N2006" s="525">
        <f t="shared" si="525"/>
        <v>0</v>
      </c>
      <c r="O2006" s="525">
        <f t="shared" si="526"/>
        <v>0</v>
      </c>
      <c r="P2006" s="525">
        <f t="shared" si="527"/>
        <v>0</v>
      </c>
      <c r="Q2006" s="525"/>
      <c r="S2006" s="405">
        <f t="shared" si="508"/>
        <v>0.05</v>
      </c>
      <c r="T2006" s="405">
        <f t="shared" si="517"/>
        <v>1.2000000000000002</v>
      </c>
    </row>
    <row r="2007" spans="1:20" s="405" customFormat="1">
      <c r="A2007" s="405" t="s">
        <v>477</v>
      </c>
      <c r="B2007" s="405" t="s">
        <v>1217</v>
      </c>
      <c r="C2007" s="418">
        <f t="shared" si="516"/>
        <v>1</v>
      </c>
      <c r="D2007" s="523"/>
      <c r="E2007" s="523">
        <f>VLOOKUP(B2007,DONGIA,DG!$B$6,0)</f>
        <v>0</v>
      </c>
      <c r="F2007" s="666" t="str">
        <f>VLOOKUP(B2007,DONGIA,DG!$C$6,0)</f>
        <v xml:space="preserve">Ốc xiết cáp cỡ 38mm2 </v>
      </c>
      <c r="G2007" s="523" t="str">
        <f>VLOOKUP(B2007,DONGIA,DG!$D$6,0)</f>
        <v>cái</v>
      </c>
      <c r="H2007" s="525">
        <f>H2002*8</f>
        <v>16</v>
      </c>
      <c r="I2007" s="525">
        <f>VLOOKUP(B2007,DONGIA,DG!$E$6,0)</f>
        <v>18000</v>
      </c>
      <c r="J2007" s="525"/>
      <c r="K2007" s="525">
        <f>VLOOKUP(B2007,DONGIA,DG!$F$6,0)</f>
        <v>0</v>
      </c>
      <c r="L2007" s="525">
        <f>VLOOKUP(B2007,DONGIA,DG!$G$6,0)</f>
        <v>0</v>
      </c>
      <c r="M2007" s="525">
        <f t="shared" si="524"/>
        <v>288000</v>
      </c>
      <c r="N2007" s="525">
        <f t="shared" si="525"/>
        <v>0</v>
      </c>
      <c r="O2007" s="525">
        <f t="shared" si="526"/>
        <v>0</v>
      </c>
      <c r="P2007" s="525">
        <f t="shared" si="527"/>
        <v>0</v>
      </c>
      <c r="Q2007" s="525"/>
      <c r="S2007" s="405">
        <f t="shared" si="508"/>
        <v>0</v>
      </c>
      <c r="T2007" s="405">
        <f t="shared" si="517"/>
        <v>0</v>
      </c>
    </row>
    <row r="2008" spans="1:20" s="405" customFormat="1">
      <c r="A2008" s="405" t="s">
        <v>477</v>
      </c>
      <c r="B2008" s="405" t="s">
        <v>323</v>
      </c>
      <c r="C2008" s="418">
        <f t="shared" si="516"/>
        <v>1</v>
      </c>
      <c r="D2008" s="523"/>
      <c r="E2008" s="523">
        <f>VLOOKUP(B2008,DONGIA,DG!$B$6,0)</f>
        <v>0</v>
      </c>
      <c r="F2008" s="666" t="str">
        <f>VLOOKUP(B2008,DONGIA,DG!$C$6,0)</f>
        <v>Kẹp ép WR cỡ dây 50mm2</v>
      </c>
      <c r="G2008" s="523" t="str">
        <f>VLOOKUP(B2008,DONGIA,DG!$D$6,0)</f>
        <v>cái</v>
      </c>
      <c r="H2008" s="525">
        <f>H2002*2</f>
        <v>4</v>
      </c>
      <c r="I2008" s="525">
        <f>VLOOKUP(B2008,DONGIA,DG!$E$6,0)</f>
        <v>10000</v>
      </c>
      <c r="J2008" s="525"/>
      <c r="K2008" s="525">
        <f>VLOOKUP(B2008,DONGIA,DG!$F$6,0)</f>
        <v>0</v>
      </c>
      <c r="L2008" s="525">
        <f>VLOOKUP(B2008,DONGIA,DG!$G$6,0)</f>
        <v>0</v>
      </c>
      <c r="M2008" s="525">
        <f t="shared" si="524"/>
        <v>40000</v>
      </c>
      <c r="N2008" s="525">
        <f t="shared" si="525"/>
        <v>0</v>
      </c>
      <c r="O2008" s="525">
        <f t="shared" si="526"/>
        <v>0</v>
      </c>
      <c r="P2008" s="525">
        <f t="shared" si="527"/>
        <v>0</v>
      </c>
      <c r="Q2008" s="525"/>
      <c r="S2008" s="405">
        <f t="shared" si="508"/>
        <v>0.2</v>
      </c>
      <c r="T2008" s="405">
        <f t="shared" si="517"/>
        <v>0.8</v>
      </c>
    </row>
    <row r="2009" spans="1:20" s="405" customFormat="1">
      <c r="A2009" s="405" t="s">
        <v>477</v>
      </c>
      <c r="B2009" s="405" t="s">
        <v>573</v>
      </c>
      <c r="C2009" s="418">
        <f t="shared" si="516"/>
        <v>1</v>
      </c>
      <c r="D2009" s="523"/>
      <c r="E2009" s="523" t="str">
        <f>VLOOKUP(B2009,DONGIA,DG!$B$6,0)</f>
        <v>T4.7001</v>
      </c>
      <c r="F2009" s="666" t="str">
        <f>VLOOKUP(B2009,DONGIA,DG!$C$6,0)</f>
        <v>Kéo dây tiếp địa trong TBA</v>
      </c>
      <c r="G2009" s="523" t="str">
        <f>VLOOKUP(B2009,DONGIA,DG!$D$6,0)</f>
        <v>mét</v>
      </c>
      <c r="H2009" s="525">
        <f>H2002*TDTR1P</f>
        <v>108</v>
      </c>
      <c r="I2009" s="525">
        <f>VLOOKUP(B2009,DONGIA,DG!$E$6,0)</f>
        <v>0</v>
      </c>
      <c r="J2009" s="525"/>
      <c r="K2009" s="525">
        <f>VLOOKUP(B2009,DONGIA,DG!$F$6,0)</f>
        <v>6871</v>
      </c>
      <c r="L2009" s="525">
        <f>VLOOKUP(B2009,DONGIA,DG!$G$6,0)</f>
        <v>0</v>
      </c>
      <c r="M2009" s="525">
        <f t="shared" si="524"/>
        <v>0</v>
      </c>
      <c r="N2009" s="525">
        <f t="shared" si="525"/>
        <v>0</v>
      </c>
      <c r="O2009" s="525">
        <f t="shared" si="526"/>
        <v>742068</v>
      </c>
      <c r="P2009" s="525">
        <f t="shared" si="527"/>
        <v>0</v>
      </c>
      <c r="Q2009" s="525"/>
      <c r="S2009" s="405">
        <f t="shared" si="508"/>
        <v>0</v>
      </c>
      <c r="T2009" s="405">
        <f t="shared" si="517"/>
        <v>0</v>
      </c>
    </row>
    <row r="2010" spans="1:20" s="405" customFormat="1">
      <c r="A2010" s="405" t="s">
        <v>477</v>
      </c>
      <c r="B2010" s="405" t="s">
        <v>581</v>
      </c>
      <c r="C2010" s="418">
        <f t="shared" si="516"/>
        <v>1</v>
      </c>
      <c r="D2010" s="523"/>
      <c r="E2010" s="523" t="str">
        <f>VLOOKUP(B2010,DONGIA,DG!$B$6,0)</f>
        <v>D2.8103</v>
      </c>
      <c r="F2010" s="666" t="str">
        <f>VLOOKUP(B2010,DONGIA,DG!$C$6,0)</f>
        <v>Đóng cọc tiếp địa trong TBA (đất cấp 3)</v>
      </c>
      <c r="G2010" s="523" t="str">
        <f>VLOOKUP(B2010,DONGIA,DG!$D$6,0)</f>
        <v>cọc</v>
      </c>
      <c r="H2010" s="525">
        <f>H2005</f>
        <v>24</v>
      </c>
      <c r="I2010" s="525">
        <f>VLOOKUP(B2010,DONGIA,DG!$E$6,0)</f>
        <v>0</v>
      </c>
      <c r="J2010" s="525"/>
      <c r="K2010" s="525">
        <f>VLOOKUP(B2010,DONGIA,DG!$F$6,0)</f>
        <v>76928</v>
      </c>
      <c r="L2010" s="525">
        <f>VLOOKUP(B2010,DONGIA,DG!$G$6,0)</f>
        <v>0</v>
      </c>
      <c r="M2010" s="525">
        <f t="shared" si="524"/>
        <v>0</v>
      </c>
      <c r="N2010" s="525">
        <f t="shared" si="525"/>
        <v>0</v>
      </c>
      <c r="O2010" s="525">
        <f t="shared" si="526"/>
        <v>1846272</v>
      </c>
      <c r="P2010" s="525">
        <f t="shared" si="527"/>
        <v>0</v>
      </c>
      <c r="Q2010" s="525"/>
      <c r="S2010" s="405">
        <f t="shared" si="508"/>
        <v>0</v>
      </c>
      <c r="T2010" s="405">
        <f t="shared" si="517"/>
        <v>0</v>
      </c>
    </row>
    <row r="2011" spans="1:20" s="405" customFormat="1">
      <c r="A2011" s="405" t="s">
        <v>477</v>
      </c>
      <c r="B2011" s="405" t="s">
        <v>540</v>
      </c>
      <c r="C2011" s="418">
        <f t="shared" si="516"/>
        <v>1</v>
      </c>
      <c r="D2011" s="523"/>
      <c r="E2011" s="523" t="str">
        <f>VLOOKUP(B2011,DONGIA,DG!$B$6,0)</f>
        <v>AB.11513</v>
      </c>
      <c r="F2011" s="731" t="str">
        <f>VLOOKUP(B2011,DONGIA,DG!$C$6,0)</f>
        <v>Đào rãnh tiếp địa đất cấp 3</v>
      </c>
      <c r="G2011" s="523" t="str">
        <f>VLOOKUP(B2011,DONGIA,DG!$D$6,0)</f>
        <v>m3</v>
      </c>
      <c r="H2011" s="546">
        <f>H2002*DAOTD</f>
        <v>6.6000000000000005</v>
      </c>
      <c r="I2011" s="525">
        <f>VLOOKUP(B2011,DONGIA,DG!$E$6,0)</f>
        <v>0</v>
      </c>
      <c r="J2011" s="525"/>
      <c r="K2011" s="525">
        <f>ROUND(VLOOKUP(B2011,DONGIA,DG!$F$6,0)/NCTBA,0)</f>
        <v>241580</v>
      </c>
      <c r="L2011" s="525">
        <f>VLOOKUP(B2011,DONGIA,DG!$G$6,0)</f>
        <v>0</v>
      </c>
      <c r="M2011" s="525">
        <f t="shared" si="524"/>
        <v>0</v>
      </c>
      <c r="N2011" s="525">
        <f t="shared" si="525"/>
        <v>0</v>
      </c>
      <c r="O2011" s="525">
        <f t="shared" si="526"/>
        <v>1594428.0000000002</v>
      </c>
      <c r="P2011" s="525">
        <f t="shared" si="527"/>
        <v>0</v>
      </c>
      <c r="Q2011" s="525"/>
      <c r="S2011" s="405">
        <f t="shared" si="508"/>
        <v>0</v>
      </c>
      <c r="T2011" s="405">
        <f t="shared" si="517"/>
        <v>0</v>
      </c>
    </row>
    <row r="2012" spans="1:20" s="405" customFormat="1">
      <c r="A2012" s="405" t="s">
        <v>477</v>
      </c>
      <c r="B2012" s="405" t="s">
        <v>547</v>
      </c>
      <c r="C2012" s="418">
        <f t="shared" si="516"/>
        <v>1</v>
      </c>
      <c r="D2012" s="523"/>
      <c r="E2012" s="523" t="str">
        <f>VLOOKUP(B2012,DONGIA,DG!$B$6,0)</f>
        <v>AB.65110</v>
      </c>
      <c r="F2012" s="731" t="str">
        <f>VLOOKUP(B2012,DONGIA,DG!$C$6,0)</f>
        <v>Đắp đất rãnh tiếp địa (K=0,85)</v>
      </c>
      <c r="G2012" s="523" t="str">
        <f>VLOOKUP(B2012,DONGIA,DG!$D$6,0)</f>
        <v>m3</v>
      </c>
      <c r="H2012" s="546">
        <f>H2011</f>
        <v>6.6000000000000005</v>
      </c>
      <c r="I2012" s="525">
        <f>VLOOKUP(B2012,DONGIA,DG!$E$6,0)</f>
        <v>0</v>
      </c>
      <c r="J2012" s="525"/>
      <c r="K2012" s="525">
        <f>ROUND(VLOOKUP(B2012,DONGIA,DG!$F$6,0)/NCTBA,0)</f>
        <v>16267</v>
      </c>
      <c r="L2012" s="525">
        <f>VLOOKUP(B2012,DONGIA,DG!$G$6,0)</f>
        <v>11176</v>
      </c>
      <c r="M2012" s="525">
        <f t="shared" si="524"/>
        <v>0</v>
      </c>
      <c r="N2012" s="525">
        <f t="shared" si="525"/>
        <v>0</v>
      </c>
      <c r="O2012" s="525">
        <f t="shared" si="526"/>
        <v>107362.20000000001</v>
      </c>
      <c r="P2012" s="525">
        <f t="shared" si="527"/>
        <v>73761.600000000006</v>
      </c>
      <c r="Q2012" s="525"/>
      <c r="S2012" s="405">
        <f t="shared" si="508"/>
        <v>0</v>
      </c>
      <c r="T2012" s="405">
        <f t="shared" si="517"/>
        <v>0</v>
      </c>
    </row>
    <row r="2013" spans="1:20" s="405" customFormat="1">
      <c r="A2013" s="405" t="s">
        <v>477</v>
      </c>
      <c r="C2013" s="418">
        <f t="shared" si="516"/>
        <v>1</v>
      </c>
      <c r="D2013" s="540">
        <f>IF(H2013&lt;&gt;0,D2002+1,D2002)</f>
        <v>4</v>
      </c>
      <c r="E2013" s="540"/>
      <c r="F2013" s="781" t="s">
        <v>1934</v>
      </c>
      <c r="G2013" s="540" t="s">
        <v>138</v>
      </c>
      <c r="H2013" s="540">
        <f>DTR1P</f>
        <v>2</v>
      </c>
      <c r="I2013" s="541"/>
      <c r="J2013" s="541"/>
      <c r="K2013" s="541"/>
      <c r="L2013" s="541"/>
      <c r="M2013" s="541"/>
      <c r="N2013" s="541"/>
      <c r="O2013" s="541"/>
      <c r="P2013" s="541"/>
      <c r="Q2013" s="541"/>
      <c r="S2013" s="405">
        <f t="shared" si="508"/>
        <v>0</v>
      </c>
      <c r="T2013" s="405">
        <f t="shared" si="517"/>
        <v>0</v>
      </c>
    </row>
    <row r="2014" spans="1:20" s="542" customFormat="1" hidden="1">
      <c r="A2014" s="542" t="s">
        <v>477</v>
      </c>
      <c r="C2014" s="543">
        <f t="shared" si="516"/>
        <v>0</v>
      </c>
      <c r="D2014" s="544"/>
      <c r="E2014" s="544"/>
      <c r="F2014" s="545" t="s">
        <v>1902</v>
      </c>
      <c r="G2014" s="544"/>
      <c r="H2014" s="545"/>
      <c r="I2014" s="545"/>
      <c r="J2014" s="545"/>
      <c r="K2014" s="545"/>
      <c r="L2014" s="545"/>
      <c r="M2014" s="545"/>
      <c r="N2014" s="545"/>
      <c r="O2014" s="545"/>
      <c r="P2014" s="545"/>
      <c r="Q2014" s="545"/>
      <c r="S2014" s="542">
        <f t="shared" si="508"/>
        <v>0</v>
      </c>
      <c r="T2014" s="542">
        <f t="shared" si="517"/>
        <v>0</v>
      </c>
    </row>
    <row r="2015" spans="1:20" s="405" customFormat="1" hidden="1">
      <c r="A2015" s="405" t="s">
        <v>477</v>
      </c>
      <c r="B2015" s="405" t="s">
        <v>989</v>
      </c>
      <c r="C2015" s="418">
        <f>IF(H2015&lt;&gt;0,1,)</f>
        <v>0</v>
      </c>
      <c r="D2015" s="523"/>
      <c r="E2015" s="523" t="str">
        <f>VLOOKUP(B2015,DONGIA,DG!$B$6,0)</f>
        <v>T5.1001</v>
      </c>
      <c r="F2015" s="525" t="str">
        <f>VLOOKUP(B2015,DONGIA,DG!$C$6,0)</f>
        <v>Tủ trạm treo + khóa + boulon + Bakelit + Collier (1 pha)</v>
      </c>
      <c r="G2015" s="523" t="str">
        <f>VLOOKUP(B2015,DONGIA,DG!$D$6,0)</f>
        <v>bộ</v>
      </c>
      <c r="H2015" s="525"/>
      <c r="I2015" s="525">
        <f>VLOOKUP(B2015,DONGIA,DG!$E$6,0)</f>
        <v>5446000</v>
      </c>
      <c r="J2015" s="525"/>
      <c r="K2015" s="525">
        <f>VLOOKUP(B2015,DONGIA,DG!$F$6,0)</f>
        <v>645165</v>
      </c>
      <c r="L2015" s="525">
        <f>VLOOKUP(B2015,DONGIA,DG!$G$6,0)</f>
        <v>111154</v>
      </c>
      <c r="M2015" s="525">
        <f t="shared" ref="M2015:P2016" si="528">$H2015*I2015</f>
        <v>0</v>
      </c>
      <c r="N2015" s="525">
        <f t="shared" si="528"/>
        <v>0</v>
      </c>
      <c r="O2015" s="525">
        <f t="shared" si="528"/>
        <v>0</v>
      </c>
      <c r="P2015" s="525">
        <f t="shared" si="528"/>
        <v>0</v>
      </c>
      <c r="Q2015" s="666"/>
      <c r="S2015" s="405">
        <f>IFERROR(VLOOKUP(B2015,DONGIA,$S$25,0),0)</f>
        <v>45</v>
      </c>
      <c r="T2015" s="405">
        <f>H2015*S2015</f>
        <v>0</v>
      </c>
    </row>
    <row r="2016" spans="1:20" s="405" customFormat="1">
      <c r="A2016" s="405" t="s">
        <v>477</v>
      </c>
      <c r="B2016" s="405" t="s">
        <v>989</v>
      </c>
      <c r="C2016" s="418">
        <f t="shared" si="516"/>
        <v>1</v>
      </c>
      <c r="D2016" s="523"/>
      <c r="E2016" s="523" t="str">
        <f>VLOOKUP(B2016,DONGIA,DG!$B$6,0)</f>
        <v>T5.1001</v>
      </c>
      <c r="F2016" s="666" t="str">
        <f>VLOOKUP(B2016,DONGIA,DG!$C$6,0)&amp;" (SDL)"</f>
        <v>Tủ trạm treo + khóa + boulon + Bakelit + Collier (1 pha) (SDL)</v>
      </c>
      <c r="G2016" s="523" t="str">
        <f>VLOOKUP(B2016,DONGIA,DG!$D$6,0)</f>
        <v>bộ</v>
      </c>
      <c r="H2016" s="525">
        <v>2</v>
      </c>
      <c r="I2016" s="525"/>
      <c r="J2016" s="525"/>
      <c r="K2016" s="525">
        <f>VLOOKUP(B2016,DONGIA,DG!$F$6,0)</f>
        <v>645165</v>
      </c>
      <c r="L2016" s="525">
        <f>VLOOKUP(B2016,DONGIA,DG!$G$6,0)</f>
        <v>111154</v>
      </c>
      <c r="M2016" s="525">
        <f t="shared" si="528"/>
        <v>0</v>
      </c>
      <c r="N2016" s="525">
        <f t="shared" si="528"/>
        <v>0</v>
      </c>
      <c r="O2016" s="525">
        <f t="shared" si="528"/>
        <v>1290330</v>
      </c>
      <c r="P2016" s="525">
        <f t="shared" si="528"/>
        <v>222308</v>
      </c>
      <c r="Q2016" s="525"/>
      <c r="S2016" s="405">
        <f t="shared" si="508"/>
        <v>45</v>
      </c>
      <c r="T2016" s="405">
        <f t="shared" si="517"/>
        <v>90</v>
      </c>
    </row>
    <row r="2017" spans="2:20" s="405" customFormat="1">
      <c r="C2017" s="418">
        <f t="shared" si="516"/>
        <v>1</v>
      </c>
      <c r="D2017" s="540">
        <f>IF(H2017&lt;&gt;0,D2013+1,D2013)</f>
        <v>5</v>
      </c>
      <c r="E2017" s="540"/>
      <c r="F2017" s="781" t="s">
        <v>1935</v>
      </c>
      <c r="G2017" s="540" t="s">
        <v>138</v>
      </c>
      <c r="H2017" s="540">
        <f>DTR1P</f>
        <v>2</v>
      </c>
      <c r="I2017" s="541"/>
      <c r="J2017" s="541"/>
      <c r="K2017" s="541"/>
      <c r="L2017" s="541"/>
      <c r="M2017" s="541"/>
      <c r="N2017" s="541"/>
      <c r="O2017" s="541"/>
      <c r="P2017" s="541"/>
      <c r="Q2017" s="541"/>
      <c r="S2017" s="405">
        <f t="shared" si="508"/>
        <v>0</v>
      </c>
      <c r="T2017" s="405">
        <f t="shared" si="517"/>
        <v>0</v>
      </c>
    </row>
    <row r="2018" spans="2:20" s="542" customFormat="1" hidden="1">
      <c r="C2018" s="543">
        <f t="shared" si="516"/>
        <v>0</v>
      </c>
      <c r="D2018" s="544"/>
      <c r="E2018" s="544"/>
      <c r="F2018" s="545" t="s">
        <v>1902</v>
      </c>
      <c r="G2018" s="544"/>
      <c r="H2018" s="545"/>
      <c r="I2018" s="545"/>
      <c r="J2018" s="545"/>
      <c r="K2018" s="545"/>
      <c r="L2018" s="545"/>
      <c r="M2018" s="545"/>
      <c r="N2018" s="545"/>
      <c r="O2018" s="545"/>
      <c r="P2018" s="545"/>
      <c r="Q2018" s="545"/>
      <c r="S2018" s="542">
        <f t="shared" si="508"/>
        <v>0</v>
      </c>
      <c r="T2018" s="542">
        <f t="shared" si="517"/>
        <v>0</v>
      </c>
    </row>
    <row r="2019" spans="2:20" s="405" customFormat="1">
      <c r="B2019" s="405" t="s">
        <v>1468</v>
      </c>
      <c r="C2019" s="418">
        <f t="shared" si="516"/>
        <v>1</v>
      </c>
      <c r="D2019" s="523"/>
      <c r="E2019" s="523">
        <f>VLOOKUP(B2019,DONGIA,DG!$B$6,0)</f>
        <v>0</v>
      </c>
      <c r="F2019" s="666" t="str">
        <f>VLOOKUP(B2019,DONGIA,DG!$C$6,0)</f>
        <v>Cáp 24KV C/XLPE/PVC 25mm2</v>
      </c>
      <c r="G2019" s="523" t="str">
        <f>VLOOKUP(B2019,DONGIA,DG!$D$6,0)</f>
        <v>mét</v>
      </c>
      <c r="H2019" s="525">
        <f>H2017*4-4</f>
        <v>4</v>
      </c>
      <c r="I2019" s="525">
        <f>VLOOKUP(B2019,DONGIA,DG!$E$6,0)</f>
        <v>87540</v>
      </c>
      <c r="J2019" s="525"/>
      <c r="K2019" s="525">
        <f>VLOOKUP(B2019,DONGIA,DG!$F$6,0)</f>
        <v>0</v>
      </c>
      <c r="L2019" s="525">
        <f>VLOOKUP(B2019,DONGIA,DG!$G$6,0)</f>
        <v>0</v>
      </c>
      <c r="M2019" s="525">
        <f t="shared" ref="M2019:P2023" si="529">$H2019*I2019</f>
        <v>350160</v>
      </c>
      <c r="N2019" s="525">
        <f t="shared" si="529"/>
        <v>0</v>
      </c>
      <c r="O2019" s="525">
        <f t="shared" si="529"/>
        <v>0</v>
      </c>
      <c r="P2019" s="525">
        <f t="shared" si="529"/>
        <v>0</v>
      </c>
      <c r="Q2019" s="525"/>
      <c r="S2019" s="405">
        <f t="shared" si="508"/>
        <v>0.75</v>
      </c>
      <c r="T2019" s="405">
        <f t="shared" si="517"/>
        <v>3</v>
      </c>
    </row>
    <row r="2020" spans="2:20" s="405" customFormat="1">
      <c r="B2020" s="405" t="s">
        <v>1507</v>
      </c>
      <c r="C2020" s="418">
        <f t="shared" si="516"/>
        <v>1</v>
      </c>
      <c r="D2020" s="523"/>
      <c r="E2020" s="523"/>
      <c r="F2020" s="666" t="str">
        <f>VLOOKUP(B2020,DONGIA,DG!$C$6,0)</f>
        <v>Kẹp quai 4/0 (quai đồng 8mm)</v>
      </c>
      <c r="G2020" s="523" t="str">
        <f>VLOOKUP(B2020,DONGIA,DG!$D$6,0)</f>
        <v>cái</v>
      </c>
      <c r="H2020" s="525">
        <f>H2017</f>
        <v>2</v>
      </c>
      <c r="I2020" s="525">
        <f>VLOOKUP(B2020,DONGIA,DG!$E$6,0)</f>
        <v>145000</v>
      </c>
      <c r="J2020" s="525"/>
      <c r="K2020" s="525"/>
      <c r="L2020" s="525">
        <f>VLOOKUP(B2020,DONGIA,DG!$G$6,0)</f>
        <v>0</v>
      </c>
      <c r="M2020" s="525">
        <f t="shared" si="529"/>
        <v>290000</v>
      </c>
      <c r="N2020" s="525">
        <f t="shared" si="529"/>
        <v>0</v>
      </c>
      <c r="O2020" s="525">
        <f t="shared" si="529"/>
        <v>0</v>
      </c>
      <c r="P2020" s="525">
        <f t="shared" si="529"/>
        <v>0</v>
      </c>
      <c r="Q2020" s="525"/>
      <c r="S2020" s="405">
        <f t="shared" si="508"/>
        <v>0.3</v>
      </c>
      <c r="T2020" s="405">
        <f t="shared" si="517"/>
        <v>0.6</v>
      </c>
    </row>
    <row r="2021" spans="2:20" s="405" customFormat="1">
      <c r="B2021" s="405" t="s">
        <v>1511</v>
      </c>
      <c r="C2021" s="418">
        <f t="shared" si="516"/>
        <v>1</v>
      </c>
      <c r="D2021" s="523"/>
      <c r="E2021" s="523"/>
      <c r="F2021" s="666" t="str">
        <f>VLOOKUP(B2021,DONGIA,DG!$C$6,0)</f>
        <v>Chụp cách điện kẹp quai</v>
      </c>
      <c r="G2021" s="523" t="str">
        <f>VLOOKUP(B2021,DONGIA,DG!$D$6,0)</f>
        <v>cái</v>
      </c>
      <c r="H2021" s="525">
        <f>H2020</f>
        <v>2</v>
      </c>
      <c r="I2021" s="525">
        <f>VLOOKUP(B2021,DONGIA,DG!$E$6,0)</f>
        <v>122000</v>
      </c>
      <c r="J2021" s="525"/>
      <c r="K2021" s="525"/>
      <c r="L2021" s="525">
        <f>VLOOKUP(B2021,DONGIA,DG!$G$6,0)</f>
        <v>0</v>
      </c>
      <c r="M2021" s="525">
        <f t="shared" si="529"/>
        <v>244000</v>
      </c>
      <c r="N2021" s="525">
        <f t="shared" si="529"/>
        <v>0</v>
      </c>
      <c r="O2021" s="525">
        <f t="shared" si="529"/>
        <v>0</v>
      </c>
      <c r="P2021" s="525">
        <f t="shared" si="529"/>
        <v>0</v>
      </c>
      <c r="Q2021" s="525"/>
      <c r="S2021" s="405">
        <f t="shared" si="508"/>
        <v>0.2</v>
      </c>
      <c r="T2021" s="405">
        <f t="shared" si="517"/>
        <v>0.4</v>
      </c>
    </row>
    <row r="2022" spans="2:20" s="405" customFormat="1">
      <c r="B2022" s="405" t="s">
        <v>1508</v>
      </c>
      <c r="C2022" s="418">
        <f t="shared" si="516"/>
        <v>1</v>
      </c>
      <c r="D2022" s="523"/>
      <c r="E2022" s="523"/>
      <c r="F2022" s="666" t="str">
        <f>VLOOKUP(B2022,DONGIA,DG!$C$6,0)</f>
        <v>Kẹp hotline 2/0</v>
      </c>
      <c r="G2022" s="523" t="str">
        <f>VLOOKUP(B2022,DONGIA,DG!$D$6,0)</f>
        <v>cái</v>
      </c>
      <c r="H2022" s="525">
        <f>H2021</f>
        <v>2</v>
      </c>
      <c r="I2022" s="525">
        <f>VLOOKUP(B2022,DONGIA,DG!$E$6,0)</f>
        <v>68000</v>
      </c>
      <c r="J2022" s="525"/>
      <c r="K2022" s="525"/>
      <c r="L2022" s="525">
        <f>VLOOKUP(B2022,DONGIA,DG!$G$6,0)</f>
        <v>0</v>
      </c>
      <c r="M2022" s="525">
        <f t="shared" si="529"/>
        <v>136000</v>
      </c>
      <c r="N2022" s="525">
        <f t="shared" si="529"/>
        <v>0</v>
      </c>
      <c r="O2022" s="525">
        <f t="shared" si="529"/>
        <v>0</v>
      </c>
      <c r="P2022" s="525">
        <f t="shared" si="529"/>
        <v>0</v>
      </c>
      <c r="Q2022" s="525"/>
      <c r="S2022" s="405">
        <f t="shared" si="508"/>
        <v>0.1</v>
      </c>
      <c r="T2022" s="405">
        <f t="shared" si="517"/>
        <v>0.2</v>
      </c>
    </row>
    <row r="2023" spans="2:20" s="405" customFormat="1">
      <c r="B2023" s="405" t="s">
        <v>1939</v>
      </c>
      <c r="C2023" s="418">
        <f t="shared" si="516"/>
        <v>1</v>
      </c>
      <c r="D2023" s="523"/>
      <c r="E2023" s="523" t="str">
        <f>VLOOKUP(B2023,DONGIA,DG!$B$6,0)</f>
        <v>T4.4201</v>
      </c>
      <c r="F2023" s="666" t="str">
        <f>VLOOKUP(B2023,DONGIA,DG!$C$6,0)</f>
        <v>Lắp cáp đồng xuống thiết bị D ≤ 95mm2</v>
      </c>
      <c r="G2023" s="523" t="str">
        <f>VLOOKUP(B2023,DONGIA,DG!$D$6,0)</f>
        <v>m</v>
      </c>
      <c r="H2023" s="525">
        <f>H2019+'BKTL Tram'!Z29</f>
        <v>8.5</v>
      </c>
      <c r="I2023" s="525">
        <f>VLOOKUP(B2023,DONGIA,DG!$E$6,0)</f>
        <v>0</v>
      </c>
      <c r="J2023" s="525"/>
      <c r="K2023" s="525">
        <f>VLOOKUP(B2023,DONGIA,DG!$F$6,0)</f>
        <v>11847</v>
      </c>
      <c r="L2023" s="525">
        <f>VLOOKUP(B2023,DONGIA,DG!$G$6,0)</f>
        <v>0</v>
      </c>
      <c r="M2023" s="525">
        <f t="shared" si="529"/>
        <v>0</v>
      </c>
      <c r="N2023" s="525">
        <f t="shared" si="529"/>
        <v>0</v>
      </c>
      <c r="O2023" s="525">
        <f t="shared" si="529"/>
        <v>100699.5</v>
      </c>
      <c r="P2023" s="525">
        <f t="shared" si="529"/>
        <v>0</v>
      </c>
      <c r="Q2023" s="525"/>
      <c r="S2023" s="405">
        <f t="shared" si="508"/>
        <v>0</v>
      </c>
      <c r="T2023" s="405">
        <f t="shared" si="517"/>
        <v>0</v>
      </c>
    </row>
    <row r="2024" spans="2:20" s="405" customFormat="1">
      <c r="C2024" s="418">
        <f t="shared" si="516"/>
        <v>1</v>
      </c>
      <c r="D2024" s="540">
        <f>IF(H2024&lt;&gt;0,D2017+1,D2017)</f>
        <v>6</v>
      </c>
      <c r="E2024" s="540"/>
      <c r="F2024" s="781" t="s">
        <v>1936</v>
      </c>
      <c r="G2024" s="540" t="s">
        <v>138</v>
      </c>
      <c r="H2024" s="540">
        <f>DTR1P</f>
        <v>2</v>
      </c>
      <c r="I2024" s="541"/>
      <c r="J2024" s="541"/>
      <c r="K2024" s="541"/>
      <c r="L2024" s="541"/>
      <c r="M2024" s="541"/>
      <c r="N2024" s="541"/>
      <c r="O2024" s="541"/>
      <c r="P2024" s="541"/>
      <c r="Q2024" s="541"/>
      <c r="S2024" s="405">
        <f t="shared" si="508"/>
        <v>0</v>
      </c>
      <c r="T2024" s="405">
        <f t="shared" si="517"/>
        <v>0</v>
      </c>
    </row>
    <row r="2025" spans="2:20" s="542" customFormat="1" hidden="1">
      <c r="C2025" s="543">
        <f t="shared" si="516"/>
        <v>0</v>
      </c>
      <c r="D2025" s="536"/>
      <c r="E2025" s="536"/>
      <c r="F2025" s="537" t="s">
        <v>1902</v>
      </c>
      <c r="G2025" s="536"/>
      <c r="H2025" s="537"/>
      <c r="I2025" s="537"/>
      <c r="J2025" s="537"/>
      <c r="K2025" s="537"/>
      <c r="L2025" s="537"/>
      <c r="M2025" s="537"/>
      <c r="N2025" s="537"/>
      <c r="O2025" s="537"/>
      <c r="P2025" s="537"/>
      <c r="Q2025" s="537"/>
      <c r="S2025" s="542">
        <f t="shared" si="508"/>
        <v>0</v>
      </c>
      <c r="T2025" s="542">
        <f t="shared" si="517"/>
        <v>0</v>
      </c>
    </row>
    <row r="2026" spans="2:20" s="542" customFormat="1">
      <c r="C2026" s="374">
        <f>IF(SUM(C2027:C2048)&lt;&gt;0,1,)</f>
        <v>1</v>
      </c>
      <c r="D2026" s="550"/>
      <c r="E2026" s="550"/>
      <c r="F2026" s="786" t="s">
        <v>3873</v>
      </c>
      <c r="G2026" s="550" t="s">
        <v>138</v>
      </c>
      <c r="H2026" s="550">
        <v>1</v>
      </c>
      <c r="I2026" s="551"/>
      <c r="J2026" s="551"/>
      <c r="K2026" s="551"/>
      <c r="L2026" s="551"/>
      <c r="M2026" s="551"/>
      <c r="N2026" s="551"/>
      <c r="O2026" s="551"/>
      <c r="P2026" s="551"/>
      <c r="Q2026" s="551"/>
    </row>
    <row r="2027" spans="2:20" s="405" customFormat="1">
      <c r="B2027" s="405" t="s">
        <v>1908</v>
      </c>
      <c r="C2027" s="418">
        <f t="shared" si="516"/>
        <v>1</v>
      </c>
      <c r="D2027" s="523"/>
      <c r="E2027" s="523">
        <f>VLOOKUP(B2027,DONGIA,DG!$B$6,0)</f>
        <v>0</v>
      </c>
      <c r="F2027" s="666" t="str">
        <f>VLOOKUP(B2027,DONGIA,DG!$C$6,0)&amp;" (SDL)"</f>
        <v>Cáp đồng bọc CV120 (SDL)</v>
      </c>
      <c r="G2027" s="523" t="str">
        <f>VLOOKUP(B2027,DONGIA,DG!$D$6,0)</f>
        <v>mét</v>
      </c>
      <c r="H2027" s="525">
        <f>9*2</f>
        <v>18</v>
      </c>
      <c r="I2027" s="525"/>
      <c r="J2027" s="525"/>
      <c r="K2027" s="525">
        <f>VLOOKUP(B2027,DONGIA,DG!$F$6,0)</f>
        <v>0</v>
      </c>
      <c r="L2027" s="525">
        <f>VLOOKUP(B2027,DONGIA,DG!$G$6,0)</f>
        <v>0</v>
      </c>
      <c r="M2027" s="525">
        <f t="shared" ref="M2027:M2048" si="530">$H2027*I2027</f>
        <v>0</v>
      </c>
      <c r="N2027" s="525">
        <f t="shared" ref="N2027:N2048" si="531">$H2027*J2027</f>
        <v>0</v>
      </c>
      <c r="O2027" s="525">
        <f t="shared" ref="O2027:O2048" si="532">$H2027*K2027</f>
        <v>0</v>
      </c>
      <c r="P2027" s="525">
        <f t="shared" ref="P2027:P2048" si="533">$H2027*L2027</f>
        <v>0</v>
      </c>
      <c r="Q2027" s="525"/>
      <c r="R2027" s="405">
        <f>50/2/0.22</f>
        <v>113.63636363636364</v>
      </c>
      <c r="S2027" s="405">
        <f t="shared" si="508"/>
        <v>1.2350000000000001</v>
      </c>
      <c r="T2027" s="405">
        <f t="shared" si="517"/>
        <v>22.23</v>
      </c>
    </row>
    <row r="2028" spans="2:20" s="405" customFormat="1">
      <c r="B2028" s="405" t="s">
        <v>1907</v>
      </c>
      <c r="C2028" s="418">
        <f t="shared" si="516"/>
        <v>1</v>
      </c>
      <c r="D2028" s="523"/>
      <c r="E2028" s="523">
        <f>VLOOKUP(B2028,DONGIA,DG!$B$6,0)</f>
        <v>0</v>
      </c>
      <c r="F2028" s="666" t="str">
        <f>VLOOKUP(B2028,DONGIA,DG!$C$6,0)&amp;" (SDL)"</f>
        <v>Cáp đồng bọc CV70 (SDL)</v>
      </c>
      <c r="G2028" s="523" t="str">
        <f>VLOOKUP(B2028,DONGIA,DG!$D$6,0)</f>
        <v>mét</v>
      </c>
      <c r="H2028" s="525">
        <f>9</f>
        <v>9</v>
      </c>
      <c r="I2028" s="525"/>
      <c r="J2028" s="525"/>
      <c r="K2028" s="525">
        <f>VLOOKUP(B2028,DONGIA,DG!$F$6,0)</f>
        <v>0</v>
      </c>
      <c r="L2028" s="525">
        <f>VLOOKUP(B2028,DONGIA,DG!$G$6,0)</f>
        <v>0</v>
      </c>
      <c r="M2028" s="525">
        <f t="shared" si="530"/>
        <v>0</v>
      </c>
      <c r="N2028" s="525">
        <f t="shared" si="531"/>
        <v>0</v>
      </c>
      <c r="O2028" s="525">
        <f t="shared" si="532"/>
        <v>0</v>
      </c>
      <c r="P2028" s="525">
        <f t="shared" si="533"/>
        <v>0</v>
      </c>
      <c r="Q2028" s="525"/>
      <c r="R2028" s="405">
        <f>75/2/0.22</f>
        <v>170.45454545454547</v>
      </c>
      <c r="S2028" s="405">
        <f t="shared" si="508"/>
        <v>0.73899999999999999</v>
      </c>
      <c r="T2028" s="405">
        <f t="shared" si="517"/>
        <v>6.6509999999999998</v>
      </c>
    </row>
    <row r="2029" spans="2:20" s="405" customFormat="1" hidden="1">
      <c r="B2029" s="405" t="s">
        <v>1907</v>
      </c>
      <c r="C2029" s="418">
        <f>IF(H2029&lt;&gt;0,1,)</f>
        <v>0</v>
      </c>
      <c r="D2029" s="523"/>
      <c r="E2029" s="523">
        <f>VLOOKUP(B2029,DONGIA,DG!$B$6,0)</f>
        <v>0</v>
      </c>
      <c r="F2029" s="525" t="str">
        <f>VLOOKUP(B2029,DONGIA,DG!$C$6,0)</f>
        <v>Cáp đồng bọc CV70</v>
      </c>
      <c r="G2029" s="523" t="str">
        <f>VLOOKUP(B2029,DONGIA,DG!$D$6,0)</f>
        <v>mét</v>
      </c>
      <c r="H2029" s="525"/>
      <c r="I2029" s="525">
        <f>VLOOKUP(B2029,DONGIA,DG!$E$6,0)</f>
        <v>142880</v>
      </c>
      <c r="J2029" s="525"/>
      <c r="K2029" s="525">
        <f>VLOOKUP(B2029,DONGIA,DG!$F$6,0)</f>
        <v>0</v>
      </c>
      <c r="L2029" s="525">
        <f>VLOOKUP(B2029,DONGIA,DG!$G$6,0)</f>
        <v>0</v>
      </c>
      <c r="M2029" s="525">
        <f>$H2029*I2029</f>
        <v>0</v>
      </c>
      <c r="N2029" s="525">
        <f>$H2029*J2029</f>
        <v>0</v>
      </c>
      <c r="O2029" s="525">
        <f>$H2029*K2029</f>
        <v>0</v>
      </c>
      <c r="P2029" s="525">
        <f>$H2029*L2029</f>
        <v>0</v>
      </c>
      <c r="Q2029" s="525"/>
      <c r="R2029" s="405">
        <f>75/2/0.22</f>
        <v>170.45454545454547</v>
      </c>
      <c r="S2029" s="405">
        <f>IFERROR(VLOOKUP(B2029,DONGIA,$S$25,0),0)</f>
        <v>0.73899999999999999</v>
      </c>
      <c r="T2029" s="405">
        <f>H2029*S2029</f>
        <v>0</v>
      </c>
    </row>
    <row r="2030" spans="2:20" s="405" customFormat="1" hidden="1">
      <c r="B2030" s="405" t="s">
        <v>3520</v>
      </c>
      <c r="C2030" s="418">
        <f t="shared" si="516"/>
        <v>0</v>
      </c>
      <c r="D2030" s="523"/>
      <c r="E2030" s="523">
        <f>VLOOKUP(B2030,DONGIA,DG!$B$6,0)</f>
        <v>0</v>
      </c>
      <c r="F2030" s="525" t="str">
        <f>VLOOKUP(B2030,DONGIA,DG!$C$6,0)</f>
        <v>Cáp điều khiển CVV 6x4,0mm2</v>
      </c>
      <c r="G2030" s="523" t="str">
        <f>VLOOKUP(B2030,DONGIA,DG!$D$6,0)</f>
        <v>mét</v>
      </c>
      <c r="H2030" s="525"/>
      <c r="I2030" s="525">
        <f>VLOOKUP(B2030,DONGIA,DG!$E$6,0)</f>
        <v>71600</v>
      </c>
      <c r="J2030" s="525"/>
      <c r="K2030" s="525">
        <f>VLOOKUP(B2030,DONGIA,DG!$F$6,0)</f>
        <v>0</v>
      </c>
      <c r="L2030" s="525">
        <f>VLOOKUP(B2030,DONGIA,DG!$G$6,0)</f>
        <v>0</v>
      </c>
      <c r="M2030" s="525">
        <f t="shared" si="530"/>
        <v>0</v>
      </c>
      <c r="N2030" s="525">
        <f t="shared" si="531"/>
        <v>0</v>
      </c>
      <c r="O2030" s="525">
        <f t="shared" si="532"/>
        <v>0</v>
      </c>
      <c r="P2030" s="525">
        <f t="shared" si="533"/>
        <v>0</v>
      </c>
      <c r="Q2030" s="525"/>
      <c r="R2030" s="405">
        <f>100/2/0.22</f>
        <v>227.27272727272728</v>
      </c>
      <c r="S2030" s="405">
        <f t="shared" si="508"/>
        <v>3.024</v>
      </c>
      <c r="T2030" s="405">
        <f t="shared" si="517"/>
        <v>0</v>
      </c>
    </row>
    <row r="2031" spans="2:20" s="405" customFormat="1" hidden="1">
      <c r="B2031" s="405" t="s">
        <v>1119</v>
      </c>
      <c r="C2031" s="418">
        <f t="shared" si="516"/>
        <v>0</v>
      </c>
      <c r="D2031" s="523"/>
      <c r="E2031" s="523"/>
      <c r="F2031" s="525" t="str">
        <f>VLOOKUP(B2031,DONGIA,DG!$C$6,0)</f>
        <v>Đầu cosse ép Cu 120mm2</v>
      </c>
      <c r="G2031" s="523" t="str">
        <f>VLOOKUP(B2031,DONGIA,DG!$D$6,0)</f>
        <v>cái</v>
      </c>
      <c r="H2031" s="525"/>
      <c r="I2031" s="525">
        <f>VLOOKUP(B2031,DONGIA,DG!$E$6,0)</f>
        <v>65000</v>
      </c>
      <c r="J2031" s="525"/>
      <c r="K2031" s="525"/>
      <c r="L2031" s="525"/>
      <c r="M2031" s="525">
        <f t="shared" si="530"/>
        <v>0</v>
      </c>
      <c r="N2031" s="525">
        <f t="shared" si="531"/>
        <v>0</v>
      </c>
      <c r="O2031" s="525">
        <f t="shared" si="532"/>
        <v>0</v>
      </c>
      <c r="P2031" s="525">
        <f t="shared" si="533"/>
        <v>0</v>
      </c>
      <c r="Q2031" s="525"/>
      <c r="S2031" s="405">
        <f t="shared" si="508"/>
        <v>0.1</v>
      </c>
      <c r="T2031" s="405">
        <f t="shared" si="517"/>
        <v>0</v>
      </c>
    </row>
    <row r="2032" spans="2:20" s="405" customFormat="1" hidden="1">
      <c r="B2032" s="405" t="s">
        <v>1113</v>
      </c>
      <c r="C2032" s="418">
        <f>IF(H2032&lt;&gt;0,1,)</f>
        <v>0</v>
      </c>
      <c r="D2032" s="523"/>
      <c r="E2032" s="523"/>
      <c r="F2032" s="525" t="str">
        <f>VLOOKUP(B2032,DONGIA,DG!$C$6,0)</f>
        <v>Đầu cosse ép Cu 70mm2</v>
      </c>
      <c r="G2032" s="523" t="str">
        <f>VLOOKUP(B2032,DONGIA,DG!$D$6,0)</f>
        <v>cái</v>
      </c>
      <c r="H2032" s="525"/>
      <c r="I2032" s="525">
        <f>VLOOKUP(B2032,DONGIA,DG!$E$6,0)</f>
        <v>33000</v>
      </c>
      <c r="J2032" s="525"/>
      <c r="K2032" s="525"/>
      <c r="L2032" s="525"/>
      <c r="M2032" s="525">
        <f>$H2032*I2032</f>
        <v>0</v>
      </c>
      <c r="N2032" s="525">
        <f>$H2032*J2032</f>
        <v>0</v>
      </c>
      <c r="O2032" s="525">
        <f>$H2032*K2032</f>
        <v>0</v>
      </c>
      <c r="P2032" s="525">
        <f>$H2032*L2032</f>
        <v>0</v>
      </c>
      <c r="Q2032" s="525"/>
      <c r="S2032" s="405">
        <f>IFERROR(VLOOKUP(B2032,DONGIA,$S$25,0),0)</f>
        <v>0.2</v>
      </c>
      <c r="T2032" s="405">
        <f>H2032*S2032</f>
        <v>0</v>
      </c>
    </row>
    <row r="2033" spans="2:20" s="405" customFormat="1" hidden="1">
      <c r="B2033" s="405" t="s">
        <v>1113</v>
      </c>
      <c r="C2033" s="418">
        <f t="shared" si="516"/>
        <v>0</v>
      </c>
      <c r="D2033" s="523"/>
      <c r="E2033" s="523"/>
      <c r="F2033" s="525" t="str">
        <f>VLOOKUP(B2033,DONGIA,DG!$C$6,0)</f>
        <v>Đầu cosse ép Cu 70mm2</v>
      </c>
      <c r="G2033" s="523" t="str">
        <f>VLOOKUP(B2033,DONGIA,DG!$D$6,0)</f>
        <v>cái</v>
      </c>
      <c r="H2033" s="525"/>
      <c r="I2033" s="525">
        <f>VLOOKUP(B2033,DONGIA,DG!$E$6,0)</f>
        <v>33000</v>
      </c>
      <c r="J2033" s="525"/>
      <c r="K2033" s="525"/>
      <c r="L2033" s="525"/>
      <c r="M2033" s="525">
        <f t="shared" si="530"/>
        <v>0</v>
      </c>
      <c r="N2033" s="525">
        <f t="shared" si="531"/>
        <v>0</v>
      </c>
      <c r="O2033" s="525">
        <f t="shared" si="532"/>
        <v>0</v>
      </c>
      <c r="P2033" s="525">
        <f t="shared" si="533"/>
        <v>0</v>
      </c>
      <c r="Q2033" s="525"/>
      <c r="S2033" s="405">
        <f t="shared" si="508"/>
        <v>0.2</v>
      </c>
      <c r="T2033" s="405">
        <f t="shared" si="517"/>
        <v>0</v>
      </c>
    </row>
    <row r="2034" spans="2:20" s="405" customFormat="1" hidden="1">
      <c r="B2034" s="405" t="s">
        <v>1151</v>
      </c>
      <c r="C2034" s="418">
        <f t="shared" si="516"/>
        <v>0</v>
      </c>
      <c r="D2034" s="523"/>
      <c r="E2034" s="523">
        <f>VLOOKUP(B2034,DONGIA,DG!$B$6,0)</f>
        <v>0</v>
      </c>
      <c r="F2034" s="525" t="str">
        <f>VLOOKUP(B2034,DONGIA,DG!$C$6,0)</f>
        <v>Chụp đầu cosse  120mm2</v>
      </c>
      <c r="G2034" s="523" t="str">
        <f>VLOOKUP(B2034,DONGIA,DG!$D$6,0)</f>
        <v>cái</v>
      </c>
      <c r="H2034" s="525"/>
      <c r="I2034" s="525">
        <f>VLOOKUP(B2034,DONGIA,DG!$E$6,0)</f>
        <v>3500</v>
      </c>
      <c r="J2034" s="525"/>
      <c r="K2034" s="525">
        <f>VLOOKUP(B2034,DONGIA,DG!$F$6,0)</f>
        <v>0</v>
      </c>
      <c r="L2034" s="525">
        <f>VLOOKUP(B2034,DONGIA,DG!$G$6,0)</f>
        <v>0</v>
      </c>
      <c r="M2034" s="525">
        <f t="shared" si="530"/>
        <v>0</v>
      </c>
      <c r="N2034" s="525">
        <f t="shared" si="531"/>
        <v>0</v>
      </c>
      <c r="O2034" s="525">
        <f t="shared" si="532"/>
        <v>0</v>
      </c>
      <c r="P2034" s="525">
        <f t="shared" si="533"/>
        <v>0</v>
      </c>
      <c r="Q2034" s="525"/>
      <c r="S2034" s="405">
        <f t="shared" si="508"/>
        <v>0</v>
      </c>
      <c r="T2034" s="405">
        <f t="shared" si="517"/>
        <v>0</v>
      </c>
    </row>
    <row r="2035" spans="2:20" s="405" customFormat="1" hidden="1">
      <c r="B2035" s="405" t="s">
        <v>1147</v>
      </c>
      <c r="C2035" s="418">
        <f>IF(H2035&lt;&gt;0,1,)</f>
        <v>0</v>
      </c>
      <c r="D2035" s="523"/>
      <c r="E2035" s="523">
        <f>VLOOKUP(B2035,DONGIA,DG!$B$6,0)</f>
        <v>0</v>
      </c>
      <c r="F2035" s="525" t="str">
        <f>VLOOKUP(B2035,DONGIA,DG!$C$6,0)</f>
        <v>Chụp đầu cosse  70mm2</v>
      </c>
      <c r="G2035" s="523" t="str">
        <f>VLOOKUP(B2035,DONGIA,DG!$D$6,0)</f>
        <v>cái</v>
      </c>
      <c r="H2035" s="525"/>
      <c r="I2035" s="525">
        <f>VLOOKUP(B2035,DONGIA,DG!$E$6,0)</f>
        <v>2000</v>
      </c>
      <c r="J2035" s="525"/>
      <c r="K2035" s="525">
        <f>VLOOKUP(B2035,DONGIA,DG!$F$6,0)</f>
        <v>0</v>
      </c>
      <c r="L2035" s="525">
        <f>VLOOKUP(B2035,DONGIA,DG!$G$6,0)</f>
        <v>0</v>
      </c>
      <c r="M2035" s="525">
        <f>$H2035*I2035</f>
        <v>0</v>
      </c>
      <c r="N2035" s="525">
        <f>$H2035*J2035</f>
        <v>0</v>
      </c>
      <c r="O2035" s="525">
        <f>$H2035*K2035</f>
        <v>0</v>
      </c>
      <c r="P2035" s="525">
        <f>$H2035*L2035</f>
        <v>0</v>
      </c>
      <c r="Q2035" s="525"/>
      <c r="S2035" s="405">
        <f>IFERROR(VLOOKUP(B2035,DONGIA,$S$25,0),0)</f>
        <v>0</v>
      </c>
      <c r="T2035" s="405">
        <f>H2035*S2035</f>
        <v>0</v>
      </c>
    </row>
    <row r="2036" spans="2:20" s="405" customFormat="1" hidden="1">
      <c r="B2036" s="405" t="s">
        <v>1147</v>
      </c>
      <c r="C2036" s="418">
        <f t="shared" si="516"/>
        <v>0</v>
      </c>
      <c r="D2036" s="523"/>
      <c r="E2036" s="523">
        <f>VLOOKUP(B2036,DONGIA,DG!$B$6,0)</f>
        <v>0</v>
      </c>
      <c r="F2036" s="525" t="str">
        <f>VLOOKUP(B2036,DONGIA,DG!$C$6,0)</f>
        <v>Chụp đầu cosse  70mm2</v>
      </c>
      <c r="G2036" s="523" t="str">
        <f>VLOOKUP(B2036,DONGIA,DG!$D$6,0)</f>
        <v>cái</v>
      </c>
      <c r="H2036" s="525"/>
      <c r="I2036" s="525">
        <f>VLOOKUP(B2036,DONGIA,DG!$E$6,0)</f>
        <v>2000</v>
      </c>
      <c r="J2036" s="525"/>
      <c r="K2036" s="525">
        <f>VLOOKUP(B2036,DONGIA,DG!$F$6,0)</f>
        <v>0</v>
      </c>
      <c r="L2036" s="525">
        <f>VLOOKUP(B2036,DONGIA,DG!$G$6,0)</f>
        <v>0</v>
      </c>
      <c r="M2036" s="525">
        <f t="shared" si="530"/>
        <v>0</v>
      </c>
      <c r="N2036" s="525">
        <f t="shared" si="531"/>
        <v>0</v>
      </c>
      <c r="O2036" s="525">
        <f t="shared" si="532"/>
        <v>0</v>
      </c>
      <c r="P2036" s="525">
        <f t="shared" si="533"/>
        <v>0</v>
      </c>
      <c r="Q2036" s="525"/>
      <c r="S2036" s="405">
        <f t="shared" si="508"/>
        <v>0</v>
      </c>
      <c r="T2036" s="405">
        <f t="shared" si="517"/>
        <v>0</v>
      </c>
    </row>
    <row r="2037" spans="2:20" s="405" customFormat="1">
      <c r="B2037" s="405" t="s">
        <v>1177</v>
      </c>
      <c r="C2037" s="418">
        <f t="shared" si="516"/>
        <v>1</v>
      </c>
      <c r="D2037" s="523"/>
      <c r="E2037" s="523">
        <f>VLOOKUP(B2037,DONGIA,DG!$B$6,0)</f>
        <v>0</v>
      </c>
      <c r="F2037" s="666" t="str">
        <f>VLOOKUP(B2037,DONGIA,DG!$C$6,0)&amp;" (SDL)"</f>
        <v>Ống PVC D90x3,8mm  (SDL)</v>
      </c>
      <c r="G2037" s="523" t="str">
        <f>VLOOKUP(B2037,DONGIA,DG!$D$6,0)</f>
        <v>m</v>
      </c>
      <c r="H2037" s="525">
        <v>5</v>
      </c>
      <c r="I2037" s="525"/>
      <c r="J2037" s="525"/>
      <c r="K2037" s="525">
        <f>VLOOKUP(B2037,DONGIA,DG!$F$6,0)</f>
        <v>0</v>
      </c>
      <c r="L2037" s="525">
        <f>VLOOKUP(B2037,DONGIA,DG!$G$6,0)</f>
        <v>0</v>
      </c>
      <c r="M2037" s="525">
        <f t="shared" si="530"/>
        <v>0</v>
      </c>
      <c r="N2037" s="525">
        <f t="shared" si="531"/>
        <v>0</v>
      </c>
      <c r="O2037" s="525">
        <f t="shared" si="532"/>
        <v>0</v>
      </c>
      <c r="P2037" s="525">
        <f t="shared" si="533"/>
        <v>0</v>
      </c>
      <c r="Q2037" s="525"/>
      <c r="S2037" s="405">
        <f t="shared" si="508"/>
        <v>2</v>
      </c>
      <c r="T2037" s="405">
        <f t="shared" si="517"/>
        <v>10</v>
      </c>
    </row>
    <row r="2038" spans="2:20" s="405" customFormat="1" hidden="1">
      <c r="B2038" s="405" t="s">
        <v>456</v>
      </c>
      <c r="C2038" s="418">
        <f t="shared" si="516"/>
        <v>0</v>
      </c>
      <c r="D2038" s="523"/>
      <c r="E2038" s="523">
        <f>VLOOKUP(B2038,DONGIA,DG!$B$6,0)</f>
        <v>0</v>
      </c>
      <c r="F2038" s="525" t="str">
        <f>VLOOKUP(B2038,DONGIA,DG!$C$6,0)&amp;" (CD: 230)"</f>
        <v>Cổ dê kẹp ống PVC φ 114 (có giá nới) (CD: 230)</v>
      </c>
      <c r="G2038" s="523" t="str">
        <f>VLOOKUP(B2038,DONGIA,DG!$D$6,0)</f>
        <v>bộ</v>
      </c>
      <c r="H2038" s="525"/>
      <c r="I2038" s="525">
        <f>VLOOKUP(B2038,DONGIA,DG!$E$6,0)</f>
        <v>68000</v>
      </c>
      <c r="J2038" s="525"/>
      <c r="K2038" s="525"/>
      <c r="L2038" s="525">
        <f>VLOOKUP(B2038,DONGIA,DG!$G$6,0)</f>
        <v>0</v>
      </c>
      <c r="M2038" s="525">
        <f t="shared" si="530"/>
        <v>0</v>
      </c>
      <c r="N2038" s="525">
        <f t="shared" si="531"/>
        <v>0</v>
      </c>
      <c r="O2038" s="525">
        <f t="shared" si="532"/>
        <v>0</v>
      </c>
      <c r="P2038" s="525">
        <f t="shared" si="533"/>
        <v>0</v>
      </c>
      <c r="Q2038" s="525"/>
      <c r="S2038" s="405">
        <f t="shared" si="508"/>
        <v>1.5</v>
      </c>
      <c r="T2038" s="405">
        <f t="shared" si="517"/>
        <v>0</v>
      </c>
    </row>
    <row r="2039" spans="2:20" s="405" customFormat="1" hidden="1">
      <c r="B2039" s="405" t="s">
        <v>456</v>
      </c>
      <c r="C2039" s="418">
        <f t="shared" si="516"/>
        <v>0</v>
      </c>
      <c r="D2039" s="523"/>
      <c r="E2039" s="523">
        <f>VLOOKUP(B2039,DONGIA,DG!$B$6,0)</f>
        <v>0</v>
      </c>
      <c r="F2039" s="525" t="str">
        <f>VLOOKUP(B2039,DONGIA,DG!$C$6,0)&amp;" (CD: 250)"</f>
        <v>Cổ dê kẹp ống PVC φ 114 (có giá nới) (CD: 250)</v>
      </c>
      <c r="G2039" s="523" t="str">
        <f>VLOOKUP(B2039,DONGIA,DG!$D$6,0)</f>
        <v>bộ</v>
      </c>
      <c r="H2039" s="525"/>
      <c r="I2039" s="525">
        <f>VLOOKUP(B2039,DONGIA,DG!$E$6,0)</f>
        <v>68000</v>
      </c>
      <c r="J2039" s="525"/>
      <c r="K2039" s="525"/>
      <c r="L2039" s="525">
        <f>VLOOKUP(B2039,DONGIA,DG!$G$6,0)</f>
        <v>0</v>
      </c>
      <c r="M2039" s="525">
        <f t="shared" si="530"/>
        <v>0</v>
      </c>
      <c r="N2039" s="525">
        <f t="shared" si="531"/>
        <v>0</v>
      </c>
      <c r="O2039" s="525">
        <f t="shared" si="532"/>
        <v>0</v>
      </c>
      <c r="P2039" s="525">
        <f t="shared" si="533"/>
        <v>0</v>
      </c>
      <c r="Q2039" s="525"/>
      <c r="S2039" s="405">
        <f t="shared" si="508"/>
        <v>1.5</v>
      </c>
      <c r="T2039" s="405">
        <f t="shared" si="517"/>
        <v>0</v>
      </c>
    </row>
    <row r="2040" spans="2:20" s="405" customFormat="1" hidden="1">
      <c r="B2040" s="405" t="s">
        <v>456</v>
      </c>
      <c r="C2040" s="418">
        <f t="shared" si="516"/>
        <v>0</v>
      </c>
      <c r="D2040" s="523"/>
      <c r="E2040" s="523">
        <f>VLOOKUP(B2040,DONGIA,DG!$B$6,0)</f>
        <v>0</v>
      </c>
      <c r="F2040" s="525" t="str">
        <f>VLOOKUP(B2040,DONGIA,DG!$C$6,0)&amp;" (CD: 280)"</f>
        <v>Cổ dê kẹp ống PVC φ 114 (có giá nới) (CD: 280)</v>
      </c>
      <c r="G2040" s="523" t="str">
        <f>VLOOKUP(B2040,DONGIA,DG!$D$6,0)</f>
        <v>bộ</v>
      </c>
      <c r="H2040" s="525"/>
      <c r="I2040" s="525">
        <f>VLOOKUP(B2040,DONGIA,DG!$E$6,0)</f>
        <v>68000</v>
      </c>
      <c r="J2040" s="525"/>
      <c r="K2040" s="525"/>
      <c r="L2040" s="525">
        <f>VLOOKUP(B2040,DONGIA,DG!$G$6,0)</f>
        <v>0</v>
      </c>
      <c r="M2040" s="525">
        <f t="shared" si="530"/>
        <v>0</v>
      </c>
      <c r="N2040" s="525">
        <f t="shared" si="531"/>
        <v>0</v>
      </c>
      <c r="O2040" s="525">
        <f t="shared" si="532"/>
        <v>0</v>
      </c>
      <c r="P2040" s="525">
        <f t="shared" si="533"/>
        <v>0</v>
      </c>
      <c r="Q2040" s="525"/>
      <c r="S2040" s="405">
        <f t="shared" si="508"/>
        <v>1.5</v>
      </c>
      <c r="T2040" s="405">
        <f t="shared" si="517"/>
        <v>0</v>
      </c>
    </row>
    <row r="2041" spans="2:20" s="405" customFormat="1" hidden="1">
      <c r="B2041" s="405" t="s">
        <v>2957</v>
      </c>
      <c r="C2041" s="418">
        <f t="shared" si="516"/>
        <v>0</v>
      </c>
      <c r="D2041" s="523"/>
      <c r="E2041" s="523">
        <f>VLOOKUP(B2041,DONGIA,DG!$B$6,0)</f>
        <v>0</v>
      </c>
      <c r="F2041" s="525" t="str">
        <f>VLOOKUP(B2041,DONGIA,DG!$C$6,0)</f>
        <v>Co  90 độ PVC 114 (Loại dày)</v>
      </c>
      <c r="G2041" s="523" t="str">
        <f>VLOOKUP(B2041,DONGIA,DG!$D$6,0)</f>
        <v>cái</v>
      </c>
      <c r="H2041" s="525"/>
      <c r="I2041" s="525">
        <f>VLOOKUP(B2041,DONGIA,DG!$E$6,0)</f>
        <v>104800</v>
      </c>
      <c r="J2041" s="525"/>
      <c r="K2041" s="525">
        <f>VLOOKUP(B2041,DONGIA,DG!$F$6,0)</f>
        <v>0</v>
      </c>
      <c r="L2041" s="525">
        <f>VLOOKUP(B2041,DONGIA,DG!$G$6,0)</f>
        <v>0</v>
      </c>
      <c r="M2041" s="525">
        <f t="shared" si="530"/>
        <v>0</v>
      </c>
      <c r="N2041" s="525">
        <f t="shared" si="531"/>
        <v>0</v>
      </c>
      <c r="O2041" s="525">
        <f t="shared" si="532"/>
        <v>0</v>
      </c>
      <c r="P2041" s="525">
        <f t="shared" si="533"/>
        <v>0</v>
      </c>
      <c r="Q2041" s="525"/>
      <c r="S2041" s="405">
        <f t="shared" si="508"/>
        <v>0</v>
      </c>
      <c r="T2041" s="405">
        <f t="shared" si="517"/>
        <v>0</v>
      </c>
    </row>
    <row r="2042" spans="2:20" s="405" customFormat="1" hidden="1">
      <c r="B2042" s="405" t="s">
        <v>1189</v>
      </c>
      <c r="C2042" s="418">
        <f t="shared" si="516"/>
        <v>0</v>
      </c>
      <c r="D2042" s="523"/>
      <c r="E2042" s="523">
        <f>VLOOKUP(B2042,DONGIA,DG!$B$6,0)</f>
        <v>0</v>
      </c>
      <c r="F2042" s="525" t="str">
        <f>VLOOKUP(B2042,DONGIA,DG!$C$6,0)</f>
        <v>Co 135 độ PVC 114</v>
      </c>
      <c r="G2042" s="523" t="str">
        <f>VLOOKUP(B2042,DONGIA,DG!$D$6,0)</f>
        <v>cái</v>
      </c>
      <c r="H2042" s="525"/>
      <c r="I2042" s="525">
        <f>VLOOKUP(B2042,DONGIA,DG!$E$6,0)</f>
        <v>70800</v>
      </c>
      <c r="J2042" s="525"/>
      <c r="K2042" s="525">
        <f>VLOOKUP(B2042,DONGIA,DG!$F$6,0)</f>
        <v>0</v>
      </c>
      <c r="L2042" s="525">
        <f>VLOOKUP(B2042,DONGIA,DG!$G$6,0)</f>
        <v>0</v>
      </c>
      <c r="M2042" s="525">
        <f t="shared" si="530"/>
        <v>0</v>
      </c>
      <c r="N2042" s="525">
        <f t="shared" si="531"/>
        <v>0</v>
      </c>
      <c r="O2042" s="525">
        <f t="shared" si="532"/>
        <v>0</v>
      </c>
      <c r="P2042" s="525">
        <f t="shared" si="533"/>
        <v>0</v>
      </c>
      <c r="Q2042" s="525"/>
      <c r="S2042" s="405">
        <f t="shared" ref="S2042:S2167" si="534">IFERROR(VLOOKUP(B2042,DONGIA,$S$25,0),0)</f>
        <v>0</v>
      </c>
      <c r="T2042" s="405">
        <f t="shared" si="517"/>
        <v>0</v>
      </c>
    </row>
    <row r="2043" spans="2:20" s="405" customFormat="1" hidden="1">
      <c r="B2043" s="405" t="s">
        <v>1914</v>
      </c>
      <c r="C2043" s="418">
        <f t="shared" si="516"/>
        <v>0</v>
      </c>
      <c r="D2043" s="523"/>
      <c r="E2043" s="523">
        <f>VLOOKUP(B2043,DONGIA,DG!$B$6,0)</f>
        <v>0</v>
      </c>
      <c r="F2043" s="525" t="str">
        <f>VLOOKUP(B2043,DONGIA,DG!$C$6,0)</f>
        <v>Keo dán ống PVC (100gr)</v>
      </c>
      <c r="G2043" s="523" t="str">
        <f>VLOOKUP(B2043,DONGIA,DG!$D$6,0)</f>
        <v>tuýp</v>
      </c>
      <c r="H2043" s="525"/>
      <c r="I2043" s="525">
        <f>VLOOKUP(B2043,DONGIA,DG!$E$6,0)</f>
        <v>11500</v>
      </c>
      <c r="J2043" s="525"/>
      <c r="K2043" s="525">
        <f>VLOOKUP(B2043,DONGIA,DG!$F$6,0)</f>
        <v>0</v>
      </c>
      <c r="L2043" s="525">
        <f>VLOOKUP(B2043,DONGIA,DG!$G$6,0)</f>
        <v>0</v>
      </c>
      <c r="M2043" s="525">
        <f t="shared" si="530"/>
        <v>0</v>
      </c>
      <c r="N2043" s="525">
        <f t="shared" si="531"/>
        <v>0</v>
      </c>
      <c r="O2043" s="525">
        <f t="shared" si="532"/>
        <v>0</v>
      </c>
      <c r="P2043" s="525">
        <f t="shared" si="533"/>
        <v>0</v>
      </c>
      <c r="Q2043" s="525"/>
      <c r="S2043" s="405">
        <f t="shared" si="534"/>
        <v>0</v>
      </c>
      <c r="T2043" s="405">
        <f t="shared" si="517"/>
        <v>0</v>
      </c>
    </row>
    <row r="2044" spans="2:20" s="405" customFormat="1" hidden="1">
      <c r="B2044" s="405" t="s">
        <v>1639</v>
      </c>
      <c r="C2044" s="418">
        <f t="shared" si="516"/>
        <v>0</v>
      </c>
      <c r="D2044" s="523"/>
      <c r="E2044" s="523">
        <f>VLOOKUP(B2044,DONGIA,DG!$B$6,0)</f>
        <v>0</v>
      </c>
      <c r="F2044" s="525" t="str">
        <f>VLOOKUP(B2044,DONGIA,DG!$C$6,0)&amp;" bịt miệng ống"</f>
        <v>Xi măng bịt miệng ống</v>
      </c>
      <c r="G2044" s="523" t="str">
        <f>VLOOKUP(B2044,DONGIA,DG!$D$6,0)</f>
        <v>kg</v>
      </c>
      <c r="H2044" s="554"/>
      <c r="I2044" s="525">
        <f>VLOOKUP(B2044,DONGIA,DG!$E$6,0)</f>
        <v>1760</v>
      </c>
      <c r="J2044" s="525"/>
      <c r="K2044" s="525">
        <f>VLOOKUP(B2044,DONGIA,DG!$F$6,0)</f>
        <v>0</v>
      </c>
      <c r="L2044" s="525">
        <f>VLOOKUP(B2044,DONGIA,DG!$G$6,0)</f>
        <v>0</v>
      </c>
      <c r="M2044" s="525">
        <f t="shared" si="530"/>
        <v>0</v>
      </c>
      <c r="N2044" s="525">
        <f t="shared" si="531"/>
        <v>0</v>
      </c>
      <c r="O2044" s="525">
        <f t="shared" si="532"/>
        <v>0</v>
      </c>
      <c r="P2044" s="525">
        <f t="shared" si="533"/>
        <v>0</v>
      </c>
      <c r="Q2044" s="525"/>
      <c r="S2044" s="405">
        <f t="shared" si="534"/>
        <v>1</v>
      </c>
      <c r="T2044" s="405">
        <f t="shared" si="517"/>
        <v>0</v>
      </c>
    </row>
    <row r="2045" spans="2:20" s="405" customFormat="1" hidden="1">
      <c r="B2045" s="405" t="s">
        <v>1193</v>
      </c>
      <c r="C2045" s="418">
        <f t="shared" si="516"/>
        <v>0</v>
      </c>
      <c r="D2045" s="523"/>
      <c r="E2045" s="523">
        <f>VLOOKUP(B2045,DONGIA,DG!$B$6,0)</f>
        <v>0</v>
      </c>
      <c r="F2045" s="525" t="str">
        <f>VLOOKUP(B2045,DONGIA,DG!$C$6,0)</f>
        <v>Băng keo cách điện</v>
      </c>
      <c r="G2045" s="523" t="str">
        <f>VLOOKUP(B2045,DONGIA,DG!$D$6,0)</f>
        <v>cuộn</v>
      </c>
      <c r="H2045" s="525"/>
      <c r="I2045" s="525">
        <f>VLOOKUP(B2045,DONGIA,DG!$E$6,0)</f>
        <v>6500</v>
      </c>
      <c r="J2045" s="525"/>
      <c r="K2045" s="525">
        <f>VLOOKUP(B2045,DONGIA,DG!$F$6,0)</f>
        <v>0</v>
      </c>
      <c r="L2045" s="525">
        <f>VLOOKUP(B2045,DONGIA,DG!$G$6,0)</f>
        <v>0</v>
      </c>
      <c r="M2045" s="525">
        <f t="shared" si="530"/>
        <v>0</v>
      </c>
      <c r="N2045" s="525">
        <f t="shared" si="531"/>
        <v>0</v>
      </c>
      <c r="O2045" s="525">
        <f t="shared" si="532"/>
        <v>0</v>
      </c>
      <c r="P2045" s="525">
        <f t="shared" si="533"/>
        <v>0</v>
      </c>
      <c r="Q2045" s="525"/>
      <c r="S2045" s="405">
        <f t="shared" si="534"/>
        <v>0</v>
      </c>
      <c r="T2045" s="405">
        <f t="shared" si="517"/>
        <v>0</v>
      </c>
    </row>
    <row r="2046" spans="2:20" s="405" customFormat="1">
      <c r="B2046" s="405" t="s">
        <v>855</v>
      </c>
      <c r="C2046" s="418">
        <f t="shared" si="516"/>
        <v>1</v>
      </c>
      <c r="D2046" s="523"/>
      <c r="E2046" s="523" t="str">
        <f>VLOOKUP(B2046,DONGIA,DG!$B$6,0)</f>
        <v>T4.8003</v>
      </c>
      <c r="F2046" s="666" t="str">
        <f>VLOOKUP(B2046,DONGIA,DG!$C$6,0)</f>
        <v>Lắp ống nhựa PVC D90</v>
      </c>
      <c r="G2046" s="523" t="str">
        <f>VLOOKUP(B2046,DONGIA,DG!$D$6,0)</f>
        <v>mét</v>
      </c>
      <c r="H2046" s="525">
        <f>H2037</f>
        <v>5</v>
      </c>
      <c r="I2046" s="525">
        <f>VLOOKUP(B2046,DONGIA,DG!$E$6,0)</f>
        <v>0</v>
      </c>
      <c r="J2046" s="525"/>
      <c r="K2046" s="525">
        <f>VLOOKUP(B2046,DONGIA,DG!$F$6,0)</f>
        <v>35541</v>
      </c>
      <c r="L2046" s="525">
        <f>VLOOKUP(B2046,DONGIA,DG!$G$6,0)</f>
        <v>0</v>
      </c>
      <c r="M2046" s="525">
        <f t="shared" si="530"/>
        <v>0</v>
      </c>
      <c r="N2046" s="525">
        <f t="shared" si="531"/>
        <v>0</v>
      </c>
      <c r="O2046" s="525">
        <f t="shared" si="532"/>
        <v>177705</v>
      </c>
      <c r="P2046" s="525">
        <f t="shared" si="533"/>
        <v>0</v>
      </c>
      <c r="Q2046" s="525"/>
      <c r="S2046" s="405">
        <f t="shared" si="534"/>
        <v>0</v>
      </c>
      <c r="T2046" s="405">
        <f t="shared" si="517"/>
        <v>0</v>
      </c>
    </row>
    <row r="2047" spans="2:20" s="405" customFormat="1">
      <c r="B2047" s="405" t="s">
        <v>1939</v>
      </c>
      <c r="C2047" s="418">
        <f t="shared" si="516"/>
        <v>1</v>
      </c>
      <c r="D2047" s="523"/>
      <c r="E2047" s="523" t="str">
        <f>VLOOKUP(B2047,DONGIA,DG!$B$6,0)</f>
        <v>T4.4201</v>
      </c>
      <c r="F2047" s="666" t="str">
        <f>VLOOKUP(B2047,DONGIA,DG!$C$6,0)</f>
        <v>Lắp cáp đồng xuống thiết bị D ≤ 95mm2</v>
      </c>
      <c r="G2047" s="523" t="str">
        <f>VLOOKUP(B2047,DONGIA,DG!$D$6,0)</f>
        <v>m</v>
      </c>
      <c r="H2047" s="525">
        <f>H2028</f>
        <v>9</v>
      </c>
      <c r="I2047" s="525">
        <f>VLOOKUP(B2047,DONGIA,DG!$E$6,0)</f>
        <v>0</v>
      </c>
      <c r="J2047" s="525"/>
      <c r="K2047" s="525">
        <f>VLOOKUP(B2047,DONGIA,DG!$F$6,0)</f>
        <v>11847</v>
      </c>
      <c r="L2047" s="525">
        <f>VLOOKUP(B2047,DONGIA,DG!$G$6,0)</f>
        <v>0</v>
      </c>
      <c r="M2047" s="525">
        <f t="shared" si="530"/>
        <v>0</v>
      </c>
      <c r="N2047" s="525">
        <f t="shared" si="531"/>
        <v>0</v>
      </c>
      <c r="O2047" s="525">
        <f t="shared" si="532"/>
        <v>106623</v>
      </c>
      <c r="P2047" s="525">
        <f t="shared" si="533"/>
        <v>0</v>
      </c>
      <c r="Q2047" s="525"/>
      <c r="S2047" s="405">
        <f t="shared" si="534"/>
        <v>0</v>
      </c>
      <c r="T2047" s="405">
        <f t="shared" si="517"/>
        <v>0</v>
      </c>
    </row>
    <row r="2048" spans="2:20" s="405" customFormat="1">
      <c r="B2048" s="405" t="s">
        <v>2063</v>
      </c>
      <c r="C2048" s="418">
        <f t="shared" si="516"/>
        <v>1</v>
      </c>
      <c r="D2048" s="523"/>
      <c r="E2048" s="523" t="str">
        <f>VLOOKUP(B2048,DONGIA,DG!$B$6,0)</f>
        <v>T4.4202</v>
      </c>
      <c r="F2048" s="666" t="str">
        <f>VLOOKUP(B2048,DONGIA,DG!$C$6,0)</f>
        <v>Lắp cáp đồng xuống thiết bị D ≤ 150mm2</v>
      </c>
      <c r="G2048" s="523" t="str">
        <f>VLOOKUP(B2048,DONGIA,DG!$D$6,0)</f>
        <v>m</v>
      </c>
      <c r="H2048" s="525">
        <f>H2027</f>
        <v>18</v>
      </c>
      <c r="I2048" s="525"/>
      <c r="J2048" s="525"/>
      <c r="K2048" s="525">
        <f>VLOOKUP(B2048,DONGIA,DG!$F$6,0)</f>
        <v>28433</v>
      </c>
      <c r="L2048" s="525">
        <f>VLOOKUP(B2048,DONGIA,DG!$G$6,0)</f>
        <v>0</v>
      </c>
      <c r="M2048" s="525">
        <f t="shared" si="530"/>
        <v>0</v>
      </c>
      <c r="N2048" s="525">
        <f t="shared" si="531"/>
        <v>0</v>
      </c>
      <c r="O2048" s="525">
        <f t="shared" si="532"/>
        <v>511794</v>
      </c>
      <c r="P2048" s="525">
        <f t="shared" si="533"/>
        <v>0</v>
      </c>
      <c r="Q2048" s="525"/>
      <c r="S2048" s="405">
        <f t="shared" si="534"/>
        <v>0</v>
      </c>
      <c r="T2048" s="405">
        <f t="shared" si="517"/>
        <v>0</v>
      </c>
    </row>
    <row r="2049" spans="2:20" s="542" customFormat="1">
      <c r="C2049" s="374">
        <f>IF(SUM(C2050:C2071)&lt;&gt;0,1,)</f>
        <v>1</v>
      </c>
      <c r="D2049" s="550"/>
      <c r="E2049" s="550"/>
      <c r="F2049" s="786" t="s">
        <v>3874</v>
      </c>
      <c r="G2049" s="550"/>
      <c r="H2049" s="550">
        <v>1</v>
      </c>
      <c r="I2049" s="551"/>
      <c r="J2049" s="551"/>
      <c r="K2049" s="551"/>
      <c r="L2049" s="551"/>
      <c r="M2049" s="551"/>
      <c r="N2049" s="551"/>
      <c r="O2049" s="551"/>
      <c r="P2049" s="551"/>
      <c r="Q2049" s="551"/>
    </row>
    <row r="2050" spans="2:20" s="405" customFormat="1" hidden="1">
      <c r="B2050" s="405" t="s">
        <v>1742</v>
      </c>
      <c r="C2050" s="418">
        <f t="shared" ref="C2050:C2071" si="535">IF(H2050&lt;&gt;0,1,)</f>
        <v>0</v>
      </c>
      <c r="D2050" s="523"/>
      <c r="E2050" s="523">
        <f>VLOOKUP(B2050,DONGIA,DG!$B$6,0)</f>
        <v>0</v>
      </c>
      <c r="F2050" s="525" t="str">
        <f>VLOOKUP(B2050,DONGIA,DG!$C$6,0)&amp;" (SDL)"</f>
        <v>Cáp đồng bọc CV95 (SDL)</v>
      </c>
      <c r="G2050" s="523" t="str">
        <f>VLOOKUP(B2050,DONGIA,DG!$D$6,0)</f>
        <v>mét</v>
      </c>
      <c r="H2050" s="525"/>
      <c r="I2050" s="525"/>
      <c r="J2050" s="525"/>
      <c r="K2050" s="525">
        <f>VLOOKUP(B2050,DONGIA,DG!$F$6,0)</f>
        <v>0</v>
      </c>
      <c r="L2050" s="525">
        <f>VLOOKUP(B2050,DONGIA,DG!$G$6,0)</f>
        <v>0</v>
      </c>
      <c r="M2050" s="525">
        <f t="shared" ref="M2050:M2071" si="536">$H2050*I2050</f>
        <v>0</v>
      </c>
      <c r="N2050" s="525">
        <f t="shared" ref="N2050:N2071" si="537">$H2050*J2050</f>
        <v>0</v>
      </c>
      <c r="O2050" s="525">
        <f t="shared" ref="O2050:O2071" si="538">$H2050*K2050</f>
        <v>0</v>
      </c>
      <c r="P2050" s="525">
        <f t="shared" ref="P2050:P2071" si="539">$H2050*L2050</f>
        <v>0</v>
      </c>
      <c r="Q2050" s="525"/>
      <c r="R2050" s="405">
        <f>50/2/0.22</f>
        <v>113.63636363636364</v>
      </c>
      <c r="S2050" s="405">
        <f t="shared" ref="S2050:S2071" si="540">IFERROR(VLOOKUP(B2050,DONGIA,$S$25,0),0)</f>
        <v>1.008</v>
      </c>
      <c r="T2050" s="405">
        <f t="shared" ref="T2050:T2071" si="541">H2050*S2050</f>
        <v>0</v>
      </c>
    </row>
    <row r="2051" spans="2:20" s="405" customFormat="1" hidden="1">
      <c r="B2051" s="405" t="s">
        <v>1907</v>
      </c>
      <c r="C2051" s="418">
        <f t="shared" si="535"/>
        <v>0</v>
      </c>
      <c r="D2051" s="523"/>
      <c r="E2051" s="523">
        <f>VLOOKUP(B2051,DONGIA,DG!$B$6,0)</f>
        <v>0</v>
      </c>
      <c r="F2051" s="525" t="str">
        <f>VLOOKUP(B2051,DONGIA,DG!$C$6,0)&amp;" (SDL)"</f>
        <v>Cáp đồng bọc CV70 (SDL)</v>
      </c>
      <c r="G2051" s="523" t="str">
        <f>VLOOKUP(B2051,DONGIA,DG!$D$6,0)</f>
        <v>mét</v>
      </c>
      <c r="H2051" s="525"/>
      <c r="I2051" s="525"/>
      <c r="J2051" s="525"/>
      <c r="K2051" s="525">
        <f>VLOOKUP(B2051,DONGIA,DG!$F$6,0)</f>
        <v>0</v>
      </c>
      <c r="L2051" s="525">
        <f>VLOOKUP(B2051,DONGIA,DG!$G$6,0)</f>
        <v>0</v>
      </c>
      <c r="M2051" s="525">
        <f t="shared" si="536"/>
        <v>0</v>
      </c>
      <c r="N2051" s="525">
        <f t="shared" si="537"/>
        <v>0</v>
      </c>
      <c r="O2051" s="525">
        <f t="shared" si="538"/>
        <v>0</v>
      </c>
      <c r="P2051" s="525">
        <f t="shared" si="539"/>
        <v>0</v>
      </c>
      <c r="Q2051" s="525"/>
      <c r="R2051" s="405">
        <f>50/2/0.22</f>
        <v>113.63636363636364</v>
      </c>
      <c r="S2051" s="405">
        <f t="shared" si="540"/>
        <v>0.73899999999999999</v>
      </c>
      <c r="T2051" s="405">
        <f t="shared" si="541"/>
        <v>0</v>
      </c>
    </row>
    <row r="2052" spans="2:20" s="405" customFormat="1">
      <c r="B2052" s="405" t="s">
        <v>1908</v>
      </c>
      <c r="C2052" s="418">
        <f t="shared" si="535"/>
        <v>1</v>
      </c>
      <c r="D2052" s="523"/>
      <c r="E2052" s="523">
        <f>VLOOKUP(B2052,DONGIA,DG!$B$6,0)</f>
        <v>0</v>
      </c>
      <c r="F2052" s="666" t="str">
        <f>VLOOKUP(B2052,DONGIA,DG!$C$6,0)</f>
        <v>Cáp đồng bọc CV120</v>
      </c>
      <c r="G2052" s="523" t="str">
        <f>VLOOKUP(B2052,DONGIA,DG!$D$6,0)</f>
        <v>mét</v>
      </c>
      <c r="H2052" s="525">
        <f>9*2</f>
        <v>18</v>
      </c>
      <c r="I2052" s="525">
        <f>VLOOKUP(B2052,DONGIA,DG!$E$6,0)</f>
        <v>245040</v>
      </c>
      <c r="J2052" s="525"/>
      <c r="K2052" s="525">
        <f>VLOOKUP(B2052,DONGIA,DG!$F$6,0)</f>
        <v>0</v>
      </c>
      <c r="L2052" s="525">
        <f>VLOOKUP(B2052,DONGIA,DG!$G$6,0)</f>
        <v>0</v>
      </c>
      <c r="M2052" s="525">
        <f t="shared" si="536"/>
        <v>4410720</v>
      </c>
      <c r="N2052" s="525">
        <f t="shared" si="537"/>
        <v>0</v>
      </c>
      <c r="O2052" s="525">
        <f t="shared" si="538"/>
        <v>0</v>
      </c>
      <c r="P2052" s="525">
        <f t="shared" si="539"/>
        <v>0</v>
      </c>
      <c r="Q2052" s="525"/>
      <c r="R2052" s="405">
        <f>50/2/0.22</f>
        <v>113.63636363636364</v>
      </c>
      <c r="S2052" s="405">
        <f t="shared" si="540"/>
        <v>1.2350000000000001</v>
      </c>
      <c r="T2052" s="405">
        <f t="shared" si="541"/>
        <v>22.23</v>
      </c>
    </row>
    <row r="2053" spans="2:20" s="405" customFormat="1">
      <c r="B2053" s="405" t="s">
        <v>1907</v>
      </c>
      <c r="C2053" s="418">
        <f t="shared" si="535"/>
        <v>1</v>
      </c>
      <c r="D2053" s="523"/>
      <c r="E2053" s="523">
        <f>VLOOKUP(B2053,DONGIA,DG!$B$6,0)</f>
        <v>0</v>
      </c>
      <c r="F2053" s="666" t="str">
        <f>VLOOKUP(B2053,DONGIA,DG!$C$6,0)</f>
        <v>Cáp đồng bọc CV70</v>
      </c>
      <c r="G2053" s="523" t="str">
        <f>VLOOKUP(B2053,DONGIA,DG!$D$6,0)</f>
        <v>mét</v>
      </c>
      <c r="H2053" s="525">
        <f>9</f>
        <v>9</v>
      </c>
      <c r="I2053" s="525">
        <f>VLOOKUP(B2053,DONGIA,DG!$E$6,0)</f>
        <v>142880</v>
      </c>
      <c r="J2053" s="525"/>
      <c r="K2053" s="525">
        <f>VLOOKUP(B2053,DONGIA,DG!$F$6,0)</f>
        <v>0</v>
      </c>
      <c r="L2053" s="525">
        <f>VLOOKUP(B2053,DONGIA,DG!$G$6,0)</f>
        <v>0</v>
      </c>
      <c r="M2053" s="525">
        <f t="shared" si="536"/>
        <v>1285920</v>
      </c>
      <c r="N2053" s="525">
        <f t="shared" si="537"/>
        <v>0</v>
      </c>
      <c r="O2053" s="525">
        <f t="shared" si="538"/>
        <v>0</v>
      </c>
      <c r="P2053" s="525">
        <f t="shared" si="539"/>
        <v>0</v>
      </c>
      <c r="Q2053" s="525"/>
      <c r="R2053" s="405">
        <f>75/2/0.22</f>
        <v>170.45454545454547</v>
      </c>
      <c r="S2053" s="405">
        <f t="shared" si="540"/>
        <v>0.73899999999999999</v>
      </c>
      <c r="T2053" s="405">
        <f t="shared" si="541"/>
        <v>6.6509999999999998</v>
      </c>
    </row>
    <row r="2054" spans="2:20" s="405" customFormat="1">
      <c r="B2054" s="405" t="s">
        <v>1937</v>
      </c>
      <c r="C2054" s="418">
        <f t="shared" si="535"/>
        <v>1</v>
      </c>
      <c r="D2054" s="523"/>
      <c r="E2054" s="523">
        <f>VLOOKUP(B2054,DONGIA,DG!$B$6,0)</f>
        <v>0</v>
      </c>
      <c r="F2054" s="666" t="str">
        <f>VLOOKUP(B2054,DONGIA,DG!$C$6,0)</f>
        <v>Cáp điều khiển CVV 4x4,0mm2</v>
      </c>
      <c r="G2054" s="523" t="str">
        <f>VLOOKUP(B2054,DONGIA,DG!$D$6,0)</f>
        <v>mét</v>
      </c>
      <c r="H2054" s="525">
        <v>2</v>
      </c>
      <c r="I2054" s="525">
        <f>VLOOKUP(B2054,DONGIA,DG!$E$6,0)</f>
        <v>52400</v>
      </c>
      <c r="J2054" s="525"/>
      <c r="K2054" s="525">
        <f>VLOOKUP(B2054,DONGIA,DG!$F$6,0)</f>
        <v>0</v>
      </c>
      <c r="L2054" s="525">
        <f>VLOOKUP(B2054,DONGIA,DG!$G$6,0)</f>
        <v>0</v>
      </c>
      <c r="M2054" s="525">
        <f t="shared" si="536"/>
        <v>104800</v>
      </c>
      <c r="N2054" s="525">
        <f t="shared" si="537"/>
        <v>0</v>
      </c>
      <c r="O2054" s="525">
        <f t="shared" si="538"/>
        <v>0</v>
      </c>
      <c r="P2054" s="525">
        <f t="shared" si="539"/>
        <v>0</v>
      </c>
      <c r="Q2054" s="525"/>
      <c r="R2054" s="405">
        <f>100/2/0.22</f>
        <v>227.27272727272728</v>
      </c>
      <c r="S2054" s="405">
        <f t="shared" si="540"/>
        <v>3.024</v>
      </c>
      <c r="T2054" s="405">
        <f t="shared" si="541"/>
        <v>6.048</v>
      </c>
    </row>
    <row r="2055" spans="2:20" s="405" customFormat="1">
      <c r="B2055" s="405" t="s">
        <v>1119</v>
      </c>
      <c r="C2055" s="418">
        <f t="shared" si="535"/>
        <v>1</v>
      </c>
      <c r="D2055" s="523"/>
      <c r="E2055" s="523"/>
      <c r="F2055" s="666" t="str">
        <f>VLOOKUP(B2055,DONGIA,DG!$C$6,0)</f>
        <v>Đầu cosse ép Cu 120mm2</v>
      </c>
      <c r="G2055" s="523" t="str">
        <f>VLOOKUP(B2055,DONGIA,DG!$D$6,0)</f>
        <v>cái</v>
      </c>
      <c r="H2055" s="525">
        <v>2</v>
      </c>
      <c r="I2055" s="525">
        <f>VLOOKUP(B2055,DONGIA,DG!$E$6,0)</f>
        <v>65000</v>
      </c>
      <c r="J2055" s="525"/>
      <c r="K2055" s="525"/>
      <c r="L2055" s="525"/>
      <c r="M2055" s="525">
        <f t="shared" si="536"/>
        <v>130000</v>
      </c>
      <c r="N2055" s="525">
        <f t="shared" si="537"/>
        <v>0</v>
      </c>
      <c r="O2055" s="525">
        <f t="shared" si="538"/>
        <v>0</v>
      </c>
      <c r="P2055" s="525">
        <f t="shared" si="539"/>
        <v>0</v>
      </c>
      <c r="Q2055" s="525"/>
      <c r="S2055" s="405">
        <f t="shared" si="540"/>
        <v>0.1</v>
      </c>
      <c r="T2055" s="405">
        <f t="shared" si="541"/>
        <v>0.2</v>
      </c>
    </row>
    <row r="2056" spans="2:20" s="405" customFormat="1">
      <c r="B2056" s="405" t="s">
        <v>1113</v>
      </c>
      <c r="C2056" s="418">
        <f t="shared" si="535"/>
        <v>1</v>
      </c>
      <c r="D2056" s="523"/>
      <c r="E2056" s="523"/>
      <c r="F2056" s="666" t="str">
        <f>VLOOKUP(B2056,DONGIA,DG!$C$6,0)</f>
        <v>Đầu cosse ép Cu 70mm2</v>
      </c>
      <c r="G2056" s="523" t="str">
        <f>VLOOKUP(B2056,DONGIA,DG!$D$6,0)</f>
        <v>cái</v>
      </c>
      <c r="H2056" s="525">
        <v>1</v>
      </c>
      <c r="I2056" s="525">
        <f>VLOOKUP(B2056,DONGIA,DG!$E$6,0)</f>
        <v>33000</v>
      </c>
      <c r="J2056" s="525"/>
      <c r="K2056" s="525"/>
      <c r="L2056" s="525"/>
      <c r="M2056" s="525">
        <f t="shared" si="536"/>
        <v>33000</v>
      </c>
      <c r="N2056" s="525">
        <f t="shared" si="537"/>
        <v>0</v>
      </c>
      <c r="O2056" s="525">
        <f t="shared" si="538"/>
        <v>0</v>
      </c>
      <c r="P2056" s="525">
        <f t="shared" si="539"/>
        <v>0</v>
      </c>
      <c r="Q2056" s="525"/>
      <c r="S2056" s="405">
        <f t="shared" si="540"/>
        <v>0.2</v>
      </c>
      <c r="T2056" s="405">
        <f t="shared" si="541"/>
        <v>0.2</v>
      </c>
    </row>
    <row r="2057" spans="2:20" s="405" customFormat="1">
      <c r="B2057" s="405" t="s">
        <v>1151</v>
      </c>
      <c r="C2057" s="418">
        <f t="shared" si="535"/>
        <v>1</v>
      </c>
      <c r="D2057" s="523"/>
      <c r="E2057" s="523">
        <f>VLOOKUP(B2057,DONGIA,DG!$B$6,0)</f>
        <v>0</v>
      </c>
      <c r="F2057" s="666" t="str">
        <f>VLOOKUP(B2057,DONGIA,DG!$C$6,0)</f>
        <v>Chụp đầu cosse  120mm2</v>
      </c>
      <c r="G2057" s="523" t="str">
        <f>VLOOKUP(B2057,DONGIA,DG!$D$6,0)</f>
        <v>cái</v>
      </c>
      <c r="H2057" s="525">
        <v>2</v>
      </c>
      <c r="I2057" s="525">
        <f>VLOOKUP(B2057,DONGIA,DG!$E$6,0)</f>
        <v>3500</v>
      </c>
      <c r="J2057" s="525"/>
      <c r="K2057" s="525">
        <f>VLOOKUP(B2057,DONGIA,DG!$F$6,0)</f>
        <v>0</v>
      </c>
      <c r="L2057" s="525">
        <f>VLOOKUP(B2057,DONGIA,DG!$G$6,0)</f>
        <v>0</v>
      </c>
      <c r="M2057" s="525">
        <f t="shared" si="536"/>
        <v>7000</v>
      </c>
      <c r="N2057" s="525">
        <f t="shared" si="537"/>
        <v>0</v>
      </c>
      <c r="O2057" s="525">
        <f t="shared" si="538"/>
        <v>0</v>
      </c>
      <c r="P2057" s="525">
        <f t="shared" si="539"/>
        <v>0</v>
      </c>
      <c r="Q2057" s="525"/>
      <c r="S2057" s="405">
        <f t="shared" si="540"/>
        <v>0</v>
      </c>
      <c r="T2057" s="405">
        <f t="shared" si="541"/>
        <v>0</v>
      </c>
    </row>
    <row r="2058" spans="2:20" s="405" customFormat="1">
      <c r="B2058" s="405" t="s">
        <v>1147</v>
      </c>
      <c r="C2058" s="418">
        <f t="shared" si="535"/>
        <v>1</v>
      </c>
      <c r="D2058" s="523"/>
      <c r="E2058" s="523">
        <f>VLOOKUP(B2058,DONGIA,DG!$B$6,0)</f>
        <v>0</v>
      </c>
      <c r="F2058" s="666" t="str">
        <f>VLOOKUP(B2058,DONGIA,DG!$C$6,0)</f>
        <v>Chụp đầu cosse  70mm2</v>
      </c>
      <c r="G2058" s="523" t="str">
        <f>VLOOKUP(B2058,DONGIA,DG!$D$6,0)</f>
        <v>cái</v>
      </c>
      <c r="H2058" s="525">
        <v>1</v>
      </c>
      <c r="I2058" s="525">
        <f>VLOOKUP(B2058,DONGIA,DG!$E$6,0)</f>
        <v>2000</v>
      </c>
      <c r="J2058" s="525"/>
      <c r="K2058" s="525">
        <f>VLOOKUP(B2058,DONGIA,DG!$F$6,0)</f>
        <v>0</v>
      </c>
      <c r="L2058" s="525">
        <f>VLOOKUP(B2058,DONGIA,DG!$G$6,0)</f>
        <v>0</v>
      </c>
      <c r="M2058" s="525">
        <f t="shared" si="536"/>
        <v>2000</v>
      </c>
      <c r="N2058" s="525">
        <f t="shared" si="537"/>
        <v>0</v>
      </c>
      <c r="O2058" s="525">
        <f t="shared" si="538"/>
        <v>0</v>
      </c>
      <c r="P2058" s="525">
        <f t="shared" si="539"/>
        <v>0</v>
      </c>
      <c r="Q2058" s="525"/>
      <c r="S2058" s="405">
        <f t="shared" si="540"/>
        <v>0</v>
      </c>
      <c r="T2058" s="405">
        <f t="shared" si="541"/>
        <v>0</v>
      </c>
    </row>
    <row r="2059" spans="2:20" s="405" customFormat="1" hidden="1">
      <c r="B2059" s="405" t="s">
        <v>1177</v>
      </c>
      <c r="C2059" s="418">
        <f t="shared" si="535"/>
        <v>0</v>
      </c>
      <c r="D2059" s="523"/>
      <c r="E2059" s="523">
        <f>VLOOKUP(B2059,DONGIA,DG!$B$6,0)</f>
        <v>0</v>
      </c>
      <c r="F2059" s="525" t="str">
        <f>VLOOKUP(B2059,DONGIA,DG!$C$6,0)&amp;" (SDL)"</f>
        <v>Ống PVC D90x3,8mm  (SDL)</v>
      </c>
      <c r="G2059" s="523" t="str">
        <f>VLOOKUP(B2059,DONGIA,DG!$D$6,0)</f>
        <v>m</v>
      </c>
      <c r="H2059" s="525"/>
      <c r="I2059" s="525"/>
      <c r="J2059" s="525"/>
      <c r="K2059" s="525">
        <f>VLOOKUP(B2059,DONGIA,DG!$F$6,0)</f>
        <v>0</v>
      </c>
      <c r="L2059" s="525">
        <f>VLOOKUP(B2059,DONGIA,DG!$G$6,0)</f>
        <v>0</v>
      </c>
      <c r="M2059" s="525">
        <f t="shared" si="536"/>
        <v>0</v>
      </c>
      <c r="N2059" s="525">
        <f t="shared" si="537"/>
        <v>0</v>
      </c>
      <c r="O2059" s="525">
        <f t="shared" si="538"/>
        <v>0</v>
      </c>
      <c r="P2059" s="525">
        <f t="shared" si="539"/>
        <v>0</v>
      </c>
      <c r="Q2059" s="525"/>
      <c r="S2059" s="405">
        <f t="shared" si="540"/>
        <v>2</v>
      </c>
      <c r="T2059" s="405">
        <f t="shared" si="541"/>
        <v>0</v>
      </c>
    </row>
    <row r="2060" spans="2:20" s="405" customFormat="1">
      <c r="B2060" s="405" t="s">
        <v>1175</v>
      </c>
      <c r="C2060" s="418">
        <f t="shared" si="535"/>
        <v>1</v>
      </c>
      <c r="D2060" s="523"/>
      <c r="E2060" s="523">
        <f>VLOOKUP(B2060,DONGIA,DG!$B$6,0)</f>
        <v>0</v>
      </c>
      <c r="F2060" s="666" t="str">
        <f>VLOOKUP(B2060,DONGIA,DG!$C$6,0)</f>
        <v xml:space="preserve">Ống PVC D114x4,9mm </v>
      </c>
      <c r="G2060" s="523" t="str">
        <f>VLOOKUP(B2060,DONGIA,DG!$D$6,0)</f>
        <v>m</v>
      </c>
      <c r="H2060" s="525">
        <v>5</v>
      </c>
      <c r="I2060" s="525">
        <f>VLOOKUP(B2060,DONGIA,DG!$E$6,0)</f>
        <v>102000</v>
      </c>
      <c r="J2060" s="525"/>
      <c r="K2060" s="525">
        <f>VLOOKUP(B2060,DONGIA,DG!$F$6,0)</f>
        <v>0</v>
      </c>
      <c r="L2060" s="525">
        <f>VLOOKUP(B2060,DONGIA,DG!$G$6,0)</f>
        <v>0</v>
      </c>
      <c r="M2060" s="525">
        <f t="shared" si="536"/>
        <v>510000</v>
      </c>
      <c r="N2060" s="525">
        <f t="shared" si="537"/>
        <v>0</v>
      </c>
      <c r="O2060" s="525">
        <f t="shared" si="538"/>
        <v>0</v>
      </c>
      <c r="P2060" s="525">
        <f t="shared" si="539"/>
        <v>0</v>
      </c>
      <c r="Q2060" s="525"/>
      <c r="S2060" s="405">
        <f t="shared" si="540"/>
        <v>2</v>
      </c>
      <c r="T2060" s="405">
        <f t="shared" si="541"/>
        <v>10</v>
      </c>
    </row>
    <row r="2061" spans="2:20" s="405" customFormat="1">
      <c r="B2061" s="405" t="s">
        <v>456</v>
      </c>
      <c r="C2061" s="418">
        <f t="shared" si="535"/>
        <v>1</v>
      </c>
      <c r="D2061" s="523"/>
      <c r="E2061" s="523">
        <f>VLOOKUP(B2061,DONGIA,DG!$B$6,0)</f>
        <v>0</v>
      </c>
      <c r="F2061" s="666" t="str">
        <f>VLOOKUP(B2061,DONGIA,DG!$C$6,0)&amp;" (CD: 230)"</f>
        <v>Cổ dê kẹp ống PVC φ 114 (có giá nới) (CD: 230)</v>
      </c>
      <c r="G2061" s="523" t="str">
        <f>VLOOKUP(B2061,DONGIA,DG!$D$6,0)</f>
        <v>bộ</v>
      </c>
      <c r="H2061" s="525">
        <v>1</v>
      </c>
      <c r="I2061" s="525">
        <f>VLOOKUP(B2061,DONGIA,DG!$E$6,0)</f>
        <v>68000</v>
      </c>
      <c r="J2061" s="525"/>
      <c r="K2061" s="525"/>
      <c r="L2061" s="525">
        <f>VLOOKUP(B2061,DONGIA,DG!$G$6,0)</f>
        <v>0</v>
      </c>
      <c r="M2061" s="525">
        <f t="shared" si="536"/>
        <v>68000</v>
      </c>
      <c r="N2061" s="525">
        <f t="shared" si="537"/>
        <v>0</v>
      </c>
      <c r="O2061" s="525">
        <f t="shared" si="538"/>
        <v>0</v>
      </c>
      <c r="P2061" s="525">
        <f t="shared" si="539"/>
        <v>0</v>
      </c>
      <c r="Q2061" s="525"/>
      <c r="S2061" s="405">
        <f t="shared" si="540"/>
        <v>1.5</v>
      </c>
      <c r="T2061" s="405">
        <f t="shared" si="541"/>
        <v>1.5</v>
      </c>
    </row>
    <row r="2062" spans="2:20" s="405" customFormat="1">
      <c r="B2062" s="405" t="s">
        <v>456</v>
      </c>
      <c r="C2062" s="418">
        <f t="shared" si="535"/>
        <v>1</v>
      </c>
      <c r="D2062" s="523"/>
      <c r="E2062" s="523">
        <f>VLOOKUP(B2062,DONGIA,DG!$B$6,0)</f>
        <v>0</v>
      </c>
      <c r="F2062" s="666" t="str">
        <f>VLOOKUP(B2062,DONGIA,DG!$C$6,0)&amp;" (CD: 250)"</f>
        <v>Cổ dê kẹp ống PVC φ 114 (có giá nới) (CD: 250)</v>
      </c>
      <c r="G2062" s="523" t="str">
        <f>VLOOKUP(B2062,DONGIA,DG!$D$6,0)</f>
        <v>bộ</v>
      </c>
      <c r="H2062" s="525">
        <v>1</v>
      </c>
      <c r="I2062" s="525">
        <f>VLOOKUP(B2062,DONGIA,DG!$E$6,0)</f>
        <v>68000</v>
      </c>
      <c r="J2062" s="525"/>
      <c r="K2062" s="525"/>
      <c r="L2062" s="525">
        <f>VLOOKUP(B2062,DONGIA,DG!$G$6,0)</f>
        <v>0</v>
      </c>
      <c r="M2062" s="525">
        <f t="shared" si="536"/>
        <v>68000</v>
      </c>
      <c r="N2062" s="525">
        <f t="shared" si="537"/>
        <v>0</v>
      </c>
      <c r="O2062" s="525">
        <f t="shared" si="538"/>
        <v>0</v>
      </c>
      <c r="P2062" s="525">
        <f t="shared" si="539"/>
        <v>0</v>
      </c>
      <c r="Q2062" s="525"/>
      <c r="S2062" s="405">
        <f t="shared" si="540"/>
        <v>1.5</v>
      </c>
      <c r="T2062" s="405">
        <f t="shared" si="541"/>
        <v>1.5</v>
      </c>
    </row>
    <row r="2063" spans="2:20" s="405" customFormat="1">
      <c r="B2063" s="405" t="s">
        <v>456</v>
      </c>
      <c r="C2063" s="418">
        <f t="shared" si="535"/>
        <v>1</v>
      </c>
      <c r="D2063" s="523"/>
      <c r="E2063" s="523">
        <f>VLOOKUP(B2063,DONGIA,DG!$B$6,0)</f>
        <v>0</v>
      </c>
      <c r="F2063" s="666" t="str">
        <f>VLOOKUP(B2063,DONGIA,DG!$C$6,0)&amp;" (CD: 280)"</f>
        <v>Cổ dê kẹp ống PVC φ 114 (có giá nới) (CD: 280)</v>
      </c>
      <c r="G2063" s="523" t="str">
        <f>VLOOKUP(B2063,DONGIA,DG!$D$6,0)</f>
        <v>bộ</v>
      </c>
      <c r="H2063" s="525">
        <v>1</v>
      </c>
      <c r="I2063" s="525">
        <f>VLOOKUP(B2063,DONGIA,DG!$E$6,0)</f>
        <v>68000</v>
      </c>
      <c r="J2063" s="525"/>
      <c r="K2063" s="525"/>
      <c r="L2063" s="525">
        <f>VLOOKUP(B2063,DONGIA,DG!$G$6,0)</f>
        <v>0</v>
      </c>
      <c r="M2063" s="525">
        <f t="shared" si="536"/>
        <v>68000</v>
      </c>
      <c r="N2063" s="525">
        <f t="shared" si="537"/>
        <v>0</v>
      </c>
      <c r="O2063" s="525">
        <f t="shared" si="538"/>
        <v>0</v>
      </c>
      <c r="P2063" s="525">
        <f t="shared" si="539"/>
        <v>0</v>
      </c>
      <c r="Q2063" s="525"/>
      <c r="S2063" s="405">
        <f t="shared" si="540"/>
        <v>1.5</v>
      </c>
      <c r="T2063" s="405">
        <f t="shared" si="541"/>
        <v>1.5</v>
      </c>
    </row>
    <row r="2064" spans="2:20" s="405" customFormat="1">
      <c r="B2064" s="405" t="s">
        <v>2957</v>
      </c>
      <c r="C2064" s="418">
        <f t="shared" si="535"/>
        <v>1</v>
      </c>
      <c r="D2064" s="523"/>
      <c r="E2064" s="523">
        <f>VLOOKUP(B2064,DONGIA,DG!$B$6,0)</f>
        <v>0</v>
      </c>
      <c r="F2064" s="666" t="str">
        <f>VLOOKUP(B2064,DONGIA,DG!$C$6,0)</f>
        <v>Co  90 độ PVC 114 (Loại dày)</v>
      </c>
      <c r="G2064" s="523" t="str">
        <f>VLOOKUP(B2064,DONGIA,DG!$D$6,0)</f>
        <v>cái</v>
      </c>
      <c r="H2064" s="525">
        <v>1</v>
      </c>
      <c r="I2064" s="525">
        <f>VLOOKUP(B2064,DONGIA,DG!$E$6,0)</f>
        <v>104800</v>
      </c>
      <c r="J2064" s="525"/>
      <c r="K2064" s="525">
        <f>VLOOKUP(B2064,DONGIA,DG!$F$6,0)</f>
        <v>0</v>
      </c>
      <c r="L2064" s="525">
        <f>VLOOKUP(B2064,DONGIA,DG!$G$6,0)</f>
        <v>0</v>
      </c>
      <c r="M2064" s="525">
        <f t="shared" si="536"/>
        <v>104800</v>
      </c>
      <c r="N2064" s="525">
        <f t="shared" si="537"/>
        <v>0</v>
      </c>
      <c r="O2064" s="525">
        <f t="shared" si="538"/>
        <v>0</v>
      </c>
      <c r="P2064" s="525">
        <f t="shared" si="539"/>
        <v>0</v>
      </c>
      <c r="Q2064" s="525"/>
      <c r="S2064" s="405">
        <f t="shared" si="540"/>
        <v>0</v>
      </c>
      <c r="T2064" s="405">
        <f t="shared" si="541"/>
        <v>0</v>
      </c>
    </row>
    <row r="2065" spans="2:20" s="405" customFormat="1">
      <c r="B2065" s="405" t="s">
        <v>1189</v>
      </c>
      <c r="C2065" s="418">
        <f t="shared" si="535"/>
        <v>1</v>
      </c>
      <c r="D2065" s="523"/>
      <c r="E2065" s="523">
        <f>VLOOKUP(B2065,DONGIA,DG!$B$6,0)</f>
        <v>0</v>
      </c>
      <c r="F2065" s="666" t="str">
        <f>VLOOKUP(B2065,DONGIA,DG!$C$6,0)</f>
        <v>Co 135 độ PVC 114</v>
      </c>
      <c r="G2065" s="523" t="str">
        <f>VLOOKUP(B2065,DONGIA,DG!$D$6,0)</f>
        <v>cái</v>
      </c>
      <c r="H2065" s="525">
        <v>1</v>
      </c>
      <c r="I2065" s="525">
        <f>VLOOKUP(B2065,DONGIA,DG!$E$6,0)</f>
        <v>70800</v>
      </c>
      <c r="J2065" s="525"/>
      <c r="K2065" s="525">
        <f>VLOOKUP(B2065,DONGIA,DG!$F$6,0)</f>
        <v>0</v>
      </c>
      <c r="L2065" s="525">
        <f>VLOOKUP(B2065,DONGIA,DG!$G$6,0)</f>
        <v>0</v>
      </c>
      <c r="M2065" s="525">
        <f t="shared" si="536"/>
        <v>70800</v>
      </c>
      <c r="N2065" s="525">
        <f t="shared" si="537"/>
        <v>0</v>
      </c>
      <c r="O2065" s="525">
        <f t="shared" si="538"/>
        <v>0</v>
      </c>
      <c r="P2065" s="525">
        <f t="shared" si="539"/>
        <v>0</v>
      </c>
      <c r="Q2065" s="525"/>
      <c r="S2065" s="405">
        <f t="shared" si="540"/>
        <v>0</v>
      </c>
      <c r="T2065" s="405">
        <f t="shared" si="541"/>
        <v>0</v>
      </c>
    </row>
    <row r="2066" spans="2:20" s="405" customFormat="1" hidden="1">
      <c r="B2066" s="405" t="s">
        <v>1914</v>
      </c>
      <c r="C2066" s="418">
        <f t="shared" si="535"/>
        <v>0</v>
      </c>
      <c r="D2066" s="523"/>
      <c r="E2066" s="523">
        <f>VLOOKUP(B2066,DONGIA,DG!$B$6,0)</f>
        <v>0</v>
      </c>
      <c r="F2066" s="525" t="str">
        <f>VLOOKUP(B2066,DONGIA,DG!$C$6,0)</f>
        <v>Keo dán ống PVC (100gr)</v>
      </c>
      <c r="G2066" s="523" t="str">
        <f>VLOOKUP(B2066,DONGIA,DG!$D$6,0)</f>
        <v>tuýp</v>
      </c>
      <c r="H2066" s="525"/>
      <c r="I2066" s="525">
        <f>VLOOKUP(B2066,DONGIA,DG!$E$6,0)</f>
        <v>11500</v>
      </c>
      <c r="J2066" s="525"/>
      <c r="K2066" s="525">
        <f>VLOOKUP(B2066,DONGIA,DG!$F$6,0)</f>
        <v>0</v>
      </c>
      <c r="L2066" s="525">
        <f>VLOOKUP(B2066,DONGIA,DG!$G$6,0)</f>
        <v>0</v>
      </c>
      <c r="M2066" s="525">
        <f t="shared" si="536"/>
        <v>0</v>
      </c>
      <c r="N2066" s="525">
        <f t="shared" si="537"/>
        <v>0</v>
      </c>
      <c r="O2066" s="525">
        <f t="shared" si="538"/>
        <v>0</v>
      </c>
      <c r="P2066" s="525">
        <f t="shared" si="539"/>
        <v>0</v>
      </c>
      <c r="Q2066" s="525"/>
      <c r="S2066" s="405">
        <f t="shared" si="540"/>
        <v>0</v>
      </c>
      <c r="T2066" s="405">
        <f t="shared" si="541"/>
        <v>0</v>
      </c>
    </row>
    <row r="2067" spans="2:20" s="405" customFormat="1">
      <c r="B2067" s="405" t="s">
        <v>1639</v>
      </c>
      <c r="C2067" s="418">
        <f t="shared" si="535"/>
        <v>1</v>
      </c>
      <c r="D2067" s="523"/>
      <c r="E2067" s="523">
        <f>VLOOKUP(B2067,DONGIA,DG!$B$6,0)</f>
        <v>0</v>
      </c>
      <c r="F2067" s="666" t="str">
        <f>VLOOKUP(B2067,DONGIA,DG!$C$6,0)&amp;" bịt miệng ống"</f>
        <v>Xi măng bịt miệng ống</v>
      </c>
      <c r="G2067" s="523" t="str">
        <f>VLOOKUP(B2067,DONGIA,DG!$D$6,0)</f>
        <v>kg</v>
      </c>
      <c r="H2067" s="554">
        <v>1</v>
      </c>
      <c r="I2067" s="525">
        <f>VLOOKUP(B2067,DONGIA,DG!$E$6,0)</f>
        <v>1760</v>
      </c>
      <c r="J2067" s="525"/>
      <c r="K2067" s="525">
        <f>VLOOKUP(B2067,DONGIA,DG!$F$6,0)</f>
        <v>0</v>
      </c>
      <c r="L2067" s="525">
        <f>VLOOKUP(B2067,DONGIA,DG!$G$6,0)</f>
        <v>0</v>
      </c>
      <c r="M2067" s="525">
        <f t="shared" si="536"/>
        <v>1760</v>
      </c>
      <c r="N2067" s="525">
        <f t="shared" si="537"/>
        <v>0</v>
      </c>
      <c r="O2067" s="525">
        <f t="shared" si="538"/>
        <v>0</v>
      </c>
      <c r="P2067" s="525">
        <f t="shared" si="539"/>
        <v>0</v>
      </c>
      <c r="Q2067" s="525"/>
      <c r="S2067" s="405">
        <f t="shared" si="540"/>
        <v>1</v>
      </c>
      <c r="T2067" s="405">
        <f t="shared" si="541"/>
        <v>1</v>
      </c>
    </row>
    <row r="2068" spans="2:20" s="405" customFormat="1" hidden="1">
      <c r="B2068" s="405" t="s">
        <v>1193</v>
      </c>
      <c r="C2068" s="418">
        <f t="shared" si="535"/>
        <v>0</v>
      </c>
      <c r="D2068" s="523"/>
      <c r="E2068" s="523">
        <f>VLOOKUP(B2068,DONGIA,DG!$B$6,0)</f>
        <v>0</v>
      </c>
      <c r="F2068" s="525" t="str">
        <f>VLOOKUP(B2068,DONGIA,DG!$C$6,0)</f>
        <v>Băng keo cách điện</v>
      </c>
      <c r="G2068" s="523" t="str">
        <f>VLOOKUP(B2068,DONGIA,DG!$D$6,0)</f>
        <v>cuộn</v>
      </c>
      <c r="H2068" s="525"/>
      <c r="I2068" s="525">
        <f>VLOOKUP(B2068,DONGIA,DG!$E$6,0)</f>
        <v>6500</v>
      </c>
      <c r="J2068" s="525"/>
      <c r="K2068" s="525">
        <f>VLOOKUP(B2068,DONGIA,DG!$F$6,0)</f>
        <v>0</v>
      </c>
      <c r="L2068" s="525">
        <f>VLOOKUP(B2068,DONGIA,DG!$G$6,0)</f>
        <v>0</v>
      </c>
      <c r="M2068" s="525">
        <f t="shared" si="536"/>
        <v>0</v>
      </c>
      <c r="N2068" s="525">
        <f t="shared" si="537"/>
        <v>0</v>
      </c>
      <c r="O2068" s="525">
        <f t="shared" si="538"/>
        <v>0</v>
      </c>
      <c r="P2068" s="525">
        <f t="shared" si="539"/>
        <v>0</v>
      </c>
      <c r="Q2068" s="525"/>
      <c r="S2068" s="405">
        <f t="shared" si="540"/>
        <v>0</v>
      </c>
      <c r="T2068" s="405">
        <f t="shared" si="541"/>
        <v>0</v>
      </c>
    </row>
    <row r="2069" spans="2:20" s="405" customFormat="1">
      <c r="B2069" s="405" t="s">
        <v>857</v>
      </c>
      <c r="C2069" s="418">
        <f t="shared" si="535"/>
        <v>1</v>
      </c>
      <c r="D2069" s="523"/>
      <c r="E2069" s="523" t="str">
        <f>VLOOKUP(B2069,DONGIA,DG!$B$6,0)</f>
        <v>T4.8003</v>
      </c>
      <c r="F2069" s="666" t="str">
        <f>VLOOKUP(B2069,DONGIA,DG!$C$6,0)</f>
        <v>Lắp ống nhựa PVC D114</v>
      </c>
      <c r="G2069" s="523" t="str">
        <f>VLOOKUP(B2069,DONGIA,DG!$D$6,0)</f>
        <v>mét</v>
      </c>
      <c r="H2069" s="525">
        <f>H2060</f>
        <v>5</v>
      </c>
      <c r="I2069" s="525">
        <f>VLOOKUP(B2069,DONGIA,DG!$E$6,0)</f>
        <v>0</v>
      </c>
      <c r="J2069" s="525"/>
      <c r="K2069" s="525">
        <f>VLOOKUP(B2069,DONGIA,DG!$F$6,0)</f>
        <v>35541</v>
      </c>
      <c r="L2069" s="525">
        <f>VLOOKUP(B2069,DONGIA,DG!$G$6,0)</f>
        <v>0</v>
      </c>
      <c r="M2069" s="525">
        <f t="shared" si="536"/>
        <v>0</v>
      </c>
      <c r="N2069" s="525">
        <f t="shared" si="537"/>
        <v>0</v>
      </c>
      <c r="O2069" s="525">
        <f t="shared" si="538"/>
        <v>177705</v>
      </c>
      <c r="P2069" s="525">
        <f t="shared" si="539"/>
        <v>0</v>
      </c>
      <c r="Q2069" s="525"/>
      <c r="S2069" s="405">
        <f t="shared" si="540"/>
        <v>0</v>
      </c>
      <c r="T2069" s="405">
        <f t="shared" si="541"/>
        <v>0</v>
      </c>
    </row>
    <row r="2070" spans="2:20" s="405" customFormat="1">
      <c r="B2070" s="405" t="s">
        <v>1939</v>
      </c>
      <c r="C2070" s="418">
        <f t="shared" si="535"/>
        <v>1</v>
      </c>
      <c r="D2070" s="523"/>
      <c r="E2070" s="523" t="str">
        <f>VLOOKUP(B2070,DONGIA,DG!$B$6,0)</f>
        <v>T4.4201</v>
      </c>
      <c r="F2070" s="666" t="str">
        <f>VLOOKUP(B2070,DONGIA,DG!$C$6,0)</f>
        <v>Lắp cáp đồng xuống thiết bị D ≤ 95mm2</v>
      </c>
      <c r="G2070" s="523" t="str">
        <f>VLOOKUP(B2070,DONGIA,DG!$D$6,0)</f>
        <v>m</v>
      </c>
      <c r="H2070" s="525">
        <f>H2053</f>
        <v>9</v>
      </c>
      <c r="I2070" s="525">
        <f>VLOOKUP(B2070,DONGIA,DG!$E$6,0)</f>
        <v>0</v>
      </c>
      <c r="J2070" s="525"/>
      <c r="K2070" s="525">
        <f>VLOOKUP(B2070,DONGIA,DG!$F$6,0)</f>
        <v>11847</v>
      </c>
      <c r="L2070" s="525">
        <f>VLOOKUP(B2070,DONGIA,DG!$G$6,0)</f>
        <v>0</v>
      </c>
      <c r="M2070" s="525">
        <f t="shared" si="536"/>
        <v>0</v>
      </c>
      <c r="N2070" s="525">
        <f t="shared" si="537"/>
        <v>0</v>
      </c>
      <c r="O2070" s="525">
        <f t="shared" si="538"/>
        <v>106623</v>
      </c>
      <c r="P2070" s="525">
        <f t="shared" si="539"/>
        <v>0</v>
      </c>
      <c r="Q2070" s="525"/>
      <c r="S2070" s="405">
        <f t="shared" si="540"/>
        <v>0</v>
      </c>
      <c r="T2070" s="405">
        <f t="shared" si="541"/>
        <v>0</v>
      </c>
    </row>
    <row r="2071" spans="2:20" s="405" customFormat="1">
      <c r="B2071" s="405" t="s">
        <v>2063</v>
      </c>
      <c r="C2071" s="418">
        <f t="shared" si="535"/>
        <v>1</v>
      </c>
      <c r="D2071" s="523"/>
      <c r="E2071" s="523" t="str">
        <f>VLOOKUP(B2071,DONGIA,DG!$B$6,0)</f>
        <v>T4.4202</v>
      </c>
      <c r="F2071" s="666" t="str">
        <f>VLOOKUP(B2071,DONGIA,DG!$C$6,0)</f>
        <v>Lắp cáp đồng xuống thiết bị D ≤ 150mm2</v>
      </c>
      <c r="G2071" s="523" t="str">
        <f>VLOOKUP(B2071,DONGIA,DG!$D$6,0)</f>
        <v>m</v>
      </c>
      <c r="H2071" s="525">
        <f>H2052</f>
        <v>18</v>
      </c>
      <c r="I2071" s="525"/>
      <c r="J2071" s="525"/>
      <c r="K2071" s="525">
        <f>VLOOKUP(B2071,DONGIA,DG!$F$6,0)</f>
        <v>28433</v>
      </c>
      <c r="L2071" s="525">
        <f>VLOOKUP(B2071,DONGIA,DG!$G$6,0)</f>
        <v>0</v>
      </c>
      <c r="M2071" s="525">
        <f t="shared" si="536"/>
        <v>0</v>
      </c>
      <c r="N2071" s="525">
        <f t="shared" si="537"/>
        <v>0</v>
      </c>
      <c r="O2071" s="525">
        <f t="shared" si="538"/>
        <v>511794</v>
      </c>
      <c r="P2071" s="525">
        <f t="shared" si="539"/>
        <v>0</v>
      </c>
      <c r="Q2071" s="525"/>
      <c r="S2071" s="405">
        <f t="shared" si="540"/>
        <v>0</v>
      </c>
      <c r="T2071" s="405">
        <f t="shared" si="541"/>
        <v>0</v>
      </c>
    </row>
    <row r="2072" spans="2:20" s="352" customFormat="1">
      <c r="C2072" s="484">
        <f t="shared" si="516"/>
        <v>1</v>
      </c>
      <c r="D2072" s="532">
        <f>IF(H2072&lt;&gt;0,D2024+1,D2024)</f>
        <v>7</v>
      </c>
      <c r="E2072" s="532"/>
      <c r="F2072" s="783" t="s">
        <v>1938</v>
      </c>
      <c r="G2072" s="532" t="s">
        <v>138</v>
      </c>
      <c r="H2072" s="532">
        <f>DTR1P*2</f>
        <v>4</v>
      </c>
      <c r="I2072" s="533"/>
      <c r="J2072" s="533"/>
      <c r="K2072" s="533"/>
      <c r="L2072" s="533"/>
      <c r="M2072" s="533"/>
      <c r="N2072" s="533"/>
      <c r="O2072" s="533"/>
      <c r="P2072" s="533"/>
      <c r="Q2072" s="533"/>
      <c r="S2072" s="352">
        <f t="shared" si="534"/>
        <v>0</v>
      </c>
      <c r="T2072" s="352">
        <f t="shared" si="517"/>
        <v>0</v>
      </c>
    </row>
    <row r="2073" spans="2:20" s="534" customFormat="1" hidden="1">
      <c r="C2073" s="535">
        <f t="shared" si="516"/>
        <v>0</v>
      </c>
      <c r="D2073" s="536"/>
      <c r="E2073" s="536"/>
      <c r="F2073" s="537" t="s">
        <v>1902</v>
      </c>
      <c r="G2073" s="536"/>
      <c r="H2073" s="537"/>
      <c r="I2073" s="537"/>
      <c r="J2073" s="537"/>
      <c r="K2073" s="537"/>
      <c r="L2073" s="537"/>
      <c r="M2073" s="537"/>
      <c r="N2073" s="537"/>
      <c r="O2073" s="537"/>
      <c r="P2073" s="537"/>
      <c r="Q2073" s="537"/>
      <c r="S2073" s="534">
        <f t="shared" si="534"/>
        <v>0</v>
      </c>
      <c r="T2073" s="534">
        <f t="shared" si="517"/>
        <v>0</v>
      </c>
    </row>
    <row r="2074" spans="2:20" s="542" customFormat="1">
      <c r="C2074" s="374">
        <f>IF(SUM(C2075:C2097)&lt;&gt;0,1,)</f>
        <v>1</v>
      </c>
      <c r="D2074" s="550"/>
      <c r="E2074" s="550"/>
      <c r="F2074" s="786" t="s">
        <v>3873</v>
      </c>
      <c r="G2074" s="550"/>
      <c r="H2074" s="550">
        <v>2</v>
      </c>
      <c r="I2074" s="551"/>
      <c r="J2074" s="551"/>
      <c r="K2074" s="551"/>
      <c r="L2074" s="551"/>
      <c r="M2074" s="551"/>
      <c r="N2074" s="551"/>
      <c r="O2074" s="551"/>
      <c r="P2074" s="551"/>
      <c r="Q2074" s="551"/>
    </row>
    <row r="2075" spans="2:20" s="405" customFormat="1">
      <c r="B2075" s="405" t="s">
        <v>1907</v>
      </c>
      <c r="C2075" s="418">
        <f t="shared" si="516"/>
        <v>1</v>
      </c>
      <c r="D2075" s="523"/>
      <c r="E2075" s="523">
        <f>VLOOKUP(B2075,DONGIA,DG!$B$6,0)</f>
        <v>0</v>
      </c>
      <c r="F2075" s="666" t="str">
        <f>VLOOKUP(B2075,DONGIA,DG!$C$6,0)&amp;" (SDL)"</f>
        <v>Cáp đồng bọc CV70 (SDL)</v>
      </c>
      <c r="G2075" s="523" t="str">
        <f>VLOOKUP(B2075,DONGIA,DG!$D$6,0)</f>
        <v>mét</v>
      </c>
      <c r="H2075" s="525">
        <f>8.5*2</f>
        <v>17</v>
      </c>
      <c r="I2075" s="525"/>
      <c r="J2075" s="525"/>
      <c r="K2075" s="525">
        <f>VLOOKUP(B2075,DONGIA,DG!$F$6,0)</f>
        <v>0</v>
      </c>
      <c r="L2075" s="525">
        <f>VLOOKUP(B2075,DONGIA,DG!$G$6,0)</f>
        <v>0</v>
      </c>
      <c r="M2075" s="525">
        <f t="shared" ref="M2075:M2097" si="542">$H2075*I2075</f>
        <v>0</v>
      </c>
      <c r="N2075" s="525">
        <f t="shared" ref="N2075:N2097" si="543">$H2075*J2075</f>
        <v>0</v>
      </c>
      <c r="O2075" s="525">
        <f t="shared" ref="O2075:O2097" si="544">$H2075*K2075</f>
        <v>0</v>
      </c>
      <c r="P2075" s="525">
        <f t="shared" ref="P2075:P2097" si="545">$H2075*L2075</f>
        <v>0</v>
      </c>
      <c r="Q2075" s="525"/>
      <c r="S2075" s="405">
        <f t="shared" si="534"/>
        <v>0.73899999999999999</v>
      </c>
      <c r="T2075" s="405">
        <f t="shared" si="517"/>
        <v>12.563000000000001</v>
      </c>
    </row>
    <row r="2076" spans="2:20" s="405" customFormat="1">
      <c r="B2076" s="405" t="s">
        <v>1906</v>
      </c>
      <c r="C2076" s="418">
        <f t="shared" si="516"/>
        <v>1</v>
      </c>
      <c r="D2076" s="523"/>
      <c r="E2076" s="523">
        <f>VLOOKUP(B2076,DONGIA,DG!$B$6,0)</f>
        <v>0</v>
      </c>
      <c r="F2076" s="666" t="str">
        <f>VLOOKUP(B2076,DONGIA,DG!$C$6,0)&amp;" (SDL)"</f>
        <v>Cáp đồng bọc CV50 (SDL)</v>
      </c>
      <c r="G2076" s="523" t="str">
        <f>VLOOKUP(B2076,DONGIA,DG!$D$6,0)</f>
        <v>mét</v>
      </c>
      <c r="H2076" s="525">
        <f>8.5</f>
        <v>8.5</v>
      </c>
      <c r="I2076" s="525"/>
      <c r="J2076" s="525"/>
      <c r="K2076" s="525">
        <f>VLOOKUP(B2076,DONGIA,DG!$F$6,0)</f>
        <v>0</v>
      </c>
      <c r="L2076" s="525">
        <f>VLOOKUP(B2076,DONGIA,DG!$G$6,0)</f>
        <v>0</v>
      </c>
      <c r="M2076" s="525">
        <f t="shared" si="542"/>
        <v>0</v>
      </c>
      <c r="N2076" s="525">
        <f t="shared" si="543"/>
        <v>0</v>
      </c>
      <c r="O2076" s="525">
        <f t="shared" si="544"/>
        <v>0</v>
      </c>
      <c r="P2076" s="525">
        <f t="shared" si="545"/>
        <v>0</v>
      </c>
      <c r="Q2076" s="525"/>
      <c r="S2076" s="405">
        <f t="shared" si="534"/>
        <v>0.53400000000000003</v>
      </c>
      <c r="T2076" s="405">
        <f t="shared" si="517"/>
        <v>4.5390000000000006</v>
      </c>
    </row>
    <row r="2077" spans="2:20" s="405" customFormat="1">
      <c r="B2077" s="405" t="s">
        <v>1907</v>
      </c>
      <c r="C2077" s="418">
        <f t="shared" ref="C2077:C2097" si="546">IF(H2077&lt;&gt;0,1,)</f>
        <v>1</v>
      </c>
      <c r="D2077" s="523"/>
      <c r="E2077" s="523">
        <f>VLOOKUP(B2077,DONGIA,DG!$B$6,0)</f>
        <v>0</v>
      </c>
      <c r="F2077" s="666" t="str">
        <f>VLOOKUP(B2077,DONGIA,DG!$C$6,0)</f>
        <v>Cáp đồng bọc CV70</v>
      </c>
      <c r="G2077" s="523" t="str">
        <f>VLOOKUP(B2077,DONGIA,DG!$D$6,0)</f>
        <v>mét</v>
      </c>
      <c r="H2077" s="554">
        <f>8.5*2</f>
        <v>17</v>
      </c>
      <c r="I2077" s="525">
        <f>VLOOKUP(B2077,DONGIA,DG!$E$6,0)</f>
        <v>142880</v>
      </c>
      <c r="J2077" s="525"/>
      <c r="K2077" s="525">
        <f>VLOOKUP(B2077,DONGIA,DG!$F$6,0)</f>
        <v>0</v>
      </c>
      <c r="L2077" s="525">
        <f>VLOOKUP(B2077,DONGIA,DG!$G$6,0)</f>
        <v>0</v>
      </c>
      <c r="M2077" s="525">
        <f t="shared" ref="M2077:P2078" si="547">$H2077*I2077</f>
        <v>2428960</v>
      </c>
      <c r="N2077" s="525">
        <f t="shared" si="547"/>
        <v>0</v>
      </c>
      <c r="O2077" s="525">
        <f t="shared" si="547"/>
        <v>0</v>
      </c>
      <c r="P2077" s="525">
        <f t="shared" si="547"/>
        <v>0</v>
      </c>
      <c r="Q2077" s="525"/>
      <c r="S2077" s="405">
        <f>IFERROR(VLOOKUP(B2077,DONGIA,$S$25,0),0)</f>
        <v>0.73899999999999999</v>
      </c>
      <c r="T2077" s="405">
        <f t="shared" ref="T2077:T2097" si="548">H2077*S2077</f>
        <v>12.563000000000001</v>
      </c>
    </row>
    <row r="2078" spans="2:20" s="405" customFormat="1">
      <c r="B2078" s="405" t="s">
        <v>1906</v>
      </c>
      <c r="C2078" s="418">
        <f t="shared" si="546"/>
        <v>1</v>
      </c>
      <c r="D2078" s="523"/>
      <c r="E2078" s="523">
        <f>VLOOKUP(B2078,DONGIA,DG!$B$6,0)</f>
        <v>0</v>
      </c>
      <c r="F2078" s="666" t="str">
        <f>VLOOKUP(B2078,DONGIA,DG!$C$6,0)</f>
        <v>Cáp đồng bọc CV50</v>
      </c>
      <c r="G2078" s="523" t="str">
        <f>VLOOKUP(B2078,DONGIA,DG!$D$6,0)</f>
        <v>mét</v>
      </c>
      <c r="H2078" s="554">
        <f>8.5</f>
        <v>8.5</v>
      </c>
      <c r="I2078" s="525">
        <f>VLOOKUP(B2078,DONGIA,DG!$E$6,0)</f>
        <v>104370</v>
      </c>
      <c r="J2078" s="525"/>
      <c r="K2078" s="525">
        <f>VLOOKUP(B2078,DONGIA,DG!$F$6,0)</f>
        <v>0</v>
      </c>
      <c r="L2078" s="525">
        <f>VLOOKUP(B2078,DONGIA,DG!$G$6,0)</f>
        <v>0</v>
      </c>
      <c r="M2078" s="525">
        <f t="shared" si="547"/>
        <v>887145</v>
      </c>
      <c r="N2078" s="525">
        <f t="shared" si="547"/>
        <v>0</v>
      </c>
      <c r="O2078" s="525">
        <f t="shared" si="547"/>
        <v>0</v>
      </c>
      <c r="P2078" s="525">
        <f t="shared" si="547"/>
        <v>0</v>
      </c>
      <c r="Q2078" s="525"/>
      <c r="S2078" s="405">
        <f>IFERROR(VLOOKUP(B2078,DONGIA,$S$25,0),0)</f>
        <v>0.53400000000000003</v>
      </c>
      <c r="T2078" s="405">
        <f t="shared" si="548"/>
        <v>4.5390000000000006</v>
      </c>
    </row>
    <row r="2079" spans="2:20" s="405" customFormat="1">
      <c r="B2079" s="405" t="s">
        <v>1113</v>
      </c>
      <c r="C2079" s="418">
        <f t="shared" si="546"/>
        <v>1</v>
      </c>
      <c r="D2079" s="523"/>
      <c r="E2079" s="523" t="str">
        <f>VLOOKUP(B2079,DONGIA,DG!$B$6,0)</f>
        <v>D4.5003</v>
      </c>
      <c r="F2079" s="666" t="str">
        <f>VLOOKUP(B2079,DONGIA,DG!$C$6,0)</f>
        <v>Đầu cosse ép Cu 70mm2</v>
      </c>
      <c r="G2079" s="523" t="str">
        <f>VLOOKUP(B2079,DONGIA,DG!$D$6,0)</f>
        <v>cái</v>
      </c>
      <c r="H2079" s="525">
        <v>2</v>
      </c>
      <c r="I2079" s="525">
        <f>VLOOKUP(B2079,DONGIA,DG!$E$6,0)</f>
        <v>33000</v>
      </c>
      <c r="J2079" s="525"/>
      <c r="K2079" s="525">
        <f>VLOOKUP(B2079,DONGIA,DG!$F$6,0)</f>
        <v>14194</v>
      </c>
      <c r="L2079" s="525">
        <f>VLOOKUP(B2079,DONGIA,DG!$G$6,0)</f>
        <v>1767</v>
      </c>
      <c r="M2079" s="525">
        <f t="shared" si="542"/>
        <v>66000</v>
      </c>
      <c r="N2079" s="525">
        <f t="shared" si="543"/>
        <v>0</v>
      </c>
      <c r="O2079" s="525">
        <f t="shared" si="544"/>
        <v>28388</v>
      </c>
      <c r="P2079" s="525">
        <f t="shared" si="545"/>
        <v>3534</v>
      </c>
      <c r="Q2079" s="525"/>
      <c r="S2079" s="405">
        <f t="shared" si="534"/>
        <v>0.2</v>
      </c>
      <c r="T2079" s="405">
        <f t="shared" si="548"/>
        <v>0.4</v>
      </c>
    </row>
    <row r="2080" spans="2:20" s="405" customFormat="1">
      <c r="B2080" s="405" t="s">
        <v>1110</v>
      </c>
      <c r="C2080" s="418">
        <f t="shared" si="546"/>
        <v>1</v>
      </c>
      <c r="D2080" s="523"/>
      <c r="E2080" s="523" t="str">
        <f>VLOOKUP(B2080,DONGIA,DG!$B$6,0)</f>
        <v>D4.5002</v>
      </c>
      <c r="F2080" s="666" t="str">
        <f>VLOOKUP(B2080,DONGIA,DG!$C$6,0)</f>
        <v>Đầu cosse ép Cu 50mm2</v>
      </c>
      <c r="G2080" s="523" t="str">
        <f>VLOOKUP(B2080,DONGIA,DG!$D$6,0)</f>
        <v>cái</v>
      </c>
      <c r="H2080" s="525">
        <v>1</v>
      </c>
      <c r="I2080" s="525">
        <f>VLOOKUP(B2080,DONGIA,DG!$E$6,0)</f>
        <v>23000</v>
      </c>
      <c r="J2080" s="525"/>
      <c r="K2080" s="525">
        <f>VLOOKUP(B2080,DONGIA,DG!$F$6,0)</f>
        <v>9032</v>
      </c>
      <c r="L2080" s="525">
        <f>VLOOKUP(B2080,DONGIA,DG!$G$6,0)</f>
        <v>1473</v>
      </c>
      <c r="M2080" s="525">
        <f t="shared" si="542"/>
        <v>23000</v>
      </c>
      <c r="N2080" s="525">
        <f t="shared" si="543"/>
        <v>0</v>
      </c>
      <c r="O2080" s="525">
        <f t="shared" si="544"/>
        <v>9032</v>
      </c>
      <c r="P2080" s="525">
        <f t="shared" si="545"/>
        <v>1473</v>
      </c>
      <c r="Q2080" s="525"/>
      <c r="S2080" s="405">
        <f t="shared" si="534"/>
        <v>0.1</v>
      </c>
      <c r="T2080" s="405">
        <f t="shared" si="548"/>
        <v>0.1</v>
      </c>
    </row>
    <row r="2081" spans="2:20" s="405" customFormat="1">
      <c r="B2081" s="405" t="s">
        <v>1147</v>
      </c>
      <c r="C2081" s="418">
        <f t="shared" si="546"/>
        <v>1</v>
      </c>
      <c r="D2081" s="523"/>
      <c r="E2081" s="523">
        <f>VLOOKUP(B2081,DONGIA,DG!$B$6,0)</f>
        <v>0</v>
      </c>
      <c r="F2081" s="666" t="str">
        <f>VLOOKUP(B2081,DONGIA,DG!$C$6,0)</f>
        <v>Chụp đầu cosse  70mm2</v>
      </c>
      <c r="G2081" s="523" t="str">
        <f>VLOOKUP(B2081,DONGIA,DG!$D$6,0)</f>
        <v>cái</v>
      </c>
      <c r="H2081" s="525">
        <f>H2079</f>
        <v>2</v>
      </c>
      <c r="I2081" s="525">
        <f>VLOOKUP(B2081,DONGIA,DG!$E$6,0)</f>
        <v>2000</v>
      </c>
      <c r="J2081" s="525"/>
      <c r="K2081" s="525">
        <f>VLOOKUP(B2081,DONGIA,DG!$F$6,0)</f>
        <v>0</v>
      </c>
      <c r="L2081" s="525">
        <f>VLOOKUP(B2081,DONGIA,DG!$G$6,0)</f>
        <v>0</v>
      </c>
      <c r="M2081" s="525">
        <f t="shared" si="542"/>
        <v>4000</v>
      </c>
      <c r="N2081" s="525">
        <f t="shared" si="543"/>
        <v>0</v>
      </c>
      <c r="O2081" s="525">
        <f t="shared" si="544"/>
        <v>0</v>
      </c>
      <c r="P2081" s="525">
        <f t="shared" si="545"/>
        <v>0</v>
      </c>
      <c r="Q2081" s="525"/>
      <c r="S2081" s="405">
        <f t="shared" si="534"/>
        <v>0</v>
      </c>
      <c r="T2081" s="405">
        <f t="shared" si="548"/>
        <v>0</v>
      </c>
    </row>
    <row r="2082" spans="2:20" s="405" customFormat="1">
      <c r="B2082" s="405" t="s">
        <v>1145</v>
      </c>
      <c r="C2082" s="418">
        <f t="shared" si="546"/>
        <v>1</v>
      </c>
      <c r="D2082" s="523"/>
      <c r="E2082" s="523">
        <f>VLOOKUP(B2082,DONGIA,DG!$B$6,0)</f>
        <v>0</v>
      </c>
      <c r="F2082" s="666" t="str">
        <f>VLOOKUP(B2082,DONGIA,DG!$C$6,0)</f>
        <v>Chụp đầu cosse  50mm2</v>
      </c>
      <c r="G2082" s="523" t="str">
        <f>VLOOKUP(B2082,DONGIA,DG!$D$6,0)</f>
        <v>cái</v>
      </c>
      <c r="H2082" s="525">
        <f>H2080</f>
        <v>1</v>
      </c>
      <c r="I2082" s="525">
        <f>VLOOKUP(B2082,DONGIA,DG!$E$6,0)</f>
        <v>2000</v>
      </c>
      <c r="J2082" s="525"/>
      <c r="K2082" s="525">
        <f>VLOOKUP(B2082,DONGIA,DG!$F$6,0)</f>
        <v>0</v>
      </c>
      <c r="L2082" s="525">
        <f>VLOOKUP(B2082,DONGIA,DG!$G$6,0)</f>
        <v>0</v>
      </c>
      <c r="M2082" s="525">
        <f t="shared" si="542"/>
        <v>2000</v>
      </c>
      <c r="N2082" s="525">
        <f t="shared" si="543"/>
        <v>0</v>
      </c>
      <c r="O2082" s="525">
        <f t="shared" si="544"/>
        <v>0</v>
      </c>
      <c r="P2082" s="525">
        <f t="shared" si="545"/>
        <v>0</v>
      </c>
      <c r="Q2082" s="525"/>
      <c r="S2082" s="405">
        <f t="shared" si="534"/>
        <v>0</v>
      </c>
      <c r="T2082" s="405">
        <f t="shared" si="548"/>
        <v>0</v>
      </c>
    </row>
    <row r="2083" spans="2:20" s="405" customFormat="1">
      <c r="B2083" s="405" t="s">
        <v>1177</v>
      </c>
      <c r="C2083" s="418">
        <f t="shared" si="546"/>
        <v>1</v>
      </c>
      <c r="D2083" s="523"/>
      <c r="E2083" s="523">
        <f>VLOOKUP(B2083,DONGIA,DG!$B$6,0)</f>
        <v>0</v>
      </c>
      <c r="F2083" s="666" t="str">
        <f>VLOOKUP(B2083,DONGIA,DG!$C$6,0)&amp;" (SDL)"</f>
        <v>Ống PVC D90x3,8mm  (SDL)</v>
      </c>
      <c r="G2083" s="523" t="str">
        <f>VLOOKUP(B2083,DONGIA,DG!$D$6,0)</f>
        <v>m</v>
      </c>
      <c r="H2083" s="525">
        <v>6</v>
      </c>
      <c r="I2083" s="525">
        <f>VLOOKUP(B2083,DONGIA,DG!$E$6,0)</f>
        <v>57000</v>
      </c>
      <c r="J2083" s="525"/>
      <c r="K2083" s="525">
        <f>VLOOKUP(B2083,DONGIA,DG!$F$6,0)</f>
        <v>0</v>
      </c>
      <c r="L2083" s="525">
        <f>VLOOKUP(B2083,DONGIA,DG!$G$6,0)</f>
        <v>0</v>
      </c>
      <c r="M2083" s="525">
        <f>$H2083*I2083</f>
        <v>342000</v>
      </c>
      <c r="N2083" s="525">
        <f>$H2083*J2083</f>
        <v>0</v>
      </c>
      <c r="O2083" s="525">
        <f>$H2083*K2083</f>
        <v>0</v>
      </c>
      <c r="P2083" s="525">
        <f>$H2083*L2083</f>
        <v>0</v>
      </c>
      <c r="Q2083" s="525"/>
      <c r="S2083" s="405">
        <f>IFERROR(VLOOKUP(B2083,DONGIA,$S$25,0),0)</f>
        <v>2</v>
      </c>
      <c r="T2083" s="405">
        <f t="shared" si="548"/>
        <v>12</v>
      </c>
    </row>
    <row r="2084" spans="2:20" s="405" customFormat="1">
      <c r="B2084" s="405" t="s">
        <v>1177</v>
      </c>
      <c r="C2084" s="418">
        <f t="shared" si="546"/>
        <v>1</v>
      </c>
      <c r="D2084" s="523"/>
      <c r="E2084" s="523">
        <f>VLOOKUP(B2084,DONGIA,DG!$B$6,0)</f>
        <v>0</v>
      </c>
      <c r="F2084" s="666" t="str">
        <f>VLOOKUP(B2084,DONGIA,DG!$C$6,0)</f>
        <v xml:space="preserve">Ống PVC D90x3,8mm </v>
      </c>
      <c r="G2084" s="523" t="str">
        <f>VLOOKUP(B2084,DONGIA,DG!$D$6,0)</f>
        <v>m</v>
      </c>
      <c r="H2084" s="525">
        <v>6</v>
      </c>
      <c r="I2084" s="525">
        <f>VLOOKUP(B2084,DONGIA,DG!$E$6,0)</f>
        <v>57000</v>
      </c>
      <c r="J2084" s="525"/>
      <c r="K2084" s="525">
        <f>VLOOKUP(B2084,DONGIA,DG!$F$6,0)</f>
        <v>0</v>
      </c>
      <c r="L2084" s="525">
        <f>VLOOKUP(B2084,DONGIA,DG!$G$6,0)</f>
        <v>0</v>
      </c>
      <c r="M2084" s="525">
        <f t="shared" si="542"/>
        <v>342000</v>
      </c>
      <c r="N2084" s="525">
        <f t="shared" si="543"/>
        <v>0</v>
      </c>
      <c r="O2084" s="525">
        <f t="shared" si="544"/>
        <v>0</v>
      </c>
      <c r="P2084" s="525">
        <f t="shared" si="545"/>
        <v>0</v>
      </c>
      <c r="Q2084" s="525"/>
      <c r="S2084" s="405">
        <f t="shared" si="534"/>
        <v>2</v>
      </c>
      <c r="T2084" s="405">
        <f t="shared" si="548"/>
        <v>12</v>
      </c>
    </row>
    <row r="2085" spans="2:20" s="405" customFormat="1">
      <c r="B2085" s="405" t="s">
        <v>455</v>
      </c>
      <c r="C2085" s="418">
        <f t="shared" si="546"/>
        <v>1</v>
      </c>
      <c r="D2085" s="523"/>
      <c r="E2085" s="523"/>
      <c r="F2085" s="666" t="str">
        <f>VLOOKUP(B2085,DONGIA,DG!$C$6,0)&amp;" (CD: 250)"</f>
        <v>Cổ dê kẹp ống PVC φ 90 (có giá nới) (CD: 250)</v>
      </c>
      <c r="G2085" s="523" t="str">
        <f>VLOOKUP(B2085,DONGIA,DG!$D$6,0)</f>
        <v>bộ</v>
      </c>
      <c r="H2085" s="525">
        <v>1</v>
      </c>
      <c r="I2085" s="525">
        <f>VLOOKUP(B2085,DONGIA,DG!$E$6,0)</f>
        <v>60000</v>
      </c>
      <c r="J2085" s="525"/>
      <c r="K2085" s="525"/>
      <c r="L2085" s="525">
        <f>VLOOKUP(B2085,DONGIA,DG!$G$6,0)</f>
        <v>0</v>
      </c>
      <c r="M2085" s="525">
        <f t="shared" si="542"/>
        <v>60000</v>
      </c>
      <c r="N2085" s="525">
        <f t="shared" si="543"/>
        <v>0</v>
      </c>
      <c r="O2085" s="525">
        <f t="shared" si="544"/>
        <v>0</v>
      </c>
      <c r="P2085" s="525">
        <f t="shared" si="545"/>
        <v>0</v>
      </c>
      <c r="Q2085" s="525"/>
      <c r="S2085" s="405">
        <f t="shared" si="534"/>
        <v>1.5</v>
      </c>
      <c r="T2085" s="405">
        <f t="shared" si="548"/>
        <v>1.5</v>
      </c>
    </row>
    <row r="2086" spans="2:20" s="405" customFormat="1">
      <c r="B2086" s="405" t="s">
        <v>455</v>
      </c>
      <c r="C2086" s="418">
        <f t="shared" si="546"/>
        <v>1</v>
      </c>
      <c r="D2086" s="523"/>
      <c r="E2086" s="523"/>
      <c r="F2086" s="666" t="str">
        <f>VLOOKUP(B2086,DONGIA,DG!$C$6,0)&amp;" (CD: 280)"</f>
        <v>Cổ dê kẹp ống PVC φ 90 (có giá nới) (CD: 280)</v>
      </c>
      <c r="G2086" s="523" t="str">
        <f>VLOOKUP(B2086,DONGIA,DG!$D$6,0)</f>
        <v>bộ</v>
      </c>
      <c r="H2086" s="525">
        <v>1</v>
      </c>
      <c r="I2086" s="525">
        <f>VLOOKUP(B2086,DONGIA,DG!$E$6,0)</f>
        <v>60000</v>
      </c>
      <c r="J2086" s="525"/>
      <c r="K2086" s="525"/>
      <c r="L2086" s="525">
        <f>VLOOKUP(B2086,DONGIA,DG!$G$6,0)</f>
        <v>0</v>
      </c>
      <c r="M2086" s="525">
        <f t="shared" si="542"/>
        <v>60000</v>
      </c>
      <c r="N2086" s="525">
        <f t="shared" si="543"/>
        <v>0</v>
      </c>
      <c r="O2086" s="525">
        <f t="shared" si="544"/>
        <v>0</v>
      </c>
      <c r="P2086" s="525">
        <f t="shared" si="545"/>
        <v>0</v>
      </c>
      <c r="Q2086" s="525"/>
      <c r="S2086" s="405">
        <f t="shared" si="534"/>
        <v>1.5</v>
      </c>
      <c r="T2086" s="405">
        <f t="shared" si="548"/>
        <v>1.5</v>
      </c>
    </row>
    <row r="2087" spans="2:20" s="405" customFormat="1">
      <c r="B2087" s="405" t="s">
        <v>455</v>
      </c>
      <c r="C2087" s="418">
        <f t="shared" si="546"/>
        <v>1</v>
      </c>
      <c r="D2087" s="523"/>
      <c r="E2087" s="523"/>
      <c r="F2087" s="666" t="str">
        <f>VLOOKUP(B2087,DONGIA,DG!$C$6,0)&amp;" (CD: 320)"</f>
        <v>Cổ dê kẹp ống PVC φ 90 (có giá nới) (CD: 320)</v>
      </c>
      <c r="G2087" s="523" t="str">
        <f>VLOOKUP(B2087,DONGIA,DG!$D$6,0)</f>
        <v>bộ</v>
      </c>
      <c r="H2087" s="525">
        <v>1</v>
      </c>
      <c r="I2087" s="525">
        <f>VLOOKUP(B2087,DONGIA,DG!$E$6,0)</f>
        <v>60000</v>
      </c>
      <c r="J2087" s="525"/>
      <c r="K2087" s="525"/>
      <c r="L2087" s="525">
        <f>VLOOKUP(B2087,DONGIA,DG!$G$6,0)</f>
        <v>0</v>
      </c>
      <c r="M2087" s="525">
        <f t="shared" si="542"/>
        <v>60000</v>
      </c>
      <c r="N2087" s="525">
        <f t="shared" si="543"/>
        <v>0</v>
      </c>
      <c r="O2087" s="525">
        <f t="shared" si="544"/>
        <v>0</v>
      </c>
      <c r="P2087" s="525">
        <f t="shared" si="545"/>
        <v>0</v>
      </c>
      <c r="Q2087" s="525"/>
      <c r="S2087" s="405">
        <f t="shared" si="534"/>
        <v>1.5</v>
      </c>
      <c r="T2087" s="405">
        <f t="shared" si="548"/>
        <v>1.5</v>
      </c>
    </row>
    <row r="2088" spans="2:20" s="405" customFormat="1">
      <c r="B2088" s="405" t="s">
        <v>2956</v>
      </c>
      <c r="C2088" s="418">
        <f t="shared" si="546"/>
        <v>1</v>
      </c>
      <c r="D2088" s="523"/>
      <c r="E2088" s="523">
        <f>VLOOKUP(B2088,DONGIA,DG!$B$6,0)</f>
        <v>0</v>
      </c>
      <c r="F2088" s="666" t="str">
        <f>VLOOKUP(B2088,DONGIA,DG!$C$6,0)</f>
        <v>Co  90 độ PVC 90 (Loại dày)</v>
      </c>
      <c r="G2088" s="523" t="str">
        <f>VLOOKUP(B2088,DONGIA,DG!$D$6,0)</f>
        <v>cái</v>
      </c>
      <c r="H2088" s="525">
        <v>3</v>
      </c>
      <c r="I2088" s="525">
        <f>VLOOKUP(B2088,DONGIA,DG!$E$6,0)</f>
        <v>45400</v>
      </c>
      <c r="J2088" s="525"/>
      <c r="K2088" s="525">
        <f>VLOOKUP(B2088,DONGIA,DG!$F$6,0)</f>
        <v>0</v>
      </c>
      <c r="L2088" s="525">
        <f>VLOOKUP(B2088,DONGIA,DG!$G$6,0)</f>
        <v>0</v>
      </c>
      <c r="M2088" s="525">
        <f t="shared" si="542"/>
        <v>136200</v>
      </c>
      <c r="N2088" s="525">
        <f t="shared" si="543"/>
        <v>0</v>
      </c>
      <c r="O2088" s="525">
        <f t="shared" si="544"/>
        <v>0</v>
      </c>
      <c r="P2088" s="525">
        <f t="shared" si="545"/>
        <v>0</v>
      </c>
      <c r="Q2088" s="525"/>
      <c r="S2088" s="405">
        <f t="shared" si="534"/>
        <v>0</v>
      </c>
      <c r="T2088" s="405">
        <f t="shared" si="548"/>
        <v>0</v>
      </c>
    </row>
    <row r="2089" spans="2:20" s="405" customFormat="1">
      <c r="B2089" s="405" t="s">
        <v>1181</v>
      </c>
      <c r="C2089" s="418">
        <f t="shared" si="546"/>
        <v>1</v>
      </c>
      <c r="D2089" s="523"/>
      <c r="E2089" s="523">
        <f>VLOOKUP(B2089,DONGIA,DG!$B$6,0)</f>
        <v>0</v>
      </c>
      <c r="F2089" s="666" t="str">
        <f>VLOOKUP(B2089,DONGIA,DG!$C$6,0)</f>
        <v>Co 135 độ PVC 90</v>
      </c>
      <c r="G2089" s="523" t="str">
        <f>VLOOKUP(B2089,DONGIA,DG!$D$6,0)</f>
        <v>cái</v>
      </c>
      <c r="H2089" s="525">
        <v>1</v>
      </c>
      <c r="I2089" s="525">
        <f>VLOOKUP(B2089,DONGIA,DG!$E$6,0)</f>
        <v>34800</v>
      </c>
      <c r="J2089" s="525"/>
      <c r="K2089" s="525">
        <f>VLOOKUP(B2089,DONGIA,DG!$F$6,0)</f>
        <v>0</v>
      </c>
      <c r="L2089" s="525">
        <f>VLOOKUP(B2089,DONGIA,DG!$G$6,0)</f>
        <v>0</v>
      </c>
      <c r="M2089" s="525">
        <f t="shared" si="542"/>
        <v>34800</v>
      </c>
      <c r="N2089" s="525">
        <f t="shared" si="543"/>
        <v>0</v>
      </c>
      <c r="O2089" s="525">
        <f t="shared" si="544"/>
        <v>0</v>
      </c>
      <c r="P2089" s="525">
        <f t="shared" si="545"/>
        <v>0</v>
      </c>
      <c r="Q2089" s="525"/>
      <c r="S2089" s="405">
        <f t="shared" si="534"/>
        <v>0</v>
      </c>
      <c r="T2089" s="405">
        <f t="shared" si="548"/>
        <v>0</v>
      </c>
    </row>
    <row r="2090" spans="2:20" s="405" customFormat="1">
      <c r="B2090" s="405" t="s">
        <v>1203</v>
      </c>
      <c r="C2090" s="418">
        <f t="shared" si="546"/>
        <v>1</v>
      </c>
      <c r="D2090" s="523"/>
      <c r="E2090" s="523">
        <f>VLOOKUP(B2090,DONGIA,DG!$B$6,0)</f>
        <v>0</v>
      </c>
      <c r="F2090" s="666" t="str">
        <f>VLOOKUP(B2090,DONGIA,DG!$C$6,0)</f>
        <v>Khâu ven răng trong D90</v>
      </c>
      <c r="G2090" s="523" t="str">
        <f>VLOOKUP(B2090,DONGIA,DG!$D$6,0)</f>
        <v>cái</v>
      </c>
      <c r="H2090" s="525">
        <v>1</v>
      </c>
      <c r="I2090" s="525">
        <f>VLOOKUP(B2090,DONGIA,DG!$E$6,0)</f>
        <v>25800</v>
      </c>
      <c r="J2090" s="525"/>
      <c r="K2090" s="525">
        <f>VLOOKUP(B2090,DONGIA,DG!$F$6,0)</f>
        <v>0</v>
      </c>
      <c r="L2090" s="525">
        <f>VLOOKUP(B2090,DONGIA,DG!$G$6,0)</f>
        <v>0</v>
      </c>
      <c r="M2090" s="525">
        <f t="shared" si="542"/>
        <v>25800</v>
      </c>
      <c r="N2090" s="525">
        <f t="shared" si="543"/>
        <v>0</v>
      </c>
      <c r="O2090" s="525">
        <f t="shared" si="544"/>
        <v>0</v>
      </c>
      <c r="P2090" s="525">
        <f t="shared" si="545"/>
        <v>0</v>
      </c>
      <c r="Q2090" s="525"/>
      <c r="S2090" s="405">
        <f t="shared" si="534"/>
        <v>0</v>
      </c>
      <c r="T2090" s="405">
        <f t="shared" si="548"/>
        <v>0</v>
      </c>
    </row>
    <row r="2091" spans="2:20" s="405" customFormat="1">
      <c r="B2091" s="405" t="s">
        <v>1209</v>
      </c>
      <c r="C2091" s="418">
        <f t="shared" si="546"/>
        <v>1</v>
      </c>
      <c r="D2091" s="523"/>
      <c r="E2091" s="523">
        <f>VLOOKUP(B2091,DONGIA,DG!$B$6,0)</f>
        <v>0</v>
      </c>
      <c r="F2091" s="666" t="str">
        <f>VLOOKUP(B2091,DONGIA,DG!$C$6,0)</f>
        <v>Khâu ven răng ngoài D90</v>
      </c>
      <c r="G2091" s="523" t="str">
        <f>VLOOKUP(B2091,DONGIA,DG!$D$6,0)</f>
        <v>cái</v>
      </c>
      <c r="H2091" s="525">
        <v>1</v>
      </c>
      <c r="I2091" s="525">
        <f>VLOOKUP(B2091,DONGIA,DG!$E$6,0)</f>
        <v>21500</v>
      </c>
      <c r="J2091" s="525"/>
      <c r="K2091" s="525">
        <f>VLOOKUP(B2091,DONGIA,DG!$F$6,0)</f>
        <v>0</v>
      </c>
      <c r="L2091" s="525">
        <f>VLOOKUP(B2091,DONGIA,DG!$G$6,0)</f>
        <v>0</v>
      </c>
      <c r="M2091" s="525">
        <f t="shared" si="542"/>
        <v>21500</v>
      </c>
      <c r="N2091" s="525">
        <f t="shared" si="543"/>
        <v>0</v>
      </c>
      <c r="O2091" s="525">
        <f t="shared" si="544"/>
        <v>0</v>
      </c>
      <c r="P2091" s="525">
        <f t="shared" si="545"/>
        <v>0</v>
      </c>
      <c r="Q2091" s="525"/>
      <c r="S2091" s="405">
        <f t="shared" si="534"/>
        <v>0</v>
      </c>
      <c r="T2091" s="405">
        <f t="shared" si="548"/>
        <v>0</v>
      </c>
    </row>
    <row r="2092" spans="2:20" s="405" customFormat="1" hidden="1">
      <c r="B2092" s="405" t="s">
        <v>1914</v>
      </c>
      <c r="C2092" s="418">
        <f t="shared" si="546"/>
        <v>0</v>
      </c>
      <c r="D2092" s="523"/>
      <c r="E2092" s="523">
        <f>VLOOKUP(B2092,DONGIA,DG!$B$6,0)</f>
        <v>0</v>
      </c>
      <c r="F2092" s="525" t="str">
        <f>VLOOKUP(B2092,DONGIA,DG!$C$6,0)</f>
        <v>Keo dán ống PVC (100gr)</v>
      </c>
      <c r="G2092" s="523" t="str">
        <f>VLOOKUP(B2092,DONGIA,DG!$D$6,0)</f>
        <v>tuýp</v>
      </c>
      <c r="H2092" s="525"/>
      <c r="I2092" s="525">
        <f>VLOOKUP(B2092,DONGIA,DG!$E$6,0)</f>
        <v>11500</v>
      </c>
      <c r="J2092" s="525"/>
      <c r="K2092" s="525">
        <f>VLOOKUP(B2092,DONGIA,DG!$F$6,0)</f>
        <v>0</v>
      </c>
      <c r="L2092" s="525">
        <f>VLOOKUP(B2092,DONGIA,DG!$G$6,0)</f>
        <v>0</v>
      </c>
      <c r="M2092" s="525">
        <f t="shared" si="542"/>
        <v>0</v>
      </c>
      <c r="N2092" s="525">
        <f t="shared" si="543"/>
        <v>0</v>
      </c>
      <c r="O2092" s="525">
        <f t="shared" si="544"/>
        <v>0</v>
      </c>
      <c r="P2092" s="525">
        <f t="shared" si="545"/>
        <v>0</v>
      </c>
      <c r="Q2092" s="525"/>
      <c r="S2092" s="405">
        <f t="shared" si="534"/>
        <v>0</v>
      </c>
      <c r="T2092" s="405">
        <f t="shared" si="548"/>
        <v>0</v>
      </c>
    </row>
    <row r="2093" spans="2:20" s="405" customFormat="1">
      <c r="B2093" s="405" t="s">
        <v>1639</v>
      </c>
      <c r="C2093" s="418">
        <f t="shared" si="546"/>
        <v>1</v>
      </c>
      <c r="D2093" s="523"/>
      <c r="E2093" s="523">
        <f>VLOOKUP(B2093,DONGIA,DG!$B$6,0)</f>
        <v>0</v>
      </c>
      <c r="F2093" s="666" t="str">
        <f>VLOOKUP(B2093,DONGIA,DG!$C$6,0)&amp;" bịt miệng ống"</f>
        <v>Xi măng bịt miệng ống</v>
      </c>
      <c r="G2093" s="523" t="str">
        <f>VLOOKUP(B2093,DONGIA,DG!$D$6,0)</f>
        <v>kg</v>
      </c>
      <c r="H2093" s="554">
        <v>1</v>
      </c>
      <c r="I2093" s="525">
        <f>VLOOKUP(B2093,DONGIA,DG!$E$6,0)</f>
        <v>1760</v>
      </c>
      <c r="J2093" s="525"/>
      <c r="K2093" s="525">
        <f>VLOOKUP(B2093,DONGIA,DG!$F$6,0)</f>
        <v>0</v>
      </c>
      <c r="L2093" s="525">
        <f>VLOOKUP(B2093,DONGIA,DG!$G$6,0)</f>
        <v>0</v>
      </c>
      <c r="M2093" s="525">
        <f t="shared" si="542"/>
        <v>1760</v>
      </c>
      <c r="N2093" s="525">
        <f t="shared" si="543"/>
        <v>0</v>
      </c>
      <c r="O2093" s="525">
        <f t="shared" si="544"/>
        <v>0</v>
      </c>
      <c r="P2093" s="525">
        <f t="shared" si="545"/>
        <v>0</v>
      </c>
      <c r="Q2093" s="525"/>
      <c r="S2093" s="405">
        <f t="shared" si="534"/>
        <v>1</v>
      </c>
      <c r="T2093" s="405">
        <f t="shared" si="548"/>
        <v>1</v>
      </c>
    </row>
    <row r="2094" spans="2:20" s="405" customFormat="1" hidden="1">
      <c r="B2094" s="405" t="s">
        <v>1195</v>
      </c>
      <c r="C2094" s="418">
        <f t="shared" si="546"/>
        <v>0</v>
      </c>
      <c r="D2094" s="523"/>
      <c r="E2094" s="523">
        <f>VLOOKUP(B2094,DONGIA,DG!$B$6,0)</f>
        <v>0</v>
      </c>
      <c r="F2094" s="525" t="str">
        <f>VLOOKUP(B2094,DONGIA,DG!$C$6,0)</f>
        <v>Keo silicon bít miệng ống</v>
      </c>
      <c r="G2094" s="523" t="str">
        <f>VLOOKUP(B2094,DONGIA,DG!$D$6,0)</f>
        <v>ống</v>
      </c>
      <c r="H2094" s="525"/>
      <c r="I2094" s="525">
        <f>VLOOKUP(B2094,DONGIA,DG!$E$6,0)</f>
        <v>45000</v>
      </c>
      <c r="J2094" s="525"/>
      <c r="K2094" s="525">
        <f>VLOOKUP(B2094,DONGIA,DG!$F$6,0)</f>
        <v>0</v>
      </c>
      <c r="L2094" s="525">
        <f>VLOOKUP(B2094,DONGIA,DG!$G$6,0)</f>
        <v>0</v>
      </c>
      <c r="M2094" s="525">
        <f t="shared" si="542"/>
        <v>0</v>
      </c>
      <c r="N2094" s="525">
        <f t="shared" si="543"/>
        <v>0</v>
      </c>
      <c r="O2094" s="525">
        <f t="shared" si="544"/>
        <v>0</v>
      </c>
      <c r="P2094" s="525">
        <f t="shared" si="545"/>
        <v>0</v>
      </c>
      <c r="Q2094" s="525"/>
      <c r="S2094" s="405">
        <f t="shared" si="534"/>
        <v>0</v>
      </c>
      <c r="T2094" s="405">
        <f t="shared" si="548"/>
        <v>0</v>
      </c>
    </row>
    <row r="2095" spans="2:20" s="405" customFormat="1">
      <c r="B2095" s="405" t="s">
        <v>1193</v>
      </c>
      <c r="C2095" s="418">
        <f t="shared" si="546"/>
        <v>1</v>
      </c>
      <c r="D2095" s="523"/>
      <c r="E2095" s="523">
        <f>VLOOKUP(B2095,DONGIA,DG!$B$6,0)</f>
        <v>0</v>
      </c>
      <c r="F2095" s="666" t="str">
        <f>VLOOKUP(B2095,DONGIA,DG!$C$6,0)</f>
        <v>Băng keo cách điện</v>
      </c>
      <c r="G2095" s="523" t="str">
        <f>VLOOKUP(B2095,DONGIA,DG!$D$6,0)</f>
        <v>cuộn</v>
      </c>
      <c r="H2095" s="525">
        <v>1</v>
      </c>
      <c r="I2095" s="525">
        <f>VLOOKUP(B2095,DONGIA,DG!$E$6,0)</f>
        <v>6500</v>
      </c>
      <c r="J2095" s="525"/>
      <c r="K2095" s="525">
        <f>VLOOKUP(B2095,DONGIA,DG!$F$6,0)</f>
        <v>0</v>
      </c>
      <c r="L2095" s="525">
        <f>VLOOKUP(B2095,DONGIA,DG!$G$6,0)</f>
        <v>0</v>
      </c>
      <c r="M2095" s="525">
        <f t="shared" si="542"/>
        <v>6500</v>
      </c>
      <c r="N2095" s="525">
        <f t="shared" si="543"/>
        <v>0</v>
      </c>
      <c r="O2095" s="525">
        <f t="shared" si="544"/>
        <v>0</v>
      </c>
      <c r="P2095" s="525">
        <f t="shared" si="545"/>
        <v>0</v>
      </c>
      <c r="Q2095" s="525"/>
      <c r="S2095" s="405">
        <f t="shared" si="534"/>
        <v>0</v>
      </c>
      <c r="T2095" s="405">
        <f t="shared" si="548"/>
        <v>0</v>
      </c>
    </row>
    <row r="2096" spans="2:20" s="405" customFormat="1">
      <c r="B2096" s="405" t="s">
        <v>855</v>
      </c>
      <c r="C2096" s="418">
        <f t="shared" si="546"/>
        <v>1</v>
      </c>
      <c r="D2096" s="523"/>
      <c r="E2096" s="523" t="str">
        <f>VLOOKUP(B2096,DONGIA,DG!$B$6,0)</f>
        <v>T4.8003</v>
      </c>
      <c r="F2096" s="666" t="str">
        <f>VLOOKUP(B2096,DONGIA,DG!$C$6,0)</f>
        <v>Lắp ống nhựa PVC D90</v>
      </c>
      <c r="G2096" s="523" t="str">
        <f>VLOOKUP(B2096,DONGIA,DG!$D$6,0)</f>
        <v>mét</v>
      </c>
      <c r="H2096" s="525">
        <f>H2083+H2084</f>
        <v>12</v>
      </c>
      <c r="I2096" s="525">
        <f>VLOOKUP(B2096,DONGIA,DG!$E$6,0)</f>
        <v>0</v>
      </c>
      <c r="J2096" s="525"/>
      <c r="K2096" s="525">
        <f>VLOOKUP(B2096,DONGIA,DG!$F$6,0)</f>
        <v>35541</v>
      </c>
      <c r="L2096" s="525">
        <f>VLOOKUP(B2096,DONGIA,DG!$G$6,0)</f>
        <v>0</v>
      </c>
      <c r="M2096" s="525">
        <f t="shared" si="542"/>
        <v>0</v>
      </c>
      <c r="N2096" s="525">
        <f t="shared" si="543"/>
        <v>0</v>
      </c>
      <c r="O2096" s="525">
        <f t="shared" si="544"/>
        <v>426492</v>
      </c>
      <c r="P2096" s="525">
        <f t="shared" si="545"/>
        <v>0</v>
      </c>
      <c r="Q2096" s="525"/>
      <c r="S2096" s="405">
        <f t="shared" si="534"/>
        <v>0</v>
      </c>
      <c r="T2096" s="405">
        <f t="shared" si="548"/>
        <v>0</v>
      </c>
    </row>
    <row r="2097" spans="2:20" s="405" customFormat="1">
      <c r="B2097" s="405" t="s">
        <v>1939</v>
      </c>
      <c r="C2097" s="418">
        <f t="shared" si="546"/>
        <v>1</v>
      </c>
      <c r="D2097" s="523"/>
      <c r="E2097" s="523" t="str">
        <f>VLOOKUP(B2097,DONGIA,DG!$B$6,0)</f>
        <v>T4.4201</v>
      </c>
      <c r="F2097" s="666" t="str">
        <f>VLOOKUP(B2097,DONGIA,DG!$C$6,0)</f>
        <v>Lắp cáp đồng xuống thiết bị D ≤ 95mm2</v>
      </c>
      <c r="G2097" s="523" t="str">
        <f>VLOOKUP(B2097,DONGIA,DG!$D$6,0)</f>
        <v>m</v>
      </c>
      <c r="H2097" s="525">
        <f>H2075+H2076+H2077+H2078</f>
        <v>51</v>
      </c>
      <c r="I2097" s="525">
        <f>VLOOKUP(B2097,DONGIA,DG!$E$6,0)</f>
        <v>0</v>
      </c>
      <c r="J2097" s="525"/>
      <c r="K2097" s="525">
        <f>VLOOKUP(B2097,DONGIA,DG!$F$6,0)</f>
        <v>11847</v>
      </c>
      <c r="L2097" s="525">
        <f>VLOOKUP(B2097,DONGIA,DG!$G$6,0)</f>
        <v>0</v>
      </c>
      <c r="M2097" s="525">
        <f t="shared" si="542"/>
        <v>0</v>
      </c>
      <c r="N2097" s="525">
        <f t="shared" si="543"/>
        <v>0</v>
      </c>
      <c r="O2097" s="525">
        <f t="shared" si="544"/>
        <v>604197</v>
      </c>
      <c r="P2097" s="525">
        <f t="shared" si="545"/>
        <v>0</v>
      </c>
      <c r="Q2097" s="525"/>
      <c r="S2097" s="405">
        <f t="shared" si="534"/>
        <v>0</v>
      </c>
      <c r="T2097" s="405">
        <f t="shared" si="548"/>
        <v>0</v>
      </c>
    </row>
    <row r="2098" spans="2:20" s="542" customFormat="1">
      <c r="C2098" s="374">
        <f>IF(SUM(C2100:C2120)&lt;&gt;0,1,)</f>
        <v>1</v>
      </c>
      <c r="D2098" s="550"/>
      <c r="E2098" s="550"/>
      <c r="F2098" s="786" t="s">
        <v>3874</v>
      </c>
      <c r="G2098" s="550"/>
      <c r="H2098" s="550">
        <v>2</v>
      </c>
      <c r="I2098" s="551"/>
      <c r="J2098" s="551"/>
      <c r="K2098" s="551"/>
      <c r="L2098" s="551"/>
      <c r="M2098" s="551"/>
      <c r="N2098" s="551"/>
      <c r="O2098" s="551"/>
      <c r="P2098" s="551"/>
      <c r="Q2098" s="551"/>
    </row>
    <row r="2099" spans="2:20" s="405" customFormat="1" hidden="1">
      <c r="B2099" s="405" t="s">
        <v>1742</v>
      </c>
      <c r="C2099" s="418">
        <f>IF(H2099&lt;&gt;0,1,)</f>
        <v>0</v>
      </c>
      <c r="D2099" s="523"/>
      <c r="E2099" s="523">
        <f>VLOOKUP(B2099,DONGIA,DG!$B$6,0)</f>
        <v>0</v>
      </c>
      <c r="F2099" s="666" t="str">
        <f>VLOOKUP(B2099,DONGIA,DG!$C$6,0)&amp;" (SDL)"</f>
        <v>Cáp đồng bọc CV95 (SDL)</v>
      </c>
      <c r="G2099" s="523" t="str">
        <f>VLOOKUP(B2099,DONGIA,DG!$D$6,0)</f>
        <v>mét</v>
      </c>
      <c r="H2099" s="525"/>
      <c r="I2099" s="525"/>
      <c r="J2099" s="525"/>
      <c r="K2099" s="525">
        <f>VLOOKUP(B2099,DONGIA,DG!$F$6,0)</f>
        <v>0</v>
      </c>
      <c r="L2099" s="525">
        <f>VLOOKUP(B2099,DONGIA,DG!$G$6,0)</f>
        <v>0</v>
      </c>
      <c r="M2099" s="525">
        <f>$H2099*I2099</f>
        <v>0</v>
      </c>
      <c r="N2099" s="525">
        <f>$H2099*J2099</f>
        <v>0</v>
      </c>
      <c r="O2099" s="525">
        <f>$H2099*K2099</f>
        <v>0</v>
      </c>
      <c r="P2099" s="525">
        <f>$H2099*L2099</f>
        <v>0</v>
      </c>
      <c r="Q2099" s="525"/>
      <c r="S2099" s="405">
        <f>IFERROR(VLOOKUP(B2099,DONGIA,$S$25,0),0)</f>
        <v>1.008</v>
      </c>
      <c r="T2099" s="405">
        <f>H2099*S2099</f>
        <v>0</v>
      </c>
    </row>
    <row r="2100" spans="2:20" s="405" customFormat="1">
      <c r="B2100" s="405" t="s">
        <v>1907</v>
      </c>
      <c r="C2100" s="418">
        <f t="shared" ref="C2100:C2120" si="549">IF(H2100&lt;&gt;0,1,)</f>
        <v>1</v>
      </c>
      <c r="D2100" s="523"/>
      <c r="E2100" s="523">
        <f>VLOOKUP(B2100,DONGIA,DG!$B$6,0)</f>
        <v>0</v>
      </c>
      <c r="F2100" s="666" t="str">
        <f>VLOOKUP(B2100,DONGIA,DG!$C$6,0)&amp;" (SDL)"</f>
        <v>Cáp đồng bọc CV70 (SDL)</v>
      </c>
      <c r="G2100" s="523" t="str">
        <f>VLOOKUP(B2100,DONGIA,DG!$D$6,0)</f>
        <v>mét</v>
      </c>
      <c r="H2100" s="525">
        <f>8.5*4</f>
        <v>34</v>
      </c>
      <c r="I2100" s="525"/>
      <c r="J2100" s="525"/>
      <c r="K2100" s="525">
        <f>VLOOKUP(B2100,DONGIA,DG!$F$6,0)</f>
        <v>0</v>
      </c>
      <c r="L2100" s="525">
        <f>VLOOKUP(B2100,DONGIA,DG!$G$6,0)</f>
        <v>0</v>
      </c>
      <c r="M2100" s="525">
        <f t="shared" ref="M2100:M2120" si="550">$H2100*I2100</f>
        <v>0</v>
      </c>
      <c r="N2100" s="525">
        <f t="shared" ref="N2100:N2120" si="551">$H2100*J2100</f>
        <v>0</v>
      </c>
      <c r="O2100" s="525">
        <f t="shared" ref="O2100:O2120" si="552">$H2100*K2100</f>
        <v>0</v>
      </c>
      <c r="P2100" s="525">
        <f t="shared" ref="P2100:P2120" si="553">$H2100*L2100</f>
        <v>0</v>
      </c>
      <c r="Q2100" s="525"/>
      <c r="S2100" s="405">
        <f t="shared" ref="S2100:S2120" si="554">IFERROR(VLOOKUP(B2100,DONGIA,$S$25,0),0)</f>
        <v>0.73899999999999999</v>
      </c>
      <c r="T2100" s="405">
        <f t="shared" ref="T2100:T2120" si="555">H2100*S2100</f>
        <v>25.126000000000001</v>
      </c>
    </row>
    <row r="2101" spans="2:20" s="405" customFormat="1" hidden="1">
      <c r="B2101" s="405" t="s">
        <v>1907</v>
      </c>
      <c r="C2101" s="418">
        <f>IF(H2101&lt;&gt;0,1,)</f>
        <v>0</v>
      </c>
      <c r="D2101" s="523"/>
      <c r="E2101" s="523">
        <f>VLOOKUP(B2101,DONGIA,DG!$B$6,0)</f>
        <v>0</v>
      </c>
      <c r="F2101" s="525" t="str">
        <f>VLOOKUP(B2101,DONGIA,DG!$C$6,0)</f>
        <v>Cáp đồng bọc CV70</v>
      </c>
      <c r="G2101" s="523" t="str">
        <f>VLOOKUP(B2101,DONGIA,DG!$D$6,0)</f>
        <v>mét</v>
      </c>
      <c r="H2101" s="525"/>
      <c r="I2101" s="525">
        <f>VLOOKUP(B2101,DONGIA,DG!$E$6,0)</f>
        <v>142880</v>
      </c>
      <c r="J2101" s="525"/>
      <c r="K2101" s="525">
        <f>VLOOKUP(B2101,DONGIA,DG!$F$6,0)</f>
        <v>0</v>
      </c>
      <c r="L2101" s="525">
        <f>VLOOKUP(B2101,DONGIA,DG!$G$6,0)</f>
        <v>0</v>
      </c>
      <c r="M2101" s="525">
        <f>$H2101*I2101</f>
        <v>0</v>
      </c>
      <c r="N2101" s="525">
        <f>$H2101*J2101</f>
        <v>0</v>
      </c>
      <c r="O2101" s="525">
        <f>$H2101*K2101</f>
        <v>0</v>
      </c>
      <c r="P2101" s="525">
        <f>$H2101*L2101</f>
        <v>0</v>
      </c>
      <c r="Q2101" s="525"/>
      <c r="S2101" s="405">
        <f>IFERROR(VLOOKUP(B2101,DONGIA,$S$25,0),0)</f>
        <v>0.73899999999999999</v>
      </c>
      <c r="T2101" s="405">
        <f>H2101*S2101</f>
        <v>0</v>
      </c>
    </row>
    <row r="2102" spans="2:20" s="405" customFormat="1">
      <c r="B2102" s="405" t="s">
        <v>1906</v>
      </c>
      <c r="C2102" s="418">
        <f t="shared" si="549"/>
        <v>1</v>
      </c>
      <c r="D2102" s="523"/>
      <c r="E2102" s="523">
        <f>VLOOKUP(B2102,DONGIA,DG!$B$6,0)</f>
        <v>0</v>
      </c>
      <c r="F2102" s="666" t="str">
        <f>VLOOKUP(B2102,DONGIA,DG!$C$6,0)</f>
        <v>Cáp đồng bọc CV50</v>
      </c>
      <c r="G2102" s="523" t="str">
        <f>VLOOKUP(B2102,DONGIA,DG!$D$6,0)</f>
        <v>mét</v>
      </c>
      <c r="H2102" s="525">
        <f>8.5*2</f>
        <v>17</v>
      </c>
      <c r="I2102" s="525">
        <f>VLOOKUP(B2102,DONGIA,DG!$E$6,0)</f>
        <v>104370</v>
      </c>
      <c r="J2102" s="525"/>
      <c r="K2102" s="525">
        <f>VLOOKUP(B2102,DONGIA,DG!$F$6,0)</f>
        <v>0</v>
      </c>
      <c r="L2102" s="525">
        <f>VLOOKUP(B2102,DONGIA,DG!$G$6,0)</f>
        <v>0</v>
      </c>
      <c r="M2102" s="525">
        <f t="shared" si="550"/>
        <v>1774290</v>
      </c>
      <c r="N2102" s="525">
        <f t="shared" si="551"/>
        <v>0</v>
      </c>
      <c r="O2102" s="525">
        <f t="shared" si="552"/>
        <v>0</v>
      </c>
      <c r="P2102" s="525">
        <f t="shared" si="553"/>
        <v>0</v>
      </c>
      <c r="Q2102" s="525"/>
      <c r="S2102" s="405">
        <f t="shared" si="554"/>
        <v>0.53400000000000003</v>
      </c>
      <c r="T2102" s="405">
        <f t="shared" si="555"/>
        <v>9.0780000000000012</v>
      </c>
    </row>
    <row r="2103" spans="2:20" s="405" customFormat="1" hidden="1">
      <c r="B2103" s="405" t="s">
        <v>1113</v>
      </c>
      <c r="C2103" s="418">
        <f t="shared" si="549"/>
        <v>0</v>
      </c>
      <c r="D2103" s="523"/>
      <c r="E2103" s="523"/>
      <c r="F2103" s="525" t="str">
        <f>VLOOKUP(B2103,DONGIA,DG!$C$6,0)</f>
        <v>Đầu cosse ép Cu 70mm2</v>
      </c>
      <c r="G2103" s="523" t="str">
        <f>VLOOKUP(B2103,DONGIA,DG!$D$6,0)</f>
        <v>cái</v>
      </c>
      <c r="H2103" s="525"/>
      <c r="I2103" s="525">
        <f>VLOOKUP(B2103,DONGIA,DG!$E$6,0)</f>
        <v>33000</v>
      </c>
      <c r="J2103" s="525"/>
      <c r="K2103" s="525"/>
      <c r="L2103" s="525"/>
      <c r="M2103" s="525">
        <f t="shared" si="550"/>
        <v>0</v>
      </c>
      <c r="N2103" s="525">
        <f t="shared" si="551"/>
        <v>0</v>
      </c>
      <c r="O2103" s="525">
        <f t="shared" si="552"/>
        <v>0</v>
      </c>
      <c r="P2103" s="525">
        <f t="shared" si="553"/>
        <v>0</v>
      </c>
      <c r="Q2103" s="525"/>
      <c r="S2103" s="405">
        <f t="shared" si="554"/>
        <v>0.2</v>
      </c>
      <c r="T2103" s="405">
        <f t="shared" si="555"/>
        <v>0</v>
      </c>
    </row>
    <row r="2104" spans="2:20" s="405" customFormat="1">
      <c r="B2104" s="405" t="s">
        <v>1110</v>
      </c>
      <c r="C2104" s="418">
        <f t="shared" si="549"/>
        <v>1</v>
      </c>
      <c r="D2104" s="523"/>
      <c r="E2104" s="523"/>
      <c r="F2104" s="666" t="str">
        <f>VLOOKUP(B2104,DONGIA,DG!$C$6,0)</f>
        <v>Đầu cosse ép Cu 50mm2</v>
      </c>
      <c r="G2104" s="523" t="str">
        <f>VLOOKUP(B2104,DONGIA,DG!$D$6,0)</f>
        <v>cái</v>
      </c>
      <c r="H2104" s="525">
        <v>2</v>
      </c>
      <c r="I2104" s="525">
        <f>VLOOKUP(B2104,DONGIA,DG!$E$6,0)</f>
        <v>23000</v>
      </c>
      <c r="J2104" s="525"/>
      <c r="K2104" s="525"/>
      <c r="L2104" s="525"/>
      <c r="M2104" s="525">
        <f t="shared" si="550"/>
        <v>46000</v>
      </c>
      <c r="N2104" s="525">
        <f t="shared" si="551"/>
        <v>0</v>
      </c>
      <c r="O2104" s="525">
        <f t="shared" si="552"/>
        <v>0</v>
      </c>
      <c r="P2104" s="525">
        <f t="shared" si="553"/>
        <v>0</v>
      </c>
      <c r="Q2104" s="525"/>
      <c r="S2104" s="405">
        <f t="shared" si="554"/>
        <v>0.1</v>
      </c>
      <c r="T2104" s="405">
        <f t="shared" si="555"/>
        <v>0.2</v>
      </c>
    </row>
    <row r="2105" spans="2:20" s="405" customFormat="1" hidden="1">
      <c r="B2105" s="405" t="s">
        <v>1147</v>
      </c>
      <c r="C2105" s="418">
        <f t="shared" si="549"/>
        <v>0</v>
      </c>
      <c r="D2105" s="523"/>
      <c r="E2105" s="523">
        <f>VLOOKUP(B2105,DONGIA,DG!$B$6,0)</f>
        <v>0</v>
      </c>
      <c r="F2105" s="525" t="str">
        <f>VLOOKUP(B2105,DONGIA,DG!$C$6,0)</f>
        <v>Chụp đầu cosse  70mm2</v>
      </c>
      <c r="G2105" s="523" t="str">
        <f>VLOOKUP(B2105,DONGIA,DG!$D$6,0)</f>
        <v>cái</v>
      </c>
      <c r="H2105" s="525">
        <f>H2103</f>
        <v>0</v>
      </c>
      <c r="I2105" s="525">
        <f>VLOOKUP(B2105,DONGIA,DG!$E$6,0)</f>
        <v>2000</v>
      </c>
      <c r="J2105" s="525"/>
      <c r="K2105" s="525">
        <f>VLOOKUP(B2105,DONGIA,DG!$F$6,0)</f>
        <v>0</v>
      </c>
      <c r="L2105" s="525">
        <f>VLOOKUP(B2105,DONGIA,DG!$G$6,0)</f>
        <v>0</v>
      </c>
      <c r="M2105" s="525">
        <f t="shared" si="550"/>
        <v>0</v>
      </c>
      <c r="N2105" s="525">
        <f t="shared" si="551"/>
        <v>0</v>
      </c>
      <c r="O2105" s="525">
        <f t="shared" si="552"/>
        <v>0</v>
      </c>
      <c r="P2105" s="525">
        <f t="shared" si="553"/>
        <v>0</v>
      </c>
      <c r="Q2105" s="525"/>
      <c r="S2105" s="405">
        <f t="shared" si="554"/>
        <v>0</v>
      </c>
      <c r="T2105" s="405">
        <f t="shared" si="555"/>
        <v>0</v>
      </c>
    </row>
    <row r="2106" spans="2:20" s="405" customFormat="1">
      <c r="B2106" s="405" t="s">
        <v>1145</v>
      </c>
      <c r="C2106" s="418">
        <f t="shared" si="549"/>
        <v>1</v>
      </c>
      <c r="D2106" s="523"/>
      <c r="E2106" s="523">
        <f>VLOOKUP(B2106,DONGIA,DG!$B$6,0)</f>
        <v>0</v>
      </c>
      <c r="F2106" s="666" t="str">
        <f>VLOOKUP(B2106,DONGIA,DG!$C$6,0)</f>
        <v>Chụp đầu cosse  50mm2</v>
      </c>
      <c r="G2106" s="523" t="str">
        <f>VLOOKUP(B2106,DONGIA,DG!$D$6,0)</f>
        <v>cái</v>
      </c>
      <c r="H2106" s="525">
        <f>H2104</f>
        <v>2</v>
      </c>
      <c r="I2106" s="525">
        <f>VLOOKUP(B2106,DONGIA,DG!$E$6,0)</f>
        <v>2000</v>
      </c>
      <c r="J2106" s="525"/>
      <c r="K2106" s="525">
        <f>VLOOKUP(B2106,DONGIA,DG!$F$6,0)</f>
        <v>0</v>
      </c>
      <c r="L2106" s="525">
        <f>VLOOKUP(B2106,DONGIA,DG!$G$6,0)</f>
        <v>0</v>
      </c>
      <c r="M2106" s="525">
        <f t="shared" si="550"/>
        <v>4000</v>
      </c>
      <c r="N2106" s="525">
        <f t="shared" si="551"/>
        <v>0</v>
      </c>
      <c r="O2106" s="525">
        <f t="shared" si="552"/>
        <v>0</v>
      </c>
      <c r="P2106" s="525">
        <f t="shared" si="553"/>
        <v>0</v>
      </c>
      <c r="Q2106" s="525"/>
      <c r="S2106" s="405">
        <f t="shared" si="554"/>
        <v>0</v>
      </c>
      <c r="T2106" s="405">
        <f t="shared" si="555"/>
        <v>0</v>
      </c>
    </row>
    <row r="2107" spans="2:20" s="405" customFormat="1" hidden="1">
      <c r="B2107" s="405" t="s">
        <v>1177</v>
      </c>
      <c r="C2107" s="418">
        <f>IF(H2107&lt;&gt;0,1,)</f>
        <v>0</v>
      </c>
      <c r="D2107" s="523"/>
      <c r="E2107" s="523">
        <f>VLOOKUP(B2107,DONGIA,DG!$B$6,0)</f>
        <v>0</v>
      </c>
      <c r="F2107" s="525" t="str">
        <f>VLOOKUP(B2107,DONGIA,DG!$C$6,0)&amp;" (SDL)"</f>
        <v>Ống PVC D90x3,8mm  (SDL)</v>
      </c>
      <c r="G2107" s="523" t="str">
        <f>VLOOKUP(B2107,DONGIA,DG!$D$6,0)</f>
        <v>m</v>
      </c>
      <c r="H2107" s="525"/>
      <c r="I2107" s="525"/>
      <c r="J2107" s="525"/>
      <c r="K2107" s="525">
        <f>VLOOKUP(B2107,DONGIA,DG!$F$6,0)</f>
        <v>0</v>
      </c>
      <c r="L2107" s="525">
        <f>VLOOKUP(B2107,DONGIA,DG!$G$6,0)</f>
        <v>0</v>
      </c>
      <c r="M2107" s="525">
        <f>$H2107*I2107</f>
        <v>0</v>
      </c>
      <c r="N2107" s="525">
        <f>$H2107*J2107</f>
        <v>0</v>
      </c>
      <c r="O2107" s="525">
        <f>$H2107*K2107</f>
        <v>0</v>
      </c>
      <c r="P2107" s="525">
        <f>$H2107*L2107</f>
        <v>0</v>
      </c>
      <c r="Q2107" s="525"/>
      <c r="S2107" s="405">
        <f>IFERROR(VLOOKUP(B2107,DONGIA,$S$25,0),0)</f>
        <v>2</v>
      </c>
      <c r="T2107" s="405">
        <f>H2107*S2107</f>
        <v>0</v>
      </c>
    </row>
    <row r="2108" spans="2:20" s="405" customFormat="1">
      <c r="B2108" s="405" t="s">
        <v>1177</v>
      </c>
      <c r="C2108" s="418">
        <f t="shared" si="549"/>
        <v>1</v>
      </c>
      <c r="D2108" s="523"/>
      <c r="E2108" s="523">
        <f>VLOOKUP(B2108,DONGIA,DG!$B$6,0)</f>
        <v>0</v>
      </c>
      <c r="F2108" s="666" t="str">
        <f>VLOOKUP(B2108,DONGIA,DG!$C$6,0)</f>
        <v xml:space="preserve">Ống PVC D90x3,8mm </v>
      </c>
      <c r="G2108" s="523" t="str">
        <f>VLOOKUP(B2108,DONGIA,DG!$D$6,0)</f>
        <v>m</v>
      </c>
      <c r="H2108" s="525">
        <v>12</v>
      </c>
      <c r="I2108" s="525">
        <f>VLOOKUP(B2108,DONGIA,DG!$E$6,0)</f>
        <v>57000</v>
      </c>
      <c r="J2108" s="525"/>
      <c r="K2108" s="525">
        <f>VLOOKUP(B2108,DONGIA,DG!$F$6,0)</f>
        <v>0</v>
      </c>
      <c r="L2108" s="525">
        <f>VLOOKUP(B2108,DONGIA,DG!$G$6,0)</f>
        <v>0</v>
      </c>
      <c r="M2108" s="525">
        <f t="shared" si="550"/>
        <v>684000</v>
      </c>
      <c r="N2108" s="525">
        <f t="shared" si="551"/>
        <v>0</v>
      </c>
      <c r="O2108" s="525">
        <f t="shared" si="552"/>
        <v>0</v>
      </c>
      <c r="P2108" s="525">
        <f t="shared" si="553"/>
        <v>0</v>
      </c>
      <c r="Q2108" s="525"/>
      <c r="S2108" s="405">
        <f t="shared" si="554"/>
        <v>2</v>
      </c>
      <c r="T2108" s="405">
        <f t="shared" si="555"/>
        <v>24</v>
      </c>
    </row>
    <row r="2109" spans="2:20" s="405" customFormat="1">
      <c r="B2109" s="405" t="s">
        <v>455</v>
      </c>
      <c r="C2109" s="418">
        <f t="shared" si="549"/>
        <v>1</v>
      </c>
      <c r="D2109" s="523"/>
      <c r="E2109" s="523"/>
      <c r="F2109" s="666" t="str">
        <f>VLOOKUP(B2109,DONGIA,DG!$C$6,0)&amp;" (CD: 250)"</f>
        <v>Cổ dê kẹp ống PVC φ 90 (có giá nới) (CD: 250)</v>
      </c>
      <c r="G2109" s="523" t="str">
        <f>VLOOKUP(B2109,DONGIA,DG!$D$6,0)</f>
        <v>bộ</v>
      </c>
      <c r="H2109" s="525">
        <v>1</v>
      </c>
      <c r="I2109" s="525">
        <f>VLOOKUP(B2109,DONGIA,DG!$E$6,0)</f>
        <v>60000</v>
      </c>
      <c r="J2109" s="525"/>
      <c r="K2109" s="525"/>
      <c r="L2109" s="525">
        <f>VLOOKUP(B2109,DONGIA,DG!$G$6,0)</f>
        <v>0</v>
      </c>
      <c r="M2109" s="525">
        <f t="shared" si="550"/>
        <v>60000</v>
      </c>
      <c r="N2109" s="525">
        <f t="shared" si="551"/>
        <v>0</v>
      </c>
      <c r="O2109" s="525">
        <f t="shared" si="552"/>
        <v>0</v>
      </c>
      <c r="P2109" s="525">
        <f t="shared" si="553"/>
        <v>0</v>
      </c>
      <c r="Q2109" s="525"/>
      <c r="S2109" s="405">
        <f t="shared" si="554"/>
        <v>1.5</v>
      </c>
      <c r="T2109" s="405">
        <f t="shared" si="555"/>
        <v>1.5</v>
      </c>
    </row>
    <row r="2110" spans="2:20" s="405" customFormat="1">
      <c r="B2110" s="405" t="s">
        <v>455</v>
      </c>
      <c r="C2110" s="418">
        <f t="shared" si="549"/>
        <v>1</v>
      </c>
      <c r="D2110" s="523"/>
      <c r="E2110" s="523"/>
      <c r="F2110" s="666" t="str">
        <f>VLOOKUP(B2110,DONGIA,DG!$C$6,0)&amp;" (CD: 280)"</f>
        <v>Cổ dê kẹp ống PVC φ 90 (có giá nới) (CD: 280)</v>
      </c>
      <c r="G2110" s="523" t="str">
        <f>VLOOKUP(B2110,DONGIA,DG!$D$6,0)</f>
        <v>bộ</v>
      </c>
      <c r="H2110" s="525">
        <v>1</v>
      </c>
      <c r="I2110" s="525">
        <f>VLOOKUP(B2110,DONGIA,DG!$E$6,0)</f>
        <v>60000</v>
      </c>
      <c r="J2110" s="525"/>
      <c r="K2110" s="525"/>
      <c r="L2110" s="525">
        <f>VLOOKUP(B2110,DONGIA,DG!$G$6,0)</f>
        <v>0</v>
      </c>
      <c r="M2110" s="525">
        <f t="shared" si="550"/>
        <v>60000</v>
      </c>
      <c r="N2110" s="525">
        <f t="shared" si="551"/>
        <v>0</v>
      </c>
      <c r="O2110" s="525">
        <f t="shared" si="552"/>
        <v>0</v>
      </c>
      <c r="P2110" s="525">
        <f t="shared" si="553"/>
        <v>0</v>
      </c>
      <c r="Q2110" s="525"/>
      <c r="S2110" s="405">
        <f t="shared" si="554"/>
        <v>1.5</v>
      </c>
      <c r="T2110" s="405">
        <f t="shared" si="555"/>
        <v>1.5</v>
      </c>
    </row>
    <row r="2111" spans="2:20" s="405" customFormat="1">
      <c r="B2111" s="405" t="s">
        <v>455</v>
      </c>
      <c r="C2111" s="418">
        <f t="shared" si="549"/>
        <v>1</v>
      </c>
      <c r="D2111" s="523"/>
      <c r="E2111" s="523"/>
      <c r="F2111" s="666" t="str">
        <f>VLOOKUP(B2111,DONGIA,DG!$C$6,0)&amp;" (CD: 320)"</f>
        <v>Cổ dê kẹp ống PVC φ 90 (có giá nới) (CD: 320)</v>
      </c>
      <c r="G2111" s="523" t="str">
        <f>VLOOKUP(B2111,DONGIA,DG!$D$6,0)</f>
        <v>bộ</v>
      </c>
      <c r="H2111" s="525">
        <v>1</v>
      </c>
      <c r="I2111" s="525">
        <f>VLOOKUP(B2111,DONGIA,DG!$E$6,0)</f>
        <v>60000</v>
      </c>
      <c r="J2111" s="525"/>
      <c r="K2111" s="525"/>
      <c r="L2111" s="525">
        <f>VLOOKUP(B2111,DONGIA,DG!$G$6,0)</f>
        <v>0</v>
      </c>
      <c r="M2111" s="525">
        <f t="shared" si="550"/>
        <v>60000</v>
      </c>
      <c r="N2111" s="525">
        <f t="shared" si="551"/>
        <v>0</v>
      </c>
      <c r="O2111" s="525">
        <f t="shared" si="552"/>
        <v>0</v>
      </c>
      <c r="P2111" s="525">
        <f t="shared" si="553"/>
        <v>0</v>
      </c>
      <c r="Q2111" s="525"/>
      <c r="S2111" s="405">
        <f t="shared" si="554"/>
        <v>1.5</v>
      </c>
      <c r="T2111" s="405">
        <f t="shared" si="555"/>
        <v>1.5</v>
      </c>
    </row>
    <row r="2112" spans="2:20" s="405" customFormat="1">
      <c r="B2112" s="405" t="s">
        <v>2956</v>
      </c>
      <c r="C2112" s="418">
        <f t="shared" si="549"/>
        <v>1</v>
      </c>
      <c r="D2112" s="523"/>
      <c r="E2112" s="523">
        <f>VLOOKUP(B2112,DONGIA,DG!$B$6,0)</f>
        <v>0</v>
      </c>
      <c r="F2112" s="666" t="str">
        <f>VLOOKUP(B2112,DONGIA,DG!$C$6,0)</f>
        <v>Co  90 độ PVC 90 (Loại dày)</v>
      </c>
      <c r="G2112" s="523" t="str">
        <f>VLOOKUP(B2112,DONGIA,DG!$D$6,0)</f>
        <v>cái</v>
      </c>
      <c r="H2112" s="525">
        <v>6</v>
      </c>
      <c r="I2112" s="525">
        <f>VLOOKUP(B2112,DONGIA,DG!$E$6,0)</f>
        <v>45400</v>
      </c>
      <c r="J2112" s="525"/>
      <c r="K2112" s="525">
        <f>VLOOKUP(B2112,DONGIA,DG!$F$6,0)</f>
        <v>0</v>
      </c>
      <c r="L2112" s="525">
        <f>VLOOKUP(B2112,DONGIA,DG!$G$6,0)</f>
        <v>0</v>
      </c>
      <c r="M2112" s="525">
        <f t="shared" si="550"/>
        <v>272400</v>
      </c>
      <c r="N2112" s="525">
        <f t="shared" si="551"/>
        <v>0</v>
      </c>
      <c r="O2112" s="525">
        <f t="shared" si="552"/>
        <v>0</v>
      </c>
      <c r="P2112" s="525">
        <f t="shared" si="553"/>
        <v>0</v>
      </c>
      <c r="Q2112" s="525"/>
      <c r="S2112" s="405">
        <f t="shared" si="554"/>
        <v>0</v>
      </c>
      <c r="T2112" s="405">
        <f t="shared" si="555"/>
        <v>0</v>
      </c>
    </row>
    <row r="2113" spans="1:20" s="405" customFormat="1">
      <c r="B2113" s="405" t="s">
        <v>1181</v>
      </c>
      <c r="C2113" s="418">
        <f t="shared" si="549"/>
        <v>1</v>
      </c>
      <c r="D2113" s="523"/>
      <c r="E2113" s="523">
        <f>VLOOKUP(B2113,DONGIA,DG!$B$6,0)</f>
        <v>0</v>
      </c>
      <c r="F2113" s="666" t="str">
        <f>VLOOKUP(B2113,DONGIA,DG!$C$6,0)</f>
        <v>Co 135 độ PVC 90</v>
      </c>
      <c r="G2113" s="523" t="str">
        <f>VLOOKUP(B2113,DONGIA,DG!$D$6,0)</f>
        <v>cái</v>
      </c>
      <c r="H2113" s="525">
        <v>2</v>
      </c>
      <c r="I2113" s="525">
        <f>VLOOKUP(B2113,DONGIA,DG!$E$6,0)</f>
        <v>34800</v>
      </c>
      <c r="J2113" s="525"/>
      <c r="K2113" s="525">
        <f>VLOOKUP(B2113,DONGIA,DG!$F$6,0)</f>
        <v>0</v>
      </c>
      <c r="L2113" s="525">
        <f>VLOOKUP(B2113,DONGIA,DG!$G$6,0)</f>
        <v>0</v>
      </c>
      <c r="M2113" s="525">
        <f t="shared" si="550"/>
        <v>69600</v>
      </c>
      <c r="N2113" s="525">
        <f t="shared" si="551"/>
        <v>0</v>
      </c>
      <c r="O2113" s="525">
        <f t="shared" si="552"/>
        <v>0</v>
      </c>
      <c r="P2113" s="525">
        <f t="shared" si="553"/>
        <v>0</v>
      </c>
      <c r="Q2113" s="525"/>
      <c r="S2113" s="405">
        <f t="shared" si="554"/>
        <v>0</v>
      </c>
      <c r="T2113" s="405">
        <f t="shared" si="555"/>
        <v>0</v>
      </c>
    </row>
    <row r="2114" spans="1:20" s="405" customFormat="1">
      <c r="B2114" s="405" t="s">
        <v>1203</v>
      </c>
      <c r="C2114" s="418">
        <f t="shared" si="549"/>
        <v>1</v>
      </c>
      <c r="D2114" s="523"/>
      <c r="E2114" s="523">
        <f>VLOOKUP(B2114,DONGIA,DG!$B$6,0)</f>
        <v>0</v>
      </c>
      <c r="F2114" s="666" t="str">
        <f>VLOOKUP(B2114,DONGIA,DG!$C$6,0)</f>
        <v>Khâu ven răng trong D90</v>
      </c>
      <c r="G2114" s="523" t="str">
        <f>VLOOKUP(B2114,DONGIA,DG!$D$6,0)</f>
        <v>cái</v>
      </c>
      <c r="H2114" s="525">
        <v>3</v>
      </c>
      <c r="I2114" s="525">
        <f>VLOOKUP(B2114,DONGIA,DG!$E$6,0)</f>
        <v>25800</v>
      </c>
      <c r="J2114" s="525"/>
      <c r="K2114" s="525">
        <f>VLOOKUP(B2114,DONGIA,DG!$F$6,0)</f>
        <v>0</v>
      </c>
      <c r="L2114" s="525">
        <f>VLOOKUP(B2114,DONGIA,DG!$G$6,0)</f>
        <v>0</v>
      </c>
      <c r="M2114" s="525">
        <f t="shared" si="550"/>
        <v>77400</v>
      </c>
      <c r="N2114" s="525">
        <f t="shared" si="551"/>
        <v>0</v>
      </c>
      <c r="O2114" s="525">
        <f t="shared" si="552"/>
        <v>0</v>
      </c>
      <c r="P2114" s="525">
        <f t="shared" si="553"/>
        <v>0</v>
      </c>
      <c r="Q2114" s="525"/>
      <c r="S2114" s="405">
        <f t="shared" si="554"/>
        <v>0</v>
      </c>
      <c r="T2114" s="405">
        <f t="shared" si="555"/>
        <v>0</v>
      </c>
    </row>
    <row r="2115" spans="1:20" s="405" customFormat="1">
      <c r="B2115" s="405" t="s">
        <v>1209</v>
      </c>
      <c r="C2115" s="418">
        <f t="shared" si="549"/>
        <v>1</v>
      </c>
      <c r="D2115" s="523"/>
      <c r="E2115" s="523">
        <f>VLOOKUP(B2115,DONGIA,DG!$B$6,0)</f>
        <v>0</v>
      </c>
      <c r="F2115" s="666" t="str">
        <f>VLOOKUP(B2115,DONGIA,DG!$C$6,0)</f>
        <v>Khâu ven răng ngoài D90</v>
      </c>
      <c r="G2115" s="523" t="str">
        <f>VLOOKUP(B2115,DONGIA,DG!$D$6,0)</f>
        <v>cái</v>
      </c>
      <c r="H2115" s="525">
        <v>3</v>
      </c>
      <c r="I2115" s="525">
        <f>VLOOKUP(B2115,DONGIA,DG!$E$6,0)</f>
        <v>21500</v>
      </c>
      <c r="J2115" s="525"/>
      <c r="K2115" s="525">
        <f>VLOOKUP(B2115,DONGIA,DG!$F$6,0)</f>
        <v>0</v>
      </c>
      <c r="L2115" s="525">
        <f>VLOOKUP(B2115,DONGIA,DG!$G$6,0)</f>
        <v>0</v>
      </c>
      <c r="M2115" s="525">
        <f t="shared" si="550"/>
        <v>64500</v>
      </c>
      <c r="N2115" s="525">
        <f t="shared" si="551"/>
        <v>0</v>
      </c>
      <c r="O2115" s="525">
        <f t="shared" si="552"/>
        <v>0</v>
      </c>
      <c r="P2115" s="525">
        <f t="shared" si="553"/>
        <v>0</v>
      </c>
      <c r="Q2115" s="525"/>
      <c r="S2115" s="405">
        <f t="shared" si="554"/>
        <v>0</v>
      </c>
      <c r="T2115" s="405">
        <f t="shared" si="555"/>
        <v>0</v>
      </c>
    </row>
    <row r="2116" spans="1:20" s="405" customFormat="1" hidden="1">
      <c r="B2116" s="405" t="s">
        <v>1914</v>
      </c>
      <c r="C2116" s="418">
        <f t="shared" si="549"/>
        <v>0</v>
      </c>
      <c r="D2116" s="523"/>
      <c r="E2116" s="523">
        <f>VLOOKUP(B2116,DONGIA,DG!$B$6,0)</f>
        <v>0</v>
      </c>
      <c r="F2116" s="525" t="str">
        <f>VLOOKUP(B2116,DONGIA,DG!$C$6,0)</f>
        <v>Keo dán ống PVC (100gr)</v>
      </c>
      <c r="G2116" s="523" t="str">
        <f>VLOOKUP(B2116,DONGIA,DG!$D$6,0)</f>
        <v>tuýp</v>
      </c>
      <c r="H2116" s="525"/>
      <c r="I2116" s="525">
        <f>VLOOKUP(B2116,DONGIA,DG!$E$6,0)</f>
        <v>11500</v>
      </c>
      <c r="J2116" s="525"/>
      <c r="K2116" s="525">
        <f>VLOOKUP(B2116,DONGIA,DG!$F$6,0)</f>
        <v>0</v>
      </c>
      <c r="L2116" s="525">
        <f>VLOOKUP(B2116,DONGIA,DG!$G$6,0)</f>
        <v>0</v>
      </c>
      <c r="M2116" s="525">
        <f t="shared" si="550"/>
        <v>0</v>
      </c>
      <c r="N2116" s="525">
        <f t="shared" si="551"/>
        <v>0</v>
      </c>
      <c r="O2116" s="525">
        <f t="shared" si="552"/>
        <v>0</v>
      </c>
      <c r="P2116" s="525">
        <f t="shared" si="553"/>
        <v>0</v>
      </c>
      <c r="Q2116" s="525"/>
      <c r="S2116" s="405">
        <f t="shared" si="554"/>
        <v>0</v>
      </c>
      <c r="T2116" s="405">
        <f t="shared" si="555"/>
        <v>0</v>
      </c>
    </row>
    <row r="2117" spans="1:20" s="405" customFormat="1">
      <c r="B2117" s="405" t="s">
        <v>1639</v>
      </c>
      <c r="C2117" s="418">
        <f t="shared" si="549"/>
        <v>1</v>
      </c>
      <c r="D2117" s="523"/>
      <c r="E2117" s="523">
        <f>VLOOKUP(B2117,DONGIA,DG!$B$6,0)</f>
        <v>0</v>
      </c>
      <c r="F2117" s="666" t="str">
        <f>VLOOKUP(B2117,DONGIA,DG!$C$6,0)&amp;" bịt miệng ống"</f>
        <v>Xi măng bịt miệng ống</v>
      </c>
      <c r="G2117" s="523" t="str">
        <f>VLOOKUP(B2117,DONGIA,DG!$D$6,0)</f>
        <v>kg</v>
      </c>
      <c r="H2117" s="554">
        <v>1</v>
      </c>
      <c r="I2117" s="525">
        <f>VLOOKUP(B2117,DONGIA,DG!$E$6,0)</f>
        <v>1760</v>
      </c>
      <c r="J2117" s="525"/>
      <c r="K2117" s="525">
        <f>VLOOKUP(B2117,DONGIA,DG!$F$6,0)</f>
        <v>0</v>
      </c>
      <c r="L2117" s="525">
        <f>VLOOKUP(B2117,DONGIA,DG!$G$6,0)</f>
        <v>0</v>
      </c>
      <c r="M2117" s="525">
        <f t="shared" si="550"/>
        <v>1760</v>
      </c>
      <c r="N2117" s="525">
        <f t="shared" si="551"/>
        <v>0</v>
      </c>
      <c r="O2117" s="525">
        <f t="shared" si="552"/>
        <v>0</v>
      </c>
      <c r="P2117" s="525">
        <f t="shared" si="553"/>
        <v>0</v>
      </c>
      <c r="Q2117" s="525"/>
      <c r="S2117" s="405">
        <f t="shared" si="554"/>
        <v>1</v>
      </c>
      <c r="T2117" s="405">
        <f t="shared" si="555"/>
        <v>1</v>
      </c>
    </row>
    <row r="2118" spans="1:20" s="405" customFormat="1">
      <c r="B2118" s="405" t="s">
        <v>1193</v>
      </c>
      <c r="C2118" s="418">
        <f t="shared" si="549"/>
        <v>1</v>
      </c>
      <c r="D2118" s="523"/>
      <c r="E2118" s="523">
        <f>VLOOKUP(B2118,DONGIA,DG!$B$6,0)</f>
        <v>0</v>
      </c>
      <c r="F2118" s="666" t="str">
        <f>VLOOKUP(B2118,DONGIA,DG!$C$6,0)</f>
        <v>Băng keo cách điện</v>
      </c>
      <c r="G2118" s="523" t="str">
        <f>VLOOKUP(B2118,DONGIA,DG!$D$6,0)</f>
        <v>cuộn</v>
      </c>
      <c r="H2118" s="525">
        <v>1</v>
      </c>
      <c r="I2118" s="525">
        <f>VLOOKUP(B2118,DONGIA,DG!$E$6,0)</f>
        <v>6500</v>
      </c>
      <c r="J2118" s="525"/>
      <c r="K2118" s="525">
        <f>VLOOKUP(B2118,DONGIA,DG!$F$6,0)</f>
        <v>0</v>
      </c>
      <c r="L2118" s="525">
        <f>VLOOKUP(B2118,DONGIA,DG!$G$6,0)</f>
        <v>0</v>
      </c>
      <c r="M2118" s="525">
        <f t="shared" si="550"/>
        <v>6500</v>
      </c>
      <c r="N2118" s="525">
        <f t="shared" si="551"/>
        <v>0</v>
      </c>
      <c r="O2118" s="525">
        <f t="shared" si="552"/>
        <v>0</v>
      </c>
      <c r="P2118" s="525">
        <f t="shared" si="553"/>
        <v>0</v>
      </c>
      <c r="Q2118" s="525"/>
      <c r="S2118" s="405">
        <f t="shared" si="554"/>
        <v>0</v>
      </c>
      <c r="T2118" s="405">
        <f t="shared" si="555"/>
        <v>0</v>
      </c>
    </row>
    <row r="2119" spans="1:20" s="405" customFormat="1">
      <c r="B2119" s="405" t="s">
        <v>855</v>
      </c>
      <c r="C2119" s="418">
        <f t="shared" si="549"/>
        <v>1</v>
      </c>
      <c r="D2119" s="523"/>
      <c r="E2119" s="523" t="str">
        <f>VLOOKUP(B2119,DONGIA,DG!$B$6,0)</f>
        <v>T4.8003</v>
      </c>
      <c r="F2119" s="666" t="str">
        <f>VLOOKUP(B2119,DONGIA,DG!$C$6,0)</f>
        <v>Lắp ống nhựa PVC D90</v>
      </c>
      <c r="G2119" s="523" t="str">
        <f>VLOOKUP(B2119,DONGIA,DG!$D$6,0)</f>
        <v>mét</v>
      </c>
      <c r="H2119" s="525">
        <f>H2107+H2108</f>
        <v>12</v>
      </c>
      <c r="I2119" s="525">
        <f>VLOOKUP(B2119,DONGIA,DG!$E$6,0)</f>
        <v>0</v>
      </c>
      <c r="J2119" s="525"/>
      <c r="K2119" s="525">
        <f>VLOOKUP(B2119,DONGIA,DG!$F$6,0)</f>
        <v>35541</v>
      </c>
      <c r="L2119" s="525">
        <f>VLOOKUP(B2119,DONGIA,DG!$G$6,0)</f>
        <v>0</v>
      </c>
      <c r="M2119" s="525">
        <f t="shared" si="550"/>
        <v>0</v>
      </c>
      <c r="N2119" s="525">
        <f t="shared" si="551"/>
        <v>0</v>
      </c>
      <c r="O2119" s="525">
        <f t="shared" si="552"/>
        <v>426492</v>
      </c>
      <c r="P2119" s="525">
        <f t="shared" si="553"/>
        <v>0</v>
      </c>
      <c r="Q2119" s="525"/>
      <c r="S2119" s="405">
        <f t="shared" si="554"/>
        <v>0</v>
      </c>
      <c r="T2119" s="405">
        <f t="shared" si="555"/>
        <v>0</v>
      </c>
    </row>
    <row r="2120" spans="1:20" s="405" customFormat="1">
      <c r="B2120" s="405" t="s">
        <v>1939</v>
      </c>
      <c r="C2120" s="418">
        <f t="shared" si="549"/>
        <v>1</v>
      </c>
      <c r="D2120" s="523"/>
      <c r="E2120" s="523" t="str">
        <f>VLOOKUP(B2120,DONGIA,DG!$B$6,0)</f>
        <v>T4.4201</v>
      </c>
      <c r="F2120" s="666" t="str">
        <f>VLOOKUP(B2120,DONGIA,DG!$C$6,0)</f>
        <v>Lắp cáp đồng xuống thiết bị D ≤ 95mm2</v>
      </c>
      <c r="G2120" s="523" t="str">
        <f>VLOOKUP(B2120,DONGIA,DG!$D$6,0)</f>
        <v>m</v>
      </c>
      <c r="H2120" s="525">
        <f>H2099+H2100+H2101+H2102</f>
        <v>51</v>
      </c>
      <c r="I2120" s="525">
        <f>VLOOKUP(B2120,DONGIA,DG!$E$6,0)</f>
        <v>0</v>
      </c>
      <c r="J2120" s="525"/>
      <c r="K2120" s="525">
        <f>VLOOKUP(B2120,DONGIA,DG!$F$6,0)</f>
        <v>11847</v>
      </c>
      <c r="L2120" s="525">
        <f>VLOOKUP(B2120,DONGIA,DG!$G$6,0)</f>
        <v>0</v>
      </c>
      <c r="M2120" s="525">
        <f t="shared" si="550"/>
        <v>0</v>
      </c>
      <c r="N2120" s="525">
        <f t="shared" si="551"/>
        <v>0</v>
      </c>
      <c r="O2120" s="525">
        <f t="shared" si="552"/>
        <v>604197</v>
      </c>
      <c r="P2120" s="525">
        <f t="shared" si="553"/>
        <v>0</v>
      </c>
      <c r="Q2120" s="525"/>
      <c r="S2120" s="405">
        <f t="shared" si="554"/>
        <v>0</v>
      </c>
      <c r="T2120" s="405">
        <f t="shared" si="555"/>
        <v>0</v>
      </c>
    </row>
    <row r="2121" spans="1:20" s="405" customFormat="1" hidden="1">
      <c r="B2121" s="405" t="s">
        <v>1058</v>
      </c>
      <c r="C2121" s="418">
        <f>IF(H2121&lt;&gt;0,1,)</f>
        <v>0</v>
      </c>
      <c r="D2121" s="540">
        <f>IF(H2121&lt;&gt;0,D2072+1,D2072)</f>
        <v>7</v>
      </c>
      <c r="E2121" s="540">
        <f>VLOOKUP(B2121,DONGIA,DG!$B$6,0)</f>
        <v>0</v>
      </c>
      <c r="F2121" s="541" t="str">
        <f>VLOOKUP(B2121,DONGIA,DG!$C$6,0)</f>
        <v>Bảng tên trạm + bulon</v>
      </c>
      <c r="G2121" s="540" t="str">
        <f>VLOOKUP(B2121,DONGIA,DG!$D$6,0)</f>
        <v>bộ</v>
      </c>
      <c r="H2121" s="541"/>
      <c r="I2121" s="541">
        <f>VLOOKUP(B2121,DONGIA,DG!$E$6,0)</f>
        <v>150000</v>
      </c>
      <c r="J2121" s="541"/>
      <c r="K2121" s="541"/>
      <c r="L2121" s="541"/>
      <c r="M2121" s="541">
        <f>H2121*I2121</f>
        <v>0</v>
      </c>
      <c r="N2121" s="541"/>
      <c r="O2121" s="541"/>
      <c r="P2121" s="541"/>
      <c r="Q2121" s="667"/>
      <c r="S2121" s="405">
        <f t="shared" si="534"/>
        <v>0</v>
      </c>
      <c r="T2121" s="405">
        <f>H2121*S2121</f>
        <v>0</v>
      </c>
    </row>
    <row r="2122" spans="1:20" s="526" customFormat="1">
      <c r="A2122" s="526" t="s">
        <v>3244</v>
      </c>
      <c r="C2122" s="484">
        <f>IF((C2123+C2132)&lt;&gt;0,1,)</f>
        <v>1</v>
      </c>
      <c r="D2122" s="527"/>
      <c r="E2122" s="528" t="str">
        <f>DTR3P&amp;" Trạm 3 pha di dời"</f>
        <v>2 Trạm 3 pha di dời</v>
      </c>
      <c r="F2122" s="784"/>
      <c r="G2122" s="527"/>
      <c r="H2122" s="527"/>
      <c r="I2122" s="529"/>
      <c r="J2122" s="529"/>
      <c r="K2122" s="529"/>
      <c r="L2122" s="529"/>
      <c r="M2122" s="529"/>
      <c r="N2122" s="529"/>
      <c r="O2122" s="529"/>
      <c r="P2122" s="529"/>
      <c r="Q2122" s="527"/>
      <c r="S2122" s="352">
        <f t="shared" si="534"/>
        <v>0</v>
      </c>
      <c r="T2122" s="352">
        <f>H2122*S2122</f>
        <v>0</v>
      </c>
    </row>
    <row r="2123" spans="1:20" s="352" customFormat="1">
      <c r="A2123" s="352" t="str">
        <f>"TB"&amp;A2122</f>
        <v>TBDTR3P</v>
      </c>
      <c r="C2123" s="484">
        <f>IF(SUM(C2124:C2131)&lt;&gt;0,1,)</f>
        <v>1</v>
      </c>
      <c r="D2123" s="530"/>
      <c r="E2123" s="530"/>
      <c r="F2123" s="787" t="s">
        <v>1900</v>
      </c>
      <c r="G2123" s="530"/>
      <c r="H2123" s="531"/>
      <c r="I2123" s="531"/>
      <c r="J2123" s="531"/>
      <c r="K2123" s="531"/>
      <c r="L2123" s="531"/>
      <c r="M2123" s="531">
        <f>SUM(M2124:M2131)</f>
        <v>0</v>
      </c>
      <c r="N2123" s="531">
        <f>SUM(N2124:N2131)</f>
        <v>0</v>
      </c>
      <c r="O2123" s="531">
        <f>SUM(O2124:O2131)</f>
        <v>6971577</v>
      </c>
      <c r="P2123" s="531">
        <f>SUM(P2124:P2131)</f>
        <v>2163630</v>
      </c>
      <c r="Q2123" s="531"/>
      <c r="S2123" s="352">
        <f t="shared" si="534"/>
        <v>0</v>
      </c>
      <c r="T2123" s="371">
        <f>SUM(T2124:T2131)</f>
        <v>2878.8</v>
      </c>
    </row>
    <row r="2124" spans="1:20" s="405" customFormat="1">
      <c r="A2124" s="405" t="s">
        <v>477</v>
      </c>
      <c r="B2124" s="405" t="s">
        <v>2090</v>
      </c>
      <c r="C2124" s="418">
        <f t="shared" ref="C2124:C2131" si="556">IF(H2124&lt;&gt;0,1,)</f>
        <v>1</v>
      </c>
      <c r="D2124" s="523"/>
      <c r="E2124" s="523" t="str">
        <f>VLOOKUP(B2124,DONGIA,DG!$B$6,0)</f>
        <v>T1.1432</v>
      </c>
      <c r="F2124" s="666" t="str">
        <f>VLOOKUP(B2124,DONGIA,DG!$C$6,0)&amp;" (SDL)"</f>
        <v>Máy biến áp 12,7/0,23-0,46kV  50kVA (SDL)</v>
      </c>
      <c r="G2124" s="523" t="str">
        <f>VLOOKUP(B2124,DONGIA,DG!$D$6,0)</f>
        <v>máy</v>
      </c>
      <c r="H2124" s="525">
        <f>'BKTL Tram'!E28</f>
        <v>3</v>
      </c>
      <c r="I2124" s="525"/>
      <c r="J2124" s="525"/>
      <c r="K2124" s="525">
        <f>VLOOKUP(B2124,DONGIA,DG!$F$6,0)</f>
        <v>746585</v>
      </c>
      <c r="L2124" s="525">
        <f>VLOOKUP(B2124,DONGIA,DG!$G$6,0)</f>
        <v>360605</v>
      </c>
      <c r="M2124" s="525">
        <f t="shared" ref="M2124:M2131" si="557">$H2124*I2124</f>
        <v>0</v>
      </c>
      <c r="N2124" s="525">
        <f t="shared" ref="N2124:N2131" si="558">$H2124*J2124</f>
        <v>0</v>
      </c>
      <c r="O2124" s="525">
        <f t="shared" ref="O2124:O2131" si="559">$H2124*K2124</f>
        <v>2239755</v>
      </c>
      <c r="P2124" s="525">
        <f t="shared" ref="P2124:P2131" si="560">$H2124*L2124</f>
        <v>1081815</v>
      </c>
      <c r="Q2124" s="525"/>
      <c r="S2124" s="405">
        <f t="shared" si="534"/>
        <v>390</v>
      </c>
      <c r="T2124" s="405">
        <f t="shared" ref="T2124:T2131" si="561">H2124*S2124</f>
        <v>1170</v>
      </c>
    </row>
    <row r="2125" spans="1:20" s="405" customFormat="1" hidden="1">
      <c r="A2125" s="405" t="s">
        <v>477</v>
      </c>
      <c r="B2125" s="405" t="s">
        <v>2071</v>
      </c>
      <c r="C2125" s="418">
        <f t="shared" si="556"/>
        <v>0</v>
      </c>
      <c r="D2125" s="523"/>
      <c r="E2125" s="523" t="str">
        <f>VLOOKUP(B2125,DONGIA,DG!$B$6,0)</f>
        <v>T1.1433</v>
      </c>
      <c r="F2125" s="525" t="str">
        <f>VLOOKUP(B2125,DONGIA,DG!$C$6,0)&amp;" (SDL)"</f>
        <v>Máy biến áp 12,7/0,22-0,44kV  75kVA (SDL)</v>
      </c>
      <c r="G2125" s="523" t="str">
        <f>VLOOKUP(B2125,DONGIA,DG!$D$6,0)</f>
        <v>máy</v>
      </c>
      <c r="H2125" s="525"/>
      <c r="I2125" s="525"/>
      <c r="J2125" s="525"/>
      <c r="K2125" s="525">
        <f>VLOOKUP(B2125,DONGIA,DG!$F$6,0)</f>
        <v>993554</v>
      </c>
      <c r="L2125" s="525">
        <f>VLOOKUP(B2125,DONGIA,DG!$G$6,0)</f>
        <v>360605</v>
      </c>
      <c r="M2125" s="525">
        <f t="shared" si="557"/>
        <v>0</v>
      </c>
      <c r="N2125" s="525">
        <f t="shared" si="558"/>
        <v>0</v>
      </c>
      <c r="O2125" s="525">
        <f t="shared" si="559"/>
        <v>0</v>
      </c>
      <c r="P2125" s="525">
        <f t="shared" si="560"/>
        <v>0</v>
      </c>
      <c r="Q2125" s="525"/>
      <c r="S2125" s="405">
        <f t="shared" si="534"/>
        <v>455</v>
      </c>
      <c r="T2125" s="405">
        <f t="shared" si="561"/>
        <v>0</v>
      </c>
    </row>
    <row r="2126" spans="1:20" s="405" customFormat="1">
      <c r="A2126" s="405" t="s">
        <v>477</v>
      </c>
      <c r="B2126" s="405" t="s">
        <v>2073</v>
      </c>
      <c r="C2126" s="418">
        <f>IF(H2126&lt;&gt;0,1,)</f>
        <v>1</v>
      </c>
      <c r="D2126" s="523"/>
      <c r="E2126" s="523" t="str">
        <f>VLOOKUP(B2126,DONGIA,DG!$B$6,0)</f>
        <v>T1.1434</v>
      </c>
      <c r="F2126" s="666" t="str">
        <f>VLOOKUP(B2126,DONGIA,DG!$C$6,0)&amp;" (SDL)"</f>
        <v>Máy biến áp 12,7/0,22-0,44kV  100kVA (SDL)</v>
      </c>
      <c r="G2126" s="523" t="str">
        <f>VLOOKUP(B2126,DONGIA,DG!$D$6,0)</f>
        <v>máy</v>
      </c>
      <c r="H2126" s="525">
        <f>'BKTL Tram'!G26</f>
        <v>3</v>
      </c>
      <c r="I2126" s="525"/>
      <c r="J2126" s="525"/>
      <c r="K2126" s="525">
        <f>VLOOKUP(B2126,DONGIA,DG!$F$6,0)</f>
        <v>1056006</v>
      </c>
      <c r="L2126" s="525">
        <f>VLOOKUP(B2126,DONGIA,DG!$G$6,0)</f>
        <v>360605</v>
      </c>
      <c r="M2126" s="525">
        <f>$H2126*I2126</f>
        <v>0</v>
      </c>
      <c r="N2126" s="525">
        <f>$H2126*J2126</f>
        <v>0</v>
      </c>
      <c r="O2126" s="525">
        <f>$H2126*K2126</f>
        <v>3168018</v>
      </c>
      <c r="P2126" s="525">
        <f>$H2126*L2126</f>
        <v>1081815</v>
      </c>
      <c r="Q2126" s="525"/>
      <c r="S2126" s="405">
        <f>IFERROR(VLOOKUP(B2126,DONGIA,$S$25,0),0)</f>
        <v>565</v>
      </c>
      <c r="T2126" s="405">
        <f>H2126*S2126</f>
        <v>1695</v>
      </c>
    </row>
    <row r="2127" spans="1:20" s="405" customFormat="1">
      <c r="A2127" s="405" t="s">
        <v>477</v>
      </c>
      <c r="B2127" s="405" t="s">
        <v>1444</v>
      </c>
      <c r="C2127" s="418">
        <f t="shared" si="556"/>
        <v>1</v>
      </c>
      <c r="D2127" s="523"/>
      <c r="E2127" s="523" t="str">
        <f>VLOOKUP(B2127,DONGIA,DG!$B$6,0)</f>
        <v>T2.3505</v>
      </c>
      <c r="F2127" s="666" t="str">
        <f>VLOOKUP(B2127,DONGIA,DG!$C$6,0)&amp;" (SDL)"</f>
        <v>FCO 27kV - 100A (SDL)</v>
      </c>
      <c r="G2127" s="523" t="str">
        <f>VLOOKUP(B2127,DONGIA,DG!$D$6,0)</f>
        <v>cái</v>
      </c>
      <c r="H2127" s="525">
        <f>DTR3P*3</f>
        <v>6</v>
      </c>
      <c r="I2127" s="525"/>
      <c r="J2127" s="525"/>
      <c r="K2127" s="525">
        <f>VLOOKUP(B2127,DONGIA,DG!$F$6,0)</f>
        <v>189552</v>
      </c>
      <c r="L2127" s="525">
        <f>VLOOKUP(B2127,DONGIA,DG!$G$6,0)</f>
        <v>0</v>
      </c>
      <c r="M2127" s="525">
        <f t="shared" si="557"/>
        <v>0</v>
      </c>
      <c r="N2127" s="525">
        <f t="shared" si="558"/>
        <v>0</v>
      </c>
      <c r="O2127" s="525">
        <f t="shared" si="559"/>
        <v>1137312</v>
      </c>
      <c r="P2127" s="525">
        <f t="shared" si="560"/>
        <v>0</v>
      </c>
      <c r="Q2127" s="525"/>
      <c r="S2127" s="405">
        <f t="shared" si="534"/>
        <v>1.5</v>
      </c>
      <c r="T2127" s="405">
        <f t="shared" si="561"/>
        <v>9</v>
      </c>
    </row>
    <row r="2128" spans="1:20" s="405" customFormat="1">
      <c r="A2128" s="405" t="s">
        <v>477</v>
      </c>
      <c r="B2128" s="405" t="s">
        <v>943</v>
      </c>
      <c r="C2128" s="418">
        <f t="shared" si="556"/>
        <v>1</v>
      </c>
      <c r="D2128" s="523"/>
      <c r="E2128" s="523" t="str">
        <f>VLOOKUP(B2128,DONGIA,DG!$B$6,0)</f>
        <v>T2.5004</v>
      </c>
      <c r="F2128" s="666" t="str">
        <f>VLOOKUP(B2128,DONGIA,DG!$C$6,0)&amp;" (SDL)"</f>
        <v>LA 18kV 10kA (SDL)</v>
      </c>
      <c r="G2128" s="523" t="str">
        <f>VLOOKUP(B2128,DONGIA,DG!$D$6,0)</f>
        <v>cái</v>
      </c>
      <c r="H2128" s="525">
        <f>DTR3P*3</f>
        <v>6</v>
      </c>
      <c r="I2128" s="525"/>
      <c r="J2128" s="525"/>
      <c r="K2128" s="525">
        <f>VLOOKUP(B2128,DONGIA,DG!$F$6,0)</f>
        <v>71082</v>
      </c>
      <c r="L2128" s="525">
        <f>VLOOKUP(B2128,DONGIA,DG!$G$6,0)</f>
        <v>0</v>
      </c>
      <c r="M2128" s="525">
        <f t="shared" si="557"/>
        <v>0</v>
      </c>
      <c r="N2128" s="525">
        <f t="shared" si="558"/>
        <v>0</v>
      </c>
      <c r="O2128" s="525">
        <f t="shared" si="559"/>
        <v>426492</v>
      </c>
      <c r="P2128" s="525">
        <f t="shared" si="560"/>
        <v>0</v>
      </c>
      <c r="Q2128" s="525"/>
      <c r="S2128" s="405">
        <f t="shared" si="534"/>
        <v>0.8</v>
      </c>
      <c r="T2128" s="405">
        <f t="shared" si="561"/>
        <v>4.8000000000000007</v>
      </c>
    </row>
    <row r="2129" spans="1:20" s="405" customFormat="1" hidden="1">
      <c r="A2129" s="405" t="s">
        <v>477</v>
      </c>
      <c r="B2129" s="405" t="s">
        <v>998</v>
      </c>
      <c r="C2129" s="418">
        <f t="shared" si="556"/>
        <v>0</v>
      </c>
      <c r="D2129" s="523"/>
      <c r="E2129" s="523" t="str">
        <f>VLOOKUP(B2129,DONGIA,DG!$B$6,0)</f>
        <v>T2.8405</v>
      </c>
      <c r="F2129" s="525" t="str">
        <f>VLOOKUP(B2129,DONGIA,DG!$C$6,0)</f>
        <v>MCCB 3 cực 400V - 400A - 35KA (250-400A)</v>
      </c>
      <c r="G2129" s="523" t="str">
        <f>VLOOKUP(B2129,DONGIA,DG!$D$6,0)</f>
        <v>cái</v>
      </c>
      <c r="H2129" s="525"/>
      <c r="I2129" s="525"/>
      <c r="J2129" s="525"/>
      <c r="K2129" s="525">
        <f>VLOOKUP(B2129,DONGIA,DG!$F$6,0)*0</f>
        <v>0</v>
      </c>
      <c r="L2129" s="525">
        <f>VLOOKUP(B2129,DONGIA,DG!$G$6,0)</f>
        <v>0</v>
      </c>
      <c r="M2129" s="525">
        <f t="shared" si="557"/>
        <v>0</v>
      </c>
      <c r="N2129" s="525">
        <f t="shared" si="558"/>
        <v>0</v>
      </c>
      <c r="O2129" s="525">
        <f t="shared" si="559"/>
        <v>0</v>
      </c>
      <c r="P2129" s="525">
        <f t="shared" si="560"/>
        <v>0</v>
      </c>
      <c r="Q2129" s="525"/>
      <c r="S2129" s="405">
        <f t="shared" si="534"/>
        <v>3</v>
      </c>
      <c r="T2129" s="405">
        <f t="shared" si="561"/>
        <v>0</v>
      </c>
    </row>
    <row r="2130" spans="1:20" s="405" customFormat="1" hidden="1">
      <c r="A2130" s="405" t="s">
        <v>477</v>
      </c>
      <c r="B2130" s="405" t="s">
        <v>954</v>
      </c>
      <c r="C2130" s="418">
        <f t="shared" si="556"/>
        <v>0</v>
      </c>
      <c r="D2130" s="523"/>
      <c r="E2130" s="523">
        <f>VLOOKUP(B2130,DONGIA,DG!$B$6,0)</f>
        <v>0</v>
      </c>
      <c r="F2130" s="525" t="str">
        <f>VLOOKUP(B2130,DONGIA,DG!$C$6,0)</f>
        <v>Biến dòng 600V - 250/5A</v>
      </c>
      <c r="G2130" s="523" t="str">
        <f>VLOOKUP(B2130,DONGIA,DG!$D$6,0)</f>
        <v>cái</v>
      </c>
      <c r="H2130" s="525"/>
      <c r="I2130" s="525">
        <f>VLOOKUP(B2130,DONGIA,DG!$E$6,0)</f>
        <v>0</v>
      </c>
      <c r="J2130" s="525"/>
      <c r="K2130" s="525">
        <f>VLOOKUP(B2130,DONGIA,DG!$F$6,0)</f>
        <v>0</v>
      </c>
      <c r="L2130" s="525">
        <f>VLOOKUP(B2130,DONGIA,DG!$G$6,0)</f>
        <v>0</v>
      </c>
      <c r="M2130" s="525">
        <f t="shared" si="557"/>
        <v>0</v>
      </c>
      <c r="N2130" s="525">
        <f t="shared" si="558"/>
        <v>0</v>
      </c>
      <c r="O2130" s="525">
        <f t="shared" si="559"/>
        <v>0</v>
      </c>
      <c r="P2130" s="525">
        <f t="shared" si="560"/>
        <v>0</v>
      </c>
      <c r="Q2130" s="525"/>
      <c r="S2130" s="405">
        <f t="shared" si="534"/>
        <v>1</v>
      </c>
      <c r="T2130" s="405">
        <f t="shared" si="561"/>
        <v>0</v>
      </c>
    </row>
    <row r="2131" spans="1:20" s="405" customFormat="1" hidden="1">
      <c r="A2131" s="405" t="s">
        <v>477</v>
      </c>
      <c r="B2131" s="405" t="s">
        <v>1046</v>
      </c>
      <c r="C2131" s="418">
        <f t="shared" si="556"/>
        <v>0</v>
      </c>
      <c r="D2131" s="523"/>
      <c r="E2131" s="523">
        <f>VLOOKUP(B2131,DONGIA,DG!$B$6,0)</f>
        <v>0</v>
      </c>
      <c r="F2131" s="525" t="str">
        <f>VLOOKUP(B2131,DONGIA,DG!$C$6,0)</f>
        <v>Điện kế 3 pha 4 dây 220/380V-5A</v>
      </c>
      <c r="G2131" s="523" t="str">
        <f>VLOOKUP(B2131,DONGIA,DG!$D$6,0)</f>
        <v>cái</v>
      </c>
      <c r="H2131" s="525"/>
      <c r="I2131" s="525">
        <f>VLOOKUP(B2131,DONGIA,DG!$E$6,0)</f>
        <v>0</v>
      </c>
      <c r="J2131" s="525"/>
      <c r="K2131" s="525">
        <f>VLOOKUP(B2131,DONGIA,DG!$F$6,0)</f>
        <v>0</v>
      </c>
      <c r="L2131" s="525">
        <f>VLOOKUP(B2131,DONGIA,DG!$G$6,0)</f>
        <v>0</v>
      </c>
      <c r="M2131" s="525">
        <f t="shared" si="557"/>
        <v>0</v>
      </c>
      <c r="N2131" s="525">
        <f t="shared" si="558"/>
        <v>0</v>
      </c>
      <c r="O2131" s="525">
        <f t="shared" si="559"/>
        <v>0</v>
      </c>
      <c r="P2131" s="525">
        <f t="shared" si="560"/>
        <v>0</v>
      </c>
      <c r="Q2131" s="525"/>
      <c r="S2131" s="405">
        <f t="shared" si="534"/>
        <v>1.5</v>
      </c>
      <c r="T2131" s="405">
        <f t="shared" si="561"/>
        <v>0</v>
      </c>
    </row>
    <row r="2132" spans="1:20" s="405" customFormat="1">
      <c r="A2132" s="405" t="str">
        <f>"VL"&amp;A2122</f>
        <v>VLDTR3P</v>
      </c>
      <c r="C2132" s="418">
        <f>IF(SUM(C2133:C2322)&lt;&gt;0,1,)</f>
        <v>1</v>
      </c>
      <c r="D2132" s="538"/>
      <c r="E2132" s="538"/>
      <c r="F2132" s="785" t="s">
        <v>1901</v>
      </c>
      <c r="G2132" s="538"/>
      <c r="H2132" s="539"/>
      <c r="I2132" s="539"/>
      <c r="J2132" s="539"/>
      <c r="K2132" s="539"/>
      <c r="L2132" s="539"/>
      <c r="M2132" s="539">
        <f>SUM(M2133:M2322)</f>
        <v>39369222.600000001</v>
      </c>
      <c r="N2132" s="539">
        <f>SUM(N2133:N2322)</f>
        <v>0</v>
      </c>
      <c r="O2132" s="539">
        <f>SUM(O2133:O2322)</f>
        <v>10822515.42</v>
      </c>
      <c r="P2132" s="539">
        <f>SUM(P2133:P2322)</f>
        <v>275952.8</v>
      </c>
      <c r="Q2132" s="539"/>
      <c r="S2132" s="405">
        <f t="shared" si="534"/>
        <v>0</v>
      </c>
      <c r="T2132" s="439">
        <f>SUM(T2133:T2322)</f>
        <v>676.8339000000002</v>
      </c>
    </row>
    <row r="2133" spans="1:20" s="405" customFormat="1" hidden="1">
      <c r="C2133" s="418">
        <f t="shared" ref="C2133:C2254" si="562">IF(H2133&lt;&gt;0,1,)</f>
        <v>0</v>
      </c>
      <c r="D2133" s="540">
        <f>IF(H2133&lt;&gt;0,1,)</f>
        <v>0</v>
      </c>
      <c r="E2133" s="540"/>
      <c r="F2133" s="541" t="s">
        <v>1931</v>
      </c>
      <c r="G2133" s="540" t="s">
        <v>138</v>
      </c>
      <c r="H2133" s="540"/>
      <c r="I2133" s="541"/>
      <c r="J2133" s="541"/>
      <c r="K2133" s="541"/>
      <c r="L2133" s="541"/>
      <c r="M2133" s="541"/>
      <c r="N2133" s="541"/>
      <c r="O2133" s="541"/>
      <c r="P2133" s="541"/>
      <c r="Q2133" s="541"/>
      <c r="S2133" s="405">
        <f t="shared" si="534"/>
        <v>0</v>
      </c>
      <c r="T2133" s="405">
        <f t="shared" ref="T2133:T2254" si="563">H2133*S2133</f>
        <v>0</v>
      </c>
    </row>
    <row r="2134" spans="1:20" s="405" customFormat="1" hidden="1">
      <c r="A2134" s="405" t="s">
        <v>477</v>
      </c>
      <c r="B2134" s="405" t="s">
        <v>1010</v>
      </c>
      <c r="C2134" s="418">
        <f t="shared" si="562"/>
        <v>0</v>
      </c>
      <c r="D2134" s="523"/>
      <c r="E2134" s="523">
        <f>VLOOKUP(B2134,DONGIA,DG!$B$6,0)</f>
        <v>0</v>
      </c>
      <c r="F2134" s="525" t="str">
        <f>VLOOKUP(B2134,DONGIA,DG!$C$6,0)</f>
        <v>Dây chảy 6K</v>
      </c>
      <c r="G2134" s="523" t="str">
        <f>VLOOKUP(B2134,DONGIA,DG!$D$6,0)</f>
        <v>Sợi</v>
      </c>
      <c r="H2134" s="525">
        <f>H2133*3</f>
        <v>0</v>
      </c>
      <c r="I2134" s="525">
        <f>VLOOKUP(B2134,DONGIA,DG!$E$6,0)</f>
        <v>47000</v>
      </c>
      <c r="J2134" s="525"/>
      <c r="K2134" s="525">
        <f>VLOOKUP(B2134,DONGIA,DG!$F$6,0)</f>
        <v>0</v>
      </c>
      <c r="L2134" s="525">
        <f>VLOOKUP(B2134,DONGIA,DG!$G$6,0)</f>
        <v>0</v>
      </c>
      <c r="M2134" s="525">
        <f t="shared" ref="M2134:P2137" si="564">$H2134*I2134</f>
        <v>0</v>
      </c>
      <c r="N2134" s="525">
        <f t="shared" si="564"/>
        <v>0</v>
      </c>
      <c r="O2134" s="525">
        <f t="shared" si="564"/>
        <v>0</v>
      </c>
      <c r="P2134" s="525">
        <f t="shared" si="564"/>
        <v>0</v>
      </c>
      <c r="Q2134" s="525"/>
      <c r="S2134" s="405">
        <f t="shared" si="534"/>
        <v>0</v>
      </c>
      <c r="T2134" s="405">
        <f t="shared" si="563"/>
        <v>0</v>
      </c>
    </row>
    <row r="2135" spans="1:20" s="405" customFormat="1" hidden="1">
      <c r="A2135" s="405" t="s">
        <v>477</v>
      </c>
      <c r="B2135" s="405" t="s">
        <v>131</v>
      </c>
      <c r="C2135" s="418">
        <f t="shared" si="562"/>
        <v>0</v>
      </c>
      <c r="D2135" s="523"/>
      <c r="E2135" s="523">
        <f>VLOOKUP(B2135,DONGIA,DG!$B$6,0)</f>
        <v>0</v>
      </c>
      <c r="F2135" s="525" t="str">
        <f>VLOOKUP(B2135,DONGIA,DG!$C$6,0)</f>
        <v>Chụp đầu FCO (Trên + Dưới)</v>
      </c>
      <c r="G2135" s="523" t="str">
        <f>VLOOKUP(B2135,DONGIA,DG!$D$6,0)</f>
        <v>bộ</v>
      </c>
      <c r="H2135" s="525">
        <f>H2133*3</f>
        <v>0</v>
      </c>
      <c r="I2135" s="525">
        <f>VLOOKUP(B2135,DONGIA,DG!$E$6,0)</f>
        <v>190000</v>
      </c>
      <c r="J2135" s="525"/>
      <c r="K2135" s="525">
        <f>VLOOKUP(B2135,DONGIA,DG!$F$6,0)</f>
        <v>0</v>
      </c>
      <c r="L2135" s="525">
        <f>VLOOKUP(B2135,DONGIA,DG!$G$6,0)</f>
        <v>0</v>
      </c>
      <c r="M2135" s="525">
        <f t="shared" si="564"/>
        <v>0</v>
      </c>
      <c r="N2135" s="525">
        <f t="shared" si="564"/>
        <v>0</v>
      </c>
      <c r="O2135" s="525">
        <f t="shared" si="564"/>
        <v>0</v>
      </c>
      <c r="P2135" s="525">
        <f t="shared" si="564"/>
        <v>0</v>
      </c>
      <c r="Q2135" s="525"/>
      <c r="S2135" s="405">
        <f t="shared" si="534"/>
        <v>0</v>
      </c>
      <c r="T2135" s="405">
        <f t="shared" si="563"/>
        <v>0</v>
      </c>
    </row>
    <row r="2136" spans="1:20" s="405" customFormat="1" hidden="1">
      <c r="A2136" s="405" t="s">
        <v>477</v>
      </c>
      <c r="B2136" s="405" t="s">
        <v>133</v>
      </c>
      <c r="C2136" s="418">
        <f t="shared" si="562"/>
        <v>0</v>
      </c>
      <c r="D2136" s="523"/>
      <c r="E2136" s="523">
        <f>VLOOKUP(B2136,DONGIA,DG!$B$6,0)</f>
        <v>0</v>
      </c>
      <c r="F2136" s="525" t="str">
        <f>VLOOKUP(B2136,DONGIA,DG!$C$6,0)</f>
        <v>Chụp đầu LA</v>
      </c>
      <c r="G2136" s="523" t="str">
        <f>VLOOKUP(B2136,DONGIA,DG!$D$6,0)</f>
        <v>cái</v>
      </c>
      <c r="H2136" s="525">
        <f>H2133*3</f>
        <v>0</v>
      </c>
      <c r="I2136" s="525">
        <f>VLOOKUP(B2136,DONGIA,DG!$E$6,0)</f>
        <v>32000</v>
      </c>
      <c r="J2136" s="525"/>
      <c r="K2136" s="525">
        <f>VLOOKUP(B2136,DONGIA,DG!$F$6,0)</f>
        <v>0</v>
      </c>
      <c r="L2136" s="525">
        <f>VLOOKUP(B2136,DONGIA,DG!$G$6,0)</f>
        <v>0</v>
      </c>
      <c r="M2136" s="525">
        <f t="shared" si="564"/>
        <v>0</v>
      </c>
      <c r="N2136" s="525">
        <f t="shared" si="564"/>
        <v>0</v>
      </c>
      <c r="O2136" s="525">
        <f t="shared" si="564"/>
        <v>0</v>
      </c>
      <c r="P2136" s="525">
        <f t="shared" si="564"/>
        <v>0</v>
      </c>
      <c r="Q2136" s="525"/>
      <c r="S2136" s="405">
        <f t="shared" si="534"/>
        <v>0</v>
      </c>
      <c r="T2136" s="405">
        <f t="shared" si="563"/>
        <v>0</v>
      </c>
    </row>
    <row r="2137" spans="1:20" s="405" customFormat="1" hidden="1">
      <c r="A2137" s="405" t="s">
        <v>477</v>
      </c>
      <c r="B2137" s="405" t="s">
        <v>135</v>
      </c>
      <c r="C2137" s="418">
        <f t="shared" si="562"/>
        <v>0</v>
      </c>
      <c r="D2137" s="523"/>
      <c r="E2137" s="523">
        <f>VLOOKUP(B2137,DONGIA,DG!$B$6,0)</f>
        <v>0</v>
      </c>
      <c r="F2137" s="525" t="str">
        <f>VLOOKUP(B2137,DONGIA,DG!$C$6,0)</f>
        <v>Chụp đầu cực MBA</v>
      </c>
      <c r="G2137" s="523" t="str">
        <f>VLOOKUP(B2137,DONGIA,DG!$D$6,0)</f>
        <v>cái</v>
      </c>
      <c r="H2137" s="525">
        <f>H2133*3</f>
        <v>0</v>
      </c>
      <c r="I2137" s="525">
        <f>VLOOKUP(B2137,DONGIA,DG!$E$6,0)</f>
        <v>52000</v>
      </c>
      <c r="J2137" s="525"/>
      <c r="K2137" s="525">
        <f>VLOOKUP(B2137,DONGIA,DG!$F$6,0)</f>
        <v>0</v>
      </c>
      <c r="L2137" s="525">
        <f>VLOOKUP(B2137,DONGIA,DG!$G$6,0)</f>
        <v>0</v>
      </c>
      <c r="M2137" s="525">
        <f t="shared" si="564"/>
        <v>0</v>
      </c>
      <c r="N2137" s="525">
        <f t="shared" si="564"/>
        <v>0</v>
      </c>
      <c r="O2137" s="525">
        <f t="shared" si="564"/>
        <v>0</v>
      </c>
      <c r="P2137" s="525">
        <f t="shared" si="564"/>
        <v>0</v>
      </c>
      <c r="Q2137" s="525"/>
      <c r="S2137" s="405">
        <f t="shared" si="534"/>
        <v>0</v>
      </c>
      <c r="T2137" s="405">
        <f t="shared" si="563"/>
        <v>0</v>
      </c>
    </row>
    <row r="2138" spans="1:20" s="405" customFormat="1">
      <c r="A2138" s="405" t="s">
        <v>477</v>
      </c>
      <c r="C2138" s="418">
        <f t="shared" si="562"/>
        <v>1</v>
      </c>
      <c r="D2138" s="540">
        <f>IF(H2138&lt;&gt;0,D2133+1,D2133)</f>
        <v>1</v>
      </c>
      <c r="E2138" s="540"/>
      <c r="F2138" s="781" t="s">
        <v>1932</v>
      </c>
      <c r="G2138" s="540" t="s">
        <v>138</v>
      </c>
      <c r="H2138" s="540">
        <f>DTR3P</f>
        <v>2</v>
      </c>
      <c r="I2138" s="541"/>
      <c r="J2138" s="541"/>
      <c r="K2138" s="541"/>
      <c r="L2138" s="541"/>
      <c r="M2138" s="541"/>
      <c r="N2138" s="541"/>
      <c r="O2138" s="541"/>
      <c r="P2138" s="541"/>
      <c r="Q2138" s="541"/>
      <c r="S2138" s="405">
        <f t="shared" si="534"/>
        <v>0</v>
      </c>
      <c r="T2138" s="405">
        <f t="shared" si="563"/>
        <v>0</v>
      </c>
    </row>
    <row r="2139" spans="1:20" s="542" customFormat="1" hidden="1">
      <c r="A2139" s="542" t="s">
        <v>477</v>
      </c>
      <c r="C2139" s="543">
        <f t="shared" si="562"/>
        <v>0</v>
      </c>
      <c r="D2139" s="544"/>
      <c r="E2139" s="544"/>
      <c r="F2139" s="545" t="s">
        <v>1902</v>
      </c>
      <c r="G2139" s="544"/>
      <c r="H2139" s="545"/>
      <c r="I2139" s="545"/>
      <c r="J2139" s="545"/>
      <c r="K2139" s="545"/>
      <c r="L2139" s="545"/>
      <c r="M2139" s="545"/>
      <c r="N2139" s="545"/>
      <c r="O2139" s="545"/>
      <c r="P2139" s="545"/>
      <c r="Q2139" s="545"/>
      <c r="S2139" s="542">
        <f t="shared" si="534"/>
        <v>0</v>
      </c>
      <c r="T2139" s="542">
        <f t="shared" si="563"/>
        <v>0</v>
      </c>
    </row>
    <row r="2140" spans="1:20" s="405" customFormat="1" hidden="1">
      <c r="A2140" s="405" t="s">
        <v>477</v>
      </c>
      <c r="B2140" s="405" t="s">
        <v>18</v>
      </c>
      <c r="C2140" s="418">
        <f t="shared" si="562"/>
        <v>0</v>
      </c>
      <c r="D2140" s="523"/>
      <c r="E2140" s="523">
        <f>VLOOKUP(B2140,DONGIA,DG!$B$6,0)</f>
        <v>0</v>
      </c>
      <c r="F2140" s="525" t="str">
        <f>VLOOKUP(B2140,DONGIA,DG!$C$6,0)</f>
        <v>Đà hộp composite 110x80x5-2400</v>
      </c>
      <c r="G2140" s="523" t="str">
        <f>VLOOKUP(B2140,DONGIA,DG!$D$6,0)</f>
        <v>cái</v>
      </c>
      <c r="H2140" s="525"/>
      <c r="I2140" s="525">
        <f>VLOOKUP(B2140,DONGIA,DG!$E$6,0)</f>
        <v>812200</v>
      </c>
      <c r="J2140" s="525"/>
      <c r="K2140" s="525">
        <f>VLOOKUP(B2140,DONGIA,DG!$F$6,0)</f>
        <v>0</v>
      </c>
      <c r="L2140" s="525">
        <f>VLOOKUP(B2140,DONGIA,DG!$G$6,0)</f>
        <v>0</v>
      </c>
      <c r="M2140" s="525">
        <f t="shared" ref="M2140:M2147" si="565">$H2140*I2140</f>
        <v>0</v>
      </c>
      <c r="N2140" s="525">
        <f t="shared" ref="N2140:N2147" si="566">$H2140*J2140</f>
        <v>0</v>
      </c>
      <c r="O2140" s="525">
        <f t="shared" ref="O2140:O2147" si="567">$H2140*K2140</f>
        <v>0</v>
      </c>
      <c r="P2140" s="525">
        <f t="shared" ref="P2140:P2147" si="568">$H2140*L2140</f>
        <v>0</v>
      </c>
      <c r="Q2140" s="525"/>
      <c r="S2140" s="405">
        <f t="shared" si="534"/>
        <v>9.6</v>
      </c>
      <c r="T2140" s="405">
        <f t="shared" si="563"/>
        <v>0</v>
      </c>
    </row>
    <row r="2141" spans="1:20" s="405" customFormat="1" hidden="1">
      <c r="A2141" s="405" t="s">
        <v>477</v>
      </c>
      <c r="B2141" s="405" t="s">
        <v>20</v>
      </c>
      <c r="C2141" s="418">
        <f t="shared" si="562"/>
        <v>0</v>
      </c>
      <c r="D2141" s="523"/>
      <c r="E2141" s="523">
        <f>VLOOKUP(B2141,DONGIA,DG!$B$6,0)</f>
        <v>0</v>
      </c>
      <c r="F2141" s="525" t="str">
        <f>VLOOKUP(B2141,DONGIA,DG!$C$6,0)</f>
        <v>Thanh chống Composite dẹp 10x40x920</v>
      </c>
      <c r="G2141" s="523" t="str">
        <f>VLOOKUP(B2141,DONGIA,DG!$D$6,0)</f>
        <v>cái</v>
      </c>
      <c r="H2141" s="525"/>
      <c r="I2141" s="525">
        <f>VLOOKUP(B2141,DONGIA,DG!$E$6,0)</f>
        <v>108100</v>
      </c>
      <c r="J2141" s="525"/>
      <c r="K2141" s="525">
        <f>VLOOKUP(B2141,DONGIA,DG!$F$6,0)</f>
        <v>0</v>
      </c>
      <c r="L2141" s="525">
        <f>VLOOKUP(B2141,DONGIA,DG!$G$6,0)</f>
        <v>0</v>
      </c>
      <c r="M2141" s="525">
        <f t="shared" si="565"/>
        <v>0</v>
      </c>
      <c r="N2141" s="525">
        <f t="shared" si="566"/>
        <v>0</v>
      </c>
      <c r="O2141" s="525">
        <f t="shared" si="567"/>
        <v>0</v>
      </c>
      <c r="P2141" s="525">
        <f t="shared" si="568"/>
        <v>0</v>
      </c>
      <c r="Q2141" s="525"/>
      <c r="S2141" s="405">
        <f t="shared" si="534"/>
        <v>0.7</v>
      </c>
      <c r="T2141" s="405">
        <f t="shared" si="563"/>
        <v>0</v>
      </c>
    </row>
    <row r="2142" spans="1:20" s="405" customFormat="1" hidden="1">
      <c r="A2142" s="405" t="s">
        <v>477</v>
      </c>
      <c r="B2142" s="405" t="s">
        <v>139</v>
      </c>
      <c r="C2142" s="418">
        <f t="shared" si="562"/>
        <v>0</v>
      </c>
      <c r="D2142" s="523"/>
      <c r="E2142" s="523">
        <f>VLOOKUP(B2142,DONGIA,DG!$B$6,0)</f>
        <v>0</v>
      </c>
      <c r="F2142" s="525" t="str">
        <f>VLOOKUP(B2142,DONGIA,DG!$C$6,0)</f>
        <v>Bass LL bắt FCO và LA</v>
      </c>
      <c r="G2142" s="523" t="str">
        <f>VLOOKUP(B2142,DONGIA,DG!$D$6,0)</f>
        <v>bộ</v>
      </c>
      <c r="H2142" s="525"/>
      <c r="I2142" s="525">
        <f>VLOOKUP(B2142,DONGIA,DG!$E$6,0)</f>
        <v>56000</v>
      </c>
      <c r="J2142" s="525"/>
      <c r="K2142" s="525">
        <f>VLOOKUP(B2142,DONGIA,DG!$F$6,0)</f>
        <v>0</v>
      </c>
      <c r="L2142" s="525">
        <f>VLOOKUP(B2142,DONGIA,DG!$G$6,0)</f>
        <v>0</v>
      </c>
      <c r="M2142" s="525">
        <f t="shared" si="565"/>
        <v>0</v>
      </c>
      <c r="N2142" s="525">
        <f t="shared" si="566"/>
        <v>0</v>
      </c>
      <c r="O2142" s="525">
        <f t="shared" si="567"/>
        <v>0</v>
      </c>
      <c r="P2142" s="525">
        <f t="shared" si="568"/>
        <v>0</v>
      </c>
      <c r="Q2142" s="525"/>
      <c r="S2142" s="405">
        <f t="shared" si="534"/>
        <v>0.5</v>
      </c>
      <c r="T2142" s="405">
        <f t="shared" si="563"/>
        <v>0</v>
      </c>
    </row>
    <row r="2143" spans="1:20" s="405" customFormat="1" hidden="1">
      <c r="A2143" s="405" t="s">
        <v>477</v>
      </c>
      <c r="B2143" s="405" t="s">
        <v>37</v>
      </c>
      <c r="C2143" s="418">
        <f t="shared" si="562"/>
        <v>0</v>
      </c>
      <c r="D2143" s="523"/>
      <c r="E2143" s="523">
        <f>VLOOKUP(B2143,DONGIA,DG!$B$6,0)</f>
        <v>0</v>
      </c>
      <c r="F2143" s="525" t="str">
        <f>VLOOKUP(B2143,DONGIA,DG!$C$6,0)</f>
        <v>Boulon 16x350+ 2 long đền vuông D18-50x50x3/Zn</v>
      </c>
      <c r="G2143" s="523" t="str">
        <f>VLOOKUP(B2143,DONGIA,DG!$D$6,0)</f>
        <v>bộ</v>
      </c>
      <c r="H2143" s="525"/>
      <c r="I2143" s="525">
        <f>VLOOKUP(B2143,DONGIA,DG!$E$6,0)</f>
        <v>32000</v>
      </c>
      <c r="J2143" s="525"/>
      <c r="K2143" s="525">
        <f>VLOOKUP(B2143,DONGIA,DG!$F$6,0)</f>
        <v>0</v>
      </c>
      <c r="L2143" s="525">
        <f>VLOOKUP(B2143,DONGIA,DG!$G$6,0)</f>
        <v>0</v>
      </c>
      <c r="M2143" s="525">
        <f t="shared" si="565"/>
        <v>0</v>
      </c>
      <c r="N2143" s="525">
        <f t="shared" si="566"/>
        <v>0</v>
      </c>
      <c r="O2143" s="525">
        <f t="shared" si="567"/>
        <v>0</v>
      </c>
      <c r="P2143" s="525">
        <f t="shared" si="568"/>
        <v>0</v>
      </c>
      <c r="Q2143" s="525"/>
      <c r="S2143" s="405">
        <f t="shared" si="534"/>
        <v>0.3</v>
      </c>
      <c r="T2143" s="405">
        <f t="shared" si="563"/>
        <v>0</v>
      </c>
    </row>
    <row r="2144" spans="1:20" s="405" customFormat="1" hidden="1">
      <c r="A2144" s="405" t="s">
        <v>477</v>
      </c>
      <c r="B2144" s="405" t="s">
        <v>35</v>
      </c>
      <c r="C2144" s="418">
        <f t="shared" si="562"/>
        <v>0</v>
      </c>
      <c r="D2144" s="523"/>
      <c r="E2144" s="523">
        <f>VLOOKUP(B2144,DONGIA,DG!$B$6,0)</f>
        <v>0</v>
      </c>
      <c r="F2144" s="525" t="str">
        <f>VLOOKUP(B2144,DONGIA,DG!$C$6,0)</f>
        <v>Boulon 16x300+ 2 long đền vuông D18-50x50x3/Zn</v>
      </c>
      <c r="G2144" s="523" t="str">
        <f>VLOOKUP(B2144,DONGIA,DG!$D$6,0)</f>
        <v>bộ</v>
      </c>
      <c r="H2144" s="525"/>
      <c r="I2144" s="525">
        <f>VLOOKUP(B2144,DONGIA,DG!$E$6,0)</f>
        <v>30000</v>
      </c>
      <c r="J2144" s="525"/>
      <c r="K2144" s="525">
        <f>VLOOKUP(B2144,DONGIA,DG!$F$6,0)</f>
        <v>0</v>
      </c>
      <c r="L2144" s="525">
        <f>VLOOKUP(B2144,DONGIA,DG!$G$6,0)</f>
        <v>0</v>
      </c>
      <c r="M2144" s="525">
        <f t="shared" si="565"/>
        <v>0</v>
      </c>
      <c r="N2144" s="525">
        <f t="shared" si="566"/>
        <v>0</v>
      </c>
      <c r="O2144" s="525">
        <f t="shared" si="567"/>
        <v>0</v>
      </c>
      <c r="P2144" s="525">
        <f t="shared" si="568"/>
        <v>0</v>
      </c>
      <c r="Q2144" s="525"/>
      <c r="S2144" s="405">
        <f t="shared" si="534"/>
        <v>0.25</v>
      </c>
      <c r="T2144" s="405">
        <f t="shared" si="563"/>
        <v>0</v>
      </c>
    </row>
    <row r="2145" spans="1:20" s="405" customFormat="1" hidden="1">
      <c r="A2145" s="405" t="s">
        <v>477</v>
      </c>
      <c r="B2145" s="405" t="s">
        <v>27</v>
      </c>
      <c r="C2145" s="418">
        <f t="shared" si="562"/>
        <v>0</v>
      </c>
      <c r="D2145" s="523"/>
      <c r="E2145" s="523">
        <f>VLOOKUP(B2145,DONGIA,DG!$B$6,0)</f>
        <v>0</v>
      </c>
      <c r="F2145" s="525" t="str">
        <f>VLOOKUP(B2145,DONGIA,DG!$C$6,0)</f>
        <v>Boulon 14x120+ 2 long đền vuông D16-50x50x3/Zn</v>
      </c>
      <c r="G2145" s="523" t="str">
        <f>VLOOKUP(B2145,DONGIA,DG!$D$6,0)</f>
        <v>bộ</v>
      </c>
      <c r="H2145" s="525"/>
      <c r="I2145" s="525">
        <f>VLOOKUP(B2145,DONGIA,DG!$E$6,0)</f>
        <v>19000</v>
      </c>
      <c r="J2145" s="525"/>
      <c r="K2145" s="525">
        <f>VLOOKUP(B2145,DONGIA,DG!$F$6,0)</f>
        <v>0</v>
      </c>
      <c r="L2145" s="525">
        <f>VLOOKUP(B2145,DONGIA,DG!$G$6,0)</f>
        <v>0</v>
      </c>
      <c r="M2145" s="525">
        <f t="shared" si="565"/>
        <v>0</v>
      </c>
      <c r="N2145" s="525">
        <f t="shared" si="566"/>
        <v>0</v>
      </c>
      <c r="O2145" s="525">
        <f t="shared" si="567"/>
        <v>0</v>
      </c>
      <c r="P2145" s="525">
        <f t="shared" si="568"/>
        <v>0</v>
      </c>
      <c r="Q2145" s="525"/>
      <c r="S2145" s="405">
        <f t="shared" si="534"/>
        <v>0.2</v>
      </c>
      <c r="T2145" s="405">
        <f t="shared" si="563"/>
        <v>0</v>
      </c>
    </row>
    <row r="2146" spans="1:20" s="405" customFormat="1" ht="31.2">
      <c r="A2146" s="405" t="s">
        <v>477</v>
      </c>
      <c r="B2146" s="405" t="s">
        <v>620</v>
      </c>
      <c r="C2146" s="418">
        <f>IF(H2146&lt;&gt;0,1,)</f>
        <v>1</v>
      </c>
      <c r="D2146" s="523"/>
      <c r="E2146" s="523" t="str">
        <f>VLOOKUP(B2146,DONGIA,DG!$B$6,0)</f>
        <v>D2.6011</v>
      </c>
      <c r="F2146" s="666" t="str">
        <f>VLOOKUP(B2146,DONGIA,DG!$C$6,0)</f>
        <v>Lắp đà composite 2400mm kép (KL &lt;=15kg, trụ BTLT, tính = 0.8 đà sắt)</v>
      </c>
      <c r="G2146" s="523" t="str">
        <f>VLOOKUP(B2146,DONGIA,DG!$D$6,0)</f>
        <v>bộ</v>
      </c>
      <c r="H2146" s="525">
        <f>H2138/2</f>
        <v>1</v>
      </c>
      <c r="I2146" s="525">
        <f>VLOOKUP(B2146,DONGIA,DG!$E$6,0)</f>
        <v>0</v>
      </c>
      <c r="J2146" s="525"/>
      <c r="K2146" s="525">
        <f>VLOOKUP(B2146,DONGIA,DG!$F$6,0)</f>
        <v>134360</v>
      </c>
      <c r="L2146" s="525">
        <f>VLOOKUP(B2146,DONGIA,DG!$G$6,0)</f>
        <v>0</v>
      </c>
      <c r="M2146" s="525">
        <f>$H2146*I2146</f>
        <v>0</v>
      </c>
      <c r="N2146" s="525">
        <f>$H2146*J2146</f>
        <v>0</v>
      </c>
      <c r="O2146" s="525">
        <f>$H2146*K2146</f>
        <v>134360</v>
      </c>
      <c r="P2146" s="525">
        <f>$H2146*L2146</f>
        <v>0</v>
      </c>
      <c r="Q2146" s="525"/>
      <c r="S2146" s="405">
        <f>IFERROR(VLOOKUP(B2146,DONGIA,$S$25,0),0)</f>
        <v>0</v>
      </c>
      <c r="T2146" s="405">
        <f>H2146*S2146</f>
        <v>0</v>
      </c>
    </row>
    <row r="2147" spans="1:20" s="405" customFormat="1" ht="31.2">
      <c r="A2147" s="405" t="s">
        <v>477</v>
      </c>
      <c r="B2147" s="405" t="s">
        <v>618</v>
      </c>
      <c r="C2147" s="418">
        <f t="shared" si="562"/>
        <v>1</v>
      </c>
      <c r="D2147" s="523"/>
      <c r="E2147" s="523" t="str">
        <f>VLOOKUP(B2147,DONGIA,DG!$B$6,0)</f>
        <v>D2.6011</v>
      </c>
      <c r="F2147" s="666" t="str">
        <f>VLOOKUP(B2147,DONGIA,DG!$C$6,0)</f>
        <v>Lắp đà composite 2400mm đơn (KL &lt;=15kg, trụ BTLT, tính = 0.8 đà sắt)</v>
      </c>
      <c r="G2147" s="523" t="str">
        <f>VLOOKUP(B2147,DONGIA,DG!$D$6,0)</f>
        <v>bộ</v>
      </c>
      <c r="H2147" s="525">
        <f>H2138/2</f>
        <v>1</v>
      </c>
      <c r="I2147" s="525">
        <f>VLOOKUP(B2147,DONGIA,DG!$E$6,0)</f>
        <v>0</v>
      </c>
      <c r="J2147" s="525"/>
      <c r="K2147" s="525">
        <f>VLOOKUP(B2147,DONGIA,DG!$F$6,0)</f>
        <v>134360</v>
      </c>
      <c r="L2147" s="525">
        <f>VLOOKUP(B2147,DONGIA,DG!$G$6,0)</f>
        <v>0</v>
      </c>
      <c r="M2147" s="525">
        <f t="shared" si="565"/>
        <v>0</v>
      </c>
      <c r="N2147" s="525">
        <f t="shared" si="566"/>
        <v>0</v>
      </c>
      <c r="O2147" s="525">
        <f t="shared" si="567"/>
        <v>134360</v>
      </c>
      <c r="P2147" s="525">
        <f t="shared" si="568"/>
        <v>0</v>
      </c>
      <c r="Q2147" s="525"/>
      <c r="S2147" s="405">
        <f t="shared" si="534"/>
        <v>0</v>
      </c>
      <c r="T2147" s="405">
        <f t="shared" si="563"/>
        <v>0</v>
      </c>
    </row>
    <row r="2148" spans="1:20" s="405" customFormat="1">
      <c r="A2148" s="405" t="s">
        <v>477</v>
      </c>
      <c r="C2148" s="418">
        <f t="shared" si="562"/>
        <v>1</v>
      </c>
      <c r="D2148" s="540">
        <f>IF(H2148&lt;&gt;0,D2138+1,D2138)</f>
        <v>2</v>
      </c>
      <c r="E2148" s="540"/>
      <c r="F2148" s="781" t="s">
        <v>1910</v>
      </c>
      <c r="G2148" s="540" t="s">
        <v>138</v>
      </c>
      <c r="H2148" s="540">
        <f>DTR3P</f>
        <v>2</v>
      </c>
      <c r="I2148" s="541"/>
      <c r="J2148" s="541"/>
      <c r="K2148" s="541"/>
      <c r="L2148" s="541"/>
      <c r="M2148" s="541"/>
      <c r="N2148" s="541"/>
      <c r="O2148" s="541"/>
      <c r="P2148" s="541"/>
      <c r="Q2148" s="541"/>
      <c r="S2148" s="405">
        <f t="shared" si="534"/>
        <v>0</v>
      </c>
      <c r="T2148" s="405">
        <f t="shared" si="563"/>
        <v>0</v>
      </c>
    </row>
    <row r="2149" spans="1:20" s="542" customFormat="1" hidden="1">
      <c r="A2149" s="542" t="s">
        <v>477</v>
      </c>
      <c r="C2149" s="543">
        <f t="shared" si="562"/>
        <v>0</v>
      </c>
      <c r="D2149" s="544"/>
      <c r="E2149" s="544"/>
      <c r="F2149" s="545" t="s">
        <v>1902</v>
      </c>
      <c r="G2149" s="544"/>
      <c r="H2149" s="545"/>
      <c r="I2149" s="545"/>
      <c r="J2149" s="545"/>
      <c r="K2149" s="545"/>
      <c r="L2149" s="545"/>
      <c r="M2149" s="545"/>
      <c r="N2149" s="545"/>
      <c r="O2149" s="545"/>
      <c r="P2149" s="545"/>
      <c r="Q2149" s="545"/>
      <c r="S2149" s="542">
        <f t="shared" si="534"/>
        <v>0</v>
      </c>
      <c r="T2149" s="542">
        <f t="shared" si="563"/>
        <v>0</v>
      </c>
    </row>
    <row r="2150" spans="1:20" s="405" customFormat="1">
      <c r="A2150" s="405" t="s">
        <v>477</v>
      </c>
      <c r="B2150" s="405" t="s">
        <v>1069</v>
      </c>
      <c r="C2150" s="418">
        <f t="shared" si="562"/>
        <v>1</v>
      </c>
      <c r="D2150" s="523"/>
      <c r="E2150" s="523" t="str">
        <f>VLOOKUP(B2150,DONGIA,DG!$B$6,0)</f>
        <v>T4.9302</v>
      </c>
      <c r="F2150" s="666" t="str">
        <f>VLOOKUP(B2150,DONGIA,DG!$C$6,0)&amp;" (SDL)"</f>
        <v>Gía chùm treo máy biến áp 3x100 (SDL)</v>
      </c>
      <c r="G2150" s="523" t="str">
        <f>VLOOKUP(B2150,DONGIA,DG!$D$6,0)</f>
        <v>Bộ</v>
      </c>
      <c r="H2150" s="525">
        <f>H2148</f>
        <v>2</v>
      </c>
      <c r="I2150" s="525"/>
      <c r="J2150" s="525"/>
      <c r="K2150" s="525">
        <f>VLOOKUP(B2150,DONGIA,DG!$F$6,0)</f>
        <v>149969.16</v>
      </c>
      <c r="L2150" s="525">
        <f>VLOOKUP(B2150,DONGIA,DG!$G$6,0)</f>
        <v>0</v>
      </c>
      <c r="M2150" s="525">
        <f t="shared" ref="M2150:P2152" si="569">$H2150*I2150</f>
        <v>0</v>
      </c>
      <c r="N2150" s="525">
        <f t="shared" si="569"/>
        <v>0</v>
      </c>
      <c r="O2150" s="525">
        <f t="shared" si="569"/>
        <v>299938.32</v>
      </c>
      <c r="P2150" s="525">
        <f t="shared" si="569"/>
        <v>0</v>
      </c>
      <c r="Q2150" s="525"/>
      <c r="S2150" s="405">
        <f t="shared" si="534"/>
        <v>55</v>
      </c>
      <c r="T2150" s="405">
        <f t="shared" si="563"/>
        <v>110</v>
      </c>
    </row>
    <row r="2151" spans="1:20" s="405" customFormat="1">
      <c r="A2151" s="405" t="s">
        <v>477</v>
      </c>
      <c r="B2151" s="405" t="s">
        <v>37</v>
      </c>
      <c r="C2151" s="418">
        <f t="shared" si="562"/>
        <v>1</v>
      </c>
      <c r="D2151" s="523"/>
      <c r="E2151" s="523">
        <f>VLOOKUP(B2151,DONGIA,DG!$B$6,0)</f>
        <v>0</v>
      </c>
      <c r="F2151" s="666" t="str">
        <f>VLOOKUP(B2151,DONGIA,DG!$C$6,0)</f>
        <v>Boulon 16x350+ 2 long đền vuông D18-50x50x3/Zn</v>
      </c>
      <c r="G2151" s="523" t="str">
        <f>VLOOKUP(B2151,DONGIA,DG!$D$6,0)</f>
        <v>bộ</v>
      </c>
      <c r="H2151" s="525">
        <f>H2148*2</f>
        <v>4</v>
      </c>
      <c r="I2151" s="525">
        <f>VLOOKUP(B2151,DONGIA,DG!$E$6,0)</f>
        <v>32000</v>
      </c>
      <c r="J2151" s="525"/>
      <c r="K2151" s="525">
        <f>VLOOKUP(B2151,DONGIA,DG!$F$6,0)</f>
        <v>0</v>
      </c>
      <c r="L2151" s="525">
        <f>VLOOKUP(B2151,DONGIA,DG!$G$6,0)</f>
        <v>0</v>
      </c>
      <c r="M2151" s="525">
        <f t="shared" si="569"/>
        <v>128000</v>
      </c>
      <c r="N2151" s="525">
        <f t="shared" si="569"/>
        <v>0</v>
      </c>
      <c r="O2151" s="525">
        <f t="shared" si="569"/>
        <v>0</v>
      </c>
      <c r="P2151" s="525">
        <f t="shared" si="569"/>
        <v>0</v>
      </c>
      <c r="Q2151" s="525"/>
      <c r="S2151" s="405">
        <f t="shared" si="534"/>
        <v>0.3</v>
      </c>
      <c r="T2151" s="405">
        <f t="shared" si="563"/>
        <v>1.2</v>
      </c>
    </row>
    <row r="2152" spans="1:20" s="405" customFormat="1" hidden="1">
      <c r="A2152" s="405" t="s">
        <v>477</v>
      </c>
      <c r="B2152" s="405" t="s">
        <v>29</v>
      </c>
      <c r="C2152" s="418">
        <f t="shared" si="562"/>
        <v>0</v>
      </c>
      <c r="D2152" s="523"/>
      <c r="E2152" s="523">
        <f>VLOOKUP(B2152,DONGIA,DG!$B$6,0)</f>
        <v>0</v>
      </c>
      <c r="F2152" s="525" t="str">
        <f>VLOOKUP(B2152,DONGIA,DG!$C$6,0)</f>
        <v>Boulon 16x50+ 2 long đền vuông D18-50x50x3/Zn</v>
      </c>
      <c r="G2152" s="523" t="str">
        <f>VLOOKUP(B2152,DONGIA,DG!$D$6,0)</f>
        <v>bộ</v>
      </c>
      <c r="H2152" s="525"/>
      <c r="I2152" s="525">
        <f>VLOOKUP(B2152,DONGIA,DG!$E$6,0)</f>
        <v>17000</v>
      </c>
      <c r="J2152" s="525"/>
      <c r="K2152" s="525">
        <f>VLOOKUP(B2152,DONGIA,DG!$F$6,0)</f>
        <v>0</v>
      </c>
      <c r="L2152" s="525">
        <f>VLOOKUP(B2152,DONGIA,DG!$G$6,0)</f>
        <v>0</v>
      </c>
      <c r="M2152" s="525">
        <f t="shared" si="569"/>
        <v>0</v>
      </c>
      <c r="N2152" s="525">
        <f t="shared" si="569"/>
        <v>0</v>
      </c>
      <c r="O2152" s="525">
        <f t="shared" si="569"/>
        <v>0</v>
      </c>
      <c r="P2152" s="525">
        <f t="shared" si="569"/>
        <v>0</v>
      </c>
      <c r="Q2152" s="525"/>
      <c r="S2152" s="405">
        <f t="shared" si="534"/>
        <v>0.25</v>
      </c>
      <c r="T2152" s="405">
        <f t="shared" si="563"/>
        <v>0</v>
      </c>
    </row>
    <row r="2153" spans="1:20" s="405" customFormat="1">
      <c r="A2153" s="405" t="s">
        <v>477</v>
      </c>
      <c r="C2153" s="418">
        <f t="shared" si="562"/>
        <v>1</v>
      </c>
      <c r="D2153" s="540">
        <f>IF(H2153&lt;&gt;0,D2148+1,D2148)</f>
        <v>3</v>
      </c>
      <c r="E2153" s="540"/>
      <c r="F2153" s="781" t="s">
        <v>1942</v>
      </c>
      <c r="G2153" s="540" t="s">
        <v>138</v>
      </c>
      <c r="H2153" s="540">
        <f>DTR3P</f>
        <v>2</v>
      </c>
      <c r="I2153" s="541"/>
      <c r="J2153" s="541"/>
      <c r="K2153" s="541"/>
      <c r="L2153" s="541"/>
      <c r="M2153" s="541"/>
      <c r="N2153" s="541"/>
      <c r="O2153" s="541"/>
      <c r="P2153" s="541"/>
      <c r="Q2153" s="541"/>
      <c r="S2153" s="405">
        <f t="shared" si="534"/>
        <v>0</v>
      </c>
      <c r="T2153" s="405">
        <f t="shared" si="563"/>
        <v>0</v>
      </c>
    </row>
    <row r="2154" spans="1:20" s="542" customFormat="1" hidden="1">
      <c r="A2154" s="542" t="s">
        <v>477</v>
      </c>
      <c r="C2154" s="543">
        <f t="shared" si="562"/>
        <v>0</v>
      </c>
      <c r="D2154" s="544"/>
      <c r="E2154" s="544"/>
      <c r="F2154" s="545" t="s">
        <v>1902</v>
      </c>
      <c r="G2154" s="544"/>
      <c r="H2154" s="545"/>
      <c r="I2154" s="545"/>
      <c r="J2154" s="545"/>
      <c r="K2154" s="545"/>
      <c r="L2154" s="545"/>
      <c r="M2154" s="545"/>
      <c r="N2154" s="545"/>
      <c r="O2154" s="545"/>
      <c r="P2154" s="545"/>
      <c r="Q2154" s="545"/>
      <c r="S2154" s="542">
        <f t="shared" si="534"/>
        <v>0</v>
      </c>
      <c r="T2154" s="542">
        <f t="shared" si="563"/>
        <v>0</v>
      </c>
    </row>
    <row r="2155" spans="1:20" s="542" customFormat="1">
      <c r="C2155" s="374">
        <f>IF(SUM(C2157:C2178)&lt;&gt;0,1,)</f>
        <v>1</v>
      </c>
      <c r="D2155" s="550"/>
      <c r="E2155" s="550"/>
      <c r="F2155" s="786" t="s">
        <v>3871</v>
      </c>
      <c r="G2155" s="550"/>
      <c r="H2155" s="550">
        <v>1</v>
      </c>
      <c r="I2155" s="551"/>
      <c r="J2155" s="551"/>
      <c r="K2155" s="551"/>
      <c r="L2155" s="551"/>
      <c r="M2155" s="551"/>
      <c r="N2155" s="551"/>
      <c r="O2155" s="551"/>
      <c r="P2155" s="551"/>
      <c r="Q2155" s="551"/>
    </row>
    <row r="2156" spans="1:20" s="405" customFormat="1">
      <c r="A2156" s="405" t="s">
        <v>477</v>
      </c>
      <c r="B2156" s="405" t="s">
        <v>144</v>
      </c>
      <c r="C2156" s="418">
        <f t="shared" ref="C2156:C2164" si="570">IF(H2156&lt;&gt;0,1,)</f>
        <v>1</v>
      </c>
      <c r="D2156" s="523"/>
      <c r="E2156" s="523">
        <f>VLOOKUP(B2156,DONGIA,DG!$B$6,0)</f>
        <v>0</v>
      </c>
      <c r="F2156" s="666" t="str">
        <f>VLOOKUP(B2156,DONGIA,DG!$C$6,0)</f>
        <v>Cáp đồng trần M25mm2</v>
      </c>
      <c r="G2156" s="523" t="str">
        <f>VLOOKUP(B2156,DONGIA,DG!$D$6,0)</f>
        <v>kg</v>
      </c>
      <c r="H2156" s="546">
        <f>(9+4+9+7+6+3*3)*0.224</f>
        <v>9.8559999999999999</v>
      </c>
      <c r="I2156" s="525">
        <f>VLOOKUP(B2156,DONGIA,DG!$E$6,0)</f>
        <v>201380</v>
      </c>
      <c r="J2156" s="525"/>
      <c r="K2156" s="525">
        <f>VLOOKUP(B2156,DONGIA,DG!$F$6,0)</f>
        <v>0</v>
      </c>
      <c r="L2156" s="525">
        <f>VLOOKUP(B2156,DONGIA,DG!$G$6,0)</f>
        <v>0</v>
      </c>
      <c r="M2156" s="525">
        <f t="shared" ref="M2156:M2164" si="571">$H2156*I2156</f>
        <v>1984801.28</v>
      </c>
      <c r="N2156" s="525">
        <f t="shared" ref="N2156:N2164" si="572">$H2156*J2156</f>
        <v>0</v>
      </c>
      <c r="O2156" s="525">
        <f t="shared" ref="O2156:O2164" si="573">$H2156*K2156</f>
        <v>0</v>
      </c>
      <c r="P2156" s="525">
        <f t="shared" ref="P2156:P2164" si="574">$H2156*L2156</f>
        <v>0</v>
      </c>
      <c r="Q2156" s="525"/>
      <c r="S2156" s="405">
        <f t="shared" ref="S2156:S2164" si="575">IFERROR(VLOOKUP(B2156,DONGIA,$S$25,0),0)</f>
        <v>1</v>
      </c>
      <c r="T2156" s="405">
        <f t="shared" ref="T2156:T2164" si="576">H2156*S2156</f>
        <v>9.8559999999999999</v>
      </c>
    </row>
    <row r="2157" spans="1:20" s="405" customFormat="1">
      <c r="A2157" s="405" t="s">
        <v>477</v>
      </c>
      <c r="B2157" s="405" t="s">
        <v>278</v>
      </c>
      <c r="C2157" s="418">
        <f t="shared" si="570"/>
        <v>1</v>
      </c>
      <c r="D2157" s="523"/>
      <c r="E2157" s="523">
        <f>VLOOKUP(B2157,DONGIA,DG!$B$6,0)</f>
        <v>0</v>
      </c>
      <c r="F2157" s="666" t="str">
        <f>VLOOKUP(B2157,DONGIA,DG!$C$6,0)</f>
        <v>Cọc tiếp đất φ16 - 2,4m (mạ đồng 16µm)</v>
      </c>
      <c r="G2157" s="523" t="str">
        <f>VLOOKUP(B2157,DONGIA,DG!$D$6,0)</f>
        <v>cọc</v>
      </c>
      <c r="H2157" s="525">
        <f>6</f>
        <v>6</v>
      </c>
      <c r="I2157" s="525">
        <f>VLOOKUP(B2157,DONGIA,DG!$E$6,0)</f>
        <v>130000</v>
      </c>
      <c r="J2157" s="525"/>
      <c r="K2157" s="525">
        <f>VLOOKUP(B2157,DONGIA,DG!$F$6,0)</f>
        <v>0</v>
      </c>
      <c r="L2157" s="525">
        <f>VLOOKUP(B2157,DONGIA,DG!$G$6,0)</f>
        <v>0</v>
      </c>
      <c r="M2157" s="525">
        <f t="shared" si="571"/>
        <v>780000</v>
      </c>
      <c r="N2157" s="525">
        <f t="shared" si="572"/>
        <v>0</v>
      </c>
      <c r="O2157" s="525">
        <f t="shared" si="573"/>
        <v>0</v>
      </c>
      <c r="P2157" s="525">
        <f t="shared" si="574"/>
        <v>0</v>
      </c>
      <c r="Q2157" s="525"/>
      <c r="S2157" s="405">
        <f t="shared" si="575"/>
        <v>5.3</v>
      </c>
      <c r="T2157" s="405">
        <f t="shared" si="576"/>
        <v>31.799999999999997</v>
      </c>
    </row>
    <row r="2158" spans="1:20" s="405" customFormat="1">
      <c r="A2158" s="405" t="s">
        <v>477</v>
      </c>
      <c r="B2158" s="405" t="s">
        <v>280</v>
      </c>
      <c r="C2158" s="418">
        <f t="shared" si="570"/>
        <v>1</v>
      </c>
      <c r="D2158" s="523"/>
      <c r="E2158" s="523">
        <f>VLOOKUP(B2158,DONGIA,DG!$B$6,0)</f>
        <v>0</v>
      </c>
      <c r="F2158" s="666" t="str">
        <f>VLOOKUP(B2158,DONGIA,DG!$C$6,0)</f>
        <v>Kẹp cọc tiếp địa</v>
      </c>
      <c r="G2158" s="523" t="str">
        <f>VLOOKUP(B2158,DONGIA,DG!$D$6,0)</f>
        <v>bộ</v>
      </c>
      <c r="H2158" s="525">
        <f>H2157</f>
        <v>6</v>
      </c>
      <c r="I2158" s="525">
        <f>VLOOKUP(B2158,DONGIA,DG!$E$6,0)</f>
        <v>25000</v>
      </c>
      <c r="J2158" s="525"/>
      <c r="K2158" s="525">
        <f>VLOOKUP(B2158,DONGIA,DG!$F$6,0)</f>
        <v>0</v>
      </c>
      <c r="L2158" s="525">
        <f>VLOOKUP(B2158,DONGIA,DG!$G$6,0)</f>
        <v>0</v>
      </c>
      <c r="M2158" s="525">
        <f t="shared" si="571"/>
        <v>150000</v>
      </c>
      <c r="N2158" s="525">
        <f t="shared" si="572"/>
        <v>0</v>
      </c>
      <c r="O2158" s="525">
        <f t="shared" si="573"/>
        <v>0</v>
      </c>
      <c r="P2158" s="525">
        <f t="shared" si="574"/>
        <v>0</v>
      </c>
      <c r="Q2158" s="525"/>
      <c r="S2158" s="405">
        <f t="shared" si="575"/>
        <v>0.05</v>
      </c>
      <c r="T2158" s="405">
        <f t="shared" si="576"/>
        <v>0.30000000000000004</v>
      </c>
    </row>
    <row r="2159" spans="1:20" s="405" customFormat="1">
      <c r="A2159" s="405" t="s">
        <v>477</v>
      </c>
      <c r="B2159" s="405" t="s">
        <v>1217</v>
      </c>
      <c r="C2159" s="418">
        <f t="shared" si="570"/>
        <v>1</v>
      </c>
      <c r="D2159" s="523"/>
      <c r="E2159" s="523">
        <f>VLOOKUP(B2159,DONGIA,DG!$B$6,0)</f>
        <v>0</v>
      </c>
      <c r="F2159" s="666" t="str">
        <f>VLOOKUP(B2159,DONGIA,DG!$C$6,0)</f>
        <v xml:space="preserve">Ốc xiết cáp cỡ 38mm2 </v>
      </c>
      <c r="G2159" s="523" t="str">
        <f>VLOOKUP(B2159,DONGIA,DG!$D$6,0)</f>
        <v>cái</v>
      </c>
      <c r="H2159" s="525">
        <v>8</v>
      </c>
      <c r="I2159" s="525">
        <f>VLOOKUP(B2159,DONGIA,DG!$E$6,0)</f>
        <v>18000</v>
      </c>
      <c r="J2159" s="525"/>
      <c r="K2159" s="525">
        <f>VLOOKUP(B2159,DONGIA,DG!$F$6,0)</f>
        <v>0</v>
      </c>
      <c r="L2159" s="525">
        <f>VLOOKUP(B2159,DONGIA,DG!$G$6,0)</f>
        <v>0</v>
      </c>
      <c r="M2159" s="525">
        <f t="shared" si="571"/>
        <v>144000</v>
      </c>
      <c r="N2159" s="525">
        <f t="shared" si="572"/>
        <v>0</v>
      </c>
      <c r="O2159" s="525">
        <f t="shared" si="573"/>
        <v>0</v>
      </c>
      <c r="P2159" s="525">
        <f t="shared" si="574"/>
        <v>0</v>
      </c>
      <c r="Q2159" s="525"/>
      <c r="S2159" s="405">
        <f t="shared" si="575"/>
        <v>0</v>
      </c>
      <c r="T2159" s="405">
        <f t="shared" si="576"/>
        <v>0</v>
      </c>
    </row>
    <row r="2160" spans="1:20" s="405" customFormat="1">
      <c r="A2160" s="405" t="s">
        <v>477</v>
      </c>
      <c r="B2160" s="405" t="s">
        <v>323</v>
      </c>
      <c r="C2160" s="418">
        <f t="shared" si="570"/>
        <v>1</v>
      </c>
      <c r="D2160" s="523"/>
      <c r="E2160" s="523">
        <f>VLOOKUP(B2160,DONGIA,DG!$B$6,0)</f>
        <v>0</v>
      </c>
      <c r="F2160" s="666" t="str">
        <f>VLOOKUP(B2160,DONGIA,DG!$C$6,0)</f>
        <v>Kẹp ép WR cỡ dây 50mm2</v>
      </c>
      <c r="G2160" s="523" t="str">
        <f>VLOOKUP(B2160,DONGIA,DG!$D$6,0)</f>
        <v>cái</v>
      </c>
      <c r="H2160" s="525">
        <v>2</v>
      </c>
      <c r="I2160" s="525">
        <f>VLOOKUP(B2160,DONGIA,DG!$E$6,0)</f>
        <v>10000</v>
      </c>
      <c r="J2160" s="525"/>
      <c r="K2160" s="525">
        <f>VLOOKUP(B2160,DONGIA,DG!$F$6,0)</f>
        <v>0</v>
      </c>
      <c r="L2160" s="525">
        <f>VLOOKUP(B2160,DONGIA,DG!$G$6,0)</f>
        <v>0</v>
      </c>
      <c r="M2160" s="525">
        <f t="shared" si="571"/>
        <v>20000</v>
      </c>
      <c r="N2160" s="525">
        <f t="shared" si="572"/>
        <v>0</v>
      </c>
      <c r="O2160" s="525">
        <f t="shared" si="573"/>
        <v>0</v>
      </c>
      <c r="P2160" s="525">
        <f t="shared" si="574"/>
        <v>0</v>
      </c>
      <c r="Q2160" s="525"/>
      <c r="S2160" s="405">
        <f t="shared" si="575"/>
        <v>0.2</v>
      </c>
      <c r="T2160" s="405">
        <f t="shared" si="576"/>
        <v>0.4</v>
      </c>
    </row>
    <row r="2161" spans="1:20" s="405" customFormat="1">
      <c r="A2161" s="405" t="s">
        <v>477</v>
      </c>
      <c r="B2161" s="405" t="s">
        <v>573</v>
      </c>
      <c r="C2161" s="418">
        <f t="shared" si="570"/>
        <v>1</v>
      </c>
      <c r="D2161" s="523"/>
      <c r="E2161" s="523" t="str">
        <f>VLOOKUP(B2161,DONGIA,DG!$B$6,0)</f>
        <v>T4.7001</v>
      </c>
      <c r="F2161" s="666" t="str">
        <f>VLOOKUP(B2161,DONGIA,DG!$C$6,0)</f>
        <v>Kéo dây tiếp địa trong TBA</v>
      </c>
      <c r="G2161" s="523" t="str">
        <f>VLOOKUP(B2161,DONGIA,DG!$D$6,0)</f>
        <v>mét</v>
      </c>
      <c r="H2161" s="525">
        <f>H2156/0.224</f>
        <v>44</v>
      </c>
      <c r="I2161" s="525">
        <f>VLOOKUP(B2161,DONGIA,DG!$E$6,0)</f>
        <v>0</v>
      </c>
      <c r="J2161" s="525"/>
      <c r="K2161" s="525">
        <f>VLOOKUP(B2161,DONGIA,DG!$F$6,0)</f>
        <v>6871</v>
      </c>
      <c r="L2161" s="525">
        <f>VLOOKUP(B2161,DONGIA,DG!$G$6,0)</f>
        <v>0</v>
      </c>
      <c r="M2161" s="525">
        <f t="shared" si="571"/>
        <v>0</v>
      </c>
      <c r="N2161" s="525">
        <f t="shared" si="572"/>
        <v>0</v>
      </c>
      <c r="O2161" s="525">
        <f t="shared" si="573"/>
        <v>302324</v>
      </c>
      <c r="P2161" s="525">
        <f t="shared" si="574"/>
        <v>0</v>
      </c>
      <c r="Q2161" s="525"/>
      <c r="S2161" s="405">
        <f t="shared" si="575"/>
        <v>0</v>
      </c>
      <c r="T2161" s="405">
        <f t="shared" si="576"/>
        <v>0</v>
      </c>
    </row>
    <row r="2162" spans="1:20" s="405" customFormat="1">
      <c r="A2162" s="405" t="s">
        <v>477</v>
      </c>
      <c r="B2162" s="405" t="s">
        <v>581</v>
      </c>
      <c r="C2162" s="418">
        <f t="shared" si="570"/>
        <v>1</v>
      </c>
      <c r="D2162" s="523"/>
      <c r="E2162" s="523" t="str">
        <f>VLOOKUP(B2162,DONGIA,DG!$B$6,0)</f>
        <v>D2.8103</v>
      </c>
      <c r="F2162" s="666" t="str">
        <f>VLOOKUP(B2162,DONGIA,DG!$C$6,0)</f>
        <v>Đóng cọc tiếp địa trong TBA (đất cấp 3)</v>
      </c>
      <c r="G2162" s="523" t="str">
        <f>VLOOKUP(B2162,DONGIA,DG!$D$6,0)</f>
        <v>cọc</v>
      </c>
      <c r="H2162" s="525">
        <f>H2157</f>
        <v>6</v>
      </c>
      <c r="I2162" s="525">
        <f>VLOOKUP(B2162,DONGIA,DG!$E$6,0)</f>
        <v>0</v>
      </c>
      <c r="J2162" s="525"/>
      <c r="K2162" s="525">
        <f>VLOOKUP(B2162,DONGIA,DG!$F$6,0)</f>
        <v>76928</v>
      </c>
      <c r="L2162" s="525">
        <f>VLOOKUP(B2162,DONGIA,DG!$G$6,0)</f>
        <v>0</v>
      </c>
      <c r="M2162" s="525">
        <f t="shared" si="571"/>
        <v>0</v>
      </c>
      <c r="N2162" s="525">
        <f t="shared" si="572"/>
        <v>0</v>
      </c>
      <c r="O2162" s="525">
        <f t="shared" si="573"/>
        <v>461568</v>
      </c>
      <c r="P2162" s="525">
        <f t="shared" si="574"/>
        <v>0</v>
      </c>
      <c r="Q2162" s="525"/>
      <c r="S2162" s="405">
        <f t="shared" si="575"/>
        <v>0</v>
      </c>
      <c r="T2162" s="405">
        <f t="shared" si="576"/>
        <v>0</v>
      </c>
    </row>
    <row r="2163" spans="1:20" s="405" customFormat="1">
      <c r="A2163" s="405" t="s">
        <v>477</v>
      </c>
      <c r="B2163" s="405" t="s">
        <v>540</v>
      </c>
      <c r="C2163" s="418">
        <f t="shared" si="570"/>
        <v>1</v>
      </c>
      <c r="D2163" s="523"/>
      <c r="E2163" s="523" t="str">
        <f>VLOOKUP(B2163,DONGIA,DG!$B$6,0)</f>
        <v>AB.11513</v>
      </c>
      <c r="F2163" s="731" t="str">
        <f>VLOOKUP(B2163,DONGIA,DG!$C$6,0)</f>
        <v>Đào rãnh tiếp địa đất cấp 3</v>
      </c>
      <c r="G2163" s="523" t="str">
        <f>VLOOKUP(B2163,DONGIA,DG!$D$6,0)</f>
        <v>m3</v>
      </c>
      <c r="H2163" s="546">
        <f>(6+3*3)*0.2*0.5</f>
        <v>1.5</v>
      </c>
      <c r="I2163" s="525">
        <f>VLOOKUP(B2163,DONGIA,DG!$E$6,0)</f>
        <v>0</v>
      </c>
      <c r="J2163" s="525"/>
      <c r="K2163" s="525">
        <f>ROUND(VLOOKUP(B2163,DONGIA,DG!$F$6,0)/NCTBA,0)</f>
        <v>241580</v>
      </c>
      <c r="L2163" s="525">
        <f>VLOOKUP(B2163,DONGIA,DG!$G$6,0)</f>
        <v>0</v>
      </c>
      <c r="M2163" s="525">
        <f t="shared" si="571"/>
        <v>0</v>
      </c>
      <c r="N2163" s="525">
        <f t="shared" si="572"/>
        <v>0</v>
      </c>
      <c r="O2163" s="525">
        <f t="shared" si="573"/>
        <v>362370</v>
      </c>
      <c r="P2163" s="525">
        <f t="shared" si="574"/>
        <v>0</v>
      </c>
      <c r="Q2163" s="525"/>
      <c r="S2163" s="405">
        <f t="shared" si="575"/>
        <v>0</v>
      </c>
      <c r="T2163" s="405">
        <f t="shared" si="576"/>
        <v>0</v>
      </c>
    </row>
    <row r="2164" spans="1:20" s="405" customFormat="1">
      <c r="A2164" s="405" t="s">
        <v>477</v>
      </c>
      <c r="B2164" s="405" t="s">
        <v>547</v>
      </c>
      <c r="C2164" s="418">
        <f t="shared" si="570"/>
        <v>1</v>
      </c>
      <c r="D2164" s="523"/>
      <c r="E2164" s="523" t="str">
        <f>VLOOKUP(B2164,DONGIA,DG!$B$6,0)</f>
        <v>AB.65110</v>
      </c>
      <c r="F2164" s="731" t="str">
        <f>VLOOKUP(B2164,DONGIA,DG!$C$6,0)</f>
        <v>Đắp đất rãnh tiếp địa (K=0,85)</v>
      </c>
      <c r="G2164" s="523" t="str">
        <f>VLOOKUP(B2164,DONGIA,DG!$D$6,0)</f>
        <v>m3</v>
      </c>
      <c r="H2164" s="546">
        <f>H2163</f>
        <v>1.5</v>
      </c>
      <c r="I2164" s="525">
        <f>VLOOKUP(B2164,DONGIA,DG!$E$6,0)</f>
        <v>0</v>
      </c>
      <c r="J2164" s="525"/>
      <c r="K2164" s="525">
        <f>ROUND(VLOOKUP(B2164,DONGIA,DG!$F$6,0)/NCTBA,0)</f>
        <v>16267</v>
      </c>
      <c r="L2164" s="525">
        <f>VLOOKUP(B2164,DONGIA,DG!$G$6,0)</f>
        <v>11176</v>
      </c>
      <c r="M2164" s="525">
        <f t="shared" si="571"/>
        <v>0</v>
      </c>
      <c r="N2164" s="525">
        <f t="shared" si="572"/>
        <v>0</v>
      </c>
      <c r="O2164" s="525">
        <f t="shared" si="573"/>
        <v>24400.5</v>
      </c>
      <c r="P2164" s="525">
        <f t="shared" si="574"/>
        <v>16764</v>
      </c>
      <c r="Q2164" s="525"/>
      <c r="S2164" s="405">
        <f t="shared" si="575"/>
        <v>0</v>
      </c>
      <c r="T2164" s="405">
        <f t="shared" si="576"/>
        <v>0</v>
      </c>
    </row>
    <row r="2165" spans="1:20" s="542" customFormat="1">
      <c r="C2165" s="374">
        <f>IF(SUM(C2167:C2188)&lt;&gt;0,1,)</f>
        <v>1</v>
      </c>
      <c r="D2165" s="550"/>
      <c r="E2165" s="550"/>
      <c r="F2165" s="786" t="s">
        <v>3868</v>
      </c>
      <c r="G2165" s="550"/>
      <c r="H2165" s="550">
        <v>1</v>
      </c>
      <c r="I2165" s="551"/>
      <c r="J2165" s="551"/>
      <c r="K2165" s="551"/>
      <c r="L2165" s="551"/>
      <c r="M2165" s="551"/>
      <c r="N2165" s="551"/>
      <c r="O2165" s="551"/>
      <c r="P2165" s="551"/>
      <c r="Q2165" s="551"/>
    </row>
    <row r="2166" spans="1:20" s="405" customFormat="1">
      <c r="A2166" s="405" t="s">
        <v>477</v>
      </c>
      <c r="B2166" s="405" t="s">
        <v>144</v>
      </c>
      <c r="C2166" s="418">
        <f t="shared" si="562"/>
        <v>1</v>
      </c>
      <c r="D2166" s="523"/>
      <c r="E2166" s="523">
        <f>VLOOKUP(B2166,DONGIA,DG!$B$6,0)</f>
        <v>0</v>
      </c>
      <c r="F2166" s="666" t="str">
        <f>VLOOKUP(B2166,DONGIA,DG!$C$6,0)</f>
        <v>Cáp đồng trần M25mm2</v>
      </c>
      <c r="G2166" s="523" t="str">
        <f>VLOOKUP(B2166,DONGIA,DG!$D$6,0)</f>
        <v>kg</v>
      </c>
      <c r="H2166" s="546">
        <f>TDTR3P*H2165*0.224</f>
        <v>13.664</v>
      </c>
      <c r="I2166" s="525">
        <f>VLOOKUP(B2166,DONGIA,DG!$E$6,0)</f>
        <v>201380</v>
      </c>
      <c r="J2166" s="525"/>
      <c r="K2166" s="525">
        <f>VLOOKUP(B2166,DONGIA,DG!$F$6,0)</f>
        <v>0</v>
      </c>
      <c r="L2166" s="525">
        <f>VLOOKUP(B2166,DONGIA,DG!$G$6,0)</f>
        <v>0</v>
      </c>
      <c r="M2166" s="525">
        <f t="shared" ref="M2166:M2174" si="577">$H2166*I2166</f>
        <v>2751656.32</v>
      </c>
      <c r="N2166" s="525">
        <f t="shared" ref="N2166:N2174" si="578">$H2166*J2166</f>
        <v>0</v>
      </c>
      <c r="O2166" s="525">
        <f t="shared" ref="O2166:O2174" si="579">$H2166*K2166</f>
        <v>0</v>
      </c>
      <c r="P2166" s="525">
        <f t="shared" ref="P2166:P2174" si="580">$H2166*L2166</f>
        <v>0</v>
      </c>
      <c r="Q2166" s="525"/>
      <c r="S2166" s="405">
        <f t="shared" si="534"/>
        <v>1</v>
      </c>
      <c r="T2166" s="405">
        <f t="shared" si="563"/>
        <v>13.664</v>
      </c>
    </row>
    <row r="2167" spans="1:20" s="405" customFormat="1">
      <c r="A2167" s="405" t="s">
        <v>477</v>
      </c>
      <c r="B2167" s="405" t="s">
        <v>278</v>
      </c>
      <c r="C2167" s="418">
        <f t="shared" si="562"/>
        <v>1</v>
      </c>
      <c r="D2167" s="523"/>
      <c r="E2167" s="523">
        <f>VLOOKUP(B2167,DONGIA,DG!$B$6,0)</f>
        <v>0</v>
      </c>
      <c r="F2167" s="666" t="str">
        <f>VLOOKUP(B2167,DONGIA,DG!$C$6,0)</f>
        <v>Cọc tiếp đất φ16 - 2,4m (mạ đồng 16µm)</v>
      </c>
      <c r="G2167" s="523" t="str">
        <f>VLOOKUP(B2167,DONGIA,DG!$D$6,0)</f>
        <v>cọc</v>
      </c>
      <c r="H2167" s="525">
        <f>H2165*12</f>
        <v>12</v>
      </c>
      <c r="I2167" s="525">
        <f>VLOOKUP(B2167,DONGIA,DG!$E$6,0)</f>
        <v>130000</v>
      </c>
      <c r="J2167" s="525"/>
      <c r="K2167" s="525">
        <f>VLOOKUP(B2167,DONGIA,DG!$F$6,0)</f>
        <v>0</v>
      </c>
      <c r="L2167" s="525">
        <f>VLOOKUP(B2167,DONGIA,DG!$G$6,0)</f>
        <v>0</v>
      </c>
      <c r="M2167" s="525">
        <f t="shared" si="577"/>
        <v>1560000</v>
      </c>
      <c r="N2167" s="525">
        <f t="shared" si="578"/>
        <v>0</v>
      </c>
      <c r="O2167" s="525">
        <f t="shared" si="579"/>
        <v>0</v>
      </c>
      <c r="P2167" s="525">
        <f t="shared" si="580"/>
        <v>0</v>
      </c>
      <c r="Q2167" s="525"/>
      <c r="S2167" s="405">
        <f t="shared" si="534"/>
        <v>5.3</v>
      </c>
      <c r="T2167" s="405">
        <f t="shared" si="563"/>
        <v>63.599999999999994</v>
      </c>
    </row>
    <row r="2168" spans="1:20" s="405" customFormat="1">
      <c r="A2168" s="405" t="s">
        <v>477</v>
      </c>
      <c r="B2168" s="405" t="s">
        <v>280</v>
      </c>
      <c r="C2168" s="418">
        <f t="shared" si="562"/>
        <v>1</v>
      </c>
      <c r="D2168" s="523"/>
      <c r="E2168" s="523">
        <f>VLOOKUP(B2168,DONGIA,DG!$B$6,0)</f>
        <v>0</v>
      </c>
      <c r="F2168" s="666" t="str">
        <f>VLOOKUP(B2168,DONGIA,DG!$C$6,0)</f>
        <v>Kẹp cọc tiếp địa</v>
      </c>
      <c r="G2168" s="523" t="str">
        <f>VLOOKUP(B2168,DONGIA,DG!$D$6,0)</f>
        <v>bộ</v>
      </c>
      <c r="H2168" s="525">
        <f>H2167</f>
        <v>12</v>
      </c>
      <c r="I2168" s="525">
        <f>VLOOKUP(B2168,DONGIA,DG!$E$6,0)</f>
        <v>25000</v>
      </c>
      <c r="J2168" s="525"/>
      <c r="K2168" s="525">
        <f>VLOOKUP(B2168,DONGIA,DG!$F$6,0)</f>
        <v>0</v>
      </c>
      <c r="L2168" s="525">
        <f>VLOOKUP(B2168,DONGIA,DG!$G$6,0)</f>
        <v>0</v>
      </c>
      <c r="M2168" s="525">
        <f t="shared" si="577"/>
        <v>300000</v>
      </c>
      <c r="N2168" s="525">
        <f t="shared" si="578"/>
        <v>0</v>
      </c>
      <c r="O2168" s="525">
        <f t="shared" si="579"/>
        <v>0</v>
      </c>
      <c r="P2168" s="525">
        <f t="shared" si="580"/>
        <v>0</v>
      </c>
      <c r="Q2168" s="525"/>
      <c r="S2168" s="405">
        <f t="shared" ref="S2168:S2189" si="581">IFERROR(VLOOKUP(B2168,DONGIA,$S$25,0),0)</f>
        <v>0.05</v>
      </c>
      <c r="T2168" s="405">
        <f t="shared" si="563"/>
        <v>0.60000000000000009</v>
      </c>
    </row>
    <row r="2169" spans="1:20" s="405" customFormat="1">
      <c r="A2169" s="405" t="s">
        <v>477</v>
      </c>
      <c r="B2169" s="405" t="s">
        <v>1217</v>
      </c>
      <c r="C2169" s="418">
        <f t="shared" si="562"/>
        <v>1</v>
      </c>
      <c r="D2169" s="523"/>
      <c r="E2169" s="523">
        <f>VLOOKUP(B2169,DONGIA,DG!$B$6,0)</f>
        <v>0</v>
      </c>
      <c r="F2169" s="666" t="str">
        <f>VLOOKUP(B2169,DONGIA,DG!$C$6,0)</f>
        <v xml:space="preserve">Ốc xiết cáp cỡ 38mm2 </v>
      </c>
      <c r="G2169" s="523" t="str">
        <f>VLOOKUP(B2169,DONGIA,DG!$D$6,0)</f>
        <v>cái</v>
      </c>
      <c r="H2169" s="525">
        <f>H2165*12</f>
        <v>12</v>
      </c>
      <c r="I2169" s="525">
        <f>VLOOKUP(B2169,DONGIA,DG!$E$6,0)</f>
        <v>18000</v>
      </c>
      <c r="J2169" s="525"/>
      <c r="K2169" s="525">
        <f>VLOOKUP(B2169,DONGIA,DG!$F$6,0)</f>
        <v>0</v>
      </c>
      <c r="L2169" s="525">
        <f>VLOOKUP(B2169,DONGIA,DG!$G$6,0)</f>
        <v>0</v>
      </c>
      <c r="M2169" s="525">
        <f t="shared" si="577"/>
        <v>216000</v>
      </c>
      <c r="N2169" s="525">
        <f t="shared" si="578"/>
        <v>0</v>
      </c>
      <c r="O2169" s="525">
        <f t="shared" si="579"/>
        <v>0</v>
      </c>
      <c r="P2169" s="525">
        <f t="shared" si="580"/>
        <v>0</v>
      </c>
      <c r="Q2169" s="525"/>
      <c r="S2169" s="405">
        <f t="shared" si="581"/>
        <v>0</v>
      </c>
      <c r="T2169" s="405">
        <f t="shared" si="563"/>
        <v>0</v>
      </c>
    </row>
    <row r="2170" spans="1:20" s="405" customFormat="1">
      <c r="A2170" s="405" t="s">
        <v>477</v>
      </c>
      <c r="B2170" s="405" t="s">
        <v>323</v>
      </c>
      <c r="C2170" s="418">
        <f t="shared" si="562"/>
        <v>1</v>
      </c>
      <c r="D2170" s="523"/>
      <c r="E2170" s="523">
        <f>VLOOKUP(B2170,DONGIA,DG!$B$6,0)</f>
        <v>0</v>
      </c>
      <c r="F2170" s="666" t="str">
        <f>VLOOKUP(B2170,DONGIA,DG!$C$6,0)</f>
        <v>Kẹp ép WR cỡ dây 50mm2</v>
      </c>
      <c r="G2170" s="523" t="str">
        <f>VLOOKUP(B2170,DONGIA,DG!$D$6,0)</f>
        <v>cái</v>
      </c>
      <c r="H2170" s="525">
        <f>H2165*2</f>
        <v>2</v>
      </c>
      <c r="I2170" s="525">
        <f>VLOOKUP(B2170,DONGIA,DG!$E$6,0)</f>
        <v>10000</v>
      </c>
      <c r="J2170" s="525"/>
      <c r="K2170" s="525">
        <f>VLOOKUP(B2170,DONGIA,DG!$F$6,0)</f>
        <v>0</v>
      </c>
      <c r="L2170" s="525">
        <f>VLOOKUP(B2170,DONGIA,DG!$G$6,0)</f>
        <v>0</v>
      </c>
      <c r="M2170" s="525">
        <f t="shared" si="577"/>
        <v>20000</v>
      </c>
      <c r="N2170" s="525">
        <f t="shared" si="578"/>
        <v>0</v>
      </c>
      <c r="O2170" s="525">
        <f t="shared" si="579"/>
        <v>0</v>
      </c>
      <c r="P2170" s="525">
        <f t="shared" si="580"/>
        <v>0</v>
      </c>
      <c r="Q2170" s="525"/>
      <c r="S2170" s="405">
        <f t="shared" si="581"/>
        <v>0.2</v>
      </c>
      <c r="T2170" s="405">
        <f t="shared" si="563"/>
        <v>0.4</v>
      </c>
    </row>
    <row r="2171" spans="1:20" s="405" customFormat="1">
      <c r="A2171" s="405" t="s">
        <v>477</v>
      </c>
      <c r="B2171" s="405" t="s">
        <v>573</v>
      </c>
      <c r="C2171" s="418">
        <f t="shared" si="562"/>
        <v>1</v>
      </c>
      <c r="D2171" s="523"/>
      <c r="E2171" s="523" t="str">
        <f>VLOOKUP(B2171,DONGIA,DG!$B$6,0)</f>
        <v>T4.7001</v>
      </c>
      <c r="F2171" s="666" t="str">
        <f>VLOOKUP(B2171,DONGIA,DG!$C$6,0)</f>
        <v>Kéo dây tiếp địa trong TBA</v>
      </c>
      <c r="G2171" s="523" t="str">
        <f>VLOOKUP(B2171,DONGIA,DG!$D$6,0)</f>
        <v>mét</v>
      </c>
      <c r="H2171" s="525">
        <f>H2165*TDTR3P</f>
        <v>61</v>
      </c>
      <c r="I2171" s="525">
        <f>VLOOKUP(B2171,DONGIA,DG!$E$6,0)</f>
        <v>0</v>
      </c>
      <c r="J2171" s="525"/>
      <c r="K2171" s="525">
        <f>VLOOKUP(B2171,DONGIA,DG!$F$6,0)</f>
        <v>6871</v>
      </c>
      <c r="L2171" s="525">
        <f>VLOOKUP(B2171,DONGIA,DG!$G$6,0)</f>
        <v>0</v>
      </c>
      <c r="M2171" s="525">
        <f t="shared" si="577"/>
        <v>0</v>
      </c>
      <c r="N2171" s="525">
        <f t="shared" si="578"/>
        <v>0</v>
      </c>
      <c r="O2171" s="525">
        <f t="shared" si="579"/>
        <v>419131</v>
      </c>
      <c r="P2171" s="525">
        <f t="shared" si="580"/>
        <v>0</v>
      </c>
      <c r="Q2171" s="525"/>
      <c r="S2171" s="405">
        <f t="shared" si="581"/>
        <v>0</v>
      </c>
      <c r="T2171" s="405">
        <f t="shared" si="563"/>
        <v>0</v>
      </c>
    </row>
    <row r="2172" spans="1:20" s="405" customFormat="1">
      <c r="A2172" s="405" t="s">
        <v>477</v>
      </c>
      <c r="B2172" s="405" t="s">
        <v>581</v>
      </c>
      <c r="C2172" s="418">
        <f t="shared" si="562"/>
        <v>1</v>
      </c>
      <c r="D2172" s="523"/>
      <c r="E2172" s="523" t="str">
        <f>VLOOKUP(B2172,DONGIA,DG!$B$6,0)</f>
        <v>D2.8103</v>
      </c>
      <c r="F2172" s="666" t="str">
        <f>VLOOKUP(B2172,DONGIA,DG!$C$6,0)</f>
        <v>Đóng cọc tiếp địa trong TBA (đất cấp 3)</v>
      </c>
      <c r="G2172" s="523" t="str">
        <f>VLOOKUP(B2172,DONGIA,DG!$D$6,0)</f>
        <v>cọc</v>
      </c>
      <c r="H2172" s="525">
        <f>H2167</f>
        <v>12</v>
      </c>
      <c r="I2172" s="525">
        <f>VLOOKUP(B2172,DONGIA,DG!$E$6,0)</f>
        <v>0</v>
      </c>
      <c r="J2172" s="525"/>
      <c r="K2172" s="525">
        <f>VLOOKUP(B2172,DONGIA,DG!$F$6,0)</f>
        <v>76928</v>
      </c>
      <c r="L2172" s="525">
        <f>VLOOKUP(B2172,DONGIA,DG!$G$6,0)</f>
        <v>0</v>
      </c>
      <c r="M2172" s="525">
        <f t="shared" si="577"/>
        <v>0</v>
      </c>
      <c r="N2172" s="525">
        <f t="shared" si="578"/>
        <v>0</v>
      </c>
      <c r="O2172" s="525">
        <f t="shared" si="579"/>
        <v>923136</v>
      </c>
      <c r="P2172" s="525">
        <f t="shared" si="580"/>
        <v>0</v>
      </c>
      <c r="Q2172" s="525"/>
      <c r="S2172" s="405">
        <f t="shared" si="581"/>
        <v>0</v>
      </c>
      <c r="T2172" s="405">
        <f t="shared" si="563"/>
        <v>0</v>
      </c>
    </row>
    <row r="2173" spans="1:20" s="405" customFormat="1">
      <c r="A2173" s="405" t="s">
        <v>477</v>
      </c>
      <c r="B2173" s="405" t="s">
        <v>540</v>
      </c>
      <c r="C2173" s="418">
        <f t="shared" si="562"/>
        <v>1</v>
      </c>
      <c r="D2173" s="523"/>
      <c r="E2173" s="523" t="str">
        <f>VLOOKUP(B2173,DONGIA,DG!$B$6,0)</f>
        <v>AB.11513</v>
      </c>
      <c r="F2173" s="731" t="str">
        <f>VLOOKUP(B2173,DONGIA,DG!$C$6,0)</f>
        <v>Đào rãnh tiếp địa đất cấp 3</v>
      </c>
      <c r="G2173" s="523" t="str">
        <f>VLOOKUP(B2173,DONGIA,DG!$D$6,0)</f>
        <v>m3</v>
      </c>
      <c r="H2173" s="546">
        <f>H2165*DAOTD</f>
        <v>3.3000000000000003</v>
      </c>
      <c r="I2173" s="525">
        <f>VLOOKUP(B2173,DONGIA,DG!$E$6,0)</f>
        <v>0</v>
      </c>
      <c r="J2173" s="525"/>
      <c r="K2173" s="525">
        <f>ROUND(VLOOKUP(B2173,DONGIA,DG!$F$6,0)/NCTBA,0)</f>
        <v>241580</v>
      </c>
      <c r="L2173" s="525">
        <f>VLOOKUP(B2173,DONGIA,DG!$G$6,0)</f>
        <v>0</v>
      </c>
      <c r="M2173" s="525">
        <f t="shared" si="577"/>
        <v>0</v>
      </c>
      <c r="N2173" s="525">
        <f t="shared" si="578"/>
        <v>0</v>
      </c>
      <c r="O2173" s="525">
        <f t="shared" si="579"/>
        <v>797214.00000000012</v>
      </c>
      <c r="P2173" s="525">
        <f t="shared" si="580"/>
        <v>0</v>
      </c>
      <c r="Q2173" s="525"/>
      <c r="S2173" s="405">
        <f t="shared" si="581"/>
        <v>0</v>
      </c>
      <c r="T2173" s="405">
        <f t="shared" si="563"/>
        <v>0</v>
      </c>
    </row>
    <row r="2174" spans="1:20" s="405" customFormat="1">
      <c r="A2174" s="405" t="s">
        <v>477</v>
      </c>
      <c r="B2174" s="405" t="s">
        <v>547</v>
      </c>
      <c r="C2174" s="418">
        <f t="shared" si="562"/>
        <v>1</v>
      </c>
      <c r="D2174" s="523"/>
      <c r="E2174" s="523" t="str">
        <f>VLOOKUP(B2174,DONGIA,DG!$B$6,0)</f>
        <v>AB.65110</v>
      </c>
      <c r="F2174" s="731" t="str">
        <f>VLOOKUP(B2174,DONGIA,DG!$C$6,0)</f>
        <v>Đắp đất rãnh tiếp địa (K=0,85)</v>
      </c>
      <c r="G2174" s="523" t="str">
        <f>VLOOKUP(B2174,DONGIA,DG!$D$6,0)</f>
        <v>m3</v>
      </c>
      <c r="H2174" s="546">
        <f>H2173</f>
        <v>3.3000000000000003</v>
      </c>
      <c r="I2174" s="525">
        <f>VLOOKUP(B2174,DONGIA,DG!$E$6,0)</f>
        <v>0</v>
      </c>
      <c r="J2174" s="525"/>
      <c r="K2174" s="525">
        <f>ROUND(VLOOKUP(B2174,DONGIA,DG!$F$6,0)/NCTBA,0)</f>
        <v>16267</v>
      </c>
      <c r="L2174" s="525">
        <f>VLOOKUP(B2174,DONGIA,DG!$G$6,0)</f>
        <v>11176</v>
      </c>
      <c r="M2174" s="525">
        <f t="shared" si="577"/>
        <v>0</v>
      </c>
      <c r="N2174" s="525">
        <f t="shared" si="578"/>
        <v>0</v>
      </c>
      <c r="O2174" s="525">
        <f t="shared" si="579"/>
        <v>53681.100000000006</v>
      </c>
      <c r="P2174" s="525">
        <f t="shared" si="580"/>
        <v>36880.800000000003</v>
      </c>
      <c r="Q2174" s="525"/>
      <c r="S2174" s="405">
        <f t="shared" si="581"/>
        <v>0</v>
      </c>
      <c r="T2174" s="405">
        <f t="shared" si="563"/>
        <v>0</v>
      </c>
    </row>
    <row r="2175" spans="1:20" s="405" customFormat="1">
      <c r="A2175" s="405" t="s">
        <v>477</v>
      </c>
      <c r="C2175" s="418">
        <f t="shared" si="562"/>
        <v>1</v>
      </c>
      <c r="D2175" s="540">
        <f>IF(H2175&lt;&gt;0,D2153+1,D2153)</f>
        <v>4</v>
      </c>
      <c r="E2175" s="540"/>
      <c r="F2175" s="781" t="s">
        <v>1934</v>
      </c>
      <c r="G2175" s="540" t="s">
        <v>138</v>
      </c>
      <c r="H2175" s="540">
        <f>DTR3P</f>
        <v>2</v>
      </c>
      <c r="I2175" s="541"/>
      <c r="J2175" s="541"/>
      <c r="K2175" s="541"/>
      <c r="L2175" s="541"/>
      <c r="M2175" s="541"/>
      <c r="N2175" s="541"/>
      <c r="O2175" s="541"/>
      <c r="P2175" s="541"/>
      <c r="Q2175" s="541"/>
      <c r="S2175" s="405">
        <f t="shared" si="581"/>
        <v>0</v>
      </c>
      <c r="T2175" s="405">
        <f t="shared" si="563"/>
        <v>0</v>
      </c>
    </row>
    <row r="2176" spans="1:20" s="542" customFormat="1" hidden="1">
      <c r="A2176" s="542" t="s">
        <v>477</v>
      </c>
      <c r="C2176" s="543">
        <f t="shared" si="562"/>
        <v>0</v>
      </c>
      <c r="D2176" s="544"/>
      <c r="E2176" s="544"/>
      <c r="F2176" s="545" t="s">
        <v>1902</v>
      </c>
      <c r="G2176" s="544"/>
      <c r="H2176" s="545"/>
      <c r="I2176" s="545"/>
      <c r="J2176" s="545"/>
      <c r="K2176" s="545"/>
      <c r="L2176" s="545"/>
      <c r="M2176" s="545"/>
      <c r="N2176" s="545"/>
      <c r="O2176" s="545"/>
      <c r="P2176" s="545"/>
      <c r="Q2176" s="545"/>
      <c r="S2176" s="542">
        <f t="shared" si="581"/>
        <v>0</v>
      </c>
      <c r="T2176" s="542">
        <f t="shared" si="563"/>
        <v>0</v>
      </c>
    </row>
    <row r="2177" spans="1:20" s="405" customFormat="1">
      <c r="A2177" s="405" t="s">
        <v>477</v>
      </c>
      <c r="B2177" s="405" t="s">
        <v>1913</v>
      </c>
      <c r="C2177" s="418">
        <f t="shared" si="562"/>
        <v>1</v>
      </c>
      <c r="D2177" s="523"/>
      <c r="E2177" s="523" t="str">
        <f>VLOOKUP(B2177,DONGIA,DG!$B$6,0)</f>
        <v>T5.1002</v>
      </c>
      <c r="F2177" s="666" t="str">
        <f>VLOOKUP(B2177,DONGIA,DG!$C$6,0)&amp;" (SDL)"</f>
        <v>Tủ trạm treo + khóa + boulon + Bakelit + Collier (3 pha) (SDL)</v>
      </c>
      <c r="G2177" s="523" t="str">
        <f>VLOOKUP(B2177,DONGIA,DG!$D$6,0)</f>
        <v>bộ</v>
      </c>
      <c r="H2177" s="525">
        <f>H2175/2</f>
        <v>1</v>
      </c>
      <c r="I2177" s="525"/>
      <c r="J2177" s="525"/>
      <c r="K2177" s="525">
        <f>VLOOKUP(B2177,DONGIA,DG!$F$6,0)</f>
        <v>743230</v>
      </c>
      <c r="L2177" s="525">
        <f>VLOOKUP(B2177,DONGIA,DG!$G$6,0)</f>
        <v>111154</v>
      </c>
      <c r="M2177" s="525">
        <f t="shared" ref="M2177:P2179" si="582">$H2177*I2177</f>
        <v>0</v>
      </c>
      <c r="N2177" s="525">
        <f t="shared" si="582"/>
        <v>0</v>
      </c>
      <c r="O2177" s="525">
        <f t="shared" si="582"/>
        <v>743230</v>
      </c>
      <c r="P2177" s="525">
        <f t="shared" si="582"/>
        <v>111154</v>
      </c>
      <c r="Q2177" s="525" t="s">
        <v>3886</v>
      </c>
      <c r="S2177" s="405">
        <f t="shared" si="581"/>
        <v>45</v>
      </c>
      <c r="T2177" s="405">
        <f t="shared" si="563"/>
        <v>45</v>
      </c>
    </row>
    <row r="2178" spans="1:20" s="405" customFormat="1">
      <c r="A2178" s="405" t="s">
        <v>477</v>
      </c>
      <c r="B2178" s="405" t="s">
        <v>1913</v>
      </c>
      <c r="C2178" s="418">
        <f>IF(H2178&lt;&gt;0,1,)</f>
        <v>1</v>
      </c>
      <c r="D2178" s="523"/>
      <c r="E2178" s="523" t="str">
        <f>VLOOKUP(B2178,DONGIA,DG!$B$6,0)</f>
        <v>T5.1002</v>
      </c>
      <c r="F2178" s="666" t="str">
        <f>VLOOKUP(B2178,DONGIA,DG!$C$6,0)</f>
        <v>Tủ trạm treo + khóa + boulon + Bakelit + Collier (3 pha)</v>
      </c>
      <c r="G2178" s="523" t="str">
        <f>VLOOKUP(B2178,DONGIA,DG!$D$6,0)</f>
        <v>bộ</v>
      </c>
      <c r="H2178" s="525">
        <f>H2175/2</f>
        <v>1</v>
      </c>
      <c r="I2178" s="525">
        <f>VLOOKUP(B2178,DONGIA,DG!$E$6,0)</f>
        <v>5446000</v>
      </c>
      <c r="J2178" s="525"/>
      <c r="K2178" s="525">
        <f>VLOOKUP(B2178,DONGIA,DG!$F$6,0)</f>
        <v>743230</v>
      </c>
      <c r="L2178" s="525">
        <f>VLOOKUP(B2178,DONGIA,DG!$G$6,0)</f>
        <v>111154</v>
      </c>
      <c r="M2178" s="525">
        <f t="shared" si="582"/>
        <v>5446000</v>
      </c>
      <c r="N2178" s="525">
        <f t="shared" si="582"/>
        <v>0</v>
      </c>
      <c r="O2178" s="525">
        <f t="shared" si="582"/>
        <v>743230</v>
      </c>
      <c r="P2178" s="525">
        <f t="shared" si="582"/>
        <v>111154</v>
      </c>
      <c r="Q2178" s="525" t="s">
        <v>3887</v>
      </c>
      <c r="S2178" s="405">
        <f t="shared" si="581"/>
        <v>45</v>
      </c>
      <c r="T2178" s="405">
        <f>H2178*S2178</f>
        <v>45</v>
      </c>
    </row>
    <row r="2179" spans="1:20" s="405" customFormat="1" hidden="1">
      <c r="A2179" s="405" t="s">
        <v>477</v>
      </c>
      <c r="B2179" s="405" t="s">
        <v>991</v>
      </c>
      <c r="C2179" s="418">
        <f>IF(H2179&lt;&gt;0,1,)</f>
        <v>0</v>
      </c>
      <c r="D2179" s="523"/>
      <c r="E2179" s="523" t="str">
        <f>VLOOKUP(B2179,DONGIA,DG!$B$6,0)</f>
        <v>T5.1002</v>
      </c>
      <c r="F2179" s="525" t="str">
        <f>VLOOKUP(B2179,DONGIA,DG!$C$6,0)</f>
        <v>Vỏ tủ trạm giàn 2 ngăn + khóa tủ + Bakelit (3 pha)</v>
      </c>
      <c r="G2179" s="523" t="str">
        <f>VLOOKUP(B2179,DONGIA,DG!$D$6,0)</f>
        <v>bộ</v>
      </c>
      <c r="H2179" s="525"/>
      <c r="I2179" s="525">
        <f>VLOOKUP(B2179,DONGIA,DG!$E$6,0)</f>
        <v>4537033</v>
      </c>
      <c r="J2179" s="525"/>
      <c r="K2179" s="525">
        <f>VLOOKUP(B2179,DONGIA,DG!$F$6,0)</f>
        <v>966199</v>
      </c>
      <c r="L2179" s="525">
        <f>VLOOKUP(B2179,DONGIA,DG!$G$6,0)</f>
        <v>0</v>
      </c>
      <c r="M2179" s="525">
        <f t="shared" si="582"/>
        <v>0</v>
      </c>
      <c r="N2179" s="525">
        <f t="shared" si="582"/>
        <v>0</v>
      </c>
      <c r="O2179" s="525">
        <f t="shared" si="582"/>
        <v>0</v>
      </c>
      <c r="P2179" s="525">
        <f t="shared" si="582"/>
        <v>0</v>
      </c>
      <c r="Q2179" s="525"/>
      <c r="S2179" s="405">
        <f t="shared" si="581"/>
        <v>45</v>
      </c>
      <c r="T2179" s="405">
        <f>H2179*S2179</f>
        <v>0</v>
      </c>
    </row>
    <row r="2180" spans="1:20" s="405" customFormat="1">
      <c r="C2180" s="418">
        <f t="shared" si="562"/>
        <v>1</v>
      </c>
      <c r="D2180" s="540">
        <f>IF(H2180&lt;&gt;0,D2175+1,D2175)</f>
        <v>5</v>
      </c>
      <c r="E2180" s="540"/>
      <c r="F2180" s="781" t="s">
        <v>1935</v>
      </c>
      <c r="G2180" s="540" t="s">
        <v>138</v>
      </c>
      <c r="H2180" s="540">
        <f>DTR3P</f>
        <v>2</v>
      </c>
      <c r="I2180" s="541"/>
      <c r="J2180" s="541"/>
      <c r="K2180" s="541"/>
      <c r="L2180" s="541"/>
      <c r="M2180" s="541"/>
      <c r="N2180" s="541"/>
      <c r="O2180" s="541"/>
      <c r="P2180" s="541"/>
      <c r="Q2180" s="541"/>
      <c r="S2180" s="405">
        <f t="shared" si="581"/>
        <v>0</v>
      </c>
      <c r="T2180" s="405">
        <f t="shared" si="563"/>
        <v>0</v>
      </c>
    </row>
    <row r="2181" spans="1:20" s="542" customFormat="1" hidden="1">
      <c r="C2181" s="543">
        <f t="shared" si="562"/>
        <v>0</v>
      </c>
      <c r="D2181" s="544"/>
      <c r="E2181" s="544"/>
      <c r="F2181" s="545" t="s">
        <v>1902</v>
      </c>
      <c r="G2181" s="544"/>
      <c r="H2181" s="545"/>
      <c r="I2181" s="545"/>
      <c r="J2181" s="545"/>
      <c r="K2181" s="545"/>
      <c r="L2181" s="545"/>
      <c r="M2181" s="545"/>
      <c r="N2181" s="545"/>
      <c r="O2181" s="545"/>
      <c r="P2181" s="545"/>
      <c r="Q2181" s="545"/>
      <c r="S2181" s="542">
        <f t="shared" si="581"/>
        <v>0</v>
      </c>
      <c r="T2181" s="542">
        <f t="shared" si="563"/>
        <v>0</v>
      </c>
    </row>
    <row r="2182" spans="1:20" s="405" customFormat="1">
      <c r="B2182" s="405" t="s">
        <v>1468</v>
      </c>
      <c r="C2182" s="418">
        <f t="shared" si="562"/>
        <v>1</v>
      </c>
      <c r="D2182" s="523"/>
      <c r="E2182" s="523">
        <f>VLOOKUP(B2182,DONGIA,DG!$B$6,0)</f>
        <v>0</v>
      </c>
      <c r="F2182" s="666" t="str">
        <f>VLOOKUP(B2182,DONGIA,DG!$C$6,0)&amp;" (SDL)"</f>
        <v>Cáp 24KV C/XLPE/PVC 25mm2 (SDL)</v>
      </c>
      <c r="G2182" s="523" t="str">
        <f>VLOOKUP(B2182,DONGIA,DG!$D$6,0)</f>
        <v>mét</v>
      </c>
      <c r="H2182" s="549">
        <f>'BKTL Tram'!Z28</f>
        <v>10.5</v>
      </c>
      <c r="I2182" s="525"/>
      <c r="J2182" s="525"/>
      <c r="K2182" s="525">
        <f>VLOOKUP(B2182,DONGIA,DG!$F$6,0)</f>
        <v>0</v>
      </c>
      <c r="L2182" s="525">
        <f>VLOOKUP(B2182,DONGIA,DG!$G$6,0)</f>
        <v>0</v>
      </c>
      <c r="M2182" s="525">
        <f t="shared" ref="M2182:M2187" si="583">$H2182*I2182</f>
        <v>0</v>
      </c>
      <c r="N2182" s="525">
        <f t="shared" ref="N2182:N2187" si="584">$H2182*J2182</f>
        <v>0</v>
      </c>
      <c r="O2182" s="525">
        <f t="shared" ref="O2182:O2187" si="585">$H2182*K2182</f>
        <v>0</v>
      </c>
      <c r="P2182" s="525">
        <f t="shared" ref="P2182:P2187" si="586">$H2182*L2182</f>
        <v>0</v>
      </c>
      <c r="Q2182" s="525" t="s">
        <v>3886</v>
      </c>
      <c r="S2182" s="405">
        <f t="shared" si="581"/>
        <v>0.75</v>
      </c>
      <c r="T2182" s="405">
        <f t="shared" si="563"/>
        <v>7.875</v>
      </c>
    </row>
    <row r="2183" spans="1:20" s="405" customFormat="1">
      <c r="B2183" s="405" t="s">
        <v>1468</v>
      </c>
      <c r="C2183" s="418">
        <f>IF(H2183&lt;&gt;0,1,)</f>
        <v>1</v>
      </c>
      <c r="D2183" s="523"/>
      <c r="E2183" s="523">
        <f>VLOOKUP(B2183,DONGIA,DG!$B$6,0)</f>
        <v>0</v>
      </c>
      <c r="F2183" s="666" t="str">
        <f>VLOOKUP(B2183,DONGIA,DG!$C$6,0)</f>
        <v>Cáp 24KV C/XLPE/PVC 25mm2</v>
      </c>
      <c r="G2183" s="523" t="str">
        <f>VLOOKUP(B2183,DONGIA,DG!$D$6,0)</f>
        <v>mét</v>
      </c>
      <c r="H2183" s="549">
        <v>10.5</v>
      </c>
      <c r="I2183" s="525">
        <f>VLOOKUP(B2183,DONGIA,DG!$E$6,0)</f>
        <v>87540</v>
      </c>
      <c r="J2183" s="525"/>
      <c r="K2183" s="525">
        <f>VLOOKUP(B2183,DONGIA,DG!$F$6,0)</f>
        <v>0</v>
      </c>
      <c r="L2183" s="525">
        <f>VLOOKUP(B2183,DONGIA,DG!$G$6,0)</f>
        <v>0</v>
      </c>
      <c r="M2183" s="525">
        <f>$H2183*I2183</f>
        <v>919170</v>
      </c>
      <c r="N2183" s="525">
        <f>$H2183*J2183</f>
        <v>0</v>
      </c>
      <c r="O2183" s="525">
        <f>$H2183*K2183</f>
        <v>0</v>
      </c>
      <c r="P2183" s="525">
        <f>$H2183*L2183</f>
        <v>0</v>
      </c>
      <c r="Q2183" s="525" t="s">
        <v>3887</v>
      </c>
      <c r="S2183" s="405">
        <f t="shared" si="581"/>
        <v>0.75</v>
      </c>
      <c r="T2183" s="405">
        <f>H2183*S2183</f>
        <v>7.875</v>
      </c>
    </row>
    <row r="2184" spans="1:20" s="405" customFormat="1">
      <c r="B2184" s="405" t="s">
        <v>1507</v>
      </c>
      <c r="C2184" s="418">
        <f t="shared" si="562"/>
        <v>1</v>
      </c>
      <c r="D2184" s="523"/>
      <c r="E2184" s="523"/>
      <c r="F2184" s="666" t="str">
        <f>VLOOKUP(B2184,DONGIA,DG!$C$6,0)</f>
        <v>Kẹp quai 4/0 (quai đồng 8mm)</v>
      </c>
      <c r="G2184" s="523" t="str">
        <f>VLOOKUP(B2184,DONGIA,DG!$D$6,0)</f>
        <v>cái</v>
      </c>
      <c r="H2184" s="525">
        <f>H2180*3</f>
        <v>6</v>
      </c>
      <c r="I2184" s="525">
        <f>VLOOKUP(B2184,DONGIA,DG!$E$6,0)</f>
        <v>145000</v>
      </c>
      <c r="J2184" s="525"/>
      <c r="K2184" s="525"/>
      <c r="L2184" s="525">
        <f>VLOOKUP(B2184,DONGIA,DG!$G$6,0)</f>
        <v>0</v>
      </c>
      <c r="M2184" s="525">
        <f t="shared" si="583"/>
        <v>870000</v>
      </c>
      <c r="N2184" s="525">
        <f t="shared" si="584"/>
        <v>0</v>
      </c>
      <c r="O2184" s="525">
        <f t="shared" si="585"/>
        <v>0</v>
      </c>
      <c r="P2184" s="525">
        <f t="shared" si="586"/>
        <v>0</v>
      </c>
      <c r="Q2184" s="525"/>
      <c r="S2184" s="405">
        <f t="shared" si="581"/>
        <v>0.3</v>
      </c>
      <c r="T2184" s="405">
        <f t="shared" si="563"/>
        <v>1.7999999999999998</v>
      </c>
    </row>
    <row r="2185" spans="1:20" s="405" customFormat="1">
      <c r="B2185" s="405" t="s">
        <v>1511</v>
      </c>
      <c r="C2185" s="418">
        <f t="shared" si="562"/>
        <v>1</v>
      </c>
      <c r="D2185" s="523"/>
      <c r="E2185" s="523">
        <f>VLOOKUP(B2185,DONGIA,DG!$B$6,0)</f>
        <v>0</v>
      </c>
      <c r="F2185" s="666" t="str">
        <f>VLOOKUP(B2185,DONGIA,DG!$C$6,0)</f>
        <v>Chụp cách điện kẹp quai</v>
      </c>
      <c r="G2185" s="523" t="str">
        <f>VLOOKUP(B2185,DONGIA,DG!$D$6,0)</f>
        <v>cái</v>
      </c>
      <c r="H2185" s="525">
        <f>H2184</f>
        <v>6</v>
      </c>
      <c r="I2185" s="525">
        <f>VLOOKUP(B2185,DONGIA,DG!$E$6,0)</f>
        <v>122000</v>
      </c>
      <c r="J2185" s="525"/>
      <c r="K2185" s="525">
        <f>VLOOKUP(B2185,DONGIA,DG!$F$6,0)</f>
        <v>0</v>
      </c>
      <c r="L2185" s="525">
        <f>VLOOKUP(B2185,DONGIA,DG!$G$6,0)</f>
        <v>0</v>
      </c>
      <c r="M2185" s="525">
        <f t="shared" si="583"/>
        <v>732000</v>
      </c>
      <c r="N2185" s="525">
        <f t="shared" si="584"/>
        <v>0</v>
      </c>
      <c r="O2185" s="525">
        <f t="shared" si="585"/>
        <v>0</v>
      </c>
      <c r="P2185" s="525">
        <f t="shared" si="586"/>
        <v>0</v>
      </c>
      <c r="Q2185" s="525"/>
      <c r="S2185" s="405">
        <f t="shared" si="581"/>
        <v>0.2</v>
      </c>
      <c r="T2185" s="405">
        <f t="shared" si="563"/>
        <v>1.2000000000000002</v>
      </c>
    </row>
    <row r="2186" spans="1:20" s="405" customFormat="1">
      <c r="B2186" s="405" t="s">
        <v>1508</v>
      </c>
      <c r="C2186" s="418">
        <f t="shared" si="562"/>
        <v>1</v>
      </c>
      <c r="D2186" s="523"/>
      <c r="E2186" s="523"/>
      <c r="F2186" s="666" t="str">
        <f>VLOOKUP(B2186,DONGIA,DG!$C$6,0)</f>
        <v>Kẹp hotline 2/0</v>
      </c>
      <c r="G2186" s="523" t="str">
        <f>VLOOKUP(B2186,DONGIA,DG!$D$6,0)</f>
        <v>cái</v>
      </c>
      <c r="H2186" s="525">
        <v>3</v>
      </c>
      <c r="I2186" s="525">
        <f>VLOOKUP(B2186,DONGIA,DG!$E$6,0)</f>
        <v>68000</v>
      </c>
      <c r="J2186" s="525"/>
      <c r="K2186" s="525"/>
      <c r="L2186" s="525">
        <f>VLOOKUP(B2186,DONGIA,DG!$G$6,0)</f>
        <v>0</v>
      </c>
      <c r="M2186" s="525">
        <f t="shared" si="583"/>
        <v>204000</v>
      </c>
      <c r="N2186" s="525">
        <f t="shared" si="584"/>
        <v>0</v>
      </c>
      <c r="O2186" s="525">
        <f t="shared" si="585"/>
        <v>0</v>
      </c>
      <c r="P2186" s="525">
        <f t="shared" si="586"/>
        <v>0</v>
      </c>
      <c r="Q2186" s="525" t="s">
        <v>3887</v>
      </c>
      <c r="S2186" s="405">
        <f t="shared" si="581"/>
        <v>0.1</v>
      </c>
      <c r="T2186" s="405">
        <f t="shared" si="563"/>
        <v>0.30000000000000004</v>
      </c>
    </row>
    <row r="2187" spans="1:20" s="405" customFormat="1">
      <c r="B2187" s="405" t="s">
        <v>1939</v>
      </c>
      <c r="C2187" s="418">
        <f t="shared" si="562"/>
        <v>1</v>
      </c>
      <c r="D2187" s="523"/>
      <c r="E2187" s="523" t="str">
        <f>VLOOKUP(B2187,DONGIA,DG!$B$6,0)</f>
        <v>T4.4201</v>
      </c>
      <c r="F2187" s="666" t="str">
        <f>VLOOKUP(B2187,DONGIA,DG!$C$6,0)</f>
        <v>Lắp cáp đồng xuống thiết bị D ≤ 95mm2</v>
      </c>
      <c r="G2187" s="523" t="str">
        <f>VLOOKUP(B2187,DONGIA,DG!$D$6,0)</f>
        <v>m</v>
      </c>
      <c r="H2187" s="549">
        <f>H2182+H2183</f>
        <v>21</v>
      </c>
      <c r="I2187" s="525">
        <f>VLOOKUP(B2187,DONGIA,DG!$E$6,0)</f>
        <v>0</v>
      </c>
      <c r="J2187" s="525"/>
      <c r="K2187" s="525">
        <f>VLOOKUP(B2187,DONGIA,DG!$F$6,0)</f>
        <v>11847</v>
      </c>
      <c r="L2187" s="525">
        <f>VLOOKUP(B2187,DONGIA,DG!$G$6,0)</f>
        <v>0</v>
      </c>
      <c r="M2187" s="525">
        <f t="shared" si="583"/>
        <v>0</v>
      </c>
      <c r="N2187" s="525">
        <f t="shared" si="584"/>
        <v>0</v>
      </c>
      <c r="O2187" s="525">
        <f t="shared" si="585"/>
        <v>248787</v>
      </c>
      <c r="P2187" s="525">
        <f t="shared" si="586"/>
        <v>0</v>
      </c>
      <c r="Q2187" s="525"/>
      <c r="S2187" s="405">
        <f t="shared" si="581"/>
        <v>0</v>
      </c>
      <c r="T2187" s="405">
        <f t="shared" si="563"/>
        <v>0</v>
      </c>
    </row>
    <row r="2188" spans="1:20" s="405" customFormat="1">
      <c r="C2188" s="418">
        <f t="shared" si="562"/>
        <v>1</v>
      </c>
      <c r="D2188" s="540">
        <f>IF(H2188&lt;&gt;0,D2180+1,D2180)</f>
        <v>6</v>
      </c>
      <c r="E2188" s="540"/>
      <c r="F2188" s="781" t="s">
        <v>1936</v>
      </c>
      <c r="G2188" s="540" t="s">
        <v>138</v>
      </c>
      <c r="H2188" s="540">
        <f>DTR3P</f>
        <v>2</v>
      </c>
      <c r="I2188" s="541"/>
      <c r="J2188" s="541"/>
      <c r="K2188" s="541"/>
      <c r="L2188" s="541"/>
      <c r="M2188" s="541"/>
      <c r="N2188" s="541"/>
      <c r="O2188" s="541"/>
      <c r="P2188" s="541"/>
      <c r="Q2188" s="541"/>
      <c r="S2188" s="405">
        <f t="shared" si="581"/>
        <v>0</v>
      </c>
      <c r="T2188" s="405">
        <f t="shared" si="563"/>
        <v>0</v>
      </c>
    </row>
    <row r="2189" spans="1:20" s="542" customFormat="1" hidden="1">
      <c r="C2189" s="543">
        <f t="shared" si="562"/>
        <v>0</v>
      </c>
      <c r="D2189" s="544"/>
      <c r="E2189" s="544"/>
      <c r="F2189" s="545" t="s">
        <v>1902</v>
      </c>
      <c r="G2189" s="544"/>
      <c r="H2189" s="545"/>
      <c r="I2189" s="545"/>
      <c r="J2189" s="545"/>
      <c r="K2189" s="545"/>
      <c r="L2189" s="545"/>
      <c r="M2189" s="545"/>
      <c r="N2189" s="545"/>
      <c r="O2189" s="545"/>
      <c r="P2189" s="545"/>
      <c r="Q2189" s="545"/>
      <c r="S2189" s="542">
        <f t="shared" si="581"/>
        <v>0</v>
      </c>
      <c r="T2189" s="542">
        <f t="shared" si="563"/>
        <v>0</v>
      </c>
    </row>
    <row r="2190" spans="1:20" s="542" customFormat="1">
      <c r="C2190" s="374">
        <f>IF(SUM(C2191:C2212)&lt;&gt;0,1,)</f>
        <v>1</v>
      </c>
      <c r="D2190" s="550"/>
      <c r="E2190" s="550"/>
      <c r="F2190" s="786" t="s">
        <v>3871</v>
      </c>
      <c r="G2190" s="550"/>
      <c r="H2190" s="550">
        <v>1</v>
      </c>
      <c r="I2190" s="551"/>
      <c r="J2190" s="551"/>
      <c r="K2190" s="551"/>
      <c r="L2190" s="551"/>
      <c r="M2190" s="551"/>
      <c r="N2190" s="551"/>
      <c r="O2190" s="551"/>
      <c r="P2190" s="551"/>
      <c r="Q2190" s="551"/>
    </row>
    <row r="2191" spans="1:20" s="405" customFormat="1">
      <c r="B2191" s="405" t="s">
        <v>1908</v>
      </c>
      <c r="C2191" s="418">
        <f>IF(H2191&lt;&gt;0,1,)</f>
        <v>1</v>
      </c>
      <c r="D2191" s="523"/>
      <c r="E2191" s="523">
        <f>VLOOKUP(B2191,DONGIA,DG!$B$6,0)</f>
        <v>0</v>
      </c>
      <c r="F2191" s="666" t="str">
        <f>VLOOKUP(B2191,DONGIA,DG!$C$6,0)&amp;" (SDL)"</f>
        <v>Cáp đồng bọc CV120 (SDL)</v>
      </c>
      <c r="G2191" s="523" t="str">
        <f>VLOOKUP(B2191,DONGIA,DG!$D$6,0)</f>
        <v>mét</v>
      </c>
      <c r="H2191" s="525">
        <v>27</v>
      </c>
      <c r="I2191" s="525"/>
      <c r="J2191" s="525"/>
      <c r="K2191" s="525">
        <f>VLOOKUP(B2191,DONGIA,DG!$F$6,0)</f>
        <v>0</v>
      </c>
      <c r="L2191" s="525">
        <f>VLOOKUP(B2191,DONGIA,DG!$G$6,0)</f>
        <v>0</v>
      </c>
      <c r="M2191" s="525">
        <f t="shared" ref="M2191:P2192" si="587">$H2191*I2191</f>
        <v>0</v>
      </c>
      <c r="N2191" s="525">
        <f t="shared" si="587"/>
        <v>0</v>
      </c>
      <c r="O2191" s="525">
        <f t="shared" si="587"/>
        <v>0</v>
      </c>
      <c r="P2191" s="525">
        <f t="shared" si="587"/>
        <v>0</v>
      </c>
      <c r="Q2191" s="525"/>
      <c r="S2191" s="405">
        <f t="shared" ref="S2191:S2216" si="588">IFERROR(VLOOKUP(B2191,DONGIA,$S$25,0),0)</f>
        <v>1.2350000000000001</v>
      </c>
      <c r="T2191" s="405">
        <f>H2191*S2191</f>
        <v>33.345000000000006</v>
      </c>
    </row>
    <row r="2192" spans="1:20" s="405" customFormat="1">
      <c r="B2192" s="405" t="s">
        <v>1907</v>
      </c>
      <c r="C2192" s="418">
        <f>IF(H2192&lt;&gt;0,1,)</f>
        <v>1</v>
      </c>
      <c r="D2192" s="523"/>
      <c r="E2192" s="523">
        <f>VLOOKUP(B2192,DONGIA,DG!$B$6,0)</f>
        <v>0</v>
      </c>
      <c r="F2192" s="666" t="str">
        <f>VLOOKUP(B2192,DONGIA,DG!$C$6,0)&amp;" (SDL)"</f>
        <v>Cáp đồng bọc CV70 (SDL)</v>
      </c>
      <c r="G2192" s="523" t="str">
        <f>VLOOKUP(B2192,DONGIA,DG!$D$6,0)</f>
        <v>mét</v>
      </c>
      <c r="H2192" s="525">
        <v>14</v>
      </c>
      <c r="I2192" s="525"/>
      <c r="J2192" s="525"/>
      <c r="K2192" s="525">
        <f>VLOOKUP(B2192,DONGIA,DG!$F$6,0)</f>
        <v>0</v>
      </c>
      <c r="L2192" s="525">
        <f>VLOOKUP(B2192,DONGIA,DG!$G$6,0)</f>
        <v>0</v>
      </c>
      <c r="M2192" s="525">
        <f t="shared" si="587"/>
        <v>0</v>
      </c>
      <c r="N2192" s="525">
        <f t="shared" si="587"/>
        <v>0</v>
      </c>
      <c r="O2192" s="525">
        <f t="shared" si="587"/>
        <v>0</v>
      </c>
      <c r="P2192" s="525">
        <f t="shared" si="587"/>
        <v>0</v>
      </c>
      <c r="Q2192" s="525"/>
      <c r="S2192" s="405">
        <f t="shared" si="588"/>
        <v>0.73899999999999999</v>
      </c>
      <c r="T2192" s="405">
        <f>H2192*S2192</f>
        <v>10.346</v>
      </c>
    </row>
    <row r="2193" spans="2:20" s="405" customFormat="1" hidden="1">
      <c r="B2193" s="405" t="s">
        <v>1906</v>
      </c>
      <c r="C2193" s="418">
        <f t="shared" si="562"/>
        <v>0</v>
      </c>
      <c r="D2193" s="523"/>
      <c r="E2193" s="523">
        <f>VLOOKUP(B2193,DONGIA,DG!$B$6,0)</f>
        <v>0</v>
      </c>
      <c r="F2193" s="525" t="str">
        <f>VLOOKUP(B2193,DONGIA,DG!$C$6,0)&amp;" (SDL)"</f>
        <v>Cáp đồng bọc CV50 (SDL)</v>
      </c>
      <c r="G2193" s="523" t="str">
        <f>VLOOKUP(B2193,DONGIA,DG!$D$6,0)</f>
        <v>mét</v>
      </c>
      <c r="H2193" s="525">
        <f>'BKTL Tram'!W17+'BKTL Tram'!W19</f>
        <v>0</v>
      </c>
      <c r="I2193" s="525"/>
      <c r="J2193" s="525"/>
      <c r="K2193" s="525">
        <f>VLOOKUP(B2193,DONGIA,DG!$F$6,0)</f>
        <v>0</v>
      </c>
      <c r="L2193" s="525">
        <f>VLOOKUP(B2193,DONGIA,DG!$G$6,0)</f>
        <v>0</v>
      </c>
      <c r="M2193" s="525">
        <f t="shared" ref="M2193:M2215" si="589">$H2193*I2193</f>
        <v>0</v>
      </c>
      <c r="N2193" s="525">
        <f t="shared" ref="N2193:N2215" si="590">$H2193*J2193</f>
        <v>0</v>
      </c>
      <c r="O2193" s="525">
        <f t="shared" ref="O2193:O2215" si="591">$H2193*K2193</f>
        <v>0</v>
      </c>
      <c r="P2193" s="525">
        <f t="shared" ref="P2193:P2215" si="592">$H2193*L2193</f>
        <v>0</v>
      </c>
      <c r="Q2193" s="525"/>
      <c r="S2193" s="405">
        <f t="shared" si="588"/>
        <v>0.53400000000000003</v>
      </c>
      <c r="T2193" s="405">
        <f t="shared" si="563"/>
        <v>0</v>
      </c>
    </row>
    <row r="2194" spans="2:20" s="405" customFormat="1" hidden="1">
      <c r="B2194" s="405" t="s">
        <v>1742</v>
      </c>
      <c r="C2194" s="418">
        <f>IF(H2194&lt;&gt;0,1,)</f>
        <v>0</v>
      </c>
      <c r="D2194" s="523"/>
      <c r="E2194" s="523">
        <f>VLOOKUP(B2194,DONGIA,DG!$B$6,0)</f>
        <v>0</v>
      </c>
      <c r="F2194" s="525" t="str">
        <f>VLOOKUP(B2194,DONGIA,DG!$C$6,0)&amp;" (SDL)"</f>
        <v>Cáp đồng bọc CV95 (SDL)</v>
      </c>
      <c r="G2194" s="523" t="str">
        <f>VLOOKUP(B2194,DONGIA,DG!$D$6,0)</f>
        <v>mét</v>
      </c>
      <c r="H2194" s="525">
        <f>'BKTL Tram'!U19+'BKTL Tram'!U17</f>
        <v>0</v>
      </c>
      <c r="I2194" s="525"/>
      <c r="J2194" s="525"/>
      <c r="K2194" s="525">
        <f>VLOOKUP(B2194,DONGIA,DG!$F$6,0)</f>
        <v>0</v>
      </c>
      <c r="L2194" s="525">
        <f>VLOOKUP(B2194,DONGIA,DG!$G$6,0)</f>
        <v>0</v>
      </c>
      <c r="M2194" s="525">
        <f>$H2194*I2194</f>
        <v>0</v>
      </c>
      <c r="N2194" s="525">
        <f>$H2194*J2194</f>
        <v>0</v>
      </c>
      <c r="O2194" s="525">
        <f>$H2194*K2194</f>
        <v>0</v>
      </c>
      <c r="P2194" s="525">
        <f>$H2194*L2194</f>
        <v>0</v>
      </c>
      <c r="Q2194" s="525"/>
      <c r="S2194" s="405">
        <f t="shared" si="588"/>
        <v>1.008</v>
      </c>
      <c r="T2194" s="405">
        <f>H2194*S2194</f>
        <v>0</v>
      </c>
    </row>
    <row r="2195" spans="2:20" s="405" customFormat="1" hidden="1">
      <c r="B2195" s="405" t="s">
        <v>1908</v>
      </c>
      <c r="C2195" s="418">
        <f t="shared" si="562"/>
        <v>0</v>
      </c>
      <c r="D2195" s="523"/>
      <c r="E2195" s="523">
        <f>VLOOKUP(B2195,DONGIA,DG!$B$6,0)</f>
        <v>0</v>
      </c>
      <c r="F2195" s="525" t="str">
        <f>VLOOKUP(B2195,DONGIA,DG!$C$6,0)</f>
        <v>Cáp đồng bọc CV120</v>
      </c>
      <c r="G2195" s="523" t="str">
        <f>VLOOKUP(B2195,DONGIA,DG!$D$6,0)</f>
        <v>mét</v>
      </c>
      <c r="H2195" s="525"/>
      <c r="I2195" s="525">
        <f>VLOOKUP(B2195,DONGIA,DG!$E$6,0)</f>
        <v>245040</v>
      </c>
      <c r="J2195" s="525"/>
      <c r="K2195" s="525">
        <f>VLOOKUP(B2195,DONGIA,DG!$F$6,0)</f>
        <v>0</v>
      </c>
      <c r="L2195" s="525">
        <f>VLOOKUP(B2195,DONGIA,DG!$G$6,0)</f>
        <v>0</v>
      </c>
      <c r="M2195" s="525">
        <f t="shared" si="589"/>
        <v>0</v>
      </c>
      <c r="N2195" s="525">
        <f t="shared" si="590"/>
        <v>0</v>
      </c>
      <c r="O2195" s="525">
        <f t="shared" si="591"/>
        <v>0</v>
      </c>
      <c r="P2195" s="525">
        <f t="shared" si="592"/>
        <v>0</v>
      </c>
      <c r="Q2195" s="525"/>
      <c r="S2195" s="405">
        <f t="shared" si="588"/>
        <v>1.2350000000000001</v>
      </c>
      <c r="T2195" s="405">
        <f t="shared" si="563"/>
        <v>0</v>
      </c>
    </row>
    <row r="2196" spans="2:20" s="405" customFormat="1" hidden="1">
      <c r="B2196" s="405" t="s">
        <v>1907</v>
      </c>
      <c r="C2196" s="418">
        <f>IF(H2196&lt;&gt;0,1,)</f>
        <v>0</v>
      </c>
      <c r="D2196" s="523"/>
      <c r="E2196" s="523">
        <f>VLOOKUP(B2196,DONGIA,DG!$B$6,0)</f>
        <v>0</v>
      </c>
      <c r="F2196" s="525" t="str">
        <f>VLOOKUP(B2196,DONGIA,DG!$C$6,0)</f>
        <v>Cáp đồng bọc CV70</v>
      </c>
      <c r="G2196" s="523" t="str">
        <f>VLOOKUP(B2196,DONGIA,DG!$D$6,0)</f>
        <v>mét</v>
      </c>
      <c r="H2196" s="563"/>
      <c r="I2196" s="525">
        <f>VLOOKUP(B2196,DONGIA,DG!$E$6,0)</f>
        <v>142880</v>
      </c>
      <c r="J2196" s="525"/>
      <c r="K2196" s="525">
        <f>VLOOKUP(B2196,DONGIA,DG!$F$6,0)</f>
        <v>0</v>
      </c>
      <c r="L2196" s="525">
        <f>VLOOKUP(B2196,DONGIA,DG!$G$6,0)</f>
        <v>0</v>
      </c>
      <c r="M2196" s="525">
        <f>$H2196*I2196</f>
        <v>0</v>
      </c>
      <c r="N2196" s="525">
        <f>$H2196*J2196</f>
        <v>0</v>
      </c>
      <c r="O2196" s="525">
        <f>$H2196*K2196</f>
        <v>0</v>
      </c>
      <c r="P2196" s="525">
        <f>$H2196*L2196</f>
        <v>0</v>
      </c>
      <c r="Q2196" s="525"/>
      <c r="S2196" s="405">
        <f t="shared" si="588"/>
        <v>0.73899999999999999</v>
      </c>
      <c r="T2196" s="405">
        <f>H2196*S2196</f>
        <v>0</v>
      </c>
    </row>
    <row r="2197" spans="2:20" s="405" customFormat="1" hidden="1">
      <c r="B2197" s="405" t="s">
        <v>1937</v>
      </c>
      <c r="C2197" s="418">
        <f t="shared" si="562"/>
        <v>0</v>
      </c>
      <c r="D2197" s="523"/>
      <c r="E2197" s="523">
        <f>VLOOKUP(B2197,DONGIA,DG!$B$6,0)</f>
        <v>0</v>
      </c>
      <c r="F2197" s="525" t="str">
        <f>VLOOKUP(B2197,DONGIA,DG!$C$6,0)</f>
        <v>Cáp điều khiển CVV 4x4,0mm2</v>
      </c>
      <c r="G2197" s="523" t="str">
        <f>VLOOKUP(B2197,DONGIA,DG!$D$6,0)</f>
        <v>mét</v>
      </c>
      <c r="H2197" s="525"/>
      <c r="I2197" s="525">
        <f>VLOOKUP(B2197,DONGIA,DG!$E$6,0)</f>
        <v>52400</v>
      </c>
      <c r="J2197" s="525"/>
      <c r="K2197" s="525">
        <f>VLOOKUP(B2197,DONGIA,DG!$F$6,0)</f>
        <v>0</v>
      </c>
      <c r="L2197" s="525">
        <f>VLOOKUP(B2197,DONGIA,DG!$G$6,0)</f>
        <v>0</v>
      </c>
      <c r="M2197" s="525">
        <f t="shared" si="589"/>
        <v>0</v>
      </c>
      <c r="N2197" s="525">
        <f t="shared" si="590"/>
        <v>0</v>
      </c>
      <c r="O2197" s="525">
        <f t="shared" si="591"/>
        <v>0</v>
      </c>
      <c r="P2197" s="525">
        <f t="shared" si="592"/>
        <v>0</v>
      </c>
      <c r="Q2197" s="525"/>
      <c r="S2197" s="405">
        <f t="shared" si="588"/>
        <v>3.024</v>
      </c>
      <c r="T2197" s="405">
        <f t="shared" si="563"/>
        <v>0</v>
      </c>
    </row>
    <row r="2198" spans="2:20" s="405" customFormat="1" hidden="1">
      <c r="B2198" s="405" t="s">
        <v>1119</v>
      </c>
      <c r="C2198" s="418">
        <f t="shared" si="562"/>
        <v>0</v>
      </c>
      <c r="D2198" s="523"/>
      <c r="E2198" s="523"/>
      <c r="F2198" s="525" t="str">
        <f>VLOOKUP(B2198,DONGIA,DG!$C$6,0)</f>
        <v>Đầu cosse ép Cu 120mm2</v>
      </c>
      <c r="G2198" s="523" t="str">
        <f>VLOOKUP(B2198,DONGIA,DG!$D$6,0)</f>
        <v>cái</v>
      </c>
      <c r="H2198" s="525"/>
      <c r="I2198" s="525">
        <f>VLOOKUP(B2198,DONGIA,DG!$E$6,0)</f>
        <v>65000</v>
      </c>
      <c r="J2198" s="525"/>
      <c r="K2198" s="525"/>
      <c r="L2198" s="525"/>
      <c r="M2198" s="525">
        <f t="shared" si="589"/>
        <v>0</v>
      </c>
      <c r="N2198" s="525">
        <f t="shared" si="590"/>
        <v>0</v>
      </c>
      <c r="O2198" s="525">
        <f t="shared" si="591"/>
        <v>0</v>
      </c>
      <c r="P2198" s="525">
        <f t="shared" si="592"/>
        <v>0</v>
      </c>
      <c r="Q2198" s="525"/>
      <c r="S2198" s="405">
        <f t="shared" si="588"/>
        <v>0.1</v>
      </c>
      <c r="T2198" s="405">
        <f t="shared" si="563"/>
        <v>0</v>
      </c>
    </row>
    <row r="2199" spans="2:20" s="405" customFormat="1" hidden="1">
      <c r="B2199" s="405" t="s">
        <v>1113</v>
      </c>
      <c r="C2199" s="418">
        <f t="shared" si="562"/>
        <v>0</v>
      </c>
      <c r="D2199" s="523"/>
      <c r="E2199" s="523"/>
      <c r="F2199" s="525" t="str">
        <f>VLOOKUP(B2199,DONGIA,DG!$C$6,0)</f>
        <v>Đầu cosse ép Cu 70mm2</v>
      </c>
      <c r="G2199" s="523" t="str">
        <f>VLOOKUP(B2199,DONGIA,DG!$D$6,0)</f>
        <v>cái</v>
      </c>
      <c r="H2199" s="525"/>
      <c r="I2199" s="525">
        <f>VLOOKUP(B2199,DONGIA,DG!$E$6,0)</f>
        <v>33000</v>
      </c>
      <c r="J2199" s="525"/>
      <c r="K2199" s="525"/>
      <c r="L2199" s="525"/>
      <c r="M2199" s="525">
        <f t="shared" si="589"/>
        <v>0</v>
      </c>
      <c r="N2199" s="525">
        <f t="shared" si="590"/>
        <v>0</v>
      </c>
      <c r="O2199" s="525">
        <f t="shared" si="591"/>
        <v>0</v>
      </c>
      <c r="P2199" s="525">
        <f t="shared" si="592"/>
        <v>0</v>
      </c>
      <c r="Q2199" s="525"/>
      <c r="S2199" s="405">
        <f t="shared" si="588"/>
        <v>0.2</v>
      </c>
      <c r="T2199" s="405">
        <f t="shared" si="563"/>
        <v>0</v>
      </c>
    </row>
    <row r="2200" spans="2:20" s="405" customFormat="1" hidden="1">
      <c r="B2200" s="405" t="s">
        <v>1151</v>
      </c>
      <c r="C2200" s="418">
        <f t="shared" si="562"/>
        <v>0</v>
      </c>
      <c r="D2200" s="523"/>
      <c r="E2200" s="523">
        <f>VLOOKUP(B2200,DONGIA,DG!$B$6,0)</f>
        <v>0</v>
      </c>
      <c r="F2200" s="525" t="str">
        <f>VLOOKUP(B2200,DONGIA,DG!$C$6,0)</f>
        <v>Chụp đầu cosse  120mm2</v>
      </c>
      <c r="G2200" s="523" t="str">
        <f>VLOOKUP(B2200,DONGIA,DG!$D$6,0)</f>
        <v>cái</v>
      </c>
      <c r="H2200" s="525"/>
      <c r="I2200" s="525">
        <f>VLOOKUP(B2200,DONGIA,DG!$E$6,0)</f>
        <v>3500</v>
      </c>
      <c r="J2200" s="525"/>
      <c r="K2200" s="525">
        <f>VLOOKUP(B2200,DONGIA,DG!$F$6,0)</f>
        <v>0</v>
      </c>
      <c r="L2200" s="525">
        <f>VLOOKUP(B2200,DONGIA,DG!$G$6,0)</f>
        <v>0</v>
      </c>
      <c r="M2200" s="525">
        <f t="shared" si="589"/>
        <v>0</v>
      </c>
      <c r="N2200" s="525">
        <f t="shared" si="590"/>
        <v>0</v>
      </c>
      <c r="O2200" s="525">
        <f t="shared" si="591"/>
        <v>0</v>
      </c>
      <c r="P2200" s="525">
        <f t="shared" si="592"/>
        <v>0</v>
      </c>
      <c r="Q2200" s="525"/>
      <c r="S2200" s="405">
        <f t="shared" si="588"/>
        <v>0</v>
      </c>
      <c r="T2200" s="405">
        <f t="shared" si="563"/>
        <v>0</v>
      </c>
    </row>
    <row r="2201" spans="2:20" s="405" customFormat="1" hidden="1">
      <c r="B2201" s="405" t="s">
        <v>1147</v>
      </c>
      <c r="C2201" s="418">
        <f t="shared" si="562"/>
        <v>0</v>
      </c>
      <c r="D2201" s="523"/>
      <c r="E2201" s="523">
        <f>VLOOKUP(B2201,DONGIA,DG!$B$6,0)</f>
        <v>0</v>
      </c>
      <c r="F2201" s="525" t="str">
        <f>VLOOKUP(B2201,DONGIA,DG!$C$6,0)</f>
        <v>Chụp đầu cosse  70mm2</v>
      </c>
      <c r="G2201" s="523" t="str">
        <f>VLOOKUP(B2201,DONGIA,DG!$D$6,0)</f>
        <v>cái</v>
      </c>
      <c r="H2201" s="525"/>
      <c r="I2201" s="525">
        <f>VLOOKUP(B2201,DONGIA,DG!$E$6,0)</f>
        <v>2000</v>
      </c>
      <c r="J2201" s="525"/>
      <c r="K2201" s="525">
        <f>VLOOKUP(B2201,DONGIA,DG!$F$6,0)</f>
        <v>0</v>
      </c>
      <c r="L2201" s="525">
        <f>VLOOKUP(B2201,DONGIA,DG!$G$6,0)</f>
        <v>0</v>
      </c>
      <c r="M2201" s="525">
        <f t="shared" si="589"/>
        <v>0</v>
      </c>
      <c r="N2201" s="525">
        <f t="shared" si="590"/>
        <v>0</v>
      </c>
      <c r="O2201" s="525">
        <f t="shared" si="591"/>
        <v>0</v>
      </c>
      <c r="P2201" s="525">
        <f t="shared" si="592"/>
        <v>0</v>
      </c>
      <c r="Q2201" s="525"/>
      <c r="S2201" s="405">
        <f t="shared" si="588"/>
        <v>0</v>
      </c>
      <c r="T2201" s="405">
        <f t="shared" si="563"/>
        <v>0</v>
      </c>
    </row>
    <row r="2202" spans="2:20" s="405" customFormat="1">
      <c r="B2202" s="405" t="s">
        <v>1177</v>
      </c>
      <c r="C2202" s="418">
        <f>IF(H2202&lt;&gt;0,1,)</f>
        <v>1</v>
      </c>
      <c r="D2202" s="523"/>
      <c r="E2202" s="523">
        <f>VLOOKUP(B2202,DONGIA,DG!$B$6,0)</f>
        <v>0</v>
      </c>
      <c r="F2202" s="666" t="str">
        <f>VLOOKUP(B2202,DONGIA,DG!$C$6,0)&amp;" (SDL)"</f>
        <v>Ống PVC D90x3,8mm  (SDL)</v>
      </c>
      <c r="G2202" s="523" t="str">
        <f>VLOOKUP(B2202,DONGIA,DG!$D$6,0)</f>
        <v>m</v>
      </c>
      <c r="H2202" s="525">
        <v>5</v>
      </c>
      <c r="I2202" s="525"/>
      <c r="J2202" s="525"/>
      <c r="K2202" s="525">
        <f>VLOOKUP(B2202,DONGIA,DG!$F$6,0)</f>
        <v>0</v>
      </c>
      <c r="L2202" s="525">
        <f>VLOOKUP(B2202,DONGIA,DG!$G$6,0)</f>
        <v>0</v>
      </c>
      <c r="M2202" s="525">
        <f>$H2202*I2202</f>
        <v>0</v>
      </c>
      <c r="N2202" s="525">
        <f>$H2202*J2202</f>
        <v>0</v>
      </c>
      <c r="O2202" s="525">
        <f>$H2202*K2202</f>
        <v>0</v>
      </c>
      <c r="P2202" s="525">
        <f>$H2202*L2202</f>
        <v>0</v>
      </c>
      <c r="Q2202" s="525"/>
      <c r="S2202" s="405">
        <f t="shared" si="588"/>
        <v>2</v>
      </c>
      <c r="T2202" s="405">
        <f>H2202*S2202</f>
        <v>10</v>
      </c>
    </row>
    <row r="2203" spans="2:20" s="405" customFormat="1" hidden="1">
      <c r="B2203" s="405" t="s">
        <v>1175</v>
      </c>
      <c r="C2203" s="418">
        <f t="shared" si="562"/>
        <v>0</v>
      </c>
      <c r="D2203" s="523"/>
      <c r="E2203" s="523">
        <f>VLOOKUP(B2203,DONGIA,DG!$B$6,0)</f>
        <v>0</v>
      </c>
      <c r="F2203" s="525" t="str">
        <f>VLOOKUP(B2203,DONGIA,DG!$C$6,0)&amp;" (SDL)"</f>
        <v>Ống PVC D114x4,9mm  (SDL)</v>
      </c>
      <c r="G2203" s="523" t="str">
        <f>VLOOKUP(B2203,DONGIA,DG!$D$6,0)</f>
        <v>m</v>
      </c>
      <c r="H2203" s="525">
        <f>'BKTL Tram'!M19</f>
        <v>0</v>
      </c>
      <c r="I2203" s="525"/>
      <c r="J2203" s="525"/>
      <c r="K2203" s="525">
        <f>VLOOKUP(B2203,DONGIA,DG!$F$6,0)</f>
        <v>0</v>
      </c>
      <c r="L2203" s="525">
        <f>VLOOKUP(B2203,DONGIA,DG!$G$6,0)</f>
        <v>0</v>
      </c>
      <c r="M2203" s="525">
        <f t="shared" si="589"/>
        <v>0</v>
      </c>
      <c r="N2203" s="525">
        <f t="shared" si="590"/>
        <v>0</v>
      </c>
      <c r="O2203" s="525">
        <f t="shared" si="591"/>
        <v>0</v>
      </c>
      <c r="P2203" s="525">
        <f t="shared" si="592"/>
        <v>0</v>
      </c>
      <c r="Q2203" s="525"/>
      <c r="S2203" s="405">
        <f t="shared" si="588"/>
        <v>2</v>
      </c>
      <c r="T2203" s="405">
        <f t="shared" si="563"/>
        <v>0</v>
      </c>
    </row>
    <row r="2204" spans="2:20" s="405" customFormat="1">
      <c r="B2204" s="405" t="s">
        <v>2855</v>
      </c>
      <c r="C2204" s="418">
        <f t="shared" si="562"/>
        <v>1</v>
      </c>
      <c r="D2204" s="523"/>
      <c r="E2204" s="523">
        <f>VLOOKUP(B2204,DONGIA,DG!$B$6,0)</f>
        <v>0</v>
      </c>
      <c r="F2204" s="666" t="str">
        <f>VLOOKUP(B2204,DONGIA,DG!$C$6,0)&amp;" (CD: 230)"</f>
        <v>Cổ dê kẹp ống PVC φ 90 trụ ghép (có giá nới) (CD: 230)</v>
      </c>
      <c r="G2204" s="523" t="str">
        <f>VLOOKUP(B2204,DONGIA,DG!$D$6,0)</f>
        <v>bộ</v>
      </c>
      <c r="H2204" s="525">
        <v>1</v>
      </c>
      <c r="I2204" s="525">
        <f>VLOOKUP(B2204,DONGIA,DG!$E$6,0)</f>
        <v>125000</v>
      </c>
      <c r="J2204" s="525"/>
      <c r="K2204" s="525"/>
      <c r="L2204" s="525">
        <f>VLOOKUP(B2204,DONGIA,DG!$G$6,0)</f>
        <v>0</v>
      </c>
      <c r="M2204" s="525">
        <f t="shared" si="589"/>
        <v>125000</v>
      </c>
      <c r="N2204" s="525">
        <f t="shared" si="590"/>
        <v>0</v>
      </c>
      <c r="O2204" s="525">
        <f t="shared" si="591"/>
        <v>0</v>
      </c>
      <c r="P2204" s="525">
        <f t="shared" si="592"/>
        <v>0</v>
      </c>
      <c r="Q2204" s="525"/>
      <c r="S2204" s="405">
        <f t="shared" si="588"/>
        <v>1.5</v>
      </c>
      <c r="T2204" s="405">
        <f t="shared" si="563"/>
        <v>1.5</v>
      </c>
    </row>
    <row r="2205" spans="2:20" s="405" customFormat="1">
      <c r="B2205" s="405" t="s">
        <v>2855</v>
      </c>
      <c r="C2205" s="418">
        <f t="shared" si="562"/>
        <v>1</v>
      </c>
      <c r="D2205" s="523"/>
      <c r="E2205" s="523">
        <f>VLOOKUP(B2205,DONGIA,DG!$B$6,0)</f>
        <v>0</v>
      </c>
      <c r="F2205" s="666" t="str">
        <f>VLOOKUP(B2205,DONGIA,DG!$C$6,0)&amp;" (CD: 250)"</f>
        <v>Cổ dê kẹp ống PVC φ 90 trụ ghép (có giá nới) (CD: 250)</v>
      </c>
      <c r="G2205" s="523" t="str">
        <f>VLOOKUP(B2205,DONGIA,DG!$D$6,0)</f>
        <v>bộ</v>
      </c>
      <c r="H2205" s="525">
        <v>1</v>
      </c>
      <c r="I2205" s="525">
        <f>VLOOKUP(B2205,DONGIA,DG!$E$6,0)</f>
        <v>125000</v>
      </c>
      <c r="J2205" s="525"/>
      <c r="K2205" s="525"/>
      <c r="L2205" s="525">
        <f>VLOOKUP(B2205,DONGIA,DG!$G$6,0)</f>
        <v>0</v>
      </c>
      <c r="M2205" s="525">
        <f t="shared" si="589"/>
        <v>125000</v>
      </c>
      <c r="N2205" s="525">
        <f t="shared" si="590"/>
        <v>0</v>
      </c>
      <c r="O2205" s="525">
        <f t="shared" si="591"/>
        <v>0</v>
      </c>
      <c r="P2205" s="525">
        <f t="shared" si="592"/>
        <v>0</v>
      </c>
      <c r="Q2205" s="525"/>
      <c r="S2205" s="405">
        <f t="shared" si="588"/>
        <v>1.5</v>
      </c>
      <c r="T2205" s="405">
        <f t="shared" si="563"/>
        <v>1.5</v>
      </c>
    </row>
    <row r="2206" spans="2:20" s="405" customFormat="1">
      <c r="B2206" s="405" t="s">
        <v>2855</v>
      </c>
      <c r="C2206" s="418">
        <f t="shared" si="562"/>
        <v>1</v>
      </c>
      <c r="D2206" s="523"/>
      <c r="E2206" s="523">
        <f>VLOOKUP(B2206,DONGIA,DG!$B$6,0)</f>
        <v>0</v>
      </c>
      <c r="F2206" s="666" t="str">
        <f>VLOOKUP(B2206,DONGIA,DG!$C$6,0)&amp;" (CD: 280)"</f>
        <v>Cổ dê kẹp ống PVC φ 90 trụ ghép (có giá nới) (CD: 280)</v>
      </c>
      <c r="G2206" s="523" t="str">
        <f>VLOOKUP(B2206,DONGIA,DG!$D$6,0)</f>
        <v>bộ</v>
      </c>
      <c r="H2206" s="525">
        <v>1</v>
      </c>
      <c r="I2206" s="525">
        <f>VLOOKUP(B2206,DONGIA,DG!$E$6,0)</f>
        <v>125000</v>
      </c>
      <c r="J2206" s="525"/>
      <c r="K2206" s="525"/>
      <c r="L2206" s="525">
        <f>VLOOKUP(B2206,DONGIA,DG!$G$6,0)</f>
        <v>0</v>
      </c>
      <c r="M2206" s="525">
        <f t="shared" si="589"/>
        <v>125000</v>
      </c>
      <c r="N2206" s="525">
        <f t="shared" si="590"/>
        <v>0</v>
      </c>
      <c r="O2206" s="525">
        <f t="shared" si="591"/>
        <v>0</v>
      </c>
      <c r="P2206" s="525">
        <f t="shared" si="592"/>
        <v>0</v>
      </c>
      <c r="Q2206" s="525"/>
      <c r="S2206" s="405">
        <f t="shared" si="588"/>
        <v>1.5</v>
      </c>
      <c r="T2206" s="405">
        <f t="shared" si="563"/>
        <v>1.5</v>
      </c>
    </row>
    <row r="2207" spans="2:20" s="405" customFormat="1" hidden="1">
      <c r="B2207" s="405" t="s">
        <v>1185</v>
      </c>
      <c r="C2207" s="418">
        <f t="shared" si="562"/>
        <v>0</v>
      </c>
      <c r="D2207" s="523"/>
      <c r="E2207" s="523">
        <f>VLOOKUP(B2207,DONGIA,DG!$B$6,0)</f>
        <v>0</v>
      </c>
      <c r="F2207" s="525" t="str">
        <f>VLOOKUP(B2207,DONGIA,DG!$C$6,0)</f>
        <v>Co  90 độ PVC 114</v>
      </c>
      <c r="G2207" s="523" t="str">
        <f>VLOOKUP(B2207,DONGIA,DG!$D$6,0)</f>
        <v>cái</v>
      </c>
      <c r="H2207" s="525"/>
      <c r="I2207" s="525">
        <f>VLOOKUP(B2207,DONGIA,DG!$E$6,0)</f>
        <v>104800</v>
      </c>
      <c r="J2207" s="525"/>
      <c r="K2207" s="525">
        <f>VLOOKUP(B2207,DONGIA,DG!$F$6,0)</f>
        <v>0</v>
      </c>
      <c r="L2207" s="525">
        <f>VLOOKUP(B2207,DONGIA,DG!$G$6,0)</f>
        <v>0</v>
      </c>
      <c r="M2207" s="525">
        <f t="shared" si="589"/>
        <v>0</v>
      </c>
      <c r="N2207" s="525">
        <f t="shared" si="590"/>
        <v>0</v>
      </c>
      <c r="O2207" s="525">
        <f t="shared" si="591"/>
        <v>0</v>
      </c>
      <c r="P2207" s="525">
        <f t="shared" si="592"/>
        <v>0</v>
      </c>
      <c r="Q2207" s="525"/>
      <c r="S2207" s="405">
        <f t="shared" si="588"/>
        <v>0</v>
      </c>
      <c r="T2207" s="405">
        <f t="shared" si="563"/>
        <v>0</v>
      </c>
    </row>
    <row r="2208" spans="2:20" s="405" customFormat="1" hidden="1">
      <c r="B2208" s="405" t="s">
        <v>1189</v>
      </c>
      <c r="C2208" s="418">
        <f t="shared" si="562"/>
        <v>0</v>
      </c>
      <c r="D2208" s="523"/>
      <c r="E2208" s="523">
        <f>VLOOKUP(B2208,DONGIA,DG!$B$6,0)</f>
        <v>0</v>
      </c>
      <c r="F2208" s="525" t="str">
        <f>VLOOKUP(B2208,DONGIA,DG!$C$6,0)</f>
        <v>Co 135 độ PVC 114</v>
      </c>
      <c r="G2208" s="523" t="str">
        <f>VLOOKUP(B2208,DONGIA,DG!$D$6,0)</f>
        <v>cái</v>
      </c>
      <c r="H2208" s="525"/>
      <c r="I2208" s="525">
        <f>VLOOKUP(B2208,DONGIA,DG!$E$6,0)</f>
        <v>70800</v>
      </c>
      <c r="J2208" s="525"/>
      <c r="K2208" s="525">
        <f>VLOOKUP(B2208,DONGIA,DG!$F$6,0)</f>
        <v>0</v>
      </c>
      <c r="L2208" s="525">
        <f>VLOOKUP(B2208,DONGIA,DG!$G$6,0)</f>
        <v>0</v>
      </c>
      <c r="M2208" s="525">
        <f t="shared" si="589"/>
        <v>0</v>
      </c>
      <c r="N2208" s="525">
        <f t="shared" si="590"/>
        <v>0</v>
      </c>
      <c r="O2208" s="525">
        <f t="shared" si="591"/>
        <v>0</v>
      </c>
      <c r="P2208" s="525">
        <f t="shared" si="592"/>
        <v>0</v>
      </c>
      <c r="Q2208" s="525"/>
      <c r="S2208" s="405">
        <f t="shared" si="588"/>
        <v>0</v>
      </c>
      <c r="T2208" s="405">
        <f t="shared" si="563"/>
        <v>0</v>
      </c>
    </row>
    <row r="2209" spans="2:20" s="405" customFormat="1" hidden="1">
      <c r="B2209" s="405" t="s">
        <v>1914</v>
      </c>
      <c r="C2209" s="418">
        <f t="shared" si="562"/>
        <v>0</v>
      </c>
      <c r="D2209" s="523"/>
      <c r="E2209" s="523">
        <f>VLOOKUP(B2209,DONGIA,DG!$B$6,0)</f>
        <v>0</v>
      </c>
      <c r="F2209" s="525" t="str">
        <f>VLOOKUP(B2209,DONGIA,DG!$C$6,0)</f>
        <v>Keo dán ống PVC (100gr)</v>
      </c>
      <c r="G2209" s="523" t="str">
        <f>VLOOKUP(B2209,DONGIA,DG!$D$6,0)</f>
        <v>tuýp</v>
      </c>
      <c r="H2209" s="525"/>
      <c r="I2209" s="525">
        <f>VLOOKUP(B2209,DONGIA,DG!$E$6,0)</f>
        <v>11500</v>
      </c>
      <c r="J2209" s="525"/>
      <c r="K2209" s="525">
        <f>VLOOKUP(B2209,DONGIA,DG!$F$6,0)</f>
        <v>0</v>
      </c>
      <c r="L2209" s="525">
        <f>VLOOKUP(B2209,DONGIA,DG!$G$6,0)</f>
        <v>0</v>
      </c>
      <c r="M2209" s="525">
        <f t="shared" si="589"/>
        <v>0</v>
      </c>
      <c r="N2209" s="525">
        <f t="shared" si="590"/>
        <v>0</v>
      </c>
      <c r="O2209" s="525">
        <f t="shared" si="591"/>
        <v>0</v>
      </c>
      <c r="P2209" s="525">
        <f t="shared" si="592"/>
        <v>0</v>
      </c>
      <c r="Q2209" s="525"/>
      <c r="S2209" s="405">
        <f t="shared" si="588"/>
        <v>0</v>
      </c>
      <c r="T2209" s="405">
        <f t="shared" si="563"/>
        <v>0</v>
      </c>
    </row>
    <row r="2210" spans="2:20" s="405" customFormat="1" hidden="1">
      <c r="B2210" s="405" t="s">
        <v>1187</v>
      </c>
      <c r="C2210" s="418">
        <f t="shared" si="562"/>
        <v>0</v>
      </c>
      <c r="D2210" s="523"/>
      <c r="E2210" s="523">
        <f>VLOOKUP(B2210,DONGIA,DG!$B$6,0)</f>
        <v>0</v>
      </c>
      <c r="F2210" s="525" t="str">
        <f>VLOOKUP(B2210,DONGIA,DG!$C$6,0)</f>
        <v>Co sừng 90 độ PVC 114</v>
      </c>
      <c r="G2210" s="523" t="str">
        <f>VLOOKUP(B2210,DONGIA,DG!$D$6,0)</f>
        <v>cái</v>
      </c>
      <c r="H2210" s="525"/>
      <c r="I2210" s="525">
        <f>VLOOKUP(B2210,DONGIA,DG!$E$6,0)</f>
        <v>195000</v>
      </c>
      <c r="J2210" s="525"/>
      <c r="K2210" s="525">
        <f>VLOOKUP(B2210,DONGIA,DG!$F$6,0)</f>
        <v>0</v>
      </c>
      <c r="L2210" s="525">
        <f>VLOOKUP(B2210,DONGIA,DG!$G$6,0)</f>
        <v>0</v>
      </c>
      <c r="M2210" s="525">
        <f t="shared" si="589"/>
        <v>0</v>
      </c>
      <c r="N2210" s="525">
        <f t="shared" si="590"/>
        <v>0</v>
      </c>
      <c r="O2210" s="525">
        <f t="shared" si="591"/>
        <v>0</v>
      </c>
      <c r="P2210" s="525">
        <f t="shared" si="592"/>
        <v>0</v>
      </c>
      <c r="Q2210" s="525"/>
      <c r="S2210" s="405">
        <f t="shared" si="588"/>
        <v>0</v>
      </c>
      <c r="T2210" s="405">
        <f t="shared" si="563"/>
        <v>0</v>
      </c>
    </row>
    <row r="2211" spans="2:20" s="405" customFormat="1" hidden="1">
      <c r="B2211" s="405" t="s">
        <v>1639</v>
      </c>
      <c r="C2211" s="418">
        <f t="shared" si="562"/>
        <v>0</v>
      </c>
      <c r="D2211" s="523"/>
      <c r="E2211" s="523">
        <f>VLOOKUP(B2211,DONGIA,DG!$B$6,0)</f>
        <v>0</v>
      </c>
      <c r="F2211" s="525" t="str">
        <f>VLOOKUP(B2211,DONGIA,DG!$C$6,0)&amp;" bịt miệng ống"</f>
        <v>Xi măng bịt miệng ống</v>
      </c>
      <c r="G2211" s="523" t="str">
        <f>VLOOKUP(B2211,DONGIA,DG!$D$6,0)</f>
        <v>kg</v>
      </c>
      <c r="H2211" s="525"/>
      <c r="I2211" s="525">
        <f>VLOOKUP(B2211,DONGIA,DG!$E$6,0)</f>
        <v>1760</v>
      </c>
      <c r="J2211" s="525"/>
      <c r="K2211" s="525">
        <f>VLOOKUP(B2211,DONGIA,DG!$F$6,0)</f>
        <v>0</v>
      </c>
      <c r="L2211" s="525">
        <f>VLOOKUP(B2211,DONGIA,DG!$G$6,0)</f>
        <v>0</v>
      </c>
      <c r="M2211" s="525">
        <f t="shared" si="589"/>
        <v>0</v>
      </c>
      <c r="N2211" s="525">
        <f t="shared" si="590"/>
        <v>0</v>
      </c>
      <c r="O2211" s="525">
        <f t="shared" si="591"/>
        <v>0</v>
      </c>
      <c r="P2211" s="525">
        <f t="shared" si="592"/>
        <v>0</v>
      </c>
      <c r="Q2211" s="525"/>
      <c r="S2211" s="405">
        <f t="shared" si="588"/>
        <v>1</v>
      </c>
      <c r="T2211" s="405">
        <f t="shared" si="563"/>
        <v>0</v>
      </c>
    </row>
    <row r="2212" spans="2:20" s="405" customFormat="1" hidden="1">
      <c r="B2212" s="405" t="s">
        <v>857</v>
      </c>
      <c r="C2212" s="418">
        <f>IF(H2212&lt;&gt;0,1,)</f>
        <v>0</v>
      </c>
      <c r="D2212" s="523"/>
      <c r="E2212" s="523" t="str">
        <f>VLOOKUP(B2212,DONGIA,DG!$B$6,0)</f>
        <v>T4.8003</v>
      </c>
      <c r="F2212" s="525" t="str">
        <f>VLOOKUP(B2212,DONGIA,DG!$C$6,0)</f>
        <v>Lắp ống nhựa PVC D114</v>
      </c>
      <c r="G2212" s="523" t="str">
        <f>VLOOKUP(B2212,DONGIA,DG!$D$6,0)</f>
        <v>mét</v>
      </c>
      <c r="H2212" s="525">
        <f>H2203</f>
        <v>0</v>
      </c>
      <c r="I2212" s="525">
        <f>VLOOKUP(B2212,DONGIA,DG!$E$6,0)</f>
        <v>0</v>
      </c>
      <c r="J2212" s="525"/>
      <c r="K2212" s="525">
        <f>VLOOKUP(B2212,DONGIA,DG!$F$6,0)</f>
        <v>35541</v>
      </c>
      <c r="L2212" s="525">
        <f>VLOOKUP(B2212,DONGIA,DG!$G$6,0)</f>
        <v>0</v>
      </c>
      <c r="M2212" s="525">
        <f>$H2212*I2212</f>
        <v>0</v>
      </c>
      <c r="N2212" s="525">
        <f>$H2212*J2212</f>
        <v>0</v>
      </c>
      <c r="O2212" s="525">
        <f>$H2212*K2212</f>
        <v>0</v>
      </c>
      <c r="P2212" s="525">
        <f>$H2212*L2212</f>
        <v>0</v>
      </c>
      <c r="Q2212" s="525"/>
      <c r="S2212" s="405">
        <f t="shared" si="588"/>
        <v>0</v>
      </c>
      <c r="T2212" s="405">
        <f>H2212*S2212</f>
        <v>0</v>
      </c>
    </row>
    <row r="2213" spans="2:20" s="405" customFormat="1">
      <c r="B2213" s="405" t="s">
        <v>855</v>
      </c>
      <c r="C2213" s="418">
        <f t="shared" si="562"/>
        <v>1</v>
      </c>
      <c r="D2213" s="523"/>
      <c r="E2213" s="523" t="str">
        <f>VLOOKUP(B2213,DONGIA,DG!$B$6,0)</f>
        <v>T4.8003</v>
      </c>
      <c r="F2213" s="666" t="str">
        <f>VLOOKUP(B2213,DONGIA,DG!$C$6,0)</f>
        <v>Lắp ống nhựa PVC D90</v>
      </c>
      <c r="G2213" s="523" t="str">
        <f>VLOOKUP(B2213,DONGIA,DG!$D$6,0)</f>
        <v>mét</v>
      </c>
      <c r="H2213" s="525">
        <f>H2202</f>
        <v>5</v>
      </c>
      <c r="I2213" s="525">
        <f>VLOOKUP(B2213,DONGIA,DG!$E$6,0)</f>
        <v>0</v>
      </c>
      <c r="J2213" s="525"/>
      <c r="K2213" s="525">
        <f>VLOOKUP(B2213,DONGIA,DG!$F$6,0)</f>
        <v>35541</v>
      </c>
      <c r="L2213" s="525">
        <f>VLOOKUP(B2213,DONGIA,DG!$G$6,0)</f>
        <v>0</v>
      </c>
      <c r="M2213" s="525">
        <f t="shared" si="589"/>
        <v>0</v>
      </c>
      <c r="N2213" s="525">
        <f t="shared" si="590"/>
        <v>0</v>
      </c>
      <c r="O2213" s="525">
        <f t="shared" si="591"/>
        <v>177705</v>
      </c>
      <c r="P2213" s="525">
        <f t="shared" si="592"/>
        <v>0</v>
      </c>
      <c r="Q2213" s="525"/>
      <c r="S2213" s="405">
        <f t="shared" si="588"/>
        <v>0</v>
      </c>
      <c r="T2213" s="405">
        <f t="shared" si="563"/>
        <v>0</v>
      </c>
    </row>
    <row r="2214" spans="2:20" s="405" customFormat="1">
      <c r="B2214" s="405" t="s">
        <v>1939</v>
      </c>
      <c r="C2214" s="418">
        <f t="shared" si="562"/>
        <v>1</v>
      </c>
      <c r="D2214" s="523"/>
      <c r="E2214" s="523" t="str">
        <f>VLOOKUP(B2214,DONGIA,DG!$B$6,0)</f>
        <v>T4.4201</v>
      </c>
      <c r="F2214" s="666" t="str">
        <f>VLOOKUP(B2214,DONGIA,DG!$C$6,0)</f>
        <v>Lắp cáp đồng xuống thiết bị D ≤ 95mm2</v>
      </c>
      <c r="G2214" s="523" t="str">
        <f>VLOOKUP(B2214,DONGIA,DG!$D$6,0)</f>
        <v>m</v>
      </c>
      <c r="H2214" s="525">
        <f>H2192+H2193+H2194</f>
        <v>14</v>
      </c>
      <c r="I2214" s="525">
        <f>VLOOKUP(B2214,DONGIA,DG!$E$6,0)</f>
        <v>0</v>
      </c>
      <c r="J2214" s="525"/>
      <c r="K2214" s="525">
        <f>VLOOKUP(B2214,DONGIA,DG!$F$6,0)</f>
        <v>11847</v>
      </c>
      <c r="L2214" s="525">
        <f>VLOOKUP(B2214,DONGIA,DG!$G$6,0)</f>
        <v>0</v>
      </c>
      <c r="M2214" s="525">
        <f t="shared" si="589"/>
        <v>0</v>
      </c>
      <c r="N2214" s="525">
        <f t="shared" si="590"/>
        <v>0</v>
      </c>
      <c r="O2214" s="525">
        <f t="shared" si="591"/>
        <v>165858</v>
      </c>
      <c r="P2214" s="525">
        <f t="shared" si="592"/>
        <v>0</v>
      </c>
      <c r="Q2214" s="525"/>
      <c r="S2214" s="405">
        <f t="shared" si="588"/>
        <v>0</v>
      </c>
      <c r="T2214" s="405">
        <f t="shared" si="563"/>
        <v>0</v>
      </c>
    </row>
    <row r="2215" spans="2:20" s="405" customFormat="1">
      <c r="B2215" s="405" t="s">
        <v>2063</v>
      </c>
      <c r="C2215" s="418">
        <f t="shared" si="562"/>
        <v>1</v>
      </c>
      <c r="D2215" s="523"/>
      <c r="E2215" s="523" t="str">
        <f>VLOOKUP(B2215,DONGIA,DG!$B$6,0)</f>
        <v>T4.4202</v>
      </c>
      <c r="F2215" s="666" t="str">
        <f>VLOOKUP(B2215,DONGIA,DG!$C$6,0)</f>
        <v>Lắp cáp đồng xuống thiết bị D ≤ 150mm2</v>
      </c>
      <c r="G2215" s="523" t="str">
        <f>VLOOKUP(B2215,DONGIA,DG!$D$6,0)</f>
        <v>m</v>
      </c>
      <c r="H2215" s="525">
        <f>H2191</f>
        <v>27</v>
      </c>
      <c r="I2215" s="525"/>
      <c r="J2215" s="525"/>
      <c r="K2215" s="525">
        <f>VLOOKUP(B2215,DONGIA,DG!$F$6,0)</f>
        <v>28433</v>
      </c>
      <c r="L2215" s="525">
        <f>VLOOKUP(B2215,DONGIA,DG!$G$6,0)</f>
        <v>0</v>
      </c>
      <c r="M2215" s="525">
        <f t="shared" si="589"/>
        <v>0</v>
      </c>
      <c r="N2215" s="525">
        <f t="shared" si="590"/>
        <v>0</v>
      </c>
      <c r="O2215" s="525">
        <f t="shared" si="591"/>
        <v>767691</v>
      </c>
      <c r="P2215" s="525">
        <f t="shared" si="592"/>
        <v>0</v>
      </c>
      <c r="Q2215" s="525"/>
      <c r="S2215" s="405">
        <f t="shared" si="588"/>
        <v>0</v>
      </c>
      <c r="T2215" s="405">
        <f t="shared" si="563"/>
        <v>0</v>
      </c>
    </row>
    <row r="2216" spans="2:20" s="405" customFormat="1" hidden="1">
      <c r="B2216" s="405" t="s">
        <v>2837</v>
      </c>
      <c r="C2216" s="418">
        <f>IF(H2216&lt;&gt;0,1,)</f>
        <v>0</v>
      </c>
      <c r="D2216" s="523"/>
      <c r="E2216" s="523" t="str">
        <f>VLOOKUP(B2216,DONGIA,DG!$B$6,0)</f>
        <v>T4.4203</v>
      </c>
      <c r="F2216" s="525" t="str">
        <f>VLOOKUP(B2216,DONGIA,DG!$C$6,0)</f>
        <v>Lắp cáp đồng xuống thiết bị D &gt; 150mm2</v>
      </c>
      <c r="G2216" s="523" t="str">
        <f>VLOOKUP(B2216,DONGIA,DG!$D$6,0)</f>
        <v>m</v>
      </c>
      <c r="H2216" s="525"/>
      <c r="I2216" s="525"/>
      <c r="J2216" s="525"/>
      <c r="K2216" s="525">
        <f>VLOOKUP(B2216,DONGIA,DG!$F$6,0)</f>
        <v>40280</v>
      </c>
      <c r="L2216" s="525">
        <f>VLOOKUP(B2216,DONGIA,DG!$G$6,0)</f>
        <v>0</v>
      </c>
      <c r="M2216" s="525">
        <f>$H2216*I2216</f>
        <v>0</v>
      </c>
      <c r="N2216" s="525">
        <f>$H2216*J2216</f>
        <v>0</v>
      </c>
      <c r="O2216" s="525">
        <f>$H2216*K2216</f>
        <v>0</v>
      </c>
      <c r="P2216" s="525">
        <f>$H2216*L2216</f>
        <v>0</v>
      </c>
      <c r="Q2216" s="525"/>
      <c r="S2216" s="405">
        <f t="shared" si="588"/>
        <v>0</v>
      </c>
      <c r="T2216" s="405">
        <f>H2216*S2216</f>
        <v>0</v>
      </c>
    </row>
    <row r="2217" spans="2:20" s="542" customFormat="1">
      <c r="C2217" s="374">
        <f>IF(SUM(C2219:C2241)&lt;&gt;0,1,)</f>
        <v>1</v>
      </c>
      <c r="D2217" s="550"/>
      <c r="E2217" s="550"/>
      <c r="F2217" s="786" t="s">
        <v>3868</v>
      </c>
      <c r="G2217" s="550"/>
      <c r="H2217" s="550">
        <v>1</v>
      </c>
      <c r="I2217" s="551"/>
      <c r="J2217" s="551"/>
      <c r="K2217" s="551"/>
      <c r="L2217" s="551"/>
      <c r="M2217" s="551"/>
      <c r="N2217" s="551"/>
      <c r="O2217" s="551"/>
      <c r="P2217" s="551"/>
      <c r="Q2217" s="551"/>
    </row>
    <row r="2218" spans="2:20" s="405" customFormat="1" hidden="1">
      <c r="B2218" s="405" t="s">
        <v>1911</v>
      </c>
      <c r="C2218" s="418">
        <f t="shared" ref="C2218:C2245" si="593">IF(H2218&lt;&gt;0,1,)</f>
        <v>0</v>
      </c>
      <c r="D2218" s="523"/>
      <c r="E2218" s="523">
        <f>VLOOKUP(B2218,DONGIA,DG!$B$6,0)</f>
        <v>0</v>
      </c>
      <c r="F2218" s="525" t="str">
        <f>VLOOKUP(B2218,DONGIA,DG!$C$6,0)&amp;" (SDL)"</f>
        <v>Cáp đồng bọc CV150 (SDL)</v>
      </c>
      <c r="G2218" s="523" t="str">
        <f>VLOOKUP(B2218,DONGIA,DG!$D$6,0)</f>
        <v>mét</v>
      </c>
      <c r="H2218" s="525">
        <f>'BKTL Tram'!S47</f>
        <v>0</v>
      </c>
      <c r="I2218" s="525"/>
      <c r="J2218" s="525"/>
      <c r="K2218" s="525">
        <f>VLOOKUP(B2218,DONGIA,DG!$F$6,0)</f>
        <v>0</v>
      </c>
      <c r="L2218" s="525">
        <f>VLOOKUP(B2218,DONGIA,DG!$G$6,0)</f>
        <v>0</v>
      </c>
      <c r="M2218" s="525">
        <f t="shared" ref="M2218:M2245" si="594">$H2218*I2218</f>
        <v>0</v>
      </c>
      <c r="N2218" s="525">
        <f t="shared" ref="N2218:N2245" si="595">$H2218*J2218</f>
        <v>0</v>
      </c>
      <c r="O2218" s="525">
        <f t="shared" ref="O2218:O2245" si="596">$H2218*K2218</f>
        <v>0</v>
      </c>
      <c r="P2218" s="525">
        <f t="shared" ref="P2218:P2245" si="597">$H2218*L2218</f>
        <v>0</v>
      </c>
      <c r="Q2218" s="525"/>
      <c r="S2218" s="405">
        <f t="shared" ref="S2218:S2245" si="598">IFERROR(VLOOKUP(B2218,DONGIA,$S$25,0),0)</f>
        <v>1.5980000000000001</v>
      </c>
      <c r="T2218" s="405">
        <f t="shared" ref="T2218:T2245" si="599">H2218*S2218</f>
        <v>0</v>
      </c>
    </row>
    <row r="2219" spans="2:20" s="405" customFormat="1" hidden="1">
      <c r="B2219" s="405" t="s">
        <v>1908</v>
      </c>
      <c r="C2219" s="418">
        <f t="shared" si="593"/>
        <v>0</v>
      </c>
      <c r="D2219" s="523"/>
      <c r="E2219" s="523">
        <f>VLOOKUP(B2219,DONGIA,DG!$B$6,0)</f>
        <v>0</v>
      </c>
      <c r="F2219" s="525" t="str">
        <f>VLOOKUP(B2219,DONGIA,DG!$C$6,0)&amp;" (SDL)"</f>
        <v>Cáp đồng bọc CV120 (SDL)</v>
      </c>
      <c r="G2219" s="523" t="str">
        <f>VLOOKUP(B2219,DONGIA,DG!$D$6,0)</f>
        <v>mét</v>
      </c>
      <c r="H2219" s="525">
        <f>'BKTL Tram'!T45+'BKTL Tram'!T47</f>
        <v>0</v>
      </c>
      <c r="I2219" s="525"/>
      <c r="J2219" s="525"/>
      <c r="K2219" s="525">
        <f>VLOOKUP(B2219,DONGIA,DG!$F$6,0)</f>
        <v>0</v>
      </c>
      <c r="L2219" s="525">
        <f>VLOOKUP(B2219,DONGIA,DG!$G$6,0)</f>
        <v>0</v>
      </c>
      <c r="M2219" s="525">
        <f t="shared" si="594"/>
        <v>0</v>
      </c>
      <c r="N2219" s="525">
        <f t="shared" si="595"/>
        <v>0</v>
      </c>
      <c r="O2219" s="525">
        <f t="shared" si="596"/>
        <v>0</v>
      </c>
      <c r="P2219" s="525">
        <f t="shared" si="597"/>
        <v>0</v>
      </c>
      <c r="Q2219" s="525"/>
      <c r="S2219" s="405">
        <f t="shared" si="598"/>
        <v>1.2350000000000001</v>
      </c>
      <c r="T2219" s="405">
        <f t="shared" si="599"/>
        <v>0</v>
      </c>
    </row>
    <row r="2220" spans="2:20" s="405" customFormat="1" hidden="1">
      <c r="B2220" s="405" t="s">
        <v>1907</v>
      </c>
      <c r="C2220" s="418">
        <f t="shared" si="593"/>
        <v>0</v>
      </c>
      <c r="D2220" s="523"/>
      <c r="E2220" s="523">
        <f>VLOOKUP(B2220,DONGIA,DG!$B$6,0)</f>
        <v>0</v>
      </c>
      <c r="F2220" s="525" t="str">
        <f>VLOOKUP(B2220,DONGIA,DG!$C$6,0)&amp;" (SDL)"</f>
        <v>Cáp đồng bọc CV70 (SDL)</v>
      </c>
      <c r="G2220" s="523" t="str">
        <f>VLOOKUP(B2220,DONGIA,DG!$D$6,0)</f>
        <v>mét</v>
      </c>
      <c r="H2220" s="525">
        <f>'BKTL Tram'!V45+'BKTL Tram'!V47</f>
        <v>0</v>
      </c>
      <c r="I2220" s="525"/>
      <c r="J2220" s="525"/>
      <c r="K2220" s="525">
        <f>VLOOKUP(B2220,DONGIA,DG!$F$6,0)</f>
        <v>0</v>
      </c>
      <c r="L2220" s="525">
        <f>VLOOKUP(B2220,DONGIA,DG!$G$6,0)</f>
        <v>0</v>
      </c>
      <c r="M2220" s="525">
        <f t="shared" si="594"/>
        <v>0</v>
      </c>
      <c r="N2220" s="525">
        <f t="shared" si="595"/>
        <v>0</v>
      </c>
      <c r="O2220" s="525">
        <f t="shared" si="596"/>
        <v>0</v>
      </c>
      <c r="P2220" s="525">
        <f t="shared" si="597"/>
        <v>0</v>
      </c>
      <c r="Q2220" s="525"/>
      <c r="S2220" s="405">
        <f t="shared" si="598"/>
        <v>0.73899999999999999</v>
      </c>
      <c r="T2220" s="405">
        <f t="shared" si="599"/>
        <v>0</v>
      </c>
    </row>
    <row r="2221" spans="2:20" s="405" customFormat="1" hidden="1">
      <c r="B2221" s="405" t="s">
        <v>1906</v>
      </c>
      <c r="C2221" s="418">
        <f t="shared" si="593"/>
        <v>0</v>
      </c>
      <c r="D2221" s="523"/>
      <c r="E2221" s="523">
        <f>VLOOKUP(B2221,DONGIA,DG!$B$6,0)</f>
        <v>0</v>
      </c>
      <c r="F2221" s="525" t="str">
        <f>VLOOKUP(B2221,DONGIA,DG!$C$6,0)&amp;" (SDL)"</f>
        <v>Cáp đồng bọc CV50 (SDL)</v>
      </c>
      <c r="G2221" s="523" t="str">
        <f>VLOOKUP(B2221,DONGIA,DG!$D$6,0)</f>
        <v>mét</v>
      </c>
      <c r="H2221" s="525">
        <f>'BKTL Tram'!W45+'BKTL Tram'!W47</f>
        <v>0</v>
      </c>
      <c r="I2221" s="525"/>
      <c r="J2221" s="525"/>
      <c r="K2221" s="525">
        <f>VLOOKUP(B2221,DONGIA,DG!$F$6,0)</f>
        <v>0</v>
      </c>
      <c r="L2221" s="525">
        <f>VLOOKUP(B2221,DONGIA,DG!$G$6,0)</f>
        <v>0</v>
      </c>
      <c r="M2221" s="525">
        <f t="shared" si="594"/>
        <v>0</v>
      </c>
      <c r="N2221" s="525">
        <f t="shared" si="595"/>
        <v>0</v>
      </c>
      <c r="O2221" s="525">
        <f t="shared" si="596"/>
        <v>0</v>
      </c>
      <c r="P2221" s="525">
        <f t="shared" si="597"/>
        <v>0</v>
      </c>
      <c r="Q2221" s="525"/>
      <c r="S2221" s="405">
        <f t="shared" si="598"/>
        <v>0.53400000000000003</v>
      </c>
      <c r="T2221" s="405">
        <f t="shared" si="599"/>
        <v>0</v>
      </c>
    </row>
    <row r="2222" spans="2:20" s="405" customFormat="1" hidden="1">
      <c r="B2222" s="405" t="s">
        <v>1742</v>
      </c>
      <c r="C2222" s="418">
        <f t="shared" si="593"/>
        <v>0</v>
      </c>
      <c r="D2222" s="523"/>
      <c r="E2222" s="523">
        <f>VLOOKUP(B2222,DONGIA,DG!$B$6,0)</f>
        <v>0</v>
      </c>
      <c r="F2222" s="525" t="str">
        <f>VLOOKUP(B2222,DONGIA,DG!$C$6,0)&amp;" (SDL)"</f>
        <v>Cáp đồng bọc CV95 (SDL)</v>
      </c>
      <c r="G2222" s="523" t="str">
        <f>VLOOKUP(B2222,DONGIA,DG!$D$6,0)</f>
        <v>mét</v>
      </c>
      <c r="H2222" s="525">
        <f>'BKTL Tram'!U47+'BKTL Tram'!U45</f>
        <v>0</v>
      </c>
      <c r="I2222" s="525"/>
      <c r="J2222" s="525"/>
      <c r="K2222" s="525">
        <f>VLOOKUP(B2222,DONGIA,DG!$F$6,0)</f>
        <v>0</v>
      </c>
      <c r="L2222" s="525">
        <f>VLOOKUP(B2222,DONGIA,DG!$G$6,0)</f>
        <v>0</v>
      </c>
      <c r="M2222" s="525">
        <f t="shared" si="594"/>
        <v>0</v>
      </c>
      <c r="N2222" s="525">
        <f t="shared" si="595"/>
        <v>0</v>
      </c>
      <c r="O2222" s="525">
        <f t="shared" si="596"/>
        <v>0</v>
      </c>
      <c r="P2222" s="525">
        <f t="shared" si="597"/>
        <v>0</v>
      </c>
      <c r="Q2222" s="525"/>
      <c r="S2222" s="405">
        <f t="shared" si="598"/>
        <v>1.008</v>
      </c>
      <c r="T2222" s="405">
        <f t="shared" si="599"/>
        <v>0</v>
      </c>
    </row>
    <row r="2223" spans="2:20" s="405" customFormat="1">
      <c r="B2223" s="405" t="s">
        <v>1911</v>
      </c>
      <c r="C2223" s="418">
        <f t="shared" si="593"/>
        <v>1</v>
      </c>
      <c r="D2223" s="523"/>
      <c r="E2223" s="523">
        <f>VLOOKUP(B2223,DONGIA,DG!$B$6,0)</f>
        <v>0</v>
      </c>
      <c r="F2223" s="666" t="str">
        <f>VLOOKUP(B2223,DONGIA,DG!$C$6,0)</f>
        <v>Cáp đồng bọc CV150</v>
      </c>
      <c r="G2223" s="523" t="str">
        <f>VLOOKUP(B2223,DONGIA,DG!$D$6,0)</f>
        <v>mét</v>
      </c>
      <c r="H2223" s="554">
        <f>9.5*3</f>
        <v>28.5</v>
      </c>
      <c r="I2223" s="525">
        <f>VLOOKUP(B2223,DONGIA,DG!$E$6,0)</f>
        <v>315870</v>
      </c>
      <c r="J2223" s="525"/>
      <c r="K2223" s="525">
        <f>VLOOKUP(B2223,DONGIA,DG!$F$6,0)</f>
        <v>0</v>
      </c>
      <c r="L2223" s="525">
        <f>VLOOKUP(B2223,DONGIA,DG!$G$6,0)</f>
        <v>0</v>
      </c>
      <c r="M2223" s="525">
        <f t="shared" si="594"/>
        <v>9002295</v>
      </c>
      <c r="N2223" s="525">
        <f t="shared" si="595"/>
        <v>0</v>
      </c>
      <c r="O2223" s="525">
        <f t="shared" si="596"/>
        <v>0</v>
      </c>
      <c r="P2223" s="525">
        <f t="shared" si="597"/>
        <v>0</v>
      </c>
      <c r="Q2223" s="525"/>
      <c r="S2223" s="405">
        <f t="shared" si="598"/>
        <v>1.5980000000000001</v>
      </c>
      <c r="T2223" s="405">
        <f t="shared" si="599"/>
        <v>45.542999999999999</v>
      </c>
    </row>
    <row r="2224" spans="2:20" s="405" customFormat="1">
      <c r="B2224" s="405" t="s">
        <v>1742</v>
      </c>
      <c r="C2224" s="418">
        <f t="shared" si="593"/>
        <v>1</v>
      </c>
      <c r="D2224" s="523"/>
      <c r="E2224" s="523">
        <f>VLOOKUP(B2224,DONGIA,DG!$B$6,0)</f>
        <v>0</v>
      </c>
      <c r="F2224" s="666" t="str">
        <f>VLOOKUP(B2224,DONGIA,DG!$C$6,0)</f>
        <v>Cáp đồng bọc CV95</v>
      </c>
      <c r="G2224" s="523" t="str">
        <f>VLOOKUP(B2224,DONGIA,DG!$D$6,0)</f>
        <v>mét</v>
      </c>
      <c r="H2224" s="554">
        <f>14.5</f>
        <v>14.5</v>
      </c>
      <c r="I2224" s="525">
        <f>VLOOKUP(B2224,DONGIA,DG!$E$6,0)</f>
        <v>196130</v>
      </c>
      <c r="J2224" s="525"/>
      <c r="K2224" s="525">
        <f>VLOOKUP(B2224,DONGIA,DG!$F$6,0)</f>
        <v>0</v>
      </c>
      <c r="L2224" s="525">
        <f>VLOOKUP(B2224,DONGIA,DG!$G$6,0)</f>
        <v>0</v>
      </c>
      <c r="M2224" s="525">
        <f t="shared" si="594"/>
        <v>2843885</v>
      </c>
      <c r="N2224" s="525">
        <f t="shared" si="595"/>
        <v>0</v>
      </c>
      <c r="O2224" s="525">
        <f t="shared" si="596"/>
        <v>0</v>
      </c>
      <c r="P2224" s="525">
        <f t="shared" si="597"/>
        <v>0</v>
      </c>
      <c r="Q2224" s="525"/>
      <c r="S2224" s="405">
        <f t="shared" si="598"/>
        <v>1.008</v>
      </c>
      <c r="T2224" s="405">
        <f t="shared" si="599"/>
        <v>14.616</v>
      </c>
    </row>
    <row r="2225" spans="2:20" s="405" customFormat="1">
      <c r="B2225" s="405" t="s">
        <v>3520</v>
      </c>
      <c r="C2225" s="418">
        <f>IF(H2225&lt;&gt;0,1,)</f>
        <v>1</v>
      </c>
      <c r="D2225" s="523"/>
      <c r="E2225" s="523">
        <f>VLOOKUP(B2225,DONGIA,DG!$B$6,0)</f>
        <v>0</v>
      </c>
      <c r="F2225" s="666" t="str">
        <f>VLOOKUP(B2225,DONGIA,DG!$C$6,0)</f>
        <v>Cáp điều khiển CVV 6x4,0mm2</v>
      </c>
      <c r="G2225" s="523" t="str">
        <f>VLOOKUP(B2225,DONGIA,DG!$D$6,0)</f>
        <v>mét</v>
      </c>
      <c r="H2225" s="554">
        <v>0.8</v>
      </c>
      <c r="I2225" s="525">
        <f>VLOOKUP(B2225,DONGIA,DG!$E$6,0)</f>
        <v>71600</v>
      </c>
      <c r="J2225" s="525"/>
      <c r="K2225" s="525">
        <f>VLOOKUP(B2225,DONGIA,DG!$F$6,0)</f>
        <v>0</v>
      </c>
      <c r="L2225" s="525">
        <f>VLOOKUP(B2225,DONGIA,DG!$G$6,0)</f>
        <v>0</v>
      </c>
      <c r="M2225" s="525">
        <f>$H2225*I2225</f>
        <v>57280</v>
      </c>
      <c r="N2225" s="525">
        <f>$H2225*J2225</f>
        <v>0</v>
      </c>
      <c r="O2225" s="525">
        <f>$H2225*K2225</f>
        <v>0</v>
      </c>
      <c r="P2225" s="525">
        <f>$H2225*L2225</f>
        <v>0</v>
      </c>
      <c r="Q2225" s="525"/>
      <c r="S2225" s="405">
        <f>IFERROR(VLOOKUP(B2225,DONGIA,$S$25,0),0)</f>
        <v>3.024</v>
      </c>
      <c r="T2225" s="405">
        <f>H2225*S2225</f>
        <v>2.4192</v>
      </c>
    </row>
    <row r="2226" spans="2:20" s="405" customFormat="1">
      <c r="B2226" s="405" t="s">
        <v>1937</v>
      </c>
      <c r="C2226" s="418">
        <f t="shared" si="593"/>
        <v>1</v>
      </c>
      <c r="D2226" s="523"/>
      <c r="E2226" s="523">
        <f>VLOOKUP(B2226,DONGIA,DG!$B$6,0)</f>
        <v>0</v>
      </c>
      <c r="F2226" s="666" t="str">
        <f>VLOOKUP(B2226,DONGIA,DG!$C$6,0)</f>
        <v>Cáp điều khiển CVV 4x4,0mm2</v>
      </c>
      <c r="G2226" s="523" t="str">
        <f>VLOOKUP(B2226,DONGIA,DG!$D$6,0)</f>
        <v>mét</v>
      </c>
      <c r="H2226" s="554">
        <v>1.3</v>
      </c>
      <c r="I2226" s="525">
        <f>VLOOKUP(B2226,DONGIA,DG!$E$6,0)</f>
        <v>52400</v>
      </c>
      <c r="J2226" s="525"/>
      <c r="K2226" s="525">
        <f>VLOOKUP(B2226,DONGIA,DG!$F$6,0)</f>
        <v>0</v>
      </c>
      <c r="L2226" s="525">
        <f>VLOOKUP(B2226,DONGIA,DG!$G$6,0)</f>
        <v>0</v>
      </c>
      <c r="M2226" s="525">
        <f t="shared" si="594"/>
        <v>68120</v>
      </c>
      <c r="N2226" s="525">
        <f t="shared" si="595"/>
        <v>0</v>
      </c>
      <c r="O2226" s="525">
        <f t="shared" si="596"/>
        <v>0</v>
      </c>
      <c r="P2226" s="525">
        <f t="shared" si="597"/>
        <v>0</v>
      </c>
      <c r="Q2226" s="525"/>
      <c r="S2226" s="405">
        <f t="shared" si="598"/>
        <v>3.024</v>
      </c>
      <c r="T2226" s="405">
        <f t="shared" si="599"/>
        <v>3.9312</v>
      </c>
    </row>
    <row r="2227" spans="2:20" s="405" customFormat="1">
      <c r="B2227" s="405" t="s">
        <v>1122</v>
      </c>
      <c r="C2227" s="418">
        <f t="shared" si="593"/>
        <v>1</v>
      </c>
      <c r="D2227" s="523"/>
      <c r="E2227" s="523"/>
      <c r="F2227" s="666" t="str">
        <f>VLOOKUP(B2227,DONGIA,DG!$C$6,0)</f>
        <v>Đầu cosse ép Cu 150mm2</v>
      </c>
      <c r="G2227" s="523" t="str">
        <f>VLOOKUP(B2227,DONGIA,DG!$D$6,0)</f>
        <v>cái</v>
      </c>
      <c r="H2227" s="525">
        <v>3</v>
      </c>
      <c r="I2227" s="525">
        <f>VLOOKUP(B2227,DONGIA,DG!$E$6,0)</f>
        <v>150000</v>
      </c>
      <c r="J2227" s="525"/>
      <c r="K2227" s="525"/>
      <c r="L2227" s="525"/>
      <c r="M2227" s="525">
        <f t="shared" si="594"/>
        <v>450000</v>
      </c>
      <c r="N2227" s="525">
        <f t="shared" si="595"/>
        <v>0</v>
      </c>
      <c r="O2227" s="525">
        <f t="shared" si="596"/>
        <v>0</v>
      </c>
      <c r="P2227" s="525">
        <f t="shared" si="597"/>
        <v>0</v>
      </c>
      <c r="Q2227" s="525"/>
      <c r="S2227" s="405">
        <f t="shared" si="598"/>
        <v>0.2</v>
      </c>
      <c r="T2227" s="405">
        <f t="shared" si="599"/>
        <v>0.60000000000000009</v>
      </c>
    </row>
    <row r="2228" spans="2:20" s="405" customFormat="1">
      <c r="B2228" s="405" t="s">
        <v>1116</v>
      </c>
      <c r="C2228" s="418">
        <f t="shared" si="593"/>
        <v>1</v>
      </c>
      <c r="D2228" s="523"/>
      <c r="E2228" s="523"/>
      <c r="F2228" s="666" t="str">
        <f>VLOOKUP(B2228,DONGIA,DG!$C$6,0)</f>
        <v>Đầu cosse ép Cu 95mm2</v>
      </c>
      <c r="G2228" s="523" t="str">
        <f>VLOOKUP(B2228,DONGIA,DG!$D$6,0)</f>
        <v>cái</v>
      </c>
      <c r="H2228" s="525">
        <v>1</v>
      </c>
      <c r="I2228" s="525">
        <f>VLOOKUP(B2228,DONGIA,DG!$E$6,0)</f>
        <v>45000</v>
      </c>
      <c r="J2228" s="525"/>
      <c r="K2228" s="525"/>
      <c r="L2228" s="525"/>
      <c r="M2228" s="525">
        <f t="shared" si="594"/>
        <v>45000</v>
      </c>
      <c r="N2228" s="525">
        <f t="shared" si="595"/>
        <v>0</v>
      </c>
      <c r="O2228" s="525">
        <f t="shared" si="596"/>
        <v>0</v>
      </c>
      <c r="P2228" s="525">
        <f t="shared" si="597"/>
        <v>0</v>
      </c>
      <c r="Q2228" s="525"/>
      <c r="S2228" s="405">
        <f t="shared" si="598"/>
        <v>0.2</v>
      </c>
      <c r="T2228" s="405">
        <f t="shared" si="599"/>
        <v>0.2</v>
      </c>
    </row>
    <row r="2229" spans="2:20" s="405" customFormat="1">
      <c r="B2229" s="405" t="s">
        <v>1153</v>
      </c>
      <c r="C2229" s="418">
        <f t="shared" si="593"/>
        <v>1</v>
      </c>
      <c r="D2229" s="523"/>
      <c r="E2229" s="523">
        <f>VLOOKUP(B2229,DONGIA,DG!$B$6,0)</f>
        <v>0</v>
      </c>
      <c r="F2229" s="666" t="str">
        <f>VLOOKUP(B2229,DONGIA,DG!$C$6,0)</f>
        <v>Chụp đầu cosse  150mm2</v>
      </c>
      <c r="G2229" s="523" t="str">
        <f>VLOOKUP(B2229,DONGIA,DG!$D$6,0)</f>
        <v>cái</v>
      </c>
      <c r="H2229" s="525">
        <v>3</v>
      </c>
      <c r="I2229" s="525">
        <f>VLOOKUP(B2229,DONGIA,DG!$E$6,0)</f>
        <v>4000</v>
      </c>
      <c r="J2229" s="525"/>
      <c r="K2229" s="525">
        <f>VLOOKUP(B2229,DONGIA,DG!$F$6,0)</f>
        <v>0</v>
      </c>
      <c r="L2229" s="525">
        <f>VLOOKUP(B2229,DONGIA,DG!$G$6,0)</f>
        <v>0</v>
      </c>
      <c r="M2229" s="525">
        <f t="shared" si="594"/>
        <v>12000</v>
      </c>
      <c r="N2229" s="525">
        <f t="shared" si="595"/>
        <v>0</v>
      </c>
      <c r="O2229" s="525">
        <f t="shared" si="596"/>
        <v>0</v>
      </c>
      <c r="P2229" s="525">
        <f t="shared" si="597"/>
        <v>0</v>
      </c>
      <c r="Q2229" s="525"/>
      <c r="S2229" s="405">
        <f t="shared" si="598"/>
        <v>0</v>
      </c>
      <c r="T2229" s="405">
        <f t="shared" si="599"/>
        <v>0</v>
      </c>
    </row>
    <row r="2230" spans="2:20" s="405" customFormat="1">
      <c r="B2230" s="405" t="s">
        <v>1149</v>
      </c>
      <c r="C2230" s="418">
        <f t="shared" si="593"/>
        <v>1</v>
      </c>
      <c r="D2230" s="523"/>
      <c r="E2230" s="523">
        <f>VLOOKUP(B2230,DONGIA,DG!$B$6,0)</f>
        <v>0</v>
      </c>
      <c r="F2230" s="666" t="str">
        <f>VLOOKUP(B2230,DONGIA,DG!$C$6,0)</f>
        <v>Chụp đầu cosse  95mm2</v>
      </c>
      <c r="G2230" s="523" t="str">
        <f>VLOOKUP(B2230,DONGIA,DG!$D$6,0)</f>
        <v>cái</v>
      </c>
      <c r="H2230" s="525">
        <v>1</v>
      </c>
      <c r="I2230" s="525">
        <f>VLOOKUP(B2230,DONGIA,DG!$E$6,0)</f>
        <v>3000</v>
      </c>
      <c r="J2230" s="525"/>
      <c r="K2230" s="525">
        <f>VLOOKUP(B2230,DONGIA,DG!$F$6,0)</f>
        <v>0</v>
      </c>
      <c r="L2230" s="525">
        <f>VLOOKUP(B2230,DONGIA,DG!$G$6,0)</f>
        <v>0</v>
      </c>
      <c r="M2230" s="525">
        <f t="shared" si="594"/>
        <v>3000</v>
      </c>
      <c r="N2230" s="525">
        <f t="shared" si="595"/>
        <v>0</v>
      </c>
      <c r="O2230" s="525">
        <f t="shared" si="596"/>
        <v>0</v>
      </c>
      <c r="P2230" s="525">
        <f t="shared" si="597"/>
        <v>0</v>
      </c>
      <c r="Q2230" s="525"/>
      <c r="S2230" s="405">
        <f t="shared" si="598"/>
        <v>0</v>
      </c>
      <c r="T2230" s="405">
        <f t="shared" si="599"/>
        <v>0</v>
      </c>
    </row>
    <row r="2231" spans="2:20" s="405" customFormat="1" hidden="1">
      <c r="B2231" s="405" t="s">
        <v>1177</v>
      </c>
      <c r="C2231" s="418">
        <f t="shared" si="593"/>
        <v>0</v>
      </c>
      <c r="D2231" s="523"/>
      <c r="E2231" s="523">
        <f>VLOOKUP(B2231,DONGIA,DG!$B$6,0)</f>
        <v>0</v>
      </c>
      <c r="F2231" s="525" t="str">
        <f>VLOOKUP(B2231,DONGIA,DG!$C$6,0)&amp;" (SDL)"</f>
        <v>Ống PVC D90x3,8mm  (SDL)</v>
      </c>
      <c r="G2231" s="523" t="str">
        <f>VLOOKUP(B2231,DONGIA,DG!$D$6,0)</f>
        <v>m</v>
      </c>
      <c r="H2231" s="554"/>
      <c r="I2231" s="525"/>
      <c r="J2231" s="525"/>
      <c r="K2231" s="525">
        <f>VLOOKUP(B2231,DONGIA,DG!$F$6,0)</f>
        <v>0</v>
      </c>
      <c r="L2231" s="525">
        <f>VLOOKUP(B2231,DONGIA,DG!$G$6,0)</f>
        <v>0</v>
      </c>
      <c r="M2231" s="525">
        <f t="shared" si="594"/>
        <v>0</v>
      </c>
      <c r="N2231" s="525">
        <f t="shared" si="595"/>
        <v>0</v>
      </c>
      <c r="O2231" s="525">
        <f t="shared" si="596"/>
        <v>0</v>
      </c>
      <c r="P2231" s="525">
        <f t="shared" si="597"/>
        <v>0</v>
      </c>
      <c r="Q2231" s="525"/>
      <c r="S2231" s="405">
        <f t="shared" si="598"/>
        <v>2</v>
      </c>
      <c r="T2231" s="405">
        <f t="shared" si="599"/>
        <v>0</v>
      </c>
    </row>
    <row r="2232" spans="2:20" s="405" customFormat="1">
      <c r="B2232" s="405" t="s">
        <v>1175</v>
      </c>
      <c r="C2232" s="418">
        <f t="shared" si="593"/>
        <v>1</v>
      </c>
      <c r="D2232" s="523"/>
      <c r="E2232" s="523">
        <f>VLOOKUP(B2232,DONGIA,DG!$B$6,0)</f>
        <v>0</v>
      </c>
      <c r="F2232" s="666" t="str">
        <f>VLOOKUP(B2232,DONGIA,DG!$C$6,0)</f>
        <v xml:space="preserve">Ống PVC D114x4,9mm </v>
      </c>
      <c r="G2232" s="523" t="str">
        <f>VLOOKUP(B2232,DONGIA,DG!$D$6,0)</f>
        <v>m</v>
      </c>
      <c r="H2232" s="554">
        <v>5.5</v>
      </c>
      <c r="I2232" s="525">
        <f>VLOOKUP(B2232,DONGIA,DG!$E$6,0)</f>
        <v>102000</v>
      </c>
      <c r="J2232" s="525"/>
      <c r="K2232" s="525">
        <f>VLOOKUP(B2232,DONGIA,DG!$F$6,0)</f>
        <v>0</v>
      </c>
      <c r="L2232" s="525">
        <f>VLOOKUP(B2232,DONGIA,DG!$G$6,0)</f>
        <v>0</v>
      </c>
      <c r="M2232" s="525">
        <f t="shared" si="594"/>
        <v>561000</v>
      </c>
      <c r="N2232" s="525">
        <f t="shared" si="595"/>
        <v>0</v>
      </c>
      <c r="O2232" s="525">
        <f t="shared" si="596"/>
        <v>0</v>
      </c>
      <c r="P2232" s="525">
        <f t="shared" si="597"/>
        <v>0</v>
      </c>
      <c r="Q2232" s="525"/>
      <c r="S2232" s="405">
        <f t="shared" si="598"/>
        <v>2</v>
      </c>
      <c r="T2232" s="405">
        <f t="shared" si="599"/>
        <v>11</v>
      </c>
    </row>
    <row r="2233" spans="2:20" s="405" customFormat="1">
      <c r="B2233" s="405" t="s">
        <v>2854</v>
      </c>
      <c r="C2233" s="418">
        <f t="shared" si="593"/>
        <v>1</v>
      </c>
      <c r="D2233" s="523"/>
      <c r="E2233" s="523">
        <f>VLOOKUP(B2233,DONGIA,DG!$B$6,0)</f>
        <v>0</v>
      </c>
      <c r="F2233" s="666" t="str">
        <f>VLOOKUP(B2233,DONGIA,DG!$C$6,0)&amp;" (CD: 230)"</f>
        <v>Cổ dê kẹp ống PVC φ 114 trụ ghép (có giá nới) (CD: 230)</v>
      </c>
      <c r="G2233" s="523" t="str">
        <f>VLOOKUP(B2233,DONGIA,DG!$D$6,0)</f>
        <v>bộ</v>
      </c>
      <c r="H2233" s="525">
        <v>1</v>
      </c>
      <c r="I2233" s="525">
        <f>VLOOKUP(B2233,DONGIA,DG!$E$6,0)</f>
        <v>125000</v>
      </c>
      <c r="J2233" s="525"/>
      <c r="K2233" s="525"/>
      <c r="L2233" s="525">
        <f>VLOOKUP(B2233,DONGIA,DG!$G$6,0)</f>
        <v>0</v>
      </c>
      <c r="M2233" s="525">
        <f t="shared" si="594"/>
        <v>125000</v>
      </c>
      <c r="N2233" s="525">
        <f t="shared" si="595"/>
        <v>0</v>
      </c>
      <c r="O2233" s="525">
        <f t="shared" si="596"/>
        <v>0</v>
      </c>
      <c r="P2233" s="525">
        <f t="shared" si="597"/>
        <v>0</v>
      </c>
      <c r="Q2233" s="525"/>
      <c r="S2233" s="405">
        <f t="shared" si="598"/>
        <v>1.5</v>
      </c>
      <c r="T2233" s="405">
        <f t="shared" si="599"/>
        <v>1.5</v>
      </c>
    </row>
    <row r="2234" spans="2:20" s="405" customFormat="1">
      <c r="B2234" s="405" t="s">
        <v>2854</v>
      </c>
      <c r="C2234" s="418">
        <f t="shared" si="593"/>
        <v>1</v>
      </c>
      <c r="D2234" s="523"/>
      <c r="E2234" s="523">
        <f>VLOOKUP(B2234,DONGIA,DG!$B$6,0)</f>
        <v>0</v>
      </c>
      <c r="F2234" s="666" t="str">
        <f>VLOOKUP(B2234,DONGIA,DG!$C$6,0)&amp;" (CD: 250)"</f>
        <v>Cổ dê kẹp ống PVC φ 114 trụ ghép (có giá nới) (CD: 250)</v>
      </c>
      <c r="G2234" s="523" t="str">
        <f>VLOOKUP(B2234,DONGIA,DG!$D$6,0)</f>
        <v>bộ</v>
      </c>
      <c r="H2234" s="525">
        <v>1</v>
      </c>
      <c r="I2234" s="525">
        <f>VLOOKUP(B2234,DONGIA,DG!$E$6,0)</f>
        <v>125000</v>
      </c>
      <c r="J2234" s="525"/>
      <c r="K2234" s="525"/>
      <c r="L2234" s="525">
        <f>VLOOKUP(B2234,DONGIA,DG!$G$6,0)</f>
        <v>0</v>
      </c>
      <c r="M2234" s="525">
        <f t="shared" si="594"/>
        <v>125000</v>
      </c>
      <c r="N2234" s="525">
        <f t="shared" si="595"/>
        <v>0</v>
      </c>
      <c r="O2234" s="525">
        <f t="shared" si="596"/>
        <v>0</v>
      </c>
      <c r="P2234" s="525">
        <f t="shared" si="597"/>
        <v>0</v>
      </c>
      <c r="Q2234" s="525"/>
      <c r="S2234" s="405">
        <f t="shared" si="598"/>
        <v>1.5</v>
      </c>
      <c r="T2234" s="405">
        <f t="shared" si="599"/>
        <v>1.5</v>
      </c>
    </row>
    <row r="2235" spans="2:20" s="405" customFormat="1">
      <c r="B2235" s="405" t="s">
        <v>2854</v>
      </c>
      <c r="C2235" s="418">
        <f t="shared" si="593"/>
        <v>1</v>
      </c>
      <c r="D2235" s="523"/>
      <c r="E2235" s="523">
        <f>VLOOKUP(B2235,DONGIA,DG!$B$6,0)</f>
        <v>0</v>
      </c>
      <c r="F2235" s="666" t="str">
        <f>VLOOKUP(B2235,DONGIA,DG!$C$6,0)&amp;" (CD: 280)"</f>
        <v>Cổ dê kẹp ống PVC φ 114 trụ ghép (có giá nới) (CD: 280)</v>
      </c>
      <c r="G2235" s="523" t="str">
        <f>VLOOKUP(B2235,DONGIA,DG!$D$6,0)</f>
        <v>bộ</v>
      </c>
      <c r="H2235" s="525">
        <v>1</v>
      </c>
      <c r="I2235" s="525">
        <f>VLOOKUP(B2235,DONGIA,DG!$E$6,0)</f>
        <v>125000</v>
      </c>
      <c r="J2235" s="525"/>
      <c r="K2235" s="525"/>
      <c r="L2235" s="525">
        <f>VLOOKUP(B2235,DONGIA,DG!$G$6,0)</f>
        <v>0</v>
      </c>
      <c r="M2235" s="525">
        <f t="shared" si="594"/>
        <v>125000</v>
      </c>
      <c r="N2235" s="525">
        <f t="shared" si="595"/>
        <v>0</v>
      </c>
      <c r="O2235" s="525">
        <f t="shared" si="596"/>
        <v>0</v>
      </c>
      <c r="P2235" s="525">
        <f t="shared" si="597"/>
        <v>0</v>
      </c>
      <c r="Q2235" s="525"/>
      <c r="S2235" s="405">
        <f t="shared" si="598"/>
        <v>1.5</v>
      </c>
      <c r="T2235" s="405">
        <f t="shared" si="599"/>
        <v>1.5</v>
      </c>
    </row>
    <row r="2236" spans="2:20" s="405" customFormat="1">
      <c r="B2236" s="405" t="s">
        <v>1185</v>
      </c>
      <c r="C2236" s="418">
        <f t="shared" si="593"/>
        <v>1</v>
      </c>
      <c r="D2236" s="523"/>
      <c r="E2236" s="523">
        <f>VLOOKUP(B2236,DONGIA,DG!$B$6,0)</f>
        <v>0</v>
      </c>
      <c r="F2236" s="666" t="str">
        <f>VLOOKUP(B2236,DONGIA,DG!$C$6,0)</f>
        <v>Co  90 độ PVC 114</v>
      </c>
      <c r="G2236" s="523" t="str">
        <f>VLOOKUP(B2236,DONGIA,DG!$D$6,0)</f>
        <v>cái</v>
      </c>
      <c r="H2236" s="525">
        <v>1</v>
      </c>
      <c r="I2236" s="525">
        <f>VLOOKUP(B2236,DONGIA,DG!$E$6,0)</f>
        <v>104800</v>
      </c>
      <c r="J2236" s="525"/>
      <c r="K2236" s="525">
        <f>VLOOKUP(B2236,DONGIA,DG!$F$6,0)</f>
        <v>0</v>
      </c>
      <c r="L2236" s="525">
        <f>VLOOKUP(B2236,DONGIA,DG!$G$6,0)</f>
        <v>0</v>
      </c>
      <c r="M2236" s="525">
        <f t="shared" si="594"/>
        <v>104800</v>
      </c>
      <c r="N2236" s="525">
        <f t="shared" si="595"/>
        <v>0</v>
      </c>
      <c r="O2236" s="525">
        <f t="shared" si="596"/>
        <v>0</v>
      </c>
      <c r="P2236" s="525">
        <f t="shared" si="597"/>
        <v>0</v>
      </c>
      <c r="Q2236" s="525"/>
      <c r="S2236" s="405">
        <f t="shared" si="598"/>
        <v>0</v>
      </c>
      <c r="T2236" s="405">
        <f t="shared" si="599"/>
        <v>0</v>
      </c>
    </row>
    <row r="2237" spans="2:20" s="405" customFormat="1">
      <c r="B2237" s="405" t="s">
        <v>1189</v>
      </c>
      <c r="C2237" s="418">
        <f t="shared" si="593"/>
        <v>1</v>
      </c>
      <c r="D2237" s="523"/>
      <c r="E2237" s="523">
        <f>VLOOKUP(B2237,DONGIA,DG!$B$6,0)</f>
        <v>0</v>
      </c>
      <c r="F2237" s="666" t="str">
        <f>VLOOKUP(B2237,DONGIA,DG!$C$6,0)</f>
        <v>Co 135 độ PVC 114</v>
      </c>
      <c r="G2237" s="523" t="str">
        <f>VLOOKUP(B2237,DONGIA,DG!$D$6,0)</f>
        <v>cái</v>
      </c>
      <c r="H2237" s="525">
        <v>1</v>
      </c>
      <c r="I2237" s="525">
        <f>VLOOKUP(B2237,DONGIA,DG!$E$6,0)</f>
        <v>70800</v>
      </c>
      <c r="J2237" s="525"/>
      <c r="K2237" s="525">
        <f>VLOOKUP(B2237,DONGIA,DG!$F$6,0)</f>
        <v>0</v>
      </c>
      <c r="L2237" s="525">
        <f>VLOOKUP(B2237,DONGIA,DG!$G$6,0)</f>
        <v>0</v>
      </c>
      <c r="M2237" s="525">
        <f t="shared" si="594"/>
        <v>70800</v>
      </c>
      <c r="N2237" s="525">
        <f t="shared" si="595"/>
        <v>0</v>
      </c>
      <c r="O2237" s="525">
        <f t="shared" si="596"/>
        <v>0</v>
      </c>
      <c r="P2237" s="525">
        <f t="shared" si="597"/>
        <v>0</v>
      </c>
      <c r="Q2237" s="525"/>
      <c r="S2237" s="405">
        <f t="shared" si="598"/>
        <v>0</v>
      </c>
      <c r="T2237" s="405">
        <f t="shared" si="599"/>
        <v>0</v>
      </c>
    </row>
    <row r="2238" spans="2:20" s="405" customFormat="1" hidden="1">
      <c r="B2238" s="405" t="s">
        <v>1914</v>
      </c>
      <c r="C2238" s="418">
        <f t="shared" si="593"/>
        <v>0</v>
      </c>
      <c r="D2238" s="523"/>
      <c r="E2238" s="523">
        <f>VLOOKUP(B2238,DONGIA,DG!$B$6,0)</f>
        <v>0</v>
      </c>
      <c r="F2238" s="525" t="str">
        <f>VLOOKUP(B2238,DONGIA,DG!$C$6,0)</f>
        <v>Keo dán ống PVC (100gr)</v>
      </c>
      <c r="G2238" s="523" t="str">
        <f>VLOOKUP(B2238,DONGIA,DG!$D$6,0)</f>
        <v>tuýp</v>
      </c>
      <c r="H2238" s="525"/>
      <c r="I2238" s="525">
        <f>VLOOKUP(B2238,DONGIA,DG!$E$6,0)</f>
        <v>11500</v>
      </c>
      <c r="J2238" s="525"/>
      <c r="K2238" s="525">
        <f>VLOOKUP(B2238,DONGIA,DG!$F$6,0)</f>
        <v>0</v>
      </c>
      <c r="L2238" s="525">
        <f>VLOOKUP(B2238,DONGIA,DG!$G$6,0)</f>
        <v>0</v>
      </c>
      <c r="M2238" s="525">
        <f t="shared" si="594"/>
        <v>0</v>
      </c>
      <c r="N2238" s="525">
        <f t="shared" si="595"/>
        <v>0</v>
      </c>
      <c r="O2238" s="525">
        <f t="shared" si="596"/>
        <v>0</v>
      </c>
      <c r="P2238" s="525">
        <f t="shared" si="597"/>
        <v>0</v>
      </c>
      <c r="Q2238" s="525"/>
      <c r="S2238" s="405">
        <f t="shared" si="598"/>
        <v>0</v>
      </c>
      <c r="T2238" s="405">
        <f t="shared" si="599"/>
        <v>0</v>
      </c>
    </row>
    <row r="2239" spans="2:20" s="405" customFormat="1" hidden="1">
      <c r="B2239" s="405" t="s">
        <v>1187</v>
      </c>
      <c r="C2239" s="418">
        <f t="shared" si="593"/>
        <v>0</v>
      </c>
      <c r="D2239" s="523"/>
      <c r="E2239" s="523">
        <f>VLOOKUP(B2239,DONGIA,DG!$B$6,0)</f>
        <v>0</v>
      </c>
      <c r="F2239" s="525" t="str">
        <f>VLOOKUP(B2239,DONGIA,DG!$C$6,0)</f>
        <v>Co sừng 90 độ PVC 114</v>
      </c>
      <c r="G2239" s="523" t="str">
        <f>VLOOKUP(B2239,DONGIA,DG!$D$6,0)</f>
        <v>cái</v>
      </c>
      <c r="H2239" s="525"/>
      <c r="I2239" s="525">
        <f>VLOOKUP(B2239,DONGIA,DG!$E$6,0)</f>
        <v>195000</v>
      </c>
      <c r="J2239" s="525"/>
      <c r="K2239" s="525">
        <f>VLOOKUP(B2239,DONGIA,DG!$F$6,0)</f>
        <v>0</v>
      </c>
      <c r="L2239" s="525">
        <f>VLOOKUP(B2239,DONGIA,DG!$G$6,0)</f>
        <v>0</v>
      </c>
      <c r="M2239" s="525">
        <f t="shared" si="594"/>
        <v>0</v>
      </c>
      <c r="N2239" s="525">
        <f t="shared" si="595"/>
        <v>0</v>
      </c>
      <c r="O2239" s="525">
        <f t="shared" si="596"/>
        <v>0</v>
      </c>
      <c r="P2239" s="525">
        <f t="shared" si="597"/>
        <v>0</v>
      </c>
      <c r="Q2239" s="525"/>
      <c r="S2239" s="405">
        <f t="shared" si="598"/>
        <v>0</v>
      </c>
      <c r="T2239" s="405">
        <f t="shared" si="599"/>
        <v>0</v>
      </c>
    </row>
    <row r="2240" spans="2:20" s="405" customFormat="1">
      <c r="B2240" s="405" t="s">
        <v>1639</v>
      </c>
      <c r="C2240" s="418">
        <f t="shared" si="593"/>
        <v>1</v>
      </c>
      <c r="D2240" s="523"/>
      <c r="E2240" s="523">
        <f>VLOOKUP(B2240,DONGIA,DG!$B$6,0)</f>
        <v>0</v>
      </c>
      <c r="F2240" s="666" t="str">
        <f>VLOOKUP(B2240,DONGIA,DG!$C$6,0)&amp;" bịt miệng ống"</f>
        <v>Xi măng bịt miệng ống</v>
      </c>
      <c r="G2240" s="523" t="str">
        <f>VLOOKUP(B2240,DONGIA,DG!$D$6,0)</f>
        <v>kg</v>
      </c>
      <c r="H2240" s="525">
        <v>1</v>
      </c>
      <c r="I2240" s="525">
        <f>VLOOKUP(B2240,DONGIA,DG!$E$6,0)</f>
        <v>1760</v>
      </c>
      <c r="J2240" s="525"/>
      <c r="K2240" s="525">
        <f>VLOOKUP(B2240,DONGIA,DG!$F$6,0)</f>
        <v>0</v>
      </c>
      <c r="L2240" s="525">
        <f>VLOOKUP(B2240,DONGIA,DG!$G$6,0)</f>
        <v>0</v>
      </c>
      <c r="M2240" s="525">
        <f t="shared" si="594"/>
        <v>1760</v>
      </c>
      <c r="N2240" s="525">
        <f t="shared" si="595"/>
        <v>0</v>
      </c>
      <c r="O2240" s="525">
        <f t="shared" si="596"/>
        <v>0</v>
      </c>
      <c r="P2240" s="525">
        <f t="shared" si="597"/>
        <v>0</v>
      </c>
      <c r="Q2240" s="525"/>
      <c r="S2240" s="405">
        <f t="shared" si="598"/>
        <v>1</v>
      </c>
      <c r="T2240" s="405">
        <f t="shared" si="599"/>
        <v>1</v>
      </c>
    </row>
    <row r="2241" spans="2:20" s="405" customFormat="1">
      <c r="B2241" s="405" t="s">
        <v>857</v>
      </c>
      <c r="C2241" s="418">
        <f t="shared" si="593"/>
        <v>1</v>
      </c>
      <c r="D2241" s="523"/>
      <c r="E2241" s="523" t="str">
        <f>VLOOKUP(B2241,DONGIA,DG!$B$6,0)</f>
        <v>T4.8003</v>
      </c>
      <c r="F2241" s="666" t="str">
        <f>VLOOKUP(B2241,DONGIA,DG!$C$6,0)</f>
        <v>Lắp ống nhựa PVC D114</v>
      </c>
      <c r="G2241" s="523" t="str">
        <f>VLOOKUP(B2241,DONGIA,DG!$D$6,0)</f>
        <v>mét</v>
      </c>
      <c r="H2241" s="554">
        <f>H2232</f>
        <v>5.5</v>
      </c>
      <c r="I2241" s="525">
        <f>VLOOKUP(B2241,DONGIA,DG!$E$6,0)</f>
        <v>0</v>
      </c>
      <c r="J2241" s="525"/>
      <c r="K2241" s="525">
        <f>VLOOKUP(B2241,DONGIA,DG!$F$6,0)</f>
        <v>35541</v>
      </c>
      <c r="L2241" s="525">
        <f>VLOOKUP(B2241,DONGIA,DG!$G$6,0)</f>
        <v>0</v>
      </c>
      <c r="M2241" s="525">
        <f t="shared" si="594"/>
        <v>0</v>
      </c>
      <c r="N2241" s="525">
        <f t="shared" si="595"/>
        <v>0</v>
      </c>
      <c r="O2241" s="525">
        <f t="shared" si="596"/>
        <v>195475.5</v>
      </c>
      <c r="P2241" s="525">
        <f t="shared" si="597"/>
        <v>0</v>
      </c>
      <c r="Q2241" s="525"/>
      <c r="S2241" s="405">
        <f t="shared" si="598"/>
        <v>0</v>
      </c>
      <c r="T2241" s="405">
        <f t="shared" si="599"/>
        <v>0</v>
      </c>
    </row>
    <row r="2242" spans="2:20" s="405" customFormat="1" hidden="1">
      <c r="B2242" s="405" t="s">
        <v>855</v>
      </c>
      <c r="C2242" s="418">
        <f t="shared" si="593"/>
        <v>0</v>
      </c>
      <c r="D2242" s="523"/>
      <c r="E2242" s="523" t="str">
        <f>VLOOKUP(B2242,DONGIA,DG!$B$6,0)</f>
        <v>T4.8003</v>
      </c>
      <c r="F2242" s="525" t="str">
        <f>VLOOKUP(B2242,DONGIA,DG!$C$6,0)</f>
        <v>Lắp ống nhựa PVC D90</v>
      </c>
      <c r="G2242" s="523" t="str">
        <f>VLOOKUP(B2242,DONGIA,DG!$D$6,0)</f>
        <v>mét</v>
      </c>
      <c r="H2242" s="554">
        <f>H2231</f>
        <v>0</v>
      </c>
      <c r="I2242" s="525">
        <f>VLOOKUP(B2242,DONGIA,DG!$E$6,0)</f>
        <v>0</v>
      </c>
      <c r="J2242" s="525"/>
      <c r="K2242" s="525">
        <f>VLOOKUP(B2242,DONGIA,DG!$F$6,0)</f>
        <v>35541</v>
      </c>
      <c r="L2242" s="525">
        <f>VLOOKUP(B2242,DONGIA,DG!$G$6,0)</f>
        <v>0</v>
      </c>
      <c r="M2242" s="525">
        <f t="shared" si="594"/>
        <v>0</v>
      </c>
      <c r="N2242" s="525">
        <f t="shared" si="595"/>
        <v>0</v>
      </c>
      <c r="O2242" s="525">
        <f t="shared" si="596"/>
        <v>0</v>
      </c>
      <c r="P2242" s="525">
        <f t="shared" si="597"/>
        <v>0</v>
      </c>
      <c r="Q2242" s="525"/>
      <c r="S2242" s="405">
        <f t="shared" si="598"/>
        <v>0</v>
      </c>
      <c r="T2242" s="405">
        <f t="shared" si="599"/>
        <v>0</v>
      </c>
    </row>
    <row r="2243" spans="2:20" s="405" customFormat="1">
      <c r="B2243" s="405" t="s">
        <v>1939</v>
      </c>
      <c r="C2243" s="418">
        <f t="shared" si="593"/>
        <v>1</v>
      </c>
      <c r="D2243" s="523"/>
      <c r="E2243" s="523" t="str">
        <f>VLOOKUP(B2243,DONGIA,DG!$B$6,0)</f>
        <v>T4.4201</v>
      </c>
      <c r="F2243" s="666" t="str">
        <f>VLOOKUP(B2243,DONGIA,DG!$C$6,0)</f>
        <v>Lắp cáp đồng xuống thiết bị D ≤ 95mm2</v>
      </c>
      <c r="G2243" s="523" t="str">
        <f>VLOOKUP(B2243,DONGIA,DG!$D$6,0)</f>
        <v>m</v>
      </c>
      <c r="H2243" s="554">
        <f>H2224</f>
        <v>14.5</v>
      </c>
      <c r="I2243" s="525">
        <f>VLOOKUP(B2243,DONGIA,DG!$E$6,0)</f>
        <v>0</v>
      </c>
      <c r="J2243" s="525"/>
      <c r="K2243" s="525">
        <f>VLOOKUP(B2243,DONGIA,DG!$F$6,0)</f>
        <v>11847</v>
      </c>
      <c r="L2243" s="525">
        <f>VLOOKUP(B2243,DONGIA,DG!$G$6,0)</f>
        <v>0</v>
      </c>
      <c r="M2243" s="525">
        <f t="shared" si="594"/>
        <v>0</v>
      </c>
      <c r="N2243" s="525">
        <f t="shared" si="595"/>
        <v>0</v>
      </c>
      <c r="O2243" s="525">
        <f t="shared" si="596"/>
        <v>171781.5</v>
      </c>
      <c r="P2243" s="525">
        <f t="shared" si="597"/>
        <v>0</v>
      </c>
      <c r="Q2243" s="525"/>
      <c r="S2243" s="405">
        <f t="shared" si="598"/>
        <v>0</v>
      </c>
      <c r="T2243" s="405">
        <f t="shared" si="599"/>
        <v>0</v>
      </c>
    </row>
    <row r="2244" spans="2:20" s="405" customFormat="1">
      <c r="B2244" s="405" t="s">
        <v>2063</v>
      </c>
      <c r="C2244" s="418">
        <f t="shared" si="593"/>
        <v>1</v>
      </c>
      <c r="D2244" s="523"/>
      <c r="E2244" s="523" t="str">
        <f>VLOOKUP(B2244,DONGIA,DG!$B$6,0)</f>
        <v>T4.4202</v>
      </c>
      <c r="F2244" s="666" t="str">
        <f>VLOOKUP(B2244,DONGIA,DG!$C$6,0)</f>
        <v>Lắp cáp đồng xuống thiết bị D ≤ 150mm2</v>
      </c>
      <c r="G2244" s="523" t="str">
        <f>VLOOKUP(B2244,DONGIA,DG!$D$6,0)</f>
        <v>m</v>
      </c>
      <c r="H2244" s="554">
        <f>H2223</f>
        <v>28.5</v>
      </c>
      <c r="I2244" s="525"/>
      <c r="J2244" s="525"/>
      <c r="K2244" s="525">
        <f>VLOOKUP(B2244,DONGIA,DG!$F$6,0)</f>
        <v>28433</v>
      </c>
      <c r="L2244" s="525">
        <f>VLOOKUP(B2244,DONGIA,DG!$G$6,0)</f>
        <v>0</v>
      </c>
      <c r="M2244" s="525">
        <f t="shared" si="594"/>
        <v>0</v>
      </c>
      <c r="N2244" s="525">
        <f t="shared" si="595"/>
        <v>0</v>
      </c>
      <c r="O2244" s="525">
        <f t="shared" si="596"/>
        <v>810340.5</v>
      </c>
      <c r="P2244" s="525">
        <f t="shared" si="597"/>
        <v>0</v>
      </c>
      <c r="Q2244" s="525"/>
      <c r="S2244" s="405">
        <f t="shared" si="598"/>
        <v>0</v>
      </c>
      <c r="T2244" s="405">
        <f t="shared" si="599"/>
        <v>0</v>
      </c>
    </row>
    <row r="2245" spans="2:20" s="405" customFormat="1" hidden="1">
      <c r="B2245" s="405" t="s">
        <v>2837</v>
      </c>
      <c r="C2245" s="418">
        <f t="shared" si="593"/>
        <v>0</v>
      </c>
      <c r="D2245" s="523"/>
      <c r="E2245" s="523" t="str">
        <f>VLOOKUP(B2245,DONGIA,DG!$B$6,0)</f>
        <v>T4.4203</v>
      </c>
      <c r="F2245" s="525" t="str">
        <f>VLOOKUP(B2245,DONGIA,DG!$C$6,0)</f>
        <v>Lắp cáp đồng xuống thiết bị D &gt; 150mm2</v>
      </c>
      <c r="G2245" s="523" t="str">
        <f>VLOOKUP(B2245,DONGIA,DG!$D$6,0)</f>
        <v>m</v>
      </c>
      <c r="H2245" s="554"/>
      <c r="I2245" s="525"/>
      <c r="J2245" s="525"/>
      <c r="K2245" s="525">
        <f>VLOOKUP(B2245,DONGIA,DG!$F$6,0)</f>
        <v>40280</v>
      </c>
      <c r="L2245" s="525">
        <f>VLOOKUP(B2245,DONGIA,DG!$G$6,0)</f>
        <v>0</v>
      </c>
      <c r="M2245" s="525">
        <f t="shared" si="594"/>
        <v>0</v>
      </c>
      <c r="N2245" s="525">
        <f t="shared" si="595"/>
        <v>0</v>
      </c>
      <c r="O2245" s="525">
        <f t="shared" si="596"/>
        <v>0</v>
      </c>
      <c r="P2245" s="525">
        <f t="shared" si="597"/>
        <v>0</v>
      </c>
      <c r="Q2245" s="525"/>
      <c r="S2245" s="405">
        <f t="shared" si="598"/>
        <v>0</v>
      </c>
      <c r="T2245" s="405">
        <f t="shared" si="599"/>
        <v>0</v>
      </c>
    </row>
    <row r="2246" spans="2:20" s="405" customFormat="1">
      <c r="C2246" s="418">
        <f t="shared" si="562"/>
        <v>1</v>
      </c>
      <c r="D2246" s="540">
        <f>IF(H2246&lt;&gt;0,D2188+1,D2188)</f>
        <v>7</v>
      </c>
      <c r="E2246" s="540"/>
      <c r="F2246" s="541" t="s">
        <v>1938</v>
      </c>
      <c r="G2246" s="540" t="s">
        <v>138</v>
      </c>
      <c r="H2246" s="540">
        <v>4</v>
      </c>
      <c r="I2246" s="541"/>
      <c r="J2246" s="541"/>
      <c r="K2246" s="541"/>
      <c r="L2246" s="541"/>
      <c r="M2246" s="541"/>
      <c r="N2246" s="541"/>
      <c r="O2246" s="541"/>
      <c r="P2246" s="541"/>
      <c r="Q2246" s="541"/>
      <c r="S2246" s="405">
        <f>IFERROR(VLOOKUP(B2246,DONGIA,$S$25,0),0)</f>
        <v>0</v>
      </c>
      <c r="T2246" s="405">
        <f t="shared" si="563"/>
        <v>0</v>
      </c>
    </row>
    <row r="2247" spans="2:20" s="542" customFormat="1" hidden="1">
      <c r="C2247" s="543">
        <f t="shared" si="562"/>
        <v>0</v>
      </c>
      <c r="D2247" s="544"/>
      <c r="E2247" s="544"/>
      <c r="F2247" s="545" t="s">
        <v>1902</v>
      </c>
      <c r="G2247" s="544"/>
      <c r="H2247" s="545"/>
      <c r="I2247" s="545"/>
      <c r="J2247" s="545"/>
      <c r="K2247" s="545"/>
      <c r="L2247" s="545"/>
      <c r="M2247" s="545"/>
      <c r="N2247" s="545"/>
      <c r="O2247" s="545"/>
      <c r="P2247" s="545"/>
      <c r="Q2247" s="545"/>
      <c r="S2247" s="542">
        <f>IFERROR(VLOOKUP(B2247,DONGIA,$S$25,0),0)</f>
        <v>0</v>
      </c>
      <c r="T2247" s="542">
        <f t="shared" si="563"/>
        <v>0</v>
      </c>
    </row>
    <row r="2248" spans="2:20" s="542" customFormat="1">
      <c r="C2248" s="374">
        <f>IF(SUM(C2249:C2267)&lt;&gt;0,1,)</f>
        <v>1</v>
      </c>
      <c r="D2248" s="550"/>
      <c r="E2248" s="550"/>
      <c r="F2248" s="786" t="s">
        <v>3871</v>
      </c>
      <c r="G2248" s="550"/>
      <c r="H2248" s="550">
        <v>2</v>
      </c>
      <c r="I2248" s="551"/>
      <c r="J2248" s="551"/>
      <c r="K2248" s="551"/>
      <c r="L2248" s="551"/>
      <c r="M2248" s="551"/>
      <c r="N2248" s="551"/>
      <c r="O2248" s="551"/>
      <c r="P2248" s="551"/>
      <c r="Q2248" s="551"/>
    </row>
    <row r="2249" spans="2:20" s="405" customFormat="1" hidden="1">
      <c r="B2249" s="405" t="s">
        <v>1908</v>
      </c>
      <c r="C2249" s="418">
        <f t="shared" si="562"/>
        <v>0</v>
      </c>
      <c r="D2249" s="523"/>
      <c r="E2249" s="523">
        <f>VLOOKUP(B2249,DONGIA,DG!$B$6,0)</f>
        <v>0</v>
      </c>
      <c r="F2249" s="525" t="str">
        <f>VLOOKUP(B2249,DONGIA,DG!$C$6,0)&amp;" (SDL)"</f>
        <v>Cáp đồng bọc CV120 (SDL)</v>
      </c>
      <c r="G2249" s="523" t="str">
        <f>VLOOKUP(B2249,DONGIA,DG!$D$6,0)</f>
        <v>mét</v>
      </c>
      <c r="H2249" s="525"/>
      <c r="I2249" s="525"/>
      <c r="J2249" s="525"/>
      <c r="K2249" s="525">
        <f>VLOOKUP(B2249,DONGIA,DG!$F$6,0)</f>
        <v>0</v>
      </c>
      <c r="L2249" s="525">
        <f>VLOOKUP(B2249,DONGIA,DG!$G$6,0)</f>
        <v>0</v>
      </c>
      <c r="M2249" s="525">
        <f t="shared" ref="M2249:P2252" si="600">$H2249*I2249</f>
        <v>0</v>
      </c>
      <c r="N2249" s="525">
        <f t="shared" si="600"/>
        <v>0</v>
      </c>
      <c r="O2249" s="525">
        <f t="shared" si="600"/>
        <v>0</v>
      </c>
      <c r="P2249" s="525">
        <f t="shared" si="600"/>
        <v>0</v>
      </c>
      <c r="Q2249" s="525"/>
      <c r="S2249" s="405">
        <f t="shared" ref="S2249:S2284" si="601">IFERROR(VLOOKUP(B2249,DONGIA,$S$25,0),0)</f>
        <v>1.2350000000000001</v>
      </c>
      <c r="T2249" s="405">
        <f t="shared" si="563"/>
        <v>0</v>
      </c>
    </row>
    <row r="2250" spans="2:20" s="405" customFormat="1">
      <c r="B2250" s="405" t="s">
        <v>1742</v>
      </c>
      <c r="C2250" s="418">
        <f>IF(H2250&lt;&gt;0,1,)</f>
        <v>1</v>
      </c>
      <c r="D2250" s="523"/>
      <c r="E2250" s="523">
        <f>VLOOKUP(B2250,DONGIA,DG!$B$6,0)</f>
        <v>0</v>
      </c>
      <c r="F2250" s="666" t="str">
        <f>VLOOKUP(B2250,DONGIA,DG!$C$6,0)&amp;" (SDL)"</f>
        <v>Cáp đồng bọc CV95 (SDL)</v>
      </c>
      <c r="G2250" s="523" t="str">
        <f>VLOOKUP(B2250,DONGIA,DG!$D$6,0)</f>
        <v>mét</v>
      </c>
      <c r="H2250" s="525">
        <v>27</v>
      </c>
      <c r="I2250" s="525"/>
      <c r="J2250" s="525"/>
      <c r="K2250" s="525">
        <f>VLOOKUP(B2250,DONGIA,DG!$F$6,0)</f>
        <v>0</v>
      </c>
      <c r="L2250" s="525">
        <f>VLOOKUP(B2250,DONGIA,DG!$G$6,0)</f>
        <v>0</v>
      </c>
      <c r="M2250" s="525">
        <f t="shared" si="600"/>
        <v>0</v>
      </c>
      <c r="N2250" s="525">
        <f t="shared" si="600"/>
        <v>0</v>
      </c>
      <c r="O2250" s="525">
        <f t="shared" si="600"/>
        <v>0</v>
      </c>
      <c r="P2250" s="525">
        <f t="shared" si="600"/>
        <v>0</v>
      </c>
      <c r="Q2250" s="525"/>
      <c r="S2250" s="405">
        <f t="shared" si="601"/>
        <v>1.008</v>
      </c>
      <c r="T2250" s="405">
        <f>H2250*S2250</f>
        <v>27.216000000000001</v>
      </c>
    </row>
    <row r="2251" spans="2:20" s="405" customFormat="1">
      <c r="B2251" s="405" t="s">
        <v>1907</v>
      </c>
      <c r="C2251" s="418">
        <f>IF(H2251&lt;&gt;0,1,)</f>
        <v>1</v>
      </c>
      <c r="D2251" s="523"/>
      <c r="E2251" s="523">
        <f>VLOOKUP(B2251,DONGIA,DG!$B$6,0)</f>
        <v>0</v>
      </c>
      <c r="F2251" s="666" t="str">
        <f>VLOOKUP(B2251,DONGIA,DG!$C$6,0)&amp;" (SDL)"</f>
        <v>Cáp đồng bọc CV70 (SDL)</v>
      </c>
      <c r="G2251" s="523" t="str">
        <f>VLOOKUP(B2251,DONGIA,DG!$D$6,0)</f>
        <v>mét</v>
      </c>
      <c r="H2251" s="525">
        <v>36</v>
      </c>
      <c r="I2251" s="525"/>
      <c r="J2251" s="525"/>
      <c r="K2251" s="525">
        <f>VLOOKUP(B2251,DONGIA,DG!$F$6,0)</f>
        <v>0</v>
      </c>
      <c r="L2251" s="525">
        <f>VLOOKUP(B2251,DONGIA,DG!$G$6,0)</f>
        <v>0</v>
      </c>
      <c r="M2251" s="525">
        <f t="shared" si="600"/>
        <v>0</v>
      </c>
      <c r="N2251" s="525">
        <f t="shared" si="600"/>
        <v>0</v>
      </c>
      <c r="O2251" s="525">
        <f t="shared" si="600"/>
        <v>0</v>
      </c>
      <c r="P2251" s="525">
        <f t="shared" si="600"/>
        <v>0</v>
      </c>
      <c r="Q2251" s="525"/>
      <c r="S2251" s="405">
        <f t="shared" si="601"/>
        <v>0.73899999999999999</v>
      </c>
      <c r="T2251" s="405">
        <f>H2251*S2251</f>
        <v>26.603999999999999</v>
      </c>
    </row>
    <row r="2252" spans="2:20" s="405" customFormat="1">
      <c r="B2252" s="405" t="s">
        <v>1906</v>
      </c>
      <c r="C2252" s="418">
        <f>IF(H2252&lt;&gt;0,1,)</f>
        <v>1</v>
      </c>
      <c r="D2252" s="523"/>
      <c r="E2252" s="523">
        <f>VLOOKUP(B2252,DONGIA,DG!$B$6,0)</f>
        <v>0</v>
      </c>
      <c r="F2252" s="666" t="str">
        <f>VLOOKUP(B2252,DONGIA,DG!$C$6,0)&amp;" (SDL)"</f>
        <v>Cáp đồng bọc CV50 (SDL)</v>
      </c>
      <c r="G2252" s="523" t="str">
        <f>VLOOKUP(B2252,DONGIA,DG!$D$6,0)</f>
        <v>mét</v>
      </c>
      <c r="H2252" s="525">
        <v>9</v>
      </c>
      <c r="I2252" s="525"/>
      <c r="J2252" s="525"/>
      <c r="K2252" s="525">
        <f>VLOOKUP(B2252,DONGIA,DG!$F$6,0)</f>
        <v>0</v>
      </c>
      <c r="L2252" s="525">
        <f>VLOOKUP(B2252,DONGIA,DG!$G$6,0)</f>
        <v>0</v>
      </c>
      <c r="M2252" s="525">
        <f t="shared" si="600"/>
        <v>0</v>
      </c>
      <c r="N2252" s="525">
        <f t="shared" si="600"/>
        <v>0</v>
      </c>
      <c r="O2252" s="525">
        <f t="shared" si="600"/>
        <v>0</v>
      </c>
      <c r="P2252" s="525">
        <f t="shared" si="600"/>
        <v>0</v>
      </c>
      <c r="Q2252" s="525"/>
      <c r="S2252" s="405">
        <f t="shared" si="601"/>
        <v>0.53400000000000003</v>
      </c>
      <c r="T2252" s="405">
        <f>H2252*S2252</f>
        <v>4.806</v>
      </c>
    </row>
    <row r="2253" spans="2:20" s="405" customFormat="1" hidden="1">
      <c r="B2253" s="405" t="s">
        <v>1742</v>
      </c>
      <c r="C2253" s="418">
        <f t="shared" si="562"/>
        <v>0</v>
      </c>
      <c r="D2253" s="523"/>
      <c r="E2253" s="523">
        <f>VLOOKUP(B2253,DONGIA,DG!$B$6,0)</f>
        <v>0</v>
      </c>
      <c r="F2253" s="525" t="str">
        <f>VLOOKUP(B2253,DONGIA,DG!$C$6,0)</f>
        <v>Cáp đồng bọc CV95</v>
      </c>
      <c r="G2253" s="523" t="str">
        <f>VLOOKUP(B2253,DONGIA,DG!$D$6,0)</f>
        <v>mét</v>
      </c>
      <c r="H2253" s="525"/>
      <c r="I2253" s="525">
        <f>VLOOKUP(B2253,DONGIA,DG!$E$6,0)</f>
        <v>196130</v>
      </c>
      <c r="J2253" s="525"/>
      <c r="K2253" s="525">
        <f>VLOOKUP(B2253,DONGIA,DG!$F$6,0)</f>
        <v>0</v>
      </c>
      <c r="L2253" s="525">
        <f>VLOOKUP(B2253,DONGIA,DG!$G$6,0)</f>
        <v>0</v>
      </c>
      <c r="M2253" s="525">
        <f t="shared" ref="M2253:M2284" si="602">$H2253*I2253</f>
        <v>0</v>
      </c>
      <c r="N2253" s="525">
        <f t="shared" ref="N2253:N2284" si="603">$H2253*J2253</f>
        <v>0</v>
      </c>
      <c r="O2253" s="525">
        <f t="shared" ref="O2253:O2284" si="604">$H2253*K2253</f>
        <v>0</v>
      </c>
      <c r="P2253" s="525">
        <f t="shared" ref="P2253:P2284" si="605">$H2253*L2253</f>
        <v>0</v>
      </c>
      <c r="Q2253" s="525"/>
      <c r="S2253" s="405">
        <f t="shared" si="601"/>
        <v>1.008</v>
      </c>
      <c r="T2253" s="405">
        <f t="shared" si="563"/>
        <v>0</v>
      </c>
    </row>
    <row r="2254" spans="2:20" s="405" customFormat="1" hidden="1">
      <c r="B2254" s="405" t="s">
        <v>1907</v>
      </c>
      <c r="C2254" s="418">
        <f t="shared" si="562"/>
        <v>0</v>
      </c>
      <c r="D2254" s="523"/>
      <c r="E2254" s="523">
        <f>VLOOKUP(B2254,DONGIA,DG!$B$6,0)</f>
        <v>0</v>
      </c>
      <c r="F2254" s="525" t="str">
        <f>VLOOKUP(B2254,DONGIA,DG!$C$6,0)</f>
        <v>Cáp đồng bọc CV70</v>
      </c>
      <c r="G2254" s="523" t="str">
        <f>VLOOKUP(B2254,DONGIA,DG!$D$6,0)</f>
        <v>mét</v>
      </c>
      <c r="H2254" s="525"/>
      <c r="I2254" s="525">
        <f>VLOOKUP(B2254,DONGIA,DG!$E$6,0)</f>
        <v>142880</v>
      </c>
      <c r="J2254" s="525"/>
      <c r="K2254" s="525">
        <f>VLOOKUP(B2254,DONGIA,DG!$F$6,0)</f>
        <v>0</v>
      </c>
      <c r="L2254" s="525">
        <f>VLOOKUP(B2254,DONGIA,DG!$G$6,0)</f>
        <v>0</v>
      </c>
      <c r="M2254" s="525">
        <f t="shared" si="602"/>
        <v>0</v>
      </c>
      <c r="N2254" s="525">
        <f t="shared" si="603"/>
        <v>0</v>
      </c>
      <c r="O2254" s="525">
        <f t="shared" si="604"/>
        <v>0</v>
      </c>
      <c r="P2254" s="525">
        <f t="shared" si="605"/>
        <v>0</v>
      </c>
      <c r="Q2254" s="525"/>
      <c r="S2254" s="405">
        <f t="shared" si="601"/>
        <v>0.73899999999999999</v>
      </c>
      <c r="T2254" s="405">
        <f t="shared" si="563"/>
        <v>0</v>
      </c>
    </row>
    <row r="2255" spans="2:20" s="405" customFormat="1" hidden="1">
      <c r="B2255" s="405" t="s">
        <v>1906</v>
      </c>
      <c r="C2255" s="418">
        <f t="shared" ref="C2255:C2284" si="606">IF(H2255&lt;&gt;0,1,)</f>
        <v>0</v>
      </c>
      <c r="D2255" s="523"/>
      <c r="E2255" s="523">
        <f>VLOOKUP(B2255,DONGIA,DG!$B$6,0)</f>
        <v>0</v>
      </c>
      <c r="F2255" s="525" t="str">
        <f>VLOOKUP(B2255,DONGIA,DG!$C$6,0)</f>
        <v>Cáp đồng bọc CV50</v>
      </c>
      <c r="G2255" s="523" t="str">
        <f>VLOOKUP(B2255,DONGIA,DG!$D$6,0)</f>
        <v>mét</v>
      </c>
      <c r="H2255" s="525"/>
      <c r="I2255" s="525">
        <f>VLOOKUP(B2255,DONGIA,DG!$E$6,0)</f>
        <v>104370</v>
      </c>
      <c r="J2255" s="525"/>
      <c r="K2255" s="525">
        <f>VLOOKUP(B2255,DONGIA,DG!$F$6,0)</f>
        <v>0</v>
      </c>
      <c r="L2255" s="525">
        <f>VLOOKUP(B2255,DONGIA,DG!$G$6,0)</f>
        <v>0</v>
      </c>
      <c r="M2255" s="525">
        <f t="shared" ref="M2255:P2256" si="607">$H2255*I2255</f>
        <v>0</v>
      </c>
      <c r="N2255" s="525">
        <f t="shared" si="607"/>
        <v>0</v>
      </c>
      <c r="O2255" s="525">
        <f t="shared" si="607"/>
        <v>0</v>
      </c>
      <c r="P2255" s="525">
        <f t="shared" si="607"/>
        <v>0</v>
      </c>
      <c r="Q2255" s="525"/>
      <c r="S2255" s="405">
        <f t="shared" si="601"/>
        <v>0.53400000000000003</v>
      </c>
      <c r="T2255" s="405">
        <f t="shared" ref="T2255:T2284" si="608">H2255*S2255</f>
        <v>0</v>
      </c>
    </row>
    <row r="2256" spans="2:20" s="405" customFormat="1" hidden="1">
      <c r="B2256" s="405" t="s">
        <v>1116</v>
      </c>
      <c r="C2256" s="418">
        <f t="shared" si="606"/>
        <v>0</v>
      </c>
      <c r="D2256" s="523"/>
      <c r="E2256" s="523"/>
      <c r="F2256" s="525" t="str">
        <f>VLOOKUP(B2256,DONGIA,DG!$C$6,0)</f>
        <v>Đầu cosse ép Cu 95mm2</v>
      </c>
      <c r="G2256" s="523" t="str">
        <f>VLOOKUP(B2256,DONGIA,DG!$D$6,0)</f>
        <v>cái</v>
      </c>
      <c r="H2256" s="525"/>
      <c r="I2256" s="525">
        <f>VLOOKUP(B2256,DONGIA,DG!$E$6,0)</f>
        <v>45000</v>
      </c>
      <c r="J2256" s="525"/>
      <c r="K2256" s="525"/>
      <c r="L2256" s="525"/>
      <c r="M2256" s="525">
        <f t="shared" si="607"/>
        <v>0</v>
      </c>
      <c r="N2256" s="525">
        <f t="shared" si="607"/>
        <v>0</v>
      </c>
      <c r="O2256" s="525">
        <f t="shared" si="607"/>
        <v>0</v>
      </c>
      <c r="P2256" s="525">
        <f t="shared" si="607"/>
        <v>0</v>
      </c>
      <c r="Q2256" s="525"/>
      <c r="S2256" s="405">
        <f t="shared" si="601"/>
        <v>0.2</v>
      </c>
      <c r="T2256" s="405">
        <f t="shared" si="608"/>
        <v>0</v>
      </c>
    </row>
    <row r="2257" spans="2:20" s="405" customFormat="1" hidden="1">
      <c r="B2257" s="405" t="s">
        <v>1113</v>
      </c>
      <c r="C2257" s="418">
        <f t="shared" si="606"/>
        <v>0</v>
      </c>
      <c r="D2257" s="523"/>
      <c r="E2257" s="523"/>
      <c r="F2257" s="525" t="str">
        <f>VLOOKUP(B2257,DONGIA,DG!$C$6,0)</f>
        <v>Đầu cosse ép Cu 70mm2</v>
      </c>
      <c r="G2257" s="523" t="str">
        <f>VLOOKUP(B2257,DONGIA,DG!$D$6,0)</f>
        <v>cái</v>
      </c>
      <c r="H2257" s="525"/>
      <c r="I2257" s="525">
        <f>VLOOKUP(B2257,DONGIA,DG!$E$6,0)</f>
        <v>33000</v>
      </c>
      <c r="J2257" s="525"/>
      <c r="K2257" s="525"/>
      <c r="L2257" s="525"/>
      <c r="M2257" s="525">
        <f t="shared" si="602"/>
        <v>0</v>
      </c>
      <c r="N2257" s="525">
        <f t="shared" si="603"/>
        <v>0</v>
      </c>
      <c r="O2257" s="525">
        <f t="shared" si="604"/>
        <v>0</v>
      </c>
      <c r="P2257" s="525">
        <f t="shared" si="605"/>
        <v>0</v>
      </c>
      <c r="Q2257" s="525"/>
      <c r="S2257" s="405">
        <f t="shared" si="601"/>
        <v>0.2</v>
      </c>
      <c r="T2257" s="405">
        <f t="shared" si="608"/>
        <v>0</v>
      </c>
    </row>
    <row r="2258" spans="2:20" s="405" customFormat="1" hidden="1">
      <c r="B2258" s="405" t="s">
        <v>1110</v>
      </c>
      <c r="C2258" s="418">
        <f t="shared" si="606"/>
        <v>0</v>
      </c>
      <c r="D2258" s="523"/>
      <c r="E2258" s="523"/>
      <c r="F2258" s="525" t="str">
        <f>VLOOKUP(B2258,DONGIA,DG!$C$6,0)</f>
        <v>Đầu cosse ép Cu 50mm2</v>
      </c>
      <c r="G2258" s="523" t="str">
        <f>VLOOKUP(B2258,DONGIA,DG!$D$6,0)</f>
        <v>cái</v>
      </c>
      <c r="H2258" s="525"/>
      <c r="I2258" s="525">
        <f>VLOOKUP(B2258,DONGIA,DG!$E$6,0)</f>
        <v>23000</v>
      </c>
      <c r="J2258" s="525"/>
      <c r="K2258" s="525"/>
      <c r="L2258" s="525"/>
      <c r="M2258" s="525">
        <f t="shared" si="602"/>
        <v>0</v>
      </c>
      <c r="N2258" s="525">
        <f t="shared" si="603"/>
        <v>0</v>
      </c>
      <c r="O2258" s="525">
        <f t="shared" si="604"/>
        <v>0</v>
      </c>
      <c r="P2258" s="525">
        <f t="shared" si="605"/>
        <v>0</v>
      </c>
      <c r="Q2258" s="525"/>
      <c r="S2258" s="405">
        <f t="shared" si="601"/>
        <v>0.1</v>
      </c>
      <c r="T2258" s="405">
        <f t="shared" si="608"/>
        <v>0</v>
      </c>
    </row>
    <row r="2259" spans="2:20" s="405" customFormat="1" hidden="1">
      <c r="B2259" s="405" t="s">
        <v>1149</v>
      </c>
      <c r="C2259" s="418">
        <f t="shared" si="606"/>
        <v>0</v>
      </c>
      <c r="D2259" s="523"/>
      <c r="E2259" s="523">
        <f>VLOOKUP(B2259,DONGIA,DG!$B$6,0)</f>
        <v>0</v>
      </c>
      <c r="F2259" s="525" t="str">
        <f>VLOOKUP(B2259,DONGIA,DG!$C$6,0)</f>
        <v>Chụp đầu cosse  95mm2</v>
      </c>
      <c r="G2259" s="523" t="str">
        <f>VLOOKUP(B2259,DONGIA,DG!$D$6,0)</f>
        <v>cái</v>
      </c>
      <c r="H2259" s="525"/>
      <c r="I2259" s="525">
        <f>VLOOKUP(B2259,DONGIA,DG!$E$6,0)</f>
        <v>3000</v>
      </c>
      <c r="J2259" s="525"/>
      <c r="K2259" s="525">
        <f>VLOOKUP(B2259,DONGIA,DG!$F$6,0)</f>
        <v>0</v>
      </c>
      <c r="L2259" s="525">
        <f>VLOOKUP(B2259,DONGIA,DG!$G$6,0)</f>
        <v>0</v>
      </c>
      <c r="M2259" s="525">
        <f>$H2259*I2259</f>
        <v>0</v>
      </c>
      <c r="N2259" s="525">
        <f>$H2259*J2259</f>
        <v>0</v>
      </c>
      <c r="O2259" s="525">
        <f>$H2259*K2259</f>
        <v>0</v>
      </c>
      <c r="P2259" s="525">
        <f>$H2259*L2259</f>
        <v>0</v>
      </c>
      <c r="Q2259" s="525"/>
      <c r="S2259" s="405">
        <f t="shared" si="601"/>
        <v>0</v>
      </c>
      <c r="T2259" s="405">
        <f t="shared" si="608"/>
        <v>0</v>
      </c>
    </row>
    <row r="2260" spans="2:20" s="405" customFormat="1" hidden="1">
      <c r="B2260" s="405" t="s">
        <v>1147</v>
      </c>
      <c r="C2260" s="418">
        <f t="shared" si="606"/>
        <v>0</v>
      </c>
      <c r="D2260" s="523"/>
      <c r="E2260" s="523">
        <f>VLOOKUP(B2260,DONGIA,DG!$B$6,0)</f>
        <v>0</v>
      </c>
      <c r="F2260" s="525" t="str">
        <f>VLOOKUP(B2260,DONGIA,DG!$C$6,0)</f>
        <v>Chụp đầu cosse  70mm2</v>
      </c>
      <c r="G2260" s="523" t="str">
        <f>VLOOKUP(B2260,DONGIA,DG!$D$6,0)</f>
        <v>cái</v>
      </c>
      <c r="H2260" s="525"/>
      <c r="I2260" s="525">
        <f>VLOOKUP(B2260,DONGIA,DG!$E$6,0)</f>
        <v>2000</v>
      </c>
      <c r="J2260" s="525"/>
      <c r="K2260" s="525">
        <f>VLOOKUP(B2260,DONGIA,DG!$F$6,0)</f>
        <v>0</v>
      </c>
      <c r="L2260" s="525">
        <f>VLOOKUP(B2260,DONGIA,DG!$G$6,0)</f>
        <v>0</v>
      </c>
      <c r="M2260" s="525">
        <f t="shared" si="602"/>
        <v>0</v>
      </c>
      <c r="N2260" s="525">
        <f t="shared" si="603"/>
        <v>0</v>
      </c>
      <c r="O2260" s="525">
        <f t="shared" si="604"/>
        <v>0</v>
      </c>
      <c r="P2260" s="525">
        <f t="shared" si="605"/>
        <v>0</v>
      </c>
      <c r="Q2260" s="525"/>
      <c r="S2260" s="405">
        <f t="shared" si="601"/>
        <v>0</v>
      </c>
      <c r="T2260" s="405">
        <f t="shared" si="608"/>
        <v>0</v>
      </c>
    </row>
    <row r="2261" spans="2:20" s="405" customFormat="1" hidden="1">
      <c r="B2261" s="405" t="s">
        <v>1145</v>
      </c>
      <c r="C2261" s="418">
        <f t="shared" si="606"/>
        <v>0</v>
      </c>
      <c r="D2261" s="523"/>
      <c r="E2261" s="523">
        <f>VLOOKUP(B2261,DONGIA,DG!$B$6,0)</f>
        <v>0</v>
      </c>
      <c r="F2261" s="525" t="str">
        <f>VLOOKUP(B2261,DONGIA,DG!$C$6,0)</f>
        <v>Chụp đầu cosse  50mm2</v>
      </c>
      <c r="G2261" s="523" t="str">
        <f>VLOOKUP(B2261,DONGIA,DG!$D$6,0)</f>
        <v>cái</v>
      </c>
      <c r="H2261" s="525"/>
      <c r="I2261" s="525">
        <f>VLOOKUP(B2261,DONGIA,DG!$E$6,0)</f>
        <v>2000</v>
      </c>
      <c r="J2261" s="525"/>
      <c r="K2261" s="525">
        <f>VLOOKUP(B2261,DONGIA,DG!$F$6,0)</f>
        <v>0</v>
      </c>
      <c r="L2261" s="525">
        <f>VLOOKUP(B2261,DONGIA,DG!$G$6,0)</f>
        <v>0</v>
      </c>
      <c r="M2261" s="525">
        <f t="shared" si="602"/>
        <v>0</v>
      </c>
      <c r="N2261" s="525">
        <f t="shared" si="603"/>
        <v>0</v>
      </c>
      <c r="O2261" s="525">
        <f t="shared" si="604"/>
        <v>0</v>
      </c>
      <c r="P2261" s="525">
        <f t="shared" si="605"/>
        <v>0</v>
      </c>
      <c r="Q2261" s="525"/>
      <c r="S2261" s="405">
        <f t="shared" si="601"/>
        <v>0</v>
      </c>
      <c r="T2261" s="405">
        <f t="shared" si="608"/>
        <v>0</v>
      </c>
    </row>
    <row r="2262" spans="2:20" s="405" customFormat="1">
      <c r="B2262" s="405" t="s">
        <v>1177</v>
      </c>
      <c r="C2262" s="418">
        <f t="shared" si="606"/>
        <v>1</v>
      </c>
      <c r="D2262" s="523"/>
      <c r="E2262" s="523">
        <f>VLOOKUP(B2262,DONGIA,DG!$B$6,0)</f>
        <v>0</v>
      </c>
      <c r="F2262" s="666" t="str">
        <f>VLOOKUP(B2262,DONGIA,DG!$C$6,0)&amp;" (SDL)"</f>
        <v>Ống PVC D90x3,8mm  (SDL)</v>
      </c>
      <c r="G2262" s="523" t="str">
        <f>VLOOKUP(B2262,DONGIA,DG!$D$6,0)</f>
        <v>m</v>
      </c>
      <c r="H2262" s="525">
        <v>12</v>
      </c>
      <c r="I2262" s="525"/>
      <c r="J2262" s="525"/>
      <c r="K2262" s="525">
        <f>VLOOKUP(B2262,DONGIA,DG!$F$6,0)</f>
        <v>0</v>
      </c>
      <c r="L2262" s="525">
        <f>VLOOKUP(B2262,DONGIA,DG!$G$6,0)</f>
        <v>0</v>
      </c>
      <c r="M2262" s="525">
        <f t="shared" si="602"/>
        <v>0</v>
      </c>
      <c r="N2262" s="525">
        <f t="shared" si="603"/>
        <v>0</v>
      </c>
      <c r="O2262" s="525">
        <f t="shared" si="604"/>
        <v>0</v>
      </c>
      <c r="P2262" s="525">
        <f t="shared" si="605"/>
        <v>0</v>
      </c>
      <c r="Q2262" s="525"/>
      <c r="S2262" s="405">
        <f t="shared" si="601"/>
        <v>2</v>
      </c>
      <c r="T2262" s="405">
        <f t="shared" si="608"/>
        <v>24</v>
      </c>
    </row>
    <row r="2263" spans="2:20" s="405" customFormat="1" hidden="1">
      <c r="B2263" s="405" t="s">
        <v>1177</v>
      </c>
      <c r="C2263" s="418">
        <f t="shared" si="606"/>
        <v>0</v>
      </c>
      <c r="D2263" s="523"/>
      <c r="E2263" s="523">
        <f>VLOOKUP(B2263,DONGIA,DG!$B$6,0)</f>
        <v>0</v>
      </c>
      <c r="F2263" s="525" t="str">
        <f>VLOOKUP(B2263,DONGIA,DG!$C$6,0)</f>
        <v xml:space="preserve">Ống PVC D90x3,8mm </v>
      </c>
      <c r="G2263" s="523" t="str">
        <f>VLOOKUP(B2263,DONGIA,DG!$D$6,0)</f>
        <v>m</v>
      </c>
      <c r="H2263" s="525"/>
      <c r="I2263" s="525">
        <f>VLOOKUP(B2263,DONGIA,DG!$E$6,0)</f>
        <v>57000</v>
      </c>
      <c r="J2263" s="525"/>
      <c r="K2263" s="525">
        <f>VLOOKUP(B2263,DONGIA,DG!$F$6,0)</f>
        <v>0</v>
      </c>
      <c r="L2263" s="525">
        <f>VLOOKUP(B2263,DONGIA,DG!$G$6,0)</f>
        <v>0</v>
      </c>
      <c r="M2263" s="525">
        <f t="shared" si="602"/>
        <v>0</v>
      </c>
      <c r="N2263" s="525">
        <f t="shared" si="603"/>
        <v>0</v>
      </c>
      <c r="O2263" s="525">
        <f t="shared" si="604"/>
        <v>0</v>
      </c>
      <c r="P2263" s="525">
        <f t="shared" si="605"/>
        <v>0</v>
      </c>
      <c r="Q2263" s="525"/>
      <c r="S2263" s="405">
        <f t="shared" si="601"/>
        <v>2</v>
      </c>
      <c r="T2263" s="405">
        <f t="shared" si="608"/>
        <v>0</v>
      </c>
    </row>
    <row r="2264" spans="2:20" s="405" customFormat="1" hidden="1">
      <c r="B2264" s="405" t="s">
        <v>1175</v>
      </c>
      <c r="C2264" s="418">
        <f t="shared" si="606"/>
        <v>0</v>
      </c>
      <c r="D2264" s="523"/>
      <c r="E2264" s="523">
        <f>VLOOKUP(B2264,DONGIA,DG!$B$6,0)</f>
        <v>0</v>
      </c>
      <c r="F2264" s="525" t="str">
        <f>VLOOKUP(B2264,DONGIA,DG!$C$6,0)</f>
        <v xml:space="preserve">Ống PVC D114x4,9mm </v>
      </c>
      <c r="G2264" s="523" t="str">
        <f>VLOOKUP(B2264,DONGIA,DG!$D$6,0)</f>
        <v>m</v>
      </c>
      <c r="H2264" s="525"/>
      <c r="I2264" s="525">
        <f>VLOOKUP(B2264,DONGIA,DG!$E$6,0)</f>
        <v>102000</v>
      </c>
      <c r="J2264" s="525"/>
      <c r="K2264" s="525">
        <f>VLOOKUP(B2264,DONGIA,DG!$F$6,0)</f>
        <v>0</v>
      </c>
      <c r="L2264" s="525">
        <f>VLOOKUP(B2264,DONGIA,DG!$G$6,0)</f>
        <v>0</v>
      </c>
      <c r="M2264" s="525">
        <f>$H2264*I2264</f>
        <v>0</v>
      </c>
      <c r="N2264" s="525">
        <f>$H2264*J2264</f>
        <v>0</v>
      </c>
      <c r="O2264" s="525">
        <f>$H2264*K2264</f>
        <v>0</v>
      </c>
      <c r="P2264" s="525">
        <f>$H2264*L2264</f>
        <v>0</v>
      </c>
      <c r="Q2264" s="525"/>
      <c r="S2264" s="405">
        <f t="shared" si="601"/>
        <v>2</v>
      </c>
      <c r="T2264" s="405">
        <f t="shared" si="608"/>
        <v>0</v>
      </c>
    </row>
    <row r="2265" spans="2:20" s="405" customFormat="1">
      <c r="B2265" s="405" t="s">
        <v>2855</v>
      </c>
      <c r="C2265" s="418">
        <f t="shared" si="606"/>
        <v>1</v>
      </c>
      <c r="D2265" s="523"/>
      <c r="E2265" s="523"/>
      <c r="F2265" s="666" t="str">
        <f>VLOOKUP(B2265,DONGIA,DG!$C$6,0)&amp;" (CD: 230)"</f>
        <v>Cổ dê kẹp ống PVC φ 90 trụ ghép (có giá nới) (CD: 230)</v>
      </c>
      <c r="G2265" s="523" t="str">
        <f>VLOOKUP(B2265,DONGIA,DG!$D$6,0)</f>
        <v>bộ</v>
      </c>
      <c r="H2265" s="525">
        <v>2</v>
      </c>
      <c r="I2265" s="525">
        <f>VLOOKUP(B2265,DONGIA,DG!$E$6,0)</f>
        <v>125000</v>
      </c>
      <c r="J2265" s="525"/>
      <c r="K2265" s="525"/>
      <c r="L2265" s="525">
        <f>VLOOKUP(B2265,DONGIA,DG!$G$6,0)</f>
        <v>0</v>
      </c>
      <c r="M2265" s="525">
        <f t="shared" si="602"/>
        <v>250000</v>
      </c>
      <c r="N2265" s="525">
        <f t="shared" si="603"/>
        <v>0</v>
      </c>
      <c r="O2265" s="525">
        <f t="shared" si="604"/>
        <v>0</v>
      </c>
      <c r="P2265" s="525">
        <f t="shared" si="605"/>
        <v>0</v>
      </c>
      <c r="Q2265" s="525"/>
      <c r="S2265" s="405">
        <f t="shared" si="601"/>
        <v>1.5</v>
      </c>
      <c r="T2265" s="405">
        <f t="shared" si="608"/>
        <v>3</v>
      </c>
    </row>
    <row r="2266" spans="2:20" s="405" customFormat="1">
      <c r="B2266" s="405" t="s">
        <v>2855</v>
      </c>
      <c r="C2266" s="418">
        <f t="shared" si="606"/>
        <v>1</v>
      </c>
      <c r="D2266" s="523"/>
      <c r="E2266" s="523"/>
      <c r="F2266" s="666" t="str">
        <f>VLOOKUP(B2266,DONGIA,DG!$C$6,0)&amp;" (CD: 280)"</f>
        <v>Cổ dê kẹp ống PVC φ 90 trụ ghép (có giá nới) (CD: 280)</v>
      </c>
      <c r="G2266" s="523" t="str">
        <f>VLOOKUP(B2266,DONGIA,DG!$D$6,0)</f>
        <v>bộ</v>
      </c>
      <c r="H2266" s="525">
        <v>2</v>
      </c>
      <c r="I2266" s="525">
        <f>VLOOKUP(B2266,DONGIA,DG!$E$6,0)</f>
        <v>125000</v>
      </c>
      <c r="J2266" s="525"/>
      <c r="K2266" s="525"/>
      <c r="L2266" s="525">
        <f>VLOOKUP(B2266,DONGIA,DG!$G$6,0)</f>
        <v>0</v>
      </c>
      <c r="M2266" s="525">
        <f t="shared" si="602"/>
        <v>250000</v>
      </c>
      <c r="N2266" s="525">
        <f t="shared" si="603"/>
        <v>0</v>
      </c>
      <c r="O2266" s="525">
        <f t="shared" si="604"/>
        <v>0</v>
      </c>
      <c r="P2266" s="525">
        <f t="shared" si="605"/>
        <v>0</v>
      </c>
      <c r="Q2266" s="525"/>
      <c r="S2266" s="405">
        <f t="shared" si="601"/>
        <v>1.5</v>
      </c>
      <c r="T2266" s="405">
        <f t="shared" si="608"/>
        <v>3</v>
      </c>
    </row>
    <row r="2267" spans="2:20" s="405" customFormat="1">
      <c r="B2267" s="405" t="s">
        <v>2855</v>
      </c>
      <c r="C2267" s="418">
        <f t="shared" si="606"/>
        <v>1</v>
      </c>
      <c r="D2267" s="523"/>
      <c r="E2267" s="523"/>
      <c r="F2267" s="666" t="str">
        <f>VLOOKUP(B2267,DONGIA,DG!$C$6,0)&amp;" (CD: 320)"</f>
        <v>Cổ dê kẹp ống PVC φ 90 trụ ghép (có giá nới) (CD: 320)</v>
      </c>
      <c r="G2267" s="523" t="str">
        <f>VLOOKUP(B2267,DONGIA,DG!$D$6,0)</f>
        <v>bộ</v>
      </c>
      <c r="H2267" s="525">
        <v>2</v>
      </c>
      <c r="I2267" s="525">
        <f>VLOOKUP(B2267,DONGIA,DG!$E$6,0)</f>
        <v>125000</v>
      </c>
      <c r="J2267" s="525"/>
      <c r="K2267" s="525"/>
      <c r="L2267" s="525">
        <f>VLOOKUP(B2267,DONGIA,DG!$G$6,0)</f>
        <v>0</v>
      </c>
      <c r="M2267" s="525">
        <f t="shared" si="602"/>
        <v>250000</v>
      </c>
      <c r="N2267" s="525">
        <f t="shared" si="603"/>
        <v>0</v>
      </c>
      <c r="O2267" s="525">
        <f t="shared" si="604"/>
        <v>0</v>
      </c>
      <c r="P2267" s="525">
        <f t="shared" si="605"/>
        <v>0</v>
      </c>
      <c r="Q2267" s="525"/>
      <c r="S2267" s="405">
        <f t="shared" si="601"/>
        <v>1.5</v>
      </c>
      <c r="T2267" s="405">
        <f t="shared" si="608"/>
        <v>3</v>
      </c>
    </row>
    <row r="2268" spans="2:20" s="405" customFormat="1" hidden="1">
      <c r="B2268" s="405" t="s">
        <v>2956</v>
      </c>
      <c r="C2268" s="418">
        <f t="shared" si="606"/>
        <v>0</v>
      </c>
      <c r="D2268" s="523"/>
      <c r="E2268" s="523">
        <f>VLOOKUP(B2268,DONGIA,DG!$B$6,0)</f>
        <v>0</v>
      </c>
      <c r="F2268" s="525" t="str">
        <f>VLOOKUP(B2268,DONGIA,DG!$C$6,0)</f>
        <v>Co  90 độ PVC 90 (Loại dày)</v>
      </c>
      <c r="G2268" s="523" t="str">
        <f>VLOOKUP(B2268,DONGIA,DG!$D$6,0)</f>
        <v>cái</v>
      </c>
      <c r="H2268" s="525"/>
      <c r="I2268" s="525">
        <f>VLOOKUP(B2268,DONGIA,DG!$E$6,0)</f>
        <v>45400</v>
      </c>
      <c r="J2268" s="525"/>
      <c r="K2268" s="525">
        <f>VLOOKUP(B2268,DONGIA,DG!$F$6,0)</f>
        <v>0</v>
      </c>
      <c r="L2268" s="525">
        <f>VLOOKUP(B2268,DONGIA,DG!$G$6,0)</f>
        <v>0</v>
      </c>
      <c r="M2268" s="525">
        <f>$H2268*I2268</f>
        <v>0</v>
      </c>
      <c r="N2268" s="525">
        <f>$H2268*J2268</f>
        <v>0</v>
      </c>
      <c r="O2268" s="525">
        <f>$H2268*K2268</f>
        <v>0</v>
      </c>
      <c r="P2268" s="525">
        <f>$H2268*L2268</f>
        <v>0</v>
      </c>
      <c r="Q2268" s="525"/>
      <c r="S2268" s="405">
        <f t="shared" si="601"/>
        <v>0</v>
      </c>
      <c r="T2268" s="405">
        <f t="shared" si="608"/>
        <v>0</v>
      </c>
    </row>
    <row r="2269" spans="2:20" s="405" customFormat="1" hidden="1">
      <c r="B2269" s="405" t="s">
        <v>1183</v>
      </c>
      <c r="C2269" s="418">
        <f t="shared" si="606"/>
        <v>0</v>
      </c>
      <c r="D2269" s="523"/>
      <c r="E2269" s="523">
        <f>VLOOKUP(B2269,DONGIA,DG!$B$6,0)</f>
        <v>0</v>
      </c>
      <c r="F2269" s="525" t="str">
        <f>VLOOKUP(B2269,DONGIA,DG!$C$6,0)</f>
        <v>Co  90 độ PVC 90</v>
      </c>
      <c r="G2269" s="523" t="str">
        <f>VLOOKUP(B2269,DONGIA,DG!$D$6,0)</f>
        <v>cái</v>
      </c>
      <c r="H2269" s="525"/>
      <c r="I2269" s="525">
        <f>VLOOKUP(B2269,DONGIA,DG!$E$6,0)</f>
        <v>45400</v>
      </c>
      <c r="J2269" s="525"/>
      <c r="K2269" s="525">
        <f>VLOOKUP(B2269,DONGIA,DG!$F$6,0)</f>
        <v>0</v>
      </c>
      <c r="L2269" s="525">
        <f>VLOOKUP(B2269,DONGIA,DG!$G$6,0)</f>
        <v>0</v>
      </c>
      <c r="M2269" s="525">
        <f t="shared" si="602"/>
        <v>0</v>
      </c>
      <c r="N2269" s="525">
        <f t="shared" si="603"/>
        <v>0</v>
      </c>
      <c r="O2269" s="525">
        <f t="shared" si="604"/>
        <v>0</v>
      </c>
      <c r="P2269" s="525">
        <f t="shared" si="605"/>
        <v>0</v>
      </c>
      <c r="Q2269" s="525"/>
      <c r="S2269" s="405">
        <f t="shared" si="601"/>
        <v>0</v>
      </c>
      <c r="T2269" s="405">
        <f t="shared" si="608"/>
        <v>0</v>
      </c>
    </row>
    <row r="2270" spans="2:20" s="405" customFormat="1" hidden="1">
      <c r="B2270" s="405" t="s">
        <v>1181</v>
      </c>
      <c r="C2270" s="418">
        <f t="shared" si="606"/>
        <v>0</v>
      </c>
      <c r="D2270" s="523"/>
      <c r="E2270" s="523">
        <f>VLOOKUP(B2270,DONGIA,DG!$B$6,0)</f>
        <v>0</v>
      </c>
      <c r="F2270" s="525" t="str">
        <f>VLOOKUP(B2270,DONGIA,DG!$C$6,0)</f>
        <v>Co 135 độ PVC 90</v>
      </c>
      <c r="G2270" s="523" t="str">
        <f>VLOOKUP(B2270,DONGIA,DG!$D$6,0)</f>
        <v>cái</v>
      </c>
      <c r="H2270" s="525"/>
      <c r="I2270" s="525">
        <f>VLOOKUP(B2270,DONGIA,DG!$E$6,0)</f>
        <v>34800</v>
      </c>
      <c r="J2270" s="525"/>
      <c r="K2270" s="525">
        <f>VLOOKUP(B2270,DONGIA,DG!$F$6,0)</f>
        <v>0</v>
      </c>
      <c r="L2270" s="525">
        <f>VLOOKUP(B2270,DONGIA,DG!$G$6,0)</f>
        <v>0</v>
      </c>
      <c r="M2270" s="525">
        <f t="shared" si="602"/>
        <v>0</v>
      </c>
      <c r="N2270" s="525">
        <f t="shared" si="603"/>
        <v>0</v>
      </c>
      <c r="O2270" s="525">
        <f t="shared" si="604"/>
        <v>0</v>
      </c>
      <c r="P2270" s="525">
        <f t="shared" si="605"/>
        <v>0</v>
      </c>
      <c r="Q2270" s="525"/>
      <c r="S2270" s="405">
        <f t="shared" si="601"/>
        <v>0</v>
      </c>
      <c r="T2270" s="405">
        <f t="shared" si="608"/>
        <v>0</v>
      </c>
    </row>
    <row r="2271" spans="2:20" s="405" customFormat="1" hidden="1">
      <c r="B2271" s="405" t="s">
        <v>1203</v>
      </c>
      <c r="C2271" s="418">
        <f t="shared" si="606"/>
        <v>0</v>
      </c>
      <c r="D2271" s="523"/>
      <c r="E2271" s="523">
        <f>VLOOKUP(B2271,DONGIA,DG!$B$6,0)</f>
        <v>0</v>
      </c>
      <c r="F2271" s="525" t="str">
        <f>VLOOKUP(B2271,DONGIA,DG!$C$6,0)</f>
        <v>Khâu ven răng trong D90</v>
      </c>
      <c r="G2271" s="523" t="str">
        <f>VLOOKUP(B2271,DONGIA,DG!$D$6,0)</f>
        <v>cái</v>
      </c>
      <c r="H2271" s="525"/>
      <c r="I2271" s="525">
        <f>VLOOKUP(B2271,DONGIA,DG!$E$6,0)</f>
        <v>25800</v>
      </c>
      <c r="J2271" s="525"/>
      <c r="K2271" s="525">
        <f>VLOOKUP(B2271,DONGIA,DG!$F$6,0)</f>
        <v>0</v>
      </c>
      <c r="L2271" s="525">
        <f>VLOOKUP(B2271,DONGIA,DG!$G$6,0)</f>
        <v>0</v>
      </c>
      <c r="M2271" s="525">
        <f t="shared" si="602"/>
        <v>0</v>
      </c>
      <c r="N2271" s="525">
        <f t="shared" si="603"/>
        <v>0</v>
      </c>
      <c r="O2271" s="525">
        <f t="shared" si="604"/>
        <v>0</v>
      </c>
      <c r="P2271" s="525">
        <f t="shared" si="605"/>
        <v>0</v>
      </c>
      <c r="Q2271" s="525"/>
      <c r="S2271" s="405">
        <f t="shared" si="601"/>
        <v>0</v>
      </c>
      <c r="T2271" s="405">
        <f t="shared" si="608"/>
        <v>0</v>
      </c>
    </row>
    <row r="2272" spans="2:20" s="405" customFormat="1" hidden="1">
      <c r="B2272" s="405" t="s">
        <v>1209</v>
      </c>
      <c r="C2272" s="418">
        <f t="shared" si="606"/>
        <v>0</v>
      </c>
      <c r="D2272" s="523"/>
      <c r="E2272" s="523">
        <f>VLOOKUP(B2272,DONGIA,DG!$B$6,0)</f>
        <v>0</v>
      </c>
      <c r="F2272" s="525" t="str">
        <f>VLOOKUP(B2272,DONGIA,DG!$C$6,0)</f>
        <v>Khâu ven răng ngoài D90</v>
      </c>
      <c r="G2272" s="523" t="str">
        <f>VLOOKUP(B2272,DONGIA,DG!$D$6,0)</f>
        <v>cái</v>
      </c>
      <c r="H2272" s="525"/>
      <c r="I2272" s="525">
        <f>VLOOKUP(B2272,DONGIA,DG!$E$6,0)</f>
        <v>21500</v>
      </c>
      <c r="J2272" s="525"/>
      <c r="K2272" s="525">
        <f>VLOOKUP(B2272,DONGIA,DG!$F$6,0)</f>
        <v>0</v>
      </c>
      <c r="L2272" s="525">
        <f>VLOOKUP(B2272,DONGIA,DG!$G$6,0)</f>
        <v>0</v>
      </c>
      <c r="M2272" s="525">
        <f t="shared" si="602"/>
        <v>0</v>
      </c>
      <c r="N2272" s="525">
        <f t="shared" si="603"/>
        <v>0</v>
      </c>
      <c r="O2272" s="525">
        <f t="shared" si="604"/>
        <v>0</v>
      </c>
      <c r="P2272" s="525">
        <f t="shared" si="605"/>
        <v>0</v>
      </c>
      <c r="Q2272" s="525"/>
      <c r="S2272" s="405">
        <f t="shared" si="601"/>
        <v>0</v>
      </c>
      <c r="T2272" s="405">
        <f t="shared" si="608"/>
        <v>0</v>
      </c>
    </row>
    <row r="2273" spans="2:20" s="405" customFormat="1" hidden="1">
      <c r="B2273" s="405" t="s">
        <v>1185</v>
      </c>
      <c r="C2273" s="418">
        <f t="shared" si="606"/>
        <v>0</v>
      </c>
      <c r="D2273" s="523"/>
      <c r="E2273" s="523">
        <f>VLOOKUP(B2273,DONGIA,DG!$B$6,0)</f>
        <v>0</v>
      </c>
      <c r="F2273" s="525" t="str">
        <f>VLOOKUP(B2273,DONGIA,DG!$C$6,0)</f>
        <v>Co  90 độ PVC 114</v>
      </c>
      <c r="G2273" s="523" t="str">
        <f>VLOOKUP(B2273,DONGIA,DG!$D$6,0)</f>
        <v>cái</v>
      </c>
      <c r="H2273" s="525"/>
      <c r="I2273" s="525">
        <f>VLOOKUP(B2273,DONGIA,DG!$E$6,0)</f>
        <v>104800</v>
      </c>
      <c r="J2273" s="525"/>
      <c r="K2273" s="525">
        <f>VLOOKUP(B2273,DONGIA,DG!$F$6,0)</f>
        <v>0</v>
      </c>
      <c r="L2273" s="525">
        <f>VLOOKUP(B2273,DONGIA,DG!$G$6,0)</f>
        <v>0</v>
      </c>
      <c r="M2273" s="525">
        <f t="shared" ref="M2273:P2276" si="609">$H2273*I2273</f>
        <v>0</v>
      </c>
      <c r="N2273" s="525">
        <f t="shared" si="609"/>
        <v>0</v>
      </c>
      <c r="O2273" s="525">
        <f t="shared" si="609"/>
        <v>0</v>
      </c>
      <c r="P2273" s="525">
        <f t="shared" si="609"/>
        <v>0</v>
      </c>
      <c r="Q2273" s="525"/>
      <c r="S2273" s="405">
        <f t="shared" si="601"/>
        <v>0</v>
      </c>
      <c r="T2273" s="405">
        <f t="shared" si="608"/>
        <v>0</v>
      </c>
    </row>
    <row r="2274" spans="2:20" s="405" customFormat="1" hidden="1">
      <c r="B2274" s="405" t="s">
        <v>1189</v>
      </c>
      <c r="C2274" s="418">
        <f t="shared" si="606"/>
        <v>0</v>
      </c>
      <c r="D2274" s="523"/>
      <c r="E2274" s="523">
        <f>VLOOKUP(B2274,DONGIA,DG!$B$6,0)</f>
        <v>0</v>
      </c>
      <c r="F2274" s="525" t="str">
        <f>VLOOKUP(B2274,DONGIA,DG!$C$6,0)</f>
        <v>Co 135 độ PVC 114</v>
      </c>
      <c r="G2274" s="523" t="str">
        <f>VLOOKUP(B2274,DONGIA,DG!$D$6,0)</f>
        <v>cái</v>
      </c>
      <c r="H2274" s="525"/>
      <c r="I2274" s="525">
        <f>VLOOKUP(B2274,DONGIA,DG!$E$6,0)</f>
        <v>70800</v>
      </c>
      <c r="J2274" s="525"/>
      <c r="K2274" s="525">
        <f>VLOOKUP(B2274,DONGIA,DG!$F$6,0)</f>
        <v>0</v>
      </c>
      <c r="L2274" s="525">
        <f>VLOOKUP(B2274,DONGIA,DG!$G$6,0)</f>
        <v>0</v>
      </c>
      <c r="M2274" s="525">
        <f t="shared" si="609"/>
        <v>0</v>
      </c>
      <c r="N2274" s="525">
        <f t="shared" si="609"/>
        <v>0</v>
      </c>
      <c r="O2274" s="525">
        <f t="shared" si="609"/>
        <v>0</v>
      </c>
      <c r="P2274" s="525">
        <f t="shared" si="609"/>
        <v>0</v>
      </c>
      <c r="Q2274" s="525"/>
      <c r="S2274" s="405">
        <f t="shared" si="601"/>
        <v>0</v>
      </c>
      <c r="T2274" s="405">
        <f t="shared" si="608"/>
        <v>0</v>
      </c>
    </row>
    <row r="2275" spans="2:20" s="405" customFormat="1" hidden="1">
      <c r="B2275" s="405" t="s">
        <v>1205</v>
      </c>
      <c r="C2275" s="418">
        <f t="shared" si="606"/>
        <v>0</v>
      </c>
      <c r="D2275" s="523"/>
      <c r="E2275" s="523">
        <f>VLOOKUP(B2275,DONGIA,DG!$B$6,0)</f>
        <v>0</v>
      </c>
      <c r="F2275" s="525" t="str">
        <f>VLOOKUP(B2275,DONGIA,DG!$C$6,0)</f>
        <v>Khâu ven răng trong D114</v>
      </c>
      <c r="G2275" s="523" t="str">
        <f>VLOOKUP(B2275,DONGIA,DG!$D$6,0)</f>
        <v>cái</v>
      </c>
      <c r="H2275" s="525"/>
      <c r="I2275" s="525">
        <f>VLOOKUP(B2275,DONGIA,DG!$E$6,0)</f>
        <v>35700</v>
      </c>
      <c r="J2275" s="525"/>
      <c r="K2275" s="525">
        <f>VLOOKUP(B2275,DONGIA,DG!$F$6,0)</f>
        <v>0</v>
      </c>
      <c r="L2275" s="525">
        <f>VLOOKUP(B2275,DONGIA,DG!$G$6,0)</f>
        <v>0</v>
      </c>
      <c r="M2275" s="525">
        <f t="shared" si="609"/>
        <v>0</v>
      </c>
      <c r="N2275" s="525">
        <f t="shared" si="609"/>
        <v>0</v>
      </c>
      <c r="O2275" s="525">
        <f t="shared" si="609"/>
        <v>0</v>
      </c>
      <c r="P2275" s="525">
        <f t="shared" si="609"/>
        <v>0</v>
      </c>
      <c r="Q2275" s="525"/>
      <c r="S2275" s="405">
        <f t="shared" si="601"/>
        <v>0</v>
      </c>
      <c r="T2275" s="405">
        <f t="shared" si="608"/>
        <v>0</v>
      </c>
    </row>
    <row r="2276" spans="2:20" s="405" customFormat="1" hidden="1">
      <c r="B2276" s="405" t="s">
        <v>1211</v>
      </c>
      <c r="C2276" s="418">
        <f t="shared" si="606"/>
        <v>0</v>
      </c>
      <c r="D2276" s="523"/>
      <c r="E2276" s="523">
        <f>VLOOKUP(B2276,DONGIA,DG!$B$6,0)</f>
        <v>0</v>
      </c>
      <c r="F2276" s="525" t="str">
        <f>VLOOKUP(B2276,DONGIA,DG!$C$6,0)</f>
        <v>Khâu ven răng ngoài D114</v>
      </c>
      <c r="G2276" s="523" t="str">
        <f>VLOOKUP(B2276,DONGIA,DG!$D$6,0)</f>
        <v>cái</v>
      </c>
      <c r="H2276" s="525"/>
      <c r="I2276" s="525">
        <f>VLOOKUP(B2276,DONGIA,DG!$E$6,0)</f>
        <v>25600</v>
      </c>
      <c r="J2276" s="525"/>
      <c r="K2276" s="525">
        <f>VLOOKUP(B2276,DONGIA,DG!$F$6,0)</f>
        <v>0</v>
      </c>
      <c r="L2276" s="525">
        <f>VLOOKUP(B2276,DONGIA,DG!$G$6,0)</f>
        <v>0</v>
      </c>
      <c r="M2276" s="525">
        <f t="shared" si="609"/>
        <v>0</v>
      </c>
      <c r="N2276" s="525">
        <f t="shared" si="609"/>
        <v>0</v>
      </c>
      <c r="O2276" s="525">
        <f t="shared" si="609"/>
        <v>0</v>
      </c>
      <c r="P2276" s="525">
        <f t="shared" si="609"/>
        <v>0</v>
      </c>
      <c r="Q2276" s="525"/>
      <c r="S2276" s="405">
        <f t="shared" si="601"/>
        <v>0</v>
      </c>
      <c r="T2276" s="405">
        <f t="shared" si="608"/>
        <v>0</v>
      </c>
    </row>
    <row r="2277" spans="2:20" s="405" customFormat="1" hidden="1">
      <c r="B2277" s="405" t="s">
        <v>1914</v>
      </c>
      <c r="C2277" s="418">
        <f t="shared" si="606"/>
        <v>0</v>
      </c>
      <c r="D2277" s="523"/>
      <c r="E2277" s="523">
        <f>VLOOKUP(B2277,DONGIA,DG!$B$6,0)</f>
        <v>0</v>
      </c>
      <c r="F2277" s="525" t="str">
        <f>VLOOKUP(B2277,DONGIA,DG!$C$6,0)</f>
        <v>Keo dán ống PVC (100gr)</v>
      </c>
      <c r="G2277" s="523" t="str">
        <f>VLOOKUP(B2277,DONGIA,DG!$D$6,0)</f>
        <v>tuýp</v>
      </c>
      <c r="H2277" s="525"/>
      <c r="I2277" s="525">
        <f>VLOOKUP(B2277,DONGIA,DG!$E$6,0)</f>
        <v>11500</v>
      </c>
      <c r="J2277" s="525"/>
      <c r="K2277" s="525">
        <f>VLOOKUP(B2277,DONGIA,DG!$F$6,0)</f>
        <v>0</v>
      </c>
      <c r="L2277" s="525">
        <f>VLOOKUP(B2277,DONGIA,DG!$G$6,0)</f>
        <v>0</v>
      </c>
      <c r="M2277" s="525">
        <f t="shared" si="602"/>
        <v>0</v>
      </c>
      <c r="N2277" s="525">
        <f t="shared" si="603"/>
        <v>0</v>
      </c>
      <c r="O2277" s="525">
        <f t="shared" si="604"/>
        <v>0</v>
      </c>
      <c r="P2277" s="525">
        <f t="shared" si="605"/>
        <v>0</v>
      </c>
      <c r="Q2277" s="525"/>
      <c r="S2277" s="405">
        <f t="shared" si="601"/>
        <v>0</v>
      </c>
      <c r="T2277" s="405">
        <f t="shared" si="608"/>
        <v>0</v>
      </c>
    </row>
    <row r="2278" spans="2:20" s="405" customFormat="1" hidden="1">
      <c r="B2278" s="405" t="s">
        <v>1639</v>
      </c>
      <c r="C2278" s="418">
        <f t="shared" si="606"/>
        <v>0</v>
      </c>
      <c r="D2278" s="523"/>
      <c r="E2278" s="523">
        <f>VLOOKUP(B2278,DONGIA,DG!$B$6,0)</f>
        <v>0</v>
      </c>
      <c r="F2278" s="525" t="str">
        <f>VLOOKUP(B2278,DONGIA,DG!$C$6,0)&amp;" bịt miệng ống"</f>
        <v>Xi măng bịt miệng ống</v>
      </c>
      <c r="G2278" s="523" t="str">
        <f>VLOOKUP(B2278,DONGIA,DG!$D$6,0)</f>
        <v>kg</v>
      </c>
      <c r="H2278" s="554"/>
      <c r="I2278" s="525">
        <f>VLOOKUP(B2278,DONGIA,DG!$E$6,0)</f>
        <v>1760</v>
      </c>
      <c r="J2278" s="525"/>
      <c r="K2278" s="525">
        <f>VLOOKUP(B2278,DONGIA,DG!$F$6,0)</f>
        <v>0</v>
      </c>
      <c r="L2278" s="525">
        <f>VLOOKUP(B2278,DONGIA,DG!$G$6,0)</f>
        <v>0</v>
      </c>
      <c r="M2278" s="525">
        <f t="shared" si="602"/>
        <v>0</v>
      </c>
      <c r="N2278" s="525">
        <f t="shared" si="603"/>
        <v>0</v>
      </c>
      <c r="O2278" s="525">
        <f t="shared" si="604"/>
        <v>0</v>
      </c>
      <c r="P2278" s="525">
        <f t="shared" si="605"/>
        <v>0</v>
      </c>
      <c r="Q2278" s="525"/>
      <c r="S2278" s="405">
        <f t="shared" si="601"/>
        <v>1</v>
      </c>
      <c r="T2278" s="405">
        <f t="shared" si="608"/>
        <v>0</v>
      </c>
    </row>
    <row r="2279" spans="2:20" s="405" customFormat="1" hidden="1">
      <c r="B2279" s="405" t="s">
        <v>1195</v>
      </c>
      <c r="C2279" s="418">
        <f t="shared" si="606"/>
        <v>0</v>
      </c>
      <c r="D2279" s="523"/>
      <c r="E2279" s="523">
        <f>VLOOKUP(B2279,DONGIA,DG!$B$6,0)</f>
        <v>0</v>
      </c>
      <c r="F2279" s="525" t="str">
        <f>VLOOKUP(B2279,DONGIA,DG!$C$6,0)</f>
        <v>Keo silicon bít miệng ống</v>
      </c>
      <c r="G2279" s="523" t="str">
        <f>VLOOKUP(B2279,DONGIA,DG!$D$6,0)</f>
        <v>ống</v>
      </c>
      <c r="H2279" s="525"/>
      <c r="I2279" s="525">
        <f>VLOOKUP(B2279,DONGIA,DG!$E$6,0)</f>
        <v>45000</v>
      </c>
      <c r="J2279" s="525"/>
      <c r="K2279" s="525">
        <f>VLOOKUP(B2279,DONGIA,DG!$F$6,0)</f>
        <v>0</v>
      </c>
      <c r="L2279" s="525">
        <f>VLOOKUP(B2279,DONGIA,DG!$G$6,0)</f>
        <v>0</v>
      </c>
      <c r="M2279" s="525">
        <f t="shared" si="602"/>
        <v>0</v>
      </c>
      <c r="N2279" s="525">
        <f t="shared" si="603"/>
        <v>0</v>
      </c>
      <c r="O2279" s="525">
        <f t="shared" si="604"/>
        <v>0</v>
      </c>
      <c r="P2279" s="525">
        <f t="shared" si="605"/>
        <v>0</v>
      </c>
      <c r="Q2279" s="525"/>
      <c r="S2279" s="405">
        <f t="shared" si="601"/>
        <v>0</v>
      </c>
      <c r="T2279" s="405">
        <f t="shared" si="608"/>
        <v>0</v>
      </c>
    </row>
    <row r="2280" spans="2:20" s="405" customFormat="1" hidden="1">
      <c r="B2280" s="405" t="s">
        <v>1193</v>
      </c>
      <c r="C2280" s="418">
        <f t="shared" si="606"/>
        <v>0</v>
      </c>
      <c r="D2280" s="523"/>
      <c r="E2280" s="523">
        <f>VLOOKUP(B2280,DONGIA,DG!$B$6,0)</f>
        <v>0</v>
      </c>
      <c r="F2280" s="525" t="str">
        <f>VLOOKUP(B2280,DONGIA,DG!$C$6,0)</f>
        <v>Băng keo cách điện</v>
      </c>
      <c r="G2280" s="523" t="str">
        <f>VLOOKUP(B2280,DONGIA,DG!$D$6,0)</f>
        <v>cuộn</v>
      </c>
      <c r="H2280" s="525"/>
      <c r="I2280" s="525">
        <f>VLOOKUP(B2280,DONGIA,DG!$E$6,0)</f>
        <v>6500</v>
      </c>
      <c r="J2280" s="525"/>
      <c r="K2280" s="525">
        <f>VLOOKUP(B2280,DONGIA,DG!$F$6,0)</f>
        <v>0</v>
      </c>
      <c r="L2280" s="525">
        <f>VLOOKUP(B2280,DONGIA,DG!$G$6,0)</f>
        <v>0</v>
      </c>
      <c r="M2280" s="525">
        <f t="shared" si="602"/>
        <v>0</v>
      </c>
      <c r="N2280" s="525">
        <f t="shared" si="603"/>
        <v>0</v>
      </c>
      <c r="O2280" s="525">
        <f t="shared" si="604"/>
        <v>0</v>
      </c>
      <c r="P2280" s="525">
        <f t="shared" si="605"/>
        <v>0</v>
      </c>
      <c r="Q2280" s="525"/>
      <c r="S2280" s="405">
        <f t="shared" si="601"/>
        <v>0</v>
      </c>
      <c r="T2280" s="405">
        <f t="shared" si="608"/>
        <v>0</v>
      </c>
    </row>
    <row r="2281" spans="2:20" s="405" customFormat="1">
      <c r="B2281" s="405" t="s">
        <v>855</v>
      </c>
      <c r="C2281" s="418">
        <f t="shared" si="606"/>
        <v>1</v>
      </c>
      <c r="D2281" s="523"/>
      <c r="E2281" s="523" t="str">
        <f>VLOOKUP(B2281,DONGIA,DG!$B$6,0)</f>
        <v>T4.8003</v>
      </c>
      <c r="F2281" s="666" t="str">
        <f>VLOOKUP(B2281,DONGIA,DG!$C$6,0)</f>
        <v>Lắp ống nhựa PVC D90</v>
      </c>
      <c r="G2281" s="523" t="str">
        <f>VLOOKUP(B2281,DONGIA,DG!$D$6,0)</f>
        <v>mét</v>
      </c>
      <c r="H2281" s="525">
        <f>H2262+H2263</f>
        <v>12</v>
      </c>
      <c r="I2281" s="525">
        <f>VLOOKUP(B2281,DONGIA,DG!$E$6,0)</f>
        <v>0</v>
      </c>
      <c r="J2281" s="525"/>
      <c r="K2281" s="525">
        <f>VLOOKUP(B2281,DONGIA,DG!$F$6,0)</f>
        <v>35541</v>
      </c>
      <c r="L2281" s="525">
        <f>VLOOKUP(B2281,DONGIA,DG!$G$6,0)</f>
        <v>0</v>
      </c>
      <c r="M2281" s="525">
        <f>$H2281*I2281</f>
        <v>0</v>
      </c>
      <c r="N2281" s="525">
        <f>$H2281*J2281</f>
        <v>0</v>
      </c>
      <c r="O2281" s="525">
        <f>$H2281*K2281</f>
        <v>426492</v>
      </c>
      <c r="P2281" s="525">
        <f>$H2281*L2281</f>
        <v>0</v>
      </c>
      <c r="Q2281" s="525"/>
      <c r="S2281" s="405">
        <f t="shared" si="601"/>
        <v>0</v>
      </c>
      <c r="T2281" s="405">
        <f t="shared" si="608"/>
        <v>0</v>
      </c>
    </row>
    <row r="2282" spans="2:20" s="405" customFormat="1" hidden="1">
      <c r="B2282" s="405" t="s">
        <v>857</v>
      </c>
      <c r="C2282" s="418">
        <f t="shared" si="606"/>
        <v>0</v>
      </c>
      <c r="D2282" s="523"/>
      <c r="E2282" s="523" t="str">
        <f>VLOOKUP(B2282,DONGIA,DG!$B$6,0)</f>
        <v>T4.8003</v>
      </c>
      <c r="F2282" s="525" t="str">
        <f>VLOOKUP(B2282,DONGIA,DG!$C$6,0)</f>
        <v>Lắp ống nhựa PVC D114</v>
      </c>
      <c r="G2282" s="523" t="str">
        <f>VLOOKUP(B2282,DONGIA,DG!$D$6,0)</f>
        <v>mét</v>
      </c>
      <c r="H2282" s="525">
        <f>H2264</f>
        <v>0</v>
      </c>
      <c r="I2282" s="525">
        <f>VLOOKUP(B2282,DONGIA,DG!$E$6,0)</f>
        <v>0</v>
      </c>
      <c r="J2282" s="525"/>
      <c r="K2282" s="525">
        <f>VLOOKUP(B2282,DONGIA,DG!$F$6,0)</f>
        <v>35541</v>
      </c>
      <c r="L2282" s="525">
        <f>VLOOKUP(B2282,DONGIA,DG!$G$6,0)</f>
        <v>0</v>
      </c>
      <c r="M2282" s="525">
        <f t="shared" si="602"/>
        <v>0</v>
      </c>
      <c r="N2282" s="525">
        <f t="shared" si="603"/>
        <v>0</v>
      </c>
      <c r="O2282" s="525">
        <f t="shared" si="604"/>
        <v>0</v>
      </c>
      <c r="P2282" s="525">
        <f t="shared" si="605"/>
        <v>0</v>
      </c>
      <c r="Q2282" s="525"/>
      <c r="S2282" s="405">
        <f t="shared" si="601"/>
        <v>0</v>
      </c>
      <c r="T2282" s="405">
        <f t="shared" si="608"/>
        <v>0</v>
      </c>
    </row>
    <row r="2283" spans="2:20" s="405" customFormat="1">
      <c r="B2283" s="405" t="s">
        <v>1939</v>
      </c>
      <c r="C2283" s="418">
        <f t="shared" si="606"/>
        <v>1</v>
      </c>
      <c r="D2283" s="523"/>
      <c r="E2283" s="523" t="str">
        <f>VLOOKUP(B2283,DONGIA,DG!$B$6,0)</f>
        <v>T4.4201</v>
      </c>
      <c r="F2283" s="666" t="str">
        <f>VLOOKUP(B2283,DONGIA,DG!$C$6,0)</f>
        <v>Lắp cáp đồng xuống thiết bị D ≤ 95mm2</v>
      </c>
      <c r="G2283" s="523" t="str">
        <f>VLOOKUP(B2283,DONGIA,DG!$D$6,0)</f>
        <v>m</v>
      </c>
      <c r="H2283" s="525">
        <f>H2250+H2251+H2252+H2253+H2254+H2255</f>
        <v>72</v>
      </c>
      <c r="I2283" s="525">
        <f>VLOOKUP(B2283,DONGIA,DG!$E$6,0)</f>
        <v>0</v>
      </c>
      <c r="J2283" s="525"/>
      <c r="K2283" s="525">
        <f>VLOOKUP(B2283,DONGIA,DG!$F$6,0)</f>
        <v>11847</v>
      </c>
      <c r="L2283" s="525">
        <f>VLOOKUP(B2283,DONGIA,DG!$G$6,0)</f>
        <v>0</v>
      </c>
      <c r="M2283" s="525">
        <f>$H2283*I2283</f>
        <v>0</v>
      </c>
      <c r="N2283" s="525">
        <f>$H2283*J2283</f>
        <v>0</v>
      </c>
      <c r="O2283" s="525">
        <f>$H2283*K2283</f>
        <v>852984</v>
      </c>
      <c r="P2283" s="525">
        <f>$H2283*L2283</f>
        <v>0</v>
      </c>
      <c r="Q2283" s="525"/>
      <c r="S2283" s="405">
        <f t="shared" si="601"/>
        <v>0</v>
      </c>
      <c r="T2283" s="405">
        <f t="shared" si="608"/>
        <v>0</v>
      </c>
    </row>
    <row r="2284" spans="2:20" s="405" customFormat="1" hidden="1">
      <c r="B2284" s="405" t="s">
        <v>2063</v>
      </c>
      <c r="C2284" s="418">
        <f t="shared" si="606"/>
        <v>0</v>
      </c>
      <c r="D2284" s="523"/>
      <c r="E2284" s="523" t="str">
        <f>VLOOKUP(B2284,DONGIA,DG!$B$6,0)</f>
        <v>T4.4202</v>
      </c>
      <c r="F2284" s="525" t="str">
        <f>VLOOKUP(B2284,DONGIA,DG!$C$6,0)</f>
        <v>Lắp cáp đồng xuống thiết bị D ≤ 150mm2</v>
      </c>
      <c r="G2284" s="523" t="str">
        <f>VLOOKUP(B2284,DONGIA,DG!$D$6,0)</f>
        <v>m</v>
      </c>
      <c r="H2284" s="525">
        <f>H2249</f>
        <v>0</v>
      </c>
      <c r="I2284" s="525">
        <f>VLOOKUP(B2284,DONGIA,DG!$E$6,0)</f>
        <v>0</v>
      </c>
      <c r="J2284" s="525"/>
      <c r="K2284" s="525">
        <f>VLOOKUP(B2284,DONGIA,DG!$F$6,0)</f>
        <v>28433</v>
      </c>
      <c r="L2284" s="525">
        <f>VLOOKUP(B2284,DONGIA,DG!$G$6,0)</f>
        <v>0</v>
      </c>
      <c r="M2284" s="525">
        <f t="shared" si="602"/>
        <v>0</v>
      </c>
      <c r="N2284" s="525">
        <f t="shared" si="603"/>
        <v>0</v>
      </c>
      <c r="O2284" s="525">
        <f t="shared" si="604"/>
        <v>0</v>
      </c>
      <c r="P2284" s="525">
        <f t="shared" si="605"/>
        <v>0</v>
      </c>
      <c r="Q2284" s="525"/>
      <c r="S2284" s="405">
        <f t="shared" si="601"/>
        <v>0</v>
      </c>
      <c r="T2284" s="405">
        <f t="shared" si="608"/>
        <v>0</v>
      </c>
    </row>
    <row r="2285" spans="2:20" s="542" customFormat="1">
      <c r="C2285" s="374">
        <f>IF(SUM(C2286:C2304)&lt;&gt;0,1,)</f>
        <v>1</v>
      </c>
      <c r="D2285" s="550"/>
      <c r="E2285" s="550"/>
      <c r="F2285" s="786" t="s">
        <v>3868</v>
      </c>
      <c r="G2285" s="550"/>
      <c r="H2285" s="550">
        <v>2</v>
      </c>
      <c r="I2285" s="551"/>
      <c r="J2285" s="551"/>
      <c r="K2285" s="551"/>
      <c r="L2285" s="551"/>
      <c r="M2285" s="551"/>
      <c r="N2285" s="551"/>
      <c r="O2285" s="551"/>
      <c r="P2285" s="551"/>
      <c r="Q2285" s="551"/>
    </row>
    <row r="2286" spans="2:20" s="405" customFormat="1">
      <c r="B2286" s="405" t="s">
        <v>1908</v>
      </c>
      <c r="C2286" s="418">
        <f t="shared" ref="C2286:C2321" si="610">IF(H2286&lt;&gt;0,1,)</f>
        <v>1</v>
      </c>
      <c r="D2286" s="523"/>
      <c r="E2286" s="523">
        <f>VLOOKUP(B2286,DONGIA,DG!$B$6,0)</f>
        <v>0</v>
      </c>
      <c r="F2286" s="666" t="str">
        <f>VLOOKUP(B2286,DONGIA,DG!$C$6,0)&amp;" (SDL)"</f>
        <v>Cáp đồng bọc CV120 (SDL)</v>
      </c>
      <c r="G2286" s="523" t="str">
        <f>VLOOKUP(B2286,DONGIA,DG!$D$6,0)</f>
        <v>mét</v>
      </c>
      <c r="H2286" s="554">
        <v>24</v>
      </c>
      <c r="I2286" s="525"/>
      <c r="J2286" s="525"/>
      <c r="K2286" s="525">
        <f>VLOOKUP(B2286,DONGIA,DG!$F$6,0)</f>
        <v>0</v>
      </c>
      <c r="L2286" s="525">
        <f>VLOOKUP(B2286,DONGIA,DG!$G$6,0)</f>
        <v>0</v>
      </c>
      <c r="M2286" s="525">
        <f t="shared" ref="M2286:M2321" si="611">$H2286*I2286</f>
        <v>0</v>
      </c>
      <c r="N2286" s="525">
        <f t="shared" ref="N2286:N2321" si="612">$H2286*J2286</f>
        <v>0</v>
      </c>
      <c r="O2286" s="525">
        <f t="shared" ref="O2286:O2321" si="613">$H2286*K2286</f>
        <v>0</v>
      </c>
      <c r="P2286" s="525">
        <f t="shared" ref="P2286:P2321" si="614">$H2286*L2286</f>
        <v>0</v>
      </c>
      <c r="Q2286" s="525"/>
      <c r="S2286" s="405">
        <f t="shared" ref="S2286:S2321" si="615">IFERROR(VLOOKUP(B2286,DONGIA,$S$25,0),0)</f>
        <v>1.2350000000000001</v>
      </c>
      <c r="T2286" s="405">
        <f t="shared" ref="T2286:T2321" si="616">H2286*S2286</f>
        <v>29.64</v>
      </c>
    </row>
    <row r="2287" spans="2:20" s="405" customFormat="1" hidden="1">
      <c r="B2287" s="405" t="s">
        <v>1742</v>
      </c>
      <c r="C2287" s="418">
        <f t="shared" si="610"/>
        <v>0</v>
      </c>
      <c r="D2287" s="523"/>
      <c r="E2287" s="523">
        <f>VLOOKUP(B2287,DONGIA,DG!$B$6,0)</f>
        <v>0</v>
      </c>
      <c r="F2287" s="525" t="str">
        <f>VLOOKUP(B2287,DONGIA,DG!$C$6,0)&amp;" (SDL)"</f>
        <v>Cáp đồng bọc CV95 (SDL)</v>
      </c>
      <c r="G2287" s="523" t="str">
        <f>VLOOKUP(B2287,DONGIA,DG!$D$6,0)</f>
        <v>mét</v>
      </c>
      <c r="H2287" s="554"/>
      <c r="I2287" s="525"/>
      <c r="J2287" s="525"/>
      <c r="K2287" s="525">
        <f>VLOOKUP(B2287,DONGIA,DG!$F$6,0)</f>
        <v>0</v>
      </c>
      <c r="L2287" s="525">
        <f>VLOOKUP(B2287,DONGIA,DG!$G$6,0)</f>
        <v>0</v>
      </c>
      <c r="M2287" s="525">
        <f t="shared" si="611"/>
        <v>0</v>
      </c>
      <c r="N2287" s="525">
        <f t="shared" si="612"/>
        <v>0</v>
      </c>
      <c r="O2287" s="525">
        <f t="shared" si="613"/>
        <v>0</v>
      </c>
      <c r="P2287" s="525">
        <f t="shared" si="614"/>
        <v>0</v>
      </c>
      <c r="Q2287" s="525"/>
      <c r="S2287" s="405">
        <f t="shared" si="615"/>
        <v>1.008</v>
      </c>
      <c r="T2287" s="405">
        <f t="shared" si="616"/>
        <v>0</v>
      </c>
    </row>
    <row r="2288" spans="2:20" s="405" customFormat="1">
      <c r="B2288" s="405" t="s">
        <v>1907</v>
      </c>
      <c r="C2288" s="418">
        <f t="shared" si="610"/>
        <v>1</v>
      </c>
      <c r="D2288" s="523"/>
      <c r="E2288" s="523">
        <f>VLOOKUP(B2288,DONGIA,DG!$B$6,0)</f>
        <v>0</v>
      </c>
      <c r="F2288" s="666" t="str">
        <f>VLOOKUP(B2288,DONGIA,DG!$C$6,0)&amp;" (SDL)"</f>
        <v>Cáp đồng bọc CV70 (SDL)</v>
      </c>
      <c r="G2288" s="523" t="str">
        <f>VLOOKUP(B2288,DONGIA,DG!$D$6,0)</f>
        <v>mét</v>
      </c>
      <c r="H2288" s="554">
        <v>8</v>
      </c>
      <c r="I2288" s="525"/>
      <c r="J2288" s="525"/>
      <c r="K2288" s="525">
        <f>VLOOKUP(B2288,DONGIA,DG!$F$6,0)</f>
        <v>0</v>
      </c>
      <c r="L2288" s="525">
        <f>VLOOKUP(B2288,DONGIA,DG!$G$6,0)</f>
        <v>0</v>
      </c>
      <c r="M2288" s="525">
        <f t="shared" si="611"/>
        <v>0</v>
      </c>
      <c r="N2288" s="525">
        <f t="shared" si="612"/>
        <v>0</v>
      </c>
      <c r="O2288" s="525">
        <f t="shared" si="613"/>
        <v>0</v>
      </c>
      <c r="P2288" s="525">
        <f t="shared" si="614"/>
        <v>0</v>
      </c>
      <c r="Q2288" s="525"/>
      <c r="S2288" s="405">
        <f t="shared" si="615"/>
        <v>0.73899999999999999</v>
      </c>
      <c r="T2288" s="405">
        <f t="shared" si="616"/>
        <v>5.9119999999999999</v>
      </c>
    </row>
    <row r="2289" spans="2:20" s="405" customFormat="1" hidden="1">
      <c r="B2289" s="405" t="s">
        <v>1906</v>
      </c>
      <c r="C2289" s="418">
        <f t="shared" si="610"/>
        <v>0</v>
      </c>
      <c r="D2289" s="523"/>
      <c r="E2289" s="523">
        <f>VLOOKUP(B2289,DONGIA,DG!$B$6,0)</f>
        <v>0</v>
      </c>
      <c r="F2289" s="525" t="str">
        <f>VLOOKUP(B2289,DONGIA,DG!$C$6,0)&amp;" (SDL)"</f>
        <v>Cáp đồng bọc CV50 (SDL)</v>
      </c>
      <c r="G2289" s="523" t="str">
        <f>VLOOKUP(B2289,DONGIA,DG!$D$6,0)</f>
        <v>mét</v>
      </c>
      <c r="H2289" s="554"/>
      <c r="I2289" s="525"/>
      <c r="J2289" s="525"/>
      <c r="K2289" s="525">
        <f>VLOOKUP(B2289,DONGIA,DG!$F$6,0)</f>
        <v>0</v>
      </c>
      <c r="L2289" s="525">
        <f>VLOOKUP(B2289,DONGIA,DG!$G$6,0)</f>
        <v>0</v>
      </c>
      <c r="M2289" s="525">
        <f t="shared" si="611"/>
        <v>0</v>
      </c>
      <c r="N2289" s="525">
        <f t="shared" si="612"/>
        <v>0</v>
      </c>
      <c r="O2289" s="525">
        <f t="shared" si="613"/>
        <v>0</v>
      </c>
      <c r="P2289" s="525">
        <f t="shared" si="614"/>
        <v>0</v>
      </c>
      <c r="Q2289" s="525"/>
      <c r="S2289" s="405">
        <f t="shared" si="615"/>
        <v>0.53400000000000003</v>
      </c>
      <c r="T2289" s="405">
        <f t="shared" si="616"/>
        <v>0</v>
      </c>
    </row>
    <row r="2290" spans="2:20" s="405" customFormat="1">
      <c r="B2290" s="405" t="s">
        <v>1742</v>
      </c>
      <c r="C2290" s="418">
        <f t="shared" si="610"/>
        <v>1</v>
      </c>
      <c r="D2290" s="523"/>
      <c r="E2290" s="523">
        <f>VLOOKUP(B2290,DONGIA,DG!$B$6,0)</f>
        <v>0</v>
      </c>
      <c r="F2290" s="666" t="str">
        <f>VLOOKUP(B2290,DONGIA,DG!$C$6,0)</f>
        <v>Cáp đồng bọc CV95</v>
      </c>
      <c r="G2290" s="523" t="str">
        <f>VLOOKUP(B2290,DONGIA,DG!$D$6,0)</f>
        <v>mét</v>
      </c>
      <c r="H2290" s="554">
        <f>8.5*3</f>
        <v>25.5</v>
      </c>
      <c r="I2290" s="525">
        <f>VLOOKUP(B2290,DONGIA,DG!$E$6,0)</f>
        <v>196130</v>
      </c>
      <c r="J2290" s="525"/>
      <c r="K2290" s="525">
        <f>VLOOKUP(B2290,DONGIA,DG!$F$6,0)</f>
        <v>0</v>
      </c>
      <c r="L2290" s="525">
        <f>VLOOKUP(B2290,DONGIA,DG!$G$6,0)</f>
        <v>0</v>
      </c>
      <c r="M2290" s="525">
        <f t="shared" si="611"/>
        <v>5001315</v>
      </c>
      <c r="N2290" s="525">
        <f t="shared" si="612"/>
        <v>0</v>
      </c>
      <c r="O2290" s="525">
        <f t="shared" si="613"/>
        <v>0</v>
      </c>
      <c r="P2290" s="525">
        <f t="shared" si="614"/>
        <v>0</v>
      </c>
      <c r="Q2290" s="525"/>
      <c r="S2290" s="405">
        <f t="shared" si="615"/>
        <v>1.008</v>
      </c>
      <c r="T2290" s="405">
        <f t="shared" si="616"/>
        <v>25.704000000000001</v>
      </c>
    </row>
    <row r="2291" spans="2:20" s="405" customFormat="1">
      <c r="B2291" s="405" t="s">
        <v>1907</v>
      </c>
      <c r="C2291" s="418">
        <f t="shared" si="610"/>
        <v>1</v>
      </c>
      <c r="D2291" s="523"/>
      <c r="E2291" s="523">
        <f>VLOOKUP(B2291,DONGIA,DG!$B$6,0)</f>
        <v>0</v>
      </c>
      <c r="F2291" s="666" t="str">
        <f>VLOOKUP(B2291,DONGIA,DG!$C$6,0)</f>
        <v>Cáp đồng bọc CV70</v>
      </c>
      <c r="G2291" s="523" t="str">
        <f>VLOOKUP(B2291,DONGIA,DG!$D$6,0)</f>
        <v>mét</v>
      </c>
      <c r="H2291" s="554">
        <f>8.5</f>
        <v>8.5</v>
      </c>
      <c r="I2291" s="525">
        <f>VLOOKUP(B2291,DONGIA,DG!$E$6,0)</f>
        <v>142880</v>
      </c>
      <c r="J2291" s="525"/>
      <c r="K2291" s="525">
        <f>VLOOKUP(B2291,DONGIA,DG!$F$6,0)</f>
        <v>0</v>
      </c>
      <c r="L2291" s="525">
        <f>VLOOKUP(B2291,DONGIA,DG!$G$6,0)</f>
        <v>0</v>
      </c>
      <c r="M2291" s="525">
        <f t="shared" si="611"/>
        <v>1214480</v>
      </c>
      <c r="N2291" s="525">
        <f t="shared" si="612"/>
        <v>0</v>
      </c>
      <c r="O2291" s="525">
        <f t="shared" si="613"/>
        <v>0</v>
      </c>
      <c r="P2291" s="525">
        <f t="shared" si="614"/>
        <v>0</v>
      </c>
      <c r="Q2291" s="525"/>
      <c r="S2291" s="405">
        <f t="shared" si="615"/>
        <v>0.73899999999999999</v>
      </c>
      <c r="T2291" s="405">
        <f t="shared" si="616"/>
        <v>6.2815000000000003</v>
      </c>
    </row>
    <row r="2292" spans="2:20" s="405" customFormat="1" hidden="1">
      <c r="B2292" s="405" t="s">
        <v>1906</v>
      </c>
      <c r="C2292" s="418">
        <f t="shared" si="610"/>
        <v>0</v>
      </c>
      <c r="D2292" s="523"/>
      <c r="E2292" s="523">
        <f>VLOOKUP(B2292,DONGIA,DG!$B$6,0)</f>
        <v>0</v>
      </c>
      <c r="F2292" s="525" t="str">
        <f>VLOOKUP(B2292,DONGIA,DG!$C$6,0)</f>
        <v>Cáp đồng bọc CV50</v>
      </c>
      <c r="G2292" s="523" t="str">
        <f>VLOOKUP(B2292,DONGIA,DG!$D$6,0)</f>
        <v>mét</v>
      </c>
      <c r="H2292" s="554"/>
      <c r="I2292" s="525">
        <f>VLOOKUP(B2292,DONGIA,DG!$E$6,0)</f>
        <v>104370</v>
      </c>
      <c r="J2292" s="525"/>
      <c r="K2292" s="525">
        <f>VLOOKUP(B2292,DONGIA,DG!$F$6,0)</f>
        <v>0</v>
      </c>
      <c r="L2292" s="525">
        <f>VLOOKUP(B2292,DONGIA,DG!$G$6,0)</f>
        <v>0</v>
      </c>
      <c r="M2292" s="525">
        <f t="shared" si="611"/>
        <v>0</v>
      </c>
      <c r="N2292" s="525">
        <f t="shared" si="612"/>
        <v>0</v>
      </c>
      <c r="O2292" s="525">
        <f t="shared" si="613"/>
        <v>0</v>
      </c>
      <c r="P2292" s="525">
        <f t="shared" si="614"/>
        <v>0</v>
      </c>
      <c r="Q2292" s="525"/>
      <c r="S2292" s="405">
        <f t="shared" si="615"/>
        <v>0.53400000000000003</v>
      </c>
      <c r="T2292" s="405">
        <f t="shared" si="616"/>
        <v>0</v>
      </c>
    </row>
    <row r="2293" spans="2:20" s="405" customFormat="1">
      <c r="B2293" s="405" t="s">
        <v>1116</v>
      </c>
      <c r="C2293" s="418">
        <f t="shared" si="610"/>
        <v>1</v>
      </c>
      <c r="D2293" s="523"/>
      <c r="E2293" s="523"/>
      <c r="F2293" s="666" t="str">
        <f>VLOOKUP(B2293,DONGIA,DG!$C$6,0)</f>
        <v>Đầu cosse ép Cu 95mm2</v>
      </c>
      <c r="G2293" s="523" t="str">
        <f>VLOOKUP(B2293,DONGIA,DG!$D$6,0)</f>
        <v>cái</v>
      </c>
      <c r="H2293" s="525">
        <v>3</v>
      </c>
      <c r="I2293" s="525">
        <f>VLOOKUP(B2293,DONGIA,DG!$E$6,0)</f>
        <v>45000</v>
      </c>
      <c r="J2293" s="525"/>
      <c r="K2293" s="525"/>
      <c r="L2293" s="525"/>
      <c r="M2293" s="525">
        <f t="shared" si="611"/>
        <v>135000</v>
      </c>
      <c r="N2293" s="525">
        <f t="shared" si="612"/>
        <v>0</v>
      </c>
      <c r="O2293" s="525">
        <f t="shared" si="613"/>
        <v>0</v>
      </c>
      <c r="P2293" s="525">
        <f t="shared" si="614"/>
        <v>0</v>
      </c>
      <c r="Q2293" s="525"/>
      <c r="S2293" s="405">
        <f t="shared" si="615"/>
        <v>0.2</v>
      </c>
      <c r="T2293" s="405">
        <f t="shared" si="616"/>
        <v>0.60000000000000009</v>
      </c>
    </row>
    <row r="2294" spans="2:20" s="405" customFormat="1">
      <c r="B2294" s="405" t="s">
        <v>1113</v>
      </c>
      <c r="C2294" s="418">
        <f t="shared" si="610"/>
        <v>1</v>
      </c>
      <c r="D2294" s="523"/>
      <c r="E2294" s="523"/>
      <c r="F2294" s="666" t="str">
        <f>VLOOKUP(B2294,DONGIA,DG!$C$6,0)</f>
        <v>Đầu cosse ép Cu 70mm2</v>
      </c>
      <c r="G2294" s="523" t="str">
        <f>VLOOKUP(B2294,DONGIA,DG!$D$6,0)</f>
        <v>cái</v>
      </c>
      <c r="H2294" s="525">
        <v>1</v>
      </c>
      <c r="I2294" s="525">
        <f>VLOOKUP(B2294,DONGIA,DG!$E$6,0)</f>
        <v>33000</v>
      </c>
      <c r="J2294" s="525"/>
      <c r="K2294" s="525"/>
      <c r="L2294" s="525"/>
      <c r="M2294" s="525">
        <f t="shared" si="611"/>
        <v>33000</v>
      </c>
      <c r="N2294" s="525">
        <f t="shared" si="612"/>
        <v>0</v>
      </c>
      <c r="O2294" s="525">
        <f t="shared" si="613"/>
        <v>0</v>
      </c>
      <c r="P2294" s="525">
        <f t="shared" si="614"/>
        <v>0</v>
      </c>
      <c r="Q2294" s="525"/>
      <c r="S2294" s="405">
        <f t="shared" si="615"/>
        <v>0.2</v>
      </c>
      <c r="T2294" s="405">
        <f t="shared" si="616"/>
        <v>0.2</v>
      </c>
    </row>
    <row r="2295" spans="2:20" s="405" customFormat="1" hidden="1">
      <c r="B2295" s="405" t="s">
        <v>1110</v>
      </c>
      <c r="C2295" s="418">
        <f t="shared" si="610"/>
        <v>0</v>
      </c>
      <c r="D2295" s="523"/>
      <c r="E2295" s="523"/>
      <c r="F2295" s="525" t="str">
        <f>VLOOKUP(B2295,DONGIA,DG!$C$6,0)</f>
        <v>Đầu cosse ép Cu 50mm2</v>
      </c>
      <c r="G2295" s="523" t="str">
        <f>VLOOKUP(B2295,DONGIA,DG!$D$6,0)</f>
        <v>cái</v>
      </c>
      <c r="H2295" s="525"/>
      <c r="I2295" s="525">
        <f>VLOOKUP(B2295,DONGIA,DG!$E$6,0)</f>
        <v>23000</v>
      </c>
      <c r="J2295" s="525"/>
      <c r="K2295" s="525"/>
      <c r="L2295" s="525"/>
      <c r="M2295" s="525">
        <f t="shared" si="611"/>
        <v>0</v>
      </c>
      <c r="N2295" s="525">
        <f t="shared" si="612"/>
        <v>0</v>
      </c>
      <c r="O2295" s="525">
        <f t="shared" si="613"/>
        <v>0</v>
      </c>
      <c r="P2295" s="525">
        <f t="shared" si="614"/>
        <v>0</v>
      </c>
      <c r="Q2295" s="525"/>
      <c r="S2295" s="405">
        <f t="shared" si="615"/>
        <v>0.1</v>
      </c>
      <c r="T2295" s="405">
        <f t="shared" si="616"/>
        <v>0</v>
      </c>
    </row>
    <row r="2296" spans="2:20" s="405" customFormat="1">
      <c r="B2296" s="405" t="s">
        <v>1149</v>
      </c>
      <c r="C2296" s="418">
        <f t="shared" si="610"/>
        <v>1</v>
      </c>
      <c r="D2296" s="523"/>
      <c r="E2296" s="523">
        <f>VLOOKUP(B2296,DONGIA,DG!$B$6,0)</f>
        <v>0</v>
      </c>
      <c r="F2296" s="666" t="str">
        <f>VLOOKUP(B2296,DONGIA,DG!$C$6,0)</f>
        <v>Chụp đầu cosse  95mm2</v>
      </c>
      <c r="G2296" s="523" t="str">
        <f>VLOOKUP(B2296,DONGIA,DG!$D$6,0)</f>
        <v>cái</v>
      </c>
      <c r="H2296" s="525">
        <f>H2293</f>
        <v>3</v>
      </c>
      <c r="I2296" s="525">
        <f>VLOOKUP(B2296,DONGIA,DG!$E$6,0)</f>
        <v>3000</v>
      </c>
      <c r="J2296" s="525"/>
      <c r="K2296" s="525">
        <f>VLOOKUP(B2296,DONGIA,DG!$F$6,0)</f>
        <v>0</v>
      </c>
      <c r="L2296" s="525">
        <f>VLOOKUP(B2296,DONGIA,DG!$G$6,0)</f>
        <v>0</v>
      </c>
      <c r="M2296" s="525">
        <f t="shared" si="611"/>
        <v>9000</v>
      </c>
      <c r="N2296" s="525">
        <f t="shared" si="612"/>
        <v>0</v>
      </c>
      <c r="O2296" s="525">
        <f t="shared" si="613"/>
        <v>0</v>
      </c>
      <c r="P2296" s="525">
        <f t="shared" si="614"/>
        <v>0</v>
      </c>
      <c r="Q2296" s="525"/>
      <c r="S2296" s="405">
        <f t="shared" si="615"/>
        <v>0</v>
      </c>
      <c r="T2296" s="405">
        <f t="shared" si="616"/>
        <v>0</v>
      </c>
    </row>
    <row r="2297" spans="2:20" s="405" customFormat="1">
      <c r="B2297" s="405" t="s">
        <v>1147</v>
      </c>
      <c r="C2297" s="418">
        <f t="shared" si="610"/>
        <v>1</v>
      </c>
      <c r="D2297" s="523"/>
      <c r="E2297" s="523">
        <f>VLOOKUP(B2297,DONGIA,DG!$B$6,0)</f>
        <v>0</v>
      </c>
      <c r="F2297" s="666" t="str">
        <f>VLOOKUP(B2297,DONGIA,DG!$C$6,0)</f>
        <v>Chụp đầu cosse  70mm2</v>
      </c>
      <c r="G2297" s="523" t="str">
        <f>VLOOKUP(B2297,DONGIA,DG!$D$6,0)</f>
        <v>cái</v>
      </c>
      <c r="H2297" s="525">
        <f>H2294</f>
        <v>1</v>
      </c>
      <c r="I2297" s="525">
        <f>VLOOKUP(B2297,DONGIA,DG!$E$6,0)</f>
        <v>2000</v>
      </c>
      <c r="J2297" s="525"/>
      <c r="K2297" s="525">
        <f>VLOOKUP(B2297,DONGIA,DG!$F$6,0)</f>
        <v>0</v>
      </c>
      <c r="L2297" s="525">
        <f>VLOOKUP(B2297,DONGIA,DG!$G$6,0)</f>
        <v>0</v>
      </c>
      <c r="M2297" s="525">
        <f t="shared" si="611"/>
        <v>2000</v>
      </c>
      <c r="N2297" s="525">
        <f t="shared" si="612"/>
        <v>0</v>
      </c>
      <c r="O2297" s="525">
        <f t="shared" si="613"/>
        <v>0</v>
      </c>
      <c r="P2297" s="525">
        <f t="shared" si="614"/>
        <v>0</v>
      </c>
      <c r="Q2297" s="525"/>
      <c r="S2297" s="405">
        <f t="shared" si="615"/>
        <v>0</v>
      </c>
      <c r="T2297" s="405">
        <f t="shared" si="616"/>
        <v>0</v>
      </c>
    </row>
    <row r="2298" spans="2:20" s="405" customFormat="1" hidden="1">
      <c r="B2298" s="405" t="s">
        <v>1145</v>
      </c>
      <c r="C2298" s="418">
        <f t="shared" si="610"/>
        <v>0</v>
      </c>
      <c r="D2298" s="523"/>
      <c r="E2298" s="523">
        <f>VLOOKUP(B2298,DONGIA,DG!$B$6,0)</f>
        <v>0</v>
      </c>
      <c r="F2298" s="525" t="str">
        <f>VLOOKUP(B2298,DONGIA,DG!$C$6,0)</f>
        <v>Chụp đầu cosse  50mm2</v>
      </c>
      <c r="G2298" s="523" t="str">
        <f>VLOOKUP(B2298,DONGIA,DG!$D$6,0)</f>
        <v>cái</v>
      </c>
      <c r="H2298" s="525"/>
      <c r="I2298" s="525">
        <f>VLOOKUP(B2298,DONGIA,DG!$E$6,0)</f>
        <v>2000</v>
      </c>
      <c r="J2298" s="525"/>
      <c r="K2298" s="525">
        <f>VLOOKUP(B2298,DONGIA,DG!$F$6,0)</f>
        <v>0</v>
      </c>
      <c r="L2298" s="525">
        <f>VLOOKUP(B2298,DONGIA,DG!$G$6,0)</f>
        <v>0</v>
      </c>
      <c r="M2298" s="525">
        <f t="shared" si="611"/>
        <v>0</v>
      </c>
      <c r="N2298" s="525">
        <f t="shared" si="612"/>
        <v>0</v>
      </c>
      <c r="O2298" s="525">
        <f t="shared" si="613"/>
        <v>0</v>
      </c>
      <c r="P2298" s="525">
        <f t="shared" si="614"/>
        <v>0</v>
      </c>
      <c r="Q2298" s="525"/>
      <c r="S2298" s="405">
        <f t="shared" si="615"/>
        <v>0</v>
      </c>
      <c r="T2298" s="405">
        <f t="shared" si="616"/>
        <v>0</v>
      </c>
    </row>
    <row r="2299" spans="2:20" s="405" customFormat="1" hidden="1">
      <c r="B2299" s="405" t="s">
        <v>1177</v>
      </c>
      <c r="C2299" s="418">
        <f t="shared" si="610"/>
        <v>0</v>
      </c>
      <c r="D2299" s="523"/>
      <c r="E2299" s="523">
        <f>VLOOKUP(B2299,DONGIA,DG!$B$6,0)</f>
        <v>0</v>
      </c>
      <c r="F2299" s="525" t="str">
        <f>VLOOKUP(B2299,DONGIA,DG!$C$6,0)&amp;" (SDL)"</f>
        <v>Ống PVC D90x3,8mm  (SDL)</v>
      </c>
      <c r="G2299" s="523" t="str">
        <f>VLOOKUP(B2299,DONGIA,DG!$D$6,0)</f>
        <v>m</v>
      </c>
      <c r="H2299" s="525"/>
      <c r="I2299" s="525"/>
      <c r="J2299" s="525"/>
      <c r="K2299" s="525">
        <f>VLOOKUP(B2299,DONGIA,DG!$F$6,0)</f>
        <v>0</v>
      </c>
      <c r="L2299" s="525">
        <f>VLOOKUP(B2299,DONGIA,DG!$G$6,0)</f>
        <v>0</v>
      </c>
      <c r="M2299" s="525">
        <f t="shared" si="611"/>
        <v>0</v>
      </c>
      <c r="N2299" s="525">
        <f t="shared" si="612"/>
        <v>0</v>
      </c>
      <c r="O2299" s="525">
        <f t="shared" si="613"/>
        <v>0</v>
      </c>
      <c r="P2299" s="525">
        <f t="shared" si="614"/>
        <v>0</v>
      </c>
      <c r="Q2299" s="525"/>
      <c r="S2299" s="405">
        <f t="shared" si="615"/>
        <v>2</v>
      </c>
      <c r="T2299" s="405">
        <f t="shared" si="616"/>
        <v>0</v>
      </c>
    </row>
    <row r="2300" spans="2:20" s="405" customFormat="1">
      <c r="B2300" s="405" t="s">
        <v>1177</v>
      </c>
      <c r="C2300" s="418">
        <f t="shared" si="610"/>
        <v>1</v>
      </c>
      <c r="D2300" s="523"/>
      <c r="E2300" s="523">
        <f>VLOOKUP(B2300,DONGIA,DG!$B$6,0)</f>
        <v>0</v>
      </c>
      <c r="F2300" s="666" t="str">
        <f>VLOOKUP(B2300,DONGIA,DG!$C$6,0)</f>
        <v xml:space="preserve">Ống PVC D90x3,8mm </v>
      </c>
      <c r="G2300" s="523" t="str">
        <f>VLOOKUP(B2300,DONGIA,DG!$D$6,0)</f>
        <v>m</v>
      </c>
      <c r="H2300" s="554">
        <f>12</f>
        <v>12</v>
      </c>
      <c r="I2300" s="525">
        <f>VLOOKUP(B2300,DONGIA,DG!$E$6,0)</f>
        <v>57000</v>
      </c>
      <c r="J2300" s="525"/>
      <c r="K2300" s="525">
        <f>VLOOKUP(B2300,DONGIA,DG!$F$6,0)</f>
        <v>0</v>
      </c>
      <c r="L2300" s="525">
        <f>VLOOKUP(B2300,DONGIA,DG!$G$6,0)</f>
        <v>0</v>
      </c>
      <c r="M2300" s="525">
        <f t="shared" si="611"/>
        <v>684000</v>
      </c>
      <c r="N2300" s="525">
        <f t="shared" si="612"/>
        <v>0</v>
      </c>
      <c r="O2300" s="525">
        <f t="shared" si="613"/>
        <v>0</v>
      </c>
      <c r="P2300" s="525">
        <f t="shared" si="614"/>
        <v>0</v>
      </c>
      <c r="Q2300" s="525"/>
      <c r="S2300" s="405">
        <f t="shared" si="615"/>
        <v>2</v>
      </c>
      <c r="T2300" s="405">
        <f t="shared" si="616"/>
        <v>24</v>
      </c>
    </row>
    <row r="2301" spans="2:20" s="405" customFormat="1" hidden="1">
      <c r="B2301" s="405" t="s">
        <v>1177</v>
      </c>
      <c r="C2301" s="418">
        <f t="shared" si="610"/>
        <v>0</v>
      </c>
      <c r="D2301" s="523"/>
      <c r="E2301" s="523">
        <f>VLOOKUP(B2301,DONGIA,DG!$B$6,0)</f>
        <v>0</v>
      </c>
      <c r="F2301" s="525" t="str">
        <f>VLOOKUP(B2301,DONGIA,DG!$C$6,0)</f>
        <v xml:space="preserve">Ống PVC D90x3,8mm </v>
      </c>
      <c r="G2301" s="523" t="str">
        <f>VLOOKUP(B2301,DONGIA,DG!$D$6,0)</f>
        <v>m</v>
      </c>
      <c r="H2301" s="525"/>
      <c r="I2301" s="525">
        <f>VLOOKUP(B2301,DONGIA,DG!$E$6,0)</f>
        <v>57000</v>
      </c>
      <c r="J2301" s="525"/>
      <c r="K2301" s="525">
        <f>VLOOKUP(B2301,DONGIA,DG!$F$6,0)</f>
        <v>0</v>
      </c>
      <c r="L2301" s="525">
        <f>VLOOKUP(B2301,DONGIA,DG!$G$6,0)</f>
        <v>0</v>
      </c>
      <c r="M2301" s="525">
        <f t="shared" si="611"/>
        <v>0</v>
      </c>
      <c r="N2301" s="525">
        <f t="shared" si="612"/>
        <v>0</v>
      </c>
      <c r="O2301" s="525">
        <f t="shared" si="613"/>
        <v>0</v>
      </c>
      <c r="P2301" s="525">
        <f t="shared" si="614"/>
        <v>0</v>
      </c>
      <c r="Q2301" s="525"/>
      <c r="S2301" s="405">
        <f t="shared" si="615"/>
        <v>2</v>
      </c>
      <c r="T2301" s="405">
        <f t="shared" si="616"/>
        <v>0</v>
      </c>
    </row>
    <row r="2302" spans="2:20" s="405" customFormat="1">
      <c r="B2302" s="405" t="s">
        <v>2855</v>
      </c>
      <c r="C2302" s="418">
        <f t="shared" si="610"/>
        <v>1</v>
      </c>
      <c r="D2302" s="523"/>
      <c r="E2302" s="523"/>
      <c r="F2302" s="666" t="str">
        <f>VLOOKUP(B2302,DONGIA,DG!$C$6,0)&amp;" (CD: 230)"</f>
        <v>Cổ dê kẹp ống PVC φ 90 trụ ghép (có giá nới) (CD: 230)</v>
      </c>
      <c r="G2302" s="523" t="str">
        <f>VLOOKUP(B2302,DONGIA,DG!$D$6,0)</f>
        <v>bộ</v>
      </c>
      <c r="H2302" s="525">
        <v>2</v>
      </c>
      <c r="I2302" s="525">
        <f>VLOOKUP(B2302,DONGIA,DG!$E$6,0)</f>
        <v>125000</v>
      </c>
      <c r="J2302" s="525"/>
      <c r="K2302" s="525"/>
      <c r="L2302" s="525">
        <f>VLOOKUP(B2302,DONGIA,DG!$G$6,0)</f>
        <v>0</v>
      </c>
      <c r="M2302" s="525">
        <f t="shared" si="611"/>
        <v>250000</v>
      </c>
      <c r="N2302" s="525">
        <f t="shared" si="612"/>
        <v>0</v>
      </c>
      <c r="O2302" s="525">
        <f t="shared" si="613"/>
        <v>0</v>
      </c>
      <c r="P2302" s="525">
        <f t="shared" si="614"/>
        <v>0</v>
      </c>
      <c r="Q2302" s="525"/>
      <c r="S2302" s="405">
        <f t="shared" si="615"/>
        <v>1.5</v>
      </c>
      <c r="T2302" s="405">
        <f t="shared" si="616"/>
        <v>3</v>
      </c>
    </row>
    <row r="2303" spans="2:20" s="405" customFormat="1">
      <c r="B2303" s="405" t="s">
        <v>2855</v>
      </c>
      <c r="C2303" s="418">
        <f t="shared" si="610"/>
        <v>1</v>
      </c>
      <c r="D2303" s="523"/>
      <c r="E2303" s="523"/>
      <c r="F2303" s="666" t="str">
        <f>VLOOKUP(B2303,DONGIA,DG!$C$6,0)&amp;" (CD: 280)"</f>
        <v>Cổ dê kẹp ống PVC φ 90 trụ ghép (có giá nới) (CD: 280)</v>
      </c>
      <c r="G2303" s="523" t="str">
        <f>VLOOKUP(B2303,DONGIA,DG!$D$6,0)</f>
        <v>bộ</v>
      </c>
      <c r="H2303" s="525">
        <v>2</v>
      </c>
      <c r="I2303" s="525">
        <f>VLOOKUP(B2303,DONGIA,DG!$E$6,0)</f>
        <v>125000</v>
      </c>
      <c r="J2303" s="525"/>
      <c r="K2303" s="525"/>
      <c r="L2303" s="525">
        <f>VLOOKUP(B2303,DONGIA,DG!$G$6,0)</f>
        <v>0</v>
      </c>
      <c r="M2303" s="525">
        <f t="shared" si="611"/>
        <v>250000</v>
      </c>
      <c r="N2303" s="525">
        <f t="shared" si="612"/>
        <v>0</v>
      </c>
      <c r="O2303" s="525">
        <f t="shared" si="613"/>
        <v>0</v>
      </c>
      <c r="P2303" s="525">
        <f t="shared" si="614"/>
        <v>0</v>
      </c>
      <c r="Q2303" s="525"/>
      <c r="S2303" s="405">
        <f t="shared" si="615"/>
        <v>1.5</v>
      </c>
      <c r="T2303" s="405">
        <f t="shared" si="616"/>
        <v>3</v>
      </c>
    </row>
    <row r="2304" spans="2:20" s="405" customFormat="1">
      <c r="B2304" s="405" t="s">
        <v>2855</v>
      </c>
      <c r="C2304" s="418">
        <f t="shared" si="610"/>
        <v>1</v>
      </c>
      <c r="D2304" s="523"/>
      <c r="E2304" s="523"/>
      <c r="F2304" s="666" t="str">
        <f>VLOOKUP(B2304,DONGIA,DG!$C$6,0)&amp;" (CD: 320)"</f>
        <v>Cổ dê kẹp ống PVC φ 90 trụ ghép (có giá nới) (CD: 320)</v>
      </c>
      <c r="G2304" s="523" t="str">
        <f>VLOOKUP(B2304,DONGIA,DG!$D$6,0)</f>
        <v>bộ</v>
      </c>
      <c r="H2304" s="525">
        <v>2</v>
      </c>
      <c r="I2304" s="525">
        <f>VLOOKUP(B2304,DONGIA,DG!$E$6,0)</f>
        <v>125000</v>
      </c>
      <c r="J2304" s="525"/>
      <c r="K2304" s="525"/>
      <c r="L2304" s="525">
        <f>VLOOKUP(B2304,DONGIA,DG!$G$6,0)</f>
        <v>0</v>
      </c>
      <c r="M2304" s="525">
        <f t="shared" si="611"/>
        <v>250000</v>
      </c>
      <c r="N2304" s="525">
        <f t="shared" si="612"/>
        <v>0</v>
      </c>
      <c r="O2304" s="525">
        <f t="shared" si="613"/>
        <v>0</v>
      </c>
      <c r="P2304" s="525">
        <f t="shared" si="614"/>
        <v>0</v>
      </c>
      <c r="Q2304" s="525"/>
      <c r="S2304" s="405">
        <f t="shared" si="615"/>
        <v>1.5</v>
      </c>
      <c r="T2304" s="405">
        <f t="shared" si="616"/>
        <v>3</v>
      </c>
    </row>
    <row r="2305" spans="2:20" s="405" customFormat="1">
      <c r="B2305" s="405" t="s">
        <v>2956</v>
      </c>
      <c r="C2305" s="418">
        <f t="shared" si="610"/>
        <v>1</v>
      </c>
      <c r="D2305" s="523"/>
      <c r="E2305" s="523">
        <f>VLOOKUP(B2305,DONGIA,DG!$B$6,0)</f>
        <v>0</v>
      </c>
      <c r="F2305" s="666" t="str">
        <f>VLOOKUP(B2305,DONGIA,DG!$C$6,0)</f>
        <v>Co  90 độ PVC 90 (Loại dày)</v>
      </c>
      <c r="G2305" s="523" t="str">
        <f>VLOOKUP(B2305,DONGIA,DG!$D$6,0)</f>
        <v>cái</v>
      </c>
      <c r="H2305" s="525">
        <v>6</v>
      </c>
      <c r="I2305" s="525">
        <f>VLOOKUP(B2305,DONGIA,DG!$E$6,0)</f>
        <v>45400</v>
      </c>
      <c r="J2305" s="525"/>
      <c r="K2305" s="525">
        <f>VLOOKUP(B2305,DONGIA,DG!$F$6,0)</f>
        <v>0</v>
      </c>
      <c r="L2305" s="525">
        <f>VLOOKUP(B2305,DONGIA,DG!$G$6,0)</f>
        <v>0</v>
      </c>
      <c r="M2305" s="525">
        <f t="shared" si="611"/>
        <v>272400</v>
      </c>
      <c r="N2305" s="525">
        <f t="shared" si="612"/>
        <v>0</v>
      </c>
      <c r="O2305" s="525">
        <f t="shared" si="613"/>
        <v>0</v>
      </c>
      <c r="P2305" s="525">
        <f t="shared" si="614"/>
        <v>0</v>
      </c>
      <c r="Q2305" s="525"/>
      <c r="S2305" s="405">
        <f t="shared" si="615"/>
        <v>0</v>
      </c>
      <c r="T2305" s="405">
        <f t="shared" si="616"/>
        <v>0</v>
      </c>
    </row>
    <row r="2306" spans="2:20" s="405" customFormat="1" hidden="1">
      <c r="B2306" s="405" t="s">
        <v>1183</v>
      </c>
      <c r="C2306" s="418">
        <f t="shared" si="610"/>
        <v>0</v>
      </c>
      <c r="D2306" s="523"/>
      <c r="E2306" s="523">
        <f>VLOOKUP(B2306,DONGIA,DG!$B$6,0)</f>
        <v>0</v>
      </c>
      <c r="F2306" s="525" t="str">
        <f>VLOOKUP(B2306,DONGIA,DG!$C$6,0)</f>
        <v>Co  90 độ PVC 90</v>
      </c>
      <c r="G2306" s="523" t="str">
        <f>VLOOKUP(B2306,DONGIA,DG!$D$6,0)</f>
        <v>cái</v>
      </c>
      <c r="H2306" s="525"/>
      <c r="I2306" s="525">
        <f>VLOOKUP(B2306,DONGIA,DG!$E$6,0)</f>
        <v>45400</v>
      </c>
      <c r="J2306" s="525"/>
      <c r="K2306" s="525">
        <f>VLOOKUP(B2306,DONGIA,DG!$F$6,0)</f>
        <v>0</v>
      </c>
      <c r="L2306" s="525">
        <f>VLOOKUP(B2306,DONGIA,DG!$G$6,0)</f>
        <v>0</v>
      </c>
      <c r="M2306" s="525">
        <f t="shared" si="611"/>
        <v>0</v>
      </c>
      <c r="N2306" s="525">
        <f t="shared" si="612"/>
        <v>0</v>
      </c>
      <c r="O2306" s="525">
        <f t="shared" si="613"/>
        <v>0</v>
      </c>
      <c r="P2306" s="525">
        <f t="shared" si="614"/>
        <v>0</v>
      </c>
      <c r="Q2306" s="525"/>
      <c r="S2306" s="405">
        <f t="shared" si="615"/>
        <v>0</v>
      </c>
      <c r="T2306" s="405">
        <f t="shared" si="616"/>
        <v>0</v>
      </c>
    </row>
    <row r="2307" spans="2:20" s="405" customFormat="1">
      <c r="B2307" s="405" t="s">
        <v>1181</v>
      </c>
      <c r="C2307" s="418">
        <f t="shared" si="610"/>
        <v>1</v>
      </c>
      <c r="D2307" s="523"/>
      <c r="E2307" s="523">
        <f>VLOOKUP(B2307,DONGIA,DG!$B$6,0)</f>
        <v>0</v>
      </c>
      <c r="F2307" s="666" t="str">
        <f>VLOOKUP(B2307,DONGIA,DG!$C$6,0)</f>
        <v>Co 135 độ PVC 90</v>
      </c>
      <c r="G2307" s="523" t="str">
        <f>VLOOKUP(B2307,DONGIA,DG!$D$6,0)</f>
        <v>cái</v>
      </c>
      <c r="H2307" s="525">
        <v>2</v>
      </c>
      <c r="I2307" s="525">
        <f>VLOOKUP(B2307,DONGIA,DG!$E$6,0)</f>
        <v>34800</v>
      </c>
      <c r="J2307" s="525"/>
      <c r="K2307" s="525">
        <f>VLOOKUP(B2307,DONGIA,DG!$F$6,0)</f>
        <v>0</v>
      </c>
      <c r="L2307" s="525">
        <f>VLOOKUP(B2307,DONGIA,DG!$G$6,0)</f>
        <v>0</v>
      </c>
      <c r="M2307" s="525">
        <f t="shared" si="611"/>
        <v>69600</v>
      </c>
      <c r="N2307" s="525">
        <f t="shared" si="612"/>
        <v>0</v>
      </c>
      <c r="O2307" s="525">
        <f t="shared" si="613"/>
        <v>0</v>
      </c>
      <c r="P2307" s="525">
        <f t="shared" si="614"/>
        <v>0</v>
      </c>
      <c r="Q2307" s="525"/>
      <c r="S2307" s="405">
        <f t="shared" si="615"/>
        <v>0</v>
      </c>
      <c r="T2307" s="405">
        <f t="shared" si="616"/>
        <v>0</v>
      </c>
    </row>
    <row r="2308" spans="2:20" s="405" customFormat="1">
      <c r="B2308" s="405" t="s">
        <v>1203</v>
      </c>
      <c r="C2308" s="418">
        <f t="shared" si="610"/>
        <v>1</v>
      </c>
      <c r="D2308" s="523"/>
      <c r="E2308" s="523">
        <f>VLOOKUP(B2308,DONGIA,DG!$B$6,0)</f>
        <v>0</v>
      </c>
      <c r="F2308" s="666" t="str">
        <f>VLOOKUP(B2308,DONGIA,DG!$C$6,0)</f>
        <v>Khâu ven răng trong D90</v>
      </c>
      <c r="G2308" s="523" t="str">
        <f>VLOOKUP(B2308,DONGIA,DG!$D$6,0)</f>
        <v>cái</v>
      </c>
      <c r="H2308" s="525">
        <v>2</v>
      </c>
      <c r="I2308" s="525">
        <f>VLOOKUP(B2308,DONGIA,DG!$E$6,0)</f>
        <v>25800</v>
      </c>
      <c r="J2308" s="525"/>
      <c r="K2308" s="525">
        <f>VLOOKUP(B2308,DONGIA,DG!$F$6,0)</f>
        <v>0</v>
      </c>
      <c r="L2308" s="525">
        <f>VLOOKUP(B2308,DONGIA,DG!$G$6,0)</f>
        <v>0</v>
      </c>
      <c r="M2308" s="525">
        <f t="shared" si="611"/>
        <v>51600</v>
      </c>
      <c r="N2308" s="525">
        <f t="shared" si="612"/>
        <v>0</v>
      </c>
      <c r="O2308" s="525">
        <f t="shared" si="613"/>
        <v>0</v>
      </c>
      <c r="P2308" s="525">
        <f t="shared" si="614"/>
        <v>0</v>
      </c>
      <c r="Q2308" s="525"/>
      <c r="S2308" s="405">
        <f t="shared" si="615"/>
        <v>0</v>
      </c>
      <c r="T2308" s="405">
        <f t="shared" si="616"/>
        <v>0</v>
      </c>
    </row>
    <row r="2309" spans="2:20" s="405" customFormat="1">
      <c r="B2309" s="405" t="s">
        <v>1209</v>
      </c>
      <c r="C2309" s="418">
        <f t="shared" si="610"/>
        <v>1</v>
      </c>
      <c r="D2309" s="523"/>
      <c r="E2309" s="523">
        <f>VLOOKUP(B2309,DONGIA,DG!$B$6,0)</f>
        <v>0</v>
      </c>
      <c r="F2309" s="666" t="str">
        <f>VLOOKUP(B2309,DONGIA,DG!$C$6,0)</f>
        <v>Khâu ven răng ngoài D90</v>
      </c>
      <c r="G2309" s="523" t="str">
        <f>VLOOKUP(B2309,DONGIA,DG!$D$6,0)</f>
        <v>cái</v>
      </c>
      <c r="H2309" s="525">
        <v>2</v>
      </c>
      <c r="I2309" s="525">
        <f>VLOOKUP(B2309,DONGIA,DG!$E$6,0)</f>
        <v>21500</v>
      </c>
      <c r="J2309" s="525"/>
      <c r="K2309" s="525">
        <f>VLOOKUP(B2309,DONGIA,DG!$F$6,0)</f>
        <v>0</v>
      </c>
      <c r="L2309" s="525">
        <f>VLOOKUP(B2309,DONGIA,DG!$G$6,0)</f>
        <v>0</v>
      </c>
      <c r="M2309" s="525">
        <f t="shared" si="611"/>
        <v>43000</v>
      </c>
      <c r="N2309" s="525">
        <f t="shared" si="612"/>
        <v>0</v>
      </c>
      <c r="O2309" s="525">
        <f t="shared" si="613"/>
        <v>0</v>
      </c>
      <c r="P2309" s="525">
        <f t="shared" si="614"/>
        <v>0</v>
      </c>
      <c r="Q2309" s="525"/>
      <c r="S2309" s="405">
        <f t="shared" si="615"/>
        <v>0</v>
      </c>
      <c r="T2309" s="405">
        <f t="shared" si="616"/>
        <v>0</v>
      </c>
    </row>
    <row r="2310" spans="2:20" s="405" customFormat="1" hidden="1">
      <c r="B2310" s="405" t="s">
        <v>1185</v>
      </c>
      <c r="C2310" s="418">
        <f t="shared" si="610"/>
        <v>0</v>
      </c>
      <c r="D2310" s="523"/>
      <c r="E2310" s="523">
        <f>VLOOKUP(B2310,DONGIA,DG!$B$6,0)</f>
        <v>0</v>
      </c>
      <c r="F2310" s="525" t="str">
        <f>VLOOKUP(B2310,DONGIA,DG!$C$6,0)</f>
        <v>Co  90 độ PVC 114</v>
      </c>
      <c r="G2310" s="523" t="str">
        <f>VLOOKUP(B2310,DONGIA,DG!$D$6,0)</f>
        <v>cái</v>
      </c>
      <c r="H2310" s="525"/>
      <c r="I2310" s="525">
        <f>VLOOKUP(B2310,DONGIA,DG!$E$6,0)</f>
        <v>104800</v>
      </c>
      <c r="J2310" s="525"/>
      <c r="K2310" s="525">
        <f>VLOOKUP(B2310,DONGIA,DG!$F$6,0)</f>
        <v>0</v>
      </c>
      <c r="L2310" s="525">
        <f>VLOOKUP(B2310,DONGIA,DG!$G$6,0)</f>
        <v>0</v>
      </c>
      <c r="M2310" s="525">
        <f t="shared" si="611"/>
        <v>0</v>
      </c>
      <c r="N2310" s="525">
        <f t="shared" si="612"/>
        <v>0</v>
      </c>
      <c r="O2310" s="525">
        <f t="shared" si="613"/>
        <v>0</v>
      </c>
      <c r="P2310" s="525">
        <f t="shared" si="614"/>
        <v>0</v>
      </c>
      <c r="Q2310" s="525"/>
      <c r="S2310" s="405">
        <f t="shared" si="615"/>
        <v>0</v>
      </c>
      <c r="T2310" s="405">
        <f t="shared" si="616"/>
        <v>0</v>
      </c>
    </row>
    <row r="2311" spans="2:20" s="405" customFormat="1" hidden="1">
      <c r="B2311" s="405" t="s">
        <v>1189</v>
      </c>
      <c r="C2311" s="418">
        <f t="shared" si="610"/>
        <v>0</v>
      </c>
      <c r="D2311" s="523"/>
      <c r="E2311" s="523">
        <f>VLOOKUP(B2311,DONGIA,DG!$B$6,0)</f>
        <v>0</v>
      </c>
      <c r="F2311" s="525" t="str">
        <f>VLOOKUP(B2311,DONGIA,DG!$C$6,0)</f>
        <v>Co 135 độ PVC 114</v>
      </c>
      <c r="G2311" s="523" t="str">
        <f>VLOOKUP(B2311,DONGIA,DG!$D$6,0)</f>
        <v>cái</v>
      </c>
      <c r="H2311" s="525"/>
      <c r="I2311" s="525">
        <f>VLOOKUP(B2311,DONGIA,DG!$E$6,0)</f>
        <v>70800</v>
      </c>
      <c r="J2311" s="525"/>
      <c r="K2311" s="525">
        <f>VLOOKUP(B2311,DONGIA,DG!$F$6,0)</f>
        <v>0</v>
      </c>
      <c r="L2311" s="525">
        <f>VLOOKUP(B2311,DONGIA,DG!$G$6,0)</f>
        <v>0</v>
      </c>
      <c r="M2311" s="525">
        <f t="shared" si="611"/>
        <v>0</v>
      </c>
      <c r="N2311" s="525">
        <f t="shared" si="612"/>
        <v>0</v>
      </c>
      <c r="O2311" s="525">
        <f t="shared" si="613"/>
        <v>0</v>
      </c>
      <c r="P2311" s="525">
        <f t="shared" si="614"/>
        <v>0</v>
      </c>
      <c r="Q2311" s="525"/>
      <c r="S2311" s="405">
        <f t="shared" si="615"/>
        <v>0</v>
      </c>
      <c r="T2311" s="405">
        <f t="shared" si="616"/>
        <v>0</v>
      </c>
    </row>
    <row r="2312" spans="2:20" s="405" customFormat="1" hidden="1">
      <c r="B2312" s="405" t="s">
        <v>1205</v>
      </c>
      <c r="C2312" s="418">
        <f t="shared" si="610"/>
        <v>0</v>
      </c>
      <c r="D2312" s="523"/>
      <c r="E2312" s="523">
        <f>VLOOKUP(B2312,DONGIA,DG!$B$6,0)</f>
        <v>0</v>
      </c>
      <c r="F2312" s="525" t="str">
        <f>VLOOKUP(B2312,DONGIA,DG!$C$6,0)</f>
        <v>Khâu ven răng trong D114</v>
      </c>
      <c r="G2312" s="523" t="str">
        <f>VLOOKUP(B2312,DONGIA,DG!$D$6,0)</f>
        <v>cái</v>
      </c>
      <c r="H2312" s="525"/>
      <c r="I2312" s="525">
        <f>VLOOKUP(B2312,DONGIA,DG!$E$6,0)</f>
        <v>35700</v>
      </c>
      <c r="J2312" s="525"/>
      <c r="K2312" s="525">
        <f>VLOOKUP(B2312,DONGIA,DG!$F$6,0)</f>
        <v>0</v>
      </c>
      <c r="L2312" s="525">
        <f>VLOOKUP(B2312,DONGIA,DG!$G$6,0)</f>
        <v>0</v>
      </c>
      <c r="M2312" s="525">
        <f t="shared" si="611"/>
        <v>0</v>
      </c>
      <c r="N2312" s="525">
        <f t="shared" si="612"/>
        <v>0</v>
      </c>
      <c r="O2312" s="525">
        <f t="shared" si="613"/>
        <v>0</v>
      </c>
      <c r="P2312" s="525">
        <f t="shared" si="614"/>
        <v>0</v>
      </c>
      <c r="Q2312" s="525"/>
      <c r="S2312" s="405">
        <f t="shared" si="615"/>
        <v>0</v>
      </c>
      <c r="T2312" s="405">
        <f t="shared" si="616"/>
        <v>0</v>
      </c>
    </row>
    <row r="2313" spans="2:20" s="405" customFormat="1" hidden="1">
      <c r="B2313" s="405" t="s">
        <v>1211</v>
      </c>
      <c r="C2313" s="418">
        <f t="shared" si="610"/>
        <v>0</v>
      </c>
      <c r="D2313" s="523"/>
      <c r="E2313" s="523">
        <f>VLOOKUP(B2313,DONGIA,DG!$B$6,0)</f>
        <v>0</v>
      </c>
      <c r="F2313" s="525" t="str">
        <f>VLOOKUP(B2313,DONGIA,DG!$C$6,0)</f>
        <v>Khâu ven răng ngoài D114</v>
      </c>
      <c r="G2313" s="523" t="str">
        <f>VLOOKUP(B2313,DONGIA,DG!$D$6,0)</f>
        <v>cái</v>
      </c>
      <c r="H2313" s="525"/>
      <c r="I2313" s="525">
        <f>VLOOKUP(B2313,DONGIA,DG!$E$6,0)</f>
        <v>25600</v>
      </c>
      <c r="J2313" s="525"/>
      <c r="K2313" s="525">
        <f>VLOOKUP(B2313,DONGIA,DG!$F$6,0)</f>
        <v>0</v>
      </c>
      <c r="L2313" s="525">
        <f>VLOOKUP(B2313,DONGIA,DG!$G$6,0)</f>
        <v>0</v>
      </c>
      <c r="M2313" s="525">
        <f t="shared" si="611"/>
        <v>0</v>
      </c>
      <c r="N2313" s="525">
        <f t="shared" si="612"/>
        <v>0</v>
      </c>
      <c r="O2313" s="525">
        <f t="shared" si="613"/>
        <v>0</v>
      </c>
      <c r="P2313" s="525">
        <f t="shared" si="614"/>
        <v>0</v>
      </c>
      <c r="Q2313" s="525"/>
      <c r="S2313" s="405">
        <f t="shared" si="615"/>
        <v>0</v>
      </c>
      <c r="T2313" s="405">
        <f t="shared" si="616"/>
        <v>0</v>
      </c>
    </row>
    <row r="2314" spans="2:20" s="405" customFormat="1" hidden="1">
      <c r="B2314" s="405" t="s">
        <v>1914</v>
      </c>
      <c r="C2314" s="418">
        <f t="shared" si="610"/>
        <v>0</v>
      </c>
      <c r="D2314" s="523"/>
      <c r="E2314" s="523">
        <f>VLOOKUP(B2314,DONGIA,DG!$B$6,0)</f>
        <v>0</v>
      </c>
      <c r="F2314" s="525" t="str">
        <f>VLOOKUP(B2314,DONGIA,DG!$C$6,0)</f>
        <v>Keo dán ống PVC (100gr)</v>
      </c>
      <c r="G2314" s="523" t="str">
        <f>VLOOKUP(B2314,DONGIA,DG!$D$6,0)</f>
        <v>tuýp</v>
      </c>
      <c r="H2314" s="525"/>
      <c r="I2314" s="525">
        <f>VLOOKUP(B2314,DONGIA,DG!$E$6,0)</f>
        <v>11500</v>
      </c>
      <c r="J2314" s="525"/>
      <c r="K2314" s="525">
        <f>VLOOKUP(B2314,DONGIA,DG!$F$6,0)</f>
        <v>0</v>
      </c>
      <c r="L2314" s="525">
        <f>VLOOKUP(B2314,DONGIA,DG!$G$6,0)</f>
        <v>0</v>
      </c>
      <c r="M2314" s="525">
        <f t="shared" si="611"/>
        <v>0</v>
      </c>
      <c r="N2314" s="525">
        <f t="shared" si="612"/>
        <v>0</v>
      </c>
      <c r="O2314" s="525">
        <f t="shared" si="613"/>
        <v>0</v>
      </c>
      <c r="P2314" s="525">
        <f t="shared" si="614"/>
        <v>0</v>
      </c>
      <c r="Q2314" s="525"/>
      <c r="S2314" s="405">
        <f t="shared" si="615"/>
        <v>0</v>
      </c>
      <c r="T2314" s="405">
        <f t="shared" si="616"/>
        <v>0</v>
      </c>
    </row>
    <row r="2315" spans="2:20" s="405" customFormat="1">
      <c r="B2315" s="405" t="s">
        <v>1639</v>
      </c>
      <c r="C2315" s="418">
        <f t="shared" si="610"/>
        <v>1</v>
      </c>
      <c r="D2315" s="523"/>
      <c r="E2315" s="523">
        <f>VLOOKUP(B2315,DONGIA,DG!$B$6,0)</f>
        <v>0</v>
      </c>
      <c r="F2315" s="666" t="str">
        <f>VLOOKUP(B2315,DONGIA,DG!$C$6,0)&amp;" bịt miệng ống"</f>
        <v>Xi măng bịt miệng ống</v>
      </c>
      <c r="G2315" s="523" t="str">
        <f>VLOOKUP(B2315,DONGIA,DG!$D$6,0)</f>
        <v>kg</v>
      </c>
      <c r="H2315" s="554">
        <v>1</v>
      </c>
      <c r="I2315" s="525">
        <f>VLOOKUP(B2315,DONGIA,DG!$E$6,0)</f>
        <v>1760</v>
      </c>
      <c r="J2315" s="525"/>
      <c r="K2315" s="525">
        <f>VLOOKUP(B2315,DONGIA,DG!$F$6,0)</f>
        <v>0</v>
      </c>
      <c r="L2315" s="525">
        <f>VLOOKUP(B2315,DONGIA,DG!$G$6,0)</f>
        <v>0</v>
      </c>
      <c r="M2315" s="525">
        <f t="shared" si="611"/>
        <v>1760</v>
      </c>
      <c r="N2315" s="525">
        <f t="shared" si="612"/>
        <v>0</v>
      </c>
      <c r="O2315" s="525">
        <f t="shared" si="613"/>
        <v>0</v>
      </c>
      <c r="P2315" s="525">
        <f t="shared" si="614"/>
        <v>0</v>
      </c>
      <c r="Q2315" s="525"/>
      <c r="S2315" s="405">
        <f t="shared" si="615"/>
        <v>1</v>
      </c>
      <c r="T2315" s="405">
        <f t="shared" si="616"/>
        <v>1</v>
      </c>
    </row>
    <row r="2316" spans="2:20" s="405" customFormat="1" hidden="1">
      <c r="B2316" s="405" t="s">
        <v>1195</v>
      </c>
      <c r="C2316" s="418">
        <f t="shared" si="610"/>
        <v>0</v>
      </c>
      <c r="D2316" s="523"/>
      <c r="E2316" s="523">
        <f>VLOOKUP(B2316,DONGIA,DG!$B$6,0)</f>
        <v>0</v>
      </c>
      <c r="F2316" s="525" t="str">
        <f>VLOOKUP(B2316,DONGIA,DG!$C$6,0)</f>
        <v>Keo silicon bít miệng ống</v>
      </c>
      <c r="G2316" s="523" t="str">
        <f>VLOOKUP(B2316,DONGIA,DG!$D$6,0)</f>
        <v>ống</v>
      </c>
      <c r="H2316" s="525"/>
      <c r="I2316" s="525">
        <f>VLOOKUP(B2316,DONGIA,DG!$E$6,0)</f>
        <v>45000</v>
      </c>
      <c r="J2316" s="525"/>
      <c r="K2316" s="525">
        <f>VLOOKUP(B2316,DONGIA,DG!$F$6,0)</f>
        <v>0</v>
      </c>
      <c r="L2316" s="525">
        <f>VLOOKUP(B2316,DONGIA,DG!$G$6,0)</f>
        <v>0</v>
      </c>
      <c r="M2316" s="525">
        <f t="shared" si="611"/>
        <v>0</v>
      </c>
      <c r="N2316" s="525">
        <f t="shared" si="612"/>
        <v>0</v>
      </c>
      <c r="O2316" s="525">
        <f t="shared" si="613"/>
        <v>0</v>
      </c>
      <c r="P2316" s="525">
        <f t="shared" si="614"/>
        <v>0</v>
      </c>
      <c r="Q2316" s="525"/>
      <c r="S2316" s="405">
        <f t="shared" si="615"/>
        <v>0</v>
      </c>
      <c r="T2316" s="405">
        <f t="shared" si="616"/>
        <v>0</v>
      </c>
    </row>
    <row r="2317" spans="2:20" s="405" customFormat="1">
      <c r="B2317" s="405" t="s">
        <v>1193</v>
      </c>
      <c r="C2317" s="418">
        <f t="shared" si="610"/>
        <v>1</v>
      </c>
      <c r="D2317" s="523"/>
      <c r="E2317" s="523">
        <f>VLOOKUP(B2317,DONGIA,DG!$B$6,0)</f>
        <v>0</v>
      </c>
      <c r="F2317" s="666" t="str">
        <f>VLOOKUP(B2317,DONGIA,DG!$C$6,0)</f>
        <v>Băng keo cách điện</v>
      </c>
      <c r="G2317" s="523" t="str">
        <f>VLOOKUP(B2317,DONGIA,DG!$D$6,0)</f>
        <v>cuộn</v>
      </c>
      <c r="H2317" s="525">
        <v>1</v>
      </c>
      <c r="I2317" s="525">
        <f>VLOOKUP(B2317,DONGIA,DG!$E$6,0)</f>
        <v>6500</v>
      </c>
      <c r="J2317" s="525"/>
      <c r="K2317" s="525">
        <f>VLOOKUP(B2317,DONGIA,DG!$F$6,0)</f>
        <v>0</v>
      </c>
      <c r="L2317" s="525">
        <f>VLOOKUP(B2317,DONGIA,DG!$G$6,0)</f>
        <v>0</v>
      </c>
      <c r="M2317" s="525">
        <f t="shared" si="611"/>
        <v>6500</v>
      </c>
      <c r="N2317" s="525">
        <f t="shared" si="612"/>
        <v>0</v>
      </c>
      <c r="O2317" s="525">
        <f t="shared" si="613"/>
        <v>0</v>
      </c>
      <c r="P2317" s="525">
        <f t="shared" si="614"/>
        <v>0</v>
      </c>
      <c r="Q2317" s="525"/>
      <c r="S2317" s="405">
        <f t="shared" si="615"/>
        <v>0</v>
      </c>
      <c r="T2317" s="405">
        <f t="shared" si="616"/>
        <v>0</v>
      </c>
    </row>
    <row r="2318" spans="2:20" s="405" customFormat="1">
      <c r="B2318" s="405" t="s">
        <v>855</v>
      </c>
      <c r="C2318" s="418">
        <f t="shared" si="610"/>
        <v>1</v>
      </c>
      <c r="D2318" s="523"/>
      <c r="E2318" s="523" t="str">
        <f>VLOOKUP(B2318,DONGIA,DG!$B$6,0)</f>
        <v>T4.8003</v>
      </c>
      <c r="F2318" s="666" t="str">
        <f>VLOOKUP(B2318,DONGIA,DG!$C$6,0)</f>
        <v>Lắp ống nhựa PVC D90</v>
      </c>
      <c r="G2318" s="523" t="str">
        <f>VLOOKUP(B2318,DONGIA,DG!$D$6,0)</f>
        <v>mét</v>
      </c>
      <c r="H2318" s="554">
        <f>H2299+H2300</f>
        <v>12</v>
      </c>
      <c r="I2318" s="525">
        <f>VLOOKUP(B2318,DONGIA,DG!$E$6,0)</f>
        <v>0</v>
      </c>
      <c r="J2318" s="525"/>
      <c r="K2318" s="525">
        <f>VLOOKUP(B2318,DONGIA,DG!$F$6,0)</f>
        <v>35541</v>
      </c>
      <c r="L2318" s="525">
        <f>VLOOKUP(B2318,DONGIA,DG!$G$6,0)</f>
        <v>0</v>
      </c>
      <c r="M2318" s="525">
        <f t="shared" si="611"/>
        <v>0</v>
      </c>
      <c r="N2318" s="525">
        <f t="shared" si="612"/>
        <v>0</v>
      </c>
      <c r="O2318" s="525">
        <f t="shared" si="613"/>
        <v>426492</v>
      </c>
      <c r="P2318" s="525">
        <f t="shared" si="614"/>
        <v>0</v>
      </c>
      <c r="Q2318" s="525"/>
      <c r="S2318" s="405">
        <f t="shared" si="615"/>
        <v>0</v>
      </c>
      <c r="T2318" s="405">
        <f t="shared" si="616"/>
        <v>0</v>
      </c>
    </row>
    <row r="2319" spans="2:20" s="405" customFormat="1" hidden="1">
      <c r="B2319" s="405" t="s">
        <v>857</v>
      </c>
      <c r="C2319" s="418">
        <f t="shared" si="610"/>
        <v>0</v>
      </c>
      <c r="D2319" s="523"/>
      <c r="E2319" s="523" t="str">
        <f>VLOOKUP(B2319,DONGIA,DG!$B$6,0)</f>
        <v>T4.8003</v>
      </c>
      <c r="F2319" s="525" t="str">
        <f>VLOOKUP(B2319,DONGIA,DG!$C$6,0)</f>
        <v>Lắp ống nhựa PVC D114</v>
      </c>
      <c r="G2319" s="523" t="str">
        <f>VLOOKUP(B2319,DONGIA,DG!$D$6,0)</f>
        <v>mét</v>
      </c>
      <c r="H2319" s="554">
        <f>H2301</f>
        <v>0</v>
      </c>
      <c r="I2319" s="525">
        <f>VLOOKUP(B2319,DONGIA,DG!$E$6,0)</f>
        <v>0</v>
      </c>
      <c r="J2319" s="525"/>
      <c r="K2319" s="525">
        <f>VLOOKUP(B2319,DONGIA,DG!$F$6,0)</f>
        <v>35541</v>
      </c>
      <c r="L2319" s="525">
        <f>VLOOKUP(B2319,DONGIA,DG!$G$6,0)</f>
        <v>0</v>
      </c>
      <c r="M2319" s="525">
        <f t="shared" si="611"/>
        <v>0</v>
      </c>
      <c r="N2319" s="525">
        <f t="shared" si="612"/>
        <v>0</v>
      </c>
      <c r="O2319" s="525">
        <f t="shared" si="613"/>
        <v>0</v>
      </c>
      <c r="P2319" s="525">
        <f t="shared" si="614"/>
        <v>0</v>
      </c>
      <c r="Q2319" s="525"/>
      <c r="S2319" s="405">
        <f t="shared" si="615"/>
        <v>0</v>
      </c>
      <c r="T2319" s="405">
        <f t="shared" si="616"/>
        <v>0</v>
      </c>
    </row>
    <row r="2320" spans="2:20" s="405" customFormat="1">
      <c r="B2320" s="405" t="s">
        <v>1939</v>
      </c>
      <c r="C2320" s="418">
        <f t="shared" si="610"/>
        <v>1</v>
      </c>
      <c r="D2320" s="523"/>
      <c r="E2320" s="523" t="str">
        <f>VLOOKUP(B2320,DONGIA,DG!$B$6,0)</f>
        <v>T4.4201</v>
      </c>
      <c r="F2320" s="666" t="str">
        <f>VLOOKUP(B2320,DONGIA,DG!$C$6,0)</f>
        <v>Lắp cáp đồng xuống thiết bị D ≤ 95mm2</v>
      </c>
      <c r="G2320" s="523" t="str">
        <f>VLOOKUP(B2320,DONGIA,DG!$D$6,0)</f>
        <v>m</v>
      </c>
      <c r="H2320" s="554">
        <f>H2287+H2288+H2289+H2290+H2291+H2292</f>
        <v>42</v>
      </c>
      <c r="I2320" s="525">
        <f>VLOOKUP(B2320,DONGIA,DG!$E$6,0)</f>
        <v>0</v>
      </c>
      <c r="J2320" s="525"/>
      <c r="K2320" s="525">
        <f>VLOOKUP(B2320,DONGIA,DG!$F$6,0)</f>
        <v>11847</v>
      </c>
      <c r="L2320" s="525">
        <f>VLOOKUP(B2320,DONGIA,DG!$G$6,0)</f>
        <v>0</v>
      </c>
      <c r="M2320" s="525">
        <f t="shared" si="611"/>
        <v>0</v>
      </c>
      <c r="N2320" s="525">
        <f t="shared" si="612"/>
        <v>0</v>
      </c>
      <c r="O2320" s="525">
        <f t="shared" si="613"/>
        <v>497574</v>
      </c>
      <c r="P2320" s="525">
        <f t="shared" si="614"/>
        <v>0</v>
      </c>
      <c r="Q2320" s="525"/>
      <c r="S2320" s="405">
        <f t="shared" si="615"/>
        <v>0</v>
      </c>
      <c r="T2320" s="405">
        <f t="shared" si="616"/>
        <v>0</v>
      </c>
    </row>
    <row r="2321" spans="1:20" s="405" customFormat="1">
      <c r="B2321" s="405" t="s">
        <v>2063</v>
      </c>
      <c r="C2321" s="418">
        <f t="shared" si="610"/>
        <v>1</v>
      </c>
      <c r="D2321" s="523"/>
      <c r="E2321" s="523" t="str">
        <f>VLOOKUP(B2321,DONGIA,DG!$B$6,0)</f>
        <v>T4.4202</v>
      </c>
      <c r="F2321" s="666" t="str">
        <f>VLOOKUP(B2321,DONGIA,DG!$C$6,0)</f>
        <v>Lắp cáp đồng xuống thiết bị D ≤ 150mm2</v>
      </c>
      <c r="G2321" s="523" t="str">
        <f>VLOOKUP(B2321,DONGIA,DG!$D$6,0)</f>
        <v>m</v>
      </c>
      <c r="H2321" s="554">
        <f>H2286</f>
        <v>24</v>
      </c>
      <c r="I2321" s="525">
        <f>VLOOKUP(B2321,DONGIA,DG!$E$6,0)</f>
        <v>0</v>
      </c>
      <c r="J2321" s="525"/>
      <c r="K2321" s="525">
        <f>VLOOKUP(B2321,DONGIA,DG!$F$6,0)</f>
        <v>28433</v>
      </c>
      <c r="L2321" s="525">
        <f>VLOOKUP(B2321,DONGIA,DG!$G$6,0)</f>
        <v>0</v>
      </c>
      <c r="M2321" s="525">
        <f t="shared" si="611"/>
        <v>0</v>
      </c>
      <c r="N2321" s="525">
        <f t="shared" si="612"/>
        <v>0</v>
      </c>
      <c r="O2321" s="525">
        <f t="shared" si="613"/>
        <v>682392</v>
      </c>
      <c r="P2321" s="525">
        <f t="shared" si="614"/>
        <v>0</v>
      </c>
      <c r="Q2321" s="525"/>
      <c r="S2321" s="405">
        <f t="shared" si="615"/>
        <v>0</v>
      </c>
      <c r="T2321" s="405">
        <f t="shared" si="616"/>
        <v>0</v>
      </c>
    </row>
    <row r="2322" spans="1:20" s="405" customFormat="1">
      <c r="B2322" s="405" t="s">
        <v>1058</v>
      </c>
      <c r="C2322" s="418">
        <f>IF(H2322&lt;&gt;0,1,)</f>
        <v>1</v>
      </c>
      <c r="D2322" s="540">
        <f>IF(H2322&lt;&gt;0,D2246+1,D2246)</f>
        <v>8</v>
      </c>
      <c r="E2322" s="540">
        <f>VLOOKUP(B2322,DONGIA,DG!$B$6,0)</f>
        <v>0</v>
      </c>
      <c r="F2322" s="781" t="str">
        <f>VLOOKUP(B2322,DONGIA,DG!$C$6,0)</f>
        <v>Bảng tên trạm + bulon</v>
      </c>
      <c r="G2322" s="540" t="str">
        <f>VLOOKUP(B2322,DONGIA,DG!$D$6,0)</f>
        <v>bộ</v>
      </c>
      <c r="H2322" s="541">
        <v>1</v>
      </c>
      <c r="I2322" s="541">
        <f>VLOOKUP(B2322,DONGIA,DG!$E$6,0)</f>
        <v>150000</v>
      </c>
      <c r="J2322" s="541"/>
      <c r="K2322" s="541"/>
      <c r="L2322" s="541"/>
      <c r="M2322" s="541">
        <f>H2322*I2322</f>
        <v>150000</v>
      </c>
      <c r="N2322" s="541"/>
      <c r="O2322" s="541"/>
      <c r="P2322" s="541"/>
      <c r="Q2322" s="541" t="s">
        <v>3887</v>
      </c>
      <c r="S2322" s="405">
        <f>IFERROR(VLOOKUP(B2322,DONGIA,$S$25,0),0)</f>
        <v>0</v>
      </c>
      <c r="T2322" s="405">
        <f>H2322*S2322</f>
        <v>0</v>
      </c>
    </row>
    <row r="2323" spans="1:20" hidden="1">
      <c r="A2323" s="332" t="s">
        <v>477</v>
      </c>
      <c r="C2323" s="333">
        <f>IF(H2323&lt;&gt;0,1,)</f>
        <v>0</v>
      </c>
      <c r="F2323" s="332"/>
      <c r="S2323" s="332">
        <f>IFERROR(VLOOKUP(B2323,DONGIA,$S$25,0),0)</f>
        <v>0</v>
      </c>
      <c r="T2323" s="332">
        <f>H2323*S2323</f>
        <v>0</v>
      </c>
    </row>
    <row r="2324" spans="1:20" hidden="1">
      <c r="A2324" s="332" t="s">
        <v>2838</v>
      </c>
      <c r="C2324" s="333">
        <f>C2325</f>
        <v>0</v>
      </c>
      <c r="D2324" s="485"/>
      <c r="E2324" s="485" t="str">
        <f>T3P160&amp;" Trạm 3 pha 160kVA (trạm giàn)"</f>
        <v>0 Trạm 3 pha 160kVA (trạm giàn)</v>
      </c>
      <c r="F2324" s="485"/>
      <c r="G2324" s="485"/>
      <c r="H2324" s="485"/>
      <c r="I2324" s="485"/>
      <c r="J2324" s="485"/>
      <c r="K2324" s="485"/>
      <c r="L2324" s="485"/>
      <c r="M2324" s="485"/>
      <c r="N2324" s="485"/>
      <c r="O2324" s="485"/>
      <c r="P2324" s="485"/>
      <c r="Q2324" s="485"/>
    </row>
    <row r="2325" spans="1:20" hidden="1">
      <c r="A2325" s="332" t="str">
        <f>"TB"&amp;A2324</f>
        <v>TBT3P160</v>
      </c>
      <c r="C2325" s="333">
        <f>IF(M2325&lt;&gt;0,1,)</f>
        <v>0</v>
      </c>
      <c r="D2325" s="344"/>
      <c r="E2325" s="344"/>
      <c r="F2325" s="345" t="s">
        <v>1900</v>
      </c>
      <c r="G2325" s="344"/>
      <c r="H2325" s="345"/>
      <c r="I2325" s="345"/>
      <c r="J2325" s="345"/>
      <c r="K2325" s="345"/>
      <c r="L2325" s="345"/>
      <c r="M2325" s="345">
        <f>SUM(M2326:M2332)</f>
        <v>0</v>
      </c>
      <c r="N2325" s="345">
        <f>SUM(N2326:N2332)</f>
        <v>0</v>
      </c>
      <c r="O2325" s="345">
        <f>SUM(O2326:O2332)</f>
        <v>0</v>
      </c>
      <c r="P2325" s="345">
        <f>SUM(P2326:P2332)</f>
        <v>0</v>
      </c>
      <c r="Q2325" s="345"/>
      <c r="S2325" s="332">
        <f t="shared" ref="S2325:S2359" si="617">IFERROR(VLOOKUP(B2325,DONGIA,$S$25,0),0)</f>
        <v>0</v>
      </c>
      <c r="T2325" s="370">
        <f>SUM(T2326:T2332)</f>
        <v>0</v>
      </c>
    </row>
    <row r="2326" spans="1:20" hidden="1">
      <c r="A2326" s="332" t="s">
        <v>477</v>
      </c>
      <c r="B2326" s="332" t="s">
        <v>907</v>
      </c>
      <c r="C2326" s="333">
        <f t="shared" ref="C2326:C2332" si="618">IF(H2326&lt;&gt;0,1,)</f>
        <v>0</v>
      </c>
      <c r="D2326" s="329">
        <v>0</v>
      </c>
      <c r="E2326" s="328" t="str">
        <f>VLOOKUP(B2326,DONGIA,DG!$B$6,0)</f>
        <v>T1.1414</v>
      </c>
      <c r="F2326" s="329" t="str">
        <f>VLOOKUP(B2326,DONGIA,DG!$C$6,0)</f>
        <v>Máy biến áp 22/0,4kV- 160kVA</v>
      </c>
      <c r="G2326" s="328" t="str">
        <f>VLOOKUP(B2326,DONGIA,DG!$D$6,0)</f>
        <v>máy</v>
      </c>
      <c r="H2326" s="329">
        <f>T3P160</f>
        <v>0</v>
      </c>
      <c r="I2326" s="329">
        <f>VLOOKUP(B2326,DONGIA,DG!$E$6,0)</f>
        <v>0</v>
      </c>
      <c r="J2326" s="329"/>
      <c r="K2326" s="329">
        <f>VLOOKUP(B2326,DONGIA,DG!$F$6,0)</f>
        <v>1282588</v>
      </c>
      <c r="L2326" s="329">
        <f>VLOOKUP(B2326,DONGIA,DG!$G$6,0)</f>
        <v>360605</v>
      </c>
      <c r="M2326" s="329">
        <f>$H2326*I2326</f>
        <v>0</v>
      </c>
      <c r="N2326" s="329">
        <f>$H2326*J2326</f>
        <v>0</v>
      </c>
      <c r="O2326" s="329">
        <f>$H2326*K2326</f>
        <v>0</v>
      </c>
      <c r="P2326" s="329">
        <f>$H2326*L2326</f>
        <v>0</v>
      </c>
      <c r="Q2326" s="329"/>
      <c r="S2326" s="332">
        <f t="shared" si="617"/>
        <v>904</v>
      </c>
      <c r="T2326" s="332">
        <f t="shared" ref="T2326:T2332" si="619">H2326*S2326</f>
        <v>0</v>
      </c>
    </row>
    <row r="2327" spans="1:20" hidden="1">
      <c r="A2327" s="332" t="s">
        <v>477</v>
      </c>
      <c r="B2327" s="332" t="s">
        <v>1444</v>
      </c>
      <c r="C2327" s="333">
        <f t="shared" si="618"/>
        <v>0</v>
      </c>
      <c r="D2327" s="329">
        <v>0</v>
      </c>
      <c r="E2327" s="328" t="str">
        <f>VLOOKUP(B2327,DONGIA,DG!$B$6,0)</f>
        <v>T2.3505</v>
      </c>
      <c r="F2327" s="329" t="str">
        <f>VLOOKUP(B2327,DONGIA,DG!$C$6,0)</f>
        <v>FCO 27kV - 100A</v>
      </c>
      <c r="G2327" s="328" t="str">
        <f>VLOOKUP(B2327,DONGIA,DG!$D$6,0)</f>
        <v>cái</v>
      </c>
      <c r="H2327" s="329">
        <f>T3P160*3</f>
        <v>0</v>
      </c>
      <c r="I2327" s="329">
        <f>VLOOKUP(B2327,DONGIA,DG!$E$6,0)</f>
        <v>1070000</v>
      </c>
      <c r="J2327" s="329"/>
      <c r="K2327" s="329">
        <f>VLOOKUP(B2327,DONGIA,DG!$F$6,0)</f>
        <v>189552</v>
      </c>
      <c r="L2327" s="329">
        <f>VLOOKUP(B2327,DONGIA,DG!$G$6,0)</f>
        <v>0</v>
      </c>
      <c r="M2327" s="329">
        <f t="shared" ref="M2327:M2332" si="620">$H2327*I2327</f>
        <v>0</v>
      </c>
      <c r="N2327" s="329">
        <f t="shared" ref="N2327:N2332" si="621">$H2327*J2327</f>
        <v>0</v>
      </c>
      <c r="O2327" s="329">
        <f t="shared" ref="O2327:O2332" si="622">$H2327*K2327</f>
        <v>0</v>
      </c>
      <c r="P2327" s="329">
        <f t="shared" ref="P2327:P2332" si="623">$H2327*L2327</f>
        <v>0</v>
      </c>
      <c r="Q2327" s="329"/>
      <c r="S2327" s="332">
        <f t="shared" si="617"/>
        <v>1.5</v>
      </c>
      <c r="T2327" s="332">
        <f t="shared" si="619"/>
        <v>0</v>
      </c>
    </row>
    <row r="2328" spans="1:20" hidden="1">
      <c r="A2328" s="332" t="s">
        <v>477</v>
      </c>
      <c r="B2328" s="332" t="s">
        <v>943</v>
      </c>
      <c r="C2328" s="333">
        <f t="shared" si="618"/>
        <v>0</v>
      </c>
      <c r="D2328" s="329">
        <v>0</v>
      </c>
      <c r="E2328" s="328" t="str">
        <f>VLOOKUP(B2328,DONGIA,DG!$B$6,0)</f>
        <v>T2.5004</v>
      </c>
      <c r="F2328" s="329" t="str">
        <f>VLOOKUP(B2328,DONGIA,DG!$C$6,0)</f>
        <v>LA 18kV 10kA</v>
      </c>
      <c r="G2328" s="328" t="str">
        <f>VLOOKUP(B2328,DONGIA,DG!$D$6,0)</f>
        <v>cái</v>
      </c>
      <c r="H2328" s="329">
        <f>T3P160*3</f>
        <v>0</v>
      </c>
      <c r="I2328" s="329">
        <f>VLOOKUP(B2328,DONGIA,DG!$E$6,0)</f>
        <v>875000</v>
      </c>
      <c r="J2328" s="329"/>
      <c r="K2328" s="329">
        <f>VLOOKUP(B2328,DONGIA,DG!$F$6,0)</f>
        <v>71082</v>
      </c>
      <c r="L2328" s="329">
        <f>VLOOKUP(B2328,DONGIA,DG!$G$6,0)</f>
        <v>0</v>
      </c>
      <c r="M2328" s="329">
        <f t="shared" si="620"/>
        <v>0</v>
      </c>
      <c r="N2328" s="329">
        <f t="shared" si="621"/>
        <v>0</v>
      </c>
      <c r="O2328" s="329">
        <f t="shared" si="622"/>
        <v>0</v>
      </c>
      <c r="P2328" s="329">
        <f t="shared" si="623"/>
        <v>0</v>
      </c>
      <c r="Q2328" s="329"/>
      <c r="S2328" s="332">
        <f t="shared" si="617"/>
        <v>0.8</v>
      </c>
      <c r="T2328" s="332">
        <f t="shared" si="619"/>
        <v>0</v>
      </c>
    </row>
    <row r="2329" spans="1:20" hidden="1">
      <c r="A2329" s="332" t="s">
        <v>477</v>
      </c>
      <c r="B2329" s="332" t="s">
        <v>2064</v>
      </c>
      <c r="C2329" s="333">
        <f t="shared" si="618"/>
        <v>0</v>
      </c>
      <c r="D2329" s="329"/>
      <c r="E2329" s="328"/>
      <c r="F2329" s="329" t="str">
        <f>VLOOKUP(B2329,DONGIA,DG!$C$6,0)</f>
        <v>MCCB 3 cực 600V - 320A - 35KA (200-320A)</v>
      </c>
      <c r="G2329" s="328" t="str">
        <f>VLOOKUP(B2329,DONGIA,DG!$D$6,0)</f>
        <v>cái</v>
      </c>
      <c r="H2329" s="329">
        <f>T3P160</f>
        <v>0</v>
      </c>
      <c r="I2329" s="329">
        <f>VLOOKUP(B2329,DONGIA,DG!$E$6,0)</f>
        <v>5560000</v>
      </c>
      <c r="J2329" s="329"/>
      <c r="K2329" s="329"/>
      <c r="L2329" s="329">
        <f>VLOOKUP(B2329,DONGIA,DG!$G$6,0)</f>
        <v>0</v>
      </c>
      <c r="M2329" s="329">
        <f t="shared" si="620"/>
        <v>0</v>
      </c>
      <c r="N2329" s="329">
        <f t="shared" si="621"/>
        <v>0</v>
      </c>
      <c r="O2329" s="329">
        <f t="shared" si="622"/>
        <v>0</v>
      </c>
      <c r="P2329" s="329">
        <f t="shared" si="623"/>
        <v>0</v>
      </c>
      <c r="Q2329" s="329"/>
      <c r="S2329" s="332">
        <f t="shared" si="617"/>
        <v>3</v>
      </c>
      <c r="T2329" s="332">
        <f t="shared" si="619"/>
        <v>0</v>
      </c>
    </row>
    <row r="2330" spans="1:20" hidden="1">
      <c r="A2330" s="332" t="s">
        <v>477</v>
      </c>
      <c r="B2330" s="332" t="s">
        <v>995</v>
      </c>
      <c r="C2330" s="333">
        <f t="shared" si="618"/>
        <v>0</v>
      </c>
      <c r="D2330" s="329"/>
      <c r="E2330" s="328"/>
      <c r="F2330" s="329" t="str">
        <f>VLOOKUP(B2330,DONGIA,DG!$C$6,0)&amp;" (Phân đoạn)"</f>
        <v>MCCB 3 cực 400V - 200A - 35KA (125-200A) (Phân đoạn)</v>
      </c>
      <c r="G2330" s="328" t="str">
        <f>VLOOKUP(B2330,DONGIA,DG!$D$6,0)</f>
        <v>cái</v>
      </c>
      <c r="H2330" s="329">
        <f>T3P160*2</f>
        <v>0</v>
      </c>
      <c r="I2330" s="329">
        <f>VLOOKUP(B2330,DONGIA,DG!$E$6,0)</f>
        <v>1440000</v>
      </c>
      <c r="J2330" s="329"/>
      <c r="K2330" s="329"/>
      <c r="L2330" s="329">
        <f>VLOOKUP(B2330,DONGIA,DG!$G$6,0)</f>
        <v>0</v>
      </c>
      <c r="M2330" s="329">
        <f>$H2330*I2330</f>
        <v>0</v>
      </c>
      <c r="N2330" s="329">
        <f>$H2330*J2330</f>
        <v>0</v>
      </c>
      <c r="O2330" s="329">
        <f>$H2330*K2330</f>
        <v>0</v>
      </c>
      <c r="P2330" s="329">
        <f>$H2330*L2330</f>
        <v>0</v>
      </c>
      <c r="Q2330" s="329"/>
      <c r="S2330" s="332">
        <f t="shared" si="617"/>
        <v>2</v>
      </c>
      <c r="T2330" s="332">
        <f t="shared" si="619"/>
        <v>0</v>
      </c>
    </row>
    <row r="2331" spans="1:20" hidden="1">
      <c r="A2331" s="332" t="s">
        <v>477</v>
      </c>
      <c r="B2331" s="332" t="s">
        <v>954</v>
      </c>
      <c r="C2331" s="333">
        <f t="shared" si="618"/>
        <v>0</v>
      </c>
      <c r="D2331" s="329"/>
      <c r="E2331" s="328">
        <f>VLOOKUP(B2331,DONGIA,DG!$B$6,0)</f>
        <v>0</v>
      </c>
      <c r="F2331" s="329" t="str">
        <f>VLOOKUP(B2331,DONGIA,DG!$C$6,0)</f>
        <v>Biến dòng 600V - 250/5A</v>
      </c>
      <c r="G2331" s="328" t="str">
        <f>VLOOKUP(B2331,DONGIA,DG!$D$6,0)</f>
        <v>cái</v>
      </c>
      <c r="H2331" s="329">
        <f>T3P160*3</f>
        <v>0</v>
      </c>
      <c r="I2331" s="329">
        <f>VLOOKUP(B2331,DONGIA,DG!$E$6,0)</f>
        <v>0</v>
      </c>
      <c r="J2331" s="329"/>
      <c r="K2331" s="329">
        <f>VLOOKUP(B2331,DONGIA,DG!$F$6,0)</f>
        <v>0</v>
      </c>
      <c r="L2331" s="329">
        <f>VLOOKUP(B2331,DONGIA,DG!$G$6,0)</f>
        <v>0</v>
      </c>
      <c r="M2331" s="329">
        <f t="shared" si="620"/>
        <v>0</v>
      </c>
      <c r="N2331" s="329">
        <f t="shared" si="621"/>
        <v>0</v>
      </c>
      <c r="O2331" s="329">
        <f t="shared" si="622"/>
        <v>0</v>
      </c>
      <c r="P2331" s="329">
        <f t="shared" si="623"/>
        <v>0</v>
      </c>
      <c r="Q2331" s="329"/>
      <c r="S2331" s="332">
        <f t="shared" si="617"/>
        <v>1</v>
      </c>
      <c r="T2331" s="332">
        <f t="shared" si="619"/>
        <v>0</v>
      </c>
    </row>
    <row r="2332" spans="1:20" hidden="1">
      <c r="A2332" s="332" t="s">
        <v>477</v>
      </c>
      <c r="B2332" s="332" t="s">
        <v>1050</v>
      </c>
      <c r="C2332" s="333">
        <f t="shared" si="618"/>
        <v>0</v>
      </c>
      <c r="D2332" s="329">
        <v>0</v>
      </c>
      <c r="E2332" s="328">
        <f>VLOOKUP(B2332,DONGIA,DG!$B$6,0)</f>
        <v>0</v>
      </c>
      <c r="F2332" s="329" t="str">
        <f>VLOOKUP(B2332,DONGIA,DG!$C$6,0)</f>
        <v>Điện năng kế 3 pha 380V-5A</v>
      </c>
      <c r="G2332" s="328" t="str">
        <f>VLOOKUP(B2332,DONGIA,DG!$D$6,0)</f>
        <v>cái</v>
      </c>
      <c r="H2332" s="329">
        <f>T3P160</f>
        <v>0</v>
      </c>
      <c r="I2332" s="329">
        <f>VLOOKUP(B2332,DONGIA,DG!$E$6,0)</f>
        <v>0</v>
      </c>
      <c r="J2332" s="329"/>
      <c r="K2332" s="329">
        <f>VLOOKUP(B2332,DONGIA,DG!$F$6,0)</f>
        <v>0</v>
      </c>
      <c r="L2332" s="329">
        <f>VLOOKUP(B2332,DONGIA,DG!$G$6,0)</f>
        <v>0</v>
      </c>
      <c r="M2332" s="329">
        <f t="shared" si="620"/>
        <v>0</v>
      </c>
      <c r="N2332" s="329">
        <f t="shared" si="621"/>
        <v>0</v>
      </c>
      <c r="O2332" s="329">
        <f t="shared" si="622"/>
        <v>0</v>
      </c>
      <c r="P2332" s="329">
        <f t="shared" si="623"/>
        <v>0</v>
      </c>
      <c r="Q2332" s="329"/>
      <c r="S2332" s="332">
        <f t="shared" si="617"/>
        <v>0</v>
      </c>
      <c r="T2332" s="332">
        <f t="shared" si="619"/>
        <v>0</v>
      </c>
    </row>
    <row r="2333" spans="1:20" hidden="1">
      <c r="A2333" s="332" t="str">
        <f>"VL"&amp;A2324</f>
        <v>VLT3P160</v>
      </c>
      <c r="C2333" s="333">
        <f>IF(M2333&lt;&gt;0,1,)</f>
        <v>0</v>
      </c>
      <c r="D2333" s="344"/>
      <c r="E2333" s="344"/>
      <c r="F2333" s="345" t="s">
        <v>1901</v>
      </c>
      <c r="G2333" s="344"/>
      <c r="H2333" s="345"/>
      <c r="I2333" s="345"/>
      <c r="J2333" s="345"/>
      <c r="K2333" s="345"/>
      <c r="L2333" s="345"/>
      <c r="M2333" s="345">
        <f>SUM(M2334:M2523)</f>
        <v>0</v>
      </c>
      <c r="N2333" s="345">
        <f>SUM(N2334:N2523)</f>
        <v>0</v>
      </c>
      <c r="O2333" s="345">
        <f>SUM(O2334:O2523)</f>
        <v>0</v>
      </c>
      <c r="P2333" s="345">
        <f>SUM(P2334:P2523)</f>
        <v>0</v>
      </c>
      <c r="Q2333" s="345"/>
      <c r="S2333" s="332">
        <f t="shared" si="617"/>
        <v>0</v>
      </c>
      <c r="T2333" s="370">
        <f>SUM(T2334:T2510)</f>
        <v>0</v>
      </c>
    </row>
    <row r="2334" spans="1:20" hidden="1">
      <c r="A2334" s="332" t="s">
        <v>477</v>
      </c>
      <c r="C2334" s="333">
        <f>IF(H2334&lt;&gt;0,1,)</f>
        <v>0</v>
      </c>
      <c r="D2334" s="372">
        <f>IF(H2334&lt;&gt;0,1,)</f>
        <v>0</v>
      </c>
      <c r="E2334" s="372"/>
      <c r="F2334" s="373" t="s">
        <v>2834</v>
      </c>
      <c r="G2334" s="372" t="s">
        <v>1665</v>
      </c>
      <c r="H2334" s="372">
        <f>T3P160</f>
        <v>0</v>
      </c>
      <c r="I2334" s="373"/>
      <c r="J2334" s="373"/>
      <c r="K2334" s="373"/>
      <c r="L2334" s="373"/>
      <c r="M2334" s="373"/>
      <c r="N2334" s="373"/>
      <c r="O2334" s="373"/>
      <c r="P2334" s="373"/>
      <c r="Q2334" s="373"/>
      <c r="S2334" s="332">
        <f t="shared" si="617"/>
        <v>0</v>
      </c>
      <c r="T2334" s="332">
        <f t="shared" ref="T2334:T2359" si="624">H2334*S2334</f>
        <v>0</v>
      </c>
    </row>
    <row r="2335" spans="1:20" s="361" customFormat="1" hidden="1">
      <c r="A2335" s="361" t="s">
        <v>477</v>
      </c>
      <c r="C2335" s="374">
        <f>C2334</f>
        <v>0</v>
      </c>
      <c r="D2335" s="351"/>
      <c r="E2335" s="351"/>
      <c r="F2335" s="351" t="s">
        <v>1902</v>
      </c>
      <c r="G2335" s="350"/>
      <c r="H2335" s="351"/>
      <c r="I2335" s="351"/>
      <c r="J2335" s="351"/>
      <c r="K2335" s="351"/>
      <c r="L2335" s="351"/>
      <c r="M2335" s="351"/>
      <c r="N2335" s="351"/>
      <c r="O2335" s="351"/>
      <c r="P2335" s="351"/>
      <c r="Q2335" s="351"/>
      <c r="S2335" s="361">
        <f t="shared" si="617"/>
        <v>0</v>
      </c>
      <c r="T2335" s="361">
        <f t="shared" si="624"/>
        <v>0</v>
      </c>
    </row>
    <row r="2336" spans="1:20" hidden="1">
      <c r="A2336" s="332" t="s">
        <v>477</v>
      </c>
      <c r="B2336" s="332" t="s">
        <v>1010</v>
      </c>
      <c r="C2336" s="333">
        <f t="shared" ref="C2336:C2344" si="625">IF(H2336&lt;&gt;0,1,)</f>
        <v>0</v>
      </c>
      <c r="D2336" s="329">
        <v>0</v>
      </c>
      <c r="E2336" s="328">
        <f>VLOOKUP(B2336,DONGIA,DG!$B$6,0)</f>
        <v>0</v>
      </c>
      <c r="F2336" s="329" t="str">
        <f>VLOOKUP(B2336,DONGIA,DG!$C$6,0)</f>
        <v>Dây chảy 6K</v>
      </c>
      <c r="G2336" s="328" t="str">
        <f>VLOOKUP(B2336,DONGIA,DG!$D$6,0)</f>
        <v>Sợi</v>
      </c>
      <c r="H2336" s="329">
        <f>H2334*3</f>
        <v>0</v>
      </c>
      <c r="I2336" s="329">
        <f>VLOOKUP(B2336,DONGIA,DG!$E$6,0)</f>
        <v>47000</v>
      </c>
      <c r="J2336" s="329"/>
      <c r="K2336" s="329">
        <f>VLOOKUP(B2336,DONGIA,DG!$F$6,0)</f>
        <v>0</v>
      </c>
      <c r="L2336" s="329">
        <f>VLOOKUP(B2336,DONGIA,DG!$G$6,0)</f>
        <v>0</v>
      </c>
      <c r="M2336" s="329">
        <f t="shared" ref="M2336:P2339" si="626">$H2336*I2336</f>
        <v>0</v>
      </c>
      <c r="N2336" s="329">
        <f t="shared" si="626"/>
        <v>0</v>
      </c>
      <c r="O2336" s="329">
        <f t="shared" si="626"/>
        <v>0</v>
      </c>
      <c r="P2336" s="329">
        <f t="shared" si="626"/>
        <v>0</v>
      </c>
      <c r="Q2336" s="329"/>
      <c r="S2336" s="332">
        <f t="shared" si="617"/>
        <v>0</v>
      </c>
      <c r="T2336" s="332">
        <f t="shared" si="624"/>
        <v>0</v>
      </c>
    </row>
    <row r="2337" spans="1:20" hidden="1">
      <c r="A2337" s="332" t="s">
        <v>477</v>
      </c>
      <c r="B2337" s="332" t="s">
        <v>135</v>
      </c>
      <c r="C2337" s="333">
        <f t="shared" si="625"/>
        <v>0</v>
      </c>
      <c r="D2337" s="329"/>
      <c r="E2337" s="328">
        <f>VLOOKUP(B2337,DONGIA,DG!$B$6,0)</f>
        <v>0</v>
      </c>
      <c r="F2337" s="329" t="str">
        <f>VLOOKUP(B2337,DONGIA,DG!$C$6,0)</f>
        <v>Chụp đầu cực MBA</v>
      </c>
      <c r="G2337" s="328" t="str">
        <f>VLOOKUP(B2337,DONGIA,DG!$D$6,0)</f>
        <v>cái</v>
      </c>
      <c r="H2337" s="329">
        <f>H2334*3</f>
        <v>0</v>
      </c>
      <c r="I2337" s="329">
        <f>VLOOKUP(B2337,DONGIA,DG!$E$6,0)</f>
        <v>52000</v>
      </c>
      <c r="J2337" s="329"/>
      <c r="K2337" s="329">
        <f>VLOOKUP(B2337,DONGIA,DG!$F$6,0)</f>
        <v>0</v>
      </c>
      <c r="L2337" s="329">
        <f>VLOOKUP(B2337,DONGIA,DG!$G$6,0)</f>
        <v>0</v>
      </c>
      <c r="M2337" s="329">
        <f t="shared" si="626"/>
        <v>0</v>
      </c>
      <c r="N2337" s="329">
        <f t="shared" si="626"/>
        <v>0</v>
      </c>
      <c r="O2337" s="329">
        <f t="shared" si="626"/>
        <v>0</v>
      </c>
      <c r="P2337" s="329">
        <f t="shared" si="626"/>
        <v>0</v>
      </c>
      <c r="Q2337" s="329"/>
      <c r="S2337" s="332">
        <f t="shared" si="617"/>
        <v>0</v>
      </c>
      <c r="T2337" s="332">
        <f t="shared" si="624"/>
        <v>0</v>
      </c>
    </row>
    <row r="2338" spans="1:20" hidden="1">
      <c r="A2338" s="332" t="s">
        <v>477</v>
      </c>
      <c r="B2338" s="332" t="s">
        <v>131</v>
      </c>
      <c r="C2338" s="333">
        <f t="shared" si="625"/>
        <v>0</v>
      </c>
      <c r="D2338" s="329"/>
      <c r="E2338" s="328">
        <f>VLOOKUP(B2338,DONGIA,DG!$B$6,0)</f>
        <v>0</v>
      </c>
      <c r="F2338" s="329" t="str">
        <f>VLOOKUP(B2338,DONGIA,DG!$C$6,0)</f>
        <v>Chụp đầu FCO (Trên + Dưới)</v>
      </c>
      <c r="G2338" s="328" t="str">
        <f>VLOOKUP(B2338,DONGIA,DG!$D$6,0)</f>
        <v>bộ</v>
      </c>
      <c r="H2338" s="329">
        <f>H2334*3</f>
        <v>0</v>
      </c>
      <c r="I2338" s="329">
        <f>VLOOKUP(B2338,DONGIA,DG!$E$6,0)</f>
        <v>190000</v>
      </c>
      <c r="J2338" s="329"/>
      <c r="K2338" s="329">
        <f>VLOOKUP(B2338,DONGIA,DG!$F$6,0)</f>
        <v>0</v>
      </c>
      <c r="L2338" s="329">
        <f>VLOOKUP(B2338,DONGIA,DG!$G$6,0)</f>
        <v>0</v>
      </c>
      <c r="M2338" s="329">
        <f t="shared" si="626"/>
        <v>0</v>
      </c>
      <c r="N2338" s="329">
        <f t="shared" si="626"/>
        <v>0</v>
      </c>
      <c r="O2338" s="329">
        <f t="shared" si="626"/>
        <v>0</v>
      </c>
      <c r="P2338" s="329">
        <f t="shared" si="626"/>
        <v>0</v>
      </c>
      <c r="Q2338" s="329"/>
      <c r="S2338" s="332">
        <f t="shared" si="617"/>
        <v>0</v>
      </c>
      <c r="T2338" s="332">
        <f t="shared" si="624"/>
        <v>0</v>
      </c>
    </row>
    <row r="2339" spans="1:20" hidden="1">
      <c r="A2339" s="332" t="s">
        <v>477</v>
      </c>
      <c r="B2339" s="332" t="s">
        <v>133</v>
      </c>
      <c r="C2339" s="333">
        <f t="shared" si="625"/>
        <v>0</v>
      </c>
      <c r="D2339" s="329"/>
      <c r="E2339" s="328">
        <f>VLOOKUP(B2339,DONGIA,DG!$B$6,0)</f>
        <v>0</v>
      </c>
      <c r="F2339" s="329" t="str">
        <f>VLOOKUP(B2339,DONGIA,DG!$C$6,0)</f>
        <v>Chụp đầu LA</v>
      </c>
      <c r="G2339" s="328" t="str">
        <f>VLOOKUP(B2339,DONGIA,DG!$D$6,0)</f>
        <v>cái</v>
      </c>
      <c r="H2339" s="329">
        <f>H2334*3</f>
        <v>0</v>
      </c>
      <c r="I2339" s="329">
        <f>VLOOKUP(B2339,DONGIA,DG!$E$6,0)</f>
        <v>32000</v>
      </c>
      <c r="J2339" s="329"/>
      <c r="K2339" s="329">
        <f>VLOOKUP(B2339,DONGIA,DG!$F$6,0)</f>
        <v>0</v>
      </c>
      <c r="L2339" s="329">
        <f>VLOOKUP(B2339,DONGIA,DG!$G$6,0)</f>
        <v>0</v>
      </c>
      <c r="M2339" s="329">
        <f t="shared" si="626"/>
        <v>0</v>
      </c>
      <c r="N2339" s="329">
        <f t="shared" si="626"/>
        <v>0</v>
      </c>
      <c r="O2339" s="329">
        <f t="shared" si="626"/>
        <v>0</v>
      </c>
      <c r="P2339" s="329">
        <f t="shared" si="626"/>
        <v>0</v>
      </c>
      <c r="Q2339" s="329"/>
      <c r="S2339" s="332">
        <f t="shared" si="617"/>
        <v>0</v>
      </c>
      <c r="T2339" s="332">
        <f t="shared" si="624"/>
        <v>0</v>
      </c>
    </row>
    <row r="2340" spans="1:20" hidden="1">
      <c r="A2340" s="332" t="s">
        <v>477</v>
      </c>
      <c r="C2340" s="333">
        <f t="shared" si="625"/>
        <v>0</v>
      </c>
      <c r="D2340" s="372">
        <f>IF(H2340&lt;&gt;0,D2334+1,D2334)</f>
        <v>0</v>
      </c>
      <c r="E2340" s="372"/>
      <c r="F2340" s="373" t="s">
        <v>1920</v>
      </c>
      <c r="G2340" s="372" t="s">
        <v>1665</v>
      </c>
      <c r="H2340" s="373"/>
      <c r="I2340" s="373"/>
      <c r="J2340" s="373"/>
      <c r="K2340" s="373"/>
      <c r="L2340" s="373"/>
      <c r="M2340" s="373"/>
      <c r="N2340" s="373"/>
      <c r="O2340" s="373"/>
      <c r="P2340" s="373"/>
      <c r="Q2340" s="373"/>
      <c r="S2340" s="332">
        <f t="shared" si="617"/>
        <v>0</v>
      </c>
      <c r="T2340" s="332">
        <f t="shared" si="624"/>
        <v>0</v>
      </c>
    </row>
    <row r="2341" spans="1:20" s="361" customFormat="1" hidden="1">
      <c r="A2341" s="361" t="s">
        <v>477</v>
      </c>
      <c r="C2341" s="374">
        <f t="shared" si="625"/>
        <v>0</v>
      </c>
      <c r="D2341" s="351"/>
      <c r="E2341" s="351"/>
      <c r="F2341" s="351" t="s">
        <v>1902</v>
      </c>
      <c r="G2341" s="350"/>
      <c r="H2341" s="351"/>
      <c r="I2341" s="351"/>
      <c r="J2341" s="351"/>
      <c r="K2341" s="351"/>
      <c r="L2341" s="351"/>
      <c r="M2341" s="351"/>
      <c r="N2341" s="351"/>
      <c r="O2341" s="351"/>
      <c r="P2341" s="351"/>
      <c r="Q2341" s="351"/>
      <c r="S2341" s="361">
        <f t="shared" si="617"/>
        <v>0</v>
      </c>
      <c r="T2341" s="361">
        <f t="shared" si="624"/>
        <v>0</v>
      </c>
    </row>
    <row r="2342" spans="1:20" hidden="1">
      <c r="A2342" s="332" t="s">
        <v>477</v>
      </c>
      <c r="B2342" s="332" t="s">
        <v>463</v>
      </c>
      <c r="C2342" s="333">
        <f t="shared" si="625"/>
        <v>0</v>
      </c>
      <c r="D2342" s="329"/>
      <c r="E2342" s="328">
        <f>VLOOKUP(B2342,DONGIA,DG!$B$6,0)</f>
        <v>0</v>
      </c>
      <c r="F2342" s="329" t="str">
        <f>VLOOKUP(B2342,DONGIA,DG!$C$6,0)</f>
        <v>Trụ BTLT 10,5m F350 dự ứng lực</v>
      </c>
      <c r="G2342" s="328" t="str">
        <f>VLOOKUP(B2342,DONGIA,DG!$D$6,0)</f>
        <v>trụ</v>
      </c>
      <c r="H2342" s="329"/>
      <c r="I2342" s="329">
        <f>VLOOKUP(B2342,DONGIA,DG!$E$6,0)</f>
        <v>3818182</v>
      </c>
      <c r="J2342" s="329"/>
      <c r="K2342" s="329">
        <f>VLOOKUP(B2342,DONGIA,DG!$F$6,0)</f>
        <v>0</v>
      </c>
      <c r="L2342" s="329">
        <f>VLOOKUP(B2342,DONGIA,DG!$G$6,0)</f>
        <v>0</v>
      </c>
      <c r="M2342" s="329">
        <f t="shared" ref="M2342:P2343" si="627">$H2342*I2342</f>
        <v>0</v>
      </c>
      <c r="N2342" s="329">
        <f t="shared" si="627"/>
        <v>0</v>
      </c>
      <c r="O2342" s="329">
        <f t="shared" si="627"/>
        <v>0</v>
      </c>
      <c r="P2342" s="329">
        <f t="shared" si="627"/>
        <v>0</v>
      </c>
      <c r="Q2342" s="329"/>
      <c r="S2342" s="332">
        <f t="shared" si="617"/>
        <v>700</v>
      </c>
      <c r="T2342" s="332">
        <f t="shared" si="624"/>
        <v>0</v>
      </c>
    </row>
    <row r="2343" spans="1:20" hidden="1">
      <c r="A2343" s="332" t="s">
        <v>477</v>
      </c>
      <c r="B2343" s="332" t="s">
        <v>2817</v>
      </c>
      <c r="C2343" s="333">
        <f t="shared" si="625"/>
        <v>0</v>
      </c>
      <c r="D2343" s="329"/>
      <c r="E2343" s="328" t="str">
        <f>VLOOKUP(B2343,DONGIA,DG!$B$6,0)</f>
        <v>D2.5222</v>
      </c>
      <c r="F2343" s="329" t="str">
        <f>VLOOKUP(B2343,DONGIA,DG!$C$6,0)</f>
        <v>Dựng trụ BTLT &lt;=10m thủ công +cơ giới</v>
      </c>
      <c r="G2343" s="328" t="str">
        <f>VLOOKUP(B2343,DONGIA,DG!$D$6,0)</f>
        <v>trụ</v>
      </c>
      <c r="H2343" s="329"/>
      <c r="I2343" s="329">
        <f>VLOOKUP(B2343,DONGIA,DG!$E$6,0)</f>
        <v>0</v>
      </c>
      <c r="J2343" s="329"/>
      <c r="K2343" s="329">
        <f>VLOOKUP(B2343,DONGIA,DG!$F$6,0)</f>
        <v>469141</v>
      </c>
      <c r="L2343" s="329">
        <f>VLOOKUP(B2343,DONGIA,DG!$G$6,0)</f>
        <v>135772</v>
      </c>
      <c r="M2343" s="329">
        <f t="shared" si="627"/>
        <v>0</v>
      </c>
      <c r="N2343" s="329">
        <f t="shared" si="627"/>
        <v>0</v>
      </c>
      <c r="O2343" s="329">
        <f t="shared" si="627"/>
        <v>0</v>
      </c>
      <c r="P2343" s="329">
        <f t="shared" si="627"/>
        <v>0</v>
      </c>
      <c r="Q2343" s="329"/>
      <c r="S2343" s="332">
        <f t="shared" si="617"/>
        <v>0</v>
      </c>
      <c r="T2343" s="332">
        <f t="shared" si="624"/>
        <v>0</v>
      </c>
    </row>
    <row r="2344" spans="1:20" hidden="1">
      <c r="A2344" s="332" t="s">
        <v>477</v>
      </c>
      <c r="C2344" s="333">
        <f t="shared" si="625"/>
        <v>0</v>
      </c>
      <c r="D2344" s="372">
        <f>IF(H2344&lt;&gt;0,D2340+1,D2340)</f>
        <v>0</v>
      </c>
      <c r="E2344" s="372"/>
      <c r="F2344" s="373" t="s">
        <v>1919</v>
      </c>
      <c r="G2344" s="372" t="s">
        <v>1665</v>
      </c>
      <c r="H2344" s="372">
        <f>T3P160</f>
        <v>0</v>
      </c>
      <c r="I2344" s="373"/>
      <c r="J2344" s="373"/>
      <c r="K2344" s="373"/>
      <c r="L2344" s="373"/>
      <c r="M2344" s="373"/>
      <c r="N2344" s="373"/>
      <c r="O2344" s="373"/>
      <c r="P2344" s="373"/>
      <c r="Q2344" s="373"/>
      <c r="S2344" s="332">
        <f t="shared" si="617"/>
        <v>0</v>
      </c>
      <c r="T2344" s="332">
        <f t="shared" si="624"/>
        <v>0</v>
      </c>
    </row>
    <row r="2345" spans="1:20" s="361" customFormat="1" hidden="1">
      <c r="A2345" s="361" t="s">
        <v>477</v>
      </c>
      <c r="C2345" s="374">
        <f>C2344</f>
        <v>0</v>
      </c>
      <c r="D2345" s="351"/>
      <c r="E2345" s="351"/>
      <c r="F2345" s="351" t="s">
        <v>1902</v>
      </c>
      <c r="G2345" s="350"/>
      <c r="H2345" s="351"/>
      <c r="I2345" s="351"/>
      <c r="J2345" s="351"/>
      <c r="K2345" s="351"/>
      <c r="L2345" s="351"/>
      <c r="M2345" s="351"/>
      <c r="N2345" s="351"/>
      <c r="O2345" s="351"/>
      <c r="P2345" s="351"/>
      <c r="Q2345" s="351"/>
      <c r="S2345" s="361">
        <f t="shared" si="617"/>
        <v>0</v>
      </c>
      <c r="T2345" s="361">
        <f t="shared" si="624"/>
        <v>0</v>
      </c>
    </row>
    <row r="2346" spans="1:20" hidden="1">
      <c r="A2346" s="332" t="s">
        <v>477</v>
      </c>
      <c r="B2346" s="332" t="s">
        <v>466</v>
      </c>
      <c r="C2346" s="333">
        <f t="shared" ref="C2346:C2359" si="628">IF(H2346&lt;&gt;0,1,)</f>
        <v>0</v>
      </c>
      <c r="D2346" s="329"/>
      <c r="E2346" s="328">
        <f>VLOOKUP(B2346,DONGIA,DG!$B$6,0)</f>
        <v>0</v>
      </c>
      <c r="F2346" s="329" t="str">
        <f>VLOOKUP(B2346,DONGIA,DG!$C$6,0)</f>
        <v>Trụ BTLT 12m F540 dự ứng lực</v>
      </c>
      <c r="G2346" s="328" t="str">
        <f>VLOOKUP(B2346,DONGIA,DG!$D$6,0)</f>
        <v>trụ</v>
      </c>
      <c r="H2346" s="329">
        <f>H2344</f>
        <v>0</v>
      </c>
      <c r="I2346" s="329">
        <f>VLOOKUP(B2346,DONGIA,DG!$E$6,0)</f>
        <v>5511000</v>
      </c>
      <c r="J2346" s="329"/>
      <c r="K2346" s="329">
        <f>VLOOKUP(B2346,DONGIA,DG!$F$6,0)</f>
        <v>0</v>
      </c>
      <c r="L2346" s="329">
        <f>VLOOKUP(B2346,DONGIA,DG!$G$6,0)</f>
        <v>0</v>
      </c>
      <c r="M2346" s="329">
        <f t="shared" ref="M2346:P2347" si="629">$H2346*I2346</f>
        <v>0</v>
      </c>
      <c r="N2346" s="329">
        <f t="shared" si="629"/>
        <v>0</v>
      </c>
      <c r="O2346" s="329">
        <f t="shared" si="629"/>
        <v>0</v>
      </c>
      <c r="P2346" s="329">
        <f t="shared" si="629"/>
        <v>0</v>
      </c>
      <c r="Q2346" s="329"/>
      <c r="S2346" s="332">
        <f t="shared" si="617"/>
        <v>1250</v>
      </c>
      <c r="T2346" s="332">
        <f t="shared" si="624"/>
        <v>0</v>
      </c>
    </row>
    <row r="2347" spans="1:20" hidden="1">
      <c r="A2347" s="332" t="s">
        <v>477</v>
      </c>
      <c r="B2347" s="332" t="s">
        <v>2913</v>
      </c>
      <c r="C2347" s="333">
        <f t="shared" si="628"/>
        <v>0</v>
      </c>
      <c r="D2347" s="329"/>
      <c r="E2347" s="328" t="str">
        <f>VLOOKUP(B2347,DONGIA,DG!$B$6,0)</f>
        <v>T4.9103</v>
      </c>
      <c r="F2347" s="329" t="str">
        <f>VLOOKUP(B2347,DONGIA,DG!$C$6,0)</f>
        <v>Dựng trụ BTLT 12m trong TBA</v>
      </c>
      <c r="G2347" s="328" t="str">
        <f>VLOOKUP(B2347,DONGIA,DG!$D$6,0)</f>
        <v>trụ</v>
      </c>
      <c r="H2347" s="329">
        <f>H2346</f>
        <v>0</v>
      </c>
      <c r="I2347" s="329">
        <f>VLOOKUP(B2347,DONGIA,DG!$E$6,0)</f>
        <v>0</v>
      </c>
      <c r="J2347" s="329"/>
      <c r="K2347" s="329">
        <f>VLOOKUP(B2347,DONGIA,DG!$F$6,0)</f>
        <v>837772</v>
      </c>
      <c r="L2347" s="329">
        <f>VLOOKUP(B2347,DONGIA,DG!$G$6,0)</f>
        <v>310336</v>
      </c>
      <c r="M2347" s="329">
        <f t="shared" si="629"/>
        <v>0</v>
      </c>
      <c r="N2347" s="329">
        <f t="shared" si="629"/>
        <v>0</v>
      </c>
      <c r="O2347" s="329">
        <f t="shared" si="629"/>
        <v>0</v>
      </c>
      <c r="P2347" s="329">
        <f t="shared" si="629"/>
        <v>0</v>
      </c>
      <c r="Q2347" s="329"/>
      <c r="S2347" s="332">
        <f t="shared" si="617"/>
        <v>0</v>
      </c>
      <c r="T2347" s="332">
        <f t="shared" si="624"/>
        <v>0</v>
      </c>
    </row>
    <row r="2348" spans="1:20" hidden="1">
      <c r="A2348" s="332" t="s">
        <v>477</v>
      </c>
      <c r="C2348" s="333">
        <f t="shared" si="628"/>
        <v>0</v>
      </c>
      <c r="D2348" s="372">
        <f>IF(H2348&lt;&gt;0,D2344+1,D2344)</f>
        <v>0</v>
      </c>
      <c r="E2348" s="372"/>
      <c r="F2348" s="373" t="s">
        <v>1921</v>
      </c>
      <c r="G2348" s="372" t="s">
        <v>1633</v>
      </c>
      <c r="H2348" s="372">
        <v>0</v>
      </c>
      <c r="I2348" s="373"/>
      <c r="J2348" s="373"/>
      <c r="K2348" s="373"/>
      <c r="L2348" s="373"/>
      <c r="M2348" s="373"/>
      <c r="N2348" s="373"/>
      <c r="O2348" s="373"/>
      <c r="P2348" s="373"/>
      <c r="Q2348" s="373"/>
      <c r="S2348" s="332">
        <f t="shared" si="617"/>
        <v>0</v>
      </c>
      <c r="T2348" s="332">
        <f t="shared" si="624"/>
        <v>0</v>
      </c>
    </row>
    <row r="2349" spans="1:20" s="361" customFormat="1" hidden="1">
      <c r="A2349" s="361" t="s">
        <v>477</v>
      </c>
      <c r="C2349" s="374">
        <f t="shared" si="628"/>
        <v>0</v>
      </c>
      <c r="D2349" s="351"/>
      <c r="E2349" s="351"/>
      <c r="F2349" s="351" t="s">
        <v>1902</v>
      </c>
      <c r="G2349" s="350"/>
      <c r="H2349" s="351"/>
      <c r="I2349" s="351"/>
      <c r="J2349" s="351"/>
      <c r="K2349" s="351"/>
      <c r="L2349" s="351"/>
      <c r="M2349" s="351"/>
      <c r="N2349" s="351"/>
      <c r="O2349" s="351"/>
      <c r="P2349" s="351"/>
      <c r="Q2349" s="351"/>
      <c r="S2349" s="361">
        <f t="shared" si="617"/>
        <v>0</v>
      </c>
      <c r="T2349" s="361">
        <f t="shared" si="624"/>
        <v>0</v>
      </c>
    </row>
    <row r="2350" spans="1:20" hidden="1">
      <c r="A2350" s="332" t="s">
        <v>477</v>
      </c>
      <c r="B2350" s="332" t="s">
        <v>1635</v>
      </c>
      <c r="C2350" s="333">
        <f t="shared" si="628"/>
        <v>0</v>
      </c>
      <c r="D2350" s="329"/>
      <c r="E2350" s="328" t="str">
        <f>VLOOKUP(B2350,DONGIA,DG!$B$6,0)</f>
        <v>AG.42121</v>
      </c>
      <c r="F2350" s="329" t="str">
        <f>VLOOKUP(B2350,DONGIA,DG!$C$6,0)</f>
        <v>Đà cản BTCT 1,2m</v>
      </c>
      <c r="G2350" s="328" t="str">
        <f>VLOOKUP(B2350,DONGIA,DG!$D$6,0)</f>
        <v>cái</v>
      </c>
      <c r="H2350" s="329"/>
      <c r="I2350" s="329">
        <f>VLOOKUP(B2350,DONGIA,DG!$E$6,0)</f>
        <v>320000</v>
      </c>
      <c r="J2350" s="329"/>
      <c r="K2350" s="329">
        <f>VLOOKUP(B2350,DONGIA,DG!$F$6,0)</f>
        <v>52815</v>
      </c>
      <c r="L2350" s="329">
        <f>VLOOKUP(B2350,DONGIA,DG!$G$6,0)</f>
        <v>0</v>
      </c>
      <c r="M2350" s="329">
        <f t="shared" ref="M2350:P2353" si="630">$H2350*I2350</f>
        <v>0</v>
      </c>
      <c r="N2350" s="329">
        <f t="shared" si="630"/>
        <v>0</v>
      </c>
      <c r="O2350" s="329">
        <f t="shared" si="630"/>
        <v>0</v>
      </c>
      <c r="P2350" s="329">
        <f t="shared" si="630"/>
        <v>0</v>
      </c>
      <c r="Q2350" s="329"/>
      <c r="S2350" s="332">
        <f t="shared" si="617"/>
        <v>80</v>
      </c>
      <c r="T2350" s="332">
        <f t="shared" si="624"/>
        <v>0</v>
      </c>
    </row>
    <row r="2351" spans="1:20" hidden="1">
      <c r="A2351" s="332" t="s">
        <v>477</v>
      </c>
      <c r="B2351" s="332" t="s">
        <v>103</v>
      </c>
      <c r="C2351" s="333">
        <f t="shared" si="628"/>
        <v>0</v>
      </c>
      <c r="D2351" s="329"/>
      <c r="E2351" s="328">
        <f>VLOOKUP(B2351,DONGIA,DG!$B$6,0)</f>
        <v>0</v>
      </c>
      <c r="F2351" s="329" t="str">
        <f>VLOOKUP(B2351,DONGIA,DG!$C$6,0)</f>
        <v>Boulon 22x550VRS + 2 long đền vuông D24-60x60x6/Zn</v>
      </c>
      <c r="G2351" s="328" t="str">
        <f>VLOOKUP(B2351,DONGIA,DG!$D$6,0)</f>
        <v>bộ</v>
      </c>
      <c r="H2351" s="329"/>
      <c r="I2351" s="329">
        <f>VLOOKUP(B2351,DONGIA,DG!$E$6,0)</f>
        <v>92400</v>
      </c>
      <c r="J2351" s="329"/>
      <c r="K2351" s="329">
        <f>VLOOKUP(B2351,DONGIA,DG!$F$6,0)</f>
        <v>0</v>
      </c>
      <c r="L2351" s="329">
        <f>VLOOKUP(B2351,DONGIA,DG!$G$6,0)</f>
        <v>0</v>
      </c>
      <c r="M2351" s="329">
        <f t="shared" si="630"/>
        <v>0</v>
      </c>
      <c r="N2351" s="329">
        <f t="shared" si="630"/>
        <v>0</v>
      </c>
      <c r="O2351" s="329">
        <f t="shared" si="630"/>
        <v>0</v>
      </c>
      <c r="P2351" s="329">
        <f t="shared" si="630"/>
        <v>0</v>
      </c>
      <c r="Q2351" s="329"/>
      <c r="S2351" s="332">
        <f t="shared" si="617"/>
        <v>0.55000000000000004</v>
      </c>
      <c r="T2351" s="332">
        <f t="shared" si="624"/>
        <v>0</v>
      </c>
    </row>
    <row r="2352" spans="1:20" hidden="1">
      <c r="A2352" s="332" t="s">
        <v>477</v>
      </c>
      <c r="B2352" s="332" t="s">
        <v>499</v>
      </c>
      <c r="C2352" s="333">
        <f t="shared" si="628"/>
        <v>0</v>
      </c>
      <c r="D2352" s="329"/>
      <c r="E2352" s="328" t="str">
        <f>VLOOKUP(B2352,DONGIA,DG!$B$6,0)</f>
        <v>AB.11423</v>
      </c>
      <c r="F2352" s="329" t="str">
        <f>VLOOKUP(B2352,DONGIA,DG!$C$6,0)</f>
        <v>Đào hố móng đất cấp 3 sâu &gt;1m (rộng ≤1m)</v>
      </c>
      <c r="G2352" s="328" t="str">
        <f>VLOOKUP(B2352,DONGIA,DG!$D$6,0)</f>
        <v>m3</v>
      </c>
      <c r="H2352" s="329"/>
      <c r="I2352" s="329">
        <f>VLOOKUP(B2352,DONGIA,DG!$E$6,0)</f>
        <v>0</v>
      </c>
      <c r="J2352" s="329"/>
      <c r="K2352" s="329">
        <f>VLOOKUP(B2352,DONGIA,DG!$F$6,0)</f>
        <v>418738</v>
      </c>
      <c r="L2352" s="329">
        <f>VLOOKUP(B2352,DONGIA,DG!$G$6,0)</f>
        <v>0</v>
      </c>
      <c r="M2352" s="329">
        <f t="shared" si="630"/>
        <v>0</v>
      </c>
      <c r="N2352" s="329">
        <f t="shared" si="630"/>
        <v>0</v>
      </c>
      <c r="O2352" s="329">
        <f t="shared" si="630"/>
        <v>0</v>
      </c>
      <c r="P2352" s="329">
        <f t="shared" si="630"/>
        <v>0</v>
      </c>
      <c r="Q2352" s="329"/>
      <c r="S2352" s="332">
        <f t="shared" si="617"/>
        <v>0</v>
      </c>
      <c r="T2352" s="332">
        <f t="shared" si="624"/>
        <v>0</v>
      </c>
    </row>
    <row r="2353" spans="1:20" hidden="1">
      <c r="A2353" s="332" t="s">
        <v>477</v>
      </c>
      <c r="B2353" s="332" t="s">
        <v>510</v>
      </c>
      <c r="C2353" s="333">
        <f t="shared" si="628"/>
        <v>0</v>
      </c>
      <c r="D2353" s="329"/>
      <c r="E2353" s="328" t="str">
        <f>VLOOKUP(B2353,DONGIA,DG!$B$6,0)</f>
        <v>AB.65110</v>
      </c>
      <c r="F2353" s="329" t="str">
        <f>VLOOKUP(B2353,DONGIA,DG!$C$6,0)</f>
        <v>Đắp đất hố móng (K=0,85)</v>
      </c>
      <c r="G2353" s="328" t="str">
        <f>VLOOKUP(B2353,DONGIA,DG!$D$6,0)</f>
        <v>m3</v>
      </c>
      <c r="H2353" s="329"/>
      <c r="I2353" s="329">
        <f>VLOOKUP(B2353,DONGIA,DG!$E$6,0)</f>
        <v>0</v>
      </c>
      <c r="J2353" s="329"/>
      <c r="K2353" s="329">
        <f>VLOOKUP(B2353,DONGIA,DG!$F$6,0)</f>
        <v>16267</v>
      </c>
      <c r="L2353" s="329">
        <f>VLOOKUP(B2353,DONGIA,DG!$G$6,0)</f>
        <v>11176</v>
      </c>
      <c r="M2353" s="329">
        <f t="shared" si="630"/>
        <v>0</v>
      </c>
      <c r="N2353" s="329">
        <f t="shared" si="630"/>
        <v>0</v>
      </c>
      <c r="O2353" s="329">
        <f t="shared" si="630"/>
        <v>0</v>
      </c>
      <c r="P2353" s="329">
        <f t="shared" si="630"/>
        <v>0</v>
      </c>
      <c r="Q2353" s="329"/>
      <c r="S2353" s="332">
        <f t="shared" si="617"/>
        <v>0</v>
      </c>
      <c r="T2353" s="332">
        <f t="shared" si="624"/>
        <v>0</v>
      </c>
    </row>
    <row r="2354" spans="1:20" hidden="1">
      <c r="A2354" s="332" t="s">
        <v>477</v>
      </c>
      <c r="C2354" s="333">
        <f t="shared" si="628"/>
        <v>0</v>
      </c>
      <c r="D2354" s="372">
        <f>IF(H2354&lt;&gt;0,D2348+1,D2348)</f>
        <v>0</v>
      </c>
      <c r="E2354" s="372"/>
      <c r="F2354" s="373" t="s">
        <v>1651</v>
      </c>
      <c r="G2354" s="372" t="s">
        <v>1633</v>
      </c>
      <c r="H2354" s="372">
        <v>0</v>
      </c>
      <c r="I2354" s="373"/>
      <c r="J2354" s="373"/>
      <c r="K2354" s="373"/>
      <c r="L2354" s="373"/>
      <c r="M2354" s="373"/>
      <c r="N2354" s="373"/>
      <c r="O2354" s="373"/>
      <c r="P2354" s="373"/>
      <c r="Q2354" s="373"/>
      <c r="S2354" s="332">
        <f t="shared" si="617"/>
        <v>0</v>
      </c>
      <c r="T2354" s="332">
        <f t="shared" si="624"/>
        <v>0</v>
      </c>
    </row>
    <row r="2355" spans="1:20" s="361" customFormat="1" hidden="1">
      <c r="A2355" s="361" t="s">
        <v>477</v>
      </c>
      <c r="C2355" s="374">
        <f t="shared" si="628"/>
        <v>0</v>
      </c>
      <c r="D2355" s="351"/>
      <c r="E2355" s="351"/>
      <c r="F2355" s="351" t="s">
        <v>1902</v>
      </c>
      <c r="G2355" s="350"/>
      <c r="H2355" s="351"/>
      <c r="I2355" s="351"/>
      <c r="J2355" s="351"/>
      <c r="K2355" s="351"/>
      <c r="L2355" s="351"/>
      <c r="M2355" s="351"/>
      <c r="N2355" s="351"/>
      <c r="O2355" s="351"/>
      <c r="P2355" s="351"/>
      <c r="Q2355" s="351"/>
      <c r="S2355" s="361">
        <f t="shared" si="617"/>
        <v>0</v>
      </c>
      <c r="T2355" s="361">
        <f t="shared" si="624"/>
        <v>0</v>
      </c>
    </row>
    <row r="2356" spans="1:20" hidden="1">
      <c r="A2356" s="332" t="s">
        <v>477</v>
      </c>
      <c r="B2356" s="332" t="s">
        <v>1635</v>
      </c>
      <c r="C2356" s="333">
        <f t="shared" si="628"/>
        <v>0</v>
      </c>
      <c r="D2356" s="329"/>
      <c r="E2356" s="328" t="str">
        <f>VLOOKUP(B2356,DONGIA,DG!$B$6,0)</f>
        <v>AG.42121</v>
      </c>
      <c r="F2356" s="329" t="str">
        <f>VLOOKUP(B2356,DONGIA,DG!$C$6,0)</f>
        <v>Đà cản BTCT 1,2m</v>
      </c>
      <c r="G2356" s="328" t="str">
        <f>VLOOKUP(B2356,DONGIA,DG!$D$6,0)</f>
        <v>cái</v>
      </c>
      <c r="H2356" s="329"/>
      <c r="I2356" s="329">
        <f>VLOOKUP(B2356,DONGIA,DG!$E$6,0)</f>
        <v>320000</v>
      </c>
      <c r="J2356" s="329"/>
      <c r="K2356" s="329">
        <f>VLOOKUP(B2356,DONGIA,DG!$F$6,0)</f>
        <v>52815</v>
      </c>
      <c r="L2356" s="329">
        <f>VLOOKUP(B2356,DONGIA,DG!$G$6,0)</f>
        <v>0</v>
      </c>
      <c r="M2356" s="329">
        <f t="shared" ref="M2356:P2359" si="631">$H2356*I2356</f>
        <v>0</v>
      </c>
      <c r="N2356" s="329">
        <f t="shared" si="631"/>
        <v>0</v>
      </c>
      <c r="O2356" s="329">
        <f t="shared" si="631"/>
        <v>0</v>
      </c>
      <c r="P2356" s="329">
        <f t="shared" si="631"/>
        <v>0</v>
      </c>
      <c r="Q2356" s="329"/>
      <c r="S2356" s="332">
        <f t="shared" si="617"/>
        <v>80</v>
      </c>
      <c r="T2356" s="332">
        <f t="shared" si="624"/>
        <v>0</v>
      </c>
    </row>
    <row r="2357" spans="1:20" hidden="1">
      <c r="A2357" s="332" t="s">
        <v>477</v>
      </c>
      <c r="B2357" s="332" t="s">
        <v>103</v>
      </c>
      <c r="C2357" s="333">
        <f t="shared" si="628"/>
        <v>0</v>
      </c>
      <c r="D2357" s="329"/>
      <c r="E2357" s="328">
        <f>VLOOKUP(B2357,DONGIA,DG!$B$6,0)</f>
        <v>0</v>
      </c>
      <c r="F2357" s="329" t="str">
        <f>VLOOKUP(B2357,DONGIA,DG!$C$6,0)</f>
        <v>Boulon 22x550VRS + 2 long đền vuông D24-60x60x6/Zn</v>
      </c>
      <c r="G2357" s="328" t="str">
        <f>VLOOKUP(B2357,DONGIA,DG!$D$6,0)</f>
        <v>bộ</v>
      </c>
      <c r="H2357" s="329"/>
      <c r="I2357" s="329">
        <f>VLOOKUP(B2357,DONGIA,DG!$E$6,0)</f>
        <v>92400</v>
      </c>
      <c r="J2357" s="329"/>
      <c r="K2357" s="329">
        <f>VLOOKUP(B2357,DONGIA,DG!$F$6,0)</f>
        <v>0</v>
      </c>
      <c r="L2357" s="329">
        <f>VLOOKUP(B2357,DONGIA,DG!$G$6,0)</f>
        <v>0</v>
      </c>
      <c r="M2357" s="329">
        <f t="shared" si="631"/>
        <v>0</v>
      </c>
      <c r="N2357" s="329">
        <f t="shared" si="631"/>
        <v>0</v>
      </c>
      <c r="O2357" s="329">
        <f t="shared" si="631"/>
        <v>0</v>
      </c>
      <c r="P2357" s="329">
        <f t="shared" si="631"/>
        <v>0</v>
      </c>
      <c r="Q2357" s="329"/>
      <c r="S2357" s="332">
        <f t="shared" si="617"/>
        <v>0.55000000000000004</v>
      </c>
      <c r="T2357" s="332">
        <f t="shared" si="624"/>
        <v>0</v>
      </c>
    </row>
    <row r="2358" spans="1:20" hidden="1">
      <c r="A2358" s="332" t="s">
        <v>477</v>
      </c>
      <c r="B2358" s="332" t="s">
        <v>499</v>
      </c>
      <c r="C2358" s="333">
        <f t="shared" si="628"/>
        <v>0</v>
      </c>
      <c r="D2358" s="329"/>
      <c r="E2358" s="328" t="str">
        <f>VLOOKUP(B2358,DONGIA,DG!$B$6,0)</f>
        <v>AB.11423</v>
      </c>
      <c r="F2358" s="329" t="str">
        <f>VLOOKUP(B2358,DONGIA,DG!$C$6,0)</f>
        <v>Đào hố móng đất cấp 3 sâu &gt;1m (rộng ≤1m)</v>
      </c>
      <c r="G2358" s="328" t="str">
        <f>VLOOKUP(B2358,DONGIA,DG!$D$6,0)</f>
        <v>m3</v>
      </c>
      <c r="H2358" s="329"/>
      <c r="I2358" s="329">
        <f>VLOOKUP(B2358,DONGIA,DG!$E$6,0)</f>
        <v>0</v>
      </c>
      <c r="J2358" s="329"/>
      <c r="K2358" s="329">
        <f>VLOOKUP(B2358,DONGIA,DG!$F$6,0)</f>
        <v>418738</v>
      </c>
      <c r="L2358" s="329">
        <f>VLOOKUP(B2358,DONGIA,DG!$G$6,0)</f>
        <v>0</v>
      </c>
      <c r="M2358" s="329">
        <f t="shared" si="631"/>
        <v>0</v>
      </c>
      <c r="N2358" s="329">
        <f t="shared" si="631"/>
        <v>0</v>
      </c>
      <c r="O2358" s="329">
        <f t="shared" si="631"/>
        <v>0</v>
      </c>
      <c r="P2358" s="329">
        <f t="shared" si="631"/>
        <v>0</v>
      </c>
      <c r="Q2358" s="329"/>
      <c r="S2358" s="332">
        <f t="shared" si="617"/>
        <v>0</v>
      </c>
      <c r="T2358" s="332">
        <f t="shared" si="624"/>
        <v>0</v>
      </c>
    </row>
    <row r="2359" spans="1:20" hidden="1">
      <c r="A2359" s="332" t="s">
        <v>477</v>
      </c>
      <c r="B2359" s="332" t="s">
        <v>510</v>
      </c>
      <c r="C2359" s="333">
        <f t="shared" si="628"/>
        <v>0</v>
      </c>
      <c r="D2359" s="329"/>
      <c r="E2359" s="328" t="str">
        <f>VLOOKUP(B2359,DONGIA,DG!$B$6,0)</f>
        <v>AB.65110</v>
      </c>
      <c r="F2359" s="329" t="str">
        <f>VLOOKUP(B2359,DONGIA,DG!$C$6,0)</f>
        <v>Đắp đất hố móng (K=0,85)</v>
      </c>
      <c r="G2359" s="328" t="str">
        <f>VLOOKUP(B2359,DONGIA,DG!$D$6,0)</f>
        <v>m3</v>
      </c>
      <c r="H2359" s="329"/>
      <c r="I2359" s="329">
        <f>VLOOKUP(B2359,DONGIA,DG!$E$6,0)</f>
        <v>0</v>
      </c>
      <c r="J2359" s="329"/>
      <c r="K2359" s="329">
        <f>VLOOKUP(B2359,DONGIA,DG!$F$6,0)</f>
        <v>16267</v>
      </c>
      <c r="L2359" s="329">
        <f>VLOOKUP(B2359,DONGIA,DG!$G$6,0)</f>
        <v>11176</v>
      </c>
      <c r="M2359" s="329">
        <f t="shared" si="631"/>
        <v>0</v>
      </c>
      <c r="N2359" s="329">
        <f t="shared" si="631"/>
        <v>0</v>
      </c>
      <c r="O2359" s="329">
        <f t="shared" si="631"/>
        <v>0</v>
      </c>
      <c r="P2359" s="329">
        <f t="shared" si="631"/>
        <v>0</v>
      </c>
      <c r="Q2359" s="329"/>
      <c r="S2359" s="332">
        <f t="shared" si="617"/>
        <v>0</v>
      </c>
      <c r="T2359" s="332">
        <f t="shared" si="624"/>
        <v>0</v>
      </c>
    </row>
    <row r="2360" spans="1:20" hidden="1">
      <c r="A2360" s="332" t="s">
        <v>477</v>
      </c>
      <c r="C2360" s="333">
        <f t="shared" ref="C2360:C2365" si="632">IF(H2360&lt;&gt;0,1,)</f>
        <v>0</v>
      </c>
      <c r="D2360" s="372">
        <f>IF(H2360&lt;&gt;0,D2354+1,D2354)</f>
        <v>0</v>
      </c>
      <c r="E2360" s="372"/>
      <c r="F2360" s="373" t="s">
        <v>2841</v>
      </c>
      <c r="G2360" s="372" t="s">
        <v>1633</v>
      </c>
      <c r="H2360" s="372">
        <f>T3P160</f>
        <v>0</v>
      </c>
      <c r="I2360" s="373"/>
      <c r="J2360" s="373"/>
      <c r="K2360" s="373"/>
      <c r="L2360" s="373"/>
      <c r="M2360" s="373"/>
      <c r="N2360" s="373"/>
      <c r="O2360" s="373"/>
      <c r="P2360" s="373"/>
      <c r="Q2360" s="373"/>
      <c r="S2360" s="332">
        <f t="shared" ref="S2360:S2365" si="633">IFERROR(VLOOKUP(B2360,DONGIA,$S$25,0),0)</f>
        <v>0</v>
      </c>
      <c r="T2360" s="332">
        <f t="shared" ref="T2360:T2365" si="634">H2360*S2360</f>
        <v>0</v>
      </c>
    </row>
    <row r="2361" spans="1:20" s="361" customFormat="1" hidden="1">
      <c r="A2361" s="361" t="s">
        <v>477</v>
      </c>
      <c r="C2361" s="374">
        <f>C2360</f>
        <v>0</v>
      </c>
      <c r="D2361" s="351"/>
      <c r="E2361" s="351"/>
      <c r="F2361" s="351" t="s">
        <v>1902</v>
      </c>
      <c r="G2361" s="350"/>
      <c r="H2361" s="351"/>
      <c r="I2361" s="351"/>
      <c r="J2361" s="351"/>
      <c r="K2361" s="351"/>
      <c r="L2361" s="351"/>
      <c r="M2361" s="351"/>
      <c r="N2361" s="351"/>
      <c r="O2361" s="351"/>
      <c r="P2361" s="351"/>
      <c r="Q2361" s="351"/>
      <c r="S2361" s="361">
        <f t="shared" si="633"/>
        <v>0</v>
      </c>
      <c r="T2361" s="361">
        <f t="shared" si="634"/>
        <v>0</v>
      </c>
    </row>
    <row r="2362" spans="1:20" hidden="1">
      <c r="A2362" s="332" t="s">
        <v>477</v>
      </c>
      <c r="B2362" s="332" t="s">
        <v>1639</v>
      </c>
      <c r="C2362" s="333">
        <f t="shared" si="632"/>
        <v>0</v>
      </c>
      <c r="D2362" s="329"/>
      <c r="E2362" s="328">
        <f>VLOOKUP(B2362,DONGIA,DG!$B$6,0)</f>
        <v>0</v>
      </c>
      <c r="F2362" s="329" t="str">
        <f>VLOOKUP(B2362,DONGIA,DG!$C$6,0)</f>
        <v>Xi măng</v>
      </c>
      <c r="G2362" s="328" t="str">
        <f>VLOOKUP(B2362,DONGIA,DG!$D$6,0)</f>
        <v>kg</v>
      </c>
      <c r="H2362" s="329">
        <f>H2360*H2367*296</f>
        <v>0</v>
      </c>
      <c r="I2362" s="329"/>
      <c r="J2362" s="329">
        <f>VLOOKUP(B2362,DONGIA,DG!$E$6,0)</f>
        <v>1760</v>
      </c>
      <c r="K2362" s="329">
        <f>VLOOKUP(B2362,DONGIA,DG!$F$6,0)</f>
        <v>0</v>
      </c>
      <c r="L2362" s="329">
        <f>VLOOKUP(B2362,DONGIA,DG!$G$6,0)</f>
        <v>0</v>
      </c>
      <c r="M2362" s="329">
        <f t="shared" ref="M2362:P2367" si="635">$H2362*I2362</f>
        <v>0</v>
      </c>
      <c r="N2362" s="329">
        <f t="shared" si="635"/>
        <v>0</v>
      </c>
      <c r="O2362" s="329">
        <f t="shared" si="635"/>
        <v>0</v>
      </c>
      <c r="P2362" s="329">
        <f t="shared" si="635"/>
        <v>0</v>
      </c>
      <c r="Q2362" s="329"/>
      <c r="S2362" s="332">
        <f t="shared" si="633"/>
        <v>1</v>
      </c>
      <c r="T2362" s="332">
        <f t="shared" si="634"/>
        <v>0</v>
      </c>
    </row>
    <row r="2363" spans="1:20" hidden="1">
      <c r="A2363" s="332" t="s">
        <v>477</v>
      </c>
      <c r="B2363" s="332" t="s">
        <v>471</v>
      </c>
      <c r="C2363" s="333">
        <f t="shared" si="632"/>
        <v>0</v>
      </c>
      <c r="D2363" s="329"/>
      <c r="E2363" s="328">
        <f>VLOOKUP(B2363,DONGIA,DG!$B$6,0)</f>
        <v>0</v>
      </c>
      <c r="F2363" s="329" t="str">
        <f>VLOOKUP(B2363,DONGIA,DG!$C$6,0)</f>
        <v>Cát vàng</v>
      </c>
      <c r="G2363" s="328" t="str">
        <f>VLOOKUP(B2363,DONGIA,DG!$D$6,0)</f>
        <v>m3</v>
      </c>
      <c r="H2363" s="52">
        <f>H2360*H2367*0.475</f>
        <v>0</v>
      </c>
      <c r="I2363" s="329"/>
      <c r="J2363" s="329">
        <f>VLOOKUP(B2363,DONGIA,DG!$E$6,0)</f>
        <v>350000</v>
      </c>
      <c r="K2363" s="329">
        <f>VLOOKUP(B2363,DONGIA,DG!$F$6,0)</f>
        <v>0</v>
      </c>
      <c r="L2363" s="329">
        <f>VLOOKUP(B2363,DONGIA,DG!$G$6,0)</f>
        <v>0</v>
      </c>
      <c r="M2363" s="329">
        <f t="shared" si="635"/>
        <v>0</v>
      </c>
      <c r="N2363" s="329">
        <f t="shared" si="635"/>
        <v>0</v>
      </c>
      <c r="O2363" s="329">
        <f t="shared" si="635"/>
        <v>0</v>
      </c>
      <c r="P2363" s="329">
        <f t="shared" si="635"/>
        <v>0</v>
      </c>
      <c r="Q2363" s="329"/>
      <c r="S2363" s="332">
        <f t="shared" si="633"/>
        <v>1500</v>
      </c>
      <c r="T2363" s="332">
        <f t="shared" si="634"/>
        <v>0</v>
      </c>
    </row>
    <row r="2364" spans="1:20" hidden="1">
      <c r="A2364" s="332" t="s">
        <v>477</v>
      </c>
      <c r="B2364" s="332" t="s">
        <v>1640</v>
      </c>
      <c r="C2364" s="333">
        <f t="shared" si="632"/>
        <v>0</v>
      </c>
      <c r="D2364" s="329"/>
      <c r="E2364" s="328">
        <f>VLOOKUP(B2364,DONGIA,DG!$B$6,0)</f>
        <v>0</v>
      </c>
      <c r="F2364" s="329" t="str">
        <f>VLOOKUP(B2364,DONGIA,DG!$C$6,0)</f>
        <v>Đá 1x2</v>
      </c>
      <c r="G2364" s="328" t="str">
        <f>VLOOKUP(B2364,DONGIA,DG!$D$6,0)</f>
        <v>m3</v>
      </c>
      <c r="H2364" s="52">
        <f>H2360*H2367*0.881</f>
        <v>0</v>
      </c>
      <c r="I2364" s="329"/>
      <c r="J2364" s="329">
        <f>VLOOKUP(B2364,DONGIA,DG!$E$6,0)</f>
        <v>342000</v>
      </c>
      <c r="K2364" s="329">
        <f>VLOOKUP(B2364,DONGIA,DG!$F$6,0)</f>
        <v>0</v>
      </c>
      <c r="L2364" s="329">
        <f>VLOOKUP(B2364,DONGIA,DG!$G$6,0)</f>
        <v>0</v>
      </c>
      <c r="M2364" s="329">
        <f t="shared" si="635"/>
        <v>0</v>
      </c>
      <c r="N2364" s="329">
        <f t="shared" si="635"/>
        <v>0</v>
      </c>
      <c r="O2364" s="329">
        <f t="shared" si="635"/>
        <v>0</v>
      </c>
      <c r="P2364" s="329">
        <f t="shared" si="635"/>
        <v>0</v>
      </c>
      <c r="Q2364" s="329"/>
      <c r="S2364" s="332">
        <f t="shared" si="633"/>
        <v>1500</v>
      </c>
      <c r="T2364" s="332">
        <f t="shared" si="634"/>
        <v>0</v>
      </c>
    </row>
    <row r="2365" spans="1:20" hidden="1">
      <c r="A2365" s="332" t="s">
        <v>477</v>
      </c>
      <c r="B2365" s="332" t="s">
        <v>491</v>
      </c>
      <c r="C2365" s="333">
        <f t="shared" si="632"/>
        <v>0</v>
      </c>
      <c r="D2365" s="329"/>
      <c r="E2365" s="328" t="str">
        <f>VLOOKUP(B2365,DONGIA,DG!$B$6,0)</f>
        <v>AB.11413</v>
      </c>
      <c r="F2365" s="362" t="str">
        <f>VLOOKUP(B2365,DONGIA,DG!$C$6,0)&amp;" (ĐC hệ số 0,9)"</f>
        <v>Đào hố móng đất cấp 3 sâu ≤1m (rộng ≤1m) (ĐC hệ số 0,9)</v>
      </c>
      <c r="G2365" s="328" t="str">
        <f>VLOOKUP(B2365,DONGIA,DG!$D$6,0)</f>
        <v>m3</v>
      </c>
      <c r="H2365" s="52">
        <f>H2360*1.209</f>
        <v>0</v>
      </c>
      <c r="I2365" s="329">
        <f>VLOOKUP(B2365,DONGIA,DG!$E$6,0)</f>
        <v>0</v>
      </c>
      <c r="J2365" s="329"/>
      <c r="K2365" s="362">
        <f>ROUND(VLOOKUP(B2365,DONGIA,DG!$F$6,0)/NCTBA,0)</f>
        <v>340001</v>
      </c>
      <c r="L2365" s="329">
        <f>VLOOKUP(B2365,DONGIA,DG!$G$6,0)</f>
        <v>0</v>
      </c>
      <c r="M2365" s="329">
        <f t="shared" si="635"/>
        <v>0</v>
      </c>
      <c r="N2365" s="329">
        <f t="shared" si="635"/>
        <v>0</v>
      </c>
      <c r="O2365" s="329">
        <f t="shared" si="635"/>
        <v>0</v>
      </c>
      <c r="P2365" s="329">
        <f t="shared" si="635"/>
        <v>0</v>
      </c>
      <c r="Q2365" s="329"/>
      <c r="S2365" s="332">
        <f t="shared" si="633"/>
        <v>0</v>
      </c>
      <c r="T2365" s="332">
        <f t="shared" si="634"/>
        <v>0</v>
      </c>
    </row>
    <row r="2366" spans="1:20" hidden="1">
      <c r="A2366" s="332" t="s">
        <v>477</v>
      </c>
      <c r="B2366" s="332" t="s">
        <v>510</v>
      </c>
      <c r="C2366" s="333">
        <f>IF(H2366&lt;&gt;0,1,)</f>
        <v>0</v>
      </c>
      <c r="D2366" s="329"/>
      <c r="E2366" s="328" t="str">
        <f>VLOOKUP(B2366,DONGIA,DG!$B$6,0)</f>
        <v>AB.65110</v>
      </c>
      <c r="F2366" s="362" t="str">
        <f>VLOOKUP(B2366,DONGIA,DG!$C$6,0)&amp;" (ĐC hệ số 0,9)"</f>
        <v>Đắp đất hố móng (K=0,85) (ĐC hệ số 0,9)</v>
      </c>
      <c r="G2366" s="328" t="str">
        <f>VLOOKUP(B2366,DONGIA,DG!$D$6,0)</f>
        <v>m3</v>
      </c>
      <c r="H2366" s="52">
        <f>H2360*0.035</f>
        <v>0</v>
      </c>
      <c r="I2366" s="329">
        <f>VLOOKUP(B2366,DONGIA,DG!$E$6,0)</f>
        <v>0</v>
      </c>
      <c r="J2366" s="329"/>
      <c r="K2366" s="362">
        <f>ROUND(VLOOKUP(B2366,DONGIA,DG!$F$6,0)/NCTBA,0)</f>
        <v>16267</v>
      </c>
      <c r="L2366" s="329">
        <f>VLOOKUP(B2366,DONGIA,DG!$G$6,0)</f>
        <v>11176</v>
      </c>
      <c r="M2366" s="329">
        <f t="shared" si="635"/>
        <v>0</v>
      </c>
      <c r="N2366" s="329">
        <f t="shared" si="635"/>
        <v>0</v>
      </c>
      <c r="O2366" s="329">
        <f t="shared" si="635"/>
        <v>0</v>
      </c>
      <c r="P2366" s="329">
        <f t="shared" si="635"/>
        <v>0</v>
      </c>
      <c r="Q2366" s="329"/>
      <c r="S2366" s="332">
        <f t="shared" ref="S2366:S2387" si="636">IFERROR(VLOOKUP(B2366,DONGIA,$S$25,0),0)</f>
        <v>0</v>
      </c>
      <c r="T2366" s="332">
        <f t="shared" ref="T2366:T2387" si="637">H2366*S2366</f>
        <v>0</v>
      </c>
    </row>
    <row r="2367" spans="1:20" hidden="1">
      <c r="A2367" s="332" t="s">
        <v>477</v>
      </c>
      <c r="B2367" s="332" t="s">
        <v>713</v>
      </c>
      <c r="C2367" s="333">
        <f>IF(H2367&lt;&gt;0,1,)</f>
        <v>0</v>
      </c>
      <c r="D2367" s="329"/>
      <c r="E2367" s="328" t="str">
        <f>VLOOKUP(B2367,DONGIA,DG!$B$6,0)</f>
        <v>AF.11210</v>
      </c>
      <c r="F2367" s="362" t="str">
        <f>VLOOKUP(B2367,DONGIA,DG!$C$6,0)&amp;" (ĐC hệ số 0,9)"</f>
        <v>Đổ bê tông mác M200 đá 1x2 (ĐC hệ số 0,9)</v>
      </c>
      <c r="G2367" s="328" t="str">
        <f>VLOOKUP(B2367,DONGIA,DG!$D$6,0)</f>
        <v>m3</v>
      </c>
      <c r="H2367" s="52">
        <f>H2360*1.042</f>
        <v>0</v>
      </c>
      <c r="I2367" s="329">
        <f>VLOOKUP(B2367,DONGIA,DG!$E$6,0)</f>
        <v>0</v>
      </c>
      <c r="J2367" s="329"/>
      <c r="K2367" s="362">
        <f>ROUND(VLOOKUP(B2367,DONGIA,DG!$F$6,0)/NCTBA,0)</f>
        <v>293475</v>
      </c>
      <c r="L2367" s="329">
        <f>VLOOKUP(B2367,DONGIA,DG!$G$6,0)</f>
        <v>44701</v>
      </c>
      <c r="M2367" s="329">
        <f t="shared" si="635"/>
        <v>0</v>
      </c>
      <c r="N2367" s="329">
        <f t="shared" si="635"/>
        <v>0</v>
      </c>
      <c r="O2367" s="329">
        <f t="shared" si="635"/>
        <v>0</v>
      </c>
      <c r="P2367" s="329">
        <f t="shared" si="635"/>
        <v>0</v>
      </c>
      <c r="Q2367" s="329"/>
      <c r="S2367" s="332">
        <f t="shared" si="636"/>
        <v>0</v>
      </c>
      <c r="T2367" s="332">
        <f t="shared" si="637"/>
        <v>0</v>
      </c>
    </row>
    <row r="2368" spans="1:20" hidden="1">
      <c r="A2368" s="332" t="s">
        <v>477</v>
      </c>
      <c r="C2368" s="333">
        <f>IF(H2368&lt;&gt;0,1,)</f>
        <v>0</v>
      </c>
      <c r="D2368" s="372">
        <f>IF(H2368&lt;&gt;0,D2360+1,D2360)</f>
        <v>0</v>
      </c>
      <c r="E2368" s="372"/>
      <c r="F2368" s="373" t="s">
        <v>1922</v>
      </c>
      <c r="G2368" s="372" t="s">
        <v>138</v>
      </c>
      <c r="H2368" s="372">
        <f>T3P160</f>
        <v>0</v>
      </c>
      <c r="I2368" s="373"/>
      <c r="J2368" s="373"/>
      <c r="K2368" s="373"/>
      <c r="L2368" s="373"/>
      <c r="M2368" s="373"/>
      <c r="N2368" s="373"/>
      <c r="O2368" s="373"/>
      <c r="P2368" s="373"/>
      <c r="Q2368" s="373"/>
      <c r="S2368" s="332">
        <f t="shared" si="636"/>
        <v>0</v>
      </c>
      <c r="T2368" s="332">
        <f t="shared" si="637"/>
        <v>0</v>
      </c>
    </row>
    <row r="2369" spans="1:20" s="361" customFormat="1" hidden="1">
      <c r="A2369" s="361" t="s">
        <v>477</v>
      </c>
      <c r="C2369" s="374">
        <f>C2368</f>
        <v>0</v>
      </c>
      <c r="D2369" s="351"/>
      <c r="E2369" s="351"/>
      <c r="F2369" s="351" t="s">
        <v>1902</v>
      </c>
      <c r="G2369" s="350"/>
      <c r="H2369" s="351"/>
      <c r="I2369" s="351"/>
      <c r="J2369" s="351"/>
      <c r="K2369" s="351"/>
      <c r="L2369" s="351"/>
      <c r="M2369" s="351"/>
      <c r="N2369" s="351"/>
      <c r="O2369" s="351"/>
      <c r="P2369" s="351"/>
      <c r="Q2369" s="351"/>
      <c r="S2369" s="361">
        <f t="shared" si="636"/>
        <v>0</v>
      </c>
      <c r="T2369" s="361">
        <f t="shared" si="637"/>
        <v>0</v>
      </c>
    </row>
    <row r="2370" spans="1:20" hidden="1">
      <c r="A2370" s="332" t="s">
        <v>477</v>
      </c>
      <c r="B2370" s="332" t="s">
        <v>1235</v>
      </c>
      <c r="C2370" s="333">
        <f t="shared" ref="C2370:C2378" si="638">IF(H2370&lt;&gt;0,1,)</f>
        <v>0</v>
      </c>
      <c r="D2370" s="329"/>
      <c r="E2370" s="328">
        <f>VLOOKUP(B2370,DONGIA,DG!$B$6,0)</f>
        <v>0</v>
      </c>
      <c r="F2370" s="329" t="str">
        <f>VLOOKUP(B2370,DONGIA,DG!$C$6,0)</f>
        <v>Đà U200x76x5,2x2800 đỡ MBA (54,25 kg/cái)</v>
      </c>
      <c r="G2370" s="328" t="str">
        <f>VLOOKUP(B2370,DONGIA,DG!$D$6,0)</f>
        <v>cái</v>
      </c>
      <c r="H2370" s="329">
        <f>H2368*2</f>
        <v>0</v>
      </c>
      <c r="I2370" s="329">
        <f>VLOOKUP(B2370,DONGIA,DG!$E$6,0)</f>
        <v>1475545.75</v>
      </c>
      <c r="J2370" s="329"/>
      <c r="K2370" s="329">
        <f>VLOOKUP(B2370,DONGIA,DG!$F$6,0)</f>
        <v>0</v>
      </c>
      <c r="L2370" s="329">
        <f>VLOOKUP(B2370,DONGIA,DG!$G$6,0)</f>
        <v>0</v>
      </c>
      <c r="M2370" s="329">
        <f>$H2370*I2370</f>
        <v>0</v>
      </c>
      <c r="N2370" s="329">
        <f>$H2370*J2370</f>
        <v>0</v>
      </c>
      <c r="O2370" s="329">
        <f>$H2370*K2370</f>
        <v>0</v>
      </c>
      <c r="P2370" s="329">
        <f>$H2370*L2370</f>
        <v>0</v>
      </c>
      <c r="Q2370" s="329"/>
      <c r="S2370" s="332">
        <f t="shared" si="636"/>
        <v>54.25</v>
      </c>
      <c r="T2370" s="332">
        <f t="shared" si="637"/>
        <v>0</v>
      </c>
    </row>
    <row r="2371" spans="1:20" hidden="1">
      <c r="A2371" s="332" t="s">
        <v>477</v>
      </c>
      <c r="B2371" s="332" t="s">
        <v>1237</v>
      </c>
      <c r="C2371" s="333">
        <f t="shared" si="638"/>
        <v>0</v>
      </c>
      <c r="D2371" s="329"/>
      <c r="E2371" s="328">
        <f>VLOOKUP(B2371,DONGIA,DG!$B$6,0)</f>
        <v>0</v>
      </c>
      <c r="F2371" s="329" t="str">
        <f>VLOOKUP(B2371,DONGIA,DG!$C$6,0)</f>
        <v>Đà U100x46x4,5x400 (3,436 kg/cái)</v>
      </c>
      <c r="G2371" s="328" t="str">
        <f>VLOOKUP(B2371,DONGIA,DG!$D$6,0)</f>
        <v>cái</v>
      </c>
      <c r="H2371" s="329">
        <f>H2368*4</f>
        <v>0</v>
      </c>
      <c r="I2371" s="329">
        <f>VLOOKUP(B2371,DONGIA,DG!$E$6,0)</f>
        <v>93455.763999999996</v>
      </c>
      <c r="J2371" s="329"/>
      <c r="K2371" s="329">
        <f>VLOOKUP(B2371,DONGIA,DG!$F$6,0)</f>
        <v>0</v>
      </c>
      <c r="L2371" s="329">
        <f>VLOOKUP(B2371,DONGIA,DG!$G$6,0)</f>
        <v>0</v>
      </c>
      <c r="M2371" s="329">
        <f t="shared" ref="M2371:M2377" si="639">$H2371*I2371</f>
        <v>0</v>
      </c>
      <c r="N2371" s="329">
        <f t="shared" ref="N2371:N2377" si="640">$H2371*J2371</f>
        <v>0</v>
      </c>
      <c r="O2371" s="329">
        <f t="shared" ref="O2371:O2377" si="641">$H2371*K2371</f>
        <v>0</v>
      </c>
      <c r="P2371" s="329">
        <f t="shared" ref="P2371:P2377" si="642">$H2371*L2371</f>
        <v>0</v>
      </c>
      <c r="Q2371" s="329"/>
      <c r="S2371" s="332">
        <f t="shared" si="636"/>
        <v>3.4359999999999999</v>
      </c>
      <c r="T2371" s="332">
        <f t="shared" si="637"/>
        <v>0</v>
      </c>
    </row>
    <row r="2372" spans="1:20" hidden="1">
      <c r="A2372" s="332" t="s">
        <v>477</v>
      </c>
      <c r="B2372" s="332" t="s">
        <v>1236</v>
      </c>
      <c r="C2372" s="333">
        <f t="shared" si="638"/>
        <v>0</v>
      </c>
      <c r="D2372" s="329"/>
      <c r="E2372" s="328">
        <f>VLOOKUP(B2372,DONGIA,DG!$B$6,0)</f>
        <v>0</v>
      </c>
      <c r="F2372" s="329" t="str">
        <f>VLOOKUP(B2372,DONGIA,DG!$C$6,0)</f>
        <v>Đà U100x46x4,5x800 (6,872 kg/cái)</v>
      </c>
      <c r="G2372" s="328" t="str">
        <f>VLOOKUP(B2372,DONGIA,DG!$D$6,0)</f>
        <v>cái</v>
      </c>
      <c r="H2372" s="329">
        <f>H2368*2</f>
        <v>0</v>
      </c>
      <c r="I2372" s="329">
        <f>VLOOKUP(B2372,DONGIA,DG!$E$6,0)</f>
        <v>186911.52799999999</v>
      </c>
      <c r="J2372" s="329"/>
      <c r="K2372" s="329">
        <f>VLOOKUP(B2372,DONGIA,DG!$F$6,0)</f>
        <v>0</v>
      </c>
      <c r="L2372" s="329">
        <f>VLOOKUP(B2372,DONGIA,DG!$G$6,0)</f>
        <v>0</v>
      </c>
      <c r="M2372" s="329">
        <f t="shared" si="639"/>
        <v>0</v>
      </c>
      <c r="N2372" s="329">
        <f t="shared" si="640"/>
        <v>0</v>
      </c>
      <c r="O2372" s="329">
        <f t="shared" si="641"/>
        <v>0</v>
      </c>
      <c r="P2372" s="329">
        <f t="shared" si="642"/>
        <v>0</v>
      </c>
      <c r="Q2372" s="329"/>
      <c r="S2372" s="332">
        <f t="shared" si="636"/>
        <v>6.8719999999999999</v>
      </c>
      <c r="T2372" s="332">
        <f t="shared" si="637"/>
        <v>0</v>
      </c>
    </row>
    <row r="2373" spans="1:20" hidden="1">
      <c r="A2373" s="332" t="s">
        <v>477</v>
      </c>
      <c r="B2373" s="332" t="s">
        <v>50</v>
      </c>
      <c r="C2373" s="333">
        <f t="shared" si="638"/>
        <v>0</v>
      </c>
      <c r="D2373" s="329"/>
      <c r="E2373" s="328">
        <f>VLOOKUP(B2373,DONGIA,DG!$B$6,0)</f>
        <v>0</v>
      </c>
      <c r="F2373" s="329" t="str">
        <f>VLOOKUP(B2373,DONGIA,DG!$C$6,0)</f>
        <v>Boulon 16x350VRS+ 4 long đền vuông D18-50x50x3/Zn</v>
      </c>
      <c r="G2373" s="328" t="str">
        <f>VLOOKUP(B2373,DONGIA,DG!$D$6,0)</f>
        <v>bộ</v>
      </c>
      <c r="H2373" s="329">
        <f>H2368*14</f>
        <v>0</v>
      </c>
      <c r="I2373" s="329">
        <f>VLOOKUP(B2373,DONGIA,DG!$E$6,0)</f>
        <v>43000</v>
      </c>
      <c r="J2373" s="329"/>
      <c r="K2373" s="329">
        <f>VLOOKUP(B2373,DONGIA,DG!$F$6,0)</f>
        <v>0</v>
      </c>
      <c r="L2373" s="329">
        <f>VLOOKUP(B2373,DONGIA,DG!$G$6,0)</f>
        <v>0</v>
      </c>
      <c r="M2373" s="329">
        <f t="shared" si="639"/>
        <v>0</v>
      </c>
      <c r="N2373" s="329">
        <f t="shared" si="640"/>
        <v>0</v>
      </c>
      <c r="O2373" s="329">
        <f t="shared" si="641"/>
        <v>0</v>
      </c>
      <c r="P2373" s="329">
        <f t="shared" si="642"/>
        <v>0</v>
      </c>
      <c r="Q2373" s="329"/>
      <c r="S2373" s="332">
        <f t="shared" si="636"/>
        <v>0.35</v>
      </c>
      <c r="T2373" s="332">
        <f t="shared" si="637"/>
        <v>0</v>
      </c>
    </row>
    <row r="2374" spans="1:20" hidden="1">
      <c r="A2374" s="332" t="s">
        <v>477</v>
      </c>
      <c r="B2374" s="332" t="s">
        <v>39</v>
      </c>
      <c r="C2374" s="333">
        <f t="shared" si="638"/>
        <v>0</v>
      </c>
      <c r="D2374" s="329"/>
      <c r="E2374" s="328">
        <f>VLOOKUP(B2374,DONGIA,DG!$B$6,0)</f>
        <v>0</v>
      </c>
      <c r="F2374" s="329" t="str">
        <f>VLOOKUP(B2374,DONGIA,DG!$C$6,0)</f>
        <v>Boulon 16x400+ 2 long đền vuông D18-50x50x3/Zn</v>
      </c>
      <c r="G2374" s="328" t="str">
        <f>VLOOKUP(B2374,DONGIA,DG!$D$6,0)</f>
        <v>bộ</v>
      </c>
      <c r="H2374" s="329"/>
      <c r="I2374" s="329">
        <f>VLOOKUP(B2374,DONGIA,DG!$E$6,0)</f>
        <v>34000</v>
      </c>
      <c r="J2374" s="329"/>
      <c r="K2374" s="329">
        <f>VLOOKUP(B2374,DONGIA,DG!$F$6,0)</f>
        <v>0</v>
      </c>
      <c r="L2374" s="329">
        <f>VLOOKUP(B2374,DONGIA,DG!$G$6,0)</f>
        <v>0</v>
      </c>
      <c r="M2374" s="329">
        <f t="shared" si="639"/>
        <v>0</v>
      </c>
      <c r="N2374" s="329">
        <f t="shared" si="640"/>
        <v>0</v>
      </c>
      <c r="O2374" s="329">
        <f t="shared" si="641"/>
        <v>0</v>
      </c>
      <c r="P2374" s="329">
        <f t="shared" si="642"/>
        <v>0</v>
      </c>
      <c r="Q2374" s="329"/>
      <c r="S2374" s="332">
        <f t="shared" si="636"/>
        <v>0.33</v>
      </c>
      <c r="T2374" s="332">
        <f t="shared" si="637"/>
        <v>0</v>
      </c>
    </row>
    <row r="2375" spans="1:20" hidden="1">
      <c r="A2375" s="332" t="s">
        <v>477</v>
      </c>
      <c r="B2375" s="332" t="s">
        <v>37</v>
      </c>
      <c r="C2375" s="333">
        <f t="shared" si="638"/>
        <v>0</v>
      </c>
      <c r="D2375" s="329"/>
      <c r="E2375" s="328">
        <f>VLOOKUP(B2375,DONGIA,DG!$B$6,0)</f>
        <v>0</v>
      </c>
      <c r="F2375" s="329" t="str">
        <f>VLOOKUP(B2375,DONGIA,DG!$C$6,0)</f>
        <v>Boulon 16x350+ 2 long đền vuông D18-50x50x3/Zn</v>
      </c>
      <c r="G2375" s="328" t="str">
        <f>VLOOKUP(B2375,DONGIA,DG!$D$6,0)</f>
        <v>bộ</v>
      </c>
      <c r="H2375" s="329">
        <f>H2368*2</f>
        <v>0</v>
      </c>
      <c r="I2375" s="329">
        <f>VLOOKUP(B2375,DONGIA,DG!$E$6,0)</f>
        <v>32000</v>
      </c>
      <c r="J2375" s="329"/>
      <c r="K2375" s="329">
        <f>VLOOKUP(B2375,DONGIA,DG!$F$6,0)</f>
        <v>0</v>
      </c>
      <c r="L2375" s="329">
        <f>VLOOKUP(B2375,DONGIA,DG!$G$6,0)</f>
        <v>0</v>
      </c>
      <c r="M2375" s="329">
        <f t="shared" si="639"/>
        <v>0</v>
      </c>
      <c r="N2375" s="329">
        <f t="shared" si="640"/>
        <v>0</v>
      </c>
      <c r="O2375" s="329">
        <f t="shared" si="641"/>
        <v>0</v>
      </c>
      <c r="P2375" s="329">
        <f t="shared" si="642"/>
        <v>0</v>
      </c>
      <c r="Q2375" s="329"/>
      <c r="S2375" s="332">
        <f t="shared" si="636"/>
        <v>0.3</v>
      </c>
      <c r="T2375" s="332">
        <f t="shared" si="637"/>
        <v>0</v>
      </c>
    </row>
    <row r="2376" spans="1:20" hidden="1">
      <c r="A2376" s="332" t="s">
        <v>477</v>
      </c>
      <c r="B2376" s="332" t="s">
        <v>2835</v>
      </c>
      <c r="C2376" s="333">
        <f t="shared" si="638"/>
        <v>0</v>
      </c>
      <c r="D2376" s="329"/>
      <c r="E2376" s="328">
        <f>VLOOKUP(B2376,DONGIA,DG!$B$6,0)</f>
        <v>0</v>
      </c>
      <c r="F2376" s="329" t="str">
        <f>VLOOKUP(B2376,DONGIA,DG!$C$6,0)</f>
        <v>Boulon móc 16x250+ long đền vuông D18-50x50x3/Zn</v>
      </c>
      <c r="G2376" s="328" t="str">
        <f>VLOOKUP(B2376,DONGIA,DG!$D$6,0)</f>
        <v>bộ</v>
      </c>
      <c r="H2376" s="329">
        <f>H2368*4</f>
        <v>0</v>
      </c>
      <c r="I2376" s="329">
        <f>VLOOKUP(B2376,DONGIA,DG!$E$6,0)</f>
        <v>35000</v>
      </c>
      <c r="J2376" s="329"/>
      <c r="K2376" s="329">
        <f>VLOOKUP(B2376,DONGIA,DG!$F$6,0)</f>
        <v>0</v>
      </c>
      <c r="L2376" s="329">
        <f>VLOOKUP(B2376,DONGIA,DG!$G$6,0)</f>
        <v>0</v>
      </c>
      <c r="M2376" s="329">
        <f t="shared" si="639"/>
        <v>0</v>
      </c>
      <c r="N2376" s="329">
        <f t="shared" si="640"/>
        <v>0</v>
      </c>
      <c r="O2376" s="329">
        <f t="shared" si="641"/>
        <v>0</v>
      </c>
      <c r="P2376" s="329">
        <f t="shared" si="642"/>
        <v>0</v>
      </c>
      <c r="Q2376" s="329"/>
      <c r="S2376" s="332">
        <f t="shared" si="636"/>
        <v>0.25</v>
      </c>
      <c r="T2376" s="332">
        <f t="shared" si="637"/>
        <v>0</v>
      </c>
    </row>
    <row r="2377" spans="1:20" hidden="1">
      <c r="A2377" s="332" t="s">
        <v>477</v>
      </c>
      <c r="B2377" s="332" t="s">
        <v>2875</v>
      </c>
      <c r="C2377" s="333">
        <f t="shared" si="638"/>
        <v>0</v>
      </c>
      <c r="D2377" s="329"/>
      <c r="E2377" s="328" t="str">
        <f>VLOOKUP(B2377,DONGIA,DG!$B$6,0)</f>
        <v>T4.8002</v>
      </c>
      <c r="F2377" s="329" t="str">
        <f>VLOOKUP(B2377,DONGIA,DG!$C$6,0)</f>
        <v>Lắp bộ đà trạm giàn (S&lt;560kVA) - 145,98kg/bộ</v>
      </c>
      <c r="G2377" s="328" t="str">
        <f>VLOOKUP(B2377,DONGIA,DG!$D$6,0)</f>
        <v>bộ</v>
      </c>
      <c r="H2377" s="329">
        <f>H2368</f>
        <v>0</v>
      </c>
      <c r="I2377" s="329">
        <f>VLOOKUP(B2377,DONGIA,DG!$E$6,0)</f>
        <v>0</v>
      </c>
      <c r="J2377" s="329"/>
      <c r="K2377" s="329">
        <f>VLOOKUP(B2377,DONGIA,DG!$F$6,0)</f>
        <v>350727.46055999998</v>
      </c>
      <c r="L2377" s="329">
        <f>VLOOKUP(B2377,DONGIA,DG!$G$6,0)</f>
        <v>0</v>
      </c>
      <c r="M2377" s="329">
        <f t="shared" si="639"/>
        <v>0</v>
      </c>
      <c r="N2377" s="329">
        <f t="shared" si="640"/>
        <v>0</v>
      </c>
      <c r="O2377" s="329">
        <f t="shared" si="641"/>
        <v>0</v>
      </c>
      <c r="P2377" s="329">
        <f t="shared" si="642"/>
        <v>0</v>
      </c>
      <c r="Q2377" s="329"/>
      <c r="S2377" s="332">
        <f t="shared" si="636"/>
        <v>145.97999999999999</v>
      </c>
      <c r="T2377" s="332">
        <f t="shared" si="637"/>
        <v>0</v>
      </c>
    </row>
    <row r="2378" spans="1:20" hidden="1">
      <c r="A2378" s="332" t="s">
        <v>477</v>
      </c>
      <c r="C2378" s="333">
        <f t="shared" si="638"/>
        <v>0</v>
      </c>
      <c r="D2378" s="372">
        <f>IF(H2378&lt;&gt;0,D2368+1,D2368)</f>
        <v>0</v>
      </c>
      <c r="E2378" s="372"/>
      <c r="F2378" s="373" t="s">
        <v>2936</v>
      </c>
      <c r="G2378" s="372" t="s">
        <v>138</v>
      </c>
      <c r="H2378" s="372">
        <f>T3P160</f>
        <v>0</v>
      </c>
      <c r="I2378" s="373"/>
      <c r="J2378" s="373"/>
      <c r="K2378" s="373"/>
      <c r="L2378" s="373"/>
      <c r="M2378" s="373">
        <v>0</v>
      </c>
      <c r="N2378" s="373">
        <v>0</v>
      </c>
      <c r="O2378" s="373">
        <v>0</v>
      </c>
      <c r="P2378" s="373">
        <v>0</v>
      </c>
      <c r="Q2378" s="373"/>
      <c r="S2378" s="332">
        <f t="shared" si="636"/>
        <v>0</v>
      </c>
      <c r="T2378" s="332">
        <f t="shared" si="637"/>
        <v>0</v>
      </c>
    </row>
    <row r="2379" spans="1:20" s="361" customFormat="1" hidden="1">
      <c r="A2379" s="361" t="s">
        <v>477</v>
      </c>
      <c r="C2379" s="374">
        <f>C2378</f>
        <v>0</v>
      </c>
      <c r="D2379" s="351"/>
      <c r="E2379" s="351"/>
      <c r="F2379" s="351" t="s">
        <v>1902</v>
      </c>
      <c r="G2379" s="350"/>
      <c r="H2379" s="351"/>
      <c r="I2379" s="351"/>
      <c r="J2379" s="351"/>
      <c r="K2379" s="351"/>
      <c r="L2379" s="351"/>
      <c r="M2379" s="351">
        <v>0</v>
      </c>
      <c r="N2379" s="351">
        <v>0</v>
      </c>
      <c r="O2379" s="351">
        <v>0</v>
      </c>
      <c r="P2379" s="351">
        <v>0</v>
      </c>
      <c r="Q2379" s="351"/>
      <c r="S2379" s="361">
        <f t="shared" si="636"/>
        <v>0</v>
      </c>
      <c r="T2379" s="361">
        <f t="shared" si="637"/>
        <v>0</v>
      </c>
    </row>
    <row r="2380" spans="1:20" hidden="1">
      <c r="A2380" s="332" t="s">
        <v>477</v>
      </c>
      <c r="B2380" s="332" t="s">
        <v>418</v>
      </c>
      <c r="C2380" s="333">
        <f t="shared" ref="C2380:C2388" si="643">IF(H2380&lt;&gt;0,1,)</f>
        <v>0</v>
      </c>
      <c r="D2380" s="329"/>
      <c r="E2380" s="328">
        <f>VLOOKUP(B2380,DONGIA,DG!$B$6,0)</f>
        <v>0</v>
      </c>
      <c r="F2380" s="329" t="str">
        <f>VLOOKUP(B2380,DONGIA,DG!$C$6,0)</f>
        <v>Đà sắt L75x75x8-2100 - 3 ốp (Lệch 100%)</v>
      </c>
      <c r="G2380" s="328" t="str">
        <f>VLOOKUP(B2380,DONGIA,DG!$D$6,0)</f>
        <v>cái</v>
      </c>
      <c r="H2380" s="329">
        <f>H2378</f>
        <v>0</v>
      </c>
      <c r="I2380" s="329">
        <f>VLOOKUP(B2380,DONGIA,DG!$E$6,0)</f>
        <v>497000</v>
      </c>
      <c r="J2380" s="329"/>
      <c r="K2380" s="329">
        <f>VLOOKUP(B2380,DONGIA,DG!$F$6,0)</f>
        <v>0</v>
      </c>
      <c r="L2380" s="329">
        <f>VLOOKUP(B2380,DONGIA,DG!$G$6,0)</f>
        <v>0</v>
      </c>
      <c r="M2380" s="329">
        <f>$H2380*I2380</f>
        <v>0</v>
      </c>
      <c r="N2380" s="329">
        <f>$H2380*J2380</f>
        <v>0</v>
      </c>
      <c r="O2380" s="329">
        <f>$H2380*K2380</f>
        <v>0</v>
      </c>
      <c r="P2380" s="329">
        <f>$H2380*L2380</f>
        <v>0</v>
      </c>
      <c r="Q2380" s="329"/>
      <c r="S2380" s="332">
        <f t="shared" si="636"/>
        <v>25</v>
      </c>
      <c r="T2380" s="332">
        <f t="shared" si="637"/>
        <v>0</v>
      </c>
    </row>
    <row r="2381" spans="1:20" hidden="1">
      <c r="A2381" s="332" t="s">
        <v>477</v>
      </c>
      <c r="B2381" s="332" t="s">
        <v>426</v>
      </c>
      <c r="C2381" s="333">
        <f t="shared" si="643"/>
        <v>0</v>
      </c>
      <c r="D2381" s="329"/>
      <c r="E2381" s="328">
        <f>VLOOKUP(B2381,DONGIA,DG!$B$6,0)</f>
        <v>0</v>
      </c>
      <c r="F2381" s="329" t="str">
        <f>VLOOKUP(B2381,DONGIA,DG!$C$6,0)</f>
        <v>Thanh chống L50x50x5-1990</v>
      </c>
      <c r="G2381" s="328" t="str">
        <f>VLOOKUP(B2381,DONGIA,DG!$D$6,0)</f>
        <v>cái</v>
      </c>
      <c r="H2381" s="329">
        <f>H2380</f>
        <v>0</v>
      </c>
      <c r="I2381" s="329">
        <f>VLOOKUP(B2381,DONGIA,DG!$E$6,0)</f>
        <v>217700</v>
      </c>
      <c r="J2381" s="329"/>
      <c r="K2381" s="329">
        <f>VLOOKUP(B2381,DONGIA,DG!$F$6,0)</f>
        <v>0</v>
      </c>
      <c r="L2381" s="329">
        <f>VLOOKUP(B2381,DONGIA,DG!$G$6,0)</f>
        <v>0</v>
      </c>
      <c r="M2381" s="329">
        <f t="shared" ref="M2381:M2387" si="644">$H2381*I2381</f>
        <v>0</v>
      </c>
      <c r="N2381" s="329">
        <f t="shared" ref="N2381:N2387" si="645">$H2381*J2381</f>
        <v>0</v>
      </c>
      <c r="O2381" s="329">
        <f t="shared" ref="O2381:O2387" si="646">$H2381*K2381</f>
        <v>0</v>
      </c>
      <c r="P2381" s="329">
        <f t="shared" ref="P2381:P2387" si="647">$H2381*L2381</f>
        <v>0</v>
      </c>
      <c r="Q2381" s="329"/>
      <c r="S2381" s="332">
        <f t="shared" si="636"/>
        <v>7.5</v>
      </c>
      <c r="T2381" s="332">
        <f t="shared" si="637"/>
        <v>0</v>
      </c>
    </row>
    <row r="2382" spans="1:20" hidden="1">
      <c r="A2382" s="332" t="s">
        <v>477</v>
      </c>
      <c r="B2382" s="332" t="s">
        <v>29</v>
      </c>
      <c r="C2382" s="333">
        <f t="shared" si="643"/>
        <v>0</v>
      </c>
      <c r="D2382" s="329"/>
      <c r="E2382" s="328">
        <f>VLOOKUP(B2382,DONGIA,DG!$B$6,0)</f>
        <v>0</v>
      </c>
      <c r="F2382" s="329" t="str">
        <f>VLOOKUP(B2382,DONGIA,DG!$C$6,0)</f>
        <v>Boulon 16x50+ 2 long đền vuông D18-50x50x3/Zn</v>
      </c>
      <c r="G2382" s="328" t="str">
        <f>VLOOKUP(B2382,DONGIA,DG!$D$6,0)</f>
        <v>bộ</v>
      </c>
      <c r="H2382" s="329">
        <f>H2378</f>
        <v>0</v>
      </c>
      <c r="I2382" s="329">
        <f>VLOOKUP(B2382,DONGIA,DG!$E$6,0)</f>
        <v>17000</v>
      </c>
      <c r="J2382" s="329"/>
      <c r="K2382" s="329">
        <f>VLOOKUP(B2382,DONGIA,DG!$F$6,0)</f>
        <v>0</v>
      </c>
      <c r="L2382" s="329">
        <f>VLOOKUP(B2382,DONGIA,DG!$G$6,0)</f>
        <v>0</v>
      </c>
      <c r="M2382" s="329">
        <f t="shared" si="644"/>
        <v>0</v>
      </c>
      <c r="N2382" s="329">
        <f t="shared" si="645"/>
        <v>0</v>
      </c>
      <c r="O2382" s="329">
        <f t="shared" si="646"/>
        <v>0</v>
      </c>
      <c r="P2382" s="329">
        <f t="shared" si="647"/>
        <v>0</v>
      </c>
      <c r="Q2382" s="329"/>
      <c r="S2382" s="332">
        <f t="shared" si="636"/>
        <v>0.25</v>
      </c>
      <c r="T2382" s="332">
        <f t="shared" si="637"/>
        <v>0</v>
      </c>
    </row>
    <row r="2383" spans="1:20" hidden="1">
      <c r="A2383" s="332" t="s">
        <v>477</v>
      </c>
      <c r="B2383" s="332" t="s">
        <v>33</v>
      </c>
      <c r="C2383" s="333">
        <f t="shared" si="643"/>
        <v>0</v>
      </c>
      <c r="D2383" s="329"/>
      <c r="E2383" s="328">
        <f>VLOOKUP(B2383,DONGIA,DG!$B$6,0)</f>
        <v>0</v>
      </c>
      <c r="F2383" s="329" t="str">
        <f>VLOOKUP(B2383,DONGIA,DG!$C$6,0)</f>
        <v>Boulon 16x250+ 2 long đền vuông D18-50x50x3/Zn</v>
      </c>
      <c r="G2383" s="328" t="str">
        <f>VLOOKUP(B2383,DONGIA,DG!$D$6,0)</f>
        <v>bộ</v>
      </c>
      <c r="H2383" s="329">
        <f>H2378*2</f>
        <v>0</v>
      </c>
      <c r="I2383" s="329">
        <f>VLOOKUP(B2383,DONGIA,DG!$E$6,0)</f>
        <v>28000</v>
      </c>
      <c r="J2383" s="329"/>
      <c r="K2383" s="329">
        <f>VLOOKUP(B2383,DONGIA,DG!$F$6,0)</f>
        <v>0</v>
      </c>
      <c r="L2383" s="329">
        <f>VLOOKUP(B2383,DONGIA,DG!$G$6,0)</f>
        <v>0</v>
      </c>
      <c r="M2383" s="329">
        <f t="shared" si="644"/>
        <v>0</v>
      </c>
      <c r="N2383" s="329">
        <f t="shared" si="645"/>
        <v>0</v>
      </c>
      <c r="O2383" s="329">
        <f t="shared" si="646"/>
        <v>0</v>
      </c>
      <c r="P2383" s="329">
        <f t="shared" si="647"/>
        <v>0</v>
      </c>
      <c r="Q2383" s="329"/>
      <c r="S2383" s="332">
        <f t="shared" si="636"/>
        <v>0.23</v>
      </c>
      <c r="T2383" s="332">
        <f t="shared" si="637"/>
        <v>0</v>
      </c>
    </row>
    <row r="2384" spans="1:20" hidden="1">
      <c r="A2384" s="332" t="s">
        <v>477</v>
      </c>
      <c r="B2384" s="332" t="s">
        <v>404</v>
      </c>
      <c r="C2384" s="333">
        <f t="shared" si="643"/>
        <v>0</v>
      </c>
      <c r="D2384" s="329"/>
      <c r="E2384" s="328" t="str">
        <f>VLOOKUP(B2384,DONGIA,DG!$B$6,0)</f>
        <v>D3.1115</v>
      </c>
      <c r="F2384" s="329" t="str">
        <f>VLOOKUP(B2384,DONGIA,DG!$C$6,0)</f>
        <v>Sứ đứng 24KV, đường rò 540mm</v>
      </c>
      <c r="G2384" s="328" t="str">
        <f>VLOOKUP(B2384,DONGIA,DG!$D$6,0)</f>
        <v>cái</v>
      </c>
      <c r="H2384" s="329">
        <f>H2378*3</f>
        <v>0</v>
      </c>
      <c r="I2384" s="329">
        <f>VLOOKUP(B2384,DONGIA,DG!$E$6,0)</f>
        <v>195000</v>
      </c>
      <c r="J2384" s="329"/>
      <c r="K2384" s="329">
        <f>VLOOKUP(B2384,DONGIA,DG!$F$6,0)</f>
        <v>49616</v>
      </c>
      <c r="L2384" s="329">
        <f>VLOOKUP(B2384,DONGIA,DG!$G$6,0)</f>
        <v>0</v>
      </c>
      <c r="M2384" s="329">
        <f t="shared" ref="M2384:P2386" si="648">$H2384*I2384</f>
        <v>0</v>
      </c>
      <c r="N2384" s="329">
        <f t="shared" si="648"/>
        <v>0</v>
      </c>
      <c r="O2384" s="329">
        <f t="shared" si="648"/>
        <v>0</v>
      </c>
      <c r="P2384" s="329">
        <f t="shared" si="648"/>
        <v>0</v>
      </c>
      <c r="Q2384" s="329"/>
      <c r="S2384" s="332">
        <f t="shared" si="636"/>
        <v>4</v>
      </c>
      <c r="T2384" s="332">
        <f t="shared" si="637"/>
        <v>0</v>
      </c>
    </row>
    <row r="2385" spans="1:20" hidden="1">
      <c r="A2385" s="332" t="s">
        <v>477</v>
      </c>
      <c r="B2385" s="332" t="s">
        <v>274</v>
      </c>
      <c r="C2385" s="333">
        <f t="shared" si="643"/>
        <v>0</v>
      </c>
      <c r="D2385" s="329"/>
      <c r="E2385" s="328">
        <f>VLOOKUP(B2385,DONGIA,DG!$B$6,0)</f>
        <v>0</v>
      </c>
      <c r="F2385" s="329" t="str">
        <f>VLOOKUP(B2385,DONGIA,DG!$C$6,0)</f>
        <v>Chân sứ đứng 24kV</v>
      </c>
      <c r="G2385" s="328" t="str">
        <f>VLOOKUP(B2385,DONGIA,DG!$D$6,0)</f>
        <v>cái</v>
      </c>
      <c r="H2385" s="329">
        <f>H2384</f>
        <v>0</v>
      </c>
      <c r="I2385" s="329">
        <f>VLOOKUP(B2385,DONGIA,DG!$E$6,0)</f>
        <v>60000</v>
      </c>
      <c r="J2385" s="329"/>
      <c r="K2385" s="329">
        <f>VLOOKUP(B2385,DONGIA,DG!$F$6,0)</f>
        <v>0</v>
      </c>
      <c r="L2385" s="329">
        <f>VLOOKUP(B2385,DONGIA,DG!$G$6,0)</f>
        <v>0</v>
      </c>
      <c r="M2385" s="329">
        <f t="shared" si="648"/>
        <v>0</v>
      </c>
      <c r="N2385" s="329">
        <f t="shared" si="648"/>
        <v>0</v>
      </c>
      <c r="O2385" s="329">
        <f t="shared" si="648"/>
        <v>0</v>
      </c>
      <c r="P2385" s="329">
        <f t="shared" si="648"/>
        <v>0</v>
      </c>
      <c r="Q2385" s="329"/>
      <c r="S2385" s="332">
        <f t="shared" si="636"/>
        <v>3</v>
      </c>
      <c r="T2385" s="332">
        <f t="shared" si="637"/>
        <v>0</v>
      </c>
    </row>
    <row r="2386" spans="1:20" hidden="1">
      <c r="A2386" s="332" t="s">
        <v>477</v>
      </c>
      <c r="B2386" s="332" t="s">
        <v>2872</v>
      </c>
      <c r="C2386" s="333">
        <f t="shared" si="643"/>
        <v>0</v>
      </c>
      <c r="D2386" s="329"/>
      <c r="E2386" s="328" t="str">
        <f>VLOOKUP(B2386,DONGIA,DG!$B$6,0)</f>
        <v>T4.2201</v>
      </c>
      <c r="F2386" s="329" t="str">
        <f>VLOOKUP(B2386,DONGIA,DG!$C$6,0)</f>
        <v>Lắp sứ đứng 24KV trong TBA</v>
      </c>
      <c r="G2386" s="328" t="str">
        <f>VLOOKUP(B2386,DONGIA,DG!$D$6,0)</f>
        <v>bộ</v>
      </c>
      <c r="H2386" s="329">
        <f>H2384</f>
        <v>0</v>
      </c>
      <c r="I2386" s="329">
        <f>VLOOKUP(B2386,DONGIA,DG!$E$6,0)</f>
        <v>0</v>
      </c>
      <c r="J2386" s="329"/>
      <c r="K2386" s="329">
        <f>VLOOKUP(B2386,DONGIA,DG!$F$6,0)</f>
        <v>54496</v>
      </c>
      <c r="L2386" s="329">
        <f>VLOOKUP(B2386,DONGIA,DG!$G$6,0)</f>
        <v>0</v>
      </c>
      <c r="M2386" s="329">
        <f t="shared" si="648"/>
        <v>0</v>
      </c>
      <c r="N2386" s="329">
        <f t="shared" si="648"/>
        <v>0</v>
      </c>
      <c r="O2386" s="329">
        <f t="shared" si="648"/>
        <v>0</v>
      </c>
      <c r="P2386" s="329">
        <f t="shared" si="648"/>
        <v>0</v>
      </c>
      <c r="Q2386" s="329"/>
      <c r="S2386" s="332">
        <f t="shared" si="636"/>
        <v>0</v>
      </c>
      <c r="T2386" s="332">
        <f t="shared" si="637"/>
        <v>0</v>
      </c>
    </row>
    <row r="2387" spans="1:20" hidden="1">
      <c r="A2387" s="332" t="s">
        <v>477</v>
      </c>
      <c r="B2387" s="332" t="s">
        <v>635</v>
      </c>
      <c r="C2387" s="333">
        <f t="shared" si="643"/>
        <v>0</v>
      </c>
      <c r="D2387" s="329"/>
      <c r="E2387" s="328" t="str">
        <f>VLOOKUP(B2387,DONGIA,DG!$B$6,0)</f>
        <v>D2.6021d</v>
      </c>
      <c r="F2387" s="329" t="str">
        <f>VLOOKUP(B2387,DONGIA,DG!$C$6,0)</f>
        <v>Lắp đặt xà thép L75x75x8x2100 đơn cột đỡ (29,4245 kg/bộ)</v>
      </c>
      <c r="G2387" s="328" t="str">
        <f>VLOOKUP(B2387,DONGIA,DG!$D$6,0)</f>
        <v>bộ</v>
      </c>
      <c r="H2387" s="329">
        <f>H2378</f>
        <v>0</v>
      </c>
      <c r="I2387" s="329">
        <f>VLOOKUP(B2387,DONGIA,DG!$E$6,0)</f>
        <v>0</v>
      </c>
      <c r="J2387" s="329"/>
      <c r="K2387" s="329">
        <f>VLOOKUP(B2387,DONGIA,DG!$F$6,0)</f>
        <v>297271</v>
      </c>
      <c r="L2387" s="329">
        <f>VLOOKUP(B2387,DONGIA,DG!$G$6,0)</f>
        <v>0</v>
      </c>
      <c r="M2387" s="329">
        <f t="shared" si="644"/>
        <v>0</v>
      </c>
      <c r="N2387" s="329">
        <f t="shared" si="645"/>
        <v>0</v>
      </c>
      <c r="O2387" s="329">
        <f t="shared" si="646"/>
        <v>0</v>
      </c>
      <c r="P2387" s="329">
        <f t="shared" si="647"/>
        <v>0</v>
      </c>
      <c r="Q2387" s="329"/>
      <c r="S2387" s="332">
        <f t="shared" si="636"/>
        <v>0</v>
      </c>
      <c r="T2387" s="332">
        <f t="shared" si="637"/>
        <v>0</v>
      </c>
    </row>
    <row r="2388" spans="1:20" hidden="1">
      <c r="A2388" s="332" t="s">
        <v>477</v>
      </c>
      <c r="C2388" s="333">
        <f t="shared" si="643"/>
        <v>0</v>
      </c>
      <c r="D2388" s="372">
        <f>IF(H2388&lt;&gt;0,D2378+1,D2378)</f>
        <v>0</v>
      </c>
      <c r="E2388" s="372"/>
      <c r="F2388" s="373" t="s">
        <v>2937</v>
      </c>
      <c r="G2388" s="372" t="s">
        <v>138</v>
      </c>
      <c r="H2388" s="372">
        <f>T3P160</f>
        <v>0</v>
      </c>
      <c r="I2388" s="373"/>
      <c r="J2388" s="373"/>
      <c r="K2388" s="373"/>
      <c r="L2388" s="373"/>
      <c r="M2388" s="373">
        <v>0</v>
      </c>
      <c r="N2388" s="373">
        <v>0</v>
      </c>
      <c r="O2388" s="373">
        <v>0</v>
      </c>
      <c r="P2388" s="373">
        <v>0</v>
      </c>
      <c r="Q2388" s="373"/>
      <c r="S2388" s="332">
        <f t="shared" ref="S2388:S2398" si="649">IFERROR(VLOOKUP(B2388,DONGIA,$S$25,0),0)</f>
        <v>0</v>
      </c>
      <c r="T2388" s="332">
        <f t="shared" ref="T2388:T2398" si="650">H2388*S2388</f>
        <v>0</v>
      </c>
    </row>
    <row r="2389" spans="1:20" s="361" customFormat="1" hidden="1">
      <c r="A2389" s="361" t="s">
        <v>477</v>
      </c>
      <c r="C2389" s="374">
        <f>C2388</f>
        <v>0</v>
      </c>
      <c r="D2389" s="351"/>
      <c r="E2389" s="351"/>
      <c r="F2389" s="351" t="s">
        <v>1902</v>
      </c>
      <c r="G2389" s="350"/>
      <c r="H2389" s="351"/>
      <c r="I2389" s="351"/>
      <c r="J2389" s="351"/>
      <c r="K2389" s="351"/>
      <c r="L2389" s="351"/>
      <c r="M2389" s="351">
        <v>0</v>
      </c>
      <c r="N2389" s="351">
        <v>0</v>
      </c>
      <c r="O2389" s="351">
        <v>0</v>
      </c>
      <c r="P2389" s="351">
        <v>0</v>
      </c>
      <c r="Q2389" s="351"/>
      <c r="S2389" s="361">
        <f t="shared" si="649"/>
        <v>0</v>
      </c>
      <c r="T2389" s="361">
        <f t="shared" si="650"/>
        <v>0</v>
      </c>
    </row>
    <row r="2390" spans="1:20" hidden="1">
      <c r="A2390" s="332" t="s">
        <v>477</v>
      </c>
      <c r="B2390" s="332" t="s">
        <v>414</v>
      </c>
      <c r="C2390" s="333">
        <f t="shared" ref="C2390:C2398" si="651">IF(H2390&lt;&gt;0,1,)</f>
        <v>0</v>
      </c>
      <c r="D2390" s="329"/>
      <c r="E2390" s="328">
        <f>VLOOKUP(B2390,DONGIA,DG!$B$6,0)</f>
        <v>0</v>
      </c>
      <c r="F2390" s="329" t="str">
        <f>VLOOKUP(B2390,DONGIA,DG!$C$6,0)</f>
        <v>Đà sắt L75x75x8-1660 - 2 ốp</v>
      </c>
      <c r="G2390" s="328" t="str">
        <f>VLOOKUP(B2390,DONGIA,DG!$D$6,0)</f>
        <v>cái</v>
      </c>
      <c r="H2390" s="329">
        <f>H2388</f>
        <v>0</v>
      </c>
      <c r="I2390" s="329">
        <f>VLOOKUP(B2390,DONGIA,DG!$E$6,0)</f>
        <v>474000</v>
      </c>
      <c r="J2390" s="329"/>
      <c r="K2390" s="329">
        <f>VLOOKUP(B2390,DONGIA,DG!$F$6,0)</f>
        <v>0</v>
      </c>
      <c r="L2390" s="329">
        <f>VLOOKUP(B2390,DONGIA,DG!$G$6,0)</f>
        <v>0</v>
      </c>
      <c r="M2390" s="329">
        <f t="shared" ref="M2390:M2398" si="652">$H2390*I2390</f>
        <v>0</v>
      </c>
      <c r="N2390" s="329">
        <f t="shared" ref="N2390:N2398" si="653">$H2390*J2390</f>
        <v>0</v>
      </c>
      <c r="O2390" s="329">
        <f t="shared" ref="O2390:O2398" si="654">$H2390*K2390</f>
        <v>0</v>
      </c>
      <c r="P2390" s="329">
        <f t="shared" ref="P2390:P2398" si="655">$H2390*L2390</f>
        <v>0</v>
      </c>
      <c r="Q2390" s="329"/>
      <c r="S2390" s="332">
        <f t="shared" si="649"/>
        <v>23</v>
      </c>
      <c r="T2390" s="332">
        <f t="shared" si="650"/>
        <v>0</v>
      </c>
    </row>
    <row r="2391" spans="1:20" hidden="1">
      <c r="A2391" s="332" t="s">
        <v>477</v>
      </c>
      <c r="B2391" s="332" t="s">
        <v>422</v>
      </c>
      <c r="C2391" s="333">
        <f t="shared" si="651"/>
        <v>0</v>
      </c>
      <c r="D2391" s="329"/>
      <c r="E2391" s="328">
        <f>VLOOKUP(B2391,DONGIA,DG!$B$6,0)</f>
        <v>0</v>
      </c>
      <c r="F2391" s="329" t="str">
        <f>VLOOKUP(B2391,DONGIA,DG!$C$6,0)</f>
        <v>Thanh chống L50x50x5-810</v>
      </c>
      <c r="G2391" s="328" t="str">
        <f>VLOOKUP(B2391,DONGIA,DG!$D$6,0)</f>
        <v>cái</v>
      </c>
      <c r="H2391" s="329">
        <f>H2390*2</f>
        <v>0</v>
      </c>
      <c r="I2391" s="329">
        <f>VLOOKUP(B2391,DONGIA,DG!$E$6,0)</f>
        <v>87800</v>
      </c>
      <c r="J2391" s="329"/>
      <c r="K2391" s="329">
        <f>VLOOKUP(B2391,DONGIA,DG!$F$6,0)</f>
        <v>0</v>
      </c>
      <c r="L2391" s="329">
        <f>VLOOKUP(B2391,DONGIA,DG!$G$6,0)</f>
        <v>0</v>
      </c>
      <c r="M2391" s="329">
        <f t="shared" si="652"/>
        <v>0</v>
      </c>
      <c r="N2391" s="329">
        <f t="shared" si="653"/>
        <v>0</v>
      </c>
      <c r="O2391" s="329">
        <f t="shared" si="654"/>
        <v>0</v>
      </c>
      <c r="P2391" s="329">
        <f t="shared" si="655"/>
        <v>0</v>
      </c>
      <c r="Q2391" s="329"/>
      <c r="S2391" s="332">
        <f t="shared" si="649"/>
        <v>3.5</v>
      </c>
      <c r="T2391" s="332">
        <f t="shared" si="650"/>
        <v>0</v>
      </c>
    </row>
    <row r="2392" spans="1:20" hidden="1">
      <c r="A2392" s="332" t="s">
        <v>477</v>
      </c>
      <c r="B2392" s="332" t="s">
        <v>29</v>
      </c>
      <c r="C2392" s="333">
        <f t="shared" si="651"/>
        <v>0</v>
      </c>
      <c r="D2392" s="329"/>
      <c r="E2392" s="328">
        <f>VLOOKUP(B2392,DONGIA,DG!$B$6,0)</f>
        <v>0</v>
      </c>
      <c r="F2392" s="329" t="str">
        <f>VLOOKUP(B2392,DONGIA,DG!$C$6,0)</f>
        <v>Boulon 16x50+ 2 long đền vuông D18-50x50x3/Zn</v>
      </c>
      <c r="G2392" s="328" t="str">
        <f>VLOOKUP(B2392,DONGIA,DG!$D$6,0)</f>
        <v>bộ</v>
      </c>
      <c r="H2392" s="329">
        <f>H2391</f>
        <v>0</v>
      </c>
      <c r="I2392" s="329">
        <f>VLOOKUP(B2392,DONGIA,DG!$E$6,0)</f>
        <v>17000</v>
      </c>
      <c r="J2392" s="329"/>
      <c r="K2392" s="329">
        <f>VLOOKUP(B2392,DONGIA,DG!$F$6,0)</f>
        <v>0</v>
      </c>
      <c r="L2392" s="329">
        <f>VLOOKUP(B2392,DONGIA,DG!$G$6,0)</f>
        <v>0</v>
      </c>
      <c r="M2392" s="329">
        <f t="shared" si="652"/>
        <v>0</v>
      </c>
      <c r="N2392" s="329">
        <f t="shared" si="653"/>
        <v>0</v>
      </c>
      <c r="O2392" s="329">
        <f t="shared" si="654"/>
        <v>0</v>
      </c>
      <c r="P2392" s="329">
        <f t="shared" si="655"/>
        <v>0</v>
      </c>
      <c r="Q2392" s="329"/>
      <c r="S2392" s="332">
        <f t="shared" si="649"/>
        <v>0.25</v>
      </c>
      <c r="T2392" s="332">
        <f t="shared" si="650"/>
        <v>0</v>
      </c>
    </row>
    <row r="2393" spans="1:20" hidden="1">
      <c r="A2393" s="332" t="s">
        <v>477</v>
      </c>
      <c r="B2393" s="332" t="s">
        <v>33</v>
      </c>
      <c r="C2393" s="333">
        <f t="shared" si="651"/>
        <v>0</v>
      </c>
      <c r="D2393" s="329"/>
      <c r="E2393" s="328">
        <f>VLOOKUP(B2393,DONGIA,DG!$B$6,0)</f>
        <v>0</v>
      </c>
      <c r="F2393" s="329" t="str">
        <f>VLOOKUP(B2393,DONGIA,DG!$C$6,0)</f>
        <v>Boulon 16x250+ 2 long đền vuông D18-50x50x3/Zn</v>
      </c>
      <c r="G2393" s="328" t="str">
        <f>VLOOKUP(B2393,DONGIA,DG!$D$6,0)</f>
        <v>bộ</v>
      </c>
      <c r="H2393" s="329">
        <f>H2388*2</f>
        <v>0</v>
      </c>
      <c r="I2393" s="329">
        <f>VLOOKUP(B2393,DONGIA,DG!$E$6,0)</f>
        <v>28000</v>
      </c>
      <c r="J2393" s="329"/>
      <c r="K2393" s="329">
        <f>VLOOKUP(B2393,DONGIA,DG!$F$6,0)</f>
        <v>0</v>
      </c>
      <c r="L2393" s="329">
        <f>VLOOKUP(B2393,DONGIA,DG!$G$6,0)</f>
        <v>0</v>
      </c>
      <c r="M2393" s="329">
        <f t="shared" si="652"/>
        <v>0</v>
      </c>
      <c r="N2393" s="329">
        <f t="shared" si="653"/>
        <v>0</v>
      </c>
      <c r="O2393" s="329">
        <f t="shared" si="654"/>
        <v>0</v>
      </c>
      <c r="P2393" s="329">
        <f t="shared" si="655"/>
        <v>0</v>
      </c>
      <c r="Q2393" s="329"/>
      <c r="S2393" s="332">
        <f t="shared" si="649"/>
        <v>0.23</v>
      </c>
      <c r="T2393" s="332">
        <f t="shared" si="650"/>
        <v>0</v>
      </c>
    </row>
    <row r="2394" spans="1:20" hidden="1">
      <c r="A2394" s="332" t="s">
        <v>477</v>
      </c>
      <c r="B2394" s="332" t="s">
        <v>404</v>
      </c>
      <c r="C2394" s="333">
        <f t="shared" si="651"/>
        <v>0</v>
      </c>
      <c r="D2394" s="329"/>
      <c r="E2394" s="328" t="str">
        <f>VLOOKUP(B2394,DONGIA,DG!$B$6,0)</f>
        <v>D3.1115</v>
      </c>
      <c r="F2394" s="329" t="str">
        <f>VLOOKUP(B2394,DONGIA,DG!$C$6,0)</f>
        <v>Sứ đứng 24KV, đường rò 540mm</v>
      </c>
      <c r="G2394" s="328" t="str">
        <f>VLOOKUP(B2394,DONGIA,DG!$D$6,0)</f>
        <v>cái</v>
      </c>
      <c r="H2394" s="329">
        <f>H2388*3</f>
        <v>0</v>
      </c>
      <c r="I2394" s="329">
        <f>VLOOKUP(B2394,DONGIA,DG!$E$6,0)</f>
        <v>195000</v>
      </c>
      <c r="J2394" s="329"/>
      <c r="K2394" s="329">
        <f>VLOOKUP(B2394,DONGIA,DG!$F$6,0)</f>
        <v>49616</v>
      </c>
      <c r="L2394" s="329">
        <f>VLOOKUP(B2394,DONGIA,DG!$G$6,0)</f>
        <v>0</v>
      </c>
      <c r="M2394" s="329">
        <f t="shared" si="652"/>
        <v>0</v>
      </c>
      <c r="N2394" s="329">
        <f t="shared" si="653"/>
        <v>0</v>
      </c>
      <c r="O2394" s="329">
        <f t="shared" si="654"/>
        <v>0</v>
      </c>
      <c r="P2394" s="329">
        <f t="shared" si="655"/>
        <v>0</v>
      </c>
      <c r="Q2394" s="329"/>
      <c r="S2394" s="332">
        <f t="shared" si="649"/>
        <v>4</v>
      </c>
      <c r="T2394" s="332">
        <f t="shared" si="650"/>
        <v>0</v>
      </c>
    </row>
    <row r="2395" spans="1:20" hidden="1">
      <c r="A2395" s="332" t="s">
        <v>477</v>
      </c>
      <c r="B2395" s="332" t="s">
        <v>274</v>
      </c>
      <c r="C2395" s="333">
        <f t="shared" si="651"/>
        <v>0</v>
      </c>
      <c r="D2395" s="329"/>
      <c r="E2395" s="328">
        <f>VLOOKUP(B2395,DONGIA,DG!$B$6,0)</f>
        <v>0</v>
      </c>
      <c r="F2395" s="329" t="str">
        <f>VLOOKUP(B2395,DONGIA,DG!$C$6,0)</f>
        <v>Chân sứ đứng 24kV</v>
      </c>
      <c r="G2395" s="328" t="str">
        <f>VLOOKUP(B2395,DONGIA,DG!$D$6,0)</f>
        <v>cái</v>
      </c>
      <c r="H2395" s="329">
        <f>H2394</f>
        <v>0</v>
      </c>
      <c r="I2395" s="329">
        <f>VLOOKUP(B2395,DONGIA,DG!$E$6,0)</f>
        <v>60000</v>
      </c>
      <c r="J2395" s="329"/>
      <c r="K2395" s="329">
        <f>VLOOKUP(B2395,DONGIA,DG!$F$6,0)</f>
        <v>0</v>
      </c>
      <c r="L2395" s="329">
        <f>VLOOKUP(B2395,DONGIA,DG!$G$6,0)</f>
        <v>0</v>
      </c>
      <c r="M2395" s="329">
        <f t="shared" si="652"/>
        <v>0</v>
      </c>
      <c r="N2395" s="329">
        <f t="shared" si="653"/>
        <v>0</v>
      </c>
      <c r="O2395" s="329">
        <f t="shared" si="654"/>
        <v>0</v>
      </c>
      <c r="P2395" s="329">
        <f t="shared" si="655"/>
        <v>0</v>
      </c>
      <c r="Q2395" s="329"/>
      <c r="S2395" s="332">
        <f t="shared" si="649"/>
        <v>3</v>
      </c>
      <c r="T2395" s="332">
        <f t="shared" si="650"/>
        <v>0</v>
      </c>
    </row>
    <row r="2396" spans="1:20" hidden="1">
      <c r="A2396" s="332" t="s">
        <v>477</v>
      </c>
      <c r="B2396" s="332" t="s">
        <v>270</v>
      </c>
      <c r="C2396" s="333">
        <f>IF(H2396&lt;&gt;0,1,)</f>
        <v>0</v>
      </c>
      <c r="D2396" s="329"/>
      <c r="E2396" s="328">
        <f>VLOOKUP(B2396,DONGIA,DG!$B$6,0)</f>
        <v>0</v>
      </c>
      <c r="F2396" s="329" t="str">
        <f>VLOOKUP(B2396,DONGIA,DG!$C$6,0)</f>
        <v>Chân sứ đỉnh thẳng dài 870 dày 4mm</v>
      </c>
      <c r="G2396" s="328" t="str">
        <f>VLOOKUP(B2396,DONGIA,DG!$D$6,0)</f>
        <v>cái</v>
      </c>
      <c r="H2396" s="329">
        <f>H2388</f>
        <v>0</v>
      </c>
      <c r="I2396" s="329">
        <f>VLOOKUP(B2396,DONGIA,DG!$E$6,0)</f>
        <v>115000</v>
      </c>
      <c r="J2396" s="329"/>
      <c r="K2396" s="329">
        <f>VLOOKUP(B2396,DONGIA,DG!$F$6,0)</f>
        <v>0</v>
      </c>
      <c r="L2396" s="329">
        <f>VLOOKUP(B2396,DONGIA,DG!$G$6,0)</f>
        <v>0</v>
      </c>
      <c r="M2396" s="329">
        <f>$H2396*I2396</f>
        <v>0</v>
      </c>
      <c r="N2396" s="329">
        <f>$H2396*J2396</f>
        <v>0</v>
      </c>
      <c r="O2396" s="329">
        <f>$H2396*K2396</f>
        <v>0</v>
      </c>
      <c r="P2396" s="329">
        <f>$H2396*L2396</f>
        <v>0</v>
      </c>
      <c r="Q2396" s="329"/>
      <c r="S2396" s="332">
        <f>IFERROR(VLOOKUP(B2396,DONGIA,$S$25,0),0)</f>
        <v>5</v>
      </c>
      <c r="T2396" s="332">
        <f>H2396*S2396</f>
        <v>0</v>
      </c>
    </row>
    <row r="2397" spans="1:20" hidden="1">
      <c r="A2397" s="332" t="s">
        <v>477</v>
      </c>
      <c r="B2397" s="332" t="s">
        <v>2872</v>
      </c>
      <c r="C2397" s="333">
        <f t="shared" si="651"/>
        <v>0</v>
      </c>
      <c r="D2397" s="329"/>
      <c r="E2397" s="328" t="str">
        <f>VLOOKUP(B2397,DONGIA,DG!$B$6,0)</f>
        <v>T4.2201</v>
      </c>
      <c r="F2397" s="329" t="str">
        <f>VLOOKUP(B2397,DONGIA,DG!$C$6,0)</f>
        <v>Lắp sứ đứng 24KV trong TBA</v>
      </c>
      <c r="G2397" s="328" t="str">
        <f>VLOOKUP(B2397,DONGIA,DG!$D$6,0)</f>
        <v>bộ</v>
      </c>
      <c r="H2397" s="329">
        <f>H2394</f>
        <v>0</v>
      </c>
      <c r="I2397" s="329">
        <f>VLOOKUP(B2397,DONGIA,DG!$E$6,0)</f>
        <v>0</v>
      </c>
      <c r="J2397" s="329"/>
      <c r="K2397" s="329">
        <f>VLOOKUP(B2397,DONGIA,DG!$F$6,0)</f>
        <v>54496</v>
      </c>
      <c r="L2397" s="329">
        <f>VLOOKUP(B2397,DONGIA,DG!$G$6,0)</f>
        <v>0</v>
      </c>
      <c r="M2397" s="329">
        <f t="shared" si="652"/>
        <v>0</v>
      </c>
      <c r="N2397" s="329">
        <f t="shared" si="653"/>
        <v>0</v>
      </c>
      <c r="O2397" s="329">
        <f t="shared" si="654"/>
        <v>0</v>
      </c>
      <c r="P2397" s="329">
        <f t="shared" si="655"/>
        <v>0</v>
      </c>
      <c r="Q2397" s="329"/>
      <c r="S2397" s="332">
        <f t="shared" si="649"/>
        <v>0</v>
      </c>
      <c r="T2397" s="332">
        <f t="shared" si="650"/>
        <v>0</v>
      </c>
    </row>
    <row r="2398" spans="1:20" hidden="1">
      <c r="A2398" s="332" t="s">
        <v>477</v>
      </c>
      <c r="B2398" s="332" t="s">
        <v>635</v>
      </c>
      <c r="C2398" s="333">
        <f t="shared" si="651"/>
        <v>0</v>
      </c>
      <c r="D2398" s="329"/>
      <c r="E2398" s="328" t="str">
        <f>VLOOKUP(B2398,DONGIA,DG!$B$6,0)</f>
        <v>D2.6021d</v>
      </c>
      <c r="F2398" s="329" t="str">
        <f>VLOOKUP(B2398,DONGIA,DG!$C$6,0)</f>
        <v>Lắp đặt xà thép L75x75x8x2100 đơn cột đỡ (29,4245 kg/bộ)</v>
      </c>
      <c r="G2398" s="328" t="str">
        <f>VLOOKUP(B2398,DONGIA,DG!$D$6,0)</f>
        <v>bộ</v>
      </c>
      <c r="H2398" s="329">
        <f>H2388</f>
        <v>0</v>
      </c>
      <c r="I2398" s="329">
        <f>VLOOKUP(B2398,DONGIA,DG!$E$6,0)</f>
        <v>0</v>
      </c>
      <c r="J2398" s="329"/>
      <c r="K2398" s="329">
        <f>VLOOKUP(B2398,DONGIA,DG!$F$6,0)</f>
        <v>297271</v>
      </c>
      <c r="L2398" s="329">
        <f>VLOOKUP(B2398,DONGIA,DG!$G$6,0)</f>
        <v>0</v>
      </c>
      <c r="M2398" s="329">
        <f t="shared" si="652"/>
        <v>0</v>
      </c>
      <c r="N2398" s="329">
        <f t="shared" si="653"/>
        <v>0</v>
      </c>
      <c r="O2398" s="329">
        <f t="shared" si="654"/>
        <v>0</v>
      </c>
      <c r="P2398" s="329">
        <f t="shared" si="655"/>
        <v>0</v>
      </c>
      <c r="Q2398" s="329"/>
      <c r="S2398" s="332">
        <f t="shared" si="649"/>
        <v>0</v>
      </c>
      <c r="T2398" s="332">
        <f t="shared" si="650"/>
        <v>0</v>
      </c>
    </row>
    <row r="2399" spans="1:20" hidden="1">
      <c r="A2399" s="332" t="s">
        <v>477</v>
      </c>
      <c r="C2399" s="333">
        <f t="shared" ref="C2399:C2404" si="656">IF(H2399&lt;&gt;0,1,)</f>
        <v>0</v>
      </c>
      <c r="D2399" s="372">
        <f>IF(H2399&lt;&gt;0,D2388+1,D2388)</f>
        <v>0</v>
      </c>
      <c r="E2399" s="372"/>
      <c r="F2399" s="373" t="s">
        <v>2820</v>
      </c>
      <c r="G2399" s="372" t="s">
        <v>138</v>
      </c>
      <c r="H2399" s="372">
        <f>T3P160</f>
        <v>0</v>
      </c>
      <c r="I2399" s="373"/>
      <c r="J2399" s="373"/>
      <c r="K2399" s="373"/>
      <c r="L2399" s="373"/>
      <c r="M2399" s="373">
        <v>0</v>
      </c>
      <c r="N2399" s="373">
        <v>0</v>
      </c>
      <c r="O2399" s="373">
        <v>0</v>
      </c>
      <c r="P2399" s="373">
        <v>0</v>
      </c>
      <c r="Q2399" s="373"/>
      <c r="S2399" s="332">
        <f t="shared" ref="S2399:S2404" si="657">IFERROR(VLOOKUP(B2399,DONGIA,$S$25,0),0)</f>
        <v>0</v>
      </c>
      <c r="T2399" s="332">
        <f t="shared" ref="T2399:T2404" si="658">H2399*S2399</f>
        <v>0</v>
      </c>
    </row>
    <row r="2400" spans="1:20" s="361" customFormat="1" hidden="1">
      <c r="A2400" s="361" t="s">
        <v>477</v>
      </c>
      <c r="C2400" s="374">
        <f t="shared" si="656"/>
        <v>0</v>
      </c>
      <c r="D2400" s="351"/>
      <c r="E2400" s="351"/>
      <c r="F2400" s="351" t="s">
        <v>1902</v>
      </c>
      <c r="G2400" s="350"/>
      <c r="H2400" s="351"/>
      <c r="I2400" s="351"/>
      <c r="J2400" s="351"/>
      <c r="K2400" s="351"/>
      <c r="L2400" s="351"/>
      <c r="M2400" s="351">
        <v>0</v>
      </c>
      <c r="N2400" s="351">
        <v>0</v>
      </c>
      <c r="O2400" s="351">
        <v>0</v>
      </c>
      <c r="P2400" s="351">
        <v>0</v>
      </c>
      <c r="Q2400" s="351"/>
      <c r="S2400" s="361">
        <f t="shared" si="657"/>
        <v>0</v>
      </c>
      <c r="T2400" s="361">
        <f t="shared" si="658"/>
        <v>0</v>
      </c>
    </row>
    <row r="2401" spans="1:20" hidden="1">
      <c r="A2401" s="332" t="s">
        <v>477</v>
      </c>
      <c r="B2401" s="332" t="s">
        <v>1928</v>
      </c>
      <c r="C2401" s="333">
        <f t="shared" si="656"/>
        <v>0</v>
      </c>
      <c r="D2401" s="329"/>
      <c r="E2401" s="328">
        <f>VLOOKUP(B2401,DONGIA,DG!$B$6,0)</f>
        <v>0</v>
      </c>
      <c r="F2401" s="329" t="str">
        <f>VLOOKUP(B2401,DONGIA,DG!$C$6,0)</f>
        <v>Đà hộp composite 110x80x5-2600</v>
      </c>
      <c r="G2401" s="328" t="str">
        <f>VLOOKUP(B2401,DONGIA,DG!$D$6,0)</f>
        <v>cái</v>
      </c>
      <c r="H2401" s="329">
        <f>H2399</f>
        <v>0</v>
      </c>
      <c r="I2401" s="329">
        <f>VLOOKUP(B2401,DONGIA,DG!$E$6,0)</f>
        <v>977000</v>
      </c>
      <c r="J2401" s="329"/>
      <c r="K2401" s="329">
        <f>VLOOKUP(B2401,DONGIA,DG!$F$6,0)</f>
        <v>0</v>
      </c>
      <c r="L2401" s="329">
        <f>VLOOKUP(B2401,DONGIA,DG!$G$6,0)</f>
        <v>0</v>
      </c>
      <c r="M2401" s="329">
        <f t="shared" ref="M2401:P2404" si="659">$H2401*I2401</f>
        <v>0</v>
      </c>
      <c r="N2401" s="329">
        <f t="shared" si="659"/>
        <v>0</v>
      </c>
      <c r="O2401" s="329">
        <f t="shared" si="659"/>
        <v>0</v>
      </c>
      <c r="P2401" s="329">
        <f t="shared" si="659"/>
        <v>0</v>
      </c>
      <c r="Q2401" s="329"/>
      <c r="S2401" s="332">
        <f t="shared" si="657"/>
        <v>10.199999999999999</v>
      </c>
      <c r="T2401" s="332">
        <f t="shared" si="658"/>
        <v>0</v>
      </c>
    </row>
    <row r="2402" spans="1:20" hidden="1">
      <c r="A2402" s="332" t="s">
        <v>477</v>
      </c>
      <c r="B2402" s="332" t="s">
        <v>37</v>
      </c>
      <c r="C2402" s="333">
        <f t="shared" si="656"/>
        <v>0</v>
      </c>
      <c r="D2402" s="329"/>
      <c r="E2402" s="328">
        <f>VLOOKUP(B2402,DONGIA,DG!$B$6,0)</f>
        <v>0</v>
      </c>
      <c r="F2402" s="329" t="str">
        <f>VLOOKUP(B2402,DONGIA,DG!$C$6,0)</f>
        <v>Boulon 16x350+ 2 long đền vuông D18-50x50x3/Zn</v>
      </c>
      <c r="G2402" s="328" t="str">
        <f>VLOOKUP(B2402,DONGIA,DG!$D$6,0)</f>
        <v>bộ</v>
      </c>
      <c r="H2402" s="329">
        <f>H2399*2</f>
        <v>0</v>
      </c>
      <c r="I2402" s="329">
        <f>VLOOKUP(B2402,DONGIA,DG!$E$6,0)</f>
        <v>32000</v>
      </c>
      <c r="J2402" s="329"/>
      <c r="K2402" s="329">
        <f>VLOOKUP(B2402,DONGIA,DG!$F$6,0)</f>
        <v>0</v>
      </c>
      <c r="L2402" s="329">
        <f>VLOOKUP(B2402,DONGIA,DG!$G$6,0)</f>
        <v>0</v>
      </c>
      <c r="M2402" s="329">
        <f t="shared" si="659"/>
        <v>0</v>
      </c>
      <c r="N2402" s="329">
        <f t="shared" si="659"/>
        <v>0</v>
      </c>
      <c r="O2402" s="329">
        <f t="shared" si="659"/>
        <v>0</v>
      </c>
      <c r="P2402" s="329">
        <f t="shared" si="659"/>
        <v>0</v>
      </c>
      <c r="Q2402" s="329"/>
      <c r="S2402" s="332">
        <f t="shared" si="657"/>
        <v>0.3</v>
      </c>
      <c r="T2402" s="332">
        <f t="shared" si="658"/>
        <v>0</v>
      </c>
    </row>
    <row r="2403" spans="1:20" hidden="1">
      <c r="A2403" s="332" t="s">
        <v>477</v>
      </c>
      <c r="B2403" s="332" t="s">
        <v>139</v>
      </c>
      <c r="C2403" s="333">
        <f t="shared" si="656"/>
        <v>0</v>
      </c>
      <c r="D2403" s="329"/>
      <c r="E2403" s="328">
        <f>VLOOKUP(B2403,DONGIA,DG!$B$6,0)</f>
        <v>0</v>
      </c>
      <c r="F2403" s="329" t="str">
        <f>VLOOKUP(B2403,DONGIA,DG!$C$6,0)</f>
        <v>Bass LL bắt FCO và LA</v>
      </c>
      <c r="G2403" s="328" t="str">
        <f>VLOOKUP(B2403,DONGIA,DG!$D$6,0)</f>
        <v>bộ</v>
      </c>
      <c r="H2403" s="329">
        <f>H2399*3</f>
        <v>0</v>
      </c>
      <c r="I2403" s="329">
        <f>VLOOKUP(B2403,DONGIA,DG!$E$6,0)</f>
        <v>56000</v>
      </c>
      <c r="J2403" s="329"/>
      <c r="K2403" s="329">
        <f>VLOOKUP(B2403,DONGIA,DG!$F$6,0)</f>
        <v>0</v>
      </c>
      <c r="L2403" s="329">
        <f>VLOOKUP(B2403,DONGIA,DG!$G$6,0)</f>
        <v>0</v>
      </c>
      <c r="M2403" s="329">
        <f t="shared" si="659"/>
        <v>0</v>
      </c>
      <c r="N2403" s="329">
        <f t="shared" si="659"/>
        <v>0</v>
      </c>
      <c r="O2403" s="329">
        <f t="shared" si="659"/>
        <v>0</v>
      </c>
      <c r="P2403" s="329">
        <f t="shared" si="659"/>
        <v>0</v>
      </c>
      <c r="Q2403" s="329"/>
      <c r="S2403" s="332">
        <f t="shared" si="657"/>
        <v>0.5</v>
      </c>
      <c r="T2403" s="332">
        <f t="shared" si="658"/>
        <v>0</v>
      </c>
    </row>
    <row r="2404" spans="1:20" hidden="1">
      <c r="A2404" s="332" t="s">
        <v>477</v>
      </c>
      <c r="B2404" s="332" t="s">
        <v>1929</v>
      </c>
      <c r="C2404" s="333">
        <f t="shared" si="656"/>
        <v>0</v>
      </c>
      <c r="D2404" s="329"/>
      <c r="E2404" s="328" t="str">
        <f>VLOOKUP(B2404,DONGIA,DG!$B$6,0)</f>
        <v>D2.6011</v>
      </c>
      <c r="F2404" s="329" t="str">
        <f>VLOOKUP(B2404,DONGIA,DG!$C$6,0)</f>
        <v>Lắp đà composite 2600mm đơn (KL &lt;=15kg, trụ BTLT, tính = 0.8 đà sắt)</v>
      </c>
      <c r="G2404" s="328" t="str">
        <f>VLOOKUP(B2404,DONGIA,DG!$D$6,0)</f>
        <v>bộ</v>
      </c>
      <c r="H2404" s="329">
        <f>H2399</f>
        <v>0</v>
      </c>
      <c r="I2404" s="329">
        <f>VLOOKUP(B2404,DONGIA,DG!$E$6,0)</f>
        <v>0</v>
      </c>
      <c r="J2404" s="329"/>
      <c r="K2404" s="329">
        <f>VLOOKUP(B2404,DONGIA,DG!$F$6,0)</f>
        <v>134360</v>
      </c>
      <c r="L2404" s="329">
        <f>VLOOKUP(B2404,DONGIA,DG!$G$6,0)</f>
        <v>0</v>
      </c>
      <c r="M2404" s="329">
        <f t="shared" si="659"/>
        <v>0</v>
      </c>
      <c r="N2404" s="329">
        <f t="shared" si="659"/>
        <v>0</v>
      </c>
      <c r="O2404" s="329">
        <f t="shared" si="659"/>
        <v>0</v>
      </c>
      <c r="P2404" s="329">
        <f t="shared" si="659"/>
        <v>0</v>
      </c>
      <c r="Q2404" s="329"/>
      <c r="S2404" s="332">
        <f t="shared" si="657"/>
        <v>0</v>
      </c>
      <c r="T2404" s="332">
        <f t="shared" si="658"/>
        <v>0</v>
      </c>
    </row>
    <row r="2405" spans="1:20" hidden="1">
      <c r="A2405" s="332" t="s">
        <v>477</v>
      </c>
      <c r="C2405" s="333">
        <f>IF(H2405&lt;&gt;0,1,)</f>
        <v>0</v>
      </c>
      <c r="D2405" s="372">
        <f>IF(H2405&lt;&gt;0,D2399+1,D2399)</f>
        <v>0</v>
      </c>
      <c r="E2405" s="372"/>
      <c r="F2405" s="373" t="s">
        <v>2938</v>
      </c>
      <c r="G2405" s="372" t="s">
        <v>138</v>
      </c>
      <c r="H2405" s="372">
        <f>T3P160*2</f>
        <v>0</v>
      </c>
      <c r="I2405" s="373"/>
      <c r="J2405" s="373"/>
      <c r="K2405" s="373"/>
      <c r="L2405" s="373"/>
      <c r="M2405" s="373">
        <v>0</v>
      </c>
      <c r="N2405" s="373">
        <v>0</v>
      </c>
      <c r="O2405" s="373">
        <v>0</v>
      </c>
      <c r="P2405" s="373">
        <v>0</v>
      </c>
      <c r="Q2405" s="373"/>
      <c r="S2405" s="332">
        <f>IFERROR(VLOOKUP(B2405,DONGIA,$S$25,0),0)</f>
        <v>0</v>
      </c>
      <c r="T2405" s="332">
        <f>H2405*S2405</f>
        <v>0</v>
      </c>
    </row>
    <row r="2406" spans="1:20" s="361" customFormat="1" hidden="1">
      <c r="A2406" s="361" t="s">
        <v>477</v>
      </c>
      <c r="C2406" s="374">
        <f>C2405</f>
        <v>0</v>
      </c>
      <c r="D2406" s="351"/>
      <c r="E2406" s="351"/>
      <c r="F2406" s="351" t="s">
        <v>1902</v>
      </c>
      <c r="G2406" s="350"/>
      <c r="H2406" s="351"/>
      <c r="I2406" s="351"/>
      <c r="J2406" s="351"/>
      <c r="K2406" s="351"/>
      <c r="L2406" s="351"/>
      <c r="M2406" s="351">
        <v>0</v>
      </c>
      <c r="N2406" s="351">
        <v>0</v>
      </c>
      <c r="O2406" s="351">
        <v>0</v>
      </c>
      <c r="P2406" s="351">
        <v>0</v>
      </c>
      <c r="Q2406" s="351"/>
      <c r="S2406" s="361">
        <f>IFERROR(VLOOKUP(B2406,DONGIA,$S$25,0),0)</f>
        <v>0</v>
      </c>
      <c r="T2406" s="361">
        <f>H2406*S2406</f>
        <v>0</v>
      </c>
    </row>
    <row r="2407" spans="1:20" hidden="1">
      <c r="A2407" s="332" t="s">
        <v>477</v>
      </c>
      <c r="B2407" s="332" t="s">
        <v>2818</v>
      </c>
      <c r="C2407" s="333">
        <f>IF(H2407&lt;&gt;0,1,)</f>
        <v>0</v>
      </c>
      <c r="D2407" s="329"/>
      <c r="E2407" s="328">
        <f>VLOOKUP(B2407,DONGIA,DG!$B$6,0)</f>
        <v>0</v>
      </c>
      <c r="F2407" s="329" t="str">
        <f>VLOOKUP(B2407,DONGIA,DG!$C$6,0)</f>
        <v>Đà sắt L75x75x8-2600 - 3 ốp</v>
      </c>
      <c r="G2407" s="328" t="str">
        <f>VLOOKUP(B2407,DONGIA,DG!$D$6,0)</f>
        <v>cái</v>
      </c>
      <c r="H2407" s="329">
        <f>H2405</f>
        <v>0</v>
      </c>
      <c r="I2407" s="329">
        <f>VLOOKUP(B2407,DONGIA,DG!$E$6,0)</f>
        <v>648000</v>
      </c>
      <c r="J2407" s="329"/>
      <c r="K2407" s="329">
        <f>VLOOKUP(B2407,DONGIA,DG!$F$6,0)</f>
        <v>0</v>
      </c>
      <c r="L2407" s="329">
        <f>VLOOKUP(B2407,DONGIA,DG!$G$6,0)</f>
        <v>0</v>
      </c>
      <c r="M2407" s="329">
        <f t="shared" ref="M2407:P2409" si="660">$H2407*I2407</f>
        <v>0</v>
      </c>
      <c r="N2407" s="329">
        <f t="shared" si="660"/>
        <v>0</v>
      </c>
      <c r="O2407" s="329">
        <f t="shared" si="660"/>
        <v>0</v>
      </c>
      <c r="P2407" s="329">
        <f t="shared" si="660"/>
        <v>0</v>
      </c>
      <c r="Q2407" s="329"/>
      <c r="S2407" s="332">
        <f>IFERROR(VLOOKUP(B2407,DONGIA,$S$25,0),0)</f>
        <v>26</v>
      </c>
      <c r="T2407" s="332">
        <f>H2407*S2407</f>
        <v>0</v>
      </c>
    </row>
    <row r="2408" spans="1:20" hidden="1">
      <c r="A2408" s="332" t="s">
        <v>477</v>
      </c>
      <c r="B2408" s="332" t="s">
        <v>35</v>
      </c>
      <c r="C2408" s="333">
        <f>IF(H2408&lt;&gt;0,1,)</f>
        <v>0</v>
      </c>
      <c r="D2408" s="329"/>
      <c r="E2408" s="328">
        <f>VLOOKUP(B2408,DONGIA,DG!$B$6,0)</f>
        <v>0</v>
      </c>
      <c r="F2408" s="329" t="str">
        <f>VLOOKUP(B2408,DONGIA,DG!$C$6,0)</f>
        <v>Boulon 16x300+ 2 long đền vuông D18-50x50x3/Zn</v>
      </c>
      <c r="G2408" s="328" t="str">
        <f>VLOOKUP(B2408,DONGIA,DG!$D$6,0)</f>
        <v>bộ</v>
      </c>
      <c r="H2408" s="329">
        <f>H2405*2</f>
        <v>0</v>
      </c>
      <c r="I2408" s="329">
        <f>VLOOKUP(B2408,DONGIA,DG!$E$6,0)</f>
        <v>30000</v>
      </c>
      <c r="J2408" s="329"/>
      <c r="K2408" s="329">
        <f>VLOOKUP(B2408,DONGIA,DG!$F$6,0)</f>
        <v>0</v>
      </c>
      <c r="L2408" s="329">
        <f>VLOOKUP(B2408,DONGIA,DG!$G$6,0)</f>
        <v>0</v>
      </c>
      <c r="M2408" s="329">
        <f t="shared" si="660"/>
        <v>0</v>
      </c>
      <c r="N2408" s="329">
        <f t="shared" si="660"/>
        <v>0</v>
      </c>
      <c r="O2408" s="329">
        <f t="shared" si="660"/>
        <v>0</v>
      </c>
      <c r="P2408" s="329">
        <f t="shared" si="660"/>
        <v>0</v>
      </c>
      <c r="Q2408" s="329"/>
      <c r="S2408" s="332">
        <f>IFERROR(VLOOKUP(B2408,DONGIA,$S$25,0),0)</f>
        <v>0.25</v>
      </c>
      <c r="T2408" s="332">
        <f>H2408*S2408</f>
        <v>0</v>
      </c>
    </row>
    <row r="2409" spans="1:20" hidden="1">
      <c r="A2409" s="332" t="s">
        <v>477</v>
      </c>
      <c r="B2409" s="332" t="s">
        <v>653</v>
      </c>
      <c r="C2409" s="333">
        <f>IF(H2409&lt;&gt;0,1,)</f>
        <v>0</v>
      </c>
      <c r="D2409" s="329"/>
      <c r="E2409" s="328" t="str">
        <f>VLOOKUP(B2409,DONGIA,DG!$B$6,0)</f>
        <v>05.6044</v>
      </c>
      <c r="F2409" s="329" t="str">
        <f>VLOOKUP(B2409,DONGIA,DG!$C$6,0)</f>
        <v>Lắp xà cột Pi loại ≤140kg/xà</v>
      </c>
      <c r="G2409" s="328" t="str">
        <f>VLOOKUP(B2409,DONGIA,DG!$D$6,0)</f>
        <v>bộ</v>
      </c>
      <c r="H2409" s="329">
        <f>H2405</f>
        <v>0</v>
      </c>
      <c r="I2409" s="329">
        <f>VLOOKUP(B2409,DONGIA,DG!$E$6,0)</f>
        <v>0</v>
      </c>
      <c r="J2409" s="329"/>
      <c r="K2409" s="329">
        <f>VLOOKUP(B2409,DONGIA,DG!$F$6,0)</f>
        <v>511533</v>
      </c>
      <c r="L2409" s="329">
        <f>VLOOKUP(B2409,DONGIA,DG!$G$6,0)</f>
        <v>0</v>
      </c>
      <c r="M2409" s="329">
        <f t="shared" si="660"/>
        <v>0</v>
      </c>
      <c r="N2409" s="329">
        <f t="shared" si="660"/>
        <v>0</v>
      </c>
      <c r="O2409" s="329">
        <f t="shared" si="660"/>
        <v>0</v>
      </c>
      <c r="P2409" s="329">
        <f t="shared" si="660"/>
        <v>0</v>
      </c>
      <c r="Q2409" s="329"/>
      <c r="S2409" s="332">
        <f>IFERROR(VLOOKUP(B2409,DONGIA,$S$25,0),0)</f>
        <v>0</v>
      </c>
      <c r="T2409" s="332">
        <f>H2409*S2409</f>
        <v>0</v>
      </c>
    </row>
    <row r="2410" spans="1:20" hidden="1">
      <c r="A2410" s="332" t="s">
        <v>477</v>
      </c>
      <c r="C2410" s="333">
        <f t="shared" ref="C2410:C2434" si="661">IF(H2410&lt;&gt;0,1,)</f>
        <v>0</v>
      </c>
      <c r="D2410" s="372">
        <f>IF(H2410&lt;&gt;0,D2405+1,D2405)</f>
        <v>0</v>
      </c>
      <c r="E2410" s="372"/>
      <c r="F2410" s="373" t="s">
        <v>2860</v>
      </c>
      <c r="G2410" s="372" t="s">
        <v>138</v>
      </c>
      <c r="H2410" s="372">
        <f>T3P160*2</f>
        <v>0</v>
      </c>
      <c r="I2410" s="373"/>
      <c r="J2410" s="373"/>
      <c r="K2410" s="373"/>
      <c r="L2410" s="373"/>
      <c r="M2410" s="373">
        <v>0</v>
      </c>
      <c r="N2410" s="373">
        <v>0</v>
      </c>
      <c r="O2410" s="373">
        <v>0</v>
      </c>
      <c r="P2410" s="373">
        <v>0</v>
      </c>
      <c r="Q2410" s="373"/>
      <c r="S2410" s="332">
        <f t="shared" ref="S2410:S2434" si="662">IFERROR(VLOOKUP(B2410,DONGIA,$S$25,0),0)</f>
        <v>0</v>
      </c>
      <c r="T2410" s="332">
        <f t="shared" ref="T2410:T2434" si="663">H2410*S2410</f>
        <v>0</v>
      </c>
    </row>
    <row r="2411" spans="1:20" s="361" customFormat="1" hidden="1">
      <c r="A2411" s="361" t="s">
        <v>477</v>
      </c>
      <c r="C2411" s="374">
        <f>C2410</f>
        <v>0</v>
      </c>
      <c r="D2411" s="351"/>
      <c r="E2411" s="351"/>
      <c r="F2411" s="351" t="s">
        <v>1902</v>
      </c>
      <c r="G2411" s="350"/>
      <c r="H2411" s="351"/>
      <c r="I2411" s="351"/>
      <c r="J2411" s="351"/>
      <c r="K2411" s="351"/>
      <c r="L2411" s="351"/>
      <c r="M2411" s="351">
        <v>0</v>
      </c>
      <c r="N2411" s="351">
        <v>0</v>
      </c>
      <c r="O2411" s="351">
        <v>0</v>
      </c>
      <c r="P2411" s="351">
        <v>0</v>
      </c>
      <c r="Q2411" s="351"/>
      <c r="S2411" s="361">
        <f t="shared" si="662"/>
        <v>0</v>
      </c>
      <c r="T2411" s="361">
        <f t="shared" si="663"/>
        <v>0</v>
      </c>
    </row>
    <row r="2412" spans="1:20" hidden="1">
      <c r="A2412" s="332" t="s">
        <v>477</v>
      </c>
      <c r="B2412" s="332" t="s">
        <v>2821</v>
      </c>
      <c r="C2412" s="333">
        <f t="shared" si="661"/>
        <v>0</v>
      </c>
      <c r="D2412" s="329"/>
      <c r="E2412" s="328">
        <f>VLOOKUP(B2412,DONGIA,DG!$B$6,0)</f>
        <v>0</v>
      </c>
      <c r="F2412" s="329" t="str">
        <f>VLOOKUP(B2412,DONGIA,DG!$C$6,0)</f>
        <v>Đà sắt L75x75x8-2600 - 0 ốp</v>
      </c>
      <c r="G2412" s="328" t="str">
        <f>VLOOKUP(B2412,DONGIA,DG!$D$6,0)</f>
        <v>cái</v>
      </c>
      <c r="H2412" s="329">
        <f>H2410</f>
        <v>0</v>
      </c>
      <c r="I2412" s="329">
        <f>VLOOKUP(B2412,DONGIA,DG!$E$6,0)</f>
        <v>595000</v>
      </c>
      <c r="J2412" s="329"/>
      <c r="K2412" s="329">
        <f>VLOOKUP(B2412,DONGIA,DG!$F$6,0)</f>
        <v>0</v>
      </c>
      <c r="L2412" s="329">
        <f>VLOOKUP(B2412,DONGIA,DG!$G$6,0)</f>
        <v>0</v>
      </c>
      <c r="M2412" s="329">
        <f t="shared" ref="M2412:P2415" si="664">$H2412*I2412</f>
        <v>0</v>
      </c>
      <c r="N2412" s="329">
        <f t="shared" si="664"/>
        <v>0</v>
      </c>
      <c r="O2412" s="329">
        <f t="shared" si="664"/>
        <v>0</v>
      </c>
      <c r="P2412" s="329">
        <f t="shared" si="664"/>
        <v>0</v>
      </c>
      <c r="Q2412" s="329"/>
      <c r="S2412" s="332">
        <f t="shared" si="662"/>
        <v>26</v>
      </c>
      <c r="T2412" s="332">
        <f t="shared" si="663"/>
        <v>0</v>
      </c>
    </row>
    <row r="2413" spans="1:20" hidden="1">
      <c r="A2413" s="332" t="s">
        <v>477</v>
      </c>
      <c r="B2413" s="332" t="s">
        <v>37</v>
      </c>
      <c r="C2413" s="333">
        <f t="shared" si="661"/>
        <v>0</v>
      </c>
      <c r="D2413" s="329"/>
      <c r="E2413" s="328">
        <f>VLOOKUP(B2413,DONGIA,DG!$B$6,0)</f>
        <v>0</v>
      </c>
      <c r="F2413" s="329" t="str">
        <f>VLOOKUP(B2413,DONGIA,DG!$C$6,0)</f>
        <v>Boulon 16x350+ 2 long đền vuông D18-50x50x3/Zn</v>
      </c>
      <c r="G2413" s="328" t="str">
        <f>VLOOKUP(B2413,DONGIA,DG!$D$6,0)</f>
        <v>bộ</v>
      </c>
      <c r="H2413" s="329">
        <f>H2410*2</f>
        <v>0</v>
      </c>
      <c r="I2413" s="329">
        <f>VLOOKUP(B2413,DONGIA,DG!$E$6,0)</f>
        <v>32000</v>
      </c>
      <c r="J2413" s="329"/>
      <c r="K2413" s="329">
        <f>VLOOKUP(B2413,DONGIA,DG!$F$6,0)</f>
        <v>0</v>
      </c>
      <c r="L2413" s="329">
        <f>VLOOKUP(B2413,DONGIA,DG!$G$6,0)</f>
        <v>0</v>
      </c>
      <c r="M2413" s="329">
        <f t="shared" si="664"/>
        <v>0</v>
      </c>
      <c r="N2413" s="329">
        <f t="shared" si="664"/>
        <v>0</v>
      </c>
      <c r="O2413" s="329">
        <f t="shared" si="664"/>
        <v>0</v>
      </c>
      <c r="P2413" s="329">
        <f t="shared" si="664"/>
        <v>0</v>
      </c>
      <c r="Q2413" s="329"/>
      <c r="S2413" s="332">
        <f t="shared" si="662"/>
        <v>0.3</v>
      </c>
      <c r="T2413" s="332">
        <f t="shared" si="663"/>
        <v>0</v>
      </c>
    </row>
    <row r="2414" spans="1:20" hidden="1">
      <c r="A2414" s="332" t="s">
        <v>477</v>
      </c>
      <c r="B2414" s="332" t="s">
        <v>25</v>
      </c>
      <c r="C2414" s="333">
        <f t="shared" si="661"/>
        <v>0</v>
      </c>
      <c r="D2414" s="329"/>
      <c r="E2414" s="328">
        <f>VLOOKUP(B2414,DONGIA,DG!$B$6,0)</f>
        <v>0</v>
      </c>
      <c r="F2414" s="329" t="str">
        <f>VLOOKUP(B2414,DONGIA,DG!$C$6,0)</f>
        <v>Boulon 14x50+ 2 long đền vuông D16-50x50x3/Zn</v>
      </c>
      <c r="G2414" s="328" t="str">
        <f>VLOOKUP(B2414,DONGIA,DG!$D$6,0)</f>
        <v>bộ</v>
      </c>
      <c r="H2414" s="329">
        <f>H2410*2</f>
        <v>0</v>
      </c>
      <c r="I2414" s="329">
        <f>VLOOKUP(B2414,DONGIA,DG!$E$6,0)</f>
        <v>6000</v>
      </c>
      <c r="J2414" s="329"/>
      <c r="K2414" s="329">
        <f>VLOOKUP(B2414,DONGIA,DG!$F$6,0)</f>
        <v>0</v>
      </c>
      <c r="L2414" s="329">
        <f>VLOOKUP(B2414,DONGIA,DG!$G$6,0)</f>
        <v>0</v>
      </c>
      <c r="M2414" s="329">
        <f t="shared" si="664"/>
        <v>0</v>
      </c>
      <c r="N2414" s="329">
        <f t="shared" si="664"/>
        <v>0</v>
      </c>
      <c r="O2414" s="329">
        <f t="shared" si="664"/>
        <v>0</v>
      </c>
      <c r="P2414" s="329">
        <f t="shared" si="664"/>
        <v>0</v>
      </c>
      <c r="Q2414" s="329"/>
      <c r="S2414" s="332">
        <f t="shared" si="662"/>
        <v>0.2</v>
      </c>
      <c r="T2414" s="332">
        <f t="shared" si="663"/>
        <v>0</v>
      </c>
    </row>
    <row r="2415" spans="1:20" hidden="1">
      <c r="A2415" s="332" t="s">
        <v>477</v>
      </c>
      <c r="B2415" s="332" t="s">
        <v>2823</v>
      </c>
      <c r="C2415" s="333">
        <f t="shared" si="661"/>
        <v>0</v>
      </c>
      <c r="D2415" s="329"/>
      <c r="E2415" s="328" t="str">
        <f>VLOOKUP(B2415,DONGIA,DG!$B$6,0)</f>
        <v>D2.6021e</v>
      </c>
      <c r="F2415" s="329" t="str">
        <f>VLOOKUP(B2415,DONGIA,DG!$C$6,0)</f>
        <v>Lắp đặt xà thép L75x75x8x2600 đơn cột đỡ (29,759 kg/bộ)</v>
      </c>
      <c r="G2415" s="328" t="str">
        <f>VLOOKUP(B2415,DONGIA,DG!$D$6,0)</f>
        <v>bộ</v>
      </c>
      <c r="H2415" s="329">
        <f>H2410</f>
        <v>0</v>
      </c>
      <c r="I2415" s="329">
        <f>VLOOKUP(B2415,DONGIA,DG!$E$6,0)</f>
        <v>0</v>
      </c>
      <c r="J2415" s="329"/>
      <c r="K2415" s="329">
        <f>VLOOKUP(B2415,DONGIA,DG!$F$6,0)</f>
        <v>534080</v>
      </c>
      <c r="L2415" s="329">
        <f>VLOOKUP(B2415,DONGIA,DG!$G$6,0)</f>
        <v>0</v>
      </c>
      <c r="M2415" s="329">
        <f t="shared" si="664"/>
        <v>0</v>
      </c>
      <c r="N2415" s="329">
        <f t="shared" si="664"/>
        <v>0</v>
      </c>
      <c r="O2415" s="329">
        <f t="shared" si="664"/>
        <v>0</v>
      </c>
      <c r="P2415" s="329">
        <f t="shared" si="664"/>
        <v>0</v>
      </c>
      <c r="Q2415" s="329"/>
      <c r="S2415" s="332">
        <f t="shared" si="662"/>
        <v>0</v>
      </c>
      <c r="T2415" s="332">
        <f t="shared" si="663"/>
        <v>0</v>
      </c>
    </row>
    <row r="2416" spans="1:20" hidden="1">
      <c r="A2416" s="332" t="s">
        <v>477</v>
      </c>
      <c r="C2416" s="333">
        <f t="shared" si="661"/>
        <v>0</v>
      </c>
      <c r="D2416" s="372">
        <f>IF(H2416&lt;&gt;0,D2410+1,D2410)</f>
        <v>0</v>
      </c>
      <c r="E2416" s="372"/>
      <c r="F2416" s="373" t="s">
        <v>1923</v>
      </c>
      <c r="G2416" s="372" t="s">
        <v>138</v>
      </c>
      <c r="H2416" s="372">
        <f>T3P160</f>
        <v>0</v>
      </c>
      <c r="I2416" s="373"/>
      <c r="J2416" s="373"/>
      <c r="K2416" s="373"/>
      <c r="L2416" s="373"/>
      <c r="M2416" s="373">
        <v>0</v>
      </c>
      <c r="N2416" s="373">
        <v>0</v>
      </c>
      <c r="O2416" s="373">
        <v>0</v>
      </c>
      <c r="P2416" s="373">
        <v>0</v>
      </c>
      <c r="Q2416" s="373"/>
      <c r="S2416" s="332">
        <f t="shared" si="662"/>
        <v>0</v>
      </c>
      <c r="T2416" s="332">
        <f t="shared" si="663"/>
        <v>0</v>
      </c>
    </row>
    <row r="2417" spans="1:20" s="361" customFormat="1" hidden="1">
      <c r="A2417" s="361" t="s">
        <v>477</v>
      </c>
      <c r="C2417" s="374">
        <f>C2416</f>
        <v>0</v>
      </c>
      <c r="D2417" s="351"/>
      <c r="E2417" s="351"/>
      <c r="F2417" s="351" t="s">
        <v>1902</v>
      </c>
      <c r="G2417" s="350"/>
      <c r="H2417" s="351"/>
      <c r="I2417" s="351"/>
      <c r="J2417" s="351"/>
      <c r="K2417" s="351"/>
      <c r="L2417" s="351"/>
      <c r="M2417" s="351">
        <v>0</v>
      </c>
      <c r="N2417" s="351">
        <v>0</v>
      </c>
      <c r="O2417" s="351">
        <v>0</v>
      </c>
      <c r="P2417" s="351">
        <v>0</v>
      </c>
      <c r="Q2417" s="351"/>
      <c r="S2417" s="361">
        <f t="shared" si="662"/>
        <v>0</v>
      </c>
      <c r="T2417" s="361">
        <f t="shared" si="663"/>
        <v>0</v>
      </c>
    </row>
    <row r="2418" spans="1:20" hidden="1">
      <c r="A2418" s="332" t="s">
        <v>477</v>
      </c>
      <c r="B2418" s="332" t="s">
        <v>144</v>
      </c>
      <c r="C2418" s="333">
        <f t="shared" si="661"/>
        <v>0</v>
      </c>
      <c r="D2418" s="329"/>
      <c r="E2418" s="328">
        <f>VLOOKUP(B2418,DONGIA,DG!$B$6,0)</f>
        <v>0</v>
      </c>
      <c r="F2418" s="329" t="str">
        <f>VLOOKUP(B2418,DONGIA,DG!$C$6,0)&amp;" ("&amp;TDTR3P&amp;" mét/trạm)"</f>
        <v>Cáp đồng trần M25mm2 (61 mét/trạm)</v>
      </c>
      <c r="G2418" s="328" t="str">
        <f>VLOOKUP(B2418,DONGIA,DG!$D$6,0)</f>
        <v>kg</v>
      </c>
      <c r="H2418" s="442">
        <f>TDTR3P*0.224*H2416</f>
        <v>0</v>
      </c>
      <c r="I2418" s="329">
        <f>VLOOKUP(B2418,DONGIA,DG!$E$6,0)</f>
        <v>201380</v>
      </c>
      <c r="J2418" s="329"/>
      <c r="K2418" s="329">
        <f>VLOOKUP(B2418,DONGIA,DG!$F$6,0)</f>
        <v>0</v>
      </c>
      <c r="L2418" s="329">
        <f>VLOOKUP(B2418,DONGIA,DG!$G$6,0)</f>
        <v>0</v>
      </c>
      <c r="M2418" s="329">
        <f>$H2418*I2418</f>
        <v>0</v>
      </c>
      <c r="N2418" s="329">
        <f>$H2418*J2418</f>
        <v>0</v>
      </c>
      <c r="O2418" s="329">
        <f>$H2418*K2418</f>
        <v>0</v>
      </c>
      <c r="P2418" s="329">
        <f>$H2418*L2418</f>
        <v>0</v>
      </c>
      <c r="Q2418" s="329"/>
      <c r="S2418" s="332">
        <f t="shared" si="662"/>
        <v>1</v>
      </c>
      <c r="T2418" s="332">
        <f t="shared" si="663"/>
        <v>0</v>
      </c>
    </row>
    <row r="2419" spans="1:20" hidden="1">
      <c r="A2419" s="332" t="s">
        <v>477</v>
      </c>
      <c r="B2419" s="332" t="s">
        <v>278</v>
      </c>
      <c r="C2419" s="333">
        <f t="shared" si="661"/>
        <v>0</v>
      </c>
      <c r="D2419" s="329"/>
      <c r="E2419" s="328">
        <f>VLOOKUP(B2419,DONGIA,DG!$B$6,0)</f>
        <v>0</v>
      </c>
      <c r="F2419" s="329" t="str">
        <f>VLOOKUP(B2419,DONGIA,DG!$C$6,0)</f>
        <v>Cọc tiếp đất φ16 - 2,4m (mạ đồng 16µm)</v>
      </c>
      <c r="G2419" s="328" t="str">
        <f>VLOOKUP(B2419,DONGIA,DG!$D$6,0)</f>
        <v>cọc</v>
      </c>
      <c r="H2419" s="329">
        <f>H2416*9</f>
        <v>0</v>
      </c>
      <c r="I2419" s="329">
        <f>VLOOKUP(B2419,DONGIA,DG!$E$6,0)</f>
        <v>130000</v>
      </c>
      <c r="J2419" s="329"/>
      <c r="K2419" s="329">
        <f>VLOOKUP(B2419,DONGIA,DG!$F$6,0)</f>
        <v>0</v>
      </c>
      <c r="L2419" s="329">
        <f>VLOOKUP(B2419,DONGIA,DG!$G$6,0)</f>
        <v>0</v>
      </c>
      <c r="M2419" s="329">
        <f t="shared" ref="M2419:M2426" si="665">$H2419*I2419</f>
        <v>0</v>
      </c>
      <c r="N2419" s="329">
        <f t="shared" ref="N2419:N2426" si="666">$H2419*J2419</f>
        <v>0</v>
      </c>
      <c r="O2419" s="329">
        <f t="shared" ref="O2419:O2426" si="667">$H2419*K2419</f>
        <v>0</v>
      </c>
      <c r="P2419" s="329">
        <f t="shared" ref="P2419:P2426" si="668">$H2419*L2419</f>
        <v>0</v>
      </c>
      <c r="Q2419" s="329"/>
      <c r="S2419" s="332">
        <f t="shared" si="662"/>
        <v>5.3</v>
      </c>
      <c r="T2419" s="332">
        <f t="shared" si="663"/>
        <v>0</v>
      </c>
    </row>
    <row r="2420" spans="1:20" hidden="1">
      <c r="A2420" s="332" t="s">
        <v>477</v>
      </c>
      <c r="B2420" s="332" t="s">
        <v>280</v>
      </c>
      <c r="C2420" s="333">
        <f t="shared" si="661"/>
        <v>0</v>
      </c>
      <c r="D2420" s="329"/>
      <c r="E2420" s="328">
        <f>VLOOKUP(B2420,DONGIA,DG!$B$6,0)</f>
        <v>0</v>
      </c>
      <c r="F2420" s="329" t="str">
        <f>VLOOKUP(B2420,DONGIA,DG!$C$6,0)</f>
        <v>Kẹp cọc tiếp địa</v>
      </c>
      <c r="G2420" s="328" t="str">
        <f>VLOOKUP(B2420,DONGIA,DG!$D$6,0)</f>
        <v>bộ</v>
      </c>
      <c r="H2420" s="329">
        <f>H2419</f>
        <v>0</v>
      </c>
      <c r="I2420" s="329">
        <f>VLOOKUP(B2420,DONGIA,DG!$E$6,0)</f>
        <v>25000</v>
      </c>
      <c r="J2420" s="329"/>
      <c r="K2420" s="329">
        <f>VLOOKUP(B2420,DONGIA,DG!$F$6,0)</f>
        <v>0</v>
      </c>
      <c r="L2420" s="329">
        <f>VLOOKUP(B2420,DONGIA,DG!$G$6,0)</f>
        <v>0</v>
      </c>
      <c r="M2420" s="329">
        <f t="shared" si="665"/>
        <v>0</v>
      </c>
      <c r="N2420" s="329">
        <f t="shared" si="666"/>
        <v>0</v>
      </c>
      <c r="O2420" s="329">
        <f t="shared" si="667"/>
        <v>0</v>
      </c>
      <c r="P2420" s="329">
        <f t="shared" si="668"/>
        <v>0</v>
      </c>
      <c r="Q2420" s="329"/>
      <c r="S2420" s="332">
        <f t="shared" si="662"/>
        <v>0.05</v>
      </c>
      <c r="T2420" s="332">
        <f t="shared" si="663"/>
        <v>0</v>
      </c>
    </row>
    <row r="2421" spans="1:20" hidden="1">
      <c r="A2421" s="332" t="s">
        <v>477</v>
      </c>
      <c r="B2421" s="332" t="s">
        <v>1217</v>
      </c>
      <c r="C2421" s="333">
        <f>IF(H2421&lt;&gt;0,1,)</f>
        <v>0</v>
      </c>
      <c r="D2421" s="329"/>
      <c r="E2421" s="328">
        <f>VLOOKUP(B2421,DONGIA,DG!$B$6,0)</f>
        <v>0</v>
      </c>
      <c r="F2421" s="329" t="str">
        <f>VLOOKUP(B2421,DONGIA,DG!$C$6,0)</f>
        <v xml:space="preserve">Ốc xiết cáp cỡ 38mm2 </v>
      </c>
      <c r="G2421" s="328" t="str">
        <f>VLOOKUP(B2421,DONGIA,DG!$D$6,0)</f>
        <v>cái</v>
      </c>
      <c r="H2421" s="329">
        <f>H2416*6</f>
        <v>0</v>
      </c>
      <c r="I2421" s="329">
        <f>VLOOKUP(B2421,DONGIA,DG!$E$6,0)</f>
        <v>18000</v>
      </c>
      <c r="J2421" s="329"/>
      <c r="K2421" s="329">
        <f>VLOOKUP(B2421,DONGIA,DG!$F$6,0)</f>
        <v>0</v>
      </c>
      <c r="L2421" s="329">
        <f>VLOOKUP(B2421,DONGIA,DG!$G$6,0)</f>
        <v>0</v>
      </c>
      <c r="M2421" s="329">
        <f>$H2421*I2421</f>
        <v>0</v>
      </c>
      <c r="N2421" s="329">
        <f>$H2421*J2421</f>
        <v>0</v>
      </c>
      <c r="O2421" s="329">
        <f>$H2421*K2421</f>
        <v>0</v>
      </c>
      <c r="P2421" s="329">
        <f>$H2421*L2421</f>
        <v>0</v>
      </c>
      <c r="Q2421" s="329"/>
      <c r="S2421" s="332">
        <f>IFERROR(VLOOKUP(B2421,DONGIA,$S$25,0),0)</f>
        <v>0</v>
      </c>
      <c r="T2421" s="332">
        <f>H2421*S2421</f>
        <v>0</v>
      </c>
    </row>
    <row r="2422" spans="1:20" hidden="1">
      <c r="A2422" s="332" t="s">
        <v>477</v>
      </c>
      <c r="B2422" s="332" t="s">
        <v>323</v>
      </c>
      <c r="C2422" s="333">
        <f t="shared" si="661"/>
        <v>0</v>
      </c>
      <c r="D2422" s="329"/>
      <c r="E2422" s="328">
        <f>VLOOKUP(B2422,DONGIA,DG!$B$6,0)</f>
        <v>0</v>
      </c>
      <c r="F2422" s="329" t="str">
        <f>VLOOKUP(B2422,DONGIA,DG!$C$6,0)</f>
        <v>Kẹp ép WR cỡ dây 50mm2</v>
      </c>
      <c r="G2422" s="328" t="str">
        <f>VLOOKUP(B2422,DONGIA,DG!$D$6,0)</f>
        <v>cái</v>
      </c>
      <c r="H2422" s="329">
        <f>H2416*2</f>
        <v>0</v>
      </c>
      <c r="I2422" s="329">
        <f>VLOOKUP(B2422,DONGIA,DG!$E$6,0)</f>
        <v>10000</v>
      </c>
      <c r="J2422" s="329"/>
      <c r="K2422" s="329">
        <f>VLOOKUP(B2422,DONGIA,DG!$F$6,0)</f>
        <v>0</v>
      </c>
      <c r="L2422" s="329">
        <f>VLOOKUP(B2422,DONGIA,DG!$G$6,0)</f>
        <v>0</v>
      </c>
      <c r="M2422" s="329">
        <f t="shared" si="665"/>
        <v>0</v>
      </c>
      <c r="N2422" s="329">
        <f t="shared" si="666"/>
        <v>0</v>
      </c>
      <c r="O2422" s="329">
        <f t="shared" si="667"/>
        <v>0</v>
      </c>
      <c r="P2422" s="329">
        <f t="shared" si="668"/>
        <v>0</v>
      </c>
      <c r="Q2422" s="329"/>
      <c r="S2422" s="332">
        <f t="shared" si="662"/>
        <v>0.2</v>
      </c>
      <c r="T2422" s="332">
        <f t="shared" si="663"/>
        <v>0</v>
      </c>
    </row>
    <row r="2423" spans="1:20" hidden="1">
      <c r="A2423" s="332" t="s">
        <v>477</v>
      </c>
      <c r="B2423" s="332" t="s">
        <v>573</v>
      </c>
      <c r="C2423" s="333">
        <f t="shared" si="661"/>
        <v>0</v>
      </c>
      <c r="D2423" s="329"/>
      <c r="E2423" s="328" t="str">
        <f>VLOOKUP(B2423,DONGIA,DG!$B$6,0)</f>
        <v>T4.7001</v>
      </c>
      <c r="F2423" s="329" t="str">
        <f>VLOOKUP(B2423,DONGIA,DG!$C$6,0)</f>
        <v>Kéo dây tiếp địa trong TBA</v>
      </c>
      <c r="G2423" s="328" t="str">
        <f>VLOOKUP(B2423,DONGIA,DG!$D$6,0)</f>
        <v>mét</v>
      </c>
      <c r="H2423" s="329">
        <f>H2418/0.224</f>
        <v>0</v>
      </c>
      <c r="I2423" s="329">
        <f>VLOOKUP(B2423,DONGIA,DG!$E$6,0)</f>
        <v>0</v>
      </c>
      <c r="J2423" s="329"/>
      <c r="K2423" s="329">
        <f>VLOOKUP(B2423,DONGIA,DG!$F$6,0)</f>
        <v>6871</v>
      </c>
      <c r="L2423" s="329">
        <f>VLOOKUP(B2423,DONGIA,DG!$G$6,0)</f>
        <v>0</v>
      </c>
      <c r="M2423" s="329">
        <f t="shared" si="665"/>
        <v>0</v>
      </c>
      <c r="N2423" s="329">
        <f t="shared" si="666"/>
        <v>0</v>
      </c>
      <c r="O2423" s="329">
        <f t="shared" si="667"/>
        <v>0</v>
      </c>
      <c r="P2423" s="329">
        <f t="shared" si="668"/>
        <v>0</v>
      </c>
      <c r="Q2423" s="329"/>
      <c r="S2423" s="332">
        <f t="shared" si="662"/>
        <v>0</v>
      </c>
      <c r="T2423" s="332">
        <f t="shared" si="663"/>
        <v>0</v>
      </c>
    </row>
    <row r="2424" spans="1:20" hidden="1">
      <c r="A2424" s="332" t="s">
        <v>477</v>
      </c>
      <c r="B2424" s="332" t="s">
        <v>581</v>
      </c>
      <c r="C2424" s="333">
        <f t="shared" si="661"/>
        <v>0</v>
      </c>
      <c r="D2424" s="329"/>
      <c r="E2424" s="328" t="str">
        <f>VLOOKUP(B2424,DONGIA,DG!$B$6,0)</f>
        <v>D2.8103</v>
      </c>
      <c r="F2424" s="329" t="str">
        <f>VLOOKUP(B2424,DONGIA,DG!$C$6,0)</f>
        <v>Đóng cọc tiếp địa trong TBA (đất cấp 3)</v>
      </c>
      <c r="G2424" s="328" t="str">
        <f>VLOOKUP(B2424,DONGIA,DG!$D$6,0)</f>
        <v>cọc</v>
      </c>
      <c r="H2424" s="329">
        <f>H2419</f>
        <v>0</v>
      </c>
      <c r="I2424" s="329">
        <f>VLOOKUP(B2424,DONGIA,DG!$E$6,0)</f>
        <v>0</v>
      </c>
      <c r="J2424" s="329"/>
      <c r="K2424" s="329">
        <f>VLOOKUP(B2424,DONGIA,DG!$F$6,0)</f>
        <v>76928</v>
      </c>
      <c r="L2424" s="329">
        <f>VLOOKUP(B2424,DONGIA,DG!$G$6,0)</f>
        <v>0</v>
      </c>
      <c r="M2424" s="329">
        <f t="shared" si="665"/>
        <v>0</v>
      </c>
      <c r="N2424" s="329">
        <f t="shared" si="666"/>
        <v>0</v>
      </c>
      <c r="O2424" s="329">
        <f t="shared" si="667"/>
        <v>0</v>
      </c>
      <c r="P2424" s="329">
        <f t="shared" si="668"/>
        <v>0</v>
      </c>
      <c r="Q2424" s="329"/>
      <c r="S2424" s="332">
        <f t="shared" si="662"/>
        <v>0</v>
      </c>
      <c r="T2424" s="332">
        <f t="shared" si="663"/>
        <v>0</v>
      </c>
    </row>
    <row r="2425" spans="1:20" hidden="1">
      <c r="A2425" s="332" t="s">
        <v>477</v>
      </c>
      <c r="B2425" s="332" t="s">
        <v>540</v>
      </c>
      <c r="C2425" s="333">
        <f t="shared" si="661"/>
        <v>0</v>
      </c>
      <c r="D2425" s="329"/>
      <c r="E2425" s="328" t="str">
        <f>VLOOKUP(B2425,DONGIA,DG!$B$6,0)</f>
        <v>AB.11513</v>
      </c>
      <c r="F2425" s="362" t="str">
        <f>VLOOKUP(B2425,DONGIA,DG!$C$6,0)&amp;" (ĐC hệ số 0,9)"</f>
        <v>Đào rãnh tiếp địa đất cấp 3 (ĐC hệ số 0,9)</v>
      </c>
      <c r="G2425" s="328" t="str">
        <f>VLOOKUP(B2425,DONGIA,DG!$D$6,0)</f>
        <v>m3</v>
      </c>
      <c r="H2425" s="442">
        <f>DAOTD*H2416</f>
        <v>0</v>
      </c>
      <c r="I2425" s="329">
        <f>VLOOKUP(B2425,DONGIA,DG!$E$6,0)</f>
        <v>0</v>
      </c>
      <c r="J2425" s="329"/>
      <c r="K2425" s="362">
        <f>ROUND(VLOOKUP(B2425,DONGIA,DG!$F$6,0)/NCTBA,0)</f>
        <v>241580</v>
      </c>
      <c r="L2425" s="329">
        <f>VLOOKUP(B2425,DONGIA,DG!$G$6,0)</f>
        <v>0</v>
      </c>
      <c r="M2425" s="329">
        <f t="shared" si="665"/>
        <v>0</v>
      </c>
      <c r="N2425" s="329">
        <f t="shared" si="666"/>
        <v>0</v>
      </c>
      <c r="O2425" s="329">
        <f t="shared" si="667"/>
        <v>0</v>
      </c>
      <c r="P2425" s="329">
        <f t="shared" si="668"/>
        <v>0</v>
      </c>
      <c r="Q2425" s="329"/>
      <c r="S2425" s="332">
        <f t="shared" si="662"/>
        <v>0</v>
      </c>
      <c r="T2425" s="332">
        <f t="shared" si="663"/>
        <v>0</v>
      </c>
    </row>
    <row r="2426" spans="1:20" hidden="1">
      <c r="A2426" s="332" t="s">
        <v>477</v>
      </c>
      <c r="B2426" s="332" t="s">
        <v>547</v>
      </c>
      <c r="C2426" s="333">
        <f t="shared" si="661"/>
        <v>0</v>
      </c>
      <c r="D2426" s="329"/>
      <c r="E2426" s="328" t="str">
        <f>VLOOKUP(B2426,DONGIA,DG!$B$6,0)</f>
        <v>AB.65110</v>
      </c>
      <c r="F2426" s="362" t="str">
        <f>VLOOKUP(B2426,DONGIA,DG!$C$6,0)&amp;" (ĐC hệ số 0,9)"</f>
        <v>Đắp đất rãnh tiếp địa (K=0,85) (ĐC hệ số 0,9)</v>
      </c>
      <c r="G2426" s="328" t="str">
        <f>VLOOKUP(B2426,DONGIA,DG!$D$6,0)</f>
        <v>m3</v>
      </c>
      <c r="H2426" s="442">
        <f>H2425</f>
        <v>0</v>
      </c>
      <c r="I2426" s="329">
        <f>VLOOKUP(B2426,DONGIA,DG!$E$6,0)</f>
        <v>0</v>
      </c>
      <c r="J2426" s="329"/>
      <c r="K2426" s="362">
        <f>ROUND(VLOOKUP(B2426,DONGIA,DG!$F$6,0)/NCTBA,0)</f>
        <v>16267</v>
      </c>
      <c r="L2426" s="329">
        <f>VLOOKUP(B2426,DONGIA,DG!$G$6,0)</f>
        <v>11176</v>
      </c>
      <c r="M2426" s="329">
        <f t="shared" si="665"/>
        <v>0</v>
      </c>
      <c r="N2426" s="329">
        <f t="shared" si="666"/>
        <v>0</v>
      </c>
      <c r="O2426" s="329">
        <f t="shared" si="667"/>
        <v>0</v>
      </c>
      <c r="P2426" s="329">
        <f t="shared" si="668"/>
        <v>0</v>
      </c>
      <c r="Q2426" s="329"/>
      <c r="S2426" s="332">
        <f t="shared" si="662"/>
        <v>0</v>
      </c>
      <c r="T2426" s="332">
        <f t="shared" si="663"/>
        <v>0</v>
      </c>
    </row>
    <row r="2427" spans="1:20" hidden="1">
      <c r="A2427" s="332" t="s">
        <v>477</v>
      </c>
      <c r="C2427" s="333">
        <f t="shared" si="661"/>
        <v>0</v>
      </c>
      <c r="D2427" s="372">
        <f>IF(H2427&lt;&gt;0,D2416+1,D2416)</f>
        <v>0</v>
      </c>
      <c r="E2427" s="372">
        <v>0</v>
      </c>
      <c r="F2427" s="373" t="s">
        <v>1915</v>
      </c>
      <c r="G2427" s="372" t="s">
        <v>1912</v>
      </c>
      <c r="H2427" s="372">
        <v>0</v>
      </c>
      <c r="I2427" s="373"/>
      <c r="J2427" s="373"/>
      <c r="K2427" s="373">
        <v>0</v>
      </c>
      <c r="L2427" s="373">
        <v>0</v>
      </c>
      <c r="M2427" s="373">
        <v>0</v>
      </c>
      <c r="N2427" s="373">
        <v>0</v>
      </c>
      <c r="O2427" s="373">
        <v>0</v>
      </c>
      <c r="P2427" s="373">
        <v>0</v>
      </c>
      <c r="Q2427" s="373"/>
      <c r="S2427" s="332">
        <f t="shared" si="662"/>
        <v>0</v>
      </c>
      <c r="T2427" s="332">
        <f t="shared" si="663"/>
        <v>0</v>
      </c>
    </row>
    <row r="2428" spans="1:20" hidden="1">
      <c r="A2428" s="332">
        <v>0</v>
      </c>
      <c r="B2428" s="332" t="s">
        <v>540</v>
      </c>
      <c r="C2428" s="333">
        <f t="shared" si="661"/>
        <v>0</v>
      </c>
      <c r="D2428" s="329"/>
      <c r="E2428" s="328" t="str">
        <f>VLOOKUP(B2428,DONGIA,DG!$B$6,0)</f>
        <v>AB.11513</v>
      </c>
      <c r="F2428" s="329" t="str">
        <f>VLOOKUP(B2428,DONGIA,DG!$C$6,0)</f>
        <v>Đào rãnh tiếp địa đất cấp 3</v>
      </c>
      <c r="G2428" s="328" t="str">
        <f>VLOOKUP(B2428,DONGIA,DG!$D$6,0)</f>
        <v>m3</v>
      </c>
      <c r="H2428" s="329"/>
      <c r="I2428" s="329">
        <f>VLOOKUP(B2428,DONGIA,DG!$E$6,0)</f>
        <v>0</v>
      </c>
      <c r="J2428" s="329"/>
      <c r="K2428" s="329">
        <f>VLOOKUP(B2428,DONGIA,DG!$F$6,0)</f>
        <v>241580</v>
      </c>
      <c r="L2428" s="329">
        <f>VLOOKUP(B2428,DONGIA,DG!$G$6,0)</f>
        <v>0</v>
      </c>
      <c r="M2428" s="329">
        <f t="shared" ref="M2428:P2431" si="669">$H2428*I2428</f>
        <v>0</v>
      </c>
      <c r="N2428" s="329">
        <f t="shared" si="669"/>
        <v>0</v>
      </c>
      <c r="O2428" s="329">
        <f t="shared" si="669"/>
        <v>0</v>
      </c>
      <c r="P2428" s="329">
        <f t="shared" si="669"/>
        <v>0</v>
      </c>
      <c r="Q2428" s="329"/>
      <c r="S2428" s="332">
        <f t="shared" si="662"/>
        <v>0</v>
      </c>
      <c r="T2428" s="332">
        <f t="shared" si="663"/>
        <v>0</v>
      </c>
    </row>
    <row r="2429" spans="1:20" hidden="1">
      <c r="A2429" s="332">
        <v>0</v>
      </c>
      <c r="B2429" s="332" t="s">
        <v>547</v>
      </c>
      <c r="C2429" s="333">
        <f t="shared" si="661"/>
        <v>0</v>
      </c>
      <c r="D2429" s="329"/>
      <c r="E2429" s="328" t="str">
        <f>VLOOKUP(B2429,DONGIA,DG!$B$6,0)</f>
        <v>AB.65110</v>
      </c>
      <c r="F2429" s="329" t="str">
        <f>VLOOKUP(B2429,DONGIA,DG!$C$6,0)</f>
        <v>Đắp đất rãnh tiếp địa (K=0,85)</v>
      </c>
      <c r="G2429" s="328" t="str">
        <f>VLOOKUP(B2429,DONGIA,DG!$D$6,0)</f>
        <v>m3</v>
      </c>
      <c r="H2429" s="329"/>
      <c r="I2429" s="329">
        <f>VLOOKUP(B2429,DONGIA,DG!$E$6,0)</f>
        <v>0</v>
      </c>
      <c r="J2429" s="329"/>
      <c r="K2429" s="329">
        <f>VLOOKUP(B2429,DONGIA,DG!$F$6,0)</f>
        <v>16267</v>
      </c>
      <c r="L2429" s="329">
        <f>VLOOKUP(B2429,DONGIA,DG!$G$6,0)</f>
        <v>11176</v>
      </c>
      <c r="M2429" s="329">
        <f t="shared" si="669"/>
        <v>0</v>
      </c>
      <c r="N2429" s="329">
        <f t="shared" si="669"/>
        <v>0</v>
      </c>
      <c r="O2429" s="329">
        <f t="shared" si="669"/>
        <v>0</v>
      </c>
      <c r="P2429" s="329">
        <f t="shared" si="669"/>
        <v>0</v>
      </c>
      <c r="Q2429" s="329"/>
      <c r="S2429" s="332">
        <f t="shared" si="662"/>
        <v>0</v>
      </c>
      <c r="T2429" s="332">
        <f t="shared" si="663"/>
        <v>0</v>
      </c>
    </row>
    <row r="2430" spans="1:20" hidden="1">
      <c r="A2430" s="332">
        <v>0</v>
      </c>
      <c r="B2430" s="332" t="s">
        <v>1904</v>
      </c>
      <c r="C2430" s="333">
        <f t="shared" si="661"/>
        <v>0</v>
      </c>
      <c r="D2430" s="329"/>
      <c r="E2430" s="328" t="str">
        <f>VLOOKUP(B2430,DONGIA,DG!$B$6,0)</f>
        <v>D2.8103</v>
      </c>
      <c r="F2430" s="329" t="str">
        <f>VLOOKUP(B2430,DONGIA,DG!$C$6,0)</f>
        <v>Đóng cọc tiếp địa trong TBA (đất cấp 3)</v>
      </c>
      <c r="G2430" s="328" t="str">
        <f>VLOOKUP(B2430,DONGIA,DG!$D$6,0)</f>
        <v>cọc</v>
      </c>
      <c r="H2430" s="329"/>
      <c r="I2430" s="329">
        <f>VLOOKUP(B2430,DONGIA,DG!$E$6,0)</f>
        <v>0</v>
      </c>
      <c r="J2430" s="329"/>
      <c r="K2430" s="329">
        <f>VLOOKUP(B2430,DONGIA,DG!$F$6,0)</f>
        <v>76928</v>
      </c>
      <c r="L2430" s="329">
        <f>VLOOKUP(B2430,DONGIA,DG!$G$6,0)</f>
        <v>0</v>
      </c>
      <c r="M2430" s="329">
        <f t="shared" si="669"/>
        <v>0</v>
      </c>
      <c r="N2430" s="329">
        <f t="shared" si="669"/>
        <v>0</v>
      </c>
      <c r="O2430" s="329">
        <f t="shared" si="669"/>
        <v>0</v>
      </c>
      <c r="P2430" s="329">
        <f t="shared" si="669"/>
        <v>0</v>
      </c>
      <c r="Q2430" s="329"/>
      <c r="S2430" s="332">
        <f t="shared" si="662"/>
        <v>0</v>
      </c>
      <c r="T2430" s="332">
        <f t="shared" si="663"/>
        <v>0</v>
      </c>
    </row>
    <row r="2431" spans="1:20" hidden="1">
      <c r="A2431" s="332" t="s">
        <v>477</v>
      </c>
      <c r="B2431" s="332" t="s">
        <v>1917</v>
      </c>
      <c r="C2431" s="333">
        <f t="shared" si="661"/>
        <v>0</v>
      </c>
      <c r="D2431" s="329"/>
      <c r="E2431" s="328" t="str">
        <f>VLOOKUP(B2431,DONGIA,DG!$B$6,0)</f>
        <v>T4.7001</v>
      </c>
      <c r="F2431" s="329" t="str">
        <f>VLOOKUP(B2431,DONGIA,DG!$C$6,0)</f>
        <v>Kéo dây tiếp địa trong TBA</v>
      </c>
      <c r="G2431" s="328" t="str">
        <f>VLOOKUP(B2431,DONGIA,DG!$D$6,0)</f>
        <v>mét</v>
      </c>
      <c r="H2431" s="329"/>
      <c r="I2431" s="329">
        <f>VLOOKUP(B2431,DONGIA,DG!$E$6,0)</f>
        <v>0</v>
      </c>
      <c r="J2431" s="329"/>
      <c r="K2431" s="329">
        <f>VLOOKUP(B2431,DONGIA,DG!$F$6,0)</f>
        <v>6871</v>
      </c>
      <c r="L2431" s="329">
        <f>VLOOKUP(B2431,DONGIA,DG!$G$6,0)</f>
        <v>0</v>
      </c>
      <c r="M2431" s="329">
        <f t="shared" si="669"/>
        <v>0</v>
      </c>
      <c r="N2431" s="329">
        <f t="shared" si="669"/>
        <v>0</v>
      </c>
      <c r="O2431" s="329">
        <f t="shared" si="669"/>
        <v>0</v>
      </c>
      <c r="P2431" s="329">
        <f t="shared" si="669"/>
        <v>0</v>
      </c>
      <c r="Q2431" s="329"/>
      <c r="S2431" s="332">
        <f t="shared" si="662"/>
        <v>0</v>
      </c>
      <c r="T2431" s="332">
        <f t="shared" si="663"/>
        <v>0</v>
      </c>
    </row>
    <row r="2432" spans="1:20" hidden="1">
      <c r="A2432" s="332" t="s">
        <v>477</v>
      </c>
      <c r="C2432" s="333">
        <f t="shared" si="661"/>
        <v>0</v>
      </c>
      <c r="D2432" s="372">
        <f>IF(H2432&lt;&gt;0,D2427+1,D2427)</f>
        <v>0</v>
      </c>
      <c r="E2432" s="372"/>
      <c r="F2432" s="373" t="s">
        <v>1926</v>
      </c>
      <c r="G2432" s="372" t="s">
        <v>138</v>
      </c>
      <c r="H2432" s="372">
        <f>T3P160</f>
        <v>0</v>
      </c>
      <c r="I2432" s="373"/>
      <c r="J2432" s="373"/>
      <c r="K2432" s="373"/>
      <c r="L2432" s="373"/>
      <c r="M2432" s="373">
        <v>0</v>
      </c>
      <c r="N2432" s="373">
        <v>0</v>
      </c>
      <c r="O2432" s="373">
        <v>0</v>
      </c>
      <c r="P2432" s="373">
        <v>0</v>
      </c>
      <c r="Q2432" s="373"/>
      <c r="S2432" s="332">
        <f t="shared" si="662"/>
        <v>0</v>
      </c>
      <c r="T2432" s="332">
        <f t="shared" si="663"/>
        <v>0</v>
      </c>
    </row>
    <row r="2433" spans="1:20" s="361" customFormat="1" hidden="1">
      <c r="A2433" s="361" t="s">
        <v>477</v>
      </c>
      <c r="C2433" s="374">
        <f>C2432</f>
        <v>0</v>
      </c>
      <c r="D2433" s="351"/>
      <c r="E2433" s="351"/>
      <c r="F2433" s="351" t="s">
        <v>1902</v>
      </c>
      <c r="G2433" s="350"/>
      <c r="H2433" s="351"/>
      <c r="I2433" s="351"/>
      <c r="J2433" s="351"/>
      <c r="K2433" s="351"/>
      <c r="L2433" s="351"/>
      <c r="M2433" s="351">
        <v>0</v>
      </c>
      <c r="N2433" s="351">
        <v>0</v>
      </c>
      <c r="O2433" s="351">
        <v>0</v>
      </c>
      <c r="P2433" s="351">
        <v>0</v>
      </c>
      <c r="Q2433" s="351"/>
      <c r="S2433" s="361">
        <f t="shared" si="662"/>
        <v>0</v>
      </c>
      <c r="T2433" s="361">
        <f t="shared" si="663"/>
        <v>0</v>
      </c>
    </row>
    <row r="2434" spans="1:20" hidden="1">
      <c r="A2434" s="332" t="s">
        <v>477</v>
      </c>
      <c r="B2434" s="332" t="s">
        <v>991</v>
      </c>
      <c r="C2434" s="333">
        <f t="shared" si="661"/>
        <v>0</v>
      </c>
      <c r="D2434" s="329"/>
      <c r="E2434" s="328" t="str">
        <f>VLOOKUP(B2434,DONGIA,DG!$B$6,0)</f>
        <v>T5.1002</v>
      </c>
      <c r="F2434" s="329" t="str">
        <f>VLOOKUP(B2434,DONGIA,DG!$C$6,0)</f>
        <v>Vỏ tủ trạm giàn 2 ngăn + khóa tủ + Bakelit (3 pha)</v>
      </c>
      <c r="G2434" s="328" t="str">
        <f>VLOOKUP(B2434,DONGIA,DG!$D$6,0)</f>
        <v>bộ</v>
      </c>
      <c r="H2434" s="329">
        <f>H2432</f>
        <v>0</v>
      </c>
      <c r="I2434" s="329">
        <f>VLOOKUP(B2434,DONGIA,DG!$E$6,0)</f>
        <v>4537033</v>
      </c>
      <c r="J2434" s="329"/>
      <c r="K2434" s="329">
        <f>VLOOKUP(B2434,DONGIA,DG!$F$6,0)</f>
        <v>966199</v>
      </c>
      <c r="L2434" s="329">
        <f>VLOOKUP(B2434,DONGIA,DG!$G$6,0)</f>
        <v>0</v>
      </c>
      <c r="M2434" s="329">
        <f>$H2434*I2434</f>
        <v>0</v>
      </c>
      <c r="N2434" s="329">
        <f>$H2434*J2434</f>
        <v>0</v>
      </c>
      <c r="O2434" s="329">
        <f>$H2434*K2434</f>
        <v>0</v>
      </c>
      <c r="P2434" s="329">
        <f>$H2434*L2434</f>
        <v>0</v>
      </c>
      <c r="Q2434" s="329"/>
      <c r="S2434" s="332">
        <f t="shared" si="662"/>
        <v>45</v>
      </c>
      <c r="T2434" s="332">
        <f t="shared" si="663"/>
        <v>0</v>
      </c>
    </row>
    <row r="2435" spans="1:20" hidden="1">
      <c r="A2435" s="332" t="s">
        <v>477</v>
      </c>
      <c r="C2435" s="333">
        <f t="shared" ref="C2435:C2485" si="670">IF(H2435&lt;&gt;0,1,)</f>
        <v>0</v>
      </c>
      <c r="D2435" s="372">
        <f>IF(H2435&lt;&gt;0,D2432+1,D2432)</f>
        <v>0</v>
      </c>
      <c r="E2435" s="372"/>
      <c r="F2435" s="373" t="s">
        <v>1924</v>
      </c>
      <c r="G2435" s="372" t="s">
        <v>138</v>
      </c>
      <c r="H2435" s="372">
        <f>T3P160</f>
        <v>0</v>
      </c>
      <c r="I2435" s="373"/>
      <c r="J2435" s="373"/>
      <c r="K2435" s="373"/>
      <c r="L2435" s="373"/>
      <c r="M2435" s="373"/>
      <c r="N2435" s="373"/>
      <c r="O2435" s="373"/>
      <c r="P2435" s="373"/>
      <c r="Q2435" s="373"/>
      <c r="S2435" s="332">
        <f t="shared" ref="S2435:S2485" si="671">IFERROR(VLOOKUP(B2435,DONGIA,$S$25,0),0)</f>
        <v>0</v>
      </c>
      <c r="T2435" s="332">
        <f t="shared" ref="T2435:T2486" si="672">H2435*S2435</f>
        <v>0</v>
      </c>
    </row>
    <row r="2436" spans="1:20" s="361" customFormat="1" hidden="1">
      <c r="A2436" s="361" t="s">
        <v>477</v>
      </c>
      <c r="C2436" s="374">
        <f>C2435</f>
        <v>0</v>
      </c>
      <c r="D2436" s="351"/>
      <c r="E2436" s="351"/>
      <c r="F2436" s="351" t="s">
        <v>1902</v>
      </c>
      <c r="G2436" s="350"/>
      <c r="H2436" s="351"/>
      <c r="I2436" s="351"/>
      <c r="J2436" s="351"/>
      <c r="K2436" s="351"/>
      <c r="L2436" s="351"/>
      <c r="M2436" s="351"/>
      <c r="N2436" s="351"/>
      <c r="O2436" s="351"/>
      <c r="P2436" s="351"/>
      <c r="Q2436" s="351"/>
      <c r="S2436" s="361">
        <f t="shared" si="671"/>
        <v>0</v>
      </c>
      <c r="T2436" s="361">
        <f t="shared" si="672"/>
        <v>0</v>
      </c>
    </row>
    <row r="2437" spans="1:20" hidden="1">
      <c r="A2437" s="332" t="s">
        <v>477</v>
      </c>
      <c r="B2437" s="332" t="s">
        <v>1468</v>
      </c>
      <c r="C2437" s="333">
        <f t="shared" si="670"/>
        <v>0</v>
      </c>
      <c r="D2437" s="329"/>
      <c r="E2437" s="328">
        <f>VLOOKUP(B2437,DONGIA,DG!$B$6,0)</f>
        <v>0</v>
      </c>
      <c r="F2437" s="329" t="str">
        <f>VLOOKUP(B2437,DONGIA,DG!$C$6,0)</f>
        <v>Cáp 24KV C/XLPE/PVC 25mm2</v>
      </c>
      <c r="G2437" s="328" t="str">
        <f>VLOOKUP(B2437,DONGIA,DG!$D$6,0)</f>
        <v>mét</v>
      </c>
      <c r="H2437" s="329">
        <f>H2435*9*3</f>
        <v>0</v>
      </c>
      <c r="I2437" s="329">
        <f>VLOOKUP(B2437,DONGIA,DG!$E$6,0)</f>
        <v>87540</v>
      </c>
      <c r="J2437" s="329"/>
      <c r="K2437" s="329">
        <f>VLOOKUP(B2437,DONGIA,DG!$F$6,0)</f>
        <v>0</v>
      </c>
      <c r="L2437" s="329">
        <f>VLOOKUP(B2437,DONGIA,DG!$G$6,0)</f>
        <v>0</v>
      </c>
      <c r="M2437" s="329">
        <f t="shared" ref="M2437:P2444" si="673">$H2437*I2437</f>
        <v>0</v>
      </c>
      <c r="N2437" s="329">
        <f t="shared" si="673"/>
        <v>0</v>
      </c>
      <c r="O2437" s="329">
        <f t="shared" si="673"/>
        <v>0</v>
      </c>
      <c r="P2437" s="329">
        <f t="shared" si="673"/>
        <v>0</v>
      </c>
      <c r="Q2437" s="329"/>
      <c r="S2437" s="332">
        <f t="shared" si="671"/>
        <v>0.75</v>
      </c>
      <c r="T2437" s="332">
        <f t="shared" si="672"/>
        <v>0</v>
      </c>
    </row>
    <row r="2438" spans="1:20" hidden="1">
      <c r="A2438" s="332" t="s">
        <v>477</v>
      </c>
      <c r="B2438" s="332" t="s">
        <v>404</v>
      </c>
      <c r="C2438" s="333">
        <f>IF(H2438&lt;&gt;0,1,)</f>
        <v>0</v>
      </c>
      <c r="D2438" s="329"/>
      <c r="E2438" s="328" t="str">
        <f>VLOOKUP(B2438,DONGIA,DG!$B$6,0)</f>
        <v>D3.1115</v>
      </c>
      <c r="F2438" s="329" t="str">
        <f>VLOOKUP(B2438,DONGIA,DG!$C$6,0)</f>
        <v>Sứ đứng 24KV, đường rò 540mm</v>
      </c>
      <c r="G2438" s="328" t="str">
        <f>VLOOKUP(B2438,DONGIA,DG!$D$6,0)</f>
        <v>cái</v>
      </c>
      <c r="H2438" s="329">
        <f>H2435*6</f>
        <v>0</v>
      </c>
      <c r="I2438" s="329">
        <f>VLOOKUP(B2438,DONGIA,DG!$E$6,0)</f>
        <v>195000</v>
      </c>
      <c r="J2438" s="329"/>
      <c r="K2438" s="329">
        <f>VLOOKUP(B2438,DONGIA,DG!$F$6,0)</f>
        <v>49616</v>
      </c>
      <c r="L2438" s="329">
        <f>VLOOKUP(B2438,DONGIA,DG!$G$6,0)</f>
        <v>0</v>
      </c>
      <c r="M2438" s="329">
        <f t="shared" si="673"/>
        <v>0</v>
      </c>
      <c r="N2438" s="329">
        <f t="shared" si="673"/>
        <v>0</v>
      </c>
      <c r="O2438" s="329">
        <f t="shared" si="673"/>
        <v>0</v>
      </c>
      <c r="P2438" s="329">
        <f t="shared" si="673"/>
        <v>0</v>
      </c>
      <c r="Q2438" s="329"/>
      <c r="S2438" s="332">
        <f>IFERROR(VLOOKUP(B2438,DONGIA,$S$25,0),0)</f>
        <v>4</v>
      </c>
      <c r="T2438" s="332">
        <f>H2438*S2438</f>
        <v>0</v>
      </c>
    </row>
    <row r="2439" spans="1:20" hidden="1">
      <c r="A2439" s="332" t="s">
        <v>477</v>
      </c>
      <c r="B2439" s="332" t="s">
        <v>274</v>
      </c>
      <c r="C2439" s="333">
        <f>IF(H2439&lt;&gt;0,1,)</f>
        <v>0</v>
      </c>
      <c r="D2439" s="329"/>
      <c r="E2439" s="328">
        <f>VLOOKUP(B2439,DONGIA,DG!$B$6,0)</f>
        <v>0</v>
      </c>
      <c r="F2439" s="329" t="str">
        <f>VLOOKUP(B2439,DONGIA,DG!$C$6,0)</f>
        <v>Chân sứ đứng 24kV</v>
      </c>
      <c r="G2439" s="328" t="str">
        <f>VLOOKUP(B2439,DONGIA,DG!$D$6,0)</f>
        <v>cái</v>
      </c>
      <c r="H2439" s="329">
        <f>H2438</f>
        <v>0</v>
      </c>
      <c r="I2439" s="329">
        <f>VLOOKUP(B2439,DONGIA,DG!$E$6,0)</f>
        <v>60000</v>
      </c>
      <c r="J2439" s="329"/>
      <c r="K2439" s="329">
        <f>VLOOKUP(B2439,DONGIA,DG!$F$6,0)</f>
        <v>0</v>
      </c>
      <c r="L2439" s="329">
        <f>VLOOKUP(B2439,DONGIA,DG!$G$6,0)</f>
        <v>0</v>
      </c>
      <c r="M2439" s="329">
        <f t="shared" si="673"/>
        <v>0</v>
      </c>
      <c r="N2439" s="329">
        <f t="shared" si="673"/>
        <v>0</v>
      </c>
      <c r="O2439" s="329">
        <f t="shared" si="673"/>
        <v>0</v>
      </c>
      <c r="P2439" s="329">
        <f t="shared" si="673"/>
        <v>0</v>
      </c>
      <c r="Q2439" s="329"/>
      <c r="S2439" s="332">
        <f>IFERROR(VLOOKUP(B2439,DONGIA,$S$25,0),0)</f>
        <v>3</v>
      </c>
      <c r="T2439" s="332">
        <f>H2439*S2439</f>
        <v>0</v>
      </c>
    </row>
    <row r="2440" spans="1:20" hidden="1">
      <c r="A2440" s="332" t="s">
        <v>477</v>
      </c>
      <c r="B2440" s="332" t="s">
        <v>1507</v>
      </c>
      <c r="C2440" s="333">
        <f t="shared" si="670"/>
        <v>0</v>
      </c>
      <c r="D2440" s="329"/>
      <c r="E2440" s="328"/>
      <c r="F2440" s="329" t="str">
        <f>VLOOKUP(B2440,DONGIA,DG!$C$6,0)</f>
        <v>Kẹp quai 4/0 (quai đồng 8mm)</v>
      </c>
      <c r="G2440" s="328" t="str">
        <f>VLOOKUP(B2440,DONGIA,DG!$D$6,0)</f>
        <v>cái</v>
      </c>
      <c r="H2440" s="329">
        <f>H2435*3</f>
        <v>0</v>
      </c>
      <c r="I2440" s="329">
        <f>VLOOKUP(B2440,DONGIA,DG!$E$6,0)</f>
        <v>145000</v>
      </c>
      <c r="J2440" s="329"/>
      <c r="K2440" s="329"/>
      <c r="L2440" s="329">
        <f>VLOOKUP(B2440,DONGIA,DG!$G$6,0)</f>
        <v>0</v>
      </c>
      <c r="M2440" s="329">
        <f t="shared" si="673"/>
        <v>0</v>
      </c>
      <c r="N2440" s="329">
        <f t="shared" si="673"/>
        <v>0</v>
      </c>
      <c r="O2440" s="329">
        <f t="shared" si="673"/>
        <v>0</v>
      </c>
      <c r="P2440" s="329">
        <f t="shared" si="673"/>
        <v>0</v>
      </c>
      <c r="Q2440" s="329"/>
      <c r="S2440" s="332">
        <f t="shared" si="671"/>
        <v>0.3</v>
      </c>
      <c r="T2440" s="332">
        <f t="shared" si="672"/>
        <v>0</v>
      </c>
    </row>
    <row r="2441" spans="1:20" hidden="1">
      <c r="A2441" s="332" t="s">
        <v>477</v>
      </c>
      <c r="B2441" s="332" t="s">
        <v>1511</v>
      </c>
      <c r="C2441" s="333">
        <f t="shared" si="670"/>
        <v>0</v>
      </c>
      <c r="D2441" s="329"/>
      <c r="E2441" s="328">
        <f>VLOOKUP(B2441,DONGIA,DG!$B$6,0)</f>
        <v>0</v>
      </c>
      <c r="F2441" s="329" t="str">
        <f>VLOOKUP(B2441,DONGIA,DG!$C$6,0)</f>
        <v>Chụp cách điện kẹp quai</v>
      </c>
      <c r="G2441" s="328" t="str">
        <f>VLOOKUP(B2441,DONGIA,DG!$D$6,0)</f>
        <v>cái</v>
      </c>
      <c r="H2441" s="329">
        <f>H2440</f>
        <v>0</v>
      </c>
      <c r="I2441" s="329">
        <f>VLOOKUP(B2441,DONGIA,DG!$E$6,0)</f>
        <v>122000</v>
      </c>
      <c r="J2441" s="329"/>
      <c r="K2441" s="329">
        <f>VLOOKUP(B2441,DONGIA,DG!$F$6,0)</f>
        <v>0</v>
      </c>
      <c r="L2441" s="329">
        <f>VLOOKUP(B2441,DONGIA,DG!$G$6,0)</f>
        <v>0</v>
      </c>
      <c r="M2441" s="329">
        <f t="shared" si="673"/>
        <v>0</v>
      </c>
      <c r="N2441" s="329">
        <f t="shared" si="673"/>
        <v>0</v>
      </c>
      <c r="O2441" s="329">
        <f t="shared" si="673"/>
        <v>0</v>
      </c>
      <c r="P2441" s="329">
        <f t="shared" si="673"/>
        <v>0</v>
      </c>
      <c r="Q2441" s="329"/>
      <c r="S2441" s="332">
        <f t="shared" si="671"/>
        <v>0.2</v>
      </c>
      <c r="T2441" s="332">
        <f t="shared" si="672"/>
        <v>0</v>
      </c>
    </row>
    <row r="2442" spans="1:20" hidden="1">
      <c r="A2442" s="332" t="s">
        <v>477</v>
      </c>
      <c r="B2442" s="332" t="s">
        <v>1508</v>
      </c>
      <c r="C2442" s="333">
        <f t="shared" si="670"/>
        <v>0</v>
      </c>
      <c r="D2442" s="329"/>
      <c r="E2442" s="328"/>
      <c r="F2442" s="329" t="str">
        <f>VLOOKUP(B2442,DONGIA,DG!$C$6,0)</f>
        <v>Kẹp hotline 2/0</v>
      </c>
      <c r="G2442" s="328" t="str">
        <f>VLOOKUP(B2442,DONGIA,DG!$D$6,0)</f>
        <v>cái</v>
      </c>
      <c r="H2442" s="329">
        <f>H2440</f>
        <v>0</v>
      </c>
      <c r="I2442" s="329">
        <f>VLOOKUP(B2442,DONGIA,DG!$E$6,0)</f>
        <v>68000</v>
      </c>
      <c r="J2442" s="329"/>
      <c r="K2442" s="329"/>
      <c r="L2442" s="329">
        <f>VLOOKUP(B2442,DONGIA,DG!$G$6,0)</f>
        <v>0</v>
      </c>
      <c r="M2442" s="329">
        <f t="shared" si="673"/>
        <v>0</v>
      </c>
      <c r="N2442" s="329">
        <f t="shared" si="673"/>
        <v>0</v>
      </c>
      <c r="O2442" s="329">
        <f t="shared" si="673"/>
        <v>0</v>
      </c>
      <c r="P2442" s="329">
        <f t="shared" si="673"/>
        <v>0</v>
      </c>
      <c r="Q2442" s="329"/>
      <c r="S2442" s="332">
        <f t="shared" si="671"/>
        <v>0.1</v>
      </c>
      <c r="T2442" s="332">
        <f t="shared" si="672"/>
        <v>0</v>
      </c>
    </row>
    <row r="2443" spans="1:20" hidden="1">
      <c r="A2443" s="332" t="s">
        <v>477</v>
      </c>
      <c r="B2443" s="332" t="s">
        <v>1905</v>
      </c>
      <c r="C2443" s="333">
        <f t="shared" si="670"/>
        <v>0</v>
      </c>
      <c r="D2443" s="329"/>
      <c r="E2443" s="328" t="str">
        <f>VLOOKUP(B2443,DONGIA,DG!$B$6,0)</f>
        <v>T4.4201</v>
      </c>
      <c r="F2443" s="329" t="str">
        <f>VLOOKUP(B2443,DONGIA,DG!$C$6,0)</f>
        <v>Lắp cáp đồng xuống thiết bị D ≤ 95mm2</v>
      </c>
      <c r="G2443" s="328" t="str">
        <f>VLOOKUP(B2443,DONGIA,DG!$D$6,0)</f>
        <v>m</v>
      </c>
      <c r="H2443" s="329">
        <f>H2437</f>
        <v>0</v>
      </c>
      <c r="I2443" s="329">
        <f>VLOOKUP(B2443,DONGIA,DG!$E$6,0)</f>
        <v>0</v>
      </c>
      <c r="J2443" s="329"/>
      <c r="K2443" s="329">
        <f>VLOOKUP(B2443,DONGIA,DG!$F$6,0)</f>
        <v>11847</v>
      </c>
      <c r="L2443" s="329">
        <f>VLOOKUP(B2443,DONGIA,DG!$G$6,0)</f>
        <v>0</v>
      </c>
      <c r="M2443" s="329">
        <f t="shared" si="673"/>
        <v>0</v>
      </c>
      <c r="N2443" s="329">
        <f t="shared" si="673"/>
        <v>0</v>
      </c>
      <c r="O2443" s="329">
        <f t="shared" si="673"/>
        <v>0</v>
      </c>
      <c r="P2443" s="329">
        <f t="shared" si="673"/>
        <v>0</v>
      </c>
      <c r="Q2443" s="329"/>
      <c r="S2443" s="332">
        <f t="shared" si="671"/>
        <v>0</v>
      </c>
      <c r="T2443" s="332">
        <f t="shared" si="672"/>
        <v>0</v>
      </c>
    </row>
    <row r="2444" spans="1:20" hidden="1">
      <c r="A2444" s="332" t="s">
        <v>477</v>
      </c>
      <c r="B2444" s="332" t="s">
        <v>2872</v>
      </c>
      <c r="C2444" s="333">
        <f>IF(H2444&lt;&gt;0,1,)</f>
        <v>0</v>
      </c>
      <c r="D2444" s="329"/>
      <c r="E2444" s="328" t="str">
        <f>VLOOKUP(B2444,DONGIA,DG!$B$6,0)</f>
        <v>T4.2201</v>
      </c>
      <c r="F2444" s="329" t="str">
        <f>VLOOKUP(B2444,DONGIA,DG!$C$6,0)</f>
        <v>Lắp sứ đứng 24KV trong TBA</v>
      </c>
      <c r="G2444" s="328" t="str">
        <f>VLOOKUP(B2444,DONGIA,DG!$D$6,0)</f>
        <v>bộ</v>
      </c>
      <c r="H2444" s="329">
        <f>H2438</f>
        <v>0</v>
      </c>
      <c r="I2444" s="329">
        <f>VLOOKUP(B2444,DONGIA,DG!$E$6,0)</f>
        <v>0</v>
      </c>
      <c r="J2444" s="329"/>
      <c r="K2444" s="329">
        <f>VLOOKUP(B2444,DONGIA,DG!$F$6,0)</f>
        <v>54496</v>
      </c>
      <c r="L2444" s="329">
        <f>VLOOKUP(B2444,DONGIA,DG!$G$6,0)</f>
        <v>0</v>
      </c>
      <c r="M2444" s="329">
        <f t="shared" si="673"/>
        <v>0</v>
      </c>
      <c r="N2444" s="329">
        <f t="shared" si="673"/>
        <v>0</v>
      </c>
      <c r="O2444" s="329">
        <f t="shared" si="673"/>
        <v>0</v>
      </c>
      <c r="P2444" s="329">
        <f t="shared" si="673"/>
        <v>0</v>
      </c>
      <c r="Q2444" s="329"/>
      <c r="S2444" s="332">
        <f>IFERROR(VLOOKUP(B2444,DONGIA,$S$25,0),0)</f>
        <v>0</v>
      </c>
      <c r="T2444" s="332">
        <f>H2444*S2444</f>
        <v>0</v>
      </c>
    </row>
    <row r="2445" spans="1:20" hidden="1">
      <c r="A2445" s="332" t="s">
        <v>477</v>
      </c>
      <c r="C2445" s="333">
        <f t="shared" si="670"/>
        <v>0</v>
      </c>
      <c r="D2445" s="372">
        <f>IF(H2445&lt;&gt;0,D2435+1,D2435)</f>
        <v>0</v>
      </c>
      <c r="E2445" s="372"/>
      <c r="F2445" s="373" t="s">
        <v>1927</v>
      </c>
      <c r="G2445" s="372" t="s">
        <v>138</v>
      </c>
      <c r="H2445" s="372">
        <f>T3P160</f>
        <v>0</v>
      </c>
      <c r="I2445" s="373"/>
      <c r="J2445" s="373"/>
      <c r="K2445" s="373"/>
      <c r="L2445" s="373"/>
      <c r="M2445" s="373"/>
      <c r="N2445" s="373"/>
      <c r="O2445" s="373"/>
      <c r="P2445" s="373"/>
      <c r="Q2445" s="373"/>
      <c r="S2445" s="332">
        <f t="shared" si="671"/>
        <v>0</v>
      </c>
      <c r="T2445" s="332">
        <f t="shared" si="672"/>
        <v>0</v>
      </c>
    </row>
    <row r="2446" spans="1:20" s="361" customFormat="1" hidden="1">
      <c r="A2446" s="361" t="s">
        <v>477</v>
      </c>
      <c r="C2446" s="374">
        <f>C2445</f>
        <v>0</v>
      </c>
      <c r="D2446" s="351"/>
      <c r="E2446" s="351"/>
      <c r="F2446" s="351" t="s">
        <v>1902</v>
      </c>
      <c r="G2446" s="350"/>
      <c r="H2446" s="351"/>
      <c r="I2446" s="351"/>
      <c r="J2446" s="351"/>
      <c r="K2446" s="351"/>
      <c r="L2446" s="351"/>
      <c r="M2446" s="351"/>
      <c r="N2446" s="351"/>
      <c r="O2446" s="351"/>
      <c r="P2446" s="351"/>
      <c r="Q2446" s="351"/>
      <c r="S2446" s="361">
        <f t="shared" si="671"/>
        <v>0</v>
      </c>
      <c r="T2446" s="361">
        <f t="shared" si="672"/>
        <v>0</v>
      </c>
    </row>
    <row r="2447" spans="1:20" hidden="1">
      <c r="A2447" s="332" t="s">
        <v>477</v>
      </c>
      <c r="B2447" s="332" t="s">
        <v>2836</v>
      </c>
      <c r="C2447" s="333">
        <f t="shared" si="670"/>
        <v>0</v>
      </c>
      <c r="D2447" s="329"/>
      <c r="E2447" s="328">
        <f>VLOOKUP(B2447,DONGIA,DG!$B$6,0)</f>
        <v>0</v>
      </c>
      <c r="F2447" s="329" t="str">
        <f>VLOOKUP(B2447,DONGIA,DG!$C$6,0)</f>
        <v>Cáp đồng bọc CV185</v>
      </c>
      <c r="G2447" s="328" t="str">
        <f>VLOOKUP(B2447,DONGIA,DG!$D$6,0)</f>
        <v>mét</v>
      </c>
      <c r="H2447" s="455">
        <f>H2445*9*3</f>
        <v>0</v>
      </c>
      <c r="I2447" s="329">
        <f>VLOOKUP(B2447,DONGIA,DG!$E$6,0)</f>
        <v>372000</v>
      </c>
      <c r="J2447" s="329"/>
      <c r="K2447" s="329">
        <f>VLOOKUP(B2447,DONGIA,DG!$F$6,0)</f>
        <v>0</v>
      </c>
      <c r="L2447" s="329">
        <f>VLOOKUP(B2447,DONGIA,DG!$G$6,0)</f>
        <v>0</v>
      </c>
      <c r="M2447" s="329">
        <f>$H2447*I2447</f>
        <v>0</v>
      </c>
      <c r="N2447" s="329">
        <f>$H2447*J2447</f>
        <v>0</v>
      </c>
      <c r="O2447" s="329">
        <f>$H2447*K2447</f>
        <v>0</v>
      </c>
      <c r="P2447" s="329">
        <f>$H2447*L2447</f>
        <v>0</v>
      </c>
      <c r="Q2447" s="329"/>
      <c r="S2447" s="332">
        <f t="shared" si="671"/>
        <v>1.9079999999999999</v>
      </c>
      <c r="T2447" s="332">
        <f t="shared" si="672"/>
        <v>0</v>
      </c>
    </row>
    <row r="2448" spans="1:20" hidden="1">
      <c r="A2448" s="332" t="s">
        <v>477</v>
      </c>
      <c r="B2448" s="332" t="s">
        <v>1908</v>
      </c>
      <c r="C2448" s="333">
        <f t="shared" si="670"/>
        <v>0</v>
      </c>
      <c r="D2448" s="329"/>
      <c r="E2448" s="328">
        <f>VLOOKUP(B2448,DONGIA,DG!$B$6,0)</f>
        <v>0</v>
      </c>
      <c r="F2448" s="329" t="str">
        <f>VLOOKUP(B2448,DONGIA,DG!$C$6,0)</f>
        <v>Cáp đồng bọc CV120</v>
      </c>
      <c r="G2448" s="328" t="str">
        <f>VLOOKUP(B2448,DONGIA,DG!$D$6,0)</f>
        <v>mét</v>
      </c>
      <c r="H2448" s="455">
        <f>H2445*9</f>
        <v>0</v>
      </c>
      <c r="I2448" s="329">
        <f>VLOOKUP(B2448,DONGIA,DG!$E$6,0)</f>
        <v>245040</v>
      </c>
      <c r="J2448" s="329"/>
      <c r="K2448" s="329">
        <f>VLOOKUP(B2448,DONGIA,DG!$F$6,0)</f>
        <v>0</v>
      </c>
      <c r="L2448" s="329">
        <f>VLOOKUP(B2448,DONGIA,DG!$G$6,0)</f>
        <v>0</v>
      </c>
      <c r="M2448" s="329">
        <f t="shared" ref="M2448:M2471" si="674">$H2448*I2448</f>
        <v>0</v>
      </c>
      <c r="N2448" s="329">
        <f t="shared" ref="N2448:N2471" si="675">$H2448*J2448</f>
        <v>0</v>
      </c>
      <c r="O2448" s="329">
        <f t="shared" ref="O2448:O2471" si="676">$H2448*K2448</f>
        <v>0</v>
      </c>
      <c r="P2448" s="329">
        <f t="shared" ref="P2448:P2471" si="677">$H2448*L2448</f>
        <v>0</v>
      </c>
      <c r="Q2448" s="329"/>
      <c r="S2448" s="332">
        <f t="shared" si="671"/>
        <v>1.2350000000000001</v>
      </c>
      <c r="T2448" s="332">
        <f t="shared" si="672"/>
        <v>0</v>
      </c>
    </row>
    <row r="2449" spans="1:20" hidden="1">
      <c r="A2449" s="332" t="s">
        <v>477</v>
      </c>
      <c r="B2449" s="332" t="s">
        <v>1937</v>
      </c>
      <c r="C2449" s="333">
        <f>IF(H2449&lt;&gt;0,1,)</f>
        <v>0</v>
      </c>
      <c r="D2449" s="329"/>
      <c r="E2449" s="328">
        <f>VLOOKUP(B2449,DONGIA,DG!$B$6,0)</f>
        <v>0</v>
      </c>
      <c r="F2449" s="329" t="str">
        <f>VLOOKUP(B2449,DONGIA,DG!$C$6,0)</f>
        <v>Cáp điều khiển CVV 4x4,0mm2</v>
      </c>
      <c r="G2449" s="328" t="str">
        <f>VLOOKUP(B2449,DONGIA,DG!$D$6,0)</f>
        <v>mét</v>
      </c>
      <c r="H2449" s="329">
        <f>H2445*3</f>
        <v>0</v>
      </c>
      <c r="I2449" s="329">
        <f>VLOOKUP(B2449,DONGIA,DG!$E$6,0)</f>
        <v>52400</v>
      </c>
      <c r="J2449" s="329"/>
      <c r="K2449" s="329">
        <f>VLOOKUP(B2449,DONGIA,DG!$F$6,0)</f>
        <v>0</v>
      </c>
      <c r="L2449" s="329">
        <f>VLOOKUP(B2449,DONGIA,DG!$G$6,0)</f>
        <v>0</v>
      </c>
      <c r="M2449" s="329">
        <f>$H2449*I2449</f>
        <v>0</v>
      </c>
      <c r="N2449" s="329">
        <f>$H2449*J2449</f>
        <v>0</v>
      </c>
      <c r="O2449" s="329">
        <f>$H2449*K2449</f>
        <v>0</v>
      </c>
      <c r="P2449" s="329">
        <f>$H2449*L2449</f>
        <v>0</v>
      </c>
      <c r="Q2449" s="329"/>
      <c r="S2449" s="332">
        <f>IFERROR(VLOOKUP(B2449,DONGIA,$S$25,0),0)</f>
        <v>3.024</v>
      </c>
      <c r="T2449" s="332">
        <f>H2449*S2449</f>
        <v>0</v>
      </c>
    </row>
    <row r="2450" spans="1:20" hidden="1">
      <c r="A2450" s="332" t="s">
        <v>477</v>
      </c>
      <c r="B2450" s="332" t="s">
        <v>1125</v>
      </c>
      <c r="C2450" s="333">
        <f t="shared" si="670"/>
        <v>0</v>
      </c>
      <c r="D2450" s="329"/>
      <c r="E2450" s="328"/>
      <c r="F2450" s="329" t="str">
        <f>VLOOKUP(B2450,DONGIA,DG!$C$6,0)</f>
        <v>Đầu cosse ép Cu 185mm2</v>
      </c>
      <c r="G2450" s="328" t="str">
        <f>VLOOKUP(B2450,DONGIA,DG!$D$6,0)</f>
        <v>cái</v>
      </c>
      <c r="H2450" s="329">
        <f>H2445*3*2</f>
        <v>0</v>
      </c>
      <c r="I2450" s="329">
        <f>VLOOKUP(B2450,DONGIA,DG!$E$6,0)</f>
        <v>105000</v>
      </c>
      <c r="J2450" s="329"/>
      <c r="K2450" s="329"/>
      <c r="L2450" s="329"/>
      <c r="M2450" s="329">
        <f t="shared" si="674"/>
        <v>0</v>
      </c>
      <c r="N2450" s="329">
        <f t="shared" si="675"/>
        <v>0</v>
      </c>
      <c r="O2450" s="329">
        <f t="shared" si="676"/>
        <v>0</v>
      </c>
      <c r="P2450" s="329">
        <f t="shared" si="677"/>
        <v>0</v>
      </c>
      <c r="Q2450" s="329"/>
      <c r="S2450" s="332">
        <f t="shared" si="671"/>
        <v>0</v>
      </c>
      <c r="T2450" s="332">
        <f t="shared" si="672"/>
        <v>0</v>
      </c>
    </row>
    <row r="2451" spans="1:20" hidden="1">
      <c r="A2451" s="332" t="s">
        <v>477</v>
      </c>
      <c r="B2451" s="332" t="s">
        <v>1119</v>
      </c>
      <c r="C2451" s="333">
        <f t="shared" si="670"/>
        <v>0</v>
      </c>
      <c r="D2451" s="329"/>
      <c r="E2451" s="328"/>
      <c r="F2451" s="329" t="str">
        <f>VLOOKUP(B2451,DONGIA,DG!$C$6,0)</f>
        <v>Đầu cosse ép Cu 120mm2</v>
      </c>
      <c r="G2451" s="328" t="str">
        <f>VLOOKUP(B2451,DONGIA,DG!$D$6,0)</f>
        <v>cái</v>
      </c>
      <c r="H2451" s="329">
        <f>H2445*2</f>
        <v>0</v>
      </c>
      <c r="I2451" s="329">
        <f>VLOOKUP(B2451,DONGIA,DG!$E$6,0)</f>
        <v>65000</v>
      </c>
      <c r="J2451" s="329"/>
      <c r="K2451" s="329"/>
      <c r="L2451" s="329"/>
      <c r="M2451" s="329">
        <f t="shared" si="674"/>
        <v>0</v>
      </c>
      <c r="N2451" s="329">
        <f t="shared" si="675"/>
        <v>0</v>
      </c>
      <c r="O2451" s="329">
        <f t="shared" si="676"/>
        <v>0</v>
      </c>
      <c r="P2451" s="329">
        <f t="shared" si="677"/>
        <v>0</v>
      </c>
      <c r="Q2451" s="329"/>
      <c r="S2451" s="332">
        <f t="shared" si="671"/>
        <v>0.1</v>
      </c>
      <c r="T2451" s="332">
        <f t="shared" si="672"/>
        <v>0</v>
      </c>
    </row>
    <row r="2452" spans="1:20" hidden="1">
      <c r="A2452" s="332" t="s">
        <v>477</v>
      </c>
      <c r="B2452" s="332" t="s">
        <v>1155</v>
      </c>
      <c r="C2452" s="333">
        <f t="shared" si="670"/>
        <v>0</v>
      </c>
      <c r="D2452" s="329"/>
      <c r="E2452" s="328">
        <f>VLOOKUP(B2452,DONGIA,DG!$B$6,0)</f>
        <v>0</v>
      </c>
      <c r="F2452" s="329" t="str">
        <f>VLOOKUP(B2452,DONGIA,DG!$C$6,0)</f>
        <v>Chụp đầu cosse  185mm2</v>
      </c>
      <c r="G2452" s="328" t="str">
        <f>VLOOKUP(B2452,DONGIA,DG!$D$6,0)</f>
        <v>cái</v>
      </c>
      <c r="H2452" s="329">
        <f>H2450</f>
        <v>0</v>
      </c>
      <c r="I2452" s="329">
        <f>VLOOKUP(B2452,DONGIA,DG!$E$6,0)</f>
        <v>4500</v>
      </c>
      <c r="J2452" s="329"/>
      <c r="K2452" s="329">
        <f>VLOOKUP(B2452,DONGIA,DG!$F$6,0)</f>
        <v>0</v>
      </c>
      <c r="L2452" s="329">
        <f>VLOOKUP(B2452,DONGIA,DG!$G$6,0)</f>
        <v>0</v>
      </c>
      <c r="M2452" s="329">
        <f t="shared" si="674"/>
        <v>0</v>
      </c>
      <c r="N2452" s="329">
        <f t="shared" si="675"/>
        <v>0</v>
      </c>
      <c r="O2452" s="329">
        <f t="shared" si="676"/>
        <v>0</v>
      </c>
      <c r="P2452" s="329">
        <f t="shared" si="677"/>
        <v>0</v>
      </c>
      <c r="Q2452" s="329"/>
      <c r="S2452" s="332">
        <f t="shared" si="671"/>
        <v>0</v>
      </c>
      <c r="T2452" s="332">
        <f t="shared" si="672"/>
        <v>0</v>
      </c>
    </row>
    <row r="2453" spans="1:20" hidden="1">
      <c r="A2453" s="332" t="s">
        <v>477</v>
      </c>
      <c r="B2453" s="332" t="s">
        <v>1151</v>
      </c>
      <c r="C2453" s="333">
        <f t="shared" si="670"/>
        <v>0</v>
      </c>
      <c r="D2453" s="329"/>
      <c r="E2453" s="328">
        <f>VLOOKUP(B2453,DONGIA,DG!$B$6,0)</f>
        <v>0</v>
      </c>
      <c r="F2453" s="329" t="str">
        <f>VLOOKUP(B2453,DONGIA,DG!$C$6,0)</f>
        <v>Chụp đầu cosse  120mm2</v>
      </c>
      <c r="G2453" s="328" t="str">
        <f>VLOOKUP(B2453,DONGIA,DG!$D$6,0)</f>
        <v>cái</v>
      </c>
      <c r="H2453" s="329">
        <f>H2451</f>
        <v>0</v>
      </c>
      <c r="I2453" s="329">
        <f>VLOOKUP(B2453,DONGIA,DG!$E$6,0)</f>
        <v>3500</v>
      </c>
      <c r="J2453" s="329"/>
      <c r="K2453" s="329">
        <f>VLOOKUP(B2453,DONGIA,DG!$F$6,0)</f>
        <v>0</v>
      </c>
      <c r="L2453" s="329">
        <f>VLOOKUP(B2453,DONGIA,DG!$G$6,0)</f>
        <v>0</v>
      </c>
      <c r="M2453" s="329">
        <f t="shared" si="674"/>
        <v>0</v>
      </c>
      <c r="N2453" s="329">
        <f t="shared" si="675"/>
        <v>0</v>
      </c>
      <c r="O2453" s="329">
        <f t="shared" si="676"/>
        <v>0</v>
      </c>
      <c r="P2453" s="329">
        <f t="shared" si="677"/>
        <v>0</v>
      </c>
      <c r="Q2453" s="329"/>
      <c r="S2453" s="332">
        <f t="shared" si="671"/>
        <v>0</v>
      </c>
      <c r="T2453" s="332">
        <f t="shared" si="672"/>
        <v>0</v>
      </c>
    </row>
    <row r="2454" spans="1:20" hidden="1">
      <c r="A2454" s="332" t="s">
        <v>477</v>
      </c>
      <c r="B2454" s="332" t="s">
        <v>1175</v>
      </c>
      <c r="C2454" s="333">
        <f t="shared" si="670"/>
        <v>0</v>
      </c>
      <c r="D2454" s="329"/>
      <c r="E2454" s="328">
        <f>VLOOKUP(B2454,DONGIA,DG!$B$6,0)</f>
        <v>0</v>
      </c>
      <c r="F2454" s="329" t="str">
        <f>VLOOKUP(B2454,DONGIA,DG!$C$6,0)</f>
        <v xml:space="preserve">Ống PVC D114x4,9mm </v>
      </c>
      <c r="G2454" s="328" t="str">
        <f>VLOOKUP(B2454,DONGIA,DG!$D$6,0)</f>
        <v>m</v>
      </c>
      <c r="H2454" s="329">
        <f>H2445*6</f>
        <v>0</v>
      </c>
      <c r="I2454" s="329">
        <f>VLOOKUP(B2454,DONGIA,DG!$E$6,0)</f>
        <v>102000</v>
      </c>
      <c r="J2454" s="329"/>
      <c r="K2454" s="329">
        <f>VLOOKUP(B2454,DONGIA,DG!$F$6,0)</f>
        <v>0</v>
      </c>
      <c r="L2454" s="329">
        <f>VLOOKUP(B2454,DONGIA,DG!$G$6,0)</f>
        <v>0</v>
      </c>
      <c r="M2454" s="329">
        <f t="shared" si="674"/>
        <v>0</v>
      </c>
      <c r="N2454" s="329">
        <f t="shared" si="675"/>
        <v>0</v>
      </c>
      <c r="O2454" s="329">
        <f t="shared" si="676"/>
        <v>0</v>
      </c>
      <c r="P2454" s="329">
        <f t="shared" si="677"/>
        <v>0</v>
      </c>
      <c r="Q2454" s="329"/>
      <c r="S2454" s="332">
        <f t="shared" si="671"/>
        <v>2</v>
      </c>
      <c r="T2454" s="332">
        <f t="shared" si="672"/>
        <v>0</v>
      </c>
    </row>
    <row r="2455" spans="1:20" hidden="1">
      <c r="A2455" s="332" t="s">
        <v>477</v>
      </c>
      <c r="B2455" s="332" t="s">
        <v>456</v>
      </c>
      <c r="C2455" s="333">
        <f t="shared" si="670"/>
        <v>0</v>
      </c>
      <c r="D2455" s="329"/>
      <c r="E2455" s="328">
        <f>VLOOKUP(B2455,DONGIA,DG!$B$6,0)</f>
        <v>0</v>
      </c>
      <c r="F2455" s="329" t="str">
        <f>VLOOKUP(B2455,DONGIA,DG!$C$6,0)&amp;" (CD-230)"</f>
        <v>Cổ dê kẹp ống PVC φ 114 (có giá nới) (CD-230)</v>
      </c>
      <c r="G2455" s="328" t="str">
        <f>VLOOKUP(B2455,DONGIA,DG!$D$6,0)</f>
        <v>bộ</v>
      </c>
      <c r="H2455" s="329">
        <f>H2445</f>
        <v>0</v>
      </c>
      <c r="I2455" s="329">
        <f>VLOOKUP(B2455,DONGIA,DG!$E$6,0)</f>
        <v>68000</v>
      </c>
      <c r="J2455" s="329"/>
      <c r="K2455" s="329">
        <f>VLOOKUP(B2455,DONGIA,DG!$F$6,0)</f>
        <v>0</v>
      </c>
      <c r="L2455" s="329">
        <f>VLOOKUP(B2455,DONGIA,DG!$G$6,0)</f>
        <v>0</v>
      </c>
      <c r="M2455" s="329">
        <f t="shared" si="674"/>
        <v>0</v>
      </c>
      <c r="N2455" s="329">
        <f t="shared" si="675"/>
        <v>0</v>
      </c>
      <c r="O2455" s="329">
        <f t="shared" si="676"/>
        <v>0</v>
      </c>
      <c r="P2455" s="329">
        <f t="shared" si="677"/>
        <v>0</v>
      </c>
      <c r="Q2455" s="329"/>
      <c r="S2455" s="332">
        <f t="shared" si="671"/>
        <v>1.5</v>
      </c>
      <c r="T2455" s="332">
        <f t="shared" si="672"/>
        <v>0</v>
      </c>
    </row>
    <row r="2456" spans="1:20" hidden="1">
      <c r="A2456" s="332" t="s">
        <v>477</v>
      </c>
      <c r="B2456" s="332" t="s">
        <v>456</v>
      </c>
      <c r="C2456" s="333">
        <f t="shared" si="670"/>
        <v>0</v>
      </c>
      <c r="D2456" s="329"/>
      <c r="E2456" s="328">
        <f>VLOOKUP(B2456,DONGIA,DG!$B$6,0)</f>
        <v>0</v>
      </c>
      <c r="F2456" s="329" t="str">
        <f>VLOOKUP(B2456,DONGIA,DG!$C$6,0)&amp;" (CD-250)"</f>
        <v>Cổ dê kẹp ống PVC φ 114 (có giá nới) (CD-250)</v>
      </c>
      <c r="G2456" s="328" t="str">
        <f>VLOOKUP(B2456,DONGIA,DG!$D$6,0)</f>
        <v>bộ</v>
      </c>
      <c r="H2456" s="329">
        <f>H2445</f>
        <v>0</v>
      </c>
      <c r="I2456" s="329">
        <f>VLOOKUP(B2456,DONGIA,DG!$E$6,0)</f>
        <v>68000</v>
      </c>
      <c r="J2456" s="329"/>
      <c r="K2456" s="329">
        <f>VLOOKUP(B2456,DONGIA,DG!$F$6,0)</f>
        <v>0</v>
      </c>
      <c r="L2456" s="329">
        <f>VLOOKUP(B2456,DONGIA,DG!$G$6,0)</f>
        <v>0</v>
      </c>
      <c r="M2456" s="329">
        <f t="shared" si="674"/>
        <v>0</v>
      </c>
      <c r="N2456" s="329">
        <f t="shared" si="675"/>
        <v>0</v>
      </c>
      <c r="O2456" s="329">
        <f t="shared" si="676"/>
        <v>0</v>
      </c>
      <c r="P2456" s="329">
        <f t="shared" si="677"/>
        <v>0</v>
      </c>
      <c r="Q2456" s="329"/>
      <c r="S2456" s="332">
        <f t="shared" si="671"/>
        <v>1.5</v>
      </c>
      <c r="T2456" s="332">
        <f t="shared" si="672"/>
        <v>0</v>
      </c>
    </row>
    <row r="2457" spans="1:20" hidden="1">
      <c r="A2457" s="332" t="s">
        <v>477</v>
      </c>
      <c r="B2457" s="332" t="s">
        <v>456</v>
      </c>
      <c r="C2457" s="333">
        <f t="shared" si="670"/>
        <v>0</v>
      </c>
      <c r="D2457" s="329"/>
      <c r="E2457" s="328">
        <f>VLOOKUP(B2457,DONGIA,DG!$B$6,0)</f>
        <v>0</v>
      </c>
      <c r="F2457" s="329" t="str">
        <f>VLOOKUP(B2457,DONGIA,DG!$C$6,0)&amp;" (CD-280)"</f>
        <v>Cổ dê kẹp ống PVC φ 114 (có giá nới) (CD-280)</v>
      </c>
      <c r="G2457" s="328" t="str">
        <f>VLOOKUP(B2457,DONGIA,DG!$D$6,0)</f>
        <v>bộ</v>
      </c>
      <c r="H2457" s="329">
        <f>H2445</f>
        <v>0</v>
      </c>
      <c r="I2457" s="329">
        <f>VLOOKUP(B2457,DONGIA,DG!$E$6,0)</f>
        <v>68000</v>
      </c>
      <c r="J2457" s="329"/>
      <c r="K2457" s="329">
        <f>VLOOKUP(B2457,DONGIA,DG!$F$6,0)</f>
        <v>0</v>
      </c>
      <c r="L2457" s="329">
        <f>VLOOKUP(B2457,DONGIA,DG!$G$6,0)</f>
        <v>0</v>
      </c>
      <c r="M2457" s="329">
        <f t="shared" si="674"/>
        <v>0</v>
      </c>
      <c r="N2457" s="329">
        <f t="shared" si="675"/>
        <v>0</v>
      </c>
      <c r="O2457" s="329">
        <f t="shared" si="676"/>
        <v>0</v>
      </c>
      <c r="P2457" s="329">
        <f t="shared" si="677"/>
        <v>0</v>
      </c>
      <c r="Q2457" s="329"/>
      <c r="S2457" s="332">
        <f t="shared" si="671"/>
        <v>1.5</v>
      </c>
      <c r="T2457" s="332">
        <f t="shared" si="672"/>
        <v>0</v>
      </c>
    </row>
    <row r="2458" spans="1:20" hidden="1">
      <c r="A2458" s="332" t="s">
        <v>477</v>
      </c>
      <c r="B2458" s="332" t="s">
        <v>1205</v>
      </c>
      <c r="C2458" s="333">
        <f t="shared" si="670"/>
        <v>0</v>
      </c>
      <c r="D2458" s="329"/>
      <c r="E2458" s="328">
        <f>VLOOKUP(B2458,DONGIA,DG!$B$6,0)</f>
        <v>0</v>
      </c>
      <c r="F2458" s="329" t="str">
        <f>VLOOKUP(B2458,DONGIA,DG!$C$6,0)</f>
        <v>Khâu ven răng trong D114</v>
      </c>
      <c r="G2458" s="328" t="str">
        <f>VLOOKUP(B2458,DONGIA,DG!$D$6,0)</f>
        <v>cái</v>
      </c>
      <c r="H2458" s="329">
        <f>H2445</f>
        <v>0</v>
      </c>
      <c r="I2458" s="329">
        <f>VLOOKUP(B2458,DONGIA,DG!$E$6,0)</f>
        <v>35700</v>
      </c>
      <c r="J2458" s="329"/>
      <c r="K2458" s="329">
        <f>VLOOKUP(B2458,DONGIA,DG!$F$6,0)</f>
        <v>0</v>
      </c>
      <c r="L2458" s="329">
        <f>VLOOKUP(B2458,DONGIA,DG!$G$6,0)</f>
        <v>0</v>
      </c>
      <c r="M2458" s="329">
        <f t="shared" si="674"/>
        <v>0</v>
      </c>
      <c r="N2458" s="329">
        <f t="shared" si="675"/>
        <v>0</v>
      </c>
      <c r="O2458" s="329">
        <f t="shared" si="676"/>
        <v>0</v>
      </c>
      <c r="P2458" s="329">
        <f t="shared" si="677"/>
        <v>0</v>
      </c>
      <c r="Q2458" s="329"/>
      <c r="S2458" s="332">
        <f t="shared" si="671"/>
        <v>0</v>
      </c>
      <c r="T2458" s="332">
        <f t="shared" si="672"/>
        <v>0</v>
      </c>
    </row>
    <row r="2459" spans="1:20" hidden="1">
      <c r="A2459" s="332" t="s">
        <v>477</v>
      </c>
      <c r="B2459" s="332" t="s">
        <v>1211</v>
      </c>
      <c r="C2459" s="333">
        <f t="shared" si="670"/>
        <v>0</v>
      </c>
      <c r="D2459" s="329"/>
      <c r="E2459" s="328">
        <f>VLOOKUP(B2459,DONGIA,DG!$B$6,0)</f>
        <v>0</v>
      </c>
      <c r="F2459" s="329" t="str">
        <f>VLOOKUP(B2459,DONGIA,DG!$C$6,0)</f>
        <v>Khâu ven răng ngoài D114</v>
      </c>
      <c r="G2459" s="328" t="str">
        <f>VLOOKUP(B2459,DONGIA,DG!$D$6,0)</f>
        <v>cái</v>
      </c>
      <c r="H2459" s="329">
        <f>H2458</f>
        <v>0</v>
      </c>
      <c r="I2459" s="329">
        <f>VLOOKUP(B2459,DONGIA,DG!$E$6,0)</f>
        <v>25600</v>
      </c>
      <c r="J2459" s="329"/>
      <c r="K2459" s="329">
        <f>VLOOKUP(B2459,DONGIA,DG!$F$6,0)</f>
        <v>0</v>
      </c>
      <c r="L2459" s="329">
        <f>VLOOKUP(B2459,DONGIA,DG!$G$6,0)</f>
        <v>0</v>
      </c>
      <c r="M2459" s="329">
        <f t="shared" si="674"/>
        <v>0</v>
      </c>
      <c r="N2459" s="329">
        <f t="shared" si="675"/>
        <v>0</v>
      </c>
      <c r="O2459" s="329">
        <f t="shared" si="676"/>
        <v>0</v>
      </c>
      <c r="P2459" s="329">
        <f t="shared" si="677"/>
        <v>0</v>
      </c>
      <c r="Q2459" s="329"/>
      <c r="S2459" s="332">
        <f t="shared" si="671"/>
        <v>0</v>
      </c>
      <c r="T2459" s="332">
        <f t="shared" si="672"/>
        <v>0</v>
      </c>
    </row>
    <row r="2460" spans="1:20" hidden="1">
      <c r="A2460" s="332" t="s">
        <v>477</v>
      </c>
      <c r="B2460" s="332" t="s">
        <v>2957</v>
      </c>
      <c r="C2460" s="333">
        <f t="shared" si="670"/>
        <v>0</v>
      </c>
      <c r="D2460" s="329"/>
      <c r="E2460" s="328">
        <f>VLOOKUP(B2460,DONGIA,DG!$B$6,0)</f>
        <v>0</v>
      </c>
      <c r="F2460" s="329" t="str">
        <f>VLOOKUP(B2460,DONGIA,DG!$C$6,0)</f>
        <v>Co  90 độ PVC 114 (Loại dày)</v>
      </c>
      <c r="G2460" s="328" t="str">
        <f>VLOOKUP(B2460,DONGIA,DG!$D$6,0)</f>
        <v>cái</v>
      </c>
      <c r="H2460" s="329">
        <f>H2445*2</f>
        <v>0</v>
      </c>
      <c r="I2460" s="329">
        <f>VLOOKUP(B2460,DONGIA,DG!$E$6,0)</f>
        <v>104800</v>
      </c>
      <c r="J2460" s="329"/>
      <c r="K2460" s="329">
        <f>VLOOKUP(B2460,DONGIA,DG!$F$6,0)</f>
        <v>0</v>
      </c>
      <c r="L2460" s="329">
        <f>VLOOKUP(B2460,DONGIA,DG!$G$6,0)</f>
        <v>0</v>
      </c>
      <c r="M2460" s="329">
        <f t="shared" si="674"/>
        <v>0</v>
      </c>
      <c r="N2460" s="329">
        <f t="shared" si="675"/>
        <v>0</v>
      </c>
      <c r="O2460" s="329">
        <f t="shared" si="676"/>
        <v>0</v>
      </c>
      <c r="P2460" s="329">
        <f t="shared" si="677"/>
        <v>0</v>
      </c>
      <c r="Q2460" s="329"/>
      <c r="S2460" s="332">
        <f t="shared" si="671"/>
        <v>0</v>
      </c>
      <c r="T2460" s="332">
        <f t="shared" si="672"/>
        <v>0</v>
      </c>
    </row>
    <row r="2461" spans="1:20" hidden="1">
      <c r="A2461" s="332" t="s">
        <v>477</v>
      </c>
      <c r="B2461" s="332" t="s">
        <v>1187</v>
      </c>
      <c r="C2461" s="333">
        <f t="shared" si="670"/>
        <v>0</v>
      </c>
      <c r="D2461" s="329"/>
      <c r="E2461" s="328">
        <f>VLOOKUP(B2461,DONGIA,DG!$B$6,0)</f>
        <v>0</v>
      </c>
      <c r="F2461" s="329" t="str">
        <f>VLOOKUP(B2461,DONGIA,DG!$C$6,0)</f>
        <v>Co sừng 90 độ PVC 114</v>
      </c>
      <c r="G2461" s="328" t="str">
        <f>VLOOKUP(B2461,DONGIA,DG!$D$6,0)</f>
        <v>cái</v>
      </c>
      <c r="H2461" s="329">
        <f>H2445</f>
        <v>0</v>
      </c>
      <c r="I2461" s="329">
        <f>VLOOKUP(B2461,DONGIA,DG!$E$6,0)</f>
        <v>195000</v>
      </c>
      <c r="J2461" s="329"/>
      <c r="K2461" s="329">
        <f>VLOOKUP(B2461,DONGIA,DG!$F$6,0)</f>
        <v>0</v>
      </c>
      <c r="L2461" s="329">
        <f>VLOOKUP(B2461,DONGIA,DG!$G$6,0)</f>
        <v>0</v>
      </c>
      <c r="M2461" s="329">
        <f t="shared" si="674"/>
        <v>0</v>
      </c>
      <c r="N2461" s="329">
        <f t="shared" si="675"/>
        <v>0</v>
      </c>
      <c r="O2461" s="329">
        <f t="shared" si="676"/>
        <v>0</v>
      </c>
      <c r="P2461" s="329">
        <f t="shared" si="677"/>
        <v>0</v>
      </c>
      <c r="Q2461" s="329"/>
      <c r="S2461" s="332">
        <f t="shared" si="671"/>
        <v>0</v>
      </c>
      <c r="T2461" s="332">
        <f t="shared" si="672"/>
        <v>0</v>
      </c>
    </row>
    <row r="2462" spans="1:20" hidden="1">
      <c r="A2462" s="332" t="s">
        <v>477</v>
      </c>
      <c r="B2462" s="332" t="s">
        <v>1189</v>
      </c>
      <c r="C2462" s="333">
        <f t="shared" si="670"/>
        <v>0</v>
      </c>
      <c r="D2462" s="329"/>
      <c r="E2462" s="328">
        <f>VLOOKUP(B2462,DONGIA,DG!$B$6,0)</f>
        <v>0</v>
      </c>
      <c r="F2462" s="329" t="str">
        <f>VLOOKUP(B2462,DONGIA,DG!$C$6,0)</f>
        <v>Co 135 độ PVC 114</v>
      </c>
      <c r="G2462" s="328" t="str">
        <f>VLOOKUP(B2462,DONGIA,DG!$D$6,0)</f>
        <v>cái</v>
      </c>
      <c r="H2462" s="329">
        <f>H2445</f>
        <v>0</v>
      </c>
      <c r="I2462" s="329">
        <f>VLOOKUP(B2462,DONGIA,DG!$E$6,0)</f>
        <v>70800</v>
      </c>
      <c r="J2462" s="329"/>
      <c r="K2462" s="329">
        <f>VLOOKUP(B2462,DONGIA,DG!$F$6,0)</f>
        <v>0</v>
      </c>
      <c r="L2462" s="329">
        <f>VLOOKUP(B2462,DONGIA,DG!$G$6,0)</f>
        <v>0</v>
      </c>
      <c r="M2462" s="329">
        <f t="shared" si="674"/>
        <v>0</v>
      </c>
      <c r="N2462" s="329">
        <f t="shared" si="675"/>
        <v>0</v>
      </c>
      <c r="O2462" s="329">
        <f t="shared" si="676"/>
        <v>0</v>
      </c>
      <c r="P2462" s="329">
        <f t="shared" si="677"/>
        <v>0</v>
      </c>
      <c r="Q2462" s="329"/>
      <c r="S2462" s="332">
        <f t="shared" si="671"/>
        <v>0</v>
      </c>
      <c r="T2462" s="332">
        <f t="shared" si="672"/>
        <v>0</v>
      </c>
    </row>
    <row r="2463" spans="1:20" hidden="1">
      <c r="A2463" s="332" t="s">
        <v>477</v>
      </c>
      <c r="B2463" s="332" t="s">
        <v>1914</v>
      </c>
      <c r="C2463" s="333">
        <f t="shared" ref="C2463:C2468" si="678">IF(H2463&lt;&gt;0,1,)</f>
        <v>0</v>
      </c>
      <c r="D2463" s="329"/>
      <c r="E2463" s="328">
        <f>VLOOKUP(B2463,DONGIA,DG!$B$6,0)</f>
        <v>0</v>
      </c>
      <c r="F2463" s="329" t="str">
        <f>VLOOKUP(B2463,DONGIA,DG!$C$6,0)</f>
        <v>Keo dán ống PVC (100gr)</v>
      </c>
      <c r="G2463" s="328" t="str">
        <f>VLOOKUP(B2463,DONGIA,DG!$D$6,0)</f>
        <v>tuýp</v>
      </c>
      <c r="H2463" s="329">
        <f>H2445</f>
        <v>0</v>
      </c>
      <c r="I2463" s="329">
        <f>VLOOKUP(B2463,DONGIA,DG!$E$6,0)</f>
        <v>11500</v>
      </c>
      <c r="J2463" s="329"/>
      <c r="K2463" s="329">
        <f>VLOOKUP(B2463,DONGIA,DG!$F$6,0)</f>
        <v>0</v>
      </c>
      <c r="L2463" s="329">
        <f>VLOOKUP(B2463,DONGIA,DG!$G$6,0)</f>
        <v>0</v>
      </c>
      <c r="M2463" s="329">
        <f t="shared" ref="M2463:M2468" si="679">$H2463*I2463</f>
        <v>0</v>
      </c>
      <c r="N2463" s="329">
        <f t="shared" ref="N2463:N2468" si="680">$H2463*J2463</f>
        <v>0</v>
      </c>
      <c r="O2463" s="329">
        <f t="shared" ref="O2463:O2468" si="681">$H2463*K2463</f>
        <v>0</v>
      </c>
      <c r="P2463" s="329">
        <f t="shared" ref="P2463:P2468" si="682">$H2463*L2463</f>
        <v>0</v>
      </c>
      <c r="Q2463" s="329"/>
      <c r="S2463" s="332">
        <f t="shared" ref="S2463:S2468" si="683">IFERROR(VLOOKUP(B2463,DONGIA,$S$25,0),0)</f>
        <v>0</v>
      </c>
      <c r="T2463" s="332">
        <f t="shared" ref="T2463:T2468" si="684">H2463*S2463</f>
        <v>0</v>
      </c>
    </row>
    <row r="2464" spans="1:20" hidden="1">
      <c r="A2464" s="332" t="s">
        <v>477</v>
      </c>
      <c r="B2464" s="332" t="s">
        <v>1195</v>
      </c>
      <c r="C2464" s="333">
        <f t="shared" si="678"/>
        <v>0</v>
      </c>
      <c r="D2464" s="329"/>
      <c r="E2464" s="328">
        <f>VLOOKUP(B2464,DONGIA,DG!$B$6,0)</f>
        <v>0</v>
      </c>
      <c r="F2464" s="329" t="str">
        <f>VLOOKUP(B2464,DONGIA,DG!$C$6,0)</f>
        <v>Keo silicon bít miệng ống</v>
      </c>
      <c r="G2464" s="328" t="str">
        <f>VLOOKUP(B2464,DONGIA,DG!$D$6,0)</f>
        <v>ống</v>
      </c>
      <c r="H2464" s="329"/>
      <c r="I2464" s="329">
        <f>VLOOKUP(B2464,DONGIA,DG!$E$6,0)</f>
        <v>45000</v>
      </c>
      <c r="J2464" s="329"/>
      <c r="K2464" s="329">
        <f>VLOOKUP(B2464,DONGIA,DG!$F$6,0)</f>
        <v>0</v>
      </c>
      <c r="L2464" s="329">
        <f>VLOOKUP(B2464,DONGIA,DG!$G$6,0)</f>
        <v>0</v>
      </c>
      <c r="M2464" s="329">
        <f t="shared" si="679"/>
        <v>0</v>
      </c>
      <c r="N2464" s="329">
        <f t="shared" si="680"/>
        <v>0</v>
      </c>
      <c r="O2464" s="329">
        <f t="shared" si="681"/>
        <v>0</v>
      </c>
      <c r="P2464" s="329">
        <f t="shared" si="682"/>
        <v>0</v>
      </c>
      <c r="Q2464" s="329"/>
      <c r="S2464" s="332">
        <f t="shared" si="683"/>
        <v>0</v>
      </c>
      <c r="T2464" s="332">
        <f t="shared" si="684"/>
        <v>0</v>
      </c>
    </row>
    <row r="2465" spans="1:20" hidden="1">
      <c r="B2465" s="332" t="s">
        <v>1193</v>
      </c>
      <c r="C2465" s="333">
        <f t="shared" si="678"/>
        <v>0</v>
      </c>
      <c r="D2465" s="328"/>
      <c r="E2465" s="328">
        <f>VLOOKUP(B2465,DONGIA,DG!$B$6,0)</f>
        <v>0</v>
      </c>
      <c r="F2465" s="329" t="str">
        <f>VLOOKUP(B2465,DONGIA,DG!$C$6,0)</f>
        <v>Băng keo cách điện</v>
      </c>
      <c r="G2465" s="328" t="str">
        <f>VLOOKUP(B2465,DONGIA,DG!$D$6,0)</f>
        <v>cuộn</v>
      </c>
      <c r="H2465" s="329">
        <f>ROUNDUP(H2445/5,0)</f>
        <v>0</v>
      </c>
      <c r="I2465" s="329">
        <f>VLOOKUP(B2465,DONGIA,DG!$E$6,0)</f>
        <v>6500</v>
      </c>
      <c r="J2465" s="329"/>
      <c r="K2465" s="329">
        <f>VLOOKUP(B2465,DONGIA,DG!$F$6,0)</f>
        <v>0</v>
      </c>
      <c r="L2465" s="329">
        <f>VLOOKUP(B2465,DONGIA,DG!$G$6,0)</f>
        <v>0</v>
      </c>
      <c r="M2465" s="329">
        <f t="shared" si="679"/>
        <v>0</v>
      </c>
      <c r="N2465" s="329">
        <f t="shared" si="680"/>
        <v>0</v>
      </c>
      <c r="O2465" s="329">
        <f t="shared" si="681"/>
        <v>0</v>
      </c>
      <c r="P2465" s="329">
        <f t="shared" si="682"/>
        <v>0</v>
      </c>
      <c r="Q2465" s="329"/>
      <c r="S2465" s="332">
        <f t="shared" si="683"/>
        <v>0</v>
      </c>
      <c r="T2465" s="332">
        <f t="shared" si="684"/>
        <v>0</v>
      </c>
    </row>
    <row r="2466" spans="1:20" hidden="1">
      <c r="B2466" s="332" t="s">
        <v>2979</v>
      </c>
      <c r="C2466" s="333">
        <f t="shared" si="678"/>
        <v>0</v>
      </c>
      <c r="D2466" s="328"/>
      <c r="E2466" s="328">
        <f>VLOOKUP(B2466,DONGIA,DG!$B$6,0)</f>
        <v>0</v>
      </c>
      <c r="F2466" s="329" t="str">
        <f>VLOOKUP(B2466,DONGIA,DG!$C$6,0)</f>
        <v>Băng keo cách điện (Màu vàng)</v>
      </c>
      <c r="G2466" s="328" t="str">
        <f>VLOOKUP(B2466,DONGIA,DG!$D$6,0)</f>
        <v>cuộn</v>
      </c>
      <c r="H2466" s="329">
        <f>ROUNDUP(H2445/5,0)</f>
        <v>0</v>
      </c>
      <c r="I2466" s="329">
        <f>VLOOKUP(B2466,DONGIA,DG!$E$6,0)</f>
        <v>6500</v>
      </c>
      <c r="J2466" s="329"/>
      <c r="K2466" s="329">
        <f>VLOOKUP(B2466,DONGIA,DG!$F$6,0)</f>
        <v>0</v>
      </c>
      <c r="L2466" s="329">
        <f>VLOOKUP(B2466,DONGIA,DG!$G$6,0)</f>
        <v>0</v>
      </c>
      <c r="M2466" s="329">
        <f t="shared" si="679"/>
        <v>0</v>
      </c>
      <c r="N2466" s="329">
        <f t="shared" si="680"/>
        <v>0</v>
      </c>
      <c r="O2466" s="329">
        <f t="shared" si="681"/>
        <v>0</v>
      </c>
      <c r="P2466" s="329">
        <f t="shared" si="682"/>
        <v>0</v>
      </c>
      <c r="Q2466" s="329"/>
      <c r="S2466" s="332">
        <f t="shared" si="683"/>
        <v>0</v>
      </c>
      <c r="T2466" s="332">
        <f t="shared" si="684"/>
        <v>0</v>
      </c>
    </row>
    <row r="2467" spans="1:20" hidden="1">
      <c r="B2467" s="332" t="s">
        <v>2980</v>
      </c>
      <c r="C2467" s="333">
        <f t="shared" si="678"/>
        <v>0</v>
      </c>
      <c r="D2467" s="328"/>
      <c r="E2467" s="328">
        <f>VLOOKUP(B2467,DONGIA,DG!$B$6,0)</f>
        <v>0</v>
      </c>
      <c r="F2467" s="329" t="str">
        <f>VLOOKUP(B2467,DONGIA,DG!$C$6,0)</f>
        <v>Băng keo cách điện (Màu xanh)</v>
      </c>
      <c r="G2467" s="328" t="str">
        <f>VLOOKUP(B2467,DONGIA,DG!$D$6,0)</f>
        <v>cuộn</v>
      </c>
      <c r="H2467" s="329">
        <f>ROUNDUP(H2445/5,0)</f>
        <v>0</v>
      </c>
      <c r="I2467" s="329">
        <f>VLOOKUP(B2467,DONGIA,DG!$E$6,0)</f>
        <v>6500</v>
      </c>
      <c r="J2467" s="329"/>
      <c r="K2467" s="329">
        <f>VLOOKUP(B2467,DONGIA,DG!$F$6,0)</f>
        <v>0</v>
      </c>
      <c r="L2467" s="329">
        <f>VLOOKUP(B2467,DONGIA,DG!$G$6,0)</f>
        <v>0</v>
      </c>
      <c r="M2467" s="329">
        <f t="shared" si="679"/>
        <v>0</v>
      </c>
      <c r="N2467" s="329">
        <f t="shared" si="680"/>
        <v>0</v>
      </c>
      <c r="O2467" s="329">
        <f t="shared" si="681"/>
        <v>0</v>
      </c>
      <c r="P2467" s="329">
        <f t="shared" si="682"/>
        <v>0</v>
      </c>
      <c r="Q2467" s="329"/>
      <c r="S2467" s="332">
        <f t="shared" si="683"/>
        <v>0</v>
      </c>
      <c r="T2467" s="332">
        <f t="shared" si="684"/>
        <v>0</v>
      </c>
    </row>
    <row r="2468" spans="1:20" hidden="1">
      <c r="B2468" s="332" t="s">
        <v>2981</v>
      </c>
      <c r="C2468" s="333">
        <f t="shared" si="678"/>
        <v>0</v>
      </c>
      <c r="D2468" s="328"/>
      <c r="E2468" s="328">
        <f>VLOOKUP(B2468,DONGIA,DG!$B$6,0)</f>
        <v>0</v>
      </c>
      <c r="F2468" s="329" t="str">
        <f>VLOOKUP(B2468,DONGIA,DG!$C$6,0)</f>
        <v>Băng keo cách điện (Màu đỏ)</v>
      </c>
      <c r="G2468" s="328" t="str">
        <f>VLOOKUP(B2468,DONGIA,DG!$D$6,0)</f>
        <v>cuộn</v>
      </c>
      <c r="H2468" s="329">
        <f>ROUNDUP(H2445/5,0)</f>
        <v>0</v>
      </c>
      <c r="I2468" s="329">
        <f>VLOOKUP(B2468,DONGIA,DG!$E$6,0)</f>
        <v>6500</v>
      </c>
      <c r="J2468" s="329"/>
      <c r="K2468" s="329">
        <f>VLOOKUP(B2468,DONGIA,DG!$F$6,0)</f>
        <v>0</v>
      </c>
      <c r="L2468" s="329">
        <f>VLOOKUP(B2468,DONGIA,DG!$G$6,0)</f>
        <v>0</v>
      </c>
      <c r="M2468" s="329">
        <f t="shared" si="679"/>
        <v>0</v>
      </c>
      <c r="N2468" s="329">
        <f t="shared" si="680"/>
        <v>0</v>
      </c>
      <c r="O2468" s="329">
        <f t="shared" si="681"/>
        <v>0</v>
      </c>
      <c r="P2468" s="329">
        <f t="shared" si="682"/>
        <v>0</v>
      </c>
      <c r="Q2468" s="329"/>
      <c r="S2468" s="332">
        <f t="shared" si="683"/>
        <v>0</v>
      </c>
      <c r="T2468" s="332">
        <f t="shared" si="684"/>
        <v>0</v>
      </c>
    </row>
    <row r="2469" spans="1:20" hidden="1">
      <c r="A2469" s="332" t="s">
        <v>477</v>
      </c>
      <c r="B2469" s="332" t="s">
        <v>857</v>
      </c>
      <c r="C2469" s="333">
        <f>IF(H2469&lt;&gt;0,1,)</f>
        <v>0</v>
      </c>
      <c r="D2469" s="329"/>
      <c r="E2469" s="328" t="str">
        <f>VLOOKUP(B2469,DONGIA,DG!$B$6,0)</f>
        <v>T4.8003</v>
      </c>
      <c r="F2469" s="329" t="str">
        <f>VLOOKUP(B2469,DONGIA,DG!$C$6,0)</f>
        <v>Lắp ống nhựa PVC D114</v>
      </c>
      <c r="G2469" s="328" t="str">
        <f>VLOOKUP(B2469,DONGIA,DG!$D$6,0)</f>
        <v>mét</v>
      </c>
      <c r="H2469" s="329">
        <f>H2454</f>
        <v>0</v>
      </c>
      <c r="I2469" s="329">
        <f>VLOOKUP(B2469,DONGIA,DG!$E$6,0)</f>
        <v>0</v>
      </c>
      <c r="J2469" s="329"/>
      <c r="K2469" s="329">
        <f>VLOOKUP(B2469,DONGIA,DG!$F$6,0)</f>
        <v>35541</v>
      </c>
      <c r="L2469" s="329">
        <f>VLOOKUP(B2469,DONGIA,DG!$G$6,0)</f>
        <v>0</v>
      </c>
      <c r="M2469" s="329">
        <f t="shared" ref="M2469:P2470" si="685">$H2469*I2469</f>
        <v>0</v>
      </c>
      <c r="N2469" s="329">
        <f t="shared" si="685"/>
        <v>0</v>
      </c>
      <c r="O2469" s="329">
        <f t="shared" si="685"/>
        <v>0</v>
      </c>
      <c r="P2469" s="329">
        <f t="shared" si="685"/>
        <v>0</v>
      </c>
      <c r="Q2469" s="329"/>
      <c r="S2469" s="332">
        <f>IFERROR(VLOOKUP(B2469,DONGIA,$S$25,0),0)</f>
        <v>0</v>
      </c>
      <c r="T2469" s="332">
        <f>H2469*S2469</f>
        <v>0</v>
      </c>
    </row>
    <row r="2470" spans="1:20" hidden="1">
      <c r="A2470" s="332" t="s">
        <v>477</v>
      </c>
      <c r="B2470" s="332" t="s">
        <v>2063</v>
      </c>
      <c r="C2470" s="333">
        <f>IF(H2470&lt;&gt;0,1,)</f>
        <v>0</v>
      </c>
      <c r="D2470" s="329"/>
      <c r="E2470" s="328" t="str">
        <f>VLOOKUP(B2470,DONGIA,DG!$B$6,0)</f>
        <v>T4.4202</v>
      </c>
      <c r="F2470" s="329" t="str">
        <f>VLOOKUP(B2470,DONGIA,DG!$C$6,0)</f>
        <v>Lắp cáp đồng xuống thiết bị D ≤ 150mm2</v>
      </c>
      <c r="G2470" s="328" t="str">
        <f>VLOOKUP(B2470,DONGIA,DG!$D$6,0)</f>
        <v>m</v>
      </c>
      <c r="H2470" s="329">
        <f>H2448</f>
        <v>0</v>
      </c>
      <c r="I2470" s="329">
        <f>VLOOKUP(B2470,DONGIA,DG!$E$6,0)</f>
        <v>0</v>
      </c>
      <c r="J2470" s="329"/>
      <c r="K2470" s="329">
        <f>VLOOKUP(B2470,DONGIA,DG!$F$6,0)</f>
        <v>28433</v>
      </c>
      <c r="L2470" s="329">
        <f>VLOOKUP(B2470,DONGIA,DG!$G$6,0)</f>
        <v>0</v>
      </c>
      <c r="M2470" s="329">
        <f t="shared" si="685"/>
        <v>0</v>
      </c>
      <c r="N2470" s="329">
        <f t="shared" si="685"/>
        <v>0</v>
      </c>
      <c r="O2470" s="329">
        <f t="shared" si="685"/>
        <v>0</v>
      </c>
      <c r="P2470" s="329">
        <f t="shared" si="685"/>
        <v>0</v>
      </c>
      <c r="Q2470" s="329"/>
      <c r="S2470" s="332">
        <f>IFERROR(VLOOKUP(B2470,DONGIA,$S$25,0),0)</f>
        <v>0</v>
      </c>
      <c r="T2470" s="332">
        <f>H2470*S2470</f>
        <v>0</v>
      </c>
    </row>
    <row r="2471" spans="1:20" hidden="1">
      <c r="A2471" s="332" t="s">
        <v>477</v>
      </c>
      <c r="B2471" s="332" t="s">
        <v>2837</v>
      </c>
      <c r="C2471" s="333">
        <f t="shared" si="670"/>
        <v>0</v>
      </c>
      <c r="D2471" s="329"/>
      <c r="E2471" s="328" t="str">
        <f>VLOOKUP(B2471,DONGIA,DG!$B$6,0)</f>
        <v>T4.4203</v>
      </c>
      <c r="F2471" s="329" t="str">
        <f>VLOOKUP(B2471,DONGIA,DG!$C$6,0)</f>
        <v>Lắp cáp đồng xuống thiết bị D &gt; 150mm2</v>
      </c>
      <c r="G2471" s="328" t="str">
        <f>VLOOKUP(B2471,DONGIA,DG!$D$6,0)</f>
        <v>m</v>
      </c>
      <c r="H2471" s="329">
        <f>H2447</f>
        <v>0</v>
      </c>
      <c r="I2471" s="329">
        <f>VLOOKUP(B2471,DONGIA,DG!$E$6,0)</f>
        <v>0</v>
      </c>
      <c r="J2471" s="329"/>
      <c r="K2471" s="329">
        <f>VLOOKUP(B2471,DONGIA,DG!$F$6,0)</f>
        <v>40280</v>
      </c>
      <c r="L2471" s="329">
        <f>VLOOKUP(B2471,DONGIA,DG!$G$6,0)</f>
        <v>0</v>
      </c>
      <c r="M2471" s="329">
        <f t="shared" si="674"/>
        <v>0</v>
      </c>
      <c r="N2471" s="329">
        <f t="shared" si="675"/>
        <v>0</v>
      </c>
      <c r="O2471" s="329">
        <f t="shared" si="676"/>
        <v>0</v>
      </c>
      <c r="P2471" s="329">
        <f t="shared" si="677"/>
        <v>0</v>
      </c>
      <c r="Q2471" s="329"/>
      <c r="S2471" s="332">
        <f t="shared" si="671"/>
        <v>0</v>
      </c>
      <c r="T2471" s="332">
        <f t="shared" si="672"/>
        <v>0</v>
      </c>
    </row>
    <row r="2472" spans="1:20" hidden="1">
      <c r="A2472" s="332" t="s">
        <v>477</v>
      </c>
      <c r="C2472" s="333">
        <f t="shared" si="670"/>
        <v>0</v>
      </c>
      <c r="D2472" s="372">
        <f>IF(H2472&lt;&gt;0,D2445+1,D2445)</f>
        <v>0</v>
      </c>
      <c r="E2472" s="372"/>
      <c r="F2472" s="373" t="s">
        <v>1916</v>
      </c>
      <c r="G2472" s="372" t="s">
        <v>138</v>
      </c>
      <c r="H2472" s="372">
        <v>0</v>
      </c>
      <c r="I2472" s="373"/>
      <c r="J2472" s="373"/>
      <c r="K2472" s="373"/>
      <c r="L2472" s="373"/>
      <c r="M2472" s="373"/>
      <c r="N2472" s="373"/>
      <c r="O2472" s="373"/>
      <c r="P2472" s="373"/>
      <c r="Q2472" s="373"/>
      <c r="S2472" s="332">
        <f t="shared" si="671"/>
        <v>0</v>
      </c>
      <c r="T2472" s="332">
        <f t="shared" si="672"/>
        <v>0</v>
      </c>
    </row>
    <row r="2473" spans="1:20" s="361" customFormat="1" hidden="1">
      <c r="A2473" s="361" t="s">
        <v>477</v>
      </c>
      <c r="C2473" s="374">
        <f>C2472</f>
        <v>0</v>
      </c>
      <c r="D2473" s="351"/>
      <c r="E2473" s="351"/>
      <c r="F2473" s="351" t="s">
        <v>1902</v>
      </c>
      <c r="G2473" s="350"/>
      <c r="H2473" s="351"/>
      <c r="I2473" s="351"/>
      <c r="J2473" s="351"/>
      <c r="K2473" s="351"/>
      <c r="L2473" s="351"/>
      <c r="M2473" s="351"/>
      <c r="N2473" s="351"/>
      <c r="O2473" s="351"/>
      <c r="P2473" s="351"/>
      <c r="Q2473" s="351"/>
      <c r="S2473" s="361">
        <f t="shared" si="671"/>
        <v>0</v>
      </c>
      <c r="T2473" s="361">
        <f t="shared" si="672"/>
        <v>0</v>
      </c>
    </row>
    <row r="2474" spans="1:20" hidden="1">
      <c r="A2474" s="332" t="s">
        <v>477</v>
      </c>
      <c r="B2474" s="332" t="s">
        <v>1908</v>
      </c>
      <c r="C2474" s="333">
        <f t="shared" si="670"/>
        <v>0</v>
      </c>
      <c r="D2474" s="329"/>
      <c r="E2474" s="329">
        <v>0</v>
      </c>
      <c r="F2474" s="329" t="s">
        <v>238</v>
      </c>
      <c r="G2474" s="328" t="s">
        <v>146</v>
      </c>
      <c r="H2474" s="329">
        <v>0</v>
      </c>
      <c r="I2474" s="329">
        <v>291060</v>
      </c>
      <c r="J2474" s="329"/>
      <c r="K2474" s="329">
        <v>0</v>
      </c>
      <c r="L2474" s="329">
        <v>0</v>
      </c>
      <c r="M2474" s="329">
        <v>0</v>
      </c>
      <c r="N2474" s="329">
        <v>0</v>
      </c>
      <c r="O2474" s="329">
        <v>0</v>
      </c>
      <c r="P2474" s="329">
        <v>0</v>
      </c>
      <c r="Q2474" s="329"/>
      <c r="S2474" s="332">
        <f t="shared" si="671"/>
        <v>1.2350000000000001</v>
      </c>
      <c r="T2474" s="332">
        <f t="shared" si="672"/>
        <v>0</v>
      </c>
    </row>
    <row r="2475" spans="1:20" hidden="1">
      <c r="A2475" s="332" t="s">
        <v>477</v>
      </c>
      <c r="B2475" s="332" t="s">
        <v>1742</v>
      </c>
      <c r="C2475" s="333">
        <f t="shared" si="670"/>
        <v>0</v>
      </c>
      <c r="D2475" s="329"/>
      <c r="E2475" s="329">
        <v>0</v>
      </c>
      <c r="F2475" s="329" t="s">
        <v>236</v>
      </c>
      <c r="G2475" s="328" t="s">
        <v>146</v>
      </c>
      <c r="H2475" s="329">
        <v>0</v>
      </c>
      <c r="I2475" s="329">
        <v>230580</v>
      </c>
      <c r="J2475" s="329"/>
      <c r="K2475" s="329">
        <v>0</v>
      </c>
      <c r="L2475" s="329">
        <v>0</v>
      </c>
      <c r="M2475" s="329">
        <v>0</v>
      </c>
      <c r="N2475" s="329">
        <v>0</v>
      </c>
      <c r="O2475" s="329">
        <v>0</v>
      </c>
      <c r="P2475" s="329">
        <v>0</v>
      </c>
      <c r="Q2475" s="329"/>
      <c r="S2475" s="332">
        <f t="shared" si="671"/>
        <v>1.008</v>
      </c>
      <c r="T2475" s="332">
        <f t="shared" si="672"/>
        <v>0</v>
      </c>
    </row>
    <row r="2476" spans="1:20" hidden="1">
      <c r="A2476" s="332" t="s">
        <v>477</v>
      </c>
      <c r="B2476" s="332" t="s">
        <v>1119</v>
      </c>
      <c r="C2476" s="333">
        <f t="shared" si="670"/>
        <v>0</v>
      </c>
      <c r="D2476" s="329"/>
      <c r="E2476" s="329" t="s">
        <v>1120</v>
      </c>
      <c r="F2476" s="329" t="s">
        <v>1121</v>
      </c>
      <c r="G2476" s="328" t="s">
        <v>11</v>
      </c>
      <c r="H2476" s="329">
        <v>0</v>
      </c>
      <c r="I2476" s="329">
        <v>29000</v>
      </c>
      <c r="J2476" s="329"/>
      <c r="K2476" s="329">
        <v>215654</v>
      </c>
      <c r="L2476" s="329">
        <v>2061.6999999999998</v>
      </c>
      <c r="M2476" s="329">
        <v>0</v>
      </c>
      <c r="N2476" s="329">
        <v>0</v>
      </c>
      <c r="O2476" s="329">
        <v>0</v>
      </c>
      <c r="P2476" s="329">
        <v>0</v>
      </c>
      <c r="Q2476" s="329"/>
      <c r="S2476" s="332">
        <f t="shared" si="671"/>
        <v>0.1</v>
      </c>
      <c r="T2476" s="332">
        <f t="shared" si="672"/>
        <v>0</v>
      </c>
    </row>
    <row r="2477" spans="1:20" hidden="1">
      <c r="A2477" s="332" t="s">
        <v>477</v>
      </c>
      <c r="B2477" s="332" t="s">
        <v>1116</v>
      </c>
      <c r="C2477" s="333">
        <f t="shared" si="670"/>
        <v>0</v>
      </c>
      <c r="D2477" s="329"/>
      <c r="E2477" s="329" t="s">
        <v>1117</v>
      </c>
      <c r="F2477" s="329" t="s">
        <v>1118</v>
      </c>
      <c r="G2477" s="328" t="s">
        <v>11</v>
      </c>
      <c r="H2477" s="329">
        <v>0</v>
      </c>
      <c r="I2477" s="329">
        <v>22000</v>
      </c>
      <c r="J2477" s="329"/>
      <c r="K2477" s="329">
        <v>167731</v>
      </c>
      <c r="L2477" s="329">
        <v>1767</v>
      </c>
      <c r="M2477" s="329">
        <v>0</v>
      </c>
      <c r="N2477" s="329">
        <v>0</v>
      </c>
      <c r="O2477" s="329">
        <v>0</v>
      </c>
      <c r="P2477" s="329">
        <v>0</v>
      </c>
      <c r="Q2477" s="329"/>
      <c r="S2477" s="332">
        <f t="shared" si="671"/>
        <v>0.2</v>
      </c>
      <c r="T2477" s="332">
        <f t="shared" si="672"/>
        <v>0</v>
      </c>
    </row>
    <row r="2478" spans="1:20" hidden="1">
      <c r="A2478" s="332" t="s">
        <v>477</v>
      </c>
      <c r="B2478" s="332" t="s">
        <v>1151</v>
      </c>
      <c r="C2478" s="333">
        <f t="shared" si="670"/>
        <v>0</v>
      </c>
      <c r="D2478" s="329"/>
      <c r="E2478" s="329">
        <v>0</v>
      </c>
      <c r="F2478" s="329" t="s">
        <v>1152</v>
      </c>
      <c r="G2478" s="328" t="s">
        <v>11</v>
      </c>
      <c r="H2478" s="329">
        <v>0</v>
      </c>
      <c r="I2478" s="329">
        <v>4000</v>
      </c>
      <c r="J2478" s="329"/>
      <c r="K2478" s="329">
        <v>0</v>
      </c>
      <c r="L2478" s="329">
        <v>0</v>
      </c>
      <c r="M2478" s="329">
        <v>0</v>
      </c>
      <c r="N2478" s="329">
        <v>0</v>
      </c>
      <c r="O2478" s="329">
        <v>0</v>
      </c>
      <c r="P2478" s="329">
        <v>0</v>
      </c>
      <c r="Q2478" s="329"/>
      <c r="S2478" s="332">
        <f t="shared" si="671"/>
        <v>0</v>
      </c>
      <c r="T2478" s="332">
        <f t="shared" si="672"/>
        <v>0</v>
      </c>
    </row>
    <row r="2479" spans="1:20" hidden="1">
      <c r="A2479" s="332" t="s">
        <v>477</v>
      </c>
      <c r="B2479" s="332" t="s">
        <v>1149</v>
      </c>
      <c r="C2479" s="333">
        <f t="shared" si="670"/>
        <v>0</v>
      </c>
      <c r="D2479" s="329"/>
      <c r="E2479" s="329">
        <v>0</v>
      </c>
      <c r="F2479" s="329" t="s">
        <v>1150</v>
      </c>
      <c r="G2479" s="328" t="s">
        <v>11</v>
      </c>
      <c r="H2479" s="329">
        <v>0</v>
      </c>
      <c r="I2479" s="329">
        <v>4000</v>
      </c>
      <c r="J2479" s="329"/>
      <c r="K2479" s="329">
        <v>0</v>
      </c>
      <c r="L2479" s="329">
        <v>0</v>
      </c>
      <c r="M2479" s="329">
        <v>0</v>
      </c>
      <c r="N2479" s="329">
        <v>0</v>
      </c>
      <c r="O2479" s="329">
        <v>0</v>
      </c>
      <c r="P2479" s="329">
        <v>0</v>
      </c>
      <c r="Q2479" s="329"/>
      <c r="S2479" s="332">
        <f t="shared" si="671"/>
        <v>0</v>
      </c>
      <c r="T2479" s="332">
        <f t="shared" si="672"/>
        <v>0</v>
      </c>
    </row>
    <row r="2480" spans="1:20" hidden="1">
      <c r="A2480" s="332" t="s">
        <v>477</v>
      </c>
      <c r="B2480" s="332" t="s">
        <v>1736</v>
      </c>
      <c r="C2480" s="333">
        <f t="shared" si="670"/>
        <v>0</v>
      </c>
      <c r="D2480" s="329"/>
      <c r="E2480" s="329">
        <v>0</v>
      </c>
      <c r="F2480" s="329" t="s">
        <v>1178</v>
      </c>
      <c r="G2480" s="328" t="s">
        <v>474</v>
      </c>
      <c r="H2480" s="329">
        <v>0</v>
      </c>
      <c r="I2480" s="329">
        <v>63200</v>
      </c>
      <c r="J2480" s="329"/>
      <c r="K2480" s="329">
        <v>0</v>
      </c>
      <c r="L2480" s="329">
        <v>0</v>
      </c>
      <c r="M2480" s="329">
        <v>0</v>
      </c>
      <c r="N2480" s="329">
        <v>0</v>
      </c>
      <c r="O2480" s="329">
        <v>0</v>
      </c>
      <c r="P2480" s="329">
        <v>0</v>
      </c>
      <c r="Q2480" s="329"/>
      <c r="S2480" s="332">
        <f t="shared" si="671"/>
        <v>2</v>
      </c>
      <c r="T2480" s="332">
        <f t="shared" si="672"/>
        <v>0</v>
      </c>
    </row>
    <row r="2481" spans="1:20" hidden="1">
      <c r="A2481" s="332" t="s">
        <v>477</v>
      </c>
      <c r="B2481" s="332" t="s">
        <v>1737</v>
      </c>
      <c r="C2481" s="333">
        <f t="shared" si="670"/>
        <v>0</v>
      </c>
      <c r="D2481" s="329"/>
      <c r="E2481" s="329">
        <v>0</v>
      </c>
      <c r="F2481" s="329" t="s">
        <v>1184</v>
      </c>
      <c r="G2481" s="328" t="s">
        <v>11</v>
      </c>
      <c r="H2481" s="329">
        <v>0</v>
      </c>
      <c r="I2481" s="329">
        <v>45400</v>
      </c>
      <c r="J2481" s="329"/>
      <c r="K2481" s="329">
        <v>0</v>
      </c>
      <c r="L2481" s="329">
        <v>0</v>
      </c>
      <c r="M2481" s="329">
        <v>0</v>
      </c>
      <c r="N2481" s="329">
        <v>0</v>
      </c>
      <c r="O2481" s="329">
        <v>0</v>
      </c>
      <c r="P2481" s="329">
        <v>0</v>
      </c>
      <c r="Q2481" s="329"/>
      <c r="S2481" s="332">
        <f t="shared" si="671"/>
        <v>0</v>
      </c>
      <c r="T2481" s="332">
        <f t="shared" si="672"/>
        <v>0</v>
      </c>
    </row>
    <row r="2482" spans="1:20" hidden="1">
      <c r="A2482" s="332" t="s">
        <v>477</v>
      </c>
      <c r="B2482" s="332" t="s">
        <v>1203</v>
      </c>
      <c r="C2482" s="333">
        <f t="shared" si="670"/>
        <v>0</v>
      </c>
      <c r="D2482" s="329"/>
      <c r="E2482" s="329">
        <v>0</v>
      </c>
      <c r="F2482" s="329" t="s">
        <v>1204</v>
      </c>
      <c r="G2482" s="328" t="s">
        <v>11</v>
      </c>
      <c r="H2482" s="329">
        <v>0</v>
      </c>
      <c r="I2482" s="329">
        <v>9500</v>
      </c>
      <c r="J2482" s="329"/>
      <c r="K2482" s="329">
        <v>0</v>
      </c>
      <c r="L2482" s="329">
        <v>0</v>
      </c>
      <c r="M2482" s="329">
        <v>0</v>
      </c>
      <c r="N2482" s="329">
        <v>0</v>
      </c>
      <c r="O2482" s="329">
        <v>0</v>
      </c>
      <c r="P2482" s="329">
        <v>0</v>
      </c>
      <c r="Q2482" s="329"/>
      <c r="S2482" s="332">
        <f t="shared" si="671"/>
        <v>0</v>
      </c>
      <c r="T2482" s="332">
        <f t="shared" si="672"/>
        <v>0</v>
      </c>
    </row>
    <row r="2483" spans="1:20" hidden="1">
      <c r="A2483" s="332" t="s">
        <v>477</v>
      </c>
      <c r="B2483" s="332" t="s">
        <v>1209</v>
      </c>
      <c r="C2483" s="333">
        <f t="shared" si="670"/>
        <v>0</v>
      </c>
      <c r="D2483" s="329"/>
      <c r="E2483" s="329">
        <v>0</v>
      </c>
      <c r="F2483" s="329" t="s">
        <v>1210</v>
      </c>
      <c r="G2483" s="328" t="s">
        <v>11</v>
      </c>
      <c r="H2483" s="329">
        <v>0</v>
      </c>
      <c r="I2483" s="329">
        <v>10600</v>
      </c>
      <c r="J2483" s="329"/>
      <c r="K2483" s="329">
        <v>0</v>
      </c>
      <c r="L2483" s="329">
        <v>0</v>
      </c>
      <c r="M2483" s="329">
        <v>0</v>
      </c>
      <c r="N2483" s="329">
        <v>0</v>
      </c>
      <c r="O2483" s="329">
        <v>0</v>
      </c>
      <c r="P2483" s="329">
        <v>0</v>
      </c>
      <c r="Q2483" s="329"/>
      <c r="S2483" s="332">
        <f t="shared" si="671"/>
        <v>0</v>
      </c>
      <c r="T2483" s="332">
        <f t="shared" si="672"/>
        <v>0</v>
      </c>
    </row>
    <row r="2484" spans="1:20" hidden="1">
      <c r="A2484" s="332" t="s">
        <v>477</v>
      </c>
      <c r="B2484" s="332" t="s">
        <v>1918</v>
      </c>
      <c r="C2484" s="333">
        <f t="shared" si="670"/>
        <v>0</v>
      </c>
      <c r="D2484" s="329"/>
      <c r="E2484" s="329" t="s">
        <v>888</v>
      </c>
      <c r="F2484" s="329" t="s">
        <v>1925</v>
      </c>
      <c r="G2484" s="328" t="s">
        <v>474</v>
      </c>
      <c r="H2484" s="329">
        <v>0</v>
      </c>
      <c r="I2484" s="329">
        <v>0</v>
      </c>
      <c r="J2484" s="329"/>
      <c r="K2484" s="329">
        <v>26400</v>
      </c>
      <c r="L2484" s="329">
        <v>0</v>
      </c>
      <c r="M2484" s="329">
        <v>0</v>
      </c>
      <c r="N2484" s="329">
        <v>0</v>
      </c>
      <c r="O2484" s="329">
        <v>0</v>
      </c>
      <c r="P2484" s="329">
        <v>0</v>
      </c>
      <c r="Q2484" s="329"/>
      <c r="S2484" s="332">
        <f t="shared" si="671"/>
        <v>0</v>
      </c>
      <c r="T2484" s="332">
        <f t="shared" si="672"/>
        <v>0</v>
      </c>
    </row>
    <row r="2485" spans="1:20" hidden="1">
      <c r="A2485" s="332" t="s">
        <v>477</v>
      </c>
      <c r="C2485" s="333">
        <f t="shared" si="670"/>
        <v>0</v>
      </c>
      <c r="D2485" s="372">
        <f>IF(H2485&lt;&gt;0,D2472+1,D2472)</f>
        <v>0</v>
      </c>
      <c r="E2485" s="372"/>
      <c r="F2485" s="373" t="s">
        <v>2825</v>
      </c>
      <c r="G2485" s="372" t="s">
        <v>138</v>
      </c>
      <c r="H2485" s="372">
        <f>T3P160*2</f>
        <v>0</v>
      </c>
      <c r="I2485" s="373"/>
      <c r="J2485" s="373"/>
      <c r="K2485" s="373"/>
      <c r="L2485" s="373"/>
      <c r="M2485" s="373"/>
      <c r="N2485" s="373"/>
      <c r="O2485" s="373"/>
      <c r="P2485" s="373"/>
      <c r="Q2485" s="373"/>
      <c r="S2485" s="332">
        <f t="shared" si="671"/>
        <v>0</v>
      </c>
      <c r="T2485" s="332">
        <f t="shared" si="672"/>
        <v>0</v>
      </c>
    </row>
    <row r="2486" spans="1:20" s="361" customFormat="1" hidden="1">
      <c r="A2486" s="361" t="s">
        <v>477</v>
      </c>
      <c r="C2486" s="374">
        <f>C2485</f>
        <v>0</v>
      </c>
      <c r="D2486" s="351"/>
      <c r="E2486" s="351"/>
      <c r="F2486" s="351" t="s">
        <v>1902</v>
      </c>
      <c r="G2486" s="350"/>
      <c r="H2486" s="351"/>
      <c r="I2486" s="351"/>
      <c r="J2486" s="351"/>
      <c r="K2486" s="351"/>
      <c r="L2486" s="351"/>
      <c r="M2486" s="351"/>
      <c r="N2486" s="351"/>
      <c r="O2486" s="351"/>
      <c r="P2486" s="351"/>
      <c r="Q2486" s="351"/>
      <c r="S2486" s="361">
        <f t="shared" ref="S2486:S2523" si="686">IFERROR(VLOOKUP(B2486,DONGIA,$S$25,0),0)</f>
        <v>0</v>
      </c>
      <c r="T2486" s="361">
        <f t="shared" si="672"/>
        <v>0</v>
      </c>
    </row>
    <row r="2487" spans="1:20" hidden="1">
      <c r="A2487" s="332" t="s">
        <v>477</v>
      </c>
      <c r="B2487" s="332" t="s">
        <v>1742</v>
      </c>
      <c r="C2487" s="333">
        <f t="shared" ref="C2487:C2534" si="687">IF(H2487&lt;&gt;0,1,)</f>
        <v>0</v>
      </c>
      <c r="D2487" s="329"/>
      <c r="E2487" s="328">
        <f>VLOOKUP(B2487,DONGIA,DG!$B$6,0)</f>
        <v>0</v>
      </c>
      <c r="F2487" s="329" t="str">
        <f>VLOOKUP(B2487,DONGIA,DG!$C$6,0)</f>
        <v>Cáp đồng bọc CV95</v>
      </c>
      <c r="G2487" s="328" t="str">
        <f>VLOOKUP(B2487,DONGIA,DG!$D$6,0)</f>
        <v>mét</v>
      </c>
      <c r="H2487" s="455">
        <f>H2485*9*3</f>
        <v>0</v>
      </c>
      <c r="I2487" s="329">
        <f>VLOOKUP(B2487,DONGIA,DG!$E$6,0)</f>
        <v>196130</v>
      </c>
      <c r="J2487" s="329"/>
      <c r="K2487" s="329">
        <f>VLOOKUP(B2487,DONGIA,DG!$F$6,0)</f>
        <v>0</v>
      </c>
      <c r="L2487" s="329">
        <f>VLOOKUP(B2487,DONGIA,DG!$G$6,0)</f>
        <v>0</v>
      </c>
      <c r="M2487" s="329">
        <f t="shared" ref="M2487:M2511" si="688">$H2487*I2487</f>
        <v>0</v>
      </c>
      <c r="N2487" s="329">
        <f t="shared" ref="N2487:N2511" si="689">$H2487*J2487</f>
        <v>0</v>
      </c>
      <c r="O2487" s="329">
        <f t="shared" ref="O2487:O2511" si="690">$H2487*K2487</f>
        <v>0</v>
      </c>
      <c r="P2487" s="329">
        <f t="shared" ref="P2487:P2511" si="691">$H2487*L2487</f>
        <v>0</v>
      </c>
      <c r="Q2487" s="329"/>
      <c r="S2487" s="332">
        <f t="shared" si="686"/>
        <v>1.008</v>
      </c>
      <c r="T2487" s="332">
        <f t="shared" ref="T2487:T2514" si="692">H2487*S2487</f>
        <v>0</v>
      </c>
    </row>
    <row r="2488" spans="1:20" hidden="1">
      <c r="A2488" s="332" t="s">
        <v>477</v>
      </c>
      <c r="B2488" s="332" t="s">
        <v>1907</v>
      </c>
      <c r="C2488" s="333">
        <f t="shared" si="687"/>
        <v>0</v>
      </c>
      <c r="D2488" s="329"/>
      <c r="E2488" s="328">
        <f>VLOOKUP(B2488,DONGIA,DG!$B$6,0)</f>
        <v>0</v>
      </c>
      <c r="F2488" s="329" t="str">
        <f>VLOOKUP(B2488,DONGIA,DG!$C$6,0)</f>
        <v>Cáp đồng bọc CV70</v>
      </c>
      <c r="G2488" s="328" t="str">
        <f>VLOOKUP(B2488,DONGIA,DG!$D$6,0)</f>
        <v>mét</v>
      </c>
      <c r="H2488" s="455">
        <f>H2485*9</f>
        <v>0</v>
      </c>
      <c r="I2488" s="329">
        <f>VLOOKUP(B2488,DONGIA,DG!$E$6,0)</f>
        <v>142880</v>
      </c>
      <c r="J2488" s="329"/>
      <c r="K2488" s="329">
        <f>VLOOKUP(B2488,DONGIA,DG!$F$6,0)</f>
        <v>0</v>
      </c>
      <c r="L2488" s="329">
        <f>VLOOKUP(B2488,DONGIA,DG!$G$6,0)</f>
        <v>0</v>
      </c>
      <c r="M2488" s="329">
        <f t="shared" si="688"/>
        <v>0</v>
      </c>
      <c r="N2488" s="329">
        <f t="shared" si="689"/>
        <v>0</v>
      </c>
      <c r="O2488" s="329">
        <f t="shared" si="690"/>
        <v>0</v>
      </c>
      <c r="P2488" s="329">
        <f t="shared" si="691"/>
        <v>0</v>
      </c>
      <c r="Q2488" s="329"/>
      <c r="S2488" s="332">
        <f t="shared" si="686"/>
        <v>0.73899999999999999</v>
      </c>
      <c r="T2488" s="332">
        <f t="shared" si="692"/>
        <v>0</v>
      </c>
    </row>
    <row r="2489" spans="1:20" hidden="1">
      <c r="A2489" s="332" t="s">
        <v>477</v>
      </c>
      <c r="B2489" s="332" t="s">
        <v>1742</v>
      </c>
      <c r="C2489" s="333">
        <f>IF(H2489&lt;&gt;0,1,)</f>
        <v>0</v>
      </c>
      <c r="D2489" s="329"/>
      <c r="E2489" s="328">
        <f>VLOOKUP(B2489,DONGIA,DG!$B$6,0)</f>
        <v>0</v>
      </c>
      <c r="F2489" s="329" t="str">
        <f>VLOOKUP(B2489,DONGIA,DG!$C$6,0)&amp;" (Bắt CB phân đoạn)"</f>
        <v>Cáp đồng bọc CV95 (Bắt CB phân đoạn)</v>
      </c>
      <c r="G2489" s="328" t="str">
        <f>VLOOKUP(B2489,DONGIA,DG!$D$6,0)</f>
        <v>mét</v>
      </c>
      <c r="H2489" s="455">
        <f>H2485*3</f>
        <v>0</v>
      </c>
      <c r="I2489" s="329">
        <f>VLOOKUP(B2489,DONGIA,DG!$E$6,0)</f>
        <v>196130</v>
      </c>
      <c r="J2489" s="329"/>
      <c r="K2489" s="329">
        <f>VLOOKUP(B2489,DONGIA,DG!$F$6,0)</f>
        <v>0</v>
      </c>
      <c r="L2489" s="329">
        <f>VLOOKUP(B2489,DONGIA,DG!$G$6,0)</f>
        <v>0</v>
      </c>
      <c r="M2489" s="329">
        <f>$H2489*I2489</f>
        <v>0</v>
      </c>
      <c r="N2489" s="329">
        <f>$H2489*J2489</f>
        <v>0</v>
      </c>
      <c r="O2489" s="329">
        <f>$H2489*K2489</f>
        <v>0</v>
      </c>
      <c r="P2489" s="329">
        <f>$H2489*L2489</f>
        <v>0</v>
      </c>
      <c r="Q2489" s="329"/>
      <c r="S2489" s="332">
        <f t="shared" si="686"/>
        <v>1.008</v>
      </c>
      <c r="T2489" s="332">
        <f>H2489*S2489</f>
        <v>0</v>
      </c>
    </row>
    <row r="2490" spans="1:20" hidden="1">
      <c r="A2490" s="332" t="s">
        <v>477</v>
      </c>
      <c r="B2490" s="332" t="s">
        <v>1116</v>
      </c>
      <c r="C2490" s="333">
        <f t="shared" si="687"/>
        <v>0</v>
      </c>
      <c r="D2490" s="329"/>
      <c r="E2490" s="328"/>
      <c r="F2490" s="329" t="str">
        <f>VLOOKUP(B2490,DONGIA,DG!$C$6,0)</f>
        <v>Đầu cosse ép Cu 95mm2</v>
      </c>
      <c r="G2490" s="328" t="str">
        <f>VLOOKUP(B2490,DONGIA,DG!$D$6,0)</f>
        <v>cái</v>
      </c>
      <c r="H2490" s="329">
        <f>H2485*3+H2485*3*2</f>
        <v>0</v>
      </c>
      <c r="I2490" s="329">
        <f>VLOOKUP(B2490,DONGIA,DG!$E$6,0)</f>
        <v>45000</v>
      </c>
      <c r="J2490" s="329"/>
      <c r="K2490" s="329"/>
      <c r="L2490" s="329"/>
      <c r="M2490" s="329">
        <f t="shared" si="688"/>
        <v>0</v>
      </c>
      <c r="N2490" s="329">
        <f t="shared" si="689"/>
        <v>0</v>
      </c>
      <c r="O2490" s="329">
        <f t="shared" si="690"/>
        <v>0</v>
      </c>
      <c r="P2490" s="329">
        <f t="shared" si="691"/>
        <v>0</v>
      </c>
      <c r="Q2490" s="329"/>
      <c r="S2490" s="332">
        <f t="shared" si="686"/>
        <v>0.2</v>
      </c>
      <c r="T2490" s="332">
        <f t="shared" si="692"/>
        <v>0</v>
      </c>
    </row>
    <row r="2491" spans="1:20" hidden="1">
      <c r="A2491" s="332" t="s">
        <v>477</v>
      </c>
      <c r="B2491" s="332" t="s">
        <v>1113</v>
      </c>
      <c r="C2491" s="333">
        <f t="shared" si="687"/>
        <v>0</v>
      </c>
      <c r="D2491" s="329"/>
      <c r="E2491" s="328"/>
      <c r="F2491" s="329" t="str">
        <f>VLOOKUP(B2491,DONGIA,DG!$C$6,0)</f>
        <v>Đầu cosse ép Cu 70mm2</v>
      </c>
      <c r="G2491" s="328" t="str">
        <f>VLOOKUP(B2491,DONGIA,DG!$D$6,0)</f>
        <v>cái</v>
      </c>
      <c r="H2491" s="329">
        <f>H2485</f>
        <v>0</v>
      </c>
      <c r="I2491" s="329">
        <f>VLOOKUP(B2491,DONGIA,DG!$E$6,0)</f>
        <v>33000</v>
      </c>
      <c r="J2491" s="329"/>
      <c r="K2491" s="329"/>
      <c r="L2491" s="329"/>
      <c r="M2491" s="329">
        <f t="shared" si="688"/>
        <v>0</v>
      </c>
      <c r="N2491" s="329">
        <f t="shared" si="689"/>
        <v>0</v>
      </c>
      <c r="O2491" s="329">
        <f t="shared" si="690"/>
        <v>0</v>
      </c>
      <c r="P2491" s="329">
        <f t="shared" si="691"/>
        <v>0</v>
      </c>
      <c r="Q2491" s="329"/>
      <c r="S2491" s="332">
        <f t="shared" si="686"/>
        <v>0.2</v>
      </c>
      <c r="T2491" s="332">
        <f t="shared" si="692"/>
        <v>0</v>
      </c>
    </row>
    <row r="2492" spans="1:20" hidden="1">
      <c r="A2492" s="332" t="s">
        <v>477</v>
      </c>
      <c r="B2492" s="332" t="s">
        <v>1149</v>
      </c>
      <c r="C2492" s="333">
        <f t="shared" si="687"/>
        <v>0</v>
      </c>
      <c r="D2492" s="329"/>
      <c r="E2492" s="328">
        <f>VLOOKUP(B2492,DONGIA,DG!$B$6,0)</f>
        <v>0</v>
      </c>
      <c r="F2492" s="329" t="str">
        <f>VLOOKUP(B2492,DONGIA,DG!$C$6,0)</f>
        <v>Chụp đầu cosse  95mm2</v>
      </c>
      <c r="G2492" s="328" t="str">
        <f>VLOOKUP(B2492,DONGIA,DG!$D$6,0)</f>
        <v>cái</v>
      </c>
      <c r="H2492" s="329">
        <f>H2490</f>
        <v>0</v>
      </c>
      <c r="I2492" s="329">
        <f>VLOOKUP(B2492,DONGIA,DG!$E$6,0)</f>
        <v>3000</v>
      </c>
      <c r="J2492" s="329"/>
      <c r="K2492" s="329">
        <f>VLOOKUP(B2492,DONGIA,DG!$F$6,0)</f>
        <v>0</v>
      </c>
      <c r="L2492" s="329">
        <f>VLOOKUP(B2492,DONGIA,DG!$G$6,0)</f>
        <v>0</v>
      </c>
      <c r="M2492" s="329">
        <f t="shared" si="688"/>
        <v>0</v>
      </c>
      <c r="N2492" s="329">
        <f t="shared" si="689"/>
        <v>0</v>
      </c>
      <c r="O2492" s="329">
        <f t="shared" si="690"/>
        <v>0</v>
      </c>
      <c r="P2492" s="329">
        <f t="shared" si="691"/>
        <v>0</v>
      </c>
      <c r="Q2492" s="329"/>
      <c r="S2492" s="332">
        <f t="shared" si="686"/>
        <v>0</v>
      </c>
      <c r="T2492" s="332">
        <f t="shared" si="692"/>
        <v>0</v>
      </c>
    </row>
    <row r="2493" spans="1:20" hidden="1">
      <c r="A2493" s="332" t="s">
        <v>477</v>
      </c>
      <c r="B2493" s="332" t="s">
        <v>1147</v>
      </c>
      <c r="C2493" s="333">
        <f t="shared" si="687"/>
        <v>0</v>
      </c>
      <c r="D2493" s="329"/>
      <c r="E2493" s="328">
        <f>VLOOKUP(B2493,DONGIA,DG!$B$6,0)</f>
        <v>0</v>
      </c>
      <c r="F2493" s="329" t="str">
        <f>VLOOKUP(B2493,DONGIA,DG!$C$6,0)</f>
        <v>Chụp đầu cosse  70mm2</v>
      </c>
      <c r="G2493" s="328" t="str">
        <f>VLOOKUP(B2493,DONGIA,DG!$D$6,0)</f>
        <v>cái</v>
      </c>
      <c r="H2493" s="329">
        <f>H2491</f>
        <v>0</v>
      </c>
      <c r="I2493" s="329">
        <f>VLOOKUP(B2493,DONGIA,DG!$E$6,0)</f>
        <v>2000</v>
      </c>
      <c r="J2493" s="329"/>
      <c r="K2493" s="329">
        <f>VLOOKUP(B2493,DONGIA,DG!$F$6,0)</f>
        <v>0</v>
      </c>
      <c r="L2493" s="329">
        <f>VLOOKUP(B2493,DONGIA,DG!$G$6,0)</f>
        <v>0</v>
      </c>
      <c r="M2493" s="329">
        <f t="shared" si="688"/>
        <v>0</v>
      </c>
      <c r="N2493" s="329">
        <f t="shared" si="689"/>
        <v>0</v>
      </c>
      <c r="O2493" s="329">
        <f t="shared" si="690"/>
        <v>0</v>
      </c>
      <c r="P2493" s="329">
        <f t="shared" si="691"/>
        <v>0</v>
      </c>
      <c r="Q2493" s="329"/>
      <c r="S2493" s="332">
        <f t="shared" si="686"/>
        <v>0</v>
      </c>
      <c r="T2493" s="332">
        <f t="shared" si="692"/>
        <v>0</v>
      </c>
    </row>
    <row r="2494" spans="1:20" hidden="1">
      <c r="A2494" s="332" t="s">
        <v>477</v>
      </c>
      <c r="B2494" s="332" t="s">
        <v>1177</v>
      </c>
      <c r="C2494" s="333">
        <f t="shared" si="687"/>
        <v>0</v>
      </c>
      <c r="D2494" s="329"/>
      <c r="E2494" s="328">
        <f>VLOOKUP(B2494,DONGIA,DG!$B$6,0)</f>
        <v>0</v>
      </c>
      <c r="F2494" s="329" t="str">
        <f>VLOOKUP(B2494,DONGIA,DG!$C$6,0)</f>
        <v xml:space="preserve">Ống PVC D90x3,8mm </v>
      </c>
      <c r="G2494" s="328" t="str">
        <f>VLOOKUP(B2494,DONGIA,DG!$D$6,0)</f>
        <v>m</v>
      </c>
      <c r="H2494" s="329">
        <f>H2485*7</f>
        <v>0</v>
      </c>
      <c r="I2494" s="329">
        <f>VLOOKUP(B2494,DONGIA,DG!$E$6,0)</f>
        <v>57000</v>
      </c>
      <c r="J2494" s="329"/>
      <c r="K2494" s="329">
        <f>VLOOKUP(B2494,DONGIA,DG!$F$6,0)</f>
        <v>0</v>
      </c>
      <c r="L2494" s="329">
        <f>VLOOKUP(B2494,DONGIA,DG!$G$6,0)</f>
        <v>0</v>
      </c>
      <c r="M2494" s="329">
        <f t="shared" si="688"/>
        <v>0</v>
      </c>
      <c r="N2494" s="329">
        <f t="shared" si="689"/>
        <v>0</v>
      </c>
      <c r="O2494" s="329">
        <f t="shared" si="690"/>
        <v>0</v>
      </c>
      <c r="P2494" s="329">
        <f t="shared" si="691"/>
        <v>0</v>
      </c>
      <c r="Q2494" s="329"/>
      <c r="S2494" s="332">
        <f t="shared" si="686"/>
        <v>2</v>
      </c>
      <c r="T2494" s="332">
        <f t="shared" si="692"/>
        <v>0</v>
      </c>
    </row>
    <row r="2495" spans="1:20" hidden="1">
      <c r="A2495" s="332" t="s">
        <v>477</v>
      </c>
      <c r="B2495" s="332" t="s">
        <v>455</v>
      </c>
      <c r="C2495" s="333">
        <f t="shared" si="687"/>
        <v>0</v>
      </c>
      <c r="D2495" s="329"/>
      <c r="E2495" s="328">
        <f>VLOOKUP(B2495,DONGIA,DG!$B$6,0)</f>
        <v>0</v>
      </c>
      <c r="F2495" s="329" t="str">
        <f>VLOOKUP(B2495,DONGIA,DG!$C$6,0)&amp;" (CD-230)"</f>
        <v>Cổ dê kẹp ống PVC φ 90 (có giá nới) (CD-230)</v>
      </c>
      <c r="G2495" s="328" t="str">
        <f>VLOOKUP(B2495,DONGIA,DG!$D$6,0)</f>
        <v>bộ</v>
      </c>
      <c r="H2495" s="329">
        <f>H2485</f>
        <v>0</v>
      </c>
      <c r="I2495" s="329">
        <f>VLOOKUP(B2495,DONGIA,DG!$E$6,0)</f>
        <v>60000</v>
      </c>
      <c r="J2495" s="329"/>
      <c r="K2495" s="329">
        <f>VLOOKUP(B2495,DONGIA,DG!$F$6,0)</f>
        <v>0</v>
      </c>
      <c r="L2495" s="329">
        <f>VLOOKUP(B2495,DONGIA,DG!$G$6,0)</f>
        <v>0</v>
      </c>
      <c r="M2495" s="329">
        <f t="shared" si="688"/>
        <v>0</v>
      </c>
      <c r="N2495" s="329">
        <f t="shared" si="689"/>
        <v>0</v>
      </c>
      <c r="O2495" s="329">
        <f t="shared" si="690"/>
        <v>0</v>
      </c>
      <c r="P2495" s="329">
        <f t="shared" si="691"/>
        <v>0</v>
      </c>
      <c r="Q2495" s="329"/>
      <c r="S2495" s="332">
        <f t="shared" si="686"/>
        <v>1.5</v>
      </c>
      <c r="T2495" s="332">
        <f t="shared" si="692"/>
        <v>0</v>
      </c>
    </row>
    <row r="2496" spans="1:20" hidden="1">
      <c r="A2496" s="332" t="s">
        <v>477</v>
      </c>
      <c r="B2496" s="332" t="s">
        <v>455</v>
      </c>
      <c r="C2496" s="333">
        <f t="shared" si="687"/>
        <v>0</v>
      </c>
      <c r="D2496" s="329"/>
      <c r="E2496" s="328">
        <f>VLOOKUP(B2496,DONGIA,DG!$B$6,0)</f>
        <v>0</v>
      </c>
      <c r="F2496" s="329" t="str">
        <f>VLOOKUP(B2496,DONGIA,DG!$C$6,0)&amp;" (CD-280)"</f>
        <v>Cổ dê kẹp ống PVC φ 90 (có giá nới) (CD-280)</v>
      </c>
      <c r="G2496" s="328" t="str">
        <f>VLOOKUP(B2496,DONGIA,DG!$D$6,0)</f>
        <v>bộ</v>
      </c>
      <c r="H2496" s="329">
        <f>H2485</f>
        <v>0</v>
      </c>
      <c r="I2496" s="329">
        <f>VLOOKUP(B2496,DONGIA,DG!$E$6,0)</f>
        <v>60000</v>
      </c>
      <c r="J2496" s="329"/>
      <c r="K2496" s="329">
        <f>VLOOKUP(B2496,DONGIA,DG!$F$6,0)</f>
        <v>0</v>
      </c>
      <c r="L2496" s="329">
        <f>VLOOKUP(B2496,DONGIA,DG!$G$6,0)</f>
        <v>0</v>
      </c>
      <c r="M2496" s="329">
        <f t="shared" si="688"/>
        <v>0</v>
      </c>
      <c r="N2496" s="329">
        <f t="shared" si="689"/>
        <v>0</v>
      </c>
      <c r="O2496" s="329">
        <f t="shared" si="690"/>
        <v>0</v>
      </c>
      <c r="P2496" s="329">
        <f t="shared" si="691"/>
        <v>0</v>
      </c>
      <c r="Q2496" s="329"/>
      <c r="S2496" s="332">
        <f t="shared" si="686"/>
        <v>1.5</v>
      </c>
      <c r="T2496" s="332">
        <f t="shared" si="692"/>
        <v>0</v>
      </c>
    </row>
    <row r="2497" spans="1:20" hidden="1">
      <c r="A2497" s="332" t="s">
        <v>477</v>
      </c>
      <c r="B2497" s="332" t="s">
        <v>455</v>
      </c>
      <c r="C2497" s="333">
        <f t="shared" si="687"/>
        <v>0</v>
      </c>
      <c r="D2497" s="329"/>
      <c r="E2497" s="328">
        <f>VLOOKUP(B2497,DONGIA,DG!$B$6,0)</f>
        <v>0</v>
      </c>
      <c r="F2497" s="329" t="str">
        <f>VLOOKUP(B2497,DONGIA,DG!$C$6,0)&amp;" (CD-320)"</f>
        <v>Cổ dê kẹp ống PVC φ 90 (có giá nới) (CD-320)</v>
      </c>
      <c r="G2497" s="328" t="str">
        <f>VLOOKUP(B2497,DONGIA,DG!$D$6,0)</f>
        <v>bộ</v>
      </c>
      <c r="H2497" s="329">
        <f>H2485</f>
        <v>0</v>
      </c>
      <c r="I2497" s="329">
        <f>VLOOKUP(B2497,DONGIA,DG!$E$6,0)</f>
        <v>60000</v>
      </c>
      <c r="J2497" s="329"/>
      <c r="K2497" s="329">
        <f>VLOOKUP(B2497,DONGIA,DG!$F$6,0)</f>
        <v>0</v>
      </c>
      <c r="L2497" s="329">
        <f>VLOOKUP(B2497,DONGIA,DG!$G$6,0)</f>
        <v>0</v>
      </c>
      <c r="M2497" s="329">
        <f t="shared" si="688"/>
        <v>0</v>
      </c>
      <c r="N2497" s="329">
        <f t="shared" si="689"/>
        <v>0</v>
      </c>
      <c r="O2497" s="329">
        <f t="shared" si="690"/>
        <v>0</v>
      </c>
      <c r="P2497" s="329">
        <f t="shared" si="691"/>
        <v>0</v>
      </c>
      <c r="Q2497" s="329"/>
      <c r="S2497" s="332">
        <f t="shared" si="686"/>
        <v>1.5</v>
      </c>
      <c r="T2497" s="332">
        <f t="shared" si="692"/>
        <v>0</v>
      </c>
    </row>
    <row r="2498" spans="1:20" hidden="1">
      <c r="A2498" s="332" t="s">
        <v>477</v>
      </c>
      <c r="B2498" s="332" t="s">
        <v>1203</v>
      </c>
      <c r="C2498" s="333">
        <f t="shared" si="687"/>
        <v>0</v>
      </c>
      <c r="D2498" s="329"/>
      <c r="E2498" s="328">
        <f>VLOOKUP(B2498,DONGIA,DG!$B$6,0)</f>
        <v>0</v>
      </c>
      <c r="F2498" s="329" t="str">
        <f>VLOOKUP(B2498,DONGIA,DG!$C$6,0)</f>
        <v>Khâu ven răng trong D90</v>
      </c>
      <c r="G2498" s="328" t="str">
        <f>VLOOKUP(B2498,DONGIA,DG!$D$6,0)</f>
        <v>cái</v>
      </c>
      <c r="H2498" s="329">
        <f>H2485</f>
        <v>0</v>
      </c>
      <c r="I2498" s="329">
        <f>VLOOKUP(B2498,DONGIA,DG!$E$6,0)</f>
        <v>25800</v>
      </c>
      <c r="J2498" s="329"/>
      <c r="K2498" s="329">
        <f>VLOOKUP(B2498,DONGIA,DG!$F$6,0)</f>
        <v>0</v>
      </c>
      <c r="L2498" s="329">
        <f>VLOOKUP(B2498,DONGIA,DG!$G$6,0)</f>
        <v>0</v>
      </c>
      <c r="M2498" s="329">
        <f t="shared" si="688"/>
        <v>0</v>
      </c>
      <c r="N2498" s="329">
        <f t="shared" si="689"/>
        <v>0</v>
      </c>
      <c r="O2498" s="329">
        <f t="shared" si="690"/>
        <v>0</v>
      </c>
      <c r="P2498" s="329">
        <f t="shared" si="691"/>
        <v>0</v>
      </c>
      <c r="Q2498" s="329"/>
      <c r="S2498" s="332">
        <f t="shared" si="686"/>
        <v>0</v>
      </c>
      <c r="T2498" s="332">
        <f t="shared" si="692"/>
        <v>0</v>
      </c>
    </row>
    <row r="2499" spans="1:20" hidden="1">
      <c r="A2499" s="332" t="s">
        <v>477</v>
      </c>
      <c r="B2499" s="332" t="s">
        <v>1209</v>
      </c>
      <c r="C2499" s="333">
        <f t="shared" si="687"/>
        <v>0</v>
      </c>
      <c r="D2499" s="329"/>
      <c r="E2499" s="328">
        <f>VLOOKUP(B2499,DONGIA,DG!$B$6,0)</f>
        <v>0</v>
      </c>
      <c r="F2499" s="329" t="str">
        <f>VLOOKUP(B2499,DONGIA,DG!$C$6,0)</f>
        <v>Khâu ven răng ngoài D90</v>
      </c>
      <c r="G2499" s="328" t="str">
        <f>VLOOKUP(B2499,DONGIA,DG!$D$6,0)</f>
        <v>cái</v>
      </c>
      <c r="H2499" s="329">
        <f>H2498</f>
        <v>0</v>
      </c>
      <c r="I2499" s="329">
        <f>VLOOKUP(B2499,DONGIA,DG!$E$6,0)</f>
        <v>21500</v>
      </c>
      <c r="J2499" s="329"/>
      <c r="K2499" s="329">
        <f>VLOOKUP(B2499,DONGIA,DG!$F$6,0)</f>
        <v>0</v>
      </c>
      <c r="L2499" s="329">
        <f>VLOOKUP(B2499,DONGIA,DG!$G$6,0)</f>
        <v>0</v>
      </c>
      <c r="M2499" s="329">
        <f t="shared" si="688"/>
        <v>0</v>
      </c>
      <c r="N2499" s="329">
        <f t="shared" si="689"/>
        <v>0</v>
      </c>
      <c r="O2499" s="329">
        <f t="shared" si="690"/>
        <v>0</v>
      </c>
      <c r="P2499" s="329">
        <f t="shared" si="691"/>
        <v>0</v>
      </c>
      <c r="Q2499" s="329"/>
      <c r="S2499" s="332">
        <f t="shared" si="686"/>
        <v>0</v>
      </c>
      <c r="T2499" s="332">
        <f t="shared" si="692"/>
        <v>0</v>
      </c>
    </row>
    <row r="2500" spans="1:20" hidden="1">
      <c r="A2500" s="332" t="s">
        <v>477</v>
      </c>
      <c r="B2500" s="332" t="s">
        <v>1183</v>
      </c>
      <c r="C2500" s="333">
        <f t="shared" si="687"/>
        <v>0</v>
      </c>
      <c r="D2500" s="329"/>
      <c r="E2500" s="328">
        <f>VLOOKUP(B2500,DONGIA,DG!$B$6,0)</f>
        <v>0</v>
      </c>
      <c r="F2500" s="329" t="str">
        <f>VLOOKUP(B2500,DONGIA,DG!$C$6,0)</f>
        <v>Co  90 độ PVC 90</v>
      </c>
      <c r="G2500" s="328" t="str">
        <f>VLOOKUP(B2500,DONGIA,DG!$D$6,0)</f>
        <v>cái</v>
      </c>
      <c r="H2500" s="329">
        <f>H2485*2</f>
        <v>0</v>
      </c>
      <c r="I2500" s="329">
        <f>VLOOKUP(B2500,DONGIA,DG!$E$6,0)</f>
        <v>45400</v>
      </c>
      <c r="J2500" s="329"/>
      <c r="K2500" s="329">
        <f>VLOOKUP(B2500,DONGIA,DG!$F$6,0)</f>
        <v>0</v>
      </c>
      <c r="L2500" s="329">
        <f>VLOOKUP(B2500,DONGIA,DG!$G$6,0)</f>
        <v>0</v>
      </c>
      <c r="M2500" s="329">
        <f t="shared" si="688"/>
        <v>0</v>
      </c>
      <c r="N2500" s="329">
        <f t="shared" si="689"/>
        <v>0</v>
      </c>
      <c r="O2500" s="329">
        <f t="shared" si="690"/>
        <v>0</v>
      </c>
      <c r="P2500" s="329">
        <f t="shared" si="691"/>
        <v>0</v>
      </c>
      <c r="Q2500" s="329"/>
      <c r="S2500" s="332">
        <f t="shared" si="686"/>
        <v>0</v>
      </c>
      <c r="T2500" s="332">
        <f t="shared" si="692"/>
        <v>0</v>
      </c>
    </row>
    <row r="2501" spans="1:20" hidden="1">
      <c r="A2501" s="332" t="s">
        <v>477</v>
      </c>
      <c r="B2501" s="332" t="s">
        <v>2956</v>
      </c>
      <c r="C2501" s="333">
        <f>IF(H2501&lt;&gt;0,1,)</f>
        <v>0</v>
      </c>
      <c r="D2501" s="329"/>
      <c r="E2501" s="328">
        <f>VLOOKUP(B2501,DONGIA,DG!$B$6,0)</f>
        <v>0</v>
      </c>
      <c r="F2501" s="329" t="str">
        <f>VLOOKUP(B2501,DONGIA,DG!$C$6,0)</f>
        <v>Co  90 độ PVC 90 (Loại dày)</v>
      </c>
      <c r="G2501" s="328" t="str">
        <f>VLOOKUP(B2501,DONGIA,DG!$D$6,0)</f>
        <v>cái</v>
      </c>
      <c r="H2501" s="329">
        <f>H2485</f>
        <v>0</v>
      </c>
      <c r="I2501" s="329">
        <f>VLOOKUP(B2501,DONGIA,DG!$E$6,0)</f>
        <v>45400</v>
      </c>
      <c r="J2501" s="329"/>
      <c r="K2501" s="329">
        <f>VLOOKUP(B2501,DONGIA,DG!$F$6,0)</f>
        <v>0</v>
      </c>
      <c r="L2501" s="329">
        <f>VLOOKUP(B2501,DONGIA,DG!$G$6,0)</f>
        <v>0</v>
      </c>
      <c r="M2501" s="329">
        <f>$H2501*I2501</f>
        <v>0</v>
      </c>
      <c r="N2501" s="329">
        <f>$H2501*J2501</f>
        <v>0</v>
      </c>
      <c r="O2501" s="329">
        <f>$H2501*K2501</f>
        <v>0</v>
      </c>
      <c r="P2501" s="329">
        <f>$H2501*L2501</f>
        <v>0</v>
      </c>
      <c r="Q2501" s="329"/>
      <c r="S2501" s="332">
        <f t="shared" si="686"/>
        <v>0</v>
      </c>
      <c r="T2501" s="332">
        <f>H2501*S2501</f>
        <v>0</v>
      </c>
    </row>
    <row r="2502" spans="1:20" hidden="1">
      <c r="A2502" s="332" t="s">
        <v>477</v>
      </c>
      <c r="B2502" s="332" t="s">
        <v>1181</v>
      </c>
      <c r="C2502" s="333">
        <f t="shared" si="687"/>
        <v>0</v>
      </c>
      <c r="D2502" s="329"/>
      <c r="E2502" s="328">
        <f>VLOOKUP(B2502,DONGIA,DG!$B$6,0)</f>
        <v>0</v>
      </c>
      <c r="F2502" s="329" t="str">
        <f>VLOOKUP(B2502,DONGIA,DG!$C$6,0)</f>
        <v>Co 135 độ PVC 90</v>
      </c>
      <c r="G2502" s="328" t="str">
        <f>VLOOKUP(B2502,DONGIA,DG!$D$6,0)</f>
        <v>cái</v>
      </c>
      <c r="H2502" s="329">
        <f>H2485</f>
        <v>0</v>
      </c>
      <c r="I2502" s="329">
        <f>VLOOKUP(B2502,DONGIA,DG!$E$6,0)</f>
        <v>34800</v>
      </c>
      <c r="J2502" s="329"/>
      <c r="K2502" s="329">
        <f>VLOOKUP(B2502,DONGIA,DG!$F$6,0)</f>
        <v>0</v>
      </c>
      <c r="L2502" s="329">
        <f>VLOOKUP(B2502,DONGIA,DG!$G$6,0)</f>
        <v>0</v>
      </c>
      <c r="M2502" s="329">
        <f t="shared" si="688"/>
        <v>0</v>
      </c>
      <c r="N2502" s="329">
        <f t="shared" si="689"/>
        <v>0</v>
      </c>
      <c r="O2502" s="329">
        <f t="shared" si="690"/>
        <v>0</v>
      </c>
      <c r="P2502" s="329">
        <f t="shared" si="691"/>
        <v>0</v>
      </c>
      <c r="Q2502" s="329"/>
      <c r="S2502" s="332">
        <f t="shared" si="686"/>
        <v>0</v>
      </c>
      <c r="T2502" s="332">
        <f t="shared" si="692"/>
        <v>0</v>
      </c>
    </row>
    <row r="2503" spans="1:20" hidden="1">
      <c r="A2503" s="332" t="s">
        <v>477</v>
      </c>
      <c r="B2503" s="332" t="s">
        <v>1914</v>
      </c>
      <c r="C2503" s="333">
        <f t="shared" si="687"/>
        <v>0</v>
      </c>
      <c r="D2503" s="329"/>
      <c r="E2503" s="328">
        <f>VLOOKUP(B2503,DONGIA,DG!$B$6,0)</f>
        <v>0</v>
      </c>
      <c r="F2503" s="329" t="str">
        <f>VLOOKUP(B2503,DONGIA,DG!$C$6,0)</f>
        <v>Keo dán ống PVC (100gr)</v>
      </c>
      <c r="G2503" s="328" t="str">
        <f>VLOOKUP(B2503,DONGIA,DG!$D$6,0)</f>
        <v>tuýp</v>
      </c>
      <c r="H2503" s="329">
        <f>H2485</f>
        <v>0</v>
      </c>
      <c r="I2503" s="329">
        <f>VLOOKUP(B2503,DONGIA,DG!$E$6,0)</f>
        <v>11500</v>
      </c>
      <c r="J2503" s="329"/>
      <c r="K2503" s="329">
        <f>VLOOKUP(B2503,DONGIA,DG!$F$6,0)</f>
        <v>0</v>
      </c>
      <c r="L2503" s="329">
        <f>VLOOKUP(B2503,DONGIA,DG!$G$6,0)</f>
        <v>0</v>
      </c>
      <c r="M2503" s="329">
        <f t="shared" si="688"/>
        <v>0</v>
      </c>
      <c r="N2503" s="329">
        <f t="shared" si="689"/>
        <v>0</v>
      </c>
      <c r="O2503" s="329">
        <f t="shared" si="690"/>
        <v>0</v>
      </c>
      <c r="P2503" s="329">
        <f t="shared" si="691"/>
        <v>0</v>
      </c>
      <c r="Q2503" s="329"/>
      <c r="S2503" s="332">
        <f t="shared" si="686"/>
        <v>0</v>
      </c>
      <c r="T2503" s="332">
        <f t="shared" si="692"/>
        <v>0</v>
      </c>
    </row>
    <row r="2504" spans="1:20" hidden="1">
      <c r="A2504" s="332" t="s">
        <v>477</v>
      </c>
      <c r="B2504" s="332" t="s">
        <v>1195</v>
      </c>
      <c r="C2504" s="333">
        <f t="shared" si="687"/>
        <v>0</v>
      </c>
      <c r="D2504" s="329"/>
      <c r="E2504" s="328">
        <f>VLOOKUP(B2504,DONGIA,DG!$B$6,0)</f>
        <v>0</v>
      </c>
      <c r="F2504" s="329" t="str">
        <f>VLOOKUP(B2504,DONGIA,DG!$C$6,0)</f>
        <v>Keo silicon bít miệng ống</v>
      </c>
      <c r="G2504" s="328" t="str">
        <f>VLOOKUP(B2504,DONGIA,DG!$D$6,0)</f>
        <v>ống</v>
      </c>
      <c r="H2504" s="329"/>
      <c r="I2504" s="329">
        <f>VLOOKUP(B2504,DONGIA,DG!$E$6,0)</f>
        <v>45000</v>
      </c>
      <c r="J2504" s="329"/>
      <c r="K2504" s="329">
        <f>VLOOKUP(B2504,DONGIA,DG!$F$6,0)</f>
        <v>0</v>
      </c>
      <c r="L2504" s="329">
        <f>VLOOKUP(B2504,DONGIA,DG!$G$6,0)</f>
        <v>0</v>
      </c>
      <c r="M2504" s="329">
        <f t="shared" si="688"/>
        <v>0</v>
      </c>
      <c r="N2504" s="329">
        <f t="shared" si="689"/>
        <v>0</v>
      </c>
      <c r="O2504" s="329">
        <f t="shared" si="690"/>
        <v>0</v>
      </c>
      <c r="P2504" s="329">
        <f t="shared" si="691"/>
        <v>0</v>
      </c>
      <c r="Q2504" s="329"/>
      <c r="S2504" s="332">
        <f t="shared" si="686"/>
        <v>0</v>
      </c>
      <c r="T2504" s="332">
        <f t="shared" si="692"/>
        <v>0</v>
      </c>
    </row>
    <row r="2505" spans="1:20" hidden="1">
      <c r="B2505" s="332" t="s">
        <v>1193</v>
      </c>
      <c r="C2505" s="333">
        <f t="shared" si="687"/>
        <v>0</v>
      </c>
      <c r="D2505" s="328"/>
      <c r="E2505" s="328">
        <f>VLOOKUP(B2505,DONGIA,DG!$B$6,0)</f>
        <v>0</v>
      </c>
      <c r="F2505" s="329" t="str">
        <f>VLOOKUP(B2505,DONGIA,DG!$C$6,0)</f>
        <v>Băng keo cách điện</v>
      </c>
      <c r="G2505" s="328" t="str">
        <f>VLOOKUP(B2505,DONGIA,DG!$D$6,0)</f>
        <v>cuộn</v>
      </c>
      <c r="H2505" s="329">
        <f>ROUNDUP(H2485/2,0)</f>
        <v>0</v>
      </c>
      <c r="I2505" s="329">
        <f>VLOOKUP(B2505,DONGIA,DG!$E$6,0)</f>
        <v>6500</v>
      </c>
      <c r="J2505" s="329"/>
      <c r="K2505" s="329">
        <f>VLOOKUP(B2505,DONGIA,DG!$F$6,0)</f>
        <v>0</v>
      </c>
      <c r="L2505" s="329">
        <f>VLOOKUP(B2505,DONGIA,DG!$G$6,0)</f>
        <v>0</v>
      </c>
      <c r="M2505" s="329">
        <f t="shared" si="688"/>
        <v>0</v>
      </c>
      <c r="N2505" s="329">
        <f t="shared" si="689"/>
        <v>0</v>
      </c>
      <c r="O2505" s="329">
        <f t="shared" si="690"/>
        <v>0</v>
      </c>
      <c r="P2505" s="329">
        <f t="shared" si="691"/>
        <v>0</v>
      </c>
      <c r="Q2505" s="329"/>
      <c r="S2505" s="332">
        <f t="shared" si="686"/>
        <v>0</v>
      </c>
      <c r="T2505" s="332">
        <f t="shared" si="692"/>
        <v>0</v>
      </c>
    </row>
    <row r="2506" spans="1:20" hidden="1">
      <c r="B2506" s="332" t="s">
        <v>2979</v>
      </c>
      <c r="C2506" s="333">
        <f t="shared" si="687"/>
        <v>0</v>
      </c>
      <c r="D2506" s="328"/>
      <c r="E2506" s="328">
        <f>VLOOKUP(B2506,DONGIA,DG!$B$6,0)</f>
        <v>0</v>
      </c>
      <c r="F2506" s="329" t="str">
        <f>VLOOKUP(B2506,DONGIA,DG!$C$6,0)</f>
        <v>Băng keo cách điện (Màu vàng)</v>
      </c>
      <c r="G2506" s="328" t="str">
        <f>VLOOKUP(B2506,DONGIA,DG!$D$6,0)</f>
        <v>cuộn</v>
      </c>
      <c r="H2506" s="329">
        <f>ROUNDUP(H2485/2,0)</f>
        <v>0</v>
      </c>
      <c r="I2506" s="329">
        <f>VLOOKUP(B2506,DONGIA,DG!$E$6,0)</f>
        <v>6500</v>
      </c>
      <c r="J2506" s="329"/>
      <c r="K2506" s="329">
        <f>VLOOKUP(B2506,DONGIA,DG!$F$6,0)</f>
        <v>0</v>
      </c>
      <c r="L2506" s="329">
        <f>VLOOKUP(B2506,DONGIA,DG!$G$6,0)</f>
        <v>0</v>
      </c>
      <c r="M2506" s="329">
        <f t="shared" si="688"/>
        <v>0</v>
      </c>
      <c r="N2506" s="329">
        <f t="shared" si="689"/>
        <v>0</v>
      </c>
      <c r="O2506" s="329">
        <f t="shared" si="690"/>
        <v>0</v>
      </c>
      <c r="P2506" s="329">
        <f t="shared" si="691"/>
        <v>0</v>
      </c>
      <c r="Q2506" s="329"/>
      <c r="S2506" s="332">
        <f t="shared" si="686"/>
        <v>0</v>
      </c>
      <c r="T2506" s="332">
        <f t="shared" si="692"/>
        <v>0</v>
      </c>
    </row>
    <row r="2507" spans="1:20" hidden="1">
      <c r="B2507" s="332" t="s">
        <v>2980</v>
      </c>
      <c r="C2507" s="333">
        <f t="shared" si="687"/>
        <v>0</v>
      </c>
      <c r="D2507" s="328"/>
      <c r="E2507" s="328">
        <f>VLOOKUP(B2507,DONGIA,DG!$B$6,0)</f>
        <v>0</v>
      </c>
      <c r="F2507" s="329" t="str">
        <f>VLOOKUP(B2507,DONGIA,DG!$C$6,0)</f>
        <v>Băng keo cách điện (Màu xanh)</v>
      </c>
      <c r="G2507" s="328" t="str">
        <f>VLOOKUP(B2507,DONGIA,DG!$D$6,0)</f>
        <v>cuộn</v>
      </c>
      <c r="H2507" s="329">
        <f>ROUNDUP(H2485/2,0)</f>
        <v>0</v>
      </c>
      <c r="I2507" s="329">
        <f>VLOOKUP(B2507,DONGIA,DG!$E$6,0)</f>
        <v>6500</v>
      </c>
      <c r="J2507" s="329"/>
      <c r="K2507" s="329">
        <f>VLOOKUP(B2507,DONGIA,DG!$F$6,0)</f>
        <v>0</v>
      </c>
      <c r="L2507" s="329">
        <f>VLOOKUP(B2507,DONGIA,DG!$G$6,0)</f>
        <v>0</v>
      </c>
      <c r="M2507" s="329">
        <f t="shared" si="688"/>
        <v>0</v>
      </c>
      <c r="N2507" s="329">
        <f t="shared" si="689"/>
        <v>0</v>
      </c>
      <c r="O2507" s="329">
        <f t="shared" si="690"/>
        <v>0</v>
      </c>
      <c r="P2507" s="329">
        <f t="shared" si="691"/>
        <v>0</v>
      </c>
      <c r="Q2507" s="329"/>
      <c r="S2507" s="332">
        <f t="shared" si="686"/>
        <v>0</v>
      </c>
      <c r="T2507" s="332">
        <f t="shared" si="692"/>
        <v>0</v>
      </c>
    </row>
    <row r="2508" spans="1:20" hidden="1">
      <c r="B2508" s="332" t="s">
        <v>2981</v>
      </c>
      <c r="C2508" s="333">
        <f t="shared" si="687"/>
        <v>0</v>
      </c>
      <c r="D2508" s="328"/>
      <c r="E2508" s="328">
        <f>VLOOKUP(B2508,DONGIA,DG!$B$6,0)</f>
        <v>0</v>
      </c>
      <c r="F2508" s="329" t="str">
        <f>VLOOKUP(B2508,DONGIA,DG!$C$6,0)</f>
        <v>Băng keo cách điện (Màu đỏ)</v>
      </c>
      <c r="G2508" s="328" t="str">
        <f>VLOOKUP(B2508,DONGIA,DG!$D$6,0)</f>
        <v>cuộn</v>
      </c>
      <c r="H2508" s="329">
        <f>ROUNDUP(H2485/2,0)</f>
        <v>0</v>
      </c>
      <c r="I2508" s="329">
        <f>VLOOKUP(B2508,DONGIA,DG!$E$6,0)</f>
        <v>6500</v>
      </c>
      <c r="J2508" s="329"/>
      <c r="K2508" s="329">
        <f>VLOOKUP(B2508,DONGIA,DG!$F$6,0)</f>
        <v>0</v>
      </c>
      <c r="L2508" s="329">
        <f>VLOOKUP(B2508,DONGIA,DG!$G$6,0)</f>
        <v>0</v>
      </c>
      <c r="M2508" s="329">
        <f t="shared" si="688"/>
        <v>0</v>
      </c>
      <c r="N2508" s="329">
        <f t="shared" si="689"/>
        <v>0</v>
      </c>
      <c r="O2508" s="329">
        <f t="shared" si="690"/>
        <v>0</v>
      </c>
      <c r="P2508" s="329">
        <f t="shared" si="691"/>
        <v>0</v>
      </c>
      <c r="Q2508" s="329"/>
      <c r="S2508" s="332">
        <f t="shared" si="686"/>
        <v>0</v>
      </c>
      <c r="T2508" s="332">
        <f t="shared" si="692"/>
        <v>0</v>
      </c>
    </row>
    <row r="2509" spans="1:20" hidden="1">
      <c r="A2509" s="332" t="s">
        <v>477</v>
      </c>
      <c r="B2509" s="332" t="s">
        <v>855</v>
      </c>
      <c r="C2509" s="333">
        <f t="shared" si="687"/>
        <v>0</v>
      </c>
      <c r="D2509" s="329"/>
      <c r="E2509" s="328" t="str">
        <f>VLOOKUP(B2509,DONGIA,DG!$B$6,0)</f>
        <v>T4.8003</v>
      </c>
      <c r="F2509" s="329" t="str">
        <f>VLOOKUP(B2509,DONGIA,DG!$C$6,0)</f>
        <v>Lắp ống nhựa PVC D90</v>
      </c>
      <c r="G2509" s="328" t="str">
        <f>VLOOKUP(B2509,DONGIA,DG!$D$6,0)</f>
        <v>mét</v>
      </c>
      <c r="H2509" s="329">
        <f>H2494</f>
        <v>0</v>
      </c>
      <c r="I2509" s="329">
        <f>VLOOKUP(B2509,DONGIA,DG!$E$6,0)</f>
        <v>0</v>
      </c>
      <c r="J2509" s="329"/>
      <c r="K2509" s="329">
        <f>VLOOKUP(B2509,DONGIA,DG!$F$6,0)</f>
        <v>35541</v>
      </c>
      <c r="L2509" s="329">
        <f>VLOOKUP(B2509,DONGIA,DG!$G$6,0)</f>
        <v>0</v>
      </c>
      <c r="M2509" s="329">
        <f t="shared" si="688"/>
        <v>0</v>
      </c>
      <c r="N2509" s="329">
        <f t="shared" si="689"/>
        <v>0</v>
      </c>
      <c r="O2509" s="329">
        <f t="shared" si="690"/>
        <v>0</v>
      </c>
      <c r="P2509" s="329">
        <f t="shared" si="691"/>
        <v>0</v>
      </c>
      <c r="Q2509" s="329"/>
      <c r="S2509" s="332">
        <f t="shared" si="686"/>
        <v>0</v>
      </c>
      <c r="T2509" s="332">
        <f t="shared" si="692"/>
        <v>0</v>
      </c>
    </row>
    <row r="2510" spans="1:20" hidden="1">
      <c r="A2510" s="332" t="s">
        <v>477</v>
      </c>
      <c r="B2510" s="332" t="s">
        <v>1939</v>
      </c>
      <c r="C2510" s="333">
        <f t="shared" si="687"/>
        <v>0</v>
      </c>
      <c r="D2510" s="329"/>
      <c r="E2510" s="328" t="str">
        <f>VLOOKUP(B2510,DONGIA,DG!$B$6,0)</f>
        <v>T4.4201</v>
      </c>
      <c r="F2510" s="329" t="str">
        <f>VLOOKUP(B2510,DONGIA,DG!$C$6,0)</f>
        <v>Lắp cáp đồng xuống thiết bị D ≤ 95mm2</v>
      </c>
      <c r="G2510" s="328" t="str">
        <f>VLOOKUP(B2510,DONGIA,DG!$D$6,0)</f>
        <v>m</v>
      </c>
      <c r="H2510" s="329">
        <f>H2487+H2488+H2489</f>
        <v>0</v>
      </c>
      <c r="I2510" s="329">
        <f>VLOOKUP(B2510,DONGIA,DG!$E$6,0)</f>
        <v>0</v>
      </c>
      <c r="J2510" s="329"/>
      <c r="K2510" s="329">
        <f>VLOOKUP(B2510,DONGIA,DG!$F$6,0)</f>
        <v>11847</v>
      </c>
      <c r="L2510" s="329">
        <f>VLOOKUP(B2510,DONGIA,DG!$G$6,0)</f>
        <v>0</v>
      </c>
      <c r="M2510" s="329">
        <f t="shared" si="688"/>
        <v>0</v>
      </c>
      <c r="N2510" s="329">
        <f t="shared" si="689"/>
        <v>0</v>
      </c>
      <c r="O2510" s="329">
        <f t="shared" si="690"/>
        <v>0</v>
      </c>
      <c r="P2510" s="329">
        <f t="shared" si="691"/>
        <v>0</v>
      </c>
      <c r="Q2510" s="329"/>
      <c r="S2510" s="332">
        <f t="shared" si="686"/>
        <v>0</v>
      </c>
      <c r="T2510" s="332">
        <f t="shared" si="692"/>
        <v>0</v>
      </c>
    </row>
    <row r="2511" spans="1:20" hidden="1">
      <c r="A2511" s="332" t="s">
        <v>477</v>
      </c>
      <c r="B2511" s="332" t="s">
        <v>2063</v>
      </c>
      <c r="C2511" s="333">
        <f t="shared" si="687"/>
        <v>0</v>
      </c>
      <c r="D2511" s="329"/>
      <c r="E2511" s="328" t="str">
        <f>VLOOKUP(B2511,DONGIA,DG!$B$6,0)</f>
        <v>T4.4202</v>
      </c>
      <c r="F2511" s="329" t="str">
        <f>VLOOKUP(B2511,DONGIA,DG!$C$6,0)</f>
        <v>Lắp cáp đồng xuống thiết bị D ≤ 150mm2</v>
      </c>
      <c r="G2511" s="328" t="str">
        <f>VLOOKUP(B2511,DONGIA,DG!$D$6,0)</f>
        <v>m</v>
      </c>
      <c r="H2511" s="329"/>
      <c r="I2511" s="329">
        <f>VLOOKUP(B2511,DONGIA,DG!$E$6,0)</f>
        <v>0</v>
      </c>
      <c r="J2511" s="329"/>
      <c r="K2511" s="329">
        <f>VLOOKUP(B2511,DONGIA,DG!$F$6,0)</f>
        <v>28433</v>
      </c>
      <c r="L2511" s="329">
        <f>VLOOKUP(B2511,DONGIA,DG!$G$6,0)</f>
        <v>0</v>
      </c>
      <c r="M2511" s="329">
        <f t="shared" si="688"/>
        <v>0</v>
      </c>
      <c r="N2511" s="329">
        <f t="shared" si="689"/>
        <v>0</v>
      </c>
      <c r="O2511" s="329">
        <f t="shared" si="690"/>
        <v>0</v>
      </c>
      <c r="P2511" s="329">
        <f t="shared" si="691"/>
        <v>0</v>
      </c>
      <c r="Q2511" s="329"/>
      <c r="S2511" s="332">
        <f t="shared" si="686"/>
        <v>0</v>
      </c>
      <c r="T2511" s="332">
        <f t="shared" si="692"/>
        <v>0</v>
      </c>
    </row>
    <row r="2512" spans="1:20" hidden="1">
      <c r="C2512" s="333">
        <f>IF(SUM(C2514:C2526)&lt;&gt;0,1,)</f>
        <v>0</v>
      </c>
      <c r="D2512" s="372">
        <f>IF(H2512&lt;&gt;0,D2485+1,D2485)</f>
        <v>0</v>
      </c>
      <c r="E2512" s="372"/>
      <c r="F2512" s="373" t="s">
        <v>2986</v>
      </c>
      <c r="G2512" s="372" t="s">
        <v>138</v>
      </c>
      <c r="H2512" s="372"/>
      <c r="I2512" s="373"/>
      <c r="J2512" s="373"/>
      <c r="K2512" s="373"/>
      <c r="L2512" s="373"/>
      <c r="M2512" s="373"/>
      <c r="N2512" s="373"/>
      <c r="O2512" s="373"/>
      <c r="P2512" s="373"/>
      <c r="Q2512" s="373"/>
      <c r="S2512" s="332">
        <f t="shared" si="686"/>
        <v>0</v>
      </c>
      <c r="T2512" s="332">
        <f t="shared" si="692"/>
        <v>0</v>
      </c>
    </row>
    <row r="2513" spans="1:20" s="361" customFormat="1" hidden="1">
      <c r="C2513" s="374">
        <f>IF(SUM(C2514:C2517)&lt;&gt;0,1,)</f>
        <v>0</v>
      </c>
      <c r="D2513" s="350"/>
      <c r="E2513" s="350"/>
      <c r="F2513" s="351" t="s">
        <v>2939</v>
      </c>
      <c r="G2513" s="350"/>
      <c r="H2513" s="482"/>
      <c r="I2513" s="351"/>
      <c r="J2513" s="351"/>
      <c r="K2513" s="351"/>
      <c r="L2513" s="351"/>
      <c r="M2513" s="351"/>
      <c r="N2513" s="351"/>
      <c r="O2513" s="351"/>
      <c r="P2513" s="351"/>
      <c r="Q2513" s="351"/>
      <c r="S2513" s="361">
        <f t="shared" si="686"/>
        <v>0</v>
      </c>
      <c r="T2513" s="361">
        <f t="shared" si="692"/>
        <v>0</v>
      </c>
    </row>
    <row r="2514" spans="1:20" s="352" customFormat="1" hidden="1">
      <c r="B2514" s="352" t="s">
        <v>294</v>
      </c>
      <c r="C2514" s="484">
        <f>IF(H2514&lt;&gt;0,1,)</f>
        <v>0</v>
      </c>
      <c r="D2514" s="363"/>
      <c r="E2514" s="363" t="str">
        <f>VLOOKUP(B2514,DONGIA,DG!$B$6,0)</f>
        <v>D4.6205</v>
      </c>
      <c r="F2514" s="362" t="str">
        <f>VLOOKUP(B2514,DONGIA,DG!$C$6,0)</f>
        <v>Kẹp ngừng cáp ABC4x95mm2</v>
      </c>
      <c r="G2514" s="363" t="str">
        <f>VLOOKUP(B2514,DONGIA,DG!$D$6,0)</f>
        <v>cái</v>
      </c>
      <c r="H2514" s="362"/>
      <c r="I2514" s="362">
        <f>VLOOKUP(B2514,DONGIA,DG!$E$6,0)</f>
        <v>58000</v>
      </c>
      <c r="J2514" s="362"/>
      <c r="K2514" s="362">
        <f>VLOOKUP(B2514,DONGIA,DG!$F$6,0)</f>
        <v>158070</v>
      </c>
      <c r="L2514" s="362">
        <f>VLOOKUP(B2514,DONGIA,DG!$G$6,0)</f>
        <v>0</v>
      </c>
      <c r="M2514" s="362">
        <f t="shared" ref="M2514:P2517" si="693">$H2514*I2514</f>
        <v>0</v>
      </c>
      <c r="N2514" s="362">
        <f t="shared" si="693"/>
        <v>0</v>
      </c>
      <c r="O2514" s="362">
        <f t="shared" si="693"/>
        <v>0</v>
      </c>
      <c r="P2514" s="362">
        <f t="shared" si="693"/>
        <v>0</v>
      </c>
      <c r="Q2514" s="362"/>
      <c r="S2514" s="352">
        <f t="shared" si="686"/>
        <v>0</v>
      </c>
      <c r="T2514" s="352">
        <f t="shared" si="692"/>
        <v>0</v>
      </c>
    </row>
    <row r="2515" spans="1:20" s="352" customFormat="1" hidden="1">
      <c r="B2515" s="352" t="s">
        <v>119</v>
      </c>
      <c r="C2515" s="484">
        <f>IF(H2515&lt;&gt;0,1,)</f>
        <v>0</v>
      </c>
      <c r="D2515" s="363"/>
      <c r="E2515" s="363">
        <f>VLOOKUP(B2515,DONGIA,DG!$B$6,0)</f>
        <v>0</v>
      </c>
      <c r="F2515" s="362" t="str">
        <f>VLOOKUP(B2515,DONGIA,DG!$C$6,0)</f>
        <v>Boulon móc 16x300+ long đền vuông D18-50x50x3/Zn</v>
      </c>
      <c r="G2515" s="363" t="str">
        <f>VLOOKUP(B2515,DONGIA,DG!$D$6,0)</f>
        <v>bộ</v>
      </c>
      <c r="H2515" s="362"/>
      <c r="I2515" s="362">
        <f>VLOOKUP(B2515,DONGIA,DG!$E$6,0)</f>
        <v>40000</v>
      </c>
      <c r="J2515" s="362"/>
      <c r="K2515" s="362">
        <f>VLOOKUP(B2515,DONGIA,DG!$F$6,0)</f>
        <v>0</v>
      </c>
      <c r="L2515" s="362">
        <f>VLOOKUP(B2515,DONGIA,DG!$G$6,0)</f>
        <v>0</v>
      </c>
      <c r="M2515" s="362">
        <f t="shared" si="693"/>
        <v>0</v>
      </c>
      <c r="N2515" s="362">
        <f t="shared" si="693"/>
        <v>0</v>
      </c>
      <c r="O2515" s="362">
        <f t="shared" si="693"/>
        <v>0</v>
      </c>
      <c r="P2515" s="362">
        <f t="shared" si="693"/>
        <v>0</v>
      </c>
      <c r="Q2515" s="362"/>
      <c r="S2515" s="352">
        <f t="shared" si="686"/>
        <v>0.3</v>
      </c>
      <c r="T2515" s="352">
        <f t="shared" ref="T2515:T2523" si="694">H2515*S2515</f>
        <v>0</v>
      </c>
    </row>
    <row r="2516" spans="1:20" s="352" customFormat="1" hidden="1">
      <c r="B2516" s="352" t="s">
        <v>390</v>
      </c>
      <c r="C2516" s="484">
        <f>IF(H2516&lt;&gt;0,1,)</f>
        <v>0</v>
      </c>
      <c r="D2516" s="363"/>
      <c r="E2516" s="363"/>
      <c r="F2516" s="362" t="str">
        <f>VLOOKUP(B2516,DONGIA,DG!$C$6,0)</f>
        <v>Ống nối dây AC cỡ 95mm2 (Không lõi thép)</v>
      </c>
      <c r="G2516" s="363" t="str">
        <f>VLOOKUP(B2516,DONGIA,DG!$D$6,0)</f>
        <v>cái</v>
      </c>
      <c r="H2516" s="362"/>
      <c r="I2516" s="362">
        <f>VLOOKUP(B2516,DONGIA,DG!$E$6,0)</f>
        <v>48000</v>
      </c>
      <c r="J2516" s="362"/>
      <c r="K2516" s="362"/>
      <c r="L2516" s="362"/>
      <c r="M2516" s="362">
        <f t="shared" si="693"/>
        <v>0</v>
      </c>
      <c r="N2516" s="362">
        <f t="shared" si="693"/>
        <v>0</v>
      </c>
      <c r="O2516" s="362">
        <f t="shared" si="693"/>
        <v>0</v>
      </c>
      <c r="P2516" s="362">
        <f t="shared" si="693"/>
        <v>0</v>
      </c>
      <c r="Q2516" s="362"/>
      <c r="S2516" s="352">
        <f t="shared" si="686"/>
        <v>2.5</v>
      </c>
      <c r="T2516" s="352">
        <f t="shared" si="694"/>
        <v>0</v>
      </c>
    </row>
    <row r="2517" spans="1:20" s="352" customFormat="1" hidden="1">
      <c r="B2517" s="352" t="s">
        <v>396</v>
      </c>
      <c r="C2517" s="484">
        <f>IF(H2517&lt;&gt;0,1,)</f>
        <v>0</v>
      </c>
      <c r="D2517" s="363"/>
      <c r="E2517" s="363">
        <f>VLOOKUP(B2517,DONGIA,DG!$B$6,0)</f>
        <v>0</v>
      </c>
      <c r="F2517" s="362" t="str">
        <f>VLOOKUP(B2517,DONGIA,DG!$C$6,0)</f>
        <v>Ống bọc cách điện D30/15</v>
      </c>
      <c r="G2517" s="363" t="str">
        <f>VLOOKUP(B2517,DONGIA,DG!$D$6,0)</f>
        <v>mét</v>
      </c>
      <c r="H2517" s="362"/>
      <c r="I2517" s="362">
        <f>VLOOKUP(B2517,DONGIA,DG!$E$6,0)</f>
        <v>95000</v>
      </c>
      <c r="J2517" s="362"/>
      <c r="K2517" s="362">
        <f>VLOOKUP(B2517,DONGIA,DG!$F$6,0)</f>
        <v>0</v>
      </c>
      <c r="L2517" s="362">
        <f>VLOOKUP(B2517,DONGIA,DG!$G$6,0)</f>
        <v>0</v>
      </c>
      <c r="M2517" s="362">
        <f t="shared" si="693"/>
        <v>0</v>
      </c>
      <c r="N2517" s="362">
        <f t="shared" si="693"/>
        <v>0</v>
      </c>
      <c r="O2517" s="362">
        <f t="shared" si="693"/>
        <v>0</v>
      </c>
      <c r="P2517" s="362">
        <f t="shared" si="693"/>
        <v>0</v>
      </c>
      <c r="Q2517" s="362"/>
      <c r="S2517" s="352">
        <f t="shared" si="686"/>
        <v>0</v>
      </c>
      <c r="T2517" s="352">
        <f t="shared" si="694"/>
        <v>0</v>
      </c>
    </row>
    <row r="2518" spans="1:20" s="361" customFormat="1" hidden="1">
      <c r="C2518" s="374">
        <f>IF(SUM(C2519:C2522)&lt;&gt;0,1,)</f>
        <v>0</v>
      </c>
      <c r="D2518" s="350"/>
      <c r="E2518" s="350"/>
      <c r="F2518" s="351" t="s">
        <v>2940</v>
      </c>
      <c r="G2518" s="350"/>
      <c r="H2518" s="482"/>
      <c r="I2518" s="351"/>
      <c r="J2518" s="351"/>
      <c r="K2518" s="351"/>
      <c r="L2518" s="351"/>
      <c r="M2518" s="351"/>
      <c r="N2518" s="351"/>
      <c r="O2518" s="351"/>
      <c r="P2518" s="351"/>
      <c r="Q2518" s="351"/>
      <c r="S2518" s="361">
        <f t="shared" si="686"/>
        <v>0</v>
      </c>
      <c r="T2518" s="361">
        <f t="shared" si="694"/>
        <v>0</v>
      </c>
    </row>
    <row r="2519" spans="1:20" s="352" customFormat="1" hidden="1">
      <c r="B2519" s="352" t="s">
        <v>297</v>
      </c>
      <c r="C2519" s="484">
        <f>IF(H2519&lt;&gt;0,1,)</f>
        <v>0</v>
      </c>
      <c r="D2519" s="363"/>
      <c r="E2519" s="363" t="str">
        <f>VLOOKUP(B2519,DONGIA,DG!$B$6,0)</f>
        <v>D4.6205</v>
      </c>
      <c r="F2519" s="362" t="str">
        <f>VLOOKUP(B2519,DONGIA,DG!$C$6,0)</f>
        <v>Kẹp ngừng cáp ABC4x120mm2</v>
      </c>
      <c r="G2519" s="363" t="str">
        <f>VLOOKUP(B2519,DONGIA,DG!$D$6,0)</f>
        <v>cái</v>
      </c>
      <c r="H2519" s="362"/>
      <c r="I2519" s="362">
        <f>VLOOKUP(B2519,DONGIA,DG!$E$6,0)</f>
        <v>74000</v>
      </c>
      <c r="J2519" s="362"/>
      <c r="K2519" s="362">
        <f>VLOOKUP(B2519,DONGIA,DG!$F$6,0)</f>
        <v>158070</v>
      </c>
      <c r="L2519" s="362">
        <f>VLOOKUP(B2519,DONGIA,DG!$G$6,0)</f>
        <v>0</v>
      </c>
      <c r="M2519" s="362">
        <f t="shared" ref="M2519:P2523" si="695">$H2519*I2519</f>
        <v>0</v>
      </c>
      <c r="N2519" s="362">
        <f t="shared" si="695"/>
        <v>0</v>
      </c>
      <c r="O2519" s="362">
        <f t="shared" si="695"/>
        <v>0</v>
      </c>
      <c r="P2519" s="362">
        <f t="shared" si="695"/>
        <v>0</v>
      </c>
      <c r="Q2519" s="362"/>
      <c r="S2519" s="352">
        <f t="shared" si="686"/>
        <v>0</v>
      </c>
      <c r="T2519" s="352">
        <f t="shared" si="694"/>
        <v>0</v>
      </c>
    </row>
    <row r="2520" spans="1:20" s="352" customFormat="1" hidden="1">
      <c r="B2520" s="352" t="s">
        <v>119</v>
      </c>
      <c r="C2520" s="484">
        <f>IF(H2520&lt;&gt;0,1,)</f>
        <v>0</v>
      </c>
      <c r="D2520" s="363"/>
      <c r="E2520" s="363">
        <f>VLOOKUP(B2520,DONGIA,DG!$B$6,0)</f>
        <v>0</v>
      </c>
      <c r="F2520" s="362" t="str">
        <f>VLOOKUP(B2520,DONGIA,DG!$C$6,0)</f>
        <v>Boulon móc 16x300+ long đền vuông D18-50x50x3/Zn</v>
      </c>
      <c r="G2520" s="363" t="str">
        <f>VLOOKUP(B2520,DONGIA,DG!$D$6,0)</f>
        <v>bộ</v>
      </c>
      <c r="H2520" s="362"/>
      <c r="I2520" s="362">
        <f>VLOOKUP(B2520,DONGIA,DG!$E$6,0)</f>
        <v>40000</v>
      </c>
      <c r="J2520" s="362"/>
      <c r="K2520" s="362">
        <f>VLOOKUP(B2520,DONGIA,DG!$F$6,0)</f>
        <v>0</v>
      </c>
      <c r="L2520" s="362">
        <f>VLOOKUP(B2520,DONGIA,DG!$G$6,0)</f>
        <v>0</v>
      </c>
      <c r="M2520" s="362">
        <f t="shared" si="695"/>
        <v>0</v>
      </c>
      <c r="N2520" s="362">
        <f t="shared" si="695"/>
        <v>0</v>
      </c>
      <c r="O2520" s="362">
        <f t="shared" si="695"/>
        <v>0</v>
      </c>
      <c r="P2520" s="362">
        <f t="shared" si="695"/>
        <v>0</v>
      </c>
      <c r="Q2520" s="362"/>
      <c r="S2520" s="352">
        <f t="shared" si="686"/>
        <v>0.3</v>
      </c>
      <c r="T2520" s="352">
        <f t="shared" si="694"/>
        <v>0</v>
      </c>
    </row>
    <row r="2521" spans="1:20" s="352" customFormat="1" hidden="1">
      <c r="B2521" s="352" t="s">
        <v>391</v>
      </c>
      <c r="C2521" s="484">
        <f>IF(H2521&lt;&gt;0,1,)</f>
        <v>0</v>
      </c>
      <c r="D2521" s="363"/>
      <c r="E2521" s="363"/>
      <c r="F2521" s="362" t="str">
        <f>VLOOKUP(B2521,DONGIA,DG!$C$6,0)</f>
        <v>Ống nối dây AC cỡ 120mm2 (Không lõi thép)</v>
      </c>
      <c r="G2521" s="363" t="str">
        <f>VLOOKUP(B2521,DONGIA,DG!$D$6,0)</f>
        <v>cái</v>
      </c>
      <c r="H2521" s="362"/>
      <c r="I2521" s="362">
        <f>VLOOKUP(B2521,DONGIA,DG!$E$6,0)</f>
        <v>69000</v>
      </c>
      <c r="J2521" s="362"/>
      <c r="K2521" s="362"/>
      <c r="L2521" s="362"/>
      <c r="M2521" s="362">
        <f t="shared" si="695"/>
        <v>0</v>
      </c>
      <c r="N2521" s="362">
        <f t="shared" si="695"/>
        <v>0</v>
      </c>
      <c r="O2521" s="362">
        <f t="shared" si="695"/>
        <v>0</v>
      </c>
      <c r="P2521" s="362">
        <f t="shared" si="695"/>
        <v>0</v>
      </c>
      <c r="Q2521" s="362"/>
      <c r="S2521" s="352">
        <f t="shared" si="686"/>
        <v>2</v>
      </c>
      <c r="T2521" s="352">
        <f t="shared" si="694"/>
        <v>0</v>
      </c>
    </row>
    <row r="2522" spans="1:20" s="352" customFormat="1" hidden="1">
      <c r="B2522" s="352" t="s">
        <v>396</v>
      </c>
      <c r="C2522" s="484">
        <f>IF(H2522&lt;&gt;0,1,)</f>
        <v>0</v>
      </c>
      <c r="D2522" s="363"/>
      <c r="E2522" s="363">
        <f>VLOOKUP(B2522,DONGIA,DG!$B$6,0)</f>
        <v>0</v>
      </c>
      <c r="F2522" s="362" t="str">
        <f>VLOOKUP(B2522,DONGIA,DG!$C$6,0)</f>
        <v>Ống bọc cách điện D30/15</v>
      </c>
      <c r="G2522" s="363" t="str">
        <f>VLOOKUP(B2522,DONGIA,DG!$D$6,0)</f>
        <v>mét</v>
      </c>
      <c r="H2522" s="362"/>
      <c r="I2522" s="362">
        <f>VLOOKUP(B2522,DONGIA,DG!$E$6,0)</f>
        <v>95000</v>
      </c>
      <c r="J2522" s="362"/>
      <c r="K2522" s="362">
        <f>VLOOKUP(B2522,DONGIA,DG!$F$6,0)</f>
        <v>0</v>
      </c>
      <c r="L2522" s="362">
        <f>VLOOKUP(B2522,DONGIA,DG!$G$6,0)</f>
        <v>0</v>
      </c>
      <c r="M2522" s="362">
        <f t="shared" si="695"/>
        <v>0</v>
      </c>
      <c r="N2522" s="362">
        <f t="shared" si="695"/>
        <v>0</v>
      </c>
      <c r="O2522" s="362">
        <f t="shared" si="695"/>
        <v>0</v>
      </c>
      <c r="P2522" s="362">
        <f t="shared" si="695"/>
        <v>0</v>
      </c>
      <c r="Q2522" s="362"/>
      <c r="S2522" s="352">
        <f t="shared" si="686"/>
        <v>0</v>
      </c>
      <c r="T2522" s="352">
        <f t="shared" si="694"/>
        <v>0</v>
      </c>
    </row>
    <row r="2523" spans="1:20" hidden="1">
      <c r="B2523" s="332" t="s">
        <v>1058</v>
      </c>
      <c r="C2523" s="333">
        <f>IF(H2523&lt;&gt;0,1,)</f>
        <v>0</v>
      </c>
      <c r="D2523" s="372">
        <f>IF(H2523&lt;&gt;0,D2512+1,D2512)</f>
        <v>0</v>
      </c>
      <c r="E2523" s="372">
        <f>VLOOKUP(B2523,DONGIA,DG!$B$6,0)</f>
        <v>0</v>
      </c>
      <c r="F2523" s="373" t="str">
        <f>VLOOKUP(B2523,DONGIA,DG!$C$6,0)</f>
        <v>Bảng tên trạm + bulon</v>
      </c>
      <c r="G2523" s="372" t="str">
        <f>VLOOKUP(B2523,DONGIA,DG!$D$6,0)</f>
        <v>bộ</v>
      </c>
      <c r="H2523" s="373">
        <f>T3P160</f>
        <v>0</v>
      </c>
      <c r="I2523" s="473">
        <f>VLOOKUP(B2523,DONGIA,DG!$E$6,0)</f>
        <v>150000</v>
      </c>
      <c r="J2523" s="473"/>
      <c r="K2523" s="473">
        <f>VLOOKUP(B2523,DONGIA,DG!$F$6,0)</f>
        <v>0</v>
      </c>
      <c r="L2523" s="473">
        <f>VLOOKUP(B2523,DONGIA,DG!$G$6,0)</f>
        <v>0</v>
      </c>
      <c r="M2523" s="473">
        <f t="shared" si="695"/>
        <v>0</v>
      </c>
      <c r="N2523" s="473">
        <f t="shared" si="695"/>
        <v>0</v>
      </c>
      <c r="O2523" s="473">
        <f t="shared" si="695"/>
        <v>0</v>
      </c>
      <c r="P2523" s="473">
        <f t="shared" si="695"/>
        <v>0</v>
      </c>
      <c r="Q2523" s="473"/>
      <c r="S2523" s="332">
        <f t="shared" si="686"/>
        <v>0</v>
      </c>
      <c r="T2523" s="332">
        <f t="shared" si="694"/>
        <v>0</v>
      </c>
    </row>
    <row r="2524" spans="1:20" hidden="1">
      <c r="A2524" s="332" t="s">
        <v>2839</v>
      </c>
      <c r="C2524" s="333">
        <f>C2525</f>
        <v>0</v>
      </c>
      <c r="D2524" s="369"/>
      <c r="E2524" s="369" t="str">
        <f>T3P160N&amp;" Trạm 3 pha 160kVA (trạm ngồi)"</f>
        <v>0 Trạm 3 pha 160kVA (trạm ngồi)</v>
      </c>
      <c r="F2524" s="369"/>
      <c r="G2524" s="369"/>
      <c r="H2524" s="369"/>
      <c r="I2524" s="369"/>
      <c r="J2524" s="369"/>
      <c r="K2524" s="369"/>
      <c r="L2524" s="369"/>
      <c r="M2524" s="369"/>
      <c r="N2524" s="369"/>
      <c r="O2524" s="369"/>
      <c r="P2524" s="369"/>
      <c r="Q2524" s="369"/>
    </row>
    <row r="2525" spans="1:20" hidden="1">
      <c r="A2525" s="332" t="str">
        <f>"TB"&amp;A2524</f>
        <v>TBT3P160N</v>
      </c>
      <c r="C2525" s="333">
        <f>IF(M2525&lt;&gt;0,1,)</f>
        <v>0</v>
      </c>
      <c r="D2525" s="344"/>
      <c r="E2525" s="344"/>
      <c r="F2525" s="345" t="s">
        <v>1900</v>
      </c>
      <c r="G2525" s="344"/>
      <c r="H2525" s="345"/>
      <c r="I2525" s="345"/>
      <c r="J2525" s="345"/>
      <c r="K2525" s="345"/>
      <c r="L2525" s="345"/>
      <c r="M2525" s="345">
        <f>SUM(M2526:M2532)</f>
        <v>0</v>
      </c>
      <c r="N2525" s="345">
        <f>SUM(N2526:N2532)</f>
        <v>0</v>
      </c>
      <c r="O2525" s="345">
        <f>SUM(O2526:O2532)</f>
        <v>0</v>
      </c>
      <c r="P2525" s="345">
        <f>SUM(P2526:P2532)</f>
        <v>0</v>
      </c>
      <c r="Q2525" s="345"/>
      <c r="S2525" s="332">
        <f t="shared" ref="S2525:S2535" si="696">IFERROR(VLOOKUP(B2525,DONGIA,$S$25,0),0)</f>
        <v>0</v>
      </c>
      <c r="T2525" s="370">
        <f>SUM(T2526:T2532)</f>
        <v>0</v>
      </c>
    </row>
    <row r="2526" spans="1:20" hidden="1">
      <c r="A2526" s="332" t="s">
        <v>477</v>
      </c>
      <c r="B2526" s="332" t="s">
        <v>907</v>
      </c>
      <c r="C2526" s="333">
        <f t="shared" si="687"/>
        <v>0</v>
      </c>
      <c r="D2526" s="329">
        <v>0</v>
      </c>
      <c r="E2526" s="328" t="str">
        <f>VLOOKUP(B2526,DONGIA,DG!$B$6,0)</f>
        <v>T1.1414</v>
      </c>
      <c r="F2526" s="329" t="str">
        <f>VLOOKUP(B2526,DONGIA,DG!$C$6,0)</f>
        <v>Máy biến áp 22/0,4kV- 160kVA</v>
      </c>
      <c r="G2526" s="328" t="str">
        <f>VLOOKUP(B2526,DONGIA,DG!$D$6,0)</f>
        <v>máy</v>
      </c>
      <c r="H2526" s="329">
        <f>T3P160N</f>
        <v>0</v>
      </c>
      <c r="I2526" s="329">
        <f>VLOOKUP(B2526,DONGIA,DG!$E$6,0)</f>
        <v>0</v>
      </c>
      <c r="J2526" s="329"/>
      <c r="K2526" s="329">
        <f>VLOOKUP(B2526,DONGIA,DG!$F$6,0)</f>
        <v>1282588</v>
      </c>
      <c r="L2526" s="329">
        <f>VLOOKUP(B2526,DONGIA,DG!$G$6,0)</f>
        <v>360605</v>
      </c>
      <c r="M2526" s="329">
        <f t="shared" ref="M2526:M2532" si="697">$H2526*I2526</f>
        <v>0</v>
      </c>
      <c r="N2526" s="329">
        <f t="shared" ref="N2526:N2532" si="698">$H2526*J2526</f>
        <v>0</v>
      </c>
      <c r="O2526" s="329">
        <f t="shared" ref="O2526:O2532" si="699">$H2526*K2526</f>
        <v>0</v>
      </c>
      <c r="P2526" s="329">
        <f t="shared" ref="P2526:P2532" si="700">$H2526*L2526</f>
        <v>0</v>
      </c>
      <c r="Q2526" s="329"/>
      <c r="S2526" s="332">
        <f t="shared" si="696"/>
        <v>904</v>
      </c>
      <c r="T2526" s="332">
        <f t="shared" ref="T2526:T2535" si="701">H2526*S2526</f>
        <v>0</v>
      </c>
    </row>
    <row r="2527" spans="1:20" hidden="1">
      <c r="A2527" s="332" t="s">
        <v>477</v>
      </c>
      <c r="B2527" s="332" t="s">
        <v>1444</v>
      </c>
      <c r="C2527" s="333">
        <f t="shared" si="687"/>
        <v>0</v>
      </c>
      <c r="D2527" s="329">
        <v>0</v>
      </c>
      <c r="E2527" s="328" t="str">
        <f>VLOOKUP(B2527,DONGIA,DG!$B$6,0)</f>
        <v>T2.3505</v>
      </c>
      <c r="F2527" s="329" t="str">
        <f>VLOOKUP(B2527,DONGIA,DG!$C$6,0)</f>
        <v>FCO 27kV - 100A</v>
      </c>
      <c r="G2527" s="328" t="str">
        <f>VLOOKUP(B2527,DONGIA,DG!$D$6,0)</f>
        <v>cái</v>
      </c>
      <c r="H2527" s="329">
        <f>T3P160N*3</f>
        <v>0</v>
      </c>
      <c r="I2527" s="329">
        <f>VLOOKUP(B2527,DONGIA,DG!$E$6,0)</f>
        <v>1070000</v>
      </c>
      <c r="J2527" s="329"/>
      <c r="K2527" s="329">
        <f>VLOOKUP(B2527,DONGIA,DG!$F$6,0)</f>
        <v>189552</v>
      </c>
      <c r="L2527" s="329">
        <f>VLOOKUP(B2527,DONGIA,DG!$G$6,0)</f>
        <v>0</v>
      </c>
      <c r="M2527" s="329">
        <f t="shared" si="697"/>
        <v>0</v>
      </c>
      <c r="N2527" s="329">
        <f t="shared" si="698"/>
        <v>0</v>
      </c>
      <c r="O2527" s="329">
        <f t="shared" si="699"/>
        <v>0</v>
      </c>
      <c r="P2527" s="329">
        <f t="shared" si="700"/>
        <v>0</v>
      </c>
      <c r="Q2527" s="329"/>
      <c r="S2527" s="332">
        <f t="shared" si="696"/>
        <v>1.5</v>
      </c>
      <c r="T2527" s="332">
        <f t="shared" si="701"/>
        <v>0</v>
      </c>
    </row>
    <row r="2528" spans="1:20" hidden="1">
      <c r="A2528" s="332" t="s">
        <v>477</v>
      </c>
      <c r="B2528" s="332" t="s">
        <v>943</v>
      </c>
      <c r="C2528" s="333">
        <f t="shared" si="687"/>
        <v>0</v>
      </c>
      <c r="D2528" s="329">
        <v>0</v>
      </c>
      <c r="E2528" s="328" t="str">
        <f>VLOOKUP(B2528,DONGIA,DG!$B$6,0)</f>
        <v>T2.5004</v>
      </c>
      <c r="F2528" s="329" t="str">
        <f>VLOOKUP(B2528,DONGIA,DG!$C$6,0)</f>
        <v>LA 18kV 10kA</v>
      </c>
      <c r="G2528" s="328" t="str">
        <f>VLOOKUP(B2528,DONGIA,DG!$D$6,0)</f>
        <v>cái</v>
      </c>
      <c r="H2528" s="329">
        <f>T3P160N*3</f>
        <v>0</v>
      </c>
      <c r="I2528" s="329">
        <f>VLOOKUP(B2528,DONGIA,DG!$E$6,0)</f>
        <v>875000</v>
      </c>
      <c r="J2528" s="329"/>
      <c r="K2528" s="329">
        <f>VLOOKUP(B2528,DONGIA,DG!$F$6,0)</f>
        <v>71082</v>
      </c>
      <c r="L2528" s="329">
        <f>VLOOKUP(B2528,DONGIA,DG!$G$6,0)</f>
        <v>0</v>
      </c>
      <c r="M2528" s="329">
        <f t="shared" si="697"/>
        <v>0</v>
      </c>
      <c r="N2528" s="329">
        <f t="shared" si="698"/>
        <v>0</v>
      </c>
      <c r="O2528" s="329">
        <f t="shared" si="699"/>
        <v>0</v>
      </c>
      <c r="P2528" s="329">
        <f t="shared" si="700"/>
        <v>0</v>
      </c>
      <c r="Q2528" s="329"/>
      <c r="S2528" s="332">
        <f t="shared" si="696"/>
        <v>0.8</v>
      </c>
      <c r="T2528" s="332">
        <f t="shared" si="701"/>
        <v>0</v>
      </c>
    </row>
    <row r="2529" spans="1:20" hidden="1">
      <c r="A2529" s="332" t="s">
        <v>477</v>
      </c>
      <c r="B2529" s="332" t="s">
        <v>2064</v>
      </c>
      <c r="C2529" s="333">
        <f t="shared" si="687"/>
        <v>0</v>
      </c>
      <c r="D2529" s="329">
        <v>0</v>
      </c>
      <c r="E2529" s="328"/>
      <c r="F2529" s="329" t="str">
        <f>VLOOKUP(B2529,DONGIA,DG!$C$6,0)</f>
        <v>MCCB 3 cực 600V - 320A - 35KA (200-320A)</v>
      </c>
      <c r="G2529" s="328" t="str">
        <f>VLOOKUP(B2529,DONGIA,DG!$D$6,0)</f>
        <v>cái</v>
      </c>
      <c r="H2529" s="329">
        <f>T3P160N</f>
        <v>0</v>
      </c>
      <c r="I2529" s="329">
        <f>VLOOKUP(B2529,DONGIA,DG!$E$6,0)</f>
        <v>5560000</v>
      </c>
      <c r="J2529" s="329"/>
      <c r="K2529" s="329"/>
      <c r="L2529" s="329">
        <f>VLOOKUP(B2529,DONGIA,DG!$G$6,0)</f>
        <v>0</v>
      </c>
      <c r="M2529" s="329">
        <f t="shared" si="697"/>
        <v>0</v>
      </c>
      <c r="N2529" s="329">
        <f t="shared" si="698"/>
        <v>0</v>
      </c>
      <c r="O2529" s="329">
        <f t="shared" si="699"/>
        <v>0</v>
      </c>
      <c r="P2529" s="329">
        <f t="shared" si="700"/>
        <v>0</v>
      </c>
      <c r="Q2529" s="329"/>
      <c r="S2529" s="332">
        <f t="shared" si="696"/>
        <v>3</v>
      </c>
      <c r="T2529" s="332">
        <f t="shared" si="701"/>
        <v>0</v>
      </c>
    </row>
    <row r="2530" spans="1:20" hidden="1">
      <c r="A2530" s="332" t="s">
        <v>477</v>
      </c>
      <c r="B2530" s="332" t="s">
        <v>995</v>
      </c>
      <c r="C2530" s="333">
        <f>IF(H2530&lt;&gt;0,1,)</f>
        <v>0</v>
      </c>
      <c r="D2530" s="329"/>
      <c r="E2530" s="328"/>
      <c r="F2530" s="329" t="str">
        <f>VLOOKUP(B2530,DONGIA,DG!$C$6,0)&amp;" (Phân đoạn)"</f>
        <v>MCCB 3 cực 400V - 200A - 35KA (125-200A) (Phân đoạn)</v>
      </c>
      <c r="G2530" s="328" t="str">
        <f>VLOOKUP(B2530,DONGIA,DG!$D$6,0)</f>
        <v>cái</v>
      </c>
      <c r="H2530" s="329">
        <f>T3P160N*2</f>
        <v>0</v>
      </c>
      <c r="I2530" s="329">
        <f>VLOOKUP(B2530,DONGIA,DG!$E$6,0)</f>
        <v>1440000</v>
      </c>
      <c r="J2530" s="329"/>
      <c r="K2530" s="329"/>
      <c r="L2530" s="329">
        <f>VLOOKUP(B2530,DONGIA,DG!$G$6,0)</f>
        <v>0</v>
      </c>
      <c r="M2530" s="329">
        <f>$H2530*I2530</f>
        <v>0</v>
      </c>
      <c r="N2530" s="329">
        <f>$H2530*J2530</f>
        <v>0</v>
      </c>
      <c r="O2530" s="329">
        <f>$H2530*K2530</f>
        <v>0</v>
      </c>
      <c r="P2530" s="329">
        <f>$H2530*L2530</f>
        <v>0</v>
      </c>
      <c r="Q2530" s="329"/>
      <c r="S2530" s="332">
        <f>IFERROR(VLOOKUP(B2530,DONGIA,$S$25,0),0)</f>
        <v>2</v>
      </c>
      <c r="T2530" s="332">
        <f>H2530*S2530</f>
        <v>0</v>
      </c>
    </row>
    <row r="2531" spans="1:20" hidden="1">
      <c r="A2531" s="332" t="s">
        <v>477</v>
      </c>
      <c r="B2531" s="332" t="s">
        <v>954</v>
      </c>
      <c r="C2531" s="333">
        <f t="shared" si="687"/>
        <v>0</v>
      </c>
      <c r="D2531" s="329">
        <v>0</v>
      </c>
      <c r="E2531" s="328">
        <f>VLOOKUP(B2531,DONGIA,DG!$B$6,0)</f>
        <v>0</v>
      </c>
      <c r="F2531" s="329" t="str">
        <f>VLOOKUP(B2531,DONGIA,DG!$C$6,0)</f>
        <v>Biến dòng 600V - 250/5A</v>
      </c>
      <c r="G2531" s="328" t="str">
        <f>VLOOKUP(B2531,DONGIA,DG!$D$6,0)</f>
        <v>cái</v>
      </c>
      <c r="H2531" s="329">
        <f>T3P160N*3</f>
        <v>0</v>
      </c>
      <c r="I2531" s="329">
        <f>VLOOKUP(B2531,DONGIA,DG!$E$6,0)</f>
        <v>0</v>
      </c>
      <c r="J2531" s="329"/>
      <c r="K2531" s="329">
        <f>VLOOKUP(B2531,DONGIA,DG!$F$6,0)</f>
        <v>0</v>
      </c>
      <c r="L2531" s="329">
        <f>VLOOKUP(B2531,DONGIA,DG!$G$6,0)</f>
        <v>0</v>
      </c>
      <c r="M2531" s="329">
        <f t="shared" si="697"/>
        <v>0</v>
      </c>
      <c r="N2531" s="329">
        <f t="shared" si="698"/>
        <v>0</v>
      </c>
      <c r="O2531" s="329">
        <f t="shared" si="699"/>
        <v>0</v>
      </c>
      <c r="P2531" s="329">
        <f t="shared" si="700"/>
        <v>0</v>
      </c>
      <c r="Q2531" s="329"/>
      <c r="S2531" s="332">
        <f t="shared" si="696"/>
        <v>1</v>
      </c>
      <c r="T2531" s="332">
        <f t="shared" si="701"/>
        <v>0</v>
      </c>
    </row>
    <row r="2532" spans="1:20" hidden="1">
      <c r="A2532" s="332" t="s">
        <v>477</v>
      </c>
      <c r="B2532" s="332" t="s">
        <v>1050</v>
      </c>
      <c r="C2532" s="333">
        <f t="shared" si="687"/>
        <v>0</v>
      </c>
      <c r="D2532" s="329">
        <v>0</v>
      </c>
      <c r="E2532" s="328">
        <f>VLOOKUP(B2532,DONGIA,DG!$B$6,0)</f>
        <v>0</v>
      </c>
      <c r="F2532" s="329" t="str">
        <f>VLOOKUP(B2532,DONGIA,DG!$C$6,0)</f>
        <v>Điện năng kế 3 pha 380V-5A</v>
      </c>
      <c r="G2532" s="328" t="str">
        <f>VLOOKUP(B2532,DONGIA,DG!$D$6,0)</f>
        <v>cái</v>
      </c>
      <c r="H2532" s="329">
        <f>T3P160N</f>
        <v>0</v>
      </c>
      <c r="I2532" s="329">
        <f>VLOOKUP(B2532,DONGIA,DG!$E$6,0)</f>
        <v>0</v>
      </c>
      <c r="J2532" s="329"/>
      <c r="K2532" s="329">
        <f>VLOOKUP(B2532,DONGIA,DG!$F$6,0)</f>
        <v>0</v>
      </c>
      <c r="L2532" s="329">
        <f>VLOOKUP(B2532,DONGIA,DG!$G$6,0)</f>
        <v>0</v>
      </c>
      <c r="M2532" s="329">
        <f t="shared" si="697"/>
        <v>0</v>
      </c>
      <c r="N2532" s="329">
        <f t="shared" si="698"/>
        <v>0</v>
      </c>
      <c r="O2532" s="329">
        <f t="shared" si="699"/>
        <v>0</v>
      </c>
      <c r="P2532" s="329">
        <f t="shared" si="700"/>
        <v>0</v>
      </c>
      <c r="Q2532" s="329"/>
      <c r="S2532" s="332">
        <f t="shared" si="696"/>
        <v>0</v>
      </c>
      <c r="T2532" s="332">
        <f t="shared" si="701"/>
        <v>0</v>
      </c>
    </row>
    <row r="2533" spans="1:20" hidden="1">
      <c r="A2533" s="332" t="str">
        <f>"VL"&amp;A2524</f>
        <v>VLT3P160N</v>
      </c>
      <c r="C2533" s="333">
        <f>IF(M2533&lt;&gt;0,1,)</f>
        <v>0</v>
      </c>
      <c r="D2533" s="344"/>
      <c r="E2533" s="344"/>
      <c r="F2533" s="345" t="s">
        <v>1901</v>
      </c>
      <c r="G2533" s="344"/>
      <c r="H2533" s="345"/>
      <c r="I2533" s="345"/>
      <c r="J2533" s="345"/>
      <c r="K2533" s="345"/>
      <c r="L2533" s="345"/>
      <c r="M2533" s="345">
        <f>SUM(M2534:M2745)</f>
        <v>0</v>
      </c>
      <c r="N2533" s="345">
        <f>SUM(N2534:N2745)</f>
        <v>0</v>
      </c>
      <c r="O2533" s="345">
        <f>SUM(O2534:O2745)</f>
        <v>0</v>
      </c>
      <c r="P2533" s="345">
        <f>SUM(P2534:P2745)</f>
        <v>0</v>
      </c>
      <c r="Q2533" s="345"/>
      <c r="S2533" s="332">
        <f t="shared" si="696"/>
        <v>0</v>
      </c>
      <c r="T2533" s="370">
        <f>SUM(T2534:T2727)</f>
        <v>0</v>
      </c>
    </row>
    <row r="2534" spans="1:20" hidden="1">
      <c r="A2534" s="332" t="s">
        <v>477</v>
      </c>
      <c r="C2534" s="333">
        <f t="shared" si="687"/>
        <v>0</v>
      </c>
      <c r="D2534" s="372">
        <f>IF(H2534&lt;&gt;0,1,)</f>
        <v>0</v>
      </c>
      <c r="E2534" s="372"/>
      <c r="F2534" s="373" t="s">
        <v>2834</v>
      </c>
      <c r="G2534" s="372" t="s">
        <v>1665</v>
      </c>
      <c r="H2534" s="372">
        <f>T3P160N</f>
        <v>0</v>
      </c>
      <c r="I2534" s="373"/>
      <c r="J2534" s="373"/>
      <c r="K2534" s="373"/>
      <c r="L2534" s="373"/>
      <c r="M2534" s="373"/>
      <c r="N2534" s="373"/>
      <c r="O2534" s="373"/>
      <c r="P2534" s="373"/>
      <c r="Q2534" s="373"/>
      <c r="S2534" s="332">
        <f t="shared" si="696"/>
        <v>0</v>
      </c>
      <c r="T2534" s="332">
        <f t="shared" si="701"/>
        <v>0</v>
      </c>
    </row>
    <row r="2535" spans="1:20" s="361" customFormat="1" hidden="1">
      <c r="A2535" s="361" t="s">
        <v>477</v>
      </c>
      <c r="C2535" s="374">
        <f>C2534</f>
        <v>0</v>
      </c>
      <c r="D2535" s="351"/>
      <c r="E2535" s="351"/>
      <c r="F2535" s="351" t="s">
        <v>1902</v>
      </c>
      <c r="G2535" s="350"/>
      <c r="H2535" s="351"/>
      <c r="I2535" s="351"/>
      <c r="J2535" s="351"/>
      <c r="K2535" s="351"/>
      <c r="L2535" s="351"/>
      <c r="M2535" s="351"/>
      <c r="N2535" s="351"/>
      <c r="O2535" s="351"/>
      <c r="P2535" s="351"/>
      <c r="Q2535" s="351"/>
      <c r="S2535" s="361">
        <f t="shared" si="696"/>
        <v>0</v>
      </c>
      <c r="T2535" s="361">
        <f t="shared" si="701"/>
        <v>0</v>
      </c>
    </row>
    <row r="2536" spans="1:20" hidden="1">
      <c r="A2536" s="332" t="s">
        <v>477</v>
      </c>
      <c r="B2536" s="332" t="s">
        <v>1010</v>
      </c>
      <c r="C2536" s="333">
        <f t="shared" ref="C2536:C2544" si="702">IF(H2536&lt;&gt;0,1,)</f>
        <v>0</v>
      </c>
      <c r="D2536" s="329">
        <v>0</v>
      </c>
      <c r="E2536" s="328">
        <f>VLOOKUP(B2536,DONGIA,DG!$B$6,0)</f>
        <v>0</v>
      </c>
      <c r="F2536" s="329" t="str">
        <f>VLOOKUP(B2536,DONGIA,DG!$C$6,0)</f>
        <v>Dây chảy 6K</v>
      </c>
      <c r="G2536" s="328" t="str">
        <f>VLOOKUP(B2536,DONGIA,DG!$D$6,0)</f>
        <v>Sợi</v>
      </c>
      <c r="H2536" s="329">
        <f>H2534*3</f>
        <v>0</v>
      </c>
      <c r="I2536" s="329">
        <f>VLOOKUP(B2536,DONGIA,DG!$E$6,0)</f>
        <v>47000</v>
      </c>
      <c r="J2536" s="329"/>
      <c r="K2536" s="329">
        <f>VLOOKUP(B2536,DONGIA,DG!$F$6,0)</f>
        <v>0</v>
      </c>
      <c r="L2536" s="329">
        <f>VLOOKUP(B2536,DONGIA,DG!$G$6,0)</f>
        <v>0</v>
      </c>
      <c r="M2536" s="329">
        <f t="shared" ref="M2536:P2539" si="703">$H2536*I2536</f>
        <v>0</v>
      </c>
      <c r="N2536" s="329">
        <f t="shared" si="703"/>
        <v>0</v>
      </c>
      <c r="O2536" s="329">
        <f t="shared" si="703"/>
        <v>0</v>
      </c>
      <c r="P2536" s="329">
        <f t="shared" si="703"/>
        <v>0</v>
      </c>
      <c r="Q2536" s="329"/>
      <c r="S2536" s="332">
        <f t="shared" ref="S2536:S2553" si="704">IFERROR(VLOOKUP(B2536,DONGIA,$S$25,0),0)</f>
        <v>0</v>
      </c>
      <c r="T2536" s="332">
        <f t="shared" ref="T2536:T2553" si="705">H2536*S2536</f>
        <v>0</v>
      </c>
    </row>
    <row r="2537" spans="1:20" hidden="1">
      <c r="A2537" s="332" t="s">
        <v>477</v>
      </c>
      <c r="B2537" s="332" t="s">
        <v>135</v>
      </c>
      <c r="C2537" s="333">
        <f t="shared" si="702"/>
        <v>0</v>
      </c>
      <c r="D2537" s="329"/>
      <c r="E2537" s="328">
        <f>VLOOKUP(B2537,DONGIA,DG!$B$6,0)</f>
        <v>0</v>
      </c>
      <c r="F2537" s="329" t="str">
        <f>VLOOKUP(B2537,DONGIA,DG!$C$6,0)</f>
        <v>Chụp đầu cực MBA</v>
      </c>
      <c r="G2537" s="328" t="str">
        <f>VLOOKUP(B2537,DONGIA,DG!$D$6,0)</f>
        <v>cái</v>
      </c>
      <c r="H2537" s="329">
        <f>H2534*3</f>
        <v>0</v>
      </c>
      <c r="I2537" s="329">
        <f>VLOOKUP(B2537,DONGIA,DG!$E$6,0)</f>
        <v>52000</v>
      </c>
      <c r="J2537" s="329"/>
      <c r="K2537" s="329">
        <f>VLOOKUP(B2537,DONGIA,DG!$F$6,0)</f>
        <v>0</v>
      </c>
      <c r="L2537" s="329">
        <f>VLOOKUP(B2537,DONGIA,DG!$G$6,0)</f>
        <v>0</v>
      </c>
      <c r="M2537" s="329">
        <f t="shared" si="703"/>
        <v>0</v>
      </c>
      <c r="N2537" s="329">
        <f t="shared" si="703"/>
        <v>0</v>
      </c>
      <c r="O2537" s="329">
        <f t="shared" si="703"/>
        <v>0</v>
      </c>
      <c r="P2537" s="329">
        <f t="shared" si="703"/>
        <v>0</v>
      </c>
      <c r="Q2537" s="329"/>
      <c r="S2537" s="332">
        <f t="shared" si="704"/>
        <v>0</v>
      </c>
      <c r="T2537" s="332">
        <f t="shared" si="705"/>
        <v>0</v>
      </c>
    </row>
    <row r="2538" spans="1:20" hidden="1">
      <c r="A2538" s="332" t="s">
        <v>477</v>
      </c>
      <c r="B2538" s="332" t="s">
        <v>131</v>
      </c>
      <c r="C2538" s="333">
        <f t="shared" si="702"/>
        <v>0</v>
      </c>
      <c r="D2538" s="329"/>
      <c r="E2538" s="328">
        <f>VLOOKUP(B2538,DONGIA,DG!$B$6,0)</f>
        <v>0</v>
      </c>
      <c r="F2538" s="329" t="str">
        <f>VLOOKUP(B2538,DONGIA,DG!$C$6,0)</f>
        <v>Chụp đầu FCO (Trên + Dưới)</v>
      </c>
      <c r="G2538" s="328" t="str">
        <f>VLOOKUP(B2538,DONGIA,DG!$D$6,0)</f>
        <v>bộ</v>
      </c>
      <c r="H2538" s="329">
        <f>H2534*3</f>
        <v>0</v>
      </c>
      <c r="I2538" s="329">
        <f>VLOOKUP(B2538,DONGIA,DG!$E$6,0)</f>
        <v>190000</v>
      </c>
      <c r="J2538" s="329"/>
      <c r="K2538" s="329">
        <f>VLOOKUP(B2538,DONGIA,DG!$F$6,0)</f>
        <v>0</v>
      </c>
      <c r="L2538" s="329">
        <f>VLOOKUP(B2538,DONGIA,DG!$G$6,0)</f>
        <v>0</v>
      </c>
      <c r="M2538" s="329">
        <f t="shared" si="703"/>
        <v>0</v>
      </c>
      <c r="N2538" s="329">
        <f t="shared" si="703"/>
        <v>0</v>
      </c>
      <c r="O2538" s="329">
        <f t="shared" si="703"/>
        <v>0</v>
      </c>
      <c r="P2538" s="329">
        <f t="shared" si="703"/>
        <v>0</v>
      </c>
      <c r="Q2538" s="329"/>
      <c r="S2538" s="332">
        <f t="shared" si="704"/>
        <v>0</v>
      </c>
      <c r="T2538" s="332">
        <f t="shared" si="705"/>
        <v>0</v>
      </c>
    </row>
    <row r="2539" spans="1:20" hidden="1">
      <c r="A2539" s="332" t="s">
        <v>477</v>
      </c>
      <c r="B2539" s="332" t="s">
        <v>133</v>
      </c>
      <c r="C2539" s="333">
        <f t="shared" si="702"/>
        <v>0</v>
      </c>
      <c r="D2539" s="329"/>
      <c r="E2539" s="328">
        <f>VLOOKUP(B2539,DONGIA,DG!$B$6,0)</f>
        <v>0</v>
      </c>
      <c r="F2539" s="329" t="str">
        <f>VLOOKUP(B2539,DONGIA,DG!$C$6,0)</f>
        <v>Chụp đầu LA</v>
      </c>
      <c r="G2539" s="328" t="str">
        <f>VLOOKUP(B2539,DONGIA,DG!$D$6,0)</f>
        <v>cái</v>
      </c>
      <c r="H2539" s="329">
        <f>H2534*3</f>
        <v>0</v>
      </c>
      <c r="I2539" s="329">
        <f>VLOOKUP(B2539,DONGIA,DG!$E$6,0)</f>
        <v>32000</v>
      </c>
      <c r="J2539" s="329"/>
      <c r="K2539" s="329">
        <f>VLOOKUP(B2539,DONGIA,DG!$F$6,0)</f>
        <v>0</v>
      </c>
      <c r="L2539" s="329">
        <f>VLOOKUP(B2539,DONGIA,DG!$G$6,0)</f>
        <v>0</v>
      </c>
      <c r="M2539" s="329">
        <f t="shared" si="703"/>
        <v>0</v>
      </c>
      <c r="N2539" s="329">
        <f t="shared" si="703"/>
        <v>0</v>
      </c>
      <c r="O2539" s="329">
        <f t="shared" si="703"/>
        <v>0</v>
      </c>
      <c r="P2539" s="329">
        <f t="shared" si="703"/>
        <v>0</v>
      </c>
      <c r="Q2539" s="329"/>
      <c r="S2539" s="332">
        <f t="shared" si="704"/>
        <v>0</v>
      </c>
      <c r="T2539" s="332">
        <f t="shared" si="705"/>
        <v>0</v>
      </c>
    </row>
    <row r="2540" spans="1:20" hidden="1">
      <c r="A2540" s="332" t="s">
        <v>477</v>
      </c>
      <c r="C2540" s="333">
        <f t="shared" si="702"/>
        <v>0</v>
      </c>
      <c r="D2540" s="372">
        <f>IF(H2540&lt;&gt;0,D2534+1,D2534)</f>
        <v>0</v>
      </c>
      <c r="E2540" s="372"/>
      <c r="F2540" s="373" t="s">
        <v>1920</v>
      </c>
      <c r="G2540" s="372" t="s">
        <v>1665</v>
      </c>
      <c r="H2540" s="372"/>
      <c r="I2540" s="373"/>
      <c r="J2540" s="373"/>
      <c r="K2540" s="373"/>
      <c r="L2540" s="373"/>
      <c r="M2540" s="373"/>
      <c r="N2540" s="373"/>
      <c r="O2540" s="373"/>
      <c r="P2540" s="373"/>
      <c r="Q2540" s="373"/>
      <c r="S2540" s="332">
        <f t="shared" si="704"/>
        <v>0</v>
      </c>
      <c r="T2540" s="332">
        <f t="shared" si="705"/>
        <v>0</v>
      </c>
    </row>
    <row r="2541" spans="1:20" s="361" customFormat="1" hidden="1">
      <c r="A2541" s="361" t="s">
        <v>477</v>
      </c>
      <c r="C2541" s="374">
        <f t="shared" si="702"/>
        <v>0</v>
      </c>
      <c r="D2541" s="351"/>
      <c r="E2541" s="351"/>
      <c r="F2541" s="351" t="s">
        <v>1902</v>
      </c>
      <c r="G2541" s="350"/>
      <c r="H2541" s="351"/>
      <c r="I2541" s="351"/>
      <c r="J2541" s="351"/>
      <c r="K2541" s="351"/>
      <c r="L2541" s="351"/>
      <c r="M2541" s="351"/>
      <c r="N2541" s="351"/>
      <c r="O2541" s="351"/>
      <c r="P2541" s="351"/>
      <c r="Q2541" s="351"/>
      <c r="S2541" s="361">
        <f t="shared" si="704"/>
        <v>0</v>
      </c>
      <c r="T2541" s="361">
        <f t="shared" si="705"/>
        <v>0</v>
      </c>
    </row>
    <row r="2542" spans="1:20" hidden="1">
      <c r="A2542" s="332" t="s">
        <v>477</v>
      </c>
      <c r="B2542" s="332" t="s">
        <v>463</v>
      </c>
      <c r="C2542" s="333">
        <f t="shared" si="702"/>
        <v>0</v>
      </c>
      <c r="D2542" s="329"/>
      <c r="E2542" s="328">
        <f>VLOOKUP(B2542,DONGIA,DG!$B$6,0)</f>
        <v>0</v>
      </c>
      <c r="F2542" s="329" t="str">
        <f>VLOOKUP(B2542,DONGIA,DG!$C$6,0)</f>
        <v>Trụ BTLT 10,5m F350 dự ứng lực</v>
      </c>
      <c r="G2542" s="328" t="str">
        <f>VLOOKUP(B2542,DONGIA,DG!$D$6,0)</f>
        <v>trụ</v>
      </c>
      <c r="H2542" s="329"/>
      <c r="I2542" s="329">
        <f>VLOOKUP(B2542,DONGIA,DG!$E$6,0)</f>
        <v>3818182</v>
      </c>
      <c r="J2542" s="329"/>
      <c r="K2542" s="329">
        <f>VLOOKUP(B2542,DONGIA,DG!$F$6,0)</f>
        <v>0</v>
      </c>
      <c r="L2542" s="329">
        <f>VLOOKUP(B2542,DONGIA,DG!$G$6,0)</f>
        <v>0</v>
      </c>
      <c r="M2542" s="329">
        <f t="shared" ref="M2542:P2543" si="706">$H2542*I2542</f>
        <v>0</v>
      </c>
      <c r="N2542" s="329">
        <f t="shared" si="706"/>
        <v>0</v>
      </c>
      <c r="O2542" s="329">
        <f t="shared" si="706"/>
        <v>0</v>
      </c>
      <c r="P2542" s="329">
        <f t="shared" si="706"/>
        <v>0</v>
      </c>
      <c r="Q2542" s="329"/>
      <c r="S2542" s="332">
        <f t="shared" si="704"/>
        <v>700</v>
      </c>
      <c r="T2542" s="332">
        <f t="shared" si="705"/>
        <v>0</v>
      </c>
    </row>
    <row r="2543" spans="1:20" hidden="1">
      <c r="A2543" s="332" t="s">
        <v>477</v>
      </c>
      <c r="B2543" s="332" t="s">
        <v>2817</v>
      </c>
      <c r="C2543" s="333">
        <f t="shared" si="702"/>
        <v>0</v>
      </c>
      <c r="D2543" s="329"/>
      <c r="E2543" s="328" t="str">
        <f>VLOOKUP(B2543,DONGIA,DG!$B$6,0)</f>
        <v>D2.5222</v>
      </c>
      <c r="F2543" s="329" t="str">
        <f>VLOOKUP(B2543,DONGIA,DG!$C$6,0)</f>
        <v>Dựng trụ BTLT &lt;=10m thủ công +cơ giới</v>
      </c>
      <c r="G2543" s="328" t="str">
        <f>VLOOKUP(B2543,DONGIA,DG!$D$6,0)</f>
        <v>trụ</v>
      </c>
      <c r="H2543" s="329"/>
      <c r="I2543" s="329">
        <f>VLOOKUP(B2543,DONGIA,DG!$E$6,0)</f>
        <v>0</v>
      </c>
      <c r="J2543" s="329"/>
      <c r="K2543" s="329">
        <f>VLOOKUP(B2543,DONGIA,DG!$F$6,0)</f>
        <v>469141</v>
      </c>
      <c r="L2543" s="329">
        <f>VLOOKUP(B2543,DONGIA,DG!$G$6,0)</f>
        <v>135772</v>
      </c>
      <c r="M2543" s="329">
        <f t="shared" si="706"/>
        <v>0</v>
      </c>
      <c r="N2543" s="329">
        <f t="shared" si="706"/>
        <v>0</v>
      </c>
      <c r="O2543" s="329">
        <f t="shared" si="706"/>
        <v>0</v>
      </c>
      <c r="P2543" s="329">
        <f t="shared" si="706"/>
        <v>0</v>
      </c>
      <c r="Q2543" s="329"/>
      <c r="S2543" s="332">
        <f t="shared" si="704"/>
        <v>0</v>
      </c>
      <c r="T2543" s="332">
        <f t="shared" si="705"/>
        <v>0</v>
      </c>
    </row>
    <row r="2544" spans="1:20" hidden="1">
      <c r="A2544" s="332" t="s">
        <v>477</v>
      </c>
      <c r="C2544" s="333">
        <f t="shared" si="702"/>
        <v>0</v>
      </c>
      <c r="D2544" s="372">
        <f>IF(H2544&lt;&gt;0,D2540+1,D2540)</f>
        <v>0</v>
      </c>
      <c r="E2544" s="372"/>
      <c r="F2544" s="373" t="s">
        <v>1919</v>
      </c>
      <c r="G2544" s="372" t="s">
        <v>1665</v>
      </c>
      <c r="H2544" s="372">
        <f>T3P160N*2</f>
        <v>0</v>
      </c>
      <c r="I2544" s="373"/>
      <c r="J2544" s="373"/>
      <c r="K2544" s="373"/>
      <c r="L2544" s="373"/>
      <c r="M2544" s="373"/>
      <c r="N2544" s="373"/>
      <c r="O2544" s="373"/>
      <c r="P2544" s="373"/>
      <c r="Q2544" s="373"/>
      <c r="S2544" s="332">
        <f t="shared" si="704"/>
        <v>0</v>
      </c>
      <c r="T2544" s="332">
        <f t="shared" si="705"/>
        <v>0</v>
      </c>
    </row>
    <row r="2545" spans="1:20" s="361" customFormat="1" hidden="1">
      <c r="A2545" s="361" t="s">
        <v>477</v>
      </c>
      <c r="C2545" s="374">
        <f>C2544</f>
        <v>0</v>
      </c>
      <c r="D2545" s="351"/>
      <c r="E2545" s="351"/>
      <c r="F2545" s="351" t="s">
        <v>1902</v>
      </c>
      <c r="G2545" s="350"/>
      <c r="H2545" s="351"/>
      <c r="I2545" s="351"/>
      <c r="J2545" s="351"/>
      <c r="K2545" s="351"/>
      <c r="L2545" s="351"/>
      <c r="M2545" s="351"/>
      <c r="N2545" s="351"/>
      <c r="O2545" s="351"/>
      <c r="P2545" s="351"/>
      <c r="Q2545" s="351"/>
      <c r="S2545" s="361">
        <f t="shared" si="704"/>
        <v>0</v>
      </c>
      <c r="T2545" s="361">
        <f t="shared" si="705"/>
        <v>0</v>
      </c>
    </row>
    <row r="2546" spans="1:20" hidden="1">
      <c r="A2546" s="332" t="s">
        <v>477</v>
      </c>
      <c r="B2546" s="332" t="s">
        <v>466</v>
      </c>
      <c r="C2546" s="333">
        <f t="shared" ref="C2546:C2553" si="707">IF(H2546&lt;&gt;0,1,)</f>
        <v>0</v>
      </c>
      <c r="D2546" s="329"/>
      <c r="E2546" s="328">
        <f>VLOOKUP(B2546,DONGIA,DG!$B$6,0)</f>
        <v>0</v>
      </c>
      <c r="F2546" s="329" t="str">
        <f>VLOOKUP(B2546,DONGIA,DG!$C$6,0)</f>
        <v>Trụ BTLT 12m F540 dự ứng lực</v>
      </c>
      <c r="G2546" s="328" t="str">
        <f>VLOOKUP(B2546,DONGIA,DG!$D$6,0)</f>
        <v>trụ</v>
      </c>
      <c r="H2546" s="329">
        <f>H2544</f>
        <v>0</v>
      </c>
      <c r="I2546" s="329">
        <f>VLOOKUP(B2546,DONGIA,DG!$E$6,0)</f>
        <v>5511000</v>
      </c>
      <c r="J2546" s="329"/>
      <c r="K2546" s="329">
        <f>VLOOKUP(B2546,DONGIA,DG!$F$6,0)</f>
        <v>0</v>
      </c>
      <c r="L2546" s="329">
        <f>VLOOKUP(B2546,DONGIA,DG!$G$6,0)</f>
        <v>0</v>
      </c>
      <c r="M2546" s="329">
        <f t="shared" ref="M2546:P2547" si="708">$H2546*I2546</f>
        <v>0</v>
      </c>
      <c r="N2546" s="329">
        <f t="shared" si="708"/>
        <v>0</v>
      </c>
      <c r="O2546" s="329">
        <f t="shared" si="708"/>
        <v>0</v>
      </c>
      <c r="P2546" s="329">
        <f t="shared" si="708"/>
        <v>0</v>
      </c>
      <c r="Q2546" s="329"/>
      <c r="S2546" s="332">
        <f t="shared" si="704"/>
        <v>1250</v>
      </c>
      <c r="T2546" s="332">
        <f t="shared" si="705"/>
        <v>0</v>
      </c>
    </row>
    <row r="2547" spans="1:20" hidden="1">
      <c r="A2547" s="332" t="s">
        <v>477</v>
      </c>
      <c r="B2547" s="332" t="s">
        <v>2913</v>
      </c>
      <c r="C2547" s="333">
        <f t="shared" si="707"/>
        <v>0</v>
      </c>
      <c r="D2547" s="329"/>
      <c r="E2547" s="328" t="str">
        <f>VLOOKUP(B2547,DONGIA,DG!$B$6,0)</f>
        <v>T4.9103</v>
      </c>
      <c r="F2547" s="329" t="str">
        <f>VLOOKUP(B2547,DONGIA,DG!$C$6,0)</f>
        <v>Dựng trụ BTLT 12m trong TBA</v>
      </c>
      <c r="G2547" s="328" t="str">
        <f>VLOOKUP(B2547,DONGIA,DG!$D$6,0)</f>
        <v>trụ</v>
      </c>
      <c r="H2547" s="329">
        <f>H2546</f>
        <v>0</v>
      </c>
      <c r="I2547" s="329">
        <f>VLOOKUP(B2547,DONGIA,DG!$E$6,0)</f>
        <v>0</v>
      </c>
      <c r="J2547" s="329"/>
      <c r="K2547" s="329">
        <f>VLOOKUP(B2547,DONGIA,DG!$F$6,0)</f>
        <v>837772</v>
      </c>
      <c r="L2547" s="329">
        <f>VLOOKUP(B2547,DONGIA,DG!$G$6,0)</f>
        <v>310336</v>
      </c>
      <c r="M2547" s="329">
        <f t="shared" si="708"/>
        <v>0</v>
      </c>
      <c r="N2547" s="329">
        <f t="shared" si="708"/>
        <v>0</v>
      </c>
      <c r="O2547" s="329">
        <f t="shared" si="708"/>
        <v>0</v>
      </c>
      <c r="P2547" s="329">
        <f t="shared" si="708"/>
        <v>0</v>
      </c>
      <c r="Q2547" s="329"/>
      <c r="S2547" s="332">
        <f t="shared" si="704"/>
        <v>0</v>
      </c>
      <c r="T2547" s="332">
        <f t="shared" si="705"/>
        <v>0</v>
      </c>
    </row>
    <row r="2548" spans="1:20" hidden="1">
      <c r="A2548" s="332" t="s">
        <v>477</v>
      </c>
      <c r="C2548" s="333">
        <f t="shared" si="707"/>
        <v>0</v>
      </c>
      <c r="D2548" s="372">
        <f>IF(H2548&lt;&gt;0,D2544+1,D2544)</f>
        <v>0</v>
      </c>
      <c r="E2548" s="372"/>
      <c r="F2548" s="373" t="s">
        <v>1921</v>
      </c>
      <c r="G2548" s="372" t="s">
        <v>1633</v>
      </c>
      <c r="H2548" s="372">
        <v>0</v>
      </c>
      <c r="I2548" s="373"/>
      <c r="J2548" s="373"/>
      <c r="K2548" s="373"/>
      <c r="L2548" s="373"/>
      <c r="M2548" s="373"/>
      <c r="N2548" s="373"/>
      <c r="O2548" s="373"/>
      <c r="P2548" s="373"/>
      <c r="Q2548" s="373"/>
      <c r="S2548" s="332">
        <f t="shared" si="704"/>
        <v>0</v>
      </c>
      <c r="T2548" s="332">
        <f t="shared" si="705"/>
        <v>0</v>
      </c>
    </row>
    <row r="2549" spans="1:20" s="361" customFormat="1" hidden="1">
      <c r="A2549" s="361" t="s">
        <v>477</v>
      </c>
      <c r="C2549" s="374">
        <f t="shared" si="707"/>
        <v>0</v>
      </c>
      <c r="D2549" s="351"/>
      <c r="E2549" s="351"/>
      <c r="F2549" s="351" t="s">
        <v>1902</v>
      </c>
      <c r="G2549" s="350"/>
      <c r="H2549" s="351"/>
      <c r="I2549" s="351"/>
      <c r="J2549" s="351"/>
      <c r="K2549" s="351"/>
      <c r="L2549" s="351"/>
      <c r="M2549" s="351"/>
      <c r="N2549" s="351"/>
      <c r="O2549" s="351"/>
      <c r="P2549" s="351"/>
      <c r="Q2549" s="351"/>
      <c r="S2549" s="361">
        <f t="shared" si="704"/>
        <v>0</v>
      </c>
      <c r="T2549" s="361">
        <f t="shared" si="705"/>
        <v>0</v>
      </c>
    </row>
    <row r="2550" spans="1:20" hidden="1">
      <c r="A2550" s="332" t="s">
        <v>477</v>
      </c>
      <c r="B2550" s="332" t="s">
        <v>1635</v>
      </c>
      <c r="C2550" s="333">
        <f t="shared" si="707"/>
        <v>0</v>
      </c>
      <c r="D2550" s="329"/>
      <c r="E2550" s="328" t="str">
        <f>VLOOKUP(B2550,DONGIA,DG!$B$6,0)</f>
        <v>AG.42121</v>
      </c>
      <c r="F2550" s="329" t="str">
        <f>VLOOKUP(B2550,DONGIA,DG!$C$6,0)</f>
        <v>Đà cản BTCT 1,2m</v>
      </c>
      <c r="G2550" s="328" t="str">
        <f>VLOOKUP(B2550,DONGIA,DG!$D$6,0)</f>
        <v>cái</v>
      </c>
      <c r="H2550" s="329"/>
      <c r="I2550" s="329">
        <f>VLOOKUP(B2550,DONGIA,DG!$E$6,0)</f>
        <v>320000</v>
      </c>
      <c r="J2550" s="329"/>
      <c r="K2550" s="329">
        <f>VLOOKUP(B2550,DONGIA,DG!$F$6,0)</f>
        <v>52815</v>
      </c>
      <c r="L2550" s="329">
        <f>VLOOKUP(B2550,DONGIA,DG!$G$6,0)</f>
        <v>0</v>
      </c>
      <c r="M2550" s="329">
        <f t="shared" ref="M2550:P2553" si="709">$H2550*I2550</f>
        <v>0</v>
      </c>
      <c r="N2550" s="329">
        <f t="shared" si="709"/>
        <v>0</v>
      </c>
      <c r="O2550" s="329">
        <f t="shared" si="709"/>
        <v>0</v>
      </c>
      <c r="P2550" s="329">
        <f t="shared" si="709"/>
        <v>0</v>
      </c>
      <c r="Q2550" s="329"/>
      <c r="S2550" s="332">
        <f t="shared" si="704"/>
        <v>80</v>
      </c>
      <c r="T2550" s="332">
        <f t="shared" si="705"/>
        <v>0</v>
      </c>
    </row>
    <row r="2551" spans="1:20" hidden="1">
      <c r="A2551" s="332" t="s">
        <v>477</v>
      </c>
      <c r="B2551" s="332" t="s">
        <v>103</v>
      </c>
      <c r="C2551" s="333">
        <f t="shared" si="707"/>
        <v>0</v>
      </c>
      <c r="D2551" s="329"/>
      <c r="E2551" s="328">
        <f>VLOOKUP(B2551,DONGIA,DG!$B$6,0)</f>
        <v>0</v>
      </c>
      <c r="F2551" s="329" t="str">
        <f>VLOOKUP(B2551,DONGIA,DG!$C$6,0)</f>
        <v>Boulon 22x550VRS + 2 long đền vuông D24-60x60x6/Zn</v>
      </c>
      <c r="G2551" s="328" t="str">
        <f>VLOOKUP(B2551,DONGIA,DG!$D$6,0)</f>
        <v>bộ</v>
      </c>
      <c r="H2551" s="329"/>
      <c r="I2551" s="329">
        <f>VLOOKUP(B2551,DONGIA,DG!$E$6,0)</f>
        <v>92400</v>
      </c>
      <c r="J2551" s="329"/>
      <c r="K2551" s="329">
        <f>VLOOKUP(B2551,DONGIA,DG!$F$6,0)</f>
        <v>0</v>
      </c>
      <c r="L2551" s="329">
        <f>VLOOKUP(B2551,DONGIA,DG!$G$6,0)</f>
        <v>0</v>
      </c>
      <c r="M2551" s="329">
        <f t="shared" si="709"/>
        <v>0</v>
      </c>
      <c r="N2551" s="329">
        <f t="shared" si="709"/>
        <v>0</v>
      </c>
      <c r="O2551" s="329">
        <f t="shared" si="709"/>
        <v>0</v>
      </c>
      <c r="P2551" s="329">
        <f t="shared" si="709"/>
        <v>0</v>
      </c>
      <c r="Q2551" s="329"/>
      <c r="S2551" s="332">
        <f t="shared" si="704"/>
        <v>0.55000000000000004</v>
      </c>
      <c r="T2551" s="332">
        <f t="shared" si="705"/>
        <v>0</v>
      </c>
    </row>
    <row r="2552" spans="1:20" hidden="1">
      <c r="A2552" s="332" t="s">
        <v>477</v>
      </c>
      <c r="B2552" s="332" t="s">
        <v>499</v>
      </c>
      <c r="C2552" s="333">
        <f t="shared" si="707"/>
        <v>0</v>
      </c>
      <c r="D2552" s="329"/>
      <c r="E2552" s="328" t="str">
        <f>VLOOKUP(B2552,DONGIA,DG!$B$6,0)</f>
        <v>AB.11423</v>
      </c>
      <c r="F2552" s="329" t="str">
        <f>VLOOKUP(B2552,DONGIA,DG!$C$6,0)</f>
        <v>Đào hố móng đất cấp 3 sâu &gt;1m (rộng ≤1m)</v>
      </c>
      <c r="G2552" s="328" t="str">
        <f>VLOOKUP(B2552,DONGIA,DG!$D$6,0)</f>
        <v>m3</v>
      </c>
      <c r="H2552" s="329"/>
      <c r="I2552" s="329">
        <f>VLOOKUP(B2552,DONGIA,DG!$E$6,0)</f>
        <v>0</v>
      </c>
      <c r="J2552" s="329"/>
      <c r="K2552" s="329">
        <f>VLOOKUP(B2552,DONGIA,DG!$F$6,0)</f>
        <v>418738</v>
      </c>
      <c r="L2552" s="329">
        <f>VLOOKUP(B2552,DONGIA,DG!$G$6,0)</f>
        <v>0</v>
      </c>
      <c r="M2552" s="329">
        <f t="shared" si="709"/>
        <v>0</v>
      </c>
      <c r="N2552" s="329">
        <f t="shared" si="709"/>
        <v>0</v>
      </c>
      <c r="O2552" s="329">
        <f t="shared" si="709"/>
        <v>0</v>
      </c>
      <c r="P2552" s="329">
        <f t="shared" si="709"/>
        <v>0</v>
      </c>
      <c r="Q2552" s="329"/>
      <c r="S2552" s="332">
        <f t="shared" si="704"/>
        <v>0</v>
      </c>
      <c r="T2552" s="332">
        <f t="shared" si="705"/>
        <v>0</v>
      </c>
    </row>
    <row r="2553" spans="1:20" hidden="1">
      <c r="A2553" s="332" t="s">
        <v>477</v>
      </c>
      <c r="B2553" s="332" t="s">
        <v>510</v>
      </c>
      <c r="C2553" s="333">
        <f t="shared" si="707"/>
        <v>0</v>
      </c>
      <c r="D2553" s="329"/>
      <c r="E2553" s="328" t="str">
        <f>VLOOKUP(B2553,DONGIA,DG!$B$6,0)</f>
        <v>AB.65110</v>
      </c>
      <c r="F2553" s="329" t="str">
        <f>VLOOKUP(B2553,DONGIA,DG!$C$6,0)</f>
        <v>Đắp đất hố móng (K=0,85)</v>
      </c>
      <c r="G2553" s="328" t="str">
        <f>VLOOKUP(B2553,DONGIA,DG!$D$6,0)</f>
        <v>m3</v>
      </c>
      <c r="H2553" s="329"/>
      <c r="I2553" s="329">
        <f>VLOOKUP(B2553,DONGIA,DG!$E$6,0)</f>
        <v>0</v>
      </c>
      <c r="J2553" s="329"/>
      <c r="K2553" s="329">
        <f>VLOOKUP(B2553,DONGIA,DG!$F$6,0)</f>
        <v>16267</v>
      </c>
      <c r="L2553" s="329">
        <f>VLOOKUP(B2553,DONGIA,DG!$G$6,0)</f>
        <v>11176</v>
      </c>
      <c r="M2553" s="329">
        <f t="shared" si="709"/>
        <v>0</v>
      </c>
      <c r="N2553" s="329">
        <f t="shared" si="709"/>
        <v>0</v>
      </c>
      <c r="O2553" s="329">
        <f t="shared" si="709"/>
        <v>0</v>
      </c>
      <c r="P2553" s="329">
        <f t="shared" si="709"/>
        <v>0</v>
      </c>
      <c r="Q2553" s="329"/>
      <c r="S2553" s="332">
        <f t="shared" si="704"/>
        <v>0</v>
      </c>
      <c r="T2553" s="332">
        <f t="shared" si="705"/>
        <v>0</v>
      </c>
    </row>
    <row r="2554" spans="1:20" hidden="1">
      <c r="A2554" s="332" t="s">
        <v>477</v>
      </c>
      <c r="C2554" s="333">
        <f t="shared" ref="C2554:C2639" si="710">IF(H2554&lt;&gt;0,1,)</f>
        <v>0</v>
      </c>
      <c r="D2554" s="372">
        <f>IF(H2554&lt;&gt;0,D2548+1,D2548)</f>
        <v>0</v>
      </c>
      <c r="E2554" s="372"/>
      <c r="F2554" s="373" t="s">
        <v>1651</v>
      </c>
      <c r="G2554" s="372" t="s">
        <v>1633</v>
      </c>
      <c r="H2554" s="372">
        <v>0</v>
      </c>
      <c r="I2554" s="373"/>
      <c r="J2554" s="373"/>
      <c r="K2554" s="373"/>
      <c r="L2554" s="373"/>
      <c r="M2554" s="373"/>
      <c r="N2554" s="373"/>
      <c r="O2554" s="373"/>
      <c r="P2554" s="373"/>
      <c r="Q2554" s="373"/>
      <c r="S2554" s="332">
        <f t="shared" ref="S2554:S2640" si="711">IFERROR(VLOOKUP(B2554,DONGIA,$S$25,0),0)</f>
        <v>0</v>
      </c>
      <c r="T2554" s="332">
        <f t="shared" ref="T2554:T2639" si="712">H2554*S2554</f>
        <v>0</v>
      </c>
    </row>
    <row r="2555" spans="1:20" s="361" customFormat="1" hidden="1">
      <c r="A2555" s="361" t="s">
        <v>477</v>
      </c>
      <c r="C2555" s="374">
        <f t="shared" si="710"/>
        <v>0</v>
      </c>
      <c r="D2555" s="351"/>
      <c r="E2555" s="351"/>
      <c r="F2555" s="351" t="s">
        <v>1902</v>
      </c>
      <c r="G2555" s="350"/>
      <c r="H2555" s="351"/>
      <c r="I2555" s="351"/>
      <c r="J2555" s="351"/>
      <c r="K2555" s="351"/>
      <c r="L2555" s="351"/>
      <c r="M2555" s="351"/>
      <c r="N2555" s="351"/>
      <c r="O2555" s="351"/>
      <c r="P2555" s="351"/>
      <c r="Q2555" s="351"/>
      <c r="S2555" s="361">
        <f t="shared" si="711"/>
        <v>0</v>
      </c>
      <c r="T2555" s="361">
        <f t="shared" si="712"/>
        <v>0</v>
      </c>
    </row>
    <row r="2556" spans="1:20" hidden="1">
      <c r="A2556" s="332" t="s">
        <v>477</v>
      </c>
      <c r="B2556" s="332" t="s">
        <v>1635</v>
      </c>
      <c r="C2556" s="333">
        <f t="shared" si="710"/>
        <v>0</v>
      </c>
      <c r="D2556" s="329"/>
      <c r="E2556" s="328" t="str">
        <f>VLOOKUP(B2556,DONGIA,DG!$B$6,0)</f>
        <v>AG.42121</v>
      </c>
      <c r="F2556" s="329" t="str">
        <f>VLOOKUP(B2556,DONGIA,DG!$C$6,0)</f>
        <v>Đà cản BTCT 1,2m</v>
      </c>
      <c r="G2556" s="328" t="str">
        <f>VLOOKUP(B2556,DONGIA,DG!$D$6,0)</f>
        <v>cái</v>
      </c>
      <c r="H2556" s="329"/>
      <c r="I2556" s="329">
        <f>VLOOKUP(B2556,DONGIA,DG!$E$6,0)</f>
        <v>320000</v>
      </c>
      <c r="J2556" s="329"/>
      <c r="K2556" s="329">
        <f>VLOOKUP(B2556,DONGIA,DG!$F$6,0)</f>
        <v>52815</v>
      </c>
      <c r="L2556" s="329">
        <f>VLOOKUP(B2556,DONGIA,DG!$G$6,0)</f>
        <v>0</v>
      </c>
      <c r="M2556" s="329">
        <f t="shared" ref="M2556:P2559" si="713">$H2556*I2556</f>
        <v>0</v>
      </c>
      <c r="N2556" s="329">
        <f t="shared" si="713"/>
        <v>0</v>
      </c>
      <c r="O2556" s="329">
        <f t="shared" si="713"/>
        <v>0</v>
      </c>
      <c r="P2556" s="329">
        <f t="shared" si="713"/>
        <v>0</v>
      </c>
      <c r="Q2556" s="329"/>
      <c r="S2556" s="332">
        <f t="shared" si="711"/>
        <v>80</v>
      </c>
      <c r="T2556" s="332">
        <f t="shared" si="712"/>
        <v>0</v>
      </c>
    </row>
    <row r="2557" spans="1:20" hidden="1">
      <c r="A2557" s="332" t="s">
        <v>477</v>
      </c>
      <c r="B2557" s="332" t="s">
        <v>103</v>
      </c>
      <c r="C2557" s="333">
        <f t="shared" si="710"/>
        <v>0</v>
      </c>
      <c r="D2557" s="329"/>
      <c r="E2557" s="328">
        <f>VLOOKUP(B2557,DONGIA,DG!$B$6,0)</f>
        <v>0</v>
      </c>
      <c r="F2557" s="329" t="str">
        <f>VLOOKUP(B2557,DONGIA,DG!$C$6,0)</f>
        <v>Boulon 22x550VRS + 2 long đền vuông D24-60x60x6/Zn</v>
      </c>
      <c r="G2557" s="328" t="str">
        <f>VLOOKUP(B2557,DONGIA,DG!$D$6,0)</f>
        <v>bộ</v>
      </c>
      <c r="H2557" s="329"/>
      <c r="I2557" s="329">
        <f>VLOOKUP(B2557,DONGIA,DG!$E$6,0)</f>
        <v>92400</v>
      </c>
      <c r="J2557" s="329"/>
      <c r="K2557" s="329">
        <f>VLOOKUP(B2557,DONGIA,DG!$F$6,0)</f>
        <v>0</v>
      </c>
      <c r="L2557" s="329">
        <f>VLOOKUP(B2557,DONGIA,DG!$G$6,0)</f>
        <v>0</v>
      </c>
      <c r="M2557" s="329">
        <f t="shared" si="713"/>
        <v>0</v>
      </c>
      <c r="N2557" s="329">
        <f t="shared" si="713"/>
        <v>0</v>
      </c>
      <c r="O2557" s="329">
        <f t="shared" si="713"/>
        <v>0</v>
      </c>
      <c r="P2557" s="329">
        <f t="shared" si="713"/>
        <v>0</v>
      </c>
      <c r="Q2557" s="329"/>
      <c r="S2557" s="332">
        <f t="shared" si="711"/>
        <v>0.55000000000000004</v>
      </c>
      <c r="T2557" s="332">
        <f t="shared" si="712"/>
        <v>0</v>
      </c>
    </row>
    <row r="2558" spans="1:20" hidden="1">
      <c r="A2558" s="332" t="s">
        <v>477</v>
      </c>
      <c r="B2558" s="332" t="s">
        <v>499</v>
      </c>
      <c r="C2558" s="333">
        <f t="shared" si="710"/>
        <v>0</v>
      </c>
      <c r="D2558" s="329"/>
      <c r="E2558" s="328" t="str">
        <f>VLOOKUP(B2558,DONGIA,DG!$B$6,0)</f>
        <v>AB.11423</v>
      </c>
      <c r="F2558" s="329" t="str">
        <f>VLOOKUP(B2558,DONGIA,DG!$C$6,0)</f>
        <v>Đào hố móng đất cấp 3 sâu &gt;1m (rộng ≤1m)</v>
      </c>
      <c r="G2558" s="328" t="str">
        <f>VLOOKUP(B2558,DONGIA,DG!$D$6,0)</f>
        <v>m3</v>
      </c>
      <c r="H2558" s="329"/>
      <c r="I2558" s="329">
        <f>VLOOKUP(B2558,DONGIA,DG!$E$6,0)</f>
        <v>0</v>
      </c>
      <c r="J2558" s="329"/>
      <c r="K2558" s="329">
        <f>VLOOKUP(B2558,DONGIA,DG!$F$6,0)</f>
        <v>418738</v>
      </c>
      <c r="L2558" s="329">
        <f>VLOOKUP(B2558,DONGIA,DG!$G$6,0)</f>
        <v>0</v>
      </c>
      <c r="M2558" s="329">
        <f t="shared" si="713"/>
        <v>0</v>
      </c>
      <c r="N2558" s="329">
        <f t="shared" si="713"/>
        <v>0</v>
      </c>
      <c r="O2558" s="329">
        <f t="shared" si="713"/>
        <v>0</v>
      </c>
      <c r="P2558" s="329">
        <f t="shared" si="713"/>
        <v>0</v>
      </c>
      <c r="Q2558" s="329"/>
      <c r="S2558" s="332">
        <f t="shared" si="711"/>
        <v>0</v>
      </c>
      <c r="T2558" s="332">
        <f t="shared" si="712"/>
        <v>0</v>
      </c>
    </row>
    <row r="2559" spans="1:20" hidden="1">
      <c r="A2559" s="332" t="s">
        <v>477</v>
      </c>
      <c r="B2559" s="332" t="s">
        <v>510</v>
      </c>
      <c r="C2559" s="333">
        <f t="shared" si="710"/>
        <v>0</v>
      </c>
      <c r="D2559" s="329"/>
      <c r="E2559" s="328" t="str">
        <f>VLOOKUP(B2559,DONGIA,DG!$B$6,0)</f>
        <v>AB.65110</v>
      </c>
      <c r="F2559" s="329" t="str">
        <f>VLOOKUP(B2559,DONGIA,DG!$C$6,0)</f>
        <v>Đắp đất hố móng (K=0,85)</v>
      </c>
      <c r="G2559" s="328" t="str">
        <f>VLOOKUP(B2559,DONGIA,DG!$D$6,0)</f>
        <v>m3</v>
      </c>
      <c r="H2559" s="329"/>
      <c r="I2559" s="329">
        <f>VLOOKUP(B2559,DONGIA,DG!$E$6,0)</f>
        <v>0</v>
      </c>
      <c r="J2559" s="329"/>
      <c r="K2559" s="329">
        <f>VLOOKUP(B2559,DONGIA,DG!$F$6,0)</f>
        <v>16267</v>
      </c>
      <c r="L2559" s="329">
        <f>VLOOKUP(B2559,DONGIA,DG!$G$6,0)</f>
        <v>11176</v>
      </c>
      <c r="M2559" s="329">
        <f t="shared" si="713"/>
        <v>0</v>
      </c>
      <c r="N2559" s="329">
        <f t="shared" si="713"/>
        <v>0</v>
      </c>
      <c r="O2559" s="329">
        <f t="shared" si="713"/>
        <v>0</v>
      </c>
      <c r="P2559" s="329">
        <f t="shared" si="713"/>
        <v>0</v>
      </c>
      <c r="Q2559" s="329"/>
      <c r="S2559" s="332">
        <f t="shared" si="711"/>
        <v>0</v>
      </c>
      <c r="T2559" s="332">
        <f t="shared" si="712"/>
        <v>0</v>
      </c>
    </row>
    <row r="2560" spans="1:20" hidden="1">
      <c r="A2560" s="332" t="s">
        <v>477</v>
      </c>
      <c r="C2560" s="333">
        <f t="shared" si="710"/>
        <v>0</v>
      </c>
      <c r="D2560" s="372">
        <f>IF(H2560&lt;&gt;0,D2554+1,D2554)</f>
        <v>0</v>
      </c>
      <c r="E2560" s="372"/>
      <c r="F2560" s="373" t="s">
        <v>2840</v>
      </c>
      <c r="G2560" s="372" t="s">
        <v>1633</v>
      </c>
      <c r="H2560" s="372">
        <f>T3P160N</f>
        <v>0</v>
      </c>
      <c r="I2560" s="373"/>
      <c r="J2560" s="373"/>
      <c r="K2560" s="373"/>
      <c r="L2560" s="373"/>
      <c r="M2560" s="373"/>
      <c r="N2560" s="373"/>
      <c r="O2560" s="373"/>
      <c r="P2560" s="373"/>
      <c r="Q2560" s="373"/>
      <c r="S2560" s="332">
        <f t="shared" si="711"/>
        <v>0</v>
      </c>
      <c r="T2560" s="332">
        <f t="shared" si="712"/>
        <v>0</v>
      </c>
    </row>
    <row r="2561" spans="1:20" s="361" customFormat="1" hidden="1">
      <c r="A2561" s="361" t="s">
        <v>477</v>
      </c>
      <c r="C2561" s="374">
        <f>C2560</f>
        <v>0</v>
      </c>
      <c r="D2561" s="351"/>
      <c r="E2561" s="351"/>
      <c r="F2561" s="351" t="s">
        <v>1902</v>
      </c>
      <c r="G2561" s="350"/>
      <c r="H2561" s="351"/>
      <c r="I2561" s="351"/>
      <c r="J2561" s="351"/>
      <c r="K2561" s="351"/>
      <c r="L2561" s="351"/>
      <c r="M2561" s="351"/>
      <c r="N2561" s="351"/>
      <c r="O2561" s="351"/>
      <c r="P2561" s="351"/>
      <c r="Q2561" s="351"/>
      <c r="S2561" s="361">
        <f t="shared" si="711"/>
        <v>0</v>
      </c>
      <c r="T2561" s="361">
        <f t="shared" si="712"/>
        <v>0</v>
      </c>
    </row>
    <row r="2562" spans="1:20" hidden="1">
      <c r="A2562" s="332" t="s">
        <v>477</v>
      </c>
      <c r="B2562" s="332" t="s">
        <v>1639</v>
      </c>
      <c r="C2562" s="333">
        <f t="shared" si="710"/>
        <v>0</v>
      </c>
      <c r="D2562" s="329"/>
      <c r="E2562" s="328">
        <f>VLOOKUP(B2562,DONGIA,DG!$B$6,0)</f>
        <v>0</v>
      </c>
      <c r="F2562" s="329" t="str">
        <f>VLOOKUP(B2562,DONGIA,DG!$C$6,0)</f>
        <v>Xi măng</v>
      </c>
      <c r="G2562" s="328" t="str">
        <f>VLOOKUP(B2562,DONGIA,DG!$D$6,0)</f>
        <v>kg</v>
      </c>
      <c r="H2562" s="455">
        <f>H2560*H2570*296</f>
        <v>0</v>
      </c>
      <c r="I2562" s="329"/>
      <c r="J2562" s="329">
        <f>VLOOKUP(B2562,DONGIA,DG!$E$6,0)</f>
        <v>1760</v>
      </c>
      <c r="K2562" s="329">
        <f>VLOOKUP(B2562,DONGIA,DG!$F$6,0)</f>
        <v>0</v>
      </c>
      <c r="L2562" s="329">
        <f>VLOOKUP(B2562,DONGIA,DG!$G$6,0)</f>
        <v>0</v>
      </c>
      <c r="M2562" s="329">
        <f t="shared" ref="M2562:M2570" si="714">$H2562*I2562</f>
        <v>0</v>
      </c>
      <c r="N2562" s="329">
        <f t="shared" ref="N2562:N2570" si="715">$H2562*J2562</f>
        <v>0</v>
      </c>
      <c r="O2562" s="329">
        <f t="shared" ref="O2562:O2570" si="716">$H2562*K2562</f>
        <v>0</v>
      </c>
      <c r="P2562" s="329">
        <f t="shared" ref="P2562:P2570" si="717">$H2562*L2562</f>
        <v>0</v>
      </c>
      <c r="Q2562" s="329"/>
      <c r="T2562" s="332">
        <f t="shared" si="712"/>
        <v>0</v>
      </c>
    </row>
    <row r="2563" spans="1:20" hidden="1">
      <c r="A2563" s="332" t="s">
        <v>477</v>
      </c>
      <c r="B2563" s="332" t="s">
        <v>471</v>
      </c>
      <c r="C2563" s="333">
        <f t="shared" si="710"/>
        <v>0</v>
      </c>
      <c r="D2563" s="329"/>
      <c r="E2563" s="328">
        <f>VLOOKUP(B2563,DONGIA,DG!$B$6,0)</f>
        <v>0</v>
      </c>
      <c r="F2563" s="329" t="str">
        <f>VLOOKUP(B2563,DONGIA,DG!$C$6,0)</f>
        <v>Cát vàng</v>
      </c>
      <c r="G2563" s="328" t="str">
        <f>VLOOKUP(B2563,DONGIA,DG!$D$6,0)</f>
        <v>m3</v>
      </c>
      <c r="H2563" s="52">
        <f>H2560*H2570*0.475</f>
        <v>0</v>
      </c>
      <c r="I2563" s="329"/>
      <c r="J2563" s="329">
        <f>VLOOKUP(B2563,DONGIA,DG!$E$6,0)</f>
        <v>350000</v>
      </c>
      <c r="K2563" s="329">
        <f>VLOOKUP(B2563,DONGIA,DG!$F$6,0)</f>
        <v>0</v>
      </c>
      <c r="L2563" s="329">
        <f>VLOOKUP(B2563,DONGIA,DG!$G$6,0)</f>
        <v>0</v>
      </c>
      <c r="M2563" s="329">
        <f t="shared" si="714"/>
        <v>0</v>
      </c>
      <c r="N2563" s="329">
        <f t="shared" si="715"/>
        <v>0</v>
      </c>
      <c r="O2563" s="329">
        <f t="shared" si="716"/>
        <v>0</v>
      </c>
      <c r="P2563" s="329">
        <f t="shared" si="717"/>
        <v>0</v>
      </c>
      <c r="Q2563" s="329"/>
      <c r="T2563" s="332">
        <f t="shared" si="712"/>
        <v>0</v>
      </c>
    </row>
    <row r="2564" spans="1:20" hidden="1">
      <c r="A2564" s="332" t="s">
        <v>477</v>
      </c>
      <c r="B2564" s="332" t="s">
        <v>1640</v>
      </c>
      <c r="C2564" s="333">
        <f t="shared" si="710"/>
        <v>0</v>
      </c>
      <c r="D2564" s="329"/>
      <c r="E2564" s="328">
        <f>VLOOKUP(B2564,DONGIA,DG!$B$6,0)</f>
        <v>0</v>
      </c>
      <c r="F2564" s="329" t="str">
        <f>VLOOKUP(B2564,DONGIA,DG!$C$6,0)</f>
        <v>Đá 1x2</v>
      </c>
      <c r="G2564" s="328" t="str">
        <f>VLOOKUP(B2564,DONGIA,DG!$D$6,0)</f>
        <v>m3</v>
      </c>
      <c r="H2564" s="52">
        <f>H2560*H2570*0.881</f>
        <v>0</v>
      </c>
      <c r="I2564" s="329"/>
      <c r="J2564" s="329">
        <f>VLOOKUP(B2564,DONGIA,DG!$E$6,0)</f>
        <v>342000</v>
      </c>
      <c r="K2564" s="329">
        <f>VLOOKUP(B2564,DONGIA,DG!$F$6,0)</f>
        <v>0</v>
      </c>
      <c r="L2564" s="329">
        <f>VLOOKUP(B2564,DONGIA,DG!$G$6,0)</f>
        <v>0</v>
      </c>
      <c r="M2564" s="329">
        <f t="shared" si="714"/>
        <v>0</v>
      </c>
      <c r="N2564" s="329">
        <f t="shared" si="715"/>
        <v>0</v>
      </c>
      <c r="O2564" s="329">
        <f t="shared" si="716"/>
        <v>0</v>
      </c>
      <c r="P2564" s="329">
        <f t="shared" si="717"/>
        <v>0</v>
      </c>
      <c r="Q2564" s="329"/>
      <c r="T2564" s="332">
        <f t="shared" si="712"/>
        <v>0</v>
      </c>
    </row>
    <row r="2565" spans="1:20" hidden="1">
      <c r="A2565" s="332" t="s">
        <v>477</v>
      </c>
      <c r="B2565" s="332" t="s">
        <v>2015</v>
      </c>
      <c r="C2565" s="333">
        <f>IF(H2565&lt;&gt;0,1,)</f>
        <v>0</v>
      </c>
      <c r="D2565" s="329"/>
      <c r="E2565" s="328">
        <f>VLOOKUP(B2565,DONGIA,DG!$B$6,0)</f>
        <v>0</v>
      </c>
      <c r="F2565" s="329" t="str">
        <f>VLOOKUP(B2565,DONGIA,DG!$C$6,0)</f>
        <v>Boulon 16x550VRS + 2 long đền vuông D18-50x50x3/Zn</v>
      </c>
      <c r="G2565" s="328" t="str">
        <f>VLOOKUP(B2565,DONGIA,DG!$D$6,0)</f>
        <v>bộ</v>
      </c>
      <c r="H2565" s="329">
        <f>H2560</f>
        <v>0</v>
      </c>
      <c r="I2565" s="329">
        <f>VLOOKUP(B2565,DONGIA,DG!$E$6,0)</f>
        <v>43000</v>
      </c>
      <c r="J2565" s="329"/>
      <c r="K2565" s="329">
        <f>VLOOKUP(B2565,DONGIA,DG!$F$6,0)</f>
        <v>0</v>
      </c>
      <c r="L2565" s="329">
        <f>VLOOKUP(B2565,DONGIA,DG!$G$6,0)</f>
        <v>0</v>
      </c>
      <c r="M2565" s="329">
        <f t="shared" ref="M2565:P2567" si="718">$H2565*I2565</f>
        <v>0</v>
      </c>
      <c r="N2565" s="329">
        <f t="shared" si="718"/>
        <v>0</v>
      </c>
      <c r="O2565" s="329">
        <f t="shared" si="718"/>
        <v>0</v>
      </c>
      <c r="P2565" s="329">
        <f t="shared" si="718"/>
        <v>0</v>
      </c>
      <c r="Q2565" s="329"/>
      <c r="S2565" s="332">
        <f>IFERROR(VLOOKUP(B2565,DONGIA,$S$25,0),0)</f>
        <v>0.95000000000000029</v>
      </c>
      <c r="T2565" s="332">
        <f>H2565*S2565</f>
        <v>0</v>
      </c>
    </row>
    <row r="2566" spans="1:20" hidden="1">
      <c r="A2566" s="332" t="s">
        <v>477</v>
      </c>
      <c r="B2566" s="332" t="s">
        <v>2017</v>
      </c>
      <c r="C2566" s="333">
        <f>IF(H2566&lt;&gt;0,1,)</f>
        <v>0</v>
      </c>
      <c r="D2566" s="329"/>
      <c r="E2566" s="328">
        <f>VLOOKUP(B2566,DONGIA,DG!$B$6,0)</f>
        <v>0</v>
      </c>
      <c r="F2566" s="329" t="str">
        <f>VLOOKUP(B2566,DONGIA,DG!$C$6,0)</f>
        <v>Boulon 16x650VRS + 2 long đền vuông D18-50x50x3/Zn</v>
      </c>
      <c r="G2566" s="328" t="str">
        <f>VLOOKUP(B2566,DONGIA,DG!$D$6,0)</f>
        <v>bộ</v>
      </c>
      <c r="H2566" s="329">
        <f>H2560</f>
        <v>0</v>
      </c>
      <c r="I2566" s="329">
        <f>VLOOKUP(B2566,DONGIA,DG!$E$6,0)</f>
        <v>49000</v>
      </c>
      <c r="J2566" s="329"/>
      <c r="K2566" s="329">
        <f>VLOOKUP(B2566,DONGIA,DG!$F$6,0)</f>
        <v>0</v>
      </c>
      <c r="L2566" s="329">
        <f>VLOOKUP(B2566,DONGIA,DG!$G$6,0)</f>
        <v>0</v>
      </c>
      <c r="M2566" s="329">
        <f t="shared" si="718"/>
        <v>0</v>
      </c>
      <c r="N2566" s="329">
        <f t="shared" si="718"/>
        <v>0</v>
      </c>
      <c r="O2566" s="329">
        <f t="shared" si="718"/>
        <v>0</v>
      </c>
      <c r="P2566" s="329">
        <f t="shared" si="718"/>
        <v>0</v>
      </c>
      <c r="Q2566" s="329"/>
      <c r="S2566" s="332">
        <f>IFERROR(VLOOKUP(B2566,DONGIA,$S$25,0),0)</f>
        <v>1.0500000000000003</v>
      </c>
      <c r="T2566" s="332">
        <f>H2566*S2566</f>
        <v>0</v>
      </c>
    </row>
    <row r="2567" spans="1:20" hidden="1">
      <c r="A2567" s="332" t="s">
        <v>477</v>
      </c>
      <c r="B2567" s="332" t="s">
        <v>2057</v>
      </c>
      <c r="C2567" s="333">
        <f>IF(H2567&lt;&gt;0,1,)</f>
        <v>0</v>
      </c>
      <c r="D2567" s="329"/>
      <c r="E2567" s="328">
        <f>VLOOKUP(B2567,DONGIA,DG!$B$6,0)</f>
        <v>0</v>
      </c>
      <c r="F2567" s="329" t="str">
        <f>VLOOKUP(B2567,DONGIA,DG!$C$6,0)</f>
        <v>Boulon 16x750VRS + 2 long đền vuông D18-50x50x3/Zn</v>
      </c>
      <c r="G2567" s="328" t="str">
        <f>VLOOKUP(B2567,DONGIA,DG!$D$6,0)</f>
        <v>bộ</v>
      </c>
      <c r="H2567" s="329">
        <f>H2560</f>
        <v>0</v>
      </c>
      <c r="I2567" s="329">
        <f>VLOOKUP(B2567,DONGIA,DG!$E$6,0)</f>
        <v>55000</v>
      </c>
      <c r="J2567" s="329"/>
      <c r="K2567" s="329">
        <f>VLOOKUP(B2567,DONGIA,DG!$F$6,0)</f>
        <v>0</v>
      </c>
      <c r="L2567" s="329">
        <f>VLOOKUP(B2567,DONGIA,DG!$G$6,0)</f>
        <v>0</v>
      </c>
      <c r="M2567" s="329">
        <f t="shared" si="718"/>
        <v>0</v>
      </c>
      <c r="N2567" s="329">
        <f t="shared" si="718"/>
        <v>0</v>
      </c>
      <c r="O2567" s="329">
        <f t="shared" si="718"/>
        <v>0</v>
      </c>
      <c r="P2567" s="329">
        <f t="shared" si="718"/>
        <v>0</v>
      </c>
      <c r="Q2567" s="329"/>
      <c r="S2567" s="332">
        <f>IFERROR(VLOOKUP(B2567,DONGIA,$S$25,0),0)</f>
        <v>1.1500000000000004</v>
      </c>
      <c r="T2567" s="332">
        <f>H2567*S2567</f>
        <v>0</v>
      </c>
    </row>
    <row r="2568" spans="1:20" hidden="1">
      <c r="A2568" s="332" t="s">
        <v>477</v>
      </c>
      <c r="B2568" s="332" t="s">
        <v>491</v>
      </c>
      <c r="C2568" s="333">
        <f t="shared" si="710"/>
        <v>0</v>
      </c>
      <c r="D2568" s="329"/>
      <c r="E2568" s="328" t="str">
        <f>VLOOKUP(B2568,DONGIA,DG!$B$6,0)</f>
        <v>AB.11413</v>
      </c>
      <c r="F2568" s="362" t="str">
        <f>VLOOKUP(B2568,DONGIA,DG!$C$6,0)&amp;" (ĐC hệ số 0,9)"</f>
        <v>Đào hố móng đất cấp 3 sâu ≤1m (rộng ≤1m) (ĐC hệ số 0,9)</v>
      </c>
      <c r="G2568" s="328" t="str">
        <f>VLOOKUP(B2568,DONGIA,DG!$D$6,0)</f>
        <v>m3</v>
      </c>
      <c r="H2568" s="52">
        <f>H2560*1.95</f>
        <v>0</v>
      </c>
      <c r="I2568" s="329">
        <f>VLOOKUP(B2568,DONGIA,DG!$E$6,0)</f>
        <v>0</v>
      </c>
      <c r="J2568" s="329"/>
      <c r="K2568" s="362">
        <f>ROUND(VLOOKUP(B2568,DONGIA,DG!$F$6,0)/NCTBA,0)</f>
        <v>340001</v>
      </c>
      <c r="L2568" s="329">
        <f>VLOOKUP(B2568,DONGIA,DG!$G$6,0)</f>
        <v>0</v>
      </c>
      <c r="M2568" s="329">
        <f t="shared" si="714"/>
        <v>0</v>
      </c>
      <c r="N2568" s="329">
        <f t="shared" si="715"/>
        <v>0</v>
      </c>
      <c r="O2568" s="329">
        <f t="shared" si="716"/>
        <v>0</v>
      </c>
      <c r="P2568" s="329">
        <f t="shared" si="717"/>
        <v>0</v>
      </c>
      <c r="Q2568" s="329"/>
      <c r="S2568" s="332">
        <f t="shared" si="711"/>
        <v>0</v>
      </c>
      <c r="T2568" s="332">
        <f t="shared" si="712"/>
        <v>0</v>
      </c>
    </row>
    <row r="2569" spans="1:20" hidden="1">
      <c r="A2569" s="332" t="s">
        <v>477</v>
      </c>
      <c r="B2569" s="332" t="s">
        <v>510</v>
      </c>
      <c r="C2569" s="333">
        <f t="shared" si="710"/>
        <v>0</v>
      </c>
      <c r="D2569" s="329"/>
      <c r="E2569" s="328" t="str">
        <f>VLOOKUP(B2569,DONGIA,DG!$B$6,0)</f>
        <v>AB.65110</v>
      </c>
      <c r="F2569" s="362" t="str">
        <f>VLOOKUP(B2569,DONGIA,DG!$C$6,0)&amp;" (ĐC hệ số 0,9)"</f>
        <v>Đắp đất hố móng (K=0,85) (ĐC hệ số 0,9)</v>
      </c>
      <c r="G2569" s="328" t="str">
        <f>VLOOKUP(B2569,DONGIA,DG!$D$6,0)</f>
        <v>m3</v>
      </c>
      <c r="H2569" s="52">
        <f>H2560*0.219</f>
        <v>0</v>
      </c>
      <c r="I2569" s="329">
        <f>VLOOKUP(B2569,DONGIA,DG!$E$6,0)</f>
        <v>0</v>
      </c>
      <c r="J2569" s="329"/>
      <c r="K2569" s="362">
        <f>ROUND(VLOOKUP(B2569,DONGIA,DG!$F$6,0)/NCTBA,0)</f>
        <v>16267</v>
      </c>
      <c r="L2569" s="329">
        <f>VLOOKUP(B2569,DONGIA,DG!$G$6,0)</f>
        <v>11176</v>
      </c>
      <c r="M2569" s="329">
        <f t="shared" si="714"/>
        <v>0</v>
      </c>
      <c r="N2569" s="329">
        <f t="shared" si="715"/>
        <v>0</v>
      </c>
      <c r="O2569" s="329">
        <f t="shared" si="716"/>
        <v>0</v>
      </c>
      <c r="P2569" s="329">
        <f t="shared" si="717"/>
        <v>0</v>
      </c>
      <c r="Q2569" s="329"/>
      <c r="S2569" s="332">
        <f t="shared" si="711"/>
        <v>0</v>
      </c>
      <c r="T2569" s="332">
        <f t="shared" si="712"/>
        <v>0</v>
      </c>
    </row>
    <row r="2570" spans="1:20" hidden="1">
      <c r="A2570" s="332" t="s">
        <v>477</v>
      </c>
      <c r="B2570" s="332" t="s">
        <v>713</v>
      </c>
      <c r="C2570" s="333">
        <f t="shared" si="710"/>
        <v>0</v>
      </c>
      <c r="D2570" s="329"/>
      <c r="E2570" s="328" t="str">
        <f>VLOOKUP(B2570,DONGIA,DG!$B$6,0)</f>
        <v>AF.11210</v>
      </c>
      <c r="F2570" s="362" t="str">
        <f>VLOOKUP(B2570,DONGIA,DG!$C$6,0)&amp;" (ĐC hệ số 0,9)"</f>
        <v>Đổ bê tông mác M200 đá 1x2 (ĐC hệ số 0,9)</v>
      </c>
      <c r="G2570" s="328" t="str">
        <f>VLOOKUP(B2570,DONGIA,DG!$D$6,0)</f>
        <v>m3</v>
      </c>
      <c r="H2570" s="52">
        <f>H2560*1.43</f>
        <v>0</v>
      </c>
      <c r="I2570" s="329">
        <f>VLOOKUP(B2570,DONGIA,DG!$E$6,0)</f>
        <v>0</v>
      </c>
      <c r="J2570" s="329"/>
      <c r="K2570" s="362">
        <f>ROUND(VLOOKUP(B2570,DONGIA,DG!$F$6,0)/NCTBA,0)</f>
        <v>293475</v>
      </c>
      <c r="L2570" s="329">
        <f>VLOOKUP(B2570,DONGIA,DG!$G$6,0)</f>
        <v>44701</v>
      </c>
      <c r="M2570" s="329">
        <f t="shared" si="714"/>
        <v>0</v>
      </c>
      <c r="N2570" s="329">
        <f t="shared" si="715"/>
        <v>0</v>
      </c>
      <c r="O2570" s="329">
        <f t="shared" si="716"/>
        <v>0</v>
      </c>
      <c r="P2570" s="329">
        <f t="shared" si="717"/>
        <v>0</v>
      </c>
      <c r="Q2570" s="329"/>
      <c r="S2570" s="332">
        <f t="shared" si="711"/>
        <v>0</v>
      </c>
      <c r="T2570" s="332">
        <f t="shared" si="712"/>
        <v>0</v>
      </c>
    </row>
    <row r="2571" spans="1:20" hidden="1">
      <c r="A2571" s="332" t="s">
        <v>477</v>
      </c>
      <c r="C2571" s="333">
        <f t="shared" si="710"/>
        <v>0</v>
      </c>
      <c r="D2571" s="372">
        <f>IF(H2571&lt;&gt;0,D2560+1,D2560)</f>
        <v>0</v>
      </c>
      <c r="E2571" s="372"/>
      <c r="F2571" s="373" t="s">
        <v>2843</v>
      </c>
      <c r="G2571" s="372" t="s">
        <v>138</v>
      </c>
      <c r="H2571" s="372">
        <f>T3P160N</f>
        <v>0</v>
      </c>
      <c r="I2571" s="373"/>
      <c r="J2571" s="373"/>
      <c r="K2571" s="373"/>
      <c r="L2571" s="373"/>
      <c r="M2571" s="373"/>
      <c r="N2571" s="373"/>
      <c r="O2571" s="373"/>
      <c r="P2571" s="373"/>
      <c r="Q2571" s="373"/>
      <c r="S2571" s="332">
        <f t="shared" si="711"/>
        <v>0</v>
      </c>
      <c r="T2571" s="332">
        <f t="shared" si="712"/>
        <v>0</v>
      </c>
    </row>
    <row r="2572" spans="1:20" s="361" customFormat="1" hidden="1">
      <c r="A2572" s="361" t="s">
        <v>477</v>
      </c>
      <c r="C2572" s="374">
        <f>C2571</f>
        <v>0</v>
      </c>
      <c r="D2572" s="351"/>
      <c r="E2572" s="351"/>
      <c r="F2572" s="351" t="s">
        <v>1902</v>
      </c>
      <c r="G2572" s="350"/>
      <c r="H2572" s="351"/>
      <c r="I2572" s="351"/>
      <c r="J2572" s="351"/>
      <c r="K2572" s="351"/>
      <c r="L2572" s="351"/>
      <c r="M2572" s="351"/>
      <c r="N2572" s="351"/>
      <c r="O2572" s="351"/>
      <c r="P2572" s="351"/>
      <c r="Q2572" s="351"/>
      <c r="S2572" s="361">
        <f t="shared" si="711"/>
        <v>0</v>
      </c>
      <c r="T2572" s="361">
        <f t="shared" si="712"/>
        <v>0</v>
      </c>
    </row>
    <row r="2573" spans="1:20" hidden="1">
      <c r="A2573" s="332" t="s">
        <v>477</v>
      </c>
      <c r="B2573" s="332" t="s">
        <v>2887</v>
      </c>
      <c r="C2573" s="333">
        <f>IF(H2573&lt;&gt;0,1,)</f>
        <v>0</v>
      </c>
      <c r="D2573" s="329"/>
      <c r="E2573" s="328">
        <f>VLOOKUP(B2573,DONGIA,DG!$B$6,0)</f>
        <v>0</v>
      </c>
      <c r="F2573" s="329" t="str">
        <f>VLOOKUP(B2573,DONGIA,DG!$C$6,0)</f>
        <v>Đà U160x64x5x1700 (24,14 kg/cái) (trái) (Đà số 1)</v>
      </c>
      <c r="G2573" s="328" t="str">
        <f>VLOOKUP(B2573,DONGIA,DG!$D$6,0)</f>
        <v>cái</v>
      </c>
      <c r="H2573" s="329">
        <f>H2571</f>
        <v>0</v>
      </c>
      <c r="I2573" s="329">
        <f>VLOOKUP(B2573,DONGIA,DG!$E$6,0)</f>
        <v>656583.86</v>
      </c>
      <c r="J2573" s="329"/>
      <c r="K2573" s="329">
        <f>VLOOKUP(B2573,DONGIA,DG!$F$6,0)</f>
        <v>0</v>
      </c>
      <c r="L2573" s="329">
        <f>VLOOKUP(B2573,DONGIA,DG!$G$6,0)</f>
        <v>0</v>
      </c>
      <c r="M2573" s="329">
        <f t="shared" ref="M2573:P2577" si="719">$H2573*I2573</f>
        <v>0</v>
      </c>
      <c r="N2573" s="329">
        <f t="shared" si="719"/>
        <v>0</v>
      </c>
      <c r="O2573" s="329">
        <f t="shared" si="719"/>
        <v>0</v>
      </c>
      <c r="P2573" s="329">
        <f t="shared" si="719"/>
        <v>0</v>
      </c>
      <c r="Q2573" s="329"/>
      <c r="S2573" s="332">
        <f>IFERROR(VLOOKUP(B2573,DONGIA,$S$25,0),0)</f>
        <v>24.14</v>
      </c>
      <c r="T2573" s="332">
        <f>H2573*S2573</f>
        <v>0</v>
      </c>
    </row>
    <row r="2574" spans="1:20" hidden="1">
      <c r="A2574" s="332" t="s">
        <v>477</v>
      </c>
      <c r="B2574" s="332" t="s">
        <v>2888</v>
      </c>
      <c r="C2574" s="333">
        <f>IF(H2574&lt;&gt;0,1,)</f>
        <v>0</v>
      </c>
      <c r="D2574" s="329"/>
      <c r="E2574" s="328">
        <f>VLOOKUP(B2574,DONGIA,DG!$B$6,0)</f>
        <v>0</v>
      </c>
      <c r="F2574" s="329" t="str">
        <f>VLOOKUP(B2574,DONGIA,DG!$C$6,0)</f>
        <v>Đà U160x64x5x1700 (24,14 kg/cái) (phải) (Đà số 1)</v>
      </c>
      <c r="G2574" s="328" t="str">
        <f>VLOOKUP(B2574,DONGIA,DG!$D$6,0)</f>
        <v>cái</v>
      </c>
      <c r="H2574" s="329">
        <f>H2571</f>
        <v>0</v>
      </c>
      <c r="I2574" s="329">
        <f>VLOOKUP(B2574,DONGIA,DG!$E$6,0)</f>
        <v>656583.86</v>
      </c>
      <c r="J2574" s="329"/>
      <c r="K2574" s="329">
        <f>VLOOKUP(B2574,DONGIA,DG!$F$6,0)</f>
        <v>0</v>
      </c>
      <c r="L2574" s="329">
        <f>VLOOKUP(B2574,DONGIA,DG!$G$6,0)</f>
        <v>0</v>
      </c>
      <c r="M2574" s="329">
        <f t="shared" si="719"/>
        <v>0</v>
      </c>
      <c r="N2574" s="329">
        <f t="shared" si="719"/>
        <v>0</v>
      </c>
      <c r="O2574" s="329">
        <f t="shared" si="719"/>
        <v>0</v>
      </c>
      <c r="P2574" s="329">
        <f t="shared" si="719"/>
        <v>0</v>
      </c>
      <c r="Q2574" s="329"/>
      <c r="S2574" s="332">
        <f>IFERROR(VLOOKUP(B2574,DONGIA,$S$25,0),0)</f>
        <v>24.14</v>
      </c>
      <c r="T2574" s="332">
        <f>H2574*S2574</f>
        <v>0</v>
      </c>
    </row>
    <row r="2575" spans="1:20" hidden="1">
      <c r="A2575" s="332" t="s">
        <v>477</v>
      </c>
      <c r="B2575" s="332" t="s">
        <v>2889</v>
      </c>
      <c r="C2575" s="333">
        <f>IF(H2575&lt;&gt;0,1,)</f>
        <v>0</v>
      </c>
      <c r="D2575" s="329"/>
      <c r="E2575" s="328">
        <f>VLOOKUP(B2575,DONGIA,DG!$B$6,0)</f>
        <v>0</v>
      </c>
      <c r="F2575" s="329" t="str">
        <f>VLOOKUP(B2575,DONGIA,DG!$C$6,0)</f>
        <v>Đà U160x64x5x2100 (29,82 kg/cái) (trái) (Đà số 2)</v>
      </c>
      <c r="G2575" s="328" t="str">
        <f>VLOOKUP(B2575,DONGIA,DG!$D$6,0)</f>
        <v>cái</v>
      </c>
      <c r="H2575" s="329">
        <f>H2571</f>
        <v>0</v>
      </c>
      <c r="I2575" s="329">
        <f>VLOOKUP(B2575,DONGIA,DG!$E$6,0)</f>
        <v>811074.18</v>
      </c>
      <c r="J2575" s="329"/>
      <c r="K2575" s="329">
        <f>VLOOKUP(B2575,DONGIA,DG!$F$6,0)</f>
        <v>0</v>
      </c>
      <c r="L2575" s="329">
        <f>VLOOKUP(B2575,DONGIA,DG!$G$6,0)</f>
        <v>0</v>
      </c>
      <c r="M2575" s="329">
        <f t="shared" si="719"/>
        <v>0</v>
      </c>
      <c r="N2575" s="329">
        <f t="shared" si="719"/>
        <v>0</v>
      </c>
      <c r="O2575" s="329">
        <f t="shared" si="719"/>
        <v>0</v>
      </c>
      <c r="P2575" s="329">
        <f t="shared" si="719"/>
        <v>0</v>
      </c>
      <c r="Q2575" s="329"/>
      <c r="S2575" s="332">
        <f>IFERROR(VLOOKUP(B2575,DONGIA,$S$25,0),0)</f>
        <v>29.82</v>
      </c>
      <c r="T2575" s="332">
        <f>H2575*S2575</f>
        <v>0</v>
      </c>
    </row>
    <row r="2576" spans="1:20" hidden="1">
      <c r="A2576" s="332" t="s">
        <v>477</v>
      </c>
      <c r="B2576" s="332" t="s">
        <v>2890</v>
      </c>
      <c r="C2576" s="333">
        <f>IF(H2576&lt;&gt;0,1,)</f>
        <v>0</v>
      </c>
      <c r="D2576" s="329"/>
      <c r="E2576" s="328">
        <f>VLOOKUP(B2576,DONGIA,DG!$B$6,0)</f>
        <v>0</v>
      </c>
      <c r="F2576" s="329" t="str">
        <f>VLOOKUP(B2576,DONGIA,DG!$C$6,0)</f>
        <v>Đà U160x64x5x2100 (29,82 kg/cái) (phải) (Đà số 2)</v>
      </c>
      <c r="G2576" s="328" t="str">
        <f>VLOOKUP(B2576,DONGIA,DG!$D$6,0)</f>
        <v>cái</v>
      </c>
      <c r="H2576" s="329">
        <f>H2571</f>
        <v>0</v>
      </c>
      <c r="I2576" s="329">
        <f>VLOOKUP(B2576,DONGIA,DG!$E$6,0)</f>
        <v>811074.18</v>
      </c>
      <c r="J2576" s="329"/>
      <c r="K2576" s="329">
        <f>VLOOKUP(B2576,DONGIA,DG!$F$6,0)</f>
        <v>0</v>
      </c>
      <c r="L2576" s="329">
        <f>VLOOKUP(B2576,DONGIA,DG!$G$6,0)</f>
        <v>0</v>
      </c>
      <c r="M2576" s="329">
        <f t="shared" si="719"/>
        <v>0</v>
      </c>
      <c r="N2576" s="329">
        <f t="shared" si="719"/>
        <v>0</v>
      </c>
      <c r="O2576" s="329">
        <f t="shared" si="719"/>
        <v>0</v>
      </c>
      <c r="P2576" s="329">
        <f t="shared" si="719"/>
        <v>0</v>
      </c>
      <c r="Q2576" s="329"/>
      <c r="S2576" s="332">
        <f>IFERROR(VLOOKUP(B2576,DONGIA,$S$25,0),0)</f>
        <v>29.82</v>
      </c>
      <c r="T2576" s="332">
        <f>H2576*S2576</f>
        <v>0</v>
      </c>
    </row>
    <row r="2577" spans="1:20" hidden="1">
      <c r="A2577" s="332" t="s">
        <v>477</v>
      </c>
      <c r="B2577" s="332" t="s">
        <v>2886</v>
      </c>
      <c r="C2577" s="333">
        <f>IF(H2577&lt;&gt;0,1,)</f>
        <v>0</v>
      </c>
      <c r="D2577" s="329"/>
      <c r="E2577" s="328">
        <f>VLOOKUP(B2577,DONGIA,DG!$B$6,0)</f>
        <v>0</v>
      </c>
      <c r="F2577" s="329" t="str">
        <f>VLOOKUP(B2577,DONGIA,DG!$C$6,0)</f>
        <v>Đà U160x64x5x1543,5 (21,918 kg/cái) (Đà số 3)</v>
      </c>
      <c r="G2577" s="328" t="str">
        <f>VLOOKUP(B2577,DONGIA,DG!$D$6,0)</f>
        <v>cái</v>
      </c>
      <c r="H2577" s="329">
        <f>H2571</f>
        <v>0</v>
      </c>
      <c r="I2577" s="329">
        <f>VLOOKUP(B2577,DONGIA,DG!$E$6,0)</f>
        <v>596147.68200000003</v>
      </c>
      <c r="J2577" s="329"/>
      <c r="K2577" s="329">
        <f>VLOOKUP(B2577,DONGIA,DG!$F$6,0)</f>
        <v>0</v>
      </c>
      <c r="L2577" s="329">
        <f>VLOOKUP(B2577,DONGIA,DG!$G$6,0)</f>
        <v>0</v>
      </c>
      <c r="M2577" s="329">
        <f t="shared" si="719"/>
        <v>0</v>
      </c>
      <c r="N2577" s="329">
        <f t="shared" si="719"/>
        <v>0</v>
      </c>
      <c r="O2577" s="329">
        <f t="shared" si="719"/>
        <v>0</v>
      </c>
      <c r="P2577" s="329">
        <f t="shared" si="719"/>
        <v>0</v>
      </c>
      <c r="Q2577" s="329"/>
      <c r="S2577" s="332">
        <f>IFERROR(VLOOKUP(B2577,DONGIA,$S$25,0),0)</f>
        <v>21.917999999999999</v>
      </c>
      <c r="T2577" s="332">
        <f>H2577*S2577</f>
        <v>0</v>
      </c>
    </row>
    <row r="2578" spans="1:20" hidden="1">
      <c r="A2578" s="332" t="s">
        <v>477</v>
      </c>
      <c r="B2578" s="332" t="s">
        <v>2850</v>
      </c>
      <c r="C2578" s="333">
        <f t="shared" si="710"/>
        <v>0</v>
      </c>
      <c r="D2578" s="329"/>
      <c r="E2578" s="328">
        <f>VLOOKUP(B2578,DONGIA,DG!$B$6,0)</f>
        <v>0</v>
      </c>
      <c r="F2578" s="329" t="str">
        <f>VLOOKUP(B2578,DONGIA,DG!$C$6,0)</f>
        <v>Đà U100x46x4,5x400 (3,436 kg/cái) (Đà số 4)</v>
      </c>
      <c r="G2578" s="328" t="str">
        <f>VLOOKUP(B2578,DONGIA,DG!$D$6,0)</f>
        <v>cái</v>
      </c>
      <c r="H2578" s="329">
        <f>H2571*2</f>
        <v>0</v>
      </c>
      <c r="I2578" s="329">
        <f>VLOOKUP(B2578,DONGIA,DG!$E$6,0)</f>
        <v>93455.763999999996</v>
      </c>
      <c r="J2578" s="329"/>
      <c r="K2578" s="329">
        <f>VLOOKUP(B2578,DONGIA,DG!$F$6,0)</f>
        <v>0</v>
      </c>
      <c r="L2578" s="329">
        <f>VLOOKUP(B2578,DONGIA,DG!$G$6,0)</f>
        <v>0</v>
      </c>
      <c r="M2578" s="329">
        <f>$H2578*I2578</f>
        <v>0</v>
      </c>
      <c r="N2578" s="329">
        <f>$H2578*J2578</f>
        <v>0</v>
      </c>
      <c r="O2578" s="329">
        <f>$H2578*K2578</f>
        <v>0</v>
      </c>
      <c r="P2578" s="329">
        <f>$H2578*L2578</f>
        <v>0</v>
      </c>
      <c r="Q2578" s="329"/>
      <c r="S2578" s="332">
        <f t="shared" si="711"/>
        <v>3.4359999999999999</v>
      </c>
      <c r="T2578" s="332">
        <f t="shared" si="712"/>
        <v>0</v>
      </c>
    </row>
    <row r="2579" spans="1:20" hidden="1">
      <c r="A2579" s="332" t="s">
        <v>477</v>
      </c>
      <c r="B2579" s="332" t="s">
        <v>2907</v>
      </c>
      <c r="C2579" s="333">
        <f>IF(H2579&lt;&gt;0,1,)</f>
        <v>0</v>
      </c>
      <c r="D2579" s="329"/>
      <c r="E2579" s="328">
        <f>VLOOKUP(B2579,DONGIA,DG!$B$6,0)</f>
        <v>0</v>
      </c>
      <c r="F2579" s="329" t="str">
        <f>VLOOKUP(B2579,DONGIA,DG!$C$6,0)</f>
        <v>Đà U160x64x5x700 (9,94 kg/cái) (Đà số 5)</v>
      </c>
      <c r="G2579" s="328" t="str">
        <f>VLOOKUP(B2579,DONGIA,DG!$D$6,0)</f>
        <v>cái</v>
      </c>
      <c r="H2579" s="329">
        <f>H2571</f>
        <v>0</v>
      </c>
      <c r="I2579" s="329">
        <f>VLOOKUP(B2579,DONGIA,DG!$E$6,0)</f>
        <v>270358.06</v>
      </c>
      <c r="J2579" s="329"/>
      <c r="K2579" s="329">
        <f>VLOOKUP(B2579,DONGIA,DG!$F$6,0)</f>
        <v>0</v>
      </c>
      <c r="L2579" s="329">
        <f>VLOOKUP(B2579,DONGIA,DG!$G$6,0)</f>
        <v>0</v>
      </c>
      <c r="M2579" s="329">
        <f t="shared" ref="M2579:P2580" si="720">$H2579*I2579</f>
        <v>0</v>
      </c>
      <c r="N2579" s="329">
        <f t="shared" si="720"/>
        <v>0</v>
      </c>
      <c r="O2579" s="329">
        <f t="shared" si="720"/>
        <v>0</v>
      </c>
      <c r="P2579" s="329">
        <f t="shared" si="720"/>
        <v>0</v>
      </c>
      <c r="Q2579" s="329"/>
      <c r="S2579" s="332">
        <f>IFERROR(VLOOKUP(B2579,DONGIA,$S$25,0),0)</f>
        <v>9.94</v>
      </c>
      <c r="T2579" s="332">
        <f>H2579*S2579</f>
        <v>0</v>
      </c>
    </row>
    <row r="2580" spans="1:20" hidden="1">
      <c r="A2580" s="332" t="s">
        <v>477</v>
      </c>
      <c r="B2580" s="332" t="s">
        <v>2906</v>
      </c>
      <c r="C2580" s="333">
        <f>IF(H2580&lt;&gt;0,1,)</f>
        <v>0</v>
      </c>
      <c r="D2580" s="329"/>
      <c r="E2580" s="328">
        <f>VLOOKUP(B2580,DONGIA,DG!$B$6,0)</f>
        <v>0</v>
      </c>
      <c r="F2580" s="329" t="str">
        <f>VLOOKUP(B2580,DONGIA,DG!$C$6,0)</f>
        <v>Đà U160x64x5x1100 (15,62 kg/cái) (Đà số 6)</v>
      </c>
      <c r="G2580" s="328" t="str">
        <f>VLOOKUP(B2580,DONGIA,DG!$D$6,0)</f>
        <v>cái</v>
      </c>
      <c r="H2580" s="329">
        <f>H2571</f>
        <v>0</v>
      </c>
      <c r="I2580" s="329">
        <f>VLOOKUP(B2580,DONGIA,DG!$E$6,0)</f>
        <v>424848.38</v>
      </c>
      <c r="J2580" s="329"/>
      <c r="K2580" s="329">
        <f>VLOOKUP(B2580,DONGIA,DG!$F$6,0)</f>
        <v>0</v>
      </c>
      <c r="L2580" s="329">
        <f>VLOOKUP(B2580,DONGIA,DG!$G$6,0)</f>
        <v>0</v>
      </c>
      <c r="M2580" s="329">
        <f t="shared" si="720"/>
        <v>0</v>
      </c>
      <c r="N2580" s="329">
        <f t="shared" si="720"/>
        <v>0</v>
      </c>
      <c r="O2580" s="329">
        <f t="shared" si="720"/>
        <v>0</v>
      </c>
      <c r="P2580" s="329">
        <f t="shared" si="720"/>
        <v>0</v>
      </c>
      <c r="Q2580" s="329"/>
      <c r="S2580" s="332">
        <f>IFERROR(VLOOKUP(B2580,DONGIA,$S$25,0),0)</f>
        <v>15.62</v>
      </c>
      <c r="T2580" s="332">
        <f>H2580*S2580</f>
        <v>0</v>
      </c>
    </row>
    <row r="2581" spans="1:20" hidden="1">
      <c r="A2581" s="332" t="s">
        <v>477</v>
      </c>
      <c r="B2581" s="332" t="s">
        <v>2893</v>
      </c>
      <c r="C2581" s="333">
        <f t="shared" si="710"/>
        <v>0</v>
      </c>
      <c r="D2581" s="329"/>
      <c r="E2581" s="328">
        <f>VLOOKUP(B2581,DONGIA,DG!$B$6,0)</f>
        <v>0</v>
      </c>
      <c r="F2581" s="329" t="str">
        <f>VLOOKUP(B2581,DONGIA,DG!$C$6,0)</f>
        <v>Đà U160x64x5x1100 (15,62 kg/cái) (Đà số 7)</v>
      </c>
      <c r="G2581" s="328" t="str">
        <f>VLOOKUP(B2581,DONGIA,DG!$D$6,0)</f>
        <v>cái</v>
      </c>
      <c r="H2581" s="329">
        <f>H2571</f>
        <v>0</v>
      </c>
      <c r="I2581" s="329">
        <f>VLOOKUP(B2581,DONGIA,DG!$E$6,0)</f>
        <v>424848.38</v>
      </c>
      <c r="J2581" s="329"/>
      <c r="K2581" s="329">
        <f>VLOOKUP(B2581,DONGIA,DG!$F$6,0)</f>
        <v>0</v>
      </c>
      <c r="L2581" s="329">
        <f>VLOOKUP(B2581,DONGIA,DG!$G$6,0)</f>
        <v>0</v>
      </c>
      <c r="M2581" s="329">
        <f t="shared" ref="M2581:P2584" si="721">$H2581*I2581</f>
        <v>0</v>
      </c>
      <c r="N2581" s="329">
        <f t="shared" si="721"/>
        <v>0</v>
      </c>
      <c r="O2581" s="329">
        <f t="shared" si="721"/>
        <v>0</v>
      </c>
      <c r="P2581" s="329">
        <f t="shared" si="721"/>
        <v>0</v>
      </c>
      <c r="Q2581" s="329"/>
      <c r="S2581" s="332">
        <f t="shared" si="711"/>
        <v>15.62</v>
      </c>
      <c r="T2581" s="332">
        <f t="shared" si="712"/>
        <v>0</v>
      </c>
    </row>
    <row r="2582" spans="1:20" hidden="1">
      <c r="A2582" s="332" t="s">
        <v>477</v>
      </c>
      <c r="B2582" s="332" t="s">
        <v>2908</v>
      </c>
      <c r="C2582" s="333">
        <f t="shared" si="710"/>
        <v>0</v>
      </c>
      <c r="D2582" s="329"/>
      <c r="E2582" s="328">
        <f>VLOOKUP(B2582,DONGIA,DG!$B$6,0)</f>
        <v>0</v>
      </c>
      <c r="F2582" s="329" t="str">
        <f>VLOOKUP(B2582,DONGIA,DG!$C$6,0)</f>
        <v>Đà U100x46x4,5x700 (6,013 kg/cái) (Đà số 8)</v>
      </c>
      <c r="G2582" s="328" t="str">
        <f>VLOOKUP(B2582,DONGIA,DG!$D$6,0)</f>
        <v>cái</v>
      </c>
      <c r="H2582" s="329">
        <f>H2571*3</f>
        <v>0</v>
      </c>
      <c r="I2582" s="329">
        <f>VLOOKUP(B2582,DONGIA,DG!$E$6,0)</f>
        <v>163547.587</v>
      </c>
      <c r="J2582" s="329"/>
      <c r="K2582" s="329">
        <f>VLOOKUP(B2582,DONGIA,DG!$F$6,0)</f>
        <v>0</v>
      </c>
      <c r="L2582" s="329">
        <f>VLOOKUP(B2582,DONGIA,DG!$G$6,0)</f>
        <v>0</v>
      </c>
      <c r="M2582" s="329">
        <f t="shared" si="721"/>
        <v>0</v>
      </c>
      <c r="N2582" s="329">
        <f t="shared" si="721"/>
        <v>0</v>
      </c>
      <c r="O2582" s="329">
        <f t="shared" si="721"/>
        <v>0</v>
      </c>
      <c r="P2582" s="329">
        <f t="shared" si="721"/>
        <v>0</v>
      </c>
      <c r="Q2582" s="329"/>
      <c r="S2582" s="332">
        <f t="shared" si="711"/>
        <v>6.0129999999999999</v>
      </c>
      <c r="T2582" s="332">
        <f t="shared" si="712"/>
        <v>0</v>
      </c>
    </row>
    <row r="2583" spans="1:20" hidden="1">
      <c r="A2583" s="332" t="s">
        <v>477</v>
      </c>
      <c r="B2583" s="332" t="s">
        <v>2891</v>
      </c>
      <c r="C2583" s="333">
        <f t="shared" ref="C2583:C2588" si="722">IF(H2583&lt;&gt;0,1,)</f>
        <v>0</v>
      </c>
      <c r="D2583" s="329"/>
      <c r="E2583" s="328">
        <f>VLOOKUP(B2583,DONGIA,DG!$B$6,0)</f>
        <v>0</v>
      </c>
      <c r="F2583" s="329" t="str">
        <f>VLOOKUP(B2583,DONGIA,DG!$C$6,0)</f>
        <v>Đà U100x46x4,5x1100 (9,449kg/cái) (Đà số 9)</v>
      </c>
      <c r="G2583" s="328" t="str">
        <f>VLOOKUP(B2583,DONGIA,DG!$D$6,0)</f>
        <v>cái</v>
      </c>
      <c r="H2583" s="329">
        <f>H2571</f>
        <v>0</v>
      </c>
      <c r="I2583" s="329">
        <f>VLOOKUP(B2583,DONGIA,DG!$E$6,0)</f>
        <v>257003.351</v>
      </c>
      <c r="J2583" s="329"/>
      <c r="K2583" s="329">
        <f>VLOOKUP(B2583,DONGIA,DG!$F$6,0)</f>
        <v>0</v>
      </c>
      <c r="L2583" s="329">
        <f>VLOOKUP(B2583,DONGIA,DG!$G$6,0)</f>
        <v>0</v>
      </c>
      <c r="M2583" s="329">
        <f t="shared" si="721"/>
        <v>0</v>
      </c>
      <c r="N2583" s="329">
        <f t="shared" si="721"/>
        <v>0</v>
      </c>
      <c r="O2583" s="329">
        <f t="shared" si="721"/>
        <v>0</v>
      </c>
      <c r="P2583" s="329">
        <f t="shared" si="721"/>
        <v>0</v>
      </c>
      <c r="Q2583" s="329"/>
      <c r="S2583" s="332">
        <f t="shared" ref="S2583:S2588" si="723">IFERROR(VLOOKUP(B2583,DONGIA,$S$25,0),0)</f>
        <v>9.4489999999999998</v>
      </c>
      <c r="T2583" s="332">
        <f t="shared" ref="T2583:T2588" si="724">H2583*S2583</f>
        <v>0</v>
      </c>
    </row>
    <row r="2584" spans="1:20" hidden="1">
      <c r="A2584" s="332" t="s">
        <v>477</v>
      </c>
      <c r="B2584" s="332" t="s">
        <v>2892</v>
      </c>
      <c r="C2584" s="333">
        <f t="shared" si="722"/>
        <v>0</v>
      </c>
      <c r="D2584" s="329"/>
      <c r="E2584" s="328">
        <f>VLOOKUP(B2584,DONGIA,DG!$B$6,0)</f>
        <v>0</v>
      </c>
      <c r="F2584" s="329" t="str">
        <f>VLOOKUP(B2584,DONGIA,DG!$C$6,0)</f>
        <v>Đà U100x46x4,5x1100 (9,449 kg/cái) (Đà số 10)</v>
      </c>
      <c r="G2584" s="328" t="str">
        <f>VLOOKUP(B2584,DONGIA,DG!$D$6,0)</f>
        <v>cái</v>
      </c>
      <c r="H2584" s="329">
        <f>H2573</f>
        <v>0</v>
      </c>
      <c r="I2584" s="329">
        <f>VLOOKUP(B2584,DONGIA,DG!$E$6,0)</f>
        <v>257003.351</v>
      </c>
      <c r="J2584" s="329"/>
      <c r="K2584" s="329">
        <f>VLOOKUP(B2584,DONGIA,DG!$F$6,0)</f>
        <v>0</v>
      </c>
      <c r="L2584" s="329">
        <f>VLOOKUP(B2584,DONGIA,DG!$G$6,0)</f>
        <v>0</v>
      </c>
      <c r="M2584" s="329">
        <f t="shared" si="721"/>
        <v>0</v>
      </c>
      <c r="N2584" s="329">
        <f t="shared" si="721"/>
        <v>0</v>
      </c>
      <c r="O2584" s="329">
        <f t="shared" si="721"/>
        <v>0</v>
      </c>
      <c r="P2584" s="329">
        <f t="shared" si="721"/>
        <v>0</v>
      </c>
      <c r="Q2584" s="329"/>
      <c r="S2584" s="332">
        <f t="shared" si="723"/>
        <v>9.4489999999999998</v>
      </c>
      <c r="T2584" s="332">
        <f t="shared" si="724"/>
        <v>0</v>
      </c>
    </row>
    <row r="2585" spans="1:20" hidden="1">
      <c r="A2585" s="332" t="s">
        <v>477</v>
      </c>
      <c r="B2585" s="332" t="s">
        <v>29</v>
      </c>
      <c r="C2585" s="333">
        <f t="shared" si="722"/>
        <v>0</v>
      </c>
      <c r="D2585" s="329"/>
      <c r="E2585" s="328">
        <f>VLOOKUP(B2585,DONGIA,DG!$B$6,0)</f>
        <v>0</v>
      </c>
      <c r="F2585" s="329" t="str">
        <f>VLOOKUP(B2585,DONGIA,DG!$C$6,0)</f>
        <v>Boulon 16x50+ 2 long đền vuông D18-50x50x3/Zn</v>
      </c>
      <c r="G2585" s="328" t="str">
        <f>VLOOKUP(B2585,DONGIA,DG!$D$6,0)</f>
        <v>bộ</v>
      </c>
      <c r="H2585" s="329">
        <f>H2571*12</f>
        <v>0</v>
      </c>
      <c r="I2585" s="329">
        <f>VLOOKUP(B2585,DONGIA,DG!$E$6,0)</f>
        <v>17000</v>
      </c>
      <c r="J2585" s="329"/>
      <c r="K2585" s="329">
        <f>VLOOKUP(B2585,DONGIA,DG!$F$6,0)</f>
        <v>0</v>
      </c>
      <c r="L2585" s="329">
        <f>VLOOKUP(B2585,DONGIA,DG!$G$6,0)</f>
        <v>0</v>
      </c>
      <c r="M2585" s="329">
        <f t="shared" ref="M2585:P2588" si="725">$H2585*I2585</f>
        <v>0</v>
      </c>
      <c r="N2585" s="329">
        <f t="shared" si="725"/>
        <v>0</v>
      </c>
      <c r="O2585" s="329">
        <f t="shared" si="725"/>
        <v>0</v>
      </c>
      <c r="P2585" s="329">
        <f t="shared" si="725"/>
        <v>0</v>
      </c>
      <c r="Q2585" s="329"/>
      <c r="S2585" s="332">
        <f t="shared" si="723"/>
        <v>0.25</v>
      </c>
      <c r="T2585" s="332">
        <f t="shared" si="724"/>
        <v>0</v>
      </c>
    </row>
    <row r="2586" spans="1:20" hidden="1">
      <c r="A2586" s="332" t="s">
        <v>477</v>
      </c>
      <c r="B2586" s="332" t="s">
        <v>47</v>
      </c>
      <c r="C2586" s="333">
        <f t="shared" si="722"/>
        <v>0</v>
      </c>
      <c r="D2586" s="329"/>
      <c r="E2586" s="328">
        <f>VLOOKUP(B2586,DONGIA,DG!$B$6,0)</f>
        <v>0</v>
      </c>
      <c r="F2586" s="329" t="str">
        <f>VLOOKUP(B2586,DONGIA,DG!$C$6,0)</f>
        <v>Boulon 16x250VRS+ 4 long đền vuông D18-50x50x3/Zn</v>
      </c>
      <c r="G2586" s="328" t="str">
        <f>VLOOKUP(B2586,DONGIA,DG!$D$6,0)</f>
        <v>bộ</v>
      </c>
      <c r="H2586" s="329">
        <f>H2571*4</f>
        <v>0</v>
      </c>
      <c r="I2586" s="329">
        <f>VLOOKUP(B2586,DONGIA,DG!$E$6,0)</f>
        <v>37000</v>
      </c>
      <c r="J2586" s="329"/>
      <c r="K2586" s="329">
        <f>VLOOKUP(B2586,DONGIA,DG!$F$6,0)</f>
        <v>0</v>
      </c>
      <c r="L2586" s="329">
        <f>VLOOKUP(B2586,DONGIA,DG!$G$6,0)</f>
        <v>0</v>
      </c>
      <c r="M2586" s="329">
        <f t="shared" si="725"/>
        <v>0</v>
      </c>
      <c r="N2586" s="329">
        <f t="shared" si="725"/>
        <v>0</v>
      </c>
      <c r="O2586" s="329">
        <f t="shared" si="725"/>
        <v>0</v>
      </c>
      <c r="P2586" s="329">
        <f t="shared" si="725"/>
        <v>0</v>
      </c>
      <c r="Q2586" s="329"/>
      <c r="S2586" s="332">
        <f t="shared" si="723"/>
        <v>0</v>
      </c>
      <c r="T2586" s="332">
        <f t="shared" si="724"/>
        <v>0</v>
      </c>
    </row>
    <row r="2587" spans="1:20" hidden="1">
      <c r="A2587" s="332" t="s">
        <v>477</v>
      </c>
      <c r="B2587" s="332" t="s">
        <v>2909</v>
      </c>
      <c r="C2587" s="333">
        <f t="shared" si="722"/>
        <v>0</v>
      </c>
      <c r="D2587" s="329"/>
      <c r="E2587" s="328">
        <f>VLOOKUP(B2587,DONGIA,DG!$B$6,0)</f>
        <v>0</v>
      </c>
      <c r="F2587" s="329" t="str">
        <f>VLOOKUP(B2587,DONGIA,DG!$C$6,0)</f>
        <v>Boulon 16x200VRS+ 4 long đền vuông D18-50x50x3/Zn</v>
      </c>
      <c r="G2587" s="328" t="str">
        <f>VLOOKUP(B2587,DONGIA,DG!$D$6,0)</f>
        <v>bộ</v>
      </c>
      <c r="H2587" s="329">
        <f>H2571*7</f>
        <v>0</v>
      </c>
      <c r="I2587" s="329">
        <f>VLOOKUP(B2587,DONGIA,DG!$E$6,0)</f>
        <v>32000</v>
      </c>
      <c r="J2587" s="329"/>
      <c r="K2587" s="329">
        <f>VLOOKUP(B2587,DONGIA,DG!$F$6,0)</f>
        <v>0</v>
      </c>
      <c r="L2587" s="329">
        <f>VLOOKUP(B2587,DONGIA,DG!$G$6,0)</f>
        <v>0</v>
      </c>
      <c r="M2587" s="329">
        <f t="shared" si="725"/>
        <v>0</v>
      </c>
      <c r="N2587" s="329">
        <f t="shared" si="725"/>
        <v>0</v>
      </c>
      <c r="O2587" s="329">
        <f t="shared" si="725"/>
        <v>0</v>
      </c>
      <c r="P2587" s="329">
        <f t="shared" si="725"/>
        <v>0</v>
      </c>
      <c r="Q2587" s="329"/>
      <c r="S2587" s="332">
        <f t="shared" si="723"/>
        <v>0</v>
      </c>
      <c r="T2587" s="332">
        <f t="shared" si="724"/>
        <v>0</v>
      </c>
    </row>
    <row r="2588" spans="1:20" hidden="1">
      <c r="A2588" s="332" t="s">
        <v>477</v>
      </c>
      <c r="B2588" s="332" t="s">
        <v>50</v>
      </c>
      <c r="C2588" s="333">
        <f t="shared" si="722"/>
        <v>0</v>
      </c>
      <c r="D2588" s="329"/>
      <c r="E2588" s="328">
        <f>VLOOKUP(B2588,DONGIA,DG!$B$6,0)</f>
        <v>0</v>
      </c>
      <c r="F2588" s="329" t="str">
        <f>VLOOKUP(B2588,DONGIA,DG!$C$6,0)</f>
        <v>Boulon 16x350VRS+ 4 long đền vuông D18-50x50x3/Zn</v>
      </c>
      <c r="G2588" s="328" t="str">
        <f>VLOOKUP(B2588,DONGIA,DG!$D$6,0)</f>
        <v>bộ</v>
      </c>
      <c r="H2588" s="329">
        <f>H2571*4</f>
        <v>0</v>
      </c>
      <c r="I2588" s="329">
        <f>VLOOKUP(B2588,DONGIA,DG!$E$6,0)</f>
        <v>43000</v>
      </c>
      <c r="J2588" s="329"/>
      <c r="K2588" s="329">
        <f>VLOOKUP(B2588,DONGIA,DG!$F$6,0)</f>
        <v>0</v>
      </c>
      <c r="L2588" s="329">
        <f>VLOOKUP(B2588,DONGIA,DG!$G$6,0)</f>
        <v>0</v>
      </c>
      <c r="M2588" s="329">
        <f t="shared" si="725"/>
        <v>0</v>
      </c>
      <c r="N2588" s="329">
        <f t="shared" si="725"/>
        <v>0</v>
      </c>
      <c r="O2588" s="329">
        <f t="shared" si="725"/>
        <v>0</v>
      </c>
      <c r="P2588" s="329">
        <f t="shared" si="725"/>
        <v>0</v>
      </c>
      <c r="Q2588" s="329"/>
      <c r="S2588" s="332">
        <f t="shared" si="723"/>
        <v>0.35</v>
      </c>
      <c r="T2588" s="332">
        <f t="shared" si="724"/>
        <v>0</v>
      </c>
    </row>
    <row r="2589" spans="1:20" hidden="1">
      <c r="A2589" s="332" t="s">
        <v>477</v>
      </c>
      <c r="B2589" s="332" t="s">
        <v>64</v>
      </c>
      <c r="C2589" s="333">
        <f t="shared" si="710"/>
        <v>0</v>
      </c>
      <c r="D2589" s="329"/>
      <c r="E2589" s="328">
        <f>VLOOKUP(B2589,DONGIA,DG!$B$6,0)</f>
        <v>0</v>
      </c>
      <c r="F2589" s="329" t="str">
        <f>VLOOKUP(B2589,DONGIA,DG!$C$6,0)</f>
        <v>Boulon 16x700VRS + 4 long đền vuông D18-50x50x3/Zn</v>
      </c>
      <c r="G2589" s="328" t="str">
        <f>VLOOKUP(B2589,DONGIA,DG!$D$6,0)</f>
        <v>bộ</v>
      </c>
      <c r="H2589" s="329">
        <f>H2571*9</f>
        <v>0</v>
      </c>
      <c r="I2589" s="329">
        <f>VLOOKUP(B2589,DONGIA,DG!$E$6,0)</f>
        <v>60000</v>
      </c>
      <c r="J2589" s="329"/>
      <c r="K2589" s="329">
        <f>VLOOKUP(B2589,DONGIA,DG!$F$6,0)</f>
        <v>0</v>
      </c>
      <c r="L2589" s="329">
        <f>VLOOKUP(B2589,DONGIA,DG!$G$6,0)</f>
        <v>0</v>
      </c>
      <c r="M2589" s="329">
        <f t="shared" ref="M2589:P2591" si="726">$H2589*I2589</f>
        <v>0</v>
      </c>
      <c r="N2589" s="329">
        <f t="shared" si="726"/>
        <v>0</v>
      </c>
      <c r="O2589" s="329">
        <f t="shared" si="726"/>
        <v>0</v>
      </c>
      <c r="P2589" s="329">
        <f t="shared" si="726"/>
        <v>0</v>
      </c>
      <c r="Q2589" s="329"/>
      <c r="S2589" s="332">
        <f t="shared" si="711"/>
        <v>0.70000000000000007</v>
      </c>
      <c r="T2589" s="332">
        <f t="shared" si="712"/>
        <v>0</v>
      </c>
    </row>
    <row r="2590" spans="1:20" hidden="1">
      <c r="A2590" s="332" t="s">
        <v>477</v>
      </c>
      <c r="B2590" s="332" t="s">
        <v>2847</v>
      </c>
      <c r="C2590" s="333">
        <f t="shared" si="710"/>
        <v>0</v>
      </c>
      <c r="D2590" s="329"/>
      <c r="E2590" s="328">
        <f>VLOOKUP(B2590,DONGIA,DG!$B$6,0)</f>
        <v>0</v>
      </c>
      <c r="F2590" s="329" t="str">
        <f>VLOOKUP(B2590,DONGIA,DG!$C$6,0)</f>
        <v>Boulon 16x700VRS + 2 long đền vuông D18-50x50x3/Zn</v>
      </c>
      <c r="G2590" s="328" t="str">
        <f>VLOOKUP(B2590,DONGIA,DG!$D$6,0)</f>
        <v>bộ</v>
      </c>
      <c r="H2590" s="329">
        <f>H2571*2</f>
        <v>0</v>
      </c>
      <c r="I2590" s="329">
        <f>VLOOKUP(B2590,DONGIA,DG!$E$6,0)</f>
        <v>52000</v>
      </c>
      <c r="J2590" s="329"/>
      <c r="K2590" s="329">
        <f>VLOOKUP(B2590,DONGIA,DG!$F$6,0)</f>
        <v>0</v>
      </c>
      <c r="L2590" s="329">
        <f>VLOOKUP(B2590,DONGIA,DG!$G$6,0)</f>
        <v>0</v>
      </c>
      <c r="M2590" s="329">
        <f t="shared" si="726"/>
        <v>0</v>
      </c>
      <c r="N2590" s="329">
        <f t="shared" si="726"/>
        <v>0</v>
      </c>
      <c r="O2590" s="329">
        <f t="shared" si="726"/>
        <v>0</v>
      </c>
      <c r="P2590" s="329">
        <f t="shared" si="726"/>
        <v>0</v>
      </c>
      <c r="Q2590" s="329"/>
      <c r="S2590" s="332">
        <f t="shared" si="711"/>
        <v>1.1000000000000003</v>
      </c>
      <c r="T2590" s="332">
        <f t="shared" si="712"/>
        <v>0</v>
      </c>
    </row>
    <row r="2591" spans="1:20" hidden="1">
      <c r="A2591" s="332" t="s">
        <v>477</v>
      </c>
      <c r="B2591" s="332" t="s">
        <v>2877</v>
      </c>
      <c r="C2591" s="333">
        <f t="shared" si="710"/>
        <v>0</v>
      </c>
      <c r="D2591" s="329"/>
      <c r="E2591" s="328" t="str">
        <f>VLOOKUP(B2591,DONGIA,DG!$B$6,0)</f>
        <v>T4.8002</v>
      </c>
      <c r="F2591" s="329" t="str">
        <f>VLOOKUP(B2591,DONGIA,DG!$C$6,0)</f>
        <v>Lắp bộ đà trạm ngồi (S&lt;560kVA) - 186,6kg/bộ</v>
      </c>
      <c r="G2591" s="328" t="str">
        <f>VLOOKUP(B2591,DONGIA,DG!$D$6,0)</f>
        <v>bộ</v>
      </c>
      <c r="H2591" s="329">
        <f>H2571</f>
        <v>0</v>
      </c>
      <c r="I2591" s="329">
        <f>VLOOKUP(B2591,DONGIA,DG!$E$6,0)</f>
        <v>0</v>
      </c>
      <c r="J2591" s="329"/>
      <c r="K2591" s="329">
        <f>VLOOKUP(B2591,DONGIA,DG!$F$6,0)</f>
        <v>448319.93520000001</v>
      </c>
      <c r="L2591" s="329">
        <f>VLOOKUP(B2591,DONGIA,DG!$G$6,0)</f>
        <v>0</v>
      </c>
      <c r="M2591" s="329">
        <f t="shared" si="726"/>
        <v>0</v>
      </c>
      <c r="N2591" s="329">
        <f t="shared" si="726"/>
        <v>0</v>
      </c>
      <c r="O2591" s="329">
        <f t="shared" si="726"/>
        <v>0</v>
      </c>
      <c r="P2591" s="329">
        <f t="shared" si="726"/>
        <v>0</v>
      </c>
      <c r="Q2591" s="329"/>
      <c r="S2591" s="332">
        <f t="shared" si="711"/>
        <v>186.6</v>
      </c>
      <c r="T2591" s="332">
        <f t="shared" si="712"/>
        <v>0</v>
      </c>
    </row>
    <row r="2592" spans="1:20" hidden="1">
      <c r="A2592" s="332" t="s">
        <v>477</v>
      </c>
      <c r="C2592" s="333">
        <f t="shared" si="710"/>
        <v>0</v>
      </c>
      <c r="D2592" s="372">
        <f>IF(H2592&lt;&gt;0,D2571+1,D2571)</f>
        <v>0</v>
      </c>
      <c r="E2592" s="372"/>
      <c r="F2592" s="373" t="s">
        <v>2941</v>
      </c>
      <c r="G2592" s="372" t="s">
        <v>138</v>
      </c>
      <c r="H2592" s="372">
        <f>T3P160N</f>
        <v>0</v>
      </c>
      <c r="I2592" s="373"/>
      <c r="J2592" s="373"/>
      <c r="K2592" s="373"/>
      <c r="L2592" s="373"/>
      <c r="M2592" s="373">
        <v>0</v>
      </c>
      <c r="N2592" s="373">
        <v>0</v>
      </c>
      <c r="O2592" s="373">
        <v>0</v>
      </c>
      <c r="P2592" s="373">
        <v>0</v>
      </c>
      <c r="Q2592" s="373"/>
      <c r="S2592" s="332">
        <f t="shared" si="711"/>
        <v>0</v>
      </c>
      <c r="T2592" s="332">
        <f t="shared" si="712"/>
        <v>0</v>
      </c>
    </row>
    <row r="2593" spans="1:20" s="361" customFormat="1" hidden="1">
      <c r="A2593" s="361" t="s">
        <v>477</v>
      </c>
      <c r="C2593" s="374">
        <f>C2592</f>
        <v>0</v>
      </c>
      <c r="D2593" s="351"/>
      <c r="E2593" s="351"/>
      <c r="F2593" s="351" t="s">
        <v>1902</v>
      </c>
      <c r="G2593" s="350"/>
      <c r="H2593" s="351"/>
      <c r="I2593" s="351"/>
      <c r="J2593" s="351"/>
      <c r="K2593" s="351"/>
      <c r="L2593" s="351"/>
      <c r="M2593" s="351">
        <v>0</v>
      </c>
      <c r="N2593" s="351">
        <v>0</v>
      </c>
      <c r="O2593" s="351">
        <v>0</v>
      </c>
      <c r="P2593" s="351">
        <v>0</v>
      </c>
      <c r="Q2593" s="351"/>
      <c r="S2593" s="361">
        <f t="shared" si="711"/>
        <v>0</v>
      </c>
      <c r="T2593" s="361">
        <f t="shared" si="712"/>
        <v>0</v>
      </c>
    </row>
    <row r="2594" spans="1:20" hidden="1">
      <c r="A2594" s="332" t="s">
        <v>477</v>
      </c>
      <c r="B2594" s="332" t="s">
        <v>420</v>
      </c>
      <c r="C2594" s="333">
        <f t="shared" si="710"/>
        <v>0</v>
      </c>
      <c r="D2594" s="329"/>
      <c r="E2594" s="328">
        <f>VLOOKUP(B2594,DONGIA,DG!$B$6,0)</f>
        <v>0</v>
      </c>
      <c r="F2594" s="329" t="str">
        <f>VLOOKUP(B2594,DONGIA,DG!$C$6,0)</f>
        <v>Đà sắt L75x75x8-2200 - 4 ốp</v>
      </c>
      <c r="G2594" s="328" t="str">
        <f>VLOOKUP(B2594,DONGIA,DG!$D$6,0)</f>
        <v>cái</v>
      </c>
      <c r="H2594" s="329">
        <f>H2592</f>
        <v>0</v>
      </c>
      <c r="I2594" s="329">
        <f>VLOOKUP(B2594,DONGIA,DG!$E$6,0)</f>
        <v>535000</v>
      </c>
      <c r="J2594" s="329"/>
      <c r="K2594" s="329">
        <f>VLOOKUP(B2594,DONGIA,DG!$F$6,0)</f>
        <v>0</v>
      </c>
      <c r="L2594" s="329">
        <f>VLOOKUP(B2594,DONGIA,DG!$G$6,0)</f>
        <v>0</v>
      </c>
      <c r="M2594" s="329">
        <f t="shared" ref="M2594:P2598" si="727">$H2594*I2594</f>
        <v>0</v>
      </c>
      <c r="N2594" s="329">
        <f t="shared" si="727"/>
        <v>0</v>
      </c>
      <c r="O2594" s="329">
        <f t="shared" si="727"/>
        <v>0</v>
      </c>
      <c r="P2594" s="329">
        <f t="shared" si="727"/>
        <v>0</v>
      </c>
      <c r="Q2594" s="329"/>
      <c r="S2594" s="332">
        <f t="shared" si="711"/>
        <v>26</v>
      </c>
      <c r="T2594" s="332">
        <f t="shared" si="712"/>
        <v>0</v>
      </c>
    </row>
    <row r="2595" spans="1:20" hidden="1">
      <c r="A2595" s="332" t="s">
        <v>477</v>
      </c>
      <c r="B2595" s="332" t="s">
        <v>422</v>
      </c>
      <c r="C2595" s="333">
        <f>IF(H2595&lt;&gt;0,1,)</f>
        <v>0</v>
      </c>
      <c r="D2595" s="329"/>
      <c r="E2595" s="328">
        <f>VLOOKUP(B2595,DONGIA,DG!$B$6,0)</f>
        <v>0</v>
      </c>
      <c r="F2595" s="329" t="str">
        <f>VLOOKUP(B2595,DONGIA,DG!$C$6,0)</f>
        <v>Thanh chống L50x50x5-810</v>
      </c>
      <c r="G2595" s="328" t="str">
        <f>VLOOKUP(B2595,DONGIA,DG!$D$6,0)</f>
        <v>cái</v>
      </c>
      <c r="H2595" s="329">
        <f>H2592*2</f>
        <v>0</v>
      </c>
      <c r="I2595" s="329">
        <f>VLOOKUP(B2595,DONGIA,DG!$E$6,0)</f>
        <v>87800</v>
      </c>
      <c r="J2595" s="329"/>
      <c r="K2595" s="329">
        <f>VLOOKUP(B2595,DONGIA,DG!$F$6,0)</f>
        <v>0</v>
      </c>
      <c r="L2595" s="329">
        <f>VLOOKUP(B2595,DONGIA,DG!$G$6,0)</f>
        <v>0</v>
      </c>
      <c r="M2595" s="329">
        <f t="shared" si="727"/>
        <v>0</v>
      </c>
      <c r="N2595" s="329">
        <f t="shared" si="727"/>
        <v>0</v>
      </c>
      <c r="O2595" s="329">
        <f t="shared" si="727"/>
        <v>0</v>
      </c>
      <c r="P2595" s="329">
        <f t="shared" si="727"/>
        <v>0</v>
      </c>
      <c r="Q2595" s="329"/>
      <c r="S2595" s="332">
        <f>IFERROR(VLOOKUP(B2595,DONGIA,$S$25,0),0)</f>
        <v>3.5</v>
      </c>
      <c r="T2595" s="332">
        <f>H2595*S2595</f>
        <v>0</v>
      </c>
    </row>
    <row r="2596" spans="1:20" hidden="1">
      <c r="A2596" s="332" t="s">
        <v>477</v>
      </c>
      <c r="B2596" s="332" t="s">
        <v>35</v>
      </c>
      <c r="C2596" s="333">
        <f t="shared" si="710"/>
        <v>0</v>
      </c>
      <c r="D2596" s="329"/>
      <c r="E2596" s="328">
        <f>VLOOKUP(B2596,DONGIA,DG!$B$6,0)</f>
        <v>0</v>
      </c>
      <c r="F2596" s="329" t="str">
        <f>VLOOKUP(B2596,DONGIA,DG!$C$6,0)</f>
        <v>Boulon 16x300+ 2 long đền vuông D18-50x50x3/Zn</v>
      </c>
      <c r="G2596" s="328" t="str">
        <f>VLOOKUP(B2596,DONGIA,DG!$D$6,0)</f>
        <v>bộ</v>
      </c>
      <c r="H2596" s="329">
        <f>H2592*2</f>
        <v>0</v>
      </c>
      <c r="I2596" s="329">
        <f>VLOOKUP(B2596,DONGIA,DG!$E$6,0)</f>
        <v>30000</v>
      </c>
      <c r="J2596" s="329"/>
      <c r="K2596" s="329">
        <f>VLOOKUP(B2596,DONGIA,DG!$F$6,0)</f>
        <v>0</v>
      </c>
      <c r="L2596" s="329">
        <f>VLOOKUP(B2596,DONGIA,DG!$G$6,0)</f>
        <v>0</v>
      </c>
      <c r="M2596" s="329">
        <f t="shared" si="727"/>
        <v>0</v>
      </c>
      <c r="N2596" s="329">
        <f t="shared" si="727"/>
        <v>0</v>
      </c>
      <c r="O2596" s="329">
        <f t="shared" si="727"/>
        <v>0</v>
      </c>
      <c r="P2596" s="329">
        <f t="shared" si="727"/>
        <v>0</v>
      </c>
      <c r="Q2596" s="329"/>
      <c r="S2596" s="332">
        <f t="shared" si="711"/>
        <v>0.25</v>
      </c>
      <c r="T2596" s="332">
        <f t="shared" si="712"/>
        <v>0</v>
      </c>
    </row>
    <row r="2597" spans="1:20" hidden="1">
      <c r="A2597" s="332" t="s">
        <v>477</v>
      </c>
      <c r="B2597" s="332" t="s">
        <v>29</v>
      </c>
      <c r="C2597" s="333">
        <f t="shared" si="710"/>
        <v>0</v>
      </c>
      <c r="D2597" s="329"/>
      <c r="E2597" s="328">
        <f>VLOOKUP(B2597,DONGIA,DG!$B$6,0)</f>
        <v>0</v>
      </c>
      <c r="F2597" s="329" t="str">
        <f>VLOOKUP(B2597,DONGIA,DG!$C$6,0)</f>
        <v>Boulon 16x50+ 2 long đền vuông D18-50x50x3/Zn</v>
      </c>
      <c r="G2597" s="328" t="str">
        <f>VLOOKUP(B2597,DONGIA,DG!$D$6,0)</f>
        <v>bộ</v>
      </c>
      <c r="H2597" s="329">
        <f>H2595</f>
        <v>0</v>
      </c>
      <c r="I2597" s="329">
        <f>VLOOKUP(B2597,DONGIA,DG!$E$6,0)</f>
        <v>17000</v>
      </c>
      <c r="J2597" s="329"/>
      <c r="K2597" s="329">
        <f>VLOOKUP(B2597,DONGIA,DG!$F$6,0)</f>
        <v>0</v>
      </c>
      <c r="L2597" s="329">
        <f>VLOOKUP(B2597,DONGIA,DG!$G$6,0)</f>
        <v>0</v>
      </c>
      <c r="M2597" s="329">
        <f t="shared" si="727"/>
        <v>0</v>
      </c>
      <c r="N2597" s="329">
        <f t="shared" si="727"/>
        <v>0</v>
      </c>
      <c r="O2597" s="329">
        <f t="shared" si="727"/>
        <v>0</v>
      </c>
      <c r="P2597" s="329">
        <f t="shared" si="727"/>
        <v>0</v>
      </c>
      <c r="Q2597" s="329"/>
      <c r="S2597" s="332">
        <f t="shared" si="711"/>
        <v>0.25</v>
      </c>
      <c r="T2597" s="332">
        <f t="shared" si="712"/>
        <v>0</v>
      </c>
    </row>
    <row r="2598" spans="1:20" hidden="1">
      <c r="A2598" s="332" t="s">
        <v>477</v>
      </c>
      <c r="B2598" s="332" t="s">
        <v>641</v>
      </c>
      <c r="C2598" s="333">
        <f t="shared" si="710"/>
        <v>0</v>
      </c>
      <c r="D2598" s="329"/>
      <c r="E2598" s="328" t="str">
        <f>VLOOKUP(B2598,DONGIA,DG!$B$6,0)</f>
        <v>D2.6021e</v>
      </c>
      <c r="F2598" s="329" t="str">
        <f>VLOOKUP(B2598,DONGIA,DG!$C$6,0)</f>
        <v>Lắp đặt xà thép L75x75x8x2200 đơn cột đỡ (29,759 kg/bộ)</v>
      </c>
      <c r="G2598" s="328" t="str">
        <f>VLOOKUP(B2598,DONGIA,DG!$D$6,0)</f>
        <v>bộ</v>
      </c>
      <c r="H2598" s="329">
        <f>H2592</f>
        <v>0</v>
      </c>
      <c r="I2598" s="329">
        <f>VLOOKUP(B2598,DONGIA,DG!$E$6,0)</f>
        <v>0</v>
      </c>
      <c r="J2598" s="329"/>
      <c r="K2598" s="329">
        <f>VLOOKUP(B2598,DONGIA,DG!$F$6,0)</f>
        <v>298670</v>
      </c>
      <c r="L2598" s="329">
        <f>VLOOKUP(B2598,DONGIA,DG!$G$6,0)</f>
        <v>0</v>
      </c>
      <c r="M2598" s="329">
        <f t="shared" si="727"/>
        <v>0</v>
      </c>
      <c r="N2598" s="329">
        <f t="shared" si="727"/>
        <v>0</v>
      </c>
      <c r="O2598" s="329">
        <f t="shared" si="727"/>
        <v>0</v>
      </c>
      <c r="P2598" s="329">
        <f t="shared" si="727"/>
        <v>0</v>
      </c>
      <c r="Q2598" s="329"/>
      <c r="S2598" s="332">
        <f t="shared" si="711"/>
        <v>0</v>
      </c>
      <c r="T2598" s="332">
        <f t="shared" si="712"/>
        <v>0</v>
      </c>
    </row>
    <row r="2599" spans="1:20" hidden="1">
      <c r="A2599" s="332" t="s">
        <v>477</v>
      </c>
      <c r="C2599" s="333">
        <f t="shared" si="710"/>
        <v>0</v>
      </c>
      <c r="D2599" s="372">
        <f>IF(H2599&lt;&gt;0,D2592+1,D2592)</f>
        <v>0</v>
      </c>
      <c r="E2599" s="372"/>
      <c r="F2599" s="373" t="s">
        <v>2842</v>
      </c>
      <c r="G2599" s="372" t="s">
        <v>138</v>
      </c>
      <c r="H2599" s="372">
        <f>T3P160N</f>
        <v>0</v>
      </c>
      <c r="I2599" s="373"/>
      <c r="J2599" s="373"/>
      <c r="K2599" s="373"/>
      <c r="L2599" s="373"/>
      <c r="M2599" s="373">
        <v>0</v>
      </c>
      <c r="N2599" s="373">
        <v>0</v>
      </c>
      <c r="O2599" s="373">
        <v>0</v>
      </c>
      <c r="P2599" s="373">
        <v>0</v>
      </c>
      <c r="Q2599" s="373"/>
      <c r="S2599" s="332">
        <f t="shared" si="711"/>
        <v>0</v>
      </c>
      <c r="T2599" s="332">
        <f t="shared" si="712"/>
        <v>0</v>
      </c>
    </row>
    <row r="2600" spans="1:20" s="361" customFormat="1" hidden="1">
      <c r="A2600" s="361" t="s">
        <v>477</v>
      </c>
      <c r="C2600" s="374">
        <f>C2599</f>
        <v>0</v>
      </c>
      <c r="D2600" s="351"/>
      <c r="E2600" s="351"/>
      <c r="F2600" s="351" t="s">
        <v>1902</v>
      </c>
      <c r="G2600" s="350"/>
      <c r="H2600" s="351"/>
      <c r="I2600" s="351"/>
      <c r="J2600" s="351"/>
      <c r="K2600" s="351"/>
      <c r="L2600" s="351"/>
      <c r="M2600" s="351">
        <v>0</v>
      </c>
      <c r="N2600" s="351">
        <v>0</v>
      </c>
      <c r="O2600" s="351">
        <v>0</v>
      </c>
      <c r="P2600" s="351">
        <v>0</v>
      </c>
      <c r="Q2600" s="351"/>
      <c r="S2600" s="361">
        <f t="shared" si="711"/>
        <v>0</v>
      </c>
      <c r="T2600" s="361">
        <f t="shared" si="712"/>
        <v>0</v>
      </c>
    </row>
    <row r="2601" spans="1:20" hidden="1">
      <c r="A2601" s="332" t="s">
        <v>477</v>
      </c>
      <c r="B2601" s="332" t="s">
        <v>18</v>
      </c>
      <c r="C2601" s="333">
        <f t="shared" si="710"/>
        <v>0</v>
      </c>
      <c r="D2601" s="329"/>
      <c r="E2601" s="328">
        <f>VLOOKUP(B2601,DONGIA,DG!$B$6,0)</f>
        <v>0</v>
      </c>
      <c r="F2601" s="329" t="str">
        <f>VLOOKUP(B2601,DONGIA,DG!$C$6,0)</f>
        <v>Đà hộp composite 110x80x5-2400</v>
      </c>
      <c r="G2601" s="328" t="str">
        <f>VLOOKUP(B2601,DONGIA,DG!$D$6,0)</f>
        <v>cái</v>
      </c>
      <c r="H2601" s="329">
        <f>H2599*2</f>
        <v>0</v>
      </c>
      <c r="I2601" s="329">
        <f>VLOOKUP(B2601,DONGIA,DG!$E$6,0)</f>
        <v>812200</v>
      </c>
      <c r="J2601" s="329"/>
      <c r="K2601" s="329">
        <f>VLOOKUP(B2601,DONGIA,DG!$F$6,0)</f>
        <v>0</v>
      </c>
      <c r="L2601" s="329">
        <f>VLOOKUP(B2601,DONGIA,DG!$G$6,0)</f>
        <v>0</v>
      </c>
      <c r="M2601" s="329">
        <f t="shared" ref="M2601:M2606" si="728">$H2601*I2601</f>
        <v>0</v>
      </c>
      <c r="N2601" s="329">
        <f t="shared" ref="N2601:N2606" si="729">$H2601*J2601</f>
        <v>0</v>
      </c>
      <c r="O2601" s="329">
        <f t="shared" ref="O2601:O2606" si="730">$H2601*K2601</f>
        <v>0</v>
      </c>
      <c r="P2601" s="329">
        <f t="shared" ref="P2601:P2606" si="731">$H2601*L2601</f>
        <v>0</v>
      </c>
      <c r="Q2601" s="329"/>
      <c r="S2601" s="332">
        <f t="shared" si="711"/>
        <v>9.6</v>
      </c>
      <c r="T2601" s="332">
        <f t="shared" si="712"/>
        <v>0</v>
      </c>
    </row>
    <row r="2602" spans="1:20" hidden="1">
      <c r="A2602" s="332" t="s">
        <v>477</v>
      </c>
      <c r="B2602" s="332" t="s">
        <v>20</v>
      </c>
      <c r="C2602" s="333">
        <f>IF(H2602&lt;&gt;0,1,)</f>
        <v>0</v>
      </c>
      <c r="D2602" s="329"/>
      <c r="E2602" s="328">
        <f>VLOOKUP(B2602,DONGIA,DG!$B$6,0)</f>
        <v>0</v>
      </c>
      <c r="F2602" s="329" t="str">
        <f>VLOOKUP(B2602,DONGIA,DG!$C$6,0)</f>
        <v>Thanh chống Composite dẹp 10x40x920</v>
      </c>
      <c r="G2602" s="328" t="str">
        <f>VLOOKUP(B2602,DONGIA,DG!$D$6,0)</f>
        <v>cái</v>
      </c>
      <c r="H2602" s="329">
        <f>H2601*2</f>
        <v>0</v>
      </c>
      <c r="I2602" s="329">
        <f>VLOOKUP(B2602,DONGIA,DG!$E$6,0)</f>
        <v>108100</v>
      </c>
      <c r="J2602" s="329"/>
      <c r="K2602" s="329">
        <f>VLOOKUP(B2602,DONGIA,DG!$F$6,0)</f>
        <v>0</v>
      </c>
      <c r="L2602" s="329">
        <f>VLOOKUP(B2602,DONGIA,DG!$G$6,0)</f>
        <v>0</v>
      </c>
      <c r="M2602" s="329">
        <f t="shared" ref="M2602:P2603" si="732">$H2602*I2602</f>
        <v>0</v>
      </c>
      <c r="N2602" s="329">
        <f t="shared" si="732"/>
        <v>0</v>
      </c>
      <c r="O2602" s="329">
        <f t="shared" si="732"/>
        <v>0</v>
      </c>
      <c r="P2602" s="329">
        <f t="shared" si="732"/>
        <v>0</v>
      </c>
      <c r="Q2602" s="329"/>
      <c r="S2602" s="332">
        <f>IFERROR(VLOOKUP(B2602,DONGIA,$S$25,0),0)</f>
        <v>0.7</v>
      </c>
      <c r="T2602" s="332">
        <f>H2602*S2602</f>
        <v>0</v>
      </c>
    </row>
    <row r="2603" spans="1:20" hidden="1">
      <c r="A2603" s="332" t="s">
        <v>477</v>
      </c>
      <c r="B2603" s="332" t="s">
        <v>1686</v>
      </c>
      <c r="C2603" s="333">
        <f>IF(H2603&lt;&gt;0,1,)</f>
        <v>0</v>
      </c>
      <c r="D2603" s="329"/>
      <c r="E2603" s="328">
        <f>VLOOKUP(B2603,DONGIA,DG!$B$6,0)</f>
        <v>0</v>
      </c>
      <c r="F2603" s="329" t="str">
        <f>VLOOKUP(B2603,DONGIA,DG!$C$6,0)</f>
        <v>Boulon 16x400VRS + 4 long đền vuông D18-50x50x3/Zn</v>
      </c>
      <c r="G2603" s="328" t="str">
        <f>VLOOKUP(B2603,DONGIA,DG!$D$6,0)</f>
        <v>bộ</v>
      </c>
      <c r="H2603" s="329">
        <f>H2599*3</f>
        <v>0</v>
      </c>
      <c r="I2603" s="329">
        <f>VLOOKUP(B2603,DONGIA,DG!$E$6,0)</f>
        <v>45000</v>
      </c>
      <c r="J2603" s="329"/>
      <c r="K2603" s="329">
        <f>VLOOKUP(B2603,DONGIA,DG!$F$6,0)</f>
        <v>0</v>
      </c>
      <c r="L2603" s="329">
        <f>VLOOKUP(B2603,DONGIA,DG!$G$6,0)</f>
        <v>0</v>
      </c>
      <c r="M2603" s="329">
        <f t="shared" si="732"/>
        <v>0</v>
      </c>
      <c r="N2603" s="329">
        <f t="shared" si="732"/>
        <v>0</v>
      </c>
      <c r="O2603" s="329">
        <f t="shared" si="732"/>
        <v>0</v>
      </c>
      <c r="P2603" s="329">
        <f t="shared" si="732"/>
        <v>0</v>
      </c>
      <c r="Q2603" s="329"/>
      <c r="S2603" s="332">
        <f>IFERROR(VLOOKUP(B2603,DONGIA,$S$25,0),0)</f>
        <v>0.39999999999999997</v>
      </c>
      <c r="T2603" s="332">
        <f>H2603*S2603</f>
        <v>0</v>
      </c>
    </row>
    <row r="2604" spans="1:20" hidden="1">
      <c r="A2604" s="332" t="s">
        <v>477</v>
      </c>
      <c r="B2604" s="332" t="s">
        <v>35</v>
      </c>
      <c r="C2604" s="333">
        <f t="shared" si="710"/>
        <v>0</v>
      </c>
      <c r="D2604" s="329"/>
      <c r="E2604" s="328">
        <f>VLOOKUP(B2604,DONGIA,DG!$B$6,0)</f>
        <v>0</v>
      </c>
      <c r="F2604" s="329" t="str">
        <f>VLOOKUP(B2604,DONGIA,DG!$C$6,0)</f>
        <v>Boulon 16x300+ 2 long đền vuông D18-50x50x3/Zn</v>
      </c>
      <c r="G2604" s="328" t="str">
        <f>VLOOKUP(B2604,DONGIA,DG!$D$6,0)</f>
        <v>bộ</v>
      </c>
      <c r="H2604" s="329">
        <f>H2599</f>
        <v>0</v>
      </c>
      <c r="I2604" s="329">
        <f>VLOOKUP(B2604,DONGIA,DG!$E$6,0)</f>
        <v>30000</v>
      </c>
      <c r="J2604" s="329"/>
      <c r="K2604" s="329">
        <f>VLOOKUP(B2604,DONGIA,DG!$F$6,0)</f>
        <v>0</v>
      </c>
      <c r="L2604" s="329">
        <f>VLOOKUP(B2604,DONGIA,DG!$G$6,0)</f>
        <v>0</v>
      </c>
      <c r="M2604" s="329">
        <f t="shared" si="728"/>
        <v>0</v>
      </c>
      <c r="N2604" s="329">
        <f t="shared" si="729"/>
        <v>0</v>
      </c>
      <c r="O2604" s="329">
        <f t="shared" si="730"/>
        <v>0</v>
      </c>
      <c r="P2604" s="329">
        <f t="shared" si="731"/>
        <v>0</v>
      </c>
      <c r="Q2604" s="329"/>
      <c r="S2604" s="332">
        <f t="shared" si="711"/>
        <v>0.25</v>
      </c>
      <c r="T2604" s="332">
        <f t="shared" si="712"/>
        <v>0</v>
      </c>
    </row>
    <row r="2605" spans="1:20" hidden="1">
      <c r="A2605" s="332" t="s">
        <v>477</v>
      </c>
      <c r="B2605" s="332" t="s">
        <v>137</v>
      </c>
      <c r="C2605" s="333">
        <f t="shared" si="710"/>
        <v>0</v>
      </c>
      <c r="D2605" s="329"/>
      <c r="E2605" s="328">
        <f>VLOOKUP(B2605,DONGIA,DG!$B$6,0)</f>
        <v>0</v>
      </c>
      <c r="F2605" s="329" t="str">
        <f>VLOOKUP(B2605,DONGIA,DG!$C$6,0)</f>
        <v>Bass LI bắt FCO, LA</v>
      </c>
      <c r="G2605" s="328" t="str">
        <f>VLOOKUP(B2605,DONGIA,DG!$D$6,0)</f>
        <v>Bộ</v>
      </c>
      <c r="H2605" s="329">
        <f>H2599*6</f>
        <v>0</v>
      </c>
      <c r="I2605" s="329">
        <f>VLOOKUP(B2605,DONGIA,DG!$E$6,0)</f>
        <v>38000</v>
      </c>
      <c r="J2605" s="329"/>
      <c r="K2605" s="329">
        <f>VLOOKUP(B2605,DONGIA,DG!$F$6,0)</f>
        <v>0</v>
      </c>
      <c r="L2605" s="329">
        <f>VLOOKUP(B2605,DONGIA,DG!$G$6,0)</f>
        <v>0</v>
      </c>
      <c r="M2605" s="329">
        <f t="shared" si="728"/>
        <v>0</v>
      </c>
      <c r="N2605" s="329">
        <f t="shared" si="729"/>
        <v>0</v>
      </c>
      <c r="O2605" s="329">
        <f t="shared" si="730"/>
        <v>0</v>
      </c>
      <c r="P2605" s="329">
        <f t="shared" si="731"/>
        <v>0</v>
      </c>
      <c r="Q2605" s="329"/>
      <c r="S2605" s="332">
        <f t="shared" si="711"/>
        <v>0.4</v>
      </c>
      <c r="T2605" s="332">
        <f t="shared" si="712"/>
        <v>0</v>
      </c>
    </row>
    <row r="2606" spans="1:20" hidden="1">
      <c r="A2606" s="332" t="s">
        <v>477</v>
      </c>
      <c r="B2606" s="332" t="s">
        <v>620</v>
      </c>
      <c r="C2606" s="333">
        <f t="shared" si="710"/>
        <v>0</v>
      </c>
      <c r="D2606" s="329"/>
      <c r="E2606" s="328" t="str">
        <f>VLOOKUP(B2606,DONGIA,DG!$B$6,0)</f>
        <v>D2.6011</v>
      </c>
      <c r="F2606" s="329" t="str">
        <f>VLOOKUP(B2606,DONGIA,DG!$C$6,0)</f>
        <v>Lắp đà composite 2400mm kép (KL &lt;=15kg, trụ BTLT, tính = 0.8 đà sắt)</v>
      </c>
      <c r="G2606" s="328" t="str">
        <f>VLOOKUP(B2606,DONGIA,DG!$D$6,0)</f>
        <v>bộ</v>
      </c>
      <c r="H2606" s="329">
        <f>H2599</f>
        <v>0</v>
      </c>
      <c r="I2606" s="329">
        <f>VLOOKUP(B2606,DONGIA,DG!$E$6,0)</f>
        <v>0</v>
      </c>
      <c r="J2606" s="329"/>
      <c r="K2606" s="329">
        <f>VLOOKUP(B2606,DONGIA,DG!$F$6,0)</f>
        <v>134360</v>
      </c>
      <c r="L2606" s="329">
        <f>VLOOKUP(B2606,DONGIA,DG!$G$6,0)</f>
        <v>0</v>
      </c>
      <c r="M2606" s="329">
        <f t="shared" si="728"/>
        <v>0</v>
      </c>
      <c r="N2606" s="329">
        <f t="shared" si="729"/>
        <v>0</v>
      </c>
      <c r="O2606" s="329">
        <f t="shared" si="730"/>
        <v>0</v>
      </c>
      <c r="P2606" s="329">
        <f t="shared" si="731"/>
        <v>0</v>
      </c>
      <c r="Q2606" s="329"/>
      <c r="S2606" s="332">
        <f t="shared" si="711"/>
        <v>0</v>
      </c>
      <c r="T2606" s="332">
        <f t="shared" si="712"/>
        <v>0</v>
      </c>
    </row>
    <row r="2607" spans="1:20" hidden="1">
      <c r="A2607" s="332" t="s">
        <v>477</v>
      </c>
      <c r="C2607" s="333">
        <f t="shared" si="710"/>
        <v>0</v>
      </c>
      <c r="D2607" s="372">
        <f>IF(H2607&lt;&gt;0,D2599+1,D2599)</f>
        <v>0</v>
      </c>
      <c r="E2607" s="372"/>
      <c r="F2607" s="373" t="s">
        <v>2871</v>
      </c>
      <c r="G2607" s="372" t="s">
        <v>138</v>
      </c>
      <c r="H2607" s="372"/>
      <c r="I2607" s="373"/>
      <c r="J2607" s="373"/>
      <c r="K2607" s="373"/>
      <c r="L2607" s="373"/>
      <c r="M2607" s="373">
        <v>0</v>
      </c>
      <c r="N2607" s="373">
        <v>0</v>
      </c>
      <c r="O2607" s="373">
        <v>0</v>
      </c>
      <c r="P2607" s="373">
        <v>0</v>
      </c>
      <c r="Q2607" s="373" t="s">
        <v>2943</v>
      </c>
      <c r="S2607" s="332">
        <f t="shared" si="711"/>
        <v>0</v>
      </c>
      <c r="T2607" s="332">
        <f t="shared" si="712"/>
        <v>0</v>
      </c>
    </row>
    <row r="2608" spans="1:20" s="361" customFormat="1" hidden="1">
      <c r="A2608" s="361" t="s">
        <v>477</v>
      </c>
      <c r="C2608" s="374">
        <f>C2607</f>
        <v>0</v>
      </c>
      <c r="D2608" s="351"/>
      <c r="E2608" s="351"/>
      <c r="F2608" s="351" t="s">
        <v>1902</v>
      </c>
      <c r="G2608" s="350"/>
      <c r="H2608" s="351"/>
      <c r="I2608" s="351"/>
      <c r="J2608" s="351"/>
      <c r="K2608" s="351"/>
      <c r="L2608" s="351"/>
      <c r="M2608" s="351">
        <v>0</v>
      </c>
      <c r="N2608" s="351">
        <v>0</v>
      </c>
      <c r="O2608" s="351">
        <v>0</v>
      </c>
      <c r="P2608" s="351">
        <v>0</v>
      </c>
      <c r="Q2608" s="351"/>
      <c r="S2608" s="361">
        <f t="shared" si="711"/>
        <v>0</v>
      </c>
      <c r="T2608" s="361">
        <f t="shared" si="712"/>
        <v>0</v>
      </c>
    </row>
    <row r="2609" spans="1:20" hidden="1">
      <c r="A2609" s="332" t="s">
        <v>477</v>
      </c>
      <c r="B2609" s="332" t="s">
        <v>418</v>
      </c>
      <c r="C2609" s="333">
        <f t="shared" si="710"/>
        <v>0</v>
      </c>
      <c r="D2609" s="329"/>
      <c r="E2609" s="328">
        <f>VLOOKUP(B2609,DONGIA,DG!$B$6,0)</f>
        <v>0</v>
      </c>
      <c r="F2609" s="329" t="str">
        <f>VLOOKUP(B2609,DONGIA,DG!$C$6,0)</f>
        <v>Đà sắt L75x75x8-2100 - 3 ốp (Lệch 100%)</v>
      </c>
      <c r="G2609" s="328" t="str">
        <f>VLOOKUP(B2609,DONGIA,DG!$D$6,0)</f>
        <v>cái</v>
      </c>
      <c r="H2609" s="329">
        <f>H2607</f>
        <v>0</v>
      </c>
      <c r="I2609" s="362">
        <f>VLOOKUP(B2609,DONGIA,DG!$E$6,0)</f>
        <v>497000</v>
      </c>
      <c r="J2609" s="329"/>
      <c r="K2609" s="329">
        <f>VLOOKUP(B2609,DONGIA,DG!$F$6,0)</f>
        <v>0</v>
      </c>
      <c r="L2609" s="329">
        <f>VLOOKUP(B2609,DONGIA,DG!$G$6,0)</f>
        <v>0</v>
      </c>
      <c r="M2609" s="329">
        <f t="shared" ref="M2609:M2616" si="733">$H2609*I2609</f>
        <v>0</v>
      </c>
      <c r="N2609" s="329">
        <f t="shared" ref="N2609:N2616" si="734">$H2609*J2609</f>
        <v>0</v>
      </c>
      <c r="O2609" s="329">
        <f t="shared" ref="O2609:O2616" si="735">$H2609*K2609</f>
        <v>0</v>
      </c>
      <c r="P2609" s="329">
        <f t="shared" ref="P2609:P2616" si="736">$H2609*L2609</f>
        <v>0</v>
      </c>
      <c r="Q2609" s="329"/>
      <c r="S2609" s="332">
        <f t="shared" si="711"/>
        <v>25</v>
      </c>
      <c r="T2609" s="332">
        <f t="shared" si="712"/>
        <v>0</v>
      </c>
    </row>
    <row r="2610" spans="1:20" hidden="1">
      <c r="A2610" s="332" t="s">
        <v>477</v>
      </c>
      <c r="B2610" s="332" t="s">
        <v>426</v>
      </c>
      <c r="C2610" s="333">
        <f t="shared" si="710"/>
        <v>0</v>
      </c>
      <c r="D2610" s="329"/>
      <c r="E2610" s="328">
        <f>VLOOKUP(B2610,DONGIA,DG!$B$6,0)</f>
        <v>0</v>
      </c>
      <c r="F2610" s="329" t="str">
        <f>VLOOKUP(B2610,DONGIA,DG!$C$6,0)</f>
        <v>Thanh chống L50x50x5-1990</v>
      </c>
      <c r="G2610" s="328" t="str">
        <f>VLOOKUP(B2610,DONGIA,DG!$D$6,0)</f>
        <v>cái</v>
      </c>
      <c r="H2610" s="329">
        <f>H2609</f>
        <v>0</v>
      </c>
      <c r="I2610" s="362">
        <f>VLOOKUP(B2610,DONGIA,DG!$E$6,0)</f>
        <v>217700</v>
      </c>
      <c r="J2610" s="329"/>
      <c r="K2610" s="329">
        <f>VLOOKUP(B2610,DONGIA,DG!$F$6,0)</f>
        <v>0</v>
      </c>
      <c r="L2610" s="329">
        <f>VLOOKUP(B2610,DONGIA,DG!$G$6,0)</f>
        <v>0</v>
      </c>
      <c r="M2610" s="329">
        <f t="shared" si="733"/>
        <v>0</v>
      </c>
      <c r="N2610" s="329">
        <f t="shared" si="734"/>
        <v>0</v>
      </c>
      <c r="O2610" s="329">
        <f t="shared" si="735"/>
        <v>0</v>
      </c>
      <c r="P2610" s="329">
        <f t="shared" si="736"/>
        <v>0</v>
      </c>
      <c r="Q2610" s="329"/>
      <c r="S2610" s="332">
        <f t="shared" si="711"/>
        <v>7.5</v>
      </c>
      <c r="T2610" s="332">
        <f t="shared" si="712"/>
        <v>0</v>
      </c>
    </row>
    <row r="2611" spans="1:20" hidden="1">
      <c r="A2611" s="332" t="s">
        <v>477</v>
      </c>
      <c r="B2611" s="332" t="s">
        <v>2016</v>
      </c>
      <c r="C2611" s="333">
        <f t="shared" si="710"/>
        <v>0</v>
      </c>
      <c r="D2611" s="329"/>
      <c r="E2611" s="328">
        <f>VLOOKUP(B2611,DONGIA,DG!$B$6,0)</f>
        <v>0</v>
      </c>
      <c r="F2611" s="329" t="str">
        <f>VLOOKUP(B2611,DONGIA,DG!$C$6,0)</f>
        <v>Boulon 16x450VRS + 2 long đền vuông D18-50x50x3/Zn</v>
      </c>
      <c r="G2611" s="328" t="str">
        <f>VLOOKUP(B2611,DONGIA,DG!$D$6,0)</f>
        <v>bộ</v>
      </c>
      <c r="H2611" s="329">
        <f>H2607*2</f>
        <v>0</v>
      </c>
      <c r="I2611" s="329">
        <f>VLOOKUP(B2611,DONGIA,DG!$E$6,0)</f>
        <v>39000</v>
      </c>
      <c r="J2611" s="329"/>
      <c r="K2611" s="329">
        <f>VLOOKUP(B2611,DONGIA,DG!$F$6,0)</f>
        <v>0</v>
      </c>
      <c r="L2611" s="329">
        <f>VLOOKUP(B2611,DONGIA,DG!$G$6,0)</f>
        <v>0</v>
      </c>
      <c r="M2611" s="329">
        <f t="shared" si="733"/>
        <v>0</v>
      </c>
      <c r="N2611" s="329">
        <f t="shared" si="734"/>
        <v>0</v>
      </c>
      <c r="O2611" s="329">
        <f t="shared" si="735"/>
        <v>0</v>
      </c>
      <c r="P2611" s="329">
        <f t="shared" si="736"/>
        <v>0</v>
      </c>
      <c r="Q2611" s="329"/>
      <c r="S2611" s="332">
        <f t="shared" si="711"/>
        <v>0.8500000000000002</v>
      </c>
      <c r="T2611" s="332">
        <f t="shared" si="712"/>
        <v>0</v>
      </c>
    </row>
    <row r="2612" spans="1:20" hidden="1">
      <c r="A2612" s="332" t="s">
        <v>477</v>
      </c>
      <c r="B2612" s="332" t="s">
        <v>29</v>
      </c>
      <c r="C2612" s="333">
        <f t="shared" si="710"/>
        <v>0</v>
      </c>
      <c r="D2612" s="329"/>
      <c r="E2612" s="328">
        <f>VLOOKUP(B2612,DONGIA,DG!$B$6,0)</f>
        <v>0</v>
      </c>
      <c r="F2612" s="329" t="str">
        <f>VLOOKUP(B2612,DONGIA,DG!$C$6,0)</f>
        <v>Boulon 16x50+ 2 long đền vuông D18-50x50x3/Zn</v>
      </c>
      <c r="G2612" s="328" t="str">
        <f>VLOOKUP(B2612,DONGIA,DG!$D$6,0)</f>
        <v>bộ</v>
      </c>
      <c r="H2612" s="329">
        <f>H2607</f>
        <v>0</v>
      </c>
      <c r="I2612" s="329">
        <f>VLOOKUP(B2612,DONGIA,DG!$E$6,0)</f>
        <v>17000</v>
      </c>
      <c r="J2612" s="329"/>
      <c r="K2612" s="329">
        <f>VLOOKUP(B2612,DONGIA,DG!$F$6,0)</f>
        <v>0</v>
      </c>
      <c r="L2612" s="329">
        <f>VLOOKUP(B2612,DONGIA,DG!$G$6,0)</f>
        <v>0</v>
      </c>
      <c r="M2612" s="329">
        <f t="shared" si="733"/>
        <v>0</v>
      </c>
      <c r="N2612" s="329">
        <f t="shared" si="734"/>
        <v>0</v>
      </c>
      <c r="O2612" s="329">
        <f t="shared" si="735"/>
        <v>0</v>
      </c>
      <c r="P2612" s="329">
        <f t="shared" si="736"/>
        <v>0</v>
      </c>
      <c r="Q2612" s="329"/>
      <c r="S2612" s="332">
        <f t="shared" si="711"/>
        <v>0.25</v>
      </c>
      <c r="T2612" s="332">
        <f t="shared" si="712"/>
        <v>0</v>
      </c>
    </row>
    <row r="2613" spans="1:20" hidden="1">
      <c r="A2613" s="332" t="s">
        <v>477</v>
      </c>
      <c r="B2613" s="332" t="s">
        <v>404</v>
      </c>
      <c r="C2613" s="333">
        <f>IF(H2613&lt;&gt;0,1,)</f>
        <v>0</v>
      </c>
      <c r="D2613" s="329"/>
      <c r="E2613" s="328" t="str">
        <f>VLOOKUP(B2613,DONGIA,DG!$B$6,0)</f>
        <v>D3.1115</v>
      </c>
      <c r="F2613" s="329" t="str">
        <f>VLOOKUP(B2613,DONGIA,DG!$C$6,0)</f>
        <v>Sứ đứng 24KV, đường rò 540mm</v>
      </c>
      <c r="G2613" s="328" t="str">
        <f>VLOOKUP(B2613,DONGIA,DG!$D$6,0)</f>
        <v>cái</v>
      </c>
      <c r="H2613" s="329">
        <f>H2607*3</f>
        <v>0</v>
      </c>
      <c r="I2613" s="329">
        <f>VLOOKUP(B2613,DONGIA,DG!$E$6,0)</f>
        <v>195000</v>
      </c>
      <c r="J2613" s="329"/>
      <c r="K2613" s="329">
        <f>VLOOKUP(B2613,DONGIA,DG!$F$6,0)</f>
        <v>49616</v>
      </c>
      <c r="L2613" s="329">
        <f>VLOOKUP(B2613,DONGIA,DG!$G$6,0)</f>
        <v>0</v>
      </c>
      <c r="M2613" s="329">
        <f t="shared" ref="M2613:P2615" si="737">$H2613*I2613</f>
        <v>0</v>
      </c>
      <c r="N2613" s="329">
        <f t="shared" si="737"/>
        <v>0</v>
      </c>
      <c r="O2613" s="329">
        <f t="shared" si="737"/>
        <v>0</v>
      </c>
      <c r="P2613" s="329">
        <f t="shared" si="737"/>
        <v>0</v>
      </c>
      <c r="Q2613" s="329"/>
      <c r="S2613" s="332">
        <f>IFERROR(VLOOKUP(B2613,DONGIA,$S$25,0),0)</f>
        <v>4</v>
      </c>
      <c r="T2613" s="332">
        <f>H2613*S2613</f>
        <v>0</v>
      </c>
    </row>
    <row r="2614" spans="1:20" hidden="1">
      <c r="A2614" s="332" t="s">
        <v>477</v>
      </c>
      <c r="B2614" s="332" t="s">
        <v>274</v>
      </c>
      <c r="C2614" s="333">
        <f>IF(H2614&lt;&gt;0,1,)</f>
        <v>0</v>
      </c>
      <c r="D2614" s="329"/>
      <c r="E2614" s="328">
        <f>VLOOKUP(B2614,DONGIA,DG!$B$6,0)</f>
        <v>0</v>
      </c>
      <c r="F2614" s="329" t="str">
        <f>VLOOKUP(B2614,DONGIA,DG!$C$6,0)</f>
        <v>Chân sứ đứng 24kV</v>
      </c>
      <c r="G2614" s="328" t="str">
        <f>VLOOKUP(B2614,DONGIA,DG!$D$6,0)</f>
        <v>cái</v>
      </c>
      <c r="H2614" s="329">
        <f>H2613</f>
        <v>0</v>
      </c>
      <c r="I2614" s="329">
        <f>VLOOKUP(B2614,DONGIA,DG!$E$6,0)</f>
        <v>60000</v>
      </c>
      <c r="J2614" s="329"/>
      <c r="K2614" s="329">
        <f>VLOOKUP(B2614,DONGIA,DG!$F$6,0)</f>
        <v>0</v>
      </c>
      <c r="L2614" s="329">
        <f>VLOOKUP(B2614,DONGIA,DG!$G$6,0)</f>
        <v>0</v>
      </c>
      <c r="M2614" s="329">
        <f t="shared" si="737"/>
        <v>0</v>
      </c>
      <c r="N2614" s="329">
        <f t="shared" si="737"/>
        <v>0</v>
      </c>
      <c r="O2614" s="329">
        <f t="shared" si="737"/>
        <v>0</v>
      </c>
      <c r="P2614" s="329">
        <f t="shared" si="737"/>
        <v>0</v>
      </c>
      <c r="Q2614" s="329"/>
      <c r="S2614" s="332">
        <f>IFERROR(VLOOKUP(B2614,DONGIA,$S$25,0),0)</f>
        <v>3</v>
      </c>
      <c r="T2614" s="332">
        <f>H2614*S2614</f>
        <v>0</v>
      </c>
    </row>
    <row r="2615" spans="1:20" hidden="1">
      <c r="A2615" s="332" t="s">
        <v>477</v>
      </c>
      <c r="B2615" s="332" t="s">
        <v>2872</v>
      </c>
      <c r="C2615" s="333">
        <f>IF(H2615&lt;&gt;0,1,)</f>
        <v>0</v>
      </c>
      <c r="D2615" s="329"/>
      <c r="E2615" s="328" t="str">
        <f>VLOOKUP(B2615,DONGIA,DG!$B$6,0)</f>
        <v>T4.2201</v>
      </c>
      <c r="F2615" s="329" t="str">
        <f>VLOOKUP(B2615,DONGIA,DG!$C$6,0)</f>
        <v>Lắp sứ đứng 24KV trong TBA</v>
      </c>
      <c r="G2615" s="328" t="str">
        <f>VLOOKUP(B2615,DONGIA,DG!$D$6,0)</f>
        <v>bộ</v>
      </c>
      <c r="H2615" s="329">
        <f>H2613</f>
        <v>0</v>
      </c>
      <c r="I2615" s="329">
        <f>VLOOKUP(B2615,DONGIA,DG!$E$6,0)</f>
        <v>0</v>
      </c>
      <c r="J2615" s="329"/>
      <c r="K2615" s="329">
        <f>VLOOKUP(B2615,DONGIA,DG!$F$6,0)</f>
        <v>54496</v>
      </c>
      <c r="L2615" s="329">
        <f>VLOOKUP(B2615,DONGIA,DG!$G$6,0)</f>
        <v>0</v>
      </c>
      <c r="M2615" s="329">
        <f t="shared" si="737"/>
        <v>0</v>
      </c>
      <c r="N2615" s="329">
        <f t="shared" si="737"/>
        <v>0</v>
      </c>
      <c r="O2615" s="329">
        <f t="shared" si="737"/>
        <v>0</v>
      </c>
      <c r="P2615" s="329">
        <f t="shared" si="737"/>
        <v>0</v>
      </c>
      <c r="Q2615" s="329"/>
      <c r="S2615" s="332">
        <f>IFERROR(VLOOKUP(B2615,DONGIA,$S$25,0),0)</f>
        <v>0</v>
      </c>
      <c r="T2615" s="332">
        <f>H2615*S2615</f>
        <v>0</v>
      </c>
    </row>
    <row r="2616" spans="1:20" hidden="1">
      <c r="A2616" s="332" t="s">
        <v>477</v>
      </c>
      <c r="B2616" s="332" t="s">
        <v>635</v>
      </c>
      <c r="C2616" s="333">
        <f t="shared" si="710"/>
        <v>0</v>
      </c>
      <c r="D2616" s="329"/>
      <c r="E2616" s="328" t="str">
        <f>VLOOKUP(B2616,DONGIA,DG!$B$6,0)</f>
        <v>D2.6021d</v>
      </c>
      <c r="F2616" s="329" t="str">
        <f>VLOOKUP(B2616,DONGIA,DG!$C$6,0)</f>
        <v>Lắp đặt xà thép L75x75x8x2100 đơn cột đỡ (29,4245 kg/bộ)</v>
      </c>
      <c r="G2616" s="328" t="str">
        <f>VLOOKUP(B2616,DONGIA,DG!$D$6,0)</f>
        <v>bộ</v>
      </c>
      <c r="H2616" s="329">
        <f>H2607</f>
        <v>0</v>
      </c>
      <c r="I2616" s="329">
        <f>VLOOKUP(B2616,DONGIA,DG!$E$6,0)</f>
        <v>0</v>
      </c>
      <c r="J2616" s="329"/>
      <c r="K2616" s="329">
        <f>VLOOKUP(B2616,DONGIA,DG!$F$6,0)</f>
        <v>297271</v>
      </c>
      <c r="L2616" s="329">
        <f>VLOOKUP(B2616,DONGIA,DG!$G$6,0)</f>
        <v>0</v>
      </c>
      <c r="M2616" s="329">
        <f t="shared" si="733"/>
        <v>0</v>
      </c>
      <c r="N2616" s="329">
        <f t="shared" si="734"/>
        <v>0</v>
      </c>
      <c r="O2616" s="329">
        <f t="shared" si="735"/>
        <v>0</v>
      </c>
      <c r="P2616" s="329">
        <f t="shared" si="736"/>
        <v>0</v>
      </c>
      <c r="Q2616" s="329"/>
      <c r="S2616" s="332">
        <f t="shared" si="711"/>
        <v>0</v>
      </c>
      <c r="T2616" s="332">
        <f t="shared" si="712"/>
        <v>0</v>
      </c>
    </row>
    <row r="2617" spans="1:20" hidden="1">
      <c r="A2617" s="332" t="s">
        <v>477</v>
      </c>
      <c r="C2617" s="333">
        <f t="shared" si="710"/>
        <v>0</v>
      </c>
      <c r="D2617" s="372">
        <f>IF(H2617&lt;&gt;0,D2607+1,D2607)</f>
        <v>0</v>
      </c>
      <c r="E2617" s="372"/>
      <c r="F2617" s="373" t="s">
        <v>2942</v>
      </c>
      <c r="G2617" s="372" t="s">
        <v>138</v>
      </c>
      <c r="H2617" s="372"/>
      <c r="I2617" s="373"/>
      <c r="J2617" s="373"/>
      <c r="K2617" s="373"/>
      <c r="L2617" s="373"/>
      <c r="M2617" s="373">
        <v>0</v>
      </c>
      <c r="N2617" s="373">
        <v>0</v>
      </c>
      <c r="O2617" s="373">
        <v>0</v>
      </c>
      <c r="P2617" s="373">
        <v>0</v>
      </c>
      <c r="Q2617" s="373" t="s">
        <v>2944</v>
      </c>
      <c r="S2617" s="332">
        <f t="shared" si="711"/>
        <v>0</v>
      </c>
      <c r="T2617" s="332">
        <f t="shared" si="712"/>
        <v>0</v>
      </c>
    </row>
    <row r="2618" spans="1:20" s="361" customFormat="1" hidden="1">
      <c r="A2618" s="361" t="s">
        <v>477</v>
      </c>
      <c r="C2618" s="374">
        <f>C2617</f>
        <v>0</v>
      </c>
      <c r="D2618" s="351"/>
      <c r="E2618" s="351"/>
      <c r="F2618" s="351" t="s">
        <v>1902</v>
      </c>
      <c r="G2618" s="350"/>
      <c r="H2618" s="351"/>
      <c r="I2618" s="351"/>
      <c r="J2618" s="351"/>
      <c r="K2618" s="351"/>
      <c r="L2618" s="351"/>
      <c r="M2618" s="351">
        <v>0</v>
      </c>
      <c r="N2618" s="351">
        <v>0</v>
      </c>
      <c r="O2618" s="351">
        <v>0</v>
      </c>
      <c r="P2618" s="351">
        <v>0</v>
      </c>
      <c r="Q2618" s="351"/>
      <c r="S2618" s="361">
        <f t="shared" si="711"/>
        <v>0</v>
      </c>
      <c r="T2618" s="361">
        <f t="shared" si="712"/>
        <v>0</v>
      </c>
    </row>
    <row r="2619" spans="1:20" hidden="1">
      <c r="A2619" s="332" t="s">
        <v>477</v>
      </c>
      <c r="B2619" s="332" t="s">
        <v>414</v>
      </c>
      <c r="C2619" s="333">
        <f t="shared" si="710"/>
        <v>0</v>
      </c>
      <c r="D2619" s="329"/>
      <c r="E2619" s="328">
        <f>VLOOKUP(B2619,DONGIA,DG!$B$6,0)</f>
        <v>0</v>
      </c>
      <c r="F2619" s="329" t="str">
        <f>VLOOKUP(B2619,DONGIA,DG!$C$6,0)</f>
        <v>Đà sắt L75x75x8-1660 - 2 ốp</v>
      </c>
      <c r="G2619" s="328" t="str">
        <f>VLOOKUP(B2619,DONGIA,DG!$D$6,0)</f>
        <v>cái</v>
      </c>
      <c r="H2619" s="329">
        <f>H2617</f>
        <v>0</v>
      </c>
      <c r="I2619" s="329">
        <f>VLOOKUP(B2619,DONGIA,DG!$E$6,0)</f>
        <v>474000</v>
      </c>
      <c r="J2619" s="329"/>
      <c r="K2619" s="329">
        <f>VLOOKUP(B2619,DONGIA,DG!$F$6,0)</f>
        <v>0</v>
      </c>
      <c r="L2619" s="329">
        <f>VLOOKUP(B2619,DONGIA,DG!$G$6,0)</f>
        <v>0</v>
      </c>
      <c r="M2619" s="329">
        <f t="shared" ref="M2619:M2627" si="738">$H2619*I2619</f>
        <v>0</v>
      </c>
      <c r="N2619" s="329">
        <f t="shared" ref="N2619:N2627" si="739">$H2619*J2619</f>
        <v>0</v>
      </c>
      <c r="O2619" s="329">
        <f t="shared" ref="O2619:O2627" si="740">$H2619*K2619</f>
        <v>0</v>
      </c>
      <c r="P2619" s="329">
        <f t="shared" ref="P2619:P2627" si="741">$H2619*L2619</f>
        <v>0</v>
      </c>
      <c r="Q2619" s="329"/>
      <c r="S2619" s="332">
        <f t="shared" si="711"/>
        <v>23</v>
      </c>
      <c r="T2619" s="332">
        <f t="shared" si="712"/>
        <v>0</v>
      </c>
    </row>
    <row r="2620" spans="1:20" hidden="1">
      <c r="A2620" s="332" t="s">
        <v>477</v>
      </c>
      <c r="B2620" s="332" t="s">
        <v>422</v>
      </c>
      <c r="C2620" s="333">
        <f>IF(H2620&lt;&gt;0,1,)</f>
        <v>0</v>
      </c>
      <c r="D2620" s="329"/>
      <c r="E2620" s="328">
        <f>VLOOKUP(B2620,DONGIA,DG!$B$6,0)</f>
        <v>0</v>
      </c>
      <c r="F2620" s="329" t="str">
        <f>VLOOKUP(B2620,DONGIA,DG!$C$6,0)</f>
        <v>Thanh chống L50x50x5-810</v>
      </c>
      <c r="G2620" s="328" t="str">
        <f>VLOOKUP(B2620,DONGIA,DG!$D$6,0)</f>
        <v>cái</v>
      </c>
      <c r="H2620" s="329">
        <f>H2619*2</f>
        <v>0</v>
      </c>
      <c r="I2620" s="329">
        <f>VLOOKUP(B2620,DONGIA,DG!$E$6,0)</f>
        <v>87800</v>
      </c>
      <c r="J2620" s="329"/>
      <c r="K2620" s="329">
        <f>VLOOKUP(B2620,DONGIA,DG!$F$6,0)</f>
        <v>0</v>
      </c>
      <c r="L2620" s="329">
        <f>VLOOKUP(B2620,DONGIA,DG!$G$6,0)</f>
        <v>0</v>
      </c>
      <c r="M2620" s="329">
        <f>$H2620*I2620</f>
        <v>0</v>
      </c>
      <c r="N2620" s="329">
        <f>$H2620*J2620</f>
        <v>0</v>
      </c>
      <c r="O2620" s="329">
        <f>$H2620*K2620</f>
        <v>0</v>
      </c>
      <c r="P2620" s="329">
        <f>$H2620*L2620</f>
        <v>0</v>
      </c>
      <c r="Q2620" s="329"/>
      <c r="S2620" s="332">
        <f>IFERROR(VLOOKUP(B2620,DONGIA,$S$25,0),0)</f>
        <v>3.5</v>
      </c>
      <c r="T2620" s="332">
        <f>H2620*S2620</f>
        <v>0</v>
      </c>
    </row>
    <row r="2621" spans="1:20" hidden="1">
      <c r="A2621" s="332" t="s">
        <v>477</v>
      </c>
      <c r="B2621" s="332" t="s">
        <v>2016</v>
      </c>
      <c r="C2621" s="333">
        <f t="shared" si="710"/>
        <v>0</v>
      </c>
      <c r="D2621" s="329"/>
      <c r="E2621" s="328">
        <f>VLOOKUP(B2621,DONGIA,DG!$B$6,0)</f>
        <v>0</v>
      </c>
      <c r="F2621" s="329" t="str">
        <f>VLOOKUP(B2621,DONGIA,DG!$C$6,0)</f>
        <v>Boulon 16x450VRS + 2 long đền vuông D18-50x50x3/Zn</v>
      </c>
      <c r="G2621" s="328" t="str">
        <f>VLOOKUP(B2621,DONGIA,DG!$D$6,0)</f>
        <v>bộ</v>
      </c>
      <c r="H2621" s="329">
        <f>H2617*2</f>
        <v>0</v>
      </c>
      <c r="I2621" s="329">
        <f>VLOOKUP(B2621,DONGIA,DG!$E$6,0)</f>
        <v>39000</v>
      </c>
      <c r="J2621" s="329"/>
      <c r="K2621" s="329">
        <f>VLOOKUP(B2621,DONGIA,DG!$F$6,0)</f>
        <v>0</v>
      </c>
      <c r="L2621" s="329">
        <f>VLOOKUP(B2621,DONGIA,DG!$G$6,0)</f>
        <v>0</v>
      </c>
      <c r="M2621" s="329">
        <f t="shared" si="738"/>
        <v>0</v>
      </c>
      <c r="N2621" s="329">
        <f t="shared" si="739"/>
        <v>0</v>
      </c>
      <c r="O2621" s="329">
        <f t="shared" si="740"/>
        <v>0</v>
      </c>
      <c r="P2621" s="329">
        <f t="shared" si="741"/>
        <v>0</v>
      </c>
      <c r="Q2621" s="329"/>
      <c r="S2621" s="332">
        <f t="shared" si="711"/>
        <v>0.8500000000000002</v>
      </c>
      <c r="T2621" s="332">
        <f t="shared" si="712"/>
        <v>0</v>
      </c>
    </row>
    <row r="2622" spans="1:20" hidden="1">
      <c r="A2622" s="332" t="s">
        <v>477</v>
      </c>
      <c r="B2622" s="332" t="s">
        <v>29</v>
      </c>
      <c r="C2622" s="333">
        <f t="shared" si="710"/>
        <v>0</v>
      </c>
      <c r="D2622" s="329"/>
      <c r="E2622" s="328">
        <f>VLOOKUP(B2622,DONGIA,DG!$B$6,0)</f>
        <v>0</v>
      </c>
      <c r="F2622" s="329" t="str">
        <f>VLOOKUP(B2622,DONGIA,DG!$C$6,0)</f>
        <v>Boulon 16x50+ 2 long đền vuông D18-50x50x3/Zn</v>
      </c>
      <c r="G2622" s="328" t="str">
        <f>VLOOKUP(B2622,DONGIA,DG!$D$6,0)</f>
        <v>bộ</v>
      </c>
      <c r="H2622" s="329">
        <f>H2617*2</f>
        <v>0</v>
      </c>
      <c r="I2622" s="329">
        <f>VLOOKUP(B2622,DONGIA,DG!$E$6,0)</f>
        <v>17000</v>
      </c>
      <c r="J2622" s="329"/>
      <c r="K2622" s="329">
        <f>VLOOKUP(B2622,DONGIA,DG!$F$6,0)</f>
        <v>0</v>
      </c>
      <c r="L2622" s="329">
        <f>VLOOKUP(B2622,DONGIA,DG!$G$6,0)</f>
        <v>0</v>
      </c>
      <c r="M2622" s="329">
        <f t="shared" si="738"/>
        <v>0</v>
      </c>
      <c r="N2622" s="329">
        <f t="shared" si="739"/>
        <v>0</v>
      </c>
      <c r="O2622" s="329">
        <f t="shared" si="740"/>
        <v>0</v>
      </c>
      <c r="P2622" s="329">
        <f t="shared" si="741"/>
        <v>0</v>
      </c>
      <c r="Q2622" s="329"/>
      <c r="S2622" s="332">
        <f t="shared" si="711"/>
        <v>0.25</v>
      </c>
      <c r="T2622" s="332">
        <f t="shared" si="712"/>
        <v>0</v>
      </c>
    </row>
    <row r="2623" spans="1:20" hidden="1">
      <c r="A2623" s="332" t="s">
        <v>477</v>
      </c>
      <c r="B2623" s="332" t="s">
        <v>404</v>
      </c>
      <c r="C2623" s="333">
        <f>IF(H2623&lt;&gt;0,1,)</f>
        <v>0</v>
      </c>
      <c r="D2623" s="329"/>
      <c r="E2623" s="328" t="str">
        <f>VLOOKUP(B2623,DONGIA,DG!$B$6,0)</f>
        <v>D3.1115</v>
      </c>
      <c r="F2623" s="329" t="str">
        <f>VLOOKUP(B2623,DONGIA,DG!$C$6,0)</f>
        <v>Sứ đứng 24KV, đường rò 540mm</v>
      </c>
      <c r="G2623" s="328" t="str">
        <f>VLOOKUP(B2623,DONGIA,DG!$D$6,0)</f>
        <v>cái</v>
      </c>
      <c r="H2623" s="329">
        <f>H2617*3</f>
        <v>0</v>
      </c>
      <c r="I2623" s="329">
        <f>VLOOKUP(B2623,DONGIA,DG!$E$6,0)</f>
        <v>195000</v>
      </c>
      <c r="J2623" s="329"/>
      <c r="K2623" s="329">
        <f>VLOOKUP(B2623,DONGIA,DG!$F$6,0)</f>
        <v>49616</v>
      </c>
      <c r="L2623" s="329">
        <f>VLOOKUP(B2623,DONGIA,DG!$G$6,0)</f>
        <v>0</v>
      </c>
      <c r="M2623" s="329">
        <f t="shared" ref="M2623:P2626" si="742">$H2623*I2623</f>
        <v>0</v>
      </c>
      <c r="N2623" s="329">
        <f t="shared" si="742"/>
        <v>0</v>
      </c>
      <c r="O2623" s="329">
        <f t="shared" si="742"/>
        <v>0</v>
      </c>
      <c r="P2623" s="329">
        <f t="shared" si="742"/>
        <v>0</v>
      </c>
      <c r="Q2623" s="329"/>
      <c r="S2623" s="332">
        <f>IFERROR(VLOOKUP(B2623,DONGIA,$S$25,0),0)</f>
        <v>4</v>
      </c>
      <c r="T2623" s="332">
        <f>H2623*S2623</f>
        <v>0</v>
      </c>
    </row>
    <row r="2624" spans="1:20" hidden="1">
      <c r="A2624" s="332" t="s">
        <v>477</v>
      </c>
      <c r="B2624" s="332" t="s">
        <v>274</v>
      </c>
      <c r="C2624" s="333">
        <f>IF(H2624&lt;&gt;0,1,)</f>
        <v>0</v>
      </c>
      <c r="D2624" s="329"/>
      <c r="E2624" s="328">
        <f>VLOOKUP(B2624,DONGIA,DG!$B$6,0)</f>
        <v>0</v>
      </c>
      <c r="F2624" s="329" t="str">
        <f>VLOOKUP(B2624,DONGIA,DG!$C$6,0)</f>
        <v>Chân sứ đứng 24kV</v>
      </c>
      <c r="G2624" s="328" t="str">
        <f>VLOOKUP(B2624,DONGIA,DG!$D$6,0)</f>
        <v>cái</v>
      </c>
      <c r="H2624" s="329">
        <f>H2617*2</f>
        <v>0</v>
      </c>
      <c r="I2624" s="329">
        <f>VLOOKUP(B2624,DONGIA,DG!$E$6,0)</f>
        <v>60000</v>
      </c>
      <c r="J2624" s="329"/>
      <c r="K2624" s="329">
        <f>VLOOKUP(B2624,DONGIA,DG!$F$6,0)</f>
        <v>0</v>
      </c>
      <c r="L2624" s="329">
        <f>VLOOKUP(B2624,DONGIA,DG!$G$6,0)</f>
        <v>0</v>
      </c>
      <c r="M2624" s="329">
        <f t="shared" si="742"/>
        <v>0</v>
      </c>
      <c r="N2624" s="329">
        <f t="shared" si="742"/>
        <v>0</v>
      </c>
      <c r="O2624" s="329">
        <f t="shared" si="742"/>
        <v>0</v>
      </c>
      <c r="P2624" s="329">
        <f t="shared" si="742"/>
        <v>0</v>
      </c>
      <c r="Q2624" s="329"/>
      <c r="S2624" s="332">
        <f>IFERROR(VLOOKUP(B2624,DONGIA,$S$25,0),0)</f>
        <v>3</v>
      </c>
      <c r="T2624" s="332">
        <f>H2624*S2624</f>
        <v>0</v>
      </c>
    </row>
    <row r="2625" spans="1:20" hidden="1">
      <c r="A2625" s="332" t="s">
        <v>477</v>
      </c>
      <c r="B2625" s="332" t="s">
        <v>270</v>
      </c>
      <c r="C2625" s="333">
        <f>IF(H2625&lt;&gt;0,1,)</f>
        <v>0</v>
      </c>
      <c r="D2625" s="329"/>
      <c r="E2625" s="328">
        <f>VLOOKUP(B2625,DONGIA,DG!$B$6,0)</f>
        <v>0</v>
      </c>
      <c r="F2625" s="329" t="str">
        <f>VLOOKUP(B2625,DONGIA,DG!$C$6,0)</f>
        <v>Chân sứ đỉnh thẳng dài 870 dày 4mm</v>
      </c>
      <c r="G2625" s="328" t="str">
        <f>VLOOKUP(B2625,DONGIA,DG!$D$6,0)</f>
        <v>cái</v>
      </c>
      <c r="H2625" s="329">
        <f>H2617</f>
        <v>0</v>
      </c>
      <c r="I2625" s="329">
        <f>VLOOKUP(B2625,DONGIA,DG!$E$6,0)</f>
        <v>115000</v>
      </c>
      <c r="J2625" s="329"/>
      <c r="K2625" s="329">
        <f>VLOOKUP(B2625,DONGIA,DG!$F$6,0)</f>
        <v>0</v>
      </c>
      <c r="L2625" s="329">
        <f>VLOOKUP(B2625,DONGIA,DG!$G$6,0)</f>
        <v>0</v>
      </c>
      <c r="M2625" s="329">
        <f t="shared" si="742"/>
        <v>0</v>
      </c>
      <c r="N2625" s="329">
        <f t="shared" si="742"/>
        <v>0</v>
      </c>
      <c r="O2625" s="329">
        <f t="shared" si="742"/>
        <v>0</v>
      </c>
      <c r="P2625" s="329">
        <f t="shared" si="742"/>
        <v>0</v>
      </c>
      <c r="Q2625" s="329"/>
      <c r="S2625" s="332">
        <f>IFERROR(VLOOKUP(B2625,DONGIA,$S$25,0),0)</f>
        <v>5</v>
      </c>
      <c r="T2625" s="332">
        <f>H2625*S2625</f>
        <v>0</v>
      </c>
    </row>
    <row r="2626" spans="1:20" hidden="1">
      <c r="A2626" s="332" t="s">
        <v>477</v>
      </c>
      <c r="B2626" s="332" t="s">
        <v>2872</v>
      </c>
      <c r="C2626" s="333">
        <f>IF(H2626&lt;&gt;0,1,)</f>
        <v>0</v>
      </c>
      <c r="D2626" s="329"/>
      <c r="E2626" s="328" t="str">
        <f>VLOOKUP(B2626,DONGIA,DG!$B$6,0)</f>
        <v>T4.2201</v>
      </c>
      <c r="F2626" s="329" t="str">
        <f>VLOOKUP(B2626,DONGIA,DG!$C$6,0)</f>
        <v>Lắp sứ đứng 24KV trong TBA</v>
      </c>
      <c r="G2626" s="328" t="str">
        <f>VLOOKUP(B2626,DONGIA,DG!$D$6,0)</f>
        <v>bộ</v>
      </c>
      <c r="H2626" s="329">
        <f>H2621*2</f>
        <v>0</v>
      </c>
      <c r="I2626" s="329">
        <f>VLOOKUP(B2626,DONGIA,DG!$E$6,0)</f>
        <v>0</v>
      </c>
      <c r="J2626" s="329"/>
      <c r="K2626" s="329">
        <f>VLOOKUP(B2626,DONGIA,DG!$F$6,0)</f>
        <v>54496</v>
      </c>
      <c r="L2626" s="329">
        <f>VLOOKUP(B2626,DONGIA,DG!$G$6,0)</f>
        <v>0</v>
      </c>
      <c r="M2626" s="329">
        <f t="shared" si="742"/>
        <v>0</v>
      </c>
      <c r="N2626" s="329">
        <f t="shared" si="742"/>
        <v>0</v>
      </c>
      <c r="O2626" s="329">
        <f t="shared" si="742"/>
        <v>0</v>
      </c>
      <c r="P2626" s="329">
        <f t="shared" si="742"/>
        <v>0</v>
      </c>
      <c r="Q2626" s="329"/>
      <c r="S2626" s="332">
        <f>IFERROR(VLOOKUP(B2626,DONGIA,$S$25,0),0)</f>
        <v>0</v>
      </c>
      <c r="T2626" s="332">
        <f>H2626*S2626</f>
        <v>0</v>
      </c>
    </row>
    <row r="2627" spans="1:20" hidden="1">
      <c r="A2627" s="332" t="s">
        <v>477</v>
      </c>
      <c r="B2627" s="332" t="s">
        <v>629</v>
      </c>
      <c r="C2627" s="333">
        <f t="shared" si="710"/>
        <v>0</v>
      </c>
      <c r="D2627" s="329"/>
      <c r="E2627" s="328" t="str">
        <f>VLOOKUP(B2627,DONGIA,DG!$B$6,0)</f>
        <v>D2.6021c</v>
      </c>
      <c r="F2627" s="329" t="str">
        <f>VLOOKUP(B2627,DONGIA,DG!$C$6,0)</f>
        <v>Lắp đặt xà thép L75x75x8x1660 đơn cột đỡ (26,5504 kg/bộ)</v>
      </c>
      <c r="G2627" s="328" t="str">
        <f>VLOOKUP(B2627,DONGIA,DG!$D$6,0)</f>
        <v>bộ</v>
      </c>
      <c r="H2627" s="329">
        <f>H2617</f>
        <v>0</v>
      </c>
      <c r="I2627" s="329">
        <f>VLOOKUP(B2627,DONGIA,DG!$E$6,0)</f>
        <v>0</v>
      </c>
      <c r="J2627" s="329"/>
      <c r="K2627" s="329">
        <f>VLOOKUP(B2627,DONGIA,DG!$F$6,0)</f>
        <v>286074</v>
      </c>
      <c r="L2627" s="329">
        <f>VLOOKUP(B2627,DONGIA,DG!$G$6,0)</f>
        <v>0</v>
      </c>
      <c r="M2627" s="329">
        <f t="shared" si="738"/>
        <v>0</v>
      </c>
      <c r="N2627" s="329">
        <f t="shared" si="739"/>
        <v>0</v>
      </c>
      <c r="O2627" s="329">
        <f t="shared" si="740"/>
        <v>0</v>
      </c>
      <c r="P2627" s="329">
        <f t="shared" si="741"/>
        <v>0</v>
      </c>
      <c r="Q2627" s="329"/>
      <c r="S2627" s="332">
        <f t="shared" si="711"/>
        <v>0</v>
      </c>
      <c r="T2627" s="332">
        <f t="shared" si="712"/>
        <v>0</v>
      </c>
    </row>
    <row r="2628" spans="1:20" hidden="1">
      <c r="A2628" s="332" t="s">
        <v>477</v>
      </c>
      <c r="C2628" s="333">
        <f t="shared" si="710"/>
        <v>0</v>
      </c>
      <c r="D2628" s="372">
        <f>IF(H2628&lt;&gt;0,D2617+1,D2617)</f>
        <v>0</v>
      </c>
      <c r="E2628" s="372"/>
      <c r="F2628" s="373" t="s">
        <v>1923</v>
      </c>
      <c r="G2628" s="372" t="s">
        <v>138</v>
      </c>
      <c r="H2628" s="372">
        <f>T3P160N</f>
        <v>0</v>
      </c>
      <c r="I2628" s="373"/>
      <c r="J2628" s="373"/>
      <c r="K2628" s="373"/>
      <c r="L2628" s="373"/>
      <c r="M2628" s="373">
        <v>0</v>
      </c>
      <c r="N2628" s="373">
        <v>0</v>
      </c>
      <c r="O2628" s="373">
        <v>0</v>
      </c>
      <c r="P2628" s="373">
        <v>0</v>
      </c>
      <c r="Q2628" s="373"/>
      <c r="S2628" s="332">
        <f t="shared" si="711"/>
        <v>0</v>
      </c>
      <c r="T2628" s="332">
        <f t="shared" si="712"/>
        <v>0</v>
      </c>
    </row>
    <row r="2629" spans="1:20" s="361" customFormat="1" hidden="1">
      <c r="A2629" s="361" t="s">
        <v>477</v>
      </c>
      <c r="C2629" s="374">
        <f>C2628</f>
        <v>0</v>
      </c>
      <c r="D2629" s="351"/>
      <c r="E2629" s="351"/>
      <c r="F2629" s="351" t="s">
        <v>1902</v>
      </c>
      <c r="G2629" s="350"/>
      <c r="H2629" s="351"/>
      <c r="I2629" s="351"/>
      <c r="J2629" s="351"/>
      <c r="K2629" s="351"/>
      <c r="L2629" s="351"/>
      <c r="M2629" s="351">
        <v>0</v>
      </c>
      <c r="N2629" s="351">
        <v>0</v>
      </c>
      <c r="O2629" s="351">
        <v>0</v>
      </c>
      <c r="P2629" s="351">
        <v>0</v>
      </c>
      <c r="Q2629" s="351"/>
      <c r="S2629" s="361">
        <f t="shared" si="711"/>
        <v>0</v>
      </c>
      <c r="T2629" s="361">
        <f t="shared" si="712"/>
        <v>0</v>
      </c>
    </row>
    <row r="2630" spans="1:20" hidden="1">
      <c r="A2630" s="332" t="s">
        <v>477</v>
      </c>
      <c r="B2630" s="332" t="s">
        <v>144</v>
      </c>
      <c r="C2630" s="333">
        <f t="shared" si="710"/>
        <v>0</v>
      </c>
      <c r="D2630" s="329"/>
      <c r="E2630" s="328">
        <f>VLOOKUP(B2630,DONGIA,DG!$B$6,0)</f>
        <v>0</v>
      </c>
      <c r="F2630" s="329" t="str">
        <f>VLOOKUP(B2630,DONGIA,DG!$C$6,0)&amp;" ("&amp;TDTR3P&amp;" mét/trạm)"</f>
        <v>Cáp đồng trần M25mm2 (61 mét/trạm)</v>
      </c>
      <c r="G2630" s="328" t="str">
        <f>VLOOKUP(B2630,DONGIA,DG!$D$6,0)</f>
        <v>kg</v>
      </c>
      <c r="H2630" s="442">
        <f>TDTR3P*0.224*H2628</f>
        <v>0</v>
      </c>
      <c r="I2630" s="329">
        <f>VLOOKUP(B2630,DONGIA,DG!$E$6,0)</f>
        <v>201380</v>
      </c>
      <c r="J2630" s="329"/>
      <c r="K2630" s="329">
        <f>VLOOKUP(B2630,DONGIA,DG!$F$6,0)</f>
        <v>0</v>
      </c>
      <c r="L2630" s="329">
        <f>VLOOKUP(B2630,DONGIA,DG!$G$6,0)</f>
        <v>0</v>
      </c>
      <c r="M2630" s="329">
        <f t="shared" ref="M2630:M2638" si="743">$H2630*I2630</f>
        <v>0</v>
      </c>
      <c r="N2630" s="329">
        <f t="shared" ref="N2630:N2638" si="744">$H2630*J2630</f>
        <v>0</v>
      </c>
      <c r="O2630" s="329">
        <f t="shared" ref="O2630:O2638" si="745">$H2630*K2630</f>
        <v>0</v>
      </c>
      <c r="P2630" s="329">
        <f t="shared" ref="P2630:P2638" si="746">$H2630*L2630</f>
        <v>0</v>
      </c>
      <c r="Q2630" s="329"/>
      <c r="S2630" s="332">
        <f t="shared" si="711"/>
        <v>1</v>
      </c>
      <c r="T2630" s="332">
        <f t="shared" si="712"/>
        <v>0</v>
      </c>
    </row>
    <row r="2631" spans="1:20" hidden="1">
      <c r="A2631" s="332" t="s">
        <v>477</v>
      </c>
      <c r="B2631" s="332" t="s">
        <v>278</v>
      </c>
      <c r="C2631" s="333">
        <f t="shared" si="710"/>
        <v>0</v>
      </c>
      <c r="D2631" s="329"/>
      <c r="E2631" s="328">
        <f>VLOOKUP(B2631,DONGIA,DG!$B$6,0)</f>
        <v>0</v>
      </c>
      <c r="F2631" s="329" t="str">
        <f>VLOOKUP(B2631,DONGIA,DG!$C$6,0)</f>
        <v>Cọc tiếp đất φ16 - 2,4m (mạ đồng 16µm)</v>
      </c>
      <c r="G2631" s="328" t="str">
        <f>VLOOKUP(B2631,DONGIA,DG!$D$6,0)</f>
        <v>cọc</v>
      </c>
      <c r="H2631" s="329">
        <f>H2628*9</f>
        <v>0</v>
      </c>
      <c r="I2631" s="329">
        <f>VLOOKUP(B2631,DONGIA,DG!$E$6,0)</f>
        <v>130000</v>
      </c>
      <c r="J2631" s="329"/>
      <c r="K2631" s="329">
        <f>VLOOKUP(B2631,DONGIA,DG!$F$6,0)</f>
        <v>0</v>
      </c>
      <c r="L2631" s="329">
        <f>VLOOKUP(B2631,DONGIA,DG!$G$6,0)</f>
        <v>0</v>
      </c>
      <c r="M2631" s="329">
        <f t="shared" si="743"/>
        <v>0</v>
      </c>
      <c r="N2631" s="329">
        <f t="shared" si="744"/>
        <v>0</v>
      </c>
      <c r="O2631" s="329">
        <f t="shared" si="745"/>
        <v>0</v>
      </c>
      <c r="P2631" s="329">
        <f t="shared" si="746"/>
        <v>0</v>
      </c>
      <c r="Q2631" s="329"/>
      <c r="S2631" s="332">
        <f t="shared" si="711"/>
        <v>5.3</v>
      </c>
      <c r="T2631" s="332">
        <f t="shared" si="712"/>
        <v>0</v>
      </c>
    </row>
    <row r="2632" spans="1:20" hidden="1">
      <c r="A2632" s="332" t="s">
        <v>477</v>
      </c>
      <c r="B2632" s="332" t="s">
        <v>280</v>
      </c>
      <c r="C2632" s="333">
        <f t="shared" si="710"/>
        <v>0</v>
      </c>
      <c r="D2632" s="329"/>
      <c r="E2632" s="328">
        <f>VLOOKUP(B2632,DONGIA,DG!$B$6,0)</f>
        <v>0</v>
      </c>
      <c r="F2632" s="329" t="str">
        <f>VLOOKUP(B2632,DONGIA,DG!$C$6,0)</f>
        <v>Kẹp cọc tiếp địa</v>
      </c>
      <c r="G2632" s="328" t="str">
        <f>VLOOKUP(B2632,DONGIA,DG!$D$6,0)</f>
        <v>bộ</v>
      </c>
      <c r="H2632" s="329">
        <f>H2631</f>
        <v>0</v>
      </c>
      <c r="I2632" s="329">
        <f>VLOOKUP(B2632,DONGIA,DG!$E$6,0)</f>
        <v>25000</v>
      </c>
      <c r="J2632" s="329"/>
      <c r="K2632" s="329">
        <f>VLOOKUP(B2632,DONGIA,DG!$F$6,0)</f>
        <v>0</v>
      </c>
      <c r="L2632" s="329">
        <f>VLOOKUP(B2632,DONGIA,DG!$G$6,0)</f>
        <v>0</v>
      </c>
      <c r="M2632" s="329">
        <f t="shared" si="743"/>
        <v>0</v>
      </c>
      <c r="N2632" s="329">
        <f t="shared" si="744"/>
        <v>0</v>
      </c>
      <c r="O2632" s="329">
        <f t="shared" si="745"/>
        <v>0</v>
      </c>
      <c r="P2632" s="329">
        <f t="shared" si="746"/>
        <v>0</v>
      </c>
      <c r="Q2632" s="329"/>
      <c r="S2632" s="332">
        <f t="shared" si="711"/>
        <v>0.05</v>
      </c>
      <c r="T2632" s="332">
        <f t="shared" si="712"/>
        <v>0</v>
      </c>
    </row>
    <row r="2633" spans="1:20" hidden="1">
      <c r="A2633" s="332" t="s">
        <v>477</v>
      </c>
      <c r="B2633" s="332" t="s">
        <v>1217</v>
      </c>
      <c r="C2633" s="333">
        <f>IF(H2633&lt;&gt;0,1,)</f>
        <v>0</v>
      </c>
      <c r="D2633" s="329"/>
      <c r="E2633" s="328">
        <f>VLOOKUP(B2633,DONGIA,DG!$B$6,0)</f>
        <v>0</v>
      </c>
      <c r="F2633" s="329" t="str">
        <f>VLOOKUP(B2633,DONGIA,DG!$C$6,0)</f>
        <v xml:space="preserve">Ốc xiết cáp cỡ 38mm2 </v>
      </c>
      <c r="G2633" s="328" t="str">
        <f>VLOOKUP(B2633,DONGIA,DG!$D$6,0)</f>
        <v>cái</v>
      </c>
      <c r="H2633" s="329">
        <f>H2628*6</f>
        <v>0</v>
      </c>
      <c r="I2633" s="329">
        <f>VLOOKUP(B2633,DONGIA,DG!$E$6,0)</f>
        <v>18000</v>
      </c>
      <c r="J2633" s="329"/>
      <c r="K2633" s="329">
        <f>VLOOKUP(B2633,DONGIA,DG!$F$6,0)</f>
        <v>0</v>
      </c>
      <c r="L2633" s="329">
        <f>VLOOKUP(B2633,DONGIA,DG!$G$6,0)</f>
        <v>0</v>
      </c>
      <c r="M2633" s="329">
        <f>$H2633*I2633</f>
        <v>0</v>
      </c>
      <c r="N2633" s="329">
        <f>$H2633*J2633</f>
        <v>0</v>
      </c>
      <c r="O2633" s="329">
        <f>$H2633*K2633</f>
        <v>0</v>
      </c>
      <c r="P2633" s="329">
        <f>$H2633*L2633</f>
        <v>0</v>
      </c>
      <c r="Q2633" s="329"/>
      <c r="S2633" s="332">
        <f>IFERROR(VLOOKUP(B2633,DONGIA,$S$25,0),0)</f>
        <v>0</v>
      </c>
      <c r="T2633" s="332">
        <f>H2633*S2633</f>
        <v>0</v>
      </c>
    </row>
    <row r="2634" spans="1:20" hidden="1">
      <c r="A2634" s="332" t="s">
        <v>477</v>
      </c>
      <c r="B2634" s="332" t="s">
        <v>323</v>
      </c>
      <c r="C2634" s="333">
        <f t="shared" si="710"/>
        <v>0</v>
      </c>
      <c r="D2634" s="329"/>
      <c r="E2634" s="328">
        <f>VLOOKUP(B2634,DONGIA,DG!$B$6,0)</f>
        <v>0</v>
      </c>
      <c r="F2634" s="329" t="str">
        <f>VLOOKUP(B2634,DONGIA,DG!$C$6,0)</f>
        <v>Kẹp ép WR cỡ dây 50mm2</v>
      </c>
      <c r="G2634" s="328" t="str">
        <f>VLOOKUP(B2634,DONGIA,DG!$D$6,0)</f>
        <v>cái</v>
      </c>
      <c r="H2634" s="329">
        <f>H2628*2</f>
        <v>0</v>
      </c>
      <c r="I2634" s="329">
        <f>VLOOKUP(B2634,DONGIA,DG!$E$6,0)</f>
        <v>10000</v>
      </c>
      <c r="J2634" s="329"/>
      <c r="K2634" s="329">
        <f>VLOOKUP(B2634,DONGIA,DG!$F$6,0)</f>
        <v>0</v>
      </c>
      <c r="L2634" s="329">
        <f>VLOOKUP(B2634,DONGIA,DG!$G$6,0)</f>
        <v>0</v>
      </c>
      <c r="M2634" s="329">
        <f t="shared" si="743"/>
        <v>0</v>
      </c>
      <c r="N2634" s="329">
        <f t="shared" si="744"/>
        <v>0</v>
      </c>
      <c r="O2634" s="329">
        <f t="shared" si="745"/>
        <v>0</v>
      </c>
      <c r="P2634" s="329">
        <f t="shared" si="746"/>
        <v>0</v>
      </c>
      <c r="Q2634" s="329"/>
      <c r="S2634" s="332">
        <f t="shared" si="711"/>
        <v>0.2</v>
      </c>
      <c r="T2634" s="332">
        <f t="shared" si="712"/>
        <v>0</v>
      </c>
    </row>
    <row r="2635" spans="1:20" hidden="1">
      <c r="A2635" s="332" t="s">
        <v>477</v>
      </c>
      <c r="B2635" s="332" t="s">
        <v>573</v>
      </c>
      <c r="C2635" s="333">
        <f t="shared" si="710"/>
        <v>0</v>
      </c>
      <c r="D2635" s="329"/>
      <c r="E2635" s="328" t="str">
        <f>VLOOKUP(B2635,DONGIA,DG!$B$6,0)</f>
        <v>T4.7001</v>
      </c>
      <c r="F2635" s="329" t="str">
        <f>VLOOKUP(B2635,DONGIA,DG!$C$6,0)</f>
        <v>Kéo dây tiếp địa trong TBA</v>
      </c>
      <c r="G2635" s="328" t="str">
        <f>VLOOKUP(B2635,DONGIA,DG!$D$6,0)</f>
        <v>mét</v>
      </c>
      <c r="H2635" s="329">
        <f>H2630/0.224</f>
        <v>0</v>
      </c>
      <c r="I2635" s="329">
        <f>VLOOKUP(B2635,DONGIA,DG!$E$6,0)</f>
        <v>0</v>
      </c>
      <c r="J2635" s="329"/>
      <c r="K2635" s="329">
        <f>VLOOKUP(B2635,DONGIA,DG!$F$6,0)</f>
        <v>6871</v>
      </c>
      <c r="L2635" s="329">
        <f>VLOOKUP(B2635,DONGIA,DG!$G$6,0)</f>
        <v>0</v>
      </c>
      <c r="M2635" s="329">
        <f t="shared" si="743"/>
        <v>0</v>
      </c>
      <c r="N2635" s="329">
        <f t="shared" si="744"/>
        <v>0</v>
      </c>
      <c r="O2635" s="329">
        <f t="shared" si="745"/>
        <v>0</v>
      </c>
      <c r="P2635" s="329">
        <f t="shared" si="746"/>
        <v>0</v>
      </c>
      <c r="Q2635" s="329"/>
      <c r="S2635" s="332">
        <f t="shared" si="711"/>
        <v>0</v>
      </c>
      <c r="T2635" s="332">
        <f t="shared" si="712"/>
        <v>0</v>
      </c>
    </row>
    <row r="2636" spans="1:20" hidden="1">
      <c r="A2636" s="332" t="s">
        <v>477</v>
      </c>
      <c r="B2636" s="332" t="s">
        <v>581</v>
      </c>
      <c r="C2636" s="333">
        <f t="shared" si="710"/>
        <v>0</v>
      </c>
      <c r="D2636" s="329"/>
      <c r="E2636" s="328" t="str">
        <f>VLOOKUP(B2636,DONGIA,DG!$B$6,0)</f>
        <v>D2.8103</v>
      </c>
      <c r="F2636" s="329" t="str">
        <f>VLOOKUP(B2636,DONGIA,DG!$C$6,0)</f>
        <v>Đóng cọc tiếp địa trong TBA (đất cấp 3)</v>
      </c>
      <c r="G2636" s="328" t="str">
        <f>VLOOKUP(B2636,DONGIA,DG!$D$6,0)</f>
        <v>cọc</v>
      </c>
      <c r="H2636" s="329">
        <f>H2631</f>
        <v>0</v>
      </c>
      <c r="I2636" s="329">
        <f>VLOOKUP(B2636,DONGIA,DG!$E$6,0)</f>
        <v>0</v>
      </c>
      <c r="J2636" s="329"/>
      <c r="K2636" s="329">
        <f>VLOOKUP(B2636,DONGIA,DG!$F$6,0)</f>
        <v>76928</v>
      </c>
      <c r="L2636" s="329">
        <f>VLOOKUP(B2636,DONGIA,DG!$G$6,0)</f>
        <v>0</v>
      </c>
      <c r="M2636" s="329">
        <f t="shared" si="743"/>
        <v>0</v>
      </c>
      <c r="N2636" s="329">
        <f t="shared" si="744"/>
        <v>0</v>
      </c>
      <c r="O2636" s="329">
        <f t="shared" si="745"/>
        <v>0</v>
      </c>
      <c r="P2636" s="329">
        <f t="shared" si="746"/>
        <v>0</v>
      </c>
      <c r="Q2636" s="329"/>
      <c r="S2636" s="332">
        <f t="shared" si="711"/>
        <v>0</v>
      </c>
      <c r="T2636" s="332">
        <f t="shared" si="712"/>
        <v>0</v>
      </c>
    </row>
    <row r="2637" spans="1:20" hidden="1">
      <c r="A2637" s="332" t="s">
        <v>477</v>
      </c>
      <c r="B2637" s="332" t="s">
        <v>540</v>
      </c>
      <c r="C2637" s="333">
        <f t="shared" si="710"/>
        <v>0</v>
      </c>
      <c r="D2637" s="329"/>
      <c r="E2637" s="328" t="str">
        <f>VLOOKUP(B2637,DONGIA,DG!$B$6,0)</f>
        <v>AB.11513</v>
      </c>
      <c r="F2637" s="362" t="str">
        <f>VLOOKUP(B2637,DONGIA,DG!$C$6,0)&amp;" (ĐC hệ số 0,9)"</f>
        <v>Đào rãnh tiếp địa đất cấp 3 (ĐC hệ số 0,9)</v>
      </c>
      <c r="G2637" s="328" t="str">
        <f>VLOOKUP(B2637,DONGIA,DG!$D$6,0)</f>
        <v>m3</v>
      </c>
      <c r="H2637" s="442">
        <f>DAOTD*H2628</f>
        <v>0</v>
      </c>
      <c r="I2637" s="329">
        <f>VLOOKUP(B2637,DONGIA,DG!$E$6,0)</f>
        <v>0</v>
      </c>
      <c r="J2637" s="329"/>
      <c r="K2637" s="362">
        <f>ROUND(VLOOKUP(B2637,DONGIA,DG!$F$6,0)/NCTBA,0)</f>
        <v>241580</v>
      </c>
      <c r="L2637" s="329">
        <f>VLOOKUP(B2637,DONGIA,DG!$G$6,0)</f>
        <v>0</v>
      </c>
      <c r="M2637" s="329">
        <f t="shared" si="743"/>
        <v>0</v>
      </c>
      <c r="N2637" s="329">
        <f t="shared" si="744"/>
        <v>0</v>
      </c>
      <c r="O2637" s="329">
        <f t="shared" si="745"/>
        <v>0</v>
      </c>
      <c r="P2637" s="329">
        <f t="shared" si="746"/>
        <v>0</v>
      </c>
      <c r="Q2637" s="329"/>
      <c r="S2637" s="332">
        <f t="shared" si="711"/>
        <v>0</v>
      </c>
      <c r="T2637" s="332">
        <f t="shared" si="712"/>
        <v>0</v>
      </c>
    </row>
    <row r="2638" spans="1:20" hidden="1">
      <c r="A2638" s="332" t="s">
        <v>477</v>
      </c>
      <c r="B2638" s="332" t="s">
        <v>547</v>
      </c>
      <c r="C2638" s="333">
        <f t="shared" si="710"/>
        <v>0</v>
      </c>
      <c r="D2638" s="329"/>
      <c r="E2638" s="328" t="str">
        <f>VLOOKUP(B2638,DONGIA,DG!$B$6,0)</f>
        <v>AB.65110</v>
      </c>
      <c r="F2638" s="362" t="str">
        <f>VLOOKUP(B2638,DONGIA,DG!$C$6,0)&amp;" (ĐC hệ số 0,9)"</f>
        <v>Đắp đất rãnh tiếp địa (K=0,85) (ĐC hệ số 0,9)</v>
      </c>
      <c r="G2638" s="328" t="str">
        <f>VLOOKUP(B2638,DONGIA,DG!$D$6,0)</f>
        <v>m3</v>
      </c>
      <c r="H2638" s="442">
        <f>H2637</f>
        <v>0</v>
      </c>
      <c r="I2638" s="329">
        <f>VLOOKUP(B2638,DONGIA,DG!$E$6,0)</f>
        <v>0</v>
      </c>
      <c r="J2638" s="329"/>
      <c r="K2638" s="362">
        <f>ROUND(VLOOKUP(B2638,DONGIA,DG!$F$6,0)/NCTBA,0)</f>
        <v>16267</v>
      </c>
      <c r="L2638" s="329">
        <f>VLOOKUP(B2638,DONGIA,DG!$G$6,0)</f>
        <v>11176</v>
      </c>
      <c r="M2638" s="329">
        <f t="shared" si="743"/>
        <v>0</v>
      </c>
      <c r="N2638" s="329">
        <f t="shared" si="744"/>
        <v>0</v>
      </c>
      <c r="O2638" s="329">
        <f t="shared" si="745"/>
        <v>0</v>
      </c>
      <c r="P2638" s="329">
        <f t="shared" si="746"/>
        <v>0</v>
      </c>
      <c r="Q2638" s="329"/>
      <c r="S2638" s="332">
        <f t="shared" si="711"/>
        <v>0</v>
      </c>
      <c r="T2638" s="332">
        <f t="shared" si="712"/>
        <v>0</v>
      </c>
    </row>
    <row r="2639" spans="1:20" hidden="1">
      <c r="A2639" s="332" t="s">
        <v>477</v>
      </c>
      <c r="C2639" s="333">
        <f t="shared" si="710"/>
        <v>0</v>
      </c>
      <c r="D2639" s="372">
        <f>IF(H2639&lt;&gt;0,D2628+1,D2628)</f>
        <v>0</v>
      </c>
      <c r="E2639" s="372"/>
      <c r="F2639" s="373" t="s">
        <v>2853</v>
      </c>
      <c r="G2639" s="372" t="s">
        <v>138</v>
      </c>
      <c r="H2639" s="372">
        <f>T3P160N</f>
        <v>0</v>
      </c>
      <c r="I2639" s="373"/>
      <c r="J2639" s="373"/>
      <c r="K2639" s="373"/>
      <c r="L2639" s="373"/>
      <c r="M2639" s="373">
        <v>0</v>
      </c>
      <c r="N2639" s="373">
        <v>0</v>
      </c>
      <c r="O2639" s="373">
        <v>0</v>
      </c>
      <c r="P2639" s="373">
        <v>0</v>
      </c>
      <c r="Q2639" s="373"/>
      <c r="S2639" s="332">
        <f t="shared" si="711"/>
        <v>0</v>
      </c>
      <c r="T2639" s="332">
        <f t="shared" si="712"/>
        <v>0</v>
      </c>
    </row>
    <row r="2640" spans="1:20" s="361" customFormat="1" hidden="1">
      <c r="A2640" s="361" t="s">
        <v>477</v>
      </c>
      <c r="C2640" s="374">
        <f>C2639</f>
        <v>0</v>
      </c>
      <c r="D2640" s="351"/>
      <c r="E2640" s="351"/>
      <c r="F2640" s="351" t="s">
        <v>1902</v>
      </c>
      <c r="G2640" s="350"/>
      <c r="H2640" s="351"/>
      <c r="I2640" s="351"/>
      <c r="J2640" s="351"/>
      <c r="K2640" s="351"/>
      <c r="L2640" s="351"/>
      <c r="M2640" s="351">
        <v>0</v>
      </c>
      <c r="N2640" s="351">
        <v>0</v>
      </c>
      <c r="O2640" s="351">
        <v>0</v>
      </c>
      <c r="P2640" s="351">
        <v>0</v>
      </c>
      <c r="Q2640" s="351"/>
      <c r="S2640" s="361">
        <f t="shared" si="711"/>
        <v>0</v>
      </c>
      <c r="T2640" s="361">
        <f t="shared" ref="T2640:T2708" si="747">H2640*S2640</f>
        <v>0</v>
      </c>
    </row>
    <row r="2641" spans="1:20" hidden="1">
      <c r="A2641" s="332" t="s">
        <v>477</v>
      </c>
      <c r="B2641" s="332" t="s">
        <v>2859</v>
      </c>
      <c r="C2641" s="333">
        <f t="shared" ref="C2641:C2708" si="748">IF(H2641&lt;&gt;0,1,)</f>
        <v>0</v>
      </c>
      <c r="D2641" s="329"/>
      <c r="E2641" s="328" t="str">
        <f>VLOOKUP(B2641,DONGIA,DG!$B$6,0)</f>
        <v>T5.1002</v>
      </c>
      <c r="F2641" s="329" t="str">
        <f>VLOOKUP(B2641,DONGIA,DG!$C$6,0)</f>
        <v>Tủ trạm treo + khóa + boulon + Bakelit + Collier-trụ ghép (3 pha)</v>
      </c>
      <c r="G2641" s="328" t="str">
        <f>VLOOKUP(B2641,DONGIA,DG!$D$6,0)</f>
        <v>bộ</v>
      </c>
      <c r="H2641" s="329">
        <f>H2639</f>
        <v>0</v>
      </c>
      <c r="I2641" s="329">
        <f>VLOOKUP(B2641,DONGIA,DG!$E$6,0)</f>
        <v>5446000</v>
      </c>
      <c r="J2641" s="329"/>
      <c r="K2641" s="329">
        <f>VLOOKUP(B2641,DONGIA,DG!$F$6,0)</f>
        <v>743230</v>
      </c>
      <c r="L2641" s="329">
        <f>VLOOKUP(B2641,DONGIA,DG!$G$6,0)</f>
        <v>111154</v>
      </c>
      <c r="M2641" s="329">
        <f t="shared" ref="M2641:P2643" si="749">$H2641*I2641</f>
        <v>0</v>
      </c>
      <c r="N2641" s="329">
        <f t="shared" si="749"/>
        <v>0</v>
      </c>
      <c r="O2641" s="329">
        <f t="shared" si="749"/>
        <v>0</v>
      </c>
      <c r="P2641" s="329">
        <f t="shared" si="749"/>
        <v>0</v>
      </c>
      <c r="Q2641" s="329"/>
      <c r="S2641" s="332">
        <f t="shared" ref="S2641:S2709" si="750">IFERROR(VLOOKUP(B2641,DONGIA,$S$25,0),0)</f>
        <v>45</v>
      </c>
      <c r="T2641" s="332">
        <f t="shared" si="747"/>
        <v>0</v>
      </c>
    </row>
    <row r="2642" spans="1:20" hidden="1">
      <c r="A2642" s="332" t="s">
        <v>477</v>
      </c>
      <c r="B2642" s="332" t="s">
        <v>2856</v>
      </c>
      <c r="C2642" s="333">
        <f t="shared" si="748"/>
        <v>0</v>
      </c>
      <c r="D2642" s="329"/>
      <c r="E2642" s="328">
        <f>VLOOKUP(B2642,DONGIA,DG!$B$6,0)</f>
        <v>0</v>
      </c>
      <c r="F2642" s="329" t="str">
        <f>VLOOKUP(B2642,DONGIA,DG!$C$6,0)</f>
        <v>Cổ dê bắt tủ trạm treo trụ ghép (có giá nới)</v>
      </c>
      <c r="G2642" s="328" t="str">
        <f>VLOOKUP(B2642,DONGIA,DG!$D$6,0)</f>
        <v>bộ</v>
      </c>
      <c r="H2642" s="329">
        <f>H2639*2</f>
        <v>0</v>
      </c>
      <c r="I2642" s="329">
        <f>VLOOKUP(B2642,DONGIA,DG!$E$6,0)</f>
        <v>125000</v>
      </c>
      <c r="J2642" s="329"/>
      <c r="K2642" s="329">
        <f>VLOOKUP(B2642,DONGIA,DG!$F$6,0)</f>
        <v>0</v>
      </c>
      <c r="L2642" s="329">
        <f>VLOOKUP(B2642,DONGIA,DG!$G$6,0)</f>
        <v>0</v>
      </c>
      <c r="M2642" s="329">
        <f t="shared" si="749"/>
        <v>0</v>
      </c>
      <c r="N2642" s="329">
        <f t="shared" si="749"/>
        <v>0</v>
      </c>
      <c r="O2642" s="329">
        <f t="shared" si="749"/>
        <v>0</v>
      </c>
      <c r="P2642" s="329">
        <f t="shared" si="749"/>
        <v>0</v>
      </c>
      <c r="Q2642" s="329"/>
      <c r="S2642" s="332">
        <f t="shared" si="750"/>
        <v>1.5</v>
      </c>
      <c r="T2642" s="332">
        <f t="shared" si="747"/>
        <v>0</v>
      </c>
    </row>
    <row r="2643" spans="1:20" hidden="1">
      <c r="A2643" s="332" t="s">
        <v>477</v>
      </c>
      <c r="B2643" s="332" t="s">
        <v>1058</v>
      </c>
      <c r="C2643" s="333">
        <f t="shared" si="748"/>
        <v>0</v>
      </c>
      <c r="D2643" s="329"/>
      <c r="E2643" s="328">
        <f>VLOOKUP(B2643,DONGIA,DG!$B$6,0)</f>
        <v>0</v>
      </c>
      <c r="F2643" s="329" t="str">
        <f>VLOOKUP(B2643,DONGIA,DG!$C$6,0)</f>
        <v>Bảng tên trạm + bulon</v>
      </c>
      <c r="G2643" s="328" t="str">
        <f>VLOOKUP(B2643,DONGIA,DG!$D$6,0)</f>
        <v>bộ</v>
      </c>
      <c r="H2643" s="329">
        <f>H2639</f>
        <v>0</v>
      </c>
      <c r="I2643" s="329">
        <f>VLOOKUP(B2643,DONGIA,DG!$E$6,0)</f>
        <v>150000</v>
      </c>
      <c r="J2643" s="329"/>
      <c r="K2643" s="329">
        <f>VLOOKUP(B2643,DONGIA,DG!$F$6,0)</f>
        <v>0</v>
      </c>
      <c r="L2643" s="329">
        <f>VLOOKUP(B2643,DONGIA,DG!$G$6,0)</f>
        <v>0</v>
      </c>
      <c r="M2643" s="329">
        <f t="shared" si="749"/>
        <v>0</v>
      </c>
      <c r="N2643" s="329">
        <f t="shared" si="749"/>
        <v>0</v>
      </c>
      <c r="O2643" s="329">
        <f t="shared" si="749"/>
        <v>0</v>
      </c>
      <c r="P2643" s="329">
        <f t="shared" si="749"/>
        <v>0</v>
      </c>
      <c r="Q2643" s="329"/>
      <c r="S2643" s="332">
        <f t="shared" si="750"/>
        <v>0</v>
      </c>
      <c r="T2643" s="332">
        <f t="shared" si="747"/>
        <v>0</v>
      </c>
    </row>
    <row r="2644" spans="1:20" hidden="1">
      <c r="A2644" s="332" t="s">
        <v>477</v>
      </c>
      <c r="C2644" s="333">
        <f t="shared" si="748"/>
        <v>0</v>
      </c>
      <c r="D2644" s="372">
        <f>IF(H2644&lt;&gt;0,D2639+1,D2639)</f>
        <v>0</v>
      </c>
      <c r="E2644" s="372"/>
      <c r="F2644" s="373" t="s">
        <v>1924</v>
      </c>
      <c r="G2644" s="372" t="s">
        <v>138</v>
      </c>
      <c r="H2644" s="372">
        <f>T3P160N</f>
        <v>0</v>
      </c>
      <c r="I2644" s="373"/>
      <c r="J2644" s="373"/>
      <c r="K2644" s="373"/>
      <c r="L2644" s="373"/>
      <c r="M2644" s="373"/>
      <c r="N2644" s="373"/>
      <c r="O2644" s="373"/>
      <c r="P2644" s="373"/>
      <c r="Q2644" s="373"/>
      <c r="S2644" s="332">
        <f t="shared" si="750"/>
        <v>0</v>
      </c>
      <c r="T2644" s="332">
        <f t="shared" si="747"/>
        <v>0</v>
      </c>
    </row>
    <row r="2645" spans="1:20" s="361" customFormat="1" hidden="1">
      <c r="A2645" s="361" t="s">
        <v>477</v>
      </c>
      <c r="C2645" s="374">
        <f>C2644</f>
        <v>0</v>
      </c>
      <c r="D2645" s="351"/>
      <c r="E2645" s="351"/>
      <c r="F2645" s="351" t="s">
        <v>1902</v>
      </c>
      <c r="G2645" s="350"/>
      <c r="H2645" s="351"/>
      <c r="I2645" s="351"/>
      <c r="J2645" s="351"/>
      <c r="K2645" s="351"/>
      <c r="L2645" s="351"/>
      <c r="M2645" s="351"/>
      <c r="N2645" s="351"/>
      <c r="O2645" s="351"/>
      <c r="P2645" s="351"/>
      <c r="Q2645" s="351"/>
      <c r="S2645" s="361">
        <f t="shared" si="750"/>
        <v>0</v>
      </c>
      <c r="T2645" s="361">
        <f t="shared" si="747"/>
        <v>0</v>
      </c>
    </row>
    <row r="2646" spans="1:20" hidden="1">
      <c r="A2646" s="332" t="s">
        <v>477</v>
      </c>
      <c r="B2646" s="332" t="s">
        <v>1468</v>
      </c>
      <c r="C2646" s="333">
        <f t="shared" si="748"/>
        <v>0</v>
      </c>
      <c r="D2646" s="329"/>
      <c r="E2646" s="328">
        <f>VLOOKUP(B2646,DONGIA,DG!$B$6,0)</f>
        <v>0</v>
      </c>
      <c r="F2646" s="329" t="str">
        <f>VLOOKUP(B2646,DONGIA,DG!$C$6,0)</f>
        <v>Cáp 24KV C/XLPE/PVC 25mm2</v>
      </c>
      <c r="G2646" s="328" t="str">
        <f>VLOOKUP(B2646,DONGIA,DG!$D$6,0)</f>
        <v>mét</v>
      </c>
      <c r="H2646" s="329">
        <f>H2644*7*3</f>
        <v>0</v>
      </c>
      <c r="I2646" s="329">
        <f>VLOOKUP(B2646,DONGIA,DG!$E$6,0)</f>
        <v>87540</v>
      </c>
      <c r="J2646" s="329"/>
      <c r="K2646" s="329">
        <f>VLOOKUP(B2646,DONGIA,DG!$F$6,0)</f>
        <v>0</v>
      </c>
      <c r="L2646" s="329">
        <f>VLOOKUP(B2646,DONGIA,DG!$G$6,0)</f>
        <v>0</v>
      </c>
      <c r="M2646" s="329">
        <f t="shared" ref="M2646:M2653" si="751">$H2646*I2646</f>
        <v>0</v>
      </c>
      <c r="N2646" s="329">
        <f t="shared" ref="N2646:N2653" si="752">$H2646*J2646</f>
        <v>0</v>
      </c>
      <c r="O2646" s="329">
        <f t="shared" ref="O2646:O2653" si="753">$H2646*K2646</f>
        <v>0</v>
      </c>
      <c r="P2646" s="329">
        <f t="shared" ref="P2646:P2653" si="754">$H2646*L2646</f>
        <v>0</v>
      </c>
      <c r="Q2646" s="329"/>
      <c r="S2646" s="332">
        <f t="shared" si="750"/>
        <v>0.75</v>
      </c>
      <c r="T2646" s="332">
        <f t="shared" si="747"/>
        <v>0</v>
      </c>
    </row>
    <row r="2647" spans="1:20" hidden="1">
      <c r="A2647" s="332" t="s">
        <v>477</v>
      </c>
      <c r="B2647" s="332" t="s">
        <v>404</v>
      </c>
      <c r="C2647" s="333">
        <f t="shared" si="748"/>
        <v>0</v>
      </c>
      <c r="D2647" s="329"/>
      <c r="E2647" s="328" t="str">
        <f>VLOOKUP(B2647,DONGIA,DG!$B$6,0)</f>
        <v>D3.1115</v>
      </c>
      <c r="F2647" s="329" t="str">
        <f>VLOOKUP(B2647,DONGIA,DG!$C$6,0)</f>
        <v>Sứ đứng 24KV, đường rò 540mm</v>
      </c>
      <c r="G2647" s="328" t="str">
        <f>VLOOKUP(B2647,DONGIA,DG!$D$6,0)</f>
        <v>cái</v>
      </c>
      <c r="H2647" s="329">
        <f>H2644*3</f>
        <v>0</v>
      </c>
      <c r="I2647" s="329">
        <f>VLOOKUP(B2647,DONGIA,DG!$E$6,0)</f>
        <v>195000</v>
      </c>
      <c r="J2647" s="329"/>
      <c r="K2647" s="329">
        <f>VLOOKUP(B2647,DONGIA,DG!$F$6,0)</f>
        <v>49616</v>
      </c>
      <c r="L2647" s="329">
        <f>VLOOKUP(B2647,DONGIA,DG!$G$6,0)</f>
        <v>0</v>
      </c>
      <c r="M2647" s="329">
        <f t="shared" si="751"/>
        <v>0</v>
      </c>
      <c r="N2647" s="329">
        <f t="shared" si="752"/>
        <v>0</v>
      </c>
      <c r="O2647" s="329">
        <f t="shared" si="753"/>
        <v>0</v>
      </c>
      <c r="P2647" s="329">
        <f t="shared" si="754"/>
        <v>0</v>
      </c>
      <c r="Q2647" s="329"/>
      <c r="S2647" s="332">
        <f t="shared" si="750"/>
        <v>4</v>
      </c>
      <c r="T2647" s="332">
        <f t="shared" si="747"/>
        <v>0</v>
      </c>
    </row>
    <row r="2648" spans="1:20" hidden="1">
      <c r="A2648" s="332" t="s">
        <v>477</v>
      </c>
      <c r="B2648" s="332" t="s">
        <v>274</v>
      </c>
      <c r="C2648" s="333">
        <f t="shared" si="748"/>
        <v>0</v>
      </c>
      <c r="D2648" s="329"/>
      <c r="E2648" s="328">
        <f>VLOOKUP(B2648,DONGIA,DG!$B$6,0)</f>
        <v>0</v>
      </c>
      <c r="F2648" s="329" t="str">
        <f>VLOOKUP(B2648,DONGIA,DG!$C$6,0)</f>
        <v>Chân sứ đứng 24kV</v>
      </c>
      <c r="G2648" s="328" t="str">
        <f>VLOOKUP(B2648,DONGIA,DG!$D$6,0)</f>
        <v>cái</v>
      </c>
      <c r="H2648" s="329">
        <f>H2647</f>
        <v>0</v>
      </c>
      <c r="I2648" s="329">
        <f>VLOOKUP(B2648,DONGIA,DG!$E$6,0)</f>
        <v>60000</v>
      </c>
      <c r="J2648" s="329"/>
      <c r="K2648" s="329">
        <f>VLOOKUP(B2648,DONGIA,DG!$F$6,0)</f>
        <v>0</v>
      </c>
      <c r="L2648" s="329">
        <f>VLOOKUP(B2648,DONGIA,DG!$G$6,0)</f>
        <v>0</v>
      </c>
      <c r="M2648" s="329">
        <f t="shared" si="751"/>
        <v>0</v>
      </c>
      <c r="N2648" s="329">
        <f t="shared" si="752"/>
        <v>0</v>
      </c>
      <c r="O2648" s="329">
        <f t="shared" si="753"/>
        <v>0</v>
      </c>
      <c r="P2648" s="329">
        <f t="shared" si="754"/>
        <v>0</v>
      </c>
      <c r="Q2648" s="329"/>
      <c r="S2648" s="332">
        <f t="shared" si="750"/>
        <v>3</v>
      </c>
      <c r="T2648" s="332">
        <f t="shared" si="747"/>
        <v>0</v>
      </c>
    </row>
    <row r="2649" spans="1:20" hidden="1">
      <c r="A2649" s="332" t="s">
        <v>477</v>
      </c>
      <c r="B2649" s="332" t="s">
        <v>1507</v>
      </c>
      <c r="C2649" s="333">
        <f t="shared" si="748"/>
        <v>0</v>
      </c>
      <c r="D2649" s="329"/>
      <c r="E2649" s="328"/>
      <c r="F2649" s="329" t="str">
        <f>VLOOKUP(B2649,DONGIA,DG!$C$6,0)</f>
        <v>Kẹp quai 4/0 (quai đồng 8mm)</v>
      </c>
      <c r="G2649" s="328" t="str">
        <f>VLOOKUP(B2649,DONGIA,DG!$D$6,0)</f>
        <v>cái</v>
      </c>
      <c r="H2649" s="329">
        <f>H2644*3</f>
        <v>0</v>
      </c>
      <c r="I2649" s="329">
        <f>VLOOKUP(B2649,DONGIA,DG!$E$6,0)</f>
        <v>145000</v>
      </c>
      <c r="J2649" s="329"/>
      <c r="K2649" s="329"/>
      <c r="L2649" s="329">
        <f>VLOOKUP(B2649,DONGIA,DG!$G$6,0)</f>
        <v>0</v>
      </c>
      <c r="M2649" s="329">
        <f t="shared" si="751"/>
        <v>0</v>
      </c>
      <c r="N2649" s="329">
        <f t="shared" si="752"/>
        <v>0</v>
      </c>
      <c r="O2649" s="329">
        <f t="shared" si="753"/>
        <v>0</v>
      </c>
      <c r="P2649" s="329">
        <f t="shared" si="754"/>
        <v>0</v>
      </c>
      <c r="Q2649" s="329"/>
      <c r="S2649" s="332">
        <f t="shared" si="750"/>
        <v>0.3</v>
      </c>
      <c r="T2649" s="332">
        <f t="shared" si="747"/>
        <v>0</v>
      </c>
    </row>
    <row r="2650" spans="1:20" hidden="1">
      <c r="A2650" s="332" t="s">
        <v>477</v>
      </c>
      <c r="B2650" s="332" t="s">
        <v>1511</v>
      </c>
      <c r="C2650" s="333">
        <f t="shared" si="748"/>
        <v>0</v>
      </c>
      <c r="D2650" s="329"/>
      <c r="E2650" s="328"/>
      <c r="F2650" s="329" t="str">
        <f>VLOOKUP(B2650,DONGIA,DG!$C$6,0)</f>
        <v>Chụp cách điện kẹp quai</v>
      </c>
      <c r="G2650" s="328" t="str">
        <f>VLOOKUP(B2650,DONGIA,DG!$D$6,0)</f>
        <v>cái</v>
      </c>
      <c r="H2650" s="329">
        <f>H2649</f>
        <v>0</v>
      </c>
      <c r="I2650" s="329">
        <f>VLOOKUP(B2650,DONGIA,DG!$E$6,0)</f>
        <v>122000</v>
      </c>
      <c r="J2650" s="329"/>
      <c r="K2650" s="329"/>
      <c r="L2650" s="329">
        <f>VLOOKUP(B2650,DONGIA,DG!$G$6,0)</f>
        <v>0</v>
      </c>
      <c r="M2650" s="329">
        <f t="shared" si="751"/>
        <v>0</v>
      </c>
      <c r="N2650" s="329">
        <f t="shared" si="752"/>
        <v>0</v>
      </c>
      <c r="O2650" s="329">
        <f t="shared" si="753"/>
        <v>0</v>
      </c>
      <c r="P2650" s="329">
        <f t="shared" si="754"/>
        <v>0</v>
      </c>
      <c r="Q2650" s="329"/>
      <c r="S2650" s="332">
        <f t="shared" si="750"/>
        <v>0.2</v>
      </c>
      <c r="T2650" s="332">
        <f t="shared" si="747"/>
        <v>0</v>
      </c>
    </row>
    <row r="2651" spans="1:20" hidden="1">
      <c r="A2651" s="332" t="s">
        <v>477</v>
      </c>
      <c r="B2651" s="332" t="s">
        <v>1508</v>
      </c>
      <c r="C2651" s="333">
        <f t="shared" si="748"/>
        <v>0</v>
      </c>
      <c r="D2651" s="329"/>
      <c r="E2651" s="328"/>
      <c r="F2651" s="329" t="str">
        <f>VLOOKUP(B2651,DONGIA,DG!$C$6,0)</f>
        <v>Kẹp hotline 2/0</v>
      </c>
      <c r="G2651" s="328" t="str">
        <f>VLOOKUP(B2651,DONGIA,DG!$D$6,0)</f>
        <v>cái</v>
      </c>
      <c r="H2651" s="329">
        <f>H2649</f>
        <v>0</v>
      </c>
      <c r="I2651" s="329">
        <f>VLOOKUP(B2651,DONGIA,DG!$E$6,0)</f>
        <v>68000</v>
      </c>
      <c r="J2651" s="329"/>
      <c r="K2651" s="329"/>
      <c r="L2651" s="329">
        <f>VLOOKUP(B2651,DONGIA,DG!$G$6,0)</f>
        <v>0</v>
      </c>
      <c r="M2651" s="329">
        <f t="shared" si="751"/>
        <v>0</v>
      </c>
      <c r="N2651" s="329">
        <f t="shared" si="752"/>
        <v>0</v>
      </c>
      <c r="O2651" s="329">
        <f t="shared" si="753"/>
        <v>0</v>
      </c>
      <c r="P2651" s="329">
        <f t="shared" si="754"/>
        <v>0</v>
      </c>
      <c r="Q2651" s="329"/>
      <c r="S2651" s="332">
        <f t="shared" si="750"/>
        <v>0.1</v>
      </c>
      <c r="T2651" s="332">
        <f t="shared" si="747"/>
        <v>0</v>
      </c>
    </row>
    <row r="2652" spans="1:20" hidden="1">
      <c r="A2652" s="332" t="s">
        <v>477</v>
      </c>
      <c r="B2652" s="332" t="s">
        <v>1905</v>
      </c>
      <c r="C2652" s="333">
        <f t="shared" si="748"/>
        <v>0</v>
      </c>
      <c r="D2652" s="329"/>
      <c r="E2652" s="328" t="str">
        <f>VLOOKUP(B2652,DONGIA,DG!$B$6,0)</f>
        <v>T4.4201</v>
      </c>
      <c r="F2652" s="329" t="str">
        <f>VLOOKUP(B2652,DONGIA,DG!$C$6,0)</f>
        <v>Lắp cáp đồng xuống thiết bị D ≤ 95mm2</v>
      </c>
      <c r="G2652" s="328" t="str">
        <f>VLOOKUP(B2652,DONGIA,DG!$D$6,0)</f>
        <v>m</v>
      </c>
      <c r="H2652" s="329">
        <f>H2646</f>
        <v>0</v>
      </c>
      <c r="I2652" s="329">
        <f>VLOOKUP(B2652,DONGIA,DG!$E$6,0)</f>
        <v>0</v>
      </c>
      <c r="J2652" s="329"/>
      <c r="K2652" s="329">
        <f>VLOOKUP(B2652,DONGIA,DG!$F$6,0)</f>
        <v>11847</v>
      </c>
      <c r="L2652" s="329">
        <f>VLOOKUP(B2652,DONGIA,DG!$G$6,0)</f>
        <v>0</v>
      </c>
      <c r="M2652" s="329">
        <f t="shared" si="751"/>
        <v>0</v>
      </c>
      <c r="N2652" s="329">
        <f t="shared" si="752"/>
        <v>0</v>
      </c>
      <c r="O2652" s="329">
        <f t="shared" si="753"/>
        <v>0</v>
      </c>
      <c r="P2652" s="329">
        <f t="shared" si="754"/>
        <v>0</v>
      </c>
      <c r="Q2652" s="329"/>
      <c r="S2652" s="332">
        <f t="shared" si="750"/>
        <v>0</v>
      </c>
      <c r="T2652" s="332">
        <f t="shared" si="747"/>
        <v>0</v>
      </c>
    </row>
    <row r="2653" spans="1:20" hidden="1">
      <c r="A2653" s="332" t="s">
        <v>477</v>
      </c>
      <c r="B2653" s="332" t="s">
        <v>2872</v>
      </c>
      <c r="C2653" s="333">
        <f t="shared" si="748"/>
        <v>0</v>
      </c>
      <c r="D2653" s="329"/>
      <c r="E2653" s="328" t="str">
        <f>VLOOKUP(B2653,DONGIA,DG!$B$6,0)</f>
        <v>T4.2201</v>
      </c>
      <c r="F2653" s="329" t="str">
        <f>VLOOKUP(B2653,DONGIA,DG!$C$6,0)</f>
        <v>Lắp sứ đứng 24KV trong TBA</v>
      </c>
      <c r="G2653" s="328" t="str">
        <f>VLOOKUP(B2653,DONGIA,DG!$D$6,0)</f>
        <v>bộ</v>
      </c>
      <c r="H2653" s="329">
        <f>H2647</f>
        <v>0</v>
      </c>
      <c r="I2653" s="329">
        <f>VLOOKUP(B2653,DONGIA,DG!$E$6,0)</f>
        <v>0</v>
      </c>
      <c r="J2653" s="329"/>
      <c r="K2653" s="329">
        <f>VLOOKUP(B2653,DONGIA,DG!$F$6,0)</f>
        <v>54496</v>
      </c>
      <c r="L2653" s="329">
        <f>VLOOKUP(B2653,DONGIA,DG!$G$6,0)</f>
        <v>0</v>
      </c>
      <c r="M2653" s="329">
        <f t="shared" si="751"/>
        <v>0</v>
      </c>
      <c r="N2653" s="329">
        <f t="shared" si="752"/>
        <v>0</v>
      </c>
      <c r="O2653" s="329">
        <f t="shared" si="753"/>
        <v>0</v>
      </c>
      <c r="P2653" s="329">
        <f t="shared" si="754"/>
        <v>0</v>
      </c>
      <c r="Q2653" s="329"/>
      <c r="S2653" s="332">
        <f t="shared" si="750"/>
        <v>0</v>
      </c>
      <c r="T2653" s="332">
        <f t="shared" si="747"/>
        <v>0</v>
      </c>
    </row>
    <row r="2654" spans="1:20" hidden="1">
      <c r="A2654" s="332" t="s">
        <v>477</v>
      </c>
      <c r="C2654" s="333">
        <f t="shared" si="748"/>
        <v>0</v>
      </c>
      <c r="D2654" s="372">
        <f>IF(H2654&lt;&gt;0,D2644+1,D2644)</f>
        <v>0</v>
      </c>
      <c r="E2654" s="372"/>
      <c r="F2654" s="373" t="s">
        <v>1927</v>
      </c>
      <c r="G2654" s="372" t="s">
        <v>138</v>
      </c>
      <c r="H2654" s="372">
        <f>T3P160N</f>
        <v>0</v>
      </c>
      <c r="I2654" s="373"/>
      <c r="J2654" s="373"/>
      <c r="K2654" s="373"/>
      <c r="L2654" s="373"/>
      <c r="M2654" s="373"/>
      <c r="N2654" s="373"/>
      <c r="O2654" s="373"/>
      <c r="P2654" s="373"/>
      <c r="Q2654" s="373"/>
      <c r="S2654" s="332">
        <f t="shared" si="750"/>
        <v>0</v>
      </c>
      <c r="T2654" s="332">
        <f t="shared" si="747"/>
        <v>0</v>
      </c>
    </row>
    <row r="2655" spans="1:20" s="361" customFormat="1" hidden="1">
      <c r="A2655" s="361" t="s">
        <v>477</v>
      </c>
      <c r="C2655" s="374">
        <f>C2654</f>
        <v>0</v>
      </c>
      <c r="D2655" s="351"/>
      <c r="E2655" s="351"/>
      <c r="F2655" s="351" t="s">
        <v>1902</v>
      </c>
      <c r="G2655" s="350"/>
      <c r="H2655" s="351"/>
      <c r="I2655" s="351"/>
      <c r="J2655" s="351"/>
      <c r="K2655" s="351"/>
      <c r="L2655" s="351"/>
      <c r="M2655" s="351"/>
      <c r="N2655" s="351"/>
      <c r="O2655" s="351"/>
      <c r="P2655" s="351"/>
      <c r="Q2655" s="351"/>
      <c r="S2655" s="361">
        <f t="shared" si="750"/>
        <v>0</v>
      </c>
      <c r="T2655" s="361">
        <f t="shared" si="747"/>
        <v>0</v>
      </c>
    </row>
    <row r="2656" spans="1:20" hidden="1">
      <c r="A2656" s="332" t="s">
        <v>477</v>
      </c>
      <c r="B2656" s="332" t="s">
        <v>2836</v>
      </c>
      <c r="C2656" s="333">
        <f t="shared" si="748"/>
        <v>0</v>
      </c>
      <c r="D2656" s="329"/>
      <c r="E2656" s="328">
        <f>VLOOKUP(B2656,DONGIA,DG!$B$6,0)</f>
        <v>0</v>
      </c>
      <c r="F2656" s="329" t="str">
        <f>VLOOKUP(B2656,DONGIA,DG!$C$6,0)</f>
        <v>Cáp đồng bọc CV185</v>
      </c>
      <c r="G2656" s="328" t="str">
        <f>VLOOKUP(B2656,DONGIA,DG!$D$6,0)</f>
        <v>mét</v>
      </c>
      <c r="H2656" s="455">
        <f>H2654*9*3</f>
        <v>0</v>
      </c>
      <c r="I2656" s="329">
        <f>VLOOKUP(B2656,DONGIA,DG!$E$6,0)</f>
        <v>372000</v>
      </c>
      <c r="J2656" s="329"/>
      <c r="K2656" s="329">
        <f>VLOOKUP(B2656,DONGIA,DG!$F$6,0)</f>
        <v>0</v>
      </c>
      <c r="L2656" s="329">
        <f>VLOOKUP(B2656,DONGIA,DG!$G$6,0)</f>
        <v>0</v>
      </c>
      <c r="M2656" s="329">
        <f t="shared" ref="M2656:M2680" si="755">$H2656*I2656</f>
        <v>0</v>
      </c>
      <c r="N2656" s="329">
        <f t="shared" ref="N2656:N2680" si="756">$H2656*J2656</f>
        <v>0</v>
      </c>
      <c r="O2656" s="329">
        <f t="shared" ref="O2656:O2680" si="757">$H2656*K2656</f>
        <v>0</v>
      </c>
      <c r="P2656" s="329">
        <f t="shared" ref="P2656:P2680" si="758">$H2656*L2656</f>
        <v>0</v>
      </c>
      <c r="Q2656" s="329"/>
      <c r="S2656" s="332">
        <f t="shared" si="750"/>
        <v>1.9079999999999999</v>
      </c>
      <c r="T2656" s="332">
        <f t="shared" si="747"/>
        <v>0</v>
      </c>
    </row>
    <row r="2657" spans="1:20" hidden="1">
      <c r="A2657" s="332" t="s">
        <v>477</v>
      </c>
      <c r="B2657" s="332" t="s">
        <v>1908</v>
      </c>
      <c r="C2657" s="333">
        <f t="shared" si="748"/>
        <v>0</v>
      </c>
      <c r="D2657" s="329"/>
      <c r="E2657" s="328">
        <f>VLOOKUP(B2657,DONGIA,DG!$B$6,0)</f>
        <v>0</v>
      </c>
      <c r="F2657" s="329" t="str">
        <f>VLOOKUP(B2657,DONGIA,DG!$C$6,0)</f>
        <v>Cáp đồng bọc CV120</v>
      </c>
      <c r="G2657" s="328" t="str">
        <f>VLOOKUP(B2657,DONGIA,DG!$D$6,0)</f>
        <v>mét</v>
      </c>
      <c r="H2657" s="455">
        <f>H2654*9</f>
        <v>0</v>
      </c>
      <c r="I2657" s="329">
        <f>VLOOKUP(B2657,DONGIA,DG!$E$6,0)</f>
        <v>245040</v>
      </c>
      <c r="J2657" s="329"/>
      <c r="K2657" s="329">
        <f>VLOOKUP(B2657,DONGIA,DG!$F$6,0)</f>
        <v>0</v>
      </c>
      <c r="L2657" s="329">
        <f>VLOOKUP(B2657,DONGIA,DG!$G$6,0)</f>
        <v>0</v>
      </c>
      <c r="M2657" s="329">
        <f t="shared" si="755"/>
        <v>0</v>
      </c>
      <c r="N2657" s="329">
        <f t="shared" si="756"/>
        <v>0</v>
      </c>
      <c r="O2657" s="329">
        <f t="shared" si="757"/>
        <v>0</v>
      </c>
      <c r="P2657" s="329">
        <f t="shared" si="758"/>
        <v>0</v>
      </c>
      <c r="Q2657" s="329"/>
      <c r="S2657" s="332">
        <f t="shared" si="750"/>
        <v>1.2350000000000001</v>
      </c>
      <c r="T2657" s="332">
        <f t="shared" si="747"/>
        <v>0</v>
      </c>
    </row>
    <row r="2658" spans="1:20" hidden="1">
      <c r="A2658" s="332" t="s">
        <v>477</v>
      </c>
      <c r="B2658" s="332" t="s">
        <v>1937</v>
      </c>
      <c r="C2658" s="333">
        <f t="shared" si="748"/>
        <v>0</v>
      </c>
      <c r="D2658" s="329"/>
      <c r="E2658" s="328">
        <f>VLOOKUP(B2658,DONGIA,DG!$B$6,0)</f>
        <v>0</v>
      </c>
      <c r="F2658" s="329" t="str">
        <f>VLOOKUP(B2658,DONGIA,DG!$C$6,0)</f>
        <v>Cáp điều khiển CVV 4x4,0mm2</v>
      </c>
      <c r="G2658" s="328" t="str">
        <f>VLOOKUP(B2658,DONGIA,DG!$D$6,0)</f>
        <v>mét</v>
      </c>
      <c r="H2658" s="329">
        <f>H2654*2</f>
        <v>0</v>
      </c>
      <c r="I2658" s="329">
        <f>VLOOKUP(B2658,DONGIA,DG!$E$6,0)</f>
        <v>52400</v>
      </c>
      <c r="J2658" s="329"/>
      <c r="K2658" s="329">
        <f>VLOOKUP(B2658,DONGIA,DG!$F$6,0)</f>
        <v>0</v>
      </c>
      <c r="L2658" s="329">
        <f>VLOOKUP(B2658,DONGIA,DG!$G$6,0)</f>
        <v>0</v>
      </c>
      <c r="M2658" s="329">
        <f t="shared" si="755"/>
        <v>0</v>
      </c>
      <c r="N2658" s="329">
        <f t="shared" si="756"/>
        <v>0</v>
      </c>
      <c r="O2658" s="329">
        <f t="shared" si="757"/>
        <v>0</v>
      </c>
      <c r="P2658" s="329">
        <f t="shared" si="758"/>
        <v>0</v>
      </c>
      <c r="Q2658" s="329"/>
      <c r="S2658" s="332">
        <f t="shared" si="750"/>
        <v>3.024</v>
      </c>
      <c r="T2658" s="332">
        <f t="shared" si="747"/>
        <v>0</v>
      </c>
    </row>
    <row r="2659" spans="1:20" hidden="1">
      <c r="A2659" s="332" t="s">
        <v>477</v>
      </c>
      <c r="B2659" s="332" t="s">
        <v>1125</v>
      </c>
      <c r="C2659" s="333">
        <f t="shared" si="748"/>
        <v>0</v>
      </c>
      <c r="D2659" s="329"/>
      <c r="E2659" s="328"/>
      <c r="F2659" s="329" t="str">
        <f>VLOOKUP(B2659,DONGIA,DG!$C$6,0)</f>
        <v>Đầu cosse ép Cu 185mm2</v>
      </c>
      <c r="G2659" s="328" t="str">
        <f>VLOOKUP(B2659,DONGIA,DG!$D$6,0)</f>
        <v>cái</v>
      </c>
      <c r="H2659" s="329">
        <f>H2654*3*2</f>
        <v>0</v>
      </c>
      <c r="I2659" s="329">
        <f>VLOOKUP(B2659,DONGIA,DG!$E$6,0)</f>
        <v>105000</v>
      </c>
      <c r="J2659" s="329"/>
      <c r="K2659" s="329"/>
      <c r="L2659" s="329"/>
      <c r="M2659" s="329">
        <f t="shared" si="755"/>
        <v>0</v>
      </c>
      <c r="N2659" s="329">
        <f t="shared" si="756"/>
        <v>0</v>
      </c>
      <c r="O2659" s="329">
        <f t="shared" si="757"/>
        <v>0</v>
      </c>
      <c r="P2659" s="329">
        <f t="shared" si="758"/>
        <v>0</v>
      </c>
      <c r="Q2659" s="329"/>
      <c r="S2659" s="332">
        <f t="shared" si="750"/>
        <v>0</v>
      </c>
      <c r="T2659" s="332">
        <f t="shared" si="747"/>
        <v>0</v>
      </c>
    </row>
    <row r="2660" spans="1:20" hidden="1">
      <c r="A2660" s="332" t="s">
        <v>477</v>
      </c>
      <c r="B2660" s="332" t="s">
        <v>1119</v>
      </c>
      <c r="C2660" s="333">
        <f t="shared" si="748"/>
        <v>0</v>
      </c>
      <c r="D2660" s="329"/>
      <c r="E2660" s="328"/>
      <c r="F2660" s="329" t="str">
        <f>VLOOKUP(B2660,DONGIA,DG!$C$6,0)</f>
        <v>Đầu cosse ép Cu 120mm2</v>
      </c>
      <c r="G2660" s="328" t="str">
        <f>VLOOKUP(B2660,DONGIA,DG!$D$6,0)</f>
        <v>cái</v>
      </c>
      <c r="H2660" s="329">
        <f>H2654*2</f>
        <v>0</v>
      </c>
      <c r="I2660" s="329">
        <f>VLOOKUP(B2660,DONGIA,DG!$E$6,0)</f>
        <v>65000</v>
      </c>
      <c r="J2660" s="329"/>
      <c r="K2660" s="329"/>
      <c r="L2660" s="329"/>
      <c r="M2660" s="329">
        <f t="shared" si="755"/>
        <v>0</v>
      </c>
      <c r="N2660" s="329">
        <f t="shared" si="756"/>
        <v>0</v>
      </c>
      <c r="O2660" s="329">
        <f t="shared" si="757"/>
        <v>0</v>
      </c>
      <c r="P2660" s="329">
        <f t="shared" si="758"/>
        <v>0</v>
      </c>
      <c r="Q2660" s="329"/>
      <c r="S2660" s="332">
        <f t="shared" si="750"/>
        <v>0.1</v>
      </c>
      <c r="T2660" s="332">
        <f t="shared" si="747"/>
        <v>0</v>
      </c>
    </row>
    <row r="2661" spans="1:20" hidden="1">
      <c r="A2661" s="332" t="s">
        <v>477</v>
      </c>
      <c r="B2661" s="332" t="s">
        <v>1155</v>
      </c>
      <c r="C2661" s="333">
        <f t="shared" si="748"/>
        <v>0</v>
      </c>
      <c r="D2661" s="329"/>
      <c r="E2661" s="328">
        <f>VLOOKUP(B2661,DONGIA,DG!$B$6,0)</f>
        <v>0</v>
      </c>
      <c r="F2661" s="329" t="str">
        <f>VLOOKUP(B2661,DONGIA,DG!$C$6,0)</f>
        <v>Chụp đầu cosse  185mm2</v>
      </c>
      <c r="G2661" s="328" t="str">
        <f>VLOOKUP(B2661,DONGIA,DG!$D$6,0)</f>
        <v>cái</v>
      </c>
      <c r="H2661" s="329">
        <f>H2659</f>
        <v>0</v>
      </c>
      <c r="I2661" s="329">
        <f>VLOOKUP(B2661,DONGIA,DG!$E$6,0)</f>
        <v>4500</v>
      </c>
      <c r="J2661" s="329"/>
      <c r="K2661" s="329">
        <f>VLOOKUP(B2661,DONGIA,DG!$F$6,0)</f>
        <v>0</v>
      </c>
      <c r="L2661" s="329">
        <f>VLOOKUP(B2661,DONGIA,DG!$G$6,0)</f>
        <v>0</v>
      </c>
      <c r="M2661" s="329">
        <f t="shared" si="755"/>
        <v>0</v>
      </c>
      <c r="N2661" s="329">
        <f t="shared" si="756"/>
        <v>0</v>
      </c>
      <c r="O2661" s="329">
        <f t="shared" si="757"/>
        <v>0</v>
      </c>
      <c r="P2661" s="329">
        <f t="shared" si="758"/>
        <v>0</v>
      </c>
      <c r="Q2661" s="329"/>
      <c r="S2661" s="332">
        <f t="shared" si="750"/>
        <v>0</v>
      </c>
      <c r="T2661" s="332">
        <f t="shared" si="747"/>
        <v>0</v>
      </c>
    </row>
    <row r="2662" spans="1:20" hidden="1">
      <c r="A2662" s="332" t="s">
        <v>477</v>
      </c>
      <c r="B2662" s="332" t="s">
        <v>1151</v>
      </c>
      <c r="C2662" s="333">
        <f t="shared" si="748"/>
        <v>0</v>
      </c>
      <c r="D2662" s="329"/>
      <c r="E2662" s="328">
        <f>VLOOKUP(B2662,DONGIA,DG!$B$6,0)</f>
        <v>0</v>
      </c>
      <c r="F2662" s="329" t="str">
        <f>VLOOKUP(B2662,DONGIA,DG!$C$6,0)</f>
        <v>Chụp đầu cosse  120mm2</v>
      </c>
      <c r="G2662" s="328" t="str">
        <f>VLOOKUP(B2662,DONGIA,DG!$D$6,0)</f>
        <v>cái</v>
      </c>
      <c r="H2662" s="329">
        <f>H2660</f>
        <v>0</v>
      </c>
      <c r="I2662" s="329">
        <f>VLOOKUP(B2662,DONGIA,DG!$E$6,0)</f>
        <v>3500</v>
      </c>
      <c r="J2662" s="329"/>
      <c r="K2662" s="329">
        <f>VLOOKUP(B2662,DONGIA,DG!$F$6,0)</f>
        <v>0</v>
      </c>
      <c r="L2662" s="329">
        <f>VLOOKUP(B2662,DONGIA,DG!$G$6,0)</f>
        <v>0</v>
      </c>
      <c r="M2662" s="329">
        <f t="shared" si="755"/>
        <v>0</v>
      </c>
      <c r="N2662" s="329">
        <f t="shared" si="756"/>
        <v>0</v>
      </c>
      <c r="O2662" s="329">
        <f t="shared" si="757"/>
        <v>0</v>
      </c>
      <c r="P2662" s="329">
        <f t="shared" si="758"/>
        <v>0</v>
      </c>
      <c r="Q2662" s="329"/>
      <c r="S2662" s="332">
        <f t="shared" si="750"/>
        <v>0</v>
      </c>
      <c r="T2662" s="332">
        <f t="shared" si="747"/>
        <v>0</v>
      </c>
    </row>
    <row r="2663" spans="1:20" hidden="1">
      <c r="A2663" s="332" t="s">
        <v>477</v>
      </c>
      <c r="B2663" s="332" t="s">
        <v>1175</v>
      </c>
      <c r="C2663" s="333">
        <f t="shared" si="748"/>
        <v>0</v>
      </c>
      <c r="D2663" s="329"/>
      <c r="E2663" s="328">
        <f>VLOOKUP(B2663,DONGIA,DG!$B$6,0)</f>
        <v>0</v>
      </c>
      <c r="F2663" s="329" t="str">
        <f>VLOOKUP(B2663,DONGIA,DG!$C$6,0)</f>
        <v xml:space="preserve">Ống PVC D114x4,9mm </v>
      </c>
      <c r="G2663" s="328" t="str">
        <f>VLOOKUP(B2663,DONGIA,DG!$D$6,0)</f>
        <v>m</v>
      </c>
      <c r="H2663" s="329">
        <f>H2654*5</f>
        <v>0</v>
      </c>
      <c r="I2663" s="329">
        <f>VLOOKUP(B2663,DONGIA,DG!$E$6,0)</f>
        <v>102000</v>
      </c>
      <c r="J2663" s="329"/>
      <c r="K2663" s="329">
        <f>VLOOKUP(B2663,DONGIA,DG!$F$6,0)</f>
        <v>0</v>
      </c>
      <c r="L2663" s="329">
        <f>VLOOKUP(B2663,DONGIA,DG!$G$6,0)</f>
        <v>0</v>
      </c>
      <c r="M2663" s="329">
        <f t="shared" si="755"/>
        <v>0</v>
      </c>
      <c r="N2663" s="329">
        <f t="shared" si="756"/>
        <v>0</v>
      </c>
      <c r="O2663" s="329">
        <f t="shared" si="757"/>
        <v>0</v>
      </c>
      <c r="P2663" s="329">
        <f t="shared" si="758"/>
        <v>0</v>
      </c>
      <c r="Q2663" s="329"/>
      <c r="S2663" s="332">
        <f t="shared" si="750"/>
        <v>2</v>
      </c>
      <c r="T2663" s="332">
        <f t="shared" si="747"/>
        <v>0</v>
      </c>
    </row>
    <row r="2664" spans="1:20" hidden="1">
      <c r="A2664" s="332" t="s">
        <v>477</v>
      </c>
      <c r="B2664" s="332" t="s">
        <v>2854</v>
      </c>
      <c r="C2664" s="333">
        <f t="shared" si="748"/>
        <v>0</v>
      </c>
      <c r="D2664" s="329"/>
      <c r="E2664" s="328">
        <f>VLOOKUP(B2664,DONGIA,DG!$B$6,0)</f>
        <v>0</v>
      </c>
      <c r="F2664" s="329" t="str">
        <f>VLOOKUP(B2664,DONGIA,DG!$C$6,0)&amp;" (CD-230)"</f>
        <v>Cổ dê kẹp ống PVC φ 114 trụ ghép (có giá nới) (CD-230)</v>
      </c>
      <c r="G2664" s="328" t="str">
        <f>VLOOKUP(B2664,DONGIA,DG!$D$6,0)</f>
        <v>bộ</v>
      </c>
      <c r="H2664" s="329">
        <f>H2654</f>
        <v>0</v>
      </c>
      <c r="I2664" s="329">
        <f>VLOOKUP(B2664,DONGIA,DG!$E$6,0)</f>
        <v>125000</v>
      </c>
      <c r="J2664" s="329"/>
      <c r="K2664" s="329">
        <f>VLOOKUP(B2664,DONGIA,DG!$F$6,0)</f>
        <v>0</v>
      </c>
      <c r="L2664" s="329">
        <f>VLOOKUP(B2664,DONGIA,DG!$G$6,0)</f>
        <v>0</v>
      </c>
      <c r="M2664" s="329">
        <f t="shared" si="755"/>
        <v>0</v>
      </c>
      <c r="N2664" s="329">
        <f t="shared" si="756"/>
        <v>0</v>
      </c>
      <c r="O2664" s="329">
        <f t="shared" si="757"/>
        <v>0</v>
      </c>
      <c r="P2664" s="329">
        <f t="shared" si="758"/>
        <v>0</v>
      </c>
      <c r="Q2664" s="329"/>
      <c r="S2664" s="332">
        <f t="shared" si="750"/>
        <v>1.5</v>
      </c>
      <c r="T2664" s="332">
        <f t="shared" si="747"/>
        <v>0</v>
      </c>
    </row>
    <row r="2665" spans="1:20" hidden="1">
      <c r="A2665" s="332" t="s">
        <v>477</v>
      </c>
      <c r="B2665" s="332" t="s">
        <v>2854</v>
      </c>
      <c r="C2665" s="333">
        <f t="shared" si="748"/>
        <v>0</v>
      </c>
      <c r="D2665" s="329"/>
      <c r="E2665" s="328">
        <f>VLOOKUP(B2665,DONGIA,DG!$B$6,0)</f>
        <v>0</v>
      </c>
      <c r="F2665" s="329" t="str">
        <f>VLOOKUP(B2665,DONGIA,DG!$C$6,0)&amp;" (CD-250)"</f>
        <v>Cổ dê kẹp ống PVC φ 114 trụ ghép (có giá nới) (CD-250)</v>
      </c>
      <c r="G2665" s="328" t="str">
        <f>VLOOKUP(B2665,DONGIA,DG!$D$6,0)</f>
        <v>bộ</v>
      </c>
      <c r="H2665" s="329">
        <f>H2654</f>
        <v>0</v>
      </c>
      <c r="I2665" s="329">
        <f>VLOOKUP(B2665,DONGIA,DG!$E$6,0)</f>
        <v>125000</v>
      </c>
      <c r="J2665" s="329"/>
      <c r="K2665" s="329">
        <f>VLOOKUP(B2665,DONGIA,DG!$F$6,0)</f>
        <v>0</v>
      </c>
      <c r="L2665" s="329">
        <f>VLOOKUP(B2665,DONGIA,DG!$G$6,0)</f>
        <v>0</v>
      </c>
      <c r="M2665" s="329">
        <f t="shared" si="755"/>
        <v>0</v>
      </c>
      <c r="N2665" s="329">
        <f t="shared" si="756"/>
        <v>0</v>
      </c>
      <c r="O2665" s="329">
        <f t="shared" si="757"/>
        <v>0</v>
      </c>
      <c r="P2665" s="329">
        <f t="shared" si="758"/>
        <v>0</v>
      </c>
      <c r="Q2665" s="329"/>
      <c r="S2665" s="332">
        <f t="shared" si="750"/>
        <v>1.5</v>
      </c>
      <c r="T2665" s="332">
        <f t="shared" si="747"/>
        <v>0</v>
      </c>
    </row>
    <row r="2666" spans="1:20" hidden="1">
      <c r="A2666" s="332" t="s">
        <v>477</v>
      </c>
      <c r="B2666" s="332" t="s">
        <v>2854</v>
      </c>
      <c r="C2666" s="333">
        <f t="shared" si="748"/>
        <v>0</v>
      </c>
      <c r="D2666" s="329"/>
      <c r="E2666" s="328">
        <f>VLOOKUP(B2666,DONGIA,DG!$B$6,0)</f>
        <v>0</v>
      </c>
      <c r="F2666" s="329" t="str">
        <f>VLOOKUP(B2666,DONGIA,DG!$C$6,0)&amp;" (CD-280)"</f>
        <v>Cổ dê kẹp ống PVC φ 114 trụ ghép (có giá nới) (CD-280)</v>
      </c>
      <c r="G2666" s="328" t="str">
        <f>VLOOKUP(B2666,DONGIA,DG!$D$6,0)</f>
        <v>bộ</v>
      </c>
      <c r="H2666" s="329">
        <f>H2654</f>
        <v>0</v>
      </c>
      <c r="I2666" s="329">
        <f>VLOOKUP(B2666,DONGIA,DG!$E$6,0)</f>
        <v>125000</v>
      </c>
      <c r="J2666" s="329"/>
      <c r="K2666" s="329">
        <f>VLOOKUP(B2666,DONGIA,DG!$F$6,0)</f>
        <v>0</v>
      </c>
      <c r="L2666" s="329">
        <f>VLOOKUP(B2666,DONGIA,DG!$G$6,0)</f>
        <v>0</v>
      </c>
      <c r="M2666" s="329">
        <f t="shared" si="755"/>
        <v>0</v>
      </c>
      <c r="N2666" s="329">
        <f t="shared" si="756"/>
        <v>0</v>
      </c>
      <c r="O2666" s="329">
        <f t="shared" si="757"/>
        <v>0</v>
      </c>
      <c r="P2666" s="329">
        <f t="shared" si="758"/>
        <v>0</v>
      </c>
      <c r="Q2666" s="329"/>
      <c r="S2666" s="332">
        <f t="shared" si="750"/>
        <v>1.5</v>
      </c>
      <c r="T2666" s="332">
        <f t="shared" si="747"/>
        <v>0</v>
      </c>
    </row>
    <row r="2667" spans="1:20" hidden="1">
      <c r="A2667" s="332" t="s">
        <v>477</v>
      </c>
      <c r="B2667" s="332" t="s">
        <v>1205</v>
      </c>
      <c r="C2667" s="333">
        <f t="shared" si="748"/>
        <v>0</v>
      </c>
      <c r="D2667" s="329"/>
      <c r="E2667" s="328">
        <f>VLOOKUP(B2667,DONGIA,DG!$B$6,0)</f>
        <v>0</v>
      </c>
      <c r="F2667" s="329" t="str">
        <f>VLOOKUP(B2667,DONGIA,DG!$C$6,0)</f>
        <v>Khâu ven răng trong D114</v>
      </c>
      <c r="G2667" s="328" t="str">
        <f>VLOOKUP(B2667,DONGIA,DG!$D$6,0)</f>
        <v>cái</v>
      </c>
      <c r="H2667" s="329"/>
      <c r="I2667" s="329">
        <f>VLOOKUP(B2667,DONGIA,DG!$E$6,0)</f>
        <v>35700</v>
      </c>
      <c r="J2667" s="329"/>
      <c r="K2667" s="329">
        <f>VLOOKUP(B2667,DONGIA,DG!$F$6,0)</f>
        <v>0</v>
      </c>
      <c r="L2667" s="329">
        <f>VLOOKUP(B2667,DONGIA,DG!$G$6,0)</f>
        <v>0</v>
      </c>
      <c r="M2667" s="329">
        <f t="shared" si="755"/>
        <v>0</v>
      </c>
      <c r="N2667" s="329">
        <f t="shared" si="756"/>
        <v>0</v>
      </c>
      <c r="O2667" s="329">
        <f t="shared" si="757"/>
        <v>0</v>
      </c>
      <c r="P2667" s="329">
        <f t="shared" si="758"/>
        <v>0</v>
      </c>
      <c r="Q2667" s="329"/>
      <c r="S2667" s="332">
        <f t="shared" si="750"/>
        <v>0</v>
      </c>
      <c r="T2667" s="332">
        <f t="shared" si="747"/>
        <v>0</v>
      </c>
    </row>
    <row r="2668" spans="1:20" hidden="1">
      <c r="A2668" s="332" t="s">
        <v>477</v>
      </c>
      <c r="B2668" s="332" t="s">
        <v>1211</v>
      </c>
      <c r="C2668" s="333">
        <f t="shared" si="748"/>
        <v>0</v>
      </c>
      <c r="D2668" s="329"/>
      <c r="E2668" s="328">
        <f>VLOOKUP(B2668,DONGIA,DG!$B$6,0)</f>
        <v>0</v>
      </c>
      <c r="F2668" s="329" t="str">
        <f>VLOOKUP(B2668,DONGIA,DG!$C$6,0)</f>
        <v>Khâu ven răng ngoài D114</v>
      </c>
      <c r="G2668" s="328" t="str">
        <f>VLOOKUP(B2668,DONGIA,DG!$D$6,0)</f>
        <v>cái</v>
      </c>
      <c r="H2668" s="329"/>
      <c r="I2668" s="329">
        <f>VLOOKUP(B2668,DONGIA,DG!$E$6,0)</f>
        <v>25600</v>
      </c>
      <c r="J2668" s="329"/>
      <c r="K2668" s="329">
        <f>VLOOKUP(B2668,DONGIA,DG!$F$6,0)</f>
        <v>0</v>
      </c>
      <c r="L2668" s="329">
        <f>VLOOKUP(B2668,DONGIA,DG!$G$6,0)</f>
        <v>0</v>
      </c>
      <c r="M2668" s="329">
        <f t="shared" si="755"/>
        <v>0</v>
      </c>
      <c r="N2668" s="329">
        <f t="shared" si="756"/>
        <v>0</v>
      </c>
      <c r="O2668" s="329">
        <f t="shared" si="757"/>
        <v>0</v>
      </c>
      <c r="P2668" s="329">
        <f t="shared" si="758"/>
        <v>0</v>
      </c>
      <c r="Q2668" s="329"/>
      <c r="S2668" s="332">
        <f t="shared" si="750"/>
        <v>0</v>
      </c>
      <c r="T2668" s="332">
        <f t="shared" si="747"/>
        <v>0</v>
      </c>
    </row>
    <row r="2669" spans="1:20" hidden="1">
      <c r="A2669" s="332" t="s">
        <v>477</v>
      </c>
      <c r="B2669" s="332" t="s">
        <v>1185</v>
      </c>
      <c r="C2669" s="333">
        <f t="shared" si="748"/>
        <v>0</v>
      </c>
      <c r="D2669" s="329"/>
      <c r="E2669" s="328">
        <f>VLOOKUP(B2669,DONGIA,DG!$B$6,0)</f>
        <v>0</v>
      </c>
      <c r="F2669" s="329" t="str">
        <f>VLOOKUP(B2669,DONGIA,DG!$C$6,0)</f>
        <v>Co  90 độ PVC 114</v>
      </c>
      <c r="G2669" s="328" t="str">
        <f>VLOOKUP(B2669,DONGIA,DG!$D$6,0)</f>
        <v>cái</v>
      </c>
      <c r="H2669" s="329"/>
      <c r="I2669" s="329">
        <f>VLOOKUP(B2669,DONGIA,DG!$E$6,0)</f>
        <v>104800</v>
      </c>
      <c r="J2669" s="329"/>
      <c r="K2669" s="329">
        <f>VLOOKUP(B2669,DONGIA,DG!$F$6,0)</f>
        <v>0</v>
      </c>
      <c r="L2669" s="329">
        <f>VLOOKUP(B2669,DONGIA,DG!$G$6,0)</f>
        <v>0</v>
      </c>
      <c r="M2669" s="329">
        <f t="shared" si="755"/>
        <v>0</v>
      </c>
      <c r="N2669" s="329">
        <f t="shared" si="756"/>
        <v>0</v>
      </c>
      <c r="O2669" s="329">
        <f t="shared" si="757"/>
        <v>0</v>
      </c>
      <c r="P2669" s="329">
        <f t="shared" si="758"/>
        <v>0</v>
      </c>
      <c r="Q2669" s="329"/>
      <c r="S2669" s="332">
        <f t="shared" si="750"/>
        <v>0</v>
      </c>
      <c r="T2669" s="332">
        <f t="shared" si="747"/>
        <v>0</v>
      </c>
    </row>
    <row r="2670" spans="1:20" hidden="1">
      <c r="A2670" s="332" t="s">
        <v>477</v>
      </c>
      <c r="B2670" s="332" t="s">
        <v>1187</v>
      </c>
      <c r="C2670" s="333">
        <f t="shared" si="748"/>
        <v>0</v>
      </c>
      <c r="D2670" s="329"/>
      <c r="E2670" s="328">
        <f>VLOOKUP(B2670,DONGIA,DG!$B$6,0)</f>
        <v>0</v>
      </c>
      <c r="F2670" s="329" t="str">
        <f>VLOOKUP(B2670,DONGIA,DG!$C$6,0)</f>
        <v>Co sừng 90 độ PVC 114</v>
      </c>
      <c r="G2670" s="328" t="str">
        <f>VLOOKUP(B2670,DONGIA,DG!$D$6,0)</f>
        <v>cái</v>
      </c>
      <c r="H2670" s="329">
        <f>H2654</f>
        <v>0</v>
      </c>
      <c r="I2670" s="329">
        <f>VLOOKUP(B2670,DONGIA,DG!$E$6,0)</f>
        <v>195000</v>
      </c>
      <c r="J2670" s="329"/>
      <c r="K2670" s="329">
        <f>VLOOKUP(B2670,DONGIA,DG!$F$6,0)</f>
        <v>0</v>
      </c>
      <c r="L2670" s="329">
        <f>VLOOKUP(B2670,DONGIA,DG!$G$6,0)</f>
        <v>0</v>
      </c>
      <c r="M2670" s="329">
        <f t="shared" si="755"/>
        <v>0</v>
      </c>
      <c r="N2670" s="329">
        <f t="shared" si="756"/>
        <v>0</v>
      </c>
      <c r="O2670" s="329">
        <f t="shared" si="757"/>
        <v>0</v>
      </c>
      <c r="P2670" s="329">
        <f t="shared" si="758"/>
        <v>0</v>
      </c>
      <c r="Q2670" s="329"/>
      <c r="S2670" s="332">
        <f t="shared" si="750"/>
        <v>0</v>
      </c>
      <c r="T2670" s="332">
        <f t="shared" si="747"/>
        <v>0</v>
      </c>
    </row>
    <row r="2671" spans="1:20" hidden="1">
      <c r="A2671" s="332" t="s">
        <v>477</v>
      </c>
      <c r="B2671" s="332" t="s">
        <v>1189</v>
      </c>
      <c r="C2671" s="333">
        <f t="shared" si="748"/>
        <v>0</v>
      </c>
      <c r="D2671" s="329"/>
      <c r="E2671" s="328">
        <f>VLOOKUP(B2671,DONGIA,DG!$B$6,0)</f>
        <v>0</v>
      </c>
      <c r="F2671" s="329" t="str">
        <f>VLOOKUP(B2671,DONGIA,DG!$C$6,0)</f>
        <v>Co 135 độ PVC 114</v>
      </c>
      <c r="G2671" s="328" t="str">
        <f>VLOOKUP(B2671,DONGIA,DG!$D$6,0)</f>
        <v>cái</v>
      </c>
      <c r="H2671" s="329">
        <f>H2654</f>
        <v>0</v>
      </c>
      <c r="I2671" s="329">
        <f>VLOOKUP(B2671,DONGIA,DG!$E$6,0)</f>
        <v>70800</v>
      </c>
      <c r="J2671" s="329"/>
      <c r="K2671" s="329">
        <f>VLOOKUP(B2671,DONGIA,DG!$F$6,0)</f>
        <v>0</v>
      </c>
      <c r="L2671" s="329">
        <f>VLOOKUP(B2671,DONGIA,DG!$G$6,0)</f>
        <v>0</v>
      </c>
      <c r="M2671" s="329">
        <f t="shared" si="755"/>
        <v>0</v>
      </c>
      <c r="N2671" s="329">
        <f t="shared" si="756"/>
        <v>0</v>
      </c>
      <c r="O2671" s="329">
        <f t="shared" si="757"/>
        <v>0</v>
      </c>
      <c r="P2671" s="329">
        <f t="shared" si="758"/>
        <v>0</v>
      </c>
      <c r="Q2671" s="329"/>
      <c r="S2671" s="332">
        <f t="shared" si="750"/>
        <v>0</v>
      </c>
      <c r="T2671" s="332">
        <f t="shared" si="747"/>
        <v>0</v>
      </c>
    </row>
    <row r="2672" spans="1:20" hidden="1">
      <c r="A2672" s="332" t="s">
        <v>477</v>
      </c>
      <c r="B2672" s="332" t="s">
        <v>1914</v>
      </c>
      <c r="C2672" s="333">
        <f t="shared" si="748"/>
        <v>0</v>
      </c>
      <c r="D2672" s="329"/>
      <c r="E2672" s="328">
        <f>VLOOKUP(B2672,DONGIA,DG!$B$6,0)</f>
        <v>0</v>
      </c>
      <c r="F2672" s="329" t="str">
        <f>VLOOKUP(B2672,DONGIA,DG!$C$6,0)</f>
        <v>Keo dán ống PVC (100gr)</v>
      </c>
      <c r="G2672" s="328" t="str">
        <f>VLOOKUP(B2672,DONGIA,DG!$D$6,0)</f>
        <v>tuýp</v>
      </c>
      <c r="H2672" s="329">
        <f>H2654</f>
        <v>0</v>
      </c>
      <c r="I2672" s="329">
        <f>VLOOKUP(B2672,DONGIA,DG!$E$6,0)</f>
        <v>11500</v>
      </c>
      <c r="J2672" s="329"/>
      <c r="K2672" s="329">
        <f>VLOOKUP(B2672,DONGIA,DG!$F$6,0)</f>
        <v>0</v>
      </c>
      <c r="L2672" s="329">
        <f>VLOOKUP(B2672,DONGIA,DG!$G$6,0)</f>
        <v>0</v>
      </c>
      <c r="M2672" s="329">
        <f t="shared" si="755"/>
        <v>0</v>
      </c>
      <c r="N2672" s="329">
        <f t="shared" si="756"/>
        <v>0</v>
      </c>
      <c r="O2672" s="329">
        <f t="shared" si="757"/>
        <v>0</v>
      </c>
      <c r="P2672" s="329">
        <f t="shared" si="758"/>
        <v>0</v>
      </c>
      <c r="Q2672" s="329"/>
      <c r="S2672" s="332">
        <f t="shared" si="750"/>
        <v>0</v>
      </c>
      <c r="T2672" s="332">
        <f t="shared" si="747"/>
        <v>0</v>
      </c>
    </row>
    <row r="2673" spans="1:20" hidden="1">
      <c r="A2673" s="332" t="s">
        <v>477</v>
      </c>
      <c r="B2673" s="332" t="s">
        <v>1195</v>
      </c>
      <c r="C2673" s="333">
        <f t="shared" si="748"/>
        <v>0</v>
      </c>
      <c r="D2673" s="329"/>
      <c r="E2673" s="328">
        <f>VLOOKUP(B2673,DONGIA,DG!$B$6,0)</f>
        <v>0</v>
      </c>
      <c r="F2673" s="329" t="str">
        <f>VLOOKUP(B2673,DONGIA,DG!$C$6,0)</f>
        <v>Keo silicon bít miệng ống</v>
      </c>
      <c r="G2673" s="328" t="str">
        <f>VLOOKUP(B2673,DONGIA,DG!$D$6,0)</f>
        <v>ống</v>
      </c>
      <c r="H2673" s="329"/>
      <c r="I2673" s="329">
        <f>VLOOKUP(B2673,DONGIA,DG!$E$6,0)</f>
        <v>45000</v>
      </c>
      <c r="J2673" s="329"/>
      <c r="K2673" s="329">
        <f>VLOOKUP(B2673,DONGIA,DG!$F$6,0)</f>
        <v>0</v>
      </c>
      <c r="L2673" s="329">
        <f>VLOOKUP(B2673,DONGIA,DG!$G$6,0)</f>
        <v>0</v>
      </c>
      <c r="M2673" s="329">
        <f t="shared" si="755"/>
        <v>0</v>
      </c>
      <c r="N2673" s="329">
        <f t="shared" si="756"/>
        <v>0</v>
      </c>
      <c r="O2673" s="329">
        <f t="shared" si="757"/>
        <v>0</v>
      </c>
      <c r="P2673" s="329">
        <f t="shared" si="758"/>
        <v>0</v>
      </c>
      <c r="Q2673" s="329"/>
      <c r="S2673" s="332">
        <f t="shared" si="750"/>
        <v>0</v>
      </c>
      <c r="T2673" s="332">
        <f t="shared" si="747"/>
        <v>0</v>
      </c>
    </row>
    <row r="2674" spans="1:20" hidden="1">
      <c r="B2674" s="332" t="s">
        <v>1193</v>
      </c>
      <c r="C2674" s="333">
        <f t="shared" si="748"/>
        <v>0</v>
      </c>
      <c r="D2674" s="328"/>
      <c r="E2674" s="328">
        <f>VLOOKUP(B2674,DONGIA,DG!$B$6,0)</f>
        <v>0</v>
      </c>
      <c r="F2674" s="329" t="str">
        <f>VLOOKUP(B2674,DONGIA,DG!$C$6,0)</f>
        <v>Băng keo cách điện</v>
      </c>
      <c r="G2674" s="328" t="str">
        <f>VLOOKUP(B2674,DONGIA,DG!$D$6,0)</f>
        <v>cuộn</v>
      </c>
      <c r="H2674" s="329">
        <f>ROUNDUP(H2654/5,0)</f>
        <v>0</v>
      </c>
      <c r="I2674" s="329">
        <f>VLOOKUP(B2674,DONGIA,DG!$E$6,0)</f>
        <v>6500</v>
      </c>
      <c r="J2674" s="329"/>
      <c r="K2674" s="329">
        <f>VLOOKUP(B2674,DONGIA,DG!$F$6,0)</f>
        <v>0</v>
      </c>
      <c r="L2674" s="329">
        <f>VLOOKUP(B2674,DONGIA,DG!$G$6,0)</f>
        <v>0</v>
      </c>
      <c r="M2674" s="329">
        <f t="shared" si="755"/>
        <v>0</v>
      </c>
      <c r="N2674" s="329">
        <f t="shared" si="756"/>
        <v>0</v>
      </c>
      <c r="O2674" s="329">
        <f t="shared" si="757"/>
        <v>0</v>
      </c>
      <c r="P2674" s="329">
        <f t="shared" si="758"/>
        <v>0</v>
      </c>
      <c r="Q2674" s="329"/>
      <c r="S2674" s="332">
        <f t="shared" si="750"/>
        <v>0</v>
      </c>
      <c r="T2674" s="332">
        <f t="shared" si="747"/>
        <v>0</v>
      </c>
    </row>
    <row r="2675" spans="1:20" hidden="1">
      <c r="B2675" s="332" t="s">
        <v>2979</v>
      </c>
      <c r="C2675" s="333">
        <f t="shared" si="748"/>
        <v>0</v>
      </c>
      <c r="D2675" s="328"/>
      <c r="E2675" s="328">
        <f>VLOOKUP(B2675,DONGIA,DG!$B$6,0)</f>
        <v>0</v>
      </c>
      <c r="F2675" s="329" t="str">
        <f>VLOOKUP(B2675,DONGIA,DG!$C$6,0)</f>
        <v>Băng keo cách điện (Màu vàng)</v>
      </c>
      <c r="G2675" s="328" t="str">
        <f>VLOOKUP(B2675,DONGIA,DG!$D$6,0)</f>
        <v>cuộn</v>
      </c>
      <c r="H2675" s="329">
        <f>ROUNDUP(H2654/5,0)</f>
        <v>0</v>
      </c>
      <c r="I2675" s="329">
        <f>VLOOKUP(B2675,DONGIA,DG!$E$6,0)</f>
        <v>6500</v>
      </c>
      <c r="J2675" s="329"/>
      <c r="K2675" s="329">
        <f>VLOOKUP(B2675,DONGIA,DG!$F$6,0)</f>
        <v>0</v>
      </c>
      <c r="L2675" s="329">
        <f>VLOOKUP(B2675,DONGIA,DG!$G$6,0)</f>
        <v>0</v>
      </c>
      <c r="M2675" s="329">
        <f t="shared" si="755"/>
        <v>0</v>
      </c>
      <c r="N2675" s="329">
        <f t="shared" si="756"/>
        <v>0</v>
      </c>
      <c r="O2675" s="329">
        <f t="shared" si="757"/>
        <v>0</v>
      </c>
      <c r="P2675" s="329">
        <f t="shared" si="758"/>
        <v>0</v>
      </c>
      <c r="Q2675" s="329"/>
      <c r="S2675" s="332">
        <f t="shared" si="750"/>
        <v>0</v>
      </c>
      <c r="T2675" s="332">
        <f t="shared" si="747"/>
        <v>0</v>
      </c>
    </row>
    <row r="2676" spans="1:20" hidden="1">
      <c r="B2676" s="332" t="s">
        <v>2980</v>
      </c>
      <c r="C2676" s="333">
        <f t="shared" si="748"/>
        <v>0</v>
      </c>
      <c r="D2676" s="328"/>
      <c r="E2676" s="328">
        <f>VLOOKUP(B2676,DONGIA,DG!$B$6,0)</f>
        <v>0</v>
      </c>
      <c r="F2676" s="329" t="str">
        <f>VLOOKUP(B2676,DONGIA,DG!$C$6,0)</f>
        <v>Băng keo cách điện (Màu xanh)</v>
      </c>
      <c r="G2676" s="328" t="str">
        <f>VLOOKUP(B2676,DONGIA,DG!$D$6,0)</f>
        <v>cuộn</v>
      </c>
      <c r="H2676" s="329">
        <f>ROUNDUP(H2654/5,0)</f>
        <v>0</v>
      </c>
      <c r="I2676" s="329">
        <f>VLOOKUP(B2676,DONGIA,DG!$E$6,0)</f>
        <v>6500</v>
      </c>
      <c r="J2676" s="329"/>
      <c r="K2676" s="329">
        <f>VLOOKUP(B2676,DONGIA,DG!$F$6,0)</f>
        <v>0</v>
      </c>
      <c r="L2676" s="329">
        <f>VLOOKUP(B2676,DONGIA,DG!$G$6,0)</f>
        <v>0</v>
      </c>
      <c r="M2676" s="329">
        <f t="shared" si="755"/>
        <v>0</v>
      </c>
      <c r="N2676" s="329">
        <f t="shared" si="756"/>
        <v>0</v>
      </c>
      <c r="O2676" s="329">
        <f t="shared" si="757"/>
        <v>0</v>
      </c>
      <c r="P2676" s="329">
        <f t="shared" si="758"/>
        <v>0</v>
      </c>
      <c r="Q2676" s="329"/>
      <c r="S2676" s="332">
        <f t="shared" si="750"/>
        <v>0</v>
      </c>
      <c r="T2676" s="332">
        <f t="shared" si="747"/>
        <v>0</v>
      </c>
    </row>
    <row r="2677" spans="1:20" hidden="1">
      <c r="B2677" s="332" t="s">
        <v>2981</v>
      </c>
      <c r="C2677" s="333">
        <f t="shared" si="748"/>
        <v>0</v>
      </c>
      <c r="D2677" s="328"/>
      <c r="E2677" s="328">
        <f>VLOOKUP(B2677,DONGIA,DG!$B$6,0)</f>
        <v>0</v>
      </c>
      <c r="F2677" s="329" t="str">
        <f>VLOOKUP(B2677,DONGIA,DG!$C$6,0)</f>
        <v>Băng keo cách điện (Màu đỏ)</v>
      </c>
      <c r="G2677" s="328" t="str">
        <f>VLOOKUP(B2677,DONGIA,DG!$D$6,0)</f>
        <v>cuộn</v>
      </c>
      <c r="H2677" s="329">
        <f>ROUNDUP(H2654/5,0)</f>
        <v>0</v>
      </c>
      <c r="I2677" s="329">
        <f>VLOOKUP(B2677,DONGIA,DG!$E$6,0)</f>
        <v>6500</v>
      </c>
      <c r="J2677" s="329"/>
      <c r="K2677" s="329">
        <f>VLOOKUP(B2677,DONGIA,DG!$F$6,0)</f>
        <v>0</v>
      </c>
      <c r="L2677" s="329">
        <f>VLOOKUP(B2677,DONGIA,DG!$G$6,0)</f>
        <v>0</v>
      </c>
      <c r="M2677" s="329">
        <f t="shared" si="755"/>
        <v>0</v>
      </c>
      <c r="N2677" s="329">
        <f t="shared" si="756"/>
        <v>0</v>
      </c>
      <c r="O2677" s="329">
        <f t="shared" si="757"/>
        <v>0</v>
      </c>
      <c r="P2677" s="329">
        <f t="shared" si="758"/>
        <v>0</v>
      </c>
      <c r="Q2677" s="329"/>
      <c r="S2677" s="332">
        <f t="shared" si="750"/>
        <v>0</v>
      </c>
      <c r="T2677" s="332">
        <f t="shared" si="747"/>
        <v>0</v>
      </c>
    </row>
    <row r="2678" spans="1:20" hidden="1">
      <c r="A2678" s="332" t="s">
        <v>477</v>
      </c>
      <c r="B2678" s="332" t="s">
        <v>857</v>
      </c>
      <c r="C2678" s="333">
        <f t="shared" si="748"/>
        <v>0</v>
      </c>
      <c r="D2678" s="329"/>
      <c r="E2678" s="328" t="str">
        <f>VLOOKUP(B2678,DONGIA,DG!$B$6,0)</f>
        <v>T4.8003</v>
      </c>
      <c r="F2678" s="329" t="str">
        <f>VLOOKUP(B2678,DONGIA,DG!$C$6,0)</f>
        <v>Lắp ống nhựa PVC D114</v>
      </c>
      <c r="G2678" s="328" t="str">
        <f>VLOOKUP(B2678,DONGIA,DG!$D$6,0)</f>
        <v>mét</v>
      </c>
      <c r="H2678" s="329">
        <f>H2663</f>
        <v>0</v>
      </c>
      <c r="I2678" s="329">
        <f>VLOOKUP(B2678,DONGIA,DG!$E$6,0)</f>
        <v>0</v>
      </c>
      <c r="J2678" s="329"/>
      <c r="K2678" s="329">
        <f>VLOOKUP(B2678,DONGIA,DG!$F$6,0)</f>
        <v>35541</v>
      </c>
      <c r="L2678" s="329">
        <f>VLOOKUP(B2678,DONGIA,DG!$G$6,0)</f>
        <v>0</v>
      </c>
      <c r="M2678" s="329">
        <f t="shared" si="755"/>
        <v>0</v>
      </c>
      <c r="N2678" s="329">
        <f t="shared" si="756"/>
        <v>0</v>
      </c>
      <c r="O2678" s="329">
        <f t="shared" si="757"/>
        <v>0</v>
      </c>
      <c r="P2678" s="329">
        <f t="shared" si="758"/>
        <v>0</v>
      </c>
      <c r="Q2678" s="329"/>
      <c r="S2678" s="332">
        <f t="shared" si="750"/>
        <v>0</v>
      </c>
      <c r="T2678" s="332">
        <f t="shared" si="747"/>
        <v>0</v>
      </c>
    </row>
    <row r="2679" spans="1:20" hidden="1">
      <c r="A2679" s="332" t="s">
        <v>477</v>
      </c>
      <c r="B2679" s="332" t="s">
        <v>2063</v>
      </c>
      <c r="C2679" s="333">
        <f t="shared" si="748"/>
        <v>0</v>
      </c>
      <c r="D2679" s="329"/>
      <c r="E2679" s="328" t="str">
        <f>VLOOKUP(B2679,DONGIA,DG!$B$6,0)</f>
        <v>T4.4202</v>
      </c>
      <c r="F2679" s="329" t="str">
        <f>VLOOKUP(B2679,DONGIA,DG!$C$6,0)</f>
        <v>Lắp cáp đồng xuống thiết bị D ≤ 150mm2</v>
      </c>
      <c r="G2679" s="328" t="str">
        <f>VLOOKUP(B2679,DONGIA,DG!$D$6,0)</f>
        <v>m</v>
      </c>
      <c r="H2679" s="329">
        <f>H2657</f>
        <v>0</v>
      </c>
      <c r="I2679" s="329">
        <f>VLOOKUP(B2679,DONGIA,DG!$E$6,0)</f>
        <v>0</v>
      </c>
      <c r="J2679" s="329"/>
      <c r="K2679" s="329">
        <f>VLOOKUP(B2679,DONGIA,DG!$F$6,0)</f>
        <v>28433</v>
      </c>
      <c r="L2679" s="329">
        <f>VLOOKUP(B2679,DONGIA,DG!$G$6,0)</f>
        <v>0</v>
      </c>
      <c r="M2679" s="329">
        <f t="shared" si="755"/>
        <v>0</v>
      </c>
      <c r="N2679" s="329">
        <f t="shared" si="756"/>
        <v>0</v>
      </c>
      <c r="O2679" s="329">
        <f t="shared" si="757"/>
        <v>0</v>
      </c>
      <c r="P2679" s="329">
        <f t="shared" si="758"/>
        <v>0</v>
      </c>
      <c r="Q2679" s="329"/>
      <c r="S2679" s="332">
        <f t="shared" si="750"/>
        <v>0</v>
      </c>
      <c r="T2679" s="332">
        <f t="shared" si="747"/>
        <v>0</v>
      </c>
    </row>
    <row r="2680" spans="1:20" hidden="1">
      <c r="A2680" s="332" t="s">
        <v>477</v>
      </c>
      <c r="B2680" s="332" t="s">
        <v>2837</v>
      </c>
      <c r="C2680" s="333">
        <f t="shared" si="748"/>
        <v>0</v>
      </c>
      <c r="D2680" s="329"/>
      <c r="E2680" s="328" t="str">
        <f>VLOOKUP(B2680,DONGIA,DG!$B$6,0)</f>
        <v>T4.4203</v>
      </c>
      <c r="F2680" s="329" t="str">
        <f>VLOOKUP(B2680,DONGIA,DG!$C$6,0)</f>
        <v>Lắp cáp đồng xuống thiết bị D &gt; 150mm2</v>
      </c>
      <c r="G2680" s="328" t="str">
        <f>VLOOKUP(B2680,DONGIA,DG!$D$6,0)</f>
        <v>m</v>
      </c>
      <c r="H2680" s="329">
        <f>H2656</f>
        <v>0</v>
      </c>
      <c r="I2680" s="329">
        <f>VLOOKUP(B2680,DONGIA,DG!$E$6,0)</f>
        <v>0</v>
      </c>
      <c r="J2680" s="329"/>
      <c r="K2680" s="329">
        <f>VLOOKUP(B2680,DONGIA,DG!$F$6,0)</f>
        <v>40280</v>
      </c>
      <c r="L2680" s="329">
        <f>VLOOKUP(B2680,DONGIA,DG!$G$6,0)</f>
        <v>0</v>
      </c>
      <c r="M2680" s="329">
        <f t="shared" si="755"/>
        <v>0</v>
      </c>
      <c r="N2680" s="329">
        <f t="shared" si="756"/>
        <v>0</v>
      </c>
      <c r="O2680" s="329">
        <f t="shared" si="757"/>
        <v>0</v>
      </c>
      <c r="P2680" s="329">
        <f t="shared" si="758"/>
        <v>0</v>
      </c>
      <c r="Q2680" s="329"/>
      <c r="S2680" s="332">
        <f t="shared" si="750"/>
        <v>0</v>
      </c>
      <c r="T2680" s="332">
        <f t="shared" si="747"/>
        <v>0</v>
      </c>
    </row>
    <row r="2681" spans="1:20" hidden="1">
      <c r="A2681" s="332" t="s">
        <v>477</v>
      </c>
      <c r="C2681" s="333">
        <f t="shared" si="748"/>
        <v>0</v>
      </c>
      <c r="D2681" s="372">
        <f>IF(H2681&lt;&gt;0,D2654+1,D2654)</f>
        <v>0</v>
      </c>
      <c r="E2681" s="372"/>
      <c r="F2681" s="373" t="s">
        <v>1916</v>
      </c>
      <c r="G2681" s="372" t="s">
        <v>138</v>
      </c>
      <c r="H2681" s="372">
        <v>0</v>
      </c>
      <c r="I2681" s="373"/>
      <c r="J2681" s="373"/>
      <c r="K2681" s="373"/>
      <c r="L2681" s="373"/>
      <c r="M2681" s="373"/>
      <c r="N2681" s="373"/>
      <c r="O2681" s="373"/>
      <c r="P2681" s="373"/>
      <c r="Q2681" s="373"/>
      <c r="S2681" s="332">
        <f t="shared" si="750"/>
        <v>0</v>
      </c>
      <c r="T2681" s="332">
        <f t="shared" si="747"/>
        <v>0</v>
      </c>
    </row>
    <row r="2682" spans="1:20" s="361" customFormat="1" hidden="1">
      <c r="A2682" s="361" t="s">
        <v>477</v>
      </c>
      <c r="C2682" s="374">
        <f t="shared" si="748"/>
        <v>0</v>
      </c>
      <c r="D2682" s="351"/>
      <c r="E2682" s="351"/>
      <c r="F2682" s="351" t="s">
        <v>1902</v>
      </c>
      <c r="G2682" s="350"/>
      <c r="H2682" s="351"/>
      <c r="I2682" s="351"/>
      <c r="J2682" s="351"/>
      <c r="K2682" s="351"/>
      <c r="L2682" s="351"/>
      <c r="M2682" s="351"/>
      <c r="N2682" s="351"/>
      <c r="O2682" s="351"/>
      <c r="P2682" s="351"/>
      <c r="Q2682" s="351"/>
      <c r="S2682" s="361">
        <f t="shared" si="750"/>
        <v>0</v>
      </c>
      <c r="T2682" s="361">
        <f t="shared" si="747"/>
        <v>0</v>
      </c>
    </row>
    <row r="2683" spans="1:20" hidden="1">
      <c r="A2683" s="332" t="s">
        <v>477</v>
      </c>
      <c r="B2683" s="332" t="s">
        <v>1908</v>
      </c>
      <c r="C2683" s="333">
        <f t="shared" si="748"/>
        <v>0</v>
      </c>
      <c r="D2683" s="329"/>
      <c r="E2683" s="329">
        <v>0</v>
      </c>
      <c r="F2683" s="329" t="s">
        <v>238</v>
      </c>
      <c r="G2683" s="328" t="s">
        <v>146</v>
      </c>
      <c r="H2683" s="329">
        <v>0</v>
      </c>
      <c r="I2683" s="329">
        <v>291060</v>
      </c>
      <c r="J2683" s="329"/>
      <c r="K2683" s="329">
        <v>0</v>
      </c>
      <c r="L2683" s="329">
        <v>0</v>
      </c>
      <c r="M2683" s="329">
        <v>0</v>
      </c>
      <c r="N2683" s="329">
        <v>0</v>
      </c>
      <c r="O2683" s="329">
        <v>0</v>
      </c>
      <c r="P2683" s="329">
        <v>0</v>
      </c>
      <c r="Q2683" s="329"/>
      <c r="S2683" s="332">
        <f t="shared" si="750"/>
        <v>1.2350000000000001</v>
      </c>
      <c r="T2683" s="332">
        <f t="shared" si="747"/>
        <v>0</v>
      </c>
    </row>
    <row r="2684" spans="1:20" hidden="1">
      <c r="A2684" s="332" t="s">
        <v>477</v>
      </c>
      <c r="B2684" s="332" t="s">
        <v>1742</v>
      </c>
      <c r="C2684" s="333">
        <f t="shared" si="748"/>
        <v>0</v>
      </c>
      <c r="D2684" s="329"/>
      <c r="E2684" s="329">
        <v>0</v>
      </c>
      <c r="F2684" s="329" t="s">
        <v>236</v>
      </c>
      <c r="G2684" s="328" t="s">
        <v>146</v>
      </c>
      <c r="H2684" s="329">
        <v>0</v>
      </c>
      <c r="I2684" s="329">
        <v>230580</v>
      </c>
      <c r="J2684" s="329"/>
      <c r="K2684" s="329">
        <v>0</v>
      </c>
      <c r="L2684" s="329">
        <v>0</v>
      </c>
      <c r="M2684" s="329">
        <v>0</v>
      </c>
      <c r="N2684" s="329">
        <v>0</v>
      </c>
      <c r="O2684" s="329">
        <v>0</v>
      </c>
      <c r="P2684" s="329">
        <v>0</v>
      </c>
      <c r="Q2684" s="329"/>
      <c r="S2684" s="332">
        <f t="shared" si="750"/>
        <v>1.008</v>
      </c>
      <c r="T2684" s="332">
        <f t="shared" si="747"/>
        <v>0</v>
      </c>
    </row>
    <row r="2685" spans="1:20" hidden="1">
      <c r="A2685" s="332" t="s">
        <v>477</v>
      </c>
      <c r="B2685" s="332" t="s">
        <v>1119</v>
      </c>
      <c r="C2685" s="333">
        <f t="shared" si="748"/>
        <v>0</v>
      </c>
      <c r="D2685" s="329"/>
      <c r="E2685" s="329" t="s">
        <v>1120</v>
      </c>
      <c r="F2685" s="329" t="s">
        <v>1121</v>
      </c>
      <c r="G2685" s="328" t="s">
        <v>11</v>
      </c>
      <c r="H2685" s="329">
        <v>0</v>
      </c>
      <c r="I2685" s="329">
        <v>29000</v>
      </c>
      <c r="J2685" s="329"/>
      <c r="K2685" s="329">
        <v>215654</v>
      </c>
      <c r="L2685" s="329">
        <v>2061.6999999999998</v>
      </c>
      <c r="M2685" s="329">
        <v>0</v>
      </c>
      <c r="N2685" s="329">
        <v>0</v>
      </c>
      <c r="O2685" s="329">
        <v>0</v>
      </c>
      <c r="P2685" s="329">
        <v>0</v>
      </c>
      <c r="Q2685" s="329"/>
      <c r="S2685" s="332">
        <f t="shared" si="750"/>
        <v>0.1</v>
      </c>
      <c r="T2685" s="332">
        <f t="shared" si="747"/>
        <v>0</v>
      </c>
    </row>
    <row r="2686" spans="1:20" hidden="1">
      <c r="A2686" s="332" t="s">
        <v>477</v>
      </c>
      <c r="B2686" s="332" t="s">
        <v>1116</v>
      </c>
      <c r="C2686" s="333">
        <f t="shared" si="748"/>
        <v>0</v>
      </c>
      <c r="D2686" s="329"/>
      <c r="E2686" s="329" t="s">
        <v>1117</v>
      </c>
      <c r="F2686" s="329" t="s">
        <v>1118</v>
      </c>
      <c r="G2686" s="328" t="s">
        <v>11</v>
      </c>
      <c r="H2686" s="329">
        <v>0</v>
      </c>
      <c r="I2686" s="329">
        <v>22000</v>
      </c>
      <c r="J2686" s="329"/>
      <c r="K2686" s="329">
        <v>167731</v>
      </c>
      <c r="L2686" s="329">
        <v>1767</v>
      </c>
      <c r="M2686" s="329">
        <v>0</v>
      </c>
      <c r="N2686" s="329">
        <v>0</v>
      </c>
      <c r="O2686" s="329">
        <v>0</v>
      </c>
      <c r="P2686" s="329">
        <v>0</v>
      </c>
      <c r="Q2686" s="329"/>
      <c r="S2686" s="332">
        <f t="shared" si="750"/>
        <v>0.2</v>
      </c>
      <c r="T2686" s="332">
        <f t="shared" si="747"/>
        <v>0</v>
      </c>
    </row>
    <row r="2687" spans="1:20" hidden="1">
      <c r="A2687" s="332" t="s">
        <v>477</v>
      </c>
      <c r="B2687" s="332" t="s">
        <v>1151</v>
      </c>
      <c r="C2687" s="333">
        <f t="shared" si="748"/>
        <v>0</v>
      </c>
      <c r="D2687" s="329"/>
      <c r="E2687" s="329">
        <v>0</v>
      </c>
      <c r="F2687" s="329" t="s">
        <v>1152</v>
      </c>
      <c r="G2687" s="328" t="s">
        <v>11</v>
      </c>
      <c r="H2687" s="329">
        <v>0</v>
      </c>
      <c r="I2687" s="329">
        <v>4000</v>
      </c>
      <c r="J2687" s="329"/>
      <c r="K2687" s="329">
        <v>0</v>
      </c>
      <c r="L2687" s="329">
        <v>0</v>
      </c>
      <c r="M2687" s="329">
        <v>0</v>
      </c>
      <c r="N2687" s="329">
        <v>0</v>
      </c>
      <c r="O2687" s="329">
        <v>0</v>
      </c>
      <c r="P2687" s="329">
        <v>0</v>
      </c>
      <c r="Q2687" s="329"/>
      <c r="S2687" s="332">
        <f t="shared" si="750"/>
        <v>0</v>
      </c>
      <c r="T2687" s="332">
        <f t="shared" si="747"/>
        <v>0</v>
      </c>
    </row>
    <row r="2688" spans="1:20" hidden="1">
      <c r="A2688" s="332" t="s">
        <v>477</v>
      </c>
      <c r="B2688" s="332" t="s">
        <v>1149</v>
      </c>
      <c r="C2688" s="333">
        <f t="shared" si="748"/>
        <v>0</v>
      </c>
      <c r="D2688" s="329"/>
      <c r="E2688" s="329">
        <v>0</v>
      </c>
      <c r="F2688" s="329" t="s">
        <v>1150</v>
      </c>
      <c r="G2688" s="328" t="s">
        <v>11</v>
      </c>
      <c r="H2688" s="329">
        <v>0</v>
      </c>
      <c r="I2688" s="329">
        <v>4000</v>
      </c>
      <c r="J2688" s="329"/>
      <c r="K2688" s="329">
        <v>0</v>
      </c>
      <c r="L2688" s="329">
        <v>0</v>
      </c>
      <c r="M2688" s="329">
        <v>0</v>
      </c>
      <c r="N2688" s="329">
        <v>0</v>
      </c>
      <c r="O2688" s="329">
        <v>0</v>
      </c>
      <c r="P2688" s="329">
        <v>0</v>
      </c>
      <c r="Q2688" s="329"/>
      <c r="S2688" s="332">
        <f t="shared" si="750"/>
        <v>0</v>
      </c>
      <c r="T2688" s="332">
        <f t="shared" si="747"/>
        <v>0</v>
      </c>
    </row>
    <row r="2689" spans="1:20" hidden="1">
      <c r="A2689" s="332" t="s">
        <v>477</v>
      </c>
      <c r="B2689" s="332" t="s">
        <v>1736</v>
      </c>
      <c r="C2689" s="333">
        <f t="shared" si="748"/>
        <v>0</v>
      </c>
      <c r="D2689" s="329"/>
      <c r="E2689" s="329">
        <v>0</v>
      </c>
      <c r="F2689" s="329" t="s">
        <v>1178</v>
      </c>
      <c r="G2689" s="328" t="s">
        <v>474</v>
      </c>
      <c r="H2689" s="329">
        <v>0</v>
      </c>
      <c r="I2689" s="329">
        <v>63200</v>
      </c>
      <c r="J2689" s="329"/>
      <c r="K2689" s="329">
        <v>0</v>
      </c>
      <c r="L2689" s="329">
        <v>0</v>
      </c>
      <c r="M2689" s="329">
        <v>0</v>
      </c>
      <c r="N2689" s="329">
        <v>0</v>
      </c>
      <c r="O2689" s="329">
        <v>0</v>
      </c>
      <c r="P2689" s="329">
        <v>0</v>
      </c>
      <c r="Q2689" s="329"/>
      <c r="S2689" s="332">
        <f t="shared" si="750"/>
        <v>2</v>
      </c>
      <c r="T2689" s="332">
        <f t="shared" si="747"/>
        <v>0</v>
      </c>
    </row>
    <row r="2690" spans="1:20" hidden="1">
      <c r="A2690" s="332" t="s">
        <v>477</v>
      </c>
      <c r="B2690" s="332" t="s">
        <v>1737</v>
      </c>
      <c r="C2690" s="333">
        <f t="shared" si="748"/>
        <v>0</v>
      </c>
      <c r="D2690" s="329"/>
      <c r="E2690" s="329">
        <v>0</v>
      </c>
      <c r="F2690" s="329" t="s">
        <v>1184</v>
      </c>
      <c r="G2690" s="328" t="s">
        <v>11</v>
      </c>
      <c r="H2690" s="329">
        <v>0</v>
      </c>
      <c r="I2690" s="329">
        <v>45400</v>
      </c>
      <c r="J2690" s="329"/>
      <c r="K2690" s="329">
        <v>0</v>
      </c>
      <c r="L2690" s="329">
        <v>0</v>
      </c>
      <c r="M2690" s="329">
        <v>0</v>
      </c>
      <c r="N2690" s="329">
        <v>0</v>
      </c>
      <c r="O2690" s="329">
        <v>0</v>
      </c>
      <c r="P2690" s="329">
        <v>0</v>
      </c>
      <c r="Q2690" s="329"/>
      <c r="S2690" s="332">
        <f t="shared" si="750"/>
        <v>0</v>
      </c>
      <c r="T2690" s="332">
        <f t="shared" si="747"/>
        <v>0</v>
      </c>
    </row>
    <row r="2691" spans="1:20" hidden="1">
      <c r="A2691" s="332" t="s">
        <v>477</v>
      </c>
      <c r="B2691" s="332" t="s">
        <v>1203</v>
      </c>
      <c r="C2691" s="333">
        <f t="shared" si="748"/>
        <v>0</v>
      </c>
      <c r="D2691" s="329"/>
      <c r="E2691" s="329">
        <v>0</v>
      </c>
      <c r="F2691" s="329" t="s">
        <v>1204</v>
      </c>
      <c r="G2691" s="328" t="s">
        <v>11</v>
      </c>
      <c r="H2691" s="329">
        <v>0</v>
      </c>
      <c r="I2691" s="329">
        <v>9500</v>
      </c>
      <c r="J2691" s="329"/>
      <c r="K2691" s="329">
        <v>0</v>
      </c>
      <c r="L2691" s="329">
        <v>0</v>
      </c>
      <c r="M2691" s="329">
        <v>0</v>
      </c>
      <c r="N2691" s="329">
        <v>0</v>
      </c>
      <c r="O2691" s="329">
        <v>0</v>
      </c>
      <c r="P2691" s="329">
        <v>0</v>
      </c>
      <c r="Q2691" s="329"/>
      <c r="S2691" s="332">
        <f t="shared" si="750"/>
        <v>0</v>
      </c>
      <c r="T2691" s="332">
        <f t="shared" si="747"/>
        <v>0</v>
      </c>
    </row>
    <row r="2692" spans="1:20" hidden="1">
      <c r="A2692" s="332" t="s">
        <v>477</v>
      </c>
      <c r="B2692" s="332" t="s">
        <v>1209</v>
      </c>
      <c r="C2692" s="333">
        <f t="shared" si="748"/>
        <v>0</v>
      </c>
      <c r="D2692" s="329"/>
      <c r="E2692" s="329">
        <v>0</v>
      </c>
      <c r="F2692" s="329" t="s">
        <v>1210</v>
      </c>
      <c r="G2692" s="328" t="s">
        <v>11</v>
      </c>
      <c r="H2692" s="329">
        <v>0</v>
      </c>
      <c r="I2692" s="329">
        <v>10600</v>
      </c>
      <c r="J2692" s="329"/>
      <c r="K2692" s="329">
        <v>0</v>
      </c>
      <c r="L2692" s="329">
        <v>0</v>
      </c>
      <c r="M2692" s="329">
        <v>0</v>
      </c>
      <c r="N2692" s="329">
        <v>0</v>
      </c>
      <c r="O2692" s="329">
        <v>0</v>
      </c>
      <c r="P2692" s="329">
        <v>0</v>
      </c>
      <c r="Q2692" s="329"/>
      <c r="S2692" s="332">
        <f t="shared" si="750"/>
        <v>0</v>
      </c>
      <c r="T2692" s="332">
        <f t="shared" si="747"/>
        <v>0</v>
      </c>
    </row>
    <row r="2693" spans="1:20" hidden="1">
      <c r="A2693" s="332" t="s">
        <v>477</v>
      </c>
      <c r="B2693" s="332" t="s">
        <v>1918</v>
      </c>
      <c r="C2693" s="333">
        <f t="shared" si="748"/>
        <v>0</v>
      </c>
      <c r="D2693" s="329"/>
      <c r="E2693" s="329" t="s">
        <v>888</v>
      </c>
      <c r="F2693" s="329" t="s">
        <v>1925</v>
      </c>
      <c r="G2693" s="328" t="s">
        <v>474</v>
      </c>
      <c r="H2693" s="329">
        <v>0</v>
      </c>
      <c r="I2693" s="329">
        <v>0</v>
      </c>
      <c r="J2693" s="329"/>
      <c r="K2693" s="329">
        <v>26400</v>
      </c>
      <c r="L2693" s="329">
        <v>0</v>
      </c>
      <c r="M2693" s="329">
        <v>0</v>
      </c>
      <c r="N2693" s="329">
        <v>0</v>
      </c>
      <c r="O2693" s="329">
        <v>0</v>
      </c>
      <c r="P2693" s="329">
        <v>0</v>
      </c>
      <c r="Q2693" s="329"/>
      <c r="S2693" s="332">
        <f t="shared" si="750"/>
        <v>0</v>
      </c>
      <c r="T2693" s="332">
        <f t="shared" si="747"/>
        <v>0</v>
      </c>
    </row>
    <row r="2694" spans="1:20" hidden="1">
      <c r="A2694" s="332" t="s">
        <v>477</v>
      </c>
      <c r="C2694" s="333">
        <f t="shared" si="748"/>
        <v>0</v>
      </c>
      <c r="D2694" s="372">
        <f>IF(H2694&lt;&gt;0,D2681+1,D2681)</f>
        <v>0</v>
      </c>
      <c r="E2694" s="372"/>
      <c r="F2694" s="373" t="s">
        <v>2825</v>
      </c>
      <c r="G2694" s="372" t="s">
        <v>138</v>
      </c>
      <c r="H2694" s="372">
        <f>T3P160N*2</f>
        <v>0</v>
      </c>
      <c r="I2694" s="373"/>
      <c r="J2694" s="373"/>
      <c r="K2694" s="373"/>
      <c r="L2694" s="373"/>
      <c r="M2694" s="373"/>
      <c r="N2694" s="373"/>
      <c r="O2694" s="373"/>
      <c r="P2694" s="373"/>
      <c r="Q2694" s="373"/>
      <c r="S2694" s="332">
        <f t="shared" si="750"/>
        <v>0</v>
      </c>
      <c r="T2694" s="332">
        <f t="shared" si="747"/>
        <v>0</v>
      </c>
    </row>
    <row r="2695" spans="1:20" s="361" customFormat="1" hidden="1">
      <c r="A2695" s="361" t="s">
        <v>477</v>
      </c>
      <c r="C2695" s="374">
        <f>C2694</f>
        <v>0</v>
      </c>
      <c r="D2695" s="351"/>
      <c r="E2695" s="351"/>
      <c r="F2695" s="351" t="s">
        <v>1902</v>
      </c>
      <c r="G2695" s="350"/>
      <c r="H2695" s="351"/>
      <c r="I2695" s="351"/>
      <c r="J2695" s="351"/>
      <c r="K2695" s="351"/>
      <c r="L2695" s="351"/>
      <c r="M2695" s="351"/>
      <c r="N2695" s="351"/>
      <c r="O2695" s="351"/>
      <c r="P2695" s="351"/>
      <c r="Q2695" s="351"/>
      <c r="S2695" s="361">
        <f t="shared" si="750"/>
        <v>0</v>
      </c>
      <c r="T2695" s="361">
        <f t="shared" si="747"/>
        <v>0</v>
      </c>
    </row>
    <row r="2696" spans="1:20" hidden="1">
      <c r="A2696" s="332" t="s">
        <v>477</v>
      </c>
      <c r="B2696" s="332" t="s">
        <v>1742</v>
      </c>
      <c r="C2696" s="333">
        <f t="shared" si="748"/>
        <v>0</v>
      </c>
      <c r="D2696" s="329"/>
      <c r="E2696" s="328">
        <f>VLOOKUP(B2696,DONGIA,DG!$B$6,0)</f>
        <v>0</v>
      </c>
      <c r="F2696" s="329" t="str">
        <f>VLOOKUP(B2696,DONGIA,DG!$C$6,0)</f>
        <v>Cáp đồng bọc CV95</v>
      </c>
      <c r="G2696" s="328" t="str">
        <f>VLOOKUP(B2696,DONGIA,DG!$D$6,0)</f>
        <v>mét</v>
      </c>
      <c r="H2696" s="455">
        <f>H2694*3*8.5</f>
        <v>0</v>
      </c>
      <c r="I2696" s="329">
        <f>VLOOKUP(B2696,DONGIA,DG!$E$6,0)</f>
        <v>196130</v>
      </c>
      <c r="J2696" s="329"/>
      <c r="K2696" s="329">
        <f>VLOOKUP(B2696,DONGIA,DG!$F$6,0)</f>
        <v>0</v>
      </c>
      <c r="L2696" s="329">
        <f>VLOOKUP(B2696,DONGIA,DG!$G$6,0)</f>
        <v>0</v>
      </c>
      <c r="M2696" s="329">
        <f t="shared" ref="M2696:M2728" si="759">$H2696*I2696</f>
        <v>0</v>
      </c>
      <c r="N2696" s="329">
        <f t="shared" ref="N2696:N2728" si="760">$H2696*J2696</f>
        <v>0</v>
      </c>
      <c r="O2696" s="329">
        <f t="shared" ref="O2696:O2728" si="761">$H2696*K2696</f>
        <v>0</v>
      </c>
      <c r="P2696" s="329">
        <f t="shared" ref="P2696:P2728" si="762">$H2696*L2696</f>
        <v>0</v>
      </c>
      <c r="Q2696" s="329"/>
      <c r="S2696" s="332">
        <f t="shared" si="750"/>
        <v>1.008</v>
      </c>
      <c r="T2696" s="332">
        <f t="shared" si="747"/>
        <v>0</v>
      </c>
    </row>
    <row r="2697" spans="1:20" hidden="1">
      <c r="A2697" s="332" t="s">
        <v>477</v>
      </c>
      <c r="B2697" s="332" t="s">
        <v>1907</v>
      </c>
      <c r="C2697" s="333">
        <f t="shared" si="748"/>
        <v>0</v>
      </c>
      <c r="D2697" s="329"/>
      <c r="E2697" s="328">
        <f>VLOOKUP(B2697,DONGIA,DG!$B$6,0)</f>
        <v>0</v>
      </c>
      <c r="F2697" s="329" t="str">
        <f>VLOOKUP(B2697,DONGIA,DG!$C$6,0)</f>
        <v>Cáp đồng bọc CV70</v>
      </c>
      <c r="G2697" s="328" t="str">
        <f>VLOOKUP(B2697,DONGIA,DG!$D$6,0)</f>
        <v>mét</v>
      </c>
      <c r="H2697" s="455">
        <f>H2694*8.5</f>
        <v>0</v>
      </c>
      <c r="I2697" s="329">
        <f>VLOOKUP(B2697,DONGIA,DG!$E$6,0)</f>
        <v>142880</v>
      </c>
      <c r="J2697" s="329"/>
      <c r="K2697" s="329">
        <f>VLOOKUP(B2697,DONGIA,DG!$F$6,0)</f>
        <v>0</v>
      </c>
      <c r="L2697" s="329">
        <f>VLOOKUP(B2697,DONGIA,DG!$G$6,0)</f>
        <v>0</v>
      </c>
      <c r="M2697" s="329">
        <f t="shared" si="759"/>
        <v>0</v>
      </c>
      <c r="N2697" s="329">
        <f t="shared" si="760"/>
        <v>0</v>
      </c>
      <c r="O2697" s="329">
        <f t="shared" si="761"/>
        <v>0</v>
      </c>
      <c r="P2697" s="329">
        <f t="shared" si="762"/>
        <v>0</v>
      </c>
      <c r="Q2697" s="329"/>
      <c r="S2697" s="332">
        <f t="shared" si="750"/>
        <v>0.73899999999999999</v>
      </c>
      <c r="T2697" s="332">
        <f t="shared" si="747"/>
        <v>0</v>
      </c>
    </row>
    <row r="2698" spans="1:20" hidden="1">
      <c r="A2698" s="332" t="s">
        <v>477</v>
      </c>
      <c r="B2698" s="332" t="s">
        <v>1742</v>
      </c>
      <c r="C2698" s="333">
        <f>IF(H2698&lt;&gt;0,1,)</f>
        <v>0</v>
      </c>
      <c r="D2698" s="329"/>
      <c r="E2698" s="328">
        <f>VLOOKUP(B2698,DONGIA,DG!$B$6,0)</f>
        <v>0</v>
      </c>
      <c r="F2698" s="329" t="str">
        <f>VLOOKUP(B2698,DONGIA,DG!$C$6,0)&amp;" (Bắt CB phân đoạn)"</f>
        <v>Cáp đồng bọc CV95 (Bắt CB phân đoạn)</v>
      </c>
      <c r="G2698" s="328" t="str">
        <f>VLOOKUP(B2698,DONGIA,DG!$D$6,0)</f>
        <v>mét</v>
      </c>
      <c r="H2698" s="455">
        <f>H2694*3</f>
        <v>0</v>
      </c>
      <c r="I2698" s="329">
        <f>VLOOKUP(B2698,DONGIA,DG!$E$6,0)</f>
        <v>196130</v>
      </c>
      <c r="J2698" s="329"/>
      <c r="K2698" s="329">
        <f>VLOOKUP(B2698,DONGIA,DG!$F$6,0)</f>
        <v>0</v>
      </c>
      <c r="L2698" s="329">
        <f>VLOOKUP(B2698,DONGIA,DG!$G$6,0)</f>
        <v>0</v>
      </c>
      <c r="M2698" s="329">
        <f>$H2698*I2698</f>
        <v>0</v>
      </c>
      <c r="N2698" s="329">
        <f>$H2698*J2698</f>
        <v>0</v>
      </c>
      <c r="O2698" s="329">
        <f>$H2698*K2698</f>
        <v>0</v>
      </c>
      <c r="P2698" s="329">
        <f>$H2698*L2698</f>
        <v>0</v>
      </c>
      <c r="Q2698" s="329"/>
      <c r="S2698" s="332">
        <f>IFERROR(VLOOKUP(B2698,DONGIA,$S$25,0),0)</f>
        <v>1.008</v>
      </c>
      <c r="T2698" s="332">
        <f>H2698*S2698</f>
        <v>0</v>
      </c>
    </row>
    <row r="2699" spans="1:20" hidden="1">
      <c r="A2699" s="332" t="s">
        <v>477</v>
      </c>
      <c r="B2699" s="332" t="s">
        <v>1116</v>
      </c>
      <c r="C2699" s="333">
        <f t="shared" si="748"/>
        <v>0</v>
      </c>
      <c r="D2699" s="329"/>
      <c r="E2699" s="328"/>
      <c r="F2699" s="329" t="str">
        <f>VLOOKUP(B2699,DONGIA,DG!$C$6,0)</f>
        <v>Đầu cosse ép Cu 95mm2</v>
      </c>
      <c r="G2699" s="328" t="str">
        <f>VLOOKUP(B2699,DONGIA,DG!$D$6,0)</f>
        <v>cái</v>
      </c>
      <c r="H2699" s="329">
        <f>H2694*3+H2694*3*2</f>
        <v>0</v>
      </c>
      <c r="I2699" s="329">
        <f>VLOOKUP(B2699,DONGIA,DG!$E$6,0)</f>
        <v>45000</v>
      </c>
      <c r="J2699" s="329"/>
      <c r="K2699" s="329"/>
      <c r="L2699" s="329"/>
      <c r="M2699" s="329">
        <f t="shared" si="759"/>
        <v>0</v>
      </c>
      <c r="N2699" s="329">
        <f t="shared" si="760"/>
        <v>0</v>
      </c>
      <c r="O2699" s="329">
        <f t="shared" si="761"/>
        <v>0</v>
      </c>
      <c r="P2699" s="329">
        <f t="shared" si="762"/>
        <v>0</v>
      </c>
      <c r="Q2699" s="329"/>
      <c r="S2699" s="332">
        <f t="shared" si="750"/>
        <v>0.2</v>
      </c>
      <c r="T2699" s="332">
        <f t="shared" si="747"/>
        <v>0</v>
      </c>
    </row>
    <row r="2700" spans="1:20" hidden="1">
      <c r="A2700" s="332" t="s">
        <v>477</v>
      </c>
      <c r="B2700" s="332" t="s">
        <v>1113</v>
      </c>
      <c r="C2700" s="333">
        <f t="shared" si="748"/>
        <v>0</v>
      </c>
      <c r="D2700" s="329"/>
      <c r="E2700" s="328"/>
      <c r="F2700" s="329" t="str">
        <f>VLOOKUP(B2700,DONGIA,DG!$C$6,0)</f>
        <v>Đầu cosse ép Cu 70mm2</v>
      </c>
      <c r="G2700" s="328" t="str">
        <f>VLOOKUP(B2700,DONGIA,DG!$D$6,0)</f>
        <v>cái</v>
      </c>
      <c r="H2700" s="329">
        <f>H2694</f>
        <v>0</v>
      </c>
      <c r="I2700" s="329">
        <f>VLOOKUP(B2700,DONGIA,DG!$E$6,0)</f>
        <v>33000</v>
      </c>
      <c r="J2700" s="329"/>
      <c r="K2700" s="329"/>
      <c r="L2700" s="329"/>
      <c r="M2700" s="329">
        <f t="shared" si="759"/>
        <v>0</v>
      </c>
      <c r="N2700" s="329">
        <f t="shared" si="760"/>
        <v>0</v>
      </c>
      <c r="O2700" s="329">
        <f t="shared" si="761"/>
        <v>0</v>
      </c>
      <c r="P2700" s="329">
        <f t="shared" si="762"/>
        <v>0</v>
      </c>
      <c r="Q2700" s="329"/>
      <c r="S2700" s="332">
        <f t="shared" si="750"/>
        <v>0.2</v>
      </c>
      <c r="T2700" s="332">
        <f t="shared" si="747"/>
        <v>0</v>
      </c>
    </row>
    <row r="2701" spans="1:20" hidden="1">
      <c r="A2701" s="332" t="s">
        <v>477</v>
      </c>
      <c r="B2701" s="332" t="s">
        <v>1149</v>
      </c>
      <c r="C2701" s="333">
        <f t="shared" si="748"/>
        <v>0</v>
      </c>
      <c r="D2701" s="329"/>
      <c r="E2701" s="328">
        <f>VLOOKUP(B2701,DONGIA,DG!$B$6,0)</f>
        <v>0</v>
      </c>
      <c r="F2701" s="329" t="str">
        <f>VLOOKUP(B2701,DONGIA,DG!$C$6,0)</f>
        <v>Chụp đầu cosse  95mm2</v>
      </c>
      <c r="G2701" s="328" t="str">
        <f>VLOOKUP(B2701,DONGIA,DG!$D$6,0)</f>
        <v>cái</v>
      </c>
      <c r="H2701" s="329">
        <f>H2699</f>
        <v>0</v>
      </c>
      <c r="I2701" s="329">
        <f>VLOOKUP(B2701,DONGIA,DG!$E$6,0)</f>
        <v>3000</v>
      </c>
      <c r="J2701" s="329"/>
      <c r="K2701" s="329">
        <f>VLOOKUP(B2701,DONGIA,DG!$F$6,0)</f>
        <v>0</v>
      </c>
      <c r="L2701" s="329">
        <f>VLOOKUP(B2701,DONGIA,DG!$G$6,0)</f>
        <v>0</v>
      </c>
      <c r="M2701" s="329">
        <f t="shared" si="759"/>
        <v>0</v>
      </c>
      <c r="N2701" s="329">
        <f t="shared" si="760"/>
        <v>0</v>
      </c>
      <c r="O2701" s="329">
        <f t="shared" si="761"/>
        <v>0</v>
      </c>
      <c r="P2701" s="329">
        <f t="shared" si="762"/>
        <v>0</v>
      </c>
      <c r="Q2701" s="329"/>
      <c r="S2701" s="332">
        <f t="shared" si="750"/>
        <v>0</v>
      </c>
      <c r="T2701" s="332">
        <f t="shared" si="747"/>
        <v>0</v>
      </c>
    </row>
    <row r="2702" spans="1:20" hidden="1">
      <c r="A2702" s="332" t="s">
        <v>477</v>
      </c>
      <c r="B2702" s="332" t="s">
        <v>1147</v>
      </c>
      <c r="C2702" s="333">
        <f t="shared" si="748"/>
        <v>0</v>
      </c>
      <c r="D2702" s="329"/>
      <c r="E2702" s="328">
        <f>VLOOKUP(B2702,DONGIA,DG!$B$6,0)</f>
        <v>0</v>
      </c>
      <c r="F2702" s="329" t="str">
        <f>VLOOKUP(B2702,DONGIA,DG!$C$6,0)</f>
        <v>Chụp đầu cosse  70mm2</v>
      </c>
      <c r="G2702" s="328" t="str">
        <f>VLOOKUP(B2702,DONGIA,DG!$D$6,0)</f>
        <v>cái</v>
      </c>
      <c r="H2702" s="329">
        <f>H2700</f>
        <v>0</v>
      </c>
      <c r="I2702" s="329">
        <f>VLOOKUP(B2702,DONGIA,DG!$E$6,0)</f>
        <v>2000</v>
      </c>
      <c r="J2702" s="329"/>
      <c r="K2702" s="329">
        <f>VLOOKUP(B2702,DONGIA,DG!$F$6,0)</f>
        <v>0</v>
      </c>
      <c r="L2702" s="329">
        <f>VLOOKUP(B2702,DONGIA,DG!$G$6,0)</f>
        <v>0</v>
      </c>
      <c r="M2702" s="329">
        <f t="shared" si="759"/>
        <v>0</v>
      </c>
      <c r="N2702" s="329">
        <f t="shared" si="760"/>
        <v>0</v>
      </c>
      <c r="O2702" s="329">
        <f t="shared" si="761"/>
        <v>0</v>
      </c>
      <c r="P2702" s="329">
        <f t="shared" si="762"/>
        <v>0</v>
      </c>
      <c r="Q2702" s="329"/>
      <c r="S2702" s="332">
        <f t="shared" si="750"/>
        <v>0</v>
      </c>
      <c r="T2702" s="332">
        <f t="shared" si="747"/>
        <v>0</v>
      </c>
    </row>
    <row r="2703" spans="1:20" hidden="1">
      <c r="A2703" s="332" t="s">
        <v>477</v>
      </c>
      <c r="B2703" s="332" t="s">
        <v>1177</v>
      </c>
      <c r="C2703" s="333">
        <f t="shared" si="748"/>
        <v>0</v>
      </c>
      <c r="D2703" s="329"/>
      <c r="E2703" s="328">
        <f>VLOOKUP(B2703,DONGIA,DG!$B$6,0)</f>
        <v>0</v>
      </c>
      <c r="F2703" s="329" t="str">
        <f>VLOOKUP(B2703,DONGIA,DG!$C$6,0)</f>
        <v xml:space="preserve">Ống PVC D90x3,8mm </v>
      </c>
      <c r="G2703" s="328" t="str">
        <f>VLOOKUP(B2703,DONGIA,DG!$D$6,0)</f>
        <v>m</v>
      </c>
      <c r="H2703" s="329">
        <f>H2694*7</f>
        <v>0</v>
      </c>
      <c r="I2703" s="329">
        <f>VLOOKUP(B2703,DONGIA,DG!$E$6,0)</f>
        <v>57000</v>
      </c>
      <c r="J2703" s="329"/>
      <c r="K2703" s="329">
        <f>VLOOKUP(B2703,DONGIA,DG!$F$6,0)</f>
        <v>0</v>
      </c>
      <c r="L2703" s="329">
        <f>VLOOKUP(B2703,DONGIA,DG!$G$6,0)</f>
        <v>0</v>
      </c>
      <c r="M2703" s="329">
        <f t="shared" si="759"/>
        <v>0</v>
      </c>
      <c r="N2703" s="329">
        <f t="shared" si="760"/>
        <v>0</v>
      </c>
      <c r="O2703" s="329">
        <f t="shared" si="761"/>
        <v>0</v>
      </c>
      <c r="P2703" s="329">
        <f t="shared" si="762"/>
        <v>0</v>
      </c>
      <c r="Q2703" s="329"/>
      <c r="S2703" s="332">
        <f t="shared" si="750"/>
        <v>2</v>
      </c>
      <c r="T2703" s="332">
        <f t="shared" si="747"/>
        <v>0</v>
      </c>
    </row>
    <row r="2704" spans="1:20" hidden="1">
      <c r="A2704" s="332" t="s">
        <v>477</v>
      </c>
      <c r="B2704" s="332" t="s">
        <v>2855</v>
      </c>
      <c r="C2704" s="333">
        <f t="shared" si="748"/>
        <v>0</v>
      </c>
      <c r="D2704" s="329"/>
      <c r="E2704" s="328">
        <f>VLOOKUP(B2704,DONGIA,DG!$B$6,0)</f>
        <v>0</v>
      </c>
      <c r="F2704" s="329" t="str">
        <f>VLOOKUP(B2704,DONGIA,DG!$C$6,0)&amp;" (CD-230)"</f>
        <v>Cổ dê kẹp ống PVC φ 90 trụ ghép (có giá nới) (CD-230)</v>
      </c>
      <c r="G2704" s="328" t="str">
        <f>VLOOKUP(B2704,DONGIA,DG!$D$6,0)</f>
        <v>bộ</v>
      </c>
      <c r="H2704" s="329">
        <f>H2694</f>
        <v>0</v>
      </c>
      <c r="I2704" s="329">
        <f>VLOOKUP(B2704,DONGIA,DG!$E$6,0)</f>
        <v>125000</v>
      </c>
      <c r="J2704" s="329"/>
      <c r="K2704" s="329">
        <f>VLOOKUP(B2704,DONGIA,DG!$F$6,0)</f>
        <v>0</v>
      </c>
      <c r="L2704" s="329">
        <f>VLOOKUP(B2704,DONGIA,DG!$G$6,0)</f>
        <v>0</v>
      </c>
      <c r="M2704" s="329">
        <f t="shared" si="759"/>
        <v>0</v>
      </c>
      <c r="N2704" s="329">
        <f t="shared" si="760"/>
        <v>0</v>
      </c>
      <c r="O2704" s="329">
        <f t="shared" si="761"/>
        <v>0</v>
      </c>
      <c r="P2704" s="329">
        <f t="shared" si="762"/>
        <v>0</v>
      </c>
      <c r="Q2704" s="329"/>
      <c r="S2704" s="332">
        <f t="shared" si="750"/>
        <v>1.5</v>
      </c>
      <c r="T2704" s="332">
        <f t="shared" si="747"/>
        <v>0</v>
      </c>
    </row>
    <row r="2705" spans="1:20" hidden="1">
      <c r="A2705" s="332" t="s">
        <v>477</v>
      </c>
      <c r="B2705" s="332" t="s">
        <v>2855</v>
      </c>
      <c r="C2705" s="333">
        <f t="shared" si="748"/>
        <v>0</v>
      </c>
      <c r="D2705" s="329"/>
      <c r="E2705" s="328">
        <f>VLOOKUP(B2705,DONGIA,DG!$B$6,0)</f>
        <v>0</v>
      </c>
      <c r="F2705" s="329" t="str">
        <f>VLOOKUP(B2705,DONGIA,DG!$C$6,0)&amp;" (CD-280)"</f>
        <v>Cổ dê kẹp ống PVC φ 90 trụ ghép (có giá nới) (CD-280)</v>
      </c>
      <c r="G2705" s="328" t="str">
        <f>VLOOKUP(B2705,DONGIA,DG!$D$6,0)</f>
        <v>bộ</v>
      </c>
      <c r="H2705" s="329">
        <f>H2694</f>
        <v>0</v>
      </c>
      <c r="I2705" s="329">
        <f>VLOOKUP(B2705,DONGIA,DG!$E$6,0)</f>
        <v>125000</v>
      </c>
      <c r="J2705" s="329"/>
      <c r="K2705" s="329">
        <f>VLOOKUP(B2705,DONGIA,DG!$F$6,0)</f>
        <v>0</v>
      </c>
      <c r="L2705" s="329">
        <f>VLOOKUP(B2705,DONGIA,DG!$G$6,0)</f>
        <v>0</v>
      </c>
      <c r="M2705" s="329">
        <f t="shared" si="759"/>
        <v>0</v>
      </c>
      <c r="N2705" s="329">
        <f t="shared" si="760"/>
        <v>0</v>
      </c>
      <c r="O2705" s="329">
        <f t="shared" si="761"/>
        <v>0</v>
      </c>
      <c r="P2705" s="329">
        <f t="shared" si="762"/>
        <v>0</v>
      </c>
      <c r="Q2705" s="329"/>
      <c r="S2705" s="332">
        <f t="shared" si="750"/>
        <v>1.5</v>
      </c>
      <c r="T2705" s="332">
        <f t="shared" si="747"/>
        <v>0</v>
      </c>
    </row>
    <row r="2706" spans="1:20" hidden="1">
      <c r="A2706" s="332" t="s">
        <v>477</v>
      </c>
      <c r="B2706" s="332" t="s">
        <v>2855</v>
      </c>
      <c r="C2706" s="333">
        <f t="shared" si="748"/>
        <v>0</v>
      </c>
      <c r="D2706" s="329"/>
      <c r="E2706" s="328">
        <f>VLOOKUP(B2706,DONGIA,DG!$B$6,0)</f>
        <v>0</v>
      </c>
      <c r="F2706" s="329" t="str">
        <f>VLOOKUP(B2706,DONGIA,DG!$C$6,0)&amp;" (CD-320)"</f>
        <v>Cổ dê kẹp ống PVC φ 90 trụ ghép (có giá nới) (CD-320)</v>
      </c>
      <c r="G2706" s="328" t="str">
        <f>VLOOKUP(B2706,DONGIA,DG!$D$6,0)</f>
        <v>bộ</v>
      </c>
      <c r="H2706" s="329">
        <f>H2694</f>
        <v>0</v>
      </c>
      <c r="I2706" s="329">
        <f>VLOOKUP(B2706,DONGIA,DG!$E$6,0)</f>
        <v>125000</v>
      </c>
      <c r="J2706" s="329"/>
      <c r="K2706" s="329">
        <f>VLOOKUP(B2706,DONGIA,DG!$F$6,0)</f>
        <v>0</v>
      </c>
      <c r="L2706" s="329">
        <f>VLOOKUP(B2706,DONGIA,DG!$G$6,0)</f>
        <v>0</v>
      </c>
      <c r="M2706" s="329">
        <f t="shared" si="759"/>
        <v>0</v>
      </c>
      <c r="N2706" s="329">
        <f t="shared" si="760"/>
        <v>0</v>
      </c>
      <c r="O2706" s="329">
        <f t="shared" si="761"/>
        <v>0</v>
      </c>
      <c r="P2706" s="329">
        <f t="shared" si="762"/>
        <v>0</v>
      </c>
      <c r="Q2706" s="329"/>
      <c r="S2706" s="332">
        <f t="shared" si="750"/>
        <v>1.5</v>
      </c>
      <c r="T2706" s="332">
        <f t="shared" si="747"/>
        <v>0</v>
      </c>
    </row>
    <row r="2707" spans="1:20" hidden="1">
      <c r="A2707" s="332" t="s">
        <v>477</v>
      </c>
      <c r="B2707" s="332" t="s">
        <v>1203</v>
      </c>
      <c r="C2707" s="333">
        <f t="shared" si="748"/>
        <v>0</v>
      </c>
      <c r="D2707" s="329"/>
      <c r="E2707" s="328">
        <f>VLOOKUP(B2707,DONGIA,DG!$B$6,0)</f>
        <v>0</v>
      </c>
      <c r="F2707" s="329" t="str">
        <f>VLOOKUP(B2707,DONGIA,DG!$C$6,0)</f>
        <v>Khâu ven răng trong D90</v>
      </c>
      <c r="G2707" s="328" t="str">
        <f>VLOOKUP(B2707,DONGIA,DG!$D$6,0)</f>
        <v>cái</v>
      </c>
      <c r="H2707" s="329">
        <f>H2694</f>
        <v>0</v>
      </c>
      <c r="I2707" s="329">
        <f>VLOOKUP(B2707,DONGIA,DG!$E$6,0)</f>
        <v>25800</v>
      </c>
      <c r="J2707" s="329"/>
      <c r="K2707" s="329">
        <f>VLOOKUP(B2707,DONGIA,DG!$F$6,0)</f>
        <v>0</v>
      </c>
      <c r="L2707" s="329">
        <f>VLOOKUP(B2707,DONGIA,DG!$G$6,0)</f>
        <v>0</v>
      </c>
      <c r="M2707" s="329">
        <f t="shared" si="759"/>
        <v>0</v>
      </c>
      <c r="N2707" s="329">
        <f t="shared" si="760"/>
        <v>0</v>
      </c>
      <c r="O2707" s="329">
        <f t="shared" si="761"/>
        <v>0</v>
      </c>
      <c r="P2707" s="329">
        <f t="shared" si="762"/>
        <v>0</v>
      </c>
      <c r="Q2707" s="329"/>
      <c r="S2707" s="332">
        <f t="shared" si="750"/>
        <v>0</v>
      </c>
      <c r="T2707" s="332">
        <f t="shared" si="747"/>
        <v>0</v>
      </c>
    </row>
    <row r="2708" spans="1:20" hidden="1">
      <c r="A2708" s="332" t="s">
        <v>477</v>
      </c>
      <c r="B2708" s="332" t="s">
        <v>1209</v>
      </c>
      <c r="C2708" s="333">
        <f t="shared" si="748"/>
        <v>0</v>
      </c>
      <c r="D2708" s="329"/>
      <c r="E2708" s="328">
        <f>VLOOKUP(B2708,DONGIA,DG!$B$6,0)</f>
        <v>0</v>
      </c>
      <c r="F2708" s="329" t="str">
        <f>VLOOKUP(B2708,DONGIA,DG!$C$6,0)</f>
        <v>Khâu ven răng ngoài D90</v>
      </c>
      <c r="G2708" s="328" t="str">
        <f>VLOOKUP(B2708,DONGIA,DG!$D$6,0)</f>
        <v>cái</v>
      </c>
      <c r="H2708" s="329">
        <f>H2707</f>
        <v>0</v>
      </c>
      <c r="I2708" s="329">
        <f>VLOOKUP(B2708,DONGIA,DG!$E$6,0)</f>
        <v>21500</v>
      </c>
      <c r="J2708" s="329"/>
      <c r="K2708" s="329">
        <f>VLOOKUP(B2708,DONGIA,DG!$F$6,0)</f>
        <v>0</v>
      </c>
      <c r="L2708" s="329">
        <f>VLOOKUP(B2708,DONGIA,DG!$G$6,0)</f>
        <v>0</v>
      </c>
      <c r="M2708" s="329">
        <f t="shared" si="759"/>
        <v>0</v>
      </c>
      <c r="N2708" s="329">
        <f t="shared" si="760"/>
        <v>0</v>
      </c>
      <c r="O2708" s="329">
        <f t="shared" si="761"/>
        <v>0</v>
      </c>
      <c r="P2708" s="329">
        <f t="shared" si="762"/>
        <v>0</v>
      </c>
      <c r="Q2708" s="329"/>
      <c r="S2708" s="332">
        <f t="shared" si="750"/>
        <v>0</v>
      </c>
      <c r="T2708" s="332">
        <f t="shared" si="747"/>
        <v>0</v>
      </c>
    </row>
    <row r="2709" spans="1:20" hidden="1">
      <c r="A2709" s="332" t="s">
        <v>477</v>
      </c>
      <c r="B2709" s="332" t="s">
        <v>1183</v>
      </c>
      <c r="C2709" s="333">
        <f t="shared" ref="C2709:C2728" si="763">IF(H2709&lt;&gt;0,1,)</f>
        <v>0</v>
      </c>
      <c r="D2709" s="329"/>
      <c r="E2709" s="328">
        <f>VLOOKUP(B2709,DONGIA,DG!$B$6,0)</f>
        <v>0</v>
      </c>
      <c r="F2709" s="329" t="str">
        <f>VLOOKUP(B2709,DONGIA,DG!$C$6,0)</f>
        <v>Co  90 độ PVC 90</v>
      </c>
      <c r="G2709" s="328" t="str">
        <f>VLOOKUP(B2709,DONGIA,DG!$D$6,0)</f>
        <v>cái</v>
      </c>
      <c r="H2709" s="329">
        <f>H2694*2</f>
        <v>0</v>
      </c>
      <c r="I2709" s="329">
        <f>VLOOKUP(B2709,DONGIA,DG!$E$6,0)</f>
        <v>45400</v>
      </c>
      <c r="J2709" s="329"/>
      <c r="K2709" s="329">
        <f>VLOOKUP(B2709,DONGIA,DG!$F$6,0)</f>
        <v>0</v>
      </c>
      <c r="L2709" s="329">
        <f>VLOOKUP(B2709,DONGIA,DG!$G$6,0)</f>
        <v>0</v>
      </c>
      <c r="M2709" s="329">
        <f t="shared" si="759"/>
        <v>0</v>
      </c>
      <c r="N2709" s="329">
        <f t="shared" si="760"/>
        <v>0</v>
      </c>
      <c r="O2709" s="329">
        <f t="shared" si="761"/>
        <v>0</v>
      </c>
      <c r="P2709" s="329">
        <f t="shared" si="762"/>
        <v>0</v>
      </c>
      <c r="Q2709" s="329"/>
      <c r="S2709" s="332">
        <f t="shared" si="750"/>
        <v>0</v>
      </c>
      <c r="T2709" s="332">
        <f t="shared" ref="T2709:T2731" si="764">H2709*S2709</f>
        <v>0</v>
      </c>
    </row>
    <row r="2710" spans="1:20" hidden="1">
      <c r="A2710" s="332" t="s">
        <v>477</v>
      </c>
      <c r="B2710" s="332" t="s">
        <v>2956</v>
      </c>
      <c r="C2710" s="333">
        <f>IF(H2710&lt;&gt;0,1,)</f>
        <v>0</v>
      </c>
      <c r="D2710" s="329"/>
      <c r="E2710" s="328">
        <f>VLOOKUP(B2710,DONGIA,DG!$B$6,0)</f>
        <v>0</v>
      </c>
      <c r="F2710" s="329" t="str">
        <f>VLOOKUP(B2710,DONGIA,DG!$C$6,0)</f>
        <v>Co  90 độ PVC 90 (Loại dày)</v>
      </c>
      <c r="G2710" s="328" t="str">
        <f>VLOOKUP(B2710,DONGIA,DG!$D$6,0)</f>
        <v>cái</v>
      </c>
      <c r="H2710" s="329">
        <f>H2694</f>
        <v>0</v>
      </c>
      <c r="I2710" s="329">
        <f>VLOOKUP(B2710,DONGIA,DG!$E$6,0)</f>
        <v>45400</v>
      </c>
      <c r="J2710" s="329"/>
      <c r="K2710" s="329">
        <f>VLOOKUP(B2710,DONGIA,DG!$F$6,0)</f>
        <v>0</v>
      </c>
      <c r="L2710" s="329">
        <f>VLOOKUP(B2710,DONGIA,DG!$G$6,0)</f>
        <v>0</v>
      </c>
      <c r="M2710" s="329">
        <f>$H2710*I2710</f>
        <v>0</v>
      </c>
      <c r="N2710" s="329">
        <f>$H2710*J2710</f>
        <v>0</v>
      </c>
      <c r="O2710" s="329">
        <f>$H2710*K2710</f>
        <v>0</v>
      </c>
      <c r="P2710" s="329">
        <f>$H2710*L2710</f>
        <v>0</v>
      </c>
      <c r="Q2710" s="329"/>
      <c r="S2710" s="332">
        <f>IFERROR(VLOOKUP(B2710,DONGIA,$S$25,0),0)</f>
        <v>0</v>
      </c>
      <c r="T2710" s="332">
        <f>H2710*S2710</f>
        <v>0</v>
      </c>
    </row>
    <row r="2711" spans="1:20" hidden="1">
      <c r="A2711" s="332" t="s">
        <v>477</v>
      </c>
      <c r="B2711" s="332" t="s">
        <v>1181</v>
      </c>
      <c r="C2711" s="333">
        <f t="shared" si="763"/>
        <v>0</v>
      </c>
      <c r="D2711" s="329"/>
      <c r="E2711" s="328">
        <f>VLOOKUP(B2711,DONGIA,DG!$B$6,0)</f>
        <v>0</v>
      </c>
      <c r="F2711" s="329" t="str">
        <f>VLOOKUP(B2711,DONGIA,DG!$C$6,0)</f>
        <v>Co 135 độ PVC 90</v>
      </c>
      <c r="G2711" s="328" t="str">
        <f>VLOOKUP(B2711,DONGIA,DG!$D$6,0)</f>
        <v>cái</v>
      </c>
      <c r="H2711" s="329">
        <f>H2694</f>
        <v>0</v>
      </c>
      <c r="I2711" s="329">
        <f>VLOOKUP(B2711,DONGIA,DG!$E$6,0)</f>
        <v>34800</v>
      </c>
      <c r="J2711" s="329"/>
      <c r="K2711" s="329">
        <f>VLOOKUP(B2711,DONGIA,DG!$F$6,0)</f>
        <v>0</v>
      </c>
      <c r="L2711" s="329">
        <f>VLOOKUP(B2711,DONGIA,DG!$G$6,0)</f>
        <v>0</v>
      </c>
      <c r="M2711" s="329">
        <f t="shared" si="759"/>
        <v>0</v>
      </c>
      <c r="N2711" s="329">
        <f t="shared" si="760"/>
        <v>0</v>
      </c>
      <c r="O2711" s="329">
        <f t="shared" si="761"/>
        <v>0</v>
      </c>
      <c r="P2711" s="329">
        <f t="shared" si="762"/>
        <v>0</v>
      </c>
      <c r="Q2711" s="329"/>
      <c r="S2711" s="332">
        <f t="shared" ref="S2711:S2731" si="765">IFERROR(VLOOKUP(B2711,DONGIA,$S$25,0),0)</f>
        <v>0</v>
      </c>
      <c r="T2711" s="332">
        <f t="shared" si="764"/>
        <v>0</v>
      </c>
    </row>
    <row r="2712" spans="1:20" hidden="1">
      <c r="A2712" s="332" t="s">
        <v>477</v>
      </c>
      <c r="B2712" s="332" t="s">
        <v>1914</v>
      </c>
      <c r="C2712" s="333">
        <f t="shared" si="763"/>
        <v>0</v>
      </c>
      <c r="D2712" s="329"/>
      <c r="E2712" s="328">
        <f>VLOOKUP(B2712,DONGIA,DG!$B$6,0)</f>
        <v>0</v>
      </c>
      <c r="F2712" s="329" t="str">
        <f>VLOOKUP(B2712,DONGIA,DG!$C$6,0)</f>
        <v>Keo dán ống PVC (100gr)</v>
      </c>
      <c r="G2712" s="328" t="str">
        <f>VLOOKUP(B2712,DONGIA,DG!$D$6,0)</f>
        <v>tuýp</v>
      </c>
      <c r="H2712" s="329">
        <f>H2694</f>
        <v>0</v>
      </c>
      <c r="I2712" s="329">
        <f>VLOOKUP(B2712,DONGIA,DG!$E$6,0)</f>
        <v>11500</v>
      </c>
      <c r="J2712" s="329"/>
      <c r="K2712" s="329">
        <f>VLOOKUP(B2712,DONGIA,DG!$F$6,0)</f>
        <v>0</v>
      </c>
      <c r="L2712" s="329">
        <f>VLOOKUP(B2712,DONGIA,DG!$G$6,0)</f>
        <v>0</v>
      </c>
      <c r="M2712" s="329">
        <f t="shared" si="759"/>
        <v>0</v>
      </c>
      <c r="N2712" s="329">
        <f t="shared" si="760"/>
        <v>0</v>
      </c>
      <c r="O2712" s="329">
        <f t="shared" si="761"/>
        <v>0</v>
      </c>
      <c r="P2712" s="329">
        <f t="shared" si="762"/>
        <v>0</v>
      </c>
      <c r="Q2712" s="329"/>
      <c r="S2712" s="332">
        <f t="shared" si="765"/>
        <v>0</v>
      </c>
      <c r="T2712" s="332">
        <f t="shared" si="764"/>
        <v>0</v>
      </c>
    </row>
    <row r="2713" spans="1:20" hidden="1">
      <c r="A2713" s="332" t="s">
        <v>477</v>
      </c>
      <c r="B2713" s="332" t="s">
        <v>1195</v>
      </c>
      <c r="C2713" s="333">
        <f t="shared" si="763"/>
        <v>0</v>
      </c>
      <c r="D2713" s="329"/>
      <c r="E2713" s="328">
        <f>VLOOKUP(B2713,DONGIA,DG!$B$6,0)</f>
        <v>0</v>
      </c>
      <c r="F2713" s="329" t="str">
        <f>VLOOKUP(B2713,DONGIA,DG!$C$6,0)</f>
        <v>Keo silicon bít miệng ống</v>
      </c>
      <c r="G2713" s="328" t="str">
        <f>VLOOKUP(B2713,DONGIA,DG!$D$6,0)</f>
        <v>ống</v>
      </c>
      <c r="H2713" s="329"/>
      <c r="I2713" s="329">
        <f>VLOOKUP(B2713,DONGIA,DG!$E$6,0)</f>
        <v>45000</v>
      </c>
      <c r="J2713" s="329"/>
      <c r="K2713" s="329">
        <f>VLOOKUP(B2713,DONGIA,DG!$F$6,0)</f>
        <v>0</v>
      </c>
      <c r="L2713" s="329">
        <f>VLOOKUP(B2713,DONGIA,DG!$G$6,0)</f>
        <v>0</v>
      </c>
      <c r="M2713" s="329">
        <f t="shared" si="759"/>
        <v>0</v>
      </c>
      <c r="N2713" s="329">
        <f t="shared" si="760"/>
        <v>0</v>
      </c>
      <c r="O2713" s="329">
        <f t="shared" si="761"/>
        <v>0</v>
      </c>
      <c r="P2713" s="329">
        <f t="shared" si="762"/>
        <v>0</v>
      </c>
      <c r="Q2713" s="329"/>
      <c r="S2713" s="332">
        <f t="shared" si="765"/>
        <v>0</v>
      </c>
      <c r="T2713" s="332">
        <f t="shared" si="764"/>
        <v>0</v>
      </c>
    </row>
    <row r="2714" spans="1:20" hidden="1">
      <c r="B2714" s="332" t="s">
        <v>1193</v>
      </c>
      <c r="C2714" s="333">
        <f t="shared" si="763"/>
        <v>0</v>
      </c>
      <c r="D2714" s="328"/>
      <c r="E2714" s="328">
        <f>VLOOKUP(B2714,DONGIA,DG!$B$6,0)</f>
        <v>0</v>
      </c>
      <c r="F2714" s="329" t="str">
        <f>VLOOKUP(B2714,DONGIA,DG!$C$6,0)</f>
        <v>Băng keo cách điện</v>
      </c>
      <c r="G2714" s="328" t="str">
        <f>VLOOKUP(B2714,DONGIA,DG!$D$6,0)</f>
        <v>cuộn</v>
      </c>
      <c r="H2714" s="329">
        <f>ROUNDUP(H2694/2,0)</f>
        <v>0</v>
      </c>
      <c r="I2714" s="329">
        <f>VLOOKUP(B2714,DONGIA,DG!$E$6,0)</f>
        <v>6500</v>
      </c>
      <c r="J2714" s="329"/>
      <c r="K2714" s="329">
        <f>VLOOKUP(B2714,DONGIA,DG!$F$6,0)</f>
        <v>0</v>
      </c>
      <c r="L2714" s="329">
        <f>VLOOKUP(B2714,DONGIA,DG!$G$6,0)</f>
        <v>0</v>
      </c>
      <c r="M2714" s="329">
        <f t="shared" si="759"/>
        <v>0</v>
      </c>
      <c r="N2714" s="329">
        <f t="shared" si="760"/>
        <v>0</v>
      </c>
      <c r="O2714" s="329">
        <f t="shared" si="761"/>
        <v>0</v>
      </c>
      <c r="P2714" s="329">
        <f t="shared" si="762"/>
        <v>0</v>
      </c>
      <c r="Q2714" s="329"/>
      <c r="S2714" s="332">
        <f t="shared" si="765"/>
        <v>0</v>
      </c>
      <c r="T2714" s="332">
        <f t="shared" si="764"/>
        <v>0</v>
      </c>
    </row>
    <row r="2715" spans="1:20" hidden="1">
      <c r="B2715" s="332" t="s">
        <v>2979</v>
      </c>
      <c r="C2715" s="333">
        <f t="shared" si="763"/>
        <v>0</v>
      </c>
      <c r="D2715" s="328"/>
      <c r="E2715" s="328">
        <f>VLOOKUP(B2715,DONGIA,DG!$B$6,0)</f>
        <v>0</v>
      </c>
      <c r="F2715" s="329" t="str">
        <f>VLOOKUP(B2715,DONGIA,DG!$C$6,0)</f>
        <v>Băng keo cách điện (Màu vàng)</v>
      </c>
      <c r="G2715" s="328" t="str">
        <f>VLOOKUP(B2715,DONGIA,DG!$D$6,0)</f>
        <v>cuộn</v>
      </c>
      <c r="H2715" s="329">
        <f>ROUNDUP(H2694/2,0)</f>
        <v>0</v>
      </c>
      <c r="I2715" s="329">
        <f>VLOOKUP(B2715,DONGIA,DG!$E$6,0)</f>
        <v>6500</v>
      </c>
      <c r="J2715" s="329"/>
      <c r="K2715" s="329">
        <f>VLOOKUP(B2715,DONGIA,DG!$F$6,0)</f>
        <v>0</v>
      </c>
      <c r="L2715" s="329">
        <f>VLOOKUP(B2715,DONGIA,DG!$G$6,0)</f>
        <v>0</v>
      </c>
      <c r="M2715" s="329">
        <f t="shared" si="759"/>
        <v>0</v>
      </c>
      <c r="N2715" s="329">
        <f t="shared" si="760"/>
        <v>0</v>
      </c>
      <c r="O2715" s="329">
        <f t="shared" si="761"/>
        <v>0</v>
      </c>
      <c r="P2715" s="329">
        <f t="shared" si="762"/>
        <v>0</v>
      </c>
      <c r="Q2715" s="329"/>
      <c r="S2715" s="332">
        <f t="shared" si="765"/>
        <v>0</v>
      </c>
      <c r="T2715" s="332">
        <f t="shared" si="764"/>
        <v>0</v>
      </c>
    </row>
    <row r="2716" spans="1:20" hidden="1">
      <c r="B2716" s="332" t="s">
        <v>2980</v>
      </c>
      <c r="C2716" s="333">
        <f t="shared" si="763"/>
        <v>0</v>
      </c>
      <c r="D2716" s="328"/>
      <c r="E2716" s="328">
        <f>VLOOKUP(B2716,DONGIA,DG!$B$6,0)</f>
        <v>0</v>
      </c>
      <c r="F2716" s="329" t="str">
        <f>VLOOKUP(B2716,DONGIA,DG!$C$6,0)</f>
        <v>Băng keo cách điện (Màu xanh)</v>
      </c>
      <c r="G2716" s="328" t="str">
        <f>VLOOKUP(B2716,DONGIA,DG!$D$6,0)</f>
        <v>cuộn</v>
      </c>
      <c r="H2716" s="329">
        <f>ROUNDUP(H2694/2,0)</f>
        <v>0</v>
      </c>
      <c r="I2716" s="329">
        <f>VLOOKUP(B2716,DONGIA,DG!$E$6,0)</f>
        <v>6500</v>
      </c>
      <c r="J2716" s="329"/>
      <c r="K2716" s="329">
        <f>VLOOKUP(B2716,DONGIA,DG!$F$6,0)</f>
        <v>0</v>
      </c>
      <c r="L2716" s="329">
        <f>VLOOKUP(B2716,DONGIA,DG!$G$6,0)</f>
        <v>0</v>
      </c>
      <c r="M2716" s="329">
        <f t="shared" si="759"/>
        <v>0</v>
      </c>
      <c r="N2716" s="329">
        <f t="shared" si="760"/>
        <v>0</v>
      </c>
      <c r="O2716" s="329">
        <f t="shared" si="761"/>
        <v>0</v>
      </c>
      <c r="P2716" s="329">
        <f t="shared" si="762"/>
        <v>0</v>
      </c>
      <c r="Q2716" s="329"/>
      <c r="S2716" s="332">
        <f t="shared" si="765"/>
        <v>0</v>
      </c>
      <c r="T2716" s="332">
        <f t="shared" si="764"/>
        <v>0</v>
      </c>
    </row>
    <row r="2717" spans="1:20" hidden="1">
      <c r="B2717" s="332" t="s">
        <v>2981</v>
      </c>
      <c r="C2717" s="333">
        <f t="shared" si="763"/>
        <v>0</v>
      </c>
      <c r="D2717" s="328"/>
      <c r="E2717" s="328">
        <f>VLOOKUP(B2717,DONGIA,DG!$B$6,0)</f>
        <v>0</v>
      </c>
      <c r="F2717" s="329" t="str">
        <f>VLOOKUP(B2717,DONGIA,DG!$C$6,0)</f>
        <v>Băng keo cách điện (Màu đỏ)</v>
      </c>
      <c r="G2717" s="328" t="str">
        <f>VLOOKUP(B2717,DONGIA,DG!$D$6,0)</f>
        <v>cuộn</v>
      </c>
      <c r="H2717" s="329">
        <f>ROUNDUP(H2694/2,0)</f>
        <v>0</v>
      </c>
      <c r="I2717" s="329">
        <f>VLOOKUP(B2717,DONGIA,DG!$E$6,0)</f>
        <v>6500</v>
      </c>
      <c r="J2717" s="329"/>
      <c r="K2717" s="329">
        <f>VLOOKUP(B2717,DONGIA,DG!$F$6,0)</f>
        <v>0</v>
      </c>
      <c r="L2717" s="329">
        <f>VLOOKUP(B2717,DONGIA,DG!$G$6,0)</f>
        <v>0</v>
      </c>
      <c r="M2717" s="329">
        <f t="shared" si="759"/>
        <v>0</v>
      </c>
      <c r="N2717" s="329">
        <f t="shared" si="760"/>
        <v>0</v>
      </c>
      <c r="O2717" s="329">
        <f t="shared" si="761"/>
        <v>0</v>
      </c>
      <c r="P2717" s="329">
        <f t="shared" si="762"/>
        <v>0</v>
      </c>
      <c r="Q2717" s="329"/>
      <c r="S2717" s="332">
        <f t="shared" si="765"/>
        <v>0</v>
      </c>
      <c r="T2717" s="332">
        <f t="shared" si="764"/>
        <v>0</v>
      </c>
    </row>
    <row r="2718" spans="1:20" hidden="1">
      <c r="A2718" s="332" t="s">
        <v>477</v>
      </c>
      <c r="B2718" s="332" t="s">
        <v>389</v>
      </c>
      <c r="C2718" s="333">
        <f t="shared" ref="C2718:C2725" si="766">IF(H2718&lt;&gt;0,1,)</f>
        <v>0</v>
      </c>
      <c r="D2718" s="329"/>
      <c r="E2718" s="328" t="str">
        <f>VLOOKUP(B2718,DONGIA,DG!$B$6,0)</f>
        <v>D3.4011</v>
      </c>
      <c r="F2718" s="329" t="str">
        <f>VLOOKUP(B2718,DONGIA,DG!$C$6,0)</f>
        <v>Ống nối dây AC cỡ 70mm2 (Không lõi thép)</v>
      </c>
      <c r="G2718" s="328" t="str">
        <f>VLOOKUP(B2718,DONGIA,DG!$D$6,0)</f>
        <v>cái</v>
      </c>
      <c r="H2718" s="329"/>
      <c r="I2718" s="329">
        <f>VLOOKUP(B2718,DONGIA,DG!$E$6,0)</f>
        <v>42000</v>
      </c>
      <c r="J2718" s="329"/>
      <c r="K2718" s="329">
        <f>VLOOKUP(B2718,DONGIA,DG!$F$6,0)</f>
        <v>259649</v>
      </c>
      <c r="L2718" s="329">
        <f>VLOOKUP(B2718,DONGIA,DG!$G$6,0)</f>
        <v>4713</v>
      </c>
      <c r="M2718" s="329">
        <f t="shared" ref="M2718:P2725" si="767">$H2718*I2718</f>
        <v>0</v>
      </c>
      <c r="N2718" s="329">
        <f t="shared" si="767"/>
        <v>0</v>
      </c>
      <c r="O2718" s="329">
        <f t="shared" si="767"/>
        <v>0</v>
      </c>
      <c r="P2718" s="329">
        <f t="shared" si="767"/>
        <v>0</v>
      </c>
      <c r="Q2718" s="329"/>
      <c r="S2718" s="332">
        <f t="shared" si="765"/>
        <v>2</v>
      </c>
      <c r="T2718" s="332">
        <f t="shared" ref="T2718:T2725" si="768">H2718*S2718</f>
        <v>0</v>
      </c>
    </row>
    <row r="2719" spans="1:20" hidden="1">
      <c r="A2719" s="332" t="s">
        <v>477</v>
      </c>
      <c r="B2719" s="332" t="s">
        <v>390</v>
      </c>
      <c r="C2719" s="333">
        <f t="shared" si="766"/>
        <v>0</v>
      </c>
      <c r="D2719" s="329"/>
      <c r="E2719" s="328"/>
      <c r="F2719" s="329" t="str">
        <f>VLOOKUP(B2719,DONGIA,DG!$C$6,0)</f>
        <v>Ống nối dây AC cỡ 95mm2 (Không lõi thép)</v>
      </c>
      <c r="G2719" s="328" t="str">
        <f>VLOOKUP(B2719,DONGIA,DG!$D$6,0)</f>
        <v>cái</v>
      </c>
      <c r="H2719" s="455"/>
      <c r="I2719" s="329">
        <f>VLOOKUP(B2719,DONGIA,DG!$E$6,0)</f>
        <v>48000</v>
      </c>
      <c r="J2719" s="329"/>
      <c r="K2719" s="329"/>
      <c r="L2719" s="329"/>
      <c r="M2719" s="329">
        <f t="shared" si="767"/>
        <v>0</v>
      </c>
      <c r="N2719" s="329">
        <f t="shared" si="767"/>
        <v>0</v>
      </c>
      <c r="O2719" s="329">
        <f t="shared" si="767"/>
        <v>0</v>
      </c>
      <c r="P2719" s="329">
        <f t="shared" si="767"/>
        <v>0</v>
      </c>
      <c r="Q2719" s="329"/>
      <c r="S2719" s="332">
        <f t="shared" ref="S2719:S2725" si="769">IFERROR(VLOOKUP(B2719,DONGIA,$S$25,0),0)</f>
        <v>2.5</v>
      </c>
      <c r="T2719" s="332">
        <f t="shared" si="768"/>
        <v>0</v>
      </c>
    </row>
    <row r="2720" spans="1:20" hidden="1">
      <c r="A2720" s="332" t="s">
        <v>477</v>
      </c>
      <c r="B2720" s="332" t="s">
        <v>391</v>
      </c>
      <c r="C2720" s="333">
        <f t="shared" si="766"/>
        <v>0</v>
      </c>
      <c r="D2720" s="329"/>
      <c r="E2720" s="328"/>
      <c r="F2720" s="329" t="str">
        <f>VLOOKUP(B2720,DONGIA,DG!$C$6,0)</f>
        <v>Ống nối dây AC cỡ 120mm2 (Không lõi thép)</v>
      </c>
      <c r="G2720" s="328" t="str">
        <f>VLOOKUP(B2720,DONGIA,DG!$D$6,0)</f>
        <v>cái</v>
      </c>
      <c r="H2720" s="455"/>
      <c r="I2720" s="329">
        <f>VLOOKUP(B2720,DONGIA,DG!$E$6,0)</f>
        <v>69000</v>
      </c>
      <c r="J2720" s="329"/>
      <c r="K2720" s="329"/>
      <c r="L2720" s="329"/>
      <c r="M2720" s="329">
        <f t="shared" si="767"/>
        <v>0</v>
      </c>
      <c r="N2720" s="329">
        <f t="shared" si="767"/>
        <v>0</v>
      </c>
      <c r="O2720" s="329">
        <f t="shared" si="767"/>
        <v>0</v>
      </c>
      <c r="P2720" s="329">
        <f t="shared" si="767"/>
        <v>0</v>
      </c>
      <c r="Q2720" s="329"/>
      <c r="S2720" s="332">
        <f t="shared" si="769"/>
        <v>2</v>
      </c>
      <c r="T2720" s="332">
        <f t="shared" si="768"/>
        <v>0</v>
      </c>
    </row>
    <row r="2721" spans="1:20" hidden="1">
      <c r="A2721" s="332" t="s">
        <v>477</v>
      </c>
      <c r="B2721" s="332" t="s">
        <v>396</v>
      </c>
      <c r="C2721" s="333">
        <f t="shared" si="766"/>
        <v>0</v>
      </c>
      <c r="D2721" s="329"/>
      <c r="E2721" s="328">
        <f>VLOOKUP(B2721,DONGIA,DG!$B$6,0)</f>
        <v>0</v>
      </c>
      <c r="F2721" s="329" t="str">
        <f>VLOOKUP(B2721,DONGIA,DG!$C$6,0)</f>
        <v>Ống bọc cách điện D30/15</v>
      </c>
      <c r="G2721" s="328" t="str">
        <f>VLOOKUP(B2721,DONGIA,DG!$D$6,0)</f>
        <v>mét</v>
      </c>
      <c r="H2721" s="455"/>
      <c r="I2721" s="329">
        <f>VLOOKUP(B2721,DONGIA,DG!$E$6,0)</f>
        <v>95000</v>
      </c>
      <c r="J2721" s="329"/>
      <c r="K2721" s="329">
        <f>VLOOKUP(B2721,DONGIA,DG!$F$6,0)</f>
        <v>0</v>
      </c>
      <c r="L2721" s="329">
        <f>VLOOKUP(B2721,DONGIA,DG!$G$6,0)</f>
        <v>0</v>
      </c>
      <c r="M2721" s="329">
        <f t="shared" si="767"/>
        <v>0</v>
      </c>
      <c r="N2721" s="329">
        <f t="shared" si="767"/>
        <v>0</v>
      </c>
      <c r="O2721" s="329">
        <f t="shared" si="767"/>
        <v>0</v>
      </c>
      <c r="P2721" s="329">
        <f t="shared" si="767"/>
        <v>0</v>
      </c>
      <c r="Q2721" s="329"/>
      <c r="S2721" s="332">
        <f t="shared" si="769"/>
        <v>0</v>
      </c>
      <c r="T2721" s="332">
        <f t="shared" si="768"/>
        <v>0</v>
      </c>
    </row>
    <row r="2722" spans="1:20" hidden="1">
      <c r="A2722" s="332" t="s">
        <v>477</v>
      </c>
      <c r="B2722" s="332" t="s">
        <v>292</v>
      </c>
      <c r="C2722" s="333">
        <f t="shared" si="766"/>
        <v>0</v>
      </c>
      <c r="D2722" s="329"/>
      <c r="E2722" s="328" t="str">
        <f>VLOOKUP(B2722,DONGIA,DG!$B$6,0)</f>
        <v>D4.6204</v>
      </c>
      <c r="F2722" s="329" t="str">
        <f>VLOOKUP(B2722,DONGIA,DG!$C$6,0)</f>
        <v>Kẹp ngừng cáp ABC4x70mm2</v>
      </c>
      <c r="G2722" s="328" t="str">
        <f>VLOOKUP(B2722,DONGIA,DG!$D$6,0)</f>
        <v>cái</v>
      </c>
      <c r="H2722" s="329"/>
      <c r="I2722" s="329">
        <f>VLOOKUP(B2722,DONGIA,DG!$E$6,0)</f>
        <v>58000</v>
      </c>
      <c r="J2722" s="329"/>
      <c r="K2722" s="329">
        <f>VLOOKUP(B2722,DONGIA,DG!$F$6,0)</f>
        <v>158070</v>
      </c>
      <c r="L2722" s="329">
        <f>VLOOKUP(B2722,DONGIA,DG!$G$6,0)</f>
        <v>0</v>
      </c>
      <c r="M2722" s="329">
        <f t="shared" si="767"/>
        <v>0</v>
      </c>
      <c r="N2722" s="329">
        <f t="shared" si="767"/>
        <v>0</v>
      </c>
      <c r="O2722" s="329">
        <f t="shared" si="767"/>
        <v>0</v>
      </c>
      <c r="P2722" s="329">
        <f t="shared" si="767"/>
        <v>0</v>
      </c>
      <c r="Q2722" s="329"/>
      <c r="S2722" s="332">
        <f t="shared" si="769"/>
        <v>0</v>
      </c>
      <c r="T2722" s="332">
        <f t="shared" si="768"/>
        <v>0</v>
      </c>
    </row>
    <row r="2723" spans="1:20" hidden="1">
      <c r="A2723" s="332" t="s">
        <v>477</v>
      </c>
      <c r="B2723" s="332" t="s">
        <v>294</v>
      </c>
      <c r="C2723" s="333">
        <f t="shared" si="766"/>
        <v>0</v>
      </c>
      <c r="D2723" s="329"/>
      <c r="E2723" s="328" t="str">
        <f>VLOOKUP(B2723,DONGIA,DG!$B$6,0)</f>
        <v>D4.6205</v>
      </c>
      <c r="F2723" s="329" t="str">
        <f>VLOOKUP(B2723,DONGIA,DG!$C$6,0)</f>
        <v>Kẹp ngừng cáp ABC4x95mm2</v>
      </c>
      <c r="G2723" s="328" t="str">
        <f>VLOOKUP(B2723,DONGIA,DG!$D$6,0)</f>
        <v>cái</v>
      </c>
      <c r="H2723" s="329"/>
      <c r="I2723" s="329">
        <f>VLOOKUP(B2723,DONGIA,DG!$E$6,0)</f>
        <v>58000</v>
      </c>
      <c r="J2723" s="329"/>
      <c r="K2723" s="329">
        <f>VLOOKUP(B2723,DONGIA,DG!$F$6,0)</f>
        <v>158070</v>
      </c>
      <c r="L2723" s="329">
        <f>VLOOKUP(B2723,DONGIA,DG!$G$6,0)</f>
        <v>0</v>
      </c>
      <c r="M2723" s="329">
        <f t="shared" si="767"/>
        <v>0</v>
      </c>
      <c r="N2723" s="329">
        <f t="shared" si="767"/>
        <v>0</v>
      </c>
      <c r="O2723" s="329">
        <f t="shared" si="767"/>
        <v>0</v>
      </c>
      <c r="P2723" s="329">
        <f t="shared" si="767"/>
        <v>0</v>
      </c>
      <c r="Q2723" s="329"/>
      <c r="S2723" s="332">
        <f t="shared" si="769"/>
        <v>0</v>
      </c>
      <c r="T2723" s="332">
        <f t="shared" si="768"/>
        <v>0</v>
      </c>
    </row>
    <row r="2724" spans="1:20" hidden="1">
      <c r="A2724" s="332" t="s">
        <v>477</v>
      </c>
      <c r="B2724" s="332" t="s">
        <v>297</v>
      </c>
      <c r="C2724" s="333">
        <f t="shared" si="766"/>
        <v>0</v>
      </c>
      <c r="D2724" s="329"/>
      <c r="E2724" s="328" t="str">
        <f>VLOOKUP(B2724,DONGIA,DG!$B$6,0)</f>
        <v>D4.6205</v>
      </c>
      <c r="F2724" s="329" t="str">
        <f>VLOOKUP(B2724,DONGIA,DG!$C$6,0)</f>
        <v>Kẹp ngừng cáp ABC4x120mm2</v>
      </c>
      <c r="G2724" s="328" t="str">
        <f>VLOOKUP(B2724,DONGIA,DG!$D$6,0)</f>
        <v>cái</v>
      </c>
      <c r="H2724" s="329"/>
      <c r="I2724" s="329">
        <f>VLOOKUP(B2724,DONGIA,DG!$E$6,0)</f>
        <v>74000</v>
      </c>
      <c r="J2724" s="329"/>
      <c r="K2724" s="329">
        <f>VLOOKUP(B2724,DONGIA,DG!$F$6,0)</f>
        <v>158070</v>
      </c>
      <c r="L2724" s="329">
        <f>VLOOKUP(B2724,DONGIA,DG!$G$6,0)</f>
        <v>0</v>
      </c>
      <c r="M2724" s="329">
        <f t="shared" si="767"/>
        <v>0</v>
      </c>
      <c r="N2724" s="329">
        <f t="shared" si="767"/>
        <v>0</v>
      </c>
      <c r="O2724" s="329">
        <f t="shared" si="767"/>
        <v>0</v>
      </c>
      <c r="P2724" s="329">
        <f t="shared" si="767"/>
        <v>0</v>
      </c>
      <c r="Q2724" s="329"/>
      <c r="S2724" s="332">
        <f t="shared" si="769"/>
        <v>0</v>
      </c>
      <c r="T2724" s="332">
        <f t="shared" si="768"/>
        <v>0</v>
      </c>
    </row>
    <row r="2725" spans="1:20" hidden="1">
      <c r="A2725" s="332" t="s">
        <v>477</v>
      </c>
      <c r="B2725" s="332" t="s">
        <v>2864</v>
      </c>
      <c r="C2725" s="333">
        <f t="shared" si="766"/>
        <v>0</v>
      </c>
      <c r="D2725" s="329"/>
      <c r="E2725" s="328">
        <f>VLOOKUP(B2725,DONGIA,DG!$B$6,0)</f>
        <v>0</v>
      </c>
      <c r="F2725" s="329" t="str">
        <f>VLOOKUP(B2725,DONGIA,DG!$C$6,0)</f>
        <v>Boulon móc 16x550+ long đền vuông D18-50x50x3/Zn</v>
      </c>
      <c r="G2725" s="328" t="str">
        <f>VLOOKUP(B2725,DONGIA,DG!$D$6,0)</f>
        <v>bộ</v>
      </c>
      <c r="H2725" s="329"/>
      <c r="I2725" s="329">
        <f>VLOOKUP(B2725,DONGIA,DG!$E$6,0)</f>
        <v>52000</v>
      </c>
      <c r="J2725" s="329"/>
      <c r="K2725" s="329">
        <f>VLOOKUP(B2725,DONGIA,DG!$F$6,0)</f>
        <v>0</v>
      </c>
      <c r="L2725" s="329">
        <f>VLOOKUP(B2725,DONGIA,DG!$G$6,0)</f>
        <v>0</v>
      </c>
      <c r="M2725" s="329">
        <f t="shared" si="767"/>
        <v>0</v>
      </c>
      <c r="N2725" s="329">
        <f t="shared" si="767"/>
        <v>0</v>
      </c>
      <c r="O2725" s="329">
        <f t="shared" si="767"/>
        <v>0</v>
      </c>
      <c r="P2725" s="329">
        <f t="shared" si="767"/>
        <v>0</v>
      </c>
      <c r="Q2725" s="329"/>
      <c r="S2725" s="332">
        <f t="shared" si="769"/>
        <v>0.4</v>
      </c>
      <c r="T2725" s="332">
        <f t="shared" si="768"/>
        <v>0</v>
      </c>
    </row>
    <row r="2726" spans="1:20" hidden="1">
      <c r="A2726" s="332" t="s">
        <v>477</v>
      </c>
      <c r="B2726" s="332" t="s">
        <v>855</v>
      </c>
      <c r="C2726" s="333">
        <f t="shared" si="763"/>
        <v>0</v>
      </c>
      <c r="D2726" s="329"/>
      <c r="E2726" s="328" t="str">
        <f>VLOOKUP(B2726,DONGIA,DG!$B$6,0)</f>
        <v>T4.8003</v>
      </c>
      <c r="F2726" s="329" t="str">
        <f>VLOOKUP(B2726,DONGIA,DG!$C$6,0)</f>
        <v>Lắp ống nhựa PVC D90</v>
      </c>
      <c r="G2726" s="328" t="str">
        <f>VLOOKUP(B2726,DONGIA,DG!$D$6,0)</f>
        <v>mét</v>
      </c>
      <c r="H2726" s="329">
        <f>H2703</f>
        <v>0</v>
      </c>
      <c r="I2726" s="329">
        <f>VLOOKUP(B2726,DONGIA,DG!$E$6,0)</f>
        <v>0</v>
      </c>
      <c r="J2726" s="329"/>
      <c r="K2726" s="329">
        <f>VLOOKUP(B2726,DONGIA,DG!$F$6,0)</f>
        <v>35541</v>
      </c>
      <c r="L2726" s="329">
        <f>VLOOKUP(B2726,DONGIA,DG!$G$6,0)</f>
        <v>0</v>
      </c>
      <c r="M2726" s="329">
        <f t="shared" si="759"/>
        <v>0</v>
      </c>
      <c r="N2726" s="329">
        <f t="shared" si="760"/>
        <v>0</v>
      </c>
      <c r="O2726" s="329">
        <f t="shared" si="761"/>
        <v>0</v>
      </c>
      <c r="P2726" s="329">
        <f t="shared" si="762"/>
        <v>0</v>
      </c>
      <c r="Q2726" s="329"/>
      <c r="S2726" s="332">
        <f t="shared" si="765"/>
        <v>0</v>
      </c>
      <c r="T2726" s="332">
        <f t="shared" si="764"/>
        <v>0</v>
      </c>
    </row>
    <row r="2727" spans="1:20" hidden="1">
      <c r="A2727" s="332" t="s">
        <v>477</v>
      </c>
      <c r="B2727" s="332" t="s">
        <v>1939</v>
      </c>
      <c r="C2727" s="333">
        <f t="shared" si="763"/>
        <v>0</v>
      </c>
      <c r="D2727" s="329"/>
      <c r="E2727" s="328" t="str">
        <f>VLOOKUP(B2727,DONGIA,DG!$B$6,0)</f>
        <v>T4.4201</v>
      </c>
      <c r="F2727" s="329" t="str">
        <f>VLOOKUP(B2727,DONGIA,DG!$C$6,0)</f>
        <v>Lắp cáp đồng xuống thiết bị D ≤ 95mm2</v>
      </c>
      <c r="G2727" s="328" t="str">
        <f>VLOOKUP(B2727,DONGIA,DG!$D$6,0)</f>
        <v>m</v>
      </c>
      <c r="H2727" s="455">
        <f>H2696+H2697+H2698</f>
        <v>0</v>
      </c>
      <c r="I2727" s="329">
        <f>VLOOKUP(B2727,DONGIA,DG!$E$6,0)</f>
        <v>0</v>
      </c>
      <c r="J2727" s="329"/>
      <c r="K2727" s="329">
        <f>VLOOKUP(B2727,DONGIA,DG!$F$6,0)</f>
        <v>11847</v>
      </c>
      <c r="L2727" s="329">
        <f>VLOOKUP(B2727,DONGIA,DG!$G$6,0)</f>
        <v>0</v>
      </c>
      <c r="M2727" s="329">
        <f t="shared" si="759"/>
        <v>0</v>
      </c>
      <c r="N2727" s="329">
        <f t="shared" si="760"/>
        <v>0</v>
      </c>
      <c r="O2727" s="329">
        <f t="shared" si="761"/>
        <v>0</v>
      </c>
      <c r="P2727" s="329">
        <f t="shared" si="762"/>
        <v>0</v>
      </c>
      <c r="Q2727" s="329"/>
      <c r="S2727" s="332">
        <f t="shared" si="765"/>
        <v>0</v>
      </c>
      <c r="T2727" s="332">
        <f t="shared" si="764"/>
        <v>0</v>
      </c>
    </row>
    <row r="2728" spans="1:20" hidden="1">
      <c r="A2728" s="332" t="s">
        <v>477</v>
      </c>
      <c r="B2728" s="332" t="s">
        <v>2063</v>
      </c>
      <c r="C2728" s="333">
        <f t="shared" si="763"/>
        <v>0</v>
      </c>
      <c r="D2728" s="329"/>
      <c r="E2728" s="328" t="str">
        <f>VLOOKUP(B2728,DONGIA,DG!$B$6,0)</f>
        <v>T4.4202</v>
      </c>
      <c r="F2728" s="329" t="str">
        <f>VLOOKUP(B2728,DONGIA,DG!$C$6,0)</f>
        <v>Lắp cáp đồng xuống thiết bị D ≤ 150mm2</v>
      </c>
      <c r="G2728" s="328" t="str">
        <f>VLOOKUP(B2728,DONGIA,DG!$D$6,0)</f>
        <v>m</v>
      </c>
      <c r="H2728" s="329"/>
      <c r="I2728" s="329">
        <f>VLOOKUP(B2728,DONGIA,DG!$E$6,0)</f>
        <v>0</v>
      </c>
      <c r="J2728" s="329"/>
      <c r="K2728" s="329">
        <f>VLOOKUP(B2728,DONGIA,DG!$F$6,0)</f>
        <v>28433</v>
      </c>
      <c r="L2728" s="329">
        <f>VLOOKUP(B2728,DONGIA,DG!$G$6,0)</f>
        <v>0</v>
      </c>
      <c r="M2728" s="329">
        <f t="shared" si="759"/>
        <v>0</v>
      </c>
      <c r="N2728" s="329">
        <f t="shared" si="760"/>
        <v>0</v>
      </c>
      <c r="O2728" s="329">
        <f t="shared" si="761"/>
        <v>0</v>
      </c>
      <c r="P2728" s="329">
        <f t="shared" si="762"/>
        <v>0</v>
      </c>
      <c r="Q2728" s="329"/>
      <c r="S2728" s="332">
        <f t="shared" si="765"/>
        <v>0</v>
      </c>
      <c r="T2728" s="332">
        <f t="shared" si="764"/>
        <v>0</v>
      </c>
    </row>
    <row r="2729" spans="1:20" hidden="1">
      <c r="C2729" s="333">
        <f>IF(SUM(C2731:C2748)&lt;&gt;0,1,)</f>
        <v>0</v>
      </c>
      <c r="D2729" s="372">
        <f>IF(H2729&lt;&gt;0,D2694+1,D2694)</f>
        <v>0</v>
      </c>
      <c r="E2729" s="372"/>
      <c r="F2729" s="373" t="s">
        <v>2986</v>
      </c>
      <c r="G2729" s="372" t="s">
        <v>138</v>
      </c>
      <c r="H2729" s="372"/>
      <c r="I2729" s="373"/>
      <c r="J2729" s="373"/>
      <c r="K2729" s="373"/>
      <c r="L2729" s="373"/>
      <c r="M2729" s="373"/>
      <c r="N2729" s="373"/>
      <c r="O2729" s="373"/>
      <c r="P2729" s="373"/>
      <c r="Q2729" s="373"/>
      <c r="S2729" s="332">
        <f t="shared" si="765"/>
        <v>0</v>
      </c>
      <c r="T2729" s="332">
        <f t="shared" si="764"/>
        <v>0</v>
      </c>
    </row>
    <row r="2730" spans="1:20" s="361" customFormat="1" hidden="1">
      <c r="C2730" s="374">
        <f>IF(SUM(C2731:C2734)&lt;&gt;0,1,)</f>
        <v>0</v>
      </c>
      <c r="D2730" s="350"/>
      <c r="E2730" s="350"/>
      <c r="F2730" s="351" t="s">
        <v>2945</v>
      </c>
      <c r="G2730" s="350"/>
      <c r="H2730" s="482"/>
      <c r="I2730" s="351"/>
      <c r="J2730" s="351"/>
      <c r="K2730" s="351"/>
      <c r="L2730" s="351"/>
      <c r="M2730" s="351"/>
      <c r="N2730" s="351"/>
      <c r="O2730" s="351"/>
      <c r="P2730" s="351"/>
      <c r="Q2730" s="351"/>
      <c r="S2730" s="361">
        <f t="shared" si="765"/>
        <v>0</v>
      </c>
      <c r="T2730" s="361">
        <f t="shared" si="764"/>
        <v>0</v>
      </c>
    </row>
    <row r="2731" spans="1:20" s="352" customFormat="1" hidden="1">
      <c r="B2731" s="352" t="s">
        <v>297</v>
      </c>
      <c r="C2731" s="484">
        <f>IF(H2731&lt;&gt;0,1,)</f>
        <v>0</v>
      </c>
      <c r="D2731" s="363"/>
      <c r="E2731" s="363" t="str">
        <f>VLOOKUP(B2731,DONGIA,DG!$B$6,0)</f>
        <v>D4.6205</v>
      </c>
      <c r="F2731" s="362" t="str">
        <f>VLOOKUP(B2731,DONGIA,DG!$C$6,0)</f>
        <v>Kẹp ngừng cáp ABC4x120mm2</v>
      </c>
      <c r="G2731" s="363" t="str">
        <f>VLOOKUP(B2731,DONGIA,DG!$D$6,0)</f>
        <v>cái</v>
      </c>
      <c r="H2731" s="362"/>
      <c r="I2731" s="362">
        <f>VLOOKUP(B2731,DONGIA,DG!$E$6,0)</f>
        <v>74000</v>
      </c>
      <c r="J2731" s="362"/>
      <c r="K2731" s="362">
        <f>VLOOKUP(B2731,DONGIA,DG!$F$6,0)</f>
        <v>158070</v>
      </c>
      <c r="L2731" s="362">
        <f>VLOOKUP(B2731,DONGIA,DG!$G$6,0)</f>
        <v>0</v>
      </c>
      <c r="M2731" s="362">
        <f t="shared" ref="M2731:P2734" si="770">$H2731*I2731</f>
        <v>0</v>
      </c>
      <c r="N2731" s="362">
        <f t="shared" si="770"/>
        <v>0</v>
      </c>
      <c r="O2731" s="362">
        <f t="shared" si="770"/>
        <v>0</v>
      </c>
      <c r="P2731" s="362">
        <f t="shared" si="770"/>
        <v>0</v>
      </c>
      <c r="Q2731" s="362"/>
      <c r="S2731" s="352">
        <f t="shared" si="765"/>
        <v>0</v>
      </c>
      <c r="T2731" s="352">
        <f t="shared" si="764"/>
        <v>0</v>
      </c>
    </row>
    <row r="2732" spans="1:20" s="352" customFormat="1" hidden="1">
      <c r="B2732" s="352" t="s">
        <v>119</v>
      </c>
      <c r="C2732" s="484">
        <f>IF(H2732&lt;&gt;0,1,)</f>
        <v>0</v>
      </c>
      <c r="D2732" s="363"/>
      <c r="E2732" s="363">
        <f>VLOOKUP(B2732,DONGIA,DG!$B$6,0)</f>
        <v>0</v>
      </c>
      <c r="F2732" s="362" t="str">
        <f>VLOOKUP(B2732,DONGIA,DG!$C$6,0)</f>
        <v>Boulon móc 16x300+ long đền vuông D18-50x50x3/Zn</v>
      </c>
      <c r="G2732" s="363" t="str">
        <f>VLOOKUP(B2732,DONGIA,DG!$D$6,0)</f>
        <v>bộ</v>
      </c>
      <c r="H2732" s="362"/>
      <c r="I2732" s="362">
        <f>VLOOKUP(B2732,DONGIA,DG!$E$6,0)</f>
        <v>40000</v>
      </c>
      <c r="J2732" s="362"/>
      <c r="K2732" s="362">
        <f>VLOOKUP(B2732,DONGIA,DG!$F$6,0)</f>
        <v>0</v>
      </c>
      <c r="L2732" s="362">
        <f>VLOOKUP(B2732,DONGIA,DG!$G$6,0)</f>
        <v>0</v>
      </c>
      <c r="M2732" s="362">
        <f t="shared" si="770"/>
        <v>0</v>
      </c>
      <c r="N2732" s="362">
        <f t="shared" si="770"/>
        <v>0</v>
      </c>
      <c r="O2732" s="362">
        <f t="shared" si="770"/>
        <v>0</v>
      </c>
      <c r="P2732" s="362">
        <f t="shared" si="770"/>
        <v>0</v>
      </c>
      <c r="Q2732" s="362"/>
      <c r="S2732" s="352">
        <f t="shared" ref="S2732:S2745" si="771">IFERROR(VLOOKUP(B2732,DONGIA,$S$25,0),0)</f>
        <v>0.3</v>
      </c>
      <c r="T2732" s="352">
        <f t="shared" ref="T2732:T2745" si="772">H2732*S2732</f>
        <v>0</v>
      </c>
    </row>
    <row r="2733" spans="1:20" s="352" customFormat="1" hidden="1">
      <c r="B2733" s="352" t="s">
        <v>391</v>
      </c>
      <c r="C2733" s="484">
        <f>IF(H2733&lt;&gt;0,1,)</f>
        <v>0</v>
      </c>
      <c r="D2733" s="363"/>
      <c r="E2733" s="363"/>
      <c r="F2733" s="362" t="str">
        <f>VLOOKUP(B2733,DONGIA,DG!$C$6,0)</f>
        <v>Ống nối dây AC cỡ 120mm2 (Không lõi thép)</v>
      </c>
      <c r="G2733" s="363" t="str">
        <f>VLOOKUP(B2733,DONGIA,DG!$D$6,0)</f>
        <v>cái</v>
      </c>
      <c r="H2733" s="362"/>
      <c r="I2733" s="362">
        <f>VLOOKUP(B2733,DONGIA,DG!$E$6,0)</f>
        <v>69000</v>
      </c>
      <c r="J2733" s="362"/>
      <c r="K2733" s="362"/>
      <c r="L2733" s="362"/>
      <c r="M2733" s="362">
        <f t="shared" si="770"/>
        <v>0</v>
      </c>
      <c r="N2733" s="362">
        <f t="shared" si="770"/>
        <v>0</v>
      </c>
      <c r="O2733" s="362">
        <f t="shared" si="770"/>
        <v>0</v>
      </c>
      <c r="P2733" s="362">
        <f t="shared" si="770"/>
        <v>0</v>
      </c>
      <c r="Q2733" s="362"/>
      <c r="S2733" s="352">
        <f t="shared" si="771"/>
        <v>2</v>
      </c>
      <c r="T2733" s="352">
        <f t="shared" si="772"/>
        <v>0</v>
      </c>
    </row>
    <row r="2734" spans="1:20" s="352" customFormat="1" hidden="1">
      <c r="B2734" s="352" t="s">
        <v>396</v>
      </c>
      <c r="C2734" s="484">
        <f>IF(H2734&lt;&gt;0,1,)</f>
        <v>0</v>
      </c>
      <c r="D2734" s="363"/>
      <c r="E2734" s="363">
        <f>VLOOKUP(B2734,DONGIA,DG!$B$6,0)</f>
        <v>0</v>
      </c>
      <c r="F2734" s="362" t="str">
        <f>VLOOKUP(B2734,DONGIA,DG!$C$6,0)</f>
        <v>Ống bọc cách điện D30/15</v>
      </c>
      <c r="G2734" s="363" t="str">
        <f>VLOOKUP(B2734,DONGIA,DG!$D$6,0)</f>
        <v>mét</v>
      </c>
      <c r="H2734" s="362"/>
      <c r="I2734" s="362">
        <f>VLOOKUP(B2734,DONGIA,DG!$E$6,0)</f>
        <v>95000</v>
      </c>
      <c r="J2734" s="362"/>
      <c r="K2734" s="362">
        <f>VLOOKUP(B2734,DONGIA,DG!$F$6,0)</f>
        <v>0</v>
      </c>
      <c r="L2734" s="362">
        <f>VLOOKUP(B2734,DONGIA,DG!$G$6,0)</f>
        <v>0</v>
      </c>
      <c r="M2734" s="362">
        <f t="shared" si="770"/>
        <v>0</v>
      </c>
      <c r="N2734" s="362">
        <f t="shared" si="770"/>
        <v>0</v>
      </c>
      <c r="O2734" s="362">
        <f t="shared" si="770"/>
        <v>0</v>
      </c>
      <c r="P2734" s="362">
        <f t="shared" si="770"/>
        <v>0</v>
      </c>
      <c r="Q2734" s="362"/>
      <c r="S2734" s="352">
        <f t="shared" si="771"/>
        <v>0</v>
      </c>
      <c r="T2734" s="352">
        <f t="shared" si="772"/>
        <v>0</v>
      </c>
    </row>
    <row r="2735" spans="1:20" s="361" customFormat="1" hidden="1">
      <c r="C2735" s="374">
        <f>IF(SUM(C2736:C2739)&lt;&gt;0,1,)</f>
        <v>0</v>
      </c>
      <c r="D2735" s="350"/>
      <c r="E2735" s="350"/>
      <c r="F2735" s="351" t="s">
        <v>2946</v>
      </c>
      <c r="G2735" s="350"/>
      <c r="H2735" s="482"/>
      <c r="I2735" s="351"/>
      <c r="J2735" s="351"/>
      <c r="K2735" s="351"/>
      <c r="L2735" s="351"/>
      <c r="M2735" s="351"/>
      <c r="N2735" s="351"/>
      <c r="O2735" s="351"/>
      <c r="P2735" s="351"/>
      <c r="Q2735" s="351"/>
      <c r="S2735" s="361">
        <f t="shared" si="771"/>
        <v>0</v>
      </c>
      <c r="T2735" s="361">
        <f t="shared" si="772"/>
        <v>0</v>
      </c>
    </row>
    <row r="2736" spans="1:20" s="352" customFormat="1" hidden="1">
      <c r="B2736" s="352" t="s">
        <v>292</v>
      </c>
      <c r="C2736" s="484">
        <f>IF(H2736&lt;&gt;0,1,)</f>
        <v>0</v>
      </c>
      <c r="D2736" s="363"/>
      <c r="E2736" s="363" t="str">
        <f>VLOOKUP(B2736,DONGIA,DG!$B$6,0)</f>
        <v>D4.6204</v>
      </c>
      <c r="F2736" s="362" t="str">
        <f>VLOOKUP(B2736,DONGIA,DG!$C$6,0)</f>
        <v>Kẹp ngừng cáp ABC4x70mm2</v>
      </c>
      <c r="G2736" s="363" t="str">
        <f>VLOOKUP(B2736,DONGIA,DG!$D$6,0)</f>
        <v>cái</v>
      </c>
      <c r="H2736" s="362"/>
      <c r="I2736" s="362">
        <f>VLOOKUP(B2736,DONGIA,DG!$E$6,0)</f>
        <v>58000</v>
      </c>
      <c r="J2736" s="362"/>
      <c r="K2736" s="362">
        <f>VLOOKUP(B2736,DONGIA,DG!$F$6,0)</f>
        <v>158070</v>
      </c>
      <c r="L2736" s="362">
        <f>VLOOKUP(B2736,DONGIA,DG!$G$6,0)</f>
        <v>0</v>
      </c>
      <c r="M2736" s="362">
        <f t="shared" ref="M2736:P2739" si="773">$H2736*I2736</f>
        <v>0</v>
      </c>
      <c r="N2736" s="362">
        <f t="shared" si="773"/>
        <v>0</v>
      </c>
      <c r="O2736" s="362">
        <f t="shared" si="773"/>
        <v>0</v>
      </c>
      <c r="P2736" s="362">
        <f t="shared" si="773"/>
        <v>0</v>
      </c>
      <c r="Q2736" s="362"/>
      <c r="S2736" s="352">
        <f t="shared" si="771"/>
        <v>0</v>
      </c>
      <c r="T2736" s="352">
        <f t="shared" si="772"/>
        <v>0</v>
      </c>
    </row>
    <row r="2737" spans="2:20" s="352" customFormat="1" hidden="1">
      <c r="B2737" s="352" t="s">
        <v>119</v>
      </c>
      <c r="C2737" s="484">
        <f>IF(H2737&lt;&gt;0,1,)</f>
        <v>0</v>
      </c>
      <c r="D2737" s="363"/>
      <c r="E2737" s="363">
        <f>VLOOKUP(B2737,DONGIA,DG!$B$6,0)</f>
        <v>0</v>
      </c>
      <c r="F2737" s="362" t="str">
        <f>VLOOKUP(B2737,DONGIA,DG!$C$6,0)</f>
        <v>Boulon móc 16x300+ long đền vuông D18-50x50x3/Zn</v>
      </c>
      <c r="G2737" s="363" t="str">
        <f>VLOOKUP(B2737,DONGIA,DG!$D$6,0)</f>
        <v>bộ</v>
      </c>
      <c r="H2737" s="362"/>
      <c r="I2737" s="362">
        <f>VLOOKUP(B2737,DONGIA,DG!$E$6,0)</f>
        <v>40000</v>
      </c>
      <c r="J2737" s="362"/>
      <c r="K2737" s="362">
        <f>VLOOKUP(B2737,DONGIA,DG!$F$6,0)</f>
        <v>0</v>
      </c>
      <c r="L2737" s="362">
        <f>VLOOKUP(B2737,DONGIA,DG!$G$6,0)</f>
        <v>0</v>
      </c>
      <c r="M2737" s="362">
        <f t="shared" si="773"/>
        <v>0</v>
      </c>
      <c r="N2737" s="362">
        <f t="shared" si="773"/>
        <v>0</v>
      </c>
      <c r="O2737" s="362">
        <f t="shared" si="773"/>
        <v>0</v>
      </c>
      <c r="P2737" s="362">
        <f t="shared" si="773"/>
        <v>0</v>
      </c>
      <c r="Q2737" s="362"/>
      <c r="S2737" s="352">
        <f t="shared" si="771"/>
        <v>0.3</v>
      </c>
      <c r="T2737" s="352">
        <f t="shared" si="772"/>
        <v>0</v>
      </c>
    </row>
    <row r="2738" spans="2:20" s="352" customFormat="1" hidden="1">
      <c r="B2738" s="352" t="s">
        <v>389</v>
      </c>
      <c r="C2738" s="484">
        <f>IF(H2738&lt;&gt;0,1,)</f>
        <v>0</v>
      </c>
      <c r="D2738" s="363"/>
      <c r="E2738" s="363"/>
      <c r="F2738" s="362" t="str">
        <f>VLOOKUP(B2738,DONGIA,DG!$C$6,0)</f>
        <v>Ống nối dây AC cỡ 70mm2 (Không lõi thép)</v>
      </c>
      <c r="G2738" s="363" t="str">
        <f>VLOOKUP(B2738,DONGIA,DG!$D$6,0)</f>
        <v>cái</v>
      </c>
      <c r="H2738" s="362"/>
      <c r="I2738" s="362">
        <f>VLOOKUP(B2738,DONGIA,DG!$E$6,0)</f>
        <v>42000</v>
      </c>
      <c r="J2738" s="362"/>
      <c r="K2738" s="362"/>
      <c r="L2738" s="362"/>
      <c r="M2738" s="362">
        <f t="shared" si="773"/>
        <v>0</v>
      </c>
      <c r="N2738" s="362">
        <f t="shared" si="773"/>
        <v>0</v>
      </c>
      <c r="O2738" s="362">
        <f t="shared" si="773"/>
        <v>0</v>
      </c>
      <c r="P2738" s="362">
        <f t="shared" si="773"/>
        <v>0</v>
      </c>
      <c r="Q2738" s="362"/>
      <c r="S2738" s="352">
        <f t="shared" si="771"/>
        <v>2</v>
      </c>
      <c r="T2738" s="352">
        <f t="shared" si="772"/>
        <v>0</v>
      </c>
    </row>
    <row r="2739" spans="2:20" s="352" customFormat="1" hidden="1">
      <c r="B2739" s="352" t="s">
        <v>396</v>
      </c>
      <c r="C2739" s="484">
        <f>IF(H2739&lt;&gt;0,1,)</f>
        <v>0</v>
      </c>
      <c r="D2739" s="363"/>
      <c r="E2739" s="363">
        <f>VLOOKUP(B2739,DONGIA,DG!$B$6,0)</f>
        <v>0</v>
      </c>
      <c r="F2739" s="362" t="str">
        <f>VLOOKUP(B2739,DONGIA,DG!$C$6,0)</f>
        <v>Ống bọc cách điện D30/15</v>
      </c>
      <c r="G2739" s="363" t="str">
        <f>VLOOKUP(B2739,DONGIA,DG!$D$6,0)</f>
        <v>mét</v>
      </c>
      <c r="H2739" s="362"/>
      <c r="I2739" s="362">
        <f>VLOOKUP(B2739,DONGIA,DG!$E$6,0)</f>
        <v>95000</v>
      </c>
      <c r="J2739" s="362"/>
      <c r="K2739" s="362">
        <f>VLOOKUP(B2739,DONGIA,DG!$F$6,0)</f>
        <v>0</v>
      </c>
      <c r="L2739" s="362">
        <f>VLOOKUP(B2739,DONGIA,DG!$G$6,0)</f>
        <v>0</v>
      </c>
      <c r="M2739" s="362">
        <f t="shared" si="773"/>
        <v>0</v>
      </c>
      <c r="N2739" s="362">
        <f t="shared" si="773"/>
        <v>0</v>
      </c>
      <c r="O2739" s="362">
        <f t="shared" si="773"/>
        <v>0</v>
      </c>
      <c r="P2739" s="362">
        <f t="shared" si="773"/>
        <v>0</v>
      </c>
      <c r="Q2739" s="362"/>
      <c r="S2739" s="352">
        <f t="shared" si="771"/>
        <v>0</v>
      </c>
      <c r="T2739" s="352">
        <f t="shared" si="772"/>
        <v>0</v>
      </c>
    </row>
    <row r="2740" spans="2:20" s="361" customFormat="1" hidden="1">
      <c r="C2740" s="374">
        <f>IF(SUM(C2741:C2744)&lt;&gt;0,1,)</f>
        <v>0</v>
      </c>
      <c r="D2740" s="350"/>
      <c r="E2740" s="350"/>
      <c r="F2740" s="351" t="s">
        <v>2947</v>
      </c>
      <c r="G2740" s="350"/>
      <c r="H2740" s="482"/>
      <c r="I2740" s="351"/>
      <c r="J2740" s="351"/>
      <c r="K2740" s="351"/>
      <c r="L2740" s="351"/>
      <c r="M2740" s="351"/>
      <c r="N2740" s="351"/>
      <c r="O2740" s="351"/>
      <c r="P2740" s="351"/>
      <c r="Q2740" s="351"/>
      <c r="S2740" s="361">
        <f t="shared" si="771"/>
        <v>0</v>
      </c>
      <c r="T2740" s="361">
        <f t="shared" si="772"/>
        <v>0</v>
      </c>
    </row>
    <row r="2741" spans="2:20" s="352" customFormat="1" hidden="1">
      <c r="B2741" s="352" t="s">
        <v>292</v>
      </c>
      <c r="C2741" s="484">
        <f>IF(H2741&lt;&gt;0,1,)</f>
        <v>0</v>
      </c>
      <c r="D2741" s="363"/>
      <c r="E2741" s="363" t="str">
        <f>VLOOKUP(B2741,DONGIA,DG!$B$6,0)</f>
        <v>D4.6204</v>
      </c>
      <c r="F2741" s="362" t="str">
        <f>VLOOKUP(B2741,DONGIA,DG!$C$6,0)</f>
        <v>Kẹp ngừng cáp ABC4x70mm2</v>
      </c>
      <c r="G2741" s="363" t="str">
        <f>VLOOKUP(B2741,DONGIA,DG!$D$6,0)</f>
        <v>cái</v>
      </c>
      <c r="H2741" s="362"/>
      <c r="I2741" s="362">
        <f>VLOOKUP(B2741,DONGIA,DG!$E$6,0)</f>
        <v>58000</v>
      </c>
      <c r="J2741" s="362"/>
      <c r="K2741" s="362">
        <f>VLOOKUP(B2741,DONGIA,DG!$F$6,0)</f>
        <v>158070</v>
      </c>
      <c r="L2741" s="362">
        <f>VLOOKUP(B2741,DONGIA,DG!$G$6,0)</f>
        <v>0</v>
      </c>
      <c r="M2741" s="362">
        <f t="shared" ref="M2741:P2744" si="774">$H2741*I2741</f>
        <v>0</v>
      </c>
      <c r="N2741" s="362">
        <f t="shared" si="774"/>
        <v>0</v>
      </c>
      <c r="O2741" s="362">
        <f t="shared" si="774"/>
        <v>0</v>
      </c>
      <c r="P2741" s="362">
        <f t="shared" si="774"/>
        <v>0</v>
      </c>
      <c r="Q2741" s="362"/>
      <c r="S2741" s="352">
        <f t="shared" si="771"/>
        <v>0</v>
      </c>
      <c r="T2741" s="352">
        <f t="shared" si="772"/>
        <v>0</v>
      </c>
    </row>
    <row r="2742" spans="2:20" s="352" customFormat="1" hidden="1">
      <c r="B2742" s="352" t="s">
        <v>119</v>
      </c>
      <c r="C2742" s="484">
        <f>IF(H2742&lt;&gt;0,1,)</f>
        <v>0</v>
      </c>
      <c r="D2742" s="363"/>
      <c r="E2742" s="363">
        <f>VLOOKUP(B2742,DONGIA,DG!$B$6,0)</f>
        <v>0</v>
      </c>
      <c r="F2742" s="362" t="str">
        <f>VLOOKUP(B2742,DONGIA,DG!$C$6,0)</f>
        <v>Boulon móc 16x300+ long đền vuông D18-50x50x3/Zn</v>
      </c>
      <c r="G2742" s="363" t="str">
        <f>VLOOKUP(B2742,DONGIA,DG!$D$6,0)</f>
        <v>bộ</v>
      </c>
      <c r="H2742" s="362"/>
      <c r="I2742" s="362">
        <f>VLOOKUP(B2742,DONGIA,DG!$E$6,0)</f>
        <v>40000</v>
      </c>
      <c r="J2742" s="362"/>
      <c r="K2742" s="362">
        <f>VLOOKUP(B2742,DONGIA,DG!$F$6,0)</f>
        <v>0</v>
      </c>
      <c r="L2742" s="362">
        <f>VLOOKUP(B2742,DONGIA,DG!$G$6,0)</f>
        <v>0</v>
      </c>
      <c r="M2742" s="362">
        <f t="shared" si="774"/>
        <v>0</v>
      </c>
      <c r="N2742" s="362">
        <f t="shared" si="774"/>
        <v>0</v>
      </c>
      <c r="O2742" s="362">
        <f t="shared" si="774"/>
        <v>0</v>
      </c>
      <c r="P2742" s="362">
        <f t="shared" si="774"/>
        <v>0</v>
      </c>
      <c r="Q2742" s="362"/>
      <c r="S2742" s="352">
        <f t="shared" si="771"/>
        <v>0.3</v>
      </c>
      <c r="T2742" s="352">
        <f t="shared" si="772"/>
        <v>0</v>
      </c>
    </row>
    <row r="2743" spans="2:20" s="352" customFormat="1" hidden="1">
      <c r="B2743" s="352" t="s">
        <v>389</v>
      </c>
      <c r="C2743" s="484">
        <f>IF(H2743&lt;&gt;0,1,)</f>
        <v>0</v>
      </c>
      <c r="D2743" s="363"/>
      <c r="E2743" s="363"/>
      <c r="F2743" s="362" t="str">
        <f>VLOOKUP(B2743,DONGIA,DG!$C$6,0)</f>
        <v>Ống nối dây AC cỡ 70mm2 (Không lõi thép)</v>
      </c>
      <c r="G2743" s="363" t="str">
        <f>VLOOKUP(B2743,DONGIA,DG!$D$6,0)</f>
        <v>cái</v>
      </c>
      <c r="H2743" s="362"/>
      <c r="I2743" s="362">
        <f>VLOOKUP(B2743,DONGIA,DG!$E$6,0)</f>
        <v>42000</v>
      </c>
      <c r="J2743" s="362"/>
      <c r="K2743" s="362"/>
      <c r="L2743" s="362"/>
      <c r="M2743" s="362">
        <f t="shared" si="774"/>
        <v>0</v>
      </c>
      <c r="N2743" s="362">
        <f t="shared" si="774"/>
        <v>0</v>
      </c>
      <c r="O2743" s="362">
        <f t="shared" si="774"/>
        <v>0</v>
      </c>
      <c r="P2743" s="362">
        <f t="shared" si="774"/>
        <v>0</v>
      </c>
      <c r="Q2743" s="362"/>
      <c r="S2743" s="352">
        <f t="shared" si="771"/>
        <v>2</v>
      </c>
      <c r="T2743" s="352">
        <f t="shared" si="772"/>
        <v>0</v>
      </c>
    </row>
    <row r="2744" spans="2:20" s="352" customFormat="1" hidden="1">
      <c r="B2744" s="352" t="s">
        <v>396</v>
      </c>
      <c r="C2744" s="484">
        <f>IF(H2744&lt;&gt;0,1,)</f>
        <v>0</v>
      </c>
      <c r="D2744" s="363"/>
      <c r="E2744" s="363">
        <f>VLOOKUP(B2744,DONGIA,DG!$B$6,0)</f>
        <v>0</v>
      </c>
      <c r="F2744" s="362" t="str">
        <f>VLOOKUP(B2744,DONGIA,DG!$C$6,0)</f>
        <v>Ống bọc cách điện D30/15</v>
      </c>
      <c r="G2744" s="363" t="str">
        <f>VLOOKUP(B2744,DONGIA,DG!$D$6,0)</f>
        <v>mét</v>
      </c>
      <c r="H2744" s="362"/>
      <c r="I2744" s="362">
        <f>VLOOKUP(B2744,DONGIA,DG!$E$6,0)</f>
        <v>95000</v>
      </c>
      <c r="J2744" s="362"/>
      <c r="K2744" s="362">
        <f>VLOOKUP(B2744,DONGIA,DG!$F$6,0)</f>
        <v>0</v>
      </c>
      <c r="L2744" s="362">
        <f>VLOOKUP(B2744,DONGIA,DG!$G$6,0)</f>
        <v>0</v>
      </c>
      <c r="M2744" s="362">
        <f t="shared" si="774"/>
        <v>0</v>
      </c>
      <c r="N2744" s="362">
        <f t="shared" si="774"/>
        <v>0</v>
      </c>
      <c r="O2744" s="362">
        <f t="shared" si="774"/>
        <v>0</v>
      </c>
      <c r="P2744" s="362">
        <f t="shared" si="774"/>
        <v>0</v>
      </c>
      <c r="Q2744" s="362"/>
      <c r="S2744" s="352">
        <f t="shared" si="771"/>
        <v>0</v>
      </c>
      <c r="T2744" s="352">
        <f t="shared" si="772"/>
        <v>0</v>
      </c>
    </row>
    <row r="2745" spans="2:20" hidden="1">
      <c r="C2745" s="333">
        <f>IF(H2745&lt;&gt;0,1,)</f>
        <v>0</v>
      </c>
      <c r="D2745" s="329"/>
      <c r="E2745" s="329"/>
      <c r="F2745" s="329"/>
      <c r="G2745" s="329"/>
      <c r="H2745" s="329"/>
      <c r="I2745" s="329"/>
      <c r="J2745" s="329"/>
      <c r="K2745" s="329"/>
      <c r="L2745" s="329"/>
      <c r="M2745" s="329"/>
      <c r="N2745" s="329"/>
      <c r="O2745" s="329"/>
      <c r="P2745" s="329"/>
      <c r="Q2745" s="329"/>
      <c r="S2745" s="332">
        <f t="shared" si="771"/>
        <v>0</v>
      </c>
      <c r="T2745" s="332">
        <f t="shared" si="772"/>
        <v>0</v>
      </c>
    </row>
  </sheetData>
  <autoFilter ref="C29:C2745" xr:uid="{00000000-0009-0000-0000-000008000000}">
    <filterColumn colId="0">
      <customFilters>
        <customFilter operator="notEqual" val=" "/>
      </customFilters>
    </filterColumn>
  </autoFilter>
  <mergeCells count="12">
    <mergeCell ref="S28:S29"/>
    <mergeCell ref="T28:T29"/>
    <mergeCell ref="A2:B2"/>
    <mergeCell ref="C2:D2"/>
    <mergeCell ref="M28:P28"/>
    <mergeCell ref="Q28:Q29"/>
    <mergeCell ref="D28:D29"/>
    <mergeCell ref="E28:E29"/>
    <mergeCell ref="F28:F29"/>
    <mergeCell ref="G28:G29"/>
    <mergeCell ref="H28:H29"/>
    <mergeCell ref="I28:L28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64" orientation="landscape" blackAndWhite="1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F690"/>
  <sheetViews>
    <sheetView topLeftCell="A168" workbookViewId="0">
      <selection activeCell="F177" sqref="F177"/>
    </sheetView>
  </sheetViews>
  <sheetFormatPr defaultColWidth="9.109375" defaultRowHeight="15.6"/>
  <cols>
    <col min="1" max="1" width="18.5546875" style="20" customWidth="1"/>
    <col min="2" max="2" width="12" style="20" bestFit="1" customWidth="1"/>
    <col min="3" max="3" width="66.33203125" style="20" bestFit="1" customWidth="1"/>
    <col min="4" max="4" width="9.5546875" style="25" bestFit="1" customWidth="1"/>
    <col min="5" max="5" width="12.44140625" style="20" bestFit="1" customWidth="1"/>
    <col min="6" max="6" width="11.33203125" style="20" bestFit="1" customWidth="1"/>
    <col min="7" max="7" width="10.109375" style="20" bestFit="1" customWidth="1"/>
    <col min="8" max="8" width="10.109375" style="20" customWidth="1"/>
    <col min="9" max="9" width="12.44140625" style="20" customWidth="1"/>
    <col min="10" max="10" width="9.109375" style="280"/>
    <col min="11" max="11" width="9.5546875" style="286" bestFit="1" customWidth="1"/>
    <col min="12" max="12" width="9.109375" style="20"/>
    <col min="13" max="13" width="9.5546875" style="287" bestFit="1" customWidth="1"/>
    <col min="14" max="14" width="9.109375" style="20"/>
    <col min="15" max="15" width="11.109375" style="20" customWidth="1"/>
    <col min="16" max="16" width="19.88671875" style="20" bestFit="1" customWidth="1"/>
    <col min="17" max="17" width="22.44140625" style="20" bestFit="1" customWidth="1"/>
    <col min="18" max="18" width="24.5546875" style="20" bestFit="1" customWidth="1"/>
    <col min="19" max="19" width="25.109375" style="20" bestFit="1" customWidth="1"/>
    <col min="20" max="20" width="9.109375" style="20"/>
    <col min="21" max="21" width="11" style="20" customWidth="1"/>
    <col min="22" max="22" width="31" style="20" bestFit="1" customWidth="1"/>
    <col min="23" max="28" width="10.109375" style="20" customWidth="1"/>
    <col min="29" max="29" width="14.33203125" style="20" bestFit="1" customWidth="1"/>
    <col min="30" max="30" width="13.44140625" style="20" customWidth="1"/>
    <col min="31" max="31" width="15.109375" style="20" customWidth="1"/>
    <col min="32" max="16384" width="9.109375" style="20"/>
  </cols>
  <sheetData>
    <row r="2" spans="1:32">
      <c r="O2" s="32" t="s">
        <v>1249</v>
      </c>
    </row>
    <row r="3" spans="1:32">
      <c r="O3" s="32" t="s">
        <v>1250</v>
      </c>
      <c r="U3" s="20" t="s">
        <v>3987</v>
      </c>
    </row>
    <row r="4" spans="1:32" s="2" customFormat="1" ht="31.2">
      <c r="A4" s="1035" t="s">
        <v>0</v>
      </c>
      <c r="B4" s="1035" t="s">
        <v>1</v>
      </c>
      <c r="C4" s="1035" t="s">
        <v>2</v>
      </c>
      <c r="D4" s="1035" t="s">
        <v>3</v>
      </c>
      <c r="E4" s="1035" t="s">
        <v>4</v>
      </c>
      <c r="F4" s="1035"/>
      <c r="G4" s="1035"/>
      <c r="H4" s="277" t="s">
        <v>2156</v>
      </c>
      <c r="I4" s="285"/>
      <c r="J4" s="1036" t="s">
        <v>5</v>
      </c>
      <c r="K4" s="1030" t="s">
        <v>6</v>
      </c>
      <c r="L4" s="1031" t="s">
        <v>7</v>
      </c>
      <c r="M4" s="1032" t="s">
        <v>8</v>
      </c>
      <c r="O4" s="285">
        <v>1</v>
      </c>
      <c r="P4" s="285">
        <v>2</v>
      </c>
      <c r="Q4" s="285">
        <v>3</v>
      </c>
      <c r="R4" s="285">
        <v>4</v>
      </c>
      <c r="S4" s="285">
        <v>5</v>
      </c>
      <c r="U4" s="284" t="s">
        <v>1342</v>
      </c>
      <c r="V4" s="284" t="s">
        <v>1343</v>
      </c>
      <c r="W4" s="284" t="s">
        <v>1344</v>
      </c>
      <c r="X4" s="284" t="s">
        <v>1345</v>
      </c>
      <c r="Y4" s="284" t="s">
        <v>1346</v>
      </c>
      <c r="Z4" s="284" t="s">
        <v>1347</v>
      </c>
      <c r="AA4" s="284" t="s">
        <v>1348</v>
      </c>
      <c r="AB4" s="284" t="s">
        <v>7</v>
      </c>
      <c r="AC4" s="284" t="s">
        <v>1349</v>
      </c>
      <c r="AE4" s="834" t="s">
        <v>3993</v>
      </c>
    </row>
    <row r="5" spans="1:32" s="2" customFormat="1">
      <c r="A5" s="1035"/>
      <c r="B5" s="1035"/>
      <c r="C5" s="1035"/>
      <c r="D5" s="1035"/>
      <c r="E5" s="284" t="s">
        <v>1361</v>
      </c>
      <c r="F5" s="284" t="s">
        <v>1362</v>
      </c>
      <c r="G5" s="284" t="s">
        <v>478</v>
      </c>
      <c r="H5" s="277"/>
      <c r="J5" s="1036"/>
      <c r="K5" s="1030"/>
      <c r="L5" s="1031"/>
      <c r="M5" s="1032"/>
      <c r="O5" s="3"/>
      <c r="P5" s="3" t="s">
        <v>1251</v>
      </c>
      <c r="Q5" s="3" t="s">
        <v>1252</v>
      </c>
      <c r="R5" s="3" t="s">
        <v>1253</v>
      </c>
      <c r="S5" s="3" t="s">
        <v>1254</v>
      </c>
      <c r="U5" s="3"/>
      <c r="V5" s="3"/>
      <c r="W5" s="3"/>
      <c r="X5" s="3"/>
      <c r="Y5" s="3"/>
      <c r="Z5" s="3"/>
      <c r="AA5" s="3"/>
      <c r="AB5" s="835"/>
      <c r="AC5" s="3"/>
      <c r="AE5" s="834"/>
    </row>
    <row r="6" spans="1:32">
      <c r="A6" s="21">
        <v>1</v>
      </c>
      <c r="B6" s="21">
        <v>2</v>
      </c>
      <c r="C6" s="21">
        <v>3</v>
      </c>
      <c r="D6" s="24">
        <v>4</v>
      </c>
      <c r="E6" s="21">
        <v>5</v>
      </c>
      <c r="F6" s="21">
        <v>6</v>
      </c>
      <c r="G6" s="21">
        <v>7</v>
      </c>
      <c r="H6" s="278">
        <v>8</v>
      </c>
      <c r="J6" s="281"/>
      <c r="K6" s="53"/>
      <c r="L6" s="288"/>
      <c r="M6" s="289"/>
      <c r="O6" s="28" t="s">
        <v>1255</v>
      </c>
      <c r="P6" s="21">
        <v>2350000</v>
      </c>
      <c r="Q6" s="21">
        <v>2150000</v>
      </c>
      <c r="R6" s="21">
        <v>2154000</v>
      </c>
      <c r="S6" s="21">
        <v>1900000</v>
      </c>
      <c r="U6" s="278" t="s">
        <v>898</v>
      </c>
      <c r="V6" s="278" t="s">
        <v>1350</v>
      </c>
      <c r="W6" s="278">
        <v>274704.54545454541</v>
      </c>
      <c r="X6" s="278">
        <v>143456.81818181818</v>
      </c>
      <c r="Y6" s="278">
        <v>152613.63636363635</v>
      </c>
      <c r="Z6" s="278">
        <v>556920</v>
      </c>
      <c r="AA6" s="278">
        <v>433286</v>
      </c>
      <c r="AB6" s="469">
        <f>AE6</f>
        <v>1386944</v>
      </c>
      <c r="AC6" s="278">
        <v>671500000</v>
      </c>
      <c r="AD6" s="20">
        <v>1560981</v>
      </c>
      <c r="AE6" s="833">
        <v>1386944</v>
      </c>
      <c r="AF6" s="20" t="s">
        <v>3994</v>
      </c>
    </row>
    <row r="7" spans="1:32">
      <c r="A7" s="21" t="s">
        <v>9</v>
      </c>
      <c r="B7" s="21" t="s">
        <v>3351</v>
      </c>
      <c r="C7" s="21" t="s">
        <v>10</v>
      </c>
      <c r="D7" s="24" t="s">
        <v>11</v>
      </c>
      <c r="E7" s="478">
        <v>320000</v>
      </c>
      <c r="F7" s="21">
        <f t="shared" ref="F7:F78" si="0">IFERROR(ROUND(VLOOKUP(J7,DGNC,5,0)*K7,0),)</f>
        <v>52815</v>
      </c>
      <c r="G7" s="21">
        <f t="shared" ref="G7:G78" si="1">IFERROR(ROUND(VLOOKUP(L7,DGMTC,8,0)*M7,0),)</f>
        <v>0</v>
      </c>
      <c r="H7" s="290">
        <v>80</v>
      </c>
      <c r="J7" s="281" t="s">
        <v>1283</v>
      </c>
      <c r="K7" s="53">
        <v>0.25</v>
      </c>
      <c r="L7" s="288"/>
      <c r="M7" s="289"/>
      <c r="O7" s="28" t="s">
        <v>1256</v>
      </c>
      <c r="P7" s="21">
        <v>26</v>
      </c>
      <c r="Q7" s="21" t="s">
        <v>1257</v>
      </c>
      <c r="R7" s="21"/>
      <c r="S7" s="21"/>
      <c r="U7" s="278" t="s">
        <v>603</v>
      </c>
      <c r="V7" s="278" t="s">
        <v>1351</v>
      </c>
      <c r="W7" s="278">
        <v>474054.54545454547</v>
      </c>
      <c r="X7" s="278">
        <v>237027.27272727274</v>
      </c>
      <c r="Y7" s="278">
        <v>263363.63636363635</v>
      </c>
      <c r="Z7" s="278">
        <v>686868</v>
      </c>
      <c r="AA7" s="278">
        <v>492935</v>
      </c>
      <c r="AB7" s="469">
        <f>AE7</f>
        <v>1939602</v>
      </c>
      <c r="AC7" s="278">
        <v>1158800000</v>
      </c>
      <c r="AD7" s="20">
        <v>2154248</v>
      </c>
      <c r="AE7" s="833">
        <v>1939602</v>
      </c>
      <c r="AF7" s="20" t="s">
        <v>3995</v>
      </c>
    </row>
    <row r="8" spans="1:32">
      <c r="A8" s="21" t="s">
        <v>15</v>
      </c>
      <c r="B8" s="21"/>
      <c r="C8" s="21" t="s">
        <v>16</v>
      </c>
      <c r="D8" s="24" t="s">
        <v>11</v>
      </c>
      <c r="E8" s="478">
        <v>541200</v>
      </c>
      <c r="F8" s="21">
        <f t="shared" si="0"/>
        <v>0</v>
      </c>
      <c r="G8" s="21">
        <f t="shared" si="1"/>
        <v>0</v>
      </c>
      <c r="H8" s="290">
        <v>3.2</v>
      </c>
      <c r="J8" s="281"/>
      <c r="K8" s="53"/>
      <c r="L8" s="288"/>
      <c r="M8" s="289"/>
      <c r="O8" s="21"/>
      <c r="P8" s="21"/>
      <c r="Q8" s="21"/>
      <c r="R8" s="31" t="s">
        <v>1258</v>
      </c>
      <c r="S8" s="21"/>
      <c r="U8" s="278" t="s">
        <v>1352</v>
      </c>
      <c r="V8" s="278" t="s">
        <v>1353</v>
      </c>
      <c r="W8" s="278">
        <v>258876.00000000003</v>
      </c>
      <c r="X8" s="278">
        <v>81216</v>
      </c>
      <c r="Y8" s="278">
        <v>84600</v>
      </c>
      <c r="Z8" s="278">
        <v>592238.85</v>
      </c>
      <c r="AA8" s="278">
        <v>196154</v>
      </c>
      <c r="AB8" s="659">
        <v>1367370</v>
      </c>
      <c r="AC8" s="278">
        <v>33840000</v>
      </c>
      <c r="AD8" s="20">
        <v>1176443</v>
      </c>
      <c r="AE8" s="833"/>
    </row>
    <row r="9" spans="1:32">
      <c r="A9" s="21" t="s">
        <v>17</v>
      </c>
      <c r="B9" s="21"/>
      <c r="C9" s="21" t="s">
        <v>3523</v>
      </c>
      <c r="D9" s="24" t="s">
        <v>11</v>
      </c>
      <c r="E9" s="478">
        <v>79800</v>
      </c>
      <c r="F9" s="21">
        <f t="shared" si="0"/>
        <v>0</v>
      </c>
      <c r="G9" s="21">
        <f t="shared" si="1"/>
        <v>0</v>
      </c>
      <c r="H9" s="290">
        <v>0.5</v>
      </c>
      <c r="J9" s="281"/>
      <c r="K9" s="53"/>
      <c r="L9" s="288"/>
      <c r="M9" s="289"/>
      <c r="O9" s="28" t="s">
        <v>1259</v>
      </c>
      <c r="P9" s="28" t="s">
        <v>1260</v>
      </c>
      <c r="Q9" s="28" t="s">
        <v>1261</v>
      </c>
      <c r="R9" s="28" t="s">
        <v>1262</v>
      </c>
      <c r="S9" s="28" t="s">
        <v>1263</v>
      </c>
      <c r="U9" s="278" t="s">
        <v>712</v>
      </c>
      <c r="V9" s="278" t="s">
        <v>1354</v>
      </c>
      <c r="W9" s="278">
        <v>47909.090909090904</v>
      </c>
      <c r="X9" s="278">
        <v>15570.454545454546</v>
      </c>
      <c r="Y9" s="278">
        <v>11977.272727272728</v>
      </c>
      <c r="Z9" s="278">
        <v>19090.940000000002</v>
      </c>
      <c r="AA9" s="278">
        <v>166154</v>
      </c>
      <c r="AB9" s="469">
        <f>AE9</f>
        <v>273496</v>
      </c>
      <c r="AC9" s="278">
        <v>26350000</v>
      </c>
      <c r="AD9" s="20">
        <v>273496</v>
      </c>
      <c r="AE9" s="833">
        <v>273496</v>
      </c>
    </row>
    <row r="10" spans="1:32">
      <c r="A10" s="21" t="s">
        <v>18</v>
      </c>
      <c r="B10" s="21"/>
      <c r="C10" s="21" t="s">
        <v>19</v>
      </c>
      <c r="D10" s="24" t="s">
        <v>11</v>
      </c>
      <c r="E10" s="478">
        <v>812200</v>
      </c>
      <c r="F10" s="21">
        <f t="shared" si="0"/>
        <v>0</v>
      </c>
      <c r="G10" s="21">
        <f t="shared" si="1"/>
        <v>0</v>
      </c>
      <c r="H10" s="290">
        <v>9.6</v>
      </c>
      <c r="J10" s="281"/>
      <c r="K10" s="53"/>
      <c r="L10" s="288"/>
      <c r="M10" s="289"/>
      <c r="O10" s="291"/>
      <c r="P10" s="291" t="s">
        <v>1264</v>
      </c>
      <c r="Q10" s="291"/>
      <c r="R10" s="1033" t="s">
        <v>1253</v>
      </c>
      <c r="S10" s="1034"/>
      <c r="U10" s="278" t="s">
        <v>1355</v>
      </c>
      <c r="V10" s="278" t="s">
        <v>1356</v>
      </c>
      <c r="W10" s="278">
        <v>11727.272727272726</v>
      </c>
      <c r="X10" s="278">
        <v>5160</v>
      </c>
      <c r="Y10" s="278">
        <v>2345.4545454545455</v>
      </c>
      <c r="Z10" s="278">
        <v>12148.78</v>
      </c>
      <c r="AA10" s="278">
        <v>166154</v>
      </c>
      <c r="AB10" s="469">
        <f>AE10</f>
        <v>210330</v>
      </c>
      <c r="AC10" s="278">
        <v>6450000</v>
      </c>
      <c r="AD10" s="20">
        <v>210330</v>
      </c>
      <c r="AE10" s="833">
        <v>210330</v>
      </c>
    </row>
    <row r="11" spans="1:32">
      <c r="A11" s="21" t="s">
        <v>20</v>
      </c>
      <c r="B11" s="21"/>
      <c r="C11" s="21" t="s">
        <v>21</v>
      </c>
      <c r="D11" s="24" t="s">
        <v>11</v>
      </c>
      <c r="E11" s="478">
        <v>108100</v>
      </c>
      <c r="F11" s="21">
        <f t="shared" si="0"/>
        <v>0</v>
      </c>
      <c r="G11" s="21">
        <f t="shared" si="1"/>
        <v>0</v>
      </c>
      <c r="H11" s="290">
        <v>0.7</v>
      </c>
      <c r="J11" s="281"/>
      <c r="K11" s="53"/>
      <c r="L11" s="288"/>
      <c r="M11" s="289"/>
      <c r="O11" s="21" t="s">
        <v>1265</v>
      </c>
      <c r="P11" s="21" t="s">
        <v>1266</v>
      </c>
      <c r="Q11" s="52">
        <v>1.55</v>
      </c>
      <c r="R11" s="21">
        <f>Q11*$R$6</f>
        <v>3338700</v>
      </c>
      <c r="S11" s="21">
        <f>ROUND(R11/$P$7,0)</f>
        <v>128412</v>
      </c>
      <c r="U11" s="278" t="s">
        <v>1357</v>
      </c>
      <c r="V11" s="278" t="s">
        <v>1358</v>
      </c>
      <c r="W11" s="278">
        <v>38213.043478260872</v>
      </c>
      <c r="X11" s="278">
        <v>10340</v>
      </c>
      <c r="Y11" s="278">
        <v>8991.3043478260861</v>
      </c>
      <c r="Z11" s="278">
        <v>24297.56</v>
      </c>
      <c r="AA11" s="278">
        <v>178948</v>
      </c>
      <c r="AB11" s="469">
        <f>AE11</f>
        <v>256969</v>
      </c>
      <c r="AC11" s="278"/>
      <c r="AD11" s="20">
        <v>260790</v>
      </c>
      <c r="AE11" s="833">
        <v>256969</v>
      </c>
      <c r="AF11" s="20" t="s">
        <v>3996</v>
      </c>
    </row>
    <row r="12" spans="1:32">
      <c r="A12" s="21" t="s">
        <v>22</v>
      </c>
      <c r="B12" s="21"/>
      <c r="C12" s="21" t="s">
        <v>23</v>
      </c>
      <c r="D12" s="24" t="s">
        <v>11</v>
      </c>
      <c r="E12" s="659">
        <v>977000</v>
      </c>
      <c r="F12" s="21">
        <f t="shared" si="0"/>
        <v>0</v>
      </c>
      <c r="G12" s="21">
        <f t="shared" si="1"/>
        <v>0</v>
      </c>
      <c r="H12" s="290">
        <v>10.199999999999999</v>
      </c>
      <c r="J12" s="281"/>
      <c r="K12" s="53"/>
      <c r="L12" s="288"/>
      <c r="M12" s="289"/>
      <c r="O12" s="21" t="s">
        <v>1267</v>
      </c>
      <c r="P12" s="21" t="s">
        <v>1268</v>
      </c>
      <c r="Q12" s="52">
        <v>1.83</v>
      </c>
      <c r="R12" s="21">
        <f t="shared" ref="R12:R35" si="2">Q12*$R$6</f>
        <v>3941820</v>
      </c>
      <c r="S12" s="21">
        <f t="shared" ref="S12:S69" si="3">ROUND(R12/$P$7,0)</f>
        <v>151608</v>
      </c>
      <c r="U12" s="278" t="s">
        <v>782</v>
      </c>
      <c r="V12" s="278" t="s">
        <v>1359</v>
      </c>
      <c r="W12" s="278"/>
      <c r="X12" s="278"/>
      <c r="Y12" s="278"/>
      <c r="Z12" s="278"/>
      <c r="AA12" s="278"/>
      <c r="AB12" s="659">
        <v>546616</v>
      </c>
      <c r="AC12" s="278"/>
      <c r="AD12" s="20">
        <v>947450</v>
      </c>
      <c r="AE12" s="833"/>
    </row>
    <row r="13" spans="1:32">
      <c r="A13" s="21" t="s">
        <v>25</v>
      </c>
      <c r="B13" s="21"/>
      <c r="C13" s="21" t="s">
        <v>26</v>
      </c>
      <c r="D13" s="24" t="s">
        <v>24</v>
      </c>
      <c r="E13" s="659">
        <v>6000</v>
      </c>
      <c r="F13" s="21">
        <f t="shared" si="0"/>
        <v>0</v>
      </c>
      <c r="G13" s="21">
        <f t="shared" si="1"/>
        <v>0</v>
      </c>
      <c r="H13" s="290">
        <v>0.2</v>
      </c>
      <c r="J13" s="281"/>
      <c r="K13" s="53"/>
      <c r="L13" s="288"/>
      <c r="M13" s="289"/>
      <c r="O13" s="21" t="s">
        <v>1269</v>
      </c>
      <c r="P13" s="21" t="s">
        <v>1270</v>
      </c>
      <c r="Q13" s="52">
        <v>1.929</v>
      </c>
      <c r="R13" s="21">
        <f t="shared" si="2"/>
        <v>4155066</v>
      </c>
      <c r="S13" s="21">
        <f t="shared" si="3"/>
        <v>159810</v>
      </c>
      <c r="U13" s="278" t="s">
        <v>380</v>
      </c>
      <c r="V13" s="278" t="s">
        <v>1360</v>
      </c>
      <c r="W13" s="278"/>
      <c r="X13" s="278"/>
      <c r="Y13" s="278"/>
      <c r="Z13" s="278"/>
      <c r="AA13" s="278"/>
      <c r="AB13" s="659">
        <v>58907</v>
      </c>
      <c r="AC13" s="278"/>
      <c r="AD13" s="20">
        <v>102104</v>
      </c>
      <c r="AE13" s="833"/>
    </row>
    <row r="14" spans="1:32">
      <c r="A14" s="21" t="s">
        <v>27</v>
      </c>
      <c r="B14" s="21"/>
      <c r="C14" s="21" t="s">
        <v>28</v>
      </c>
      <c r="D14" s="24" t="s">
        <v>24</v>
      </c>
      <c r="E14" s="678">
        <f>11000+2*LD</f>
        <v>19000</v>
      </c>
      <c r="F14" s="21">
        <f t="shared" si="0"/>
        <v>0</v>
      </c>
      <c r="G14" s="21">
        <f t="shared" si="1"/>
        <v>0</v>
      </c>
      <c r="H14" s="290">
        <v>0.2</v>
      </c>
      <c r="J14" s="281"/>
      <c r="K14" s="53"/>
      <c r="L14" s="288"/>
      <c r="M14" s="289"/>
      <c r="O14" s="21" t="s">
        <v>1271</v>
      </c>
      <c r="P14" s="21" t="s">
        <v>1272</v>
      </c>
      <c r="Q14" s="52">
        <v>1.9950000000000001</v>
      </c>
      <c r="R14" s="21">
        <f t="shared" si="2"/>
        <v>4297230</v>
      </c>
      <c r="S14" s="21">
        <f t="shared" si="3"/>
        <v>165278</v>
      </c>
      <c r="U14" s="278" t="s">
        <v>3491</v>
      </c>
      <c r="V14" s="278" t="s">
        <v>3492</v>
      </c>
      <c r="W14" s="278">
        <v>120133.33333333334</v>
      </c>
      <c r="X14" s="278">
        <v>26279.166666666672</v>
      </c>
      <c r="Y14" s="278">
        <v>37541.666666666664</v>
      </c>
      <c r="Z14" s="278">
        <v>167076</v>
      </c>
      <c r="AA14" s="278">
        <v>211258</v>
      </c>
      <c r="AB14" s="659">
        <v>555768</v>
      </c>
      <c r="AC14" s="278">
        <v>180200</v>
      </c>
      <c r="AD14" s="20">
        <v>562288</v>
      </c>
      <c r="AE14" s="833"/>
    </row>
    <row r="15" spans="1:32">
      <c r="A15" s="21" t="s">
        <v>3053</v>
      </c>
      <c r="B15" s="21"/>
      <c r="C15" s="21" t="s">
        <v>3054</v>
      </c>
      <c r="D15" s="24" t="s">
        <v>24</v>
      </c>
      <c r="E15" s="678">
        <f>11000+2*LD</f>
        <v>19000</v>
      </c>
      <c r="F15" s="21">
        <f>IFERROR(ROUND(VLOOKUP(J15,DGNC,5,0)*K15,0),)</f>
        <v>0</v>
      </c>
      <c r="G15" s="21">
        <f>IFERROR(ROUND(VLOOKUP(L15,DGMTC,8,0)*M15,0),)</f>
        <v>0</v>
      </c>
      <c r="H15" s="290">
        <v>0.2</v>
      </c>
      <c r="J15" s="281"/>
      <c r="K15" s="53"/>
      <c r="L15" s="288"/>
      <c r="M15" s="289"/>
      <c r="O15" s="21" t="s">
        <v>1271</v>
      </c>
      <c r="P15" s="21" t="s">
        <v>1272</v>
      </c>
      <c r="Q15" s="52">
        <v>1.9950000000000001</v>
      </c>
      <c r="R15" s="21">
        <f>Q15*$R$6</f>
        <v>4297230</v>
      </c>
      <c r="S15" s="21">
        <f>ROUND(R15/$P$7,0)</f>
        <v>165278</v>
      </c>
      <c r="U15" s="278" t="s">
        <v>3578</v>
      </c>
      <c r="V15" s="278" t="s">
        <v>3579</v>
      </c>
      <c r="W15" s="278"/>
      <c r="X15" s="278"/>
      <c r="Y15" s="278"/>
      <c r="Z15" s="278"/>
      <c r="AA15" s="278"/>
      <c r="AB15" s="659">
        <v>1285209</v>
      </c>
      <c r="AC15" s="278"/>
      <c r="AD15" s="20" t="s">
        <v>3580</v>
      </c>
      <c r="AE15" s="833"/>
    </row>
    <row r="16" spans="1:32">
      <c r="A16" s="21" t="s">
        <v>29</v>
      </c>
      <c r="B16" s="21"/>
      <c r="C16" s="21" t="s">
        <v>30</v>
      </c>
      <c r="D16" s="24" t="s">
        <v>24</v>
      </c>
      <c r="E16" s="678">
        <f>9000+2*LD</f>
        <v>17000</v>
      </c>
      <c r="F16" s="21">
        <f t="shared" si="0"/>
        <v>0</v>
      </c>
      <c r="G16" s="21">
        <f t="shared" si="1"/>
        <v>0</v>
      </c>
      <c r="H16" s="290">
        <v>0.25</v>
      </c>
      <c r="J16" s="281"/>
      <c r="K16" s="53"/>
      <c r="L16" s="288"/>
      <c r="M16" s="289"/>
      <c r="O16" s="21" t="s">
        <v>1269</v>
      </c>
      <c r="P16" s="21" t="s">
        <v>1270</v>
      </c>
      <c r="Q16" s="52">
        <v>1.929</v>
      </c>
      <c r="R16" s="21">
        <f t="shared" si="2"/>
        <v>4155066</v>
      </c>
      <c r="S16" s="21">
        <f t="shared" si="3"/>
        <v>159810</v>
      </c>
      <c r="U16" s="278" t="s">
        <v>3577</v>
      </c>
      <c r="V16" s="278" t="s">
        <v>3581</v>
      </c>
      <c r="W16" s="278"/>
      <c r="X16" s="278"/>
      <c r="Y16" s="278"/>
      <c r="Z16" s="278"/>
      <c r="AA16" s="278"/>
      <c r="AB16" s="659">
        <v>290288</v>
      </c>
      <c r="AC16" s="278"/>
      <c r="AE16" s="833"/>
    </row>
    <row r="17" spans="1:32">
      <c r="A17" s="21" t="s">
        <v>31</v>
      </c>
      <c r="B17" s="21"/>
      <c r="C17" s="21" t="s">
        <v>32</v>
      </c>
      <c r="D17" s="24" t="s">
        <v>24</v>
      </c>
      <c r="E17" s="678">
        <f>14000+2*LD</f>
        <v>22000</v>
      </c>
      <c r="F17" s="21">
        <f t="shared" si="0"/>
        <v>0</v>
      </c>
      <c r="G17" s="21">
        <f t="shared" si="1"/>
        <v>0</v>
      </c>
      <c r="H17" s="290">
        <v>0</v>
      </c>
      <c r="J17" s="281"/>
      <c r="K17" s="53"/>
      <c r="L17" s="288"/>
      <c r="M17" s="289"/>
      <c r="O17" s="21" t="s">
        <v>1273</v>
      </c>
      <c r="P17" s="21" t="s">
        <v>1274</v>
      </c>
      <c r="Q17" s="52">
        <v>2.0609999999999999</v>
      </c>
      <c r="R17" s="21">
        <f t="shared" si="2"/>
        <v>4439394</v>
      </c>
      <c r="S17" s="21">
        <f t="shared" si="3"/>
        <v>170746</v>
      </c>
      <c r="U17" s="21" t="s">
        <v>3819</v>
      </c>
      <c r="V17" s="21" t="s">
        <v>3820</v>
      </c>
      <c r="W17" s="21"/>
      <c r="X17" s="21"/>
      <c r="Y17" s="21"/>
      <c r="Z17" s="21"/>
      <c r="AA17" s="21"/>
      <c r="AB17" s="281">
        <f>AE17</f>
        <v>195347</v>
      </c>
      <c r="AC17" s="21"/>
      <c r="AD17" s="20" t="s">
        <v>3821</v>
      </c>
      <c r="AE17" s="833">
        <v>195347</v>
      </c>
      <c r="AF17" s="20" t="s">
        <v>3997</v>
      </c>
    </row>
    <row r="18" spans="1:32">
      <c r="A18" s="21" t="s">
        <v>2848</v>
      </c>
      <c r="B18" s="21"/>
      <c r="C18" s="21" t="s">
        <v>2849</v>
      </c>
      <c r="D18" s="24" t="s">
        <v>24</v>
      </c>
      <c r="E18" s="659">
        <f>17500+2*LD</f>
        <v>25500</v>
      </c>
      <c r="F18" s="21">
        <f>IFERROR(ROUND(VLOOKUP(J18,DGNC,5,0)*K18,0),)</f>
        <v>0</v>
      </c>
      <c r="G18" s="21">
        <f>IFERROR(ROUND(VLOOKUP(L18,DGMTC,8,0)*M18,0),)</f>
        <v>0</v>
      </c>
      <c r="H18" s="290">
        <v>0.23</v>
      </c>
      <c r="J18" s="281"/>
      <c r="K18" s="53"/>
      <c r="L18" s="288"/>
      <c r="M18" s="289"/>
      <c r="O18" s="21" t="s">
        <v>492</v>
      </c>
      <c r="P18" s="21" t="s">
        <v>1275</v>
      </c>
      <c r="Q18" s="52">
        <v>2.16</v>
      </c>
      <c r="R18" s="21">
        <f>Q18*$R$6</f>
        <v>4652640</v>
      </c>
      <c r="S18" s="21">
        <f>ROUND(R18/$P$7,0)</f>
        <v>178948</v>
      </c>
      <c r="U18" s="21"/>
      <c r="V18" s="21"/>
      <c r="W18" s="21"/>
      <c r="X18" s="21"/>
      <c r="Y18" s="21"/>
      <c r="Z18" s="21"/>
      <c r="AA18" s="21"/>
      <c r="AB18" s="21"/>
      <c r="AC18" s="21"/>
      <c r="AE18" s="833"/>
    </row>
    <row r="19" spans="1:32">
      <c r="A19" s="21" t="s">
        <v>33</v>
      </c>
      <c r="B19" s="21"/>
      <c r="C19" s="21" t="s">
        <v>34</v>
      </c>
      <c r="D19" s="24" t="s">
        <v>24</v>
      </c>
      <c r="E19" s="678">
        <f>20000+2*LD</f>
        <v>28000</v>
      </c>
      <c r="F19" s="21">
        <f t="shared" si="0"/>
        <v>0</v>
      </c>
      <c r="G19" s="21">
        <f t="shared" si="1"/>
        <v>0</v>
      </c>
      <c r="H19" s="290">
        <v>0.23</v>
      </c>
      <c r="J19" s="281"/>
      <c r="K19" s="53"/>
      <c r="L19" s="288"/>
      <c r="M19" s="289"/>
      <c r="O19" s="21" t="s">
        <v>492</v>
      </c>
      <c r="P19" s="21" t="s">
        <v>1275</v>
      </c>
      <c r="Q19" s="52">
        <v>2.16</v>
      </c>
      <c r="R19" s="21">
        <f t="shared" si="2"/>
        <v>4652640</v>
      </c>
      <c r="S19" s="21">
        <f t="shared" si="3"/>
        <v>178948</v>
      </c>
      <c r="U19" s="21"/>
      <c r="V19" s="21"/>
      <c r="W19" s="21"/>
      <c r="X19" s="21"/>
      <c r="Y19" s="21"/>
      <c r="Z19" s="21"/>
      <c r="AA19" s="21"/>
      <c r="AB19" s="21"/>
      <c r="AC19" s="21"/>
      <c r="AE19" s="833"/>
    </row>
    <row r="20" spans="1:32">
      <c r="A20" s="21" t="s">
        <v>35</v>
      </c>
      <c r="B20" s="21"/>
      <c r="C20" s="21" t="s">
        <v>36</v>
      </c>
      <c r="D20" s="24" t="s">
        <v>24</v>
      </c>
      <c r="E20" s="678">
        <f>22000+2*LD</f>
        <v>30000</v>
      </c>
      <c r="F20" s="21">
        <f t="shared" si="0"/>
        <v>0</v>
      </c>
      <c r="G20" s="21">
        <f t="shared" si="1"/>
        <v>0</v>
      </c>
      <c r="H20" s="290">
        <v>0.25</v>
      </c>
      <c r="J20" s="281"/>
      <c r="K20" s="53"/>
      <c r="L20" s="288"/>
      <c r="M20" s="289"/>
      <c r="O20" s="21" t="s">
        <v>1276</v>
      </c>
      <c r="P20" s="21" t="s">
        <v>1277</v>
      </c>
      <c r="Q20" s="52">
        <v>2.238</v>
      </c>
      <c r="R20" s="21">
        <f t="shared" si="2"/>
        <v>4820652</v>
      </c>
      <c r="S20" s="21">
        <f t="shared" si="3"/>
        <v>185410</v>
      </c>
      <c r="U20" s="21"/>
      <c r="V20" s="21"/>
      <c r="W20" s="21"/>
      <c r="X20" s="21"/>
      <c r="Y20" s="21"/>
      <c r="Z20" s="21"/>
      <c r="AA20" s="21"/>
      <c r="AB20" s="21"/>
      <c r="AC20" s="21"/>
      <c r="AE20" s="833"/>
    </row>
    <row r="21" spans="1:32">
      <c r="A21" s="21" t="s">
        <v>37</v>
      </c>
      <c r="B21" s="21"/>
      <c r="C21" s="21" t="s">
        <v>38</v>
      </c>
      <c r="D21" s="24" t="s">
        <v>24</v>
      </c>
      <c r="E21" s="678">
        <f>24000+2*LD</f>
        <v>32000</v>
      </c>
      <c r="F21" s="21">
        <f t="shared" si="0"/>
        <v>0</v>
      </c>
      <c r="G21" s="21">
        <f t="shared" si="1"/>
        <v>0</v>
      </c>
      <c r="H21" s="290">
        <v>0.3</v>
      </c>
      <c r="J21" s="281"/>
      <c r="K21" s="53"/>
      <c r="L21" s="288"/>
      <c r="M21" s="289"/>
      <c r="O21" s="21" t="s">
        <v>1278</v>
      </c>
      <c r="P21" s="21" t="s">
        <v>1279</v>
      </c>
      <c r="Q21" s="52">
        <v>2.2770000000000001</v>
      </c>
      <c r="R21" s="21">
        <f t="shared" si="2"/>
        <v>4904658</v>
      </c>
      <c r="S21" s="21">
        <f t="shared" si="3"/>
        <v>188641</v>
      </c>
      <c r="U21" s="21"/>
      <c r="V21" s="21"/>
      <c r="W21" s="21"/>
      <c r="X21" s="21"/>
      <c r="Y21" s="21"/>
      <c r="Z21" s="21"/>
      <c r="AA21" s="21"/>
      <c r="AB21" s="21"/>
      <c r="AC21" s="21"/>
      <c r="AE21" s="833"/>
    </row>
    <row r="22" spans="1:32">
      <c r="A22" s="21" t="s">
        <v>39</v>
      </c>
      <c r="B22" s="21"/>
      <c r="C22" s="21" t="s">
        <v>40</v>
      </c>
      <c r="D22" s="24" t="s">
        <v>24</v>
      </c>
      <c r="E22" s="678">
        <f>26000+2*LD</f>
        <v>34000</v>
      </c>
      <c r="F22" s="21">
        <f t="shared" si="0"/>
        <v>0</v>
      </c>
      <c r="G22" s="21">
        <f t="shared" si="1"/>
        <v>0</v>
      </c>
      <c r="H22" s="290">
        <v>0.33</v>
      </c>
      <c r="J22" s="281"/>
      <c r="K22" s="53"/>
      <c r="L22" s="288"/>
      <c r="M22" s="289"/>
      <c r="O22" s="21" t="s">
        <v>481</v>
      </c>
      <c r="P22" s="21" t="s">
        <v>1280</v>
      </c>
      <c r="Q22" s="52">
        <v>2.355</v>
      </c>
      <c r="R22" s="21">
        <f t="shared" si="2"/>
        <v>5072670</v>
      </c>
      <c r="S22" s="21">
        <f t="shared" si="3"/>
        <v>195103</v>
      </c>
      <c r="U22" s="21"/>
      <c r="V22" s="21"/>
      <c r="W22" s="21"/>
      <c r="X22" s="21"/>
      <c r="Y22" s="21"/>
      <c r="Z22" s="21"/>
      <c r="AA22" s="21"/>
      <c r="AB22" s="21"/>
      <c r="AC22" s="21"/>
      <c r="AE22" s="833"/>
    </row>
    <row r="23" spans="1:32">
      <c r="A23" s="21" t="s">
        <v>41</v>
      </c>
      <c r="B23" s="21"/>
      <c r="C23" s="21" t="s">
        <v>42</v>
      </c>
      <c r="D23" s="24" t="s">
        <v>24</v>
      </c>
      <c r="E23" s="678">
        <f>28000+2*LD</f>
        <v>36000</v>
      </c>
      <c r="F23" s="21">
        <f t="shared" si="0"/>
        <v>0</v>
      </c>
      <c r="G23" s="21">
        <f t="shared" si="1"/>
        <v>0</v>
      </c>
      <c r="H23" s="290">
        <v>0.3</v>
      </c>
      <c r="J23" s="281"/>
      <c r="K23" s="53"/>
      <c r="L23" s="288"/>
      <c r="M23" s="289"/>
      <c r="O23" s="21" t="s">
        <v>1281</v>
      </c>
      <c r="P23" s="21" t="s">
        <v>1282</v>
      </c>
      <c r="Q23" s="52">
        <v>2.4329999999999998</v>
      </c>
      <c r="R23" s="21">
        <f t="shared" si="2"/>
        <v>5240682</v>
      </c>
      <c r="S23" s="21">
        <f t="shared" si="3"/>
        <v>201565</v>
      </c>
      <c r="U23" s="21"/>
      <c r="V23" s="21"/>
      <c r="W23" s="21"/>
      <c r="X23" s="21"/>
      <c r="Y23" s="21"/>
      <c r="Z23" s="21"/>
      <c r="AA23" s="21"/>
      <c r="AB23" s="21"/>
      <c r="AC23" s="21"/>
      <c r="AE23" s="833"/>
    </row>
    <row r="24" spans="1:32">
      <c r="A24" s="21" t="s">
        <v>43</v>
      </c>
      <c r="B24" s="21"/>
      <c r="C24" s="21" t="s">
        <v>44</v>
      </c>
      <c r="D24" s="24" t="s">
        <v>24</v>
      </c>
      <c r="E24" s="659">
        <f>28000+2*LD</f>
        <v>36000</v>
      </c>
      <c r="F24" s="21">
        <f t="shared" si="0"/>
        <v>0</v>
      </c>
      <c r="G24" s="21">
        <f t="shared" si="1"/>
        <v>0</v>
      </c>
      <c r="H24" s="290">
        <v>0</v>
      </c>
      <c r="J24" s="281"/>
      <c r="K24" s="53"/>
      <c r="L24" s="288"/>
      <c r="M24" s="289"/>
      <c r="O24" s="21" t="s">
        <v>1283</v>
      </c>
      <c r="P24" s="21" t="s">
        <v>1284</v>
      </c>
      <c r="Q24" s="52">
        <v>2.5499999999999998</v>
      </c>
      <c r="R24" s="21">
        <f t="shared" si="2"/>
        <v>5492700</v>
      </c>
      <c r="S24" s="21">
        <f t="shared" si="3"/>
        <v>211258</v>
      </c>
      <c r="U24" s="21"/>
      <c r="V24" s="21"/>
      <c r="W24" s="21"/>
      <c r="X24" s="21"/>
      <c r="Y24" s="21"/>
      <c r="Z24" s="21"/>
      <c r="AA24" s="21"/>
      <c r="AB24" s="21"/>
      <c r="AC24" s="21"/>
      <c r="AE24" s="833"/>
    </row>
    <row r="25" spans="1:32">
      <c r="A25" s="21" t="s">
        <v>45</v>
      </c>
      <c r="B25" s="21"/>
      <c r="C25" s="21" t="s">
        <v>46</v>
      </c>
      <c r="D25" s="24" t="s">
        <v>24</v>
      </c>
      <c r="E25" s="659">
        <f>30000+2*LD</f>
        <v>38000</v>
      </c>
      <c r="F25" s="21">
        <f t="shared" si="0"/>
        <v>0</v>
      </c>
      <c r="G25" s="21">
        <f t="shared" si="1"/>
        <v>0</v>
      </c>
      <c r="H25" s="290">
        <v>0.5</v>
      </c>
      <c r="J25" s="281"/>
      <c r="K25" s="53"/>
      <c r="L25" s="288"/>
      <c r="M25" s="289"/>
      <c r="O25" s="21" t="s">
        <v>1285</v>
      </c>
      <c r="P25" s="21" t="s">
        <v>1286</v>
      </c>
      <c r="Q25" s="52">
        <v>2.6419999999999999</v>
      </c>
      <c r="R25" s="21">
        <f t="shared" si="2"/>
        <v>5690868</v>
      </c>
      <c r="S25" s="21">
        <f t="shared" si="3"/>
        <v>218880</v>
      </c>
      <c r="U25" s="21"/>
      <c r="V25" s="21"/>
      <c r="W25" s="21"/>
      <c r="X25" s="21"/>
      <c r="Y25" s="21"/>
      <c r="Z25" s="21"/>
      <c r="AA25" s="21"/>
      <c r="AB25" s="21"/>
      <c r="AC25" s="21"/>
      <c r="AE25" s="833"/>
    </row>
    <row r="26" spans="1:32">
      <c r="A26" s="21" t="s">
        <v>2909</v>
      </c>
      <c r="B26" s="21"/>
      <c r="C26" s="21" t="s">
        <v>2910</v>
      </c>
      <c r="D26" s="24" t="s">
        <v>24</v>
      </c>
      <c r="E26" s="659">
        <f>16000+4*LD</f>
        <v>32000</v>
      </c>
      <c r="F26" s="21">
        <f>IFERROR(ROUND(VLOOKUP(J26,DGNC,5,0)*K26,0),)</f>
        <v>0</v>
      </c>
      <c r="G26" s="21">
        <f>IFERROR(ROUND(VLOOKUP(L26,DGMTC,8,0)*M26,0),)</f>
        <v>0</v>
      </c>
      <c r="H26" s="290">
        <v>0</v>
      </c>
      <c r="J26" s="281"/>
      <c r="K26" s="53"/>
      <c r="L26" s="288"/>
      <c r="M26" s="289"/>
      <c r="O26" s="21" t="s">
        <v>1287</v>
      </c>
      <c r="P26" s="21" t="s">
        <v>1288</v>
      </c>
      <c r="Q26" s="52">
        <v>2.6880000000000002</v>
      </c>
      <c r="R26" s="21">
        <f>Q26*$R$6</f>
        <v>5789952</v>
      </c>
      <c r="S26" s="21">
        <f>ROUND(R26/$P$7,0)</f>
        <v>222690</v>
      </c>
      <c r="U26" s="21"/>
      <c r="V26" s="21"/>
      <c r="W26" s="21"/>
      <c r="X26" s="21"/>
      <c r="Y26" s="21"/>
      <c r="Z26" s="21"/>
      <c r="AA26" s="21"/>
      <c r="AB26" s="21"/>
      <c r="AC26" s="21"/>
      <c r="AE26" s="833"/>
    </row>
    <row r="27" spans="1:32">
      <c r="A27" s="21" t="s">
        <v>47</v>
      </c>
      <c r="B27" s="21"/>
      <c r="C27" s="21" t="s">
        <v>48</v>
      </c>
      <c r="D27" s="24" t="s">
        <v>24</v>
      </c>
      <c r="E27" s="678">
        <f>21000+4*LD</f>
        <v>37000</v>
      </c>
      <c r="F27" s="21">
        <f t="shared" si="0"/>
        <v>0</v>
      </c>
      <c r="G27" s="21">
        <f t="shared" si="1"/>
        <v>0</v>
      </c>
      <c r="H27" s="290">
        <v>0</v>
      </c>
      <c r="J27" s="281"/>
      <c r="K27" s="53"/>
      <c r="L27" s="288"/>
      <c r="M27" s="289"/>
      <c r="O27" s="21" t="s">
        <v>1287</v>
      </c>
      <c r="P27" s="21" t="s">
        <v>1288</v>
      </c>
      <c r="Q27" s="52">
        <v>2.6880000000000002</v>
      </c>
      <c r="R27" s="21">
        <f t="shared" si="2"/>
        <v>5789952</v>
      </c>
      <c r="S27" s="21">
        <f t="shared" si="3"/>
        <v>222690</v>
      </c>
      <c r="U27" s="21"/>
      <c r="V27" s="21"/>
      <c r="W27" s="21"/>
      <c r="X27" s="21"/>
      <c r="Y27" s="21"/>
      <c r="Z27" s="21"/>
      <c r="AA27" s="21"/>
      <c r="AB27" s="21"/>
      <c r="AC27" s="21"/>
      <c r="AE27" s="833"/>
    </row>
    <row r="28" spans="1:32">
      <c r="A28" s="21" t="s">
        <v>49</v>
      </c>
      <c r="B28" s="21"/>
      <c r="C28" s="21" t="s">
        <v>2036</v>
      </c>
      <c r="D28" s="24" t="s">
        <v>24</v>
      </c>
      <c r="E28" s="678">
        <f>24000+4*LD</f>
        <v>40000</v>
      </c>
      <c r="F28" s="21">
        <f t="shared" si="0"/>
        <v>0</v>
      </c>
      <c r="G28" s="21">
        <f t="shared" si="1"/>
        <v>0</v>
      </c>
      <c r="H28" s="290">
        <v>0.3</v>
      </c>
      <c r="J28" s="281"/>
      <c r="K28" s="53"/>
      <c r="L28" s="288"/>
      <c r="M28" s="289"/>
      <c r="O28" s="21" t="s">
        <v>1289</v>
      </c>
      <c r="P28" s="21" t="s">
        <v>1290</v>
      </c>
      <c r="Q28" s="52">
        <v>2.78</v>
      </c>
      <c r="R28" s="21">
        <f t="shared" si="2"/>
        <v>5988120</v>
      </c>
      <c r="S28" s="21">
        <f t="shared" si="3"/>
        <v>230312</v>
      </c>
      <c r="U28" s="21"/>
      <c r="V28" s="21"/>
      <c r="W28" s="21"/>
      <c r="X28" s="21"/>
      <c r="Y28" s="21"/>
      <c r="Z28" s="21"/>
      <c r="AA28" s="21"/>
      <c r="AB28" s="21"/>
      <c r="AC28" s="21"/>
      <c r="AE28" s="833"/>
    </row>
    <row r="29" spans="1:32">
      <c r="A29" s="21" t="s">
        <v>50</v>
      </c>
      <c r="B29" s="21"/>
      <c r="C29" s="21" t="s">
        <v>51</v>
      </c>
      <c r="D29" s="24" t="s">
        <v>24</v>
      </c>
      <c r="E29" s="678">
        <f>27000+4*LD</f>
        <v>43000</v>
      </c>
      <c r="F29" s="21">
        <f t="shared" si="0"/>
        <v>0</v>
      </c>
      <c r="G29" s="21">
        <f t="shared" si="1"/>
        <v>0</v>
      </c>
      <c r="H29" s="290">
        <f>H28+0.05</f>
        <v>0.35</v>
      </c>
      <c r="J29" s="281"/>
      <c r="K29" s="53"/>
      <c r="L29" s="288"/>
      <c r="M29" s="289"/>
      <c r="O29" s="21" t="s">
        <v>1291</v>
      </c>
      <c r="P29" s="21" t="s">
        <v>1292</v>
      </c>
      <c r="Q29" s="52">
        <v>2.8719999999999999</v>
      </c>
      <c r="R29" s="21">
        <f t="shared" si="2"/>
        <v>6186288</v>
      </c>
      <c r="S29" s="21">
        <f t="shared" si="3"/>
        <v>237934</v>
      </c>
      <c r="U29" s="21"/>
      <c r="V29" s="21"/>
      <c r="W29" s="21"/>
      <c r="X29" s="21"/>
      <c r="Y29" s="21"/>
      <c r="Z29" s="21"/>
      <c r="AA29" s="21"/>
      <c r="AB29" s="21"/>
      <c r="AC29" s="21"/>
      <c r="AE29" s="833"/>
    </row>
    <row r="30" spans="1:32">
      <c r="A30" s="21" t="s">
        <v>52</v>
      </c>
      <c r="B30" s="21"/>
      <c r="C30" s="21" t="s">
        <v>53</v>
      </c>
      <c r="D30" s="24" t="s">
        <v>24</v>
      </c>
      <c r="E30" s="678">
        <f>29000+4*LD</f>
        <v>45000</v>
      </c>
      <c r="F30" s="21">
        <f t="shared" si="0"/>
        <v>0</v>
      </c>
      <c r="G30" s="21">
        <f t="shared" si="1"/>
        <v>0</v>
      </c>
      <c r="H30" s="290">
        <f t="shared" ref="H30:H45" si="4">H29+0.05</f>
        <v>0.39999999999999997</v>
      </c>
      <c r="J30" s="281"/>
      <c r="K30" s="53"/>
      <c r="L30" s="288"/>
      <c r="M30" s="289"/>
      <c r="O30" s="21" t="s">
        <v>1293</v>
      </c>
      <c r="P30" s="21" t="s">
        <v>1294</v>
      </c>
      <c r="Q30" s="52">
        <v>3.01</v>
      </c>
      <c r="R30" s="21">
        <f t="shared" si="2"/>
        <v>6483540</v>
      </c>
      <c r="S30" s="21">
        <f t="shared" si="3"/>
        <v>249367</v>
      </c>
    </row>
    <row r="31" spans="1:32">
      <c r="A31" s="21" t="s">
        <v>54</v>
      </c>
      <c r="B31" s="21"/>
      <c r="C31" s="21" t="s">
        <v>55</v>
      </c>
      <c r="D31" s="24" t="s">
        <v>24</v>
      </c>
      <c r="E31" s="678">
        <f>31000+4*LD</f>
        <v>47000</v>
      </c>
      <c r="F31" s="21">
        <f t="shared" si="0"/>
        <v>0</v>
      </c>
      <c r="G31" s="21">
        <f t="shared" si="1"/>
        <v>0</v>
      </c>
      <c r="H31" s="290">
        <f t="shared" si="4"/>
        <v>0.44999999999999996</v>
      </c>
      <c r="J31" s="281"/>
      <c r="K31" s="53"/>
      <c r="L31" s="288"/>
      <c r="M31" s="289"/>
      <c r="O31" s="21" t="s">
        <v>1295</v>
      </c>
      <c r="P31" s="21" t="s">
        <v>1296</v>
      </c>
      <c r="Q31" s="52">
        <v>3.12</v>
      </c>
      <c r="R31" s="21">
        <f t="shared" si="2"/>
        <v>6720480</v>
      </c>
      <c r="S31" s="21">
        <f t="shared" si="3"/>
        <v>258480</v>
      </c>
    </row>
    <row r="32" spans="1:32">
      <c r="A32" s="21" t="s">
        <v>56</v>
      </c>
      <c r="B32" s="21"/>
      <c r="C32" s="21" t="s">
        <v>57</v>
      </c>
      <c r="D32" s="24" t="s">
        <v>24</v>
      </c>
      <c r="E32" s="678">
        <f>33000+4*LD</f>
        <v>49000</v>
      </c>
      <c r="F32" s="21">
        <f t="shared" si="0"/>
        <v>0</v>
      </c>
      <c r="G32" s="21">
        <f t="shared" si="1"/>
        <v>0</v>
      </c>
      <c r="H32" s="290">
        <f t="shared" si="4"/>
        <v>0.49999999999999994</v>
      </c>
      <c r="J32" s="281"/>
      <c r="K32" s="53"/>
      <c r="L32" s="288"/>
      <c r="M32" s="289"/>
      <c r="O32" s="21" t="s">
        <v>1297</v>
      </c>
      <c r="P32" s="21" t="s">
        <v>1298</v>
      </c>
      <c r="Q32" s="52">
        <v>3.1749999999999998</v>
      </c>
      <c r="R32" s="21">
        <f t="shared" si="2"/>
        <v>6838950</v>
      </c>
      <c r="S32" s="21">
        <f t="shared" si="3"/>
        <v>263037</v>
      </c>
    </row>
    <row r="33" spans="1:19">
      <c r="A33" s="21" t="s">
        <v>58</v>
      </c>
      <c r="B33" s="21"/>
      <c r="C33" s="21" t="s">
        <v>59</v>
      </c>
      <c r="D33" s="24" t="s">
        <v>24</v>
      </c>
      <c r="E33" s="678">
        <f>35000+4*LD</f>
        <v>51000</v>
      </c>
      <c r="F33" s="21">
        <f t="shared" si="0"/>
        <v>0</v>
      </c>
      <c r="G33" s="21">
        <f t="shared" si="1"/>
        <v>0</v>
      </c>
      <c r="H33" s="290">
        <f t="shared" si="4"/>
        <v>0.54999999999999993</v>
      </c>
      <c r="J33" s="281"/>
      <c r="K33" s="53"/>
      <c r="L33" s="288"/>
      <c r="M33" s="289"/>
      <c r="O33" s="21" t="s">
        <v>1299</v>
      </c>
      <c r="P33" s="21" t="s">
        <v>1300</v>
      </c>
      <c r="Q33" s="52">
        <v>3.2850000000000001</v>
      </c>
      <c r="R33" s="21">
        <f t="shared" si="2"/>
        <v>7075890</v>
      </c>
      <c r="S33" s="21">
        <f t="shared" si="3"/>
        <v>272150</v>
      </c>
    </row>
    <row r="34" spans="1:19">
      <c r="A34" s="21" t="s">
        <v>60</v>
      </c>
      <c r="B34" s="21"/>
      <c r="C34" s="21" t="s">
        <v>61</v>
      </c>
      <c r="D34" s="24" t="s">
        <v>24</v>
      </c>
      <c r="E34" s="678">
        <f>38000+4*LD</f>
        <v>54000</v>
      </c>
      <c r="F34" s="21">
        <f t="shared" si="0"/>
        <v>0</v>
      </c>
      <c r="G34" s="21">
        <f t="shared" si="1"/>
        <v>0</v>
      </c>
      <c r="H34" s="290">
        <f t="shared" si="4"/>
        <v>0.6</v>
      </c>
      <c r="J34" s="281"/>
      <c r="K34" s="53"/>
      <c r="L34" s="288"/>
      <c r="M34" s="289"/>
      <c r="O34" s="21" t="s">
        <v>1301</v>
      </c>
      <c r="P34" s="21" t="s">
        <v>1302</v>
      </c>
      <c r="Q34" s="52">
        <v>3.56</v>
      </c>
      <c r="R34" s="21">
        <f t="shared" si="2"/>
        <v>7668240</v>
      </c>
      <c r="S34" s="21">
        <f t="shared" si="3"/>
        <v>294932</v>
      </c>
    </row>
    <row r="35" spans="1:19">
      <c r="A35" s="21" t="s">
        <v>62</v>
      </c>
      <c r="B35" s="21"/>
      <c r="C35" s="21" t="s">
        <v>63</v>
      </c>
      <c r="D35" s="24" t="s">
        <v>24</v>
      </c>
      <c r="E35" s="678">
        <f>41000+4*LD</f>
        <v>57000</v>
      </c>
      <c r="F35" s="21">
        <f t="shared" si="0"/>
        <v>0</v>
      </c>
      <c r="G35" s="21">
        <f t="shared" si="1"/>
        <v>0</v>
      </c>
      <c r="H35" s="290">
        <f t="shared" si="4"/>
        <v>0.65</v>
      </c>
      <c r="J35" s="281"/>
      <c r="K35" s="53"/>
      <c r="L35" s="288"/>
      <c r="M35" s="289"/>
      <c r="O35" s="21" t="s">
        <v>1303</v>
      </c>
      <c r="P35" s="21" t="s">
        <v>1304</v>
      </c>
      <c r="Q35" s="52">
        <v>4.2</v>
      </c>
      <c r="R35" s="21">
        <f t="shared" si="2"/>
        <v>9046800</v>
      </c>
      <c r="S35" s="21">
        <f t="shared" si="3"/>
        <v>347954</v>
      </c>
    </row>
    <row r="36" spans="1:19">
      <c r="A36" s="21" t="s">
        <v>64</v>
      </c>
      <c r="B36" s="21"/>
      <c r="C36" s="21" t="s">
        <v>65</v>
      </c>
      <c r="D36" s="24" t="s">
        <v>24</v>
      </c>
      <c r="E36" s="678">
        <f>44000+4*LD</f>
        <v>60000</v>
      </c>
      <c r="F36" s="21">
        <f t="shared" si="0"/>
        <v>0</v>
      </c>
      <c r="G36" s="21">
        <f t="shared" si="1"/>
        <v>0</v>
      </c>
      <c r="H36" s="290">
        <f t="shared" si="4"/>
        <v>0.70000000000000007</v>
      </c>
      <c r="J36" s="281"/>
      <c r="K36" s="53"/>
      <c r="L36" s="288"/>
      <c r="M36" s="289"/>
      <c r="O36" s="288"/>
      <c r="P36" s="288" t="s">
        <v>1305</v>
      </c>
      <c r="Q36" s="289"/>
      <c r="R36" s="288"/>
      <c r="S36" s="288"/>
    </row>
    <row r="37" spans="1:19">
      <c r="A37" s="21" t="s">
        <v>66</v>
      </c>
      <c r="B37" s="21"/>
      <c r="C37" s="21" t="s">
        <v>67</v>
      </c>
      <c r="D37" s="24" t="s">
        <v>24</v>
      </c>
      <c r="E37" s="659"/>
      <c r="F37" s="21">
        <f t="shared" si="0"/>
        <v>0</v>
      </c>
      <c r="G37" s="21">
        <f t="shared" si="1"/>
        <v>0</v>
      </c>
      <c r="H37" s="290">
        <f t="shared" si="4"/>
        <v>0.75000000000000011</v>
      </c>
      <c r="J37" s="281"/>
      <c r="K37" s="53"/>
      <c r="L37" s="288"/>
      <c r="M37" s="289"/>
      <c r="O37" s="21" t="s">
        <v>1306</v>
      </c>
      <c r="P37" s="21" t="s">
        <v>1266</v>
      </c>
      <c r="Q37" s="52">
        <v>1.76</v>
      </c>
      <c r="R37" s="21">
        <f>Q37*$R$6</f>
        <v>3791040</v>
      </c>
      <c r="S37" s="21">
        <f t="shared" si="3"/>
        <v>145809</v>
      </c>
    </row>
    <row r="38" spans="1:19">
      <c r="A38" s="21" t="s">
        <v>68</v>
      </c>
      <c r="B38" s="21"/>
      <c r="C38" s="21" t="s">
        <v>69</v>
      </c>
      <c r="D38" s="24" t="s">
        <v>24</v>
      </c>
      <c r="E38" s="678">
        <f>29000+2*LD</f>
        <v>37000</v>
      </c>
      <c r="F38" s="21">
        <f t="shared" si="0"/>
        <v>0</v>
      </c>
      <c r="G38" s="21">
        <f t="shared" si="1"/>
        <v>0</v>
      </c>
      <c r="H38" s="290">
        <f t="shared" si="4"/>
        <v>0.80000000000000016</v>
      </c>
      <c r="J38" s="281"/>
      <c r="K38" s="53"/>
      <c r="L38" s="288"/>
      <c r="M38" s="289"/>
      <c r="O38" s="21" t="s">
        <v>1307</v>
      </c>
      <c r="P38" s="21" t="s">
        <v>1268</v>
      </c>
      <c r="Q38" s="52">
        <v>2.0699999999999998</v>
      </c>
      <c r="R38" s="21">
        <f t="shared" ref="R38:R69" si="5">Q38*$R$6</f>
        <v>4458780</v>
      </c>
      <c r="S38" s="21">
        <f t="shared" si="3"/>
        <v>171492</v>
      </c>
    </row>
    <row r="39" spans="1:19">
      <c r="A39" s="21" t="s">
        <v>70</v>
      </c>
      <c r="B39" s="21"/>
      <c r="C39" s="21" t="s">
        <v>71</v>
      </c>
      <c r="D39" s="24" t="s">
        <v>24</v>
      </c>
      <c r="E39" s="678">
        <f>31000+2*LD</f>
        <v>39000</v>
      </c>
      <c r="F39" s="21">
        <f t="shared" si="0"/>
        <v>0</v>
      </c>
      <c r="G39" s="21">
        <f t="shared" si="1"/>
        <v>0</v>
      </c>
      <c r="H39" s="290">
        <f t="shared" si="4"/>
        <v>0.8500000000000002</v>
      </c>
      <c r="J39" s="281"/>
      <c r="K39" s="53"/>
      <c r="L39" s="288"/>
      <c r="M39" s="289"/>
      <c r="O39" s="21" t="s">
        <v>1308</v>
      </c>
      <c r="P39" s="21" t="s">
        <v>1270</v>
      </c>
      <c r="Q39" s="52">
        <v>2.181</v>
      </c>
      <c r="R39" s="21">
        <f t="shared" si="5"/>
        <v>4697874</v>
      </c>
      <c r="S39" s="21">
        <f t="shared" si="3"/>
        <v>180687</v>
      </c>
    </row>
    <row r="40" spans="1:19">
      <c r="A40" s="21" t="s">
        <v>72</v>
      </c>
      <c r="B40" s="21"/>
      <c r="C40" s="21" t="s">
        <v>57</v>
      </c>
      <c r="D40" s="24" t="s">
        <v>24</v>
      </c>
      <c r="E40" s="678">
        <f>33000+2*LD</f>
        <v>41000</v>
      </c>
      <c r="F40" s="21">
        <f t="shared" si="0"/>
        <v>0</v>
      </c>
      <c r="G40" s="21">
        <f t="shared" si="1"/>
        <v>0</v>
      </c>
      <c r="H40" s="290">
        <f t="shared" si="4"/>
        <v>0.90000000000000024</v>
      </c>
      <c r="J40" s="281"/>
      <c r="K40" s="53"/>
      <c r="L40" s="288"/>
      <c r="M40" s="289"/>
      <c r="O40" s="21" t="s">
        <v>1309</v>
      </c>
      <c r="P40" s="21" t="s">
        <v>1272</v>
      </c>
      <c r="Q40" s="52">
        <v>2.2549999999999999</v>
      </c>
      <c r="R40" s="21">
        <f t="shared" si="5"/>
        <v>4857270</v>
      </c>
      <c r="S40" s="21">
        <f t="shared" si="3"/>
        <v>186818</v>
      </c>
    </row>
    <row r="41" spans="1:19">
      <c r="A41" s="21" t="s">
        <v>73</v>
      </c>
      <c r="B41" s="21"/>
      <c r="C41" s="21" t="s">
        <v>59</v>
      </c>
      <c r="D41" s="24" t="s">
        <v>24</v>
      </c>
      <c r="E41" s="678">
        <f>35000+2*LD</f>
        <v>43000</v>
      </c>
      <c r="F41" s="21">
        <f t="shared" si="0"/>
        <v>0</v>
      </c>
      <c r="G41" s="21">
        <f t="shared" si="1"/>
        <v>0</v>
      </c>
      <c r="H41" s="290">
        <f t="shared" si="4"/>
        <v>0.95000000000000029</v>
      </c>
      <c r="J41" s="281"/>
      <c r="K41" s="53"/>
      <c r="L41" s="288"/>
      <c r="M41" s="289"/>
      <c r="O41" s="21" t="s">
        <v>1310</v>
      </c>
      <c r="P41" s="21" t="s">
        <v>1274</v>
      </c>
      <c r="Q41" s="52">
        <v>2.3290000000000002</v>
      </c>
      <c r="R41" s="21">
        <f t="shared" si="5"/>
        <v>5016666</v>
      </c>
      <c r="S41" s="21">
        <f t="shared" si="3"/>
        <v>192949</v>
      </c>
    </row>
    <row r="42" spans="1:19">
      <c r="A42" s="21" t="s">
        <v>74</v>
      </c>
      <c r="B42" s="21"/>
      <c r="C42" s="21" t="s">
        <v>75</v>
      </c>
      <c r="D42" s="24" t="s">
        <v>24</v>
      </c>
      <c r="E42" s="678">
        <f>38000+2*LD</f>
        <v>46000</v>
      </c>
      <c r="F42" s="21">
        <f t="shared" si="0"/>
        <v>0</v>
      </c>
      <c r="G42" s="21">
        <f t="shared" si="1"/>
        <v>0</v>
      </c>
      <c r="H42" s="290">
        <f t="shared" si="4"/>
        <v>1.0000000000000002</v>
      </c>
      <c r="J42" s="281"/>
      <c r="K42" s="53"/>
      <c r="L42" s="288"/>
      <c r="M42" s="289"/>
      <c r="O42" s="21" t="s">
        <v>1311</v>
      </c>
      <c r="P42" s="21" t="s">
        <v>1275</v>
      </c>
      <c r="Q42" s="52">
        <v>2.44</v>
      </c>
      <c r="R42" s="21">
        <f t="shared" si="5"/>
        <v>5255760</v>
      </c>
      <c r="S42" s="21">
        <f t="shared" si="3"/>
        <v>202145</v>
      </c>
    </row>
    <row r="43" spans="1:19">
      <c r="A43" s="21" t="s">
        <v>76</v>
      </c>
      <c r="B43" s="21"/>
      <c r="C43" s="21" t="s">
        <v>63</v>
      </c>
      <c r="D43" s="24" t="s">
        <v>24</v>
      </c>
      <c r="E43" s="678">
        <f>41000+2*LD</f>
        <v>49000</v>
      </c>
      <c r="F43" s="21">
        <f t="shared" si="0"/>
        <v>0</v>
      </c>
      <c r="G43" s="21">
        <f t="shared" si="1"/>
        <v>0</v>
      </c>
      <c r="H43" s="290">
        <f t="shared" si="4"/>
        <v>1.0500000000000003</v>
      </c>
      <c r="J43" s="281"/>
      <c r="K43" s="53"/>
      <c r="L43" s="288"/>
      <c r="M43" s="289"/>
      <c r="O43" s="21" t="s">
        <v>1312</v>
      </c>
      <c r="P43" s="21" t="s">
        <v>1277</v>
      </c>
      <c r="Q43" s="52">
        <v>2.524</v>
      </c>
      <c r="R43" s="21">
        <f t="shared" si="5"/>
        <v>5436696</v>
      </c>
      <c r="S43" s="21">
        <f t="shared" si="3"/>
        <v>209104</v>
      </c>
    </row>
    <row r="44" spans="1:19">
      <c r="A44" s="21" t="s">
        <v>77</v>
      </c>
      <c r="B44" s="21"/>
      <c r="C44" s="21" t="s">
        <v>78</v>
      </c>
      <c r="D44" s="24" t="s">
        <v>24</v>
      </c>
      <c r="E44" s="678">
        <f>44000+2*LD</f>
        <v>52000</v>
      </c>
      <c r="F44" s="21">
        <f t="shared" si="0"/>
        <v>0</v>
      </c>
      <c r="G44" s="21">
        <f t="shared" si="1"/>
        <v>0</v>
      </c>
      <c r="H44" s="290">
        <f t="shared" si="4"/>
        <v>1.1000000000000003</v>
      </c>
      <c r="J44" s="281"/>
      <c r="K44" s="53"/>
      <c r="L44" s="288"/>
      <c r="M44" s="289"/>
      <c r="O44" s="21" t="s">
        <v>1313</v>
      </c>
      <c r="P44" s="21" t="s">
        <v>1279</v>
      </c>
      <c r="Q44" s="52">
        <v>2.5659999999999998</v>
      </c>
      <c r="R44" s="21">
        <f t="shared" si="5"/>
        <v>5527164</v>
      </c>
      <c r="S44" s="21">
        <f t="shared" si="3"/>
        <v>212583</v>
      </c>
    </row>
    <row r="45" spans="1:19">
      <c r="A45" s="21" t="s">
        <v>79</v>
      </c>
      <c r="B45" s="21"/>
      <c r="C45" s="21" t="s">
        <v>67</v>
      </c>
      <c r="D45" s="24" t="s">
        <v>24</v>
      </c>
      <c r="E45" s="678">
        <f>47000+2*LD</f>
        <v>55000</v>
      </c>
      <c r="F45" s="21">
        <f t="shared" si="0"/>
        <v>0</v>
      </c>
      <c r="G45" s="21">
        <f t="shared" si="1"/>
        <v>0</v>
      </c>
      <c r="H45" s="290">
        <f t="shared" si="4"/>
        <v>1.1500000000000004</v>
      </c>
      <c r="J45" s="281"/>
      <c r="K45" s="53"/>
      <c r="L45" s="288"/>
      <c r="M45" s="289"/>
      <c r="O45" s="21" t="s">
        <v>289</v>
      </c>
      <c r="P45" s="21" t="s">
        <v>1280</v>
      </c>
      <c r="Q45" s="52">
        <v>2.65</v>
      </c>
      <c r="R45" s="21">
        <f t="shared" si="5"/>
        <v>5708100</v>
      </c>
      <c r="S45" s="21">
        <f t="shared" si="3"/>
        <v>219542</v>
      </c>
    </row>
    <row r="46" spans="1:19">
      <c r="A46" s="21" t="s">
        <v>80</v>
      </c>
      <c r="B46" s="21"/>
      <c r="C46" s="21" t="s">
        <v>81</v>
      </c>
      <c r="D46" s="24" t="s">
        <v>24</v>
      </c>
      <c r="E46" s="659"/>
      <c r="F46" s="21">
        <f t="shared" si="0"/>
        <v>0</v>
      </c>
      <c r="G46" s="21">
        <f t="shared" si="1"/>
        <v>0</v>
      </c>
      <c r="H46" s="290">
        <v>0.6</v>
      </c>
      <c r="J46" s="281"/>
      <c r="K46" s="53"/>
      <c r="L46" s="288"/>
      <c r="M46" s="289"/>
      <c r="O46" s="21" t="s">
        <v>1314</v>
      </c>
      <c r="P46" s="21" t="s">
        <v>1282</v>
      </c>
      <c r="Q46" s="52">
        <v>2.734</v>
      </c>
      <c r="R46" s="21">
        <f t="shared" si="5"/>
        <v>5889036</v>
      </c>
      <c r="S46" s="21">
        <f t="shared" si="3"/>
        <v>226501</v>
      </c>
    </row>
    <row r="47" spans="1:19">
      <c r="A47" s="21" t="s">
        <v>82</v>
      </c>
      <c r="B47" s="21"/>
      <c r="C47" s="21" t="s">
        <v>83</v>
      </c>
      <c r="D47" s="24" t="s">
        <v>24</v>
      </c>
      <c r="E47" s="659">
        <f>71000+2*LDL</f>
        <v>89000</v>
      </c>
      <c r="F47" s="21">
        <f t="shared" si="0"/>
        <v>0</v>
      </c>
      <c r="G47" s="21">
        <f t="shared" si="1"/>
        <v>0</v>
      </c>
      <c r="H47" s="290">
        <v>0.5</v>
      </c>
      <c r="J47" s="281"/>
      <c r="K47" s="53"/>
      <c r="L47" s="288"/>
      <c r="M47" s="289"/>
      <c r="O47" s="21" t="s">
        <v>12</v>
      </c>
      <c r="P47" s="21" t="s">
        <v>1284</v>
      </c>
      <c r="Q47" s="52">
        <v>2.86</v>
      </c>
      <c r="R47" s="21">
        <f t="shared" si="5"/>
        <v>6160440</v>
      </c>
      <c r="S47" s="21">
        <f t="shared" si="3"/>
        <v>236940</v>
      </c>
    </row>
    <row r="48" spans="1:19">
      <c r="A48" s="21" t="s">
        <v>84</v>
      </c>
      <c r="B48" s="21" t="s">
        <v>85</v>
      </c>
      <c r="C48" s="21" t="s">
        <v>86</v>
      </c>
      <c r="D48" s="24" t="s">
        <v>24</v>
      </c>
      <c r="E48" s="659"/>
      <c r="F48" s="21">
        <f t="shared" si="0"/>
        <v>0</v>
      </c>
      <c r="G48" s="21">
        <f t="shared" si="1"/>
        <v>0</v>
      </c>
      <c r="H48" s="290">
        <v>0.6</v>
      </c>
      <c r="J48" s="281"/>
      <c r="K48" s="53"/>
      <c r="L48" s="288"/>
      <c r="M48" s="289"/>
      <c r="O48" s="21" t="s">
        <v>1315</v>
      </c>
      <c r="P48" s="21" t="s">
        <v>1286</v>
      </c>
      <c r="Q48" s="52">
        <v>2.9620000000000002</v>
      </c>
      <c r="R48" s="21">
        <f t="shared" si="5"/>
        <v>6380148</v>
      </c>
      <c r="S48" s="21">
        <f t="shared" si="3"/>
        <v>245390</v>
      </c>
    </row>
    <row r="49" spans="1:19">
      <c r="A49" s="21" t="s">
        <v>87</v>
      </c>
      <c r="B49" s="21"/>
      <c r="C49" s="21" t="s">
        <v>88</v>
      </c>
      <c r="D49" s="24" t="s">
        <v>24</v>
      </c>
      <c r="E49" s="659"/>
      <c r="F49" s="21">
        <f t="shared" si="0"/>
        <v>0</v>
      </c>
      <c r="G49" s="21">
        <f t="shared" si="1"/>
        <v>0</v>
      </c>
      <c r="H49" s="290">
        <v>0.6</v>
      </c>
      <c r="J49" s="281"/>
      <c r="K49" s="53"/>
      <c r="L49" s="288"/>
      <c r="M49" s="289"/>
      <c r="O49" s="21" t="s">
        <v>1316</v>
      </c>
      <c r="P49" s="21" t="s">
        <v>1288</v>
      </c>
      <c r="Q49" s="52">
        <v>3.0129999999999999</v>
      </c>
      <c r="R49" s="21">
        <f t="shared" si="5"/>
        <v>6490002</v>
      </c>
      <c r="S49" s="21">
        <f t="shared" si="3"/>
        <v>249615</v>
      </c>
    </row>
    <row r="50" spans="1:19">
      <c r="A50" s="21" t="s">
        <v>89</v>
      </c>
      <c r="B50" s="21"/>
      <c r="C50" s="21" t="s">
        <v>90</v>
      </c>
      <c r="D50" s="24" t="s">
        <v>24</v>
      </c>
      <c r="E50" s="659"/>
      <c r="F50" s="21">
        <f t="shared" si="0"/>
        <v>0</v>
      </c>
      <c r="G50" s="21">
        <f t="shared" si="1"/>
        <v>0</v>
      </c>
      <c r="H50" s="290">
        <v>0</v>
      </c>
      <c r="J50" s="281"/>
      <c r="K50" s="53"/>
      <c r="L50" s="288"/>
      <c r="M50" s="289"/>
      <c r="O50" s="21" t="s">
        <v>781</v>
      </c>
      <c r="P50" s="21" t="s">
        <v>1290</v>
      </c>
      <c r="Q50" s="52">
        <v>3.1150000000000002</v>
      </c>
      <c r="R50" s="21">
        <f t="shared" si="5"/>
        <v>6709710</v>
      </c>
      <c r="S50" s="21">
        <f t="shared" si="3"/>
        <v>258066</v>
      </c>
    </row>
    <row r="51" spans="1:19">
      <c r="A51" s="21" t="s">
        <v>91</v>
      </c>
      <c r="B51" s="21"/>
      <c r="C51" s="21" t="s">
        <v>92</v>
      </c>
      <c r="D51" s="24" t="s">
        <v>24</v>
      </c>
      <c r="E51" s="659"/>
      <c r="F51" s="21">
        <f t="shared" si="0"/>
        <v>0</v>
      </c>
      <c r="G51" s="21">
        <f t="shared" si="1"/>
        <v>0</v>
      </c>
      <c r="H51" s="290">
        <v>0</v>
      </c>
      <c r="J51" s="281"/>
      <c r="K51" s="53"/>
      <c r="L51" s="288"/>
      <c r="M51" s="289"/>
      <c r="O51" s="21" t="s">
        <v>1317</v>
      </c>
      <c r="P51" s="21" t="s">
        <v>1292</v>
      </c>
      <c r="Q51" s="52">
        <v>3.2170000000000001</v>
      </c>
      <c r="R51" s="21">
        <f t="shared" si="5"/>
        <v>6929418</v>
      </c>
      <c r="S51" s="21">
        <f t="shared" si="3"/>
        <v>266516</v>
      </c>
    </row>
    <row r="52" spans="1:19">
      <c r="A52" s="21" t="s">
        <v>93</v>
      </c>
      <c r="B52" s="21"/>
      <c r="C52" s="21" t="s">
        <v>94</v>
      </c>
      <c r="D52" s="24" t="s">
        <v>24</v>
      </c>
      <c r="E52" s="659"/>
      <c r="F52" s="21">
        <f t="shared" si="0"/>
        <v>0</v>
      </c>
      <c r="G52" s="21">
        <f t="shared" si="1"/>
        <v>0</v>
      </c>
      <c r="H52" s="290">
        <v>1</v>
      </c>
      <c r="J52" s="281"/>
      <c r="K52" s="53"/>
      <c r="L52" s="288"/>
      <c r="M52" s="289"/>
      <c r="O52" s="21" t="s">
        <v>379</v>
      </c>
      <c r="P52" s="21" t="s">
        <v>1294</v>
      </c>
      <c r="Q52" s="52">
        <v>3.37</v>
      </c>
      <c r="R52" s="21">
        <f t="shared" si="5"/>
        <v>7258980</v>
      </c>
      <c r="S52" s="21">
        <f t="shared" si="3"/>
        <v>279192</v>
      </c>
    </row>
    <row r="53" spans="1:19">
      <c r="A53" s="21" t="s">
        <v>95</v>
      </c>
      <c r="B53" s="21"/>
      <c r="C53" s="21" t="s">
        <v>96</v>
      </c>
      <c r="D53" s="24" t="s">
        <v>24</v>
      </c>
      <c r="E53" s="659"/>
      <c r="F53" s="21">
        <f t="shared" si="0"/>
        <v>0</v>
      </c>
      <c r="G53" s="21">
        <f t="shared" si="1"/>
        <v>0</v>
      </c>
      <c r="H53" s="290">
        <v>1.2</v>
      </c>
      <c r="J53" s="281"/>
      <c r="K53" s="53"/>
      <c r="L53" s="288"/>
      <c r="M53" s="289"/>
      <c r="O53" s="21" t="s">
        <v>1318</v>
      </c>
      <c r="P53" s="21" t="s">
        <v>1296</v>
      </c>
      <c r="Q53" s="52">
        <v>3.488</v>
      </c>
      <c r="R53" s="21">
        <f t="shared" si="5"/>
        <v>7513152</v>
      </c>
      <c r="S53" s="21">
        <f t="shared" si="3"/>
        <v>288967</v>
      </c>
    </row>
    <row r="54" spans="1:19">
      <c r="A54" s="21" t="s">
        <v>93</v>
      </c>
      <c r="B54" s="21"/>
      <c r="C54" s="21" t="s">
        <v>94</v>
      </c>
      <c r="D54" s="24" t="s">
        <v>24</v>
      </c>
      <c r="E54" s="659"/>
      <c r="F54" s="21">
        <f t="shared" si="0"/>
        <v>0</v>
      </c>
      <c r="G54" s="21">
        <f t="shared" si="1"/>
        <v>0</v>
      </c>
      <c r="H54" s="290">
        <v>1</v>
      </c>
      <c r="J54" s="281"/>
      <c r="K54" s="53"/>
      <c r="L54" s="288"/>
      <c r="M54" s="289"/>
      <c r="O54" s="21" t="s">
        <v>1319</v>
      </c>
      <c r="P54" s="21" t="s">
        <v>1298</v>
      </c>
      <c r="Q54" s="52">
        <v>3.5470000000000002</v>
      </c>
      <c r="R54" s="21">
        <f t="shared" si="5"/>
        <v>7640238</v>
      </c>
      <c r="S54" s="21">
        <f t="shared" si="3"/>
        <v>293855</v>
      </c>
    </row>
    <row r="55" spans="1:19">
      <c r="A55" s="21" t="s">
        <v>97</v>
      </c>
      <c r="B55" s="21"/>
      <c r="C55" s="21" t="s">
        <v>98</v>
      </c>
      <c r="D55" s="24" t="s">
        <v>24</v>
      </c>
      <c r="E55" s="659"/>
      <c r="F55" s="21">
        <f t="shared" si="0"/>
        <v>0</v>
      </c>
      <c r="G55" s="21">
        <f t="shared" si="1"/>
        <v>0</v>
      </c>
      <c r="H55" s="290">
        <v>0.8</v>
      </c>
      <c r="J55" s="281"/>
      <c r="K55" s="53"/>
      <c r="L55" s="288"/>
      <c r="M55" s="289"/>
      <c r="O55" s="21" t="s">
        <v>1320</v>
      </c>
      <c r="P55" s="21" t="s">
        <v>1300</v>
      </c>
      <c r="Q55" s="52">
        <v>3.665</v>
      </c>
      <c r="R55" s="21">
        <f t="shared" si="5"/>
        <v>7894410</v>
      </c>
      <c r="S55" s="21">
        <f t="shared" si="3"/>
        <v>303631</v>
      </c>
    </row>
    <row r="56" spans="1:19">
      <c r="A56" s="21" t="s">
        <v>99</v>
      </c>
      <c r="B56" s="21"/>
      <c r="C56" s="21" t="s">
        <v>100</v>
      </c>
      <c r="D56" s="24" t="s">
        <v>24</v>
      </c>
      <c r="E56" s="659"/>
      <c r="F56" s="21">
        <f t="shared" si="0"/>
        <v>0</v>
      </c>
      <c r="G56" s="21">
        <f t="shared" si="1"/>
        <v>0</v>
      </c>
      <c r="H56" s="290">
        <v>0.75</v>
      </c>
      <c r="J56" s="281"/>
      <c r="K56" s="53"/>
      <c r="L56" s="288"/>
      <c r="M56" s="289"/>
      <c r="O56" s="21" t="s">
        <v>1321</v>
      </c>
      <c r="P56" s="21" t="s">
        <v>1302</v>
      </c>
      <c r="Q56" s="52">
        <v>3.96</v>
      </c>
      <c r="R56" s="21">
        <f t="shared" si="5"/>
        <v>8529840</v>
      </c>
      <c r="S56" s="21">
        <f t="shared" si="3"/>
        <v>328071</v>
      </c>
    </row>
    <row r="57" spans="1:19">
      <c r="A57" s="21" t="s">
        <v>101</v>
      </c>
      <c r="B57" s="21"/>
      <c r="C57" s="21" t="s">
        <v>102</v>
      </c>
      <c r="D57" s="24" t="s">
        <v>24</v>
      </c>
      <c r="E57" s="659"/>
      <c r="F57" s="21">
        <f t="shared" si="0"/>
        <v>0</v>
      </c>
      <c r="G57" s="21">
        <f t="shared" si="1"/>
        <v>0</v>
      </c>
      <c r="H57" s="290">
        <v>0.5</v>
      </c>
      <c r="J57" s="281"/>
      <c r="K57" s="53"/>
      <c r="L57" s="288"/>
      <c r="M57" s="289"/>
      <c r="O57" s="21" t="s">
        <v>1322</v>
      </c>
      <c r="P57" s="21" t="s">
        <v>1304</v>
      </c>
      <c r="Q57" s="52">
        <v>4.6500000000000004</v>
      </c>
      <c r="R57" s="21">
        <f t="shared" si="5"/>
        <v>10016100</v>
      </c>
      <c r="S57" s="21">
        <f t="shared" si="3"/>
        <v>385235</v>
      </c>
    </row>
    <row r="58" spans="1:19">
      <c r="A58" s="21" t="s">
        <v>103</v>
      </c>
      <c r="B58" s="21"/>
      <c r="C58" s="21" t="s">
        <v>104</v>
      </c>
      <c r="D58" s="24" t="s">
        <v>24</v>
      </c>
      <c r="E58" s="659">
        <f>64000+2*LDL+2*TANL</f>
        <v>92400</v>
      </c>
      <c r="F58" s="21">
        <f t="shared" si="0"/>
        <v>0</v>
      </c>
      <c r="G58" s="21">
        <f t="shared" si="1"/>
        <v>0</v>
      </c>
      <c r="H58" s="290">
        <v>0.55000000000000004</v>
      </c>
      <c r="J58" s="281"/>
      <c r="K58" s="53"/>
      <c r="L58" s="288"/>
      <c r="M58" s="289"/>
      <c r="O58" s="288"/>
      <c r="P58" s="288" t="s">
        <v>1323</v>
      </c>
      <c r="Q58" s="289"/>
      <c r="R58" s="289"/>
      <c r="S58" s="289"/>
    </row>
    <row r="59" spans="1:19">
      <c r="A59" s="21" t="s">
        <v>105</v>
      </c>
      <c r="B59" s="21" t="s">
        <v>85</v>
      </c>
      <c r="C59" s="21" t="s">
        <v>106</v>
      </c>
      <c r="D59" s="24" t="s">
        <v>24</v>
      </c>
      <c r="E59" s="659"/>
      <c r="F59" s="21">
        <f t="shared" si="0"/>
        <v>0</v>
      </c>
      <c r="G59" s="21">
        <f t="shared" si="1"/>
        <v>0</v>
      </c>
      <c r="H59" s="290">
        <v>0.6</v>
      </c>
      <c r="J59" s="281"/>
      <c r="K59" s="53"/>
      <c r="L59" s="288"/>
      <c r="M59" s="289"/>
      <c r="O59" s="21" t="s">
        <v>1324</v>
      </c>
      <c r="P59" s="21" t="s">
        <v>1325</v>
      </c>
      <c r="Q59" s="52">
        <v>2.34</v>
      </c>
      <c r="R59" s="21">
        <f t="shared" si="5"/>
        <v>5040360</v>
      </c>
      <c r="S59" s="21">
        <f t="shared" si="3"/>
        <v>193860</v>
      </c>
    </row>
    <row r="60" spans="1:19">
      <c r="A60" s="21" t="s">
        <v>107</v>
      </c>
      <c r="B60" s="21"/>
      <c r="C60" s="21" t="s">
        <v>108</v>
      </c>
      <c r="D60" s="24" t="s">
        <v>24</v>
      </c>
      <c r="E60" s="659">
        <f>25000+LD</f>
        <v>29000</v>
      </c>
      <c r="F60" s="21">
        <f t="shared" si="0"/>
        <v>0</v>
      </c>
      <c r="G60" s="21">
        <f t="shared" si="1"/>
        <v>0</v>
      </c>
      <c r="H60" s="290">
        <v>0.3</v>
      </c>
      <c r="J60" s="281"/>
      <c r="K60" s="53"/>
      <c r="L60" s="288"/>
      <c r="M60" s="289"/>
      <c r="O60" s="21" t="s">
        <v>1326</v>
      </c>
      <c r="P60" s="21" t="s">
        <v>1327</v>
      </c>
      <c r="Q60" s="52">
        <v>2.65</v>
      </c>
      <c r="R60" s="21">
        <f t="shared" si="5"/>
        <v>5708100</v>
      </c>
      <c r="S60" s="21">
        <f t="shared" si="3"/>
        <v>219542</v>
      </c>
    </row>
    <row r="61" spans="1:19">
      <c r="A61" s="21" t="s">
        <v>109</v>
      </c>
      <c r="B61" s="21"/>
      <c r="C61" s="21" t="s">
        <v>110</v>
      </c>
      <c r="D61" s="24" t="s">
        <v>24</v>
      </c>
      <c r="E61" s="678">
        <f>25000+LD</f>
        <v>29000</v>
      </c>
      <c r="F61" s="21">
        <f t="shared" si="0"/>
        <v>0</v>
      </c>
      <c r="G61" s="21">
        <f t="shared" si="1"/>
        <v>0</v>
      </c>
      <c r="H61" s="290">
        <v>0.3</v>
      </c>
      <c r="J61" s="281"/>
      <c r="K61" s="53"/>
      <c r="L61" s="288"/>
      <c r="M61" s="289"/>
      <c r="O61" s="21" t="s">
        <v>1328</v>
      </c>
      <c r="P61" s="21" t="s">
        <v>1329</v>
      </c>
      <c r="Q61" s="52">
        <v>2.96</v>
      </c>
      <c r="R61" s="21">
        <f t="shared" si="5"/>
        <v>6375840</v>
      </c>
      <c r="S61" s="21">
        <f t="shared" si="3"/>
        <v>245225</v>
      </c>
    </row>
    <row r="62" spans="1:19">
      <c r="A62" s="21" t="s">
        <v>111</v>
      </c>
      <c r="B62" s="21"/>
      <c r="C62" s="21" t="s">
        <v>112</v>
      </c>
      <c r="D62" s="24" t="s">
        <v>24</v>
      </c>
      <c r="E62" s="678">
        <f>27000+LD</f>
        <v>31000</v>
      </c>
      <c r="F62" s="21">
        <f t="shared" si="0"/>
        <v>0</v>
      </c>
      <c r="G62" s="21">
        <f t="shared" si="1"/>
        <v>0</v>
      </c>
      <c r="H62" s="290">
        <v>0.3</v>
      </c>
      <c r="J62" s="281"/>
      <c r="K62" s="53"/>
      <c r="L62" s="288"/>
      <c r="M62" s="289"/>
      <c r="O62" s="21" t="s">
        <v>1330</v>
      </c>
      <c r="P62" s="21" t="s">
        <v>1331</v>
      </c>
      <c r="Q62" s="52">
        <v>3.27</v>
      </c>
      <c r="R62" s="21">
        <f t="shared" si="5"/>
        <v>7043580</v>
      </c>
      <c r="S62" s="21">
        <f t="shared" si="3"/>
        <v>270907</v>
      </c>
    </row>
    <row r="63" spans="1:19">
      <c r="A63" s="21" t="s">
        <v>3563</v>
      </c>
      <c r="B63" s="21"/>
      <c r="C63" s="21" t="s">
        <v>3564</v>
      </c>
      <c r="D63" s="24" t="s">
        <v>24</v>
      </c>
      <c r="E63" s="678">
        <f>30000+LD</f>
        <v>34000</v>
      </c>
      <c r="F63" s="21">
        <f>IFERROR(ROUND(VLOOKUP(J63,DGNC,5,0)*K63,0),)</f>
        <v>0</v>
      </c>
      <c r="G63" s="21">
        <f>IFERROR(ROUND(VLOOKUP(L63,DGMTC,8,0)*M63,0),)</f>
        <v>0</v>
      </c>
      <c r="H63" s="290">
        <v>0.3</v>
      </c>
      <c r="J63" s="281"/>
      <c r="K63" s="53"/>
      <c r="L63" s="288"/>
      <c r="M63" s="289"/>
      <c r="O63" s="21" t="s">
        <v>1330</v>
      </c>
      <c r="P63" s="21" t="s">
        <v>1331</v>
      </c>
      <c r="Q63" s="52">
        <v>3.27</v>
      </c>
      <c r="R63" s="21">
        <f>Q63*$R$6</f>
        <v>7043580</v>
      </c>
      <c r="S63" s="21">
        <f>ROUND(R63/$P$7,0)</f>
        <v>270907</v>
      </c>
    </row>
    <row r="64" spans="1:19">
      <c r="A64" s="21" t="s">
        <v>3565</v>
      </c>
      <c r="B64" s="21"/>
      <c r="C64" s="21" t="s">
        <v>3566</v>
      </c>
      <c r="D64" s="24" t="s">
        <v>24</v>
      </c>
      <c r="E64" s="678">
        <f>35000+LD</f>
        <v>39000</v>
      </c>
      <c r="F64" s="21">
        <f>IFERROR(ROUND(VLOOKUP(J64,DGNC,5,0)*K64,0),)</f>
        <v>0</v>
      </c>
      <c r="G64" s="21">
        <f>IFERROR(ROUND(VLOOKUP(L64,DGMTC,8,0)*M64,0),)</f>
        <v>0</v>
      </c>
      <c r="H64" s="290">
        <v>0.3</v>
      </c>
      <c r="J64" s="281"/>
      <c r="K64" s="53"/>
      <c r="L64" s="288"/>
      <c r="M64" s="289"/>
      <c r="O64" s="21" t="s">
        <v>1330</v>
      </c>
      <c r="P64" s="21" t="s">
        <v>1331</v>
      </c>
      <c r="Q64" s="52">
        <v>3.27</v>
      </c>
      <c r="R64" s="21">
        <f>Q64*$R$6</f>
        <v>7043580</v>
      </c>
      <c r="S64" s="21">
        <f>ROUND(R64/$P$7,0)</f>
        <v>270907</v>
      </c>
    </row>
    <row r="65" spans="1:19">
      <c r="A65" s="21" t="s">
        <v>113</v>
      </c>
      <c r="B65" s="21"/>
      <c r="C65" s="21" t="s">
        <v>114</v>
      </c>
      <c r="D65" s="24" t="s">
        <v>24</v>
      </c>
      <c r="E65" s="659">
        <f>30000+LD</f>
        <v>34000</v>
      </c>
      <c r="F65" s="21">
        <f t="shared" si="0"/>
        <v>0</v>
      </c>
      <c r="G65" s="21">
        <f t="shared" si="1"/>
        <v>0</v>
      </c>
      <c r="H65" s="290">
        <v>0.2</v>
      </c>
      <c r="J65" s="281"/>
      <c r="K65" s="53"/>
      <c r="L65" s="288"/>
      <c r="M65" s="289"/>
      <c r="O65" s="21" t="s">
        <v>1332</v>
      </c>
      <c r="P65" s="21" t="s">
        <v>1333</v>
      </c>
      <c r="Q65" s="52">
        <v>3.4249999999999998</v>
      </c>
      <c r="R65" s="21">
        <f t="shared" si="5"/>
        <v>7377450</v>
      </c>
      <c r="S65" s="21">
        <f t="shared" si="3"/>
        <v>283748</v>
      </c>
    </row>
    <row r="66" spans="1:19">
      <c r="A66" s="21" t="s">
        <v>115</v>
      </c>
      <c r="B66" s="21"/>
      <c r="C66" s="21" t="s">
        <v>116</v>
      </c>
      <c r="D66" s="24" t="s">
        <v>24</v>
      </c>
      <c r="E66" s="659">
        <f>30000+LD</f>
        <v>34000</v>
      </c>
      <c r="F66" s="21">
        <f t="shared" si="0"/>
        <v>0</v>
      </c>
      <c r="G66" s="21">
        <f t="shared" si="1"/>
        <v>0</v>
      </c>
      <c r="H66" s="290">
        <v>0.23</v>
      </c>
      <c r="J66" s="281"/>
      <c r="K66" s="53"/>
      <c r="L66" s="288"/>
      <c r="M66" s="289"/>
      <c r="O66" s="21" t="s">
        <v>1334</v>
      </c>
      <c r="P66" s="21" t="s">
        <v>1335</v>
      </c>
      <c r="Q66" s="52">
        <v>3.58</v>
      </c>
      <c r="R66" s="21">
        <f t="shared" si="5"/>
        <v>7711320</v>
      </c>
      <c r="S66" s="21">
        <f t="shared" si="3"/>
        <v>296589</v>
      </c>
    </row>
    <row r="67" spans="1:19">
      <c r="A67" s="21" t="s">
        <v>117</v>
      </c>
      <c r="B67" s="21"/>
      <c r="C67" s="21" t="s">
        <v>118</v>
      </c>
      <c r="D67" s="24" t="s">
        <v>24</v>
      </c>
      <c r="E67" s="678">
        <f>31000+LD</f>
        <v>35000</v>
      </c>
      <c r="F67" s="21">
        <f t="shared" si="0"/>
        <v>0</v>
      </c>
      <c r="G67" s="21">
        <f t="shared" si="1"/>
        <v>0</v>
      </c>
      <c r="H67" s="290">
        <v>0.25</v>
      </c>
      <c r="J67" s="281"/>
      <c r="K67" s="53"/>
      <c r="L67" s="288"/>
      <c r="M67" s="289"/>
      <c r="O67" s="21" t="s">
        <v>1336</v>
      </c>
      <c r="P67" s="21" t="s">
        <v>1337</v>
      </c>
      <c r="Q67" s="52">
        <v>3.89</v>
      </c>
      <c r="R67" s="21">
        <f t="shared" si="5"/>
        <v>8379060</v>
      </c>
      <c r="S67" s="21">
        <f t="shared" si="3"/>
        <v>322272</v>
      </c>
    </row>
    <row r="68" spans="1:19">
      <c r="A68" s="21" t="s">
        <v>119</v>
      </c>
      <c r="B68" s="21"/>
      <c r="C68" s="21" t="s">
        <v>120</v>
      </c>
      <c r="D68" s="24" t="s">
        <v>24</v>
      </c>
      <c r="E68" s="678">
        <f>36000+LD</f>
        <v>40000</v>
      </c>
      <c r="F68" s="21">
        <f t="shared" si="0"/>
        <v>0</v>
      </c>
      <c r="G68" s="21">
        <f t="shared" si="1"/>
        <v>0</v>
      </c>
      <c r="H68" s="290">
        <v>0.3</v>
      </c>
      <c r="J68" s="281"/>
      <c r="K68" s="53"/>
      <c r="L68" s="288"/>
      <c r="M68" s="289"/>
      <c r="O68" s="21" t="s">
        <v>1338</v>
      </c>
      <c r="P68" s="21" t="s">
        <v>1339</v>
      </c>
      <c r="Q68" s="52">
        <v>4.2</v>
      </c>
      <c r="R68" s="21">
        <f t="shared" si="5"/>
        <v>9046800</v>
      </c>
      <c r="S68" s="21">
        <f t="shared" si="3"/>
        <v>347954</v>
      </c>
    </row>
    <row r="69" spans="1:19">
      <c r="A69" s="21" t="s">
        <v>121</v>
      </c>
      <c r="B69" s="21"/>
      <c r="C69" s="21" t="s">
        <v>122</v>
      </c>
      <c r="D69" s="24" t="s">
        <v>24</v>
      </c>
      <c r="E69" s="659">
        <f>39500+LD</f>
        <v>43500</v>
      </c>
      <c r="F69" s="21">
        <f t="shared" si="0"/>
        <v>0</v>
      </c>
      <c r="G69" s="21">
        <f t="shared" si="1"/>
        <v>0</v>
      </c>
      <c r="H69" s="290">
        <v>0.35</v>
      </c>
      <c r="J69" s="281"/>
      <c r="K69" s="53"/>
      <c r="L69" s="288"/>
      <c r="M69" s="289"/>
      <c r="O69" s="21" t="s">
        <v>1340</v>
      </c>
      <c r="P69" s="21" t="s">
        <v>1341</v>
      </c>
      <c r="Q69" s="52">
        <v>4.51</v>
      </c>
      <c r="R69" s="21">
        <f t="shared" si="5"/>
        <v>9714540</v>
      </c>
      <c r="S69" s="21">
        <f t="shared" si="3"/>
        <v>373636</v>
      </c>
    </row>
    <row r="70" spans="1:19">
      <c r="A70" s="21" t="s">
        <v>123</v>
      </c>
      <c r="B70" s="21"/>
      <c r="C70" s="21" t="s">
        <v>124</v>
      </c>
      <c r="D70" s="24" t="s">
        <v>24</v>
      </c>
      <c r="E70" s="659">
        <f>39500+LD</f>
        <v>43500</v>
      </c>
      <c r="F70" s="21">
        <f t="shared" si="0"/>
        <v>0</v>
      </c>
      <c r="G70" s="21">
        <f t="shared" si="1"/>
        <v>0</v>
      </c>
      <c r="H70" s="290">
        <v>0.4</v>
      </c>
      <c r="J70" s="281"/>
      <c r="K70" s="53"/>
      <c r="L70" s="288"/>
      <c r="M70" s="289"/>
      <c r="O70" s="288"/>
      <c r="P70" s="288" t="s">
        <v>2464</v>
      </c>
      <c r="Q70" s="289"/>
      <c r="R70" s="289"/>
      <c r="S70" s="289"/>
    </row>
    <row r="71" spans="1:19">
      <c r="A71" s="21" t="s">
        <v>2861</v>
      </c>
      <c r="B71" s="21"/>
      <c r="C71" s="21" t="s">
        <v>2862</v>
      </c>
      <c r="D71" s="24" t="s">
        <v>24</v>
      </c>
      <c r="E71" s="659">
        <f>42000+LD</f>
        <v>46000</v>
      </c>
      <c r="F71" s="21">
        <f>IFERROR(ROUND(VLOOKUP(J71,DGNC,5,0)*K71,0),)</f>
        <v>0</v>
      </c>
      <c r="G71" s="21">
        <f>IFERROR(ROUND(VLOOKUP(L71,DGMTC,8,0)*M71,0),)</f>
        <v>0</v>
      </c>
      <c r="H71" s="290">
        <v>0.4</v>
      </c>
      <c r="J71" s="281"/>
      <c r="K71" s="53"/>
      <c r="L71" s="288"/>
      <c r="M71" s="289"/>
      <c r="O71" s="288"/>
      <c r="P71" s="288" t="s">
        <v>2464</v>
      </c>
      <c r="Q71" s="289"/>
      <c r="R71" s="289"/>
      <c r="S71" s="289"/>
    </row>
    <row r="72" spans="1:19">
      <c r="A72" s="21" t="s">
        <v>2863</v>
      </c>
      <c r="B72" s="21"/>
      <c r="C72" s="21" t="s">
        <v>2865</v>
      </c>
      <c r="D72" s="24" t="s">
        <v>24</v>
      </c>
      <c r="E72" s="659">
        <f>46000+LD</f>
        <v>50000</v>
      </c>
      <c r="F72" s="21">
        <f>IFERROR(ROUND(VLOOKUP(J72,DGNC,5,0)*K72,0),)</f>
        <v>0</v>
      </c>
      <c r="G72" s="21">
        <f>IFERROR(ROUND(VLOOKUP(L72,DGMTC,8,0)*M72,0),)</f>
        <v>0</v>
      </c>
      <c r="H72" s="290">
        <v>0.4</v>
      </c>
      <c r="J72" s="281"/>
      <c r="K72" s="53"/>
      <c r="L72" s="288"/>
      <c r="M72" s="289"/>
      <c r="O72" s="288"/>
      <c r="P72" s="288" t="s">
        <v>2464</v>
      </c>
      <c r="Q72" s="289"/>
      <c r="R72" s="289"/>
      <c r="S72" s="289"/>
    </row>
    <row r="73" spans="1:19">
      <c r="A73" s="21" t="s">
        <v>2864</v>
      </c>
      <c r="B73" s="21"/>
      <c r="C73" s="21" t="s">
        <v>2866</v>
      </c>
      <c r="D73" s="24" t="s">
        <v>24</v>
      </c>
      <c r="E73" s="659">
        <f>48000+LD</f>
        <v>52000</v>
      </c>
      <c r="F73" s="21">
        <f>IFERROR(ROUND(VLOOKUP(J73,DGNC,5,0)*K73,0),)</f>
        <v>0</v>
      </c>
      <c r="G73" s="21">
        <f>IFERROR(ROUND(VLOOKUP(L73,DGMTC,8,0)*M73,0),)</f>
        <v>0</v>
      </c>
      <c r="H73" s="290">
        <v>0.4</v>
      </c>
      <c r="J73" s="281"/>
      <c r="K73" s="53"/>
      <c r="L73" s="288"/>
      <c r="M73" s="289"/>
      <c r="O73" s="288"/>
      <c r="P73" s="288" t="s">
        <v>2464</v>
      </c>
      <c r="Q73" s="289"/>
      <c r="R73" s="289"/>
      <c r="S73" s="289"/>
    </row>
    <row r="74" spans="1:19">
      <c r="A74" s="21" t="s">
        <v>125</v>
      </c>
      <c r="B74" s="21"/>
      <c r="C74" s="21" t="s">
        <v>126</v>
      </c>
      <c r="D74" s="24" t="s">
        <v>11</v>
      </c>
      <c r="E74" s="659">
        <v>2000</v>
      </c>
      <c r="F74" s="21">
        <f t="shared" si="0"/>
        <v>0</v>
      </c>
      <c r="G74" s="21">
        <f t="shared" si="1"/>
        <v>0</v>
      </c>
      <c r="H74" s="290">
        <v>0</v>
      </c>
      <c r="J74" s="281"/>
      <c r="K74" s="53"/>
      <c r="L74" s="288"/>
      <c r="M74" s="289"/>
      <c r="O74" s="21" t="s">
        <v>2440</v>
      </c>
      <c r="P74" s="21" t="s">
        <v>2465</v>
      </c>
      <c r="Q74" s="52">
        <v>2.1800000000000002</v>
      </c>
      <c r="R74" s="21">
        <f>Q74*$R$6</f>
        <v>4695720</v>
      </c>
      <c r="S74" s="21">
        <f>ROUND(R74/$P$7,0)</f>
        <v>180605</v>
      </c>
    </row>
    <row r="75" spans="1:19">
      <c r="A75" s="21" t="s">
        <v>127</v>
      </c>
      <c r="B75" s="21"/>
      <c r="C75" s="21" t="s">
        <v>128</v>
      </c>
      <c r="D75" s="24" t="s">
        <v>11</v>
      </c>
      <c r="E75" s="678">
        <v>4000</v>
      </c>
      <c r="F75" s="21">
        <f t="shared" si="0"/>
        <v>0</v>
      </c>
      <c r="G75" s="21">
        <f t="shared" si="1"/>
        <v>0</v>
      </c>
      <c r="H75" s="290">
        <v>0</v>
      </c>
      <c r="J75" s="281"/>
      <c r="K75" s="53"/>
      <c r="L75" s="288"/>
      <c r="M75" s="289"/>
    </row>
    <row r="76" spans="1:19">
      <c r="A76" s="21" t="s">
        <v>129</v>
      </c>
      <c r="B76" s="21"/>
      <c r="C76" s="21" t="s">
        <v>130</v>
      </c>
      <c r="D76" s="24" t="s">
        <v>11</v>
      </c>
      <c r="E76" s="678">
        <v>9000</v>
      </c>
      <c r="F76" s="21">
        <f t="shared" si="0"/>
        <v>0</v>
      </c>
      <c r="G76" s="21">
        <f t="shared" si="1"/>
        <v>0</v>
      </c>
      <c r="H76" s="290">
        <v>0</v>
      </c>
      <c r="J76" s="281"/>
      <c r="K76" s="53"/>
      <c r="L76" s="288"/>
      <c r="M76" s="289"/>
    </row>
    <row r="77" spans="1:19">
      <c r="A77" s="21" t="s">
        <v>2037</v>
      </c>
      <c r="B77" s="21"/>
      <c r="C77" s="21" t="s">
        <v>2040</v>
      </c>
      <c r="D77" s="24" t="s">
        <v>24</v>
      </c>
      <c r="E77" s="678">
        <v>2000</v>
      </c>
      <c r="F77" s="21">
        <f t="shared" si="0"/>
        <v>0</v>
      </c>
      <c r="G77" s="21">
        <f t="shared" si="1"/>
        <v>0</v>
      </c>
      <c r="H77" s="290">
        <v>0</v>
      </c>
      <c r="J77" s="281"/>
      <c r="K77" s="53"/>
      <c r="L77" s="288"/>
      <c r="M77" s="289"/>
    </row>
    <row r="78" spans="1:19">
      <c r="A78" s="21" t="s">
        <v>2038</v>
      </c>
      <c r="B78" s="21"/>
      <c r="C78" s="21" t="s">
        <v>2041</v>
      </c>
      <c r="D78" s="24" t="s">
        <v>11</v>
      </c>
      <c r="E78" s="678">
        <v>2300</v>
      </c>
      <c r="F78" s="21">
        <f t="shared" si="0"/>
        <v>0</v>
      </c>
      <c r="G78" s="21">
        <f t="shared" si="1"/>
        <v>0</v>
      </c>
      <c r="H78" s="290">
        <v>0</v>
      </c>
      <c r="J78" s="281"/>
      <c r="K78" s="53"/>
      <c r="L78" s="288"/>
      <c r="M78" s="289"/>
    </row>
    <row r="79" spans="1:19">
      <c r="A79" s="21" t="s">
        <v>2039</v>
      </c>
      <c r="B79" s="21"/>
      <c r="C79" s="21" t="s">
        <v>2042</v>
      </c>
      <c r="D79" s="24" t="s">
        <v>11</v>
      </c>
      <c r="E79" s="678">
        <v>5200</v>
      </c>
      <c r="F79" s="21">
        <f t="shared" ref="F79:F142" si="6">IFERROR(ROUND(VLOOKUP(J79,DGNC,5,0)*K79,0),)</f>
        <v>0</v>
      </c>
      <c r="G79" s="21">
        <f t="shared" ref="G79:G142" si="7">IFERROR(ROUND(VLOOKUP(L79,DGMTC,8,0)*M79,0),)</f>
        <v>0</v>
      </c>
      <c r="H79" s="290">
        <v>0</v>
      </c>
      <c r="J79" s="281"/>
      <c r="K79" s="53"/>
      <c r="L79" s="288"/>
      <c r="M79" s="289"/>
    </row>
    <row r="80" spans="1:19">
      <c r="A80" s="21" t="s">
        <v>131</v>
      </c>
      <c r="B80" s="21"/>
      <c r="C80" s="21" t="s">
        <v>132</v>
      </c>
      <c r="D80" s="24" t="s">
        <v>24</v>
      </c>
      <c r="E80" s="678">
        <f>95000+95000</f>
        <v>190000</v>
      </c>
      <c r="F80" s="21">
        <f t="shared" si="6"/>
        <v>0</v>
      </c>
      <c r="G80" s="21">
        <f t="shared" si="7"/>
        <v>0</v>
      </c>
      <c r="H80" s="290">
        <v>0</v>
      </c>
      <c r="J80" s="281"/>
      <c r="K80" s="53"/>
      <c r="L80" s="288"/>
      <c r="M80" s="289"/>
    </row>
    <row r="81" spans="1:13">
      <c r="A81" s="21" t="s">
        <v>133</v>
      </c>
      <c r="B81" s="21"/>
      <c r="C81" s="21" t="s">
        <v>134</v>
      </c>
      <c r="D81" s="24" t="s">
        <v>11</v>
      </c>
      <c r="E81" s="678">
        <v>32000</v>
      </c>
      <c r="F81" s="21">
        <f t="shared" si="6"/>
        <v>0</v>
      </c>
      <c r="G81" s="21">
        <f t="shared" si="7"/>
        <v>0</v>
      </c>
      <c r="H81" s="290">
        <v>0</v>
      </c>
      <c r="J81" s="281"/>
      <c r="K81" s="53"/>
      <c r="L81" s="288"/>
      <c r="M81" s="289"/>
    </row>
    <row r="82" spans="1:13">
      <c r="A82" s="21" t="s">
        <v>135</v>
      </c>
      <c r="B82" s="21"/>
      <c r="C82" s="21" t="s">
        <v>136</v>
      </c>
      <c r="D82" s="24" t="s">
        <v>11</v>
      </c>
      <c r="E82" s="678">
        <v>52000</v>
      </c>
      <c r="F82" s="21">
        <f t="shared" si="6"/>
        <v>0</v>
      </c>
      <c r="G82" s="21">
        <f t="shared" si="7"/>
        <v>0</v>
      </c>
      <c r="H82" s="290">
        <v>0</v>
      </c>
      <c r="J82" s="281"/>
      <c r="K82" s="53"/>
      <c r="L82" s="288"/>
      <c r="M82" s="289"/>
    </row>
    <row r="83" spans="1:13">
      <c r="A83" s="21" t="s">
        <v>137</v>
      </c>
      <c r="B83" s="21"/>
      <c r="C83" s="21" t="s">
        <v>1751</v>
      </c>
      <c r="D83" s="24" t="s">
        <v>138</v>
      </c>
      <c r="E83" s="678">
        <v>38000</v>
      </c>
      <c r="F83" s="21">
        <f t="shared" si="6"/>
        <v>0</v>
      </c>
      <c r="G83" s="21">
        <f t="shared" si="7"/>
        <v>0</v>
      </c>
      <c r="H83" s="290">
        <v>0.4</v>
      </c>
      <c r="J83" s="281"/>
      <c r="K83" s="53"/>
      <c r="L83" s="288"/>
      <c r="M83" s="289"/>
    </row>
    <row r="84" spans="1:13">
      <c r="A84" s="21" t="s">
        <v>139</v>
      </c>
      <c r="B84" s="21"/>
      <c r="C84" s="21" t="s">
        <v>140</v>
      </c>
      <c r="D84" s="24" t="s">
        <v>24</v>
      </c>
      <c r="E84" s="678">
        <v>56000</v>
      </c>
      <c r="F84" s="21">
        <f t="shared" si="6"/>
        <v>0</v>
      </c>
      <c r="G84" s="21">
        <f t="shared" si="7"/>
        <v>0</v>
      </c>
      <c r="H84" s="290">
        <v>0.5</v>
      </c>
      <c r="J84" s="281"/>
      <c r="K84" s="53"/>
      <c r="L84" s="288"/>
      <c r="M84" s="289"/>
    </row>
    <row r="85" spans="1:13">
      <c r="A85" s="21" t="s">
        <v>144</v>
      </c>
      <c r="B85" s="21"/>
      <c r="C85" s="21" t="s">
        <v>145</v>
      </c>
      <c r="D85" s="24" t="s">
        <v>143</v>
      </c>
      <c r="E85" s="478">
        <v>201380</v>
      </c>
      <c r="F85" s="21">
        <f t="shared" si="6"/>
        <v>0</v>
      </c>
      <c r="G85" s="21">
        <f t="shared" si="7"/>
        <v>0</v>
      </c>
      <c r="H85" s="290">
        <v>1</v>
      </c>
      <c r="J85" s="281"/>
      <c r="K85" s="53"/>
      <c r="L85" s="288"/>
      <c r="M85" s="289"/>
    </row>
    <row r="86" spans="1:13">
      <c r="A86" s="21" t="s">
        <v>1468</v>
      </c>
      <c r="B86" s="21"/>
      <c r="C86" s="21" t="s">
        <v>147</v>
      </c>
      <c r="D86" s="24" t="s">
        <v>146</v>
      </c>
      <c r="E86" s="478">
        <v>87540</v>
      </c>
      <c r="F86" s="21">
        <f t="shared" si="6"/>
        <v>0</v>
      </c>
      <c r="G86" s="21">
        <f t="shared" si="7"/>
        <v>0</v>
      </c>
      <c r="H86" s="290">
        <v>0.75</v>
      </c>
      <c r="J86" s="281"/>
      <c r="K86" s="53"/>
      <c r="L86" s="288"/>
      <c r="M86" s="289"/>
    </row>
    <row r="87" spans="1:13">
      <c r="A87" s="21" t="s">
        <v>1469</v>
      </c>
      <c r="B87" s="21"/>
      <c r="C87" s="21" t="s">
        <v>148</v>
      </c>
      <c r="D87" s="24" t="s">
        <v>146</v>
      </c>
      <c r="E87" s="659">
        <v>154035</v>
      </c>
      <c r="F87" s="21">
        <f t="shared" si="6"/>
        <v>0</v>
      </c>
      <c r="G87" s="21">
        <f t="shared" si="7"/>
        <v>0</v>
      </c>
      <c r="H87" s="290">
        <v>0.86</v>
      </c>
      <c r="J87" s="281"/>
      <c r="K87" s="53"/>
      <c r="L87" s="288"/>
      <c r="M87" s="289"/>
    </row>
    <row r="88" spans="1:13">
      <c r="A88" s="21" t="s">
        <v>149</v>
      </c>
      <c r="B88" s="21"/>
      <c r="C88" s="21" t="s">
        <v>150</v>
      </c>
      <c r="D88" s="24" t="s">
        <v>146</v>
      </c>
      <c r="E88" s="659"/>
      <c r="F88" s="21">
        <f t="shared" si="6"/>
        <v>0</v>
      </c>
      <c r="G88" s="21">
        <f t="shared" si="7"/>
        <v>0</v>
      </c>
      <c r="H88" s="290">
        <v>1.25</v>
      </c>
      <c r="J88" s="281"/>
      <c r="K88" s="53"/>
      <c r="L88" s="288"/>
      <c r="M88" s="289"/>
    </row>
    <row r="89" spans="1:13">
      <c r="A89" s="21" t="s">
        <v>151</v>
      </c>
      <c r="B89" s="21"/>
      <c r="C89" s="21" t="s">
        <v>152</v>
      </c>
      <c r="D89" s="24" t="s">
        <v>146</v>
      </c>
      <c r="E89" s="659">
        <v>277830</v>
      </c>
      <c r="F89" s="21">
        <f t="shared" si="6"/>
        <v>0</v>
      </c>
      <c r="G89" s="21">
        <f t="shared" si="7"/>
        <v>0</v>
      </c>
      <c r="H89" s="290">
        <v>1.55</v>
      </c>
      <c r="J89" s="281"/>
      <c r="K89" s="53"/>
      <c r="L89" s="288"/>
      <c r="M89" s="289"/>
    </row>
    <row r="90" spans="1:13">
      <c r="A90" s="21" t="s">
        <v>153</v>
      </c>
      <c r="B90" s="21"/>
      <c r="C90" s="21" t="s">
        <v>154</v>
      </c>
      <c r="D90" s="24" t="s">
        <v>146</v>
      </c>
      <c r="E90" s="659"/>
      <c r="F90" s="21">
        <f t="shared" si="6"/>
        <v>0</v>
      </c>
      <c r="G90" s="21">
        <f t="shared" si="7"/>
        <v>0</v>
      </c>
      <c r="H90" s="290">
        <v>1.81</v>
      </c>
      <c r="J90" s="281"/>
      <c r="K90" s="53"/>
      <c r="L90" s="288"/>
      <c r="M90" s="289"/>
    </row>
    <row r="91" spans="1:13">
      <c r="A91" s="21" t="s">
        <v>155</v>
      </c>
      <c r="B91" s="21"/>
      <c r="C91" s="21" t="s">
        <v>156</v>
      </c>
      <c r="D91" s="24" t="s">
        <v>146</v>
      </c>
      <c r="E91" s="659">
        <v>419580</v>
      </c>
      <c r="F91" s="21">
        <f t="shared" si="6"/>
        <v>0</v>
      </c>
      <c r="G91" s="21">
        <f t="shared" si="7"/>
        <v>0</v>
      </c>
      <c r="H91" s="290">
        <v>2.2000000000000002</v>
      </c>
      <c r="J91" s="281"/>
      <c r="K91" s="53"/>
      <c r="L91" s="288"/>
      <c r="M91" s="289"/>
    </row>
    <row r="92" spans="1:13">
      <c r="A92" s="21" t="s">
        <v>157</v>
      </c>
      <c r="B92" s="21"/>
      <c r="C92" s="21" t="s">
        <v>158</v>
      </c>
      <c r="D92" s="24" t="s">
        <v>146</v>
      </c>
      <c r="E92" s="659">
        <v>517860</v>
      </c>
      <c r="F92" s="21">
        <f t="shared" si="6"/>
        <v>0</v>
      </c>
      <c r="G92" s="21">
        <f t="shared" si="7"/>
        <v>0</v>
      </c>
      <c r="H92" s="290">
        <v>2.54</v>
      </c>
      <c r="J92" s="281"/>
      <c r="K92" s="53"/>
      <c r="L92" s="288"/>
      <c r="M92" s="289"/>
    </row>
    <row r="93" spans="1:13">
      <c r="A93" s="21" t="s">
        <v>159</v>
      </c>
      <c r="B93" s="21"/>
      <c r="C93" s="21" t="s">
        <v>160</v>
      </c>
      <c r="D93" s="24" t="s">
        <v>146</v>
      </c>
      <c r="E93" s="659"/>
      <c r="F93" s="21">
        <f t="shared" si="6"/>
        <v>0</v>
      </c>
      <c r="G93" s="21">
        <f t="shared" si="7"/>
        <v>0</v>
      </c>
      <c r="H93" s="290">
        <v>3.1669999999999998</v>
      </c>
      <c r="J93" s="281"/>
      <c r="K93" s="53"/>
      <c r="L93" s="288"/>
      <c r="M93" s="289"/>
    </row>
    <row r="94" spans="1:13">
      <c r="A94" s="21" t="s">
        <v>161</v>
      </c>
      <c r="B94" s="21"/>
      <c r="C94" s="21" t="s">
        <v>162</v>
      </c>
      <c r="D94" s="24" t="s">
        <v>146</v>
      </c>
      <c r="E94" s="659"/>
      <c r="F94" s="21">
        <f t="shared" si="6"/>
        <v>0</v>
      </c>
      <c r="G94" s="21">
        <f t="shared" si="7"/>
        <v>0</v>
      </c>
      <c r="H94" s="290">
        <v>3.3250000000000002</v>
      </c>
      <c r="J94" s="281"/>
      <c r="K94" s="53"/>
      <c r="L94" s="288"/>
      <c r="M94" s="289"/>
    </row>
    <row r="95" spans="1:13">
      <c r="A95" s="21" t="s">
        <v>1363</v>
      </c>
      <c r="B95" s="21"/>
      <c r="C95" s="21" t="s">
        <v>163</v>
      </c>
      <c r="D95" s="24" t="s">
        <v>146</v>
      </c>
      <c r="E95" s="478">
        <v>39790</v>
      </c>
      <c r="F95" s="21">
        <f t="shared" si="6"/>
        <v>0</v>
      </c>
      <c r="G95" s="21">
        <f t="shared" si="7"/>
        <v>0</v>
      </c>
      <c r="H95" s="290">
        <v>0.65</v>
      </c>
      <c r="J95" s="281"/>
      <c r="K95" s="53"/>
      <c r="L95" s="288"/>
      <c r="M95" s="289"/>
    </row>
    <row r="96" spans="1:13">
      <c r="A96" s="21" t="s">
        <v>1364</v>
      </c>
      <c r="B96" s="21"/>
      <c r="C96" s="21" t="s">
        <v>164</v>
      </c>
      <c r="D96" s="24" t="s">
        <v>146</v>
      </c>
      <c r="E96" s="659">
        <v>48240</v>
      </c>
      <c r="F96" s="21">
        <f t="shared" si="6"/>
        <v>0</v>
      </c>
      <c r="G96" s="21">
        <f t="shared" si="7"/>
        <v>0</v>
      </c>
      <c r="H96" s="290">
        <v>0.72</v>
      </c>
      <c r="J96" s="281"/>
      <c r="K96" s="53"/>
      <c r="L96" s="288"/>
      <c r="M96" s="289"/>
    </row>
    <row r="97" spans="1:13">
      <c r="A97" s="21" t="s">
        <v>1365</v>
      </c>
      <c r="B97" s="21"/>
      <c r="C97" s="21" t="s">
        <v>1370</v>
      </c>
      <c r="D97" s="24" t="s">
        <v>146</v>
      </c>
      <c r="E97" s="659">
        <f>61425</f>
        <v>61425</v>
      </c>
      <c r="F97" s="21">
        <f t="shared" si="6"/>
        <v>0</v>
      </c>
      <c r="G97" s="21">
        <f t="shared" si="7"/>
        <v>0</v>
      </c>
      <c r="H97" s="290">
        <v>0.87</v>
      </c>
      <c r="J97" s="281"/>
      <c r="K97" s="53"/>
      <c r="L97" s="288"/>
      <c r="M97" s="289"/>
    </row>
    <row r="98" spans="1:13">
      <c r="A98" s="21" t="s">
        <v>1366</v>
      </c>
      <c r="B98" s="21"/>
      <c r="C98" s="21" t="s">
        <v>1371</v>
      </c>
      <c r="D98" s="24" t="s">
        <v>146</v>
      </c>
      <c r="E98" s="659">
        <v>83160</v>
      </c>
      <c r="F98" s="21">
        <f t="shared" si="6"/>
        <v>0</v>
      </c>
      <c r="G98" s="21">
        <f t="shared" si="7"/>
        <v>0</v>
      </c>
      <c r="H98" s="290">
        <v>0.93</v>
      </c>
      <c r="J98" s="281"/>
      <c r="K98" s="53"/>
      <c r="L98" s="288"/>
      <c r="M98" s="289"/>
    </row>
    <row r="99" spans="1:13">
      <c r="A99" s="21" t="s">
        <v>1367</v>
      </c>
      <c r="B99" s="21"/>
      <c r="C99" s="21" t="s">
        <v>1372</v>
      </c>
      <c r="D99" s="24" t="s">
        <v>146</v>
      </c>
      <c r="E99" s="659">
        <v>83160</v>
      </c>
      <c r="F99" s="21">
        <f t="shared" si="6"/>
        <v>0</v>
      </c>
      <c r="G99" s="21">
        <f t="shared" si="7"/>
        <v>0</v>
      </c>
      <c r="H99" s="290">
        <v>1.22</v>
      </c>
      <c r="J99" s="281"/>
      <c r="K99" s="53"/>
      <c r="L99" s="288"/>
      <c r="M99" s="289"/>
    </row>
    <row r="100" spans="1:13">
      <c r="A100" s="21" t="s">
        <v>1368</v>
      </c>
      <c r="B100" s="21"/>
      <c r="C100" s="21" t="s">
        <v>1373</v>
      </c>
      <c r="D100" s="24" t="s">
        <v>146</v>
      </c>
      <c r="E100" s="659">
        <v>116500</v>
      </c>
      <c r="F100" s="21">
        <f t="shared" si="6"/>
        <v>0</v>
      </c>
      <c r="G100" s="21">
        <f t="shared" si="7"/>
        <v>0</v>
      </c>
      <c r="H100" s="290">
        <v>1.53</v>
      </c>
      <c r="J100" s="281"/>
      <c r="K100" s="53"/>
      <c r="L100" s="288"/>
      <c r="M100" s="289"/>
    </row>
    <row r="101" spans="1:13">
      <c r="A101" s="21" t="s">
        <v>1369</v>
      </c>
      <c r="B101" s="21"/>
      <c r="C101" s="21" t="s">
        <v>1374</v>
      </c>
      <c r="D101" s="24" t="s">
        <v>146</v>
      </c>
      <c r="E101" s="659">
        <v>122850</v>
      </c>
      <c r="F101" s="21">
        <f t="shared" si="6"/>
        <v>0</v>
      </c>
      <c r="G101" s="21">
        <f t="shared" si="7"/>
        <v>0</v>
      </c>
      <c r="H101" s="290">
        <v>1.86</v>
      </c>
      <c r="J101" s="281"/>
      <c r="K101" s="53"/>
      <c r="L101" s="288"/>
      <c r="M101" s="289"/>
    </row>
    <row r="102" spans="1:13">
      <c r="A102" s="21" t="s">
        <v>165</v>
      </c>
      <c r="B102" s="21"/>
      <c r="C102" s="21" t="s">
        <v>166</v>
      </c>
      <c r="D102" s="24" t="s">
        <v>146</v>
      </c>
      <c r="E102" s="659"/>
      <c r="F102" s="21">
        <f t="shared" si="6"/>
        <v>0</v>
      </c>
      <c r="G102" s="21">
        <f t="shared" si="7"/>
        <v>0</v>
      </c>
      <c r="H102" s="290">
        <v>6.2869999999999999</v>
      </c>
      <c r="J102" s="281"/>
      <c r="K102" s="53"/>
      <c r="L102" s="288"/>
      <c r="M102" s="289"/>
    </row>
    <row r="103" spans="1:13">
      <c r="A103" s="21" t="s">
        <v>167</v>
      </c>
      <c r="B103" s="21"/>
      <c r="C103" s="21" t="s">
        <v>168</v>
      </c>
      <c r="D103" s="24" t="s">
        <v>146</v>
      </c>
      <c r="E103" s="659"/>
      <c r="F103" s="21">
        <f t="shared" si="6"/>
        <v>0</v>
      </c>
      <c r="G103" s="21">
        <f t="shared" si="7"/>
        <v>0</v>
      </c>
      <c r="H103" s="290">
        <v>7.4</v>
      </c>
      <c r="J103" s="281"/>
      <c r="K103" s="53"/>
      <c r="L103" s="288"/>
      <c r="M103" s="289"/>
    </row>
    <row r="104" spans="1:13">
      <c r="A104" s="21" t="s">
        <v>169</v>
      </c>
      <c r="B104" s="21"/>
      <c r="C104" s="21" t="s">
        <v>170</v>
      </c>
      <c r="D104" s="24" t="s">
        <v>146</v>
      </c>
      <c r="E104" s="659"/>
      <c r="F104" s="21">
        <f t="shared" si="6"/>
        <v>0</v>
      </c>
      <c r="G104" s="21">
        <f t="shared" si="7"/>
        <v>0</v>
      </c>
      <c r="H104" s="290">
        <v>8.36</v>
      </c>
      <c r="J104" s="281"/>
      <c r="K104" s="53"/>
      <c r="L104" s="288"/>
      <c r="M104" s="289"/>
    </row>
    <row r="105" spans="1:13">
      <c r="A105" s="21" t="s">
        <v>171</v>
      </c>
      <c r="B105" s="21"/>
      <c r="C105" s="21" t="s">
        <v>172</v>
      </c>
      <c r="D105" s="24" t="s">
        <v>146</v>
      </c>
      <c r="E105" s="659"/>
      <c r="F105" s="21">
        <f t="shared" si="6"/>
        <v>0</v>
      </c>
      <c r="G105" s="21">
        <f t="shared" si="7"/>
        <v>0</v>
      </c>
      <c r="H105" s="290">
        <v>9.84</v>
      </c>
      <c r="J105" s="281"/>
      <c r="K105" s="53"/>
      <c r="L105" s="288"/>
      <c r="M105" s="289"/>
    </row>
    <row r="106" spans="1:13">
      <c r="A106" s="21" t="s">
        <v>173</v>
      </c>
      <c r="B106" s="21"/>
      <c r="C106" s="21" t="s">
        <v>174</v>
      </c>
      <c r="D106" s="24" t="s">
        <v>146</v>
      </c>
      <c r="E106" s="659"/>
      <c r="F106" s="21">
        <f t="shared" si="6"/>
        <v>0</v>
      </c>
      <c r="G106" s="21">
        <f t="shared" si="7"/>
        <v>0</v>
      </c>
      <c r="H106" s="290">
        <v>0</v>
      </c>
      <c r="J106" s="281"/>
      <c r="K106" s="53"/>
      <c r="L106" s="288"/>
      <c r="M106" s="289"/>
    </row>
    <row r="107" spans="1:13">
      <c r="A107" s="21" t="s">
        <v>175</v>
      </c>
      <c r="B107" s="21"/>
      <c r="C107" s="21" t="s">
        <v>176</v>
      </c>
      <c r="D107" s="24" t="s">
        <v>146</v>
      </c>
      <c r="E107" s="659"/>
      <c r="F107" s="21">
        <f t="shared" si="6"/>
        <v>0</v>
      </c>
      <c r="G107" s="21">
        <f t="shared" si="7"/>
        <v>0</v>
      </c>
      <c r="H107" s="290">
        <v>0</v>
      </c>
      <c r="J107" s="281"/>
      <c r="K107" s="53"/>
      <c r="L107" s="288"/>
      <c r="M107" s="289"/>
    </row>
    <row r="108" spans="1:13">
      <c r="A108" s="21" t="s">
        <v>177</v>
      </c>
      <c r="B108" s="21"/>
      <c r="C108" s="21" t="s">
        <v>178</v>
      </c>
      <c r="D108" s="24" t="s">
        <v>143</v>
      </c>
      <c r="E108" s="478">
        <v>59680</v>
      </c>
      <c r="F108" s="21">
        <f t="shared" si="6"/>
        <v>0</v>
      </c>
      <c r="G108" s="21">
        <f t="shared" si="7"/>
        <v>0</v>
      </c>
      <c r="H108" s="290">
        <v>1</v>
      </c>
      <c r="J108" s="281"/>
      <c r="K108" s="53"/>
      <c r="L108" s="288"/>
      <c r="M108" s="289"/>
    </row>
    <row r="109" spans="1:13">
      <c r="A109" s="21" t="s">
        <v>179</v>
      </c>
      <c r="B109" s="21"/>
      <c r="C109" s="21" t="s">
        <v>180</v>
      </c>
      <c r="D109" s="24" t="s">
        <v>143</v>
      </c>
      <c r="E109" s="478">
        <v>64200</v>
      </c>
      <c r="F109" s="21">
        <f t="shared" si="6"/>
        <v>0</v>
      </c>
      <c r="G109" s="21">
        <f t="shared" si="7"/>
        <v>0</v>
      </c>
      <c r="H109" s="290">
        <v>1</v>
      </c>
      <c r="J109" s="281"/>
      <c r="K109" s="53"/>
      <c r="L109" s="288"/>
      <c r="M109" s="289"/>
    </row>
    <row r="110" spans="1:13">
      <c r="A110" s="21" t="s">
        <v>181</v>
      </c>
      <c r="B110" s="21"/>
      <c r="C110" s="21" t="s">
        <v>182</v>
      </c>
      <c r="D110" s="24" t="s">
        <v>143</v>
      </c>
      <c r="E110" s="659">
        <v>78435</v>
      </c>
      <c r="F110" s="21">
        <f t="shared" si="6"/>
        <v>0</v>
      </c>
      <c r="G110" s="21">
        <f t="shared" si="7"/>
        <v>0</v>
      </c>
      <c r="H110" s="290">
        <v>1</v>
      </c>
      <c r="J110" s="281"/>
      <c r="K110" s="53"/>
      <c r="L110" s="288"/>
      <c r="M110" s="289"/>
    </row>
    <row r="111" spans="1:13">
      <c r="A111" s="21" t="s">
        <v>183</v>
      </c>
      <c r="B111" s="21"/>
      <c r="C111" s="21" t="s">
        <v>184</v>
      </c>
      <c r="D111" s="24" t="s">
        <v>143</v>
      </c>
      <c r="E111" s="659">
        <v>55210</v>
      </c>
      <c r="F111" s="21">
        <f t="shared" si="6"/>
        <v>0</v>
      </c>
      <c r="G111" s="21">
        <f t="shared" si="7"/>
        <v>0</v>
      </c>
      <c r="H111" s="290">
        <v>1</v>
      </c>
      <c r="J111" s="281"/>
      <c r="K111" s="53"/>
      <c r="L111" s="288"/>
      <c r="M111" s="289"/>
    </row>
    <row r="112" spans="1:13">
      <c r="A112" s="21" t="s">
        <v>185</v>
      </c>
      <c r="B112" s="21"/>
      <c r="C112" s="21" t="s">
        <v>186</v>
      </c>
      <c r="D112" s="24" t="s">
        <v>143</v>
      </c>
      <c r="E112" s="659">
        <v>80325</v>
      </c>
      <c r="F112" s="21">
        <f t="shared" si="6"/>
        <v>0</v>
      </c>
      <c r="G112" s="21">
        <f t="shared" si="7"/>
        <v>0</v>
      </c>
      <c r="H112" s="290">
        <v>1</v>
      </c>
      <c r="J112" s="281"/>
      <c r="K112" s="53"/>
      <c r="L112" s="288"/>
      <c r="M112" s="289"/>
    </row>
    <row r="113" spans="1:13">
      <c r="A113" s="21" t="s">
        <v>187</v>
      </c>
      <c r="B113" s="21"/>
      <c r="C113" s="21" t="s">
        <v>188</v>
      </c>
      <c r="D113" s="24" t="s">
        <v>143</v>
      </c>
      <c r="E113" s="659">
        <v>80325</v>
      </c>
      <c r="F113" s="21">
        <f t="shared" si="6"/>
        <v>0</v>
      </c>
      <c r="G113" s="21">
        <f t="shared" si="7"/>
        <v>0</v>
      </c>
      <c r="H113" s="290">
        <v>1</v>
      </c>
      <c r="J113" s="281"/>
      <c r="K113" s="53"/>
      <c r="L113" s="288"/>
      <c r="M113" s="289"/>
    </row>
    <row r="114" spans="1:13">
      <c r="A114" s="21" t="s">
        <v>189</v>
      </c>
      <c r="B114" s="21"/>
      <c r="C114" s="21" t="s">
        <v>190</v>
      </c>
      <c r="D114" s="24" t="s">
        <v>143</v>
      </c>
      <c r="E114" s="659">
        <v>81270</v>
      </c>
      <c r="F114" s="21">
        <f t="shared" si="6"/>
        <v>0</v>
      </c>
      <c r="G114" s="21">
        <f t="shared" si="7"/>
        <v>0</v>
      </c>
      <c r="H114" s="290">
        <v>1</v>
      </c>
      <c r="J114" s="281"/>
      <c r="K114" s="53"/>
      <c r="L114" s="288"/>
      <c r="M114" s="289"/>
    </row>
    <row r="115" spans="1:13">
      <c r="A115" s="21" t="s">
        <v>191</v>
      </c>
      <c r="B115" s="21"/>
      <c r="C115" s="21" t="s">
        <v>192</v>
      </c>
      <c r="D115" s="24" t="s">
        <v>146</v>
      </c>
      <c r="E115" s="659"/>
      <c r="F115" s="21">
        <f t="shared" si="6"/>
        <v>0</v>
      </c>
      <c r="G115" s="21">
        <f t="shared" si="7"/>
        <v>0</v>
      </c>
      <c r="H115" s="290">
        <v>0.17599999999999999</v>
      </c>
      <c r="J115" s="281"/>
      <c r="K115" s="53"/>
      <c r="L115" s="288"/>
      <c r="M115" s="289"/>
    </row>
    <row r="116" spans="1:13">
      <c r="A116" s="21" t="s">
        <v>193</v>
      </c>
      <c r="B116" s="21"/>
      <c r="C116" s="21" t="s">
        <v>194</v>
      </c>
      <c r="D116" s="24" t="s">
        <v>146</v>
      </c>
      <c r="E116" s="659">
        <v>17010</v>
      </c>
      <c r="F116" s="21">
        <f t="shared" si="6"/>
        <v>0</v>
      </c>
      <c r="G116" s="21">
        <f t="shared" si="7"/>
        <v>0</v>
      </c>
      <c r="H116" s="290">
        <v>0.22900000000000001</v>
      </c>
      <c r="J116" s="281"/>
      <c r="K116" s="53"/>
      <c r="L116" s="288"/>
      <c r="M116" s="289"/>
    </row>
    <row r="117" spans="1:13">
      <c r="A117" s="21" t="s">
        <v>195</v>
      </c>
      <c r="B117" s="21"/>
      <c r="C117" s="21" t="s">
        <v>196</v>
      </c>
      <c r="D117" s="24" t="s">
        <v>146</v>
      </c>
      <c r="E117" s="659">
        <v>22680</v>
      </c>
      <c r="F117" s="21">
        <f t="shared" si="6"/>
        <v>0</v>
      </c>
      <c r="G117" s="21">
        <f t="shared" si="7"/>
        <v>0</v>
      </c>
      <c r="H117" s="290">
        <v>0.308</v>
      </c>
      <c r="J117" s="281"/>
      <c r="K117" s="53"/>
      <c r="L117" s="288"/>
      <c r="M117" s="289"/>
    </row>
    <row r="118" spans="1:13">
      <c r="A118" s="21" t="s">
        <v>197</v>
      </c>
      <c r="B118" s="21"/>
      <c r="C118" s="21" t="s">
        <v>198</v>
      </c>
      <c r="D118" s="24" t="s">
        <v>146</v>
      </c>
      <c r="E118" s="659">
        <v>31185</v>
      </c>
      <c r="F118" s="21">
        <f t="shared" si="6"/>
        <v>0</v>
      </c>
      <c r="G118" s="21">
        <f t="shared" si="7"/>
        <v>0</v>
      </c>
      <c r="H118" s="290">
        <v>0.41</v>
      </c>
      <c r="J118" s="281"/>
      <c r="K118" s="53"/>
      <c r="L118" s="288"/>
      <c r="M118" s="289"/>
    </row>
    <row r="119" spans="1:13">
      <c r="A119" s="21" t="s">
        <v>199</v>
      </c>
      <c r="B119" s="21"/>
      <c r="C119" s="21" t="s">
        <v>200</v>
      </c>
      <c r="D119" s="24" t="s">
        <v>146</v>
      </c>
      <c r="E119" s="659">
        <v>33500</v>
      </c>
      <c r="F119" s="21">
        <f t="shared" si="6"/>
        <v>0</v>
      </c>
      <c r="G119" s="21">
        <f t="shared" si="7"/>
        <v>0</v>
      </c>
      <c r="H119" s="290">
        <v>0.496</v>
      </c>
      <c r="J119" s="281"/>
      <c r="K119" s="53"/>
      <c r="L119" s="288"/>
      <c r="M119" s="289"/>
    </row>
    <row r="120" spans="1:13">
      <c r="A120" s="21" t="s">
        <v>201</v>
      </c>
      <c r="B120" s="21"/>
      <c r="C120" s="21" t="s">
        <v>202</v>
      </c>
      <c r="D120" s="24" t="s">
        <v>146</v>
      </c>
      <c r="E120" s="659">
        <v>42300</v>
      </c>
      <c r="F120" s="21">
        <f t="shared" si="6"/>
        <v>0</v>
      </c>
      <c r="G120" s="21">
        <f t="shared" si="7"/>
        <v>0</v>
      </c>
      <c r="H120" s="290">
        <v>0.628</v>
      </c>
      <c r="J120" s="281"/>
      <c r="K120" s="53"/>
      <c r="L120" s="288"/>
      <c r="M120" s="289"/>
    </row>
    <row r="121" spans="1:13">
      <c r="A121" s="21" t="s">
        <v>203</v>
      </c>
      <c r="B121" s="21"/>
      <c r="C121" s="21" t="s">
        <v>204</v>
      </c>
      <c r="D121" s="24" t="s">
        <v>146</v>
      </c>
      <c r="E121" s="659">
        <v>51000</v>
      </c>
      <c r="F121" s="21">
        <f t="shared" si="6"/>
        <v>0</v>
      </c>
      <c r="G121" s="21">
        <f t="shared" si="7"/>
        <v>0</v>
      </c>
      <c r="H121" s="290">
        <v>0.74299999999999999</v>
      </c>
      <c r="J121" s="281"/>
      <c r="K121" s="53"/>
      <c r="L121" s="288"/>
      <c r="M121" s="289"/>
    </row>
    <row r="122" spans="1:13">
      <c r="A122" s="21" t="s">
        <v>205</v>
      </c>
      <c r="B122" s="21"/>
      <c r="C122" s="21" t="s">
        <v>206</v>
      </c>
      <c r="D122" s="24" t="s">
        <v>146</v>
      </c>
      <c r="E122" s="659"/>
      <c r="F122" s="21">
        <f t="shared" si="6"/>
        <v>0</v>
      </c>
      <c r="G122" s="21">
        <f t="shared" si="7"/>
        <v>0</v>
      </c>
      <c r="H122" s="290">
        <v>0</v>
      </c>
      <c r="J122" s="281"/>
      <c r="K122" s="53"/>
      <c r="L122" s="288"/>
      <c r="M122" s="289"/>
    </row>
    <row r="123" spans="1:13">
      <c r="A123" s="21" t="s">
        <v>207</v>
      </c>
      <c r="B123" s="21"/>
      <c r="C123" s="21" t="s">
        <v>208</v>
      </c>
      <c r="D123" s="24" t="s">
        <v>146</v>
      </c>
      <c r="E123" s="659"/>
      <c r="F123" s="21">
        <f t="shared" si="6"/>
        <v>0</v>
      </c>
      <c r="G123" s="21">
        <f t="shared" si="7"/>
        <v>0</v>
      </c>
      <c r="H123" s="290">
        <v>0</v>
      </c>
      <c r="J123" s="281"/>
      <c r="K123" s="53"/>
      <c r="L123" s="288"/>
      <c r="M123" s="289"/>
    </row>
    <row r="124" spans="1:13">
      <c r="A124" s="21" t="s">
        <v>209</v>
      </c>
      <c r="B124" s="21"/>
      <c r="C124" s="21" t="s">
        <v>210</v>
      </c>
      <c r="D124" s="24" t="s">
        <v>146</v>
      </c>
      <c r="E124" s="659"/>
      <c r="F124" s="21">
        <f t="shared" si="6"/>
        <v>0</v>
      </c>
      <c r="G124" s="21">
        <f t="shared" si="7"/>
        <v>0</v>
      </c>
      <c r="H124" s="290">
        <v>0</v>
      </c>
      <c r="J124" s="281"/>
      <c r="K124" s="53"/>
      <c r="L124" s="288"/>
      <c r="M124" s="289"/>
    </row>
    <row r="125" spans="1:13">
      <c r="A125" s="21" t="s">
        <v>211</v>
      </c>
      <c r="B125" s="21"/>
      <c r="C125" s="21" t="s">
        <v>212</v>
      </c>
      <c r="D125" s="24" t="s">
        <v>146</v>
      </c>
      <c r="E125" s="659"/>
      <c r="F125" s="21">
        <f t="shared" si="6"/>
        <v>0</v>
      </c>
      <c r="G125" s="21">
        <f t="shared" si="7"/>
        <v>0</v>
      </c>
      <c r="H125" s="290">
        <v>0</v>
      </c>
      <c r="J125" s="281"/>
      <c r="K125" s="53"/>
      <c r="L125" s="288"/>
      <c r="M125" s="289"/>
    </row>
    <row r="126" spans="1:13">
      <c r="A126" s="21" t="s">
        <v>213</v>
      </c>
      <c r="B126" s="21"/>
      <c r="C126" s="21" t="s">
        <v>214</v>
      </c>
      <c r="D126" s="24" t="s">
        <v>146</v>
      </c>
      <c r="E126" s="478">
        <v>83360</v>
      </c>
      <c r="F126" s="21">
        <f t="shared" si="6"/>
        <v>0</v>
      </c>
      <c r="G126" s="21">
        <f t="shared" si="7"/>
        <v>0</v>
      </c>
      <c r="H126" s="290">
        <v>0</v>
      </c>
      <c r="J126" s="281"/>
      <c r="K126" s="53"/>
      <c r="L126" s="288"/>
      <c r="M126" s="289"/>
    </row>
    <row r="127" spans="1:13">
      <c r="A127" s="21" t="s">
        <v>215</v>
      </c>
      <c r="B127" s="21"/>
      <c r="C127" s="21" t="s">
        <v>216</v>
      </c>
      <c r="D127" s="24" t="s">
        <v>146</v>
      </c>
      <c r="E127" s="659">
        <v>83360</v>
      </c>
      <c r="F127" s="21">
        <f t="shared" si="6"/>
        <v>0</v>
      </c>
      <c r="G127" s="21">
        <f t="shared" si="7"/>
        <v>0</v>
      </c>
      <c r="H127" s="290">
        <v>0</v>
      </c>
      <c r="J127" s="281"/>
      <c r="K127" s="53"/>
      <c r="L127" s="288"/>
      <c r="M127" s="289"/>
    </row>
    <row r="128" spans="1:13">
      <c r="A128" s="21" t="s">
        <v>217</v>
      </c>
      <c r="B128" s="21"/>
      <c r="C128" s="21" t="s">
        <v>218</v>
      </c>
      <c r="D128" s="24" t="s">
        <v>146</v>
      </c>
      <c r="E128" s="478">
        <v>100080</v>
      </c>
      <c r="F128" s="21">
        <f t="shared" si="6"/>
        <v>0</v>
      </c>
      <c r="G128" s="21">
        <f t="shared" si="7"/>
        <v>0</v>
      </c>
      <c r="H128" s="290">
        <v>1.3160000000000001</v>
      </c>
      <c r="J128" s="281"/>
      <c r="K128" s="53"/>
      <c r="L128" s="288"/>
      <c r="M128" s="289"/>
    </row>
    <row r="129" spans="1:13">
      <c r="A129" s="21" t="s">
        <v>219</v>
      </c>
      <c r="B129" s="21"/>
      <c r="C129" s="21" t="s">
        <v>220</v>
      </c>
      <c r="D129" s="24" t="s">
        <v>146</v>
      </c>
      <c r="E129" s="478">
        <v>83900</v>
      </c>
      <c r="F129" s="21">
        <f t="shared" si="6"/>
        <v>0</v>
      </c>
      <c r="G129" s="21">
        <f t="shared" si="7"/>
        <v>0</v>
      </c>
      <c r="H129" s="290">
        <v>0.97799999999999998</v>
      </c>
      <c r="J129" s="281"/>
      <c r="K129" s="53"/>
      <c r="L129" s="288"/>
      <c r="M129" s="289"/>
    </row>
    <row r="130" spans="1:13">
      <c r="A130" s="21" t="s">
        <v>221</v>
      </c>
      <c r="B130" s="21"/>
      <c r="C130" s="21" t="s">
        <v>222</v>
      </c>
      <c r="D130" s="24" t="s">
        <v>146</v>
      </c>
      <c r="E130" s="478">
        <v>122300</v>
      </c>
      <c r="F130" s="21">
        <f t="shared" si="6"/>
        <v>0</v>
      </c>
      <c r="G130" s="21">
        <f t="shared" si="7"/>
        <v>0</v>
      </c>
      <c r="H130" s="290">
        <v>1.2130000000000001</v>
      </c>
      <c r="J130" s="281"/>
      <c r="K130" s="53"/>
      <c r="L130" s="288"/>
      <c r="M130" s="289"/>
    </row>
    <row r="131" spans="1:13">
      <c r="A131" s="21" t="s">
        <v>223</v>
      </c>
      <c r="B131" s="21"/>
      <c r="C131" s="21" t="s">
        <v>224</v>
      </c>
      <c r="D131" s="24" t="s">
        <v>146</v>
      </c>
      <c r="E131" s="478">
        <v>124370</v>
      </c>
      <c r="F131" s="21">
        <f t="shared" si="6"/>
        <v>0</v>
      </c>
      <c r="G131" s="21">
        <f t="shared" si="7"/>
        <v>0</v>
      </c>
      <c r="H131" s="290">
        <v>1.6180000000000001</v>
      </c>
      <c r="J131" s="281"/>
      <c r="K131" s="53"/>
      <c r="L131" s="288"/>
      <c r="M131" s="289"/>
    </row>
    <row r="132" spans="1:13">
      <c r="A132" s="21" t="s">
        <v>225</v>
      </c>
      <c r="B132" s="21"/>
      <c r="C132" s="21" t="s">
        <v>226</v>
      </c>
      <c r="D132" s="24" t="s">
        <v>146</v>
      </c>
      <c r="E132" s="659">
        <v>184275</v>
      </c>
      <c r="F132" s="21">
        <f t="shared" si="6"/>
        <v>0</v>
      </c>
      <c r="G132" s="21">
        <f t="shared" si="7"/>
        <v>0</v>
      </c>
      <c r="H132" s="290">
        <v>0</v>
      </c>
      <c r="J132" s="281"/>
      <c r="K132" s="53"/>
      <c r="L132" s="288"/>
      <c r="M132" s="289"/>
    </row>
    <row r="133" spans="1:13">
      <c r="A133" s="21" t="s">
        <v>227</v>
      </c>
      <c r="B133" s="21"/>
      <c r="C133" s="21" t="s">
        <v>228</v>
      </c>
      <c r="D133" s="24" t="s">
        <v>146</v>
      </c>
      <c r="E133" s="478">
        <v>53520</v>
      </c>
      <c r="F133" s="21">
        <f t="shared" si="6"/>
        <v>0</v>
      </c>
      <c r="G133" s="21">
        <f t="shared" si="7"/>
        <v>0</v>
      </c>
      <c r="H133" s="290">
        <v>0.29099999999999998</v>
      </c>
      <c r="J133" s="281"/>
      <c r="K133" s="53"/>
      <c r="L133" s="288"/>
      <c r="M133" s="289"/>
    </row>
    <row r="134" spans="1:13">
      <c r="A134" s="21" t="s">
        <v>229</v>
      </c>
      <c r="B134" s="21"/>
      <c r="C134" s="21" t="s">
        <v>230</v>
      </c>
      <c r="D134" s="24" t="s">
        <v>146</v>
      </c>
      <c r="E134" s="659">
        <v>89775</v>
      </c>
      <c r="F134" s="21">
        <f t="shared" si="6"/>
        <v>0</v>
      </c>
      <c r="G134" s="21">
        <f t="shared" si="7"/>
        <v>0</v>
      </c>
      <c r="H134" s="290">
        <v>0.39500000000000002</v>
      </c>
      <c r="J134" s="281"/>
      <c r="K134" s="53"/>
      <c r="L134" s="288"/>
      <c r="M134" s="289"/>
    </row>
    <row r="135" spans="1:13">
      <c r="A135" s="21" t="s">
        <v>231</v>
      </c>
      <c r="B135" s="21"/>
      <c r="C135" s="21" t="s">
        <v>232</v>
      </c>
      <c r="D135" s="24" t="s">
        <v>146</v>
      </c>
      <c r="E135" s="478">
        <v>104370</v>
      </c>
      <c r="F135" s="21">
        <f t="shared" si="6"/>
        <v>0</v>
      </c>
      <c r="G135" s="21">
        <f t="shared" si="7"/>
        <v>0</v>
      </c>
      <c r="H135" s="290">
        <v>0.53400000000000003</v>
      </c>
      <c r="J135" s="281"/>
      <c r="K135" s="53"/>
      <c r="L135" s="288"/>
      <c r="M135" s="289"/>
    </row>
    <row r="136" spans="1:13">
      <c r="A136" s="21" t="s">
        <v>233</v>
      </c>
      <c r="B136" s="21"/>
      <c r="C136" s="21" t="s">
        <v>234</v>
      </c>
      <c r="D136" s="24" t="s">
        <v>146</v>
      </c>
      <c r="E136" s="478">
        <v>142880</v>
      </c>
      <c r="F136" s="21">
        <f t="shared" si="6"/>
        <v>0</v>
      </c>
      <c r="G136" s="21">
        <f t="shared" si="7"/>
        <v>0</v>
      </c>
      <c r="H136" s="290">
        <v>0.73899999999999999</v>
      </c>
      <c r="J136" s="281"/>
      <c r="K136" s="53"/>
      <c r="L136" s="288"/>
      <c r="M136" s="289"/>
    </row>
    <row r="137" spans="1:13">
      <c r="A137" s="21" t="s">
        <v>235</v>
      </c>
      <c r="B137" s="21"/>
      <c r="C137" s="21" t="s">
        <v>236</v>
      </c>
      <c r="D137" s="24" t="s">
        <v>146</v>
      </c>
      <c r="E137" s="478">
        <v>196130</v>
      </c>
      <c r="F137" s="21">
        <f t="shared" si="6"/>
        <v>0</v>
      </c>
      <c r="G137" s="21">
        <f t="shared" si="7"/>
        <v>0</v>
      </c>
      <c r="H137" s="290">
        <v>1.008</v>
      </c>
      <c r="J137" s="281"/>
      <c r="K137" s="53"/>
      <c r="L137" s="288"/>
      <c r="M137" s="289"/>
    </row>
    <row r="138" spans="1:13">
      <c r="A138" s="21" t="s">
        <v>237</v>
      </c>
      <c r="B138" s="21"/>
      <c r="C138" s="21" t="s">
        <v>238</v>
      </c>
      <c r="D138" s="24" t="s">
        <v>146</v>
      </c>
      <c r="E138" s="478">
        <v>245040</v>
      </c>
      <c r="F138" s="21">
        <f t="shared" si="6"/>
        <v>0</v>
      </c>
      <c r="G138" s="21">
        <f t="shared" si="7"/>
        <v>0</v>
      </c>
      <c r="H138" s="290">
        <v>1.2350000000000001</v>
      </c>
      <c r="J138" s="281"/>
      <c r="K138" s="53"/>
      <c r="L138" s="288"/>
      <c r="M138" s="289"/>
    </row>
    <row r="139" spans="1:13">
      <c r="A139" s="21" t="s">
        <v>239</v>
      </c>
      <c r="B139" s="21"/>
      <c r="C139" s="21" t="s">
        <v>240</v>
      </c>
      <c r="D139" s="24" t="s">
        <v>146</v>
      </c>
      <c r="E139" s="478">
        <v>315870</v>
      </c>
      <c r="F139" s="21">
        <f t="shared" si="6"/>
        <v>0</v>
      </c>
      <c r="G139" s="21">
        <f t="shared" si="7"/>
        <v>0</v>
      </c>
      <c r="H139" s="290">
        <v>1.5980000000000001</v>
      </c>
      <c r="J139" s="281"/>
      <c r="K139" s="53"/>
      <c r="L139" s="288"/>
      <c r="M139" s="289"/>
    </row>
    <row r="140" spans="1:13">
      <c r="A140" s="21" t="s">
        <v>241</v>
      </c>
      <c r="B140" s="21"/>
      <c r="C140" s="21" t="s">
        <v>242</v>
      </c>
      <c r="D140" s="24" t="s">
        <v>146</v>
      </c>
      <c r="E140" s="478">
        <v>372000</v>
      </c>
      <c r="F140" s="21">
        <f t="shared" si="6"/>
        <v>0</v>
      </c>
      <c r="G140" s="21">
        <f t="shared" si="7"/>
        <v>0</v>
      </c>
      <c r="H140" s="290">
        <v>1.9079999999999999</v>
      </c>
      <c r="J140" s="281"/>
      <c r="K140" s="53"/>
      <c r="L140" s="288"/>
      <c r="M140" s="289"/>
    </row>
    <row r="141" spans="1:13">
      <c r="A141" s="21" t="s">
        <v>243</v>
      </c>
      <c r="B141" s="21"/>
      <c r="C141" s="21" t="s">
        <v>244</v>
      </c>
      <c r="D141" s="24" t="s">
        <v>146</v>
      </c>
      <c r="E141" s="659">
        <v>350440</v>
      </c>
      <c r="F141" s="21">
        <f t="shared" si="6"/>
        <v>0</v>
      </c>
      <c r="G141" s="21">
        <f t="shared" si="7"/>
        <v>0</v>
      </c>
      <c r="H141" s="290">
        <v>1.2350000000000001</v>
      </c>
      <c r="J141" s="281"/>
      <c r="K141" s="53"/>
      <c r="L141" s="288"/>
      <c r="M141" s="289"/>
    </row>
    <row r="142" spans="1:13">
      <c r="A142" s="21" t="s">
        <v>245</v>
      </c>
      <c r="B142" s="21"/>
      <c r="C142" s="21" t="s">
        <v>246</v>
      </c>
      <c r="D142" s="24" t="s">
        <v>146</v>
      </c>
      <c r="E142" s="478">
        <v>493630</v>
      </c>
      <c r="F142" s="21">
        <f t="shared" si="6"/>
        <v>0</v>
      </c>
      <c r="G142" s="21">
        <f t="shared" si="7"/>
        <v>0</v>
      </c>
      <c r="H142" s="290">
        <v>1.5980000000000001</v>
      </c>
      <c r="J142" s="281"/>
      <c r="K142" s="53"/>
      <c r="L142" s="288"/>
      <c r="M142" s="289"/>
    </row>
    <row r="143" spans="1:13">
      <c r="A143" s="21" t="s">
        <v>247</v>
      </c>
      <c r="B143" s="21"/>
      <c r="C143" s="21" t="s">
        <v>248</v>
      </c>
      <c r="D143" s="24" t="s">
        <v>146</v>
      </c>
      <c r="E143" s="659">
        <v>446080</v>
      </c>
      <c r="F143" s="21">
        <f t="shared" ref="F143:F209" si="8">IFERROR(ROUND(VLOOKUP(J143,DGNC,5,0)*K143,0),)</f>
        <v>0</v>
      </c>
      <c r="G143" s="21">
        <f t="shared" ref="G143:G209" si="9">IFERROR(ROUND(VLOOKUP(L143,DGMTC,8,0)*M143,0),)</f>
        <v>0</v>
      </c>
      <c r="H143" s="290">
        <v>2.5790000000000002</v>
      </c>
      <c r="J143" s="281"/>
      <c r="K143" s="53"/>
      <c r="L143" s="288"/>
      <c r="M143" s="289"/>
    </row>
    <row r="144" spans="1:13">
      <c r="A144" s="21" t="s">
        <v>249</v>
      </c>
      <c r="B144" s="21"/>
      <c r="C144" s="21" t="s">
        <v>250</v>
      </c>
      <c r="D144" s="24" t="s">
        <v>146</v>
      </c>
      <c r="E144" s="659">
        <v>535890</v>
      </c>
      <c r="F144" s="21">
        <f t="shared" si="8"/>
        <v>0</v>
      </c>
      <c r="G144" s="21">
        <f t="shared" si="9"/>
        <v>0</v>
      </c>
      <c r="H144" s="290">
        <v>2.8759999999999999</v>
      </c>
      <c r="J144" s="281"/>
      <c r="K144" s="53"/>
      <c r="L144" s="288"/>
      <c r="M144" s="289"/>
    </row>
    <row r="145" spans="1:13">
      <c r="A145" s="21" t="s">
        <v>251</v>
      </c>
      <c r="B145" s="21"/>
      <c r="C145" s="21" t="s">
        <v>252</v>
      </c>
      <c r="D145" s="24" t="s">
        <v>146</v>
      </c>
      <c r="E145" s="659"/>
      <c r="F145" s="21">
        <f t="shared" si="8"/>
        <v>0</v>
      </c>
      <c r="G145" s="21">
        <f t="shared" si="9"/>
        <v>0</v>
      </c>
      <c r="H145" s="290">
        <v>2.9350000000000001</v>
      </c>
      <c r="J145" s="281"/>
      <c r="K145" s="53"/>
      <c r="L145" s="288"/>
      <c r="M145" s="289"/>
    </row>
    <row r="146" spans="1:13">
      <c r="A146" s="21" t="s">
        <v>1937</v>
      </c>
      <c r="B146" s="21"/>
      <c r="C146" s="21" t="s">
        <v>1941</v>
      </c>
      <c r="D146" s="24" t="s">
        <v>146</v>
      </c>
      <c r="E146" s="659">
        <v>52400</v>
      </c>
      <c r="F146" s="21">
        <f t="shared" si="8"/>
        <v>0</v>
      </c>
      <c r="G146" s="21">
        <f t="shared" si="9"/>
        <v>0</v>
      </c>
      <c r="H146" s="290">
        <v>3.024</v>
      </c>
      <c r="J146" s="281"/>
      <c r="K146" s="53"/>
      <c r="L146" s="288"/>
      <c r="M146" s="289"/>
    </row>
    <row r="147" spans="1:13">
      <c r="A147" s="21" t="s">
        <v>3520</v>
      </c>
      <c r="B147" s="21"/>
      <c r="C147" s="21" t="s">
        <v>3521</v>
      </c>
      <c r="D147" s="24" t="s">
        <v>146</v>
      </c>
      <c r="E147" s="659">
        <v>71600</v>
      </c>
      <c r="F147" s="21">
        <f>IFERROR(ROUND(VLOOKUP(J147,DGNC,5,0)*K147,0),)</f>
        <v>0</v>
      </c>
      <c r="G147" s="21">
        <f>IFERROR(ROUND(VLOOKUP(L147,DGMTC,8,0)*M147,0),)</f>
        <v>0</v>
      </c>
      <c r="H147" s="290">
        <v>3.024</v>
      </c>
      <c r="J147" s="281"/>
      <c r="K147" s="53"/>
      <c r="L147" s="288"/>
      <c r="M147" s="289"/>
    </row>
    <row r="148" spans="1:13">
      <c r="A148" s="21" t="s">
        <v>253</v>
      </c>
      <c r="B148" s="21"/>
      <c r="C148" s="21" t="s">
        <v>254</v>
      </c>
      <c r="D148" s="24" t="s">
        <v>143</v>
      </c>
      <c r="E148" s="659">
        <v>95445</v>
      </c>
      <c r="F148" s="21">
        <f t="shared" si="8"/>
        <v>0</v>
      </c>
      <c r="G148" s="21">
        <f t="shared" si="9"/>
        <v>0</v>
      </c>
      <c r="H148" s="290">
        <v>1</v>
      </c>
      <c r="J148" s="281"/>
      <c r="K148" s="53"/>
      <c r="L148" s="288"/>
      <c r="M148" s="289"/>
    </row>
    <row r="149" spans="1:13">
      <c r="A149" s="21" t="s">
        <v>255</v>
      </c>
      <c r="B149" s="21"/>
      <c r="C149" s="21" t="s">
        <v>2955</v>
      </c>
      <c r="D149" s="24" t="s">
        <v>143</v>
      </c>
      <c r="E149" s="478">
        <v>85000</v>
      </c>
      <c r="F149" s="21">
        <f t="shared" si="8"/>
        <v>0</v>
      </c>
      <c r="G149" s="21">
        <f t="shared" si="9"/>
        <v>0</v>
      </c>
      <c r="H149" s="290">
        <v>1</v>
      </c>
      <c r="J149" s="281"/>
      <c r="K149" s="53"/>
      <c r="L149" s="288"/>
      <c r="M149" s="289"/>
    </row>
    <row r="150" spans="1:13">
      <c r="A150" s="21" t="s">
        <v>256</v>
      </c>
      <c r="B150" s="21"/>
      <c r="C150" s="21" t="s">
        <v>257</v>
      </c>
      <c r="D150" s="24" t="s">
        <v>143</v>
      </c>
      <c r="E150" s="659">
        <v>68000</v>
      </c>
      <c r="F150" s="21">
        <f t="shared" si="8"/>
        <v>0</v>
      </c>
      <c r="G150" s="21">
        <f t="shared" si="9"/>
        <v>0</v>
      </c>
      <c r="H150" s="290">
        <v>1</v>
      </c>
      <c r="J150" s="281"/>
      <c r="K150" s="53"/>
      <c r="L150" s="288"/>
      <c r="M150" s="289"/>
    </row>
    <row r="151" spans="1:13">
      <c r="A151" s="21" t="s">
        <v>258</v>
      </c>
      <c r="B151" s="21"/>
      <c r="C151" s="21" t="s">
        <v>259</v>
      </c>
      <c r="D151" s="24" t="s">
        <v>143</v>
      </c>
      <c r="E151" s="659">
        <v>102060</v>
      </c>
      <c r="F151" s="21">
        <f t="shared" si="8"/>
        <v>0</v>
      </c>
      <c r="G151" s="21">
        <f t="shared" si="9"/>
        <v>0</v>
      </c>
      <c r="H151" s="290">
        <v>1</v>
      </c>
      <c r="J151" s="281"/>
      <c r="K151" s="53"/>
      <c r="L151" s="288"/>
      <c r="M151" s="289"/>
    </row>
    <row r="152" spans="1:13">
      <c r="A152" s="21" t="s">
        <v>260</v>
      </c>
      <c r="B152" s="21"/>
      <c r="C152" s="21" t="s">
        <v>261</v>
      </c>
      <c r="D152" s="24" t="s">
        <v>143</v>
      </c>
      <c r="E152" s="659">
        <v>102060</v>
      </c>
      <c r="F152" s="21">
        <f t="shared" si="8"/>
        <v>0</v>
      </c>
      <c r="G152" s="21">
        <f t="shared" si="9"/>
        <v>0</v>
      </c>
      <c r="H152" s="290">
        <v>1</v>
      </c>
      <c r="J152" s="281"/>
      <c r="K152" s="53"/>
      <c r="L152" s="288"/>
      <c r="M152" s="289"/>
    </row>
    <row r="153" spans="1:13">
      <c r="A153" s="21" t="s">
        <v>262</v>
      </c>
      <c r="B153" s="21"/>
      <c r="C153" s="21" t="s">
        <v>263</v>
      </c>
      <c r="D153" s="24" t="s">
        <v>143</v>
      </c>
      <c r="E153" s="659">
        <v>102060</v>
      </c>
      <c r="F153" s="21">
        <f t="shared" si="8"/>
        <v>0</v>
      </c>
      <c r="G153" s="21">
        <f t="shared" si="9"/>
        <v>0</v>
      </c>
      <c r="H153" s="290">
        <v>1</v>
      </c>
      <c r="J153" s="281"/>
      <c r="K153" s="53"/>
      <c r="L153" s="288"/>
      <c r="M153" s="289"/>
    </row>
    <row r="154" spans="1:13">
      <c r="A154" s="21" t="s">
        <v>264</v>
      </c>
      <c r="B154" s="21"/>
      <c r="C154" s="21" t="s">
        <v>265</v>
      </c>
      <c r="D154" s="24" t="s">
        <v>143</v>
      </c>
      <c r="E154" s="659">
        <v>102060</v>
      </c>
      <c r="F154" s="21">
        <f t="shared" si="8"/>
        <v>0</v>
      </c>
      <c r="G154" s="21">
        <f t="shared" si="9"/>
        <v>0</v>
      </c>
      <c r="H154" s="290">
        <v>1</v>
      </c>
      <c r="J154" s="281"/>
      <c r="K154" s="53"/>
      <c r="L154" s="288"/>
      <c r="M154" s="289"/>
    </row>
    <row r="155" spans="1:13">
      <c r="A155" s="21" t="s">
        <v>3386</v>
      </c>
      <c r="B155" s="21"/>
      <c r="C155" s="21" t="s">
        <v>3391</v>
      </c>
      <c r="D155" s="24" t="s">
        <v>3352</v>
      </c>
      <c r="E155" s="678">
        <v>247250</v>
      </c>
      <c r="F155" s="21">
        <f>IFERROR(ROUND(VLOOKUP(J155,DGNC,5,0)*K155,0),)</f>
        <v>0</v>
      </c>
      <c r="G155" s="21">
        <f>IFERROR(ROUND(VLOOKUP(L155,DGMTC,8,0)*M155,0),)</f>
        <v>0</v>
      </c>
      <c r="H155" s="290">
        <v>1</v>
      </c>
      <c r="J155" s="281"/>
      <c r="K155" s="53"/>
      <c r="L155" s="288"/>
      <c r="M155" s="289"/>
    </row>
    <row r="156" spans="1:13">
      <c r="A156" s="21" t="s">
        <v>3387</v>
      </c>
      <c r="B156" s="21"/>
      <c r="C156" s="21" t="s">
        <v>3390</v>
      </c>
      <c r="D156" s="24" t="s">
        <v>3352</v>
      </c>
      <c r="E156" s="678">
        <v>258750</v>
      </c>
      <c r="F156" s="21">
        <f>IFERROR(ROUND(VLOOKUP(J156,DGNC,5,0)*K156,0),)</f>
        <v>0</v>
      </c>
      <c r="G156" s="21">
        <f>IFERROR(ROUND(VLOOKUP(L156,DGMTC,8,0)*M156,0),)</f>
        <v>0</v>
      </c>
      <c r="H156" s="290">
        <v>1</v>
      </c>
      <c r="J156" s="281"/>
      <c r="K156" s="53"/>
      <c r="L156" s="288"/>
      <c r="M156" s="289"/>
    </row>
    <row r="157" spans="1:13">
      <c r="A157" s="21" t="s">
        <v>266</v>
      </c>
      <c r="B157" s="21"/>
      <c r="C157" s="21" t="s">
        <v>267</v>
      </c>
      <c r="D157" s="24" t="s">
        <v>146</v>
      </c>
      <c r="E157" s="478">
        <v>13320</v>
      </c>
      <c r="F157" s="21">
        <f t="shared" si="8"/>
        <v>0</v>
      </c>
      <c r="G157" s="21">
        <f t="shared" si="9"/>
        <v>0</v>
      </c>
      <c r="H157" s="290">
        <v>1</v>
      </c>
      <c r="J157" s="281"/>
      <c r="K157" s="53"/>
      <c r="L157" s="288"/>
      <c r="M157" s="289"/>
    </row>
    <row r="158" spans="1:13">
      <c r="A158" s="21" t="s">
        <v>268</v>
      </c>
      <c r="B158" s="21"/>
      <c r="C158" s="21" t="s">
        <v>269</v>
      </c>
      <c r="D158" s="24" t="s">
        <v>146</v>
      </c>
      <c r="E158" s="478">
        <v>15350</v>
      </c>
      <c r="F158" s="21">
        <f t="shared" si="8"/>
        <v>0</v>
      </c>
      <c r="G158" s="21">
        <f t="shared" si="9"/>
        <v>0</v>
      </c>
      <c r="H158" s="290">
        <v>1</v>
      </c>
      <c r="J158" s="281"/>
      <c r="K158" s="53"/>
      <c r="L158" s="288"/>
      <c r="M158" s="289"/>
    </row>
    <row r="159" spans="1:13">
      <c r="A159" s="21" t="s">
        <v>270</v>
      </c>
      <c r="B159" s="21"/>
      <c r="C159" s="21" t="s">
        <v>271</v>
      </c>
      <c r="D159" s="24" t="s">
        <v>11</v>
      </c>
      <c r="E159" s="478">
        <v>115000</v>
      </c>
      <c r="F159" s="21">
        <f t="shared" si="8"/>
        <v>0</v>
      </c>
      <c r="G159" s="21">
        <f t="shared" si="9"/>
        <v>0</v>
      </c>
      <c r="H159" s="290">
        <v>5</v>
      </c>
      <c r="J159" s="281"/>
      <c r="K159" s="53"/>
      <c r="L159" s="288"/>
      <c r="M159" s="289"/>
    </row>
    <row r="160" spans="1:13">
      <c r="A160" s="21" t="s">
        <v>272</v>
      </c>
      <c r="B160" s="21"/>
      <c r="C160" s="21" t="s">
        <v>273</v>
      </c>
      <c r="D160" s="24" t="s">
        <v>11</v>
      </c>
      <c r="E160" s="478">
        <v>117000</v>
      </c>
      <c r="F160" s="21">
        <f t="shared" si="8"/>
        <v>0</v>
      </c>
      <c r="G160" s="21">
        <f t="shared" si="9"/>
        <v>0</v>
      </c>
      <c r="H160" s="290">
        <v>5</v>
      </c>
      <c r="J160" s="281"/>
      <c r="K160" s="53"/>
      <c r="L160" s="288"/>
      <c r="M160" s="289"/>
    </row>
    <row r="161" spans="1:13">
      <c r="A161" s="21" t="s">
        <v>274</v>
      </c>
      <c r="B161" s="21"/>
      <c r="C161" s="21" t="s">
        <v>275</v>
      </c>
      <c r="D161" s="24" t="s">
        <v>11</v>
      </c>
      <c r="E161" s="478">
        <v>60000</v>
      </c>
      <c r="F161" s="21">
        <f t="shared" si="8"/>
        <v>0</v>
      </c>
      <c r="G161" s="21">
        <f t="shared" si="9"/>
        <v>0</v>
      </c>
      <c r="H161" s="290">
        <v>3</v>
      </c>
      <c r="J161" s="281"/>
      <c r="K161" s="53"/>
      <c r="L161" s="288"/>
      <c r="M161" s="289"/>
    </row>
    <row r="162" spans="1:13">
      <c r="A162" s="21" t="s">
        <v>2031</v>
      </c>
      <c r="B162" s="21"/>
      <c r="C162" s="21" t="s">
        <v>2032</v>
      </c>
      <c r="D162" s="24" t="s">
        <v>11</v>
      </c>
      <c r="E162" s="678">
        <v>38000</v>
      </c>
      <c r="F162" s="21">
        <f t="shared" si="8"/>
        <v>0</v>
      </c>
      <c r="G162" s="21">
        <f t="shared" si="9"/>
        <v>0</v>
      </c>
      <c r="H162" s="290">
        <v>0.4</v>
      </c>
      <c r="J162" s="281"/>
      <c r="K162" s="53"/>
      <c r="L162" s="288"/>
      <c r="M162" s="289"/>
    </row>
    <row r="163" spans="1:13">
      <c r="A163" s="21" t="s">
        <v>277</v>
      </c>
      <c r="B163" s="21"/>
      <c r="C163" s="21" t="s">
        <v>2033</v>
      </c>
      <c r="D163" s="24" t="s">
        <v>11</v>
      </c>
      <c r="E163" s="678">
        <v>48000</v>
      </c>
      <c r="F163" s="21">
        <f t="shared" si="8"/>
        <v>0</v>
      </c>
      <c r="G163" s="21">
        <f t="shared" si="9"/>
        <v>0</v>
      </c>
      <c r="H163" s="290">
        <v>0.2</v>
      </c>
      <c r="J163" s="281"/>
      <c r="K163" s="53"/>
      <c r="L163" s="288"/>
      <c r="M163" s="289"/>
    </row>
    <row r="164" spans="1:13">
      <c r="A164" s="21" t="s">
        <v>278</v>
      </c>
      <c r="B164" s="21"/>
      <c r="C164" s="21" t="s">
        <v>3224</v>
      </c>
      <c r="D164" s="24" t="s">
        <v>279</v>
      </c>
      <c r="E164" s="659">
        <v>130000</v>
      </c>
      <c r="F164" s="21">
        <f t="shared" si="8"/>
        <v>0</v>
      </c>
      <c r="G164" s="21">
        <f t="shared" si="9"/>
        <v>0</v>
      </c>
      <c r="H164" s="290">
        <v>5.3</v>
      </c>
      <c r="J164" s="281"/>
      <c r="K164" s="53"/>
      <c r="L164" s="288"/>
      <c r="M164" s="289"/>
    </row>
    <row r="165" spans="1:13">
      <c r="A165" s="21" t="s">
        <v>280</v>
      </c>
      <c r="B165" s="21"/>
      <c r="C165" s="21" t="s">
        <v>281</v>
      </c>
      <c r="D165" s="24" t="s">
        <v>24</v>
      </c>
      <c r="E165" s="659">
        <v>25000</v>
      </c>
      <c r="F165" s="21">
        <f t="shared" si="8"/>
        <v>0</v>
      </c>
      <c r="G165" s="21">
        <f t="shared" si="9"/>
        <v>0</v>
      </c>
      <c r="H165" s="290">
        <v>0.05</v>
      </c>
      <c r="J165" s="281"/>
      <c r="K165" s="53"/>
      <c r="L165" s="288"/>
      <c r="M165" s="289"/>
    </row>
    <row r="166" spans="1:13">
      <c r="A166" s="21" t="s">
        <v>2026</v>
      </c>
      <c r="B166" s="21"/>
      <c r="C166" s="21" t="s">
        <v>282</v>
      </c>
      <c r="D166" s="24" t="s">
        <v>11</v>
      </c>
      <c r="E166" s="678">
        <v>22000</v>
      </c>
      <c r="F166" s="21">
        <f t="shared" si="8"/>
        <v>0</v>
      </c>
      <c r="G166" s="21">
        <f t="shared" si="9"/>
        <v>0</v>
      </c>
      <c r="H166" s="290">
        <v>0.4</v>
      </c>
      <c r="J166" s="281"/>
      <c r="K166" s="53"/>
      <c r="L166" s="288"/>
      <c r="M166" s="289"/>
    </row>
    <row r="167" spans="1:13">
      <c r="A167" s="21" t="s">
        <v>1612</v>
      </c>
      <c r="B167" s="21"/>
      <c r="C167" s="21" t="s">
        <v>283</v>
      </c>
      <c r="D167" s="24" t="s">
        <v>11</v>
      </c>
      <c r="E167" s="678">
        <v>22000</v>
      </c>
      <c r="F167" s="21">
        <f t="shared" si="8"/>
        <v>0</v>
      </c>
      <c r="G167" s="21">
        <f t="shared" si="9"/>
        <v>0</v>
      </c>
      <c r="H167" s="290">
        <v>0.4</v>
      </c>
      <c r="J167" s="281"/>
      <c r="K167" s="53"/>
      <c r="L167" s="288"/>
      <c r="M167" s="289"/>
    </row>
    <row r="168" spans="1:13">
      <c r="A168" s="21" t="s">
        <v>2024</v>
      </c>
      <c r="B168" s="21"/>
      <c r="C168" s="21" t="s">
        <v>284</v>
      </c>
      <c r="D168" s="24" t="s">
        <v>11</v>
      </c>
      <c r="E168" s="678">
        <v>22000</v>
      </c>
      <c r="F168" s="21">
        <f t="shared" si="8"/>
        <v>0</v>
      </c>
      <c r="G168" s="21">
        <f t="shared" si="9"/>
        <v>0</v>
      </c>
      <c r="H168" s="290">
        <v>0.4</v>
      </c>
      <c r="J168" s="281"/>
      <c r="K168" s="53"/>
      <c r="L168" s="288"/>
      <c r="M168" s="289"/>
    </row>
    <row r="169" spans="1:13">
      <c r="A169" s="21" t="s">
        <v>2025</v>
      </c>
      <c r="B169" s="21"/>
      <c r="C169" s="21" t="s">
        <v>285</v>
      </c>
      <c r="D169" s="24" t="s">
        <v>11</v>
      </c>
      <c r="E169" s="678">
        <v>50000</v>
      </c>
      <c r="F169" s="21">
        <f t="shared" si="8"/>
        <v>0</v>
      </c>
      <c r="G169" s="21">
        <f t="shared" si="9"/>
        <v>0</v>
      </c>
      <c r="H169" s="290">
        <v>0.4</v>
      </c>
      <c r="J169" s="281"/>
      <c r="K169" s="53"/>
      <c r="L169" s="288"/>
      <c r="M169" s="289"/>
    </row>
    <row r="170" spans="1:13">
      <c r="A170" s="21" t="s">
        <v>1613</v>
      </c>
      <c r="B170" s="21"/>
      <c r="C170" s="21" t="s">
        <v>286</v>
      </c>
      <c r="D170" s="24" t="s">
        <v>11</v>
      </c>
      <c r="E170" s="659">
        <v>50000</v>
      </c>
      <c r="F170" s="21">
        <f t="shared" si="8"/>
        <v>0</v>
      </c>
      <c r="G170" s="21">
        <f t="shared" si="9"/>
        <v>0</v>
      </c>
      <c r="H170" s="290">
        <v>0.4</v>
      </c>
      <c r="J170" s="281"/>
      <c r="K170" s="53"/>
      <c r="L170" s="288"/>
      <c r="M170" s="289"/>
    </row>
    <row r="171" spans="1:13">
      <c r="A171" s="21" t="s">
        <v>1611</v>
      </c>
      <c r="B171" s="21"/>
      <c r="C171" s="21" t="s">
        <v>287</v>
      </c>
      <c r="D171" s="24" t="s">
        <v>11</v>
      </c>
      <c r="E171" s="659">
        <v>37000</v>
      </c>
      <c r="F171" s="21">
        <f t="shared" si="8"/>
        <v>0</v>
      </c>
      <c r="G171" s="21">
        <f t="shared" si="9"/>
        <v>0</v>
      </c>
      <c r="H171" s="290">
        <v>0.5</v>
      </c>
      <c r="J171" s="281"/>
      <c r="K171" s="53"/>
      <c r="L171" s="288"/>
      <c r="M171" s="289"/>
    </row>
    <row r="172" spans="1:13">
      <c r="A172" s="21" t="s">
        <v>290</v>
      </c>
      <c r="B172" s="21" t="s">
        <v>288</v>
      </c>
      <c r="C172" s="21" t="s">
        <v>291</v>
      </c>
      <c r="D172" s="24" t="s">
        <v>11</v>
      </c>
      <c r="E172" s="678">
        <v>58000</v>
      </c>
      <c r="F172" s="21">
        <f t="shared" si="8"/>
        <v>131725</v>
      </c>
      <c r="G172" s="21">
        <f t="shared" si="9"/>
        <v>0</v>
      </c>
      <c r="H172" s="290">
        <v>0</v>
      </c>
      <c r="J172" s="281" t="s">
        <v>289</v>
      </c>
      <c r="K172" s="53">
        <v>0.6</v>
      </c>
      <c r="L172" s="288"/>
      <c r="M172" s="289"/>
    </row>
    <row r="173" spans="1:13">
      <c r="A173" s="21" t="s">
        <v>292</v>
      </c>
      <c r="B173" s="21" t="s">
        <v>288</v>
      </c>
      <c r="C173" s="21" t="s">
        <v>293</v>
      </c>
      <c r="D173" s="24" t="s">
        <v>11</v>
      </c>
      <c r="E173" s="678">
        <v>58000</v>
      </c>
      <c r="F173" s="21">
        <f t="shared" si="8"/>
        <v>158070</v>
      </c>
      <c r="G173" s="21">
        <f t="shared" si="9"/>
        <v>0</v>
      </c>
      <c r="H173" s="290">
        <v>0</v>
      </c>
      <c r="J173" s="281" t="s">
        <v>289</v>
      </c>
      <c r="K173" s="53">
        <v>0.72</v>
      </c>
      <c r="L173" s="288"/>
      <c r="M173" s="289"/>
    </row>
    <row r="174" spans="1:13">
      <c r="A174" s="21" t="s">
        <v>294</v>
      </c>
      <c r="B174" s="21" t="s">
        <v>295</v>
      </c>
      <c r="C174" s="21" t="s">
        <v>296</v>
      </c>
      <c r="D174" s="24" t="s">
        <v>11</v>
      </c>
      <c r="E174" s="678">
        <v>58000</v>
      </c>
      <c r="F174" s="21">
        <f t="shared" si="8"/>
        <v>158070</v>
      </c>
      <c r="G174" s="21">
        <f t="shared" si="9"/>
        <v>0</v>
      </c>
      <c r="H174" s="290">
        <v>0</v>
      </c>
      <c r="J174" s="281" t="s">
        <v>289</v>
      </c>
      <c r="K174" s="53">
        <v>0.72</v>
      </c>
      <c r="L174" s="288"/>
      <c r="M174" s="289"/>
    </row>
    <row r="175" spans="1:13">
      <c r="A175" s="21" t="s">
        <v>297</v>
      </c>
      <c r="B175" s="21" t="s">
        <v>295</v>
      </c>
      <c r="C175" s="21" t="s">
        <v>298</v>
      </c>
      <c r="D175" s="24" t="s">
        <v>11</v>
      </c>
      <c r="E175" s="678">
        <v>74000</v>
      </c>
      <c r="F175" s="21">
        <f t="shared" si="8"/>
        <v>158070</v>
      </c>
      <c r="G175" s="21">
        <f t="shared" si="9"/>
        <v>0</v>
      </c>
      <c r="H175" s="290">
        <v>0</v>
      </c>
      <c r="J175" s="281" t="s">
        <v>289</v>
      </c>
      <c r="K175" s="53">
        <v>0.72</v>
      </c>
      <c r="L175" s="288"/>
      <c r="M175" s="289"/>
    </row>
    <row r="176" spans="1:13">
      <c r="A176" s="21" t="s">
        <v>299</v>
      </c>
      <c r="B176" s="21" t="s">
        <v>295</v>
      </c>
      <c r="C176" s="21" t="s">
        <v>300</v>
      </c>
      <c r="D176" s="24" t="s">
        <v>11</v>
      </c>
      <c r="E176" s="659">
        <v>85000</v>
      </c>
      <c r="F176" s="21">
        <f t="shared" si="8"/>
        <v>0</v>
      </c>
      <c r="G176" s="21">
        <f t="shared" si="9"/>
        <v>0</v>
      </c>
      <c r="H176" s="290">
        <v>0</v>
      </c>
      <c r="J176" s="281"/>
      <c r="K176" s="53"/>
      <c r="L176" s="288"/>
      <c r="M176" s="289"/>
    </row>
    <row r="177" spans="1:13">
      <c r="A177" s="21" t="s">
        <v>301</v>
      </c>
      <c r="B177" s="21" t="s">
        <v>302</v>
      </c>
      <c r="C177" s="21" t="s">
        <v>303</v>
      </c>
      <c r="D177" s="24" t="s">
        <v>11</v>
      </c>
      <c r="E177" s="478">
        <v>430000</v>
      </c>
      <c r="F177" s="21">
        <f>IFERROR(ROUND(VLOOKUP(J177,DGNC,5,0)*K177*1.5*0.6,0),)</f>
        <v>186523</v>
      </c>
      <c r="G177" s="21">
        <f t="shared" si="9"/>
        <v>0</v>
      </c>
      <c r="H177" s="290">
        <v>0.65</v>
      </c>
      <c r="J177" s="281" t="s">
        <v>289</v>
      </c>
      <c r="K177" s="53">
        <v>0.94399999999999995</v>
      </c>
      <c r="L177" s="288"/>
      <c r="M177" s="289"/>
    </row>
    <row r="178" spans="1:13">
      <c r="A178" s="21" t="s">
        <v>304</v>
      </c>
      <c r="B178" s="21" t="s">
        <v>302</v>
      </c>
      <c r="C178" s="21" t="s">
        <v>305</v>
      </c>
      <c r="D178" s="24" t="s">
        <v>11</v>
      </c>
      <c r="E178" s="478">
        <v>455000</v>
      </c>
      <c r="F178" s="21">
        <f>IFERROR(ROUND(VLOOKUP(J178,DGNC,5,0)*K178*1.5*0.6,0),)</f>
        <v>186523</v>
      </c>
      <c r="G178" s="21">
        <f t="shared" si="9"/>
        <v>0</v>
      </c>
      <c r="H178" s="290">
        <v>0.6</v>
      </c>
      <c r="J178" s="281" t="s">
        <v>289</v>
      </c>
      <c r="K178" s="53">
        <v>0.94399999999999995</v>
      </c>
      <c r="L178" s="288"/>
      <c r="M178" s="289"/>
    </row>
    <row r="179" spans="1:13">
      <c r="A179" s="21" t="s">
        <v>306</v>
      </c>
      <c r="B179" s="21"/>
      <c r="C179" s="21" t="s">
        <v>307</v>
      </c>
      <c r="D179" s="24" t="s">
        <v>11</v>
      </c>
      <c r="E179" s="679">
        <v>446000</v>
      </c>
      <c r="F179" s="21">
        <f t="shared" si="8"/>
        <v>0</v>
      </c>
      <c r="G179" s="21">
        <f t="shared" si="9"/>
        <v>0</v>
      </c>
      <c r="H179" s="290">
        <v>0.85</v>
      </c>
      <c r="J179" s="281"/>
      <c r="K179" s="53"/>
      <c r="L179" s="288"/>
      <c r="M179" s="289"/>
    </row>
    <row r="180" spans="1:13">
      <c r="A180" s="21" t="s">
        <v>310</v>
      </c>
      <c r="B180" s="21"/>
      <c r="C180" s="21" t="s">
        <v>311</v>
      </c>
      <c r="D180" s="24" t="s">
        <v>11</v>
      </c>
      <c r="E180" s="659"/>
      <c r="F180" s="21">
        <f t="shared" si="8"/>
        <v>0</v>
      </c>
      <c r="G180" s="21">
        <f t="shared" si="9"/>
        <v>0</v>
      </c>
      <c r="H180" s="290">
        <v>0</v>
      </c>
      <c r="J180" s="281"/>
      <c r="K180" s="53"/>
      <c r="L180" s="288"/>
      <c r="M180" s="289"/>
    </row>
    <row r="181" spans="1:13">
      <c r="A181" s="21" t="s">
        <v>312</v>
      </c>
      <c r="B181" s="21"/>
      <c r="C181" s="21" t="s">
        <v>313</v>
      </c>
      <c r="D181" s="24" t="s">
        <v>11</v>
      </c>
      <c r="E181" s="659"/>
      <c r="F181" s="21">
        <f t="shared" si="8"/>
        <v>0</v>
      </c>
      <c r="G181" s="21">
        <f t="shared" si="9"/>
        <v>0</v>
      </c>
      <c r="H181" s="290">
        <v>0</v>
      </c>
      <c r="J181" s="281"/>
      <c r="K181" s="53"/>
      <c r="L181" s="288"/>
      <c r="M181" s="289"/>
    </row>
    <row r="182" spans="1:13">
      <c r="A182" s="21" t="s">
        <v>314</v>
      </c>
      <c r="B182" s="21"/>
      <c r="C182" s="21" t="s">
        <v>315</v>
      </c>
      <c r="D182" s="24" t="s">
        <v>11</v>
      </c>
      <c r="E182" s="659"/>
      <c r="F182" s="21">
        <f t="shared" si="8"/>
        <v>0</v>
      </c>
      <c r="G182" s="21">
        <f t="shared" si="9"/>
        <v>0</v>
      </c>
      <c r="H182" s="290">
        <v>0</v>
      </c>
      <c r="J182" s="281"/>
      <c r="K182" s="53"/>
      <c r="L182" s="288"/>
      <c r="M182" s="289"/>
    </row>
    <row r="183" spans="1:13">
      <c r="A183" s="21" t="s">
        <v>316</v>
      </c>
      <c r="B183" s="21"/>
      <c r="C183" s="21" t="s">
        <v>317</v>
      </c>
      <c r="D183" s="24" t="s">
        <v>11</v>
      </c>
      <c r="E183" s="659"/>
      <c r="F183" s="21">
        <f t="shared" si="8"/>
        <v>0</v>
      </c>
      <c r="G183" s="21">
        <f t="shared" si="9"/>
        <v>0</v>
      </c>
      <c r="H183" s="290">
        <v>0</v>
      </c>
      <c r="J183" s="281"/>
      <c r="K183" s="53"/>
      <c r="L183" s="288"/>
      <c r="M183" s="289"/>
    </row>
    <row r="184" spans="1:13">
      <c r="A184" s="21" t="s">
        <v>318</v>
      </c>
      <c r="B184" s="21"/>
      <c r="C184" s="21" t="s">
        <v>319</v>
      </c>
      <c r="D184" s="24" t="s">
        <v>11</v>
      </c>
      <c r="E184" s="659"/>
      <c r="F184" s="21">
        <f t="shared" si="8"/>
        <v>0</v>
      </c>
      <c r="G184" s="21">
        <f t="shared" si="9"/>
        <v>0</v>
      </c>
      <c r="H184" s="290">
        <v>0</v>
      </c>
      <c r="J184" s="281"/>
      <c r="K184" s="53"/>
      <c r="L184" s="288"/>
      <c r="M184" s="289"/>
    </row>
    <row r="185" spans="1:13">
      <c r="A185" s="21" t="s">
        <v>320</v>
      </c>
      <c r="B185" s="21"/>
      <c r="C185" s="21" t="s">
        <v>1375</v>
      </c>
      <c r="D185" s="24" t="s">
        <v>11</v>
      </c>
      <c r="E185" s="659"/>
      <c r="F185" s="21">
        <f t="shared" si="8"/>
        <v>0</v>
      </c>
      <c r="G185" s="21">
        <f t="shared" si="9"/>
        <v>0</v>
      </c>
      <c r="H185" s="290">
        <v>0.2</v>
      </c>
      <c r="J185" s="281"/>
      <c r="K185" s="53"/>
      <c r="L185" s="288"/>
      <c r="M185" s="289"/>
    </row>
    <row r="186" spans="1:13">
      <c r="A186" s="21" t="s">
        <v>321</v>
      </c>
      <c r="B186" s="21"/>
      <c r="C186" s="21" t="s">
        <v>322</v>
      </c>
      <c r="D186" s="24" t="s">
        <v>11</v>
      </c>
      <c r="E186" s="659"/>
      <c r="F186" s="21">
        <f t="shared" si="8"/>
        <v>0</v>
      </c>
      <c r="G186" s="21">
        <f t="shared" si="9"/>
        <v>0</v>
      </c>
      <c r="H186" s="290">
        <v>0.2</v>
      </c>
      <c r="J186" s="281"/>
      <c r="K186" s="53"/>
      <c r="L186" s="288"/>
      <c r="M186" s="289"/>
    </row>
    <row r="187" spans="1:13">
      <c r="A187" s="21" t="s">
        <v>323</v>
      </c>
      <c r="B187" s="21"/>
      <c r="C187" s="21" t="s">
        <v>324</v>
      </c>
      <c r="D187" s="24" t="s">
        <v>11</v>
      </c>
      <c r="E187" s="678">
        <v>10000</v>
      </c>
      <c r="F187" s="21">
        <f t="shared" si="8"/>
        <v>0</v>
      </c>
      <c r="G187" s="21">
        <f t="shared" si="9"/>
        <v>0</v>
      </c>
      <c r="H187" s="290">
        <v>0.2</v>
      </c>
      <c r="J187" s="281"/>
      <c r="K187" s="53"/>
      <c r="L187" s="288"/>
      <c r="M187" s="289"/>
    </row>
    <row r="188" spans="1:13">
      <c r="A188" s="21" t="s">
        <v>325</v>
      </c>
      <c r="B188" s="21"/>
      <c r="C188" s="21" t="s">
        <v>326</v>
      </c>
      <c r="D188" s="24" t="s">
        <v>11</v>
      </c>
      <c r="E188" s="659">
        <v>14700</v>
      </c>
      <c r="F188" s="21">
        <f t="shared" si="8"/>
        <v>0</v>
      </c>
      <c r="G188" s="21">
        <f t="shared" si="9"/>
        <v>0</v>
      </c>
      <c r="H188" s="290">
        <v>0.2</v>
      </c>
      <c r="J188" s="281"/>
      <c r="K188" s="53"/>
      <c r="L188" s="288"/>
      <c r="M188" s="289"/>
    </row>
    <row r="189" spans="1:13">
      <c r="A189" s="21" t="s">
        <v>327</v>
      </c>
      <c r="B189" s="21"/>
      <c r="C189" s="21" t="s">
        <v>328</v>
      </c>
      <c r="D189" s="24" t="s">
        <v>11</v>
      </c>
      <c r="E189" s="659">
        <v>14700</v>
      </c>
      <c r="F189" s="21">
        <f t="shared" si="8"/>
        <v>0</v>
      </c>
      <c r="G189" s="21">
        <f t="shared" si="9"/>
        <v>0</v>
      </c>
      <c r="H189" s="290">
        <v>0.2</v>
      </c>
      <c r="J189" s="281"/>
      <c r="K189" s="53"/>
      <c r="L189" s="288"/>
      <c r="M189" s="289"/>
    </row>
    <row r="190" spans="1:13">
      <c r="A190" s="21" t="s">
        <v>329</v>
      </c>
      <c r="B190" s="21"/>
      <c r="C190" s="21" t="s">
        <v>330</v>
      </c>
      <c r="D190" s="24" t="s">
        <v>11</v>
      </c>
      <c r="E190" s="659">
        <v>18900</v>
      </c>
      <c r="F190" s="21">
        <f t="shared" si="8"/>
        <v>0</v>
      </c>
      <c r="G190" s="21">
        <f t="shared" si="9"/>
        <v>0</v>
      </c>
      <c r="H190" s="290">
        <v>0.2</v>
      </c>
      <c r="J190" s="281"/>
      <c r="K190" s="53"/>
      <c r="L190" s="288"/>
      <c r="M190" s="289"/>
    </row>
    <row r="191" spans="1:13">
      <c r="A191" s="21" t="s">
        <v>331</v>
      </c>
      <c r="B191" s="21"/>
      <c r="C191" s="21" t="s">
        <v>332</v>
      </c>
      <c r="D191" s="24" t="s">
        <v>11</v>
      </c>
      <c r="E191" s="659">
        <v>29000</v>
      </c>
      <c r="F191" s="21">
        <f t="shared" si="8"/>
        <v>0</v>
      </c>
      <c r="G191" s="21">
        <f t="shared" si="9"/>
        <v>0</v>
      </c>
      <c r="H191" s="290">
        <v>0.2</v>
      </c>
      <c r="J191" s="281"/>
      <c r="K191" s="53"/>
      <c r="L191" s="288"/>
      <c r="M191" s="289"/>
    </row>
    <row r="192" spans="1:13">
      <c r="A192" s="21" t="s">
        <v>333</v>
      </c>
      <c r="B192" s="21"/>
      <c r="C192" s="21" t="s">
        <v>334</v>
      </c>
      <c r="D192" s="24" t="s">
        <v>11</v>
      </c>
      <c r="E192" s="659">
        <v>29000</v>
      </c>
      <c r="F192" s="21">
        <f t="shared" si="8"/>
        <v>0</v>
      </c>
      <c r="G192" s="21">
        <f t="shared" si="9"/>
        <v>0</v>
      </c>
      <c r="H192" s="290">
        <v>0.2</v>
      </c>
      <c r="J192" s="281"/>
      <c r="K192" s="53"/>
      <c r="L192" s="288"/>
      <c r="M192" s="289"/>
    </row>
    <row r="193" spans="1:13">
      <c r="A193" s="21" t="s">
        <v>335</v>
      </c>
      <c r="B193" s="21"/>
      <c r="C193" s="21" t="s">
        <v>336</v>
      </c>
      <c r="D193" s="24" t="s">
        <v>11</v>
      </c>
      <c r="E193" s="659">
        <v>42000</v>
      </c>
      <c r="F193" s="21">
        <f t="shared" si="8"/>
        <v>0</v>
      </c>
      <c r="G193" s="21">
        <f t="shared" si="9"/>
        <v>0</v>
      </c>
      <c r="H193" s="290">
        <v>0.2</v>
      </c>
      <c r="J193" s="281"/>
      <c r="K193" s="53"/>
      <c r="L193" s="288"/>
      <c r="M193" s="289"/>
    </row>
    <row r="194" spans="1:13">
      <c r="A194" s="21" t="s">
        <v>1509</v>
      </c>
      <c r="B194" s="21" t="s">
        <v>337</v>
      </c>
      <c r="C194" s="21" t="s">
        <v>338</v>
      </c>
      <c r="D194" s="24" t="s">
        <v>11</v>
      </c>
      <c r="E194" s="659">
        <v>78000</v>
      </c>
      <c r="F194" s="21">
        <f t="shared" si="8"/>
        <v>87817</v>
      </c>
      <c r="G194" s="21">
        <f t="shared" si="9"/>
        <v>0</v>
      </c>
      <c r="H194" s="290">
        <v>0.3</v>
      </c>
      <c r="J194" s="281" t="s">
        <v>289</v>
      </c>
      <c r="K194" s="53">
        <v>0.4</v>
      </c>
      <c r="L194" s="288"/>
      <c r="M194" s="289"/>
    </row>
    <row r="195" spans="1:13">
      <c r="A195" s="21" t="s">
        <v>1507</v>
      </c>
      <c r="B195" s="21" t="s">
        <v>337</v>
      </c>
      <c r="C195" s="21" t="s">
        <v>339</v>
      </c>
      <c r="D195" s="24" t="s">
        <v>11</v>
      </c>
      <c r="E195" s="678">
        <v>145000</v>
      </c>
      <c r="F195" s="21">
        <f t="shared" si="8"/>
        <v>87817</v>
      </c>
      <c r="G195" s="21">
        <f t="shared" si="9"/>
        <v>0</v>
      </c>
      <c r="H195" s="290">
        <v>0.3</v>
      </c>
      <c r="J195" s="281" t="s">
        <v>289</v>
      </c>
      <c r="K195" s="53">
        <v>0.4</v>
      </c>
      <c r="L195" s="288"/>
      <c r="M195" s="289"/>
    </row>
    <row r="196" spans="1:13">
      <c r="A196" s="21" t="s">
        <v>1511</v>
      </c>
      <c r="B196" s="21"/>
      <c r="C196" s="21" t="s">
        <v>340</v>
      </c>
      <c r="D196" s="24" t="s">
        <v>11</v>
      </c>
      <c r="E196" s="678">
        <v>122000</v>
      </c>
      <c r="F196" s="21">
        <f t="shared" si="8"/>
        <v>0</v>
      </c>
      <c r="G196" s="21">
        <f t="shared" si="9"/>
        <v>0</v>
      </c>
      <c r="H196" s="290">
        <v>0.2</v>
      </c>
      <c r="J196" s="281"/>
      <c r="K196" s="53"/>
      <c r="L196" s="288"/>
      <c r="M196" s="289"/>
    </row>
    <row r="197" spans="1:13">
      <c r="A197" s="21" t="s">
        <v>1508</v>
      </c>
      <c r="B197" s="21" t="s">
        <v>341</v>
      </c>
      <c r="C197" s="21" t="s">
        <v>342</v>
      </c>
      <c r="D197" s="24" t="s">
        <v>11</v>
      </c>
      <c r="E197" s="678">
        <v>68000</v>
      </c>
      <c r="F197" s="21">
        <f t="shared" si="8"/>
        <v>109771</v>
      </c>
      <c r="G197" s="21">
        <f t="shared" si="9"/>
        <v>0</v>
      </c>
      <c r="H197" s="290">
        <v>0.1</v>
      </c>
      <c r="J197" s="281" t="s">
        <v>289</v>
      </c>
      <c r="K197" s="53">
        <v>0.5</v>
      </c>
      <c r="L197" s="288"/>
      <c r="M197" s="289"/>
    </row>
    <row r="198" spans="1:13">
      <c r="A198" s="21" t="s">
        <v>1510</v>
      </c>
      <c r="B198" s="21" t="s">
        <v>341</v>
      </c>
      <c r="C198" s="21" t="s">
        <v>343</v>
      </c>
      <c r="D198" s="24" t="s">
        <v>11</v>
      </c>
      <c r="E198" s="678">
        <v>94000</v>
      </c>
      <c r="F198" s="21">
        <f t="shared" si="8"/>
        <v>109771</v>
      </c>
      <c r="G198" s="21">
        <f t="shared" si="9"/>
        <v>0</v>
      </c>
      <c r="H198" s="290">
        <v>0.1</v>
      </c>
      <c r="J198" s="281" t="s">
        <v>289</v>
      </c>
      <c r="K198" s="53">
        <v>0.5</v>
      </c>
      <c r="L198" s="288"/>
      <c r="M198" s="289"/>
    </row>
    <row r="199" spans="1:13">
      <c r="A199" s="21" t="s">
        <v>345</v>
      </c>
      <c r="B199" s="21"/>
      <c r="C199" s="21" t="s">
        <v>346</v>
      </c>
      <c r="D199" s="24" t="s">
        <v>11</v>
      </c>
      <c r="E199" s="678">
        <v>55000</v>
      </c>
      <c r="F199" s="21">
        <f t="shared" si="8"/>
        <v>0</v>
      </c>
      <c r="G199" s="21">
        <f t="shared" si="9"/>
        <v>0</v>
      </c>
      <c r="H199" s="290">
        <v>0.5</v>
      </c>
      <c r="J199" s="281"/>
      <c r="K199" s="53"/>
      <c r="L199" s="288"/>
      <c r="M199" s="289"/>
    </row>
    <row r="200" spans="1:13">
      <c r="A200" s="21" t="s">
        <v>347</v>
      </c>
      <c r="B200" s="21"/>
      <c r="C200" s="21" t="s">
        <v>1376</v>
      </c>
      <c r="D200" s="24" t="s">
        <v>11</v>
      </c>
      <c r="E200" s="678">
        <v>55000</v>
      </c>
      <c r="F200" s="21">
        <f t="shared" si="8"/>
        <v>0</v>
      </c>
      <c r="G200" s="21">
        <f t="shared" si="9"/>
        <v>0</v>
      </c>
      <c r="H200" s="290">
        <v>0.5</v>
      </c>
      <c r="J200" s="281"/>
      <c r="K200" s="53"/>
      <c r="L200" s="288"/>
      <c r="M200" s="289"/>
    </row>
    <row r="201" spans="1:13">
      <c r="A201" s="21" t="s">
        <v>348</v>
      </c>
      <c r="B201" s="21"/>
      <c r="C201" s="21" t="s">
        <v>349</v>
      </c>
      <c r="D201" s="24" t="s">
        <v>11</v>
      </c>
      <c r="E201" s="659">
        <v>126000</v>
      </c>
      <c r="F201" s="21">
        <f t="shared" si="8"/>
        <v>0</v>
      </c>
      <c r="G201" s="21">
        <f t="shared" si="9"/>
        <v>0</v>
      </c>
      <c r="H201" s="290">
        <v>0.5</v>
      </c>
      <c r="J201" s="281"/>
      <c r="K201" s="53"/>
      <c r="L201" s="288"/>
      <c r="M201" s="289"/>
    </row>
    <row r="202" spans="1:13">
      <c r="A202" s="21" t="s">
        <v>350</v>
      </c>
      <c r="B202" s="21"/>
      <c r="C202" s="21" t="s">
        <v>351</v>
      </c>
      <c r="D202" s="24" t="s">
        <v>11</v>
      </c>
      <c r="E202" s="659">
        <v>126000</v>
      </c>
      <c r="F202" s="21">
        <f t="shared" si="8"/>
        <v>0</v>
      </c>
      <c r="G202" s="21">
        <f t="shared" si="9"/>
        <v>0</v>
      </c>
      <c r="H202" s="290">
        <v>0.5</v>
      </c>
      <c r="J202" s="281"/>
      <c r="K202" s="53"/>
      <c r="L202" s="288"/>
      <c r="M202" s="289"/>
    </row>
    <row r="203" spans="1:13">
      <c r="A203" s="21" t="s">
        <v>352</v>
      </c>
      <c r="B203" s="21"/>
      <c r="C203" s="21" t="s">
        <v>1377</v>
      </c>
      <c r="D203" s="24" t="s">
        <v>11</v>
      </c>
      <c r="E203" s="659">
        <v>170000</v>
      </c>
      <c r="F203" s="21">
        <f t="shared" si="8"/>
        <v>0</v>
      </c>
      <c r="G203" s="21">
        <f t="shared" si="9"/>
        <v>0</v>
      </c>
      <c r="H203" s="290">
        <v>0.5</v>
      </c>
      <c r="J203" s="281"/>
      <c r="K203" s="53"/>
      <c r="L203" s="288"/>
      <c r="M203" s="289"/>
    </row>
    <row r="204" spans="1:13">
      <c r="A204" s="21" t="s">
        <v>353</v>
      </c>
      <c r="B204" s="21"/>
      <c r="C204" s="21" t="s">
        <v>1378</v>
      </c>
      <c r="D204" s="24" t="s">
        <v>11</v>
      </c>
      <c r="E204" s="659">
        <v>170000</v>
      </c>
      <c r="F204" s="21">
        <f t="shared" si="8"/>
        <v>0</v>
      </c>
      <c r="G204" s="21">
        <f t="shared" si="9"/>
        <v>0</v>
      </c>
      <c r="H204" s="290">
        <v>0.5</v>
      </c>
      <c r="J204" s="281"/>
      <c r="K204" s="53"/>
      <c r="L204" s="288"/>
      <c r="M204" s="289"/>
    </row>
    <row r="205" spans="1:13">
      <c r="A205" s="21" t="s">
        <v>354</v>
      </c>
      <c r="B205" s="21"/>
      <c r="C205" s="21" t="s">
        <v>2035</v>
      </c>
      <c r="D205" s="24" t="s">
        <v>11</v>
      </c>
      <c r="E205" s="659">
        <v>170000</v>
      </c>
      <c r="F205" s="21">
        <f t="shared" si="8"/>
        <v>0</v>
      </c>
      <c r="G205" s="21">
        <f t="shared" si="9"/>
        <v>0</v>
      </c>
      <c r="H205" s="290">
        <v>0.5</v>
      </c>
      <c r="J205" s="281"/>
      <c r="K205" s="53"/>
      <c r="L205" s="288"/>
      <c r="M205" s="289"/>
    </row>
    <row r="206" spans="1:13">
      <c r="A206" s="21" t="s">
        <v>355</v>
      </c>
      <c r="B206" s="21"/>
      <c r="C206" s="21" t="s">
        <v>356</v>
      </c>
      <c r="D206" s="24" t="s">
        <v>24</v>
      </c>
      <c r="E206" s="659">
        <f>460000+19000+19000</f>
        <v>498000</v>
      </c>
      <c r="F206" s="21">
        <f t="shared" si="8"/>
        <v>0</v>
      </c>
      <c r="G206" s="21">
        <f t="shared" si="9"/>
        <v>0</v>
      </c>
      <c r="H206" s="290">
        <v>0.5</v>
      </c>
      <c r="J206" s="281"/>
      <c r="K206" s="53"/>
      <c r="L206" s="288"/>
      <c r="M206" s="289"/>
    </row>
    <row r="207" spans="1:13">
      <c r="A207" s="21" t="s">
        <v>357</v>
      </c>
      <c r="B207" s="21"/>
      <c r="C207" s="21" t="s">
        <v>358</v>
      </c>
      <c r="D207" s="24" t="s">
        <v>24</v>
      </c>
      <c r="E207" s="659">
        <f>300000+19000+19000</f>
        <v>338000</v>
      </c>
      <c r="F207" s="21">
        <f t="shared" si="8"/>
        <v>0</v>
      </c>
      <c r="G207" s="21">
        <f t="shared" si="9"/>
        <v>0</v>
      </c>
      <c r="H207" s="290">
        <v>0.5</v>
      </c>
      <c r="J207" s="281"/>
      <c r="K207" s="53"/>
      <c r="L207" s="288"/>
      <c r="M207" s="289"/>
    </row>
    <row r="208" spans="1:13">
      <c r="A208" s="21" t="s">
        <v>359</v>
      </c>
      <c r="B208" s="21"/>
      <c r="C208" s="21" t="s">
        <v>360</v>
      </c>
      <c r="D208" s="24" t="s">
        <v>24</v>
      </c>
      <c r="E208" s="659">
        <f>300000+19000+19000</f>
        <v>338000</v>
      </c>
      <c r="F208" s="21">
        <f t="shared" si="8"/>
        <v>0</v>
      </c>
      <c r="G208" s="21">
        <f t="shared" si="9"/>
        <v>0</v>
      </c>
      <c r="H208" s="290">
        <v>0.5</v>
      </c>
      <c r="J208" s="281"/>
      <c r="K208" s="53"/>
      <c r="L208" s="288"/>
      <c r="M208" s="289"/>
    </row>
    <row r="209" spans="1:13">
      <c r="A209" s="21" t="s">
        <v>361</v>
      </c>
      <c r="B209" s="21"/>
      <c r="C209" s="21" t="s">
        <v>362</v>
      </c>
      <c r="D209" s="24" t="s">
        <v>24</v>
      </c>
      <c r="E209" s="659">
        <f>300000+19000+19000</f>
        <v>338000</v>
      </c>
      <c r="F209" s="21">
        <f t="shared" si="8"/>
        <v>0</v>
      </c>
      <c r="G209" s="21">
        <f t="shared" si="9"/>
        <v>0</v>
      </c>
      <c r="H209" s="290">
        <v>0.5</v>
      </c>
      <c r="J209" s="281"/>
      <c r="K209" s="53"/>
      <c r="L209" s="288"/>
      <c r="M209" s="289"/>
    </row>
    <row r="210" spans="1:13">
      <c r="A210" s="21" t="s">
        <v>363</v>
      </c>
      <c r="B210" s="21"/>
      <c r="C210" s="21" t="s">
        <v>364</v>
      </c>
      <c r="D210" s="24" t="s">
        <v>24</v>
      </c>
      <c r="E210" s="678">
        <f>368000+34500*2</f>
        <v>437000</v>
      </c>
      <c r="F210" s="21">
        <f t="shared" ref="F210:F284" si="10">IFERROR(ROUND(VLOOKUP(J210,DGNC,5,0)*K210,0),)</f>
        <v>0</v>
      </c>
      <c r="G210" s="21">
        <f t="shared" ref="G210:G284" si="11">IFERROR(ROUND(VLOOKUP(L210,DGMTC,8,0)*M210,0),)</f>
        <v>0</v>
      </c>
      <c r="H210" s="290">
        <v>0.5</v>
      </c>
      <c r="J210" s="281"/>
      <c r="K210" s="53"/>
      <c r="L210" s="288"/>
      <c r="M210" s="289"/>
    </row>
    <row r="211" spans="1:13">
      <c r="A211" s="21" t="s">
        <v>365</v>
      </c>
      <c r="B211" s="21"/>
      <c r="C211" s="21" t="s">
        <v>366</v>
      </c>
      <c r="D211" s="24" t="s">
        <v>24</v>
      </c>
      <c r="E211" s="678">
        <f>368000+34500*2</f>
        <v>437000</v>
      </c>
      <c r="F211" s="21">
        <f t="shared" si="10"/>
        <v>0</v>
      </c>
      <c r="G211" s="21">
        <f t="shared" si="11"/>
        <v>0</v>
      </c>
      <c r="H211" s="290">
        <v>0.5</v>
      </c>
      <c r="J211" s="281"/>
      <c r="K211" s="53"/>
      <c r="L211" s="288"/>
      <c r="M211" s="289"/>
    </row>
    <row r="212" spans="1:13">
      <c r="A212" s="21" t="s">
        <v>367</v>
      </c>
      <c r="B212" s="21"/>
      <c r="C212" s="21" t="s">
        <v>368</v>
      </c>
      <c r="D212" s="24" t="s">
        <v>24</v>
      </c>
      <c r="E212" s="678">
        <f>339250+34500*2</f>
        <v>408250</v>
      </c>
      <c r="F212" s="21">
        <f t="shared" si="10"/>
        <v>0</v>
      </c>
      <c r="G212" s="21">
        <f t="shared" si="11"/>
        <v>0</v>
      </c>
      <c r="H212" s="290">
        <v>0.5</v>
      </c>
      <c r="J212" s="281"/>
      <c r="K212" s="53"/>
      <c r="L212" s="288"/>
      <c r="M212" s="289"/>
    </row>
    <row r="213" spans="1:13">
      <c r="A213" s="21" t="s">
        <v>369</v>
      </c>
      <c r="B213" s="21"/>
      <c r="C213" s="21" t="s">
        <v>370</v>
      </c>
      <c r="D213" s="24" t="s">
        <v>11</v>
      </c>
      <c r="E213" s="678">
        <v>34500</v>
      </c>
      <c r="F213" s="21">
        <f t="shared" si="10"/>
        <v>0</v>
      </c>
      <c r="G213" s="21">
        <f t="shared" si="11"/>
        <v>0</v>
      </c>
      <c r="H213" s="290">
        <v>0.1</v>
      </c>
      <c r="J213" s="281"/>
      <c r="K213" s="53"/>
      <c r="L213" s="288"/>
      <c r="M213" s="289"/>
    </row>
    <row r="214" spans="1:13">
      <c r="A214" s="21" t="s">
        <v>371</v>
      </c>
      <c r="B214" s="21"/>
      <c r="C214" s="21" t="s">
        <v>372</v>
      </c>
      <c r="D214" s="24" t="s">
        <v>11</v>
      </c>
      <c r="E214" s="678">
        <v>34500</v>
      </c>
      <c r="F214" s="21">
        <f t="shared" si="10"/>
        <v>0</v>
      </c>
      <c r="G214" s="21">
        <f t="shared" si="11"/>
        <v>0</v>
      </c>
      <c r="H214" s="290">
        <v>0.1</v>
      </c>
      <c r="J214" s="281"/>
      <c r="K214" s="53"/>
      <c r="L214" s="288"/>
      <c r="M214" s="289"/>
    </row>
    <row r="215" spans="1:13">
      <c r="A215" s="21" t="s">
        <v>373</v>
      </c>
      <c r="B215" s="21"/>
      <c r="C215" s="21" t="s">
        <v>2034</v>
      </c>
      <c r="D215" s="24" t="s">
        <v>11</v>
      </c>
      <c r="E215" s="659">
        <v>120000</v>
      </c>
      <c r="F215" s="21">
        <f t="shared" si="10"/>
        <v>0</v>
      </c>
      <c r="G215" s="21">
        <f t="shared" si="11"/>
        <v>0</v>
      </c>
      <c r="H215" s="290">
        <v>0.4</v>
      </c>
      <c r="J215" s="281"/>
      <c r="K215" s="53"/>
      <c r="L215" s="288"/>
      <c r="M215" s="289"/>
    </row>
    <row r="216" spans="1:13">
      <c r="A216" s="21" t="s">
        <v>374</v>
      </c>
      <c r="B216" s="21"/>
      <c r="C216" s="21" t="s">
        <v>375</v>
      </c>
      <c r="D216" s="24" t="s">
        <v>11</v>
      </c>
      <c r="E216" s="659">
        <v>25000</v>
      </c>
      <c r="F216" s="21">
        <f t="shared" si="10"/>
        <v>0</v>
      </c>
      <c r="G216" s="21">
        <f t="shared" si="11"/>
        <v>0</v>
      </c>
      <c r="H216" s="290">
        <v>0.5</v>
      </c>
      <c r="J216" s="281"/>
      <c r="K216" s="53"/>
      <c r="L216" s="288"/>
      <c r="M216" s="289"/>
    </row>
    <row r="217" spans="1:13">
      <c r="A217" s="21" t="s">
        <v>376</v>
      </c>
      <c r="B217" s="21"/>
      <c r="C217" s="21" t="s">
        <v>377</v>
      </c>
      <c r="D217" s="24" t="s">
        <v>11</v>
      </c>
      <c r="E217" s="659">
        <v>25000</v>
      </c>
      <c r="F217" s="21">
        <f t="shared" si="10"/>
        <v>0</v>
      </c>
      <c r="G217" s="21">
        <f t="shared" si="11"/>
        <v>0</v>
      </c>
      <c r="H217" s="290">
        <v>0.3</v>
      </c>
      <c r="J217" s="281"/>
      <c r="K217" s="53"/>
      <c r="L217" s="288"/>
      <c r="M217" s="289"/>
    </row>
    <row r="218" spans="1:13">
      <c r="A218" s="21" t="s">
        <v>3425</v>
      </c>
      <c r="B218" s="21"/>
      <c r="C218" s="21" t="s">
        <v>3547</v>
      </c>
      <c r="D218" s="24" t="s">
        <v>11</v>
      </c>
      <c r="E218" s="659">
        <v>160000</v>
      </c>
      <c r="F218" s="21">
        <f>IFERROR(ROUND(VLOOKUP(J218,DGNC,5,0)*K218,0),)</f>
        <v>0</v>
      </c>
      <c r="G218" s="21">
        <f>IFERROR(ROUND(VLOOKUP(L218,DGMTC,8,0)*M218,0),)</f>
        <v>0</v>
      </c>
      <c r="H218" s="290">
        <v>0.3</v>
      </c>
      <c r="J218" s="281"/>
      <c r="K218" s="53"/>
      <c r="L218" s="288"/>
      <c r="M218" s="289"/>
    </row>
    <row r="219" spans="1:13">
      <c r="A219" s="21" t="s">
        <v>383</v>
      </c>
      <c r="B219" s="21"/>
      <c r="C219" s="21" t="s">
        <v>384</v>
      </c>
      <c r="D219" s="24" t="s">
        <v>11</v>
      </c>
      <c r="E219" s="678">
        <v>34000</v>
      </c>
      <c r="F219" s="21">
        <f t="shared" si="10"/>
        <v>0</v>
      </c>
      <c r="G219" s="21">
        <f t="shared" si="11"/>
        <v>0</v>
      </c>
      <c r="H219" s="290">
        <v>0.3</v>
      </c>
      <c r="J219" s="281"/>
      <c r="K219" s="53"/>
      <c r="L219" s="288"/>
      <c r="M219" s="289"/>
    </row>
    <row r="220" spans="1:13">
      <c r="A220" s="21" t="s">
        <v>385</v>
      </c>
      <c r="B220" s="21"/>
      <c r="C220" s="21" t="s">
        <v>386</v>
      </c>
      <c r="D220" s="24" t="s">
        <v>11</v>
      </c>
      <c r="E220" s="678">
        <v>36000</v>
      </c>
      <c r="F220" s="21">
        <f t="shared" si="10"/>
        <v>0</v>
      </c>
      <c r="G220" s="21">
        <f t="shared" si="11"/>
        <v>0</v>
      </c>
      <c r="H220" s="290">
        <v>0</v>
      </c>
      <c r="J220" s="281"/>
      <c r="K220" s="53"/>
      <c r="L220" s="288"/>
      <c r="M220" s="289"/>
    </row>
    <row r="221" spans="1:13">
      <c r="A221" s="21" t="s">
        <v>387</v>
      </c>
      <c r="B221" s="21"/>
      <c r="C221" s="21" t="s">
        <v>3291</v>
      </c>
      <c r="D221" s="24" t="s">
        <v>11</v>
      </c>
      <c r="E221" s="678">
        <v>36000</v>
      </c>
      <c r="F221" s="21">
        <f t="shared" si="10"/>
        <v>0</v>
      </c>
      <c r="G221" s="21">
        <f t="shared" si="11"/>
        <v>0</v>
      </c>
      <c r="H221" s="290">
        <v>0</v>
      </c>
      <c r="J221" s="281"/>
      <c r="K221" s="53"/>
      <c r="L221" s="288"/>
      <c r="M221" s="289"/>
    </row>
    <row r="222" spans="1:13">
      <c r="A222" s="21" t="s">
        <v>2027</v>
      </c>
      <c r="B222" s="21"/>
      <c r="C222" s="21" t="s">
        <v>2028</v>
      </c>
      <c r="D222" s="24" t="s">
        <v>11</v>
      </c>
      <c r="E222" s="659"/>
      <c r="F222" s="21">
        <f t="shared" si="10"/>
        <v>0</v>
      </c>
      <c r="G222" s="21">
        <f t="shared" si="11"/>
        <v>0</v>
      </c>
      <c r="H222" s="290">
        <v>0</v>
      </c>
      <c r="J222" s="281"/>
      <c r="K222" s="53"/>
      <c r="L222" s="288"/>
      <c r="M222" s="289"/>
    </row>
    <row r="223" spans="1:13">
      <c r="A223" s="21" t="s">
        <v>388</v>
      </c>
      <c r="B223" s="21" t="s">
        <v>382</v>
      </c>
      <c r="C223" s="21" t="s">
        <v>2969</v>
      </c>
      <c r="D223" s="24" t="s">
        <v>11</v>
      </c>
      <c r="E223" s="678">
        <v>35000</v>
      </c>
      <c r="F223" s="21">
        <f t="shared" si="10"/>
        <v>259649</v>
      </c>
      <c r="G223" s="21">
        <f t="shared" si="11"/>
        <v>4713</v>
      </c>
      <c r="H223" s="290">
        <v>2</v>
      </c>
      <c r="J223" s="281" t="s">
        <v>379</v>
      </c>
      <c r="K223" s="53">
        <v>0.93</v>
      </c>
      <c r="L223" s="288" t="s">
        <v>380</v>
      </c>
      <c r="M223" s="289">
        <v>0.08</v>
      </c>
    </row>
    <row r="224" spans="1:13">
      <c r="A224" s="21" t="s">
        <v>389</v>
      </c>
      <c r="B224" s="21" t="s">
        <v>382</v>
      </c>
      <c r="C224" s="21" t="s">
        <v>2970</v>
      </c>
      <c r="D224" s="24" t="s">
        <v>11</v>
      </c>
      <c r="E224" s="678">
        <v>42000</v>
      </c>
      <c r="F224" s="21">
        <f t="shared" si="10"/>
        <v>259649</v>
      </c>
      <c r="G224" s="21">
        <f t="shared" si="11"/>
        <v>4713</v>
      </c>
      <c r="H224" s="290">
        <v>2</v>
      </c>
      <c r="J224" s="281" t="s">
        <v>379</v>
      </c>
      <c r="K224" s="53">
        <v>0.93</v>
      </c>
      <c r="L224" s="288" t="s">
        <v>380</v>
      </c>
      <c r="M224" s="289">
        <v>0.08</v>
      </c>
    </row>
    <row r="225" spans="1:13">
      <c r="A225" s="21" t="s">
        <v>390</v>
      </c>
      <c r="B225" s="21" t="s">
        <v>382</v>
      </c>
      <c r="C225" s="21" t="s">
        <v>2971</v>
      </c>
      <c r="D225" s="24" t="s">
        <v>11</v>
      </c>
      <c r="E225" s="678">
        <v>48000</v>
      </c>
      <c r="F225" s="21">
        <f t="shared" si="10"/>
        <v>259649</v>
      </c>
      <c r="G225" s="21">
        <f t="shared" si="11"/>
        <v>4713</v>
      </c>
      <c r="H225" s="290">
        <v>2.5</v>
      </c>
      <c r="J225" s="281" t="s">
        <v>379</v>
      </c>
      <c r="K225" s="53">
        <v>0.93</v>
      </c>
      <c r="L225" s="288" t="s">
        <v>380</v>
      </c>
      <c r="M225" s="289">
        <v>0.08</v>
      </c>
    </row>
    <row r="226" spans="1:13">
      <c r="A226" s="21" t="s">
        <v>391</v>
      </c>
      <c r="B226" s="21" t="s">
        <v>382</v>
      </c>
      <c r="C226" s="21" t="s">
        <v>2972</v>
      </c>
      <c r="D226" s="24" t="s">
        <v>11</v>
      </c>
      <c r="E226" s="678">
        <v>69000</v>
      </c>
      <c r="F226" s="21">
        <f t="shared" si="10"/>
        <v>259649</v>
      </c>
      <c r="G226" s="21">
        <f t="shared" si="11"/>
        <v>4713</v>
      </c>
      <c r="H226" s="290">
        <v>2</v>
      </c>
      <c r="J226" s="281" t="s">
        <v>379</v>
      </c>
      <c r="K226" s="53">
        <v>0.93</v>
      </c>
      <c r="L226" s="288" t="s">
        <v>380</v>
      </c>
      <c r="M226" s="289">
        <v>0.08</v>
      </c>
    </row>
    <row r="227" spans="1:13">
      <c r="A227" s="21" t="s">
        <v>392</v>
      </c>
      <c r="B227" s="21" t="s">
        <v>393</v>
      </c>
      <c r="C227" s="21" t="s">
        <v>2973</v>
      </c>
      <c r="D227" s="24" t="s">
        <v>11</v>
      </c>
      <c r="E227" s="678">
        <v>92000</v>
      </c>
      <c r="F227" s="21">
        <f t="shared" si="10"/>
        <v>326655</v>
      </c>
      <c r="G227" s="21">
        <f t="shared" si="11"/>
        <v>4713</v>
      </c>
      <c r="H227" s="290">
        <v>2</v>
      </c>
      <c r="J227" s="281" t="s">
        <v>379</v>
      </c>
      <c r="K227" s="53">
        <v>1.17</v>
      </c>
      <c r="L227" s="288" t="s">
        <v>380</v>
      </c>
      <c r="M227" s="289">
        <v>0.08</v>
      </c>
    </row>
    <row r="228" spans="1:13">
      <c r="A228" s="21" t="s">
        <v>394</v>
      </c>
      <c r="B228" s="21" t="s">
        <v>381</v>
      </c>
      <c r="C228" s="21" t="s">
        <v>2974</v>
      </c>
      <c r="D228" s="24" t="s">
        <v>11</v>
      </c>
      <c r="E228" s="659">
        <v>105000</v>
      </c>
      <c r="F228" s="21">
        <f t="shared" si="10"/>
        <v>402036</v>
      </c>
      <c r="G228" s="21">
        <f t="shared" si="11"/>
        <v>4713</v>
      </c>
      <c r="H228" s="290">
        <v>2.5</v>
      </c>
      <c r="J228" s="281" t="s">
        <v>379</v>
      </c>
      <c r="K228" s="53">
        <v>1.44</v>
      </c>
      <c r="L228" s="288" t="s">
        <v>380</v>
      </c>
      <c r="M228" s="289">
        <v>0.08</v>
      </c>
    </row>
    <row r="229" spans="1:13">
      <c r="A229" s="21" t="s">
        <v>395</v>
      </c>
      <c r="B229" s="21" t="s">
        <v>378</v>
      </c>
      <c r="C229" s="21" t="s">
        <v>2975</v>
      </c>
      <c r="D229" s="24" t="s">
        <v>11</v>
      </c>
      <c r="E229" s="659">
        <v>120000</v>
      </c>
      <c r="F229" s="21">
        <f t="shared" si="10"/>
        <v>522089</v>
      </c>
      <c r="G229" s="21">
        <f t="shared" si="11"/>
        <v>5891</v>
      </c>
      <c r="H229" s="290">
        <v>2.5</v>
      </c>
      <c r="J229" s="281" t="s">
        <v>379</v>
      </c>
      <c r="K229" s="53">
        <v>1.87</v>
      </c>
      <c r="L229" s="288" t="s">
        <v>380</v>
      </c>
      <c r="M229" s="289">
        <v>0.1</v>
      </c>
    </row>
    <row r="230" spans="1:13">
      <c r="A230" s="21" t="s">
        <v>396</v>
      </c>
      <c r="B230" s="21"/>
      <c r="C230" s="21" t="s">
        <v>3532</v>
      </c>
      <c r="D230" s="24" t="s">
        <v>146</v>
      </c>
      <c r="E230" s="678">
        <v>95000</v>
      </c>
      <c r="F230" s="21">
        <f t="shared" si="10"/>
        <v>0</v>
      </c>
      <c r="G230" s="21">
        <f t="shared" si="11"/>
        <v>0</v>
      </c>
      <c r="H230" s="290">
        <v>0</v>
      </c>
      <c r="J230" s="281"/>
      <c r="K230" s="53"/>
      <c r="L230" s="288"/>
      <c r="M230" s="289"/>
    </row>
    <row r="231" spans="1:13">
      <c r="A231" s="21" t="s">
        <v>397</v>
      </c>
      <c r="B231" s="21"/>
      <c r="C231" s="21" t="s">
        <v>398</v>
      </c>
      <c r="D231" s="24" t="s">
        <v>24</v>
      </c>
      <c r="E231" s="678">
        <v>17000</v>
      </c>
      <c r="F231" s="21">
        <f t="shared" si="10"/>
        <v>0</v>
      </c>
      <c r="G231" s="21">
        <f t="shared" si="11"/>
        <v>0</v>
      </c>
      <c r="H231" s="290">
        <v>2.5</v>
      </c>
      <c r="J231" s="281"/>
      <c r="K231" s="53"/>
      <c r="L231" s="288"/>
      <c r="M231" s="289"/>
    </row>
    <row r="232" spans="1:13">
      <c r="A232" s="21" t="s">
        <v>399</v>
      </c>
      <c r="B232" s="21"/>
      <c r="C232" s="21" t="s">
        <v>1379</v>
      </c>
      <c r="D232" s="24" t="s">
        <v>24</v>
      </c>
      <c r="E232" s="659"/>
      <c r="F232" s="21">
        <f t="shared" si="10"/>
        <v>0</v>
      </c>
      <c r="G232" s="21">
        <f t="shared" si="11"/>
        <v>0</v>
      </c>
      <c r="H232" s="290">
        <v>3</v>
      </c>
      <c r="J232" s="281"/>
      <c r="K232" s="53"/>
      <c r="L232" s="288"/>
      <c r="M232" s="289"/>
    </row>
    <row r="233" spans="1:13">
      <c r="A233" s="21" t="s">
        <v>400</v>
      </c>
      <c r="B233" s="21"/>
      <c r="C233" s="21" t="s">
        <v>3393</v>
      </c>
      <c r="D233" s="24" t="s">
        <v>24</v>
      </c>
      <c r="E233" s="678">
        <v>98000</v>
      </c>
      <c r="F233" s="21">
        <f t="shared" si="10"/>
        <v>0</v>
      </c>
      <c r="G233" s="21">
        <f t="shared" si="11"/>
        <v>0</v>
      </c>
      <c r="H233" s="290">
        <v>3.5</v>
      </c>
      <c r="J233" s="281"/>
      <c r="K233" s="53"/>
      <c r="L233" s="288"/>
      <c r="M233" s="289"/>
    </row>
    <row r="234" spans="1:13">
      <c r="A234" s="21" t="s">
        <v>402</v>
      </c>
      <c r="B234" s="21"/>
      <c r="C234" s="21" t="s">
        <v>3545</v>
      </c>
      <c r="D234" s="24" t="s">
        <v>24</v>
      </c>
      <c r="E234" s="678">
        <v>135000</v>
      </c>
      <c r="F234" s="21">
        <f t="shared" si="10"/>
        <v>0</v>
      </c>
      <c r="G234" s="21">
        <f t="shared" si="11"/>
        <v>0</v>
      </c>
      <c r="H234" s="290">
        <v>3.5</v>
      </c>
      <c r="J234" s="281"/>
      <c r="K234" s="53"/>
      <c r="L234" s="288"/>
      <c r="M234" s="289"/>
    </row>
    <row r="235" spans="1:13">
      <c r="A235" s="21" t="s">
        <v>404</v>
      </c>
      <c r="B235" s="21" t="s">
        <v>862</v>
      </c>
      <c r="C235" s="21" t="s">
        <v>406</v>
      </c>
      <c r="D235" s="24" t="s">
        <v>11</v>
      </c>
      <c r="E235" s="478">
        <v>195000</v>
      </c>
      <c r="F235" s="21">
        <f>IFERROR(ROUND(VLOOKUP(J235,DGNC,5,0)*K235,0),)</f>
        <v>49616</v>
      </c>
      <c r="G235" s="21">
        <f t="shared" si="11"/>
        <v>0</v>
      </c>
      <c r="H235" s="290">
        <v>4</v>
      </c>
      <c r="J235" s="281" t="s">
        <v>289</v>
      </c>
      <c r="K235" s="53">
        <f>2.26/10</f>
        <v>0.22599999999999998</v>
      </c>
      <c r="L235" s="288"/>
      <c r="M235" s="289"/>
    </row>
    <row r="236" spans="1:13">
      <c r="A236" s="21" t="s">
        <v>1380</v>
      </c>
      <c r="B236" s="21"/>
      <c r="C236" s="21" t="s">
        <v>1381</v>
      </c>
      <c r="D236" s="24" t="s">
        <v>11</v>
      </c>
      <c r="E236" s="478">
        <v>42000</v>
      </c>
      <c r="F236" s="21">
        <f t="shared" si="10"/>
        <v>0</v>
      </c>
      <c r="G236" s="21">
        <f t="shared" si="11"/>
        <v>0</v>
      </c>
      <c r="H236" s="290">
        <v>0.7</v>
      </c>
      <c r="J236" s="281"/>
      <c r="K236" s="53"/>
      <c r="L236" s="288"/>
      <c r="M236" s="289"/>
    </row>
    <row r="237" spans="1:13">
      <c r="A237" s="21" t="s">
        <v>408</v>
      </c>
      <c r="B237" s="21"/>
      <c r="C237" s="21" t="s">
        <v>407</v>
      </c>
      <c r="D237" s="24" t="s">
        <v>11</v>
      </c>
      <c r="E237" s="478">
        <v>66000</v>
      </c>
      <c r="F237" s="21">
        <f t="shared" si="10"/>
        <v>0</v>
      </c>
      <c r="G237" s="21">
        <f t="shared" si="11"/>
        <v>0</v>
      </c>
      <c r="H237" s="290">
        <v>1.5</v>
      </c>
      <c r="J237" s="281"/>
      <c r="K237" s="53"/>
      <c r="L237" s="288"/>
      <c r="M237" s="289"/>
    </row>
    <row r="238" spans="1:13">
      <c r="A238" s="21" t="s">
        <v>409</v>
      </c>
      <c r="B238" s="21" t="s">
        <v>873</v>
      </c>
      <c r="C238" s="21" t="s">
        <v>410</v>
      </c>
      <c r="D238" s="24" t="s">
        <v>11</v>
      </c>
      <c r="E238" s="478">
        <v>20000</v>
      </c>
      <c r="F238" s="21">
        <f t="shared" si="10"/>
        <v>13173</v>
      </c>
      <c r="G238" s="21">
        <f t="shared" si="11"/>
        <v>0</v>
      </c>
      <c r="H238" s="290">
        <v>0.2</v>
      </c>
      <c r="J238" s="281" t="s">
        <v>289</v>
      </c>
      <c r="K238" s="53">
        <v>0.06</v>
      </c>
      <c r="L238" s="288"/>
      <c r="M238" s="289"/>
    </row>
    <row r="239" spans="1:13">
      <c r="A239" s="21" t="s">
        <v>411</v>
      </c>
      <c r="B239" s="21" t="s">
        <v>870</v>
      </c>
      <c r="C239" s="21" t="s">
        <v>412</v>
      </c>
      <c r="D239" s="24" t="s">
        <v>413</v>
      </c>
      <c r="E239" s="478">
        <v>200000</v>
      </c>
      <c r="F239" s="21">
        <f>IFERROR(ROUND(VLOOKUP(J239,DGNC,5,0)*K239,0),)</f>
        <v>59709</v>
      </c>
      <c r="G239" s="21">
        <f t="shared" si="11"/>
        <v>0</v>
      </c>
      <c r="H239" s="290">
        <v>0.3</v>
      </c>
      <c r="J239" s="281" t="s">
        <v>12</v>
      </c>
      <c r="K239" s="53">
        <v>0.252</v>
      </c>
      <c r="L239" s="288"/>
      <c r="M239" s="289"/>
    </row>
    <row r="240" spans="1:13">
      <c r="A240" s="21" t="s">
        <v>1754</v>
      </c>
      <c r="B240" s="21"/>
      <c r="C240" s="21" t="s">
        <v>1755</v>
      </c>
      <c r="D240" s="24" t="s">
        <v>11</v>
      </c>
      <c r="E240" s="659">
        <v>217000</v>
      </c>
      <c r="F240" s="21">
        <f>IFERROR(ROUND(VLOOKUP(J240,DGNC,5,0)*K240,0),)</f>
        <v>0</v>
      </c>
      <c r="G240" s="21">
        <f t="shared" si="11"/>
        <v>0</v>
      </c>
      <c r="H240" s="290">
        <v>12.3</v>
      </c>
      <c r="J240" s="281"/>
      <c r="K240" s="53"/>
      <c r="L240" s="288"/>
      <c r="M240" s="289"/>
    </row>
    <row r="241" spans="1:13">
      <c r="A241" s="21" t="s">
        <v>414</v>
      </c>
      <c r="B241" s="21"/>
      <c r="C241" s="21" t="s">
        <v>415</v>
      </c>
      <c r="D241" s="24" t="s">
        <v>11</v>
      </c>
      <c r="E241" s="478">
        <v>474000</v>
      </c>
      <c r="F241" s="21">
        <f t="shared" si="10"/>
        <v>0</v>
      </c>
      <c r="G241" s="21">
        <f t="shared" si="11"/>
        <v>0</v>
      </c>
      <c r="H241" s="290">
        <v>23</v>
      </c>
      <c r="J241" s="281"/>
      <c r="K241" s="53"/>
      <c r="L241" s="288"/>
      <c r="M241" s="289"/>
    </row>
    <row r="242" spans="1:13">
      <c r="A242" s="21" t="s">
        <v>416</v>
      </c>
      <c r="B242" s="21"/>
      <c r="C242" s="21" t="s">
        <v>417</v>
      </c>
      <c r="D242" s="24" t="s">
        <v>11</v>
      </c>
      <c r="E242" s="478">
        <v>497700</v>
      </c>
      <c r="F242" s="21">
        <f t="shared" si="10"/>
        <v>0</v>
      </c>
      <c r="G242" s="21">
        <f t="shared" si="11"/>
        <v>0</v>
      </c>
      <c r="H242" s="290">
        <v>25</v>
      </c>
      <c r="J242" s="281"/>
      <c r="K242" s="53"/>
      <c r="L242" s="288"/>
      <c r="M242" s="289"/>
    </row>
    <row r="243" spans="1:13">
      <c r="A243" s="21" t="s">
        <v>418</v>
      </c>
      <c r="B243" s="21"/>
      <c r="C243" s="21" t="s">
        <v>419</v>
      </c>
      <c r="D243" s="24" t="s">
        <v>11</v>
      </c>
      <c r="E243" s="478">
        <v>497000</v>
      </c>
      <c r="F243" s="21">
        <f t="shared" si="10"/>
        <v>0</v>
      </c>
      <c r="G243" s="21">
        <f t="shared" si="11"/>
        <v>0</v>
      </c>
      <c r="H243" s="290">
        <v>25</v>
      </c>
      <c r="J243" s="281"/>
      <c r="K243" s="53"/>
      <c r="L243" s="288"/>
      <c r="M243" s="289"/>
    </row>
    <row r="244" spans="1:13">
      <c r="A244" s="21" t="s">
        <v>420</v>
      </c>
      <c r="B244" s="21"/>
      <c r="C244" s="21" t="s">
        <v>421</v>
      </c>
      <c r="D244" s="24" t="s">
        <v>11</v>
      </c>
      <c r="E244" s="478">
        <v>535000</v>
      </c>
      <c r="F244" s="21">
        <f t="shared" si="10"/>
        <v>0</v>
      </c>
      <c r="G244" s="21">
        <f t="shared" si="11"/>
        <v>0</v>
      </c>
      <c r="H244" s="290">
        <v>26</v>
      </c>
      <c r="J244" s="281"/>
      <c r="K244" s="53"/>
      <c r="L244" s="288"/>
      <c r="M244" s="289"/>
    </row>
    <row r="245" spans="1:13">
      <c r="A245" s="21" t="s">
        <v>2818</v>
      </c>
      <c r="B245" s="21"/>
      <c r="C245" s="21" t="s">
        <v>2819</v>
      </c>
      <c r="D245" s="24" t="s">
        <v>11</v>
      </c>
      <c r="E245" s="659">
        <v>648000</v>
      </c>
      <c r="F245" s="21">
        <f>IFERROR(ROUND(VLOOKUP(J245,DGNC,5,0)*K245,0),)</f>
        <v>0</v>
      </c>
      <c r="G245" s="21">
        <f>IFERROR(ROUND(VLOOKUP(L245,DGMTC,8,0)*M245,0),)</f>
        <v>0</v>
      </c>
      <c r="H245" s="290">
        <v>26</v>
      </c>
      <c r="J245" s="281"/>
      <c r="K245" s="53"/>
      <c r="L245" s="288"/>
      <c r="M245" s="289"/>
    </row>
    <row r="246" spans="1:13">
      <c r="A246" s="21" t="s">
        <v>2821</v>
      </c>
      <c r="B246" s="21"/>
      <c r="C246" s="21" t="s">
        <v>2822</v>
      </c>
      <c r="D246" s="24" t="s">
        <v>11</v>
      </c>
      <c r="E246" s="659">
        <v>595000</v>
      </c>
      <c r="F246" s="21">
        <f>IFERROR(ROUND(VLOOKUP(J246,DGNC,5,0)*K246,0),)</f>
        <v>0</v>
      </c>
      <c r="G246" s="21">
        <f>IFERROR(ROUND(VLOOKUP(L246,DGMTC,8,0)*M246,0),)</f>
        <v>0</v>
      </c>
      <c r="H246" s="290">
        <v>26</v>
      </c>
      <c r="J246" s="281"/>
      <c r="K246" s="53"/>
      <c r="L246" s="288"/>
      <c r="M246" s="289"/>
    </row>
    <row r="247" spans="1:13">
      <c r="A247" s="21" t="s">
        <v>1233</v>
      </c>
      <c r="B247" s="21"/>
      <c r="C247" s="21" t="s">
        <v>2789</v>
      </c>
      <c r="D247" s="24" t="s">
        <v>11</v>
      </c>
      <c r="E247" s="659">
        <v>1006000</v>
      </c>
      <c r="F247" s="21">
        <f>IFERROR(ROUND(VLOOKUP(J247,DGNC,5,0)*K247,0),)</f>
        <v>0</v>
      </c>
      <c r="G247" s="21">
        <f>IFERROR(ROUND(VLOOKUP(L247,DGMTC,8,0)*M247,0),)</f>
        <v>0</v>
      </c>
      <c r="H247" s="290">
        <f>15*2.2</f>
        <v>33</v>
      </c>
      <c r="J247" s="281"/>
      <c r="K247" s="53"/>
      <c r="L247" s="288"/>
      <c r="M247" s="289"/>
    </row>
    <row r="248" spans="1:13">
      <c r="A248" s="21" t="s">
        <v>3254</v>
      </c>
      <c r="B248" s="21"/>
      <c r="C248" s="21" t="s">
        <v>3255</v>
      </c>
      <c r="D248" s="24" t="s">
        <v>11</v>
      </c>
      <c r="E248" s="478">
        <v>1026000</v>
      </c>
      <c r="F248" s="21">
        <f>IFERROR(ROUND(VLOOKUP(J248,DGNC,5,0)*K248,0),)</f>
        <v>0</v>
      </c>
      <c r="G248" s="21">
        <f>IFERROR(ROUND(VLOOKUP(L248,DGMTC,8,0)*M248,0),)</f>
        <v>0</v>
      </c>
      <c r="H248" s="290">
        <f>15*2.2</f>
        <v>33</v>
      </c>
      <c r="J248" s="281"/>
      <c r="K248" s="53"/>
      <c r="L248" s="288"/>
      <c r="M248" s="289"/>
    </row>
    <row r="249" spans="1:13">
      <c r="A249" s="21" t="s">
        <v>1756</v>
      </c>
      <c r="B249" s="21"/>
      <c r="C249" s="21" t="s">
        <v>1757</v>
      </c>
      <c r="D249" s="24" t="s">
        <v>11</v>
      </c>
      <c r="E249" s="659"/>
      <c r="F249" s="21">
        <f t="shared" si="10"/>
        <v>0</v>
      </c>
      <c r="G249" s="21">
        <f t="shared" si="11"/>
        <v>0</v>
      </c>
      <c r="H249" s="290">
        <v>3</v>
      </c>
      <c r="J249" s="281"/>
      <c r="K249" s="53"/>
      <c r="L249" s="288"/>
      <c r="M249" s="289"/>
    </row>
    <row r="250" spans="1:13">
      <c r="A250" s="21" t="s">
        <v>422</v>
      </c>
      <c r="B250" s="21"/>
      <c r="C250" s="21" t="s">
        <v>423</v>
      </c>
      <c r="D250" s="24" t="s">
        <v>11</v>
      </c>
      <c r="E250" s="478">
        <v>87800</v>
      </c>
      <c r="F250" s="21">
        <f t="shared" si="10"/>
        <v>0</v>
      </c>
      <c r="G250" s="21">
        <f t="shared" si="11"/>
        <v>0</v>
      </c>
      <c r="H250" s="290">
        <v>3.5</v>
      </c>
      <c r="J250" s="281"/>
      <c r="K250" s="53"/>
      <c r="L250" s="288"/>
      <c r="M250" s="289"/>
    </row>
    <row r="251" spans="1:13">
      <c r="A251" s="21" t="s">
        <v>424</v>
      </c>
      <c r="B251" s="21"/>
      <c r="C251" s="21" t="s">
        <v>425</v>
      </c>
      <c r="D251" s="24" t="s">
        <v>11</v>
      </c>
      <c r="E251" s="478">
        <v>116000</v>
      </c>
      <c r="F251" s="21">
        <f t="shared" si="10"/>
        <v>0</v>
      </c>
      <c r="G251" s="21">
        <f t="shared" si="11"/>
        <v>0</v>
      </c>
      <c r="H251" s="290">
        <v>5.5</v>
      </c>
      <c r="J251" s="281"/>
      <c r="K251" s="53"/>
      <c r="L251" s="288"/>
      <c r="M251" s="289"/>
    </row>
    <row r="252" spans="1:13">
      <c r="A252" s="21" t="s">
        <v>426</v>
      </c>
      <c r="B252" s="21"/>
      <c r="C252" s="21" t="s">
        <v>427</v>
      </c>
      <c r="D252" s="24" t="s">
        <v>11</v>
      </c>
      <c r="E252" s="478">
        <v>217700</v>
      </c>
      <c r="F252" s="21">
        <f t="shared" si="10"/>
        <v>0</v>
      </c>
      <c r="G252" s="21">
        <f t="shared" si="11"/>
        <v>0</v>
      </c>
      <c r="H252" s="290">
        <v>7.5</v>
      </c>
      <c r="J252" s="281"/>
      <c r="K252" s="53"/>
      <c r="L252" s="288"/>
      <c r="M252" s="289"/>
    </row>
    <row r="253" spans="1:13">
      <c r="A253" s="21" t="s">
        <v>2867</v>
      </c>
      <c r="B253" s="21"/>
      <c r="C253" s="21" t="s">
        <v>2869</v>
      </c>
      <c r="D253" s="24" t="s">
        <v>11</v>
      </c>
      <c r="E253" s="659">
        <v>16600</v>
      </c>
      <c r="F253" s="21">
        <f>IFERROR(ROUND(VLOOKUP(J253,DGNC,5,0)*K253,0),)</f>
        <v>0</v>
      </c>
      <c r="G253" s="21">
        <f>IFERROR(ROUND(VLOOKUP(L253,DGMTC,8,0)*M253,0),)</f>
        <v>0</v>
      </c>
      <c r="H253" s="290">
        <v>0.7</v>
      </c>
      <c r="J253" s="281"/>
      <c r="K253" s="53"/>
      <c r="L253" s="288"/>
      <c r="M253" s="289"/>
    </row>
    <row r="254" spans="1:13">
      <c r="A254" s="21" t="s">
        <v>2868</v>
      </c>
      <c r="B254" s="21"/>
      <c r="C254" s="21" t="s">
        <v>2870</v>
      </c>
      <c r="D254" s="24" t="s">
        <v>11</v>
      </c>
      <c r="E254" s="659">
        <v>28100</v>
      </c>
      <c r="F254" s="21">
        <f>IFERROR(ROUND(VLOOKUP(J254,DGNC,5,0)*K254,0),)</f>
        <v>0</v>
      </c>
      <c r="G254" s="21">
        <f>IFERROR(ROUND(VLOOKUP(L254,DGMTC,8,0)*M254,0),)</f>
        <v>0</v>
      </c>
      <c r="H254" s="290">
        <v>1.5</v>
      </c>
      <c r="J254" s="281"/>
      <c r="K254" s="53"/>
      <c r="L254" s="288"/>
      <c r="M254" s="289"/>
    </row>
    <row r="255" spans="1:13">
      <c r="A255" s="21" t="s">
        <v>428</v>
      </c>
      <c r="B255" s="21"/>
      <c r="C255" s="21" t="s">
        <v>429</v>
      </c>
      <c r="D255" s="24" t="s">
        <v>143</v>
      </c>
      <c r="E255" s="659"/>
      <c r="F255" s="21">
        <f t="shared" si="10"/>
        <v>0</v>
      </c>
      <c r="G255" s="21">
        <f t="shared" si="11"/>
        <v>0</v>
      </c>
      <c r="H255" s="290">
        <v>1</v>
      </c>
      <c r="J255" s="281"/>
      <c r="K255" s="53"/>
      <c r="L255" s="288"/>
      <c r="M255" s="289"/>
    </row>
    <row r="256" spans="1:13">
      <c r="A256" s="21" t="s">
        <v>430</v>
      </c>
      <c r="B256" s="21"/>
      <c r="C256" s="21" t="s">
        <v>431</v>
      </c>
      <c r="D256" s="24" t="s">
        <v>143</v>
      </c>
      <c r="E256" s="659"/>
      <c r="F256" s="21">
        <f t="shared" si="10"/>
        <v>0</v>
      </c>
      <c r="G256" s="21">
        <f t="shared" si="11"/>
        <v>0</v>
      </c>
      <c r="H256" s="290">
        <v>1</v>
      </c>
      <c r="J256" s="281"/>
      <c r="K256" s="53"/>
      <c r="L256" s="288"/>
      <c r="M256" s="289"/>
    </row>
    <row r="257" spans="1:14">
      <c r="A257" s="21" t="s">
        <v>432</v>
      </c>
      <c r="B257" s="21"/>
      <c r="C257" s="21" t="s">
        <v>433</v>
      </c>
      <c r="D257" s="24" t="s">
        <v>143</v>
      </c>
      <c r="E257" s="659"/>
      <c r="F257" s="21">
        <f t="shared" si="10"/>
        <v>0</v>
      </c>
      <c r="G257" s="21">
        <f t="shared" si="11"/>
        <v>0</v>
      </c>
      <c r="H257" s="290">
        <v>1</v>
      </c>
      <c r="J257" s="281"/>
      <c r="K257" s="53"/>
      <c r="L257" s="288"/>
      <c r="M257" s="289"/>
    </row>
    <row r="258" spans="1:14">
      <c r="A258" s="21" t="s">
        <v>434</v>
      </c>
      <c r="B258" s="21"/>
      <c r="C258" s="21" t="s">
        <v>435</v>
      </c>
      <c r="D258" s="24" t="s">
        <v>143</v>
      </c>
      <c r="E258" s="659"/>
      <c r="F258" s="21">
        <f t="shared" si="10"/>
        <v>0</v>
      </c>
      <c r="G258" s="21">
        <f t="shared" si="11"/>
        <v>0</v>
      </c>
      <c r="H258" s="290">
        <v>1</v>
      </c>
      <c r="J258" s="281"/>
      <c r="K258" s="53"/>
      <c r="L258" s="288"/>
      <c r="M258" s="289"/>
    </row>
    <row r="259" spans="1:14">
      <c r="A259" s="21" t="s">
        <v>436</v>
      </c>
      <c r="B259" s="21"/>
      <c r="C259" s="21" t="s">
        <v>437</v>
      </c>
      <c r="D259" s="24" t="s">
        <v>143</v>
      </c>
      <c r="E259" s="659"/>
      <c r="F259" s="21">
        <f t="shared" si="10"/>
        <v>0</v>
      </c>
      <c r="G259" s="21">
        <f t="shared" si="11"/>
        <v>0</v>
      </c>
      <c r="H259" s="290">
        <v>1</v>
      </c>
      <c r="J259" s="281"/>
      <c r="K259" s="53"/>
      <c r="L259" s="288"/>
      <c r="M259" s="289"/>
    </row>
    <row r="260" spans="1:14">
      <c r="A260" s="21" t="s">
        <v>438</v>
      </c>
      <c r="B260" s="21"/>
      <c r="C260" s="21" t="s">
        <v>439</v>
      </c>
      <c r="D260" s="24" t="s">
        <v>143</v>
      </c>
      <c r="E260" s="659"/>
      <c r="F260" s="21">
        <f t="shared" si="10"/>
        <v>0</v>
      </c>
      <c r="G260" s="21">
        <f t="shared" si="11"/>
        <v>0</v>
      </c>
      <c r="H260" s="290">
        <v>1</v>
      </c>
      <c r="J260" s="281"/>
      <c r="K260" s="53"/>
      <c r="L260" s="288"/>
      <c r="M260" s="289"/>
    </row>
    <row r="261" spans="1:14">
      <c r="A261" s="21" t="s">
        <v>440</v>
      </c>
      <c r="B261" s="21" t="s">
        <v>2733</v>
      </c>
      <c r="C261" s="21" t="s">
        <v>441</v>
      </c>
      <c r="D261" s="24" t="s">
        <v>24</v>
      </c>
      <c r="E261" s="678">
        <v>365000</v>
      </c>
      <c r="F261" s="21">
        <f>IFERROR(ROUND(VLOOKUP(J261,DGNC,5,0)*K261*1.5,0),)</f>
        <v>167950</v>
      </c>
      <c r="G261" s="21">
        <f t="shared" si="11"/>
        <v>0</v>
      </c>
      <c r="H261" s="290">
        <v>7.5</v>
      </c>
      <c r="J261" s="281" t="s">
        <v>289</v>
      </c>
      <c r="K261" s="53">
        <v>0.51</v>
      </c>
      <c r="L261" s="288"/>
      <c r="M261" s="289"/>
    </row>
    <row r="262" spans="1:14">
      <c r="A262" s="21" t="s">
        <v>442</v>
      </c>
      <c r="B262" s="21" t="s">
        <v>2733</v>
      </c>
      <c r="C262" s="21" t="s">
        <v>443</v>
      </c>
      <c r="D262" s="24" t="s">
        <v>24</v>
      </c>
      <c r="E262" s="678">
        <v>320000</v>
      </c>
      <c r="F262" s="21">
        <f>IFERROR(ROUND(VLOOKUP(J262,DGNC,5,0)*K262*1.5,0),)</f>
        <v>167950</v>
      </c>
      <c r="G262" s="21">
        <f t="shared" si="11"/>
        <v>0</v>
      </c>
      <c r="H262" s="290">
        <v>6.2</v>
      </c>
      <c r="J262" s="281" t="s">
        <v>289</v>
      </c>
      <c r="K262" s="53">
        <v>0.51</v>
      </c>
      <c r="L262" s="288"/>
      <c r="M262" s="289"/>
    </row>
    <row r="263" spans="1:14">
      <c r="A263" s="21" t="s">
        <v>444</v>
      </c>
      <c r="B263" s="21"/>
      <c r="C263" s="21" t="s">
        <v>445</v>
      </c>
      <c r="D263" s="24" t="s">
        <v>11</v>
      </c>
      <c r="E263" s="659">
        <v>112000</v>
      </c>
      <c r="F263" s="21">
        <f t="shared" si="10"/>
        <v>0</v>
      </c>
      <c r="G263" s="21">
        <f t="shared" si="11"/>
        <v>0</v>
      </c>
      <c r="H263" s="290">
        <v>3.5</v>
      </c>
      <c r="J263" s="281"/>
      <c r="K263" s="53"/>
      <c r="L263" s="288"/>
      <c r="M263" s="289"/>
    </row>
    <row r="264" spans="1:14">
      <c r="A264" s="21" t="s">
        <v>446</v>
      </c>
      <c r="B264" s="21"/>
      <c r="C264" s="21" t="s">
        <v>447</v>
      </c>
      <c r="D264" s="24" t="s">
        <v>11</v>
      </c>
      <c r="E264" s="678">
        <v>185000</v>
      </c>
      <c r="F264" s="21">
        <f t="shared" si="10"/>
        <v>0</v>
      </c>
      <c r="G264" s="21">
        <f t="shared" si="11"/>
        <v>0</v>
      </c>
      <c r="H264" s="290">
        <v>3.5</v>
      </c>
      <c r="J264" s="281"/>
      <c r="K264" s="53"/>
      <c r="L264" s="288"/>
      <c r="M264" s="289"/>
    </row>
    <row r="265" spans="1:14">
      <c r="A265" s="21" t="s">
        <v>448</v>
      </c>
      <c r="B265" s="21"/>
      <c r="C265" s="21" t="s">
        <v>449</v>
      </c>
      <c r="D265" s="24" t="s">
        <v>11</v>
      </c>
      <c r="E265" s="659">
        <v>170000</v>
      </c>
      <c r="F265" s="21">
        <f t="shared" si="10"/>
        <v>0</v>
      </c>
      <c r="G265" s="21">
        <f t="shared" si="11"/>
        <v>0</v>
      </c>
      <c r="H265" s="290">
        <v>3.8</v>
      </c>
      <c r="J265" s="281"/>
      <c r="K265" s="53"/>
      <c r="L265" s="288"/>
      <c r="M265" s="289"/>
    </row>
    <row r="266" spans="1:14">
      <c r="A266" s="21" t="s">
        <v>450</v>
      </c>
      <c r="B266" s="21"/>
      <c r="C266" s="21" t="s">
        <v>451</v>
      </c>
      <c r="D266" s="24" t="s">
        <v>11</v>
      </c>
      <c r="E266" s="678">
        <v>362000</v>
      </c>
      <c r="F266" s="21">
        <f t="shared" si="10"/>
        <v>0</v>
      </c>
      <c r="G266" s="21">
        <f t="shared" si="11"/>
        <v>0</v>
      </c>
      <c r="H266" s="290">
        <v>4.2</v>
      </c>
      <c r="J266" s="281"/>
      <c r="K266" s="53"/>
      <c r="L266" s="288"/>
      <c r="M266" s="289"/>
    </row>
    <row r="267" spans="1:14">
      <c r="A267" s="21" t="s">
        <v>452</v>
      </c>
      <c r="B267" s="21"/>
      <c r="C267" s="21" t="s">
        <v>3524</v>
      </c>
      <c r="D267" s="24" t="s">
        <v>11</v>
      </c>
      <c r="E267" s="659">
        <v>101000</v>
      </c>
      <c r="F267" s="21">
        <f t="shared" si="10"/>
        <v>0</v>
      </c>
      <c r="G267" s="21">
        <f t="shared" si="11"/>
        <v>0</v>
      </c>
      <c r="H267" s="290">
        <v>0.8</v>
      </c>
      <c r="J267" s="281"/>
      <c r="K267" s="53"/>
      <c r="L267" s="288"/>
      <c r="M267" s="289"/>
    </row>
    <row r="268" spans="1:14">
      <c r="A268" s="21" t="s">
        <v>3892</v>
      </c>
      <c r="B268" s="21"/>
      <c r="C268" s="21" t="s">
        <v>3893</v>
      </c>
      <c r="D268" s="24" t="s">
        <v>24</v>
      </c>
      <c r="E268" s="659">
        <v>125000</v>
      </c>
      <c r="F268" s="21">
        <f t="shared" ref="F268:F273" si="12">IFERROR(ROUND(VLOOKUP(J268,DGNC,5,0)*K268,0),)*0</f>
        <v>0</v>
      </c>
      <c r="G268" s="21">
        <f t="shared" si="11"/>
        <v>0</v>
      </c>
      <c r="H268" s="290">
        <v>1.5</v>
      </c>
      <c r="J268" s="281" t="s">
        <v>12</v>
      </c>
      <c r="K268" s="53">
        <v>0.35</v>
      </c>
      <c r="L268" s="288"/>
      <c r="M268" s="289"/>
      <c r="N268" s="20" t="s">
        <v>454</v>
      </c>
    </row>
    <row r="269" spans="1:14">
      <c r="A269" s="21" t="s">
        <v>2854</v>
      </c>
      <c r="B269" s="21"/>
      <c r="C269" s="21" t="s">
        <v>2857</v>
      </c>
      <c r="D269" s="24" t="s">
        <v>24</v>
      </c>
      <c r="E269" s="659">
        <v>125000</v>
      </c>
      <c r="F269" s="21">
        <f t="shared" si="12"/>
        <v>0</v>
      </c>
      <c r="G269" s="21">
        <f>IFERROR(ROUND(VLOOKUP(L269,DGMTC,8,0)*M269,0),)</f>
        <v>0</v>
      </c>
      <c r="H269" s="290">
        <v>1.5</v>
      </c>
      <c r="J269" s="281" t="s">
        <v>12</v>
      </c>
      <c r="K269" s="53">
        <v>0.35</v>
      </c>
      <c r="L269" s="288"/>
      <c r="M269" s="289"/>
      <c r="N269" s="20" t="s">
        <v>454</v>
      </c>
    </row>
    <row r="270" spans="1:14">
      <c r="A270" s="21" t="s">
        <v>2855</v>
      </c>
      <c r="B270" s="21"/>
      <c r="C270" s="21" t="s">
        <v>3262</v>
      </c>
      <c r="D270" s="24" t="s">
        <v>24</v>
      </c>
      <c r="E270" s="659">
        <v>125000</v>
      </c>
      <c r="F270" s="21">
        <f t="shared" si="12"/>
        <v>0</v>
      </c>
      <c r="G270" s="21">
        <f>IFERROR(ROUND(VLOOKUP(L270,DGMTC,8,0)*M270,0),)</f>
        <v>0</v>
      </c>
      <c r="H270" s="290">
        <v>1.5</v>
      </c>
      <c r="J270" s="281" t="s">
        <v>12</v>
      </c>
      <c r="K270" s="53">
        <v>0.35</v>
      </c>
      <c r="L270" s="288"/>
      <c r="M270" s="289"/>
      <c r="N270" s="20" t="s">
        <v>454</v>
      </c>
    </row>
    <row r="271" spans="1:14">
      <c r="A271" s="21" t="s">
        <v>2856</v>
      </c>
      <c r="B271" s="21"/>
      <c r="C271" s="21" t="s">
        <v>2858</v>
      </c>
      <c r="D271" s="24" t="s">
        <v>24</v>
      </c>
      <c r="E271" s="659">
        <v>125000</v>
      </c>
      <c r="F271" s="21">
        <f t="shared" si="12"/>
        <v>0</v>
      </c>
      <c r="G271" s="21">
        <f>IFERROR(ROUND(VLOOKUP(L271,DGMTC,8,0)*M271,0),)</f>
        <v>0</v>
      </c>
      <c r="H271" s="290">
        <v>1.5</v>
      </c>
      <c r="J271" s="281" t="s">
        <v>12</v>
      </c>
      <c r="K271" s="53">
        <v>0.35</v>
      </c>
      <c r="L271" s="288"/>
      <c r="M271" s="289"/>
      <c r="N271" s="20" t="s">
        <v>454</v>
      </c>
    </row>
    <row r="272" spans="1:14">
      <c r="A272" s="21" t="s">
        <v>455</v>
      </c>
      <c r="B272" s="21"/>
      <c r="C272" s="21" t="s">
        <v>2792</v>
      </c>
      <c r="D272" s="24" t="s">
        <v>24</v>
      </c>
      <c r="E272" s="678">
        <v>60000</v>
      </c>
      <c r="F272" s="21">
        <f t="shared" si="12"/>
        <v>0</v>
      </c>
      <c r="G272" s="21">
        <f t="shared" si="11"/>
        <v>0</v>
      </c>
      <c r="H272" s="290">
        <v>1.5</v>
      </c>
      <c r="J272" s="281" t="s">
        <v>12</v>
      </c>
      <c r="K272" s="53">
        <v>0.35</v>
      </c>
      <c r="L272" s="288"/>
      <c r="M272" s="289"/>
      <c r="N272" s="20" t="s">
        <v>454</v>
      </c>
    </row>
    <row r="273" spans="1:14">
      <c r="A273" s="21" t="s">
        <v>456</v>
      </c>
      <c r="B273" s="21"/>
      <c r="C273" s="21" t="s">
        <v>2793</v>
      </c>
      <c r="D273" s="24" t="s">
        <v>24</v>
      </c>
      <c r="E273" s="678">
        <v>68000</v>
      </c>
      <c r="F273" s="21">
        <f t="shared" si="12"/>
        <v>0</v>
      </c>
      <c r="G273" s="21">
        <f t="shared" si="11"/>
        <v>0</v>
      </c>
      <c r="H273" s="290">
        <v>1.5</v>
      </c>
      <c r="J273" s="281" t="s">
        <v>12</v>
      </c>
      <c r="K273" s="53">
        <v>0.35</v>
      </c>
      <c r="L273" s="288"/>
      <c r="M273" s="289"/>
      <c r="N273" s="20" t="s">
        <v>454</v>
      </c>
    </row>
    <row r="274" spans="1:14">
      <c r="A274" s="21" t="s">
        <v>457</v>
      </c>
      <c r="B274" s="21"/>
      <c r="C274" s="21" t="s">
        <v>2787</v>
      </c>
      <c r="D274" s="24" t="s">
        <v>276</v>
      </c>
      <c r="E274" s="659">
        <v>1926000</v>
      </c>
      <c r="F274" s="21">
        <f t="shared" si="10"/>
        <v>0</v>
      </c>
      <c r="G274" s="21">
        <f t="shared" si="11"/>
        <v>0</v>
      </c>
      <c r="H274" s="290">
        <v>600</v>
      </c>
      <c r="J274" s="281"/>
      <c r="K274" s="53"/>
      <c r="L274" s="288"/>
      <c r="M274" s="289"/>
    </row>
    <row r="275" spans="1:14">
      <c r="A275" s="21" t="s">
        <v>458</v>
      </c>
      <c r="B275" s="21"/>
      <c r="C275" s="21" t="s">
        <v>459</v>
      </c>
      <c r="D275" s="24" t="s">
        <v>276</v>
      </c>
      <c r="E275" s="478">
        <v>2599000</v>
      </c>
      <c r="F275" s="21">
        <f t="shared" si="10"/>
        <v>0</v>
      </c>
      <c r="G275" s="21">
        <f t="shared" si="11"/>
        <v>0</v>
      </c>
      <c r="H275" s="290">
        <v>700</v>
      </c>
      <c r="J275" s="281"/>
      <c r="K275" s="53"/>
      <c r="L275" s="288"/>
      <c r="M275" s="289"/>
    </row>
    <row r="276" spans="1:14">
      <c r="A276" s="21" t="s">
        <v>460</v>
      </c>
      <c r="B276" s="21"/>
      <c r="C276" s="21" t="s">
        <v>462</v>
      </c>
      <c r="D276" s="24" t="s">
        <v>276</v>
      </c>
      <c r="E276" s="478">
        <v>2599000</v>
      </c>
      <c r="F276" s="21">
        <f t="shared" si="10"/>
        <v>0</v>
      </c>
      <c r="G276" s="21">
        <f t="shared" si="11"/>
        <v>0</v>
      </c>
      <c r="H276" s="290">
        <v>700</v>
      </c>
      <c r="J276" s="281"/>
      <c r="K276" s="53"/>
      <c r="L276" s="288"/>
      <c r="M276" s="289"/>
    </row>
    <row r="277" spans="1:14">
      <c r="A277" s="21" t="s">
        <v>461</v>
      </c>
      <c r="B277" s="21"/>
      <c r="C277" s="21" t="s">
        <v>462</v>
      </c>
      <c r="D277" s="24" t="s">
        <v>276</v>
      </c>
      <c r="E277" s="478">
        <v>2599000</v>
      </c>
      <c r="F277" s="21">
        <f t="shared" si="10"/>
        <v>0</v>
      </c>
      <c r="G277" s="21">
        <f t="shared" si="11"/>
        <v>0</v>
      </c>
      <c r="H277" s="290">
        <v>700</v>
      </c>
      <c r="J277" s="281"/>
      <c r="K277" s="53"/>
      <c r="L277" s="288"/>
      <c r="M277" s="289"/>
    </row>
    <row r="278" spans="1:14">
      <c r="A278" s="21" t="s">
        <v>463</v>
      </c>
      <c r="B278" s="21"/>
      <c r="C278" s="21" t="s">
        <v>464</v>
      </c>
      <c r="D278" s="24" t="s">
        <v>276</v>
      </c>
      <c r="E278" s="478">
        <v>3818182</v>
      </c>
      <c r="F278" s="21">
        <f t="shared" si="10"/>
        <v>0</v>
      </c>
      <c r="G278" s="21">
        <f t="shared" si="11"/>
        <v>0</v>
      </c>
      <c r="H278" s="290">
        <v>700</v>
      </c>
      <c r="J278" s="281"/>
      <c r="K278" s="53"/>
      <c r="L278" s="288"/>
      <c r="M278" s="289"/>
    </row>
    <row r="279" spans="1:14">
      <c r="A279" s="21" t="s">
        <v>466</v>
      </c>
      <c r="B279" s="21"/>
      <c r="C279" s="21" t="s">
        <v>465</v>
      </c>
      <c r="D279" s="24" t="s">
        <v>276</v>
      </c>
      <c r="E279" s="478">
        <v>5511000</v>
      </c>
      <c r="F279" s="21">
        <f t="shared" si="10"/>
        <v>0</v>
      </c>
      <c r="G279" s="21">
        <f t="shared" si="11"/>
        <v>0</v>
      </c>
      <c r="H279" s="290">
        <v>1250</v>
      </c>
      <c r="J279" s="281"/>
      <c r="K279" s="53"/>
      <c r="L279" s="288"/>
      <c r="M279" s="289"/>
    </row>
    <row r="280" spans="1:14">
      <c r="A280" s="21" t="s">
        <v>467</v>
      </c>
      <c r="B280" s="21"/>
      <c r="C280" s="21" t="s">
        <v>468</v>
      </c>
      <c r="D280" s="24" t="s">
        <v>276</v>
      </c>
      <c r="E280" s="478">
        <v>7605000</v>
      </c>
      <c r="F280" s="21">
        <f t="shared" si="10"/>
        <v>0</v>
      </c>
      <c r="G280" s="21">
        <f t="shared" si="11"/>
        <v>0</v>
      </c>
      <c r="H280" s="290">
        <v>1390</v>
      </c>
      <c r="J280" s="281"/>
      <c r="K280" s="53"/>
      <c r="L280" s="288"/>
      <c r="M280" s="289"/>
    </row>
    <row r="281" spans="1:14">
      <c r="A281" s="21" t="s">
        <v>1672</v>
      </c>
      <c r="B281" s="21"/>
      <c r="C281" s="21" t="s">
        <v>2030</v>
      </c>
      <c r="D281" s="24" t="s">
        <v>276</v>
      </c>
      <c r="E281" s="659">
        <v>20800000</v>
      </c>
      <c r="F281" s="21">
        <f t="shared" si="10"/>
        <v>0</v>
      </c>
      <c r="G281" s="21">
        <f t="shared" si="11"/>
        <v>0</v>
      </c>
      <c r="H281" s="290">
        <v>2720</v>
      </c>
      <c r="J281" s="281"/>
      <c r="K281" s="53"/>
      <c r="L281" s="288"/>
      <c r="M281" s="289"/>
    </row>
    <row r="282" spans="1:14">
      <c r="A282" s="21" t="s">
        <v>469</v>
      </c>
      <c r="B282" s="21"/>
      <c r="C282" s="21" t="s">
        <v>470</v>
      </c>
      <c r="D282" s="24" t="s">
        <v>308</v>
      </c>
      <c r="E282" s="681">
        <v>342000</v>
      </c>
      <c r="F282" s="21">
        <f t="shared" si="10"/>
        <v>0</v>
      </c>
      <c r="G282" s="21">
        <f t="shared" si="11"/>
        <v>0</v>
      </c>
      <c r="H282" s="290">
        <v>1500</v>
      </c>
      <c r="J282" s="281"/>
      <c r="K282" s="53"/>
      <c r="L282" s="288"/>
      <c r="M282" s="289"/>
    </row>
    <row r="283" spans="1:14">
      <c r="A283" s="21" t="s">
        <v>1639</v>
      </c>
      <c r="B283" s="21"/>
      <c r="C283" s="21" t="s">
        <v>1750</v>
      </c>
      <c r="D283" s="24" t="s">
        <v>143</v>
      </c>
      <c r="E283" s="681">
        <v>1760</v>
      </c>
      <c r="F283" s="21">
        <f t="shared" si="10"/>
        <v>0</v>
      </c>
      <c r="G283" s="21">
        <f t="shared" si="11"/>
        <v>0</v>
      </c>
      <c r="H283" s="290">
        <v>1</v>
      </c>
      <c r="J283" s="281"/>
      <c r="K283" s="53"/>
      <c r="L283" s="288"/>
      <c r="M283" s="289"/>
    </row>
    <row r="284" spans="1:14">
      <c r="A284" s="21" t="s">
        <v>471</v>
      </c>
      <c r="B284" s="21"/>
      <c r="C284" s="21" t="s">
        <v>472</v>
      </c>
      <c r="D284" s="24" t="s">
        <v>308</v>
      </c>
      <c r="E284" s="681">
        <v>350000</v>
      </c>
      <c r="F284" s="21">
        <f t="shared" si="10"/>
        <v>0</v>
      </c>
      <c r="G284" s="21">
        <f t="shared" si="11"/>
        <v>0</v>
      </c>
      <c r="H284" s="290">
        <v>1500</v>
      </c>
      <c r="J284" s="281"/>
      <c r="K284" s="53"/>
      <c r="L284" s="288"/>
      <c r="M284" s="289"/>
    </row>
    <row r="285" spans="1:14">
      <c r="A285" s="21" t="s">
        <v>475</v>
      </c>
      <c r="B285" s="21"/>
      <c r="C285" s="21" t="s">
        <v>476</v>
      </c>
      <c r="D285" s="24" t="s">
        <v>11</v>
      </c>
      <c r="E285" s="678">
        <v>8000</v>
      </c>
      <c r="F285" s="21">
        <f t="shared" ref="F285:F352" si="13">IFERROR(ROUND(VLOOKUP(J285,DGNC,5,0)*K285,0),)</f>
        <v>0</v>
      </c>
      <c r="G285" s="21">
        <f t="shared" ref="G285:G357" si="14">IFERROR(ROUND(VLOOKUP(L285,DGMTC,8,0)*M285,0),)</f>
        <v>0</v>
      </c>
      <c r="H285" s="290">
        <v>0.3</v>
      </c>
      <c r="J285" s="281"/>
      <c r="K285" s="53"/>
      <c r="L285" s="288"/>
      <c r="M285" s="289"/>
    </row>
    <row r="286" spans="1:14">
      <c r="A286" s="278" t="s">
        <v>3503</v>
      </c>
      <c r="B286" s="278"/>
      <c r="C286" s="278" t="s">
        <v>3504</v>
      </c>
      <c r="D286" s="668" t="s">
        <v>308</v>
      </c>
      <c r="E286" s="659">
        <v>3800000</v>
      </c>
      <c r="F286" s="278">
        <f>IFERROR(ROUND(VLOOKUP(K286,DGNC,5,0)*L286,0),)</f>
        <v>0</v>
      </c>
      <c r="G286" s="278">
        <f>IFERROR(ROUND(VLOOKUP(M286,DGMTC,8,0)*N286,0),)</f>
        <v>0</v>
      </c>
      <c r="H286" s="669">
        <v>0</v>
      </c>
      <c r="J286" s="469"/>
      <c r="K286" s="468"/>
      <c r="L286" s="476"/>
      <c r="M286" s="477"/>
    </row>
    <row r="287" spans="1:14">
      <c r="A287" s="278" t="s">
        <v>3505</v>
      </c>
      <c r="B287" s="278"/>
      <c r="C287" s="278" t="s">
        <v>3506</v>
      </c>
      <c r="D287" s="668" t="s">
        <v>308</v>
      </c>
      <c r="E287" s="659">
        <v>3800000</v>
      </c>
      <c r="F287" s="278">
        <f>IFERROR(ROUND(VLOOKUP(K287,DGNC,5,0)*L287,0),)</f>
        <v>0</v>
      </c>
      <c r="G287" s="278">
        <f>IFERROR(ROUND(VLOOKUP(M287,DGMTC,8,0)*N287,0),)</f>
        <v>0</v>
      </c>
      <c r="H287" s="669">
        <v>0</v>
      </c>
      <c r="J287" s="469"/>
      <c r="K287" s="468"/>
      <c r="L287" s="476"/>
      <c r="M287" s="477"/>
    </row>
    <row r="288" spans="1:14">
      <c r="A288" s="278" t="s">
        <v>3507</v>
      </c>
      <c r="B288" s="278"/>
      <c r="C288" s="278" t="s">
        <v>3508</v>
      </c>
      <c r="D288" s="668" t="s">
        <v>308</v>
      </c>
      <c r="E288" s="659">
        <v>3800000</v>
      </c>
      <c r="F288" s="278">
        <f>IFERROR(ROUND(VLOOKUP(K288,DGNC,5,0)*L288,0),)</f>
        <v>0</v>
      </c>
      <c r="G288" s="278">
        <f>IFERROR(ROUND(VLOOKUP(M288,DGMTC,8,0)*N288,0),)</f>
        <v>0</v>
      </c>
      <c r="H288" s="669">
        <v>0</v>
      </c>
      <c r="J288" s="469"/>
      <c r="K288" s="468"/>
      <c r="L288" s="476"/>
      <c r="M288" s="477"/>
    </row>
    <row r="289" spans="1:13">
      <c r="A289" s="278" t="s">
        <v>3509</v>
      </c>
      <c r="B289" s="278"/>
      <c r="C289" s="278" t="s">
        <v>3510</v>
      </c>
      <c r="D289" s="668" t="s">
        <v>143</v>
      </c>
      <c r="E289" s="659">
        <v>25000</v>
      </c>
      <c r="F289" s="278">
        <f>IFERROR(ROUND(VLOOKUP(K289,DGNC,5,0)*L289,0),)</f>
        <v>0</v>
      </c>
      <c r="G289" s="278">
        <f>IFERROR(ROUND(VLOOKUP(M289,DGMTC,8,0)*N289,0),)</f>
        <v>0</v>
      </c>
      <c r="H289" s="669">
        <v>0</v>
      </c>
      <c r="J289" s="469"/>
      <c r="K289" s="468"/>
      <c r="L289" s="476"/>
      <c r="M289" s="477"/>
    </row>
    <row r="290" spans="1:13">
      <c r="A290" s="278"/>
      <c r="B290" s="278"/>
      <c r="C290" s="278"/>
      <c r="D290" s="668"/>
      <c r="E290" s="278"/>
      <c r="F290" s="278"/>
      <c r="G290" s="278"/>
      <c r="H290" s="290"/>
      <c r="J290" s="469"/>
      <c r="K290" s="468"/>
      <c r="L290" s="476"/>
      <c r="M290" s="477"/>
    </row>
    <row r="291" spans="1:13">
      <c r="A291" s="21"/>
      <c r="B291" s="21"/>
      <c r="C291" s="21"/>
      <c r="D291" s="24"/>
      <c r="E291" s="21"/>
      <c r="F291" s="21">
        <f t="shared" si="13"/>
        <v>0</v>
      </c>
      <c r="G291" s="21">
        <f t="shared" si="14"/>
        <v>0</v>
      </c>
      <c r="H291" s="290">
        <v>0</v>
      </c>
      <c r="J291" s="281"/>
      <c r="K291" s="53"/>
      <c r="L291" s="288"/>
      <c r="M291" s="289"/>
    </row>
    <row r="292" spans="1:13">
      <c r="A292" s="281" t="s">
        <v>2578</v>
      </c>
      <c r="B292" s="21"/>
      <c r="C292" s="21"/>
      <c r="D292" s="24"/>
      <c r="E292" s="21"/>
      <c r="F292" s="21">
        <f t="shared" si="13"/>
        <v>0</v>
      </c>
      <c r="G292" s="21">
        <f t="shared" si="14"/>
        <v>0</v>
      </c>
      <c r="H292" s="290">
        <v>0</v>
      </c>
      <c r="J292" s="281"/>
      <c r="K292" s="53"/>
      <c r="L292" s="288"/>
      <c r="M292" s="289"/>
    </row>
    <row r="293" spans="1:13">
      <c r="A293" s="21"/>
      <c r="B293" s="21"/>
      <c r="C293" s="21"/>
      <c r="D293" s="24"/>
      <c r="E293" s="21"/>
      <c r="F293" s="21">
        <f t="shared" si="13"/>
        <v>0</v>
      </c>
      <c r="G293" s="21">
        <f t="shared" si="14"/>
        <v>0</v>
      </c>
      <c r="H293" s="290">
        <v>0</v>
      </c>
      <c r="J293" s="281"/>
      <c r="K293" s="53"/>
      <c r="L293" s="288"/>
      <c r="M293" s="289"/>
    </row>
    <row r="294" spans="1:13">
      <c r="A294" s="21" t="s">
        <v>479</v>
      </c>
      <c r="B294" s="21" t="s">
        <v>3371</v>
      </c>
      <c r="C294" s="21" t="s">
        <v>480</v>
      </c>
      <c r="D294" s="24" t="s">
        <v>308</v>
      </c>
      <c r="E294" s="21"/>
      <c r="F294" s="21">
        <f t="shared" si="13"/>
        <v>1131597</v>
      </c>
      <c r="G294" s="21">
        <f t="shared" si="14"/>
        <v>0</v>
      </c>
      <c r="H294" s="290">
        <v>0</v>
      </c>
      <c r="J294" s="469" t="s">
        <v>481</v>
      </c>
      <c r="K294" s="468">
        <v>5.8</v>
      </c>
      <c r="L294" s="476"/>
      <c r="M294" s="477"/>
    </row>
    <row r="295" spans="1:13">
      <c r="A295" s="21" t="s">
        <v>482</v>
      </c>
      <c r="B295" s="21" t="s">
        <v>3372</v>
      </c>
      <c r="C295" s="21" t="s">
        <v>483</v>
      </c>
      <c r="D295" s="24" t="s">
        <v>308</v>
      </c>
      <c r="E295" s="21"/>
      <c r="F295" s="21">
        <f t="shared" si="13"/>
        <v>877964</v>
      </c>
      <c r="G295" s="21">
        <f t="shared" si="14"/>
        <v>0</v>
      </c>
      <c r="H295" s="290">
        <v>0</v>
      </c>
      <c r="J295" s="469" t="s">
        <v>481</v>
      </c>
      <c r="K295" s="468">
        <v>4.5</v>
      </c>
      <c r="L295" s="476"/>
      <c r="M295" s="477"/>
    </row>
    <row r="296" spans="1:13">
      <c r="A296" s="21" t="s">
        <v>484</v>
      </c>
      <c r="B296" s="21" t="s">
        <v>3373</v>
      </c>
      <c r="C296" s="21" t="s">
        <v>3822</v>
      </c>
      <c r="D296" s="24" t="s">
        <v>308</v>
      </c>
      <c r="E296" s="21"/>
      <c r="F296" s="21">
        <f t="shared" si="13"/>
        <v>760902</v>
      </c>
      <c r="G296" s="21">
        <f t="shared" si="14"/>
        <v>0</v>
      </c>
      <c r="H296" s="290">
        <v>0</v>
      </c>
      <c r="J296" s="469" t="s">
        <v>481</v>
      </c>
      <c r="K296" s="468">
        <v>3.9</v>
      </c>
      <c r="L296" s="476"/>
      <c r="M296" s="477"/>
    </row>
    <row r="297" spans="1:13">
      <c r="A297" s="21" t="s">
        <v>3823</v>
      </c>
      <c r="B297" s="21" t="s">
        <v>3988</v>
      </c>
      <c r="C297" s="21" t="s">
        <v>3989</v>
      </c>
      <c r="D297" s="24" t="s">
        <v>308</v>
      </c>
      <c r="E297" s="21"/>
      <c r="F297" s="726">
        <v>296545</v>
      </c>
      <c r="G297" s="726">
        <v>525018</v>
      </c>
      <c r="H297" s="290">
        <v>0</v>
      </c>
      <c r="J297" s="469" t="s">
        <v>481</v>
      </c>
      <c r="K297" s="468">
        <v>3.9</v>
      </c>
      <c r="L297" s="476"/>
      <c r="M297" s="477"/>
    </row>
    <row r="298" spans="1:13">
      <c r="A298" s="21" t="s">
        <v>485</v>
      </c>
      <c r="B298" s="21" t="s">
        <v>486</v>
      </c>
      <c r="C298" s="21" t="s">
        <v>487</v>
      </c>
      <c r="D298" s="24" t="s">
        <v>308</v>
      </c>
      <c r="E298" s="21"/>
      <c r="F298" s="21">
        <f t="shared" si="13"/>
        <v>0</v>
      </c>
      <c r="G298" s="21">
        <f t="shared" si="14"/>
        <v>0</v>
      </c>
      <c r="H298" s="290">
        <v>0</v>
      </c>
      <c r="J298" s="469"/>
      <c r="K298" s="468"/>
      <c r="L298" s="476"/>
      <c r="M298" s="477"/>
    </row>
    <row r="299" spans="1:13">
      <c r="A299" s="21" t="s">
        <v>488</v>
      </c>
      <c r="B299" s="21" t="s">
        <v>489</v>
      </c>
      <c r="C299" s="21" t="s">
        <v>490</v>
      </c>
      <c r="D299" s="24" t="s">
        <v>308</v>
      </c>
      <c r="E299" s="21"/>
      <c r="F299" s="21">
        <f t="shared" si="13"/>
        <v>0</v>
      </c>
      <c r="G299" s="21">
        <f t="shared" si="14"/>
        <v>0</v>
      </c>
      <c r="H299" s="290">
        <v>0</v>
      </c>
      <c r="J299" s="469"/>
      <c r="K299" s="468"/>
      <c r="L299" s="476"/>
      <c r="M299" s="477"/>
    </row>
    <row r="300" spans="1:13">
      <c r="A300" s="21" t="s">
        <v>491</v>
      </c>
      <c r="B300" s="21" t="s">
        <v>2788</v>
      </c>
      <c r="C300" s="21" t="s">
        <v>3567</v>
      </c>
      <c r="D300" s="24" t="s">
        <v>308</v>
      </c>
      <c r="E300" s="21"/>
      <c r="F300" s="21">
        <f>IFERROR(ROUND(VLOOKUP(J300,DGNC,5,0)*K300,0),)</f>
        <v>340001</v>
      </c>
      <c r="G300" s="21">
        <f t="shared" si="14"/>
        <v>0</v>
      </c>
      <c r="H300" s="290">
        <v>0</v>
      </c>
      <c r="J300" s="469" t="s">
        <v>492</v>
      </c>
      <c r="K300" s="468">
        <v>1.9</v>
      </c>
      <c r="L300" s="476"/>
      <c r="M300" s="477"/>
    </row>
    <row r="301" spans="1:13">
      <c r="A301" s="21" t="s">
        <v>3568</v>
      </c>
      <c r="B301" s="21" t="s">
        <v>3569</v>
      </c>
      <c r="C301" s="21" t="s">
        <v>3570</v>
      </c>
      <c r="D301" s="24" t="s">
        <v>308</v>
      </c>
      <c r="E301" s="21"/>
      <c r="F301" s="21">
        <f>IFERROR(ROUND(VLOOKUP(J301,DGNC,5,0)*K301,0),)</f>
        <v>223685</v>
      </c>
      <c r="G301" s="21">
        <f>IFERROR(ROUND(VLOOKUP(L301,DGMTC,8,0)*M301,0),)</f>
        <v>0</v>
      </c>
      <c r="H301" s="290">
        <v>0</v>
      </c>
      <c r="J301" s="469" t="s">
        <v>492</v>
      </c>
      <c r="K301" s="468">
        <v>1.25</v>
      </c>
      <c r="L301" s="476"/>
      <c r="M301" s="477"/>
    </row>
    <row r="302" spans="1:13">
      <c r="A302" s="21" t="s">
        <v>3348</v>
      </c>
      <c r="B302" s="21" t="s">
        <v>3349</v>
      </c>
      <c r="C302" s="21" t="s">
        <v>3350</v>
      </c>
      <c r="D302" s="24" t="s">
        <v>308</v>
      </c>
      <c r="E302" s="21"/>
      <c r="F302" s="21">
        <f>IFERROR(ROUND(VLOOKUP(J302,DGNC,5,0)*K302,0),)</f>
        <v>182527</v>
      </c>
      <c r="G302" s="21">
        <f>IFERROR(ROUND(VLOOKUP(L302,DGMTC,8,0)*M302,0),)</f>
        <v>0</v>
      </c>
      <c r="H302" s="290">
        <v>0</v>
      </c>
      <c r="J302" s="469" t="s">
        <v>492</v>
      </c>
      <c r="K302" s="468">
        <v>1.02</v>
      </c>
      <c r="L302" s="476"/>
      <c r="M302" s="477"/>
    </row>
    <row r="303" spans="1:13">
      <c r="A303" s="21" t="s">
        <v>493</v>
      </c>
      <c r="B303" s="21" t="s">
        <v>494</v>
      </c>
      <c r="C303" s="21" t="s">
        <v>495</v>
      </c>
      <c r="D303" s="24" t="s">
        <v>308</v>
      </c>
      <c r="E303" s="21"/>
      <c r="F303" s="21">
        <f t="shared" si="13"/>
        <v>0</v>
      </c>
      <c r="G303" s="21">
        <f t="shared" si="14"/>
        <v>0</v>
      </c>
      <c r="H303" s="290">
        <v>0</v>
      </c>
      <c r="J303" s="469" t="s">
        <v>492</v>
      </c>
      <c r="K303" s="468"/>
      <c r="L303" s="476"/>
      <c r="M303" s="477"/>
    </row>
    <row r="304" spans="1:13">
      <c r="A304" s="21" t="s">
        <v>496</v>
      </c>
      <c r="B304" s="21" t="s">
        <v>497</v>
      </c>
      <c r="C304" s="21" t="s">
        <v>498</v>
      </c>
      <c r="D304" s="24" t="s">
        <v>308</v>
      </c>
      <c r="E304" s="21"/>
      <c r="F304" s="21">
        <f t="shared" si="13"/>
        <v>0</v>
      </c>
      <c r="G304" s="21">
        <f t="shared" si="14"/>
        <v>0</v>
      </c>
      <c r="H304" s="290">
        <v>0</v>
      </c>
      <c r="J304" s="469" t="s">
        <v>492</v>
      </c>
      <c r="K304" s="468"/>
      <c r="L304" s="476"/>
      <c r="M304" s="477"/>
    </row>
    <row r="305" spans="1:13">
      <c r="A305" s="21" t="s">
        <v>499</v>
      </c>
      <c r="B305" s="21" t="s">
        <v>500</v>
      </c>
      <c r="C305" s="21" t="s">
        <v>3571</v>
      </c>
      <c r="D305" s="24" t="s">
        <v>308</v>
      </c>
      <c r="E305" s="21"/>
      <c r="F305" s="21">
        <f>IFERROR(ROUND(VLOOKUP(J305,DGNC,5,0)*K305,0),)</f>
        <v>418738</v>
      </c>
      <c r="G305" s="21">
        <f t="shared" si="14"/>
        <v>0</v>
      </c>
      <c r="H305" s="290">
        <v>0</v>
      </c>
      <c r="J305" s="469" t="s">
        <v>492</v>
      </c>
      <c r="K305" s="468">
        <v>2.34</v>
      </c>
      <c r="L305" s="476"/>
      <c r="M305" s="477"/>
    </row>
    <row r="306" spans="1:13">
      <c r="A306" s="21" t="s">
        <v>3572</v>
      </c>
      <c r="B306" s="21" t="s">
        <v>3573</v>
      </c>
      <c r="C306" s="21" t="s">
        <v>3574</v>
      </c>
      <c r="D306" s="24" t="s">
        <v>308</v>
      </c>
      <c r="E306" s="21"/>
      <c r="F306" s="21">
        <f>IFERROR(ROUND(VLOOKUP(J306,DGNC,5,0)*K306,0),)</f>
        <v>270211</v>
      </c>
      <c r="G306" s="21">
        <f>IFERROR(ROUND(VLOOKUP(L306,DGMTC,8,0)*M306,0),)</f>
        <v>0</v>
      </c>
      <c r="H306" s="290">
        <v>0</v>
      </c>
      <c r="J306" s="469" t="s">
        <v>492</v>
      </c>
      <c r="K306" s="468">
        <v>1.51</v>
      </c>
      <c r="L306" s="476"/>
      <c r="M306" s="477"/>
    </row>
    <row r="307" spans="1:13">
      <c r="A307" s="21" t="s">
        <v>501</v>
      </c>
      <c r="B307" s="21" t="s">
        <v>502</v>
      </c>
      <c r="C307" s="21" t="s">
        <v>503</v>
      </c>
      <c r="D307" s="24" t="s">
        <v>308</v>
      </c>
      <c r="E307" s="21"/>
      <c r="F307" s="21">
        <f t="shared" si="13"/>
        <v>0</v>
      </c>
      <c r="G307" s="21">
        <f t="shared" si="14"/>
        <v>0</v>
      </c>
      <c r="H307" s="290">
        <v>0</v>
      </c>
      <c r="J307" s="469" t="s">
        <v>492</v>
      </c>
      <c r="K307" s="468"/>
      <c r="L307" s="476"/>
      <c r="M307" s="477"/>
    </row>
    <row r="308" spans="1:13">
      <c r="A308" s="21" t="s">
        <v>504</v>
      </c>
      <c r="B308" s="21" t="s">
        <v>505</v>
      </c>
      <c r="C308" s="21" t="s">
        <v>506</v>
      </c>
      <c r="D308" s="24" t="s">
        <v>308</v>
      </c>
      <c r="E308" s="21"/>
      <c r="F308" s="21">
        <f t="shared" si="13"/>
        <v>0</v>
      </c>
      <c r="G308" s="21">
        <f t="shared" si="14"/>
        <v>0</v>
      </c>
      <c r="H308" s="290">
        <v>0</v>
      </c>
      <c r="J308" s="469" t="s">
        <v>492</v>
      </c>
      <c r="K308" s="468"/>
      <c r="L308" s="476"/>
      <c r="M308" s="477"/>
    </row>
    <row r="309" spans="1:13">
      <c r="A309" s="21" t="s">
        <v>507</v>
      </c>
      <c r="B309" s="21" t="s">
        <v>508</v>
      </c>
      <c r="C309" s="21" t="s">
        <v>509</v>
      </c>
      <c r="D309" s="24" t="s">
        <v>308</v>
      </c>
      <c r="E309" s="21"/>
      <c r="F309" s="21">
        <f t="shared" si="13"/>
        <v>0</v>
      </c>
      <c r="G309" s="21">
        <f t="shared" si="14"/>
        <v>0</v>
      </c>
      <c r="H309" s="290">
        <v>0</v>
      </c>
      <c r="J309" s="469" t="s">
        <v>492</v>
      </c>
      <c r="K309" s="468"/>
      <c r="L309" s="476"/>
      <c r="M309" s="477"/>
    </row>
    <row r="310" spans="1:13">
      <c r="A310" s="21" t="s">
        <v>510</v>
      </c>
      <c r="B310" s="21" t="s">
        <v>3575</v>
      </c>
      <c r="C310" s="21" t="s">
        <v>3576</v>
      </c>
      <c r="D310" s="24" t="s">
        <v>308</v>
      </c>
      <c r="E310" s="21"/>
      <c r="F310" s="21">
        <f>IFERROR(ROUND(VLOOKUP(J310,DGNC,5,0)*K310,0),)</f>
        <v>16267</v>
      </c>
      <c r="G310" s="21">
        <f t="shared" si="14"/>
        <v>11176</v>
      </c>
      <c r="H310" s="290">
        <v>0</v>
      </c>
      <c r="J310" s="469" t="s">
        <v>1283</v>
      </c>
      <c r="K310" s="468">
        <f>7.7/100</f>
        <v>7.6999999999999999E-2</v>
      </c>
      <c r="L310" s="476" t="s">
        <v>3577</v>
      </c>
      <c r="M310" s="477">
        <v>3.85E-2</v>
      </c>
    </row>
    <row r="311" spans="1:13">
      <c r="A311" s="21" t="s">
        <v>511</v>
      </c>
      <c r="B311" s="21" t="s">
        <v>512</v>
      </c>
      <c r="C311" s="21" t="s">
        <v>513</v>
      </c>
      <c r="D311" s="24" t="s">
        <v>308</v>
      </c>
      <c r="E311" s="21"/>
      <c r="F311" s="21">
        <f t="shared" si="13"/>
        <v>0</v>
      </c>
      <c r="G311" s="21">
        <f t="shared" si="14"/>
        <v>0</v>
      </c>
      <c r="H311" s="290">
        <v>0</v>
      </c>
      <c r="J311" s="469" t="s">
        <v>492</v>
      </c>
      <c r="K311" s="468"/>
      <c r="L311" s="476"/>
      <c r="M311" s="477"/>
    </row>
    <row r="312" spans="1:13">
      <c r="A312" s="21" t="s">
        <v>514</v>
      </c>
      <c r="B312" s="21" t="s">
        <v>515</v>
      </c>
      <c r="C312" s="21" t="s">
        <v>516</v>
      </c>
      <c r="D312" s="24" t="s">
        <v>308</v>
      </c>
      <c r="E312" s="21"/>
      <c r="F312" s="21">
        <f t="shared" si="13"/>
        <v>0</v>
      </c>
      <c r="G312" s="21">
        <f t="shared" si="14"/>
        <v>0</v>
      </c>
      <c r="H312" s="290">
        <v>0</v>
      </c>
      <c r="J312" s="469"/>
      <c r="K312" s="468"/>
      <c r="L312" s="476"/>
      <c r="M312" s="477"/>
    </row>
    <row r="313" spans="1:13">
      <c r="A313" s="21" t="s">
        <v>517</v>
      </c>
      <c r="B313" s="21" t="s">
        <v>518</v>
      </c>
      <c r="C313" s="21" t="s">
        <v>519</v>
      </c>
      <c r="D313" s="24" t="s">
        <v>308</v>
      </c>
      <c r="E313" s="21"/>
      <c r="F313" s="21">
        <f t="shared" si="13"/>
        <v>0</v>
      </c>
      <c r="G313" s="21">
        <f t="shared" si="14"/>
        <v>0</v>
      </c>
      <c r="H313" s="290">
        <v>0</v>
      </c>
      <c r="J313" s="469"/>
      <c r="K313" s="468"/>
      <c r="L313" s="476"/>
      <c r="M313" s="477"/>
    </row>
    <row r="314" spans="1:13">
      <c r="A314" s="21" t="s">
        <v>520</v>
      </c>
      <c r="B314" s="21" t="s">
        <v>521</v>
      </c>
      <c r="C314" s="21" t="s">
        <v>522</v>
      </c>
      <c r="D314" s="24" t="s">
        <v>308</v>
      </c>
      <c r="E314" s="21"/>
      <c r="F314" s="21">
        <f t="shared" si="13"/>
        <v>0</v>
      </c>
      <c r="G314" s="21">
        <f t="shared" si="14"/>
        <v>0</v>
      </c>
      <c r="H314" s="290">
        <v>0</v>
      </c>
      <c r="J314" s="469"/>
      <c r="K314" s="468"/>
      <c r="L314" s="476"/>
      <c r="M314" s="477"/>
    </row>
    <row r="315" spans="1:13">
      <c r="A315" s="21" t="s">
        <v>523</v>
      </c>
      <c r="B315" s="21" t="s">
        <v>524</v>
      </c>
      <c r="C315" s="21" t="s">
        <v>525</v>
      </c>
      <c r="D315" s="24" t="s">
        <v>308</v>
      </c>
      <c r="E315" s="21"/>
      <c r="F315" s="21">
        <f t="shared" si="13"/>
        <v>0</v>
      </c>
      <c r="G315" s="21">
        <f t="shared" si="14"/>
        <v>0</v>
      </c>
      <c r="H315" s="290">
        <v>0</v>
      </c>
      <c r="J315" s="469"/>
      <c r="K315" s="468"/>
      <c r="L315" s="476"/>
      <c r="M315" s="477"/>
    </row>
    <row r="316" spans="1:13">
      <c r="A316" s="21" t="s">
        <v>526</v>
      </c>
      <c r="B316" s="21" t="s">
        <v>527</v>
      </c>
      <c r="C316" s="21" t="s">
        <v>528</v>
      </c>
      <c r="D316" s="24" t="s">
        <v>308</v>
      </c>
      <c r="E316" s="21"/>
      <c r="F316" s="21">
        <f t="shared" si="13"/>
        <v>0</v>
      </c>
      <c r="G316" s="21">
        <f t="shared" si="14"/>
        <v>0</v>
      </c>
      <c r="H316" s="290">
        <v>0</v>
      </c>
      <c r="J316" s="469"/>
      <c r="K316" s="468"/>
      <c r="L316" s="476"/>
      <c r="M316" s="477"/>
    </row>
    <row r="317" spans="1:13">
      <c r="A317" s="21" t="s">
        <v>529</v>
      </c>
      <c r="B317" s="21" t="s">
        <v>527</v>
      </c>
      <c r="C317" s="21" t="s">
        <v>530</v>
      </c>
      <c r="D317" s="24" t="s">
        <v>308</v>
      </c>
      <c r="E317" s="21"/>
      <c r="F317" s="21">
        <f t="shared" si="13"/>
        <v>0</v>
      </c>
      <c r="G317" s="21">
        <f t="shared" si="14"/>
        <v>0</v>
      </c>
      <c r="H317" s="290">
        <v>0</v>
      </c>
      <c r="J317" s="469"/>
      <c r="K317" s="468"/>
      <c r="L317" s="476"/>
      <c r="M317" s="477"/>
    </row>
    <row r="318" spans="1:13">
      <c r="A318" s="21" t="s">
        <v>531</v>
      </c>
      <c r="B318" s="21" t="s">
        <v>532</v>
      </c>
      <c r="C318" s="21" t="s">
        <v>533</v>
      </c>
      <c r="D318" s="24" t="s">
        <v>308</v>
      </c>
      <c r="E318" s="21"/>
      <c r="F318" s="21">
        <f t="shared" si="13"/>
        <v>0</v>
      </c>
      <c r="G318" s="21">
        <f t="shared" si="14"/>
        <v>0</v>
      </c>
      <c r="H318" s="290">
        <v>0</v>
      </c>
      <c r="J318" s="469"/>
      <c r="K318" s="468"/>
      <c r="L318" s="476"/>
      <c r="M318" s="477"/>
    </row>
    <row r="319" spans="1:13">
      <c r="A319" s="21" t="s">
        <v>534</v>
      </c>
      <c r="B319" s="21" t="s">
        <v>532</v>
      </c>
      <c r="C319" s="21" t="s">
        <v>535</v>
      </c>
      <c r="D319" s="24" t="s">
        <v>308</v>
      </c>
      <c r="E319" s="21"/>
      <c r="F319" s="21">
        <f t="shared" si="13"/>
        <v>0</v>
      </c>
      <c r="G319" s="21">
        <f t="shared" si="14"/>
        <v>0</v>
      </c>
      <c r="H319" s="290">
        <v>0</v>
      </c>
      <c r="J319" s="469"/>
      <c r="K319" s="468"/>
      <c r="L319" s="476"/>
      <c r="M319" s="477"/>
    </row>
    <row r="320" spans="1:13">
      <c r="A320" s="21" t="s">
        <v>536</v>
      </c>
      <c r="B320" s="21" t="s">
        <v>532</v>
      </c>
      <c r="C320" s="21" t="s">
        <v>537</v>
      </c>
      <c r="D320" s="24" t="s">
        <v>308</v>
      </c>
      <c r="E320" s="21"/>
      <c r="F320" s="21">
        <f t="shared" si="13"/>
        <v>0</v>
      </c>
      <c r="G320" s="21">
        <f t="shared" si="14"/>
        <v>0</v>
      </c>
      <c r="H320" s="290">
        <v>0</v>
      </c>
      <c r="J320" s="469"/>
      <c r="K320" s="468"/>
      <c r="L320" s="476"/>
      <c r="M320" s="477"/>
    </row>
    <row r="321" spans="1:13">
      <c r="A321" s="21" t="s">
        <v>538</v>
      </c>
      <c r="B321" s="21" t="s">
        <v>515</v>
      </c>
      <c r="C321" s="21" t="s">
        <v>539</v>
      </c>
      <c r="D321" s="24" t="s">
        <v>308</v>
      </c>
      <c r="E321" s="21"/>
      <c r="F321" s="21">
        <f t="shared" si="13"/>
        <v>0</v>
      </c>
      <c r="G321" s="21">
        <f t="shared" si="14"/>
        <v>0</v>
      </c>
      <c r="H321" s="290">
        <v>0</v>
      </c>
      <c r="J321" s="469"/>
      <c r="K321" s="468"/>
      <c r="L321" s="476"/>
      <c r="M321" s="477"/>
    </row>
    <row r="322" spans="1:13">
      <c r="A322" s="21" t="s">
        <v>540</v>
      </c>
      <c r="B322" s="21" t="s">
        <v>541</v>
      </c>
      <c r="C322" s="21" t="s">
        <v>542</v>
      </c>
      <c r="D322" s="24" t="s">
        <v>308</v>
      </c>
      <c r="E322" s="21"/>
      <c r="F322" s="21">
        <f t="shared" si="13"/>
        <v>241580</v>
      </c>
      <c r="G322" s="21">
        <f t="shared" si="14"/>
        <v>0</v>
      </c>
      <c r="H322" s="290">
        <v>0</v>
      </c>
      <c r="J322" s="469" t="s">
        <v>492</v>
      </c>
      <c r="K322" s="468">
        <v>1.35</v>
      </c>
      <c r="L322" s="476"/>
      <c r="M322" s="477"/>
    </row>
    <row r="323" spans="1:13">
      <c r="A323" s="21" t="s">
        <v>543</v>
      </c>
      <c r="B323" s="21" t="s">
        <v>518</v>
      </c>
      <c r="C323" s="21" t="s">
        <v>544</v>
      </c>
      <c r="D323" s="24" t="s">
        <v>308</v>
      </c>
      <c r="E323" s="21"/>
      <c r="F323" s="21">
        <f t="shared" si="13"/>
        <v>0</v>
      </c>
      <c r="G323" s="21">
        <f t="shared" si="14"/>
        <v>0</v>
      </c>
      <c r="H323" s="290">
        <v>0</v>
      </c>
      <c r="J323" s="469"/>
      <c r="K323" s="468"/>
      <c r="L323" s="476"/>
      <c r="M323" s="477"/>
    </row>
    <row r="324" spans="1:13">
      <c r="A324" s="21" t="s">
        <v>545</v>
      </c>
      <c r="B324" s="21" t="s">
        <v>524</v>
      </c>
      <c r="C324" s="21" t="s">
        <v>546</v>
      </c>
      <c r="D324" s="24" t="s">
        <v>308</v>
      </c>
      <c r="E324" s="21"/>
      <c r="F324" s="21">
        <f t="shared" si="13"/>
        <v>0</v>
      </c>
      <c r="G324" s="21">
        <f t="shared" si="14"/>
        <v>0</v>
      </c>
      <c r="H324" s="290">
        <v>0</v>
      </c>
      <c r="J324" s="469"/>
      <c r="K324" s="468"/>
      <c r="L324" s="476"/>
      <c r="M324" s="477"/>
    </row>
    <row r="325" spans="1:13">
      <c r="A325" s="21" t="s">
        <v>547</v>
      </c>
      <c r="B325" s="21" t="s">
        <v>3575</v>
      </c>
      <c r="C325" s="21" t="s">
        <v>2785</v>
      </c>
      <c r="D325" s="24" t="s">
        <v>308</v>
      </c>
      <c r="E325" s="21"/>
      <c r="F325" s="21">
        <f>IFERROR(ROUND(VLOOKUP(J325,DGNC,5,0)*K325,0),)</f>
        <v>16267</v>
      </c>
      <c r="G325" s="21">
        <f t="shared" si="14"/>
        <v>11176</v>
      </c>
      <c r="H325" s="290">
        <v>0</v>
      </c>
      <c r="J325" s="469" t="s">
        <v>1283</v>
      </c>
      <c r="K325" s="468">
        <v>7.6999999999999999E-2</v>
      </c>
      <c r="L325" s="476" t="s">
        <v>3577</v>
      </c>
      <c r="M325" s="477">
        <v>3.85E-2</v>
      </c>
    </row>
    <row r="326" spans="1:13">
      <c r="A326" s="21" t="s">
        <v>548</v>
      </c>
      <c r="B326" s="21" t="s">
        <v>527</v>
      </c>
      <c r="C326" s="21" t="s">
        <v>549</v>
      </c>
      <c r="D326" s="24" t="s">
        <v>308</v>
      </c>
      <c r="E326" s="21"/>
      <c r="F326" s="21">
        <f t="shared" si="13"/>
        <v>0</v>
      </c>
      <c r="G326" s="21">
        <f t="shared" si="14"/>
        <v>0</v>
      </c>
      <c r="H326" s="290">
        <v>0</v>
      </c>
      <c r="J326" s="469"/>
      <c r="K326" s="468"/>
      <c r="L326" s="476"/>
      <c r="M326" s="477"/>
    </row>
    <row r="327" spans="1:13">
      <c r="A327" s="21" t="s">
        <v>550</v>
      </c>
      <c r="B327" s="21" t="s">
        <v>551</v>
      </c>
      <c r="C327" s="21" t="s">
        <v>552</v>
      </c>
      <c r="D327" s="24" t="s">
        <v>24</v>
      </c>
      <c r="E327" s="21"/>
      <c r="F327" s="21">
        <f t="shared" si="13"/>
        <v>0</v>
      </c>
      <c r="G327" s="21">
        <f t="shared" si="14"/>
        <v>0</v>
      </c>
      <c r="H327" s="290">
        <v>0</v>
      </c>
      <c r="J327" s="469"/>
      <c r="K327" s="468"/>
      <c r="L327" s="476"/>
      <c r="M327" s="477"/>
    </row>
    <row r="328" spans="1:13">
      <c r="A328" s="21" t="s">
        <v>553</v>
      </c>
      <c r="B328" s="21" t="s">
        <v>344</v>
      </c>
      <c r="C328" s="21" t="s">
        <v>554</v>
      </c>
      <c r="D328" s="24" t="s">
        <v>24</v>
      </c>
      <c r="E328" s="21"/>
      <c r="F328" s="21">
        <f t="shared" si="13"/>
        <v>0</v>
      </c>
      <c r="G328" s="21">
        <f t="shared" si="14"/>
        <v>0</v>
      </c>
      <c r="H328" s="290">
        <v>0</v>
      </c>
      <c r="J328" s="469"/>
      <c r="K328" s="468"/>
      <c r="L328" s="476"/>
      <c r="M328" s="477"/>
    </row>
    <row r="329" spans="1:13">
      <c r="A329" s="21" t="s">
        <v>555</v>
      </c>
      <c r="B329" s="21" t="s">
        <v>556</v>
      </c>
      <c r="C329" s="21" t="s">
        <v>557</v>
      </c>
      <c r="D329" s="24" t="s">
        <v>473</v>
      </c>
      <c r="E329" s="21"/>
      <c r="F329" s="21">
        <f t="shared" si="13"/>
        <v>0</v>
      </c>
      <c r="G329" s="21">
        <f t="shared" si="14"/>
        <v>0</v>
      </c>
      <c r="H329" s="290">
        <v>0</v>
      </c>
      <c r="J329" s="469"/>
      <c r="K329" s="468"/>
      <c r="L329" s="476"/>
      <c r="M329" s="477"/>
    </row>
    <row r="330" spans="1:13">
      <c r="A330" s="21" t="s">
        <v>558</v>
      </c>
      <c r="B330" s="21" t="s">
        <v>13</v>
      </c>
      <c r="C330" s="21" t="s">
        <v>559</v>
      </c>
      <c r="D330" s="24" t="s">
        <v>11</v>
      </c>
      <c r="E330" s="21"/>
      <c r="F330" s="21">
        <f t="shared" si="13"/>
        <v>0</v>
      </c>
      <c r="G330" s="21">
        <f t="shared" si="14"/>
        <v>0</v>
      </c>
      <c r="H330" s="290">
        <v>0</v>
      </c>
      <c r="J330" s="469"/>
      <c r="K330" s="468"/>
      <c r="L330" s="476"/>
      <c r="M330" s="477"/>
    </row>
    <row r="331" spans="1:13">
      <c r="A331" s="21" t="s">
        <v>560</v>
      </c>
      <c r="B331" s="21" t="s">
        <v>13</v>
      </c>
      <c r="C331" s="21" t="s">
        <v>561</v>
      </c>
      <c r="D331" s="24" t="s">
        <v>11</v>
      </c>
      <c r="E331" s="21"/>
      <c r="F331" s="21">
        <f t="shared" si="13"/>
        <v>0</v>
      </c>
      <c r="G331" s="21">
        <f t="shared" si="14"/>
        <v>0</v>
      </c>
      <c r="H331" s="290">
        <v>0</v>
      </c>
      <c r="J331" s="469"/>
      <c r="K331" s="468"/>
      <c r="L331" s="476"/>
      <c r="M331" s="477"/>
    </row>
    <row r="332" spans="1:13">
      <c r="A332" s="21" t="s">
        <v>562</v>
      </c>
      <c r="B332" s="21" t="s">
        <v>14</v>
      </c>
      <c r="C332" s="21" t="s">
        <v>563</v>
      </c>
      <c r="D332" s="24" t="s">
        <v>11</v>
      </c>
      <c r="E332" s="21"/>
      <c r="F332" s="21">
        <f t="shared" si="13"/>
        <v>0</v>
      </c>
      <c r="G332" s="21">
        <f t="shared" si="14"/>
        <v>0</v>
      </c>
      <c r="H332" s="290">
        <v>0</v>
      </c>
      <c r="J332" s="469"/>
      <c r="K332" s="468"/>
      <c r="L332" s="476"/>
      <c r="M332" s="477"/>
    </row>
    <row r="333" spans="1:13">
      <c r="A333" s="21" t="s">
        <v>564</v>
      </c>
      <c r="B333" s="21" t="s">
        <v>141</v>
      </c>
      <c r="C333" s="21" t="s">
        <v>565</v>
      </c>
      <c r="D333" s="24" t="s">
        <v>142</v>
      </c>
      <c r="E333" s="21"/>
      <c r="F333" s="21">
        <f t="shared" si="13"/>
        <v>0</v>
      </c>
      <c r="G333" s="21">
        <f t="shared" si="14"/>
        <v>0</v>
      </c>
      <c r="H333" s="290">
        <v>0</v>
      </c>
      <c r="J333" s="469"/>
      <c r="K333" s="468"/>
      <c r="L333" s="476"/>
      <c r="M333" s="477"/>
    </row>
    <row r="334" spans="1:13">
      <c r="A334" s="21" t="s">
        <v>566</v>
      </c>
      <c r="B334" s="21" t="s">
        <v>141</v>
      </c>
      <c r="C334" s="21" t="s">
        <v>567</v>
      </c>
      <c r="D334" s="24" t="s">
        <v>142</v>
      </c>
      <c r="E334" s="21"/>
      <c r="F334" s="21">
        <f t="shared" si="13"/>
        <v>0</v>
      </c>
      <c r="G334" s="21">
        <f t="shared" si="14"/>
        <v>0</v>
      </c>
      <c r="H334" s="290">
        <v>0</v>
      </c>
      <c r="J334" s="469"/>
      <c r="K334" s="468"/>
      <c r="L334" s="476"/>
      <c r="M334" s="477"/>
    </row>
    <row r="335" spans="1:13">
      <c r="A335" s="21" t="s">
        <v>568</v>
      </c>
      <c r="B335" s="21" t="s">
        <v>141</v>
      </c>
      <c r="C335" s="21" t="s">
        <v>569</v>
      </c>
      <c r="D335" s="24" t="s">
        <v>142</v>
      </c>
      <c r="E335" s="21"/>
      <c r="F335" s="21">
        <f t="shared" si="13"/>
        <v>0</v>
      </c>
      <c r="G335" s="21">
        <f t="shared" si="14"/>
        <v>0</v>
      </c>
      <c r="H335" s="290">
        <v>0</v>
      </c>
      <c r="J335" s="469"/>
      <c r="K335" s="468"/>
      <c r="L335" s="476"/>
      <c r="M335" s="477"/>
    </row>
    <row r="336" spans="1:13">
      <c r="A336" s="21" t="s">
        <v>570</v>
      </c>
      <c r="B336" s="23" t="s">
        <v>571</v>
      </c>
      <c r="C336" s="23" t="s">
        <v>572</v>
      </c>
      <c r="D336" s="463" t="s">
        <v>143</v>
      </c>
      <c r="E336" s="23"/>
      <c r="F336" s="23">
        <f>IFERROR(ROUND(VLOOKUP(J336,DGNC,5,0)*K336,0),)</f>
        <v>2195</v>
      </c>
      <c r="G336" s="21">
        <f t="shared" si="14"/>
        <v>0</v>
      </c>
      <c r="H336" s="290">
        <v>0</v>
      </c>
      <c r="J336" s="469" t="s">
        <v>289</v>
      </c>
      <c r="K336" s="468">
        <f>1/100</f>
        <v>0.01</v>
      </c>
      <c r="L336" s="476"/>
      <c r="M336" s="477"/>
    </row>
    <row r="337" spans="1:13">
      <c r="A337" s="21" t="s">
        <v>573</v>
      </c>
      <c r="B337" s="23" t="s">
        <v>2588</v>
      </c>
      <c r="C337" s="23" t="s">
        <v>574</v>
      </c>
      <c r="D337" s="463" t="s">
        <v>146</v>
      </c>
      <c r="E337" s="23"/>
      <c r="F337" s="23">
        <f>IFERROR(ROUND(VLOOKUP(J337,DGNC,5,0)*K337,0),)</f>
        <v>6871</v>
      </c>
      <c r="G337" s="21">
        <f t="shared" si="14"/>
        <v>0</v>
      </c>
      <c r="H337" s="290">
        <v>0</v>
      </c>
      <c r="J337" s="469" t="s">
        <v>12</v>
      </c>
      <c r="K337" s="468">
        <v>2.9000000000000001E-2</v>
      </c>
      <c r="L337" s="476"/>
      <c r="M337" s="477"/>
    </row>
    <row r="338" spans="1:13">
      <c r="A338" s="23" t="s">
        <v>575</v>
      </c>
      <c r="B338" s="23" t="s">
        <v>576</v>
      </c>
      <c r="C338" s="23" t="s">
        <v>577</v>
      </c>
      <c r="D338" s="463" t="s">
        <v>279</v>
      </c>
      <c r="E338" s="23"/>
      <c r="F338" s="23">
        <f>IFERROR(ROUND(VLOOKUP(J338,DGNC,5,0)*K338/10*0.8,0),)</f>
        <v>76928</v>
      </c>
      <c r="G338" s="21">
        <f t="shared" si="14"/>
        <v>0</v>
      </c>
      <c r="H338" s="290">
        <v>0</v>
      </c>
      <c r="J338" s="469" t="s">
        <v>289</v>
      </c>
      <c r="K338" s="468">
        <v>4.38</v>
      </c>
      <c r="L338" s="476"/>
      <c r="M338" s="477"/>
    </row>
    <row r="339" spans="1:13">
      <c r="A339" s="21" t="s">
        <v>578</v>
      </c>
      <c r="B339" s="21" t="s">
        <v>579</v>
      </c>
      <c r="C339" s="21" t="s">
        <v>580</v>
      </c>
      <c r="D339" s="24" t="s">
        <v>279</v>
      </c>
      <c r="E339" s="21"/>
      <c r="F339" s="21">
        <f t="shared" si="13"/>
        <v>1646565</v>
      </c>
      <c r="G339" s="21">
        <f t="shared" si="14"/>
        <v>0</v>
      </c>
      <c r="H339" s="290">
        <v>0</v>
      </c>
      <c r="J339" s="469" t="s">
        <v>289</v>
      </c>
      <c r="K339" s="468">
        <v>7.5</v>
      </c>
      <c r="L339" s="476"/>
      <c r="M339" s="477"/>
    </row>
    <row r="340" spans="1:13">
      <c r="A340" s="23" t="s">
        <v>581</v>
      </c>
      <c r="B340" s="23" t="s">
        <v>576</v>
      </c>
      <c r="C340" s="23" t="s">
        <v>582</v>
      </c>
      <c r="D340" s="463" t="s">
        <v>279</v>
      </c>
      <c r="E340" s="23"/>
      <c r="F340" s="23">
        <f>IFERROR(ROUND(VLOOKUP(J340,DGNC,5,0)*K340/10*0.8,0),)</f>
        <v>76928</v>
      </c>
      <c r="G340" s="21">
        <f t="shared" si="14"/>
        <v>0</v>
      </c>
      <c r="H340" s="290">
        <v>0</v>
      </c>
      <c r="J340" s="469" t="s">
        <v>289</v>
      </c>
      <c r="K340" s="468">
        <v>4.38</v>
      </c>
      <c r="L340" s="476"/>
      <c r="M340" s="477"/>
    </row>
    <row r="341" spans="1:13">
      <c r="A341" s="21" t="s">
        <v>583</v>
      </c>
      <c r="B341" s="21" t="s">
        <v>584</v>
      </c>
      <c r="C341" s="21" t="s">
        <v>585</v>
      </c>
      <c r="D341" s="24" t="s">
        <v>276</v>
      </c>
      <c r="E341" s="21"/>
      <c r="F341" s="21">
        <f t="shared" si="13"/>
        <v>1092293</v>
      </c>
      <c r="G341" s="21">
        <f t="shared" si="14"/>
        <v>0</v>
      </c>
      <c r="H341" s="290">
        <v>0</v>
      </c>
      <c r="J341" s="469" t="s">
        <v>12</v>
      </c>
      <c r="K341" s="468">
        <v>4.6100000000000003</v>
      </c>
      <c r="L341" s="476"/>
      <c r="M341" s="477"/>
    </row>
    <row r="342" spans="1:13">
      <c r="A342" s="21" t="s">
        <v>586</v>
      </c>
      <c r="B342" s="21" t="s">
        <v>587</v>
      </c>
      <c r="C342" s="21" t="s">
        <v>588</v>
      </c>
      <c r="D342" s="24" t="s">
        <v>276</v>
      </c>
      <c r="E342" s="21"/>
      <c r="F342" s="21">
        <f t="shared" si="13"/>
        <v>1175222</v>
      </c>
      <c r="G342" s="21">
        <f t="shared" si="14"/>
        <v>0</v>
      </c>
      <c r="H342" s="290">
        <v>0</v>
      </c>
      <c r="J342" s="469" t="s">
        <v>12</v>
      </c>
      <c r="K342" s="468">
        <v>4.96</v>
      </c>
      <c r="L342" s="476"/>
      <c r="M342" s="477"/>
    </row>
    <row r="343" spans="1:13">
      <c r="A343" s="21" t="s">
        <v>589</v>
      </c>
      <c r="B343" s="21" t="s">
        <v>590</v>
      </c>
      <c r="C343" s="21" t="s">
        <v>591</v>
      </c>
      <c r="D343" s="24" t="s">
        <v>276</v>
      </c>
      <c r="E343" s="21"/>
      <c r="F343" s="21">
        <f t="shared" si="13"/>
        <v>1258151</v>
      </c>
      <c r="G343" s="21">
        <f t="shared" si="14"/>
        <v>0</v>
      </c>
      <c r="H343" s="290">
        <v>0</v>
      </c>
      <c r="J343" s="469" t="s">
        <v>12</v>
      </c>
      <c r="K343" s="468">
        <v>5.31</v>
      </c>
      <c r="L343" s="476"/>
      <c r="M343" s="477"/>
    </row>
    <row r="344" spans="1:13">
      <c r="A344" s="21" t="s">
        <v>592</v>
      </c>
      <c r="B344" s="21" t="s">
        <v>590</v>
      </c>
      <c r="C344" s="21" t="s">
        <v>593</v>
      </c>
      <c r="D344" s="24" t="s">
        <v>276</v>
      </c>
      <c r="E344" s="21"/>
      <c r="F344" s="21">
        <f t="shared" si="13"/>
        <v>1258151</v>
      </c>
      <c r="G344" s="21">
        <f t="shared" si="14"/>
        <v>0</v>
      </c>
      <c r="H344" s="290">
        <v>0</v>
      </c>
      <c r="J344" s="469" t="s">
        <v>12</v>
      </c>
      <c r="K344" s="468">
        <v>5.31</v>
      </c>
      <c r="L344" s="476"/>
      <c r="M344" s="477"/>
    </row>
    <row r="345" spans="1:13">
      <c r="A345" s="21" t="s">
        <v>594</v>
      </c>
      <c r="B345" s="21" t="s">
        <v>595</v>
      </c>
      <c r="C345" s="21" t="s">
        <v>596</v>
      </c>
      <c r="D345" s="24" t="s">
        <v>276</v>
      </c>
      <c r="E345" s="21"/>
      <c r="F345" s="21">
        <f t="shared" si="13"/>
        <v>1566173</v>
      </c>
      <c r="G345" s="21">
        <f t="shared" si="14"/>
        <v>0</v>
      </c>
      <c r="H345" s="290">
        <v>0</v>
      </c>
      <c r="J345" s="469" t="s">
        <v>12</v>
      </c>
      <c r="K345" s="468">
        <v>6.61</v>
      </c>
      <c r="L345" s="476"/>
      <c r="M345" s="477"/>
    </row>
    <row r="346" spans="1:13">
      <c r="A346" s="21" t="s">
        <v>597</v>
      </c>
      <c r="B346" s="21" t="s">
        <v>598</v>
      </c>
      <c r="C346" s="21" t="s">
        <v>599</v>
      </c>
      <c r="D346" s="24" t="s">
        <v>276</v>
      </c>
      <c r="E346" s="21"/>
      <c r="F346" s="21">
        <f t="shared" si="13"/>
        <v>0</v>
      </c>
      <c r="G346" s="21">
        <f t="shared" si="14"/>
        <v>0</v>
      </c>
      <c r="H346" s="290">
        <v>0</v>
      </c>
      <c r="J346" s="469" t="s">
        <v>12</v>
      </c>
      <c r="K346" s="468"/>
      <c r="L346" s="476"/>
      <c r="M346" s="477"/>
    </row>
    <row r="347" spans="1:13">
      <c r="A347" s="21" t="s">
        <v>600</v>
      </c>
      <c r="B347" s="21" t="s">
        <v>4008</v>
      </c>
      <c r="C347" s="21" t="s">
        <v>602</v>
      </c>
      <c r="D347" s="24" t="s">
        <v>276</v>
      </c>
      <c r="E347" s="21"/>
      <c r="F347" s="21">
        <f t="shared" si="13"/>
        <v>438339</v>
      </c>
      <c r="G347" s="21">
        <f t="shared" si="14"/>
        <v>135772</v>
      </c>
      <c r="H347" s="290">
        <v>0</v>
      </c>
      <c r="J347" s="469" t="s">
        <v>12</v>
      </c>
      <c r="K347" s="468">
        <v>1.85</v>
      </c>
      <c r="L347" s="476" t="s">
        <v>603</v>
      </c>
      <c r="M347" s="477">
        <v>7.0000000000000007E-2</v>
      </c>
    </row>
    <row r="348" spans="1:13">
      <c r="A348" s="21" t="s">
        <v>604</v>
      </c>
      <c r="B348" s="21" t="s">
        <v>601</v>
      </c>
      <c r="C348" s="21" t="s">
        <v>605</v>
      </c>
      <c r="D348" s="24" t="s">
        <v>276</v>
      </c>
      <c r="E348" s="21"/>
      <c r="F348" s="21">
        <f t="shared" si="13"/>
        <v>469141</v>
      </c>
      <c r="G348" s="21">
        <f t="shared" si="14"/>
        <v>135772</v>
      </c>
      <c r="H348" s="290">
        <v>0</v>
      </c>
      <c r="J348" s="469" t="s">
        <v>12</v>
      </c>
      <c r="K348" s="468">
        <v>1.98</v>
      </c>
      <c r="L348" s="476" t="s">
        <v>603</v>
      </c>
      <c r="M348" s="477">
        <v>7.0000000000000007E-2</v>
      </c>
    </row>
    <row r="349" spans="1:13">
      <c r="A349" s="21" t="s">
        <v>606</v>
      </c>
      <c r="B349" s="21" t="s">
        <v>607</v>
      </c>
      <c r="C349" s="21" t="s">
        <v>608</v>
      </c>
      <c r="D349" s="24" t="s">
        <v>276</v>
      </c>
      <c r="E349" s="21"/>
      <c r="F349" s="21">
        <f t="shared" si="13"/>
        <v>502313</v>
      </c>
      <c r="G349" s="21">
        <f t="shared" si="14"/>
        <v>193960</v>
      </c>
      <c r="H349" s="290">
        <v>0</v>
      </c>
      <c r="J349" s="469" t="s">
        <v>12</v>
      </c>
      <c r="K349" s="468">
        <v>2.12</v>
      </c>
      <c r="L349" s="476" t="s">
        <v>603</v>
      </c>
      <c r="M349" s="477">
        <v>0.1</v>
      </c>
    </row>
    <row r="350" spans="1:13">
      <c r="A350" s="21" t="s">
        <v>609</v>
      </c>
      <c r="B350" s="21" t="s">
        <v>607</v>
      </c>
      <c r="C350" s="21" t="s">
        <v>610</v>
      </c>
      <c r="D350" s="24" t="s">
        <v>276</v>
      </c>
      <c r="E350" s="21"/>
      <c r="F350" s="21">
        <f t="shared" si="13"/>
        <v>502313</v>
      </c>
      <c r="G350" s="21">
        <f t="shared" si="14"/>
        <v>193960</v>
      </c>
      <c r="H350" s="290">
        <v>0</v>
      </c>
      <c r="J350" s="469" t="s">
        <v>12</v>
      </c>
      <c r="K350" s="468">
        <v>2.12</v>
      </c>
      <c r="L350" s="476" t="s">
        <v>603</v>
      </c>
      <c r="M350" s="477">
        <v>0.1</v>
      </c>
    </row>
    <row r="351" spans="1:13">
      <c r="A351" s="21" t="s">
        <v>611</v>
      </c>
      <c r="B351" s="21" t="s">
        <v>612</v>
      </c>
      <c r="C351" s="21" t="s">
        <v>613</v>
      </c>
      <c r="D351" s="24" t="s">
        <v>276</v>
      </c>
      <c r="E351" s="21"/>
      <c r="F351" s="21">
        <f t="shared" si="13"/>
        <v>625522</v>
      </c>
      <c r="G351" s="21">
        <f t="shared" si="14"/>
        <v>193960</v>
      </c>
      <c r="H351" s="290">
        <v>0</v>
      </c>
      <c r="J351" s="469" t="s">
        <v>12</v>
      </c>
      <c r="K351" s="468">
        <v>2.64</v>
      </c>
      <c r="L351" s="476" t="s">
        <v>603</v>
      </c>
      <c r="M351" s="477">
        <v>0.1</v>
      </c>
    </row>
    <row r="352" spans="1:13">
      <c r="A352" s="21" t="s">
        <v>614</v>
      </c>
      <c r="B352" s="21" t="s">
        <v>615</v>
      </c>
      <c r="C352" s="21" t="s">
        <v>616</v>
      </c>
      <c r="D352" s="24" t="s">
        <v>276</v>
      </c>
      <c r="E352" s="21"/>
      <c r="F352" s="21">
        <f t="shared" si="13"/>
        <v>0</v>
      </c>
      <c r="G352" s="21">
        <f t="shared" si="14"/>
        <v>0</v>
      </c>
      <c r="H352" s="290">
        <v>0</v>
      </c>
      <c r="J352" s="469" t="s">
        <v>12</v>
      </c>
      <c r="K352" s="468"/>
      <c r="L352" s="476"/>
      <c r="M352" s="477"/>
    </row>
    <row r="353" spans="1:14">
      <c r="A353" s="21" t="s">
        <v>2913</v>
      </c>
      <c r="B353" s="21" t="s">
        <v>2914</v>
      </c>
      <c r="C353" s="21" t="s">
        <v>2915</v>
      </c>
      <c r="D353" s="24" t="s">
        <v>276</v>
      </c>
      <c r="E353" s="21"/>
      <c r="F353" s="21">
        <f>IFERROR(ROUND(VLOOKUP(J353,DGNC,5,0)*K353*0.8,0),)</f>
        <v>837772</v>
      </c>
      <c r="G353" s="21">
        <f>IFERROR(ROUND(VLOOKUP(L353,DGMTC,8,0)*M353*0.8,0),)</f>
        <v>310336</v>
      </c>
      <c r="H353" s="290">
        <v>0</v>
      </c>
      <c r="J353" s="469" t="s">
        <v>289</v>
      </c>
      <c r="K353" s="468">
        <v>4.7699999999999996</v>
      </c>
      <c r="L353" s="476" t="s">
        <v>603</v>
      </c>
      <c r="M353" s="477">
        <v>0.2</v>
      </c>
    </row>
    <row r="354" spans="1:14">
      <c r="A354" s="21" t="s">
        <v>2916</v>
      </c>
      <c r="B354" s="21" t="s">
        <v>2914</v>
      </c>
      <c r="C354" s="21" t="s">
        <v>2917</v>
      </c>
      <c r="D354" s="24" t="s">
        <v>276</v>
      </c>
      <c r="E354" s="21"/>
      <c r="F354" s="21">
        <f>IFERROR(ROUND(VLOOKUP(J354,DGNC,5,0)*K354*0.8,0),)</f>
        <v>837772</v>
      </c>
      <c r="G354" s="21">
        <f>IFERROR(ROUND(VLOOKUP(L354,DGMTC,8,0)*M354*0.8,0),)</f>
        <v>310336</v>
      </c>
      <c r="H354" s="290">
        <v>0</v>
      </c>
      <c r="J354" s="469" t="s">
        <v>289</v>
      </c>
      <c r="K354" s="468">
        <v>4.7699999999999996</v>
      </c>
      <c r="L354" s="476" t="s">
        <v>603</v>
      </c>
      <c r="M354" s="477">
        <v>0.2</v>
      </c>
    </row>
    <row r="355" spans="1:14">
      <c r="A355" s="21" t="s">
        <v>617</v>
      </c>
      <c r="B355" s="21" t="s">
        <v>2733</v>
      </c>
      <c r="C355" s="21" t="s">
        <v>3826</v>
      </c>
      <c r="D355" s="24" t="s">
        <v>24</v>
      </c>
      <c r="E355" s="21"/>
      <c r="F355" s="21">
        <f>IFERROR(ROUND(VLOOKUP(J355,DGNC,5,0)*K355*1.5*0.8,0),)</f>
        <v>134360</v>
      </c>
      <c r="G355" s="21">
        <f t="shared" si="14"/>
        <v>0</v>
      </c>
      <c r="H355" s="290">
        <v>0</v>
      </c>
      <c r="J355" s="469" t="s">
        <v>289</v>
      </c>
      <c r="K355" s="468">
        <v>0.51</v>
      </c>
      <c r="L355" s="476"/>
      <c r="M355" s="477"/>
    </row>
    <row r="356" spans="1:14">
      <c r="A356" s="21" t="s">
        <v>618</v>
      </c>
      <c r="B356" s="21" t="s">
        <v>2733</v>
      </c>
      <c r="C356" s="21" t="s">
        <v>3827</v>
      </c>
      <c r="D356" s="24" t="s">
        <v>24</v>
      </c>
      <c r="E356" s="21"/>
      <c r="F356" s="21">
        <f>IFERROR(ROUND(VLOOKUP(J356,DGNC,5,0)*K356*1.5*0.8,0),)</f>
        <v>134360</v>
      </c>
      <c r="G356" s="21">
        <f t="shared" si="14"/>
        <v>0</v>
      </c>
      <c r="H356" s="290">
        <v>0</v>
      </c>
      <c r="J356" s="469" t="s">
        <v>289</v>
      </c>
      <c r="K356" s="468">
        <v>0.51</v>
      </c>
      <c r="L356" s="476"/>
      <c r="M356" s="477"/>
    </row>
    <row r="357" spans="1:14">
      <c r="A357" s="21" t="s">
        <v>619</v>
      </c>
      <c r="B357" s="21" t="s">
        <v>2733</v>
      </c>
      <c r="C357" s="21" t="s">
        <v>3828</v>
      </c>
      <c r="D357" s="24" t="s">
        <v>24</v>
      </c>
      <c r="E357" s="21"/>
      <c r="F357" s="21">
        <f>IFERROR(ROUND(VLOOKUP(J357,DGNC,5,0)*K357*1.5*0.8,0),)</f>
        <v>134360</v>
      </c>
      <c r="G357" s="21">
        <f t="shared" si="14"/>
        <v>0</v>
      </c>
      <c r="H357" s="290">
        <v>0</v>
      </c>
      <c r="J357" s="469" t="s">
        <v>289</v>
      </c>
      <c r="K357" s="468">
        <v>0.51</v>
      </c>
      <c r="L357" s="476"/>
      <c r="M357" s="477"/>
    </row>
    <row r="358" spans="1:14">
      <c r="A358" s="21" t="s">
        <v>620</v>
      </c>
      <c r="B358" s="21" t="s">
        <v>2733</v>
      </c>
      <c r="C358" s="21" t="s">
        <v>3829</v>
      </c>
      <c r="D358" s="24" t="s">
        <v>24</v>
      </c>
      <c r="E358" s="21"/>
      <c r="F358" s="21">
        <f>IFERROR(ROUND(VLOOKUP(J358,DGNC,5,0)*K358*1.5*0.8,0),)</f>
        <v>134360</v>
      </c>
      <c r="G358" s="21">
        <f t="shared" ref="G358:G429" si="15">IFERROR(ROUND(VLOOKUP(L358,DGMTC,8,0)*M358,0),)</f>
        <v>0</v>
      </c>
      <c r="H358" s="290">
        <v>0</v>
      </c>
      <c r="J358" s="469" t="s">
        <v>289</v>
      </c>
      <c r="K358" s="468">
        <v>0.51</v>
      </c>
      <c r="L358" s="476"/>
      <c r="M358" s="477"/>
    </row>
    <row r="359" spans="1:14">
      <c r="A359" s="21" t="s">
        <v>622</v>
      </c>
      <c r="B359" s="21" t="s">
        <v>2733</v>
      </c>
      <c r="C359" s="21" t="s">
        <v>3830</v>
      </c>
      <c r="D359" s="24" t="s">
        <v>24</v>
      </c>
      <c r="E359" s="21"/>
      <c r="F359" s="21">
        <f>IFERROR(ROUND(VLOOKUP(J359,DGNC,5,0)*K359*1.5*0.8,0),)</f>
        <v>134360</v>
      </c>
      <c r="G359" s="21">
        <f t="shared" si="15"/>
        <v>0</v>
      </c>
      <c r="H359" s="290">
        <v>0</v>
      </c>
      <c r="J359" s="469" t="s">
        <v>289</v>
      </c>
      <c r="K359" s="468">
        <v>0.51</v>
      </c>
      <c r="L359" s="476"/>
      <c r="M359" s="477"/>
    </row>
    <row r="360" spans="1:14">
      <c r="A360" s="21" t="s">
        <v>623</v>
      </c>
      <c r="B360" s="21" t="s">
        <v>624</v>
      </c>
      <c r="C360" s="21" t="s">
        <v>625</v>
      </c>
      <c r="D360" s="24" t="s">
        <v>24</v>
      </c>
      <c r="E360" s="21"/>
      <c r="F360" s="21">
        <f t="shared" ref="F360:F367" si="16">IFERROR(ROUND(VLOOKUP(J360,DGNC,5,0)*K360*N360*1.5,0),)</f>
        <v>283835</v>
      </c>
      <c r="G360" s="21">
        <f t="shared" si="15"/>
        <v>0</v>
      </c>
      <c r="H360" s="290">
        <v>0</v>
      </c>
      <c r="J360" s="469" t="s">
        <v>289</v>
      </c>
      <c r="K360" s="468">
        <v>0.85</v>
      </c>
      <c r="L360" s="476"/>
      <c r="M360" s="477"/>
      <c r="N360" s="287">
        <v>1.014</v>
      </c>
    </row>
    <row r="361" spans="1:14">
      <c r="A361" s="21" t="s">
        <v>626</v>
      </c>
      <c r="B361" s="21" t="s">
        <v>627</v>
      </c>
      <c r="C361" s="21" t="s">
        <v>628</v>
      </c>
      <c r="D361" s="24" t="s">
        <v>24</v>
      </c>
      <c r="E361" s="21"/>
      <c r="F361" s="21">
        <f t="shared" si="16"/>
        <v>380603</v>
      </c>
      <c r="G361" s="21">
        <f t="shared" si="15"/>
        <v>0</v>
      </c>
      <c r="H361" s="290">
        <v>0</v>
      </c>
      <c r="J361" s="469" t="s">
        <v>289</v>
      </c>
      <c r="K361" s="468">
        <v>1.1499999999999999</v>
      </c>
      <c r="L361" s="476"/>
      <c r="M361" s="477"/>
      <c r="N361" s="287">
        <v>1.0049999999999999</v>
      </c>
    </row>
    <row r="362" spans="1:14">
      <c r="A362" s="21" t="s">
        <v>629</v>
      </c>
      <c r="B362" s="21" t="s">
        <v>630</v>
      </c>
      <c r="C362" s="21" t="s">
        <v>631</v>
      </c>
      <c r="D362" s="24" t="s">
        <v>24</v>
      </c>
      <c r="E362" s="21"/>
      <c r="F362" s="21">
        <f t="shared" si="16"/>
        <v>286074</v>
      </c>
      <c r="G362" s="21">
        <f t="shared" si="15"/>
        <v>0</v>
      </c>
      <c r="H362" s="290">
        <v>0</v>
      </c>
      <c r="J362" s="469" t="s">
        <v>289</v>
      </c>
      <c r="K362" s="468">
        <v>0.85</v>
      </c>
      <c r="L362" s="476"/>
      <c r="M362" s="477"/>
      <c r="N362" s="287">
        <v>1.022</v>
      </c>
    </row>
    <row r="363" spans="1:14">
      <c r="A363" s="21" t="s">
        <v>632</v>
      </c>
      <c r="B363" s="21" t="s">
        <v>633</v>
      </c>
      <c r="C363" s="21" t="s">
        <v>634</v>
      </c>
      <c r="D363" s="24" t="s">
        <v>24</v>
      </c>
      <c r="E363" s="21"/>
      <c r="F363" s="21">
        <f t="shared" si="16"/>
        <v>382876</v>
      </c>
      <c r="G363" s="21">
        <f t="shared" si="15"/>
        <v>0</v>
      </c>
      <c r="H363" s="290">
        <v>0</v>
      </c>
      <c r="J363" s="469" t="s">
        <v>289</v>
      </c>
      <c r="K363" s="468">
        <v>1.1499999999999999</v>
      </c>
      <c r="L363" s="476"/>
      <c r="M363" s="477"/>
      <c r="N363" s="287">
        <v>1.0109999999999999</v>
      </c>
    </row>
    <row r="364" spans="1:14">
      <c r="A364" s="21" t="s">
        <v>635</v>
      </c>
      <c r="B364" s="21" t="s">
        <v>636</v>
      </c>
      <c r="C364" s="21" t="s">
        <v>637</v>
      </c>
      <c r="D364" s="24" t="s">
        <v>24</v>
      </c>
      <c r="E364" s="21"/>
      <c r="F364" s="21">
        <f t="shared" si="16"/>
        <v>297271</v>
      </c>
      <c r="G364" s="21">
        <f t="shared" si="15"/>
        <v>0</v>
      </c>
      <c r="H364" s="290">
        <v>0</v>
      </c>
      <c r="J364" s="469" t="s">
        <v>289</v>
      </c>
      <c r="K364" s="468">
        <v>0.85</v>
      </c>
      <c r="L364" s="476"/>
      <c r="M364" s="477"/>
      <c r="N364" s="287">
        <v>1.0620000000000001</v>
      </c>
    </row>
    <row r="365" spans="1:14">
      <c r="A365" s="21" t="s">
        <v>638</v>
      </c>
      <c r="B365" s="21" t="s">
        <v>639</v>
      </c>
      <c r="C365" s="21" t="s">
        <v>640</v>
      </c>
      <c r="D365" s="24" t="s">
        <v>24</v>
      </c>
      <c r="E365" s="21"/>
      <c r="F365" s="21">
        <f t="shared" si="16"/>
        <v>402190</v>
      </c>
      <c r="G365" s="21">
        <f t="shared" si="15"/>
        <v>0</v>
      </c>
      <c r="H365" s="290">
        <v>0</v>
      </c>
      <c r="J365" s="469" t="s">
        <v>289</v>
      </c>
      <c r="K365" s="468">
        <v>1.1499999999999999</v>
      </c>
      <c r="L365" s="476"/>
      <c r="M365" s="477"/>
      <c r="N365" s="287">
        <v>1.0620000000000001</v>
      </c>
    </row>
    <row r="366" spans="1:14">
      <c r="A366" s="21" t="s">
        <v>641</v>
      </c>
      <c r="B366" s="21" t="s">
        <v>642</v>
      </c>
      <c r="C366" s="21" t="s">
        <v>643</v>
      </c>
      <c r="D366" s="24" t="s">
        <v>24</v>
      </c>
      <c r="E366" s="21"/>
      <c r="F366" s="21">
        <f t="shared" si="16"/>
        <v>298670</v>
      </c>
      <c r="G366" s="21">
        <f t="shared" si="15"/>
        <v>0</v>
      </c>
      <c r="H366" s="290">
        <v>0</v>
      </c>
      <c r="J366" s="469" t="s">
        <v>289</v>
      </c>
      <c r="K366" s="468">
        <v>0.85</v>
      </c>
      <c r="L366" s="476"/>
      <c r="M366" s="477"/>
      <c r="N366" s="287">
        <v>1.0669999999999999</v>
      </c>
    </row>
    <row r="367" spans="1:14">
      <c r="A367" s="21" t="s">
        <v>644</v>
      </c>
      <c r="B367" s="21" t="s">
        <v>645</v>
      </c>
      <c r="C367" s="21" t="s">
        <v>646</v>
      </c>
      <c r="D367" s="24" t="s">
        <v>24</v>
      </c>
      <c r="E367" s="21"/>
      <c r="F367" s="21">
        <f t="shared" si="16"/>
        <v>534080</v>
      </c>
      <c r="G367" s="21">
        <f t="shared" si="15"/>
        <v>0</v>
      </c>
      <c r="H367" s="290">
        <v>0</v>
      </c>
      <c r="J367" s="469" t="s">
        <v>289</v>
      </c>
      <c r="K367" s="468">
        <v>1.53</v>
      </c>
      <c r="L367" s="476"/>
      <c r="M367" s="477"/>
      <c r="N367" s="287">
        <v>1.06</v>
      </c>
    </row>
    <row r="368" spans="1:14">
      <c r="A368" s="21" t="s">
        <v>2823</v>
      </c>
      <c r="B368" s="21" t="s">
        <v>642</v>
      </c>
      <c r="C368" s="21" t="s">
        <v>2824</v>
      </c>
      <c r="D368" s="24" t="s">
        <v>24</v>
      </c>
      <c r="E368" s="21"/>
      <c r="F368" s="21">
        <f>IFERROR(ROUND(VLOOKUP(J368,DGNC,5,0)*K368*N368*1.5,0),)</f>
        <v>534080</v>
      </c>
      <c r="G368" s="21">
        <f>IFERROR(ROUND(VLOOKUP(L368,DGMTC,8,0)*M368,0),)</f>
        <v>0</v>
      </c>
      <c r="H368" s="290">
        <v>0</v>
      </c>
      <c r="J368" s="469" t="s">
        <v>289</v>
      </c>
      <c r="K368" s="468">
        <v>1.53</v>
      </c>
      <c r="L368" s="476"/>
      <c r="M368" s="477"/>
      <c r="N368" s="287">
        <v>1.06</v>
      </c>
    </row>
    <row r="369" spans="1:14" s="280" customFormat="1">
      <c r="A369" s="281" t="s">
        <v>1752</v>
      </c>
      <c r="B369" s="281" t="s">
        <v>642</v>
      </c>
      <c r="C369" s="281" t="s">
        <v>2790</v>
      </c>
      <c r="D369" s="464" t="s">
        <v>24</v>
      </c>
      <c r="E369" s="281"/>
      <c r="F369" s="21">
        <f>IFERROR(ROUND(VLOOKUP(J369,DGNC,5,0)*K369*1.5,0),)</f>
        <v>279916</v>
      </c>
      <c r="G369" s="21">
        <f t="shared" si="15"/>
        <v>0</v>
      </c>
      <c r="H369" s="290">
        <v>0</v>
      </c>
      <c r="J369" s="469" t="s">
        <v>289</v>
      </c>
      <c r="K369" s="468">
        <v>0.85</v>
      </c>
      <c r="L369" s="679"/>
      <c r="M369" s="680"/>
      <c r="N369" s="286"/>
    </row>
    <row r="370" spans="1:14" s="280" customFormat="1">
      <c r="A370" s="281" t="s">
        <v>1753</v>
      </c>
      <c r="B370" s="281" t="s">
        <v>2768</v>
      </c>
      <c r="C370" s="281" t="s">
        <v>2791</v>
      </c>
      <c r="D370" s="464" t="s">
        <v>24</v>
      </c>
      <c r="E370" s="281"/>
      <c r="F370" s="21">
        <f>IFERROR(ROUND(VLOOKUP(J370,DGNC,5,0)*K370*N370*1.5,0),)</f>
        <v>449132</v>
      </c>
      <c r="G370" s="21">
        <f t="shared" si="15"/>
        <v>0</v>
      </c>
      <c r="H370" s="290">
        <v>0</v>
      </c>
      <c r="J370" s="469" t="s">
        <v>289</v>
      </c>
      <c r="K370" s="468">
        <v>1.55</v>
      </c>
      <c r="L370" s="679"/>
      <c r="M370" s="680"/>
      <c r="N370" s="286">
        <v>0.87990000000000002</v>
      </c>
    </row>
    <row r="371" spans="1:14">
      <c r="A371" s="21" t="s">
        <v>1758</v>
      </c>
      <c r="B371" s="21" t="s">
        <v>630</v>
      </c>
      <c r="C371" s="21" t="s">
        <v>1760</v>
      </c>
      <c r="D371" s="24" t="s">
        <v>24</v>
      </c>
      <c r="E371" s="21"/>
      <c r="F371" s="21">
        <f>IFERROR(ROUND(VLOOKUP(J371,DGNC,5,0)*K371*1.5,0),)</f>
        <v>279916</v>
      </c>
      <c r="G371" s="21">
        <f t="shared" si="15"/>
        <v>0</v>
      </c>
      <c r="H371" s="290">
        <v>0</v>
      </c>
      <c r="J371" s="469" t="s">
        <v>289</v>
      </c>
      <c r="K371" s="468">
        <v>0.85</v>
      </c>
      <c r="L371" s="476"/>
      <c r="M371" s="477"/>
      <c r="N371" s="287"/>
    </row>
    <row r="372" spans="1:14">
      <c r="A372" s="21" t="s">
        <v>1759</v>
      </c>
      <c r="B372" s="21" t="s">
        <v>633</v>
      </c>
      <c r="C372" s="21" t="s">
        <v>1761</v>
      </c>
      <c r="D372" s="24" t="s">
        <v>24</v>
      </c>
      <c r="E372" s="21"/>
      <c r="F372" s="21">
        <f>IFERROR(ROUND(VLOOKUP(J372,DGNC,5,0)*K372*1.5,0),)</f>
        <v>378710</v>
      </c>
      <c r="G372" s="21">
        <f t="shared" si="15"/>
        <v>0</v>
      </c>
      <c r="H372" s="290">
        <v>0</v>
      </c>
      <c r="J372" s="469" t="s">
        <v>289</v>
      </c>
      <c r="K372" s="468">
        <v>1.1499999999999999</v>
      </c>
      <c r="L372" s="476"/>
      <c r="M372" s="477"/>
      <c r="N372" s="287"/>
    </row>
    <row r="373" spans="1:14" s="280" customFormat="1">
      <c r="A373" s="281" t="s">
        <v>2878</v>
      </c>
      <c r="B373" s="281" t="s">
        <v>2912</v>
      </c>
      <c r="C373" s="281" t="s">
        <v>2876</v>
      </c>
      <c r="D373" s="464" t="s">
        <v>138</v>
      </c>
      <c r="E373" s="281"/>
      <c r="F373" s="281">
        <f>IFERROR(ROUND(VLOOKUP(J373,DGNC,5,0)*K373,0)/1000*H373,)</f>
        <v>350727.46055999998</v>
      </c>
      <c r="G373" s="281">
        <f t="shared" si="15"/>
        <v>0</v>
      </c>
      <c r="H373" s="481">
        <v>145.97999999999999</v>
      </c>
      <c r="J373" s="469" t="s">
        <v>12</v>
      </c>
      <c r="K373" s="468">
        <v>10.14</v>
      </c>
      <c r="L373" s="679"/>
      <c r="M373" s="680"/>
    </row>
    <row r="374" spans="1:14">
      <c r="A374" s="21" t="s">
        <v>2875</v>
      </c>
      <c r="B374" s="281" t="s">
        <v>2912</v>
      </c>
      <c r="C374" s="21" t="s">
        <v>2876</v>
      </c>
      <c r="D374" s="24" t="s">
        <v>24</v>
      </c>
      <c r="E374" s="21"/>
      <c r="F374" s="281">
        <f>IFERROR(ROUND(VLOOKUP(J374,DGNC,5,0)*K374,0)/1000*H374,)</f>
        <v>350727.46055999998</v>
      </c>
      <c r="G374" s="21">
        <f>IFERROR(ROUND(VLOOKUP(L374,DGMTC,8,0)*M374,0),)</f>
        <v>0</v>
      </c>
      <c r="H374" s="290">
        <v>145.97999999999999</v>
      </c>
      <c r="J374" s="469" t="s">
        <v>12</v>
      </c>
      <c r="K374" s="468">
        <v>10.14</v>
      </c>
      <c r="L374" s="476"/>
      <c r="M374" s="477"/>
      <c r="N374" s="287">
        <v>1.0283</v>
      </c>
    </row>
    <row r="375" spans="1:14">
      <c r="A375" s="21" t="s">
        <v>2877</v>
      </c>
      <c r="B375" s="281" t="s">
        <v>2912</v>
      </c>
      <c r="C375" s="21" t="s">
        <v>2911</v>
      </c>
      <c r="D375" s="24" t="s">
        <v>24</v>
      </c>
      <c r="E375" s="21"/>
      <c r="F375" s="281">
        <f>IFERROR(ROUND(VLOOKUP(J375,DGNC,5,0)*K375,0)/1000*H375,)</f>
        <v>448319.93520000001</v>
      </c>
      <c r="G375" s="21">
        <f>IFERROR(ROUND(VLOOKUP(L375,DGMTC,8,0)*M375,0),)</f>
        <v>0</v>
      </c>
      <c r="H375" s="290">
        <v>186.6</v>
      </c>
      <c r="J375" s="469" t="s">
        <v>12</v>
      </c>
      <c r="K375" s="468">
        <v>10.14</v>
      </c>
      <c r="L375" s="476"/>
      <c r="M375" s="477"/>
      <c r="N375" s="287">
        <v>1.2373000000000001</v>
      </c>
    </row>
    <row r="376" spans="1:14">
      <c r="A376" s="21" t="s">
        <v>2883</v>
      </c>
      <c r="B376" s="21" t="s">
        <v>2880</v>
      </c>
      <c r="C376" s="21" t="s">
        <v>2879</v>
      </c>
      <c r="D376" s="24" t="s">
        <v>24</v>
      </c>
      <c r="E376" s="21"/>
      <c r="F376" s="21">
        <f>IFERROR(ROUND(VLOOKUP(J376,DGNC,5,0)*K376*N376*1.5,0),)</f>
        <v>534080</v>
      </c>
      <c r="G376" s="21">
        <f>IFERROR(ROUND(VLOOKUP(L376,DGMTC,8,0)*M376,0),)</f>
        <v>0</v>
      </c>
      <c r="H376" s="290">
        <v>0</v>
      </c>
      <c r="J376" s="469" t="s">
        <v>289</v>
      </c>
      <c r="K376" s="468">
        <v>1.53</v>
      </c>
      <c r="L376" s="476"/>
      <c r="M376" s="477"/>
      <c r="N376" s="287">
        <v>1.06</v>
      </c>
    </row>
    <row r="377" spans="1:14">
      <c r="A377" s="21" t="s">
        <v>2882</v>
      </c>
      <c r="B377" s="21" t="s">
        <v>2881</v>
      </c>
      <c r="C377" s="21" t="s">
        <v>2884</v>
      </c>
      <c r="D377" s="24" t="s">
        <v>24</v>
      </c>
      <c r="E377" s="21"/>
      <c r="F377" s="21">
        <f>IFERROR(ROUND(VLOOKUP(J377,DGNC,5,0)*K377*N377*1.5,0),)</f>
        <v>534080</v>
      </c>
      <c r="G377" s="21">
        <f>IFERROR(ROUND(VLOOKUP(L377,DGMTC,8,0)*M377,0),)</f>
        <v>0</v>
      </c>
      <c r="H377" s="290">
        <v>0</v>
      </c>
      <c r="J377" s="469" t="s">
        <v>289</v>
      </c>
      <c r="K377" s="468">
        <v>1.53</v>
      </c>
      <c r="L377" s="476"/>
      <c r="M377" s="477"/>
      <c r="N377" s="287">
        <v>1.06</v>
      </c>
    </row>
    <row r="378" spans="1:14">
      <c r="A378" s="21" t="s">
        <v>647</v>
      </c>
      <c r="B378" s="21" t="s">
        <v>648</v>
      </c>
      <c r="C378" s="21" t="s">
        <v>649</v>
      </c>
      <c r="D378" s="24" t="s">
        <v>24</v>
      </c>
      <c r="E378" s="21"/>
      <c r="F378" s="21">
        <f t="shared" ref="F378:F422" si="17">IFERROR(ROUND(VLOOKUP(J378,DGNC,5,0)*K378,0),)</f>
        <v>0</v>
      </c>
      <c r="G378" s="21">
        <f t="shared" si="15"/>
        <v>0</v>
      </c>
      <c r="H378" s="290">
        <v>0</v>
      </c>
      <c r="J378" s="469"/>
      <c r="K378" s="468"/>
      <c r="L378" s="476"/>
      <c r="M378" s="477"/>
    </row>
    <row r="379" spans="1:14">
      <c r="A379" s="21" t="s">
        <v>650</v>
      </c>
      <c r="B379" s="21" t="s">
        <v>651</v>
      </c>
      <c r="C379" s="21" t="s">
        <v>652</v>
      </c>
      <c r="D379" s="24" t="s">
        <v>24</v>
      </c>
      <c r="E379" s="21"/>
      <c r="F379" s="21">
        <f t="shared" si="17"/>
        <v>0</v>
      </c>
      <c r="G379" s="21">
        <f t="shared" si="15"/>
        <v>0</v>
      </c>
      <c r="H379" s="290">
        <v>0</v>
      </c>
      <c r="J379" s="469"/>
      <c r="K379" s="468"/>
      <c r="L379" s="476"/>
      <c r="M379" s="477"/>
    </row>
    <row r="380" spans="1:14">
      <c r="A380" s="21" t="s">
        <v>653</v>
      </c>
      <c r="B380" s="21" t="s">
        <v>654</v>
      </c>
      <c r="C380" s="21" t="s">
        <v>655</v>
      </c>
      <c r="D380" s="24" t="s">
        <v>24</v>
      </c>
      <c r="E380" s="21"/>
      <c r="F380" s="21">
        <f t="shared" si="17"/>
        <v>511533</v>
      </c>
      <c r="G380" s="21">
        <f t="shared" si="15"/>
        <v>0</v>
      </c>
      <c r="H380" s="290">
        <v>0</v>
      </c>
      <c r="J380" s="469" t="s">
        <v>289</v>
      </c>
      <c r="K380" s="468">
        <v>2.33</v>
      </c>
      <c r="L380" s="476"/>
      <c r="M380" s="477"/>
    </row>
    <row r="381" spans="1:14">
      <c r="A381" s="21" t="s">
        <v>656</v>
      </c>
      <c r="B381" s="21" t="s">
        <v>657</v>
      </c>
      <c r="C381" s="21" t="s">
        <v>658</v>
      </c>
      <c r="D381" s="24" t="s">
        <v>24</v>
      </c>
      <c r="E381" s="21"/>
      <c r="F381" s="21">
        <f t="shared" si="17"/>
        <v>0</v>
      </c>
      <c r="G381" s="21">
        <f t="shared" si="15"/>
        <v>0</v>
      </c>
      <c r="H381" s="290">
        <v>0</v>
      </c>
      <c r="J381" s="469"/>
      <c r="K381" s="468"/>
      <c r="L381" s="476"/>
      <c r="M381" s="477"/>
    </row>
    <row r="382" spans="1:14">
      <c r="A382" s="21" t="s">
        <v>659</v>
      </c>
      <c r="B382" s="21" t="s">
        <v>660</v>
      </c>
      <c r="C382" s="21" t="s">
        <v>661</v>
      </c>
      <c r="D382" s="24" t="s">
        <v>24</v>
      </c>
      <c r="E382" s="21"/>
      <c r="F382" s="21">
        <f t="shared" si="17"/>
        <v>0</v>
      </c>
      <c r="G382" s="21">
        <f t="shared" si="15"/>
        <v>0</v>
      </c>
      <c r="H382" s="290">
        <v>0</v>
      </c>
      <c r="J382" s="469"/>
      <c r="K382" s="468"/>
      <c r="L382" s="476"/>
      <c r="M382" s="477"/>
    </row>
    <row r="383" spans="1:14">
      <c r="A383" s="21" t="s">
        <v>662</v>
      </c>
      <c r="B383" s="21" t="s">
        <v>663</v>
      </c>
      <c r="C383" s="21" t="s">
        <v>664</v>
      </c>
      <c r="D383" s="24" t="s">
        <v>11</v>
      </c>
      <c r="E383" s="21"/>
      <c r="F383" s="21">
        <f t="shared" si="17"/>
        <v>0</v>
      </c>
      <c r="G383" s="21">
        <f t="shared" si="15"/>
        <v>0</v>
      </c>
      <c r="H383" s="290">
        <v>0</v>
      </c>
      <c r="J383" s="469"/>
      <c r="K383" s="468"/>
      <c r="L383" s="476"/>
      <c r="M383" s="477"/>
    </row>
    <row r="384" spans="1:14">
      <c r="A384" s="21" t="s">
        <v>665</v>
      </c>
      <c r="B384" s="21" t="s">
        <v>666</v>
      </c>
      <c r="C384" s="21" t="s">
        <v>667</v>
      </c>
      <c r="D384" s="24" t="s">
        <v>11</v>
      </c>
      <c r="E384" s="21"/>
      <c r="F384" s="21">
        <f t="shared" si="17"/>
        <v>0</v>
      </c>
      <c r="G384" s="21">
        <f t="shared" si="15"/>
        <v>0</v>
      </c>
      <c r="H384" s="290">
        <v>0</v>
      </c>
      <c r="J384" s="469"/>
      <c r="K384" s="468"/>
      <c r="L384" s="476"/>
      <c r="M384" s="477"/>
    </row>
    <row r="385" spans="1:13">
      <c r="A385" s="21" t="s">
        <v>668</v>
      </c>
      <c r="B385" s="21" t="s">
        <v>669</v>
      </c>
      <c r="C385" s="21" t="s">
        <v>670</v>
      </c>
      <c r="D385" s="24" t="s">
        <v>11</v>
      </c>
      <c r="E385" s="21"/>
      <c r="F385" s="21">
        <f t="shared" si="17"/>
        <v>0</v>
      </c>
      <c r="G385" s="21">
        <f t="shared" si="15"/>
        <v>0</v>
      </c>
      <c r="H385" s="290">
        <v>0</v>
      </c>
      <c r="J385" s="469"/>
      <c r="K385" s="468"/>
      <c r="L385" s="476"/>
      <c r="M385" s="477"/>
    </row>
    <row r="386" spans="1:13">
      <c r="A386" s="21" t="s">
        <v>671</v>
      </c>
      <c r="B386" s="21" t="s">
        <v>672</v>
      </c>
      <c r="C386" s="21" t="s">
        <v>673</v>
      </c>
      <c r="D386" s="24" t="s">
        <v>11</v>
      </c>
      <c r="E386" s="21"/>
      <c r="F386" s="21">
        <f t="shared" si="17"/>
        <v>0</v>
      </c>
      <c r="G386" s="21">
        <f t="shared" si="15"/>
        <v>0</v>
      </c>
      <c r="H386" s="290">
        <v>0</v>
      </c>
      <c r="J386" s="469"/>
      <c r="K386" s="468"/>
      <c r="L386" s="476"/>
      <c r="M386" s="477"/>
    </row>
    <row r="387" spans="1:13">
      <c r="A387" s="21" t="s">
        <v>674</v>
      </c>
      <c r="B387" s="21" t="s">
        <v>675</v>
      </c>
      <c r="C387" s="21" t="s">
        <v>676</v>
      </c>
      <c r="D387" s="24" t="s">
        <v>11</v>
      </c>
      <c r="E387" s="21"/>
      <c r="F387" s="21">
        <f t="shared" si="17"/>
        <v>0</v>
      </c>
      <c r="G387" s="21">
        <f t="shared" si="15"/>
        <v>0</v>
      </c>
      <c r="H387" s="290">
        <v>0</v>
      </c>
      <c r="J387" s="469"/>
      <c r="K387" s="468"/>
      <c r="L387" s="476"/>
      <c r="M387" s="477"/>
    </row>
    <row r="388" spans="1:13">
      <c r="A388" s="21" t="s">
        <v>677</v>
      </c>
      <c r="B388" s="21" t="s">
        <v>678</v>
      </c>
      <c r="C388" s="21" t="s">
        <v>679</v>
      </c>
      <c r="D388" s="24" t="s">
        <v>11</v>
      </c>
      <c r="E388" s="21"/>
      <c r="F388" s="21">
        <f t="shared" si="17"/>
        <v>0</v>
      </c>
      <c r="G388" s="21">
        <f t="shared" si="15"/>
        <v>0</v>
      </c>
      <c r="H388" s="290">
        <v>0</v>
      </c>
      <c r="J388" s="469"/>
      <c r="K388" s="468"/>
      <c r="L388" s="476"/>
      <c r="M388" s="477"/>
    </row>
    <row r="389" spans="1:13">
      <c r="A389" s="21" t="s">
        <v>680</v>
      </c>
      <c r="B389" s="21" t="s">
        <v>681</v>
      </c>
      <c r="C389" s="21" t="s">
        <v>453</v>
      </c>
      <c r="D389" s="24" t="s">
        <v>11</v>
      </c>
      <c r="E389" s="21"/>
      <c r="F389" s="21">
        <f t="shared" si="17"/>
        <v>0</v>
      </c>
      <c r="G389" s="21">
        <f t="shared" si="15"/>
        <v>0</v>
      </c>
      <c r="H389" s="290">
        <v>0</v>
      </c>
      <c r="J389" s="469"/>
      <c r="K389" s="468"/>
      <c r="L389" s="476"/>
      <c r="M389" s="477"/>
    </row>
    <row r="390" spans="1:13">
      <c r="A390" s="21" t="s">
        <v>682</v>
      </c>
      <c r="B390" s="21"/>
      <c r="C390" s="21" t="s">
        <v>683</v>
      </c>
      <c r="D390" s="24"/>
      <c r="E390" s="21"/>
      <c r="F390" s="21">
        <f t="shared" si="17"/>
        <v>0</v>
      </c>
      <c r="G390" s="21">
        <f t="shared" si="15"/>
        <v>0</v>
      </c>
      <c r="H390" s="290">
        <v>0</v>
      </c>
      <c r="J390" s="469"/>
      <c r="K390" s="468"/>
      <c r="L390" s="476"/>
      <c r="M390" s="477"/>
    </row>
    <row r="391" spans="1:13">
      <c r="A391" s="21" t="s">
        <v>684</v>
      </c>
      <c r="B391" s="21"/>
      <c r="C391" s="21" t="s">
        <v>685</v>
      </c>
      <c r="D391" s="24"/>
      <c r="E391" s="21"/>
      <c r="F391" s="21">
        <f t="shared" si="17"/>
        <v>0</v>
      </c>
      <c r="G391" s="21">
        <f t="shared" si="15"/>
        <v>0</v>
      </c>
      <c r="H391" s="290">
        <v>0</v>
      </c>
      <c r="J391" s="469"/>
      <c r="K391" s="468"/>
      <c r="L391" s="476"/>
      <c r="M391" s="477"/>
    </row>
    <row r="392" spans="1:13">
      <c r="A392" s="21" t="s">
        <v>686</v>
      </c>
      <c r="B392" s="21" t="s">
        <v>681</v>
      </c>
      <c r="C392" s="21" t="s">
        <v>687</v>
      </c>
      <c r="D392" s="24" t="s">
        <v>11</v>
      </c>
      <c r="E392" s="21"/>
      <c r="F392" s="21">
        <f t="shared" si="17"/>
        <v>0</v>
      </c>
      <c r="G392" s="21">
        <f t="shared" si="15"/>
        <v>0</v>
      </c>
      <c r="H392" s="290">
        <v>0</v>
      </c>
      <c r="J392" s="469"/>
      <c r="K392" s="468"/>
      <c r="L392" s="476"/>
      <c r="M392" s="477"/>
    </row>
    <row r="393" spans="1:13">
      <c r="A393" s="21" t="s">
        <v>688</v>
      </c>
      <c r="B393" s="21" t="s">
        <v>621</v>
      </c>
      <c r="C393" s="21" t="s">
        <v>689</v>
      </c>
      <c r="D393" s="24" t="s">
        <v>24</v>
      </c>
      <c r="E393" s="21"/>
      <c r="F393" s="21">
        <f t="shared" si="17"/>
        <v>0</v>
      </c>
      <c r="G393" s="21">
        <f t="shared" si="15"/>
        <v>0</v>
      </c>
      <c r="H393" s="290">
        <v>0</v>
      </c>
      <c r="J393" s="469"/>
      <c r="K393" s="468"/>
      <c r="L393" s="476"/>
      <c r="M393" s="477"/>
    </row>
    <row r="394" spans="1:13">
      <c r="A394" s="21" t="s">
        <v>690</v>
      </c>
      <c r="B394" s="21" t="s">
        <v>691</v>
      </c>
      <c r="C394" s="21" t="s">
        <v>692</v>
      </c>
      <c r="D394" s="24" t="s">
        <v>24</v>
      </c>
      <c r="E394" s="21"/>
      <c r="F394" s="21">
        <f t="shared" si="17"/>
        <v>106623</v>
      </c>
      <c r="G394" s="21">
        <f t="shared" si="15"/>
        <v>0</v>
      </c>
      <c r="H394" s="290">
        <v>0</v>
      </c>
      <c r="J394" s="469" t="s">
        <v>12</v>
      </c>
      <c r="K394" s="468">
        <v>0.45</v>
      </c>
      <c r="L394" s="476"/>
      <c r="M394" s="477"/>
    </row>
    <row r="395" spans="1:13">
      <c r="A395" s="21" t="s">
        <v>693</v>
      </c>
      <c r="B395" s="21" t="s">
        <v>13</v>
      </c>
      <c r="C395" s="21" t="s">
        <v>694</v>
      </c>
      <c r="D395" s="24" t="s">
        <v>11</v>
      </c>
      <c r="E395" s="21"/>
      <c r="F395" s="21">
        <f t="shared" si="17"/>
        <v>0</v>
      </c>
      <c r="G395" s="21">
        <f t="shared" si="15"/>
        <v>0</v>
      </c>
      <c r="H395" s="290">
        <v>0</v>
      </c>
      <c r="J395" s="469"/>
      <c r="K395" s="468"/>
      <c r="L395" s="476"/>
      <c r="M395" s="477"/>
    </row>
    <row r="396" spans="1:13">
      <c r="A396" s="21" t="s">
        <v>695</v>
      </c>
      <c r="B396" s="21" t="s">
        <v>13</v>
      </c>
      <c r="C396" s="21" t="s">
        <v>696</v>
      </c>
      <c r="D396" s="24" t="s">
        <v>11</v>
      </c>
      <c r="E396" s="21"/>
      <c r="F396" s="21">
        <f t="shared" si="17"/>
        <v>0</v>
      </c>
      <c r="G396" s="21">
        <f t="shared" si="15"/>
        <v>0</v>
      </c>
      <c r="H396" s="290">
        <v>0</v>
      </c>
      <c r="J396" s="469"/>
      <c r="K396" s="468"/>
      <c r="L396" s="476"/>
      <c r="M396" s="477"/>
    </row>
    <row r="397" spans="1:13">
      <c r="A397" s="21" t="s">
        <v>697</v>
      </c>
      <c r="B397" s="21" t="s">
        <v>13</v>
      </c>
      <c r="C397" s="21" t="s">
        <v>698</v>
      </c>
      <c r="D397" s="24" t="s">
        <v>11</v>
      </c>
      <c r="E397" s="21"/>
      <c r="F397" s="21">
        <f t="shared" si="17"/>
        <v>0</v>
      </c>
      <c r="G397" s="21">
        <f t="shared" si="15"/>
        <v>0</v>
      </c>
      <c r="H397" s="290">
        <v>0</v>
      </c>
      <c r="J397" s="469"/>
      <c r="K397" s="468"/>
      <c r="L397" s="476"/>
      <c r="M397" s="477"/>
    </row>
    <row r="398" spans="1:13">
      <c r="A398" s="21" t="s">
        <v>699</v>
      </c>
      <c r="B398" s="21" t="s">
        <v>14</v>
      </c>
      <c r="C398" s="21" t="s">
        <v>700</v>
      </c>
      <c r="D398" s="24" t="s">
        <v>11</v>
      </c>
      <c r="E398" s="21"/>
      <c r="F398" s="21">
        <f t="shared" si="17"/>
        <v>0</v>
      </c>
      <c r="G398" s="21">
        <f t="shared" si="15"/>
        <v>0</v>
      </c>
      <c r="H398" s="290">
        <v>0</v>
      </c>
      <c r="J398" s="469"/>
      <c r="K398" s="468"/>
      <c r="L398" s="476"/>
      <c r="M398" s="477"/>
    </row>
    <row r="399" spans="1:13">
      <c r="A399" s="21" t="s">
        <v>701</v>
      </c>
      <c r="B399" s="21" t="s">
        <v>14</v>
      </c>
      <c r="C399" s="21" t="s">
        <v>702</v>
      </c>
      <c r="D399" s="24" t="s">
        <v>11</v>
      </c>
      <c r="E399" s="21"/>
      <c r="F399" s="21">
        <f t="shared" si="17"/>
        <v>0</v>
      </c>
      <c r="G399" s="21">
        <f t="shared" si="15"/>
        <v>0</v>
      </c>
      <c r="H399" s="290">
        <v>0</v>
      </c>
      <c r="J399" s="469"/>
      <c r="K399" s="468"/>
      <c r="L399" s="476"/>
      <c r="M399" s="477"/>
    </row>
    <row r="400" spans="1:13">
      <c r="A400" s="21" t="s">
        <v>703</v>
      </c>
      <c r="B400" s="21" t="s">
        <v>13</v>
      </c>
      <c r="C400" s="21" t="s">
        <v>704</v>
      </c>
      <c r="D400" s="24" t="s">
        <v>11</v>
      </c>
      <c r="E400" s="21"/>
      <c r="F400" s="21">
        <f t="shared" si="17"/>
        <v>0</v>
      </c>
      <c r="G400" s="21">
        <f t="shared" si="15"/>
        <v>0</v>
      </c>
      <c r="H400" s="290">
        <v>0</v>
      </c>
      <c r="J400" s="469"/>
      <c r="K400" s="468"/>
      <c r="L400" s="476"/>
      <c r="M400" s="477"/>
    </row>
    <row r="401" spans="1:15">
      <c r="A401" s="21" t="s">
        <v>705</v>
      </c>
      <c r="B401" s="21" t="s">
        <v>14</v>
      </c>
      <c r="C401" s="21" t="s">
        <v>706</v>
      </c>
      <c r="D401" s="24" t="s">
        <v>11</v>
      </c>
      <c r="E401" s="21"/>
      <c r="F401" s="21">
        <f t="shared" si="17"/>
        <v>0</v>
      </c>
      <c r="G401" s="21">
        <f t="shared" si="15"/>
        <v>0</v>
      </c>
      <c r="H401" s="290">
        <v>0</v>
      </c>
      <c r="J401" s="469"/>
      <c r="K401" s="468"/>
      <c r="L401" s="476"/>
      <c r="M401" s="477"/>
    </row>
    <row r="402" spans="1:15">
      <c r="A402" s="21" t="s">
        <v>707</v>
      </c>
      <c r="B402" s="21" t="s">
        <v>708</v>
      </c>
      <c r="C402" s="21" t="s">
        <v>709</v>
      </c>
      <c r="D402" s="24" t="s">
        <v>308</v>
      </c>
      <c r="E402" s="21"/>
      <c r="F402" s="21">
        <f t="shared" si="17"/>
        <v>0</v>
      </c>
      <c r="G402" s="21">
        <f t="shared" si="15"/>
        <v>0</v>
      </c>
      <c r="H402" s="290">
        <v>0</v>
      </c>
      <c r="J402" s="469"/>
      <c r="K402" s="468"/>
      <c r="L402" s="476"/>
      <c r="M402" s="477"/>
    </row>
    <row r="403" spans="1:15">
      <c r="A403" s="21" t="s">
        <v>710</v>
      </c>
      <c r="B403" s="21" t="s">
        <v>711</v>
      </c>
      <c r="C403" s="21" t="s">
        <v>3370</v>
      </c>
      <c r="D403" s="24" t="s">
        <v>308</v>
      </c>
      <c r="E403" s="21"/>
      <c r="F403" s="21">
        <f t="shared" si="17"/>
        <v>293475</v>
      </c>
      <c r="G403" s="21">
        <f>IFERROR(ROUND(VLOOKUP(L403,DGMTC,8,0)*M403+VLOOKUP(N403,DGMTC,8,0)*O403,0),)</f>
        <v>44701</v>
      </c>
      <c r="H403" s="290">
        <v>0</v>
      </c>
      <c r="J403" s="469" t="s">
        <v>492</v>
      </c>
      <c r="K403" s="468">
        <v>1.64</v>
      </c>
      <c r="L403" s="476" t="s">
        <v>712</v>
      </c>
      <c r="M403" s="477">
        <v>9.5000000000000001E-2</v>
      </c>
      <c r="N403" s="20" t="s">
        <v>1355</v>
      </c>
      <c r="O403" s="287">
        <v>8.8999999999999996E-2</v>
      </c>
    </row>
    <row r="404" spans="1:15">
      <c r="A404" s="21" t="s">
        <v>713</v>
      </c>
      <c r="B404" s="21" t="s">
        <v>711</v>
      </c>
      <c r="C404" s="21" t="s">
        <v>714</v>
      </c>
      <c r="D404" s="24" t="s">
        <v>308</v>
      </c>
      <c r="E404" s="21"/>
      <c r="F404" s="21">
        <f t="shared" si="17"/>
        <v>293475</v>
      </c>
      <c r="G404" s="21">
        <f>IFERROR(ROUND(VLOOKUP(L404,DGMTC,8,0)*M404+VLOOKUP(N404,DGMTC,8,0)*O404,0),)</f>
        <v>44701</v>
      </c>
      <c r="H404" s="290">
        <v>0</v>
      </c>
      <c r="J404" s="469" t="s">
        <v>492</v>
      </c>
      <c r="K404" s="468">
        <v>1.64</v>
      </c>
      <c r="L404" s="476" t="s">
        <v>712</v>
      </c>
      <c r="M404" s="477">
        <v>9.5000000000000001E-2</v>
      </c>
      <c r="N404" s="20" t="s">
        <v>1355</v>
      </c>
      <c r="O404" s="287">
        <v>8.8999999999999996E-2</v>
      </c>
    </row>
    <row r="405" spans="1:15">
      <c r="A405" s="278" t="s">
        <v>3511</v>
      </c>
      <c r="B405" s="278" t="s">
        <v>3512</v>
      </c>
      <c r="C405" s="278" t="s">
        <v>3513</v>
      </c>
      <c r="D405" s="668" t="s">
        <v>309</v>
      </c>
      <c r="E405" s="278"/>
      <c r="F405" s="21">
        <f>IFERROR(ROUND(VLOOKUP(J405,DGNC,5,0)*K405/100,0),)</f>
        <v>57946</v>
      </c>
      <c r="G405" s="21">
        <f>IFERROR(ROUND(VLOOKUP(L405,DGMTC,8,0)*M405+VLOOKUP(N405,DGMTC,8,0)*O405,0),)</f>
        <v>0</v>
      </c>
      <c r="H405" s="290">
        <v>0</v>
      </c>
      <c r="J405" s="469" t="s">
        <v>481</v>
      </c>
      <c r="K405" s="468">
        <v>29.7</v>
      </c>
      <c r="L405" s="476"/>
      <c r="M405" s="477"/>
      <c r="O405" s="287"/>
    </row>
    <row r="406" spans="1:15">
      <c r="A406" s="278"/>
      <c r="B406" s="278"/>
      <c r="C406" s="278"/>
      <c r="D406" s="668"/>
      <c r="E406" s="278"/>
      <c r="F406" s="278"/>
      <c r="G406" s="278"/>
      <c r="H406" s="290"/>
      <c r="J406" s="469"/>
      <c r="K406" s="468"/>
      <c r="L406" s="476"/>
      <c r="M406" s="477"/>
      <c r="O406" s="287"/>
    </row>
    <row r="407" spans="1:15">
      <c r="A407" s="21" t="s">
        <v>715</v>
      </c>
      <c r="B407" s="21" t="s">
        <v>716</v>
      </c>
      <c r="C407" s="21" t="s">
        <v>717</v>
      </c>
      <c r="D407" s="24" t="s">
        <v>143</v>
      </c>
      <c r="E407" s="21"/>
      <c r="F407" s="21">
        <f t="shared" si="17"/>
        <v>0</v>
      </c>
      <c r="G407" s="21">
        <f t="shared" si="15"/>
        <v>0</v>
      </c>
      <c r="H407" s="290">
        <v>0</v>
      </c>
      <c r="J407" s="469"/>
      <c r="K407" s="468"/>
      <c r="L407" s="476"/>
      <c r="M407" s="477"/>
    </row>
    <row r="408" spans="1:15">
      <c r="A408" s="21" t="s">
        <v>718</v>
      </c>
      <c r="B408" s="21" t="s">
        <v>719</v>
      </c>
      <c r="C408" s="21" t="s">
        <v>720</v>
      </c>
      <c r="D408" s="24" t="s">
        <v>143</v>
      </c>
      <c r="E408" s="21"/>
      <c r="F408" s="21">
        <f t="shared" si="17"/>
        <v>0</v>
      </c>
      <c r="G408" s="21">
        <f t="shared" si="15"/>
        <v>0</v>
      </c>
      <c r="H408" s="290">
        <v>0</v>
      </c>
      <c r="J408" s="469"/>
      <c r="K408" s="468"/>
      <c r="L408" s="476"/>
      <c r="M408" s="477"/>
    </row>
    <row r="409" spans="1:15">
      <c r="A409" s="21" t="s">
        <v>721</v>
      </c>
      <c r="B409" s="21" t="s">
        <v>722</v>
      </c>
      <c r="C409" s="21" t="s">
        <v>723</v>
      </c>
      <c r="D409" s="24" t="s">
        <v>143</v>
      </c>
      <c r="E409" s="21"/>
      <c r="F409" s="21">
        <f t="shared" si="17"/>
        <v>0</v>
      </c>
      <c r="G409" s="21">
        <f t="shared" si="15"/>
        <v>0</v>
      </c>
      <c r="H409" s="290">
        <v>0</v>
      </c>
      <c r="J409" s="469"/>
      <c r="K409" s="468"/>
      <c r="L409" s="476"/>
      <c r="M409" s="477"/>
    </row>
    <row r="410" spans="1:15">
      <c r="A410" s="21" t="s">
        <v>724</v>
      </c>
      <c r="B410" s="21" t="s">
        <v>725</v>
      </c>
      <c r="C410" s="21" t="s">
        <v>726</v>
      </c>
      <c r="D410" s="24" t="s">
        <v>309</v>
      </c>
      <c r="E410" s="21"/>
      <c r="F410" s="21">
        <f t="shared" si="17"/>
        <v>0</v>
      </c>
      <c r="G410" s="21">
        <f t="shared" si="15"/>
        <v>0</v>
      </c>
      <c r="H410" s="290">
        <v>0</v>
      </c>
      <c r="J410" s="469"/>
      <c r="K410" s="468"/>
      <c r="L410" s="476"/>
      <c r="M410" s="477"/>
    </row>
    <row r="411" spans="1:15">
      <c r="A411" s="21" t="s">
        <v>727</v>
      </c>
      <c r="B411" s="21" t="s">
        <v>728</v>
      </c>
      <c r="C411" s="21" t="s">
        <v>729</v>
      </c>
      <c r="D411" s="24" t="s">
        <v>730</v>
      </c>
      <c r="E411" s="21"/>
      <c r="F411" s="21">
        <f t="shared" si="17"/>
        <v>0</v>
      </c>
      <c r="G411" s="21">
        <f t="shared" si="15"/>
        <v>0</v>
      </c>
      <c r="H411" s="290">
        <v>0</v>
      </c>
      <c r="J411" s="469"/>
      <c r="K411" s="468"/>
      <c r="L411" s="476"/>
      <c r="M411" s="477"/>
    </row>
    <row r="412" spans="1:15">
      <c r="A412" s="21" t="s">
        <v>731</v>
      </c>
      <c r="B412" s="21" t="s">
        <v>732</v>
      </c>
      <c r="C412" s="21" t="s">
        <v>733</v>
      </c>
      <c r="D412" s="24" t="s">
        <v>730</v>
      </c>
      <c r="E412" s="21"/>
      <c r="F412" s="21">
        <f t="shared" si="17"/>
        <v>0</v>
      </c>
      <c r="G412" s="21">
        <f t="shared" si="15"/>
        <v>0</v>
      </c>
      <c r="H412" s="290">
        <v>0</v>
      </c>
      <c r="J412" s="469"/>
      <c r="K412" s="468"/>
      <c r="L412" s="476"/>
      <c r="M412" s="477"/>
    </row>
    <row r="413" spans="1:15">
      <c r="A413" s="21" t="s">
        <v>734</v>
      </c>
      <c r="B413" s="21" t="s">
        <v>735</v>
      </c>
      <c r="C413" s="21" t="s">
        <v>736</v>
      </c>
      <c r="D413" s="24" t="s">
        <v>730</v>
      </c>
      <c r="E413" s="21"/>
      <c r="F413" s="21">
        <f t="shared" si="17"/>
        <v>0</v>
      </c>
      <c r="G413" s="21">
        <f t="shared" si="15"/>
        <v>0</v>
      </c>
      <c r="H413" s="290">
        <v>0</v>
      </c>
      <c r="J413" s="469"/>
      <c r="K413" s="468"/>
      <c r="L413" s="476"/>
      <c r="M413" s="477"/>
    </row>
    <row r="414" spans="1:15">
      <c r="A414" s="21" t="s">
        <v>737</v>
      </c>
      <c r="B414" s="21" t="s">
        <v>738</v>
      </c>
      <c r="C414" s="21" t="s">
        <v>739</v>
      </c>
      <c r="D414" s="24" t="s">
        <v>730</v>
      </c>
      <c r="E414" s="21"/>
      <c r="F414" s="21">
        <f t="shared" si="17"/>
        <v>0</v>
      </c>
      <c r="G414" s="21">
        <f t="shared" si="15"/>
        <v>0</v>
      </c>
      <c r="H414" s="290">
        <v>0</v>
      </c>
      <c r="J414" s="469"/>
      <c r="K414" s="468"/>
      <c r="L414" s="476"/>
      <c r="M414" s="477"/>
    </row>
    <row r="415" spans="1:15">
      <c r="A415" s="21" t="s">
        <v>740</v>
      </c>
      <c r="B415" s="21" t="s">
        <v>741</v>
      </c>
      <c r="C415" s="21" t="s">
        <v>742</v>
      </c>
      <c r="D415" s="24" t="s">
        <v>730</v>
      </c>
      <c r="E415" s="21"/>
      <c r="F415" s="21">
        <f t="shared" si="17"/>
        <v>0</v>
      </c>
      <c r="G415" s="21">
        <f t="shared" si="15"/>
        <v>0</v>
      </c>
      <c r="H415" s="290">
        <v>0</v>
      </c>
      <c r="J415" s="469"/>
      <c r="K415" s="468"/>
      <c r="L415" s="476"/>
      <c r="M415" s="477"/>
    </row>
    <row r="416" spans="1:15">
      <c r="A416" s="21" t="s">
        <v>743</v>
      </c>
      <c r="B416" s="21" t="s">
        <v>744</v>
      </c>
      <c r="C416" s="21" t="s">
        <v>745</v>
      </c>
      <c r="D416" s="24" t="s">
        <v>730</v>
      </c>
      <c r="E416" s="21"/>
      <c r="F416" s="21">
        <f t="shared" si="17"/>
        <v>0</v>
      </c>
      <c r="G416" s="21">
        <f t="shared" si="15"/>
        <v>0</v>
      </c>
      <c r="H416" s="290">
        <v>0</v>
      </c>
      <c r="J416" s="469"/>
      <c r="K416" s="468"/>
      <c r="L416" s="476"/>
      <c r="M416" s="477"/>
    </row>
    <row r="417" spans="1:13">
      <c r="A417" s="21" t="s">
        <v>746</v>
      </c>
      <c r="B417" s="21" t="s">
        <v>747</v>
      </c>
      <c r="C417" s="21" t="s">
        <v>748</v>
      </c>
      <c r="D417" s="24" t="s">
        <v>730</v>
      </c>
      <c r="E417" s="21"/>
      <c r="F417" s="21">
        <f t="shared" si="17"/>
        <v>0</v>
      </c>
      <c r="G417" s="21">
        <f t="shared" si="15"/>
        <v>0</v>
      </c>
      <c r="H417" s="290">
        <v>0</v>
      </c>
      <c r="J417" s="469"/>
      <c r="K417" s="468"/>
      <c r="L417" s="476"/>
      <c r="M417" s="477"/>
    </row>
    <row r="418" spans="1:13">
      <c r="A418" s="21" t="s">
        <v>749</v>
      </c>
      <c r="B418" s="21" t="s">
        <v>750</v>
      </c>
      <c r="C418" s="21" t="s">
        <v>751</v>
      </c>
      <c r="D418" s="24" t="s">
        <v>730</v>
      </c>
      <c r="E418" s="21"/>
      <c r="F418" s="21">
        <f t="shared" si="17"/>
        <v>0</v>
      </c>
      <c r="G418" s="21">
        <f t="shared" si="15"/>
        <v>0</v>
      </c>
      <c r="H418" s="290">
        <v>0</v>
      </c>
      <c r="J418" s="469"/>
      <c r="K418" s="468"/>
      <c r="L418" s="476"/>
      <c r="M418" s="477"/>
    </row>
    <row r="419" spans="1:13">
      <c r="A419" s="21" t="s">
        <v>752</v>
      </c>
      <c r="B419" s="21" t="s">
        <v>753</v>
      </c>
      <c r="C419" s="21" t="s">
        <v>754</v>
      </c>
      <c r="D419" s="24" t="s">
        <v>730</v>
      </c>
      <c r="E419" s="21"/>
      <c r="F419" s="21">
        <f t="shared" si="17"/>
        <v>0</v>
      </c>
      <c r="G419" s="21">
        <f t="shared" si="15"/>
        <v>0</v>
      </c>
      <c r="H419" s="290">
        <v>0</v>
      </c>
      <c r="J419" s="469"/>
      <c r="K419" s="468"/>
      <c r="L419" s="476"/>
      <c r="M419" s="477"/>
    </row>
    <row r="420" spans="1:13">
      <c r="A420" s="21" t="s">
        <v>755</v>
      </c>
      <c r="B420" s="21" t="s">
        <v>756</v>
      </c>
      <c r="C420" s="21" t="s">
        <v>757</v>
      </c>
      <c r="D420" s="24" t="s">
        <v>730</v>
      </c>
      <c r="E420" s="21"/>
      <c r="F420" s="21">
        <f t="shared" si="17"/>
        <v>0</v>
      </c>
      <c r="G420" s="21">
        <f t="shared" si="15"/>
        <v>0</v>
      </c>
      <c r="H420" s="290">
        <v>0</v>
      </c>
      <c r="J420" s="469"/>
      <c r="K420" s="468"/>
      <c r="L420" s="476"/>
      <c r="M420" s="477"/>
    </row>
    <row r="421" spans="1:13">
      <c r="A421" s="21" t="s">
        <v>758</v>
      </c>
      <c r="B421" s="21" t="s">
        <v>759</v>
      </c>
      <c r="C421" s="21" t="s">
        <v>760</v>
      </c>
      <c r="D421" s="24" t="s">
        <v>730</v>
      </c>
      <c r="E421" s="21"/>
      <c r="F421" s="21">
        <f t="shared" si="17"/>
        <v>0</v>
      </c>
      <c r="G421" s="21">
        <f t="shared" si="15"/>
        <v>0</v>
      </c>
      <c r="H421" s="290">
        <v>0</v>
      </c>
      <c r="J421" s="469"/>
      <c r="K421" s="468"/>
      <c r="L421" s="476"/>
      <c r="M421" s="477"/>
    </row>
    <row r="422" spans="1:13">
      <c r="A422" s="21" t="s">
        <v>761</v>
      </c>
      <c r="B422" s="21" t="s">
        <v>762</v>
      </c>
      <c r="C422" s="21" t="s">
        <v>763</v>
      </c>
      <c r="D422" s="24" t="s">
        <v>730</v>
      </c>
      <c r="E422" s="21"/>
      <c r="F422" s="21">
        <f t="shared" si="17"/>
        <v>0</v>
      </c>
      <c r="G422" s="21">
        <f t="shared" si="15"/>
        <v>0</v>
      </c>
      <c r="H422" s="290">
        <v>0</v>
      </c>
      <c r="J422" s="469"/>
      <c r="K422" s="468"/>
      <c r="L422" s="476"/>
      <c r="M422" s="477"/>
    </row>
    <row r="423" spans="1:13">
      <c r="A423" s="21" t="s">
        <v>764</v>
      </c>
      <c r="B423" s="21" t="s">
        <v>765</v>
      </c>
      <c r="C423" s="21" t="s">
        <v>3549</v>
      </c>
      <c r="D423" s="24" t="s">
        <v>730</v>
      </c>
      <c r="E423" s="21"/>
      <c r="F423" s="21">
        <f>IFERROR(ROUND(VLOOKUP(J423,DGNC,5,0)*K423*0.7,0),)</f>
        <v>3955713</v>
      </c>
      <c r="G423" s="21">
        <f t="shared" si="15"/>
        <v>0</v>
      </c>
      <c r="H423" s="290">
        <v>0</v>
      </c>
      <c r="J423" s="469" t="s">
        <v>12</v>
      </c>
      <c r="K423" s="468">
        <v>23.85</v>
      </c>
      <c r="L423" s="476"/>
      <c r="M423" s="477"/>
    </row>
    <row r="424" spans="1:13">
      <c r="A424" s="21" t="s">
        <v>766</v>
      </c>
      <c r="B424" s="21" t="s">
        <v>767</v>
      </c>
      <c r="C424" s="21" t="s">
        <v>3550</v>
      </c>
      <c r="D424" s="24" t="s">
        <v>730</v>
      </c>
      <c r="E424" s="21"/>
      <c r="F424" s="21">
        <f>IFERROR(ROUND(VLOOKUP(J424,DGNC,5,0)*K424*0.7,0),)</f>
        <v>4668903</v>
      </c>
      <c r="G424" s="21">
        <f t="shared" si="15"/>
        <v>0</v>
      </c>
      <c r="H424" s="290">
        <v>0</v>
      </c>
      <c r="J424" s="469" t="s">
        <v>12</v>
      </c>
      <c r="K424" s="468">
        <v>28.15</v>
      </c>
      <c r="L424" s="476"/>
      <c r="M424" s="477"/>
    </row>
    <row r="425" spans="1:13">
      <c r="A425" s="21" t="s">
        <v>768</v>
      </c>
      <c r="B425" s="21" t="s">
        <v>769</v>
      </c>
      <c r="C425" s="21" t="s">
        <v>3551</v>
      </c>
      <c r="D425" s="24" t="s">
        <v>730</v>
      </c>
      <c r="E425" s="21"/>
      <c r="F425" s="21">
        <f>IFERROR(ROUND(VLOOKUP(J425,DGNC,5,0)*K425*0.7,0),)</f>
        <v>6475096</v>
      </c>
      <c r="G425" s="21">
        <f t="shared" si="15"/>
        <v>0</v>
      </c>
      <c r="H425" s="290">
        <v>0</v>
      </c>
      <c r="J425" s="469" t="s">
        <v>12</v>
      </c>
      <c r="K425" s="468">
        <v>39.04</v>
      </c>
      <c r="L425" s="476"/>
      <c r="M425" s="477"/>
    </row>
    <row r="426" spans="1:13">
      <c r="A426" s="21" t="s">
        <v>770</v>
      </c>
      <c r="B426" s="21" t="s">
        <v>771</v>
      </c>
      <c r="C426" s="21" t="s">
        <v>3365</v>
      </c>
      <c r="D426" s="24" t="s">
        <v>730</v>
      </c>
      <c r="E426" s="21"/>
      <c r="F426" s="21">
        <f>IFERROR(ROUND(VLOOKUP(J426,DGNC,5,0)*K426*0.7,0),)</f>
        <v>8548321</v>
      </c>
      <c r="G426" s="21">
        <f t="shared" si="15"/>
        <v>0</v>
      </c>
      <c r="H426" s="290">
        <v>0</v>
      </c>
      <c r="J426" s="469" t="s">
        <v>12</v>
      </c>
      <c r="K426" s="468">
        <v>51.54</v>
      </c>
      <c r="L426" s="476"/>
      <c r="M426" s="477"/>
    </row>
    <row r="427" spans="1:13">
      <c r="A427" s="21" t="s">
        <v>772</v>
      </c>
      <c r="B427" s="21" t="s">
        <v>773</v>
      </c>
      <c r="C427" s="21" t="s">
        <v>3552</v>
      </c>
      <c r="D427" s="24" t="s">
        <v>730</v>
      </c>
      <c r="E427" s="21"/>
      <c r="F427" s="21">
        <f>IFERROR(ROUND(VLOOKUP(J427,DGNC,5,0)*K427*0.7,0),)</f>
        <v>10258317</v>
      </c>
      <c r="G427" s="21">
        <f t="shared" si="15"/>
        <v>0</v>
      </c>
      <c r="H427" s="290">
        <v>0</v>
      </c>
      <c r="J427" s="469" t="s">
        <v>12</v>
      </c>
      <c r="K427" s="468">
        <v>61.85</v>
      </c>
      <c r="L427" s="476"/>
      <c r="M427" s="477"/>
    </row>
    <row r="428" spans="1:13">
      <c r="A428" s="21" t="s">
        <v>2029</v>
      </c>
      <c r="B428" s="21" t="s">
        <v>767</v>
      </c>
      <c r="C428" s="21" t="s">
        <v>3553</v>
      </c>
      <c r="D428" s="24" t="s">
        <v>730</v>
      </c>
      <c r="E428" s="21"/>
      <c r="F428" s="21">
        <f>IFERROR(ROUND(VLOOKUP(J428,DGNC,5,0)*K428*0.85*0.7,0),)</f>
        <v>3968567</v>
      </c>
      <c r="G428" s="21">
        <f t="shared" si="15"/>
        <v>0</v>
      </c>
      <c r="H428" s="290">
        <v>0</v>
      </c>
      <c r="J428" s="469" t="s">
        <v>12</v>
      </c>
      <c r="K428" s="468">
        <v>28.15</v>
      </c>
      <c r="L428" s="476"/>
      <c r="M428" s="477"/>
    </row>
    <row r="429" spans="1:13">
      <c r="A429" s="21" t="s">
        <v>774</v>
      </c>
      <c r="B429" s="21" t="s">
        <v>769</v>
      </c>
      <c r="C429" s="21" t="s">
        <v>3554</v>
      </c>
      <c r="D429" s="24" t="s">
        <v>730</v>
      </c>
      <c r="E429" s="21"/>
      <c r="F429" s="21">
        <f>IFERROR(ROUND(VLOOKUP(J429,DGNC,5,0)*K429*0.85*0.7,0),)</f>
        <v>5503832</v>
      </c>
      <c r="G429" s="21">
        <f t="shared" si="15"/>
        <v>0</v>
      </c>
      <c r="H429" s="290">
        <v>0</v>
      </c>
      <c r="J429" s="469" t="s">
        <v>12</v>
      </c>
      <c r="K429" s="468">
        <v>39.04</v>
      </c>
      <c r="L429" s="476"/>
      <c r="M429" s="477"/>
    </row>
    <row r="430" spans="1:13">
      <c r="A430" s="21" t="s">
        <v>775</v>
      </c>
      <c r="B430" s="21" t="s">
        <v>771</v>
      </c>
      <c r="C430" s="21" t="s">
        <v>3366</v>
      </c>
      <c r="D430" s="24" t="s">
        <v>730</v>
      </c>
      <c r="E430" s="21"/>
      <c r="F430" s="21">
        <f>IFERROR(ROUND(VLOOKUP(J430,DGNC,5,0)*K430*0.85*0.7,0),)</f>
        <v>7266073</v>
      </c>
      <c r="G430" s="21">
        <f t="shared" ref="G430:G496" si="18">IFERROR(ROUND(VLOOKUP(L430,DGMTC,8,0)*M430,0),)</f>
        <v>0</v>
      </c>
      <c r="H430" s="290">
        <v>0</v>
      </c>
      <c r="J430" s="469" t="s">
        <v>12</v>
      </c>
      <c r="K430" s="468">
        <v>51.54</v>
      </c>
      <c r="L430" s="476"/>
      <c r="M430" s="477"/>
    </row>
    <row r="431" spans="1:13">
      <c r="A431" s="21" t="s">
        <v>776</v>
      </c>
      <c r="B431" s="21" t="s">
        <v>773</v>
      </c>
      <c r="C431" s="21" t="s">
        <v>3555</v>
      </c>
      <c r="D431" s="24" t="s">
        <v>730</v>
      </c>
      <c r="E431" s="21"/>
      <c r="F431" s="21">
        <f>IFERROR(ROUND(VLOOKUP(J431,DGNC,5,0)*K431*0.85*0.7,0),)</f>
        <v>8719570</v>
      </c>
      <c r="G431" s="21">
        <f t="shared" si="18"/>
        <v>0</v>
      </c>
      <c r="H431" s="290">
        <v>0</v>
      </c>
      <c r="J431" s="469" t="s">
        <v>12</v>
      </c>
      <c r="K431" s="468">
        <v>61.85</v>
      </c>
      <c r="L431" s="476"/>
      <c r="M431" s="477"/>
    </row>
    <row r="432" spans="1:13">
      <c r="A432" s="21" t="s">
        <v>777</v>
      </c>
      <c r="B432" s="21" t="s">
        <v>741</v>
      </c>
      <c r="C432" s="21" t="s">
        <v>778</v>
      </c>
      <c r="D432" s="24" t="s">
        <v>730</v>
      </c>
      <c r="E432" s="21"/>
      <c r="F432" s="21">
        <f t="shared" ref="F432:F495" si="19">IFERROR(ROUND(VLOOKUP(J432,DGNC,5,0)*K432,0),)</f>
        <v>0</v>
      </c>
      <c r="G432" s="21">
        <f t="shared" si="18"/>
        <v>0</v>
      </c>
      <c r="H432" s="290">
        <v>0</v>
      </c>
      <c r="J432" s="469"/>
      <c r="K432" s="468"/>
      <c r="L432" s="476"/>
      <c r="M432" s="477"/>
    </row>
    <row r="433" spans="1:15">
      <c r="A433" s="21" t="s">
        <v>779</v>
      </c>
      <c r="B433" s="21" t="s">
        <v>780</v>
      </c>
      <c r="C433" s="21" t="s">
        <v>3364</v>
      </c>
      <c r="D433" s="24" t="s">
        <v>730</v>
      </c>
      <c r="E433" s="21"/>
      <c r="F433" s="21">
        <f>IFERROR(ROUND(VLOOKUP(J433,DGNC,5,0)*K433*0.7,0),)</f>
        <v>1577041</v>
      </c>
      <c r="G433" s="21">
        <f>IFERROR(ROUND(VLOOKUP(L433,DGMTC,8,0)*M433+VLOOKUP(N433,DGMTC,8,0)*O433,0),)</f>
        <v>98673</v>
      </c>
      <c r="H433" s="290">
        <v>0</v>
      </c>
      <c r="J433" s="469" t="s">
        <v>781</v>
      </c>
      <c r="K433" s="468">
        <v>8.73</v>
      </c>
      <c r="L433" s="476" t="s">
        <v>782</v>
      </c>
      <c r="M433" s="477">
        <v>0.11</v>
      </c>
      <c r="N433" s="20" t="s">
        <v>1357</v>
      </c>
      <c r="O433" s="287">
        <v>0.15</v>
      </c>
    </row>
    <row r="434" spans="1:15">
      <c r="A434" s="21" t="s">
        <v>783</v>
      </c>
      <c r="B434" s="21" t="s">
        <v>780</v>
      </c>
      <c r="C434" s="21" t="s">
        <v>784</v>
      </c>
      <c r="D434" s="24" t="s">
        <v>730</v>
      </c>
      <c r="E434" s="21"/>
      <c r="F434" s="21">
        <f>IFERROR(ROUND(VLOOKUP(J434,DGNC,5,0)*K434*0.7,0),)</f>
        <v>1577041</v>
      </c>
      <c r="G434" s="21">
        <f>IFERROR(ROUND(VLOOKUP(L434,DGMTC,8,0)*M434+VLOOKUP(N434,DGMTC,8,0)*O434,0),)</f>
        <v>98673</v>
      </c>
      <c r="H434" s="290">
        <v>0</v>
      </c>
      <c r="J434" s="469" t="s">
        <v>781</v>
      </c>
      <c r="K434" s="468">
        <v>8.73</v>
      </c>
      <c r="L434" s="476" t="s">
        <v>782</v>
      </c>
      <c r="M434" s="477">
        <v>0.11</v>
      </c>
      <c r="N434" s="20" t="s">
        <v>1357</v>
      </c>
      <c r="O434" s="287">
        <v>0.15</v>
      </c>
    </row>
    <row r="435" spans="1:15">
      <c r="A435" s="21" t="s">
        <v>785</v>
      </c>
      <c r="B435" s="21" t="s">
        <v>786</v>
      </c>
      <c r="C435" s="21" t="s">
        <v>787</v>
      </c>
      <c r="D435" s="24" t="s">
        <v>730</v>
      </c>
      <c r="E435" s="21"/>
      <c r="F435" s="21">
        <f>IFERROR(ROUND(VLOOKUP(J435,DGNC,5,0)*K435*0.7,0),)</f>
        <v>2140657</v>
      </c>
      <c r="G435" s="21">
        <f>IFERROR(ROUND(VLOOKUP(L435,DGMTC,8,0)*M435+VLOOKUP(N435,DGMTC,8,0)*O435,0),)</f>
        <v>133386</v>
      </c>
      <c r="H435" s="290">
        <v>0</v>
      </c>
      <c r="J435" s="469" t="s">
        <v>781</v>
      </c>
      <c r="K435" s="468">
        <v>11.85</v>
      </c>
      <c r="L435" s="476" t="s">
        <v>782</v>
      </c>
      <c r="M435" s="477">
        <v>0.15</v>
      </c>
      <c r="N435" s="20" t="s">
        <v>1357</v>
      </c>
      <c r="O435" s="287">
        <v>0.2</v>
      </c>
    </row>
    <row r="436" spans="1:15">
      <c r="A436" s="21" t="s">
        <v>788</v>
      </c>
      <c r="B436" s="21" t="s">
        <v>789</v>
      </c>
      <c r="C436" s="21" t="s">
        <v>790</v>
      </c>
      <c r="D436" s="24" t="s">
        <v>730</v>
      </c>
      <c r="E436" s="21"/>
      <c r="F436" s="21">
        <f>IFERROR(ROUND(VLOOKUP(J436,DGNC,5,0)*K436*0.7,0),)</f>
        <v>2665338</v>
      </c>
      <c r="G436" s="21">
        <f t="shared" si="18"/>
        <v>0</v>
      </c>
      <c r="H436" s="290">
        <v>0</v>
      </c>
      <c r="J436" s="469" t="s">
        <v>12</v>
      </c>
      <c r="K436" s="468">
        <v>16.07</v>
      </c>
      <c r="L436" s="476"/>
      <c r="M436" s="477"/>
      <c r="O436" s="287"/>
    </row>
    <row r="437" spans="1:15">
      <c r="A437" s="21" t="s">
        <v>791</v>
      </c>
      <c r="B437" s="21" t="s">
        <v>792</v>
      </c>
      <c r="C437" s="21" t="s">
        <v>793</v>
      </c>
      <c r="D437" s="24" t="s">
        <v>730</v>
      </c>
      <c r="E437" s="21"/>
      <c r="F437" s="21">
        <f t="shared" si="19"/>
        <v>5087102</v>
      </c>
      <c r="G437" s="21">
        <f t="shared" si="18"/>
        <v>0</v>
      </c>
      <c r="H437" s="290">
        <v>0</v>
      </c>
      <c r="J437" s="469" t="s">
        <v>12</v>
      </c>
      <c r="K437" s="468">
        <v>21.47</v>
      </c>
      <c r="L437" s="476"/>
      <c r="M437" s="477"/>
      <c r="O437" s="287"/>
    </row>
    <row r="438" spans="1:15">
      <c r="A438" s="21" t="s">
        <v>794</v>
      </c>
      <c r="B438" s="21" t="s">
        <v>795</v>
      </c>
      <c r="C438" s="21" t="s">
        <v>796</v>
      </c>
      <c r="D438" s="24" t="s">
        <v>730</v>
      </c>
      <c r="E438" s="21"/>
      <c r="F438" s="21">
        <f t="shared" si="19"/>
        <v>6928126</v>
      </c>
      <c r="G438" s="21">
        <f t="shared" si="18"/>
        <v>0</v>
      </c>
      <c r="H438" s="290">
        <v>0</v>
      </c>
      <c r="J438" s="469" t="s">
        <v>12</v>
      </c>
      <c r="K438" s="468">
        <v>29.24</v>
      </c>
      <c r="L438" s="476"/>
      <c r="M438" s="477"/>
      <c r="O438" s="287"/>
    </row>
    <row r="439" spans="1:15">
      <c r="A439" s="21" t="s">
        <v>797</v>
      </c>
      <c r="B439" s="21" t="s">
        <v>798</v>
      </c>
      <c r="C439" s="21" t="s">
        <v>799</v>
      </c>
      <c r="D439" s="24" t="s">
        <v>730</v>
      </c>
      <c r="E439" s="21"/>
      <c r="F439" s="21">
        <f t="shared" si="19"/>
        <v>0</v>
      </c>
      <c r="G439" s="21">
        <f t="shared" si="18"/>
        <v>0</v>
      </c>
      <c r="H439" s="290">
        <v>0</v>
      </c>
      <c r="J439" s="469"/>
      <c r="K439" s="468"/>
      <c r="L439" s="476"/>
      <c r="M439" s="477"/>
    </row>
    <row r="440" spans="1:15">
      <c r="A440" s="21" t="s">
        <v>800</v>
      </c>
      <c r="B440" s="21" t="s">
        <v>801</v>
      </c>
      <c r="C440" s="21" t="s">
        <v>802</v>
      </c>
      <c r="D440" s="24" t="s">
        <v>730</v>
      </c>
      <c r="E440" s="21"/>
      <c r="F440" s="21">
        <f t="shared" si="19"/>
        <v>0</v>
      </c>
      <c r="G440" s="21">
        <f t="shared" si="18"/>
        <v>0</v>
      </c>
      <c r="H440" s="290">
        <v>0</v>
      </c>
      <c r="J440" s="469"/>
      <c r="K440" s="468"/>
      <c r="L440" s="476"/>
      <c r="M440" s="477"/>
    </row>
    <row r="441" spans="1:15">
      <c r="A441" s="21" t="s">
        <v>803</v>
      </c>
      <c r="B441" s="21" t="s">
        <v>804</v>
      </c>
      <c r="C441" s="21" t="s">
        <v>805</v>
      </c>
      <c r="D441" s="24" t="s">
        <v>730</v>
      </c>
      <c r="E441" s="21"/>
      <c r="F441" s="21">
        <f t="shared" si="19"/>
        <v>0</v>
      </c>
      <c r="G441" s="21">
        <f t="shared" si="18"/>
        <v>0</v>
      </c>
      <c r="H441" s="290">
        <v>0</v>
      </c>
      <c r="J441" s="469"/>
      <c r="K441" s="468"/>
      <c r="L441" s="476"/>
      <c r="M441" s="477"/>
    </row>
    <row r="442" spans="1:15">
      <c r="A442" s="21" t="s">
        <v>806</v>
      </c>
      <c r="B442" s="21" t="s">
        <v>807</v>
      </c>
      <c r="C442" s="21" t="s">
        <v>808</v>
      </c>
      <c r="D442" s="24" t="s">
        <v>730</v>
      </c>
      <c r="E442" s="21"/>
      <c r="F442" s="21">
        <f t="shared" si="19"/>
        <v>0</v>
      </c>
      <c r="G442" s="21">
        <f t="shared" si="18"/>
        <v>0</v>
      </c>
      <c r="H442" s="290">
        <v>0</v>
      </c>
      <c r="J442" s="469"/>
      <c r="K442" s="468"/>
      <c r="L442" s="476"/>
      <c r="M442" s="477"/>
    </row>
    <row r="443" spans="1:15">
      <c r="A443" s="21" t="s">
        <v>809</v>
      </c>
      <c r="B443" s="21" t="s">
        <v>810</v>
      </c>
      <c r="C443" s="21" t="s">
        <v>811</v>
      </c>
      <c r="D443" s="24" t="s">
        <v>730</v>
      </c>
      <c r="E443" s="21"/>
      <c r="F443" s="21">
        <f t="shared" si="19"/>
        <v>0</v>
      </c>
      <c r="G443" s="21">
        <f t="shared" si="18"/>
        <v>0</v>
      </c>
      <c r="H443" s="290">
        <v>0</v>
      </c>
      <c r="J443" s="469"/>
      <c r="K443" s="468"/>
      <c r="L443" s="476"/>
      <c r="M443" s="477"/>
    </row>
    <row r="444" spans="1:15">
      <c r="A444" s="21" t="s">
        <v>812</v>
      </c>
      <c r="B444" s="21" t="s">
        <v>780</v>
      </c>
      <c r="C444" s="21" t="s">
        <v>3519</v>
      </c>
      <c r="D444" s="24" t="s">
        <v>730</v>
      </c>
      <c r="E444" s="21"/>
      <c r="F444" s="21">
        <f>IFERROR(ROUND(VLOOKUP(J444,DGNC,5,0)*K444*1.1,0),)</f>
        <v>2478208</v>
      </c>
      <c r="G444" s="21">
        <f>IFERROR(ROUND(VLOOKUP(L444,DGMTC,8,0)*M444*1.1+VLOOKUP(N444,DGMTC,8,0)*O444*1.1,0),)</f>
        <v>108540</v>
      </c>
      <c r="H444" s="290">
        <v>0</v>
      </c>
      <c r="J444" s="469" t="s">
        <v>781</v>
      </c>
      <c r="K444" s="468">
        <v>8.73</v>
      </c>
      <c r="L444" s="476" t="s">
        <v>782</v>
      </c>
      <c r="M444" s="477">
        <v>0.11</v>
      </c>
      <c r="N444" s="20" t="s">
        <v>1357</v>
      </c>
      <c r="O444" s="287">
        <v>0.15</v>
      </c>
    </row>
    <row r="445" spans="1:15">
      <c r="A445" s="21" t="s">
        <v>813</v>
      </c>
      <c r="B445" s="21" t="s">
        <v>780</v>
      </c>
      <c r="C445" s="21" t="s">
        <v>3367</v>
      </c>
      <c r="D445" s="24" t="s">
        <v>730</v>
      </c>
      <c r="E445" s="21"/>
      <c r="F445" s="21">
        <f>IFERROR(ROUND(VLOOKUP(J445,DGNC,5,0)*K445*1.1,0),)</f>
        <v>2478208</v>
      </c>
      <c r="G445" s="21">
        <f>IFERROR(ROUND(VLOOKUP(L445,DGMTC,8,0)*M445*1.1+VLOOKUP(N445,DGMTC,8,0)*O445*1.1,0),)</f>
        <v>108540</v>
      </c>
      <c r="H445" s="290">
        <v>0</v>
      </c>
      <c r="J445" s="469" t="s">
        <v>781</v>
      </c>
      <c r="K445" s="468">
        <v>8.73</v>
      </c>
      <c r="L445" s="476" t="s">
        <v>782</v>
      </c>
      <c r="M445" s="477">
        <v>0.11</v>
      </c>
      <c r="N445" s="20" t="s">
        <v>1357</v>
      </c>
      <c r="O445" s="287">
        <v>0.15</v>
      </c>
    </row>
    <row r="446" spans="1:15">
      <c r="A446" s="21" t="s">
        <v>814</v>
      </c>
      <c r="B446" s="21" t="s">
        <v>786</v>
      </c>
      <c r="C446" s="21" t="s">
        <v>815</v>
      </c>
      <c r="D446" s="24" t="s">
        <v>730</v>
      </c>
      <c r="E446" s="21"/>
      <c r="F446" s="21">
        <f>IFERROR(ROUND(VLOOKUP(J446,DGNC,5,0)*K446*1.1,0),)</f>
        <v>3363890</v>
      </c>
      <c r="G446" s="21">
        <f>IFERROR(ROUND(VLOOKUP(L446,DGMTC,8,0)*M446*1.1+VLOOKUP(N446,DGMTC,8,0)*O446*1.1,0),)</f>
        <v>146725</v>
      </c>
      <c r="H446" s="290">
        <v>0</v>
      </c>
      <c r="J446" s="469" t="s">
        <v>781</v>
      </c>
      <c r="K446" s="468">
        <v>11.85</v>
      </c>
      <c r="L446" s="476" t="s">
        <v>782</v>
      </c>
      <c r="M446" s="477">
        <v>0.15</v>
      </c>
      <c r="N446" s="20" t="s">
        <v>1357</v>
      </c>
      <c r="O446" s="287">
        <v>0.2</v>
      </c>
    </row>
    <row r="447" spans="1:15">
      <c r="A447" s="21" t="s">
        <v>816</v>
      </c>
      <c r="B447" s="21" t="s">
        <v>817</v>
      </c>
      <c r="C447" s="21" t="s">
        <v>818</v>
      </c>
      <c r="D447" s="24" t="s">
        <v>730</v>
      </c>
      <c r="E447" s="21"/>
      <c r="F447" s="21">
        <f t="shared" si="19"/>
        <v>3807626</v>
      </c>
      <c r="G447" s="21">
        <f t="shared" si="18"/>
        <v>0</v>
      </c>
      <c r="H447" s="290">
        <v>0</v>
      </c>
      <c r="J447" s="469" t="s">
        <v>12</v>
      </c>
      <c r="K447" s="468">
        <v>16.07</v>
      </c>
      <c r="L447" s="476"/>
      <c r="M447" s="477"/>
    </row>
    <row r="448" spans="1:15">
      <c r="A448" s="21" t="s">
        <v>819</v>
      </c>
      <c r="B448" s="21" t="s">
        <v>820</v>
      </c>
      <c r="C448" s="21" t="s">
        <v>821</v>
      </c>
      <c r="D448" s="24" t="s">
        <v>730</v>
      </c>
      <c r="E448" s="21"/>
      <c r="F448" s="21">
        <f t="shared" si="19"/>
        <v>5087102</v>
      </c>
      <c r="G448" s="21">
        <f t="shared" si="18"/>
        <v>0</v>
      </c>
      <c r="H448" s="290">
        <v>0</v>
      </c>
      <c r="J448" s="469" t="s">
        <v>12</v>
      </c>
      <c r="K448" s="468">
        <v>21.47</v>
      </c>
      <c r="L448" s="476"/>
      <c r="M448" s="477"/>
    </row>
    <row r="449" spans="1:13">
      <c r="A449" s="21" t="s">
        <v>822</v>
      </c>
      <c r="B449" s="21" t="s">
        <v>823</v>
      </c>
      <c r="C449" s="21" t="s">
        <v>824</v>
      </c>
      <c r="D449" s="24" t="s">
        <v>730</v>
      </c>
      <c r="E449" s="21"/>
      <c r="F449" s="21">
        <f t="shared" si="19"/>
        <v>6928126</v>
      </c>
      <c r="G449" s="21">
        <f t="shared" si="18"/>
        <v>0</v>
      </c>
      <c r="H449" s="290">
        <v>0</v>
      </c>
      <c r="J449" s="469" t="s">
        <v>12</v>
      </c>
      <c r="K449" s="468">
        <v>29.24</v>
      </c>
      <c r="L449" s="476"/>
      <c r="M449" s="477"/>
    </row>
    <row r="450" spans="1:13">
      <c r="A450" s="21" t="s">
        <v>825</v>
      </c>
      <c r="B450" s="21" t="s">
        <v>826</v>
      </c>
      <c r="C450" s="21" t="s">
        <v>827</v>
      </c>
      <c r="D450" s="24" t="s">
        <v>730</v>
      </c>
      <c r="E450" s="21"/>
      <c r="F450" s="21">
        <f t="shared" si="19"/>
        <v>0</v>
      </c>
      <c r="G450" s="21">
        <f t="shared" si="18"/>
        <v>0</v>
      </c>
      <c r="H450" s="290">
        <v>0</v>
      </c>
      <c r="J450" s="469"/>
      <c r="K450" s="468"/>
      <c r="L450" s="476"/>
      <c r="M450" s="477"/>
    </row>
    <row r="451" spans="1:13">
      <c r="A451" s="21" t="s">
        <v>828</v>
      </c>
      <c r="B451" s="21" t="s">
        <v>829</v>
      </c>
      <c r="C451" s="21" t="s">
        <v>805</v>
      </c>
      <c r="D451" s="24" t="s">
        <v>730</v>
      </c>
      <c r="E451" s="21"/>
      <c r="F451" s="21">
        <f t="shared" si="19"/>
        <v>0</v>
      </c>
      <c r="G451" s="21">
        <f t="shared" si="18"/>
        <v>0</v>
      </c>
      <c r="H451" s="290">
        <v>0</v>
      </c>
      <c r="J451" s="469"/>
      <c r="K451" s="468"/>
      <c r="L451" s="476"/>
      <c r="M451" s="477"/>
    </row>
    <row r="452" spans="1:13">
      <c r="A452" s="21" t="s">
        <v>830</v>
      </c>
      <c r="B452" s="21" t="s">
        <v>831</v>
      </c>
      <c r="C452" s="21" t="s">
        <v>832</v>
      </c>
      <c r="D452" s="24" t="s">
        <v>730</v>
      </c>
      <c r="E452" s="21"/>
      <c r="F452" s="21">
        <f t="shared" si="19"/>
        <v>2717702</v>
      </c>
      <c r="G452" s="21">
        <f t="shared" si="18"/>
        <v>0</v>
      </c>
      <c r="H452" s="290">
        <v>0</v>
      </c>
      <c r="J452" s="469" t="s">
        <v>12</v>
      </c>
      <c r="K452" s="468">
        <v>11.47</v>
      </c>
      <c r="L452" s="476"/>
      <c r="M452" s="477"/>
    </row>
    <row r="453" spans="1:13">
      <c r="A453" s="21" t="s">
        <v>833</v>
      </c>
      <c r="B453" s="21" t="s">
        <v>831</v>
      </c>
      <c r="C453" s="21" t="s">
        <v>834</v>
      </c>
      <c r="D453" s="24" t="s">
        <v>730</v>
      </c>
      <c r="E453" s="21"/>
      <c r="F453" s="21">
        <f t="shared" si="19"/>
        <v>2717702</v>
      </c>
      <c r="G453" s="21">
        <f t="shared" si="18"/>
        <v>0</v>
      </c>
      <c r="H453" s="290">
        <v>0</v>
      </c>
      <c r="J453" s="469" t="s">
        <v>12</v>
      </c>
      <c r="K453" s="468">
        <v>11.47</v>
      </c>
      <c r="L453" s="476"/>
      <c r="M453" s="477"/>
    </row>
    <row r="454" spans="1:13">
      <c r="A454" s="21" t="s">
        <v>835</v>
      </c>
      <c r="B454" s="21" t="s">
        <v>836</v>
      </c>
      <c r="C454" s="21" t="s">
        <v>837</v>
      </c>
      <c r="D454" s="24" t="s">
        <v>730</v>
      </c>
      <c r="E454" s="21"/>
      <c r="F454" s="21">
        <f t="shared" si="19"/>
        <v>3757868</v>
      </c>
      <c r="G454" s="21">
        <f t="shared" si="18"/>
        <v>0</v>
      </c>
      <c r="H454" s="290">
        <v>0</v>
      </c>
      <c r="J454" s="469" t="s">
        <v>12</v>
      </c>
      <c r="K454" s="468">
        <v>15.86</v>
      </c>
      <c r="L454" s="476"/>
      <c r="M454" s="477"/>
    </row>
    <row r="455" spans="1:13">
      <c r="A455" s="21" t="s">
        <v>838</v>
      </c>
      <c r="B455" s="21" t="s">
        <v>839</v>
      </c>
      <c r="C455" s="21" t="s">
        <v>840</v>
      </c>
      <c r="D455" s="24" t="s">
        <v>730</v>
      </c>
      <c r="E455" s="21"/>
      <c r="F455" s="21">
        <f t="shared" si="19"/>
        <v>4909397</v>
      </c>
      <c r="G455" s="21">
        <f t="shared" si="18"/>
        <v>0</v>
      </c>
      <c r="H455" s="290">
        <v>0</v>
      </c>
      <c r="J455" s="469" t="s">
        <v>12</v>
      </c>
      <c r="K455" s="468">
        <v>20.72</v>
      </c>
      <c r="L455" s="476"/>
      <c r="M455" s="477"/>
    </row>
    <row r="456" spans="1:13">
      <c r="A456" s="21" t="s">
        <v>841</v>
      </c>
      <c r="B456" s="21" t="s">
        <v>839</v>
      </c>
      <c r="C456" s="21" t="s">
        <v>842</v>
      </c>
      <c r="D456" s="24" t="s">
        <v>730</v>
      </c>
      <c r="E456" s="21"/>
      <c r="F456" s="21">
        <f t="shared" si="19"/>
        <v>4909397</v>
      </c>
      <c r="G456" s="21">
        <f t="shared" si="18"/>
        <v>0</v>
      </c>
      <c r="H456" s="290">
        <v>0</v>
      </c>
      <c r="J456" s="469" t="s">
        <v>12</v>
      </c>
      <c r="K456" s="468">
        <v>20.72</v>
      </c>
      <c r="L456" s="476"/>
      <c r="M456" s="477"/>
    </row>
    <row r="457" spans="1:13">
      <c r="A457" s="21" t="s">
        <v>843</v>
      </c>
      <c r="B457" s="21" t="s">
        <v>844</v>
      </c>
      <c r="C457" s="21" t="s">
        <v>845</v>
      </c>
      <c r="D457" s="24" t="s">
        <v>730</v>
      </c>
      <c r="E457" s="21"/>
      <c r="F457" s="21">
        <f t="shared" si="19"/>
        <v>6612995</v>
      </c>
      <c r="G457" s="21">
        <f t="shared" si="18"/>
        <v>0</v>
      </c>
      <c r="H457" s="290">
        <v>0</v>
      </c>
      <c r="J457" s="469" t="s">
        <v>12</v>
      </c>
      <c r="K457" s="468">
        <v>27.91</v>
      </c>
      <c r="L457" s="476"/>
      <c r="M457" s="477"/>
    </row>
    <row r="458" spans="1:13">
      <c r="A458" s="21" t="s">
        <v>846</v>
      </c>
      <c r="B458" s="21" t="s">
        <v>847</v>
      </c>
      <c r="C458" s="21" t="s">
        <v>848</v>
      </c>
      <c r="D458" s="24" t="s">
        <v>730</v>
      </c>
      <c r="E458" s="21"/>
      <c r="F458" s="21">
        <f t="shared" si="19"/>
        <v>9013198</v>
      </c>
      <c r="G458" s="21">
        <f t="shared" si="18"/>
        <v>0</v>
      </c>
      <c r="H458" s="290">
        <v>0</v>
      </c>
      <c r="J458" s="469" t="s">
        <v>12</v>
      </c>
      <c r="K458" s="468">
        <v>38.04</v>
      </c>
      <c r="L458" s="476"/>
      <c r="M458" s="477"/>
    </row>
    <row r="459" spans="1:13">
      <c r="A459" s="21" t="s">
        <v>849</v>
      </c>
      <c r="B459" s="21" t="s">
        <v>831</v>
      </c>
      <c r="C459" s="21" t="s">
        <v>850</v>
      </c>
      <c r="D459" s="24" t="s">
        <v>730</v>
      </c>
      <c r="E459" s="21"/>
      <c r="F459" s="21">
        <f t="shared" si="19"/>
        <v>0</v>
      </c>
      <c r="G459" s="21">
        <f t="shared" si="18"/>
        <v>0</v>
      </c>
      <c r="H459" s="290">
        <v>0</v>
      </c>
      <c r="J459" s="469"/>
      <c r="K459" s="468"/>
      <c r="L459" s="476"/>
      <c r="M459" s="477"/>
    </row>
    <row r="460" spans="1:13">
      <c r="A460" s="21" t="s">
        <v>851</v>
      </c>
      <c r="B460" s="21" t="s">
        <v>839</v>
      </c>
      <c r="C460" s="21" t="s">
        <v>852</v>
      </c>
      <c r="D460" s="24" t="s">
        <v>730</v>
      </c>
      <c r="E460" s="21"/>
      <c r="F460" s="21">
        <f t="shared" si="19"/>
        <v>0</v>
      </c>
      <c r="G460" s="21">
        <f t="shared" si="18"/>
        <v>0</v>
      </c>
      <c r="H460" s="290">
        <v>0</v>
      </c>
      <c r="J460" s="469"/>
      <c r="K460" s="468"/>
      <c r="L460" s="476"/>
      <c r="M460" s="477"/>
    </row>
    <row r="461" spans="1:13">
      <c r="A461" s="21" t="s">
        <v>853</v>
      </c>
      <c r="B461" s="21" t="s">
        <v>847</v>
      </c>
      <c r="C461" s="21" t="s">
        <v>854</v>
      </c>
      <c r="D461" s="24" t="s">
        <v>730</v>
      </c>
      <c r="E461" s="21"/>
      <c r="F461" s="21">
        <f t="shared" si="19"/>
        <v>0</v>
      </c>
      <c r="G461" s="21">
        <f t="shared" si="18"/>
        <v>0</v>
      </c>
      <c r="H461" s="290">
        <v>0</v>
      </c>
      <c r="J461" s="469"/>
      <c r="K461" s="468"/>
      <c r="L461" s="476"/>
      <c r="M461" s="477"/>
    </row>
    <row r="462" spans="1:13">
      <c r="A462" s="21" t="s">
        <v>855</v>
      </c>
      <c r="B462" s="21" t="s">
        <v>2985</v>
      </c>
      <c r="C462" s="21" t="s">
        <v>856</v>
      </c>
      <c r="D462" s="24" t="s">
        <v>146</v>
      </c>
      <c r="E462" s="21"/>
      <c r="F462" s="21">
        <f t="shared" si="19"/>
        <v>35541</v>
      </c>
      <c r="G462" s="21">
        <f t="shared" si="18"/>
        <v>0</v>
      </c>
      <c r="H462" s="290">
        <v>0</v>
      </c>
      <c r="J462" s="469" t="s">
        <v>12</v>
      </c>
      <c r="K462" s="468">
        <v>0.15</v>
      </c>
      <c r="L462" s="476"/>
      <c r="M462" s="477"/>
    </row>
    <row r="463" spans="1:13">
      <c r="A463" s="21" t="s">
        <v>857</v>
      </c>
      <c r="B463" s="21" t="s">
        <v>2985</v>
      </c>
      <c r="C463" s="21" t="s">
        <v>858</v>
      </c>
      <c r="D463" s="24" t="s">
        <v>146</v>
      </c>
      <c r="E463" s="21"/>
      <c r="F463" s="21">
        <f t="shared" si="19"/>
        <v>35541</v>
      </c>
      <c r="G463" s="21">
        <f t="shared" si="18"/>
        <v>0</v>
      </c>
      <c r="H463" s="290">
        <v>0</v>
      </c>
      <c r="J463" s="469" t="s">
        <v>12</v>
      </c>
      <c r="K463" s="468">
        <v>0.15</v>
      </c>
      <c r="L463" s="476"/>
      <c r="M463" s="477"/>
    </row>
    <row r="464" spans="1:13">
      <c r="A464" s="21" t="s">
        <v>859</v>
      </c>
      <c r="B464" s="21" t="s">
        <v>2985</v>
      </c>
      <c r="C464" s="21" t="s">
        <v>860</v>
      </c>
      <c r="D464" s="24" t="s">
        <v>146</v>
      </c>
      <c r="E464" s="21"/>
      <c r="F464" s="21">
        <f t="shared" si="19"/>
        <v>35541</v>
      </c>
      <c r="G464" s="21">
        <f t="shared" si="18"/>
        <v>0</v>
      </c>
      <c r="H464" s="290">
        <v>0</v>
      </c>
      <c r="J464" s="469" t="s">
        <v>12</v>
      </c>
      <c r="K464" s="468">
        <v>0.15</v>
      </c>
      <c r="L464" s="476"/>
      <c r="M464" s="477"/>
    </row>
    <row r="465" spans="1:13">
      <c r="A465" s="21" t="s">
        <v>861</v>
      </c>
      <c r="B465" s="21" t="s">
        <v>862</v>
      </c>
      <c r="C465" s="21" t="s">
        <v>863</v>
      </c>
      <c r="D465" s="24" t="s">
        <v>24</v>
      </c>
      <c r="E465" s="21"/>
      <c r="F465" s="21">
        <f t="shared" si="19"/>
        <v>49616</v>
      </c>
      <c r="G465" s="21">
        <f t="shared" si="18"/>
        <v>0</v>
      </c>
      <c r="H465" s="290">
        <v>0</v>
      </c>
      <c r="J465" s="469" t="s">
        <v>289</v>
      </c>
      <c r="K465" s="468">
        <f>2.26/10</f>
        <v>0.22599999999999998</v>
      </c>
      <c r="L465" s="476"/>
      <c r="M465" s="477"/>
    </row>
    <row r="466" spans="1:13">
      <c r="A466" s="21" t="s">
        <v>2872</v>
      </c>
      <c r="B466" s="21" t="s">
        <v>2873</v>
      </c>
      <c r="C466" s="21" t="s">
        <v>2874</v>
      </c>
      <c r="D466" s="24" t="s">
        <v>24</v>
      </c>
      <c r="E466" s="21"/>
      <c r="F466" s="21">
        <f>IFERROR(ROUND(VLOOKUP(J466,DGNC,5,0)*K466,0),)</f>
        <v>54496</v>
      </c>
      <c r="G466" s="21">
        <f>IFERROR(ROUND(VLOOKUP(L466,DGMTC,8,0)*M466,0),)</f>
        <v>0</v>
      </c>
      <c r="H466" s="290">
        <v>0</v>
      </c>
      <c r="J466" s="469" t="s">
        <v>12</v>
      </c>
      <c r="K466" s="468">
        <v>0.23</v>
      </c>
      <c r="L466" s="476"/>
      <c r="M466" s="477"/>
    </row>
    <row r="467" spans="1:13">
      <c r="A467" s="21" t="s">
        <v>864</v>
      </c>
      <c r="B467" s="21" t="s">
        <v>405</v>
      </c>
      <c r="C467" s="21" t="s">
        <v>865</v>
      </c>
      <c r="D467" s="24" t="s">
        <v>24</v>
      </c>
      <c r="E467" s="21"/>
      <c r="F467" s="21">
        <f t="shared" si="19"/>
        <v>0</v>
      </c>
      <c r="G467" s="21">
        <f t="shared" si="18"/>
        <v>0</v>
      </c>
      <c r="H467" s="290">
        <v>0</v>
      </c>
      <c r="J467" s="469"/>
      <c r="K467" s="468"/>
      <c r="L467" s="476"/>
      <c r="M467" s="477"/>
    </row>
    <row r="468" spans="1:13">
      <c r="A468" s="21" t="s">
        <v>866</v>
      </c>
      <c r="B468" s="21" t="s">
        <v>867</v>
      </c>
      <c r="C468" s="21" t="s">
        <v>868</v>
      </c>
      <c r="D468" s="24" t="s">
        <v>24</v>
      </c>
      <c r="E468" s="21"/>
      <c r="F468" s="21">
        <f t="shared" si="19"/>
        <v>0</v>
      </c>
      <c r="G468" s="21">
        <f t="shared" si="18"/>
        <v>0</v>
      </c>
      <c r="H468" s="290">
        <v>0</v>
      </c>
      <c r="J468" s="469"/>
      <c r="K468" s="468"/>
      <c r="L468" s="476"/>
      <c r="M468" s="477"/>
    </row>
    <row r="469" spans="1:13">
      <c r="A469" s="21" t="s">
        <v>869</v>
      </c>
      <c r="B469" s="21" t="s">
        <v>870</v>
      </c>
      <c r="C469" s="21" t="s">
        <v>871</v>
      </c>
      <c r="D469" s="24" t="s">
        <v>413</v>
      </c>
      <c r="E469" s="21"/>
      <c r="F469" s="21">
        <f t="shared" si="19"/>
        <v>59709</v>
      </c>
      <c r="G469" s="21">
        <f t="shared" si="18"/>
        <v>0</v>
      </c>
      <c r="H469" s="290">
        <v>0</v>
      </c>
      <c r="J469" s="469" t="s">
        <v>12</v>
      </c>
      <c r="K469" s="468">
        <v>0.252</v>
      </c>
      <c r="L469" s="476"/>
      <c r="M469" s="477"/>
    </row>
    <row r="470" spans="1:13">
      <c r="A470" s="21" t="s">
        <v>872</v>
      </c>
      <c r="B470" s="21" t="s">
        <v>873</v>
      </c>
      <c r="C470" s="21" t="s">
        <v>874</v>
      </c>
      <c r="D470" s="24" t="s">
        <v>24</v>
      </c>
      <c r="E470" s="21"/>
      <c r="F470" s="21">
        <f t="shared" si="19"/>
        <v>13173</v>
      </c>
      <c r="G470" s="21">
        <f t="shared" si="18"/>
        <v>0</v>
      </c>
      <c r="H470" s="290">
        <v>0</v>
      </c>
      <c r="J470" s="469" t="s">
        <v>289</v>
      </c>
      <c r="K470" s="468">
        <v>0.06</v>
      </c>
      <c r="L470" s="476"/>
      <c r="M470" s="477"/>
    </row>
    <row r="471" spans="1:13">
      <c r="A471" s="21" t="s">
        <v>875</v>
      </c>
      <c r="B471" s="21" t="s">
        <v>876</v>
      </c>
      <c r="C471" s="21" t="s">
        <v>877</v>
      </c>
      <c r="D471" s="24" t="s">
        <v>24</v>
      </c>
      <c r="E471" s="21"/>
      <c r="F471" s="21">
        <f t="shared" si="19"/>
        <v>0</v>
      </c>
      <c r="G471" s="21">
        <f t="shared" si="18"/>
        <v>0</v>
      </c>
      <c r="H471" s="290">
        <v>0</v>
      </c>
      <c r="J471" s="469"/>
      <c r="K471" s="468"/>
      <c r="L471" s="476"/>
      <c r="M471" s="477"/>
    </row>
    <row r="472" spans="1:13">
      <c r="A472" s="21" t="s">
        <v>878</v>
      </c>
      <c r="B472" s="21" t="s">
        <v>879</v>
      </c>
      <c r="C472" s="21" t="s">
        <v>880</v>
      </c>
      <c r="D472" s="24" t="s">
        <v>24</v>
      </c>
      <c r="E472" s="21"/>
      <c r="F472" s="21">
        <f t="shared" si="19"/>
        <v>0</v>
      </c>
      <c r="G472" s="21">
        <f t="shared" si="18"/>
        <v>0</v>
      </c>
      <c r="H472" s="290">
        <v>0</v>
      </c>
      <c r="J472" s="469"/>
      <c r="K472" s="468"/>
      <c r="L472" s="476"/>
      <c r="M472" s="477"/>
    </row>
    <row r="473" spans="1:13">
      <c r="A473" s="21" t="s">
        <v>881</v>
      </c>
      <c r="B473" s="21" t="s">
        <v>882</v>
      </c>
      <c r="C473" s="21" t="s">
        <v>883</v>
      </c>
      <c r="D473" s="24" t="s">
        <v>24</v>
      </c>
      <c r="E473" s="21"/>
      <c r="F473" s="21">
        <f t="shared" si="19"/>
        <v>0</v>
      </c>
      <c r="G473" s="21">
        <f t="shared" si="18"/>
        <v>0</v>
      </c>
      <c r="H473" s="290">
        <v>0</v>
      </c>
      <c r="J473" s="469"/>
      <c r="K473" s="468"/>
      <c r="L473" s="476"/>
      <c r="M473" s="477"/>
    </row>
    <row r="474" spans="1:13">
      <c r="A474" s="21" t="s">
        <v>884</v>
      </c>
      <c r="B474" s="21" t="s">
        <v>885</v>
      </c>
      <c r="C474" s="21" t="s">
        <v>886</v>
      </c>
      <c r="D474" s="24" t="s">
        <v>474</v>
      </c>
      <c r="E474" s="21"/>
      <c r="F474" s="21">
        <f t="shared" si="19"/>
        <v>11847</v>
      </c>
      <c r="G474" s="21">
        <f t="shared" si="18"/>
        <v>0</v>
      </c>
      <c r="H474" s="290">
        <v>0</v>
      </c>
      <c r="J474" s="469" t="s">
        <v>12</v>
      </c>
      <c r="K474" s="468">
        <v>0.05</v>
      </c>
      <c r="L474" s="476"/>
      <c r="M474" s="477"/>
    </row>
    <row r="475" spans="1:13">
      <c r="A475" s="21" t="s">
        <v>887</v>
      </c>
      <c r="B475" s="21" t="s">
        <v>888</v>
      </c>
      <c r="C475" s="21" t="s">
        <v>889</v>
      </c>
      <c r="D475" s="24" t="s">
        <v>474</v>
      </c>
      <c r="E475" s="21"/>
      <c r="F475" s="21">
        <f t="shared" si="19"/>
        <v>28433</v>
      </c>
      <c r="G475" s="21">
        <f t="shared" si="18"/>
        <v>0</v>
      </c>
      <c r="H475" s="290">
        <v>0</v>
      </c>
      <c r="J475" s="469" t="s">
        <v>12</v>
      </c>
      <c r="K475" s="468">
        <v>0.12</v>
      </c>
      <c r="L475" s="476"/>
      <c r="M475" s="477"/>
    </row>
    <row r="476" spans="1:13">
      <c r="A476" s="21" t="s">
        <v>890</v>
      </c>
      <c r="B476" s="21" t="s">
        <v>891</v>
      </c>
      <c r="C476" s="21" t="s">
        <v>892</v>
      </c>
      <c r="D476" s="24" t="s">
        <v>474</v>
      </c>
      <c r="E476" s="21"/>
      <c r="F476" s="21">
        <f t="shared" si="19"/>
        <v>40280</v>
      </c>
      <c r="G476" s="21">
        <f t="shared" si="18"/>
        <v>0</v>
      </c>
      <c r="H476" s="290">
        <v>0</v>
      </c>
      <c r="J476" s="469" t="s">
        <v>12</v>
      </c>
      <c r="K476" s="468">
        <v>0.17</v>
      </c>
      <c r="L476" s="476"/>
      <c r="M476" s="477"/>
    </row>
    <row r="477" spans="1:13">
      <c r="A477" s="21" t="s">
        <v>893</v>
      </c>
      <c r="B477" s="21" t="s">
        <v>894</v>
      </c>
      <c r="C477" s="21" t="s">
        <v>895</v>
      </c>
      <c r="D477" s="24" t="s">
        <v>11</v>
      </c>
      <c r="E477" s="21"/>
      <c r="F477" s="21">
        <f t="shared" si="19"/>
        <v>0</v>
      </c>
      <c r="G477" s="21">
        <f t="shared" si="18"/>
        <v>0</v>
      </c>
      <c r="H477" s="290">
        <v>0</v>
      </c>
      <c r="J477" s="281"/>
      <c r="K477" s="53"/>
      <c r="L477" s="288"/>
      <c r="M477" s="289"/>
    </row>
    <row r="478" spans="1:13">
      <c r="A478" s="21"/>
      <c r="B478" s="21"/>
      <c r="C478" s="21"/>
      <c r="D478" s="24"/>
      <c r="E478" s="21"/>
      <c r="F478" s="21">
        <f t="shared" si="19"/>
        <v>0</v>
      </c>
      <c r="G478" s="21">
        <f t="shared" si="18"/>
        <v>0</v>
      </c>
      <c r="H478" s="290">
        <v>0</v>
      </c>
      <c r="J478" s="281"/>
      <c r="K478" s="53"/>
      <c r="L478" s="288"/>
      <c r="M478" s="289"/>
    </row>
    <row r="479" spans="1:13">
      <c r="A479" s="292" t="s">
        <v>1382</v>
      </c>
      <c r="B479" s="293"/>
      <c r="C479" s="292"/>
      <c r="D479" s="465"/>
      <c r="E479" s="292"/>
      <c r="F479" s="292">
        <f t="shared" si="19"/>
        <v>0</v>
      </c>
      <c r="G479" s="292">
        <f t="shared" si="18"/>
        <v>0</v>
      </c>
      <c r="H479" s="294">
        <v>0</v>
      </c>
      <c r="J479" s="281"/>
      <c r="K479" s="53"/>
      <c r="L479" s="288"/>
      <c r="M479" s="289"/>
    </row>
    <row r="480" spans="1:13">
      <c r="A480" s="21"/>
      <c r="B480" s="21"/>
      <c r="C480" s="21"/>
      <c r="D480" s="24"/>
      <c r="E480" s="659"/>
      <c r="F480" s="21">
        <f t="shared" si="19"/>
        <v>0</v>
      </c>
      <c r="G480" s="21">
        <f t="shared" si="18"/>
        <v>0</v>
      </c>
      <c r="H480" s="290">
        <v>0</v>
      </c>
      <c r="J480" s="281"/>
      <c r="K480" s="53"/>
      <c r="L480" s="288"/>
      <c r="M480" s="289"/>
    </row>
    <row r="481" spans="1:13">
      <c r="A481" s="21" t="s">
        <v>899</v>
      </c>
      <c r="B481" s="21" t="s">
        <v>897</v>
      </c>
      <c r="C481" s="21" t="s">
        <v>2828</v>
      </c>
      <c r="D481" s="24" t="s">
        <v>896</v>
      </c>
      <c r="E481" s="659">
        <f>41513000*0</f>
        <v>0</v>
      </c>
      <c r="F481" s="21">
        <f t="shared" ref="F481:F489" si="20">IFERROR(ROUND(VLOOKUP(J481,DGNC,5,0)*K481*1.1,0),)</f>
        <v>647230</v>
      </c>
      <c r="G481" s="21">
        <f t="shared" si="18"/>
        <v>360605</v>
      </c>
      <c r="H481" s="290">
        <v>320</v>
      </c>
      <c r="J481" s="281" t="s">
        <v>781</v>
      </c>
      <c r="K481" s="53">
        <v>2.2799999999999998</v>
      </c>
      <c r="L481" s="288" t="s">
        <v>898</v>
      </c>
      <c r="M481" s="289">
        <v>0.26</v>
      </c>
    </row>
    <row r="482" spans="1:13">
      <c r="A482" s="21" t="s">
        <v>3264</v>
      </c>
      <c r="B482" s="21" t="s">
        <v>901</v>
      </c>
      <c r="C482" s="21" t="s">
        <v>2829</v>
      </c>
      <c r="D482" s="24" t="s">
        <v>896</v>
      </c>
      <c r="E482" s="659">
        <f>51310000*0</f>
        <v>0</v>
      </c>
      <c r="F482" s="21">
        <f t="shared" si="20"/>
        <v>746585</v>
      </c>
      <c r="G482" s="21">
        <f t="shared" si="18"/>
        <v>360605</v>
      </c>
      <c r="H482" s="290">
        <v>355</v>
      </c>
      <c r="J482" s="281" t="s">
        <v>781</v>
      </c>
      <c r="K482" s="53">
        <v>2.63</v>
      </c>
      <c r="L482" s="288" t="s">
        <v>898</v>
      </c>
      <c r="M482" s="289">
        <v>0.26</v>
      </c>
    </row>
    <row r="483" spans="1:13">
      <c r="A483" s="21" t="s">
        <v>2090</v>
      </c>
      <c r="B483" s="21" t="s">
        <v>901</v>
      </c>
      <c r="C483" s="21" t="s">
        <v>3245</v>
      </c>
      <c r="D483" s="24" t="s">
        <v>896</v>
      </c>
      <c r="E483" s="659">
        <v>44055000</v>
      </c>
      <c r="F483" s="21">
        <f t="shared" si="20"/>
        <v>746585</v>
      </c>
      <c r="G483" s="21">
        <f>IFERROR(ROUND(VLOOKUP(L483,DGMTC,8,0)*M483,0),)</f>
        <v>360605</v>
      </c>
      <c r="H483" s="290">
        <v>390</v>
      </c>
      <c r="J483" s="281" t="s">
        <v>781</v>
      </c>
      <c r="K483" s="53">
        <v>2.63</v>
      </c>
      <c r="L483" s="288" t="s">
        <v>898</v>
      </c>
      <c r="M483" s="289">
        <v>0.26</v>
      </c>
    </row>
    <row r="484" spans="1:13">
      <c r="A484" s="21" t="s">
        <v>2071</v>
      </c>
      <c r="B484" s="21" t="s">
        <v>904</v>
      </c>
      <c r="C484" s="21" t="s">
        <v>3246</v>
      </c>
      <c r="D484" s="24" t="s">
        <v>896</v>
      </c>
      <c r="E484" s="659">
        <v>58180000</v>
      </c>
      <c r="F484" s="21">
        <f t="shared" si="20"/>
        <v>993554</v>
      </c>
      <c r="G484" s="21">
        <f>IFERROR(ROUND(VLOOKUP(L484,DGMTC,8,0)*M484,0),)</f>
        <v>360605</v>
      </c>
      <c r="H484" s="290">
        <v>455</v>
      </c>
      <c r="J484" s="281" t="s">
        <v>781</v>
      </c>
      <c r="K484" s="53">
        <v>3.5</v>
      </c>
      <c r="L484" s="288" t="s">
        <v>898</v>
      </c>
      <c r="M484" s="289">
        <v>0.26</v>
      </c>
    </row>
    <row r="485" spans="1:13">
      <c r="A485" s="21" t="s">
        <v>2073</v>
      </c>
      <c r="B485" s="21" t="s">
        <v>906</v>
      </c>
      <c r="C485" s="21" t="s">
        <v>3247</v>
      </c>
      <c r="D485" s="24" t="s">
        <v>896</v>
      </c>
      <c r="E485" s="659">
        <v>68939000</v>
      </c>
      <c r="F485" s="21">
        <f t="shared" si="20"/>
        <v>1056006</v>
      </c>
      <c r="G485" s="21">
        <f>IFERROR(ROUND(VLOOKUP(L485,DGMTC,8,0)*M485,0),)</f>
        <v>360605</v>
      </c>
      <c r="H485" s="290">
        <v>565</v>
      </c>
      <c r="J485" s="281" t="s">
        <v>781</v>
      </c>
      <c r="K485" s="53">
        <v>3.72</v>
      </c>
      <c r="L485" s="288" t="s">
        <v>898</v>
      </c>
      <c r="M485" s="289">
        <v>0.26</v>
      </c>
    </row>
    <row r="486" spans="1:13">
      <c r="A486" s="21" t="s">
        <v>900</v>
      </c>
      <c r="B486" s="21" t="s">
        <v>901</v>
      </c>
      <c r="C486" s="21" t="s">
        <v>3265</v>
      </c>
      <c r="D486" s="24" t="s">
        <v>896</v>
      </c>
      <c r="E486" s="659">
        <v>36124000</v>
      </c>
      <c r="F486" s="21">
        <f>IFERROR(ROUND(VLOOKUP(J486,DGNC,5,0)*K486*1.1,0),)</f>
        <v>746585</v>
      </c>
      <c r="G486" s="21">
        <f>IFERROR(ROUND(VLOOKUP(L486,DGMTC,8,0)*M486,0),)</f>
        <v>360605</v>
      </c>
      <c r="H486" s="290">
        <v>355</v>
      </c>
      <c r="J486" s="281" t="s">
        <v>781</v>
      </c>
      <c r="K486" s="53">
        <v>2.63</v>
      </c>
      <c r="L486" s="288" t="s">
        <v>898</v>
      </c>
      <c r="M486" s="289">
        <v>0.26</v>
      </c>
    </row>
    <row r="487" spans="1:13">
      <c r="A487" s="21" t="s">
        <v>902</v>
      </c>
      <c r="B487" s="21" t="s">
        <v>901</v>
      </c>
      <c r="C487" s="21" t="s">
        <v>3266</v>
      </c>
      <c r="D487" s="24" t="s">
        <v>896</v>
      </c>
      <c r="E487" s="478">
        <v>30989760</v>
      </c>
      <c r="F487" s="21">
        <f t="shared" si="20"/>
        <v>746585</v>
      </c>
      <c r="G487" s="21">
        <f t="shared" si="18"/>
        <v>360605</v>
      </c>
      <c r="H487" s="290">
        <v>390</v>
      </c>
      <c r="J487" s="281" t="s">
        <v>781</v>
      </c>
      <c r="K487" s="53">
        <v>2.63</v>
      </c>
      <c r="L487" s="288" t="s">
        <v>898</v>
      </c>
      <c r="M487" s="289">
        <v>0.26</v>
      </c>
    </row>
    <row r="488" spans="1:13">
      <c r="A488" s="21" t="s">
        <v>903</v>
      </c>
      <c r="B488" s="21" t="s">
        <v>904</v>
      </c>
      <c r="C488" s="21" t="s">
        <v>3267</v>
      </c>
      <c r="D488" s="24" t="s">
        <v>896</v>
      </c>
      <c r="E488" s="478">
        <v>40173760</v>
      </c>
      <c r="F488" s="21">
        <f t="shared" si="20"/>
        <v>993554</v>
      </c>
      <c r="G488" s="21">
        <f t="shared" si="18"/>
        <v>360605</v>
      </c>
      <c r="H488" s="290">
        <v>455</v>
      </c>
      <c r="J488" s="281" t="s">
        <v>781</v>
      </c>
      <c r="K488" s="53">
        <v>3.5</v>
      </c>
      <c r="L488" s="288" t="s">
        <v>898</v>
      </c>
      <c r="M488" s="289">
        <v>0.26</v>
      </c>
    </row>
    <row r="489" spans="1:13">
      <c r="A489" s="21" t="s">
        <v>905</v>
      </c>
      <c r="B489" s="21" t="s">
        <v>906</v>
      </c>
      <c r="C489" s="21" t="s">
        <v>3268</v>
      </c>
      <c r="D489" s="24" t="s">
        <v>896</v>
      </c>
      <c r="E489" s="659">
        <v>91288000</v>
      </c>
      <c r="F489" s="21">
        <f t="shared" si="20"/>
        <v>1056006</v>
      </c>
      <c r="G489" s="21">
        <f t="shared" si="18"/>
        <v>360605</v>
      </c>
      <c r="H489" s="290">
        <v>565</v>
      </c>
      <c r="J489" s="281" t="s">
        <v>781</v>
      </c>
      <c r="K489" s="53">
        <v>3.72</v>
      </c>
      <c r="L489" s="288" t="s">
        <v>898</v>
      </c>
      <c r="M489" s="289">
        <v>0.26</v>
      </c>
    </row>
    <row r="490" spans="1:13">
      <c r="A490" s="21" t="s">
        <v>907</v>
      </c>
      <c r="B490" s="21" t="s">
        <v>2833</v>
      </c>
      <c r="C490" s="21" t="s">
        <v>2830</v>
      </c>
      <c r="D490" s="24" t="s">
        <v>896</v>
      </c>
      <c r="E490" s="659">
        <f>160209000*0</f>
        <v>0</v>
      </c>
      <c r="F490" s="21">
        <f t="shared" si="19"/>
        <v>1282588</v>
      </c>
      <c r="G490" s="21">
        <f t="shared" si="18"/>
        <v>360605</v>
      </c>
      <c r="H490" s="290">
        <v>904</v>
      </c>
      <c r="J490" s="281" t="s">
        <v>781</v>
      </c>
      <c r="K490" s="53">
        <v>4.97</v>
      </c>
      <c r="L490" s="288" t="s">
        <v>898</v>
      </c>
      <c r="M490" s="289">
        <v>0.26</v>
      </c>
    </row>
    <row r="491" spans="1:13">
      <c r="A491" s="21" t="s">
        <v>908</v>
      </c>
      <c r="B491" s="21" t="s">
        <v>909</v>
      </c>
      <c r="C491" s="21" t="s">
        <v>2065</v>
      </c>
      <c r="D491" s="24" t="s">
        <v>896</v>
      </c>
      <c r="E491" s="659">
        <v>230215000</v>
      </c>
      <c r="F491" s="21">
        <f t="shared" si="19"/>
        <v>1499363</v>
      </c>
      <c r="G491" s="21">
        <f t="shared" si="18"/>
        <v>457692</v>
      </c>
      <c r="H491" s="290">
        <v>1155</v>
      </c>
      <c r="J491" s="281" t="s">
        <v>781</v>
      </c>
      <c r="K491" s="53">
        <v>5.81</v>
      </c>
      <c r="L491" s="288" t="s">
        <v>898</v>
      </c>
      <c r="M491" s="289">
        <v>0.33</v>
      </c>
    </row>
    <row r="492" spans="1:13">
      <c r="A492" s="21" t="s">
        <v>910</v>
      </c>
      <c r="B492" s="21" t="s">
        <v>909</v>
      </c>
      <c r="C492" s="21" t="s">
        <v>2066</v>
      </c>
      <c r="D492" s="24" t="s">
        <v>896</v>
      </c>
      <c r="E492" s="659">
        <v>277826000</v>
      </c>
      <c r="F492" s="21">
        <f t="shared" si="19"/>
        <v>1499363</v>
      </c>
      <c r="G492" s="21">
        <f t="shared" si="18"/>
        <v>457692</v>
      </c>
      <c r="H492" s="290">
        <v>0</v>
      </c>
      <c r="J492" s="281" t="s">
        <v>781</v>
      </c>
      <c r="K492" s="53">
        <v>5.81</v>
      </c>
      <c r="L492" s="288" t="s">
        <v>898</v>
      </c>
      <c r="M492" s="289">
        <v>0.33</v>
      </c>
    </row>
    <row r="493" spans="1:13">
      <c r="A493" s="21" t="s">
        <v>911</v>
      </c>
      <c r="B493" s="21" t="s">
        <v>909</v>
      </c>
      <c r="C493" s="21" t="s">
        <v>2067</v>
      </c>
      <c r="D493" s="24" t="s">
        <v>896</v>
      </c>
      <c r="E493" s="659">
        <v>324723000</v>
      </c>
      <c r="F493" s="21">
        <f t="shared" si="19"/>
        <v>1788397</v>
      </c>
      <c r="G493" s="21">
        <f t="shared" si="18"/>
        <v>457692</v>
      </c>
      <c r="H493" s="290">
        <v>0</v>
      </c>
      <c r="J493" s="281" t="s">
        <v>781</v>
      </c>
      <c r="K493" s="53">
        <v>6.93</v>
      </c>
      <c r="L493" s="288" t="s">
        <v>898</v>
      </c>
      <c r="M493" s="289">
        <v>0.33</v>
      </c>
    </row>
    <row r="494" spans="1:13">
      <c r="A494" s="21" t="s">
        <v>912</v>
      </c>
      <c r="B494" s="21" t="s">
        <v>913</v>
      </c>
      <c r="C494" s="21" t="s">
        <v>2068</v>
      </c>
      <c r="D494" s="24" t="s">
        <v>896</v>
      </c>
      <c r="E494" s="659">
        <v>372166000</v>
      </c>
      <c r="F494" s="21">
        <f t="shared" si="19"/>
        <v>1788397</v>
      </c>
      <c r="G494" s="21">
        <f t="shared" si="18"/>
        <v>457692</v>
      </c>
      <c r="H494" s="290">
        <v>2069</v>
      </c>
      <c r="J494" s="281" t="s">
        <v>781</v>
      </c>
      <c r="K494" s="53">
        <v>6.93</v>
      </c>
      <c r="L494" s="288" t="s">
        <v>898</v>
      </c>
      <c r="M494" s="289">
        <v>0.33</v>
      </c>
    </row>
    <row r="495" spans="1:13">
      <c r="A495" s="21" t="s">
        <v>914</v>
      </c>
      <c r="B495" s="21" t="s">
        <v>913</v>
      </c>
      <c r="C495" s="21" t="s">
        <v>2069</v>
      </c>
      <c r="D495" s="24" t="s">
        <v>896</v>
      </c>
      <c r="E495" s="659">
        <v>384573000</v>
      </c>
      <c r="F495" s="21">
        <f t="shared" si="19"/>
        <v>1788397</v>
      </c>
      <c r="G495" s="21">
        <f t="shared" si="18"/>
        <v>457692</v>
      </c>
      <c r="H495" s="290">
        <v>0</v>
      </c>
      <c r="J495" s="281" t="s">
        <v>781</v>
      </c>
      <c r="K495" s="53">
        <v>6.93</v>
      </c>
      <c r="L495" s="288" t="s">
        <v>898</v>
      </c>
      <c r="M495" s="289">
        <v>0.33</v>
      </c>
    </row>
    <row r="496" spans="1:13">
      <c r="A496" s="21" t="s">
        <v>1444</v>
      </c>
      <c r="B496" s="21" t="s">
        <v>917</v>
      </c>
      <c r="C496" s="21" t="s">
        <v>915</v>
      </c>
      <c r="D496" s="24" t="s">
        <v>11</v>
      </c>
      <c r="E496" s="478">
        <v>1070000</v>
      </c>
      <c r="F496" s="21">
        <f>IFERROR(ROUND(VLOOKUP(J496,DGNC,5,0)*K496/3,0),)</f>
        <v>189552</v>
      </c>
      <c r="G496" s="21">
        <f t="shared" si="18"/>
        <v>0</v>
      </c>
      <c r="H496" s="290">
        <v>1.5</v>
      </c>
      <c r="J496" s="281" t="s">
        <v>12</v>
      </c>
      <c r="K496" s="53">
        <v>2.4</v>
      </c>
      <c r="L496" s="288"/>
      <c r="M496" s="289"/>
    </row>
    <row r="497" spans="1:13">
      <c r="A497" s="21" t="s">
        <v>1443</v>
      </c>
      <c r="B497" s="21" t="s">
        <v>917</v>
      </c>
      <c r="C497" s="21" t="s">
        <v>916</v>
      </c>
      <c r="D497" s="24" t="s">
        <v>11</v>
      </c>
      <c r="E497" s="659">
        <v>1191000</v>
      </c>
      <c r="F497" s="21">
        <f>IFERROR(ROUND(VLOOKUP(J497,DGNC,5,0)*K497/3,0),)</f>
        <v>189552</v>
      </c>
      <c r="G497" s="21">
        <f t="shared" ref="G497:G564" si="21">IFERROR(ROUND(VLOOKUP(L497,DGMTC,8,0)*M497,0),)</f>
        <v>0</v>
      </c>
      <c r="H497" s="290">
        <v>2</v>
      </c>
      <c r="J497" s="281" t="s">
        <v>12</v>
      </c>
      <c r="K497" s="53">
        <v>2.4</v>
      </c>
      <c r="L497" s="288"/>
      <c r="M497" s="289"/>
    </row>
    <row r="498" spans="1:13">
      <c r="A498" s="21" t="s">
        <v>918</v>
      </c>
      <c r="B498" s="21" t="s">
        <v>919</v>
      </c>
      <c r="C498" s="21" t="s">
        <v>920</v>
      </c>
      <c r="D498" s="24" t="s">
        <v>24</v>
      </c>
      <c r="E498" s="659"/>
      <c r="F498" s="21">
        <f t="shared" ref="F498:F564" si="22">IFERROR(ROUND(VLOOKUP(J498,DGNC,5,0)*K498,0),)</f>
        <v>0</v>
      </c>
      <c r="G498" s="21">
        <f t="shared" si="21"/>
        <v>0</v>
      </c>
      <c r="H498" s="290">
        <v>0</v>
      </c>
      <c r="J498" s="281"/>
      <c r="K498" s="53"/>
      <c r="L498" s="288"/>
      <c r="M498" s="289"/>
    </row>
    <row r="499" spans="1:13">
      <c r="A499" s="21" t="s">
        <v>921</v>
      </c>
      <c r="B499" s="21" t="s">
        <v>919</v>
      </c>
      <c r="C499" s="21" t="s">
        <v>922</v>
      </c>
      <c r="D499" s="24" t="s">
        <v>24</v>
      </c>
      <c r="E499" s="659"/>
      <c r="F499" s="21">
        <f t="shared" si="22"/>
        <v>0</v>
      </c>
      <c r="G499" s="21">
        <f t="shared" si="21"/>
        <v>0</v>
      </c>
      <c r="H499" s="290">
        <v>50</v>
      </c>
      <c r="J499" s="281"/>
      <c r="K499" s="53"/>
      <c r="L499" s="288"/>
      <c r="M499" s="289"/>
    </row>
    <row r="500" spans="1:13">
      <c r="A500" s="21" t="s">
        <v>923</v>
      </c>
      <c r="B500" s="21" t="s">
        <v>924</v>
      </c>
      <c r="C500" s="21" t="s">
        <v>920</v>
      </c>
      <c r="D500" s="24" t="s">
        <v>24</v>
      </c>
      <c r="E500" s="659"/>
      <c r="F500" s="21">
        <f t="shared" si="22"/>
        <v>0</v>
      </c>
      <c r="G500" s="21">
        <f t="shared" si="21"/>
        <v>0</v>
      </c>
      <c r="H500" s="290">
        <v>0</v>
      </c>
      <c r="J500" s="281"/>
      <c r="K500" s="53"/>
      <c r="L500" s="288"/>
      <c r="M500" s="289"/>
    </row>
    <row r="501" spans="1:13">
      <c r="A501" s="21" t="s">
        <v>925</v>
      </c>
      <c r="B501" s="21" t="s">
        <v>926</v>
      </c>
      <c r="C501" s="21" t="s">
        <v>922</v>
      </c>
      <c r="D501" s="24" t="s">
        <v>24</v>
      </c>
      <c r="E501" s="659"/>
      <c r="F501" s="21">
        <f t="shared" si="22"/>
        <v>0</v>
      </c>
      <c r="G501" s="21">
        <f t="shared" si="21"/>
        <v>0</v>
      </c>
      <c r="H501" s="290">
        <v>0</v>
      </c>
      <c r="J501" s="281"/>
      <c r="K501" s="53"/>
      <c r="L501" s="288"/>
      <c r="M501" s="289"/>
    </row>
    <row r="502" spans="1:13">
      <c r="A502" s="21" t="s">
        <v>927</v>
      </c>
      <c r="B502" s="21" t="s">
        <v>928</v>
      </c>
      <c r="C502" s="21" t="s">
        <v>929</v>
      </c>
      <c r="D502" s="24" t="s">
        <v>24</v>
      </c>
      <c r="E502" s="659"/>
      <c r="F502" s="21">
        <f t="shared" si="22"/>
        <v>0</v>
      </c>
      <c r="G502" s="21">
        <f t="shared" si="21"/>
        <v>0</v>
      </c>
      <c r="H502" s="290">
        <v>0</v>
      </c>
      <c r="J502" s="281"/>
      <c r="K502" s="53"/>
      <c r="L502" s="288"/>
      <c r="M502" s="289"/>
    </row>
    <row r="503" spans="1:13">
      <c r="A503" s="21" t="s">
        <v>930</v>
      </c>
      <c r="B503" s="21" t="s">
        <v>928</v>
      </c>
      <c r="C503" s="21" t="s">
        <v>931</v>
      </c>
      <c r="D503" s="24" t="s">
        <v>24</v>
      </c>
      <c r="E503" s="659"/>
      <c r="F503" s="21">
        <f t="shared" si="22"/>
        <v>0</v>
      </c>
      <c r="G503" s="21">
        <f t="shared" si="21"/>
        <v>0</v>
      </c>
      <c r="H503" s="290">
        <v>0</v>
      </c>
      <c r="J503" s="281"/>
      <c r="K503" s="53"/>
      <c r="L503" s="288"/>
      <c r="M503" s="289"/>
    </row>
    <row r="504" spans="1:13">
      <c r="A504" s="21" t="s">
        <v>932</v>
      </c>
      <c r="B504" s="21" t="s">
        <v>933</v>
      </c>
      <c r="C504" s="21" t="s">
        <v>934</v>
      </c>
      <c r="D504" s="24" t="s">
        <v>24</v>
      </c>
      <c r="E504" s="659"/>
      <c r="F504" s="21">
        <f t="shared" si="22"/>
        <v>0</v>
      </c>
      <c r="G504" s="21">
        <f t="shared" si="21"/>
        <v>0</v>
      </c>
      <c r="H504" s="290">
        <v>0</v>
      </c>
      <c r="J504" s="281"/>
      <c r="K504" s="53"/>
      <c r="L504" s="288"/>
      <c r="M504" s="289"/>
    </row>
    <row r="505" spans="1:13">
      <c r="A505" s="21" t="s">
        <v>935</v>
      </c>
      <c r="B505" s="21" t="s">
        <v>928</v>
      </c>
      <c r="C505" s="21" t="s">
        <v>936</v>
      </c>
      <c r="D505" s="24" t="s">
        <v>24</v>
      </c>
      <c r="E505" s="659"/>
      <c r="F505" s="21">
        <f t="shared" si="22"/>
        <v>0</v>
      </c>
      <c r="G505" s="21">
        <f t="shared" si="21"/>
        <v>0</v>
      </c>
      <c r="H505" s="290">
        <v>0</v>
      </c>
      <c r="J505" s="281"/>
      <c r="K505" s="53"/>
      <c r="L505" s="288"/>
      <c r="M505" s="289"/>
    </row>
    <row r="506" spans="1:13">
      <c r="A506" s="21" t="s">
        <v>937</v>
      </c>
      <c r="B506" s="21" t="s">
        <v>938</v>
      </c>
      <c r="C506" s="21" t="s">
        <v>939</v>
      </c>
      <c r="D506" s="24" t="s">
        <v>11</v>
      </c>
      <c r="E506" s="659"/>
      <c r="F506" s="21">
        <f t="shared" si="22"/>
        <v>0</v>
      </c>
      <c r="G506" s="21">
        <f t="shared" si="21"/>
        <v>0</v>
      </c>
      <c r="H506" s="290">
        <v>0</v>
      </c>
      <c r="J506" s="281"/>
      <c r="K506" s="53"/>
      <c r="L506" s="288"/>
      <c r="M506" s="289"/>
    </row>
    <row r="507" spans="1:13">
      <c r="A507" s="21" t="s">
        <v>940</v>
      </c>
      <c r="B507" s="21" t="s">
        <v>941</v>
      </c>
      <c r="C507" s="21" t="s">
        <v>942</v>
      </c>
      <c r="D507" s="24" t="s">
        <v>11</v>
      </c>
      <c r="E507" s="659"/>
      <c r="F507" s="21">
        <f t="shared" si="22"/>
        <v>0</v>
      </c>
      <c r="G507" s="21">
        <f t="shared" si="21"/>
        <v>0</v>
      </c>
      <c r="H507" s="290">
        <v>0.8</v>
      </c>
      <c r="J507" s="281"/>
      <c r="K507" s="53"/>
      <c r="L507" s="288"/>
      <c r="M507" s="289"/>
    </row>
    <row r="508" spans="1:13">
      <c r="A508" s="21" t="s">
        <v>943</v>
      </c>
      <c r="B508" s="21" t="s">
        <v>944</v>
      </c>
      <c r="C508" s="21" t="s">
        <v>945</v>
      </c>
      <c r="D508" s="24" t="s">
        <v>11</v>
      </c>
      <c r="E508" s="478">
        <v>875000</v>
      </c>
      <c r="F508" s="21">
        <f>IFERROR(ROUND(VLOOKUP(J508,DGNC,5,0)*K508,0)*0.6/3,)</f>
        <v>71082</v>
      </c>
      <c r="G508" s="21">
        <f t="shared" si="21"/>
        <v>0</v>
      </c>
      <c r="H508" s="290">
        <v>0.8</v>
      </c>
      <c r="J508" s="281" t="s">
        <v>12</v>
      </c>
      <c r="K508" s="53">
        <v>1.5</v>
      </c>
      <c r="L508" s="288"/>
      <c r="M508" s="289"/>
    </row>
    <row r="509" spans="1:13">
      <c r="A509" s="21" t="s">
        <v>946</v>
      </c>
      <c r="B509" s="21"/>
      <c r="C509" s="21" t="s">
        <v>947</v>
      </c>
      <c r="D509" s="24" t="s">
        <v>11</v>
      </c>
      <c r="E509" s="659"/>
      <c r="F509" s="21">
        <f t="shared" si="22"/>
        <v>0</v>
      </c>
      <c r="G509" s="21">
        <f t="shared" si="21"/>
        <v>0</v>
      </c>
      <c r="H509" s="290">
        <v>0</v>
      </c>
      <c r="J509" s="281"/>
      <c r="K509" s="53"/>
      <c r="L509" s="288"/>
      <c r="M509" s="289"/>
    </row>
    <row r="510" spans="1:13">
      <c r="A510" s="21" t="s">
        <v>948</v>
      </c>
      <c r="B510" s="21"/>
      <c r="C510" s="21" t="s">
        <v>949</v>
      </c>
      <c r="D510" s="24" t="s">
        <v>11</v>
      </c>
      <c r="E510" s="659"/>
      <c r="F510" s="21">
        <f t="shared" si="22"/>
        <v>0</v>
      </c>
      <c r="G510" s="21">
        <f t="shared" si="21"/>
        <v>0</v>
      </c>
      <c r="H510" s="290">
        <v>1</v>
      </c>
      <c r="J510" s="281"/>
      <c r="K510" s="53"/>
      <c r="L510" s="288"/>
      <c r="M510" s="289"/>
    </row>
    <row r="511" spans="1:13">
      <c r="A511" s="21" t="s">
        <v>950</v>
      </c>
      <c r="B511" s="21"/>
      <c r="C511" s="21" t="s">
        <v>951</v>
      </c>
      <c r="D511" s="24" t="s">
        <v>11</v>
      </c>
      <c r="E511" s="659"/>
      <c r="F511" s="21">
        <f t="shared" si="22"/>
        <v>0</v>
      </c>
      <c r="G511" s="21">
        <f t="shared" si="21"/>
        <v>0</v>
      </c>
      <c r="H511" s="290">
        <v>0</v>
      </c>
      <c r="J511" s="281"/>
      <c r="K511" s="53"/>
      <c r="L511" s="288"/>
      <c r="M511" s="289"/>
    </row>
    <row r="512" spans="1:13">
      <c r="A512" s="21" t="s">
        <v>952</v>
      </c>
      <c r="B512" s="21"/>
      <c r="C512" s="21" t="s">
        <v>953</v>
      </c>
      <c r="D512" s="24" t="s">
        <v>11</v>
      </c>
      <c r="E512" s="659"/>
      <c r="F512" s="21">
        <f t="shared" si="22"/>
        <v>0</v>
      </c>
      <c r="G512" s="21">
        <f t="shared" si="21"/>
        <v>0</v>
      </c>
      <c r="H512" s="290">
        <v>0</v>
      </c>
      <c r="J512" s="281"/>
      <c r="K512" s="53"/>
      <c r="L512" s="288"/>
      <c r="M512" s="289"/>
    </row>
    <row r="513" spans="1:13">
      <c r="A513" s="21" t="s">
        <v>954</v>
      </c>
      <c r="B513" s="21"/>
      <c r="C513" s="21" t="s">
        <v>955</v>
      </c>
      <c r="D513" s="24" t="s">
        <v>11</v>
      </c>
      <c r="E513" s="659"/>
      <c r="F513" s="21">
        <f t="shared" si="22"/>
        <v>0</v>
      </c>
      <c r="G513" s="21">
        <f t="shared" si="21"/>
        <v>0</v>
      </c>
      <c r="H513" s="290">
        <v>1</v>
      </c>
      <c r="J513" s="281"/>
      <c r="K513" s="53"/>
      <c r="L513" s="288"/>
      <c r="M513" s="289"/>
    </row>
    <row r="514" spans="1:13">
      <c r="A514" s="21" t="s">
        <v>956</v>
      </c>
      <c r="B514" s="21"/>
      <c r="C514" s="21" t="s">
        <v>957</v>
      </c>
      <c r="D514" s="24" t="s">
        <v>11</v>
      </c>
      <c r="E514" s="659"/>
      <c r="F514" s="21">
        <f t="shared" si="22"/>
        <v>0</v>
      </c>
      <c r="G514" s="21">
        <f t="shared" si="21"/>
        <v>0</v>
      </c>
      <c r="H514" s="290">
        <v>0</v>
      </c>
      <c r="J514" s="281"/>
      <c r="K514" s="53"/>
      <c r="L514" s="288"/>
      <c r="M514" s="289"/>
    </row>
    <row r="515" spans="1:13">
      <c r="A515" s="21" t="s">
        <v>958</v>
      </c>
      <c r="B515" s="21"/>
      <c r="C515" s="21" t="s">
        <v>959</v>
      </c>
      <c r="D515" s="24" t="s">
        <v>11</v>
      </c>
      <c r="E515" s="659"/>
      <c r="F515" s="21">
        <f t="shared" si="22"/>
        <v>0</v>
      </c>
      <c r="G515" s="21">
        <f t="shared" si="21"/>
        <v>0</v>
      </c>
      <c r="H515" s="290">
        <v>0</v>
      </c>
      <c r="J515" s="281"/>
      <c r="K515" s="53"/>
      <c r="L515" s="288"/>
      <c r="M515" s="289"/>
    </row>
    <row r="516" spans="1:13">
      <c r="A516" s="21" t="s">
        <v>960</v>
      </c>
      <c r="B516" s="21"/>
      <c r="C516" s="21" t="s">
        <v>961</v>
      </c>
      <c r="D516" s="24" t="s">
        <v>11</v>
      </c>
      <c r="E516" s="659"/>
      <c r="F516" s="21">
        <f t="shared" si="22"/>
        <v>0</v>
      </c>
      <c r="G516" s="21">
        <f t="shared" si="21"/>
        <v>0</v>
      </c>
      <c r="H516" s="290">
        <v>0</v>
      </c>
      <c r="J516" s="281"/>
      <c r="K516" s="53"/>
      <c r="L516" s="288"/>
      <c r="M516" s="289"/>
    </row>
    <row r="517" spans="1:13">
      <c r="A517" s="21" t="s">
        <v>962</v>
      </c>
      <c r="B517" s="21"/>
      <c r="C517" s="21" t="s">
        <v>963</v>
      </c>
      <c r="D517" s="24" t="s">
        <v>11</v>
      </c>
      <c r="E517" s="659"/>
      <c r="F517" s="21">
        <f t="shared" si="22"/>
        <v>0</v>
      </c>
      <c r="G517" s="21">
        <f t="shared" si="21"/>
        <v>0</v>
      </c>
      <c r="H517" s="290">
        <v>0</v>
      </c>
      <c r="J517" s="281"/>
      <c r="K517" s="53"/>
      <c r="L517" s="288"/>
      <c r="M517" s="289"/>
    </row>
    <row r="518" spans="1:13">
      <c r="A518" s="21" t="s">
        <v>964</v>
      </c>
      <c r="B518" s="21"/>
      <c r="C518" s="21" t="s">
        <v>965</v>
      </c>
      <c r="D518" s="24" t="s">
        <v>11</v>
      </c>
      <c r="E518" s="659"/>
      <c r="F518" s="21">
        <f t="shared" si="22"/>
        <v>0</v>
      </c>
      <c r="G518" s="21">
        <f t="shared" si="21"/>
        <v>0</v>
      </c>
      <c r="H518" s="290">
        <v>1</v>
      </c>
      <c r="J518" s="281"/>
      <c r="K518" s="53"/>
      <c r="L518" s="288"/>
      <c r="M518" s="289"/>
    </row>
    <row r="519" spans="1:13">
      <c r="A519" s="21" t="s">
        <v>968</v>
      </c>
      <c r="B519" s="21" t="s">
        <v>966</v>
      </c>
      <c r="C519" s="21" t="s">
        <v>969</v>
      </c>
      <c r="D519" s="24" t="s">
        <v>967</v>
      </c>
      <c r="E519" s="659"/>
      <c r="F519" s="21">
        <f t="shared" si="22"/>
        <v>502313</v>
      </c>
      <c r="G519" s="21">
        <f t="shared" si="21"/>
        <v>138694</v>
      </c>
      <c r="H519" s="290">
        <v>0</v>
      </c>
      <c r="J519" s="281" t="s">
        <v>12</v>
      </c>
      <c r="K519" s="53">
        <v>2.12</v>
      </c>
      <c r="L519" s="288" t="s">
        <v>898</v>
      </c>
      <c r="M519" s="289">
        <v>0.1</v>
      </c>
    </row>
    <row r="520" spans="1:13">
      <c r="A520" s="21" t="s">
        <v>970</v>
      </c>
      <c r="B520" s="21" t="s">
        <v>966</v>
      </c>
      <c r="C520" s="21" t="s">
        <v>971</v>
      </c>
      <c r="D520" s="24" t="s">
        <v>967</v>
      </c>
      <c r="E520" s="659"/>
      <c r="F520" s="21">
        <f t="shared" si="22"/>
        <v>502313</v>
      </c>
      <c r="G520" s="21">
        <f t="shared" si="21"/>
        <v>138694</v>
      </c>
      <c r="H520" s="290">
        <v>0</v>
      </c>
      <c r="J520" s="281" t="s">
        <v>12</v>
      </c>
      <c r="K520" s="53">
        <v>2.12</v>
      </c>
      <c r="L520" s="288" t="s">
        <v>898</v>
      </c>
      <c r="M520" s="289">
        <v>0.1</v>
      </c>
    </row>
    <row r="521" spans="1:13">
      <c r="A521" s="21" t="s">
        <v>972</v>
      </c>
      <c r="B521" s="21" t="s">
        <v>966</v>
      </c>
      <c r="C521" s="21" t="s">
        <v>973</v>
      </c>
      <c r="D521" s="24" t="s">
        <v>967</v>
      </c>
      <c r="E521" s="659"/>
      <c r="F521" s="21">
        <f t="shared" si="22"/>
        <v>502313</v>
      </c>
      <c r="G521" s="21">
        <f t="shared" si="21"/>
        <v>138694</v>
      </c>
      <c r="H521" s="290">
        <v>0</v>
      </c>
      <c r="J521" s="281" t="s">
        <v>12</v>
      </c>
      <c r="K521" s="53">
        <v>2.12</v>
      </c>
      <c r="L521" s="288" t="s">
        <v>898</v>
      </c>
      <c r="M521" s="289">
        <v>0.1</v>
      </c>
    </row>
    <row r="522" spans="1:13">
      <c r="A522" s="21" t="s">
        <v>974</v>
      </c>
      <c r="B522" s="21" t="s">
        <v>966</v>
      </c>
      <c r="C522" s="21" t="s">
        <v>975</v>
      </c>
      <c r="D522" s="24" t="s">
        <v>967</v>
      </c>
      <c r="E522" s="659"/>
      <c r="F522" s="21">
        <f t="shared" si="22"/>
        <v>502313</v>
      </c>
      <c r="G522" s="21">
        <f t="shared" si="21"/>
        <v>138694</v>
      </c>
      <c r="H522" s="290">
        <v>0</v>
      </c>
      <c r="J522" s="281" t="s">
        <v>12</v>
      </c>
      <c r="K522" s="53">
        <v>2.12</v>
      </c>
      <c r="L522" s="288" t="s">
        <v>898</v>
      </c>
      <c r="M522" s="289">
        <v>0.1</v>
      </c>
    </row>
    <row r="523" spans="1:13">
      <c r="A523" s="21" t="s">
        <v>976</v>
      </c>
      <c r="B523" s="21" t="s">
        <v>966</v>
      </c>
      <c r="C523" s="21" t="s">
        <v>977</v>
      </c>
      <c r="D523" s="24" t="s">
        <v>967</v>
      </c>
      <c r="E523" s="659"/>
      <c r="F523" s="21">
        <f t="shared" si="22"/>
        <v>502313</v>
      </c>
      <c r="G523" s="21">
        <f t="shared" si="21"/>
        <v>138694</v>
      </c>
      <c r="H523" s="290">
        <v>0</v>
      </c>
      <c r="J523" s="281" t="s">
        <v>12</v>
      </c>
      <c r="K523" s="53">
        <v>2.12</v>
      </c>
      <c r="L523" s="288" t="s">
        <v>898</v>
      </c>
      <c r="M523" s="289">
        <v>0.1</v>
      </c>
    </row>
    <row r="524" spans="1:13">
      <c r="A524" s="21" t="s">
        <v>978</v>
      </c>
      <c r="B524" s="21" t="s">
        <v>966</v>
      </c>
      <c r="C524" s="21" t="s">
        <v>979</v>
      </c>
      <c r="D524" s="24" t="s">
        <v>967</v>
      </c>
      <c r="E524" s="659"/>
      <c r="F524" s="21">
        <f t="shared" si="22"/>
        <v>502313</v>
      </c>
      <c r="G524" s="21">
        <f t="shared" si="21"/>
        <v>138694</v>
      </c>
      <c r="H524" s="290">
        <v>0</v>
      </c>
      <c r="J524" s="281" t="s">
        <v>12</v>
      </c>
      <c r="K524" s="53">
        <v>2.12</v>
      </c>
      <c r="L524" s="288" t="s">
        <v>898</v>
      </c>
      <c r="M524" s="289">
        <v>0.1</v>
      </c>
    </row>
    <row r="525" spans="1:13">
      <c r="A525" s="21" t="s">
        <v>980</v>
      </c>
      <c r="B525" s="21" t="s">
        <v>966</v>
      </c>
      <c r="C525" s="21" t="s">
        <v>981</v>
      </c>
      <c r="D525" s="24" t="s">
        <v>967</v>
      </c>
      <c r="E525" s="659"/>
      <c r="F525" s="21">
        <f t="shared" si="22"/>
        <v>502313</v>
      </c>
      <c r="G525" s="21">
        <f t="shared" si="21"/>
        <v>138694</v>
      </c>
      <c r="H525" s="290">
        <v>0</v>
      </c>
      <c r="J525" s="281" t="s">
        <v>12</v>
      </c>
      <c r="K525" s="53">
        <v>2.12</v>
      </c>
      <c r="L525" s="288" t="s">
        <v>898</v>
      </c>
      <c r="M525" s="289">
        <v>0.1</v>
      </c>
    </row>
    <row r="526" spans="1:13">
      <c r="A526" s="21" t="s">
        <v>982</v>
      </c>
      <c r="B526" s="21" t="s">
        <v>966</v>
      </c>
      <c r="C526" s="21" t="s">
        <v>983</v>
      </c>
      <c r="D526" s="24" t="s">
        <v>967</v>
      </c>
      <c r="E526" s="659"/>
      <c r="F526" s="21">
        <f t="shared" si="22"/>
        <v>502313</v>
      </c>
      <c r="G526" s="21">
        <f t="shared" si="21"/>
        <v>138694</v>
      </c>
      <c r="H526" s="290">
        <v>0</v>
      </c>
      <c r="J526" s="281" t="s">
        <v>12</v>
      </c>
      <c r="K526" s="53">
        <v>2.12</v>
      </c>
      <c r="L526" s="288" t="s">
        <v>898</v>
      </c>
      <c r="M526" s="289">
        <v>0.1</v>
      </c>
    </row>
    <row r="527" spans="1:13">
      <c r="A527" s="21" t="s">
        <v>984</v>
      </c>
      <c r="B527" s="21" t="s">
        <v>966</v>
      </c>
      <c r="C527" s="21" t="s">
        <v>985</v>
      </c>
      <c r="D527" s="24" t="s">
        <v>967</v>
      </c>
      <c r="E527" s="659"/>
      <c r="F527" s="21">
        <f t="shared" si="22"/>
        <v>502313</v>
      </c>
      <c r="G527" s="21">
        <f t="shared" si="21"/>
        <v>138694</v>
      </c>
      <c r="H527" s="290">
        <v>0</v>
      </c>
      <c r="J527" s="281" t="s">
        <v>12</v>
      </c>
      <c r="K527" s="53">
        <v>2.12</v>
      </c>
      <c r="L527" s="288" t="s">
        <v>898</v>
      </c>
      <c r="M527" s="289">
        <v>0.1</v>
      </c>
    </row>
    <row r="528" spans="1:13">
      <c r="A528" s="21" t="s">
        <v>986</v>
      </c>
      <c r="B528" s="21" t="s">
        <v>966</v>
      </c>
      <c r="C528" s="21" t="s">
        <v>987</v>
      </c>
      <c r="D528" s="24" t="s">
        <v>967</v>
      </c>
      <c r="E528" s="659"/>
      <c r="F528" s="21">
        <f t="shared" si="22"/>
        <v>502313</v>
      </c>
      <c r="G528" s="21">
        <f t="shared" si="21"/>
        <v>138694</v>
      </c>
      <c r="H528" s="290">
        <v>0</v>
      </c>
      <c r="J528" s="281" t="s">
        <v>12</v>
      </c>
      <c r="K528" s="53">
        <v>2.12</v>
      </c>
      <c r="L528" s="288" t="s">
        <v>898</v>
      </c>
      <c r="M528" s="289">
        <v>0.1</v>
      </c>
    </row>
    <row r="529" spans="1:13">
      <c r="A529" s="21" t="s">
        <v>989</v>
      </c>
      <c r="B529" s="21" t="s">
        <v>988</v>
      </c>
      <c r="C529" s="21" t="s">
        <v>2983</v>
      </c>
      <c r="D529" s="24" t="s">
        <v>24</v>
      </c>
      <c r="E529" s="478">
        <v>5446000</v>
      </c>
      <c r="F529" s="21">
        <f>IFERROR(ROUND(VLOOKUP(J529,DGNC,5,0)*K529,0),)</f>
        <v>645165</v>
      </c>
      <c r="G529" s="21">
        <f t="shared" si="21"/>
        <v>111154</v>
      </c>
      <c r="H529" s="290">
        <v>45</v>
      </c>
      <c r="J529" s="281" t="s">
        <v>781</v>
      </c>
      <c r="K529" s="53">
        <v>2.5</v>
      </c>
      <c r="L529" s="288" t="s">
        <v>3491</v>
      </c>
      <c r="M529" s="289">
        <v>0.2</v>
      </c>
    </row>
    <row r="530" spans="1:13">
      <c r="A530" s="21" t="s">
        <v>2859</v>
      </c>
      <c r="B530" s="21" t="s">
        <v>990</v>
      </c>
      <c r="C530" s="21" t="s">
        <v>3225</v>
      </c>
      <c r="D530" s="24" t="s">
        <v>24</v>
      </c>
      <c r="E530" s="478">
        <v>5446000</v>
      </c>
      <c r="F530" s="21">
        <f>IFERROR(ROUND(VLOOKUP(J530,DGNC,5,0)*K530,0),)</f>
        <v>743230</v>
      </c>
      <c r="G530" s="21">
        <f>IFERROR(ROUND(VLOOKUP(L530,DGMTC,8,0)*M530,0),)</f>
        <v>111154</v>
      </c>
      <c r="H530" s="290">
        <v>45</v>
      </c>
      <c r="J530" s="281" t="s">
        <v>781</v>
      </c>
      <c r="K530" s="53">
        <v>2.88</v>
      </c>
      <c r="L530" s="288" t="s">
        <v>3491</v>
      </c>
      <c r="M530" s="289">
        <v>0.2</v>
      </c>
    </row>
    <row r="531" spans="1:13">
      <c r="A531" s="21" t="s">
        <v>1913</v>
      </c>
      <c r="B531" s="21" t="s">
        <v>990</v>
      </c>
      <c r="C531" s="21" t="s">
        <v>2982</v>
      </c>
      <c r="D531" s="24" t="s">
        <v>24</v>
      </c>
      <c r="E531" s="478">
        <v>5446000</v>
      </c>
      <c r="F531" s="21">
        <f>IFERROR(ROUND(VLOOKUP(J531,DGNC,5,0)*K531,0),)</f>
        <v>743230</v>
      </c>
      <c r="G531" s="21">
        <f>IFERROR(ROUND(VLOOKUP(L531,DGMTC,8,0)*M531,0),)</f>
        <v>111154</v>
      </c>
      <c r="H531" s="290">
        <v>45</v>
      </c>
      <c r="J531" s="281" t="s">
        <v>781</v>
      </c>
      <c r="K531" s="53">
        <v>2.88</v>
      </c>
      <c r="L531" s="288" t="s">
        <v>3491</v>
      </c>
      <c r="M531" s="289">
        <v>0.2</v>
      </c>
    </row>
    <row r="532" spans="1:13">
      <c r="A532" s="21" t="s">
        <v>3292</v>
      </c>
      <c r="B532" s="21" t="s">
        <v>990</v>
      </c>
      <c r="C532" s="21" t="s">
        <v>2982</v>
      </c>
      <c r="D532" s="24" t="s">
        <v>24</v>
      </c>
      <c r="E532" s="478">
        <v>5446000</v>
      </c>
      <c r="F532" s="21">
        <f>IFERROR(ROUND(VLOOKUP(J532,DGNC,5,0)*K532,0),)</f>
        <v>743230</v>
      </c>
      <c r="G532" s="21">
        <f>IFERROR(ROUND(VLOOKUP(L532,DGMTC,8,0)*M532,0),)</f>
        <v>111154</v>
      </c>
      <c r="H532" s="290">
        <v>45</v>
      </c>
      <c r="J532" s="281" t="s">
        <v>781</v>
      </c>
      <c r="K532" s="53">
        <v>2.88</v>
      </c>
      <c r="L532" s="288" t="s">
        <v>3491</v>
      </c>
      <c r="M532" s="289">
        <v>0.2</v>
      </c>
    </row>
    <row r="533" spans="1:13">
      <c r="A533" s="21" t="s">
        <v>991</v>
      </c>
      <c r="B533" s="21" t="s">
        <v>990</v>
      </c>
      <c r="C533" s="21" t="s">
        <v>2984</v>
      </c>
      <c r="D533" s="24" t="s">
        <v>24</v>
      </c>
      <c r="E533" s="659">
        <f>4234633+151200*2</f>
        <v>4537033</v>
      </c>
      <c r="F533" s="21">
        <f>IFERROR(ROUND(VLOOKUP(J533,DGNC,5,0)*K533*1.3,0),)</f>
        <v>966199</v>
      </c>
      <c r="G533" s="21">
        <f t="shared" si="21"/>
        <v>0</v>
      </c>
      <c r="H533" s="290">
        <v>45</v>
      </c>
      <c r="J533" s="281" t="s">
        <v>781</v>
      </c>
      <c r="K533" s="53">
        <v>2.88</v>
      </c>
      <c r="L533" s="288"/>
      <c r="M533" s="289"/>
    </row>
    <row r="534" spans="1:13">
      <c r="A534" s="21" t="s">
        <v>992</v>
      </c>
      <c r="B534" s="21" t="s">
        <v>993</v>
      </c>
      <c r="C534" s="21" t="s">
        <v>2968</v>
      </c>
      <c r="D534" s="24" t="s">
        <v>11</v>
      </c>
      <c r="E534" s="679">
        <v>980000</v>
      </c>
      <c r="F534" s="21">
        <f t="shared" si="22"/>
        <v>450186</v>
      </c>
      <c r="G534" s="21">
        <f t="shared" si="21"/>
        <v>0</v>
      </c>
      <c r="H534" s="290">
        <v>2</v>
      </c>
      <c r="J534" s="281" t="s">
        <v>12</v>
      </c>
      <c r="K534" s="53">
        <v>1.9</v>
      </c>
      <c r="L534" s="288"/>
      <c r="M534" s="289"/>
    </row>
    <row r="535" spans="1:13">
      <c r="A535" s="21" t="s">
        <v>994</v>
      </c>
      <c r="B535" s="21" t="s">
        <v>993</v>
      </c>
      <c r="C535" s="21" t="s">
        <v>2966</v>
      </c>
      <c r="D535" s="24" t="s">
        <v>11</v>
      </c>
      <c r="E535" s="478">
        <v>1440000</v>
      </c>
      <c r="F535" s="21">
        <f t="shared" si="22"/>
        <v>450186</v>
      </c>
      <c r="G535" s="21">
        <f t="shared" si="21"/>
        <v>0</v>
      </c>
      <c r="H535" s="290">
        <v>2</v>
      </c>
      <c r="J535" s="281" t="s">
        <v>12</v>
      </c>
      <c r="K535" s="53">
        <v>1.9</v>
      </c>
      <c r="L535" s="288"/>
      <c r="M535" s="289"/>
    </row>
    <row r="536" spans="1:13">
      <c r="A536" s="21" t="s">
        <v>2948</v>
      </c>
      <c r="B536" s="21" t="s">
        <v>993</v>
      </c>
      <c r="C536" s="21" t="s">
        <v>2966</v>
      </c>
      <c r="D536" s="24" t="s">
        <v>11</v>
      </c>
      <c r="E536" s="478">
        <v>1440000</v>
      </c>
      <c r="F536" s="21">
        <f>IFERROR(ROUND(VLOOKUP(J536,DGNC,5,0)*K536,0),)</f>
        <v>450186</v>
      </c>
      <c r="G536" s="21">
        <f>IFERROR(ROUND(VLOOKUP(L536,DGMTC,8,0)*M536,0),)</f>
        <v>0</v>
      </c>
      <c r="H536" s="290">
        <v>2</v>
      </c>
      <c r="J536" s="281" t="s">
        <v>12</v>
      </c>
      <c r="K536" s="53">
        <v>1.9</v>
      </c>
      <c r="L536" s="288"/>
      <c r="M536" s="289"/>
    </row>
    <row r="537" spans="1:13">
      <c r="A537" s="21" t="s">
        <v>995</v>
      </c>
      <c r="B537" s="21" t="s">
        <v>993</v>
      </c>
      <c r="C537" s="21" t="s">
        <v>2967</v>
      </c>
      <c r="D537" s="24" t="s">
        <v>11</v>
      </c>
      <c r="E537" s="478">
        <v>1440000</v>
      </c>
      <c r="F537" s="21">
        <f t="shared" si="22"/>
        <v>450186</v>
      </c>
      <c r="G537" s="21">
        <f t="shared" si="21"/>
        <v>0</v>
      </c>
      <c r="H537" s="290">
        <v>2</v>
      </c>
      <c r="J537" s="281" t="s">
        <v>12</v>
      </c>
      <c r="K537" s="53">
        <v>1.9</v>
      </c>
      <c r="L537" s="288"/>
      <c r="M537" s="289"/>
    </row>
    <row r="538" spans="1:13">
      <c r="A538" s="21" t="s">
        <v>996</v>
      </c>
      <c r="B538" s="21" t="s">
        <v>997</v>
      </c>
      <c r="C538" s="21" t="s">
        <v>2960</v>
      </c>
      <c r="D538" s="24" t="s">
        <v>11</v>
      </c>
      <c r="E538" s="478">
        <v>1440000</v>
      </c>
      <c r="F538" s="21">
        <f t="shared" si="22"/>
        <v>592350</v>
      </c>
      <c r="G538" s="21">
        <f t="shared" si="21"/>
        <v>0</v>
      </c>
      <c r="H538" s="290">
        <v>2</v>
      </c>
      <c r="J538" s="281" t="s">
        <v>12</v>
      </c>
      <c r="K538" s="53">
        <v>2.5</v>
      </c>
      <c r="L538" s="288"/>
      <c r="M538" s="289"/>
    </row>
    <row r="539" spans="1:13">
      <c r="A539" s="21" t="s">
        <v>2064</v>
      </c>
      <c r="B539" s="21" t="s">
        <v>997</v>
      </c>
      <c r="C539" s="21" t="s">
        <v>2961</v>
      </c>
      <c r="D539" s="24" t="s">
        <v>11</v>
      </c>
      <c r="E539" s="478">
        <v>5560000</v>
      </c>
      <c r="F539" s="21">
        <f t="shared" si="22"/>
        <v>592350</v>
      </c>
      <c r="G539" s="21">
        <f t="shared" si="21"/>
        <v>0</v>
      </c>
      <c r="H539" s="290">
        <v>3</v>
      </c>
      <c r="J539" s="281" t="s">
        <v>12</v>
      </c>
      <c r="K539" s="53">
        <v>2.5</v>
      </c>
      <c r="L539" s="288"/>
      <c r="M539" s="289"/>
    </row>
    <row r="540" spans="1:13">
      <c r="A540" s="21" t="s">
        <v>998</v>
      </c>
      <c r="B540" s="21" t="s">
        <v>999</v>
      </c>
      <c r="C540" s="21" t="s">
        <v>2962</v>
      </c>
      <c r="D540" s="24" t="s">
        <v>11</v>
      </c>
      <c r="E540" s="478">
        <v>5550000</v>
      </c>
      <c r="F540" s="21">
        <f t="shared" si="22"/>
        <v>829290</v>
      </c>
      <c r="G540" s="21">
        <f t="shared" si="21"/>
        <v>0</v>
      </c>
      <c r="H540" s="290">
        <v>3</v>
      </c>
      <c r="J540" s="281" t="s">
        <v>12</v>
      </c>
      <c r="K540" s="53">
        <v>3.5</v>
      </c>
      <c r="L540" s="288"/>
      <c r="M540" s="289"/>
    </row>
    <row r="541" spans="1:13">
      <c r="A541" s="21" t="s">
        <v>1000</v>
      </c>
      <c r="B541" s="21" t="s">
        <v>1001</v>
      </c>
      <c r="C541" s="21" t="s">
        <v>1002</v>
      </c>
      <c r="D541" s="24" t="s">
        <v>11</v>
      </c>
      <c r="E541" s="659"/>
      <c r="F541" s="21">
        <f t="shared" si="22"/>
        <v>947760</v>
      </c>
      <c r="G541" s="21">
        <f t="shared" si="21"/>
        <v>0</v>
      </c>
      <c r="H541" s="290">
        <v>3</v>
      </c>
      <c r="J541" s="281" t="s">
        <v>12</v>
      </c>
      <c r="K541" s="53">
        <v>4</v>
      </c>
      <c r="L541" s="288"/>
      <c r="M541" s="289"/>
    </row>
    <row r="542" spans="1:13">
      <c r="A542" s="21" t="s">
        <v>1003</v>
      </c>
      <c r="B542" s="21" t="s">
        <v>1004</v>
      </c>
      <c r="C542" s="21" t="s">
        <v>2963</v>
      </c>
      <c r="D542" s="24" t="s">
        <v>11</v>
      </c>
      <c r="E542" s="659"/>
      <c r="F542" s="21">
        <f t="shared" si="22"/>
        <v>947760</v>
      </c>
      <c r="G542" s="21">
        <f t="shared" si="21"/>
        <v>0</v>
      </c>
      <c r="H542" s="290">
        <v>4</v>
      </c>
      <c r="J542" s="281" t="s">
        <v>12</v>
      </c>
      <c r="K542" s="53">
        <v>4</v>
      </c>
      <c r="L542" s="288"/>
      <c r="M542" s="289"/>
    </row>
    <row r="543" spans="1:13">
      <c r="A543" s="21" t="s">
        <v>1005</v>
      </c>
      <c r="B543" s="21" t="s">
        <v>1004</v>
      </c>
      <c r="C543" s="21" t="s">
        <v>2964</v>
      </c>
      <c r="D543" s="24" t="s">
        <v>11</v>
      </c>
      <c r="E543" s="659"/>
      <c r="F543" s="21">
        <f t="shared" si="22"/>
        <v>0</v>
      </c>
      <c r="G543" s="21">
        <f t="shared" si="21"/>
        <v>0</v>
      </c>
      <c r="H543" s="290">
        <v>4</v>
      </c>
      <c r="J543" s="281"/>
      <c r="K543" s="53"/>
      <c r="L543" s="288"/>
      <c r="M543" s="289"/>
    </row>
    <row r="544" spans="1:13">
      <c r="A544" s="21" t="s">
        <v>1006</v>
      </c>
      <c r="B544" s="21" t="s">
        <v>1004</v>
      </c>
      <c r="C544" s="21" t="s">
        <v>2965</v>
      </c>
      <c r="D544" s="24" t="s">
        <v>11</v>
      </c>
      <c r="E544" s="659"/>
      <c r="F544" s="21">
        <f t="shared" si="22"/>
        <v>0</v>
      </c>
      <c r="G544" s="21">
        <f t="shared" si="21"/>
        <v>0</v>
      </c>
      <c r="H544" s="290">
        <v>4</v>
      </c>
      <c r="J544" s="281"/>
      <c r="K544" s="53"/>
      <c r="L544" s="288"/>
      <c r="M544" s="289"/>
    </row>
    <row r="545" spans="1:13">
      <c r="A545" s="21" t="s">
        <v>1007</v>
      </c>
      <c r="B545" s="21"/>
      <c r="C545" s="21" t="s">
        <v>1008</v>
      </c>
      <c r="D545" s="24" t="s">
        <v>1009</v>
      </c>
      <c r="E545" s="678">
        <v>47000</v>
      </c>
      <c r="F545" s="21">
        <f t="shared" si="22"/>
        <v>0</v>
      </c>
      <c r="G545" s="21">
        <f t="shared" si="21"/>
        <v>0</v>
      </c>
      <c r="H545" s="290">
        <v>0</v>
      </c>
      <c r="J545" s="281"/>
      <c r="K545" s="53"/>
      <c r="L545" s="288"/>
      <c r="M545" s="289"/>
    </row>
    <row r="546" spans="1:13">
      <c r="A546" s="21" t="s">
        <v>1010</v>
      </c>
      <c r="B546" s="21"/>
      <c r="C546" s="21" t="s">
        <v>1011</v>
      </c>
      <c r="D546" s="24" t="s">
        <v>1009</v>
      </c>
      <c r="E546" s="678">
        <v>47000</v>
      </c>
      <c r="F546" s="21">
        <f t="shared" si="22"/>
        <v>0</v>
      </c>
      <c r="G546" s="21">
        <f t="shared" si="21"/>
        <v>0</v>
      </c>
      <c r="H546" s="290">
        <v>0</v>
      </c>
      <c r="J546" s="281"/>
      <c r="K546" s="53"/>
      <c r="L546" s="288"/>
      <c r="M546" s="289"/>
    </row>
    <row r="547" spans="1:13">
      <c r="A547" s="21" t="s">
        <v>1012</v>
      </c>
      <c r="B547" s="21"/>
      <c r="C547" s="21" t="s">
        <v>1013</v>
      </c>
      <c r="D547" s="24" t="s">
        <v>1009</v>
      </c>
      <c r="E547" s="678">
        <v>47000</v>
      </c>
      <c r="F547" s="21">
        <f t="shared" si="22"/>
        <v>0</v>
      </c>
      <c r="G547" s="21">
        <f t="shared" si="21"/>
        <v>0</v>
      </c>
      <c r="H547" s="290">
        <v>0</v>
      </c>
      <c r="J547" s="281"/>
      <c r="K547" s="53"/>
      <c r="L547" s="288"/>
      <c r="M547" s="289"/>
    </row>
    <row r="548" spans="1:13">
      <c r="A548" s="21" t="s">
        <v>1014</v>
      </c>
      <c r="B548" s="21"/>
      <c r="C548" s="21" t="s">
        <v>1015</v>
      </c>
      <c r="D548" s="24" t="s">
        <v>1009</v>
      </c>
      <c r="E548" s="678">
        <v>52000</v>
      </c>
      <c r="F548" s="21">
        <f t="shared" si="22"/>
        <v>0</v>
      </c>
      <c r="G548" s="21">
        <f t="shared" si="21"/>
        <v>0</v>
      </c>
      <c r="H548" s="290">
        <v>0</v>
      </c>
      <c r="J548" s="281"/>
      <c r="K548" s="53"/>
      <c r="L548" s="288"/>
      <c r="M548" s="289"/>
    </row>
    <row r="549" spans="1:13">
      <c r="A549" s="21" t="s">
        <v>1016</v>
      </c>
      <c r="B549" s="21"/>
      <c r="C549" s="21" t="s">
        <v>1017</v>
      </c>
      <c r="D549" s="24" t="s">
        <v>1009</v>
      </c>
      <c r="E549" s="678">
        <v>52000</v>
      </c>
      <c r="F549" s="21">
        <f t="shared" si="22"/>
        <v>0</v>
      </c>
      <c r="G549" s="21">
        <f t="shared" si="21"/>
        <v>0</v>
      </c>
      <c r="H549" s="290">
        <v>0</v>
      </c>
      <c r="J549" s="281"/>
      <c r="K549" s="53"/>
      <c r="L549" s="288"/>
      <c r="M549" s="289"/>
    </row>
    <row r="550" spans="1:13">
      <c r="A550" s="21" t="s">
        <v>1018</v>
      </c>
      <c r="B550" s="21"/>
      <c r="C550" s="21" t="s">
        <v>1019</v>
      </c>
      <c r="D550" s="24" t="s">
        <v>1009</v>
      </c>
      <c r="E550" s="678">
        <v>70000</v>
      </c>
      <c r="F550" s="21">
        <f t="shared" si="22"/>
        <v>0</v>
      </c>
      <c r="G550" s="21">
        <f t="shared" si="21"/>
        <v>0</v>
      </c>
      <c r="H550" s="290">
        <v>0</v>
      </c>
      <c r="J550" s="281"/>
      <c r="K550" s="53"/>
      <c r="L550" s="288"/>
      <c r="M550" s="289"/>
    </row>
    <row r="551" spans="1:13">
      <c r="A551" s="21" t="s">
        <v>1020</v>
      </c>
      <c r="B551" s="21"/>
      <c r="C551" s="21" t="s">
        <v>1021</v>
      </c>
      <c r="D551" s="24" t="s">
        <v>1009</v>
      </c>
      <c r="E551" s="659">
        <v>110000</v>
      </c>
      <c r="F551" s="21">
        <f t="shared" si="22"/>
        <v>0</v>
      </c>
      <c r="G551" s="21">
        <f t="shared" si="21"/>
        <v>0</v>
      </c>
      <c r="H551" s="290">
        <v>0</v>
      </c>
      <c r="J551" s="281"/>
      <c r="K551" s="53"/>
      <c r="L551" s="288"/>
      <c r="M551" s="289"/>
    </row>
    <row r="552" spans="1:13">
      <c r="A552" s="21" t="s">
        <v>1022</v>
      </c>
      <c r="B552" s="21"/>
      <c r="C552" s="21" t="s">
        <v>1023</v>
      </c>
      <c r="D552" s="24" t="s">
        <v>1009</v>
      </c>
      <c r="E552" s="659">
        <v>116000</v>
      </c>
      <c r="F552" s="21">
        <f t="shared" si="22"/>
        <v>0</v>
      </c>
      <c r="G552" s="21">
        <f t="shared" si="21"/>
        <v>0</v>
      </c>
      <c r="H552" s="290">
        <v>0</v>
      </c>
      <c r="J552" s="281"/>
      <c r="K552" s="53"/>
      <c r="L552" s="288"/>
      <c r="M552" s="289"/>
    </row>
    <row r="553" spans="1:13">
      <c r="A553" s="21" t="s">
        <v>1024</v>
      </c>
      <c r="B553" s="21"/>
      <c r="C553" s="21" t="s">
        <v>1025</v>
      </c>
      <c r="D553" s="24" t="s">
        <v>1009</v>
      </c>
      <c r="E553" s="659">
        <v>125000</v>
      </c>
      <c r="F553" s="21">
        <f t="shared" si="22"/>
        <v>0</v>
      </c>
      <c r="G553" s="21">
        <f t="shared" si="21"/>
        <v>0</v>
      </c>
      <c r="H553" s="290">
        <v>0</v>
      </c>
      <c r="J553" s="281"/>
      <c r="K553" s="53"/>
      <c r="L553" s="288"/>
      <c r="M553" s="289"/>
    </row>
    <row r="554" spans="1:13">
      <c r="A554" s="21" t="s">
        <v>1026</v>
      </c>
      <c r="B554" s="21"/>
      <c r="C554" s="21" t="s">
        <v>1027</v>
      </c>
      <c r="D554" s="24" t="s">
        <v>1009</v>
      </c>
      <c r="E554" s="659">
        <v>125000</v>
      </c>
      <c r="F554" s="21">
        <f t="shared" si="22"/>
        <v>0</v>
      </c>
      <c r="G554" s="21">
        <f t="shared" si="21"/>
        <v>0</v>
      </c>
      <c r="H554" s="290">
        <v>0</v>
      </c>
      <c r="J554" s="281"/>
      <c r="K554" s="53"/>
      <c r="L554" s="288"/>
      <c r="M554" s="289"/>
    </row>
    <row r="555" spans="1:13">
      <c r="A555" s="21" t="s">
        <v>1028</v>
      </c>
      <c r="B555" s="21"/>
      <c r="C555" s="21" t="s">
        <v>1029</v>
      </c>
      <c r="D555" s="24" t="s">
        <v>1009</v>
      </c>
      <c r="E555" s="659">
        <v>125000</v>
      </c>
      <c r="F555" s="21">
        <f t="shared" si="22"/>
        <v>0</v>
      </c>
      <c r="G555" s="21">
        <f t="shared" si="21"/>
        <v>0</v>
      </c>
      <c r="H555" s="290">
        <v>0</v>
      </c>
      <c r="J555" s="281"/>
      <c r="K555" s="53"/>
      <c r="L555" s="288"/>
      <c r="M555" s="289"/>
    </row>
    <row r="556" spans="1:13">
      <c r="A556" s="21" t="s">
        <v>1030</v>
      </c>
      <c r="B556" s="21"/>
      <c r="C556" s="21" t="s">
        <v>1031</v>
      </c>
      <c r="D556" s="24" t="s">
        <v>1009</v>
      </c>
      <c r="E556" s="659">
        <v>180000</v>
      </c>
      <c r="F556" s="21">
        <f t="shared" si="22"/>
        <v>0</v>
      </c>
      <c r="G556" s="21">
        <f t="shared" si="21"/>
        <v>0</v>
      </c>
      <c r="H556" s="290">
        <v>0</v>
      </c>
      <c r="J556" s="281"/>
      <c r="K556" s="53"/>
      <c r="L556" s="288"/>
      <c r="M556" s="289"/>
    </row>
    <row r="557" spans="1:13">
      <c r="A557" s="21" t="s">
        <v>1032</v>
      </c>
      <c r="B557" s="21"/>
      <c r="C557" s="21" t="s">
        <v>1033</v>
      </c>
      <c r="D557" s="24" t="s">
        <v>1009</v>
      </c>
      <c r="E557" s="659">
        <v>190000</v>
      </c>
      <c r="F557" s="21">
        <f t="shared" si="22"/>
        <v>0</v>
      </c>
      <c r="G557" s="21">
        <f t="shared" si="21"/>
        <v>0</v>
      </c>
      <c r="H557" s="290">
        <v>0</v>
      </c>
      <c r="J557" s="281"/>
      <c r="K557" s="53"/>
      <c r="L557" s="288"/>
      <c r="M557" s="289"/>
    </row>
    <row r="558" spans="1:13">
      <c r="A558" s="21" t="s">
        <v>1034</v>
      </c>
      <c r="B558" s="21"/>
      <c r="C558" s="21" t="s">
        <v>1035</v>
      </c>
      <c r="D558" s="24" t="s">
        <v>1009</v>
      </c>
      <c r="E558" s="659">
        <v>225000</v>
      </c>
      <c r="F558" s="21">
        <f t="shared" si="22"/>
        <v>0</v>
      </c>
      <c r="G558" s="21">
        <f t="shared" si="21"/>
        <v>0</v>
      </c>
      <c r="H558" s="290">
        <v>0</v>
      </c>
      <c r="J558" s="281"/>
      <c r="K558" s="53"/>
      <c r="L558" s="288"/>
      <c r="M558" s="289"/>
    </row>
    <row r="559" spans="1:13">
      <c r="A559" s="21" t="s">
        <v>1036</v>
      </c>
      <c r="B559" s="21"/>
      <c r="C559" s="21" t="s">
        <v>1037</v>
      </c>
      <c r="D559" s="24" t="s">
        <v>1009</v>
      </c>
      <c r="E559" s="659">
        <v>485000</v>
      </c>
      <c r="F559" s="21">
        <f t="shared" si="22"/>
        <v>0</v>
      </c>
      <c r="G559" s="21">
        <f t="shared" si="21"/>
        <v>0</v>
      </c>
      <c r="H559" s="290">
        <v>0</v>
      </c>
      <c r="J559" s="281"/>
      <c r="K559" s="53"/>
      <c r="L559" s="288"/>
      <c r="M559" s="289"/>
    </row>
    <row r="560" spans="1:13">
      <c r="A560" s="21" t="s">
        <v>1038</v>
      </c>
      <c r="B560" s="21"/>
      <c r="C560" s="21" t="s">
        <v>1039</v>
      </c>
      <c r="D560" s="24" t="s">
        <v>11</v>
      </c>
      <c r="E560" s="659"/>
      <c r="F560" s="21">
        <f t="shared" si="22"/>
        <v>0</v>
      </c>
      <c r="G560" s="21">
        <f t="shared" si="21"/>
        <v>0</v>
      </c>
      <c r="H560" s="290">
        <v>0</v>
      </c>
      <c r="J560" s="281"/>
      <c r="K560" s="53"/>
      <c r="L560" s="288"/>
      <c r="M560" s="289"/>
    </row>
    <row r="561" spans="1:13">
      <c r="A561" s="21" t="s">
        <v>1040</v>
      </c>
      <c r="B561" s="21"/>
      <c r="C561" s="21" t="s">
        <v>1041</v>
      </c>
      <c r="D561" s="24" t="s">
        <v>11</v>
      </c>
      <c r="E561" s="659"/>
      <c r="F561" s="21">
        <f t="shared" si="22"/>
        <v>0</v>
      </c>
      <c r="G561" s="21">
        <f t="shared" si="21"/>
        <v>0</v>
      </c>
      <c r="H561" s="290">
        <v>0</v>
      </c>
      <c r="J561" s="281"/>
      <c r="K561" s="53"/>
      <c r="L561" s="288"/>
      <c r="M561" s="289"/>
    </row>
    <row r="562" spans="1:13">
      <c r="A562" s="21" t="s">
        <v>1042</v>
      </c>
      <c r="B562" s="21"/>
      <c r="C562" s="21" t="s">
        <v>1043</v>
      </c>
      <c r="D562" s="24" t="s">
        <v>11</v>
      </c>
      <c r="E562" s="659"/>
      <c r="F562" s="21">
        <f t="shared" si="22"/>
        <v>0</v>
      </c>
      <c r="G562" s="21">
        <f t="shared" si="21"/>
        <v>0</v>
      </c>
      <c r="H562" s="290">
        <v>1</v>
      </c>
      <c r="J562" s="281"/>
      <c r="K562" s="53"/>
      <c r="L562" s="288"/>
      <c r="M562" s="289"/>
    </row>
    <row r="563" spans="1:13">
      <c r="A563" s="21" t="s">
        <v>1044</v>
      </c>
      <c r="B563" s="21"/>
      <c r="C563" s="21" t="s">
        <v>1045</v>
      </c>
      <c r="D563" s="24" t="s">
        <v>11</v>
      </c>
      <c r="E563" s="659"/>
      <c r="F563" s="21">
        <f t="shared" si="22"/>
        <v>0</v>
      </c>
      <c r="G563" s="21">
        <f t="shared" si="21"/>
        <v>0</v>
      </c>
      <c r="H563" s="290">
        <v>0</v>
      </c>
      <c r="J563" s="281"/>
      <c r="K563" s="53"/>
      <c r="L563" s="288"/>
      <c r="M563" s="289"/>
    </row>
    <row r="564" spans="1:13">
      <c r="A564" s="21" t="s">
        <v>1046</v>
      </c>
      <c r="B564" s="21"/>
      <c r="C564" s="21" t="s">
        <v>1047</v>
      </c>
      <c r="D564" s="24" t="s">
        <v>11</v>
      </c>
      <c r="E564" s="659"/>
      <c r="F564" s="21">
        <f t="shared" si="22"/>
        <v>0</v>
      </c>
      <c r="G564" s="21">
        <f t="shared" si="21"/>
        <v>0</v>
      </c>
      <c r="H564" s="290">
        <v>1.5</v>
      </c>
      <c r="J564" s="281"/>
      <c r="K564" s="53"/>
      <c r="L564" s="288"/>
      <c r="M564" s="289"/>
    </row>
    <row r="565" spans="1:13">
      <c r="A565" s="21" t="s">
        <v>1048</v>
      </c>
      <c r="B565" s="21"/>
      <c r="C565" s="21" t="s">
        <v>1049</v>
      </c>
      <c r="D565" s="24" t="s">
        <v>11</v>
      </c>
      <c r="E565" s="659"/>
      <c r="F565" s="21">
        <f t="shared" ref="F565:F640" si="23">IFERROR(ROUND(VLOOKUP(J565,DGNC,5,0)*K565,0),)</f>
        <v>0</v>
      </c>
      <c r="G565" s="21">
        <f t="shared" ref="G565:G640" si="24">IFERROR(ROUND(VLOOKUP(L565,DGMTC,8,0)*M565,0),)</f>
        <v>0</v>
      </c>
      <c r="H565" s="290">
        <v>1.5</v>
      </c>
      <c r="J565" s="281"/>
      <c r="K565" s="53"/>
      <c r="L565" s="288"/>
      <c r="M565" s="289"/>
    </row>
    <row r="566" spans="1:13">
      <c r="A566" s="21" t="s">
        <v>1050</v>
      </c>
      <c r="B566" s="21"/>
      <c r="C566" s="21" t="s">
        <v>1051</v>
      </c>
      <c r="D566" s="24" t="s">
        <v>11</v>
      </c>
      <c r="E566" s="659"/>
      <c r="F566" s="21">
        <f t="shared" si="23"/>
        <v>0</v>
      </c>
      <c r="G566" s="21">
        <f t="shared" si="24"/>
        <v>0</v>
      </c>
      <c r="H566" s="290">
        <v>0</v>
      </c>
      <c r="J566" s="281"/>
      <c r="K566" s="53"/>
      <c r="L566" s="288"/>
      <c r="M566" s="289"/>
    </row>
    <row r="567" spans="1:13">
      <c r="A567" s="21" t="s">
        <v>1052</v>
      </c>
      <c r="B567" s="21" t="s">
        <v>1053</v>
      </c>
      <c r="C567" s="21" t="s">
        <v>1054</v>
      </c>
      <c r="D567" s="24" t="s">
        <v>11</v>
      </c>
      <c r="E567" s="659"/>
      <c r="F567" s="21">
        <f t="shared" si="23"/>
        <v>30736</v>
      </c>
      <c r="G567" s="21">
        <f t="shared" si="24"/>
        <v>0</v>
      </c>
      <c r="H567" s="290">
        <v>0</v>
      </c>
      <c r="J567" s="281" t="s">
        <v>289</v>
      </c>
      <c r="K567" s="53">
        <v>0.14000000000000001</v>
      </c>
      <c r="L567" s="288"/>
      <c r="M567" s="289"/>
    </row>
    <row r="568" spans="1:13">
      <c r="A568" s="21" t="s">
        <v>1055</v>
      </c>
      <c r="B568" s="21" t="s">
        <v>1056</v>
      </c>
      <c r="C568" s="21" t="s">
        <v>1057</v>
      </c>
      <c r="D568" s="24" t="s">
        <v>11</v>
      </c>
      <c r="E568" s="659"/>
      <c r="F568" s="21">
        <f t="shared" si="23"/>
        <v>35127</v>
      </c>
      <c r="G568" s="21">
        <f t="shared" si="24"/>
        <v>0</v>
      </c>
      <c r="H568" s="290">
        <v>0</v>
      </c>
      <c r="J568" s="281" t="s">
        <v>289</v>
      </c>
      <c r="K568" s="53">
        <v>0.16</v>
      </c>
      <c r="L568" s="288"/>
      <c r="M568" s="289"/>
    </row>
    <row r="569" spans="1:13">
      <c r="A569" s="21" t="s">
        <v>3384</v>
      </c>
      <c r="B569" s="21"/>
      <c r="C569" s="21" t="s">
        <v>3385</v>
      </c>
      <c r="D569" s="24" t="s">
        <v>24</v>
      </c>
      <c r="E569" s="659">
        <v>150000</v>
      </c>
      <c r="F569" s="21">
        <f>IFERROR(ROUND(VLOOKUP(J569,DGNC,5,0)*K569,0),)</f>
        <v>0</v>
      </c>
      <c r="G569" s="21">
        <f>IFERROR(ROUND(VLOOKUP(L569,DGMTC,8,0)*M569,0),)</f>
        <v>0</v>
      </c>
      <c r="H569" s="290">
        <v>0</v>
      </c>
      <c r="J569" s="281"/>
      <c r="K569" s="53"/>
      <c r="L569" s="288"/>
      <c r="M569" s="289"/>
    </row>
    <row r="570" spans="1:13">
      <c r="A570" s="21" t="s">
        <v>3494</v>
      </c>
      <c r="B570" s="21"/>
      <c r="C570" s="21" t="s">
        <v>3495</v>
      </c>
      <c r="D570" s="24" t="s">
        <v>24</v>
      </c>
      <c r="E570" s="659">
        <v>150000</v>
      </c>
      <c r="F570" s="21">
        <f>IFERROR(ROUND(VLOOKUP(J570,DGNC,5,0)*K570,0),)</f>
        <v>0</v>
      </c>
      <c r="G570" s="21">
        <f>IFERROR(ROUND(VLOOKUP(L570,DGMTC,8,0)*M570,0),)</f>
        <v>0</v>
      </c>
      <c r="H570" s="290">
        <v>0</v>
      </c>
      <c r="J570" s="281"/>
      <c r="K570" s="53"/>
      <c r="L570" s="288"/>
      <c r="M570" s="289"/>
    </row>
    <row r="571" spans="1:13">
      <c r="A571" s="21" t="s">
        <v>1058</v>
      </c>
      <c r="B571" s="21"/>
      <c r="C571" s="21" t="s">
        <v>1059</v>
      </c>
      <c r="D571" s="24" t="s">
        <v>24</v>
      </c>
      <c r="E571" s="659">
        <v>150000</v>
      </c>
      <c r="F571" s="21">
        <f t="shared" si="23"/>
        <v>0</v>
      </c>
      <c r="G571" s="21">
        <f t="shared" si="24"/>
        <v>0</v>
      </c>
      <c r="H571" s="290">
        <v>0</v>
      </c>
      <c r="J571" s="281"/>
      <c r="K571" s="53"/>
      <c r="L571" s="288"/>
      <c r="M571" s="289"/>
    </row>
    <row r="572" spans="1:13">
      <c r="A572" s="21" t="s">
        <v>1060</v>
      </c>
      <c r="B572" s="21" t="s">
        <v>1061</v>
      </c>
      <c r="C572" s="21" t="s">
        <v>1062</v>
      </c>
      <c r="D572" s="24" t="s">
        <v>138</v>
      </c>
      <c r="E572" s="678">
        <v>1950000</v>
      </c>
      <c r="F572" s="21">
        <f>IFERROR(ROUND(VLOOKUP(J572,DGNC,5,0)*K572,0)/1000*H572,)</f>
        <v>103615.056</v>
      </c>
      <c r="G572" s="21">
        <f t="shared" si="24"/>
        <v>0</v>
      </c>
      <c r="H572" s="290">
        <v>38</v>
      </c>
      <c r="J572" s="281" t="s">
        <v>289</v>
      </c>
      <c r="K572" s="53">
        <v>12.42</v>
      </c>
      <c r="L572" s="288"/>
      <c r="M572" s="289"/>
    </row>
    <row r="573" spans="1:13">
      <c r="A573" s="21" t="s">
        <v>1063</v>
      </c>
      <c r="B573" s="21" t="s">
        <v>1061</v>
      </c>
      <c r="C573" s="21" t="s">
        <v>1064</v>
      </c>
      <c r="D573" s="24" t="s">
        <v>138</v>
      </c>
      <c r="E573" s="659">
        <v>1417500</v>
      </c>
      <c r="F573" s="21">
        <f>IFERROR(ROUND(VLOOKUP(J573,DGNC,5,0)*K573,0)/1000*H573,)</f>
        <v>95434.92</v>
      </c>
      <c r="G573" s="21">
        <f t="shared" si="24"/>
        <v>0</v>
      </c>
      <c r="H573" s="290">
        <v>35</v>
      </c>
      <c r="J573" s="281" t="s">
        <v>289</v>
      </c>
      <c r="K573" s="53">
        <v>12.42</v>
      </c>
      <c r="L573" s="288"/>
      <c r="M573" s="289"/>
    </row>
    <row r="574" spans="1:13">
      <c r="A574" s="21" t="s">
        <v>1065</v>
      </c>
      <c r="B574" s="21" t="s">
        <v>1061</v>
      </c>
      <c r="C574" s="21" t="s">
        <v>1066</v>
      </c>
      <c r="D574" s="24" t="s">
        <v>138</v>
      </c>
      <c r="E574" s="659">
        <v>2047500</v>
      </c>
      <c r="F574" s="21">
        <f>IFERROR(ROUND(VLOOKUP(J574,DGNC,5,0)*K574,0)/1000*H574,)</f>
        <v>100888.344</v>
      </c>
      <c r="G574" s="21">
        <f t="shared" si="24"/>
        <v>0</v>
      </c>
      <c r="H574" s="290">
        <v>37</v>
      </c>
      <c r="J574" s="281" t="s">
        <v>289</v>
      </c>
      <c r="K574" s="53">
        <v>12.42</v>
      </c>
      <c r="L574" s="288"/>
      <c r="M574" s="289"/>
    </row>
    <row r="575" spans="1:13">
      <c r="A575" s="21" t="s">
        <v>1067</v>
      </c>
      <c r="B575" s="21" t="s">
        <v>1061</v>
      </c>
      <c r="C575" s="21" t="s">
        <v>1068</v>
      </c>
      <c r="D575" s="24" t="s">
        <v>138</v>
      </c>
      <c r="E575" s="681">
        <v>3816000</v>
      </c>
      <c r="F575" s="21">
        <f>IFERROR(ROUND(VLOOKUP(J575,DGNC,5,0)*K575,0)/1000*H575,)</f>
        <v>139062.31200000001</v>
      </c>
      <c r="G575" s="21">
        <f t="shared" si="24"/>
        <v>0</v>
      </c>
      <c r="H575" s="290">
        <v>51</v>
      </c>
      <c r="J575" s="281" t="s">
        <v>289</v>
      </c>
      <c r="K575" s="53">
        <v>12.42</v>
      </c>
      <c r="L575" s="288"/>
      <c r="M575" s="289"/>
    </row>
    <row r="576" spans="1:13">
      <c r="A576" s="21" t="s">
        <v>1069</v>
      </c>
      <c r="B576" s="21" t="s">
        <v>1061</v>
      </c>
      <c r="C576" s="21" t="s">
        <v>1070</v>
      </c>
      <c r="D576" s="24" t="s">
        <v>138</v>
      </c>
      <c r="E576" s="681">
        <v>3210000</v>
      </c>
      <c r="F576" s="21">
        <f>IFERROR(ROUND(VLOOKUP(J576,DGNC,5,0)*K576,0)/1000*H576,)</f>
        <v>149969.16</v>
      </c>
      <c r="G576" s="21">
        <f t="shared" si="24"/>
        <v>0</v>
      </c>
      <c r="H576" s="290">
        <v>55</v>
      </c>
      <c r="J576" s="281" t="s">
        <v>289</v>
      </c>
      <c r="K576" s="53">
        <v>12.42</v>
      </c>
      <c r="L576" s="288"/>
      <c r="M576" s="289"/>
    </row>
    <row r="577" spans="1:13">
      <c r="A577" s="21" t="s">
        <v>1071</v>
      </c>
      <c r="B577" s="21" t="s">
        <v>1072</v>
      </c>
      <c r="C577" s="21" t="s">
        <v>1073</v>
      </c>
      <c r="D577" s="24" t="s">
        <v>11</v>
      </c>
      <c r="E577" s="659">
        <v>9100</v>
      </c>
      <c r="F577" s="21">
        <f t="shared" si="23"/>
        <v>0</v>
      </c>
      <c r="G577" s="21">
        <f t="shared" si="24"/>
        <v>0</v>
      </c>
      <c r="H577" s="290">
        <v>0</v>
      </c>
      <c r="J577" s="281"/>
      <c r="K577" s="53"/>
      <c r="L577" s="288"/>
      <c r="M577" s="289"/>
    </row>
    <row r="578" spans="1:13">
      <c r="A578" s="21" t="s">
        <v>1074</v>
      </c>
      <c r="B578" s="21" t="s">
        <v>1072</v>
      </c>
      <c r="C578" s="21" t="s">
        <v>1075</v>
      </c>
      <c r="D578" s="24" t="s">
        <v>11</v>
      </c>
      <c r="E578" s="659">
        <v>9800</v>
      </c>
      <c r="F578" s="21">
        <f t="shared" si="23"/>
        <v>0</v>
      </c>
      <c r="G578" s="21">
        <f t="shared" si="24"/>
        <v>0</v>
      </c>
      <c r="H578" s="290">
        <v>0</v>
      </c>
      <c r="J578" s="281"/>
      <c r="K578" s="53"/>
      <c r="L578" s="288"/>
      <c r="M578" s="289"/>
    </row>
    <row r="579" spans="1:13">
      <c r="A579" s="21" t="s">
        <v>1076</v>
      </c>
      <c r="B579" s="21" t="s">
        <v>1077</v>
      </c>
      <c r="C579" s="21" t="s">
        <v>1078</v>
      </c>
      <c r="D579" s="24" t="s">
        <v>11</v>
      </c>
      <c r="E579" s="659">
        <v>13000</v>
      </c>
      <c r="F579" s="21">
        <f t="shared" si="23"/>
        <v>0</v>
      </c>
      <c r="G579" s="21">
        <f t="shared" si="24"/>
        <v>0</v>
      </c>
      <c r="H579" s="290">
        <v>0</v>
      </c>
      <c r="J579" s="281"/>
      <c r="K579" s="53"/>
      <c r="L579" s="288"/>
      <c r="M579" s="289"/>
    </row>
    <row r="580" spans="1:13">
      <c r="A580" s="21" t="s">
        <v>1079</v>
      </c>
      <c r="B580" s="21" t="s">
        <v>1080</v>
      </c>
      <c r="C580" s="21" t="s">
        <v>1081</v>
      </c>
      <c r="D580" s="24" t="s">
        <v>11</v>
      </c>
      <c r="E580" s="659">
        <v>18000</v>
      </c>
      <c r="F580" s="21">
        <f t="shared" si="23"/>
        <v>0</v>
      </c>
      <c r="G580" s="21">
        <f t="shared" si="24"/>
        <v>0</v>
      </c>
      <c r="H580" s="290">
        <v>0.2</v>
      </c>
      <c r="J580" s="281"/>
      <c r="K580" s="53"/>
      <c r="L580" s="288"/>
      <c r="M580" s="289"/>
    </row>
    <row r="581" spans="1:13">
      <c r="A581" s="21" t="s">
        <v>1082</v>
      </c>
      <c r="B581" s="21" t="s">
        <v>1083</v>
      </c>
      <c r="C581" s="21" t="s">
        <v>1084</v>
      </c>
      <c r="D581" s="24" t="s">
        <v>11</v>
      </c>
      <c r="E581" s="659">
        <v>25000</v>
      </c>
      <c r="F581" s="21">
        <f t="shared" si="23"/>
        <v>0</v>
      </c>
      <c r="G581" s="21">
        <f t="shared" si="24"/>
        <v>0</v>
      </c>
      <c r="H581" s="290">
        <v>0.2</v>
      </c>
      <c r="J581" s="281"/>
      <c r="K581" s="53"/>
      <c r="L581" s="288"/>
      <c r="M581" s="289"/>
    </row>
    <row r="582" spans="1:13">
      <c r="A582" s="21" t="s">
        <v>1085</v>
      </c>
      <c r="B582" s="21" t="s">
        <v>1086</v>
      </c>
      <c r="C582" s="21" t="s">
        <v>1087</v>
      </c>
      <c r="D582" s="24" t="s">
        <v>11</v>
      </c>
      <c r="E582" s="659">
        <v>34000</v>
      </c>
      <c r="F582" s="21">
        <f t="shared" si="23"/>
        <v>0</v>
      </c>
      <c r="G582" s="21">
        <f t="shared" si="24"/>
        <v>0</v>
      </c>
      <c r="H582" s="290">
        <v>0.2</v>
      </c>
      <c r="J582" s="281"/>
      <c r="K582" s="53"/>
      <c r="L582" s="288"/>
      <c r="M582" s="289"/>
    </row>
    <row r="583" spans="1:13">
      <c r="A583" s="21" t="s">
        <v>1088</v>
      </c>
      <c r="B583" s="21" t="s">
        <v>1089</v>
      </c>
      <c r="C583" s="21" t="s">
        <v>1090</v>
      </c>
      <c r="D583" s="24" t="s">
        <v>11</v>
      </c>
      <c r="E583" s="659">
        <v>39000</v>
      </c>
      <c r="F583" s="21">
        <f t="shared" si="23"/>
        <v>0</v>
      </c>
      <c r="G583" s="21">
        <f t="shared" si="24"/>
        <v>0</v>
      </c>
      <c r="H583" s="290">
        <v>0.2</v>
      </c>
      <c r="J583" s="281"/>
      <c r="K583" s="53"/>
      <c r="L583" s="288"/>
      <c r="M583" s="289"/>
    </row>
    <row r="584" spans="1:13">
      <c r="A584" s="21" t="s">
        <v>1091</v>
      </c>
      <c r="B584" s="21" t="s">
        <v>1092</v>
      </c>
      <c r="C584" s="21" t="s">
        <v>1093</v>
      </c>
      <c r="D584" s="24" t="s">
        <v>11</v>
      </c>
      <c r="E584" s="659">
        <v>46000</v>
      </c>
      <c r="F584" s="21">
        <f t="shared" si="23"/>
        <v>0</v>
      </c>
      <c r="G584" s="21">
        <f t="shared" si="24"/>
        <v>0</v>
      </c>
      <c r="H584" s="290">
        <v>0.2</v>
      </c>
      <c r="J584" s="281"/>
      <c r="K584" s="53"/>
      <c r="L584" s="288"/>
      <c r="M584" s="289"/>
    </row>
    <row r="585" spans="1:13">
      <c r="A585" s="21" t="s">
        <v>1094</v>
      </c>
      <c r="B585" s="21" t="s">
        <v>1095</v>
      </c>
      <c r="C585" s="21" t="s">
        <v>1096</v>
      </c>
      <c r="D585" s="24" t="s">
        <v>11</v>
      </c>
      <c r="E585" s="659">
        <v>52000</v>
      </c>
      <c r="F585" s="21">
        <f t="shared" si="23"/>
        <v>0</v>
      </c>
      <c r="G585" s="21">
        <f t="shared" si="24"/>
        <v>0</v>
      </c>
      <c r="H585" s="290">
        <v>0</v>
      </c>
      <c r="J585" s="281"/>
      <c r="K585" s="53"/>
      <c r="L585" s="288"/>
      <c r="M585" s="289"/>
    </row>
    <row r="586" spans="1:13">
      <c r="A586" s="21" t="s">
        <v>1097</v>
      </c>
      <c r="B586" s="21" t="s">
        <v>1095</v>
      </c>
      <c r="C586" s="21" t="s">
        <v>1098</v>
      </c>
      <c r="D586" s="24" t="s">
        <v>11</v>
      </c>
      <c r="E586" s="659">
        <v>59000</v>
      </c>
      <c r="F586" s="21">
        <f t="shared" si="23"/>
        <v>0</v>
      </c>
      <c r="G586" s="21">
        <f t="shared" si="24"/>
        <v>0</v>
      </c>
      <c r="H586" s="290">
        <v>0.2</v>
      </c>
      <c r="J586" s="281"/>
      <c r="K586" s="53"/>
      <c r="L586" s="288"/>
      <c r="M586" s="289"/>
    </row>
    <row r="587" spans="1:13">
      <c r="A587" s="21" t="s">
        <v>1099</v>
      </c>
      <c r="B587" s="21" t="s">
        <v>1095</v>
      </c>
      <c r="C587" s="21" t="s">
        <v>1100</v>
      </c>
      <c r="D587" s="24" t="s">
        <v>11</v>
      </c>
      <c r="E587" s="659">
        <v>60000</v>
      </c>
      <c r="F587" s="21">
        <f t="shared" si="23"/>
        <v>0</v>
      </c>
      <c r="G587" s="21">
        <f t="shared" si="24"/>
        <v>0</v>
      </c>
      <c r="H587" s="290">
        <v>0</v>
      </c>
      <c r="J587" s="281"/>
      <c r="K587" s="53"/>
      <c r="L587" s="288"/>
      <c r="M587" s="289"/>
    </row>
    <row r="588" spans="1:13">
      <c r="A588" s="21" t="s">
        <v>1101</v>
      </c>
      <c r="B588" s="21" t="s">
        <v>1095</v>
      </c>
      <c r="C588" s="21" t="s">
        <v>1102</v>
      </c>
      <c r="D588" s="24" t="s">
        <v>11</v>
      </c>
      <c r="E588" s="659">
        <v>139000</v>
      </c>
      <c r="F588" s="21">
        <f t="shared" si="23"/>
        <v>0</v>
      </c>
      <c r="G588" s="21">
        <f t="shared" si="24"/>
        <v>0</v>
      </c>
      <c r="H588" s="290">
        <v>0.2</v>
      </c>
      <c r="J588" s="281"/>
      <c r="K588" s="53"/>
      <c r="L588" s="288"/>
      <c r="M588" s="289"/>
    </row>
    <row r="589" spans="1:13">
      <c r="A589" s="21" t="s">
        <v>1101</v>
      </c>
      <c r="B589" s="21" t="s">
        <v>1095</v>
      </c>
      <c r="C589" s="21" t="s">
        <v>1103</v>
      </c>
      <c r="D589" s="24" t="s">
        <v>11</v>
      </c>
      <c r="E589" s="659">
        <v>195000</v>
      </c>
      <c r="F589" s="21">
        <f t="shared" si="23"/>
        <v>0</v>
      </c>
      <c r="G589" s="21">
        <f t="shared" si="24"/>
        <v>0</v>
      </c>
      <c r="H589" s="290">
        <v>0.2</v>
      </c>
      <c r="J589" s="281"/>
      <c r="K589" s="53"/>
      <c r="L589" s="288"/>
      <c r="M589" s="289"/>
    </row>
    <row r="590" spans="1:13">
      <c r="A590" s="21" t="s">
        <v>1104</v>
      </c>
      <c r="B590" s="21" t="s">
        <v>1072</v>
      </c>
      <c r="C590" s="21" t="s">
        <v>1105</v>
      </c>
      <c r="D590" s="24" t="s">
        <v>11</v>
      </c>
      <c r="E590" s="659">
        <v>15000</v>
      </c>
      <c r="F590" s="21">
        <f t="shared" si="23"/>
        <v>0</v>
      </c>
      <c r="G590" s="21">
        <f t="shared" si="24"/>
        <v>0</v>
      </c>
      <c r="H590" s="290">
        <v>0.1</v>
      </c>
      <c r="J590" s="281"/>
      <c r="K590" s="53"/>
      <c r="L590" s="288"/>
      <c r="M590" s="289"/>
    </row>
    <row r="591" spans="1:13">
      <c r="A591" s="21" t="s">
        <v>1106</v>
      </c>
      <c r="B591" s="21" t="s">
        <v>1077</v>
      </c>
      <c r="C591" s="21" t="s">
        <v>1107</v>
      </c>
      <c r="D591" s="24" t="s">
        <v>11</v>
      </c>
      <c r="E591" s="659">
        <v>19000</v>
      </c>
      <c r="F591" s="21">
        <f t="shared" si="23"/>
        <v>0</v>
      </c>
      <c r="G591" s="21">
        <f t="shared" si="24"/>
        <v>0</v>
      </c>
      <c r="H591" s="290">
        <v>0</v>
      </c>
      <c r="J591" s="281"/>
      <c r="K591" s="53"/>
      <c r="L591" s="288"/>
      <c r="M591" s="289"/>
    </row>
    <row r="592" spans="1:13">
      <c r="A592" s="21" t="s">
        <v>1108</v>
      </c>
      <c r="B592" s="21" t="s">
        <v>1077</v>
      </c>
      <c r="C592" s="21" t="s">
        <v>1109</v>
      </c>
      <c r="D592" s="24" t="s">
        <v>11</v>
      </c>
      <c r="E592" s="659">
        <v>19000</v>
      </c>
      <c r="F592" s="21">
        <f t="shared" si="23"/>
        <v>0</v>
      </c>
      <c r="G592" s="21">
        <f t="shared" si="24"/>
        <v>0</v>
      </c>
      <c r="H592" s="290">
        <v>0</v>
      </c>
      <c r="J592" s="281"/>
      <c r="K592" s="53"/>
      <c r="L592" s="288"/>
      <c r="M592" s="289"/>
    </row>
    <row r="593" spans="1:13">
      <c r="A593" s="21" t="s">
        <v>1110</v>
      </c>
      <c r="B593" s="21" t="s">
        <v>1111</v>
      </c>
      <c r="C593" s="21" t="s">
        <v>1112</v>
      </c>
      <c r="D593" s="24" t="s">
        <v>11</v>
      </c>
      <c r="E593" s="678">
        <v>23000</v>
      </c>
      <c r="F593" s="21">
        <f t="shared" ref="F593:F598" si="25">IFERROR(ROUND(VLOOKUP(J593,DGNC,5,0)*K593/10,0),)</f>
        <v>9032</v>
      </c>
      <c r="G593" s="21">
        <f t="shared" ref="G593:G598" si="26">IFERROR(ROUND(VLOOKUP(L593,DGMTC,8,0)*M593/10,0),)</f>
        <v>1473</v>
      </c>
      <c r="H593" s="290">
        <v>0.1</v>
      </c>
      <c r="J593" s="281" t="s">
        <v>781</v>
      </c>
      <c r="K593" s="53">
        <v>0.35</v>
      </c>
      <c r="L593" s="288" t="s">
        <v>380</v>
      </c>
      <c r="M593" s="289">
        <v>0.25</v>
      </c>
    </row>
    <row r="594" spans="1:13">
      <c r="A594" s="21" t="s">
        <v>1113</v>
      </c>
      <c r="B594" s="21" t="s">
        <v>1114</v>
      </c>
      <c r="C594" s="21" t="s">
        <v>1115</v>
      </c>
      <c r="D594" s="24" t="s">
        <v>11</v>
      </c>
      <c r="E594" s="678">
        <v>33000</v>
      </c>
      <c r="F594" s="21">
        <f t="shared" si="25"/>
        <v>14194</v>
      </c>
      <c r="G594" s="21">
        <f t="shared" si="26"/>
        <v>1767</v>
      </c>
      <c r="H594" s="290">
        <v>0.2</v>
      </c>
      <c r="J594" s="281" t="s">
        <v>781</v>
      </c>
      <c r="K594" s="53">
        <v>0.55000000000000004</v>
      </c>
      <c r="L594" s="288" t="s">
        <v>380</v>
      </c>
      <c r="M594" s="289">
        <v>0.3</v>
      </c>
    </row>
    <row r="595" spans="1:13">
      <c r="A595" s="21" t="s">
        <v>1116</v>
      </c>
      <c r="B595" s="21" t="s">
        <v>1117</v>
      </c>
      <c r="C595" s="21" t="s">
        <v>1118</v>
      </c>
      <c r="D595" s="24" t="s">
        <v>11</v>
      </c>
      <c r="E595" s="678">
        <v>45000</v>
      </c>
      <c r="F595" s="21">
        <f t="shared" si="25"/>
        <v>18065</v>
      </c>
      <c r="G595" s="21">
        <f t="shared" si="26"/>
        <v>1767</v>
      </c>
      <c r="H595" s="290">
        <v>0.2</v>
      </c>
      <c r="J595" s="281" t="s">
        <v>781</v>
      </c>
      <c r="K595" s="53">
        <v>0.7</v>
      </c>
      <c r="L595" s="288" t="s">
        <v>380</v>
      </c>
      <c r="M595" s="289">
        <v>0.3</v>
      </c>
    </row>
    <row r="596" spans="1:13">
      <c r="A596" s="21" t="s">
        <v>1119</v>
      </c>
      <c r="B596" s="21" t="s">
        <v>1120</v>
      </c>
      <c r="C596" s="21" t="s">
        <v>1121</v>
      </c>
      <c r="D596" s="24" t="s">
        <v>11</v>
      </c>
      <c r="E596" s="678">
        <v>65000</v>
      </c>
      <c r="F596" s="21">
        <f t="shared" si="25"/>
        <v>23226</v>
      </c>
      <c r="G596" s="21">
        <f t="shared" si="26"/>
        <v>2062</v>
      </c>
      <c r="H596" s="290">
        <v>0.1</v>
      </c>
      <c r="J596" s="281" t="s">
        <v>781</v>
      </c>
      <c r="K596" s="53">
        <v>0.9</v>
      </c>
      <c r="L596" s="288" t="s">
        <v>380</v>
      </c>
      <c r="M596" s="289">
        <v>0.35</v>
      </c>
    </row>
    <row r="597" spans="1:13">
      <c r="A597" s="21" t="s">
        <v>1122</v>
      </c>
      <c r="B597" s="21" t="s">
        <v>1123</v>
      </c>
      <c r="C597" s="21" t="s">
        <v>1124</v>
      </c>
      <c r="D597" s="24" t="s">
        <v>11</v>
      </c>
      <c r="E597" s="678">
        <v>150000</v>
      </c>
      <c r="F597" s="21">
        <f t="shared" si="25"/>
        <v>28387</v>
      </c>
      <c r="G597" s="21">
        <f t="shared" si="26"/>
        <v>2356</v>
      </c>
      <c r="H597" s="290">
        <v>0.2</v>
      </c>
      <c r="J597" s="281" t="s">
        <v>781</v>
      </c>
      <c r="K597" s="53">
        <v>1.1000000000000001</v>
      </c>
      <c r="L597" s="288" t="s">
        <v>380</v>
      </c>
      <c r="M597" s="289">
        <v>0.4</v>
      </c>
    </row>
    <row r="598" spans="1:13">
      <c r="A598" s="21" t="s">
        <v>1125</v>
      </c>
      <c r="B598" s="21" t="s">
        <v>1126</v>
      </c>
      <c r="C598" s="21" t="s">
        <v>1127</v>
      </c>
      <c r="D598" s="24" t="s">
        <v>11</v>
      </c>
      <c r="E598" s="678">
        <v>105000</v>
      </c>
      <c r="F598" s="21">
        <f t="shared" si="25"/>
        <v>34065</v>
      </c>
      <c r="G598" s="21">
        <f t="shared" si="26"/>
        <v>2651</v>
      </c>
      <c r="H598" s="290">
        <v>0</v>
      </c>
      <c r="J598" s="281" t="s">
        <v>781</v>
      </c>
      <c r="K598" s="53">
        <v>1.32</v>
      </c>
      <c r="L598" s="288" t="s">
        <v>380</v>
      </c>
      <c r="M598" s="289">
        <v>0.45</v>
      </c>
    </row>
    <row r="599" spans="1:13">
      <c r="A599" s="21" t="s">
        <v>1128</v>
      </c>
      <c r="B599" s="21" t="s">
        <v>1095</v>
      </c>
      <c r="C599" s="21" t="s">
        <v>1129</v>
      </c>
      <c r="D599" s="24" t="s">
        <v>11</v>
      </c>
      <c r="E599" s="659">
        <v>150000</v>
      </c>
      <c r="F599" s="21">
        <f t="shared" si="23"/>
        <v>0</v>
      </c>
      <c r="G599" s="21">
        <f t="shared" si="24"/>
        <v>0</v>
      </c>
      <c r="H599" s="290">
        <v>0</v>
      </c>
      <c r="J599" s="281"/>
      <c r="K599" s="53"/>
      <c r="L599" s="288"/>
      <c r="M599" s="289"/>
    </row>
    <row r="600" spans="1:13">
      <c r="A600" s="21" t="s">
        <v>1130</v>
      </c>
      <c r="B600" s="21" t="s">
        <v>1095</v>
      </c>
      <c r="C600" s="21" t="s">
        <v>1131</v>
      </c>
      <c r="D600" s="24" t="s">
        <v>11</v>
      </c>
      <c r="E600" s="659">
        <v>158000</v>
      </c>
      <c r="F600" s="21">
        <f t="shared" si="23"/>
        <v>0</v>
      </c>
      <c r="G600" s="21">
        <f t="shared" si="24"/>
        <v>0</v>
      </c>
      <c r="H600" s="290">
        <v>0.2</v>
      </c>
      <c r="J600" s="281"/>
      <c r="K600" s="53"/>
      <c r="L600" s="288"/>
      <c r="M600" s="289"/>
    </row>
    <row r="601" spans="1:13">
      <c r="A601" s="21" t="s">
        <v>1132</v>
      </c>
      <c r="B601" s="21" t="s">
        <v>1133</v>
      </c>
      <c r="C601" s="21" t="s">
        <v>1134</v>
      </c>
      <c r="D601" s="24" t="s">
        <v>11</v>
      </c>
      <c r="E601" s="659">
        <v>158000</v>
      </c>
      <c r="F601" s="21">
        <f t="shared" si="23"/>
        <v>0</v>
      </c>
      <c r="G601" s="21">
        <f t="shared" si="24"/>
        <v>0</v>
      </c>
      <c r="H601" s="290">
        <v>0.2</v>
      </c>
      <c r="J601" s="281"/>
      <c r="K601" s="53"/>
      <c r="L601" s="288"/>
      <c r="M601" s="289"/>
    </row>
    <row r="602" spans="1:13">
      <c r="A602" s="21" t="s">
        <v>1135</v>
      </c>
      <c r="B602" s="21" t="s">
        <v>1133</v>
      </c>
      <c r="C602" s="21" t="s">
        <v>1136</v>
      </c>
      <c r="D602" s="24" t="s">
        <v>11</v>
      </c>
      <c r="E602" s="659">
        <v>205000</v>
      </c>
      <c r="F602" s="21">
        <f t="shared" si="23"/>
        <v>0</v>
      </c>
      <c r="G602" s="21">
        <f t="shared" si="24"/>
        <v>0</v>
      </c>
      <c r="H602" s="290">
        <v>0</v>
      </c>
      <c r="J602" s="281"/>
      <c r="K602" s="53"/>
      <c r="L602" s="288"/>
      <c r="M602" s="289"/>
    </row>
    <row r="603" spans="1:13">
      <c r="A603" s="21" t="s">
        <v>1137</v>
      </c>
      <c r="B603" s="21"/>
      <c r="C603" s="21" t="s">
        <v>1138</v>
      </c>
      <c r="D603" s="24" t="s">
        <v>11</v>
      </c>
      <c r="E603" s="659">
        <v>700</v>
      </c>
      <c r="F603" s="21">
        <f t="shared" si="23"/>
        <v>0</v>
      </c>
      <c r="G603" s="21">
        <f t="shared" si="24"/>
        <v>0</v>
      </c>
      <c r="H603" s="290">
        <v>0</v>
      </c>
      <c r="J603" s="281"/>
      <c r="K603" s="53"/>
      <c r="L603" s="288"/>
      <c r="M603" s="289"/>
    </row>
    <row r="604" spans="1:13">
      <c r="A604" s="21" t="s">
        <v>1139</v>
      </c>
      <c r="B604" s="21"/>
      <c r="C604" s="21" t="s">
        <v>1140</v>
      </c>
      <c r="D604" s="24" t="s">
        <v>11</v>
      </c>
      <c r="E604" s="659">
        <v>700</v>
      </c>
      <c r="F604" s="21">
        <f t="shared" si="23"/>
        <v>0</v>
      </c>
      <c r="G604" s="21">
        <f t="shared" si="24"/>
        <v>0</v>
      </c>
      <c r="H604" s="290">
        <v>0</v>
      </c>
      <c r="J604" s="281"/>
      <c r="K604" s="53"/>
      <c r="L604" s="288"/>
      <c r="M604" s="289"/>
    </row>
    <row r="605" spans="1:13">
      <c r="A605" s="21" t="s">
        <v>1141</v>
      </c>
      <c r="B605" s="21"/>
      <c r="C605" s="21" t="s">
        <v>1142</v>
      </c>
      <c r="D605" s="24" t="s">
        <v>11</v>
      </c>
      <c r="E605" s="659">
        <v>800</v>
      </c>
      <c r="F605" s="21">
        <f t="shared" si="23"/>
        <v>0</v>
      </c>
      <c r="G605" s="21">
        <f t="shared" si="24"/>
        <v>0</v>
      </c>
      <c r="H605" s="290">
        <v>0</v>
      </c>
      <c r="J605" s="281"/>
      <c r="K605" s="53"/>
      <c r="L605" s="288"/>
      <c r="M605" s="289"/>
    </row>
    <row r="606" spans="1:13">
      <c r="A606" s="21" t="s">
        <v>1143</v>
      </c>
      <c r="B606" s="21"/>
      <c r="C606" s="21" t="s">
        <v>1144</v>
      </c>
      <c r="D606" s="24" t="s">
        <v>11</v>
      </c>
      <c r="E606" s="659">
        <v>900</v>
      </c>
      <c r="F606" s="21">
        <f t="shared" si="23"/>
        <v>0</v>
      </c>
      <c r="G606" s="21">
        <f t="shared" si="24"/>
        <v>0</v>
      </c>
      <c r="H606" s="290">
        <v>0</v>
      </c>
      <c r="J606" s="281"/>
      <c r="K606" s="53"/>
      <c r="L606" s="288"/>
      <c r="M606" s="289"/>
    </row>
    <row r="607" spans="1:13">
      <c r="A607" s="21" t="s">
        <v>1145</v>
      </c>
      <c r="B607" s="21"/>
      <c r="C607" s="21" t="s">
        <v>1146</v>
      </c>
      <c r="D607" s="24" t="s">
        <v>11</v>
      </c>
      <c r="E607" s="678">
        <v>2000</v>
      </c>
      <c r="F607" s="21">
        <f t="shared" si="23"/>
        <v>0</v>
      </c>
      <c r="G607" s="21">
        <f t="shared" si="24"/>
        <v>0</v>
      </c>
      <c r="H607" s="290">
        <v>0</v>
      </c>
      <c r="J607" s="281"/>
      <c r="K607" s="53"/>
      <c r="L607" s="288"/>
      <c r="M607" s="289"/>
    </row>
    <row r="608" spans="1:13">
      <c r="A608" s="21" t="s">
        <v>1147</v>
      </c>
      <c r="B608" s="21"/>
      <c r="C608" s="21" t="s">
        <v>1148</v>
      </c>
      <c r="D608" s="24" t="s">
        <v>11</v>
      </c>
      <c r="E608" s="678">
        <v>2000</v>
      </c>
      <c r="F608" s="21">
        <f t="shared" si="23"/>
        <v>0</v>
      </c>
      <c r="G608" s="21">
        <f t="shared" si="24"/>
        <v>0</v>
      </c>
      <c r="H608" s="290">
        <v>0</v>
      </c>
      <c r="J608" s="281"/>
      <c r="K608" s="53"/>
      <c r="L608" s="288"/>
      <c r="M608" s="289"/>
    </row>
    <row r="609" spans="1:13">
      <c r="A609" s="21" t="s">
        <v>1149</v>
      </c>
      <c r="B609" s="21"/>
      <c r="C609" s="21" t="s">
        <v>1150</v>
      </c>
      <c r="D609" s="24" t="s">
        <v>11</v>
      </c>
      <c r="E609" s="678">
        <v>3000</v>
      </c>
      <c r="F609" s="21">
        <f t="shared" si="23"/>
        <v>0</v>
      </c>
      <c r="G609" s="21">
        <f t="shared" si="24"/>
        <v>0</v>
      </c>
      <c r="H609" s="290">
        <v>0</v>
      </c>
      <c r="J609" s="281"/>
      <c r="K609" s="53"/>
      <c r="L609" s="288"/>
      <c r="M609" s="289"/>
    </row>
    <row r="610" spans="1:13">
      <c r="A610" s="21" t="s">
        <v>1151</v>
      </c>
      <c r="B610" s="21"/>
      <c r="C610" s="21" t="s">
        <v>1152</v>
      </c>
      <c r="D610" s="24" t="s">
        <v>11</v>
      </c>
      <c r="E610" s="678">
        <v>3500</v>
      </c>
      <c r="F610" s="21">
        <f t="shared" si="23"/>
        <v>0</v>
      </c>
      <c r="G610" s="21">
        <f t="shared" si="24"/>
        <v>0</v>
      </c>
      <c r="H610" s="290">
        <v>0</v>
      </c>
      <c r="J610" s="281"/>
      <c r="K610" s="53"/>
      <c r="L610" s="288"/>
      <c r="M610" s="289"/>
    </row>
    <row r="611" spans="1:13">
      <c r="A611" s="21" t="s">
        <v>1153</v>
      </c>
      <c r="B611" s="21"/>
      <c r="C611" s="21" t="s">
        <v>1154</v>
      </c>
      <c r="D611" s="24" t="s">
        <v>11</v>
      </c>
      <c r="E611" s="678">
        <v>4000</v>
      </c>
      <c r="F611" s="21">
        <f t="shared" si="23"/>
        <v>0</v>
      </c>
      <c r="G611" s="21">
        <f t="shared" si="24"/>
        <v>0</v>
      </c>
      <c r="H611" s="290">
        <v>0</v>
      </c>
      <c r="J611" s="281"/>
      <c r="K611" s="53"/>
      <c r="L611" s="288"/>
      <c r="M611" s="289"/>
    </row>
    <row r="612" spans="1:13">
      <c r="A612" s="21" t="s">
        <v>1155</v>
      </c>
      <c r="B612" s="21"/>
      <c r="C612" s="21" t="s">
        <v>1156</v>
      </c>
      <c r="D612" s="24" t="s">
        <v>11</v>
      </c>
      <c r="E612" s="678">
        <v>4500</v>
      </c>
      <c r="F612" s="21">
        <f t="shared" si="23"/>
        <v>0</v>
      </c>
      <c r="G612" s="21">
        <f t="shared" si="24"/>
        <v>0</v>
      </c>
      <c r="H612" s="290">
        <v>0</v>
      </c>
      <c r="J612" s="281"/>
      <c r="K612" s="53"/>
      <c r="L612" s="288"/>
      <c r="M612" s="289"/>
    </row>
    <row r="613" spans="1:13">
      <c r="A613" s="21" t="s">
        <v>1157</v>
      </c>
      <c r="B613" s="21"/>
      <c r="C613" s="21" t="s">
        <v>1158</v>
      </c>
      <c r="D613" s="24" t="s">
        <v>11</v>
      </c>
      <c r="E613" s="659">
        <v>5200</v>
      </c>
      <c r="F613" s="21">
        <f t="shared" si="23"/>
        <v>0</v>
      </c>
      <c r="G613" s="21">
        <f t="shared" si="24"/>
        <v>0</v>
      </c>
      <c r="H613" s="290">
        <v>0</v>
      </c>
      <c r="J613" s="281"/>
      <c r="K613" s="53"/>
      <c r="L613" s="288"/>
      <c r="M613" s="289"/>
    </row>
    <row r="614" spans="1:13">
      <c r="A614" s="21" t="s">
        <v>1159</v>
      </c>
      <c r="B614" s="21"/>
      <c r="C614" s="21" t="s">
        <v>1160</v>
      </c>
      <c r="D614" s="24" t="s">
        <v>11</v>
      </c>
      <c r="E614" s="659">
        <v>5900</v>
      </c>
      <c r="F614" s="21">
        <f t="shared" si="23"/>
        <v>0</v>
      </c>
      <c r="G614" s="21">
        <f t="shared" si="24"/>
        <v>0</v>
      </c>
      <c r="H614" s="290">
        <v>0</v>
      </c>
      <c r="J614" s="281"/>
      <c r="K614" s="53"/>
      <c r="L614" s="288"/>
      <c r="M614" s="289"/>
    </row>
    <row r="615" spans="1:13">
      <c r="A615" s="21" t="s">
        <v>1161</v>
      </c>
      <c r="B615" s="21"/>
      <c r="C615" s="21" t="s">
        <v>1162</v>
      </c>
      <c r="D615" s="24" t="s">
        <v>11</v>
      </c>
      <c r="E615" s="659">
        <v>5900</v>
      </c>
      <c r="F615" s="21">
        <f t="shared" si="23"/>
        <v>0</v>
      </c>
      <c r="G615" s="21">
        <f t="shared" si="24"/>
        <v>0</v>
      </c>
      <c r="H615" s="290">
        <v>0</v>
      </c>
      <c r="J615" s="281"/>
      <c r="K615" s="53"/>
      <c r="L615" s="288"/>
      <c r="M615" s="289"/>
    </row>
    <row r="616" spans="1:13">
      <c r="A616" s="21" t="s">
        <v>1163</v>
      </c>
      <c r="B616" s="21"/>
      <c r="C616" s="21" t="s">
        <v>1164</v>
      </c>
      <c r="D616" s="24" t="s">
        <v>11</v>
      </c>
      <c r="E616" s="659">
        <v>7800</v>
      </c>
      <c r="F616" s="21">
        <f t="shared" si="23"/>
        <v>0</v>
      </c>
      <c r="G616" s="21">
        <f t="shared" si="24"/>
        <v>0</v>
      </c>
      <c r="H616" s="290">
        <v>0</v>
      </c>
      <c r="J616" s="281"/>
      <c r="K616" s="53"/>
      <c r="L616" s="288"/>
      <c r="M616" s="289"/>
    </row>
    <row r="617" spans="1:13">
      <c r="A617" s="21" t="s">
        <v>3342</v>
      </c>
      <c r="B617" s="21" t="s">
        <v>3341</v>
      </c>
      <c r="C617" s="21" t="s">
        <v>3343</v>
      </c>
      <c r="D617" s="24" t="s">
        <v>11</v>
      </c>
      <c r="E617" s="659">
        <v>6600</v>
      </c>
      <c r="F617" s="21">
        <f t="shared" si="23"/>
        <v>5161</v>
      </c>
      <c r="G617" s="21">
        <f t="shared" si="24"/>
        <v>1473</v>
      </c>
      <c r="H617" s="290">
        <v>0</v>
      </c>
      <c r="J617" s="281" t="s">
        <v>781</v>
      </c>
      <c r="K617" s="53">
        <v>0.02</v>
      </c>
      <c r="L617" s="288" t="s">
        <v>380</v>
      </c>
      <c r="M617" s="289">
        <v>2.5000000000000001E-2</v>
      </c>
    </row>
    <row r="618" spans="1:13">
      <c r="A618" s="21" t="s">
        <v>3336</v>
      </c>
      <c r="B618" s="21"/>
      <c r="C618" s="21" t="s">
        <v>3337</v>
      </c>
      <c r="D618" s="24" t="s">
        <v>474</v>
      </c>
      <c r="E618" s="659">
        <v>36500</v>
      </c>
      <c r="F618" s="21">
        <f t="shared" ref="F618:F624" si="27">IFERROR(ROUND(VLOOKUP(J618,DGNC,5,0)*K618,0),)</f>
        <v>0</v>
      </c>
      <c r="G618" s="21">
        <f t="shared" ref="G618:G624" si="28">IFERROR(ROUND(VLOOKUP(L618,DGMTC,8,0)*M618,0),)</f>
        <v>0</v>
      </c>
      <c r="H618" s="290">
        <v>0</v>
      </c>
      <c r="J618" s="281"/>
      <c r="K618" s="53"/>
      <c r="L618" s="288"/>
      <c r="M618" s="289"/>
    </row>
    <row r="619" spans="1:13">
      <c r="A619" s="21" t="s">
        <v>3340</v>
      </c>
      <c r="B619" s="21"/>
      <c r="C619" s="21" t="s">
        <v>3347</v>
      </c>
      <c r="D619" s="24" t="s">
        <v>474</v>
      </c>
      <c r="E619" s="659">
        <v>70400</v>
      </c>
      <c r="F619" s="21">
        <f t="shared" si="27"/>
        <v>0</v>
      </c>
      <c r="G619" s="21">
        <f t="shared" si="28"/>
        <v>0</v>
      </c>
      <c r="H619" s="290">
        <v>0</v>
      </c>
      <c r="J619" s="281"/>
      <c r="K619" s="53"/>
      <c r="L619" s="288"/>
      <c r="M619" s="289"/>
    </row>
    <row r="620" spans="1:13">
      <c r="A620" s="21" t="s">
        <v>3338</v>
      </c>
      <c r="B620" s="21"/>
      <c r="C620" s="21" t="s">
        <v>3339</v>
      </c>
      <c r="D620" s="24" t="s">
        <v>24</v>
      </c>
      <c r="E620" s="659">
        <v>220000</v>
      </c>
      <c r="F620" s="21">
        <f t="shared" si="27"/>
        <v>0</v>
      </c>
      <c r="G620" s="21">
        <f t="shared" si="28"/>
        <v>0</v>
      </c>
      <c r="H620" s="290">
        <v>0</v>
      </c>
      <c r="J620" s="281"/>
      <c r="K620" s="53"/>
      <c r="L620" s="288"/>
      <c r="M620" s="289"/>
    </row>
    <row r="621" spans="1:13">
      <c r="A621" s="21" t="s">
        <v>3525</v>
      </c>
      <c r="B621" s="21"/>
      <c r="C621" s="21" t="s">
        <v>3526</v>
      </c>
      <c r="D621" s="24" t="s">
        <v>24</v>
      </c>
      <c r="E621" s="659">
        <v>300000</v>
      </c>
      <c r="F621" s="21">
        <f t="shared" si="27"/>
        <v>0</v>
      </c>
      <c r="G621" s="21">
        <f t="shared" si="28"/>
        <v>0</v>
      </c>
      <c r="H621" s="290">
        <v>0</v>
      </c>
      <c r="J621" s="281"/>
      <c r="K621" s="53"/>
      <c r="L621" s="288"/>
      <c r="M621" s="289"/>
    </row>
    <row r="622" spans="1:13">
      <c r="A622" s="21" t="s">
        <v>3527</v>
      </c>
      <c r="B622" s="21"/>
      <c r="C622" s="21" t="s">
        <v>3526</v>
      </c>
      <c r="D622" s="24" t="s">
        <v>24</v>
      </c>
      <c r="E622" s="659">
        <v>370000</v>
      </c>
      <c r="F622" s="21">
        <f t="shared" si="27"/>
        <v>0</v>
      </c>
      <c r="G622" s="21">
        <f t="shared" si="28"/>
        <v>0</v>
      </c>
      <c r="H622" s="290">
        <v>0</v>
      </c>
      <c r="J622" s="281"/>
      <c r="K622" s="53"/>
      <c r="L622" s="288"/>
      <c r="M622" s="289"/>
    </row>
    <row r="623" spans="1:13">
      <c r="A623" s="21" t="s">
        <v>3528</v>
      </c>
      <c r="B623" s="21"/>
      <c r="C623" s="21" t="s">
        <v>3530</v>
      </c>
      <c r="D623" s="24" t="s">
        <v>146</v>
      </c>
      <c r="E623" s="659">
        <v>10000</v>
      </c>
      <c r="F623" s="21">
        <f t="shared" si="27"/>
        <v>0</v>
      </c>
      <c r="G623" s="21">
        <f t="shared" si="28"/>
        <v>0</v>
      </c>
      <c r="H623" s="290">
        <v>0</v>
      </c>
      <c r="J623" s="281"/>
      <c r="K623" s="53"/>
      <c r="L623" s="288"/>
      <c r="M623" s="289"/>
    </row>
    <row r="624" spans="1:13">
      <c r="A624" s="21" t="s">
        <v>3529</v>
      </c>
      <c r="B624" s="21"/>
      <c r="C624" s="21" t="s">
        <v>3531</v>
      </c>
      <c r="D624" s="24" t="s">
        <v>11</v>
      </c>
      <c r="E624" s="659">
        <v>3500</v>
      </c>
      <c r="F624" s="21">
        <f t="shared" si="27"/>
        <v>0</v>
      </c>
      <c r="G624" s="21">
        <f t="shared" si="28"/>
        <v>0</v>
      </c>
      <c r="H624" s="290">
        <v>0</v>
      </c>
      <c r="J624" s="281"/>
      <c r="K624" s="53"/>
      <c r="L624" s="288"/>
      <c r="M624" s="289"/>
    </row>
    <row r="625" spans="1:13">
      <c r="A625" s="21" t="s">
        <v>1165</v>
      </c>
      <c r="B625" s="21"/>
      <c r="C625" s="21" t="s">
        <v>1166</v>
      </c>
      <c r="D625" s="24" t="s">
        <v>474</v>
      </c>
      <c r="E625" s="659"/>
      <c r="F625" s="21">
        <f t="shared" si="23"/>
        <v>0</v>
      </c>
      <c r="G625" s="21">
        <f t="shared" si="24"/>
        <v>0</v>
      </c>
      <c r="H625" s="290">
        <v>0</v>
      </c>
      <c r="J625" s="281"/>
      <c r="K625" s="53"/>
      <c r="L625" s="288"/>
      <c r="M625" s="289"/>
    </row>
    <row r="626" spans="1:13">
      <c r="A626" s="21" t="s">
        <v>1167</v>
      </c>
      <c r="B626" s="21"/>
      <c r="C626" s="21" t="s">
        <v>1168</v>
      </c>
      <c r="D626" s="24" t="s">
        <v>474</v>
      </c>
      <c r="E626" s="659"/>
      <c r="F626" s="21">
        <f t="shared" si="23"/>
        <v>0</v>
      </c>
      <c r="G626" s="21">
        <f t="shared" si="24"/>
        <v>0</v>
      </c>
      <c r="H626" s="290">
        <v>0</v>
      </c>
      <c r="J626" s="281"/>
      <c r="K626" s="53"/>
      <c r="L626" s="288"/>
      <c r="M626" s="289"/>
    </row>
    <row r="627" spans="1:13">
      <c r="A627" s="21" t="s">
        <v>1169</v>
      </c>
      <c r="B627" s="21"/>
      <c r="C627" s="21" t="s">
        <v>1170</v>
      </c>
      <c r="D627" s="24" t="s">
        <v>474</v>
      </c>
      <c r="E627" s="659"/>
      <c r="F627" s="21">
        <f t="shared" si="23"/>
        <v>0</v>
      </c>
      <c r="G627" s="21">
        <f t="shared" si="24"/>
        <v>0</v>
      </c>
      <c r="H627" s="290">
        <v>0</v>
      </c>
      <c r="J627" s="281"/>
      <c r="K627" s="53"/>
      <c r="L627" s="288"/>
      <c r="M627" s="289"/>
    </row>
    <row r="628" spans="1:13">
      <c r="A628" s="21" t="s">
        <v>1171</v>
      </c>
      <c r="B628" s="21"/>
      <c r="C628" s="21" t="s">
        <v>1172</v>
      </c>
      <c r="D628" s="24" t="s">
        <v>474</v>
      </c>
      <c r="E628" s="659"/>
      <c r="F628" s="21">
        <f t="shared" si="23"/>
        <v>0</v>
      </c>
      <c r="G628" s="21">
        <f t="shared" si="24"/>
        <v>0</v>
      </c>
      <c r="H628" s="290">
        <v>0</v>
      </c>
      <c r="J628" s="281"/>
      <c r="K628" s="53"/>
      <c r="L628" s="288"/>
      <c r="M628" s="289"/>
    </row>
    <row r="629" spans="1:13">
      <c r="A629" s="21" t="s">
        <v>1173</v>
      </c>
      <c r="B629" s="21"/>
      <c r="C629" s="21" t="s">
        <v>1174</v>
      </c>
      <c r="D629" s="24" t="s">
        <v>474</v>
      </c>
      <c r="E629" s="659"/>
      <c r="F629" s="21">
        <f t="shared" si="23"/>
        <v>0</v>
      </c>
      <c r="G629" s="21">
        <f t="shared" si="24"/>
        <v>0</v>
      </c>
      <c r="H629" s="290">
        <v>0</v>
      </c>
      <c r="J629" s="281"/>
      <c r="K629" s="53"/>
      <c r="L629" s="288"/>
      <c r="M629" s="289"/>
    </row>
    <row r="630" spans="1:13">
      <c r="A630" s="21" t="s">
        <v>1175</v>
      </c>
      <c r="B630" s="21"/>
      <c r="C630" s="21" t="s">
        <v>1176</v>
      </c>
      <c r="D630" s="24" t="s">
        <v>474</v>
      </c>
      <c r="E630" s="478">
        <v>102000</v>
      </c>
      <c r="F630" s="21">
        <f t="shared" si="23"/>
        <v>0</v>
      </c>
      <c r="G630" s="21">
        <f t="shared" si="24"/>
        <v>0</v>
      </c>
      <c r="H630" s="290">
        <v>2</v>
      </c>
      <c r="J630" s="281"/>
      <c r="K630" s="53"/>
      <c r="L630" s="288"/>
      <c r="M630" s="289"/>
    </row>
    <row r="631" spans="1:13">
      <c r="A631" s="21" t="s">
        <v>1177</v>
      </c>
      <c r="B631" s="21"/>
      <c r="C631" s="21" t="s">
        <v>1178</v>
      </c>
      <c r="D631" s="24" t="s">
        <v>474</v>
      </c>
      <c r="E631" s="679">
        <v>57000</v>
      </c>
      <c r="F631" s="21">
        <f t="shared" si="23"/>
        <v>0</v>
      </c>
      <c r="G631" s="21">
        <f t="shared" si="24"/>
        <v>0</v>
      </c>
      <c r="H631" s="290">
        <v>2</v>
      </c>
      <c r="J631" s="281"/>
      <c r="K631" s="53"/>
      <c r="L631" s="288"/>
      <c r="M631" s="289"/>
    </row>
    <row r="632" spans="1:13">
      <c r="A632" s="21" t="s">
        <v>1179</v>
      </c>
      <c r="B632" s="21"/>
      <c r="C632" s="21" t="s">
        <v>1180</v>
      </c>
      <c r="D632" s="24" t="s">
        <v>11</v>
      </c>
      <c r="E632" s="659">
        <v>165000</v>
      </c>
      <c r="F632" s="21">
        <f t="shared" si="23"/>
        <v>0</v>
      </c>
      <c r="G632" s="21">
        <f t="shared" si="24"/>
        <v>0</v>
      </c>
      <c r="H632" s="290">
        <v>0</v>
      </c>
      <c r="J632" s="281"/>
      <c r="K632" s="53"/>
      <c r="L632" s="288"/>
      <c r="M632" s="289"/>
    </row>
    <row r="633" spans="1:13">
      <c r="A633" s="21" t="s">
        <v>1181</v>
      </c>
      <c r="B633" s="21"/>
      <c r="C633" s="21" t="s">
        <v>1182</v>
      </c>
      <c r="D633" s="24" t="s">
        <v>11</v>
      </c>
      <c r="E633" s="678">
        <v>34800</v>
      </c>
      <c r="F633" s="21">
        <f t="shared" si="23"/>
        <v>0</v>
      </c>
      <c r="G633" s="21">
        <f t="shared" si="24"/>
        <v>0</v>
      </c>
      <c r="H633" s="290">
        <v>0</v>
      </c>
      <c r="J633" s="281"/>
      <c r="K633" s="53"/>
      <c r="L633" s="288"/>
      <c r="M633" s="289"/>
    </row>
    <row r="634" spans="1:13">
      <c r="A634" s="21" t="s">
        <v>1183</v>
      </c>
      <c r="B634" s="21"/>
      <c r="C634" s="21" t="s">
        <v>1184</v>
      </c>
      <c r="D634" s="24" t="s">
        <v>11</v>
      </c>
      <c r="E634" s="678">
        <v>45400</v>
      </c>
      <c r="F634" s="21">
        <f t="shared" si="23"/>
        <v>0</v>
      </c>
      <c r="G634" s="21">
        <f t="shared" si="24"/>
        <v>0</v>
      </c>
      <c r="H634" s="290">
        <v>0</v>
      </c>
      <c r="J634" s="281"/>
      <c r="K634" s="53"/>
      <c r="L634" s="288"/>
      <c r="M634" s="289"/>
    </row>
    <row r="635" spans="1:13">
      <c r="A635" s="21" t="s">
        <v>1185</v>
      </c>
      <c r="B635" s="21"/>
      <c r="C635" s="21" t="s">
        <v>1186</v>
      </c>
      <c r="D635" s="24" t="s">
        <v>11</v>
      </c>
      <c r="E635" s="678">
        <v>104800</v>
      </c>
      <c r="F635" s="21">
        <f t="shared" si="23"/>
        <v>0</v>
      </c>
      <c r="G635" s="21">
        <f t="shared" si="24"/>
        <v>0</v>
      </c>
      <c r="H635" s="290">
        <v>0</v>
      </c>
      <c r="J635" s="281"/>
      <c r="K635" s="53"/>
      <c r="L635" s="288"/>
      <c r="M635" s="289"/>
    </row>
    <row r="636" spans="1:13">
      <c r="A636" s="21" t="s">
        <v>2956</v>
      </c>
      <c r="B636" s="21"/>
      <c r="C636" s="21" t="s">
        <v>2958</v>
      </c>
      <c r="D636" s="24" t="s">
        <v>11</v>
      </c>
      <c r="E636" s="678">
        <v>45400</v>
      </c>
      <c r="F636" s="21">
        <f>IFERROR(ROUND(VLOOKUP(J636,DGNC,5,0)*K636,0),)</f>
        <v>0</v>
      </c>
      <c r="G636" s="21">
        <f>IFERROR(ROUND(VLOOKUP(L636,DGMTC,8,0)*M636,0),)</f>
        <v>0</v>
      </c>
      <c r="H636" s="290">
        <v>0</v>
      </c>
      <c r="J636" s="281"/>
      <c r="K636" s="53"/>
      <c r="L636" s="288"/>
      <c r="M636" s="289"/>
    </row>
    <row r="637" spans="1:13">
      <c r="A637" s="21" t="s">
        <v>2957</v>
      </c>
      <c r="B637" s="21"/>
      <c r="C637" s="21" t="s">
        <v>2959</v>
      </c>
      <c r="D637" s="24" t="s">
        <v>11</v>
      </c>
      <c r="E637" s="678">
        <v>104800</v>
      </c>
      <c r="F637" s="21">
        <f>IFERROR(ROUND(VLOOKUP(J637,DGNC,5,0)*K637,0),)</f>
        <v>0</v>
      </c>
      <c r="G637" s="21">
        <f>IFERROR(ROUND(VLOOKUP(L637,DGMTC,8,0)*M637,0),)</f>
        <v>0</v>
      </c>
      <c r="H637" s="290">
        <v>0</v>
      </c>
      <c r="J637" s="281"/>
      <c r="K637" s="53"/>
      <c r="L637" s="288"/>
      <c r="M637" s="289"/>
    </row>
    <row r="638" spans="1:13">
      <c r="A638" s="21" t="s">
        <v>1187</v>
      </c>
      <c r="B638" s="21"/>
      <c r="C638" s="21" t="s">
        <v>1188</v>
      </c>
      <c r="D638" s="24" t="s">
        <v>11</v>
      </c>
      <c r="E638" s="659">
        <v>195000</v>
      </c>
      <c r="F638" s="21">
        <f t="shared" si="23"/>
        <v>0</v>
      </c>
      <c r="G638" s="21">
        <f t="shared" si="24"/>
        <v>0</v>
      </c>
      <c r="H638" s="290">
        <v>0</v>
      </c>
      <c r="J638" s="281"/>
      <c r="K638" s="53"/>
      <c r="L638" s="288"/>
      <c r="M638" s="289"/>
    </row>
    <row r="639" spans="1:13">
      <c r="A639" s="21" t="s">
        <v>1189</v>
      </c>
      <c r="B639" s="21"/>
      <c r="C639" s="21" t="s">
        <v>1190</v>
      </c>
      <c r="D639" s="24" t="s">
        <v>11</v>
      </c>
      <c r="E639" s="678">
        <v>70800</v>
      </c>
      <c r="F639" s="21">
        <f t="shared" si="23"/>
        <v>0</v>
      </c>
      <c r="G639" s="21">
        <f t="shared" si="24"/>
        <v>0</v>
      </c>
      <c r="H639" s="290">
        <v>0</v>
      </c>
      <c r="J639" s="281"/>
      <c r="K639" s="53"/>
      <c r="L639" s="288"/>
      <c r="M639" s="289"/>
    </row>
    <row r="640" spans="1:13">
      <c r="A640" s="21" t="s">
        <v>1940</v>
      </c>
      <c r="B640" s="21"/>
      <c r="C640" s="21" t="s">
        <v>1909</v>
      </c>
      <c r="D640" s="24" t="s">
        <v>11</v>
      </c>
      <c r="E640" s="659">
        <v>52800</v>
      </c>
      <c r="F640" s="21">
        <f t="shared" si="23"/>
        <v>0</v>
      </c>
      <c r="G640" s="21">
        <f t="shared" si="24"/>
        <v>0</v>
      </c>
      <c r="H640" s="290">
        <v>0</v>
      </c>
      <c r="J640" s="281"/>
      <c r="K640" s="53"/>
      <c r="L640" s="288"/>
      <c r="M640" s="289"/>
    </row>
    <row r="641" spans="1:13">
      <c r="A641" s="21" t="s">
        <v>1191</v>
      </c>
      <c r="B641" s="21"/>
      <c r="C641" s="21" t="s">
        <v>1192</v>
      </c>
      <c r="D641" s="24" t="s">
        <v>11</v>
      </c>
      <c r="E641" s="659">
        <v>150000</v>
      </c>
      <c r="F641" s="21">
        <f t="shared" ref="F641:F689" si="29">IFERROR(ROUND(VLOOKUP(J641,DGNC,5,0)*K641,0),)</f>
        <v>0</v>
      </c>
      <c r="G641" s="21">
        <f t="shared" ref="G641:G689" si="30">IFERROR(ROUND(VLOOKUP(L641,DGMTC,8,0)*M641,0),)</f>
        <v>0</v>
      </c>
      <c r="H641" s="290">
        <v>0</v>
      </c>
      <c r="J641" s="281"/>
      <c r="K641" s="53"/>
      <c r="L641" s="288"/>
      <c r="M641" s="289"/>
    </row>
    <row r="642" spans="1:13">
      <c r="A642" s="21" t="s">
        <v>3382</v>
      </c>
      <c r="B642" s="21"/>
      <c r="C642" s="21" t="s">
        <v>3383</v>
      </c>
      <c r="D642" s="24" t="s">
        <v>1194</v>
      </c>
      <c r="E642" s="659">
        <v>280000</v>
      </c>
      <c r="F642" s="21">
        <f>IFERROR(ROUND(VLOOKUP(J642,DGNC,5,0)*K642,0),)</f>
        <v>0</v>
      </c>
      <c r="G642" s="21">
        <f>IFERROR(ROUND(VLOOKUP(L642,DGMTC,8,0)*M642,0),)</f>
        <v>0</v>
      </c>
      <c r="H642" s="290">
        <v>0</v>
      </c>
      <c r="J642" s="281"/>
      <c r="K642" s="53"/>
      <c r="L642" s="288"/>
      <c r="M642" s="289"/>
    </row>
    <row r="643" spans="1:13">
      <c r="A643" s="21" t="s">
        <v>1193</v>
      </c>
      <c r="B643" s="21"/>
      <c r="C643" s="21" t="s">
        <v>3375</v>
      </c>
      <c r="D643" s="24" t="s">
        <v>1194</v>
      </c>
      <c r="E643" s="659">
        <v>6500</v>
      </c>
      <c r="F643" s="21">
        <f t="shared" si="29"/>
        <v>0</v>
      </c>
      <c r="G643" s="21">
        <f t="shared" si="30"/>
        <v>0</v>
      </c>
      <c r="H643" s="290">
        <v>0</v>
      </c>
      <c r="J643" s="281"/>
      <c r="K643" s="53"/>
      <c r="L643" s="288"/>
      <c r="M643" s="289"/>
    </row>
    <row r="644" spans="1:13">
      <c r="A644" s="21" t="s">
        <v>2979</v>
      </c>
      <c r="B644" s="21"/>
      <c r="C644" s="21" t="s">
        <v>2976</v>
      </c>
      <c r="D644" s="24" t="s">
        <v>1194</v>
      </c>
      <c r="E644" s="659">
        <f>E643</f>
        <v>6500</v>
      </c>
      <c r="F644" s="21">
        <f>IFERROR(ROUND(VLOOKUP(J644,DGNC,5,0)*K644,0),)</f>
        <v>0</v>
      </c>
      <c r="G644" s="21">
        <f>IFERROR(ROUND(VLOOKUP(L644,DGMTC,8,0)*M644,0),)</f>
        <v>0</v>
      </c>
      <c r="H644" s="290">
        <v>0</v>
      </c>
      <c r="J644" s="281"/>
      <c r="K644" s="53"/>
      <c r="L644" s="288"/>
      <c r="M644" s="289"/>
    </row>
    <row r="645" spans="1:13">
      <c r="A645" s="21" t="s">
        <v>2980</v>
      </c>
      <c r="B645" s="21"/>
      <c r="C645" s="21" t="s">
        <v>2977</v>
      </c>
      <c r="D645" s="24" t="s">
        <v>1194</v>
      </c>
      <c r="E645" s="659">
        <f>E643</f>
        <v>6500</v>
      </c>
      <c r="F645" s="21">
        <f>IFERROR(ROUND(VLOOKUP(J645,DGNC,5,0)*K645,0),)</f>
        <v>0</v>
      </c>
      <c r="G645" s="21">
        <f>IFERROR(ROUND(VLOOKUP(L645,DGMTC,8,0)*M645,0),)</f>
        <v>0</v>
      </c>
      <c r="H645" s="290">
        <v>0</v>
      </c>
      <c r="J645" s="281"/>
      <c r="K645" s="53"/>
      <c r="L645" s="288"/>
      <c r="M645" s="289"/>
    </row>
    <row r="646" spans="1:13">
      <c r="A646" s="21" t="s">
        <v>2981</v>
      </c>
      <c r="B646" s="21"/>
      <c r="C646" s="21" t="s">
        <v>2978</v>
      </c>
      <c r="D646" s="24" t="s">
        <v>1194</v>
      </c>
      <c r="E646" s="659">
        <f>E643</f>
        <v>6500</v>
      </c>
      <c r="F646" s="21">
        <f>IFERROR(ROUND(VLOOKUP(J646,DGNC,5,0)*K646,0),)</f>
        <v>0</v>
      </c>
      <c r="G646" s="21">
        <f>IFERROR(ROUND(VLOOKUP(L646,DGMTC,8,0)*M646,0),)</f>
        <v>0</v>
      </c>
      <c r="H646" s="290">
        <v>0</v>
      </c>
      <c r="J646" s="281"/>
      <c r="K646" s="53"/>
      <c r="L646" s="288"/>
      <c r="M646" s="289"/>
    </row>
    <row r="647" spans="1:13">
      <c r="A647" s="21" t="s">
        <v>1195</v>
      </c>
      <c r="B647" s="21"/>
      <c r="C647" s="21" t="s">
        <v>1196</v>
      </c>
      <c r="D647" s="24" t="s">
        <v>1197</v>
      </c>
      <c r="E647" s="659">
        <v>45000</v>
      </c>
      <c r="F647" s="21">
        <f t="shared" si="29"/>
        <v>0</v>
      </c>
      <c r="G647" s="21">
        <f t="shared" si="30"/>
        <v>0</v>
      </c>
      <c r="H647" s="290">
        <v>0</v>
      </c>
      <c r="J647" s="281"/>
      <c r="K647" s="53"/>
      <c r="L647" s="288"/>
      <c r="M647" s="289"/>
    </row>
    <row r="648" spans="1:13">
      <c r="A648" s="21" t="s">
        <v>1914</v>
      </c>
      <c r="B648" s="21"/>
      <c r="C648" s="21" t="s">
        <v>1198</v>
      </c>
      <c r="D648" s="24" t="s">
        <v>1199</v>
      </c>
      <c r="E648" s="659">
        <v>11500</v>
      </c>
      <c r="F648" s="21">
        <f t="shared" si="29"/>
        <v>0</v>
      </c>
      <c r="G648" s="21">
        <f t="shared" si="30"/>
        <v>0</v>
      </c>
      <c r="H648" s="290">
        <v>0</v>
      </c>
      <c r="J648" s="281"/>
      <c r="K648" s="53"/>
      <c r="L648" s="288"/>
      <c r="M648" s="289"/>
    </row>
    <row r="649" spans="1:13">
      <c r="A649" s="21" t="s">
        <v>1200</v>
      </c>
      <c r="B649" s="21"/>
      <c r="C649" s="21" t="s">
        <v>1201</v>
      </c>
      <c r="D649" s="24" t="s">
        <v>1202</v>
      </c>
      <c r="E649" s="659">
        <v>54100</v>
      </c>
      <c r="F649" s="21">
        <f t="shared" si="29"/>
        <v>0</v>
      </c>
      <c r="G649" s="21">
        <f t="shared" si="30"/>
        <v>0</v>
      </c>
      <c r="H649" s="290">
        <v>0</v>
      </c>
      <c r="J649" s="281"/>
      <c r="K649" s="53"/>
      <c r="L649" s="288"/>
      <c r="M649" s="289"/>
    </row>
    <row r="650" spans="1:13">
      <c r="A650" s="21" t="s">
        <v>1203</v>
      </c>
      <c r="B650" s="21"/>
      <c r="C650" s="21" t="s">
        <v>1204</v>
      </c>
      <c r="D650" s="24" t="s">
        <v>11</v>
      </c>
      <c r="E650" s="659">
        <v>25800</v>
      </c>
      <c r="F650" s="21">
        <f t="shared" si="29"/>
        <v>0</v>
      </c>
      <c r="G650" s="21">
        <f t="shared" si="30"/>
        <v>0</v>
      </c>
      <c r="H650" s="290">
        <v>0</v>
      </c>
      <c r="J650" s="281"/>
      <c r="K650" s="53"/>
      <c r="L650" s="288"/>
      <c r="M650" s="289"/>
    </row>
    <row r="651" spans="1:13">
      <c r="A651" s="21" t="s">
        <v>1205</v>
      </c>
      <c r="B651" s="21"/>
      <c r="C651" s="21" t="s">
        <v>1206</v>
      </c>
      <c r="D651" s="24" t="s">
        <v>11</v>
      </c>
      <c r="E651" s="659">
        <v>35700</v>
      </c>
      <c r="F651" s="21">
        <f t="shared" si="29"/>
        <v>0</v>
      </c>
      <c r="G651" s="21">
        <f t="shared" si="30"/>
        <v>0</v>
      </c>
      <c r="H651" s="290">
        <v>0</v>
      </c>
      <c r="J651" s="281"/>
      <c r="K651" s="53"/>
      <c r="L651" s="288"/>
      <c r="M651" s="289"/>
    </row>
    <row r="652" spans="1:13">
      <c r="A652" s="21" t="s">
        <v>1207</v>
      </c>
      <c r="B652" s="21"/>
      <c r="C652" s="21" t="s">
        <v>1208</v>
      </c>
      <c r="D652" s="24" t="s">
        <v>11</v>
      </c>
      <c r="E652" s="659"/>
      <c r="F652" s="21">
        <f t="shared" si="29"/>
        <v>0</v>
      </c>
      <c r="G652" s="21">
        <f t="shared" si="30"/>
        <v>0</v>
      </c>
      <c r="H652" s="290">
        <v>0</v>
      </c>
      <c r="J652" s="281"/>
      <c r="K652" s="53"/>
      <c r="L652" s="288"/>
      <c r="M652" s="289"/>
    </row>
    <row r="653" spans="1:13">
      <c r="A653" s="21" t="s">
        <v>1209</v>
      </c>
      <c r="B653" s="21"/>
      <c r="C653" s="21" t="s">
        <v>1210</v>
      </c>
      <c r="D653" s="24" t="s">
        <v>11</v>
      </c>
      <c r="E653" s="659">
        <v>21500</v>
      </c>
      <c r="F653" s="21">
        <f t="shared" si="29"/>
        <v>0</v>
      </c>
      <c r="G653" s="21">
        <f t="shared" si="30"/>
        <v>0</v>
      </c>
      <c r="H653" s="290">
        <v>0</v>
      </c>
      <c r="J653" s="281"/>
      <c r="K653" s="53"/>
      <c r="L653" s="288"/>
      <c r="M653" s="289"/>
    </row>
    <row r="654" spans="1:13">
      <c r="A654" s="21" t="s">
        <v>1211</v>
      </c>
      <c r="B654" s="21"/>
      <c r="C654" s="21" t="s">
        <v>1212</v>
      </c>
      <c r="D654" s="24" t="s">
        <v>11</v>
      </c>
      <c r="E654" s="659">
        <v>25600</v>
      </c>
      <c r="F654" s="21">
        <f t="shared" si="29"/>
        <v>0</v>
      </c>
      <c r="G654" s="21">
        <f t="shared" si="30"/>
        <v>0</v>
      </c>
      <c r="H654" s="290">
        <v>0</v>
      </c>
      <c r="J654" s="281"/>
      <c r="K654" s="53"/>
      <c r="L654" s="288"/>
      <c r="M654" s="289"/>
    </row>
    <row r="655" spans="1:13">
      <c r="A655" s="21" t="s">
        <v>1213</v>
      </c>
      <c r="B655" s="21"/>
      <c r="C655" s="21" t="s">
        <v>1214</v>
      </c>
      <c r="D655" s="24" t="s">
        <v>11</v>
      </c>
      <c r="E655" s="659"/>
      <c r="F655" s="21">
        <f t="shared" si="29"/>
        <v>0</v>
      </c>
      <c r="G655" s="21">
        <f t="shared" si="30"/>
        <v>0</v>
      </c>
      <c r="H655" s="290">
        <v>0</v>
      </c>
      <c r="J655" s="281"/>
      <c r="K655" s="53"/>
      <c r="L655" s="288"/>
      <c r="M655" s="289"/>
    </row>
    <row r="656" spans="1:13">
      <c r="A656" s="21" t="s">
        <v>1215</v>
      </c>
      <c r="B656" s="21"/>
      <c r="C656" s="21" t="s">
        <v>1216</v>
      </c>
      <c r="D656" s="24" t="s">
        <v>11</v>
      </c>
      <c r="E656" s="659">
        <v>15000</v>
      </c>
      <c r="F656" s="21">
        <f t="shared" si="29"/>
        <v>0</v>
      </c>
      <c r="G656" s="21">
        <f t="shared" si="30"/>
        <v>0</v>
      </c>
      <c r="H656" s="290">
        <v>0</v>
      </c>
      <c r="J656" s="281"/>
      <c r="K656" s="53"/>
      <c r="L656" s="288"/>
      <c r="M656" s="289"/>
    </row>
    <row r="657" spans="1:13">
      <c r="A657" s="21" t="s">
        <v>1217</v>
      </c>
      <c r="B657" s="21"/>
      <c r="C657" s="21" t="s">
        <v>1218</v>
      </c>
      <c r="D657" s="24" t="s">
        <v>11</v>
      </c>
      <c r="E657" s="678">
        <v>18000</v>
      </c>
      <c r="F657" s="21">
        <f t="shared" si="29"/>
        <v>0</v>
      </c>
      <c r="G657" s="21">
        <f t="shared" si="30"/>
        <v>0</v>
      </c>
      <c r="H657" s="290">
        <v>0</v>
      </c>
      <c r="J657" s="281"/>
      <c r="K657" s="53"/>
      <c r="L657" s="288"/>
      <c r="M657" s="289"/>
    </row>
    <row r="658" spans="1:13">
      <c r="A658" s="21" t="s">
        <v>1219</v>
      </c>
      <c r="B658" s="21"/>
      <c r="C658" s="21" t="s">
        <v>1220</v>
      </c>
      <c r="D658" s="24" t="s">
        <v>11</v>
      </c>
      <c r="E658" s="659"/>
      <c r="F658" s="21">
        <f t="shared" si="29"/>
        <v>0</v>
      </c>
      <c r="G658" s="21">
        <f t="shared" si="30"/>
        <v>0</v>
      </c>
      <c r="H658" s="290">
        <v>0</v>
      </c>
      <c r="J658" s="281"/>
      <c r="K658" s="53"/>
      <c r="L658" s="288"/>
      <c r="M658" s="289"/>
    </row>
    <row r="659" spans="1:13">
      <c r="A659" s="21" t="s">
        <v>1221</v>
      </c>
      <c r="B659" s="21"/>
      <c r="C659" s="21" t="s">
        <v>1222</v>
      </c>
      <c r="D659" s="24" t="s">
        <v>11</v>
      </c>
      <c r="E659" s="659"/>
      <c r="F659" s="21">
        <f t="shared" si="29"/>
        <v>0</v>
      </c>
      <c r="G659" s="21">
        <f t="shared" si="30"/>
        <v>0</v>
      </c>
      <c r="H659" s="290">
        <v>0</v>
      </c>
      <c r="J659" s="281"/>
      <c r="K659" s="53"/>
      <c r="L659" s="288"/>
      <c r="M659" s="289"/>
    </row>
    <row r="660" spans="1:13">
      <c r="A660" s="21" t="s">
        <v>1223</v>
      </c>
      <c r="B660" s="21"/>
      <c r="C660" s="21" t="s">
        <v>1224</v>
      </c>
      <c r="D660" s="24" t="s">
        <v>11</v>
      </c>
      <c r="E660" s="659"/>
      <c r="F660" s="21">
        <f t="shared" si="29"/>
        <v>0</v>
      </c>
      <c r="G660" s="21">
        <f t="shared" si="30"/>
        <v>0</v>
      </c>
      <c r="H660" s="290">
        <v>0</v>
      </c>
      <c r="J660" s="281"/>
      <c r="K660" s="53"/>
      <c r="L660" s="288"/>
      <c r="M660" s="289"/>
    </row>
    <row r="661" spans="1:13">
      <c r="A661" s="21" t="s">
        <v>1225</v>
      </c>
      <c r="B661" s="21"/>
      <c r="C661" s="21" t="s">
        <v>1226</v>
      </c>
      <c r="D661" s="24" t="s">
        <v>11</v>
      </c>
      <c r="E661" s="659"/>
      <c r="F661" s="21">
        <f t="shared" si="29"/>
        <v>0</v>
      </c>
      <c r="G661" s="21">
        <f t="shared" si="30"/>
        <v>0</v>
      </c>
      <c r="H661" s="290">
        <v>0</v>
      </c>
      <c r="J661" s="281"/>
      <c r="K661" s="53"/>
      <c r="L661" s="288"/>
      <c r="M661" s="289"/>
    </row>
    <row r="662" spans="1:13">
      <c r="A662" s="21" t="s">
        <v>1227</v>
      </c>
      <c r="B662" s="21"/>
      <c r="C662" s="21" t="s">
        <v>1228</v>
      </c>
      <c r="D662" s="24" t="s">
        <v>11</v>
      </c>
      <c r="E662" s="659"/>
      <c r="F662" s="21">
        <f t="shared" si="29"/>
        <v>0</v>
      </c>
      <c r="G662" s="21">
        <f t="shared" si="30"/>
        <v>0</v>
      </c>
      <c r="H662" s="290">
        <v>0</v>
      </c>
      <c r="J662" s="281"/>
      <c r="K662" s="53"/>
      <c r="L662" s="288"/>
      <c r="M662" s="289"/>
    </row>
    <row r="663" spans="1:13">
      <c r="A663" s="21" t="s">
        <v>1229</v>
      </c>
      <c r="B663" s="21"/>
      <c r="C663" s="21" t="s">
        <v>1230</v>
      </c>
      <c r="D663" s="24" t="s">
        <v>11</v>
      </c>
      <c r="E663" s="659"/>
      <c r="F663" s="21">
        <f t="shared" si="29"/>
        <v>0</v>
      </c>
      <c r="G663" s="21">
        <f t="shared" si="30"/>
        <v>0</v>
      </c>
      <c r="H663" s="290">
        <v>0</v>
      </c>
      <c r="J663" s="281"/>
      <c r="K663" s="53"/>
      <c r="L663" s="288"/>
      <c r="M663" s="289"/>
    </row>
    <row r="664" spans="1:13">
      <c r="A664" s="21" t="s">
        <v>1231</v>
      </c>
      <c r="B664" s="21"/>
      <c r="C664" s="21" t="s">
        <v>1232</v>
      </c>
      <c r="D664" s="24" t="s">
        <v>11</v>
      </c>
      <c r="E664" s="659"/>
      <c r="F664" s="21">
        <f t="shared" si="29"/>
        <v>0</v>
      </c>
      <c r="G664" s="21">
        <f t="shared" si="30"/>
        <v>0</v>
      </c>
      <c r="H664" s="290">
        <v>0</v>
      </c>
      <c r="J664" s="281"/>
      <c r="K664" s="53"/>
      <c r="L664" s="288"/>
      <c r="M664" s="289"/>
    </row>
    <row r="665" spans="1:13">
      <c r="A665" s="21" t="s">
        <v>1234</v>
      </c>
      <c r="B665" s="21"/>
      <c r="C665" s="21" t="s">
        <v>2851</v>
      </c>
      <c r="D665" s="24" t="s">
        <v>11</v>
      </c>
      <c r="E665" s="659">
        <f>I665*H665</f>
        <v>1165205.1599999999</v>
      </c>
      <c r="F665" s="21">
        <f t="shared" si="29"/>
        <v>0</v>
      </c>
      <c r="G665" s="21">
        <f t="shared" si="30"/>
        <v>0</v>
      </c>
      <c r="H665" s="290">
        <v>42.839999999999996</v>
      </c>
      <c r="I665" s="20">
        <v>27199</v>
      </c>
      <c r="J665" s="281"/>
      <c r="K665" s="53"/>
      <c r="L665" s="288"/>
      <c r="M665" s="289"/>
    </row>
    <row r="666" spans="1:13">
      <c r="A666" s="21" t="s">
        <v>1235</v>
      </c>
      <c r="B666" s="21"/>
      <c r="C666" s="21" t="s">
        <v>2852</v>
      </c>
      <c r="D666" s="24" t="s">
        <v>11</v>
      </c>
      <c r="E666" s="659">
        <f>I666*H666</f>
        <v>1475545.75</v>
      </c>
      <c r="F666" s="21">
        <f t="shared" si="29"/>
        <v>0</v>
      </c>
      <c r="G666" s="21">
        <f t="shared" si="30"/>
        <v>0</v>
      </c>
      <c r="H666" s="290">
        <v>54.25</v>
      </c>
      <c r="I666" s="20">
        <v>27199</v>
      </c>
      <c r="J666" s="281"/>
      <c r="K666" s="53"/>
      <c r="L666" s="288"/>
      <c r="M666" s="289"/>
    </row>
    <row r="667" spans="1:13">
      <c r="A667" s="21" t="s">
        <v>1236</v>
      </c>
      <c r="B667" s="21"/>
      <c r="C667" s="21" t="s">
        <v>2845</v>
      </c>
      <c r="D667" s="24" t="s">
        <v>11</v>
      </c>
      <c r="E667" s="659">
        <f>I667*H667</f>
        <v>186911.52799999999</v>
      </c>
      <c r="F667" s="21">
        <f t="shared" si="29"/>
        <v>0</v>
      </c>
      <c r="G667" s="21">
        <f t="shared" si="30"/>
        <v>0</v>
      </c>
      <c r="H667" s="290">
        <v>6.8719999999999999</v>
      </c>
      <c r="I667" s="20">
        <v>27199</v>
      </c>
      <c r="J667" s="281"/>
      <c r="K667" s="53"/>
      <c r="L667" s="288"/>
      <c r="M667" s="289"/>
    </row>
    <row r="668" spans="1:13">
      <c r="A668" s="21" t="s">
        <v>1237</v>
      </c>
      <c r="B668" s="21"/>
      <c r="C668" s="21" t="s">
        <v>2846</v>
      </c>
      <c r="D668" s="24" t="s">
        <v>11</v>
      </c>
      <c r="E668" s="659">
        <f>I668*H668</f>
        <v>93455.763999999996</v>
      </c>
      <c r="F668" s="21">
        <f t="shared" si="29"/>
        <v>0</v>
      </c>
      <c r="G668" s="21">
        <f t="shared" si="30"/>
        <v>0</v>
      </c>
      <c r="H668" s="290">
        <v>3.4359999999999999</v>
      </c>
      <c r="I668" s="20">
        <v>27199</v>
      </c>
      <c r="J668" s="281"/>
      <c r="K668" s="53"/>
      <c r="L668" s="288"/>
      <c r="M668" s="289"/>
    </row>
    <row r="669" spans="1:13">
      <c r="A669" s="478" t="s">
        <v>2844</v>
      </c>
      <c r="B669" s="478"/>
      <c r="C669" s="478"/>
      <c r="D669" s="479"/>
      <c r="E669" s="682"/>
      <c r="F669" s="478"/>
      <c r="G669" s="478"/>
      <c r="H669" s="480"/>
      <c r="J669" s="469"/>
      <c r="K669" s="468"/>
      <c r="L669" s="476"/>
      <c r="M669" s="477"/>
    </row>
    <row r="670" spans="1:13">
      <c r="A670" s="281" t="s">
        <v>2887</v>
      </c>
      <c r="B670" s="281"/>
      <c r="C670" s="23" t="s">
        <v>2894</v>
      </c>
      <c r="D670" s="464" t="s">
        <v>11</v>
      </c>
      <c r="E670" s="659">
        <f t="shared" ref="E670:E681" si="31">I670*H670</f>
        <v>656583.86</v>
      </c>
      <c r="F670" s="281">
        <f t="shared" ref="F670:F681" si="32">IFERROR(ROUND(VLOOKUP(J670,DGNC,5,0)*K670,0),)</f>
        <v>0</v>
      </c>
      <c r="G670" s="281">
        <f t="shared" ref="G670:G681" si="33">IFERROR(ROUND(VLOOKUP(L670,DGMTC,8,0)*M670,0),)</f>
        <v>0</v>
      </c>
      <c r="H670" s="481">
        <f>ROUND(1.7*14.2,2)</f>
        <v>24.14</v>
      </c>
      <c r="I670" s="20">
        <v>27199</v>
      </c>
      <c r="J670" s="281"/>
      <c r="K670" s="53"/>
      <c r="L670" s="288"/>
      <c r="M670" s="289"/>
    </row>
    <row r="671" spans="1:13">
      <c r="A671" s="281" t="s">
        <v>2888</v>
      </c>
      <c r="B671" s="281"/>
      <c r="C671" s="23" t="s">
        <v>2895</v>
      </c>
      <c r="D671" s="464" t="s">
        <v>11</v>
      </c>
      <c r="E671" s="659">
        <f t="shared" si="31"/>
        <v>656583.86</v>
      </c>
      <c r="F671" s="281">
        <f t="shared" si="32"/>
        <v>0</v>
      </c>
      <c r="G671" s="281">
        <f t="shared" si="33"/>
        <v>0</v>
      </c>
      <c r="H671" s="481">
        <f>ROUND(1.7*14.2,2)</f>
        <v>24.14</v>
      </c>
      <c r="I671" s="20">
        <v>27199</v>
      </c>
      <c r="J671" s="281"/>
      <c r="K671" s="53"/>
      <c r="L671" s="288"/>
      <c r="M671" s="289"/>
    </row>
    <row r="672" spans="1:13">
      <c r="A672" s="281" t="s">
        <v>2889</v>
      </c>
      <c r="B672" s="281"/>
      <c r="C672" s="23" t="s">
        <v>2896</v>
      </c>
      <c r="D672" s="464" t="s">
        <v>11</v>
      </c>
      <c r="E672" s="659">
        <f t="shared" si="31"/>
        <v>811074.18</v>
      </c>
      <c r="F672" s="281">
        <f t="shared" si="32"/>
        <v>0</v>
      </c>
      <c r="G672" s="281">
        <f t="shared" si="33"/>
        <v>0</v>
      </c>
      <c r="H672" s="481">
        <f>ROUND(2.1*14.2,2)</f>
        <v>29.82</v>
      </c>
      <c r="I672" s="20">
        <v>27199</v>
      </c>
      <c r="J672" s="281"/>
      <c r="K672" s="53"/>
      <c r="L672" s="288"/>
      <c r="M672" s="289"/>
    </row>
    <row r="673" spans="1:13">
      <c r="A673" s="281" t="s">
        <v>2890</v>
      </c>
      <c r="B673" s="281"/>
      <c r="C673" s="23" t="s">
        <v>2897</v>
      </c>
      <c r="D673" s="464" t="s">
        <v>11</v>
      </c>
      <c r="E673" s="659">
        <f t="shared" si="31"/>
        <v>811074.18</v>
      </c>
      <c r="F673" s="281">
        <f t="shared" si="32"/>
        <v>0</v>
      </c>
      <c r="G673" s="281">
        <f t="shared" si="33"/>
        <v>0</v>
      </c>
      <c r="H673" s="481">
        <f>ROUND(2.1*14.2,2)</f>
        <v>29.82</v>
      </c>
      <c r="I673" s="20">
        <v>27199</v>
      </c>
      <c r="J673" s="281"/>
      <c r="K673" s="53"/>
      <c r="L673" s="288"/>
      <c r="M673" s="289"/>
    </row>
    <row r="674" spans="1:13">
      <c r="A674" s="281" t="s">
        <v>2886</v>
      </c>
      <c r="B674" s="281"/>
      <c r="C674" s="23" t="s">
        <v>2898</v>
      </c>
      <c r="D674" s="464" t="s">
        <v>11</v>
      </c>
      <c r="E674" s="659">
        <f t="shared" si="31"/>
        <v>596147.68200000003</v>
      </c>
      <c r="F674" s="281">
        <f t="shared" si="32"/>
        <v>0</v>
      </c>
      <c r="G674" s="281">
        <f t="shared" si="33"/>
        <v>0</v>
      </c>
      <c r="H674" s="481">
        <f>ROUND(1.5435*14.2,3)</f>
        <v>21.917999999999999</v>
      </c>
      <c r="I674" s="20">
        <v>27199</v>
      </c>
      <c r="J674" s="281"/>
      <c r="K674" s="53"/>
      <c r="L674" s="288"/>
      <c r="M674" s="289"/>
    </row>
    <row r="675" spans="1:13">
      <c r="A675" s="281" t="s">
        <v>2850</v>
      </c>
      <c r="B675" s="281"/>
      <c r="C675" s="23" t="s">
        <v>2899</v>
      </c>
      <c r="D675" s="464" t="s">
        <v>11</v>
      </c>
      <c r="E675" s="659">
        <f t="shared" si="31"/>
        <v>93455.763999999996</v>
      </c>
      <c r="F675" s="281">
        <f t="shared" si="32"/>
        <v>0</v>
      </c>
      <c r="G675" s="281">
        <f t="shared" si="33"/>
        <v>0</v>
      </c>
      <c r="H675" s="481">
        <f>0.4*8.59</f>
        <v>3.4359999999999999</v>
      </c>
      <c r="I675" s="20">
        <v>27199</v>
      </c>
      <c r="J675" s="281"/>
      <c r="K675" s="53"/>
      <c r="L675" s="288"/>
      <c r="M675" s="289"/>
    </row>
    <row r="676" spans="1:13">
      <c r="A676" s="281" t="s">
        <v>2907</v>
      </c>
      <c r="B676" s="281"/>
      <c r="C676" s="23" t="s">
        <v>2900</v>
      </c>
      <c r="D676" s="464" t="s">
        <v>11</v>
      </c>
      <c r="E676" s="659">
        <f t="shared" si="31"/>
        <v>270358.06</v>
      </c>
      <c r="F676" s="281">
        <f t="shared" si="32"/>
        <v>0</v>
      </c>
      <c r="G676" s="281">
        <f t="shared" si="33"/>
        <v>0</v>
      </c>
      <c r="H676" s="481">
        <f>0.7*14.2</f>
        <v>9.94</v>
      </c>
      <c r="I676" s="20">
        <v>27199</v>
      </c>
      <c r="J676" s="281"/>
      <c r="K676" s="53"/>
      <c r="L676" s="288"/>
      <c r="M676" s="289"/>
    </row>
    <row r="677" spans="1:13">
      <c r="A677" s="281" t="s">
        <v>2906</v>
      </c>
      <c r="B677" s="281"/>
      <c r="C677" s="23" t="s">
        <v>2901</v>
      </c>
      <c r="D677" s="464" t="s">
        <v>11</v>
      </c>
      <c r="E677" s="659">
        <f t="shared" si="31"/>
        <v>424848.38</v>
      </c>
      <c r="F677" s="281">
        <f t="shared" si="32"/>
        <v>0</v>
      </c>
      <c r="G677" s="281">
        <f t="shared" si="33"/>
        <v>0</v>
      </c>
      <c r="H677" s="481">
        <f>ROUND(1.1*14.2,2)</f>
        <v>15.62</v>
      </c>
      <c r="I677" s="20">
        <v>27199</v>
      </c>
      <c r="J677" s="281"/>
      <c r="K677" s="53"/>
      <c r="L677" s="288"/>
      <c r="M677" s="289"/>
    </row>
    <row r="678" spans="1:13">
      <c r="A678" s="281" t="s">
        <v>2893</v>
      </c>
      <c r="B678" s="281"/>
      <c r="C678" s="23" t="s">
        <v>2902</v>
      </c>
      <c r="D678" s="464" t="s">
        <v>11</v>
      </c>
      <c r="E678" s="659">
        <f t="shared" si="31"/>
        <v>424848.38</v>
      </c>
      <c r="F678" s="281">
        <f t="shared" si="32"/>
        <v>0</v>
      </c>
      <c r="G678" s="281">
        <f t="shared" si="33"/>
        <v>0</v>
      </c>
      <c r="H678" s="481">
        <f>ROUND(1.1*14.2,2)</f>
        <v>15.62</v>
      </c>
      <c r="I678" s="20">
        <v>27199</v>
      </c>
      <c r="J678" s="281"/>
      <c r="K678" s="53"/>
      <c r="L678" s="288"/>
      <c r="M678" s="289"/>
    </row>
    <row r="679" spans="1:13">
      <c r="A679" s="281" t="s">
        <v>2908</v>
      </c>
      <c r="B679" s="281"/>
      <c r="C679" s="23" t="s">
        <v>2903</v>
      </c>
      <c r="D679" s="464" t="s">
        <v>11</v>
      </c>
      <c r="E679" s="659">
        <f t="shared" si="31"/>
        <v>163547.587</v>
      </c>
      <c r="F679" s="281">
        <f t="shared" si="32"/>
        <v>0</v>
      </c>
      <c r="G679" s="281">
        <f t="shared" si="33"/>
        <v>0</v>
      </c>
      <c r="H679" s="481">
        <f>0.7*8.59</f>
        <v>6.0129999999999999</v>
      </c>
      <c r="I679" s="20">
        <v>27199</v>
      </c>
      <c r="J679" s="281"/>
      <c r="K679" s="53"/>
      <c r="L679" s="288"/>
      <c r="M679" s="289"/>
    </row>
    <row r="680" spans="1:13">
      <c r="A680" s="281" t="s">
        <v>2891</v>
      </c>
      <c r="B680" s="281"/>
      <c r="C680" s="23" t="s">
        <v>2904</v>
      </c>
      <c r="D680" s="464" t="s">
        <v>11</v>
      </c>
      <c r="E680" s="659">
        <f t="shared" si="31"/>
        <v>257003.351</v>
      </c>
      <c r="F680" s="281">
        <f t="shared" si="32"/>
        <v>0</v>
      </c>
      <c r="G680" s="281">
        <f t="shared" si="33"/>
        <v>0</v>
      </c>
      <c r="H680" s="481">
        <f>ROUND(1.1*8.59,3)</f>
        <v>9.4489999999999998</v>
      </c>
      <c r="I680" s="20">
        <v>27199</v>
      </c>
      <c r="J680" s="281"/>
      <c r="K680" s="53"/>
      <c r="L680" s="288"/>
      <c r="M680" s="289"/>
    </row>
    <row r="681" spans="1:13">
      <c r="A681" s="281" t="s">
        <v>2892</v>
      </c>
      <c r="B681" s="281"/>
      <c r="C681" s="23" t="s">
        <v>2905</v>
      </c>
      <c r="D681" s="464" t="s">
        <v>11</v>
      </c>
      <c r="E681" s="659">
        <f t="shared" si="31"/>
        <v>257003.351</v>
      </c>
      <c r="F681" s="281">
        <f t="shared" si="32"/>
        <v>0</v>
      </c>
      <c r="G681" s="281">
        <f t="shared" si="33"/>
        <v>0</v>
      </c>
      <c r="H681" s="481">
        <f>ROUND(1.1*8.59,3)</f>
        <v>9.4489999999999998</v>
      </c>
      <c r="I681" s="20">
        <v>27199</v>
      </c>
      <c r="J681" s="281"/>
      <c r="K681" s="53"/>
      <c r="L681" s="288"/>
      <c r="M681" s="289"/>
    </row>
    <row r="682" spans="1:13">
      <c r="A682" s="21" t="s">
        <v>1239</v>
      </c>
      <c r="B682" s="21" t="s">
        <v>1238</v>
      </c>
      <c r="C682" s="21" t="s">
        <v>1240</v>
      </c>
      <c r="D682" s="24" t="s">
        <v>11</v>
      </c>
      <c r="E682" s="659"/>
      <c r="F682" s="21">
        <f t="shared" si="29"/>
        <v>109771</v>
      </c>
      <c r="G682" s="21">
        <f t="shared" si="30"/>
        <v>0</v>
      </c>
      <c r="H682" s="290">
        <v>0.1</v>
      </c>
      <c r="J682" s="281" t="s">
        <v>289</v>
      </c>
      <c r="K682" s="53">
        <v>0.5</v>
      </c>
      <c r="L682" s="288"/>
      <c r="M682" s="289"/>
    </row>
    <row r="683" spans="1:13">
      <c r="A683" s="21" t="s">
        <v>1241</v>
      </c>
      <c r="B683" s="21" t="s">
        <v>1238</v>
      </c>
      <c r="C683" s="21" t="s">
        <v>1242</v>
      </c>
      <c r="D683" s="24" t="s">
        <v>11</v>
      </c>
      <c r="E683" s="659">
        <v>42000</v>
      </c>
      <c r="F683" s="21">
        <f t="shared" si="29"/>
        <v>109771</v>
      </c>
      <c r="G683" s="21">
        <f t="shared" si="30"/>
        <v>0</v>
      </c>
      <c r="H683" s="290">
        <v>0.1</v>
      </c>
      <c r="J683" s="281" t="s">
        <v>289</v>
      </c>
      <c r="K683" s="53">
        <v>0.5</v>
      </c>
      <c r="L683" s="288"/>
      <c r="M683" s="289"/>
    </row>
    <row r="684" spans="1:13">
      <c r="A684" s="21" t="s">
        <v>1243</v>
      </c>
      <c r="B684" s="21" t="s">
        <v>1238</v>
      </c>
      <c r="C684" s="21" t="s">
        <v>3544</v>
      </c>
      <c r="D684" s="24" t="s">
        <v>11</v>
      </c>
      <c r="E684" s="678">
        <v>75000</v>
      </c>
      <c r="F684" s="21">
        <f t="shared" si="29"/>
        <v>109771</v>
      </c>
      <c r="G684" s="21">
        <f t="shared" si="30"/>
        <v>0</v>
      </c>
      <c r="H684" s="290">
        <v>0.1</v>
      </c>
      <c r="J684" s="281" t="s">
        <v>289</v>
      </c>
      <c r="K684" s="53">
        <v>0.5</v>
      </c>
      <c r="L684" s="288"/>
      <c r="M684" s="289"/>
    </row>
    <row r="685" spans="1:13">
      <c r="A685" s="21" t="s">
        <v>1244</v>
      </c>
      <c r="B685" s="21" t="s">
        <v>1238</v>
      </c>
      <c r="C685" s="21" t="s">
        <v>3392</v>
      </c>
      <c r="D685" s="24" t="s">
        <v>11</v>
      </c>
      <c r="E685" s="678">
        <v>75000</v>
      </c>
      <c r="F685" s="21">
        <f t="shared" si="29"/>
        <v>109771</v>
      </c>
      <c r="G685" s="21">
        <f t="shared" si="30"/>
        <v>0</v>
      </c>
      <c r="H685" s="290">
        <v>0.1</v>
      </c>
      <c r="J685" s="281" t="s">
        <v>289</v>
      </c>
      <c r="K685" s="53">
        <v>0.5</v>
      </c>
      <c r="L685" s="288"/>
      <c r="M685" s="289"/>
    </row>
    <row r="686" spans="1:13">
      <c r="A686" s="21" t="s">
        <v>2020</v>
      </c>
      <c r="B686" s="21" t="s">
        <v>1238</v>
      </c>
      <c r="C686" s="21" t="s">
        <v>2022</v>
      </c>
      <c r="D686" s="24" t="s">
        <v>11</v>
      </c>
      <c r="E686" s="659">
        <v>40000</v>
      </c>
      <c r="F686" s="21">
        <f t="shared" si="29"/>
        <v>109771</v>
      </c>
      <c r="G686" s="21">
        <f t="shared" si="30"/>
        <v>0</v>
      </c>
      <c r="H686" s="290">
        <v>0.1</v>
      </c>
      <c r="J686" s="281" t="s">
        <v>289</v>
      </c>
      <c r="K686" s="53">
        <v>0.5</v>
      </c>
      <c r="L686" s="288"/>
      <c r="M686" s="289"/>
    </row>
    <row r="687" spans="1:13">
      <c r="A687" s="21" t="s">
        <v>1245</v>
      </c>
      <c r="B687" s="21" t="s">
        <v>1238</v>
      </c>
      <c r="C687" s="21" t="s">
        <v>1246</v>
      </c>
      <c r="D687" s="24" t="s">
        <v>11</v>
      </c>
      <c r="E687" s="659">
        <v>40000</v>
      </c>
      <c r="F687" s="21">
        <f t="shared" si="29"/>
        <v>109771</v>
      </c>
      <c r="G687" s="21">
        <f t="shared" si="30"/>
        <v>0</v>
      </c>
      <c r="H687" s="290">
        <v>0.1</v>
      </c>
      <c r="J687" s="281" t="s">
        <v>289</v>
      </c>
      <c r="K687" s="53">
        <v>0.5</v>
      </c>
      <c r="L687" s="288"/>
      <c r="M687" s="289"/>
    </row>
    <row r="688" spans="1:13">
      <c r="A688" s="21" t="s">
        <v>2021</v>
      </c>
      <c r="B688" s="21" t="s">
        <v>1238</v>
      </c>
      <c r="C688" s="21" t="s">
        <v>2023</v>
      </c>
      <c r="D688" s="24" t="s">
        <v>11</v>
      </c>
      <c r="E688" s="678">
        <v>145000</v>
      </c>
      <c r="F688" s="21">
        <f t="shared" si="29"/>
        <v>109771</v>
      </c>
      <c r="G688" s="21">
        <f t="shared" si="30"/>
        <v>0</v>
      </c>
      <c r="H688" s="290">
        <v>0.1</v>
      </c>
      <c r="J688" s="281" t="s">
        <v>289</v>
      </c>
      <c r="K688" s="53">
        <v>0.5</v>
      </c>
      <c r="L688" s="288"/>
      <c r="M688" s="289"/>
    </row>
    <row r="689" spans="1:13">
      <c r="A689" s="21" t="s">
        <v>1247</v>
      </c>
      <c r="B689" s="21" t="s">
        <v>1238</v>
      </c>
      <c r="C689" s="21" t="s">
        <v>1248</v>
      </c>
      <c r="D689" s="24" t="s">
        <v>11</v>
      </c>
      <c r="E689" s="659"/>
      <c r="F689" s="21">
        <f t="shared" si="29"/>
        <v>109771</v>
      </c>
      <c r="G689" s="21">
        <f t="shared" si="30"/>
        <v>0</v>
      </c>
      <c r="H689" s="290">
        <v>0.1</v>
      </c>
      <c r="J689" s="281" t="s">
        <v>289</v>
      </c>
      <c r="K689" s="53">
        <v>0.5</v>
      </c>
      <c r="L689" s="288"/>
      <c r="M689" s="289"/>
    </row>
    <row r="690" spans="1:13">
      <c r="A690" s="21"/>
      <c r="B690" s="21"/>
      <c r="C690" s="21"/>
      <c r="D690" s="24"/>
      <c r="E690" s="21"/>
      <c r="F690" s="21"/>
      <c r="G690" s="21"/>
      <c r="H690" s="278"/>
      <c r="J690" s="281"/>
      <c r="K690" s="53"/>
      <c r="L690" s="288"/>
      <c r="M690" s="289"/>
    </row>
  </sheetData>
  <mergeCells count="10">
    <mergeCell ref="K4:K5"/>
    <mergeCell ref="L4:L5"/>
    <mergeCell ref="M4:M5"/>
    <mergeCell ref="R10:S10"/>
    <mergeCell ref="A4:A5"/>
    <mergeCell ref="C4:C5"/>
    <mergeCell ref="B4:B5"/>
    <mergeCell ref="D4:D5"/>
    <mergeCell ref="E4:G4"/>
    <mergeCell ref="J4:J5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H344"/>
  <sheetViews>
    <sheetView view="pageBreakPreview" topLeftCell="A93" zoomScaleNormal="100" zoomScaleSheetLayoutView="100" workbookViewId="0">
      <selection activeCell="F43" sqref="F43"/>
    </sheetView>
  </sheetViews>
  <sheetFormatPr defaultColWidth="9.109375" defaultRowHeight="15.6"/>
  <cols>
    <col min="1" max="1" width="16.88671875" style="332" customWidth="1"/>
    <col min="2" max="2" width="7.33203125" style="332" customWidth="1"/>
    <col min="3" max="3" width="44.5546875" style="332" customWidth="1"/>
    <col min="4" max="4" width="9.109375" style="332"/>
    <col min="5" max="5" width="15.88671875" style="332" customWidth="1"/>
    <col min="6" max="6" width="15.109375" style="332" customWidth="1"/>
    <col min="7" max="7" width="9.33203125" style="332" bestFit="1" customWidth="1"/>
    <col min="8" max="16384" width="9.109375" style="332"/>
  </cols>
  <sheetData>
    <row r="1" spans="1:8">
      <c r="B1" s="332" t="s">
        <v>1623</v>
      </c>
    </row>
    <row r="2" spans="1:8">
      <c r="A2" s="364">
        <v>1</v>
      </c>
      <c r="B2" s="364">
        <v>2</v>
      </c>
      <c r="C2" s="364">
        <v>3</v>
      </c>
      <c r="D2" s="364">
        <v>4</v>
      </c>
      <c r="E2" s="364">
        <v>5</v>
      </c>
      <c r="F2" s="364">
        <v>6</v>
      </c>
    </row>
    <row r="4" spans="1:8" s="334" customFormat="1">
      <c r="B4" s="336" t="s">
        <v>1955</v>
      </c>
      <c r="C4" s="336"/>
      <c r="D4" s="336"/>
      <c r="E4" s="336"/>
      <c r="F4" s="336"/>
    </row>
    <row r="6" spans="1:8" s="334" customFormat="1" ht="31.2">
      <c r="B6" s="338" t="s">
        <v>1763</v>
      </c>
      <c r="C6" s="338" t="s">
        <v>1839</v>
      </c>
      <c r="D6" s="338" t="s">
        <v>1840</v>
      </c>
      <c r="E6" s="338" t="s">
        <v>1841</v>
      </c>
      <c r="F6" s="338" t="s">
        <v>1627</v>
      </c>
    </row>
    <row r="7" spans="1:8">
      <c r="B7" s="324" t="s">
        <v>1765</v>
      </c>
      <c r="C7" s="324" t="s">
        <v>2121</v>
      </c>
      <c r="D7" s="324"/>
      <c r="E7" s="324"/>
      <c r="F7" s="324"/>
      <c r="G7" s="332">
        <f>IF(SUM(G8:G35)&lt;&gt;0,1,)</f>
        <v>1</v>
      </c>
    </row>
    <row r="8" spans="1:8">
      <c r="A8" s="332" t="s">
        <v>1844</v>
      </c>
      <c r="B8" s="345"/>
      <c r="C8" s="345" t="str">
        <f>VLOOKUP(A8,XLDD,'3.XL-DD'!$D$2,0)</f>
        <v>Phần đường dây trung thế</v>
      </c>
      <c r="D8" s="345"/>
      <c r="E8" s="345"/>
      <c r="F8" s="345"/>
      <c r="G8" s="332">
        <f>IF(SUM(G9:G21)&lt;&gt;0,1,)</f>
        <v>1</v>
      </c>
    </row>
    <row r="9" spans="1:8">
      <c r="B9" s="346" t="s">
        <v>1631</v>
      </c>
      <c r="C9" s="347" t="s">
        <v>1845</v>
      </c>
      <c r="D9" s="346" t="s">
        <v>1846</v>
      </c>
      <c r="E9" s="346" t="s">
        <v>1875</v>
      </c>
      <c r="F9" s="347">
        <f>F10+F12+F14</f>
        <v>7527584</v>
      </c>
      <c r="G9" s="332">
        <f>IF(F9&lt;&gt;0,1,)</f>
        <v>1</v>
      </c>
    </row>
    <row r="10" spans="1:8" ht="18.600000000000001">
      <c r="B10" s="348">
        <v>1</v>
      </c>
      <c r="C10" s="349" t="s">
        <v>1847</v>
      </c>
      <c r="D10" s="348" t="s">
        <v>1765</v>
      </c>
      <c r="E10" s="348" t="s">
        <v>2776</v>
      </c>
      <c r="F10" s="349">
        <f>F11</f>
        <v>0</v>
      </c>
      <c r="G10" s="332">
        <f>G9</f>
        <v>1</v>
      </c>
    </row>
    <row r="11" spans="1:8" ht="18">
      <c r="A11" s="332" t="s">
        <v>2050</v>
      </c>
      <c r="B11" s="350"/>
      <c r="C11" s="375" t="s">
        <v>1944</v>
      </c>
      <c r="D11" s="350" t="s">
        <v>2754</v>
      </c>
      <c r="E11" s="350" t="s">
        <v>1956</v>
      </c>
      <c r="F11" s="351">
        <f>VLOOKUP(A11,GTDD,H11,0)</f>
        <v>0</v>
      </c>
      <c r="G11" s="332">
        <f t="shared" ref="G11:G21" si="0">G10</f>
        <v>1</v>
      </c>
      <c r="H11" s="332">
        <f>'4.GT'!$N$7</f>
        <v>14</v>
      </c>
    </row>
    <row r="12" spans="1:8" ht="18.600000000000001">
      <c r="B12" s="348">
        <v>2</v>
      </c>
      <c r="C12" s="349" t="s">
        <v>1946</v>
      </c>
      <c r="D12" s="348" t="s">
        <v>1764</v>
      </c>
      <c r="E12" s="348" t="s">
        <v>2777</v>
      </c>
      <c r="F12" s="349">
        <f>F13</f>
        <v>7527584</v>
      </c>
      <c r="G12" s="332">
        <f t="shared" si="0"/>
        <v>1</v>
      </c>
    </row>
    <row r="13" spans="1:8" ht="18">
      <c r="A13" s="332" t="str">
        <f>A11</f>
        <v>TB3P4970</v>
      </c>
      <c r="B13" s="350"/>
      <c r="C13" s="375" t="s">
        <v>1947</v>
      </c>
      <c r="D13" s="350" t="s">
        <v>2755</v>
      </c>
      <c r="E13" s="350" t="s">
        <v>3269</v>
      </c>
      <c r="F13" s="351">
        <f>ROUND(VLOOKUP(A13,GTDD,H13,0)*NCDD,0)</f>
        <v>7527584</v>
      </c>
      <c r="G13" s="332">
        <f t="shared" si="0"/>
        <v>1</v>
      </c>
      <c r="H13" s="332">
        <f>'4.GT'!$P$7</f>
        <v>16</v>
      </c>
    </row>
    <row r="14" spans="1:8" ht="18.600000000000001">
      <c r="B14" s="348">
        <v>3</v>
      </c>
      <c r="C14" s="349" t="s">
        <v>1855</v>
      </c>
      <c r="D14" s="348" t="s">
        <v>1774</v>
      </c>
      <c r="E14" s="348" t="s">
        <v>2778</v>
      </c>
      <c r="F14" s="349">
        <f>F15</f>
        <v>0</v>
      </c>
      <c r="G14" s="332">
        <f t="shared" si="0"/>
        <v>1</v>
      </c>
    </row>
    <row r="15" spans="1:8" ht="18">
      <c r="A15" s="332" t="str">
        <f>A11</f>
        <v>TB3P4970</v>
      </c>
      <c r="B15" s="350"/>
      <c r="C15" s="375" t="s">
        <v>1948</v>
      </c>
      <c r="D15" s="350" t="s">
        <v>2756</v>
      </c>
      <c r="E15" s="350" t="s">
        <v>478</v>
      </c>
      <c r="F15" s="351">
        <f>VLOOKUP(A15,GTDD,H15,0)</f>
        <v>0</v>
      </c>
      <c r="G15" s="332">
        <f t="shared" si="0"/>
        <v>1</v>
      </c>
      <c r="H15" s="332">
        <f>'4.GT'!$R$7</f>
        <v>18</v>
      </c>
    </row>
    <row r="16" spans="1:8">
      <c r="B16" s="346" t="s">
        <v>1663</v>
      </c>
      <c r="C16" s="347" t="s">
        <v>1858</v>
      </c>
      <c r="D16" s="346" t="s">
        <v>1776</v>
      </c>
      <c r="E16" s="346" t="s">
        <v>1859</v>
      </c>
      <c r="F16" s="347">
        <f>ROUND(65%*F12,0)</f>
        <v>4892930</v>
      </c>
      <c r="G16" s="332">
        <f t="shared" si="0"/>
        <v>1</v>
      </c>
    </row>
    <row r="17" spans="1:8" ht="18">
      <c r="B17" s="346"/>
      <c r="C17" s="347" t="s">
        <v>1861</v>
      </c>
      <c r="D17" s="346" t="s">
        <v>2775</v>
      </c>
      <c r="E17" s="346" t="s">
        <v>2807</v>
      </c>
      <c r="F17" s="347">
        <f>F9+F16</f>
        <v>12420514</v>
      </c>
      <c r="G17" s="332">
        <f t="shared" si="0"/>
        <v>1</v>
      </c>
    </row>
    <row r="18" spans="1:8" ht="18">
      <c r="B18" s="346" t="s">
        <v>1673</v>
      </c>
      <c r="C18" s="347" t="s">
        <v>1862</v>
      </c>
      <c r="D18" s="346" t="s">
        <v>1863</v>
      </c>
      <c r="E18" s="346" t="s">
        <v>2770</v>
      </c>
      <c r="F18" s="347">
        <f>ROUND(6%*F17,0)</f>
        <v>745231</v>
      </c>
      <c r="G18" s="332">
        <f t="shared" si="0"/>
        <v>1</v>
      </c>
    </row>
    <row r="19" spans="1:8" ht="18">
      <c r="A19" s="332" t="s">
        <v>2111</v>
      </c>
      <c r="B19" s="634"/>
      <c r="C19" s="635" t="s">
        <v>1865</v>
      </c>
      <c r="D19" s="634" t="s">
        <v>1866</v>
      </c>
      <c r="E19" s="634" t="s">
        <v>2771</v>
      </c>
      <c r="F19" s="635">
        <f>F17+F18</f>
        <v>13165745</v>
      </c>
      <c r="G19" s="332">
        <f t="shared" si="0"/>
        <v>1</v>
      </c>
    </row>
    <row r="20" spans="1:8">
      <c r="B20" s="346" t="s">
        <v>1717</v>
      </c>
      <c r="C20" s="347" t="s">
        <v>1867</v>
      </c>
      <c r="D20" s="346" t="s">
        <v>1868</v>
      </c>
      <c r="E20" s="346" t="s">
        <v>1869</v>
      </c>
      <c r="F20" s="347">
        <f>ROUND(10%*F19,0)</f>
        <v>1316575</v>
      </c>
      <c r="G20" s="332">
        <f t="shared" si="0"/>
        <v>1</v>
      </c>
    </row>
    <row r="21" spans="1:8" ht="18">
      <c r="B21" s="346" t="s">
        <v>1729</v>
      </c>
      <c r="C21" s="347" t="s">
        <v>1950</v>
      </c>
      <c r="D21" s="346" t="s">
        <v>2765</v>
      </c>
      <c r="E21" s="346" t="s">
        <v>1871</v>
      </c>
      <c r="F21" s="347">
        <f>F19+F20</f>
        <v>14482320</v>
      </c>
      <c r="G21" s="332">
        <f t="shared" si="0"/>
        <v>1</v>
      </c>
    </row>
    <row r="22" spans="1:8">
      <c r="A22" s="332" t="s">
        <v>1873</v>
      </c>
      <c r="B22" s="345"/>
      <c r="C22" s="345" t="str">
        <f>VLOOKUP(A22,XLDD,'3.XL-DD'!$D$2,0)</f>
        <v>Phần đường dây hạ thế</v>
      </c>
      <c r="D22" s="345"/>
      <c r="E22" s="345"/>
      <c r="F22" s="345"/>
      <c r="G22" s="332">
        <f>IF(SUM(G23:G35)&lt;&gt;0,1,)</f>
        <v>1</v>
      </c>
    </row>
    <row r="23" spans="1:8">
      <c r="B23" s="346" t="s">
        <v>1631</v>
      </c>
      <c r="C23" s="347" t="s">
        <v>1845</v>
      </c>
      <c r="D23" s="346" t="s">
        <v>1846</v>
      </c>
      <c r="E23" s="346" t="s">
        <v>1875</v>
      </c>
      <c r="F23" s="347">
        <f>F24+F26+F28</f>
        <v>21580495</v>
      </c>
      <c r="G23" s="332">
        <f>IF(F23&lt;&gt;0,1,)</f>
        <v>1</v>
      </c>
    </row>
    <row r="24" spans="1:8" ht="18.600000000000001">
      <c r="B24" s="348">
        <v>1</v>
      </c>
      <c r="C24" s="349" t="s">
        <v>1847</v>
      </c>
      <c r="D24" s="348" t="s">
        <v>1765</v>
      </c>
      <c r="E24" s="348" t="s">
        <v>2776</v>
      </c>
      <c r="F24" s="349">
        <f>F25</f>
        <v>0</v>
      </c>
      <c r="G24" s="332">
        <f>G23</f>
        <v>1</v>
      </c>
    </row>
    <row r="25" spans="1:8" ht="18">
      <c r="A25" s="332" t="s">
        <v>2046</v>
      </c>
      <c r="B25" s="350"/>
      <c r="C25" s="375" t="s">
        <v>1944</v>
      </c>
      <c r="D25" s="350" t="s">
        <v>2754</v>
      </c>
      <c r="E25" s="350" t="s">
        <v>1956</v>
      </c>
      <c r="F25" s="351">
        <f>VLOOKUP(A25,GTDD,H25,0)</f>
        <v>0</v>
      </c>
      <c r="G25" s="332">
        <f t="shared" ref="G25:G35" si="1">G24</f>
        <v>1</v>
      </c>
      <c r="H25" s="332">
        <f>'4.GT'!$N$7</f>
        <v>14</v>
      </c>
    </row>
    <row r="26" spans="1:8" ht="18.600000000000001">
      <c r="B26" s="348">
        <v>2</v>
      </c>
      <c r="C26" s="349" t="s">
        <v>1946</v>
      </c>
      <c r="D26" s="348" t="s">
        <v>1764</v>
      </c>
      <c r="E26" s="348" t="s">
        <v>2777</v>
      </c>
      <c r="F26" s="349">
        <f>F27</f>
        <v>21580495</v>
      </c>
      <c r="G26" s="332">
        <f t="shared" si="1"/>
        <v>1</v>
      </c>
    </row>
    <row r="27" spans="1:8" ht="18">
      <c r="A27" s="332" t="str">
        <f>A25</f>
        <v>TBHT</v>
      </c>
      <c r="B27" s="350"/>
      <c r="C27" s="375" t="s">
        <v>1947</v>
      </c>
      <c r="D27" s="350" t="s">
        <v>2755</v>
      </c>
      <c r="E27" s="350" t="s">
        <v>3269</v>
      </c>
      <c r="F27" s="351">
        <f>ROUND(VLOOKUP(A27,GTDD,H27,0)*NCDD,0)</f>
        <v>21580495</v>
      </c>
      <c r="G27" s="332">
        <f t="shared" si="1"/>
        <v>1</v>
      </c>
      <c r="H27" s="332">
        <f>'4.GT'!$P$7</f>
        <v>16</v>
      </c>
    </row>
    <row r="28" spans="1:8" ht="18.600000000000001">
      <c r="B28" s="348">
        <v>3</v>
      </c>
      <c r="C28" s="349" t="s">
        <v>1855</v>
      </c>
      <c r="D28" s="348" t="s">
        <v>1774</v>
      </c>
      <c r="E28" s="348" t="s">
        <v>2778</v>
      </c>
      <c r="F28" s="349">
        <f>F29</f>
        <v>0</v>
      </c>
      <c r="G28" s="332">
        <f t="shared" si="1"/>
        <v>1</v>
      </c>
    </row>
    <row r="29" spans="1:8" ht="18">
      <c r="A29" s="332" t="str">
        <f>A25</f>
        <v>TBHT</v>
      </c>
      <c r="B29" s="350"/>
      <c r="C29" s="375" t="s">
        <v>1948</v>
      </c>
      <c r="D29" s="350" t="s">
        <v>2756</v>
      </c>
      <c r="E29" s="350" t="s">
        <v>478</v>
      </c>
      <c r="F29" s="351">
        <f>VLOOKUP(A29,GTDD,H29,0)</f>
        <v>0</v>
      </c>
      <c r="G29" s="332">
        <f t="shared" si="1"/>
        <v>1</v>
      </c>
      <c r="H29" s="332">
        <f>'4.GT'!$R$7</f>
        <v>18</v>
      </c>
    </row>
    <row r="30" spans="1:8">
      <c r="B30" s="346" t="s">
        <v>1663</v>
      </c>
      <c r="C30" s="347" t="s">
        <v>1858</v>
      </c>
      <c r="D30" s="346" t="s">
        <v>1776</v>
      </c>
      <c r="E30" s="346" t="s">
        <v>1859</v>
      </c>
      <c r="F30" s="347">
        <f>ROUND(65%*F26,0)</f>
        <v>14027322</v>
      </c>
      <c r="G30" s="332">
        <f t="shared" si="1"/>
        <v>1</v>
      </c>
    </row>
    <row r="31" spans="1:8" ht="18">
      <c r="B31" s="346"/>
      <c r="C31" s="347" t="s">
        <v>1861</v>
      </c>
      <c r="D31" s="346" t="s">
        <v>2775</v>
      </c>
      <c r="E31" s="346" t="s">
        <v>2807</v>
      </c>
      <c r="F31" s="347">
        <f>F23+F30</f>
        <v>35607817</v>
      </c>
      <c r="G31" s="332">
        <f t="shared" si="1"/>
        <v>1</v>
      </c>
    </row>
    <row r="32" spans="1:8" ht="18">
      <c r="B32" s="346" t="s">
        <v>1673</v>
      </c>
      <c r="C32" s="347" t="s">
        <v>1862</v>
      </c>
      <c r="D32" s="346" t="s">
        <v>1863</v>
      </c>
      <c r="E32" s="346" t="s">
        <v>2770</v>
      </c>
      <c r="F32" s="347">
        <f>ROUND(6%*F31,0)</f>
        <v>2136469</v>
      </c>
      <c r="G32" s="332">
        <f t="shared" si="1"/>
        <v>1</v>
      </c>
    </row>
    <row r="33" spans="1:8" ht="18">
      <c r="A33" s="332" t="s">
        <v>2110</v>
      </c>
      <c r="B33" s="634"/>
      <c r="C33" s="635" t="s">
        <v>1865</v>
      </c>
      <c r="D33" s="634" t="s">
        <v>1866</v>
      </c>
      <c r="E33" s="634" t="s">
        <v>2771</v>
      </c>
      <c r="F33" s="635">
        <f>F31+F32</f>
        <v>37744286</v>
      </c>
      <c r="G33" s="332">
        <f t="shared" si="1"/>
        <v>1</v>
      </c>
    </row>
    <row r="34" spans="1:8">
      <c r="B34" s="346" t="s">
        <v>1717</v>
      </c>
      <c r="C34" s="347" t="s">
        <v>1867</v>
      </c>
      <c r="D34" s="346" t="s">
        <v>1868</v>
      </c>
      <c r="E34" s="346" t="s">
        <v>1869</v>
      </c>
      <c r="F34" s="347">
        <f>ROUND(10%*F33,0)</f>
        <v>3774429</v>
      </c>
      <c r="G34" s="332">
        <f t="shared" si="1"/>
        <v>1</v>
      </c>
    </row>
    <row r="35" spans="1:8" ht="18">
      <c r="B35" s="346" t="s">
        <v>1729</v>
      </c>
      <c r="C35" s="347" t="s">
        <v>1950</v>
      </c>
      <c r="D35" s="346" t="s">
        <v>2765</v>
      </c>
      <c r="E35" s="346" t="s">
        <v>1871</v>
      </c>
      <c r="F35" s="347">
        <f>F33+F34</f>
        <v>41518715</v>
      </c>
      <c r="G35" s="332">
        <f t="shared" si="1"/>
        <v>1</v>
      </c>
    </row>
    <row r="36" spans="1:8" hidden="1">
      <c r="B36" s="324" t="s">
        <v>1764</v>
      </c>
      <c r="C36" s="324" t="s">
        <v>2120</v>
      </c>
      <c r="D36" s="324"/>
      <c r="E36" s="324"/>
      <c r="F36" s="324"/>
      <c r="G36" s="332">
        <f>IF(F36&lt;&gt;0,1,)</f>
        <v>0</v>
      </c>
    </row>
    <row r="37" spans="1:8" hidden="1">
      <c r="A37" s="332" t="s">
        <v>2088</v>
      </c>
      <c r="B37" s="345"/>
      <c r="C37" s="345" t="str">
        <f>VLOOKUP(A37,CTTBA,'7.CT-TBA'!$E$25,0)</f>
        <v>0 Trạm 1 pha 25kVA</v>
      </c>
      <c r="D37" s="345"/>
      <c r="E37" s="345"/>
      <c r="F37" s="345"/>
      <c r="G37" s="332">
        <f>IF(SUM(G38:G50)&lt;&gt;0,1,)</f>
        <v>0</v>
      </c>
    </row>
    <row r="38" spans="1:8" hidden="1">
      <c r="B38" s="346" t="s">
        <v>1631</v>
      </c>
      <c r="C38" s="347" t="s">
        <v>1845</v>
      </c>
      <c r="D38" s="346" t="s">
        <v>1846</v>
      </c>
      <c r="E38" s="346" t="s">
        <v>1875</v>
      </c>
      <c r="F38" s="347">
        <f>F39+F41+F43</f>
        <v>0</v>
      </c>
      <c r="G38" s="332">
        <f>IF(F38&lt;&gt;0,1,)</f>
        <v>0</v>
      </c>
    </row>
    <row r="39" spans="1:8" ht="18.600000000000001" hidden="1">
      <c r="B39" s="348">
        <v>1</v>
      </c>
      <c r="C39" s="349" t="s">
        <v>1847</v>
      </c>
      <c r="D39" s="348" t="s">
        <v>1765</v>
      </c>
      <c r="E39" s="348" t="s">
        <v>2776</v>
      </c>
      <c r="F39" s="349">
        <f>F40</f>
        <v>0</v>
      </c>
      <c r="G39" s="332">
        <f>G38</f>
        <v>0</v>
      </c>
    </row>
    <row r="40" spans="1:8" ht="18" hidden="1">
      <c r="A40" s="332" t="s">
        <v>2091</v>
      </c>
      <c r="B40" s="350"/>
      <c r="C40" s="375" t="s">
        <v>1944</v>
      </c>
      <c r="D40" s="350" t="s">
        <v>2754</v>
      </c>
      <c r="E40" s="350" t="s">
        <v>1956</v>
      </c>
      <c r="F40" s="351">
        <f>VLOOKUP(A40,CTTBA,H40,0)</f>
        <v>0</v>
      </c>
      <c r="G40" s="332">
        <f t="shared" ref="G40:G50" si="2">G39</f>
        <v>0</v>
      </c>
      <c r="H40" s="332">
        <f>'7.CT-TBA'!$N$25</f>
        <v>14</v>
      </c>
    </row>
    <row r="41" spans="1:8" ht="18.600000000000001" hidden="1">
      <c r="B41" s="348">
        <v>2</v>
      </c>
      <c r="C41" s="349" t="s">
        <v>1946</v>
      </c>
      <c r="D41" s="348" t="s">
        <v>1764</v>
      </c>
      <c r="E41" s="348" t="s">
        <v>2777</v>
      </c>
      <c r="F41" s="349">
        <f>F42</f>
        <v>0</v>
      </c>
      <c r="G41" s="332">
        <f t="shared" si="2"/>
        <v>0</v>
      </c>
    </row>
    <row r="42" spans="1:8" ht="18" hidden="1">
      <c r="A42" s="332" t="s">
        <v>2091</v>
      </c>
      <c r="B42" s="350"/>
      <c r="C42" s="375" t="s">
        <v>1947</v>
      </c>
      <c r="D42" s="350" t="s">
        <v>2755</v>
      </c>
      <c r="E42" s="350" t="s">
        <v>1630</v>
      </c>
      <c r="F42" s="351">
        <f>VLOOKUP(A42,CTTBA,H42,0)</f>
        <v>0</v>
      </c>
      <c r="G42" s="332">
        <f t="shared" si="2"/>
        <v>0</v>
      </c>
      <c r="H42" s="332">
        <f>'7.CT-TBA'!$O$25</f>
        <v>15</v>
      </c>
    </row>
    <row r="43" spans="1:8" ht="18.600000000000001" hidden="1">
      <c r="B43" s="348">
        <v>3</v>
      </c>
      <c r="C43" s="349" t="s">
        <v>1855</v>
      </c>
      <c r="D43" s="348" t="s">
        <v>1774</v>
      </c>
      <c r="E43" s="348" t="s">
        <v>2778</v>
      </c>
      <c r="F43" s="349">
        <f>F44</f>
        <v>0</v>
      </c>
      <c r="G43" s="332">
        <f t="shared" si="2"/>
        <v>0</v>
      </c>
    </row>
    <row r="44" spans="1:8" ht="18" hidden="1">
      <c r="A44" s="332" t="s">
        <v>2091</v>
      </c>
      <c r="B44" s="350"/>
      <c r="C44" s="375" t="s">
        <v>1948</v>
      </c>
      <c r="D44" s="350" t="s">
        <v>2756</v>
      </c>
      <c r="E44" s="350" t="s">
        <v>478</v>
      </c>
      <c r="F44" s="351">
        <f>VLOOKUP(A44,CTTBA,H44,0)</f>
        <v>0</v>
      </c>
      <c r="G44" s="332">
        <f t="shared" si="2"/>
        <v>0</v>
      </c>
      <c r="H44" s="332">
        <f>'7.CT-TBA'!$P$25</f>
        <v>16</v>
      </c>
    </row>
    <row r="45" spans="1:8" hidden="1">
      <c r="B45" s="346" t="s">
        <v>1663</v>
      </c>
      <c r="C45" s="347" t="s">
        <v>1858</v>
      </c>
      <c r="D45" s="346" t="s">
        <v>1776</v>
      </c>
      <c r="E45" s="346" t="s">
        <v>1859</v>
      </c>
      <c r="F45" s="347">
        <f>ROUND(65%*F41,0)</f>
        <v>0</v>
      </c>
      <c r="G45" s="332">
        <f t="shared" si="2"/>
        <v>0</v>
      </c>
    </row>
    <row r="46" spans="1:8" ht="18" hidden="1">
      <c r="B46" s="346"/>
      <c r="C46" s="347" t="s">
        <v>1861</v>
      </c>
      <c r="D46" s="346" t="s">
        <v>2775</v>
      </c>
      <c r="E46" s="346" t="s">
        <v>2807</v>
      </c>
      <c r="F46" s="347">
        <f>F38+F45</f>
        <v>0</v>
      </c>
      <c r="G46" s="332">
        <f t="shared" si="2"/>
        <v>0</v>
      </c>
    </row>
    <row r="47" spans="1:8" ht="18" hidden="1">
      <c r="B47" s="346" t="s">
        <v>1673</v>
      </c>
      <c r="C47" s="347" t="s">
        <v>1862</v>
      </c>
      <c r="D47" s="346" t="s">
        <v>1863</v>
      </c>
      <c r="E47" s="346" t="s">
        <v>2770</v>
      </c>
      <c r="F47" s="347">
        <f>ROUND(6%*F46,0)</f>
        <v>0</v>
      </c>
      <c r="G47" s="332">
        <f t="shared" si="2"/>
        <v>0</v>
      </c>
    </row>
    <row r="48" spans="1:8" ht="18" hidden="1">
      <c r="A48" s="332" t="s">
        <v>2103</v>
      </c>
      <c r="B48" s="346"/>
      <c r="C48" s="347" t="s">
        <v>1865</v>
      </c>
      <c r="D48" s="346" t="s">
        <v>1866</v>
      </c>
      <c r="E48" s="346" t="s">
        <v>2771</v>
      </c>
      <c r="F48" s="347">
        <f>F46+F47</f>
        <v>0</v>
      </c>
      <c r="G48" s="332">
        <f t="shared" si="2"/>
        <v>0</v>
      </c>
    </row>
    <row r="49" spans="1:8" hidden="1">
      <c r="B49" s="346" t="s">
        <v>1717</v>
      </c>
      <c r="C49" s="347" t="s">
        <v>1867</v>
      </c>
      <c r="D49" s="346" t="s">
        <v>1868</v>
      </c>
      <c r="E49" s="346" t="s">
        <v>1869</v>
      </c>
      <c r="F49" s="347">
        <f>ROUND(10%*F48,0)</f>
        <v>0</v>
      </c>
      <c r="G49" s="332">
        <f t="shared" si="2"/>
        <v>0</v>
      </c>
    </row>
    <row r="50" spans="1:8" ht="18" hidden="1">
      <c r="B50" s="346" t="s">
        <v>1729</v>
      </c>
      <c r="C50" s="347" t="s">
        <v>1950</v>
      </c>
      <c r="D50" s="346" t="s">
        <v>2765</v>
      </c>
      <c r="E50" s="346" t="s">
        <v>1871</v>
      </c>
      <c r="F50" s="347">
        <f>F48+F49</f>
        <v>0</v>
      </c>
      <c r="G50" s="332">
        <f t="shared" si="2"/>
        <v>0</v>
      </c>
    </row>
    <row r="51" spans="1:8" hidden="1">
      <c r="A51" s="332" t="s">
        <v>2089</v>
      </c>
      <c r="B51" s="345"/>
      <c r="C51" s="345" t="str">
        <f>VLOOKUP(A51,CTTBA,'7.CT-TBA'!$E$25,0)</f>
        <v>0 Trạm 1 pha 37,5kVA</v>
      </c>
      <c r="D51" s="345"/>
      <c r="E51" s="345"/>
      <c r="F51" s="345"/>
      <c r="G51" s="332">
        <f>IF(SUM(G52:G64)&lt;&gt;0,1,)</f>
        <v>0</v>
      </c>
    </row>
    <row r="52" spans="1:8" hidden="1">
      <c r="B52" s="346" t="s">
        <v>1631</v>
      </c>
      <c r="C52" s="347" t="s">
        <v>1845</v>
      </c>
      <c r="D52" s="346" t="s">
        <v>1846</v>
      </c>
      <c r="E52" s="346" t="s">
        <v>1875</v>
      </c>
      <c r="F52" s="347">
        <f>F53+F55+F57</f>
        <v>0</v>
      </c>
      <c r="G52" s="332">
        <f>IF(F52&lt;&gt;0,1,)</f>
        <v>0</v>
      </c>
    </row>
    <row r="53" spans="1:8" ht="18.600000000000001" hidden="1">
      <c r="B53" s="348">
        <v>1</v>
      </c>
      <c r="C53" s="349" t="s">
        <v>1847</v>
      </c>
      <c r="D53" s="348" t="s">
        <v>1765</v>
      </c>
      <c r="E53" s="348" t="s">
        <v>2776</v>
      </c>
      <c r="F53" s="349">
        <f>F54</f>
        <v>0</v>
      </c>
      <c r="G53" s="332">
        <f>G52</f>
        <v>0</v>
      </c>
    </row>
    <row r="54" spans="1:8" ht="18" hidden="1">
      <c r="A54" s="332" t="s">
        <v>2092</v>
      </c>
      <c r="B54" s="350"/>
      <c r="C54" s="375" t="s">
        <v>1944</v>
      </c>
      <c r="D54" s="350" t="s">
        <v>2754</v>
      </c>
      <c r="E54" s="350" t="s">
        <v>1956</v>
      </c>
      <c r="F54" s="351">
        <f>VLOOKUP(A54,CTTBA,H54,0)</f>
        <v>0</v>
      </c>
      <c r="G54" s="332">
        <f t="shared" ref="G54:G64" si="3">G53</f>
        <v>0</v>
      </c>
      <c r="H54" s="332">
        <f>'7.CT-TBA'!$N$25</f>
        <v>14</v>
      </c>
    </row>
    <row r="55" spans="1:8" ht="18.600000000000001" hidden="1">
      <c r="B55" s="348">
        <v>2</v>
      </c>
      <c r="C55" s="349" t="s">
        <v>1946</v>
      </c>
      <c r="D55" s="348" t="s">
        <v>1764</v>
      </c>
      <c r="E55" s="348" t="s">
        <v>2777</v>
      </c>
      <c r="F55" s="349">
        <f>F56</f>
        <v>0</v>
      </c>
      <c r="G55" s="332">
        <f t="shared" si="3"/>
        <v>0</v>
      </c>
    </row>
    <row r="56" spans="1:8" ht="18" hidden="1">
      <c r="A56" s="332" t="s">
        <v>2092</v>
      </c>
      <c r="B56" s="350"/>
      <c r="C56" s="375" t="s">
        <v>1947</v>
      </c>
      <c r="D56" s="350" t="s">
        <v>2755</v>
      </c>
      <c r="E56" s="350" t="s">
        <v>1630</v>
      </c>
      <c r="F56" s="351">
        <f>VLOOKUP(A56,CTTBA,H56,0)</f>
        <v>0</v>
      </c>
      <c r="G56" s="332">
        <f t="shared" si="3"/>
        <v>0</v>
      </c>
      <c r="H56" s="332">
        <f>'7.CT-TBA'!$O$25</f>
        <v>15</v>
      </c>
    </row>
    <row r="57" spans="1:8" ht="18.600000000000001" hidden="1">
      <c r="B57" s="348">
        <v>3</v>
      </c>
      <c r="C57" s="349" t="s">
        <v>1855</v>
      </c>
      <c r="D57" s="348" t="s">
        <v>1774</v>
      </c>
      <c r="E57" s="348" t="s">
        <v>2778</v>
      </c>
      <c r="F57" s="349">
        <f>F58</f>
        <v>0</v>
      </c>
      <c r="G57" s="332">
        <f t="shared" si="3"/>
        <v>0</v>
      </c>
    </row>
    <row r="58" spans="1:8" ht="18" hidden="1">
      <c r="A58" s="332" t="s">
        <v>2092</v>
      </c>
      <c r="B58" s="350"/>
      <c r="C58" s="375" t="s">
        <v>1948</v>
      </c>
      <c r="D58" s="350" t="s">
        <v>2756</v>
      </c>
      <c r="E58" s="350" t="s">
        <v>478</v>
      </c>
      <c r="F58" s="351">
        <f>VLOOKUP(A58,CTTBA,H58,0)</f>
        <v>0</v>
      </c>
      <c r="G58" s="332">
        <f t="shared" si="3"/>
        <v>0</v>
      </c>
      <c r="H58" s="332">
        <f>'7.CT-TBA'!$P$25</f>
        <v>16</v>
      </c>
    </row>
    <row r="59" spans="1:8" hidden="1">
      <c r="B59" s="346" t="s">
        <v>1663</v>
      </c>
      <c r="C59" s="347" t="s">
        <v>1858</v>
      </c>
      <c r="D59" s="346" t="s">
        <v>1776</v>
      </c>
      <c r="E59" s="346" t="s">
        <v>1859</v>
      </c>
      <c r="F59" s="347">
        <f>ROUND(65%*F55,0)</f>
        <v>0</v>
      </c>
      <c r="G59" s="332">
        <f t="shared" si="3"/>
        <v>0</v>
      </c>
    </row>
    <row r="60" spans="1:8" ht="18" hidden="1">
      <c r="B60" s="346"/>
      <c r="C60" s="347" t="s">
        <v>1861</v>
      </c>
      <c r="D60" s="346" t="s">
        <v>2775</v>
      </c>
      <c r="E60" s="346" t="s">
        <v>2807</v>
      </c>
      <c r="F60" s="347">
        <f>F52+F59</f>
        <v>0</v>
      </c>
      <c r="G60" s="332">
        <f t="shared" si="3"/>
        <v>0</v>
      </c>
    </row>
    <row r="61" spans="1:8" ht="18" hidden="1">
      <c r="B61" s="346" t="s">
        <v>1673</v>
      </c>
      <c r="C61" s="347" t="s">
        <v>1862</v>
      </c>
      <c r="D61" s="346" t="s">
        <v>1863</v>
      </c>
      <c r="E61" s="346" t="s">
        <v>2770</v>
      </c>
      <c r="F61" s="347">
        <f>ROUND(6%*F60,0)</f>
        <v>0</v>
      </c>
      <c r="G61" s="332">
        <f t="shared" si="3"/>
        <v>0</v>
      </c>
    </row>
    <row r="62" spans="1:8" ht="18" hidden="1">
      <c r="A62" s="332" t="s">
        <v>2104</v>
      </c>
      <c r="B62" s="346"/>
      <c r="C62" s="347" t="s">
        <v>1865</v>
      </c>
      <c r="D62" s="346" t="s">
        <v>1866</v>
      </c>
      <c r="E62" s="346" t="s">
        <v>2771</v>
      </c>
      <c r="F62" s="347">
        <f>F60+F61</f>
        <v>0</v>
      </c>
      <c r="G62" s="332">
        <f t="shared" si="3"/>
        <v>0</v>
      </c>
    </row>
    <row r="63" spans="1:8" hidden="1">
      <c r="B63" s="346" t="s">
        <v>1717</v>
      </c>
      <c r="C63" s="347" t="s">
        <v>1867</v>
      </c>
      <c r="D63" s="346" t="s">
        <v>1868</v>
      </c>
      <c r="E63" s="346" t="s">
        <v>1869</v>
      </c>
      <c r="F63" s="347">
        <f>ROUND(10%*F62,0)</f>
        <v>0</v>
      </c>
      <c r="G63" s="332">
        <f t="shared" si="3"/>
        <v>0</v>
      </c>
    </row>
    <row r="64" spans="1:8" ht="18" hidden="1">
      <c r="B64" s="346" t="s">
        <v>1729</v>
      </c>
      <c r="C64" s="347" t="s">
        <v>1950</v>
      </c>
      <c r="D64" s="346" t="s">
        <v>2765</v>
      </c>
      <c r="E64" s="346" t="s">
        <v>1871</v>
      </c>
      <c r="F64" s="347">
        <f>F62+F63</f>
        <v>0</v>
      </c>
      <c r="G64" s="332">
        <f t="shared" si="3"/>
        <v>0</v>
      </c>
    </row>
    <row r="65" spans="1:8" hidden="1">
      <c r="A65" s="332" t="s">
        <v>2090</v>
      </c>
      <c r="B65" s="345"/>
      <c r="C65" s="345" t="str">
        <f>VLOOKUP(A65,CTTBA,'7.CT-TBA'!$E$25,0)</f>
        <v>0 Trạm 1 pha 50kVA</v>
      </c>
      <c r="D65" s="345"/>
      <c r="E65" s="345"/>
      <c r="F65" s="345"/>
      <c r="G65" s="332">
        <f>IF(SUM(G66:G78)&lt;&gt;0,1,)</f>
        <v>0</v>
      </c>
    </row>
    <row r="66" spans="1:8" hidden="1">
      <c r="B66" s="346" t="s">
        <v>1631</v>
      </c>
      <c r="C66" s="347" t="s">
        <v>1845</v>
      </c>
      <c r="D66" s="346" t="s">
        <v>1846</v>
      </c>
      <c r="E66" s="346" t="s">
        <v>1875</v>
      </c>
      <c r="F66" s="347">
        <f>F67+F69+F71</f>
        <v>0</v>
      </c>
      <c r="G66" s="332">
        <f>IF(F66&lt;&gt;0,1,)</f>
        <v>0</v>
      </c>
    </row>
    <row r="67" spans="1:8" ht="18.600000000000001" hidden="1">
      <c r="B67" s="348">
        <v>1</v>
      </c>
      <c r="C67" s="349" t="s">
        <v>1847</v>
      </c>
      <c r="D67" s="348" t="s">
        <v>1765</v>
      </c>
      <c r="E67" s="348" t="s">
        <v>2776</v>
      </c>
      <c r="F67" s="349">
        <f>F68</f>
        <v>0</v>
      </c>
      <c r="G67" s="332">
        <f>G66</f>
        <v>0</v>
      </c>
    </row>
    <row r="68" spans="1:8" ht="18" hidden="1">
      <c r="A68" s="332" t="s">
        <v>2093</v>
      </c>
      <c r="B68" s="350"/>
      <c r="C68" s="375" t="s">
        <v>1944</v>
      </c>
      <c r="D68" s="350" t="s">
        <v>2754</v>
      </c>
      <c r="E68" s="350" t="s">
        <v>1956</v>
      </c>
      <c r="F68" s="351">
        <f>VLOOKUP(A68,CTTBA,H68,0)</f>
        <v>0</v>
      </c>
      <c r="G68" s="332">
        <f t="shared" ref="G68:G78" si="4">G67</f>
        <v>0</v>
      </c>
      <c r="H68" s="332">
        <f>'7.CT-TBA'!$N$25</f>
        <v>14</v>
      </c>
    </row>
    <row r="69" spans="1:8" ht="18.600000000000001" hidden="1">
      <c r="B69" s="348">
        <v>2</v>
      </c>
      <c r="C69" s="349" t="s">
        <v>1946</v>
      </c>
      <c r="D69" s="348" t="s">
        <v>1764</v>
      </c>
      <c r="E69" s="348" t="s">
        <v>2777</v>
      </c>
      <c r="F69" s="349">
        <f>F70</f>
        <v>0</v>
      </c>
      <c r="G69" s="332">
        <f t="shared" si="4"/>
        <v>0</v>
      </c>
    </row>
    <row r="70" spans="1:8" ht="18" hidden="1">
      <c r="A70" s="332" t="s">
        <v>2093</v>
      </c>
      <c r="B70" s="350"/>
      <c r="C70" s="375" t="s">
        <v>1947</v>
      </c>
      <c r="D70" s="350" t="s">
        <v>2755</v>
      </c>
      <c r="E70" s="350" t="s">
        <v>1630</v>
      </c>
      <c r="F70" s="351">
        <f>VLOOKUP(A70,CTTBA,H70,0)</f>
        <v>0</v>
      </c>
      <c r="G70" s="332">
        <f t="shared" si="4"/>
        <v>0</v>
      </c>
      <c r="H70" s="332">
        <f>'7.CT-TBA'!$O$25</f>
        <v>15</v>
      </c>
    </row>
    <row r="71" spans="1:8" ht="18.600000000000001" hidden="1">
      <c r="B71" s="348">
        <v>3</v>
      </c>
      <c r="C71" s="349" t="s">
        <v>1855</v>
      </c>
      <c r="D71" s="348" t="s">
        <v>1774</v>
      </c>
      <c r="E71" s="348" t="s">
        <v>2778</v>
      </c>
      <c r="F71" s="349">
        <f>F72</f>
        <v>0</v>
      </c>
      <c r="G71" s="332">
        <f t="shared" si="4"/>
        <v>0</v>
      </c>
    </row>
    <row r="72" spans="1:8" ht="18" hidden="1">
      <c r="A72" s="332" t="s">
        <v>2093</v>
      </c>
      <c r="B72" s="350"/>
      <c r="C72" s="375" t="s">
        <v>1948</v>
      </c>
      <c r="D72" s="350" t="s">
        <v>2756</v>
      </c>
      <c r="E72" s="350" t="s">
        <v>478</v>
      </c>
      <c r="F72" s="351">
        <f>VLOOKUP(A72,CTTBA,H72,0)</f>
        <v>0</v>
      </c>
      <c r="G72" s="332">
        <f t="shared" si="4"/>
        <v>0</v>
      </c>
      <c r="H72" s="332">
        <f>'7.CT-TBA'!$P$25</f>
        <v>16</v>
      </c>
    </row>
    <row r="73" spans="1:8" hidden="1">
      <c r="B73" s="346" t="s">
        <v>1663</v>
      </c>
      <c r="C73" s="347" t="s">
        <v>1858</v>
      </c>
      <c r="D73" s="346" t="s">
        <v>1776</v>
      </c>
      <c r="E73" s="346" t="s">
        <v>1859</v>
      </c>
      <c r="F73" s="347">
        <f>ROUND(65%*F69,0)</f>
        <v>0</v>
      </c>
      <c r="G73" s="332">
        <f t="shared" si="4"/>
        <v>0</v>
      </c>
    </row>
    <row r="74" spans="1:8" ht="18" hidden="1">
      <c r="B74" s="346"/>
      <c r="C74" s="347" t="s">
        <v>1861</v>
      </c>
      <c r="D74" s="346" t="s">
        <v>2775</v>
      </c>
      <c r="E74" s="346" t="s">
        <v>2807</v>
      </c>
      <c r="F74" s="347">
        <f>F66+F73</f>
        <v>0</v>
      </c>
      <c r="G74" s="332">
        <f t="shared" si="4"/>
        <v>0</v>
      </c>
    </row>
    <row r="75" spans="1:8" ht="18" hidden="1">
      <c r="B75" s="346" t="s">
        <v>1673</v>
      </c>
      <c r="C75" s="347" t="s">
        <v>1862</v>
      </c>
      <c r="D75" s="346" t="s">
        <v>1863</v>
      </c>
      <c r="E75" s="346" t="s">
        <v>2770</v>
      </c>
      <c r="F75" s="347">
        <f>ROUND(6%*F74,0)</f>
        <v>0</v>
      </c>
      <c r="G75" s="332">
        <f t="shared" si="4"/>
        <v>0</v>
      </c>
    </row>
    <row r="76" spans="1:8" ht="18" hidden="1">
      <c r="A76" s="332" t="s">
        <v>2105</v>
      </c>
      <c r="B76" s="346"/>
      <c r="C76" s="347" t="s">
        <v>1865</v>
      </c>
      <c r="D76" s="346" t="s">
        <v>1866</v>
      </c>
      <c r="E76" s="346" t="s">
        <v>2771</v>
      </c>
      <c r="F76" s="347">
        <f>F74+F75</f>
        <v>0</v>
      </c>
      <c r="G76" s="332">
        <f t="shared" si="4"/>
        <v>0</v>
      </c>
    </row>
    <row r="77" spans="1:8" hidden="1">
      <c r="B77" s="346" t="s">
        <v>1717</v>
      </c>
      <c r="C77" s="347" t="s">
        <v>1867</v>
      </c>
      <c r="D77" s="346" t="s">
        <v>1868</v>
      </c>
      <c r="E77" s="346" t="s">
        <v>1869</v>
      </c>
      <c r="F77" s="347">
        <f>ROUND(10%*F76,0)</f>
        <v>0</v>
      </c>
      <c r="G77" s="332">
        <f t="shared" si="4"/>
        <v>0</v>
      </c>
    </row>
    <row r="78" spans="1:8" ht="18" hidden="1">
      <c r="B78" s="346" t="s">
        <v>1729</v>
      </c>
      <c r="C78" s="347" t="s">
        <v>1950</v>
      </c>
      <c r="D78" s="346" t="s">
        <v>2765</v>
      </c>
      <c r="E78" s="346" t="s">
        <v>1871</v>
      </c>
      <c r="F78" s="347">
        <f>F76+F77</f>
        <v>0</v>
      </c>
      <c r="G78" s="332">
        <f t="shared" si="4"/>
        <v>0</v>
      </c>
    </row>
    <row r="79" spans="1:8" hidden="1">
      <c r="A79" s="332" t="s">
        <v>2812</v>
      </c>
      <c r="B79" s="345"/>
      <c r="C79" s="345" t="str">
        <f>VLOOKUP(A79,CTTBA,'7.CT-TBA'!$E$25,0)</f>
        <v>0 Trạm 1 pha 2x25kVA</v>
      </c>
      <c r="D79" s="345"/>
      <c r="E79" s="345"/>
      <c r="F79" s="345"/>
      <c r="G79" s="332">
        <f>IF(SUM(G80:G92)&lt;&gt;0,1,)</f>
        <v>0</v>
      </c>
    </row>
    <row r="80" spans="1:8" hidden="1">
      <c r="B80" s="346" t="s">
        <v>1631</v>
      </c>
      <c r="C80" s="347" t="s">
        <v>1845</v>
      </c>
      <c r="D80" s="346" t="s">
        <v>1846</v>
      </c>
      <c r="E80" s="346" t="s">
        <v>1875</v>
      </c>
      <c r="F80" s="347">
        <f>F81+F83+F85</f>
        <v>0</v>
      </c>
      <c r="G80" s="332">
        <f>IF(F80&lt;&gt;0,1,)</f>
        <v>0</v>
      </c>
    </row>
    <row r="81" spans="1:8" ht="18.600000000000001" hidden="1">
      <c r="B81" s="348">
        <v>1</v>
      </c>
      <c r="C81" s="349" t="s">
        <v>1847</v>
      </c>
      <c r="D81" s="348" t="s">
        <v>1765</v>
      </c>
      <c r="E81" s="348" t="s">
        <v>2776</v>
      </c>
      <c r="F81" s="349">
        <f>F82</f>
        <v>0</v>
      </c>
      <c r="G81" s="332">
        <f>G80</f>
        <v>0</v>
      </c>
    </row>
    <row r="82" spans="1:8" ht="18" hidden="1">
      <c r="A82" s="332" t="str">
        <f>"TB"&amp;A79</f>
        <v>TBTR2X25</v>
      </c>
      <c r="B82" s="350"/>
      <c r="C82" s="375" t="s">
        <v>1944</v>
      </c>
      <c r="D82" s="350" t="s">
        <v>2754</v>
      </c>
      <c r="E82" s="350" t="s">
        <v>1956</v>
      </c>
      <c r="F82" s="351">
        <f>VLOOKUP(A82,CTTBA,H82,0)</f>
        <v>0</v>
      </c>
      <c r="G82" s="332">
        <f t="shared" ref="G82:G92" si="5">G81</f>
        <v>0</v>
      </c>
      <c r="H82" s="332">
        <f>'7.CT-TBA'!$N$25</f>
        <v>14</v>
      </c>
    </row>
    <row r="83" spans="1:8" ht="18.600000000000001" hidden="1">
      <c r="B83" s="348">
        <v>2</v>
      </c>
      <c r="C83" s="349" t="s">
        <v>1946</v>
      </c>
      <c r="D83" s="348" t="s">
        <v>1764</v>
      </c>
      <c r="E83" s="348" t="s">
        <v>2777</v>
      </c>
      <c r="F83" s="349">
        <f>F84</f>
        <v>0</v>
      </c>
      <c r="G83" s="332">
        <f t="shared" si="5"/>
        <v>0</v>
      </c>
    </row>
    <row r="84" spans="1:8" ht="18" hidden="1">
      <c r="A84" s="332" t="str">
        <f>"TB"&amp;A79</f>
        <v>TBTR2X25</v>
      </c>
      <c r="B84" s="350"/>
      <c r="C84" s="375" t="s">
        <v>1947</v>
      </c>
      <c r="D84" s="350" t="s">
        <v>2755</v>
      </c>
      <c r="E84" s="350" t="s">
        <v>1630</v>
      </c>
      <c r="F84" s="351">
        <f>VLOOKUP(A84,CTTBA,H84,0)</f>
        <v>0</v>
      </c>
      <c r="G84" s="332">
        <f t="shared" si="5"/>
        <v>0</v>
      </c>
      <c r="H84" s="332">
        <f>'7.CT-TBA'!$O$25</f>
        <v>15</v>
      </c>
    </row>
    <row r="85" spans="1:8" ht="18.600000000000001" hidden="1">
      <c r="B85" s="348">
        <v>3</v>
      </c>
      <c r="C85" s="349" t="s">
        <v>1855</v>
      </c>
      <c r="D85" s="348" t="s">
        <v>1774</v>
      </c>
      <c r="E85" s="348" t="s">
        <v>2778</v>
      </c>
      <c r="F85" s="349">
        <f>F86</f>
        <v>0</v>
      </c>
      <c r="G85" s="332">
        <f t="shared" si="5"/>
        <v>0</v>
      </c>
    </row>
    <row r="86" spans="1:8" ht="18" hidden="1">
      <c r="A86" s="332" t="str">
        <f>"TB"&amp;A79</f>
        <v>TBTR2X25</v>
      </c>
      <c r="B86" s="350"/>
      <c r="C86" s="375" t="s">
        <v>1948</v>
      </c>
      <c r="D86" s="350" t="s">
        <v>2756</v>
      </c>
      <c r="E86" s="350" t="s">
        <v>478</v>
      </c>
      <c r="F86" s="351">
        <f>VLOOKUP(A86,CTTBA,H86,0)</f>
        <v>0</v>
      </c>
      <c r="G86" s="332">
        <f t="shared" si="5"/>
        <v>0</v>
      </c>
      <c r="H86" s="332">
        <f>'7.CT-TBA'!$P$25</f>
        <v>16</v>
      </c>
    </row>
    <row r="87" spans="1:8" hidden="1">
      <c r="B87" s="346" t="s">
        <v>1663</v>
      </c>
      <c r="C87" s="347" t="s">
        <v>1858</v>
      </c>
      <c r="D87" s="346" t="s">
        <v>1776</v>
      </c>
      <c r="E87" s="346" t="s">
        <v>1859</v>
      </c>
      <c r="F87" s="347">
        <f>ROUND(65%*F83,0)</f>
        <v>0</v>
      </c>
      <c r="G87" s="332">
        <f t="shared" si="5"/>
        <v>0</v>
      </c>
    </row>
    <row r="88" spans="1:8" ht="18" hidden="1">
      <c r="B88" s="346"/>
      <c r="C88" s="347" t="s">
        <v>1861</v>
      </c>
      <c r="D88" s="346" t="s">
        <v>2775</v>
      </c>
      <c r="E88" s="346" t="s">
        <v>2807</v>
      </c>
      <c r="F88" s="347">
        <f>F80+F87</f>
        <v>0</v>
      </c>
      <c r="G88" s="332">
        <f t="shared" si="5"/>
        <v>0</v>
      </c>
    </row>
    <row r="89" spans="1:8" ht="18" hidden="1">
      <c r="B89" s="346" t="s">
        <v>1673</v>
      </c>
      <c r="C89" s="347" t="s">
        <v>1862</v>
      </c>
      <c r="D89" s="346" t="s">
        <v>1863</v>
      </c>
      <c r="E89" s="346" t="s">
        <v>2770</v>
      </c>
      <c r="F89" s="347">
        <f>ROUND(6%*F88,0)</f>
        <v>0</v>
      </c>
      <c r="G89" s="332">
        <f t="shared" si="5"/>
        <v>0</v>
      </c>
    </row>
    <row r="90" spans="1:8" ht="18" hidden="1">
      <c r="A90" s="332" t="str">
        <f>"XL"&amp;A79</f>
        <v>XLTR2X25</v>
      </c>
      <c r="B90" s="346"/>
      <c r="C90" s="347" t="s">
        <v>1865</v>
      </c>
      <c r="D90" s="346" t="s">
        <v>1866</v>
      </c>
      <c r="E90" s="346" t="s">
        <v>2771</v>
      </c>
      <c r="F90" s="347">
        <f>F88+F89</f>
        <v>0</v>
      </c>
      <c r="G90" s="332">
        <f t="shared" si="5"/>
        <v>0</v>
      </c>
    </row>
    <row r="91" spans="1:8" hidden="1">
      <c r="B91" s="346" t="s">
        <v>1717</v>
      </c>
      <c r="C91" s="347" t="s">
        <v>1867</v>
      </c>
      <c r="D91" s="346" t="s">
        <v>1868</v>
      </c>
      <c r="E91" s="346" t="s">
        <v>1869</v>
      </c>
      <c r="F91" s="347">
        <f>ROUND(10%*F90,0)</f>
        <v>0</v>
      </c>
      <c r="G91" s="332">
        <f t="shared" si="5"/>
        <v>0</v>
      </c>
    </row>
    <row r="92" spans="1:8" ht="18" hidden="1">
      <c r="B92" s="346" t="s">
        <v>1729</v>
      </c>
      <c r="C92" s="347" t="s">
        <v>1950</v>
      </c>
      <c r="D92" s="346" t="s">
        <v>2765</v>
      </c>
      <c r="E92" s="346" t="s">
        <v>1871</v>
      </c>
      <c r="F92" s="347">
        <f>F90+F91</f>
        <v>0</v>
      </c>
      <c r="G92" s="332">
        <f t="shared" si="5"/>
        <v>0</v>
      </c>
    </row>
    <row r="93" spans="1:8">
      <c r="A93" s="332" t="s">
        <v>2071</v>
      </c>
      <c r="B93" s="345"/>
      <c r="C93" s="345" t="str">
        <f>VLOOKUP(A93,CTTBA,'7.CT-TBA'!$E$25,0)</f>
        <v>3 Trạm 1 pha 75kVA</v>
      </c>
      <c r="D93" s="345"/>
      <c r="E93" s="345"/>
      <c r="F93" s="345"/>
      <c r="G93" s="332">
        <f>IF(SUM(G94:G106)&lt;&gt;0,1,)</f>
        <v>1</v>
      </c>
    </row>
    <row r="94" spans="1:8">
      <c r="B94" s="346" t="s">
        <v>1631</v>
      </c>
      <c r="C94" s="347" t="s">
        <v>1845</v>
      </c>
      <c r="D94" s="346" t="s">
        <v>1846</v>
      </c>
      <c r="E94" s="346" t="s">
        <v>1875</v>
      </c>
      <c r="F94" s="347">
        <f>F95+F97+F99</f>
        <v>4844379</v>
      </c>
      <c r="G94" s="332">
        <f>IF(F94&lt;&gt;0,1,)</f>
        <v>1</v>
      </c>
    </row>
    <row r="95" spans="1:8" ht="18.600000000000001">
      <c r="B95" s="348">
        <v>1</v>
      </c>
      <c r="C95" s="349" t="s">
        <v>1847</v>
      </c>
      <c r="D95" s="348" t="s">
        <v>1765</v>
      </c>
      <c r="E95" s="348" t="s">
        <v>2776</v>
      </c>
      <c r="F95" s="349">
        <f>F96</f>
        <v>0</v>
      </c>
      <c r="G95" s="332">
        <f>G94</f>
        <v>1</v>
      </c>
    </row>
    <row r="96" spans="1:8" ht="18">
      <c r="A96" s="332" t="s">
        <v>2070</v>
      </c>
      <c r="B96" s="350"/>
      <c r="C96" s="375" t="s">
        <v>1944</v>
      </c>
      <c r="D96" s="350" t="s">
        <v>2754</v>
      </c>
      <c r="E96" s="350" t="s">
        <v>1956</v>
      </c>
      <c r="F96" s="351">
        <f>VLOOKUP(A96,CTTBA,H96,0)</f>
        <v>0</v>
      </c>
      <c r="G96" s="332">
        <f t="shared" ref="G96:G106" si="6">G95</f>
        <v>1</v>
      </c>
      <c r="H96" s="332">
        <f>'7.CT-TBA'!$N$25</f>
        <v>14</v>
      </c>
    </row>
    <row r="97" spans="1:8" ht="18.600000000000001">
      <c r="B97" s="348">
        <v>2</v>
      </c>
      <c r="C97" s="349" t="s">
        <v>1946</v>
      </c>
      <c r="D97" s="348" t="s">
        <v>1764</v>
      </c>
      <c r="E97" s="348" t="s">
        <v>2777</v>
      </c>
      <c r="F97" s="349">
        <f>F98</f>
        <v>3762564</v>
      </c>
      <c r="G97" s="332">
        <f t="shared" si="6"/>
        <v>1</v>
      </c>
    </row>
    <row r="98" spans="1:8" ht="18">
      <c r="A98" s="332" t="s">
        <v>2070</v>
      </c>
      <c r="B98" s="350"/>
      <c r="C98" s="375" t="s">
        <v>1947</v>
      </c>
      <c r="D98" s="350" t="s">
        <v>2755</v>
      </c>
      <c r="E98" s="350" t="s">
        <v>3290</v>
      </c>
      <c r="F98" s="351">
        <f>ROUND(VLOOKUP(A98,CTTBA,H98,0)*NCTBA,0)</f>
        <v>3762564</v>
      </c>
      <c r="G98" s="332">
        <f t="shared" si="6"/>
        <v>1</v>
      </c>
      <c r="H98" s="332">
        <f>'7.CT-TBA'!$O$25</f>
        <v>15</v>
      </c>
    </row>
    <row r="99" spans="1:8" ht="18.600000000000001">
      <c r="B99" s="348">
        <v>3</v>
      </c>
      <c r="C99" s="349" t="s">
        <v>1855</v>
      </c>
      <c r="D99" s="348" t="s">
        <v>1774</v>
      </c>
      <c r="E99" s="348" t="s">
        <v>2778</v>
      </c>
      <c r="F99" s="349">
        <f>F100</f>
        <v>1081815</v>
      </c>
      <c r="G99" s="332">
        <f t="shared" si="6"/>
        <v>1</v>
      </c>
    </row>
    <row r="100" spans="1:8" ht="18">
      <c r="A100" s="332" t="s">
        <v>2070</v>
      </c>
      <c r="B100" s="350"/>
      <c r="C100" s="375" t="s">
        <v>1948</v>
      </c>
      <c r="D100" s="350" t="s">
        <v>2756</v>
      </c>
      <c r="E100" s="350" t="s">
        <v>478</v>
      </c>
      <c r="F100" s="351">
        <f>VLOOKUP(A100,CTTBA,H100,0)</f>
        <v>1081815</v>
      </c>
      <c r="G100" s="332">
        <f t="shared" si="6"/>
        <v>1</v>
      </c>
      <c r="H100" s="332">
        <f>'7.CT-TBA'!$P$25</f>
        <v>16</v>
      </c>
    </row>
    <row r="101" spans="1:8">
      <c r="B101" s="346" t="s">
        <v>1663</v>
      </c>
      <c r="C101" s="347" t="s">
        <v>1858</v>
      </c>
      <c r="D101" s="346" t="s">
        <v>1776</v>
      </c>
      <c r="E101" s="346" t="s">
        <v>1859</v>
      </c>
      <c r="F101" s="347">
        <f>ROUND(65%*F97,0)</f>
        <v>2445667</v>
      </c>
      <c r="G101" s="332">
        <f t="shared" si="6"/>
        <v>1</v>
      </c>
    </row>
    <row r="102" spans="1:8" ht="18">
      <c r="B102" s="346"/>
      <c r="C102" s="347" t="s">
        <v>1861</v>
      </c>
      <c r="D102" s="346" t="s">
        <v>2775</v>
      </c>
      <c r="E102" s="346" t="s">
        <v>2807</v>
      </c>
      <c r="F102" s="347">
        <f>F94+F101</f>
        <v>7290046</v>
      </c>
      <c r="G102" s="332">
        <f t="shared" si="6"/>
        <v>1</v>
      </c>
    </row>
    <row r="103" spans="1:8" ht="18">
      <c r="B103" s="346" t="s">
        <v>1673</v>
      </c>
      <c r="C103" s="347" t="s">
        <v>1862</v>
      </c>
      <c r="D103" s="346" t="s">
        <v>1863</v>
      </c>
      <c r="E103" s="346" t="s">
        <v>2770</v>
      </c>
      <c r="F103" s="347">
        <f>ROUND(6%*F102,0)</f>
        <v>437403</v>
      </c>
      <c r="G103" s="332">
        <f t="shared" si="6"/>
        <v>1</v>
      </c>
    </row>
    <row r="104" spans="1:8" ht="18">
      <c r="A104" s="332" t="s">
        <v>2098</v>
      </c>
      <c r="B104" s="634"/>
      <c r="C104" s="635" t="s">
        <v>1865</v>
      </c>
      <c r="D104" s="634" t="s">
        <v>1866</v>
      </c>
      <c r="E104" s="634" t="s">
        <v>2771</v>
      </c>
      <c r="F104" s="635">
        <f>F102+F103</f>
        <v>7727449</v>
      </c>
      <c r="G104" s="332">
        <f t="shared" si="6"/>
        <v>1</v>
      </c>
    </row>
    <row r="105" spans="1:8">
      <c r="B105" s="346" t="s">
        <v>1717</v>
      </c>
      <c r="C105" s="347" t="s">
        <v>1867</v>
      </c>
      <c r="D105" s="346" t="s">
        <v>1868</v>
      </c>
      <c r="E105" s="346" t="s">
        <v>1869</v>
      </c>
      <c r="F105" s="347">
        <f>ROUND(10%*F104,0)</f>
        <v>772745</v>
      </c>
      <c r="G105" s="332">
        <f t="shared" si="6"/>
        <v>1</v>
      </c>
    </row>
    <row r="106" spans="1:8" ht="18">
      <c r="B106" s="346" t="s">
        <v>1729</v>
      </c>
      <c r="C106" s="347" t="s">
        <v>1950</v>
      </c>
      <c r="D106" s="346" t="s">
        <v>2765</v>
      </c>
      <c r="E106" s="346" t="s">
        <v>1871</v>
      </c>
      <c r="F106" s="347">
        <f>F104+F105</f>
        <v>8500194</v>
      </c>
      <c r="G106" s="332">
        <f t="shared" si="6"/>
        <v>1</v>
      </c>
    </row>
    <row r="107" spans="1:8" hidden="1">
      <c r="A107" s="332" t="s">
        <v>2813</v>
      </c>
      <c r="B107" s="345"/>
      <c r="C107" s="345" t="str">
        <f>VLOOKUP(A107,CTTBA,'7.CT-TBA'!$E$25,0)</f>
        <v>0 Trạm 1 pha 2x37,5kVA</v>
      </c>
      <c r="D107" s="345"/>
      <c r="E107" s="345"/>
      <c r="F107" s="345"/>
      <c r="G107" s="332">
        <f>IF(SUM(G108:G120)&lt;&gt;0,1,)</f>
        <v>0</v>
      </c>
    </row>
    <row r="108" spans="1:8" hidden="1">
      <c r="B108" s="346" t="s">
        <v>1631</v>
      </c>
      <c r="C108" s="347" t="s">
        <v>1845</v>
      </c>
      <c r="D108" s="346" t="s">
        <v>1846</v>
      </c>
      <c r="E108" s="346" t="s">
        <v>1875</v>
      </c>
      <c r="F108" s="347">
        <f>F109+F111+F113</f>
        <v>0</v>
      </c>
      <c r="G108" s="332">
        <f>IF(F108&lt;&gt;0,1,)</f>
        <v>0</v>
      </c>
    </row>
    <row r="109" spans="1:8" ht="18.600000000000001" hidden="1">
      <c r="B109" s="348">
        <v>1</v>
      </c>
      <c r="C109" s="349" t="s">
        <v>1847</v>
      </c>
      <c r="D109" s="348" t="s">
        <v>1765</v>
      </c>
      <c r="E109" s="348" t="s">
        <v>2776</v>
      </c>
      <c r="F109" s="349">
        <f>F110</f>
        <v>0</v>
      </c>
      <c r="G109" s="332">
        <f>G108</f>
        <v>0</v>
      </c>
    </row>
    <row r="110" spans="1:8" ht="18" hidden="1">
      <c r="A110" s="332" t="str">
        <f>"TB"&amp;A107</f>
        <v>TBTR2X375</v>
      </c>
      <c r="B110" s="350"/>
      <c r="C110" s="375" t="s">
        <v>1944</v>
      </c>
      <c r="D110" s="350" t="s">
        <v>2754</v>
      </c>
      <c r="E110" s="350" t="s">
        <v>1956</v>
      </c>
      <c r="F110" s="351">
        <f>VLOOKUP(A110,CTTBA,H110,0)</f>
        <v>0</v>
      </c>
      <c r="G110" s="332">
        <f t="shared" ref="G110:G120" si="7">G109</f>
        <v>0</v>
      </c>
      <c r="H110" s="332">
        <f>'7.CT-TBA'!$N$25</f>
        <v>14</v>
      </c>
    </row>
    <row r="111" spans="1:8" ht="18.600000000000001" hidden="1">
      <c r="B111" s="348">
        <v>2</v>
      </c>
      <c r="C111" s="349" t="s">
        <v>1946</v>
      </c>
      <c r="D111" s="348" t="s">
        <v>1764</v>
      </c>
      <c r="E111" s="348" t="s">
        <v>2777</v>
      </c>
      <c r="F111" s="349">
        <f>F112</f>
        <v>0</v>
      </c>
      <c r="G111" s="332">
        <f t="shared" si="7"/>
        <v>0</v>
      </c>
    </row>
    <row r="112" spans="1:8" ht="18" hidden="1">
      <c r="A112" s="332" t="str">
        <f>"TB"&amp;A107</f>
        <v>TBTR2X375</v>
      </c>
      <c r="B112" s="350"/>
      <c r="C112" s="375" t="s">
        <v>1947</v>
      </c>
      <c r="D112" s="350" t="s">
        <v>2755</v>
      </c>
      <c r="E112" s="350" t="s">
        <v>1630</v>
      </c>
      <c r="F112" s="351">
        <f>VLOOKUP(A112,CTTBA,H112,0)</f>
        <v>0</v>
      </c>
      <c r="G112" s="332">
        <f t="shared" si="7"/>
        <v>0</v>
      </c>
      <c r="H112" s="332">
        <f>'7.CT-TBA'!$O$25</f>
        <v>15</v>
      </c>
    </row>
    <row r="113" spans="1:8" ht="18.600000000000001" hidden="1">
      <c r="B113" s="348">
        <v>3</v>
      </c>
      <c r="C113" s="349" t="s">
        <v>1855</v>
      </c>
      <c r="D113" s="348" t="s">
        <v>1774</v>
      </c>
      <c r="E113" s="348" t="s">
        <v>2778</v>
      </c>
      <c r="F113" s="349">
        <f>F114</f>
        <v>0</v>
      </c>
      <c r="G113" s="332">
        <f t="shared" si="7"/>
        <v>0</v>
      </c>
    </row>
    <row r="114" spans="1:8" ht="18" hidden="1">
      <c r="A114" s="332" t="str">
        <f>"TB"&amp;A107</f>
        <v>TBTR2X375</v>
      </c>
      <c r="B114" s="350"/>
      <c r="C114" s="375" t="s">
        <v>1948</v>
      </c>
      <c r="D114" s="350" t="s">
        <v>2756</v>
      </c>
      <c r="E114" s="350" t="s">
        <v>478</v>
      </c>
      <c r="F114" s="351">
        <f>VLOOKUP(A114,CTTBA,H114,0)</f>
        <v>0</v>
      </c>
      <c r="G114" s="332">
        <f t="shared" si="7"/>
        <v>0</v>
      </c>
      <c r="H114" s="332">
        <f>'7.CT-TBA'!$P$25</f>
        <v>16</v>
      </c>
    </row>
    <row r="115" spans="1:8" hidden="1">
      <c r="B115" s="346" t="s">
        <v>1663</v>
      </c>
      <c r="C115" s="347" t="s">
        <v>1858</v>
      </c>
      <c r="D115" s="346" t="s">
        <v>1776</v>
      </c>
      <c r="E115" s="346" t="s">
        <v>1859</v>
      </c>
      <c r="F115" s="347">
        <f>ROUND(65%*F111,0)</f>
        <v>0</v>
      </c>
      <c r="G115" s="332">
        <f t="shared" si="7"/>
        <v>0</v>
      </c>
    </row>
    <row r="116" spans="1:8" ht="18" hidden="1">
      <c r="B116" s="346"/>
      <c r="C116" s="347" t="s">
        <v>1861</v>
      </c>
      <c r="D116" s="346" t="s">
        <v>2775</v>
      </c>
      <c r="E116" s="346" t="s">
        <v>2807</v>
      </c>
      <c r="F116" s="347">
        <f>F108+F115</f>
        <v>0</v>
      </c>
      <c r="G116" s="332">
        <f t="shared" si="7"/>
        <v>0</v>
      </c>
    </row>
    <row r="117" spans="1:8" ht="18" hidden="1">
      <c r="B117" s="346" t="s">
        <v>1673</v>
      </c>
      <c r="C117" s="347" t="s">
        <v>1862</v>
      </c>
      <c r="D117" s="346" t="s">
        <v>1863</v>
      </c>
      <c r="E117" s="346" t="s">
        <v>2770</v>
      </c>
      <c r="F117" s="347">
        <f>ROUND(6%*F116,0)</f>
        <v>0</v>
      </c>
      <c r="G117" s="332">
        <f t="shared" si="7"/>
        <v>0</v>
      </c>
    </row>
    <row r="118" spans="1:8" ht="18" hidden="1">
      <c r="A118" s="332" t="str">
        <f>"XL"&amp;A107</f>
        <v>XLTR2X375</v>
      </c>
      <c r="B118" s="346"/>
      <c r="C118" s="347" t="s">
        <v>1865</v>
      </c>
      <c r="D118" s="346" t="s">
        <v>1866</v>
      </c>
      <c r="E118" s="346" t="s">
        <v>2771</v>
      </c>
      <c r="F118" s="347">
        <f>F116+F117</f>
        <v>0</v>
      </c>
      <c r="G118" s="332">
        <f t="shared" si="7"/>
        <v>0</v>
      </c>
    </row>
    <row r="119" spans="1:8" hidden="1">
      <c r="B119" s="346" t="s">
        <v>1717</v>
      </c>
      <c r="C119" s="347" t="s">
        <v>1867</v>
      </c>
      <c r="D119" s="346" t="s">
        <v>1868</v>
      </c>
      <c r="E119" s="346" t="s">
        <v>1869</v>
      </c>
      <c r="F119" s="347">
        <f>ROUND(10%*F118,0)</f>
        <v>0</v>
      </c>
      <c r="G119" s="332">
        <f t="shared" si="7"/>
        <v>0</v>
      </c>
    </row>
    <row r="120" spans="1:8" ht="18" hidden="1">
      <c r="B120" s="346" t="s">
        <v>1729</v>
      </c>
      <c r="C120" s="347" t="s">
        <v>1950</v>
      </c>
      <c r="D120" s="346" t="s">
        <v>2765</v>
      </c>
      <c r="E120" s="346" t="s">
        <v>1871</v>
      </c>
      <c r="F120" s="347">
        <f>F118+F119</f>
        <v>0</v>
      </c>
      <c r="G120" s="332">
        <f t="shared" si="7"/>
        <v>0</v>
      </c>
    </row>
    <row r="121" spans="1:8" hidden="1">
      <c r="A121" s="332" t="s">
        <v>2073</v>
      </c>
      <c r="B121" s="345"/>
      <c r="C121" s="345" t="str">
        <f>VLOOKUP(A121,CTTBA,'7.CT-TBA'!$E$25,0)</f>
        <v>0 Trạm 1 pha 100kVA</v>
      </c>
      <c r="D121" s="345"/>
      <c r="E121" s="345"/>
      <c r="F121" s="345"/>
      <c r="G121" s="332">
        <f>IF(SUM(G122:G134)&lt;&gt;0,1,)</f>
        <v>0</v>
      </c>
    </row>
    <row r="122" spans="1:8" hidden="1">
      <c r="B122" s="346" t="s">
        <v>1631</v>
      </c>
      <c r="C122" s="347" t="s">
        <v>1845</v>
      </c>
      <c r="D122" s="346" t="s">
        <v>1846</v>
      </c>
      <c r="E122" s="346" t="s">
        <v>1875</v>
      </c>
      <c r="F122" s="347">
        <f>F123+F125+F127</f>
        <v>0</v>
      </c>
      <c r="G122" s="332">
        <f>IF(F122&lt;&gt;0,1,)</f>
        <v>0</v>
      </c>
    </row>
    <row r="123" spans="1:8" ht="18.600000000000001" hidden="1">
      <c r="B123" s="348">
        <v>1</v>
      </c>
      <c r="C123" s="349" t="s">
        <v>1847</v>
      </c>
      <c r="D123" s="348" t="s">
        <v>1765</v>
      </c>
      <c r="E123" s="348" t="s">
        <v>2776</v>
      </c>
      <c r="F123" s="349">
        <f>F124</f>
        <v>0</v>
      </c>
      <c r="G123" s="332">
        <f>G122</f>
        <v>0</v>
      </c>
    </row>
    <row r="124" spans="1:8" ht="18" hidden="1">
      <c r="A124" s="332" t="s">
        <v>2074</v>
      </c>
      <c r="B124" s="350"/>
      <c r="C124" s="375" t="s">
        <v>1944</v>
      </c>
      <c r="D124" s="350" t="s">
        <v>2754</v>
      </c>
      <c r="E124" s="350" t="s">
        <v>1956</v>
      </c>
      <c r="F124" s="351">
        <f>VLOOKUP(A124,CTTBA,H124,0)</f>
        <v>0</v>
      </c>
      <c r="G124" s="332">
        <f t="shared" ref="G124:G134" si="8">G123</f>
        <v>0</v>
      </c>
      <c r="H124" s="332">
        <f>'7.CT-TBA'!$N$25</f>
        <v>14</v>
      </c>
    </row>
    <row r="125" spans="1:8" ht="18.600000000000001" hidden="1">
      <c r="B125" s="348">
        <v>2</v>
      </c>
      <c r="C125" s="349" t="s">
        <v>1946</v>
      </c>
      <c r="D125" s="348" t="s">
        <v>1764</v>
      </c>
      <c r="E125" s="348" t="s">
        <v>2777</v>
      </c>
      <c r="F125" s="349">
        <f>F126</f>
        <v>0</v>
      </c>
      <c r="G125" s="332">
        <f t="shared" si="8"/>
        <v>0</v>
      </c>
    </row>
    <row r="126" spans="1:8" ht="18" hidden="1">
      <c r="A126" s="332" t="s">
        <v>2074</v>
      </c>
      <c r="B126" s="350"/>
      <c r="C126" s="375" t="s">
        <v>1947</v>
      </c>
      <c r="D126" s="350" t="s">
        <v>2755</v>
      </c>
      <c r="E126" s="350" t="s">
        <v>1630</v>
      </c>
      <c r="F126" s="351">
        <f>VLOOKUP(A126,CTTBA,H126,0)</f>
        <v>0</v>
      </c>
      <c r="G126" s="332">
        <f t="shared" si="8"/>
        <v>0</v>
      </c>
      <c r="H126" s="332">
        <f>'7.CT-TBA'!$O$25</f>
        <v>15</v>
      </c>
    </row>
    <row r="127" spans="1:8" ht="18.600000000000001" hidden="1">
      <c r="B127" s="348">
        <v>3</v>
      </c>
      <c r="C127" s="349" t="s">
        <v>1855</v>
      </c>
      <c r="D127" s="348" t="s">
        <v>1774</v>
      </c>
      <c r="E127" s="348" t="s">
        <v>2778</v>
      </c>
      <c r="F127" s="349">
        <f>F128</f>
        <v>0</v>
      </c>
      <c r="G127" s="332">
        <f t="shared" si="8"/>
        <v>0</v>
      </c>
    </row>
    <row r="128" spans="1:8" ht="18" hidden="1">
      <c r="A128" s="332" t="s">
        <v>2074</v>
      </c>
      <c r="B128" s="350"/>
      <c r="C128" s="375" t="s">
        <v>1948</v>
      </c>
      <c r="D128" s="350" t="s">
        <v>2756</v>
      </c>
      <c r="E128" s="350" t="s">
        <v>478</v>
      </c>
      <c r="F128" s="351">
        <f>VLOOKUP(A128,CTTBA,H128,0)</f>
        <v>0</v>
      </c>
      <c r="G128" s="332">
        <f t="shared" si="8"/>
        <v>0</v>
      </c>
      <c r="H128" s="332">
        <f>'7.CT-TBA'!$P$25</f>
        <v>16</v>
      </c>
    </row>
    <row r="129" spans="1:8" hidden="1">
      <c r="B129" s="346" t="s">
        <v>1663</v>
      </c>
      <c r="C129" s="347" t="s">
        <v>1858</v>
      </c>
      <c r="D129" s="346" t="s">
        <v>1776</v>
      </c>
      <c r="E129" s="346" t="s">
        <v>1859</v>
      </c>
      <c r="F129" s="347">
        <f>ROUND(65%*F125,0)</f>
        <v>0</v>
      </c>
      <c r="G129" s="332">
        <f t="shared" si="8"/>
        <v>0</v>
      </c>
    </row>
    <row r="130" spans="1:8" ht="18" hidden="1">
      <c r="B130" s="346"/>
      <c r="C130" s="347" t="s">
        <v>1861</v>
      </c>
      <c r="D130" s="346" t="s">
        <v>2775</v>
      </c>
      <c r="E130" s="346" t="s">
        <v>2807</v>
      </c>
      <c r="F130" s="347">
        <f>F122+F129</f>
        <v>0</v>
      </c>
      <c r="G130" s="332">
        <f t="shared" si="8"/>
        <v>0</v>
      </c>
    </row>
    <row r="131" spans="1:8" ht="18" hidden="1">
      <c r="B131" s="346" t="s">
        <v>1673</v>
      </c>
      <c r="C131" s="347" t="s">
        <v>1862</v>
      </c>
      <c r="D131" s="346" t="s">
        <v>1863</v>
      </c>
      <c r="E131" s="346" t="s">
        <v>2770</v>
      </c>
      <c r="F131" s="347">
        <f>ROUND(6%*F130,0)</f>
        <v>0</v>
      </c>
      <c r="G131" s="332">
        <f t="shared" si="8"/>
        <v>0</v>
      </c>
    </row>
    <row r="132" spans="1:8" ht="18" hidden="1">
      <c r="A132" s="332" t="s">
        <v>2102</v>
      </c>
      <c r="B132" s="346"/>
      <c r="C132" s="347" t="s">
        <v>1865</v>
      </c>
      <c r="D132" s="346" t="s">
        <v>1866</v>
      </c>
      <c r="E132" s="346" t="s">
        <v>2771</v>
      </c>
      <c r="F132" s="347">
        <f>F130+F131</f>
        <v>0</v>
      </c>
      <c r="G132" s="332">
        <f t="shared" si="8"/>
        <v>0</v>
      </c>
    </row>
    <row r="133" spans="1:8" hidden="1">
      <c r="B133" s="346" t="s">
        <v>1717</v>
      </c>
      <c r="C133" s="347" t="s">
        <v>1867</v>
      </c>
      <c r="D133" s="346" t="s">
        <v>1868</v>
      </c>
      <c r="E133" s="346" t="s">
        <v>1869</v>
      </c>
      <c r="F133" s="347">
        <f>ROUND(10%*F132,0)</f>
        <v>0</v>
      </c>
      <c r="G133" s="332">
        <f t="shared" si="8"/>
        <v>0</v>
      </c>
    </row>
    <row r="134" spans="1:8" ht="18" hidden="1">
      <c r="B134" s="346" t="s">
        <v>1729</v>
      </c>
      <c r="C134" s="347" t="s">
        <v>1950</v>
      </c>
      <c r="D134" s="346" t="s">
        <v>2765</v>
      </c>
      <c r="E134" s="346" t="s">
        <v>1871</v>
      </c>
      <c r="F134" s="347">
        <f>F132+F133</f>
        <v>0</v>
      </c>
      <c r="G134" s="332">
        <f t="shared" si="8"/>
        <v>0</v>
      </c>
    </row>
    <row r="135" spans="1:8" hidden="1">
      <c r="A135" s="332" t="s">
        <v>2076</v>
      </c>
      <c r="B135" s="345"/>
      <c r="C135" s="345" t="str">
        <f>VLOOKUP(A135,CTTBA,'7.CT-TBA'!$E$25,0)</f>
        <v>0 Trạm 3 pha 3x25kVA</v>
      </c>
      <c r="D135" s="345"/>
      <c r="E135" s="345"/>
      <c r="F135" s="345"/>
      <c r="G135" s="332">
        <f>IF(SUM(G136:G148)&lt;&gt;0,1,)</f>
        <v>0</v>
      </c>
    </row>
    <row r="136" spans="1:8" hidden="1">
      <c r="B136" s="346" t="s">
        <v>1631</v>
      </c>
      <c r="C136" s="347" t="s">
        <v>1845</v>
      </c>
      <c r="D136" s="346" t="s">
        <v>1846</v>
      </c>
      <c r="E136" s="346" t="s">
        <v>1875</v>
      </c>
      <c r="F136" s="347">
        <f>F137+F139+F141</f>
        <v>0</v>
      </c>
      <c r="G136" s="332">
        <f>IF(F136&lt;&gt;0,1,)</f>
        <v>0</v>
      </c>
    </row>
    <row r="137" spans="1:8" ht="18.600000000000001" hidden="1">
      <c r="B137" s="348">
        <v>1</v>
      </c>
      <c r="C137" s="349" t="s">
        <v>1847</v>
      </c>
      <c r="D137" s="348" t="s">
        <v>1765</v>
      </c>
      <c r="E137" s="348" t="s">
        <v>2776</v>
      </c>
      <c r="F137" s="349">
        <f>F138</f>
        <v>0</v>
      </c>
      <c r="G137" s="332">
        <f>G136</f>
        <v>0</v>
      </c>
    </row>
    <row r="138" spans="1:8" ht="18" hidden="1">
      <c r="A138" s="332" t="s">
        <v>2077</v>
      </c>
      <c r="B138" s="350"/>
      <c r="C138" s="375" t="s">
        <v>1944</v>
      </c>
      <c r="D138" s="350" t="s">
        <v>2754</v>
      </c>
      <c r="E138" s="350" t="s">
        <v>1956</v>
      </c>
      <c r="F138" s="351">
        <f>VLOOKUP(A138,CTTBA,H138,0)</f>
        <v>0</v>
      </c>
      <c r="G138" s="332">
        <f t="shared" ref="G138:G148" si="9">G137</f>
        <v>0</v>
      </c>
      <c r="H138" s="332">
        <f>'7.CT-TBA'!$N$25</f>
        <v>14</v>
      </c>
    </row>
    <row r="139" spans="1:8" ht="18.600000000000001" hidden="1">
      <c r="B139" s="348">
        <v>2</v>
      </c>
      <c r="C139" s="349" t="s">
        <v>1946</v>
      </c>
      <c r="D139" s="348" t="s">
        <v>1764</v>
      </c>
      <c r="E139" s="348" t="s">
        <v>2777</v>
      </c>
      <c r="F139" s="349">
        <f>F140</f>
        <v>0</v>
      </c>
      <c r="G139" s="332">
        <f t="shared" si="9"/>
        <v>0</v>
      </c>
    </row>
    <row r="140" spans="1:8" ht="18" hidden="1">
      <c r="A140" s="332" t="s">
        <v>2077</v>
      </c>
      <c r="B140" s="350"/>
      <c r="C140" s="375" t="s">
        <v>1947</v>
      </c>
      <c r="D140" s="350" t="s">
        <v>2755</v>
      </c>
      <c r="E140" s="350" t="s">
        <v>1630</v>
      </c>
      <c r="F140" s="351">
        <f>VLOOKUP(A140,CTTBA,H140,0)</f>
        <v>0</v>
      </c>
      <c r="G140" s="332">
        <f t="shared" si="9"/>
        <v>0</v>
      </c>
      <c r="H140" s="332">
        <f>'7.CT-TBA'!$O$25</f>
        <v>15</v>
      </c>
    </row>
    <row r="141" spans="1:8" ht="18.600000000000001" hidden="1">
      <c r="B141" s="348">
        <v>3</v>
      </c>
      <c r="C141" s="349" t="s">
        <v>1855</v>
      </c>
      <c r="D141" s="348" t="s">
        <v>1774</v>
      </c>
      <c r="E141" s="348" t="s">
        <v>2778</v>
      </c>
      <c r="F141" s="349">
        <f>F142</f>
        <v>0</v>
      </c>
      <c r="G141" s="332">
        <f t="shared" si="9"/>
        <v>0</v>
      </c>
    </row>
    <row r="142" spans="1:8" ht="18" hidden="1">
      <c r="A142" s="332" t="s">
        <v>2077</v>
      </c>
      <c r="B142" s="350"/>
      <c r="C142" s="375" t="s">
        <v>1948</v>
      </c>
      <c r="D142" s="350" t="s">
        <v>2756</v>
      </c>
      <c r="E142" s="350" t="s">
        <v>478</v>
      </c>
      <c r="F142" s="351">
        <f>VLOOKUP(A142,CTTBA,H142,0)</f>
        <v>0</v>
      </c>
      <c r="G142" s="332">
        <f t="shared" si="9"/>
        <v>0</v>
      </c>
      <c r="H142" s="332">
        <f>'7.CT-TBA'!$P$25</f>
        <v>16</v>
      </c>
    </row>
    <row r="143" spans="1:8" hidden="1">
      <c r="B143" s="346" t="s">
        <v>1663</v>
      </c>
      <c r="C143" s="347" t="s">
        <v>1858</v>
      </c>
      <c r="D143" s="346" t="s">
        <v>1776</v>
      </c>
      <c r="E143" s="346" t="s">
        <v>1859</v>
      </c>
      <c r="F143" s="347">
        <f>ROUND(65%*F139,0)</f>
        <v>0</v>
      </c>
      <c r="G143" s="332">
        <f t="shared" si="9"/>
        <v>0</v>
      </c>
    </row>
    <row r="144" spans="1:8" ht="18" hidden="1">
      <c r="B144" s="346"/>
      <c r="C144" s="347" t="s">
        <v>1861</v>
      </c>
      <c r="D144" s="346" t="s">
        <v>2775</v>
      </c>
      <c r="E144" s="346" t="s">
        <v>2807</v>
      </c>
      <c r="F144" s="347">
        <f>F136+F143</f>
        <v>0</v>
      </c>
      <c r="G144" s="332">
        <f t="shared" si="9"/>
        <v>0</v>
      </c>
    </row>
    <row r="145" spans="1:8" ht="18" hidden="1">
      <c r="B145" s="346" t="s">
        <v>1673</v>
      </c>
      <c r="C145" s="347" t="s">
        <v>1862</v>
      </c>
      <c r="D145" s="346" t="s">
        <v>1863</v>
      </c>
      <c r="E145" s="346" t="s">
        <v>2770</v>
      </c>
      <c r="F145" s="347">
        <f>ROUND(6%*F144,0)</f>
        <v>0</v>
      </c>
      <c r="G145" s="332">
        <f t="shared" si="9"/>
        <v>0</v>
      </c>
    </row>
    <row r="146" spans="1:8" ht="18" hidden="1">
      <c r="A146" s="332" t="s">
        <v>2100</v>
      </c>
      <c r="B146" s="346"/>
      <c r="C146" s="347" t="s">
        <v>1865</v>
      </c>
      <c r="D146" s="346" t="s">
        <v>1866</v>
      </c>
      <c r="E146" s="346" t="s">
        <v>2771</v>
      </c>
      <c r="F146" s="347">
        <f>F144+F145</f>
        <v>0</v>
      </c>
      <c r="G146" s="332">
        <f t="shared" si="9"/>
        <v>0</v>
      </c>
    </row>
    <row r="147" spans="1:8" hidden="1">
      <c r="B147" s="346" t="s">
        <v>1717</v>
      </c>
      <c r="C147" s="347" t="s">
        <v>1867</v>
      </c>
      <c r="D147" s="346" t="s">
        <v>1868</v>
      </c>
      <c r="E147" s="346" t="s">
        <v>1869</v>
      </c>
      <c r="F147" s="347">
        <f>ROUND(10%*F146,0)</f>
        <v>0</v>
      </c>
      <c r="G147" s="332">
        <f t="shared" si="9"/>
        <v>0</v>
      </c>
    </row>
    <row r="148" spans="1:8" ht="18" hidden="1">
      <c r="B148" s="346" t="s">
        <v>1729</v>
      </c>
      <c r="C148" s="347" t="s">
        <v>1950</v>
      </c>
      <c r="D148" s="346" t="s">
        <v>2765</v>
      </c>
      <c r="E148" s="346" t="s">
        <v>1871</v>
      </c>
      <c r="F148" s="347">
        <f>F146+F147</f>
        <v>0</v>
      </c>
      <c r="G148" s="332">
        <f t="shared" si="9"/>
        <v>0</v>
      </c>
    </row>
    <row r="149" spans="1:8" hidden="1">
      <c r="A149" s="332" t="s">
        <v>2079</v>
      </c>
      <c r="B149" s="345"/>
      <c r="C149" s="345" t="str">
        <f>VLOOKUP(A149,CTTBA,'7.CT-TBA'!$E$25,0)</f>
        <v>0 Trạm 3 pha 3x37,5kVA</v>
      </c>
      <c r="D149" s="345"/>
      <c r="E149" s="345"/>
      <c r="F149" s="345"/>
      <c r="G149" s="332">
        <f>IF(SUM(G150:G162)&lt;&gt;0,1,)</f>
        <v>0</v>
      </c>
    </row>
    <row r="150" spans="1:8" hidden="1">
      <c r="B150" s="346" t="s">
        <v>1631</v>
      </c>
      <c r="C150" s="347" t="s">
        <v>1845</v>
      </c>
      <c r="D150" s="346" t="s">
        <v>1846</v>
      </c>
      <c r="E150" s="346" t="s">
        <v>1875</v>
      </c>
      <c r="F150" s="347">
        <f>F151+F153+F155</f>
        <v>0</v>
      </c>
      <c r="G150" s="332">
        <f>IF(F150&lt;&gt;0,1,)</f>
        <v>0</v>
      </c>
    </row>
    <row r="151" spans="1:8" ht="18.600000000000001" hidden="1">
      <c r="B151" s="348">
        <v>1</v>
      </c>
      <c r="C151" s="349" t="s">
        <v>1847</v>
      </c>
      <c r="D151" s="348" t="s">
        <v>1765</v>
      </c>
      <c r="E151" s="348" t="s">
        <v>2776</v>
      </c>
      <c r="F151" s="349">
        <f>F152</f>
        <v>0</v>
      </c>
      <c r="G151" s="332">
        <f>G150</f>
        <v>0</v>
      </c>
    </row>
    <row r="152" spans="1:8" ht="18" hidden="1">
      <c r="A152" s="332" t="s">
        <v>2080</v>
      </c>
      <c r="B152" s="350"/>
      <c r="C152" s="375" t="s">
        <v>1944</v>
      </c>
      <c r="D152" s="350" t="s">
        <v>2754</v>
      </c>
      <c r="E152" s="350" t="s">
        <v>1956</v>
      </c>
      <c r="F152" s="351">
        <f>VLOOKUP(A152,CTTBA,H152,0)</f>
        <v>0</v>
      </c>
      <c r="G152" s="332">
        <f t="shared" ref="G152:G162" si="10">G151</f>
        <v>0</v>
      </c>
      <c r="H152" s="332">
        <f>'7.CT-TBA'!$N$25</f>
        <v>14</v>
      </c>
    </row>
    <row r="153" spans="1:8" ht="18.600000000000001" hidden="1">
      <c r="B153" s="348">
        <v>2</v>
      </c>
      <c r="C153" s="349" t="s">
        <v>1946</v>
      </c>
      <c r="D153" s="348" t="s">
        <v>1764</v>
      </c>
      <c r="E153" s="348" t="s">
        <v>2777</v>
      </c>
      <c r="F153" s="349">
        <f>F154</f>
        <v>0</v>
      </c>
      <c r="G153" s="332">
        <f t="shared" si="10"/>
        <v>0</v>
      </c>
    </row>
    <row r="154" spans="1:8" ht="18" hidden="1">
      <c r="A154" s="332" t="s">
        <v>2080</v>
      </c>
      <c r="B154" s="350"/>
      <c r="C154" s="375" t="s">
        <v>1947</v>
      </c>
      <c r="D154" s="350" t="s">
        <v>2755</v>
      </c>
      <c r="E154" s="350" t="s">
        <v>1630</v>
      </c>
      <c r="F154" s="351">
        <f>VLOOKUP(A154,CTTBA,H154,0)</f>
        <v>0</v>
      </c>
      <c r="G154" s="332">
        <f t="shared" si="10"/>
        <v>0</v>
      </c>
      <c r="H154" s="332">
        <f>'7.CT-TBA'!$O$25</f>
        <v>15</v>
      </c>
    </row>
    <row r="155" spans="1:8" ht="18.600000000000001" hidden="1">
      <c r="B155" s="348">
        <v>3</v>
      </c>
      <c r="C155" s="349" t="s">
        <v>1855</v>
      </c>
      <c r="D155" s="348" t="s">
        <v>1774</v>
      </c>
      <c r="E155" s="348" t="s">
        <v>2778</v>
      </c>
      <c r="F155" s="349">
        <f>F156</f>
        <v>0</v>
      </c>
      <c r="G155" s="332">
        <f t="shared" si="10"/>
        <v>0</v>
      </c>
    </row>
    <row r="156" spans="1:8" ht="18" hidden="1">
      <c r="A156" s="332" t="s">
        <v>2080</v>
      </c>
      <c r="B156" s="350"/>
      <c r="C156" s="375" t="s">
        <v>1948</v>
      </c>
      <c r="D156" s="350" t="s">
        <v>2756</v>
      </c>
      <c r="E156" s="350" t="s">
        <v>478</v>
      </c>
      <c r="F156" s="351">
        <f>VLOOKUP(A156,CTTBA,H156,0)</f>
        <v>0</v>
      </c>
      <c r="G156" s="332">
        <f t="shared" si="10"/>
        <v>0</v>
      </c>
      <c r="H156" s="332">
        <f>'7.CT-TBA'!$P$25</f>
        <v>16</v>
      </c>
    </row>
    <row r="157" spans="1:8" hidden="1">
      <c r="B157" s="346" t="s">
        <v>1663</v>
      </c>
      <c r="C157" s="347" t="s">
        <v>1858</v>
      </c>
      <c r="D157" s="346" t="s">
        <v>1776</v>
      </c>
      <c r="E157" s="346" t="s">
        <v>1859</v>
      </c>
      <c r="F157" s="347">
        <f>ROUND(65%*F153,0)</f>
        <v>0</v>
      </c>
      <c r="G157" s="332">
        <f t="shared" si="10"/>
        <v>0</v>
      </c>
    </row>
    <row r="158" spans="1:8" ht="18" hidden="1">
      <c r="B158" s="346"/>
      <c r="C158" s="347" t="s">
        <v>1861</v>
      </c>
      <c r="D158" s="346" t="s">
        <v>2775</v>
      </c>
      <c r="E158" s="346" t="s">
        <v>2807</v>
      </c>
      <c r="F158" s="347">
        <f>F150+F157</f>
        <v>0</v>
      </c>
      <c r="G158" s="332">
        <f t="shared" si="10"/>
        <v>0</v>
      </c>
    </row>
    <row r="159" spans="1:8" ht="18" hidden="1">
      <c r="B159" s="346" t="s">
        <v>1673</v>
      </c>
      <c r="C159" s="347" t="s">
        <v>1862</v>
      </c>
      <c r="D159" s="346" t="s">
        <v>1863</v>
      </c>
      <c r="E159" s="346" t="s">
        <v>2770</v>
      </c>
      <c r="F159" s="347">
        <f>ROUND(6%*F158,0)</f>
        <v>0</v>
      </c>
      <c r="G159" s="332">
        <f t="shared" si="10"/>
        <v>0</v>
      </c>
    </row>
    <row r="160" spans="1:8" ht="18" hidden="1">
      <c r="A160" s="332" t="s">
        <v>2101</v>
      </c>
      <c r="B160" s="346"/>
      <c r="C160" s="347" t="s">
        <v>1865</v>
      </c>
      <c r="D160" s="346" t="s">
        <v>1866</v>
      </c>
      <c r="E160" s="346" t="s">
        <v>2771</v>
      </c>
      <c r="F160" s="347">
        <f>F158+F159</f>
        <v>0</v>
      </c>
      <c r="G160" s="332">
        <f t="shared" si="10"/>
        <v>0</v>
      </c>
    </row>
    <row r="161" spans="1:8" hidden="1">
      <c r="B161" s="346" t="s">
        <v>1717</v>
      </c>
      <c r="C161" s="347" t="s">
        <v>1867</v>
      </c>
      <c r="D161" s="346" t="s">
        <v>1868</v>
      </c>
      <c r="E161" s="346" t="s">
        <v>1869</v>
      </c>
      <c r="F161" s="347">
        <f>ROUND(10%*F160,0)</f>
        <v>0</v>
      </c>
      <c r="G161" s="332">
        <f t="shared" si="10"/>
        <v>0</v>
      </c>
    </row>
    <row r="162" spans="1:8" ht="18" hidden="1">
      <c r="B162" s="346" t="s">
        <v>1729</v>
      </c>
      <c r="C162" s="347" t="s">
        <v>1950</v>
      </c>
      <c r="D162" s="346" t="s">
        <v>2765</v>
      </c>
      <c r="E162" s="346" t="s">
        <v>1871</v>
      </c>
      <c r="F162" s="347">
        <f>F160+F161</f>
        <v>0</v>
      </c>
      <c r="G162" s="332">
        <f t="shared" si="10"/>
        <v>0</v>
      </c>
    </row>
    <row r="163" spans="1:8">
      <c r="A163" s="332" t="s">
        <v>2082</v>
      </c>
      <c r="B163" s="345"/>
      <c r="C163" s="345" t="str">
        <f>VLOOKUP(A163,CTTBA,'7.CT-TBA'!$E$25,0)</f>
        <v>9 Trạm 3 pha 3x50kVA</v>
      </c>
      <c r="D163" s="345"/>
      <c r="E163" s="345"/>
      <c r="F163" s="345"/>
      <c r="G163" s="332">
        <f>IF(SUM(G164:G176)&lt;&gt;0,1,)</f>
        <v>1</v>
      </c>
    </row>
    <row r="164" spans="1:8">
      <c r="B164" s="346" t="s">
        <v>1631</v>
      </c>
      <c r="C164" s="347" t="s">
        <v>1845</v>
      </c>
      <c r="D164" s="346" t="s">
        <v>1846</v>
      </c>
      <c r="E164" s="346" t="s">
        <v>1875</v>
      </c>
      <c r="F164" s="347">
        <f>F165+F167+F169</f>
        <v>36931248</v>
      </c>
      <c r="G164" s="332">
        <f>IF(F164&lt;&gt;0,1,)</f>
        <v>1</v>
      </c>
    </row>
    <row r="165" spans="1:8" ht="18.600000000000001">
      <c r="B165" s="348">
        <v>1</v>
      </c>
      <c r="C165" s="349" t="s">
        <v>1847</v>
      </c>
      <c r="D165" s="348" t="s">
        <v>1765</v>
      </c>
      <c r="E165" s="348" t="s">
        <v>2776</v>
      </c>
      <c r="F165" s="349">
        <f>F166</f>
        <v>0</v>
      </c>
      <c r="G165" s="332">
        <f>G164</f>
        <v>1</v>
      </c>
    </row>
    <row r="166" spans="1:8" ht="18">
      <c r="A166" s="332" t="s">
        <v>2083</v>
      </c>
      <c r="B166" s="350"/>
      <c r="C166" s="375" t="s">
        <v>1944</v>
      </c>
      <c r="D166" s="350" t="s">
        <v>2754</v>
      </c>
      <c r="E166" s="350" t="s">
        <v>1956</v>
      </c>
      <c r="F166" s="351">
        <f>VLOOKUP(A166,CTTBA,H166,0)</f>
        <v>0</v>
      </c>
      <c r="G166" s="332">
        <f t="shared" ref="G166:G176" si="11">G165</f>
        <v>1</v>
      </c>
      <c r="H166" s="332">
        <f>'7.CT-TBA'!$N$25</f>
        <v>14</v>
      </c>
    </row>
    <row r="167" spans="1:8" ht="18.600000000000001">
      <c r="B167" s="348">
        <v>2</v>
      </c>
      <c r="C167" s="349" t="s">
        <v>1946</v>
      </c>
      <c r="D167" s="348" t="s">
        <v>1764</v>
      </c>
      <c r="E167" s="348" t="s">
        <v>2777</v>
      </c>
      <c r="F167" s="349">
        <f>F168</f>
        <v>27194913</v>
      </c>
      <c r="G167" s="332">
        <f t="shared" si="11"/>
        <v>1</v>
      </c>
    </row>
    <row r="168" spans="1:8" ht="18">
      <c r="A168" s="332" t="s">
        <v>2083</v>
      </c>
      <c r="B168" s="350"/>
      <c r="C168" s="375" t="s">
        <v>1947</v>
      </c>
      <c r="D168" s="350" t="s">
        <v>2755</v>
      </c>
      <c r="E168" s="350" t="s">
        <v>3290</v>
      </c>
      <c r="F168" s="351">
        <f>ROUND(VLOOKUP(A168,CTTBA,H168,0)*NCTBA,0)</f>
        <v>27194913</v>
      </c>
      <c r="G168" s="332">
        <f t="shared" si="11"/>
        <v>1</v>
      </c>
      <c r="H168" s="332">
        <f>'7.CT-TBA'!$O$25</f>
        <v>15</v>
      </c>
    </row>
    <row r="169" spans="1:8" ht="18.600000000000001">
      <c r="B169" s="348">
        <v>3</v>
      </c>
      <c r="C169" s="349" t="s">
        <v>1855</v>
      </c>
      <c r="D169" s="348" t="s">
        <v>1774</v>
      </c>
      <c r="E169" s="348" t="s">
        <v>2778</v>
      </c>
      <c r="F169" s="349">
        <f>F170</f>
        <v>9736335</v>
      </c>
      <c r="G169" s="332">
        <f t="shared" si="11"/>
        <v>1</v>
      </c>
    </row>
    <row r="170" spans="1:8" ht="18">
      <c r="A170" s="332" t="s">
        <v>2083</v>
      </c>
      <c r="B170" s="350"/>
      <c r="C170" s="375" t="s">
        <v>1948</v>
      </c>
      <c r="D170" s="350" t="s">
        <v>2756</v>
      </c>
      <c r="E170" s="350" t="s">
        <v>478</v>
      </c>
      <c r="F170" s="351">
        <f>VLOOKUP(A170,CTTBA,H170,0)</f>
        <v>9736335</v>
      </c>
      <c r="G170" s="332">
        <f t="shared" si="11"/>
        <v>1</v>
      </c>
      <c r="H170" s="332">
        <f>'7.CT-TBA'!$P$25</f>
        <v>16</v>
      </c>
    </row>
    <row r="171" spans="1:8">
      <c r="B171" s="346" t="s">
        <v>1663</v>
      </c>
      <c r="C171" s="347" t="s">
        <v>1858</v>
      </c>
      <c r="D171" s="346" t="s">
        <v>1776</v>
      </c>
      <c r="E171" s="346" t="s">
        <v>1859</v>
      </c>
      <c r="F171" s="347">
        <f>ROUND(65%*F167,0)</f>
        <v>17676693</v>
      </c>
      <c r="G171" s="332">
        <f t="shared" si="11"/>
        <v>1</v>
      </c>
    </row>
    <row r="172" spans="1:8" ht="18">
      <c r="B172" s="346"/>
      <c r="C172" s="347" t="s">
        <v>1861</v>
      </c>
      <c r="D172" s="346" t="s">
        <v>2775</v>
      </c>
      <c r="E172" s="346" t="s">
        <v>2807</v>
      </c>
      <c r="F172" s="347">
        <f>F164+F171</f>
        <v>54607941</v>
      </c>
      <c r="G172" s="332">
        <f t="shared" si="11"/>
        <v>1</v>
      </c>
    </row>
    <row r="173" spans="1:8" ht="18">
      <c r="B173" s="346" t="s">
        <v>1673</v>
      </c>
      <c r="C173" s="347" t="s">
        <v>1862</v>
      </c>
      <c r="D173" s="346" t="s">
        <v>1863</v>
      </c>
      <c r="E173" s="346" t="s">
        <v>2770</v>
      </c>
      <c r="F173" s="347">
        <f>ROUND(6%*F172,0)</f>
        <v>3276476</v>
      </c>
      <c r="G173" s="332">
        <f t="shared" si="11"/>
        <v>1</v>
      </c>
    </row>
    <row r="174" spans="1:8" ht="18">
      <c r="A174" s="332" t="s">
        <v>2099</v>
      </c>
      <c r="B174" s="634"/>
      <c r="C174" s="635" t="s">
        <v>1865</v>
      </c>
      <c r="D174" s="634" t="s">
        <v>1866</v>
      </c>
      <c r="E174" s="634" t="s">
        <v>2771</v>
      </c>
      <c r="F174" s="635">
        <f>F172+F173</f>
        <v>57884417</v>
      </c>
      <c r="G174" s="332">
        <f t="shared" si="11"/>
        <v>1</v>
      </c>
    </row>
    <row r="175" spans="1:8">
      <c r="B175" s="346" t="s">
        <v>1717</v>
      </c>
      <c r="C175" s="347" t="s">
        <v>1867</v>
      </c>
      <c r="D175" s="346" t="s">
        <v>1868</v>
      </c>
      <c r="E175" s="346" t="s">
        <v>1869</v>
      </c>
      <c r="F175" s="347">
        <f>ROUND(10%*F174,0)</f>
        <v>5788442</v>
      </c>
      <c r="G175" s="332">
        <f t="shared" si="11"/>
        <v>1</v>
      </c>
    </row>
    <row r="176" spans="1:8" ht="18">
      <c r="B176" s="346" t="s">
        <v>1729</v>
      </c>
      <c r="C176" s="347" t="s">
        <v>1950</v>
      </c>
      <c r="D176" s="346" t="s">
        <v>2765</v>
      </c>
      <c r="E176" s="346" t="s">
        <v>1871</v>
      </c>
      <c r="F176" s="347">
        <f>F174+F175</f>
        <v>63672859</v>
      </c>
      <c r="G176" s="332">
        <f t="shared" si="11"/>
        <v>1</v>
      </c>
    </row>
    <row r="177" spans="1:8" hidden="1">
      <c r="A177" s="332" t="s">
        <v>2085</v>
      </c>
      <c r="B177" s="345"/>
      <c r="C177" s="345" t="str">
        <f>VLOOKUP(A177,CTTBA,'7.CT-TBA'!$E$25,0)</f>
        <v>0 Trạm 3 pha 3x75kVA</v>
      </c>
      <c r="D177" s="345"/>
      <c r="E177" s="345"/>
      <c r="F177" s="345"/>
      <c r="G177" s="332">
        <f>IF(SUM(G178:G190)&lt;&gt;0,1,)</f>
        <v>0</v>
      </c>
    </row>
    <row r="178" spans="1:8" hidden="1">
      <c r="B178" s="346" t="s">
        <v>1631</v>
      </c>
      <c r="C178" s="347" t="s">
        <v>1845</v>
      </c>
      <c r="D178" s="346" t="s">
        <v>1846</v>
      </c>
      <c r="E178" s="346" t="s">
        <v>1875</v>
      </c>
      <c r="F178" s="347">
        <f>F179+F181+F183</f>
        <v>0</v>
      </c>
      <c r="G178" s="332">
        <f>IF(F178&lt;&gt;0,1,)</f>
        <v>0</v>
      </c>
    </row>
    <row r="179" spans="1:8" ht="18.600000000000001" hidden="1">
      <c r="B179" s="348">
        <v>1</v>
      </c>
      <c r="C179" s="349" t="s">
        <v>1847</v>
      </c>
      <c r="D179" s="348" t="s">
        <v>1765</v>
      </c>
      <c r="E179" s="348" t="s">
        <v>2776</v>
      </c>
      <c r="F179" s="349">
        <f>F180</f>
        <v>0</v>
      </c>
      <c r="G179" s="332">
        <f>G178</f>
        <v>0</v>
      </c>
    </row>
    <row r="180" spans="1:8" ht="18" hidden="1">
      <c r="A180" s="332" t="str">
        <f>"TB"&amp;$A$177</f>
        <v>TBTR3X75</v>
      </c>
      <c r="B180" s="350"/>
      <c r="C180" s="375" t="s">
        <v>1944</v>
      </c>
      <c r="D180" s="350" t="s">
        <v>2754</v>
      </c>
      <c r="E180" s="350" t="s">
        <v>1956</v>
      </c>
      <c r="F180" s="351">
        <f>VLOOKUP(A180,CTTBA,H180,0)</f>
        <v>0</v>
      </c>
      <c r="G180" s="332">
        <f t="shared" ref="G180:G190" si="12">G179</f>
        <v>0</v>
      </c>
      <c r="H180" s="332">
        <f>'7.CT-TBA'!$N$25</f>
        <v>14</v>
      </c>
    </row>
    <row r="181" spans="1:8" ht="18.600000000000001" hidden="1">
      <c r="B181" s="348">
        <v>2</v>
      </c>
      <c r="C181" s="349" t="s">
        <v>1946</v>
      </c>
      <c r="D181" s="348" t="s">
        <v>1764</v>
      </c>
      <c r="E181" s="348" t="s">
        <v>2777</v>
      </c>
      <c r="F181" s="349">
        <f>F182</f>
        <v>0</v>
      </c>
      <c r="G181" s="332">
        <f t="shared" si="12"/>
        <v>0</v>
      </c>
    </row>
    <row r="182" spans="1:8" ht="18" hidden="1">
      <c r="A182" s="332" t="str">
        <f>"TB"&amp;$A$177</f>
        <v>TBTR3X75</v>
      </c>
      <c r="B182" s="350"/>
      <c r="C182" s="375" t="s">
        <v>1947</v>
      </c>
      <c r="D182" s="350" t="s">
        <v>2755</v>
      </c>
      <c r="E182" s="350" t="s">
        <v>1630</v>
      </c>
      <c r="F182" s="351">
        <f>VLOOKUP(A182,CTTBA,H182,0)</f>
        <v>0</v>
      </c>
      <c r="G182" s="332">
        <f t="shared" si="12"/>
        <v>0</v>
      </c>
      <c r="H182" s="332">
        <f>'7.CT-TBA'!$O$25</f>
        <v>15</v>
      </c>
    </row>
    <row r="183" spans="1:8" ht="18.600000000000001" hidden="1">
      <c r="B183" s="348">
        <v>3</v>
      </c>
      <c r="C183" s="349" t="s">
        <v>1855</v>
      </c>
      <c r="D183" s="348" t="s">
        <v>1774</v>
      </c>
      <c r="E183" s="348" t="s">
        <v>2778</v>
      </c>
      <c r="F183" s="349">
        <f>F184</f>
        <v>0</v>
      </c>
      <c r="G183" s="332">
        <f t="shared" si="12"/>
        <v>0</v>
      </c>
    </row>
    <row r="184" spans="1:8" ht="18" hidden="1">
      <c r="A184" s="332" t="str">
        <f>"TB"&amp;$A$177</f>
        <v>TBTR3X75</v>
      </c>
      <c r="B184" s="350"/>
      <c r="C184" s="375" t="s">
        <v>1948</v>
      </c>
      <c r="D184" s="350" t="s">
        <v>2756</v>
      </c>
      <c r="E184" s="350" t="s">
        <v>478</v>
      </c>
      <c r="F184" s="351">
        <f>VLOOKUP(A184,CTTBA,H184,0)</f>
        <v>0</v>
      </c>
      <c r="G184" s="332">
        <f t="shared" si="12"/>
        <v>0</v>
      </c>
      <c r="H184" s="332">
        <f>'7.CT-TBA'!$P$25</f>
        <v>16</v>
      </c>
    </row>
    <row r="185" spans="1:8" hidden="1">
      <c r="B185" s="346" t="s">
        <v>1663</v>
      </c>
      <c r="C185" s="347" t="s">
        <v>1858</v>
      </c>
      <c r="D185" s="346" t="s">
        <v>1776</v>
      </c>
      <c r="E185" s="346" t="s">
        <v>1859</v>
      </c>
      <c r="F185" s="347">
        <f>ROUND(65%*F181,0)</f>
        <v>0</v>
      </c>
      <c r="G185" s="332">
        <f t="shared" si="12"/>
        <v>0</v>
      </c>
    </row>
    <row r="186" spans="1:8" ht="18" hidden="1">
      <c r="B186" s="346"/>
      <c r="C186" s="347" t="s">
        <v>1861</v>
      </c>
      <c r="D186" s="346" t="s">
        <v>2775</v>
      </c>
      <c r="E186" s="346" t="s">
        <v>2807</v>
      </c>
      <c r="F186" s="347">
        <f>F178+F185</f>
        <v>0</v>
      </c>
      <c r="G186" s="332">
        <f t="shared" si="12"/>
        <v>0</v>
      </c>
    </row>
    <row r="187" spans="1:8" ht="18" hidden="1">
      <c r="B187" s="346" t="s">
        <v>1673</v>
      </c>
      <c r="C187" s="347" t="s">
        <v>1862</v>
      </c>
      <c r="D187" s="346" t="s">
        <v>1863</v>
      </c>
      <c r="E187" s="346" t="s">
        <v>2770</v>
      </c>
      <c r="F187" s="347">
        <f>ROUND(6%*F186,0)</f>
        <v>0</v>
      </c>
      <c r="G187" s="332">
        <f t="shared" si="12"/>
        <v>0</v>
      </c>
    </row>
    <row r="188" spans="1:8" ht="18" hidden="1">
      <c r="A188" s="332" t="s">
        <v>2106</v>
      </c>
      <c r="B188" s="346"/>
      <c r="C188" s="347" t="s">
        <v>1865</v>
      </c>
      <c r="D188" s="346" t="s">
        <v>1866</v>
      </c>
      <c r="E188" s="346" t="s">
        <v>2771</v>
      </c>
      <c r="F188" s="347">
        <f>F186+F187</f>
        <v>0</v>
      </c>
      <c r="G188" s="332">
        <f t="shared" si="12"/>
        <v>0</v>
      </c>
    </row>
    <row r="189" spans="1:8" hidden="1">
      <c r="B189" s="346" t="s">
        <v>1717</v>
      </c>
      <c r="C189" s="347" t="s">
        <v>1867</v>
      </c>
      <c r="D189" s="346" t="s">
        <v>1868</v>
      </c>
      <c r="E189" s="346" t="s">
        <v>1869</v>
      </c>
      <c r="F189" s="347">
        <f>ROUND(10%*F188,0)</f>
        <v>0</v>
      </c>
      <c r="G189" s="332">
        <f t="shared" si="12"/>
        <v>0</v>
      </c>
    </row>
    <row r="190" spans="1:8" ht="18" hidden="1">
      <c r="B190" s="346" t="s">
        <v>1729</v>
      </c>
      <c r="C190" s="347" t="s">
        <v>1950</v>
      </c>
      <c r="D190" s="346" t="s">
        <v>2765</v>
      </c>
      <c r="E190" s="346" t="s">
        <v>1871</v>
      </c>
      <c r="F190" s="347">
        <f>F188+F189</f>
        <v>0</v>
      </c>
      <c r="G190" s="332">
        <f t="shared" si="12"/>
        <v>0</v>
      </c>
    </row>
    <row r="191" spans="1:8" hidden="1">
      <c r="A191" s="332" t="s">
        <v>2094</v>
      </c>
      <c r="B191" s="345"/>
      <c r="C191" s="345" t="str">
        <f>VLOOKUP(A191,CTTBA,'7.CT-TBA'!$E$25,0)</f>
        <v>0 Trạm 3 pha 3x100kVA</v>
      </c>
      <c r="D191" s="345"/>
      <c r="E191" s="345"/>
      <c r="F191" s="345"/>
      <c r="G191" s="332">
        <f>IF(SUM(G192:G204)&lt;&gt;0,1,)</f>
        <v>0</v>
      </c>
    </row>
    <row r="192" spans="1:8" hidden="1">
      <c r="B192" s="346" t="s">
        <v>1631</v>
      </c>
      <c r="C192" s="347" t="s">
        <v>1845</v>
      </c>
      <c r="D192" s="346" t="s">
        <v>1846</v>
      </c>
      <c r="E192" s="346" t="s">
        <v>1875</v>
      </c>
      <c r="F192" s="347">
        <f>F193+F195+F197</f>
        <v>0</v>
      </c>
      <c r="G192" s="332">
        <f>IF(F192&lt;&gt;0,1,)</f>
        <v>0</v>
      </c>
    </row>
    <row r="193" spans="1:8" ht="18.600000000000001" hidden="1">
      <c r="B193" s="348">
        <v>1</v>
      </c>
      <c r="C193" s="349" t="s">
        <v>1847</v>
      </c>
      <c r="D193" s="348" t="s">
        <v>1765</v>
      </c>
      <c r="E193" s="348" t="s">
        <v>2776</v>
      </c>
      <c r="F193" s="349">
        <f>F194</f>
        <v>0</v>
      </c>
      <c r="G193" s="332">
        <f>G192</f>
        <v>0</v>
      </c>
    </row>
    <row r="194" spans="1:8" ht="18" hidden="1">
      <c r="B194" s="350"/>
      <c r="C194" s="375" t="s">
        <v>1944</v>
      </c>
      <c r="D194" s="350" t="s">
        <v>2754</v>
      </c>
      <c r="E194" s="350" t="s">
        <v>1956</v>
      </c>
      <c r="F194" s="351">
        <f>VLOOKUP(A194,CTTBA,H194,0)</f>
        <v>0</v>
      </c>
      <c r="G194" s="332">
        <f t="shared" ref="G194:G204" si="13">G193</f>
        <v>0</v>
      </c>
      <c r="H194" s="332">
        <f>'7.CT-TBA'!$N$25</f>
        <v>14</v>
      </c>
    </row>
    <row r="195" spans="1:8" ht="18.600000000000001" hidden="1">
      <c r="B195" s="348">
        <v>2</v>
      </c>
      <c r="C195" s="349" t="s">
        <v>1946</v>
      </c>
      <c r="D195" s="348" t="s">
        <v>1764</v>
      </c>
      <c r="E195" s="348" t="s">
        <v>2777</v>
      </c>
      <c r="F195" s="349">
        <f>F196</f>
        <v>0</v>
      </c>
      <c r="G195" s="332">
        <f t="shared" si="13"/>
        <v>0</v>
      </c>
    </row>
    <row r="196" spans="1:8" ht="18" hidden="1">
      <c r="B196" s="350"/>
      <c r="C196" s="375" t="s">
        <v>1947</v>
      </c>
      <c r="D196" s="350" t="s">
        <v>2755</v>
      </c>
      <c r="E196" s="350" t="s">
        <v>1630</v>
      </c>
      <c r="F196" s="351">
        <f>VLOOKUP(A196,CTTBA,H196,0)</f>
        <v>0</v>
      </c>
      <c r="G196" s="332">
        <f t="shared" si="13"/>
        <v>0</v>
      </c>
      <c r="H196" s="332">
        <f>'7.CT-TBA'!$O$25</f>
        <v>15</v>
      </c>
    </row>
    <row r="197" spans="1:8" ht="18.600000000000001" hidden="1">
      <c r="B197" s="348">
        <v>3</v>
      </c>
      <c r="C197" s="349" t="s">
        <v>1855</v>
      </c>
      <c r="D197" s="348" t="s">
        <v>1774</v>
      </c>
      <c r="E197" s="348" t="s">
        <v>2778</v>
      </c>
      <c r="F197" s="349">
        <f>F198</f>
        <v>0</v>
      </c>
      <c r="G197" s="332">
        <f t="shared" si="13"/>
        <v>0</v>
      </c>
    </row>
    <row r="198" spans="1:8" ht="18" hidden="1">
      <c r="B198" s="350"/>
      <c r="C198" s="375" t="s">
        <v>1948</v>
      </c>
      <c r="D198" s="350" t="s">
        <v>2756</v>
      </c>
      <c r="E198" s="350" t="s">
        <v>478</v>
      </c>
      <c r="F198" s="351">
        <f>VLOOKUP(A198,CTTBA,H198,0)</f>
        <v>0</v>
      </c>
      <c r="G198" s="332">
        <f t="shared" si="13"/>
        <v>0</v>
      </c>
      <c r="H198" s="332">
        <f>'7.CT-TBA'!$P$25</f>
        <v>16</v>
      </c>
    </row>
    <row r="199" spans="1:8" hidden="1">
      <c r="B199" s="346" t="s">
        <v>1663</v>
      </c>
      <c r="C199" s="347" t="s">
        <v>1858</v>
      </c>
      <c r="D199" s="346" t="s">
        <v>1776</v>
      </c>
      <c r="E199" s="346" t="s">
        <v>1859</v>
      </c>
      <c r="F199" s="347">
        <f>ROUND(65%*F195,0)</f>
        <v>0</v>
      </c>
      <c r="G199" s="332">
        <f t="shared" si="13"/>
        <v>0</v>
      </c>
    </row>
    <row r="200" spans="1:8" ht="18" hidden="1">
      <c r="B200" s="346"/>
      <c r="C200" s="347" t="s">
        <v>1861</v>
      </c>
      <c r="D200" s="346" t="s">
        <v>2775</v>
      </c>
      <c r="E200" s="346" t="s">
        <v>2807</v>
      </c>
      <c r="F200" s="347">
        <f>F192+F199</f>
        <v>0</v>
      </c>
      <c r="G200" s="332">
        <f t="shared" si="13"/>
        <v>0</v>
      </c>
    </row>
    <row r="201" spans="1:8" ht="18" hidden="1">
      <c r="B201" s="346" t="s">
        <v>1673</v>
      </c>
      <c r="C201" s="347" t="s">
        <v>1862</v>
      </c>
      <c r="D201" s="346" t="s">
        <v>1863</v>
      </c>
      <c r="E201" s="346" t="s">
        <v>2770</v>
      </c>
      <c r="F201" s="347">
        <f>ROUND(6%*F200,0)</f>
        <v>0</v>
      </c>
      <c r="G201" s="332">
        <f t="shared" si="13"/>
        <v>0</v>
      </c>
    </row>
    <row r="202" spans="1:8" ht="18" hidden="1">
      <c r="A202" s="332" t="s">
        <v>2107</v>
      </c>
      <c r="B202" s="346"/>
      <c r="C202" s="347" t="s">
        <v>1865</v>
      </c>
      <c r="D202" s="346" t="s">
        <v>1866</v>
      </c>
      <c r="E202" s="346" t="s">
        <v>2771</v>
      </c>
      <c r="F202" s="347">
        <f>F200+F201</f>
        <v>0</v>
      </c>
      <c r="G202" s="332">
        <f t="shared" si="13"/>
        <v>0</v>
      </c>
    </row>
    <row r="203" spans="1:8" hidden="1">
      <c r="B203" s="346" t="s">
        <v>1717</v>
      </c>
      <c r="C203" s="347" t="s">
        <v>1867</v>
      </c>
      <c r="D203" s="346" t="s">
        <v>1868</v>
      </c>
      <c r="E203" s="346" t="s">
        <v>1869</v>
      </c>
      <c r="F203" s="347">
        <f>ROUND(10%*F202,0)</f>
        <v>0</v>
      </c>
      <c r="G203" s="332">
        <f t="shared" si="13"/>
        <v>0</v>
      </c>
    </row>
    <row r="204" spans="1:8" ht="18" hidden="1">
      <c r="B204" s="346" t="s">
        <v>1729</v>
      </c>
      <c r="C204" s="347" t="s">
        <v>1950</v>
      </c>
      <c r="D204" s="346" t="s">
        <v>2765</v>
      </c>
      <c r="E204" s="346" t="s">
        <v>1871</v>
      </c>
      <c r="F204" s="347">
        <f>F202+F203</f>
        <v>0</v>
      </c>
      <c r="G204" s="332">
        <f t="shared" si="13"/>
        <v>0</v>
      </c>
    </row>
    <row r="205" spans="1:8" hidden="1">
      <c r="A205" s="332" t="s">
        <v>2838</v>
      </c>
      <c r="B205" s="345"/>
      <c r="C205" s="345" t="str">
        <f>VLOOKUP(A205,CTTBA,'7.CT-TBA'!$E$25,0)</f>
        <v>0 Trạm 3 pha 160kVA (trạm giàn)</v>
      </c>
      <c r="D205" s="345"/>
      <c r="E205" s="345"/>
      <c r="F205" s="345"/>
      <c r="G205" s="332">
        <f>IF(SUM(G206:G218)&lt;&gt;0,1,)</f>
        <v>0</v>
      </c>
    </row>
    <row r="206" spans="1:8" hidden="1">
      <c r="B206" s="346" t="s">
        <v>1631</v>
      </c>
      <c r="C206" s="347" t="s">
        <v>1845</v>
      </c>
      <c r="D206" s="346" t="s">
        <v>1846</v>
      </c>
      <c r="E206" s="346" t="s">
        <v>1875</v>
      </c>
      <c r="F206" s="347">
        <f>F207+F209+F211</f>
        <v>0</v>
      </c>
      <c r="G206" s="332">
        <f>IF(F206&lt;&gt;0,1,)</f>
        <v>0</v>
      </c>
    </row>
    <row r="207" spans="1:8" ht="18.600000000000001" hidden="1">
      <c r="B207" s="348">
        <v>1</v>
      </c>
      <c r="C207" s="349" t="s">
        <v>1847</v>
      </c>
      <c r="D207" s="348" t="s">
        <v>1765</v>
      </c>
      <c r="E207" s="348" t="s">
        <v>2776</v>
      </c>
      <c r="F207" s="349">
        <f>F208</f>
        <v>0</v>
      </c>
      <c r="G207" s="332">
        <f>G206</f>
        <v>0</v>
      </c>
    </row>
    <row r="208" spans="1:8" ht="18" hidden="1">
      <c r="A208" s="332" t="str">
        <f>"TB"&amp;A205</f>
        <v>TBT3P160</v>
      </c>
      <c r="B208" s="350"/>
      <c r="C208" s="375" t="s">
        <v>1944</v>
      </c>
      <c r="D208" s="350" t="s">
        <v>2754</v>
      </c>
      <c r="E208" s="350" t="s">
        <v>1956</v>
      </c>
      <c r="F208" s="351">
        <f>VLOOKUP(A208,CTTBA,H208,0)</f>
        <v>0</v>
      </c>
      <c r="G208" s="332">
        <f t="shared" ref="G208:G218" si="14">G207</f>
        <v>0</v>
      </c>
      <c r="H208" s="332">
        <f>'7.CT-TBA'!$N$25</f>
        <v>14</v>
      </c>
    </row>
    <row r="209" spans="1:8" ht="18.600000000000001" hidden="1">
      <c r="B209" s="348">
        <v>2</v>
      </c>
      <c r="C209" s="349" t="s">
        <v>1946</v>
      </c>
      <c r="D209" s="348" t="s">
        <v>1764</v>
      </c>
      <c r="E209" s="348" t="s">
        <v>2777</v>
      </c>
      <c r="F209" s="349">
        <f>F210</f>
        <v>0</v>
      </c>
      <c r="G209" s="332">
        <f t="shared" si="14"/>
        <v>0</v>
      </c>
    </row>
    <row r="210" spans="1:8" ht="18" hidden="1">
      <c r="A210" s="332" t="str">
        <f>"TB"&amp;A205</f>
        <v>TBT3P160</v>
      </c>
      <c r="B210" s="350"/>
      <c r="C210" s="375" t="s">
        <v>1947</v>
      </c>
      <c r="D210" s="350" t="s">
        <v>2755</v>
      </c>
      <c r="E210" s="350" t="s">
        <v>1630</v>
      </c>
      <c r="F210" s="351">
        <f>VLOOKUP(A210,CTTBA,H210,0)</f>
        <v>0</v>
      </c>
      <c r="G210" s="332">
        <f t="shared" si="14"/>
        <v>0</v>
      </c>
      <c r="H210" s="332">
        <f>'7.CT-TBA'!$O$25</f>
        <v>15</v>
      </c>
    </row>
    <row r="211" spans="1:8" ht="18.600000000000001" hidden="1">
      <c r="B211" s="348">
        <v>3</v>
      </c>
      <c r="C211" s="349" t="s">
        <v>1855</v>
      </c>
      <c r="D211" s="348" t="s">
        <v>1774</v>
      </c>
      <c r="E211" s="348" t="s">
        <v>2778</v>
      </c>
      <c r="F211" s="349">
        <f>F212</f>
        <v>0</v>
      </c>
      <c r="G211" s="332">
        <f t="shared" si="14"/>
        <v>0</v>
      </c>
    </row>
    <row r="212" spans="1:8" ht="18" hidden="1">
      <c r="A212" s="332" t="str">
        <f>"TB"&amp;A205</f>
        <v>TBT3P160</v>
      </c>
      <c r="B212" s="350"/>
      <c r="C212" s="375" t="s">
        <v>1948</v>
      </c>
      <c r="D212" s="350" t="s">
        <v>2756</v>
      </c>
      <c r="E212" s="350" t="s">
        <v>478</v>
      </c>
      <c r="F212" s="351">
        <f>VLOOKUP(A212,CTTBA,H212,0)</f>
        <v>0</v>
      </c>
      <c r="G212" s="332">
        <f t="shared" si="14"/>
        <v>0</v>
      </c>
      <c r="H212" s="332">
        <f>'7.CT-TBA'!$P$25</f>
        <v>16</v>
      </c>
    </row>
    <row r="213" spans="1:8" hidden="1">
      <c r="B213" s="346" t="s">
        <v>1663</v>
      </c>
      <c r="C213" s="347" t="s">
        <v>1858</v>
      </c>
      <c r="D213" s="346" t="s">
        <v>1776</v>
      </c>
      <c r="E213" s="346" t="s">
        <v>1859</v>
      </c>
      <c r="F213" s="347">
        <f>ROUND(65%*F209,0)</f>
        <v>0</v>
      </c>
      <c r="G213" s="332">
        <f t="shared" si="14"/>
        <v>0</v>
      </c>
    </row>
    <row r="214" spans="1:8" ht="18" hidden="1">
      <c r="B214" s="346"/>
      <c r="C214" s="347" t="s">
        <v>1861</v>
      </c>
      <c r="D214" s="346" t="s">
        <v>2775</v>
      </c>
      <c r="E214" s="346" t="s">
        <v>2807</v>
      </c>
      <c r="F214" s="347">
        <f>F206+F213</f>
        <v>0</v>
      </c>
      <c r="G214" s="332">
        <f t="shared" si="14"/>
        <v>0</v>
      </c>
    </row>
    <row r="215" spans="1:8" ht="18" hidden="1">
      <c r="B215" s="346" t="s">
        <v>1673</v>
      </c>
      <c r="C215" s="347" t="s">
        <v>1862</v>
      </c>
      <c r="D215" s="346" t="s">
        <v>1863</v>
      </c>
      <c r="E215" s="346" t="s">
        <v>2770</v>
      </c>
      <c r="F215" s="347">
        <f>ROUND(6%*F214,0)</f>
        <v>0</v>
      </c>
      <c r="G215" s="332">
        <f t="shared" si="14"/>
        <v>0</v>
      </c>
    </row>
    <row r="216" spans="1:8" ht="18" hidden="1">
      <c r="A216" s="332" t="str">
        <f>"XL"&amp;A205</f>
        <v>XLT3P160</v>
      </c>
      <c r="B216" s="346"/>
      <c r="C216" s="347" t="s">
        <v>1865</v>
      </c>
      <c r="D216" s="346" t="s">
        <v>1866</v>
      </c>
      <c r="E216" s="346" t="s">
        <v>2771</v>
      </c>
      <c r="F216" s="347">
        <f>F214+F215</f>
        <v>0</v>
      </c>
      <c r="G216" s="332">
        <f t="shared" si="14"/>
        <v>0</v>
      </c>
    </row>
    <row r="217" spans="1:8" hidden="1">
      <c r="B217" s="346" t="s">
        <v>1717</v>
      </c>
      <c r="C217" s="347" t="s">
        <v>1867</v>
      </c>
      <c r="D217" s="346" t="s">
        <v>1868</v>
      </c>
      <c r="E217" s="346" t="s">
        <v>1869</v>
      </c>
      <c r="F217" s="347">
        <f>ROUND(10%*F216,0)</f>
        <v>0</v>
      </c>
      <c r="G217" s="332">
        <f t="shared" si="14"/>
        <v>0</v>
      </c>
    </row>
    <row r="218" spans="1:8" ht="18" hidden="1">
      <c r="B218" s="346" t="s">
        <v>1729</v>
      </c>
      <c r="C218" s="347" t="s">
        <v>1950</v>
      </c>
      <c r="D218" s="346" t="s">
        <v>2765</v>
      </c>
      <c r="E218" s="346" t="s">
        <v>1871</v>
      </c>
      <c r="F218" s="347">
        <f>F216+F217</f>
        <v>0</v>
      </c>
      <c r="G218" s="332">
        <f t="shared" si="14"/>
        <v>0</v>
      </c>
    </row>
    <row r="219" spans="1:8" hidden="1">
      <c r="A219" s="332" t="s">
        <v>2839</v>
      </c>
      <c r="B219" s="345"/>
      <c r="C219" s="345" t="str">
        <f>VLOOKUP(A219,CTTBA,'7.CT-TBA'!$E$25,0)</f>
        <v>0 Trạm 3 pha 160kVA (trạm ngồi)</v>
      </c>
      <c r="D219" s="345"/>
      <c r="E219" s="345"/>
      <c r="F219" s="345"/>
      <c r="G219" s="332">
        <f>IF(SUM(G220:G232)&lt;&gt;0,1,)</f>
        <v>0</v>
      </c>
    </row>
    <row r="220" spans="1:8" hidden="1">
      <c r="B220" s="346" t="s">
        <v>1631</v>
      </c>
      <c r="C220" s="347" t="s">
        <v>1845</v>
      </c>
      <c r="D220" s="346" t="s">
        <v>1846</v>
      </c>
      <c r="E220" s="346" t="s">
        <v>1875</v>
      </c>
      <c r="F220" s="347">
        <f>F221+F223+F225</f>
        <v>0</v>
      </c>
      <c r="G220" s="332">
        <f>IF(F220&lt;&gt;0,1,)</f>
        <v>0</v>
      </c>
    </row>
    <row r="221" spans="1:8" ht="18.600000000000001" hidden="1">
      <c r="B221" s="348">
        <v>1</v>
      </c>
      <c r="C221" s="349" t="s">
        <v>1847</v>
      </c>
      <c r="D221" s="348" t="s">
        <v>1765</v>
      </c>
      <c r="E221" s="348" t="s">
        <v>2776</v>
      </c>
      <c r="F221" s="349">
        <f>F222</f>
        <v>0</v>
      </c>
      <c r="G221" s="332">
        <f>G220</f>
        <v>0</v>
      </c>
    </row>
    <row r="222" spans="1:8" ht="18" hidden="1">
      <c r="A222" s="332" t="str">
        <f>"TB"&amp;A219</f>
        <v>TBT3P160N</v>
      </c>
      <c r="B222" s="350"/>
      <c r="C222" s="375" t="s">
        <v>1944</v>
      </c>
      <c r="D222" s="350" t="s">
        <v>2754</v>
      </c>
      <c r="E222" s="350" t="s">
        <v>1956</v>
      </c>
      <c r="F222" s="351">
        <f>VLOOKUP(A222,CTTBA,H222,0)</f>
        <v>0</v>
      </c>
      <c r="G222" s="332">
        <f t="shared" ref="G222:G232" si="15">G221</f>
        <v>0</v>
      </c>
      <c r="H222" s="332">
        <f>'7.CT-TBA'!$N$25</f>
        <v>14</v>
      </c>
    </row>
    <row r="223" spans="1:8" ht="18.600000000000001" hidden="1">
      <c r="B223" s="348">
        <v>2</v>
      </c>
      <c r="C223" s="349" t="s">
        <v>1946</v>
      </c>
      <c r="D223" s="348" t="s">
        <v>1764</v>
      </c>
      <c r="E223" s="348" t="s">
        <v>2777</v>
      </c>
      <c r="F223" s="349">
        <f>F224</f>
        <v>0</v>
      </c>
      <c r="G223" s="332">
        <f t="shared" si="15"/>
        <v>0</v>
      </c>
    </row>
    <row r="224" spans="1:8" ht="18" hidden="1">
      <c r="A224" s="332" t="str">
        <f>"TB"&amp;A219</f>
        <v>TBT3P160N</v>
      </c>
      <c r="B224" s="350"/>
      <c r="C224" s="375" t="s">
        <v>1947</v>
      </c>
      <c r="D224" s="350" t="s">
        <v>2755</v>
      </c>
      <c r="E224" s="350" t="s">
        <v>1630</v>
      </c>
      <c r="F224" s="351">
        <f>VLOOKUP(A224,CTTBA,H224,0)</f>
        <v>0</v>
      </c>
      <c r="G224" s="332">
        <f t="shared" si="15"/>
        <v>0</v>
      </c>
      <c r="H224" s="332">
        <f>'7.CT-TBA'!$O$25</f>
        <v>15</v>
      </c>
    </row>
    <row r="225" spans="1:8" ht="18.600000000000001" hidden="1">
      <c r="B225" s="348">
        <v>3</v>
      </c>
      <c r="C225" s="349" t="s">
        <v>1855</v>
      </c>
      <c r="D225" s="348" t="s">
        <v>1774</v>
      </c>
      <c r="E225" s="348" t="s">
        <v>2778</v>
      </c>
      <c r="F225" s="349">
        <f>F226</f>
        <v>0</v>
      </c>
      <c r="G225" s="332">
        <f t="shared" si="15"/>
        <v>0</v>
      </c>
    </row>
    <row r="226" spans="1:8" ht="18" hidden="1">
      <c r="A226" s="332" t="str">
        <f>"TB"&amp;A219</f>
        <v>TBT3P160N</v>
      </c>
      <c r="B226" s="350"/>
      <c r="C226" s="375" t="s">
        <v>1948</v>
      </c>
      <c r="D226" s="350" t="s">
        <v>2756</v>
      </c>
      <c r="E226" s="350" t="s">
        <v>478</v>
      </c>
      <c r="F226" s="351">
        <f>VLOOKUP(A226,CTTBA,H226,0)</f>
        <v>0</v>
      </c>
      <c r="G226" s="332">
        <f t="shared" si="15"/>
        <v>0</v>
      </c>
      <c r="H226" s="332">
        <f>'7.CT-TBA'!$P$25</f>
        <v>16</v>
      </c>
    </row>
    <row r="227" spans="1:8" hidden="1">
      <c r="B227" s="346" t="s">
        <v>1663</v>
      </c>
      <c r="C227" s="347" t="s">
        <v>1858</v>
      </c>
      <c r="D227" s="346" t="s">
        <v>1776</v>
      </c>
      <c r="E227" s="346" t="s">
        <v>1859</v>
      </c>
      <c r="F227" s="347">
        <f>ROUND(65%*F223,0)</f>
        <v>0</v>
      </c>
      <c r="G227" s="332">
        <f t="shared" si="15"/>
        <v>0</v>
      </c>
    </row>
    <row r="228" spans="1:8" ht="18" hidden="1">
      <c r="B228" s="346"/>
      <c r="C228" s="347" t="s">
        <v>1861</v>
      </c>
      <c r="D228" s="346" t="s">
        <v>2775</v>
      </c>
      <c r="E228" s="346" t="s">
        <v>2807</v>
      </c>
      <c r="F228" s="347">
        <f>F220+F227</f>
        <v>0</v>
      </c>
      <c r="G228" s="332">
        <f t="shared" si="15"/>
        <v>0</v>
      </c>
    </row>
    <row r="229" spans="1:8" ht="18" hidden="1">
      <c r="B229" s="346" t="s">
        <v>1673</v>
      </c>
      <c r="C229" s="347" t="s">
        <v>1862</v>
      </c>
      <c r="D229" s="346" t="s">
        <v>1863</v>
      </c>
      <c r="E229" s="346" t="s">
        <v>2770</v>
      </c>
      <c r="F229" s="347">
        <f>ROUND(6%*F228,0)</f>
        <v>0</v>
      </c>
      <c r="G229" s="332">
        <f t="shared" si="15"/>
        <v>0</v>
      </c>
    </row>
    <row r="230" spans="1:8" ht="18" hidden="1">
      <c r="A230" s="332" t="str">
        <f>"XL"&amp;A219</f>
        <v>XLT3P160N</v>
      </c>
      <c r="B230" s="346"/>
      <c r="C230" s="347" t="s">
        <v>1865</v>
      </c>
      <c r="D230" s="346" t="s">
        <v>1866</v>
      </c>
      <c r="E230" s="346" t="s">
        <v>2771</v>
      </c>
      <c r="F230" s="347">
        <f>F228+F229</f>
        <v>0</v>
      </c>
      <c r="G230" s="332">
        <f t="shared" si="15"/>
        <v>0</v>
      </c>
    </row>
    <row r="231" spans="1:8" hidden="1">
      <c r="B231" s="346" t="s">
        <v>1717</v>
      </c>
      <c r="C231" s="347" t="s">
        <v>1867</v>
      </c>
      <c r="D231" s="346" t="s">
        <v>1868</v>
      </c>
      <c r="E231" s="346" t="s">
        <v>1869</v>
      </c>
      <c r="F231" s="347">
        <f>ROUND(10%*F230,0)</f>
        <v>0</v>
      </c>
      <c r="G231" s="332">
        <f t="shared" si="15"/>
        <v>0</v>
      </c>
    </row>
    <row r="232" spans="1:8" ht="18" hidden="1">
      <c r="B232" s="346" t="s">
        <v>1729</v>
      </c>
      <c r="C232" s="347" t="s">
        <v>1950</v>
      </c>
      <c r="D232" s="346" t="s">
        <v>2765</v>
      </c>
      <c r="E232" s="346" t="s">
        <v>1871</v>
      </c>
      <c r="F232" s="347">
        <f>F230+F231</f>
        <v>0</v>
      </c>
      <c r="G232" s="332">
        <f t="shared" si="15"/>
        <v>0</v>
      </c>
    </row>
    <row r="233" spans="1:8" hidden="1">
      <c r="A233" s="332" t="s">
        <v>3218</v>
      </c>
      <c r="B233" s="345"/>
      <c r="C233" s="345" t="str">
        <f>VLOOKUP(A233,CTTBA,'7.CT-TBA'!$E$25,0)</f>
        <v xml:space="preserve"> Trạm NC từ 2x37,5kVA lên 3x37,5kVA</v>
      </c>
      <c r="D233" s="345"/>
      <c r="E233" s="345"/>
      <c r="F233" s="345"/>
      <c r="G233" s="332">
        <f>IF(SUM(G234:G246)&lt;&gt;0,1,)</f>
        <v>0</v>
      </c>
    </row>
    <row r="234" spans="1:8" hidden="1">
      <c r="B234" s="346" t="s">
        <v>1631</v>
      </c>
      <c r="C234" s="347" t="s">
        <v>1845</v>
      </c>
      <c r="D234" s="346" t="s">
        <v>1846</v>
      </c>
      <c r="E234" s="346" t="s">
        <v>1875</v>
      </c>
      <c r="F234" s="347">
        <f>F235+F237+F239</f>
        <v>0</v>
      </c>
      <c r="G234" s="332">
        <f>IF(F234&lt;&gt;0,1,)</f>
        <v>0</v>
      </c>
    </row>
    <row r="235" spans="1:8" ht="18.600000000000001" hidden="1">
      <c r="B235" s="348">
        <v>1</v>
      </c>
      <c r="C235" s="349" t="s">
        <v>1847</v>
      </c>
      <c r="D235" s="348" t="s">
        <v>1765</v>
      </c>
      <c r="E235" s="348" t="s">
        <v>2776</v>
      </c>
      <c r="F235" s="349">
        <f>F236</f>
        <v>0</v>
      </c>
      <c r="G235" s="332">
        <f>G234</f>
        <v>0</v>
      </c>
    </row>
    <row r="236" spans="1:8" ht="18" hidden="1">
      <c r="A236" s="332" t="str">
        <f>"TB"&amp;$A$233</f>
        <v>TBTRNC3X375</v>
      </c>
      <c r="B236" s="350"/>
      <c r="C236" s="375" t="s">
        <v>1944</v>
      </c>
      <c r="D236" s="350" t="s">
        <v>2754</v>
      </c>
      <c r="E236" s="350" t="s">
        <v>1956</v>
      </c>
      <c r="F236" s="351">
        <f>VLOOKUP(A236,CTTBA,H236,0)</f>
        <v>0</v>
      </c>
      <c r="G236" s="332">
        <f t="shared" ref="G236:G246" si="16">G235</f>
        <v>0</v>
      </c>
      <c r="H236" s="332">
        <f>'7.CT-TBA'!$N$25</f>
        <v>14</v>
      </c>
    </row>
    <row r="237" spans="1:8" ht="18.600000000000001" hidden="1">
      <c r="B237" s="348">
        <v>2</v>
      </c>
      <c r="C237" s="349" t="s">
        <v>1946</v>
      </c>
      <c r="D237" s="348" t="s">
        <v>1764</v>
      </c>
      <c r="E237" s="348" t="s">
        <v>2777</v>
      </c>
      <c r="F237" s="349">
        <f>F238</f>
        <v>0</v>
      </c>
      <c r="G237" s="332">
        <f t="shared" si="16"/>
        <v>0</v>
      </c>
    </row>
    <row r="238" spans="1:8" ht="18" hidden="1">
      <c r="A238" s="332" t="str">
        <f>"TB"&amp;$A$233</f>
        <v>TBTRNC3X375</v>
      </c>
      <c r="B238" s="350"/>
      <c r="C238" s="375" t="s">
        <v>1947</v>
      </c>
      <c r="D238" s="350" t="s">
        <v>2755</v>
      </c>
      <c r="E238" s="350" t="s">
        <v>3290</v>
      </c>
      <c r="F238" s="351">
        <f>ROUND(VLOOKUP(A238,CTTBA,H238,0)*NCTBA,0)</f>
        <v>0</v>
      </c>
      <c r="G238" s="332">
        <f t="shared" si="16"/>
        <v>0</v>
      </c>
      <c r="H238" s="332">
        <f>'7.CT-TBA'!$O$25</f>
        <v>15</v>
      </c>
    </row>
    <row r="239" spans="1:8" ht="18.600000000000001" hidden="1">
      <c r="B239" s="348">
        <v>3</v>
      </c>
      <c r="C239" s="349" t="s">
        <v>1855</v>
      </c>
      <c r="D239" s="348" t="s">
        <v>1774</v>
      </c>
      <c r="E239" s="348" t="s">
        <v>2778</v>
      </c>
      <c r="F239" s="349">
        <f>F240</f>
        <v>0</v>
      </c>
      <c r="G239" s="332">
        <f t="shared" si="16"/>
        <v>0</v>
      </c>
    </row>
    <row r="240" spans="1:8" ht="18" hidden="1">
      <c r="A240" s="332" t="str">
        <f>"TB"&amp;$A$233</f>
        <v>TBTRNC3X375</v>
      </c>
      <c r="B240" s="350"/>
      <c r="C240" s="375" t="s">
        <v>1948</v>
      </c>
      <c r="D240" s="350" t="s">
        <v>2756</v>
      </c>
      <c r="E240" s="350" t="s">
        <v>478</v>
      </c>
      <c r="F240" s="351">
        <f>VLOOKUP(A240,CTTBA,H240,0)</f>
        <v>0</v>
      </c>
      <c r="G240" s="332">
        <f t="shared" si="16"/>
        <v>0</v>
      </c>
      <c r="H240" s="332">
        <f>'7.CT-TBA'!$P$25</f>
        <v>16</v>
      </c>
    </row>
    <row r="241" spans="1:8" hidden="1">
      <c r="B241" s="346" t="s">
        <v>1663</v>
      </c>
      <c r="C241" s="347" t="s">
        <v>1858</v>
      </c>
      <c r="D241" s="346" t="s">
        <v>1776</v>
      </c>
      <c r="E241" s="346" t="s">
        <v>1859</v>
      </c>
      <c r="F241" s="347">
        <f>ROUND(65%*F237,0)</f>
        <v>0</v>
      </c>
      <c r="G241" s="332">
        <f t="shared" si="16"/>
        <v>0</v>
      </c>
    </row>
    <row r="242" spans="1:8" ht="18" hidden="1">
      <c r="B242" s="346"/>
      <c r="C242" s="347" t="s">
        <v>1861</v>
      </c>
      <c r="D242" s="346" t="s">
        <v>2775</v>
      </c>
      <c r="E242" s="346" t="s">
        <v>2807</v>
      </c>
      <c r="F242" s="347">
        <f>F234+F241</f>
        <v>0</v>
      </c>
      <c r="G242" s="332">
        <f t="shared" si="16"/>
        <v>0</v>
      </c>
    </row>
    <row r="243" spans="1:8" ht="18" hidden="1">
      <c r="B243" s="346" t="s">
        <v>1673</v>
      </c>
      <c r="C243" s="347" t="s">
        <v>1862</v>
      </c>
      <c r="D243" s="346" t="s">
        <v>1863</v>
      </c>
      <c r="E243" s="346" t="s">
        <v>2770</v>
      </c>
      <c r="F243" s="347">
        <f>ROUND(6%*F242,0)</f>
        <v>0</v>
      </c>
      <c r="G243" s="332">
        <f t="shared" si="16"/>
        <v>0</v>
      </c>
    </row>
    <row r="244" spans="1:8" ht="18" hidden="1">
      <c r="A244" s="332" t="str">
        <f>"XL"&amp;A233</f>
        <v>XLTRNC3X375</v>
      </c>
      <c r="B244" s="634"/>
      <c r="C244" s="635" t="s">
        <v>1865</v>
      </c>
      <c r="D244" s="634" t="s">
        <v>1866</v>
      </c>
      <c r="E244" s="634" t="s">
        <v>2771</v>
      </c>
      <c r="F244" s="635">
        <f>F242+F243</f>
        <v>0</v>
      </c>
      <c r="G244" s="332">
        <f t="shared" si="16"/>
        <v>0</v>
      </c>
    </row>
    <row r="245" spans="1:8" hidden="1">
      <c r="B245" s="346" t="s">
        <v>1717</v>
      </c>
      <c r="C245" s="347" t="s">
        <v>1867</v>
      </c>
      <c r="D245" s="346" t="s">
        <v>1868</v>
      </c>
      <c r="E245" s="346" t="s">
        <v>1869</v>
      </c>
      <c r="F245" s="347">
        <f>ROUND(10%*F244,0)</f>
        <v>0</v>
      </c>
      <c r="G245" s="332">
        <f t="shared" si="16"/>
        <v>0</v>
      </c>
    </row>
    <row r="246" spans="1:8" ht="18" hidden="1">
      <c r="B246" s="346" t="s">
        <v>1729</v>
      </c>
      <c r="C246" s="347" t="s">
        <v>1950</v>
      </c>
      <c r="D246" s="346" t="s">
        <v>2765</v>
      </c>
      <c r="E246" s="346" t="s">
        <v>1871</v>
      </c>
      <c r="F246" s="347">
        <f>F244+F245</f>
        <v>0</v>
      </c>
      <c r="G246" s="332">
        <f t="shared" si="16"/>
        <v>0</v>
      </c>
    </row>
    <row r="247" spans="1:8">
      <c r="A247" s="332" t="s">
        <v>3219</v>
      </c>
      <c r="B247" s="345"/>
      <c r="C247" s="345" t="str">
        <f>VLOOKUP(A247,CTTBA,'7.CT-TBA'!$E$25,0)</f>
        <v>2 Trạm NC từ 100kVA lên 100+2x50kVA</v>
      </c>
      <c r="D247" s="345"/>
      <c r="E247" s="345"/>
      <c r="F247" s="345"/>
      <c r="G247" s="332">
        <f>IF(SUM(G248:G260)&lt;&gt;0,1,)</f>
        <v>1</v>
      </c>
    </row>
    <row r="248" spans="1:8">
      <c r="B248" s="346" t="s">
        <v>1631</v>
      </c>
      <c r="C248" s="347" t="s">
        <v>1845</v>
      </c>
      <c r="D248" s="346" t="s">
        <v>1846</v>
      </c>
      <c r="E248" s="346" t="s">
        <v>1875</v>
      </c>
      <c r="F248" s="347">
        <f>F249+F251+F253</f>
        <v>8206944</v>
      </c>
      <c r="G248" s="332">
        <f>IF(F248&lt;&gt;0,1,)</f>
        <v>1</v>
      </c>
    </row>
    <row r="249" spans="1:8" ht="18.600000000000001">
      <c r="B249" s="348">
        <v>1</v>
      </c>
      <c r="C249" s="349" t="s">
        <v>1847</v>
      </c>
      <c r="D249" s="348" t="s">
        <v>1765</v>
      </c>
      <c r="E249" s="348" t="s">
        <v>2776</v>
      </c>
      <c r="F249" s="349">
        <f>F250</f>
        <v>0</v>
      </c>
      <c r="G249" s="332">
        <f>G248</f>
        <v>1</v>
      </c>
    </row>
    <row r="250" spans="1:8" ht="18">
      <c r="A250" s="332" t="str">
        <f>"TB"&amp;$A$247</f>
        <v>TBTRNC100</v>
      </c>
      <c r="B250" s="350"/>
      <c r="C250" s="375" t="s">
        <v>1944</v>
      </c>
      <c r="D250" s="350" t="s">
        <v>2754</v>
      </c>
      <c r="E250" s="350" t="s">
        <v>1956</v>
      </c>
      <c r="F250" s="351">
        <f>VLOOKUP(A250,CTTBA,H250,0)</f>
        <v>0</v>
      </c>
      <c r="G250" s="332">
        <f t="shared" ref="G250:G260" si="17">G249</f>
        <v>1</v>
      </c>
      <c r="H250" s="332">
        <f>'7.CT-TBA'!$N$25</f>
        <v>14</v>
      </c>
    </row>
    <row r="251" spans="1:8" ht="18.600000000000001">
      <c r="B251" s="348">
        <v>2</v>
      </c>
      <c r="C251" s="349" t="s">
        <v>1946</v>
      </c>
      <c r="D251" s="348" t="s">
        <v>1764</v>
      </c>
      <c r="E251" s="348" t="s">
        <v>2777</v>
      </c>
      <c r="F251" s="349">
        <f>F252</f>
        <v>6043314</v>
      </c>
      <c r="G251" s="332">
        <f t="shared" si="17"/>
        <v>1</v>
      </c>
    </row>
    <row r="252" spans="1:8" ht="18">
      <c r="A252" s="332" t="str">
        <f>"TB"&amp;$A$247</f>
        <v>TBTRNC100</v>
      </c>
      <c r="B252" s="350"/>
      <c r="C252" s="375" t="s">
        <v>1947</v>
      </c>
      <c r="D252" s="350" t="s">
        <v>2755</v>
      </c>
      <c r="E252" s="350" t="s">
        <v>3290</v>
      </c>
      <c r="F252" s="351">
        <f>ROUND(VLOOKUP(A252,CTTBA,H252,0)*NCTBA,0)</f>
        <v>6043314</v>
      </c>
      <c r="G252" s="332">
        <f t="shared" si="17"/>
        <v>1</v>
      </c>
      <c r="H252" s="332">
        <f>'7.CT-TBA'!$O$25</f>
        <v>15</v>
      </c>
    </row>
    <row r="253" spans="1:8" ht="18.600000000000001">
      <c r="B253" s="348">
        <v>3</v>
      </c>
      <c r="C253" s="349" t="s">
        <v>1855</v>
      </c>
      <c r="D253" s="348" t="s">
        <v>1774</v>
      </c>
      <c r="E253" s="348" t="s">
        <v>2778</v>
      </c>
      <c r="F253" s="349">
        <f>F254</f>
        <v>2163630</v>
      </c>
      <c r="G253" s="332">
        <f t="shared" si="17"/>
        <v>1</v>
      </c>
    </row>
    <row r="254" spans="1:8" ht="18">
      <c r="A254" s="332" t="str">
        <f>"TB"&amp;$A$247</f>
        <v>TBTRNC100</v>
      </c>
      <c r="B254" s="350"/>
      <c r="C254" s="375" t="s">
        <v>1948</v>
      </c>
      <c r="D254" s="350" t="s">
        <v>2756</v>
      </c>
      <c r="E254" s="350" t="s">
        <v>478</v>
      </c>
      <c r="F254" s="351">
        <f>VLOOKUP(A254,CTTBA,H254,0)</f>
        <v>2163630</v>
      </c>
      <c r="G254" s="332">
        <f t="shared" si="17"/>
        <v>1</v>
      </c>
      <c r="H254" s="332">
        <f>'7.CT-TBA'!$P$25</f>
        <v>16</v>
      </c>
    </row>
    <row r="255" spans="1:8">
      <c r="B255" s="346" t="s">
        <v>1663</v>
      </c>
      <c r="C255" s="347" t="s">
        <v>1858</v>
      </c>
      <c r="D255" s="346" t="s">
        <v>1776</v>
      </c>
      <c r="E255" s="346" t="s">
        <v>1859</v>
      </c>
      <c r="F255" s="347">
        <f>ROUND(65%*F251,0)</f>
        <v>3928154</v>
      </c>
      <c r="G255" s="332">
        <f t="shared" si="17"/>
        <v>1</v>
      </c>
    </row>
    <row r="256" spans="1:8" ht="18">
      <c r="B256" s="346"/>
      <c r="C256" s="347" t="s">
        <v>1861</v>
      </c>
      <c r="D256" s="346" t="s">
        <v>2775</v>
      </c>
      <c r="E256" s="346" t="s">
        <v>2807</v>
      </c>
      <c r="F256" s="347">
        <f>F248+F255</f>
        <v>12135098</v>
      </c>
      <c r="G256" s="332">
        <f t="shared" si="17"/>
        <v>1</v>
      </c>
    </row>
    <row r="257" spans="1:8" ht="18">
      <c r="B257" s="346" t="s">
        <v>1673</v>
      </c>
      <c r="C257" s="347" t="s">
        <v>1862</v>
      </c>
      <c r="D257" s="346" t="s">
        <v>1863</v>
      </c>
      <c r="E257" s="346" t="s">
        <v>2770</v>
      </c>
      <c r="F257" s="347">
        <f>ROUND(6%*F256,0)</f>
        <v>728106</v>
      </c>
      <c r="G257" s="332">
        <f t="shared" si="17"/>
        <v>1</v>
      </c>
    </row>
    <row r="258" spans="1:8" ht="18">
      <c r="A258" s="332" t="str">
        <f>"XL"&amp;A247</f>
        <v>XLTRNC100</v>
      </c>
      <c r="B258" s="634"/>
      <c r="C258" s="635" t="s">
        <v>1865</v>
      </c>
      <c r="D258" s="634" t="s">
        <v>1866</v>
      </c>
      <c r="E258" s="634" t="s">
        <v>2771</v>
      </c>
      <c r="F258" s="635">
        <f>F256+F257</f>
        <v>12863204</v>
      </c>
      <c r="G258" s="332">
        <f t="shared" si="17"/>
        <v>1</v>
      </c>
    </row>
    <row r="259" spans="1:8">
      <c r="B259" s="346" t="s">
        <v>1717</v>
      </c>
      <c r="C259" s="347" t="s">
        <v>1867</v>
      </c>
      <c r="D259" s="346" t="s">
        <v>1868</v>
      </c>
      <c r="E259" s="346" t="s">
        <v>1869</v>
      </c>
      <c r="F259" s="347">
        <f>ROUND(10%*F258,0)</f>
        <v>1286320</v>
      </c>
      <c r="G259" s="332">
        <f t="shared" si="17"/>
        <v>1</v>
      </c>
    </row>
    <row r="260" spans="1:8" ht="18">
      <c r="B260" s="346" t="s">
        <v>1729</v>
      </c>
      <c r="C260" s="347" t="s">
        <v>1950</v>
      </c>
      <c r="D260" s="346" t="s">
        <v>2765</v>
      </c>
      <c r="E260" s="346" t="s">
        <v>1871</v>
      </c>
      <c r="F260" s="347">
        <f>F258+F259</f>
        <v>14149524</v>
      </c>
      <c r="G260" s="332">
        <f t="shared" si="17"/>
        <v>1</v>
      </c>
    </row>
    <row r="261" spans="1:8">
      <c r="A261" s="332" t="s">
        <v>3457</v>
      </c>
      <c r="B261" s="345"/>
      <c r="C261" s="345" t="str">
        <f>VLOOKUP(A261,CTTBA,'7.CT-TBA'!$E$25,0)</f>
        <v xml:space="preserve"> Trạm NC từ 2x50kVA lên 3x50kVA</v>
      </c>
      <c r="D261" s="345"/>
      <c r="E261" s="345"/>
      <c r="F261" s="345"/>
      <c r="G261" s="332">
        <f>IF(SUM(G262:G274)&lt;&gt;0,1,)</f>
        <v>1</v>
      </c>
    </row>
    <row r="262" spans="1:8">
      <c r="B262" s="642" t="s">
        <v>1631</v>
      </c>
      <c r="C262" s="347" t="s">
        <v>1845</v>
      </c>
      <c r="D262" s="642" t="s">
        <v>1846</v>
      </c>
      <c r="E262" s="642" t="s">
        <v>1875</v>
      </c>
      <c r="F262" s="347">
        <f>F263+F265+F267</f>
        <v>9688758</v>
      </c>
      <c r="G262" s="332">
        <f>IF(F262&lt;&gt;0,1,)</f>
        <v>1</v>
      </c>
    </row>
    <row r="263" spans="1:8" ht="18.600000000000001">
      <c r="B263" s="348">
        <v>1</v>
      </c>
      <c r="C263" s="349" t="s">
        <v>1847</v>
      </c>
      <c r="D263" s="348" t="s">
        <v>1765</v>
      </c>
      <c r="E263" s="348" t="s">
        <v>2776</v>
      </c>
      <c r="F263" s="349">
        <f>F264</f>
        <v>0</v>
      </c>
      <c r="G263" s="332">
        <f>G262</f>
        <v>1</v>
      </c>
    </row>
    <row r="264" spans="1:8" ht="18">
      <c r="A264" s="332" t="str">
        <f>"TB"&amp;$A$275</f>
        <v>TBTRNC2X75</v>
      </c>
      <c r="B264" s="350"/>
      <c r="C264" s="375" t="s">
        <v>1944</v>
      </c>
      <c r="D264" s="350" t="s">
        <v>2754</v>
      </c>
      <c r="E264" s="350" t="s">
        <v>1956</v>
      </c>
      <c r="F264" s="351">
        <f>VLOOKUP(A264,CTTBA,H264,0)</f>
        <v>0</v>
      </c>
      <c r="G264" s="332">
        <f t="shared" ref="G264:G274" si="18">G263</f>
        <v>1</v>
      </c>
      <c r="H264" s="332">
        <f>'7.CT-TBA'!$N$25</f>
        <v>14</v>
      </c>
    </row>
    <row r="265" spans="1:8" ht="18.600000000000001">
      <c r="B265" s="348">
        <v>2</v>
      </c>
      <c r="C265" s="349" t="s">
        <v>1946</v>
      </c>
      <c r="D265" s="348" t="s">
        <v>1764</v>
      </c>
      <c r="E265" s="348" t="s">
        <v>2777</v>
      </c>
      <c r="F265" s="349">
        <f>F266</f>
        <v>7525128</v>
      </c>
      <c r="G265" s="332">
        <f t="shared" si="18"/>
        <v>1</v>
      </c>
    </row>
    <row r="266" spans="1:8" ht="18">
      <c r="A266" s="332" t="str">
        <f>"TB"&amp;$A$275</f>
        <v>TBTRNC2X75</v>
      </c>
      <c r="B266" s="350"/>
      <c r="C266" s="375" t="s">
        <v>1947</v>
      </c>
      <c r="D266" s="350" t="s">
        <v>2755</v>
      </c>
      <c r="E266" s="350" t="s">
        <v>3290</v>
      </c>
      <c r="F266" s="351">
        <f>ROUND(VLOOKUP(A266,CTTBA,H266,0)*NCTBA,0)</f>
        <v>7525128</v>
      </c>
      <c r="G266" s="332">
        <f t="shared" si="18"/>
        <v>1</v>
      </c>
      <c r="H266" s="332">
        <f>'7.CT-TBA'!$O$25</f>
        <v>15</v>
      </c>
    </row>
    <row r="267" spans="1:8" ht="18.600000000000001">
      <c r="B267" s="348">
        <v>3</v>
      </c>
      <c r="C267" s="349" t="s">
        <v>1855</v>
      </c>
      <c r="D267" s="348" t="s">
        <v>1774</v>
      </c>
      <c r="E267" s="348" t="s">
        <v>2778</v>
      </c>
      <c r="F267" s="349">
        <f>F268</f>
        <v>2163630</v>
      </c>
      <c r="G267" s="332">
        <f t="shared" si="18"/>
        <v>1</v>
      </c>
    </row>
    <row r="268" spans="1:8" ht="18">
      <c r="A268" s="332" t="str">
        <f>"TB"&amp;$A$275</f>
        <v>TBTRNC2X75</v>
      </c>
      <c r="B268" s="350"/>
      <c r="C268" s="375" t="s">
        <v>1948</v>
      </c>
      <c r="D268" s="350" t="s">
        <v>2756</v>
      </c>
      <c r="E268" s="350" t="s">
        <v>478</v>
      </c>
      <c r="F268" s="351">
        <f>VLOOKUP(A268,CTTBA,H268,0)</f>
        <v>2163630</v>
      </c>
      <c r="G268" s="332">
        <f t="shared" si="18"/>
        <v>1</v>
      </c>
      <c r="H268" s="332">
        <f>'7.CT-TBA'!$P$25</f>
        <v>16</v>
      </c>
    </row>
    <row r="269" spans="1:8">
      <c r="B269" s="642" t="s">
        <v>1663</v>
      </c>
      <c r="C269" s="347" t="s">
        <v>1858</v>
      </c>
      <c r="D269" s="642" t="s">
        <v>1776</v>
      </c>
      <c r="E269" s="642" t="s">
        <v>1859</v>
      </c>
      <c r="F269" s="347">
        <f>ROUND(65%*F265,0)</f>
        <v>4891333</v>
      </c>
      <c r="G269" s="332">
        <f t="shared" si="18"/>
        <v>1</v>
      </c>
    </row>
    <row r="270" spans="1:8" ht="18">
      <c r="B270" s="642"/>
      <c r="C270" s="347" t="s">
        <v>1861</v>
      </c>
      <c r="D270" s="642" t="s">
        <v>2775</v>
      </c>
      <c r="E270" s="642" t="s">
        <v>2807</v>
      </c>
      <c r="F270" s="347">
        <f>F262+F269</f>
        <v>14580091</v>
      </c>
      <c r="G270" s="332">
        <f t="shared" si="18"/>
        <v>1</v>
      </c>
    </row>
    <row r="271" spans="1:8" ht="18">
      <c r="B271" s="642" t="s">
        <v>1673</v>
      </c>
      <c r="C271" s="347" t="s">
        <v>1862</v>
      </c>
      <c r="D271" s="642" t="s">
        <v>1863</v>
      </c>
      <c r="E271" s="642" t="s">
        <v>2770</v>
      </c>
      <c r="F271" s="347">
        <f>ROUND(6%*F270,0)</f>
        <v>874805</v>
      </c>
      <c r="G271" s="332">
        <f t="shared" si="18"/>
        <v>1</v>
      </c>
    </row>
    <row r="272" spans="1:8" ht="18">
      <c r="A272" s="332" t="str">
        <f>"XL"&amp;A261</f>
        <v>XLTRNC2X50</v>
      </c>
      <c r="B272" s="634"/>
      <c r="C272" s="635" t="s">
        <v>1865</v>
      </c>
      <c r="D272" s="634" t="s">
        <v>1866</v>
      </c>
      <c r="E272" s="634" t="s">
        <v>2771</v>
      </c>
      <c r="F272" s="635">
        <f>F270+F271</f>
        <v>15454896</v>
      </c>
      <c r="G272" s="332">
        <f t="shared" si="18"/>
        <v>1</v>
      </c>
    </row>
    <row r="273" spans="1:8">
      <c r="B273" s="642" t="s">
        <v>1717</v>
      </c>
      <c r="C273" s="347" t="s">
        <v>1867</v>
      </c>
      <c r="D273" s="642" t="s">
        <v>1868</v>
      </c>
      <c r="E273" s="642" t="s">
        <v>1869</v>
      </c>
      <c r="F273" s="347">
        <f>ROUND(10%*F272,0)</f>
        <v>1545490</v>
      </c>
      <c r="G273" s="332">
        <f t="shared" si="18"/>
        <v>1</v>
      </c>
    </row>
    <row r="274" spans="1:8" ht="18">
      <c r="B274" s="642" t="s">
        <v>1729</v>
      </c>
      <c r="C274" s="347" t="s">
        <v>1950</v>
      </c>
      <c r="D274" s="642" t="s">
        <v>2765</v>
      </c>
      <c r="E274" s="642" t="s">
        <v>1871</v>
      </c>
      <c r="F274" s="347">
        <f>F272+F273</f>
        <v>17000386</v>
      </c>
      <c r="G274" s="332">
        <f t="shared" si="18"/>
        <v>1</v>
      </c>
    </row>
    <row r="275" spans="1:8">
      <c r="A275" s="332" t="s">
        <v>3222</v>
      </c>
      <c r="B275" s="345"/>
      <c r="C275" s="345" t="str">
        <f>VLOOKUP(A275,CTTBA,'7.CT-TBA'!$E$25,0)</f>
        <v>2 Trạm NC từ 2x75kVA lên 3x75kVA</v>
      </c>
      <c r="D275" s="345"/>
      <c r="E275" s="345"/>
      <c r="F275" s="345"/>
      <c r="G275" s="332">
        <f>IF(SUM(G276:G288)&lt;&gt;0,1,)</f>
        <v>1</v>
      </c>
    </row>
    <row r="276" spans="1:8">
      <c r="B276" s="346" t="s">
        <v>1631</v>
      </c>
      <c r="C276" s="347" t="s">
        <v>1845</v>
      </c>
      <c r="D276" s="346" t="s">
        <v>1846</v>
      </c>
      <c r="E276" s="346" t="s">
        <v>1875</v>
      </c>
      <c r="F276" s="347">
        <f>F277+F279+F281</f>
        <v>9688758</v>
      </c>
      <c r="G276" s="332">
        <f>IF(F276&lt;&gt;0,1,)</f>
        <v>1</v>
      </c>
    </row>
    <row r="277" spans="1:8" ht="18.600000000000001">
      <c r="B277" s="348">
        <v>1</v>
      </c>
      <c r="C277" s="349" t="s">
        <v>1847</v>
      </c>
      <c r="D277" s="348" t="s">
        <v>1765</v>
      </c>
      <c r="E277" s="348" t="s">
        <v>2776</v>
      </c>
      <c r="F277" s="349">
        <f>F278</f>
        <v>0</v>
      </c>
      <c r="G277" s="332">
        <f>G276</f>
        <v>1</v>
      </c>
    </row>
    <row r="278" spans="1:8" ht="18">
      <c r="A278" s="332" t="str">
        <f>"TB"&amp;$A$275</f>
        <v>TBTRNC2X75</v>
      </c>
      <c r="B278" s="350"/>
      <c r="C278" s="375" t="s">
        <v>1944</v>
      </c>
      <c r="D278" s="350" t="s">
        <v>2754</v>
      </c>
      <c r="E278" s="350" t="s">
        <v>1956</v>
      </c>
      <c r="F278" s="351">
        <f>VLOOKUP(A278,CTTBA,H278,0)</f>
        <v>0</v>
      </c>
      <c r="G278" s="332">
        <f t="shared" ref="G278:G288" si="19">G277</f>
        <v>1</v>
      </c>
      <c r="H278" s="332">
        <f>'7.CT-TBA'!$N$25</f>
        <v>14</v>
      </c>
    </row>
    <row r="279" spans="1:8" ht="18.600000000000001">
      <c r="B279" s="348">
        <v>2</v>
      </c>
      <c r="C279" s="349" t="s">
        <v>1946</v>
      </c>
      <c r="D279" s="348" t="s">
        <v>1764</v>
      </c>
      <c r="E279" s="348" t="s">
        <v>2777</v>
      </c>
      <c r="F279" s="349">
        <f>F280</f>
        <v>7525128</v>
      </c>
      <c r="G279" s="332">
        <f t="shared" si="19"/>
        <v>1</v>
      </c>
    </row>
    <row r="280" spans="1:8" ht="18">
      <c r="A280" s="332" t="str">
        <f>"TB"&amp;$A$275</f>
        <v>TBTRNC2X75</v>
      </c>
      <c r="B280" s="350"/>
      <c r="C280" s="375" t="s">
        <v>1947</v>
      </c>
      <c r="D280" s="350" t="s">
        <v>2755</v>
      </c>
      <c r="E280" s="350" t="s">
        <v>3290</v>
      </c>
      <c r="F280" s="351">
        <f>ROUND(VLOOKUP(A280,CTTBA,H280,0)*NCTBA,0)</f>
        <v>7525128</v>
      </c>
      <c r="G280" s="332">
        <f t="shared" si="19"/>
        <v>1</v>
      </c>
      <c r="H280" s="332">
        <f>'7.CT-TBA'!$O$25</f>
        <v>15</v>
      </c>
    </row>
    <row r="281" spans="1:8" ht="18.600000000000001">
      <c r="B281" s="348">
        <v>3</v>
      </c>
      <c r="C281" s="349" t="s">
        <v>1855</v>
      </c>
      <c r="D281" s="348" t="s">
        <v>1774</v>
      </c>
      <c r="E281" s="348" t="s">
        <v>2778</v>
      </c>
      <c r="F281" s="349">
        <f>F282</f>
        <v>2163630</v>
      </c>
      <c r="G281" s="332">
        <f t="shared" si="19"/>
        <v>1</v>
      </c>
    </row>
    <row r="282" spans="1:8" ht="18">
      <c r="A282" s="332" t="str">
        <f>"TB"&amp;$A$275</f>
        <v>TBTRNC2X75</v>
      </c>
      <c r="B282" s="350"/>
      <c r="C282" s="375" t="s">
        <v>1948</v>
      </c>
      <c r="D282" s="350" t="s">
        <v>2756</v>
      </c>
      <c r="E282" s="350" t="s">
        <v>478</v>
      </c>
      <c r="F282" s="351">
        <f>VLOOKUP(A282,CTTBA,H282,0)</f>
        <v>2163630</v>
      </c>
      <c r="G282" s="332">
        <f t="shared" si="19"/>
        <v>1</v>
      </c>
      <c r="H282" s="332">
        <f>'7.CT-TBA'!$P$25</f>
        <v>16</v>
      </c>
    </row>
    <row r="283" spans="1:8">
      <c r="B283" s="346" t="s">
        <v>1663</v>
      </c>
      <c r="C283" s="347" t="s">
        <v>1858</v>
      </c>
      <c r="D283" s="346" t="s">
        <v>1776</v>
      </c>
      <c r="E283" s="346" t="s">
        <v>1859</v>
      </c>
      <c r="F283" s="347">
        <f>ROUND(65%*F279,0)</f>
        <v>4891333</v>
      </c>
      <c r="G283" s="332">
        <f t="shared" si="19"/>
        <v>1</v>
      </c>
    </row>
    <row r="284" spans="1:8" ht="18">
      <c r="B284" s="346"/>
      <c r="C284" s="347" t="s">
        <v>1861</v>
      </c>
      <c r="D284" s="346" t="s">
        <v>2775</v>
      </c>
      <c r="E284" s="346" t="s">
        <v>2807</v>
      </c>
      <c r="F284" s="347">
        <f>F276+F283</f>
        <v>14580091</v>
      </c>
      <c r="G284" s="332">
        <f t="shared" si="19"/>
        <v>1</v>
      </c>
    </row>
    <row r="285" spans="1:8" ht="18">
      <c r="B285" s="346" t="s">
        <v>1673</v>
      </c>
      <c r="C285" s="347" t="s">
        <v>1862</v>
      </c>
      <c r="D285" s="346" t="s">
        <v>1863</v>
      </c>
      <c r="E285" s="346" t="s">
        <v>2770</v>
      </c>
      <c r="F285" s="347">
        <f>ROUND(6%*F284,0)</f>
        <v>874805</v>
      </c>
      <c r="G285" s="332">
        <f t="shared" si="19"/>
        <v>1</v>
      </c>
    </row>
    <row r="286" spans="1:8" ht="18">
      <c r="A286" s="332" t="str">
        <f>"XL"&amp;A275</f>
        <v>XLTRNC2X75</v>
      </c>
      <c r="B286" s="634"/>
      <c r="C286" s="635" t="s">
        <v>1865</v>
      </c>
      <c r="D286" s="634" t="s">
        <v>1866</v>
      </c>
      <c r="E286" s="634" t="s">
        <v>2771</v>
      </c>
      <c r="F286" s="635">
        <f>F284+F285</f>
        <v>15454896</v>
      </c>
      <c r="G286" s="332">
        <f t="shared" si="19"/>
        <v>1</v>
      </c>
    </row>
    <row r="287" spans="1:8">
      <c r="B287" s="346" t="s">
        <v>1717</v>
      </c>
      <c r="C287" s="347" t="s">
        <v>1867</v>
      </c>
      <c r="D287" s="346" t="s">
        <v>1868</v>
      </c>
      <c r="E287" s="346" t="s">
        <v>1869</v>
      </c>
      <c r="F287" s="347">
        <f>ROUND(10%*F286,0)</f>
        <v>1545490</v>
      </c>
      <c r="G287" s="332">
        <f t="shared" si="19"/>
        <v>1</v>
      </c>
    </row>
    <row r="288" spans="1:8" ht="18">
      <c r="B288" s="346" t="s">
        <v>1729</v>
      </c>
      <c r="C288" s="347" t="s">
        <v>1950</v>
      </c>
      <c r="D288" s="346" t="s">
        <v>2765</v>
      </c>
      <c r="E288" s="346" t="s">
        <v>1871</v>
      </c>
      <c r="F288" s="347">
        <f>F286+F287</f>
        <v>17000386</v>
      </c>
      <c r="G288" s="332">
        <f t="shared" si="19"/>
        <v>1</v>
      </c>
    </row>
    <row r="289" spans="1:8">
      <c r="A289" s="332" t="s">
        <v>3223</v>
      </c>
      <c r="B289" s="345"/>
      <c r="C289" s="345" t="str">
        <f>VLOOKUP(A289,CTTBA,'7.CT-TBA'!$E$25,0)</f>
        <v>1 Trạm NC từ 2x100kVA lên 3x100kVA</v>
      </c>
      <c r="D289" s="345"/>
      <c r="E289" s="345"/>
      <c r="F289" s="345"/>
      <c r="G289" s="332">
        <f>IF(SUM(G290:G302)&lt;&gt;0,1,)</f>
        <v>1</v>
      </c>
    </row>
    <row r="290" spans="1:8">
      <c r="B290" s="346" t="s">
        <v>1631</v>
      </c>
      <c r="C290" s="347" t="s">
        <v>1845</v>
      </c>
      <c r="D290" s="346" t="s">
        <v>1846</v>
      </c>
      <c r="E290" s="346" t="s">
        <v>1875</v>
      </c>
      <c r="F290" s="347">
        <f>F291+F293+F295</f>
        <v>5031735</v>
      </c>
      <c r="G290" s="332">
        <f>IF(F290&lt;&gt;0,1,)</f>
        <v>1</v>
      </c>
    </row>
    <row r="291" spans="1:8" ht="18.600000000000001">
      <c r="B291" s="348">
        <v>1</v>
      </c>
      <c r="C291" s="349" t="s">
        <v>1847</v>
      </c>
      <c r="D291" s="348" t="s">
        <v>1765</v>
      </c>
      <c r="E291" s="348" t="s">
        <v>2776</v>
      </c>
      <c r="F291" s="349">
        <f>F292</f>
        <v>0</v>
      </c>
      <c r="G291" s="332">
        <f>G290</f>
        <v>1</v>
      </c>
    </row>
    <row r="292" spans="1:8" ht="18">
      <c r="A292" s="332" t="str">
        <f>"TB"&amp;$A$289</f>
        <v>TBTRNC2X100</v>
      </c>
      <c r="B292" s="350"/>
      <c r="C292" s="375" t="s">
        <v>1944</v>
      </c>
      <c r="D292" s="350" t="s">
        <v>2754</v>
      </c>
      <c r="E292" s="350" t="s">
        <v>1956</v>
      </c>
      <c r="F292" s="351">
        <f>VLOOKUP(A292,CTTBA,H292,0)</f>
        <v>0</v>
      </c>
      <c r="G292" s="332">
        <f t="shared" ref="G292:G302" si="20">G291</f>
        <v>1</v>
      </c>
      <c r="H292" s="332">
        <f>'7.CT-TBA'!$N$25</f>
        <v>14</v>
      </c>
    </row>
    <row r="293" spans="1:8" ht="18.600000000000001">
      <c r="B293" s="348">
        <v>2</v>
      </c>
      <c r="C293" s="349" t="s">
        <v>1946</v>
      </c>
      <c r="D293" s="348" t="s">
        <v>1764</v>
      </c>
      <c r="E293" s="348" t="s">
        <v>2777</v>
      </c>
      <c r="F293" s="349">
        <f>F294</f>
        <v>3949920</v>
      </c>
      <c r="G293" s="332">
        <f t="shared" si="20"/>
        <v>1</v>
      </c>
    </row>
    <row r="294" spans="1:8" ht="18">
      <c r="A294" s="332" t="str">
        <f>"TB"&amp;$A$289</f>
        <v>TBTRNC2X100</v>
      </c>
      <c r="B294" s="350"/>
      <c r="C294" s="375" t="s">
        <v>1947</v>
      </c>
      <c r="D294" s="350" t="s">
        <v>2755</v>
      </c>
      <c r="E294" s="350" t="s">
        <v>3290</v>
      </c>
      <c r="F294" s="351">
        <f>ROUND(VLOOKUP(A294,CTTBA,H294,0)*NCTBA,0)</f>
        <v>3949920</v>
      </c>
      <c r="G294" s="332">
        <f t="shared" si="20"/>
        <v>1</v>
      </c>
      <c r="H294" s="332">
        <f>'7.CT-TBA'!$O$25</f>
        <v>15</v>
      </c>
    </row>
    <row r="295" spans="1:8" ht="18.600000000000001">
      <c r="B295" s="348">
        <v>3</v>
      </c>
      <c r="C295" s="349" t="s">
        <v>1855</v>
      </c>
      <c r="D295" s="348" t="s">
        <v>1774</v>
      </c>
      <c r="E295" s="348" t="s">
        <v>2778</v>
      </c>
      <c r="F295" s="349">
        <f>F296</f>
        <v>1081815</v>
      </c>
      <c r="G295" s="332">
        <f t="shared" si="20"/>
        <v>1</v>
      </c>
    </row>
    <row r="296" spans="1:8" ht="18">
      <c r="A296" s="332" t="str">
        <f>"TB"&amp;$A$289</f>
        <v>TBTRNC2X100</v>
      </c>
      <c r="B296" s="350"/>
      <c r="C296" s="375" t="s">
        <v>1948</v>
      </c>
      <c r="D296" s="350" t="s">
        <v>2756</v>
      </c>
      <c r="E296" s="350" t="s">
        <v>478</v>
      </c>
      <c r="F296" s="351">
        <f>VLOOKUP(A296,CTTBA,H296,0)</f>
        <v>1081815</v>
      </c>
      <c r="G296" s="332">
        <f t="shared" si="20"/>
        <v>1</v>
      </c>
      <c r="H296" s="332">
        <f>'7.CT-TBA'!$P$25</f>
        <v>16</v>
      </c>
    </row>
    <row r="297" spans="1:8">
      <c r="B297" s="346" t="s">
        <v>1663</v>
      </c>
      <c r="C297" s="347" t="s">
        <v>1858</v>
      </c>
      <c r="D297" s="346" t="s">
        <v>1776</v>
      </c>
      <c r="E297" s="346" t="s">
        <v>1859</v>
      </c>
      <c r="F297" s="347">
        <f>ROUND(65%*F293,0)</f>
        <v>2567448</v>
      </c>
      <c r="G297" s="332">
        <f t="shared" si="20"/>
        <v>1</v>
      </c>
    </row>
    <row r="298" spans="1:8" ht="18">
      <c r="B298" s="346"/>
      <c r="C298" s="347" t="s">
        <v>1861</v>
      </c>
      <c r="D298" s="346" t="s">
        <v>2775</v>
      </c>
      <c r="E298" s="346" t="s">
        <v>2807</v>
      </c>
      <c r="F298" s="347">
        <f>F290+F297</f>
        <v>7599183</v>
      </c>
      <c r="G298" s="332">
        <f t="shared" si="20"/>
        <v>1</v>
      </c>
    </row>
    <row r="299" spans="1:8" ht="18">
      <c r="B299" s="346" t="s">
        <v>1673</v>
      </c>
      <c r="C299" s="347" t="s">
        <v>1862</v>
      </c>
      <c r="D299" s="346" t="s">
        <v>1863</v>
      </c>
      <c r="E299" s="346" t="s">
        <v>2770</v>
      </c>
      <c r="F299" s="347">
        <f>ROUND(6%*F298,0)</f>
        <v>455951</v>
      </c>
      <c r="G299" s="332">
        <f t="shared" si="20"/>
        <v>1</v>
      </c>
    </row>
    <row r="300" spans="1:8" ht="18">
      <c r="A300" s="332" t="str">
        <f>"XL"&amp;A289</f>
        <v>XLTRNC2X100</v>
      </c>
      <c r="B300" s="634"/>
      <c r="C300" s="635" t="s">
        <v>1865</v>
      </c>
      <c r="D300" s="634" t="s">
        <v>1866</v>
      </c>
      <c r="E300" s="634" t="s">
        <v>2771</v>
      </c>
      <c r="F300" s="635">
        <f>F298+F299</f>
        <v>8055134</v>
      </c>
      <c r="G300" s="332">
        <f t="shared" si="20"/>
        <v>1</v>
      </c>
    </row>
    <row r="301" spans="1:8">
      <c r="B301" s="346" t="s">
        <v>1717</v>
      </c>
      <c r="C301" s="347" t="s">
        <v>1867</v>
      </c>
      <c r="D301" s="346" t="s">
        <v>1868</v>
      </c>
      <c r="E301" s="346" t="s">
        <v>1869</v>
      </c>
      <c r="F301" s="347">
        <f>ROUND(10%*F300,0)</f>
        <v>805513</v>
      </c>
      <c r="G301" s="332">
        <f t="shared" si="20"/>
        <v>1</v>
      </c>
    </row>
    <row r="302" spans="1:8" ht="18">
      <c r="B302" s="346" t="s">
        <v>1729</v>
      </c>
      <c r="C302" s="347" t="s">
        <v>1950</v>
      </c>
      <c r="D302" s="346" t="s">
        <v>2765</v>
      </c>
      <c r="E302" s="346" t="s">
        <v>1871</v>
      </c>
      <c r="F302" s="347">
        <f>F300+F301</f>
        <v>8860647</v>
      </c>
      <c r="G302" s="332">
        <f t="shared" si="20"/>
        <v>1</v>
      </c>
    </row>
    <row r="303" spans="1:8">
      <c r="A303" s="332" t="s">
        <v>3243</v>
      </c>
      <c r="B303" s="345"/>
      <c r="C303" s="345" t="str">
        <f>VLOOKUP(A303,CTTBA,'7.CT-TBA'!$E$25,0)</f>
        <v>2 Trạm 1 pha di dời</v>
      </c>
      <c r="D303" s="345"/>
      <c r="E303" s="345"/>
      <c r="F303" s="345"/>
      <c r="G303" s="332">
        <f>IF(SUM(G304:G316)&lt;&gt;0,1,)</f>
        <v>1</v>
      </c>
    </row>
    <row r="304" spans="1:8">
      <c r="B304" s="346" t="s">
        <v>1631</v>
      </c>
      <c r="C304" s="347" t="s">
        <v>1845</v>
      </c>
      <c r="D304" s="346" t="s">
        <v>1846</v>
      </c>
      <c r="E304" s="346" t="s">
        <v>1875</v>
      </c>
      <c r="F304" s="347">
        <f>F305+F307+F309</f>
        <v>5568870</v>
      </c>
      <c r="G304" s="332">
        <f>IF(F304&lt;&gt;0,1,)</f>
        <v>1</v>
      </c>
    </row>
    <row r="305" spans="1:8" ht="18.600000000000001">
      <c r="B305" s="348">
        <v>1</v>
      </c>
      <c r="C305" s="349" t="s">
        <v>1847</v>
      </c>
      <c r="D305" s="348" t="s">
        <v>1765</v>
      </c>
      <c r="E305" s="348" t="s">
        <v>2776</v>
      </c>
      <c r="F305" s="349">
        <f>F306</f>
        <v>0</v>
      </c>
      <c r="G305" s="332">
        <f>G304</f>
        <v>1</v>
      </c>
    </row>
    <row r="306" spans="1:8" ht="18">
      <c r="A306" s="332" t="str">
        <f>"TB"&amp;A303</f>
        <v>TBDTR1P</v>
      </c>
      <c r="B306" s="350"/>
      <c r="C306" s="375" t="s">
        <v>1944</v>
      </c>
      <c r="D306" s="350" t="s">
        <v>2754</v>
      </c>
      <c r="E306" s="350" t="s">
        <v>1956</v>
      </c>
      <c r="F306" s="351">
        <f>VLOOKUP(A306,CTTBA,H306,0)</f>
        <v>0</v>
      </c>
      <c r="G306" s="332">
        <f t="shared" ref="G306:G316" si="21">G305</f>
        <v>1</v>
      </c>
      <c r="H306" s="332">
        <f>'7.CT-TBA'!$N$25</f>
        <v>14</v>
      </c>
    </row>
    <row r="307" spans="1:8" ht="18.600000000000001">
      <c r="B307" s="348">
        <v>2</v>
      </c>
      <c r="C307" s="349" t="s">
        <v>1946</v>
      </c>
      <c r="D307" s="348" t="s">
        <v>1764</v>
      </c>
      <c r="E307" s="348" t="s">
        <v>2777</v>
      </c>
      <c r="F307" s="349">
        <f>F308</f>
        <v>4126450</v>
      </c>
      <c r="G307" s="332">
        <f t="shared" si="21"/>
        <v>1</v>
      </c>
    </row>
    <row r="308" spans="1:8" ht="18">
      <c r="A308" s="332" t="str">
        <f>"TB"&amp;A303</f>
        <v>TBDTR1P</v>
      </c>
      <c r="B308" s="350"/>
      <c r="C308" s="375" t="s">
        <v>1947</v>
      </c>
      <c r="D308" s="350" t="s">
        <v>2755</v>
      </c>
      <c r="E308" s="350" t="s">
        <v>3290</v>
      </c>
      <c r="F308" s="351">
        <f>ROUND(VLOOKUP(A308,CTTBA,H308,0)*NCTBA,0)</f>
        <v>4126450</v>
      </c>
      <c r="G308" s="332">
        <f t="shared" si="21"/>
        <v>1</v>
      </c>
      <c r="H308" s="332">
        <f>'7.CT-TBA'!$O$25</f>
        <v>15</v>
      </c>
    </row>
    <row r="309" spans="1:8" ht="18.600000000000001">
      <c r="B309" s="348">
        <v>3</v>
      </c>
      <c r="C309" s="349" t="s">
        <v>1855</v>
      </c>
      <c r="D309" s="348" t="s">
        <v>1774</v>
      </c>
      <c r="E309" s="348" t="s">
        <v>2778</v>
      </c>
      <c r="F309" s="349">
        <f>F310</f>
        <v>1442420</v>
      </c>
      <c r="G309" s="332">
        <f t="shared" si="21"/>
        <v>1</v>
      </c>
    </row>
    <row r="310" spans="1:8" ht="18">
      <c r="A310" s="332" t="str">
        <f>"TB"&amp;A303</f>
        <v>TBDTR1P</v>
      </c>
      <c r="B310" s="350"/>
      <c r="C310" s="375" t="s">
        <v>1948</v>
      </c>
      <c r="D310" s="350" t="s">
        <v>2756</v>
      </c>
      <c r="E310" s="350" t="s">
        <v>478</v>
      </c>
      <c r="F310" s="351">
        <f>VLOOKUP(A310,CTTBA,H310,0)</f>
        <v>1442420</v>
      </c>
      <c r="G310" s="332">
        <f t="shared" si="21"/>
        <v>1</v>
      </c>
      <c r="H310" s="332">
        <f>'7.CT-TBA'!$P$25</f>
        <v>16</v>
      </c>
    </row>
    <row r="311" spans="1:8">
      <c r="B311" s="346" t="s">
        <v>1663</v>
      </c>
      <c r="C311" s="347" t="s">
        <v>1858</v>
      </c>
      <c r="D311" s="346" t="s">
        <v>1776</v>
      </c>
      <c r="E311" s="346" t="s">
        <v>1859</v>
      </c>
      <c r="F311" s="347">
        <f>ROUND(65%*F307,0)</f>
        <v>2682193</v>
      </c>
      <c r="G311" s="332">
        <f t="shared" si="21"/>
        <v>1</v>
      </c>
    </row>
    <row r="312" spans="1:8" ht="18">
      <c r="B312" s="346"/>
      <c r="C312" s="347" t="s">
        <v>1861</v>
      </c>
      <c r="D312" s="346" t="s">
        <v>2775</v>
      </c>
      <c r="E312" s="346" t="s">
        <v>2807</v>
      </c>
      <c r="F312" s="347">
        <f>F304+F311</f>
        <v>8251063</v>
      </c>
      <c r="G312" s="332">
        <f t="shared" si="21"/>
        <v>1</v>
      </c>
    </row>
    <row r="313" spans="1:8" ht="18">
      <c r="B313" s="346" t="s">
        <v>1673</v>
      </c>
      <c r="C313" s="347" t="s">
        <v>1862</v>
      </c>
      <c r="D313" s="346" t="s">
        <v>1863</v>
      </c>
      <c r="E313" s="346" t="s">
        <v>2770</v>
      </c>
      <c r="F313" s="347">
        <f>ROUND(6%*F312,0)</f>
        <v>495064</v>
      </c>
      <c r="G313" s="332">
        <f t="shared" si="21"/>
        <v>1</v>
      </c>
    </row>
    <row r="314" spans="1:8" ht="18">
      <c r="A314" s="332" t="str">
        <f>"XL"&amp;A303</f>
        <v>XLDTR1P</v>
      </c>
      <c r="B314" s="634"/>
      <c r="C314" s="635" t="s">
        <v>1865</v>
      </c>
      <c r="D314" s="634" t="s">
        <v>1866</v>
      </c>
      <c r="E314" s="634" t="s">
        <v>2771</v>
      </c>
      <c r="F314" s="635">
        <f>F312+F313</f>
        <v>8746127</v>
      </c>
      <c r="G314" s="332">
        <f t="shared" si="21"/>
        <v>1</v>
      </c>
    </row>
    <row r="315" spans="1:8">
      <c r="B315" s="346" t="s">
        <v>1717</v>
      </c>
      <c r="C315" s="347" t="s">
        <v>1867</v>
      </c>
      <c r="D315" s="346" t="s">
        <v>1868</v>
      </c>
      <c r="E315" s="346" t="s">
        <v>1869</v>
      </c>
      <c r="F315" s="347">
        <f>ROUND(10%*F314,0)</f>
        <v>874613</v>
      </c>
      <c r="G315" s="332">
        <f t="shared" si="21"/>
        <v>1</v>
      </c>
    </row>
    <row r="316" spans="1:8" ht="18">
      <c r="B316" s="346" t="s">
        <v>1729</v>
      </c>
      <c r="C316" s="347" t="s">
        <v>1950</v>
      </c>
      <c r="D316" s="346" t="s">
        <v>2765</v>
      </c>
      <c r="E316" s="346" t="s">
        <v>1871</v>
      </c>
      <c r="F316" s="347">
        <f>F314+F315</f>
        <v>9620740</v>
      </c>
      <c r="G316" s="332">
        <f t="shared" si="21"/>
        <v>1</v>
      </c>
    </row>
    <row r="317" spans="1:8">
      <c r="A317" s="332" t="s">
        <v>3244</v>
      </c>
      <c r="B317" s="345"/>
      <c r="C317" s="345" t="str">
        <f>VLOOKUP(A317,CTTBA,'7.CT-TBA'!$E$25,0)</f>
        <v>2 Trạm 3 pha di dời</v>
      </c>
      <c r="D317" s="345"/>
      <c r="E317" s="345"/>
      <c r="F317" s="345"/>
      <c r="G317" s="332">
        <f>IF(SUM(G318:G330)&lt;&gt;0,1,)</f>
        <v>1</v>
      </c>
    </row>
    <row r="318" spans="1:8">
      <c r="B318" s="346" t="s">
        <v>1631</v>
      </c>
      <c r="C318" s="347" t="s">
        <v>1845</v>
      </c>
      <c r="D318" s="346" t="s">
        <v>1846</v>
      </c>
      <c r="E318" s="346" t="s">
        <v>1875</v>
      </c>
      <c r="F318" s="347">
        <f>F319+F321+F323</f>
        <v>9135207</v>
      </c>
      <c r="G318" s="332">
        <f>IF(F318&lt;&gt;0,1,)</f>
        <v>1</v>
      </c>
    </row>
    <row r="319" spans="1:8" ht="18.600000000000001">
      <c r="B319" s="348">
        <v>1</v>
      </c>
      <c r="C319" s="349" t="s">
        <v>1847</v>
      </c>
      <c r="D319" s="348" t="s">
        <v>1765</v>
      </c>
      <c r="E319" s="348" t="s">
        <v>2776</v>
      </c>
      <c r="F319" s="349">
        <f>F320</f>
        <v>0</v>
      </c>
      <c r="G319" s="332">
        <f>G318</f>
        <v>1</v>
      </c>
    </row>
    <row r="320" spans="1:8" ht="18">
      <c r="A320" s="332" t="str">
        <f>"TB"&amp;A317</f>
        <v>TBDTR3P</v>
      </c>
      <c r="B320" s="350"/>
      <c r="C320" s="375" t="s">
        <v>1944</v>
      </c>
      <c r="D320" s="350" t="s">
        <v>2754</v>
      </c>
      <c r="E320" s="350" t="s">
        <v>1956</v>
      </c>
      <c r="F320" s="351">
        <f>VLOOKUP(A320,CTTBA,H320,0)</f>
        <v>0</v>
      </c>
      <c r="G320" s="332">
        <f t="shared" ref="G320:G330" si="22">G319</f>
        <v>1</v>
      </c>
      <c r="H320" s="332">
        <f>'7.CT-TBA'!$N$25</f>
        <v>14</v>
      </c>
    </row>
    <row r="321" spans="1:8" ht="18.600000000000001">
      <c r="B321" s="348">
        <v>2</v>
      </c>
      <c r="C321" s="349" t="s">
        <v>1946</v>
      </c>
      <c r="D321" s="348" t="s">
        <v>1764</v>
      </c>
      <c r="E321" s="348" t="s">
        <v>2777</v>
      </c>
      <c r="F321" s="349">
        <f>F322</f>
        <v>6971577</v>
      </c>
      <c r="G321" s="332">
        <f t="shared" si="22"/>
        <v>1</v>
      </c>
    </row>
    <row r="322" spans="1:8" ht="18">
      <c r="A322" s="332" t="str">
        <f>"TB"&amp;A317</f>
        <v>TBDTR3P</v>
      </c>
      <c r="B322" s="350"/>
      <c r="C322" s="375" t="s">
        <v>1947</v>
      </c>
      <c r="D322" s="350" t="s">
        <v>2755</v>
      </c>
      <c r="E322" s="350" t="s">
        <v>3290</v>
      </c>
      <c r="F322" s="351">
        <f>ROUND(VLOOKUP(A322,CTTBA,H322,0)*NCTBA,0)</f>
        <v>6971577</v>
      </c>
      <c r="G322" s="332">
        <f t="shared" si="22"/>
        <v>1</v>
      </c>
      <c r="H322" s="332">
        <f>'7.CT-TBA'!$O$25</f>
        <v>15</v>
      </c>
    </row>
    <row r="323" spans="1:8" ht="18.600000000000001">
      <c r="B323" s="348">
        <v>3</v>
      </c>
      <c r="C323" s="349" t="s">
        <v>1855</v>
      </c>
      <c r="D323" s="348" t="s">
        <v>1774</v>
      </c>
      <c r="E323" s="348" t="s">
        <v>2778</v>
      </c>
      <c r="F323" s="349">
        <f>F324</f>
        <v>2163630</v>
      </c>
      <c r="G323" s="332">
        <f t="shared" si="22"/>
        <v>1</v>
      </c>
    </row>
    <row r="324" spans="1:8" ht="18">
      <c r="A324" s="332" t="str">
        <f>"TB"&amp;A317</f>
        <v>TBDTR3P</v>
      </c>
      <c r="B324" s="350"/>
      <c r="C324" s="375" t="s">
        <v>1948</v>
      </c>
      <c r="D324" s="350" t="s">
        <v>2756</v>
      </c>
      <c r="E324" s="350" t="s">
        <v>478</v>
      </c>
      <c r="F324" s="351">
        <f>VLOOKUP(A324,CTTBA,H324,0)</f>
        <v>2163630</v>
      </c>
      <c r="G324" s="332">
        <f t="shared" si="22"/>
        <v>1</v>
      </c>
      <c r="H324" s="332">
        <f>'7.CT-TBA'!$P$25</f>
        <v>16</v>
      </c>
    </row>
    <row r="325" spans="1:8">
      <c r="B325" s="346" t="s">
        <v>1663</v>
      </c>
      <c r="C325" s="347" t="s">
        <v>1858</v>
      </c>
      <c r="D325" s="346" t="s">
        <v>1776</v>
      </c>
      <c r="E325" s="346" t="s">
        <v>1859</v>
      </c>
      <c r="F325" s="347">
        <f>ROUND(65%*F321,0)</f>
        <v>4531525</v>
      </c>
      <c r="G325" s="332">
        <f t="shared" si="22"/>
        <v>1</v>
      </c>
    </row>
    <row r="326" spans="1:8" ht="18">
      <c r="B326" s="346"/>
      <c r="C326" s="347" t="s">
        <v>1861</v>
      </c>
      <c r="D326" s="346" t="s">
        <v>2775</v>
      </c>
      <c r="E326" s="346" t="s">
        <v>2807</v>
      </c>
      <c r="F326" s="347">
        <f>F318+F325</f>
        <v>13666732</v>
      </c>
      <c r="G326" s="332">
        <f t="shared" si="22"/>
        <v>1</v>
      </c>
    </row>
    <row r="327" spans="1:8" ht="18">
      <c r="B327" s="346" t="s">
        <v>1673</v>
      </c>
      <c r="C327" s="347" t="s">
        <v>1862</v>
      </c>
      <c r="D327" s="346" t="s">
        <v>1863</v>
      </c>
      <c r="E327" s="346" t="s">
        <v>2770</v>
      </c>
      <c r="F327" s="347">
        <f>ROUND(6%*F326,0)</f>
        <v>820004</v>
      </c>
      <c r="G327" s="332">
        <f t="shared" si="22"/>
        <v>1</v>
      </c>
    </row>
    <row r="328" spans="1:8" ht="18">
      <c r="A328" s="332" t="str">
        <f>"XL"&amp;A317</f>
        <v>XLDTR3P</v>
      </c>
      <c r="B328" s="634"/>
      <c r="C328" s="635" t="s">
        <v>1865</v>
      </c>
      <c r="D328" s="634" t="s">
        <v>1866</v>
      </c>
      <c r="E328" s="634" t="s">
        <v>2771</v>
      </c>
      <c r="F328" s="635">
        <f>F326+F327</f>
        <v>14486736</v>
      </c>
      <c r="G328" s="332">
        <f t="shared" si="22"/>
        <v>1</v>
      </c>
    </row>
    <row r="329" spans="1:8">
      <c r="B329" s="346" t="s">
        <v>1717</v>
      </c>
      <c r="C329" s="347" t="s">
        <v>1867</v>
      </c>
      <c r="D329" s="346" t="s">
        <v>1868</v>
      </c>
      <c r="E329" s="346" t="s">
        <v>1869</v>
      </c>
      <c r="F329" s="347">
        <f>ROUND(10%*F328,0)</f>
        <v>1448674</v>
      </c>
      <c r="G329" s="332">
        <f t="shared" si="22"/>
        <v>1</v>
      </c>
    </row>
    <row r="330" spans="1:8" ht="18">
      <c r="B330" s="346" t="s">
        <v>1729</v>
      </c>
      <c r="C330" s="347" t="s">
        <v>1950</v>
      </c>
      <c r="D330" s="346" t="s">
        <v>2765</v>
      </c>
      <c r="E330" s="346" t="s">
        <v>1871</v>
      </c>
      <c r="F330" s="347">
        <f>F328+F329</f>
        <v>15935410</v>
      </c>
      <c r="G330" s="332">
        <f t="shared" si="22"/>
        <v>1</v>
      </c>
    </row>
    <row r="331" spans="1:8" hidden="1">
      <c r="A331" s="332" t="s">
        <v>2468</v>
      </c>
      <c r="B331" s="345"/>
      <c r="C331" s="345" t="str">
        <f>VLOOKUP(A331,CTTBA,'7.CT-TBA'!$E$25,0)</f>
        <v xml:space="preserve"> Trạm NC từ 50kVA lên 3x50kVA</v>
      </c>
      <c r="D331" s="345"/>
      <c r="E331" s="345"/>
      <c r="F331" s="345"/>
      <c r="G331" s="332">
        <f>IF(SUM(G332:G344)&lt;&gt;0,1,)</f>
        <v>0</v>
      </c>
    </row>
    <row r="332" spans="1:8" hidden="1">
      <c r="B332" s="346" t="s">
        <v>1631</v>
      </c>
      <c r="C332" s="347" t="s">
        <v>1845</v>
      </c>
      <c r="D332" s="346" t="s">
        <v>1846</v>
      </c>
      <c r="E332" s="346" t="s">
        <v>1875</v>
      </c>
      <c r="F332" s="347">
        <f>F333+F335+F337</f>
        <v>0</v>
      </c>
      <c r="G332" s="332">
        <f>IF(F332&lt;&gt;0,1,)</f>
        <v>0</v>
      </c>
    </row>
    <row r="333" spans="1:8" ht="18.600000000000001" hidden="1">
      <c r="B333" s="348">
        <v>1</v>
      </c>
      <c r="C333" s="349" t="s">
        <v>1847</v>
      </c>
      <c r="D333" s="348" t="s">
        <v>1765</v>
      </c>
      <c r="E333" s="348" t="s">
        <v>2776</v>
      </c>
      <c r="F333" s="349">
        <f>F334</f>
        <v>0</v>
      </c>
      <c r="G333" s="332">
        <f>G332</f>
        <v>0</v>
      </c>
    </row>
    <row r="334" spans="1:8" ht="18" hidden="1">
      <c r="A334" s="332" t="str">
        <f>"TB"&amp;$A$331</f>
        <v>TBTRNC3X50</v>
      </c>
      <c r="B334" s="350"/>
      <c r="C334" s="375" t="s">
        <v>1944</v>
      </c>
      <c r="D334" s="350" t="s">
        <v>2754</v>
      </c>
      <c r="E334" s="350" t="s">
        <v>1956</v>
      </c>
      <c r="F334" s="351">
        <f>VLOOKUP(A334,CTTBA,H334,0)</f>
        <v>0</v>
      </c>
      <c r="G334" s="332">
        <f t="shared" ref="G334:G344" si="23">G333</f>
        <v>0</v>
      </c>
      <c r="H334" s="332">
        <f>'7.CT-TBA'!$N$25</f>
        <v>14</v>
      </c>
    </row>
    <row r="335" spans="1:8" ht="18.600000000000001" hidden="1">
      <c r="B335" s="348">
        <v>2</v>
      </c>
      <c r="C335" s="349" t="s">
        <v>1946</v>
      </c>
      <c r="D335" s="348" t="s">
        <v>1764</v>
      </c>
      <c r="E335" s="348" t="s">
        <v>2777</v>
      </c>
      <c r="F335" s="349">
        <f>F336</f>
        <v>0</v>
      </c>
      <c r="G335" s="332">
        <f t="shared" si="23"/>
        <v>0</v>
      </c>
    </row>
    <row r="336" spans="1:8" ht="18" hidden="1">
      <c r="A336" s="332" t="str">
        <f>"TB"&amp;$A$331</f>
        <v>TBTRNC3X50</v>
      </c>
      <c r="B336" s="350"/>
      <c r="C336" s="375" t="s">
        <v>1947</v>
      </c>
      <c r="D336" s="350" t="s">
        <v>2755</v>
      </c>
      <c r="E336" s="350" t="s">
        <v>1630</v>
      </c>
      <c r="F336" s="351">
        <f>VLOOKUP(A336,CTTBA,H336,0)</f>
        <v>0</v>
      </c>
      <c r="G336" s="332">
        <f t="shared" si="23"/>
        <v>0</v>
      </c>
      <c r="H336" s="332">
        <f>'7.CT-TBA'!$O$25</f>
        <v>15</v>
      </c>
    </row>
    <row r="337" spans="1:8" ht="18.600000000000001" hidden="1">
      <c r="B337" s="348">
        <v>3</v>
      </c>
      <c r="C337" s="349" t="s">
        <v>1855</v>
      </c>
      <c r="D337" s="348" t="s">
        <v>1774</v>
      </c>
      <c r="E337" s="348" t="s">
        <v>2778</v>
      </c>
      <c r="F337" s="349">
        <f>F338</f>
        <v>0</v>
      </c>
      <c r="G337" s="332">
        <f t="shared" si="23"/>
        <v>0</v>
      </c>
    </row>
    <row r="338" spans="1:8" ht="18" hidden="1">
      <c r="A338" s="332" t="str">
        <f>"TB"&amp;$A$331</f>
        <v>TBTRNC3X50</v>
      </c>
      <c r="B338" s="350"/>
      <c r="C338" s="375" t="s">
        <v>1948</v>
      </c>
      <c r="D338" s="350" t="s">
        <v>2756</v>
      </c>
      <c r="E338" s="350" t="s">
        <v>478</v>
      </c>
      <c r="F338" s="351">
        <f>VLOOKUP(A338,CTTBA,H338,0)</f>
        <v>0</v>
      </c>
      <c r="G338" s="332">
        <f t="shared" si="23"/>
        <v>0</v>
      </c>
      <c r="H338" s="332">
        <f>'7.CT-TBA'!$P$25</f>
        <v>16</v>
      </c>
    </row>
    <row r="339" spans="1:8" hidden="1">
      <c r="B339" s="346" t="s">
        <v>1663</v>
      </c>
      <c r="C339" s="347" t="s">
        <v>1858</v>
      </c>
      <c r="D339" s="346" t="s">
        <v>1776</v>
      </c>
      <c r="E339" s="346" t="s">
        <v>1859</v>
      </c>
      <c r="F339" s="347">
        <f>ROUND(65%*F335,0)</f>
        <v>0</v>
      </c>
      <c r="G339" s="332">
        <f t="shared" si="23"/>
        <v>0</v>
      </c>
    </row>
    <row r="340" spans="1:8" ht="18" hidden="1">
      <c r="B340" s="346"/>
      <c r="C340" s="347" t="s">
        <v>1861</v>
      </c>
      <c r="D340" s="346" t="s">
        <v>2775</v>
      </c>
      <c r="E340" s="346" t="s">
        <v>2807</v>
      </c>
      <c r="F340" s="347">
        <f>F332+F339</f>
        <v>0</v>
      </c>
      <c r="G340" s="332">
        <f t="shared" si="23"/>
        <v>0</v>
      </c>
    </row>
    <row r="341" spans="1:8" ht="18" hidden="1">
      <c r="B341" s="346" t="s">
        <v>1673</v>
      </c>
      <c r="C341" s="347" t="s">
        <v>1862</v>
      </c>
      <c r="D341" s="346" t="s">
        <v>1863</v>
      </c>
      <c r="E341" s="346" t="s">
        <v>2770</v>
      </c>
      <c r="F341" s="347">
        <f>ROUND(6%*F340,0)</f>
        <v>0</v>
      </c>
      <c r="G341" s="332">
        <f t="shared" si="23"/>
        <v>0</v>
      </c>
    </row>
    <row r="342" spans="1:8" ht="18" hidden="1">
      <c r="A342" s="332" t="str">
        <f>"XL"&amp;A331</f>
        <v>XLTRNC3X50</v>
      </c>
      <c r="B342" s="346"/>
      <c r="C342" s="347" t="s">
        <v>1865</v>
      </c>
      <c r="D342" s="346" t="s">
        <v>1866</v>
      </c>
      <c r="E342" s="346" t="s">
        <v>2771</v>
      </c>
      <c r="F342" s="347">
        <f>F340+F341</f>
        <v>0</v>
      </c>
      <c r="G342" s="332">
        <f t="shared" si="23"/>
        <v>0</v>
      </c>
    </row>
    <row r="343" spans="1:8" hidden="1">
      <c r="B343" s="346" t="s">
        <v>1717</v>
      </c>
      <c r="C343" s="347" t="s">
        <v>1867</v>
      </c>
      <c r="D343" s="346" t="s">
        <v>1868</v>
      </c>
      <c r="E343" s="346" t="s">
        <v>1869</v>
      </c>
      <c r="F343" s="347">
        <f>ROUND(10%*F342,0)</f>
        <v>0</v>
      </c>
      <c r="G343" s="332">
        <f t="shared" si="23"/>
        <v>0</v>
      </c>
    </row>
    <row r="344" spans="1:8" ht="18" hidden="1">
      <c r="B344" s="346" t="s">
        <v>1729</v>
      </c>
      <c r="C344" s="347" t="s">
        <v>1950</v>
      </c>
      <c r="D344" s="346" t="s">
        <v>2765</v>
      </c>
      <c r="E344" s="346" t="s">
        <v>1871</v>
      </c>
      <c r="F344" s="347">
        <f>F342+F343</f>
        <v>0</v>
      </c>
      <c r="G344" s="332">
        <f t="shared" si="23"/>
        <v>0</v>
      </c>
    </row>
  </sheetData>
  <autoFilter ref="G6:G344" xr:uid="{00000000-0009-0000-0000-00000A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I329"/>
  <sheetViews>
    <sheetView view="pageBreakPreview" topLeftCell="A274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18.88671875" style="332" customWidth="1"/>
    <col min="3" max="3" width="7.44140625" style="332" customWidth="1"/>
    <col min="4" max="4" width="44.33203125" style="332" bestFit="1" customWidth="1"/>
    <col min="5" max="5" width="7.5546875" style="332" customWidth="1"/>
    <col min="6" max="6" width="15.88671875" style="332" bestFit="1" customWidth="1"/>
    <col min="7" max="7" width="16.109375" style="332" customWidth="1"/>
    <col min="8" max="16384" width="9.109375" style="332"/>
  </cols>
  <sheetData>
    <row r="1" spans="2:9">
      <c r="C1" s="332" t="s">
        <v>1623</v>
      </c>
    </row>
    <row r="2" spans="2:9">
      <c r="B2" s="335">
        <v>1</v>
      </c>
      <c r="C2" s="335">
        <v>2</v>
      </c>
      <c r="D2" s="335">
        <v>3</v>
      </c>
      <c r="E2" s="335">
        <v>4</v>
      </c>
      <c r="F2" s="335">
        <v>5</v>
      </c>
      <c r="G2" s="335">
        <v>6</v>
      </c>
    </row>
    <row r="3" spans="2:9" s="334" customFormat="1">
      <c r="C3" s="336" t="s">
        <v>2199</v>
      </c>
      <c r="D3" s="336"/>
      <c r="E3" s="336"/>
      <c r="F3" s="336"/>
      <c r="G3" s="336"/>
    </row>
    <row r="5" spans="2:9" ht="31.2">
      <c r="C5" s="338" t="s">
        <v>1763</v>
      </c>
      <c r="D5" s="338" t="s">
        <v>1839</v>
      </c>
      <c r="E5" s="338" t="s">
        <v>1840</v>
      </c>
      <c r="F5" s="338" t="s">
        <v>1841</v>
      </c>
      <c r="G5" s="338" t="s">
        <v>1627</v>
      </c>
    </row>
    <row r="6" spans="2:9">
      <c r="C6" s="344" t="s">
        <v>1765</v>
      </c>
      <c r="D6" s="344" t="s">
        <v>2121</v>
      </c>
      <c r="E6" s="344"/>
      <c r="F6" s="344"/>
      <c r="G6" s="344"/>
      <c r="H6" s="332">
        <f>IF(SUM(H7:H34)&lt;&gt;0,1,)</f>
        <v>1</v>
      </c>
    </row>
    <row r="7" spans="2:9">
      <c r="B7" s="332" t="s">
        <v>1844</v>
      </c>
      <c r="C7" s="376"/>
      <c r="D7" s="377" t="str">
        <f>VLOOKUP(B7,TNTB,3,0)</f>
        <v>Phần đường dây trung thế</v>
      </c>
      <c r="E7" s="376"/>
      <c r="F7" s="377"/>
      <c r="G7" s="377"/>
      <c r="H7" s="332">
        <f>H8</f>
        <v>1</v>
      </c>
    </row>
    <row r="8" spans="2:9">
      <c r="C8" s="346" t="s">
        <v>1631</v>
      </c>
      <c r="D8" s="347" t="s">
        <v>1845</v>
      </c>
      <c r="E8" s="346" t="s">
        <v>1846</v>
      </c>
      <c r="F8" s="346" t="s">
        <v>1875</v>
      </c>
      <c r="G8" s="347">
        <f>G9+G11+G13</f>
        <v>4761858</v>
      </c>
      <c r="H8" s="332">
        <f>IF(G8&lt;&gt;0,1,)</f>
        <v>1</v>
      </c>
    </row>
    <row r="9" spans="2:9" ht="18">
      <c r="C9" s="328">
        <v>1</v>
      </c>
      <c r="D9" s="329" t="s">
        <v>1847</v>
      </c>
      <c r="E9" s="328" t="s">
        <v>1765</v>
      </c>
      <c r="F9" s="328" t="s">
        <v>2772</v>
      </c>
      <c r="G9" s="329">
        <f>G10</f>
        <v>87286</v>
      </c>
      <c r="H9" s="332">
        <f>H8</f>
        <v>1</v>
      </c>
    </row>
    <row r="10" spans="2:9" ht="18">
      <c r="B10" s="332" t="str">
        <f>B7</f>
        <v>T1</v>
      </c>
      <c r="C10" s="350"/>
      <c r="D10" s="351" t="s">
        <v>2200</v>
      </c>
      <c r="E10" s="350" t="s">
        <v>2754</v>
      </c>
      <c r="F10" s="350" t="s">
        <v>1849</v>
      </c>
      <c r="G10" s="351">
        <f>ROUND(VLOOKUP(B10,TNTB,I10,0),0)</f>
        <v>87286</v>
      </c>
      <c r="H10" s="332">
        <f t="shared" ref="H10:H20" si="0">H9</f>
        <v>1</v>
      </c>
      <c r="I10" s="332">
        <f>'10.TNTB'!$J$3</f>
        <v>9</v>
      </c>
    </row>
    <row r="11" spans="2:9" ht="18">
      <c r="C11" s="328">
        <v>2</v>
      </c>
      <c r="D11" s="329" t="s">
        <v>1946</v>
      </c>
      <c r="E11" s="328" t="s">
        <v>1764</v>
      </c>
      <c r="F11" s="328" t="s">
        <v>2773</v>
      </c>
      <c r="G11" s="329">
        <f>G12</f>
        <v>4078632</v>
      </c>
      <c r="H11" s="332">
        <f t="shared" si="0"/>
        <v>1</v>
      </c>
    </row>
    <row r="12" spans="2:9" ht="18">
      <c r="B12" s="332" t="str">
        <f>B7</f>
        <v>T1</v>
      </c>
      <c r="C12" s="350"/>
      <c r="D12" s="351" t="s">
        <v>2201</v>
      </c>
      <c r="E12" s="350" t="s">
        <v>2755</v>
      </c>
      <c r="F12" s="350" t="s">
        <v>3381</v>
      </c>
      <c r="G12" s="351">
        <f>ROUND(VLOOKUP(B12,TNTB,I12,0)*1,0)</f>
        <v>4078632</v>
      </c>
      <c r="H12" s="332">
        <f t="shared" si="0"/>
        <v>1</v>
      </c>
      <c r="I12" s="332">
        <f>'10.TNTB'!$K$3</f>
        <v>10</v>
      </c>
    </row>
    <row r="13" spans="2:9" ht="18">
      <c r="C13" s="328">
        <v>3</v>
      </c>
      <c r="D13" s="329" t="s">
        <v>1855</v>
      </c>
      <c r="E13" s="328" t="s">
        <v>1774</v>
      </c>
      <c r="F13" s="328" t="s">
        <v>2774</v>
      </c>
      <c r="G13" s="329">
        <f>G14</f>
        <v>595940</v>
      </c>
      <c r="H13" s="332">
        <f t="shared" si="0"/>
        <v>1</v>
      </c>
    </row>
    <row r="14" spans="2:9" ht="18">
      <c r="B14" s="332" t="str">
        <f>B7</f>
        <v>T1</v>
      </c>
      <c r="C14" s="350"/>
      <c r="D14" s="351" t="s">
        <v>2202</v>
      </c>
      <c r="E14" s="350" t="s">
        <v>2756</v>
      </c>
      <c r="F14" s="350" t="s">
        <v>478</v>
      </c>
      <c r="G14" s="351">
        <f>ROUND(VLOOKUP(B14,TNTB,I14,0),0)</f>
        <v>595940</v>
      </c>
      <c r="H14" s="332">
        <f t="shared" si="0"/>
        <v>1</v>
      </c>
      <c r="I14" s="332">
        <f>'10.TNTB'!$L$3</f>
        <v>11</v>
      </c>
    </row>
    <row r="15" spans="2:9">
      <c r="C15" s="346" t="s">
        <v>1663</v>
      </c>
      <c r="D15" s="347" t="s">
        <v>1858</v>
      </c>
      <c r="E15" s="346" t="s">
        <v>1776</v>
      </c>
      <c r="F15" s="346" t="s">
        <v>1859</v>
      </c>
      <c r="G15" s="347">
        <f>ROUND(65%*G11,0)</f>
        <v>2651111</v>
      </c>
      <c r="H15" s="332">
        <f t="shared" si="0"/>
        <v>1</v>
      </c>
    </row>
    <row r="16" spans="2:9" ht="18">
      <c r="C16" s="346"/>
      <c r="D16" s="347" t="s">
        <v>1861</v>
      </c>
      <c r="E16" s="346" t="s">
        <v>2775</v>
      </c>
      <c r="F16" s="346" t="s">
        <v>2807</v>
      </c>
      <c r="G16" s="347">
        <f>G8+G15</f>
        <v>7412969</v>
      </c>
      <c r="H16" s="332">
        <f t="shared" si="0"/>
        <v>1</v>
      </c>
    </row>
    <row r="17" spans="2:9" ht="18">
      <c r="C17" s="346" t="s">
        <v>1673</v>
      </c>
      <c r="D17" s="347" t="s">
        <v>1862</v>
      </c>
      <c r="E17" s="346" t="s">
        <v>1863</v>
      </c>
      <c r="F17" s="346" t="s">
        <v>2770</v>
      </c>
      <c r="G17" s="347">
        <f>ROUND(6%*G16,0)</f>
        <v>444778</v>
      </c>
      <c r="H17" s="332">
        <f t="shared" si="0"/>
        <v>1</v>
      </c>
    </row>
    <row r="18" spans="2:9" ht="18">
      <c r="B18" s="332" t="str">
        <f>"TN"&amp;B7</f>
        <v>TNT1</v>
      </c>
      <c r="C18" s="346"/>
      <c r="D18" s="347" t="s">
        <v>1865</v>
      </c>
      <c r="E18" s="346" t="s">
        <v>1866</v>
      </c>
      <c r="F18" s="346" t="s">
        <v>2771</v>
      </c>
      <c r="G18" s="347">
        <f>G16+G17</f>
        <v>7857747</v>
      </c>
      <c r="H18" s="332">
        <f t="shared" si="0"/>
        <v>1</v>
      </c>
    </row>
    <row r="19" spans="2:9">
      <c r="C19" s="346" t="s">
        <v>1717</v>
      </c>
      <c r="D19" s="347" t="s">
        <v>1867</v>
      </c>
      <c r="E19" s="346" t="s">
        <v>1868</v>
      </c>
      <c r="F19" s="346" t="s">
        <v>1869</v>
      </c>
      <c r="G19" s="347">
        <f>ROUND(10%*G18,0)</f>
        <v>785775</v>
      </c>
      <c r="H19" s="332">
        <f t="shared" si="0"/>
        <v>1</v>
      </c>
    </row>
    <row r="20" spans="2:9" ht="18">
      <c r="C20" s="346" t="s">
        <v>1729</v>
      </c>
      <c r="D20" s="347" t="s">
        <v>1950</v>
      </c>
      <c r="E20" s="346" t="s">
        <v>2765</v>
      </c>
      <c r="F20" s="346" t="s">
        <v>1871</v>
      </c>
      <c r="G20" s="347">
        <f>G18+G19</f>
        <v>8643522</v>
      </c>
      <c r="H20" s="332">
        <f t="shared" si="0"/>
        <v>1</v>
      </c>
    </row>
    <row r="21" spans="2:9">
      <c r="B21" s="332" t="s">
        <v>1873</v>
      </c>
      <c r="C21" s="376"/>
      <c r="D21" s="377" t="str">
        <f>VLOOKUP(B21,TNTB,3,0)</f>
        <v>Phần đường dây hạ thế</v>
      </c>
      <c r="E21" s="376"/>
      <c r="F21" s="377"/>
      <c r="G21" s="377"/>
      <c r="H21" s="332">
        <f>H22</f>
        <v>1</v>
      </c>
    </row>
    <row r="22" spans="2:9">
      <c r="C22" s="346" t="s">
        <v>1631</v>
      </c>
      <c r="D22" s="347" t="s">
        <v>1845</v>
      </c>
      <c r="E22" s="346" t="s">
        <v>1846</v>
      </c>
      <c r="F22" s="346" t="s">
        <v>1875</v>
      </c>
      <c r="G22" s="347">
        <f>G23+G25+G27</f>
        <v>14342848</v>
      </c>
      <c r="H22" s="332">
        <f>IF(G22&lt;&gt;0,1,)</f>
        <v>1</v>
      </c>
    </row>
    <row r="23" spans="2:9" ht="18">
      <c r="C23" s="328">
        <v>1</v>
      </c>
      <c r="D23" s="329" t="s">
        <v>1847</v>
      </c>
      <c r="E23" s="328" t="s">
        <v>1765</v>
      </c>
      <c r="F23" s="328" t="s">
        <v>2772</v>
      </c>
      <c r="G23" s="329">
        <f>G24</f>
        <v>185224</v>
      </c>
      <c r="H23" s="332">
        <f>H22</f>
        <v>1</v>
      </c>
    </row>
    <row r="24" spans="2:9" ht="18">
      <c r="B24" s="332" t="str">
        <f>B21</f>
        <v>T3</v>
      </c>
      <c r="C24" s="350"/>
      <c r="D24" s="351" t="s">
        <v>2200</v>
      </c>
      <c r="E24" s="350" t="s">
        <v>2754</v>
      </c>
      <c r="F24" s="350" t="s">
        <v>1849</v>
      </c>
      <c r="G24" s="351">
        <f>ROUND(VLOOKUP(B24,TNTB,I24,0),0)</f>
        <v>185224</v>
      </c>
      <c r="H24" s="332">
        <f t="shared" ref="H24:H34" si="1">H23</f>
        <v>1</v>
      </c>
      <c r="I24" s="332">
        <f>'10.TNTB'!$J$3</f>
        <v>9</v>
      </c>
    </row>
    <row r="25" spans="2:9" ht="18">
      <c r="C25" s="328">
        <v>2</v>
      </c>
      <c r="D25" s="329" t="s">
        <v>1946</v>
      </c>
      <c r="E25" s="328" t="s">
        <v>1764</v>
      </c>
      <c r="F25" s="328" t="s">
        <v>2773</v>
      </c>
      <c r="G25" s="329">
        <f>G26</f>
        <v>11865984</v>
      </c>
      <c r="H25" s="332">
        <f t="shared" si="1"/>
        <v>1</v>
      </c>
    </row>
    <row r="26" spans="2:9" ht="18">
      <c r="B26" s="332" t="str">
        <f>B21</f>
        <v>T3</v>
      </c>
      <c r="C26" s="350"/>
      <c r="D26" s="351" t="s">
        <v>2201</v>
      </c>
      <c r="E26" s="350" t="s">
        <v>2755</v>
      </c>
      <c r="F26" s="350" t="s">
        <v>3381</v>
      </c>
      <c r="G26" s="351">
        <f>ROUND(VLOOKUP(B26,TNTB,I26,0)*1,0)</f>
        <v>11865984</v>
      </c>
      <c r="H26" s="332">
        <f t="shared" si="1"/>
        <v>1</v>
      </c>
      <c r="I26" s="332">
        <f>'10.TNTB'!$K$3</f>
        <v>10</v>
      </c>
    </row>
    <row r="27" spans="2:9" ht="18">
      <c r="C27" s="328">
        <v>3</v>
      </c>
      <c r="D27" s="329" t="s">
        <v>1855</v>
      </c>
      <c r="E27" s="328" t="s">
        <v>1774</v>
      </c>
      <c r="F27" s="328" t="s">
        <v>2774</v>
      </c>
      <c r="G27" s="329">
        <f>G28</f>
        <v>2291640</v>
      </c>
      <c r="H27" s="332">
        <f t="shared" si="1"/>
        <v>1</v>
      </c>
    </row>
    <row r="28" spans="2:9" ht="18">
      <c r="B28" s="332" t="str">
        <f>B21</f>
        <v>T3</v>
      </c>
      <c r="C28" s="350"/>
      <c r="D28" s="351" t="s">
        <v>2202</v>
      </c>
      <c r="E28" s="350" t="s">
        <v>2756</v>
      </c>
      <c r="F28" s="350" t="s">
        <v>478</v>
      </c>
      <c r="G28" s="351">
        <f>ROUND(VLOOKUP(B28,TNTB,I28,0),0)</f>
        <v>2291640</v>
      </c>
      <c r="H28" s="332">
        <f t="shared" si="1"/>
        <v>1</v>
      </c>
      <c r="I28" s="332">
        <f>'10.TNTB'!$L$3</f>
        <v>11</v>
      </c>
    </row>
    <row r="29" spans="2:9">
      <c r="C29" s="346" t="s">
        <v>1663</v>
      </c>
      <c r="D29" s="347" t="s">
        <v>1858</v>
      </c>
      <c r="E29" s="346" t="s">
        <v>1776</v>
      </c>
      <c r="F29" s="346" t="s">
        <v>1859</v>
      </c>
      <c r="G29" s="347">
        <f>ROUND(65%*G25,0)</f>
        <v>7712890</v>
      </c>
      <c r="H29" s="332">
        <f t="shared" si="1"/>
        <v>1</v>
      </c>
    </row>
    <row r="30" spans="2:9" ht="18">
      <c r="C30" s="346"/>
      <c r="D30" s="347" t="s">
        <v>1861</v>
      </c>
      <c r="E30" s="346" t="s">
        <v>2775</v>
      </c>
      <c r="F30" s="346" t="s">
        <v>2807</v>
      </c>
      <c r="G30" s="347">
        <f>G22+G29</f>
        <v>22055738</v>
      </c>
      <c r="H30" s="332">
        <f t="shared" si="1"/>
        <v>1</v>
      </c>
    </row>
    <row r="31" spans="2:9" ht="18">
      <c r="C31" s="346" t="s">
        <v>1673</v>
      </c>
      <c r="D31" s="347" t="s">
        <v>1862</v>
      </c>
      <c r="E31" s="346" t="s">
        <v>1863</v>
      </c>
      <c r="F31" s="346" t="s">
        <v>2770</v>
      </c>
      <c r="G31" s="347">
        <f>ROUND(6%*G30,0)</f>
        <v>1323344</v>
      </c>
      <c r="H31" s="332">
        <f t="shared" si="1"/>
        <v>1</v>
      </c>
    </row>
    <row r="32" spans="2:9" ht="18">
      <c r="B32" s="332" t="s">
        <v>2203</v>
      </c>
      <c r="C32" s="346"/>
      <c r="D32" s="347" t="s">
        <v>1865</v>
      </c>
      <c r="E32" s="346" t="s">
        <v>1866</v>
      </c>
      <c r="F32" s="346" t="s">
        <v>2771</v>
      </c>
      <c r="G32" s="347">
        <f>G30+G31</f>
        <v>23379082</v>
      </c>
      <c r="H32" s="332">
        <f t="shared" si="1"/>
        <v>1</v>
      </c>
    </row>
    <row r="33" spans="2:9">
      <c r="C33" s="346" t="s">
        <v>1717</v>
      </c>
      <c r="D33" s="347" t="s">
        <v>1867</v>
      </c>
      <c r="E33" s="346" t="s">
        <v>1868</v>
      </c>
      <c r="F33" s="346" t="s">
        <v>1869</v>
      </c>
      <c r="G33" s="347">
        <f>ROUND(10%*G32,0)</f>
        <v>2337908</v>
      </c>
      <c r="H33" s="332">
        <f t="shared" si="1"/>
        <v>1</v>
      </c>
    </row>
    <row r="34" spans="2:9" ht="18">
      <c r="C34" s="346" t="s">
        <v>1729</v>
      </c>
      <c r="D34" s="347" t="s">
        <v>1950</v>
      </c>
      <c r="E34" s="346" t="s">
        <v>2765</v>
      </c>
      <c r="F34" s="346" t="s">
        <v>1871</v>
      </c>
      <c r="G34" s="347">
        <f>G32+G33</f>
        <v>25716990</v>
      </c>
      <c r="H34" s="332">
        <f t="shared" si="1"/>
        <v>1</v>
      </c>
    </row>
    <row r="35" spans="2:9" hidden="1">
      <c r="C35" s="344" t="s">
        <v>1764</v>
      </c>
      <c r="D35" s="344" t="s">
        <v>2120</v>
      </c>
      <c r="E35" s="344"/>
      <c r="F35" s="344"/>
      <c r="G35" s="344"/>
    </row>
    <row r="36" spans="2:9" hidden="1">
      <c r="B36" s="332" t="s">
        <v>2088</v>
      </c>
      <c r="C36" s="376"/>
      <c r="D36" s="377" t="str">
        <f>VLOOKUP(B36,TNTB,'10.TNTB'!$D$3,0)</f>
        <v>0 Trạm 1 pha 25kVA</v>
      </c>
      <c r="E36" s="376"/>
      <c r="F36" s="377"/>
      <c r="G36" s="377"/>
      <c r="H36" s="332">
        <f>H37</f>
        <v>0</v>
      </c>
    </row>
    <row r="37" spans="2:9" hidden="1">
      <c r="C37" s="346" t="s">
        <v>1631</v>
      </c>
      <c r="D37" s="347" t="s">
        <v>1845</v>
      </c>
      <c r="E37" s="346" t="s">
        <v>1846</v>
      </c>
      <c r="F37" s="346" t="s">
        <v>1875</v>
      </c>
      <c r="G37" s="347">
        <f>G38+G40+G42</f>
        <v>0</v>
      </c>
      <c r="H37" s="332">
        <f>IF(G37&lt;&gt;0,1,)</f>
        <v>0</v>
      </c>
    </row>
    <row r="38" spans="2:9" ht="18" hidden="1">
      <c r="C38" s="328">
        <v>1</v>
      </c>
      <c r="D38" s="329" t="s">
        <v>1847</v>
      </c>
      <c r="E38" s="328" t="s">
        <v>1765</v>
      </c>
      <c r="F38" s="328" t="s">
        <v>2772</v>
      </c>
      <c r="G38" s="329">
        <f>G39</f>
        <v>0</v>
      </c>
      <c r="H38" s="332">
        <f>H37</f>
        <v>0</v>
      </c>
    </row>
    <row r="39" spans="2:9" ht="18" hidden="1">
      <c r="B39" s="332" t="str">
        <f>B36</f>
        <v>TR25</v>
      </c>
      <c r="C39" s="350"/>
      <c r="D39" s="351" t="s">
        <v>2200</v>
      </c>
      <c r="E39" s="350" t="s">
        <v>2754</v>
      </c>
      <c r="F39" s="350" t="s">
        <v>1849</v>
      </c>
      <c r="G39" s="351">
        <f>ROUND(VLOOKUP(B39,TNTB,I39,0),0)</f>
        <v>0</v>
      </c>
      <c r="H39" s="332">
        <f t="shared" ref="H39:H49" si="2">H38</f>
        <v>0</v>
      </c>
      <c r="I39" s="332">
        <f>'10.TNTB'!$J$3</f>
        <v>9</v>
      </c>
    </row>
    <row r="40" spans="2:9" ht="18" hidden="1">
      <c r="C40" s="328">
        <v>2</v>
      </c>
      <c r="D40" s="329" t="s">
        <v>1946</v>
      </c>
      <c r="E40" s="328" t="s">
        <v>1764</v>
      </c>
      <c r="F40" s="328" t="s">
        <v>2773</v>
      </c>
      <c r="G40" s="329">
        <f>G41</f>
        <v>0</v>
      </c>
      <c r="H40" s="332">
        <f t="shared" si="2"/>
        <v>0</v>
      </c>
    </row>
    <row r="41" spans="2:9" ht="18" hidden="1">
      <c r="B41" s="332" t="str">
        <f>B36</f>
        <v>TR25</v>
      </c>
      <c r="C41" s="350"/>
      <c r="D41" s="351" t="s">
        <v>2201</v>
      </c>
      <c r="E41" s="350" t="s">
        <v>2755</v>
      </c>
      <c r="F41" s="350" t="s">
        <v>3270</v>
      </c>
      <c r="G41" s="351">
        <f>ROUND(VLOOKUP(B41,TNTB,I41,0)*0.9,0)</f>
        <v>0</v>
      </c>
      <c r="H41" s="332">
        <f t="shared" si="2"/>
        <v>0</v>
      </c>
      <c r="I41" s="332">
        <f>'10.TNTB'!$K$3</f>
        <v>10</v>
      </c>
    </row>
    <row r="42" spans="2:9" ht="18" hidden="1">
      <c r="C42" s="328">
        <v>3</v>
      </c>
      <c r="D42" s="329" t="s">
        <v>1855</v>
      </c>
      <c r="E42" s="328" t="s">
        <v>1774</v>
      </c>
      <c r="F42" s="328" t="s">
        <v>2774</v>
      </c>
      <c r="G42" s="329">
        <f>G43</f>
        <v>0</v>
      </c>
      <c r="H42" s="332">
        <f t="shared" si="2"/>
        <v>0</v>
      </c>
    </row>
    <row r="43" spans="2:9" ht="18" hidden="1">
      <c r="B43" s="332" t="str">
        <f>B36</f>
        <v>TR25</v>
      </c>
      <c r="C43" s="350"/>
      <c r="D43" s="351" t="s">
        <v>2202</v>
      </c>
      <c r="E43" s="350" t="s">
        <v>2756</v>
      </c>
      <c r="F43" s="350" t="s">
        <v>478</v>
      </c>
      <c r="G43" s="351">
        <f>ROUND(VLOOKUP(B43,TNTB,I43,0),0)</f>
        <v>0</v>
      </c>
      <c r="H43" s="332">
        <f t="shared" si="2"/>
        <v>0</v>
      </c>
      <c r="I43" s="332">
        <f>'10.TNTB'!$L$3</f>
        <v>11</v>
      </c>
    </row>
    <row r="44" spans="2:9" hidden="1">
      <c r="C44" s="346" t="s">
        <v>1663</v>
      </c>
      <c r="D44" s="347" t="s">
        <v>1858</v>
      </c>
      <c r="E44" s="346" t="s">
        <v>1776</v>
      </c>
      <c r="F44" s="346" t="s">
        <v>1859</v>
      </c>
      <c r="G44" s="347">
        <f>ROUND(65%*G40,0)</f>
        <v>0</v>
      </c>
      <c r="H44" s="332">
        <f t="shared" si="2"/>
        <v>0</v>
      </c>
    </row>
    <row r="45" spans="2:9" ht="18" hidden="1">
      <c r="C45" s="346"/>
      <c r="D45" s="347" t="s">
        <v>1861</v>
      </c>
      <c r="E45" s="346" t="s">
        <v>2775</v>
      </c>
      <c r="F45" s="346" t="s">
        <v>2807</v>
      </c>
      <c r="G45" s="347">
        <f>G37+G44</f>
        <v>0</v>
      </c>
      <c r="H45" s="332">
        <f t="shared" si="2"/>
        <v>0</v>
      </c>
    </row>
    <row r="46" spans="2:9" ht="18" hidden="1">
      <c r="C46" s="346" t="s">
        <v>1673</v>
      </c>
      <c r="D46" s="347" t="s">
        <v>1862</v>
      </c>
      <c r="E46" s="346" t="s">
        <v>1863</v>
      </c>
      <c r="F46" s="346" t="s">
        <v>2770</v>
      </c>
      <c r="G46" s="347">
        <f>ROUND(6%*G45,0)</f>
        <v>0</v>
      </c>
      <c r="H46" s="332">
        <f t="shared" si="2"/>
        <v>0</v>
      </c>
    </row>
    <row r="47" spans="2:9" ht="18" hidden="1">
      <c r="B47" s="332" t="str">
        <f>"TN"&amp;B36</f>
        <v>TNTR25</v>
      </c>
      <c r="C47" s="346"/>
      <c r="D47" s="347" t="s">
        <v>1865</v>
      </c>
      <c r="E47" s="346" t="s">
        <v>1866</v>
      </c>
      <c r="F47" s="346" t="s">
        <v>2771</v>
      </c>
      <c r="G47" s="347">
        <f>G45+G46</f>
        <v>0</v>
      </c>
      <c r="H47" s="332">
        <f t="shared" si="2"/>
        <v>0</v>
      </c>
    </row>
    <row r="48" spans="2:9" hidden="1">
      <c r="C48" s="346" t="s">
        <v>1717</v>
      </c>
      <c r="D48" s="347" t="s">
        <v>1867</v>
      </c>
      <c r="E48" s="346" t="s">
        <v>1868</v>
      </c>
      <c r="F48" s="346" t="s">
        <v>1869</v>
      </c>
      <c r="G48" s="347">
        <f>ROUND(10%*G47,0)</f>
        <v>0</v>
      </c>
      <c r="H48" s="332">
        <f t="shared" si="2"/>
        <v>0</v>
      </c>
    </row>
    <row r="49" spans="2:9" ht="18" hidden="1">
      <c r="C49" s="346" t="s">
        <v>1729</v>
      </c>
      <c r="D49" s="347" t="s">
        <v>1950</v>
      </c>
      <c r="E49" s="346" t="s">
        <v>2765</v>
      </c>
      <c r="F49" s="346" t="s">
        <v>1871</v>
      </c>
      <c r="G49" s="347">
        <f>G47+G48</f>
        <v>0</v>
      </c>
      <c r="H49" s="332">
        <f t="shared" si="2"/>
        <v>0</v>
      </c>
    </row>
    <row r="50" spans="2:9" hidden="1">
      <c r="B50" s="332" t="s">
        <v>2089</v>
      </c>
      <c r="C50" s="376"/>
      <c r="D50" s="377" t="str">
        <f>VLOOKUP(B50,TNTB,'10.TNTB'!$D$3,0)</f>
        <v>0 Trạm 1 pha 37,5kVA</v>
      </c>
      <c r="E50" s="376"/>
      <c r="F50" s="377"/>
      <c r="G50" s="377"/>
      <c r="H50" s="332">
        <f>H51</f>
        <v>0</v>
      </c>
    </row>
    <row r="51" spans="2:9" hidden="1">
      <c r="C51" s="346" t="s">
        <v>1631</v>
      </c>
      <c r="D51" s="347" t="s">
        <v>1845</v>
      </c>
      <c r="E51" s="346" t="s">
        <v>1846</v>
      </c>
      <c r="F51" s="346" t="s">
        <v>1875</v>
      </c>
      <c r="G51" s="347">
        <f>G52+G54+G56</f>
        <v>0</v>
      </c>
      <c r="H51" s="332">
        <f>IF(G51&lt;&gt;0,1,)</f>
        <v>0</v>
      </c>
    </row>
    <row r="52" spans="2:9" ht="18" hidden="1">
      <c r="C52" s="328">
        <v>1</v>
      </c>
      <c r="D52" s="329" t="s">
        <v>1847</v>
      </c>
      <c r="E52" s="328" t="s">
        <v>1765</v>
      </c>
      <c r="F52" s="328" t="s">
        <v>2772</v>
      </c>
      <c r="G52" s="329">
        <f>G53</f>
        <v>0</v>
      </c>
      <c r="H52" s="332">
        <f>H51</f>
        <v>0</v>
      </c>
    </row>
    <row r="53" spans="2:9" ht="18" hidden="1">
      <c r="B53" s="332" t="str">
        <f>B50</f>
        <v>TR375</v>
      </c>
      <c r="C53" s="350"/>
      <c r="D53" s="351" t="s">
        <v>2200</v>
      </c>
      <c r="E53" s="350" t="s">
        <v>2754</v>
      </c>
      <c r="F53" s="350" t="s">
        <v>1849</v>
      </c>
      <c r="G53" s="351">
        <f>ROUND(VLOOKUP(B53,TNTB,I53,0),0)</f>
        <v>0</v>
      </c>
      <c r="H53" s="332">
        <f t="shared" ref="H53:H63" si="3">H52</f>
        <v>0</v>
      </c>
      <c r="I53" s="332">
        <f>'10.TNTB'!$J$3</f>
        <v>9</v>
      </c>
    </row>
    <row r="54" spans="2:9" ht="18" hidden="1">
      <c r="C54" s="328">
        <v>2</v>
      </c>
      <c r="D54" s="329" t="s">
        <v>1946</v>
      </c>
      <c r="E54" s="328" t="s">
        <v>1764</v>
      </c>
      <c r="F54" s="328" t="s">
        <v>2773</v>
      </c>
      <c r="G54" s="329">
        <f>G55</f>
        <v>0</v>
      </c>
      <c r="H54" s="332">
        <f t="shared" si="3"/>
        <v>0</v>
      </c>
    </row>
    <row r="55" spans="2:9" ht="18" hidden="1">
      <c r="B55" s="332" t="str">
        <f>B50</f>
        <v>TR375</v>
      </c>
      <c r="C55" s="350"/>
      <c r="D55" s="351" t="s">
        <v>2201</v>
      </c>
      <c r="E55" s="350" t="s">
        <v>2755</v>
      </c>
      <c r="F55" s="350" t="s">
        <v>3270</v>
      </c>
      <c r="G55" s="351">
        <f>ROUND(VLOOKUP(B55,TNTB,I55,0)*0.9,0)</f>
        <v>0</v>
      </c>
      <c r="H55" s="332">
        <f t="shared" si="3"/>
        <v>0</v>
      </c>
      <c r="I55" s="332">
        <f>'10.TNTB'!$K$3</f>
        <v>10</v>
      </c>
    </row>
    <row r="56" spans="2:9" ht="18" hidden="1">
      <c r="C56" s="328">
        <v>3</v>
      </c>
      <c r="D56" s="329" t="s">
        <v>1855</v>
      </c>
      <c r="E56" s="328" t="s">
        <v>1774</v>
      </c>
      <c r="F56" s="328" t="s">
        <v>2774</v>
      </c>
      <c r="G56" s="329">
        <f>G57</f>
        <v>0</v>
      </c>
      <c r="H56" s="332">
        <f t="shared" si="3"/>
        <v>0</v>
      </c>
    </row>
    <row r="57" spans="2:9" ht="18" hidden="1">
      <c r="B57" s="332" t="str">
        <f>B50</f>
        <v>TR375</v>
      </c>
      <c r="C57" s="350"/>
      <c r="D57" s="351" t="s">
        <v>2202</v>
      </c>
      <c r="E57" s="350" t="s">
        <v>2756</v>
      </c>
      <c r="F57" s="350" t="s">
        <v>478</v>
      </c>
      <c r="G57" s="351">
        <f>ROUND(VLOOKUP(B57,TNTB,I57,0),0)</f>
        <v>0</v>
      </c>
      <c r="H57" s="332">
        <f t="shared" si="3"/>
        <v>0</v>
      </c>
      <c r="I57" s="332">
        <f>'10.TNTB'!$L$3</f>
        <v>11</v>
      </c>
    </row>
    <row r="58" spans="2:9" hidden="1">
      <c r="C58" s="346" t="s">
        <v>1663</v>
      </c>
      <c r="D58" s="347" t="s">
        <v>1858</v>
      </c>
      <c r="E58" s="346" t="s">
        <v>1776</v>
      </c>
      <c r="F58" s="346" t="s">
        <v>1859</v>
      </c>
      <c r="G58" s="347">
        <f>ROUND(65%*G54,0)</f>
        <v>0</v>
      </c>
      <c r="H58" s="332">
        <f t="shared" si="3"/>
        <v>0</v>
      </c>
    </row>
    <row r="59" spans="2:9" ht="18" hidden="1">
      <c r="C59" s="346"/>
      <c r="D59" s="347" t="s">
        <v>1861</v>
      </c>
      <c r="E59" s="346" t="s">
        <v>2775</v>
      </c>
      <c r="F59" s="346" t="s">
        <v>2807</v>
      </c>
      <c r="G59" s="347">
        <f>G51+G58</f>
        <v>0</v>
      </c>
      <c r="H59" s="332">
        <f t="shared" si="3"/>
        <v>0</v>
      </c>
    </row>
    <row r="60" spans="2:9" ht="18" hidden="1">
      <c r="C60" s="346" t="s">
        <v>1673</v>
      </c>
      <c r="D60" s="347" t="s">
        <v>1862</v>
      </c>
      <c r="E60" s="346" t="s">
        <v>1863</v>
      </c>
      <c r="F60" s="346" t="s">
        <v>2770</v>
      </c>
      <c r="G60" s="347">
        <f>ROUND(6%*G59,0)</f>
        <v>0</v>
      </c>
      <c r="H60" s="332">
        <f t="shared" si="3"/>
        <v>0</v>
      </c>
    </row>
    <row r="61" spans="2:9" ht="18" hidden="1">
      <c r="B61" s="332" t="str">
        <f>"TN"&amp;B50</f>
        <v>TNTR375</v>
      </c>
      <c r="C61" s="346"/>
      <c r="D61" s="347" t="s">
        <v>1865</v>
      </c>
      <c r="E61" s="346" t="s">
        <v>1866</v>
      </c>
      <c r="F61" s="346" t="s">
        <v>2771</v>
      </c>
      <c r="G61" s="347">
        <f>G59+G60</f>
        <v>0</v>
      </c>
      <c r="H61" s="332">
        <f t="shared" si="3"/>
        <v>0</v>
      </c>
    </row>
    <row r="62" spans="2:9" hidden="1">
      <c r="C62" s="346" t="s">
        <v>1717</v>
      </c>
      <c r="D62" s="347" t="s">
        <v>1867</v>
      </c>
      <c r="E62" s="346" t="s">
        <v>1868</v>
      </c>
      <c r="F62" s="346" t="s">
        <v>1869</v>
      </c>
      <c r="G62" s="347">
        <f>ROUND(10%*G61,0)</f>
        <v>0</v>
      </c>
      <c r="H62" s="332">
        <f t="shared" si="3"/>
        <v>0</v>
      </c>
    </row>
    <row r="63" spans="2:9" ht="18" hidden="1">
      <c r="C63" s="346" t="s">
        <v>1729</v>
      </c>
      <c r="D63" s="347" t="s">
        <v>1950</v>
      </c>
      <c r="E63" s="346" t="s">
        <v>2765</v>
      </c>
      <c r="F63" s="346" t="s">
        <v>1871</v>
      </c>
      <c r="G63" s="347">
        <f>G61+G62</f>
        <v>0</v>
      </c>
      <c r="H63" s="332">
        <f t="shared" si="3"/>
        <v>0</v>
      </c>
    </row>
    <row r="64" spans="2:9" hidden="1">
      <c r="B64" s="332" t="s">
        <v>2812</v>
      </c>
      <c r="C64" s="376"/>
      <c r="D64" s="377" t="str">
        <f>VLOOKUP(B64,TNTB,'10.TNTB'!$D$3,0)</f>
        <v>0 Trạm 1 pha 2x25kVA</v>
      </c>
      <c r="E64" s="376"/>
      <c r="F64" s="377"/>
      <c r="G64" s="377"/>
      <c r="H64" s="332">
        <f>H65</f>
        <v>0</v>
      </c>
    </row>
    <row r="65" spans="2:9" hidden="1">
      <c r="C65" s="346" t="s">
        <v>1631</v>
      </c>
      <c r="D65" s="347" t="s">
        <v>1845</v>
      </c>
      <c r="E65" s="346" t="s">
        <v>1846</v>
      </c>
      <c r="F65" s="346" t="s">
        <v>1875</v>
      </c>
      <c r="G65" s="347">
        <f>G66+G68+G70</f>
        <v>0</v>
      </c>
      <c r="H65" s="332">
        <f>IF(G65&lt;&gt;0,1,)</f>
        <v>0</v>
      </c>
    </row>
    <row r="66" spans="2:9" ht="18" hidden="1">
      <c r="C66" s="328">
        <v>1</v>
      </c>
      <c r="D66" s="329" t="s">
        <v>1847</v>
      </c>
      <c r="E66" s="328" t="s">
        <v>1765</v>
      </c>
      <c r="F66" s="328" t="s">
        <v>2772</v>
      </c>
      <c r="G66" s="329">
        <f>G67</f>
        <v>0</v>
      </c>
      <c r="H66" s="332">
        <f>H65</f>
        <v>0</v>
      </c>
    </row>
    <row r="67" spans="2:9" ht="18" hidden="1">
      <c r="B67" s="332" t="str">
        <f>B64</f>
        <v>TR2X25</v>
      </c>
      <c r="C67" s="350"/>
      <c r="D67" s="351" t="s">
        <v>2200</v>
      </c>
      <c r="E67" s="350" t="s">
        <v>2754</v>
      </c>
      <c r="F67" s="350" t="s">
        <v>1849</v>
      </c>
      <c r="G67" s="351">
        <f>ROUND(VLOOKUP(B67,TNTB,I67,0),0)</f>
        <v>0</v>
      </c>
      <c r="H67" s="332">
        <f t="shared" ref="H67:H77" si="4">H66</f>
        <v>0</v>
      </c>
      <c r="I67" s="332">
        <f>'10.TNTB'!$J$3</f>
        <v>9</v>
      </c>
    </row>
    <row r="68" spans="2:9" ht="18" hidden="1">
      <c r="C68" s="328">
        <v>2</v>
      </c>
      <c r="D68" s="329" t="s">
        <v>1946</v>
      </c>
      <c r="E68" s="328" t="s">
        <v>1764</v>
      </c>
      <c r="F68" s="328" t="s">
        <v>2773</v>
      </c>
      <c r="G68" s="329">
        <f>G69</f>
        <v>0</v>
      </c>
      <c r="H68" s="332">
        <f t="shared" si="4"/>
        <v>0</v>
      </c>
    </row>
    <row r="69" spans="2:9" ht="18" hidden="1">
      <c r="B69" s="332" t="str">
        <f>B64</f>
        <v>TR2X25</v>
      </c>
      <c r="C69" s="350"/>
      <c r="D69" s="351" t="s">
        <v>2201</v>
      </c>
      <c r="E69" s="350" t="s">
        <v>2755</v>
      </c>
      <c r="F69" s="350" t="s">
        <v>3270</v>
      </c>
      <c r="G69" s="351">
        <f>ROUND(VLOOKUP(B69,TNTB,I69,0)*0.9,0)</f>
        <v>0</v>
      </c>
      <c r="H69" s="332">
        <f t="shared" si="4"/>
        <v>0</v>
      </c>
      <c r="I69" s="332">
        <f>'10.TNTB'!$K$3</f>
        <v>10</v>
      </c>
    </row>
    <row r="70" spans="2:9" ht="18" hidden="1">
      <c r="C70" s="328">
        <v>3</v>
      </c>
      <c r="D70" s="329" t="s">
        <v>1855</v>
      </c>
      <c r="E70" s="328" t="s">
        <v>1774</v>
      </c>
      <c r="F70" s="328" t="s">
        <v>2774</v>
      </c>
      <c r="G70" s="329">
        <f>G71</f>
        <v>0</v>
      </c>
      <c r="H70" s="332">
        <f t="shared" si="4"/>
        <v>0</v>
      </c>
    </row>
    <row r="71" spans="2:9" ht="18" hidden="1">
      <c r="B71" s="332" t="str">
        <f>B64</f>
        <v>TR2X25</v>
      </c>
      <c r="C71" s="350"/>
      <c r="D71" s="351" t="s">
        <v>2202</v>
      </c>
      <c r="E71" s="350" t="s">
        <v>2756</v>
      </c>
      <c r="F71" s="350" t="s">
        <v>478</v>
      </c>
      <c r="G71" s="351">
        <f>ROUND(VLOOKUP(B71,TNTB,I71,0),0)</f>
        <v>0</v>
      </c>
      <c r="H71" s="332">
        <f t="shared" si="4"/>
        <v>0</v>
      </c>
      <c r="I71" s="332">
        <f>'10.TNTB'!$L$3</f>
        <v>11</v>
      </c>
    </row>
    <row r="72" spans="2:9" hidden="1">
      <c r="C72" s="346" t="s">
        <v>1663</v>
      </c>
      <c r="D72" s="347" t="s">
        <v>1858</v>
      </c>
      <c r="E72" s="346" t="s">
        <v>1776</v>
      </c>
      <c r="F72" s="346" t="s">
        <v>1859</v>
      </c>
      <c r="G72" s="347">
        <f>ROUND(65%*G68,0)</f>
        <v>0</v>
      </c>
      <c r="H72" s="332">
        <f t="shared" si="4"/>
        <v>0</v>
      </c>
    </row>
    <row r="73" spans="2:9" ht="18" hidden="1">
      <c r="C73" s="346"/>
      <c r="D73" s="347" t="s">
        <v>1861</v>
      </c>
      <c r="E73" s="346" t="s">
        <v>2775</v>
      </c>
      <c r="F73" s="346" t="s">
        <v>2807</v>
      </c>
      <c r="G73" s="347">
        <f>G65+G72</f>
        <v>0</v>
      </c>
      <c r="H73" s="332">
        <f t="shared" si="4"/>
        <v>0</v>
      </c>
    </row>
    <row r="74" spans="2:9" ht="18" hidden="1">
      <c r="C74" s="346" t="s">
        <v>1673</v>
      </c>
      <c r="D74" s="347" t="s">
        <v>1862</v>
      </c>
      <c r="E74" s="346" t="s">
        <v>1863</v>
      </c>
      <c r="F74" s="346" t="s">
        <v>2770</v>
      </c>
      <c r="G74" s="347">
        <f>ROUND(6%*G73,0)</f>
        <v>0</v>
      </c>
      <c r="H74" s="332">
        <f t="shared" si="4"/>
        <v>0</v>
      </c>
    </row>
    <row r="75" spans="2:9" ht="18" hidden="1">
      <c r="B75" s="332" t="str">
        <f>"TN"&amp;B64</f>
        <v>TNTR2X25</v>
      </c>
      <c r="C75" s="346"/>
      <c r="D75" s="347" t="s">
        <v>1865</v>
      </c>
      <c r="E75" s="346" t="s">
        <v>1866</v>
      </c>
      <c r="F75" s="346" t="s">
        <v>2771</v>
      </c>
      <c r="G75" s="347">
        <f>G73+G74</f>
        <v>0</v>
      </c>
      <c r="H75" s="332">
        <f t="shared" si="4"/>
        <v>0</v>
      </c>
    </row>
    <row r="76" spans="2:9" hidden="1">
      <c r="C76" s="346" t="s">
        <v>1717</v>
      </c>
      <c r="D76" s="347" t="s">
        <v>1867</v>
      </c>
      <c r="E76" s="346" t="s">
        <v>1868</v>
      </c>
      <c r="F76" s="346" t="s">
        <v>1869</v>
      </c>
      <c r="G76" s="347">
        <f>ROUND(10%*G75,0)</f>
        <v>0</v>
      </c>
      <c r="H76" s="332">
        <f t="shared" si="4"/>
        <v>0</v>
      </c>
    </row>
    <row r="77" spans="2:9" ht="18" hidden="1">
      <c r="C77" s="346" t="s">
        <v>1729</v>
      </c>
      <c r="D77" s="347" t="s">
        <v>1950</v>
      </c>
      <c r="E77" s="346" t="s">
        <v>2765</v>
      </c>
      <c r="F77" s="346" t="s">
        <v>1871</v>
      </c>
      <c r="G77" s="347">
        <f>G75+G76</f>
        <v>0</v>
      </c>
      <c r="H77" s="332">
        <f t="shared" si="4"/>
        <v>0</v>
      </c>
    </row>
    <row r="78" spans="2:9" hidden="1">
      <c r="B78" s="332" t="s">
        <v>2090</v>
      </c>
      <c r="C78" s="376"/>
      <c r="D78" s="377" t="str">
        <f>VLOOKUP(B78,TNTB,'10.TNTB'!$D$3,0)</f>
        <v>0 Trạm 1 pha 50kVA</v>
      </c>
      <c r="E78" s="376"/>
      <c r="F78" s="377"/>
      <c r="G78" s="377"/>
      <c r="H78" s="332">
        <f>H79</f>
        <v>0</v>
      </c>
    </row>
    <row r="79" spans="2:9" hidden="1">
      <c r="C79" s="346" t="s">
        <v>1631</v>
      </c>
      <c r="D79" s="347" t="s">
        <v>1845</v>
      </c>
      <c r="E79" s="346" t="s">
        <v>1846</v>
      </c>
      <c r="F79" s="346" t="s">
        <v>1875</v>
      </c>
      <c r="G79" s="347">
        <f>G80+G82+G84</f>
        <v>0</v>
      </c>
      <c r="H79" s="332">
        <f>IF(G79&lt;&gt;0,1,)</f>
        <v>0</v>
      </c>
    </row>
    <row r="80" spans="2:9" ht="18" hidden="1">
      <c r="C80" s="328">
        <v>1</v>
      </c>
      <c r="D80" s="329" t="s">
        <v>1847</v>
      </c>
      <c r="E80" s="328" t="s">
        <v>1765</v>
      </c>
      <c r="F80" s="328" t="s">
        <v>2772</v>
      </c>
      <c r="G80" s="329">
        <f>G81</f>
        <v>0</v>
      </c>
      <c r="H80" s="332">
        <f>H79</f>
        <v>0</v>
      </c>
    </row>
    <row r="81" spans="2:9" ht="18" hidden="1">
      <c r="B81" s="332" t="str">
        <f>B78</f>
        <v>TR50</v>
      </c>
      <c r="C81" s="350"/>
      <c r="D81" s="351" t="s">
        <v>2200</v>
      </c>
      <c r="E81" s="350" t="s">
        <v>2754</v>
      </c>
      <c r="F81" s="350" t="s">
        <v>1849</v>
      </c>
      <c r="G81" s="351">
        <f>ROUND(VLOOKUP(B81,TNTB,I81,0),0)</f>
        <v>0</v>
      </c>
      <c r="H81" s="332">
        <f t="shared" ref="H81:H91" si="5">H80</f>
        <v>0</v>
      </c>
      <c r="I81" s="332">
        <f>'10.TNTB'!$J$3</f>
        <v>9</v>
      </c>
    </row>
    <row r="82" spans="2:9" ht="18" hidden="1">
      <c r="C82" s="328">
        <v>2</v>
      </c>
      <c r="D82" s="329" t="s">
        <v>1946</v>
      </c>
      <c r="E82" s="328" t="s">
        <v>1764</v>
      </c>
      <c r="F82" s="328" t="s">
        <v>2773</v>
      </c>
      <c r="G82" s="329">
        <f>G83</f>
        <v>0</v>
      </c>
      <c r="H82" s="332">
        <f t="shared" si="5"/>
        <v>0</v>
      </c>
    </row>
    <row r="83" spans="2:9" ht="18" hidden="1">
      <c r="B83" s="332" t="str">
        <f>B78</f>
        <v>TR50</v>
      </c>
      <c r="C83" s="350"/>
      <c r="D83" s="351" t="s">
        <v>2201</v>
      </c>
      <c r="E83" s="350" t="s">
        <v>2755</v>
      </c>
      <c r="F83" s="350" t="s">
        <v>3270</v>
      </c>
      <c r="G83" s="351">
        <f>ROUND(VLOOKUP(B83,TNTB,I83,0)*0.9,0)</f>
        <v>0</v>
      </c>
      <c r="H83" s="332">
        <f t="shared" si="5"/>
        <v>0</v>
      </c>
      <c r="I83" s="332">
        <f>'10.TNTB'!$K$3</f>
        <v>10</v>
      </c>
    </row>
    <row r="84" spans="2:9" ht="18" hidden="1">
      <c r="C84" s="328">
        <v>3</v>
      </c>
      <c r="D84" s="329" t="s">
        <v>1855</v>
      </c>
      <c r="E84" s="328" t="s">
        <v>1774</v>
      </c>
      <c r="F84" s="328" t="s">
        <v>2774</v>
      </c>
      <c r="G84" s="329">
        <f>G85</f>
        <v>0</v>
      </c>
      <c r="H84" s="332">
        <f t="shared" si="5"/>
        <v>0</v>
      </c>
    </row>
    <row r="85" spans="2:9" ht="18" hidden="1">
      <c r="B85" s="332" t="str">
        <f>B78</f>
        <v>TR50</v>
      </c>
      <c r="C85" s="350"/>
      <c r="D85" s="351" t="s">
        <v>2202</v>
      </c>
      <c r="E85" s="350" t="s">
        <v>2756</v>
      </c>
      <c r="F85" s="350" t="s">
        <v>478</v>
      </c>
      <c r="G85" s="351">
        <f>ROUND(VLOOKUP(B85,TNTB,I85,0),0)</f>
        <v>0</v>
      </c>
      <c r="H85" s="332">
        <f t="shared" si="5"/>
        <v>0</v>
      </c>
      <c r="I85" s="332">
        <f>'10.TNTB'!$L$3</f>
        <v>11</v>
      </c>
    </row>
    <row r="86" spans="2:9" hidden="1">
      <c r="C86" s="346" t="s">
        <v>1663</v>
      </c>
      <c r="D86" s="347" t="s">
        <v>1858</v>
      </c>
      <c r="E86" s="346" t="s">
        <v>1776</v>
      </c>
      <c r="F86" s="346" t="s">
        <v>1859</v>
      </c>
      <c r="G86" s="347">
        <f>ROUND(65%*G82,0)</f>
        <v>0</v>
      </c>
      <c r="H86" s="332">
        <f t="shared" si="5"/>
        <v>0</v>
      </c>
    </row>
    <row r="87" spans="2:9" ht="18" hidden="1">
      <c r="C87" s="346"/>
      <c r="D87" s="347" t="s">
        <v>1861</v>
      </c>
      <c r="E87" s="346" t="s">
        <v>2775</v>
      </c>
      <c r="F87" s="346" t="s">
        <v>2807</v>
      </c>
      <c r="G87" s="347">
        <f>G79+G86</f>
        <v>0</v>
      </c>
      <c r="H87" s="332">
        <f t="shared" si="5"/>
        <v>0</v>
      </c>
    </row>
    <row r="88" spans="2:9" ht="18" hidden="1">
      <c r="C88" s="346" t="s">
        <v>1673</v>
      </c>
      <c r="D88" s="347" t="s">
        <v>1862</v>
      </c>
      <c r="E88" s="346" t="s">
        <v>1863</v>
      </c>
      <c r="F88" s="346" t="s">
        <v>2770</v>
      </c>
      <c r="G88" s="347">
        <f>ROUND(6%*G87,0)</f>
        <v>0</v>
      </c>
      <c r="H88" s="332">
        <f t="shared" si="5"/>
        <v>0</v>
      </c>
    </row>
    <row r="89" spans="2:9" ht="18" hidden="1">
      <c r="B89" s="332" t="str">
        <f>"TN"&amp;B78</f>
        <v>TNTR50</v>
      </c>
      <c r="C89" s="346"/>
      <c r="D89" s="347" t="s">
        <v>1865</v>
      </c>
      <c r="E89" s="346" t="s">
        <v>1866</v>
      </c>
      <c r="F89" s="346" t="s">
        <v>2771</v>
      </c>
      <c r="G89" s="347">
        <f>G87+G88</f>
        <v>0</v>
      </c>
      <c r="H89" s="332">
        <f t="shared" si="5"/>
        <v>0</v>
      </c>
    </row>
    <row r="90" spans="2:9" hidden="1">
      <c r="C90" s="346" t="s">
        <v>1717</v>
      </c>
      <c r="D90" s="347" t="s">
        <v>1867</v>
      </c>
      <c r="E90" s="346" t="s">
        <v>1868</v>
      </c>
      <c r="F90" s="346" t="s">
        <v>1869</v>
      </c>
      <c r="G90" s="347">
        <f>ROUND(10%*G89,0)</f>
        <v>0</v>
      </c>
      <c r="H90" s="332">
        <f t="shared" si="5"/>
        <v>0</v>
      </c>
    </row>
    <row r="91" spans="2:9" ht="18" hidden="1">
      <c r="C91" s="346" t="s">
        <v>1729</v>
      </c>
      <c r="D91" s="347" t="s">
        <v>1950</v>
      </c>
      <c r="E91" s="346" t="s">
        <v>2765</v>
      </c>
      <c r="F91" s="346" t="s">
        <v>1871</v>
      </c>
      <c r="G91" s="347">
        <f>G89+G90</f>
        <v>0</v>
      </c>
      <c r="H91" s="332">
        <f t="shared" si="5"/>
        <v>0</v>
      </c>
    </row>
    <row r="92" spans="2:9" hidden="1">
      <c r="B92" s="332" t="s">
        <v>2813</v>
      </c>
      <c r="C92" s="376"/>
      <c r="D92" s="377" t="str">
        <f>VLOOKUP(B92,TNTB,'10.TNTB'!$D$3,0)</f>
        <v>0 Trạm 1 pha 2x37,5kVA</v>
      </c>
      <c r="E92" s="376"/>
      <c r="F92" s="377"/>
      <c r="G92" s="377"/>
      <c r="H92" s="332">
        <f>H93</f>
        <v>0</v>
      </c>
    </row>
    <row r="93" spans="2:9" hidden="1">
      <c r="C93" s="346" t="s">
        <v>1631</v>
      </c>
      <c r="D93" s="347" t="s">
        <v>1845</v>
      </c>
      <c r="E93" s="346" t="s">
        <v>1846</v>
      </c>
      <c r="F93" s="346" t="s">
        <v>1875</v>
      </c>
      <c r="G93" s="347">
        <f>G94+G96+G98</f>
        <v>0</v>
      </c>
      <c r="H93" s="332">
        <f>IF(G93&lt;&gt;0,1,)</f>
        <v>0</v>
      </c>
    </row>
    <row r="94" spans="2:9" ht="18" hidden="1">
      <c r="C94" s="328">
        <v>1</v>
      </c>
      <c r="D94" s="329" t="s">
        <v>1847</v>
      </c>
      <c r="E94" s="328" t="s">
        <v>1765</v>
      </c>
      <c r="F94" s="328" t="s">
        <v>2772</v>
      </c>
      <c r="G94" s="329">
        <f>G95</f>
        <v>0</v>
      </c>
      <c r="H94" s="332">
        <f>H93</f>
        <v>0</v>
      </c>
    </row>
    <row r="95" spans="2:9" ht="18" hidden="1">
      <c r="B95" s="332" t="str">
        <f>B92</f>
        <v>TR2X375</v>
      </c>
      <c r="C95" s="350"/>
      <c r="D95" s="351" t="s">
        <v>2200</v>
      </c>
      <c r="E95" s="350" t="s">
        <v>2754</v>
      </c>
      <c r="F95" s="350" t="s">
        <v>1849</v>
      </c>
      <c r="G95" s="351">
        <f>ROUND(VLOOKUP(B95,TNTB,I95,0),0)</f>
        <v>0</v>
      </c>
      <c r="H95" s="332">
        <f t="shared" ref="H95:H105" si="6">H94</f>
        <v>0</v>
      </c>
      <c r="I95" s="332">
        <f>'10.TNTB'!$J$3</f>
        <v>9</v>
      </c>
    </row>
    <row r="96" spans="2:9" ht="18" hidden="1">
      <c r="C96" s="328">
        <v>2</v>
      </c>
      <c r="D96" s="329" t="s">
        <v>1946</v>
      </c>
      <c r="E96" s="328" t="s">
        <v>1764</v>
      </c>
      <c r="F96" s="328" t="s">
        <v>2773</v>
      </c>
      <c r="G96" s="329">
        <f>G97</f>
        <v>0</v>
      </c>
      <c r="H96" s="332">
        <f t="shared" si="6"/>
        <v>0</v>
      </c>
    </row>
    <row r="97" spans="2:9" ht="18" hidden="1">
      <c r="B97" s="332" t="str">
        <f>B92</f>
        <v>TR2X375</v>
      </c>
      <c r="C97" s="350"/>
      <c r="D97" s="351" t="s">
        <v>2201</v>
      </c>
      <c r="E97" s="350" t="s">
        <v>2755</v>
      </c>
      <c r="F97" s="350" t="s">
        <v>3270</v>
      </c>
      <c r="G97" s="351">
        <f>ROUND(VLOOKUP(B97,TNTB,I97,0)*0.9,0)</f>
        <v>0</v>
      </c>
      <c r="H97" s="332">
        <f t="shared" si="6"/>
        <v>0</v>
      </c>
      <c r="I97" s="332">
        <f>'10.TNTB'!$K$3</f>
        <v>10</v>
      </c>
    </row>
    <row r="98" spans="2:9" ht="18" hidden="1">
      <c r="C98" s="328">
        <v>3</v>
      </c>
      <c r="D98" s="329" t="s">
        <v>1855</v>
      </c>
      <c r="E98" s="328" t="s">
        <v>1774</v>
      </c>
      <c r="F98" s="328" t="s">
        <v>2774</v>
      </c>
      <c r="G98" s="329">
        <f>G99</f>
        <v>0</v>
      </c>
      <c r="H98" s="332">
        <f t="shared" si="6"/>
        <v>0</v>
      </c>
    </row>
    <row r="99" spans="2:9" ht="18" hidden="1">
      <c r="B99" s="332" t="str">
        <f>B92</f>
        <v>TR2X375</v>
      </c>
      <c r="C99" s="350"/>
      <c r="D99" s="351" t="s">
        <v>2202</v>
      </c>
      <c r="E99" s="350" t="s">
        <v>2756</v>
      </c>
      <c r="F99" s="350" t="s">
        <v>478</v>
      </c>
      <c r="G99" s="351">
        <f>ROUND(VLOOKUP(B99,TNTB,I99,0),0)</f>
        <v>0</v>
      </c>
      <c r="H99" s="332">
        <f t="shared" si="6"/>
        <v>0</v>
      </c>
      <c r="I99" s="332">
        <f>'10.TNTB'!$L$3</f>
        <v>11</v>
      </c>
    </row>
    <row r="100" spans="2:9" hidden="1">
      <c r="C100" s="346" t="s">
        <v>1663</v>
      </c>
      <c r="D100" s="347" t="s">
        <v>1858</v>
      </c>
      <c r="E100" s="346" t="s">
        <v>1776</v>
      </c>
      <c r="F100" s="346" t="s">
        <v>1859</v>
      </c>
      <c r="G100" s="347">
        <f>ROUND(65%*G96,0)</f>
        <v>0</v>
      </c>
      <c r="H100" s="332">
        <f t="shared" si="6"/>
        <v>0</v>
      </c>
    </row>
    <row r="101" spans="2:9" ht="18" hidden="1">
      <c r="C101" s="346"/>
      <c r="D101" s="347" t="s">
        <v>1861</v>
      </c>
      <c r="E101" s="346" t="s">
        <v>2775</v>
      </c>
      <c r="F101" s="346" t="s">
        <v>2807</v>
      </c>
      <c r="G101" s="347">
        <f>G93+G100</f>
        <v>0</v>
      </c>
      <c r="H101" s="332">
        <f t="shared" si="6"/>
        <v>0</v>
      </c>
    </row>
    <row r="102" spans="2:9" ht="18" hidden="1">
      <c r="C102" s="346" t="s">
        <v>1673</v>
      </c>
      <c r="D102" s="347" t="s">
        <v>1862</v>
      </c>
      <c r="E102" s="346" t="s">
        <v>1863</v>
      </c>
      <c r="F102" s="346" t="s">
        <v>2770</v>
      </c>
      <c r="G102" s="347">
        <f>ROUND(6%*G101,0)</f>
        <v>0</v>
      </c>
      <c r="H102" s="332">
        <f t="shared" si="6"/>
        <v>0</v>
      </c>
    </row>
    <row r="103" spans="2:9" ht="18" hidden="1">
      <c r="B103" s="332" t="str">
        <f>"TN"&amp;B92</f>
        <v>TNTR2X375</v>
      </c>
      <c r="C103" s="346"/>
      <c r="D103" s="347" t="s">
        <v>1865</v>
      </c>
      <c r="E103" s="346" t="s">
        <v>1866</v>
      </c>
      <c r="F103" s="346" t="s">
        <v>2771</v>
      </c>
      <c r="G103" s="347">
        <f>G101+G102</f>
        <v>0</v>
      </c>
      <c r="H103" s="332">
        <f t="shared" si="6"/>
        <v>0</v>
      </c>
    </row>
    <row r="104" spans="2:9" hidden="1">
      <c r="C104" s="346" t="s">
        <v>1717</v>
      </c>
      <c r="D104" s="347" t="s">
        <v>1867</v>
      </c>
      <c r="E104" s="346" t="s">
        <v>1868</v>
      </c>
      <c r="F104" s="346" t="s">
        <v>1869</v>
      </c>
      <c r="G104" s="347">
        <f>ROUND(10%*G103,0)</f>
        <v>0</v>
      </c>
      <c r="H104" s="332">
        <f t="shared" si="6"/>
        <v>0</v>
      </c>
    </row>
    <row r="105" spans="2:9" ht="18" hidden="1">
      <c r="C105" s="346" t="s">
        <v>1729</v>
      </c>
      <c r="D105" s="347" t="s">
        <v>1950</v>
      </c>
      <c r="E105" s="346" t="s">
        <v>2765</v>
      </c>
      <c r="F105" s="346" t="s">
        <v>1871</v>
      </c>
      <c r="G105" s="347">
        <f>G103+G104</f>
        <v>0</v>
      </c>
      <c r="H105" s="332">
        <f t="shared" si="6"/>
        <v>0</v>
      </c>
    </row>
    <row r="106" spans="2:9">
      <c r="B106" s="332" t="s">
        <v>2071</v>
      </c>
      <c r="C106" s="376"/>
      <c r="D106" s="377" t="str">
        <f>VLOOKUP(B106,TNTB,'10.TNTB'!$D$3,0)</f>
        <v>3 Trạm 1 pha 75kVA</v>
      </c>
      <c r="E106" s="376"/>
      <c r="F106" s="377"/>
      <c r="G106" s="377"/>
      <c r="H106" s="332">
        <f>H107</f>
        <v>1</v>
      </c>
    </row>
    <row r="107" spans="2:9">
      <c r="C107" s="346" t="s">
        <v>1631</v>
      </c>
      <c r="D107" s="347" t="s">
        <v>1845</v>
      </c>
      <c r="E107" s="346" t="s">
        <v>1846</v>
      </c>
      <c r="F107" s="346" t="s">
        <v>1875</v>
      </c>
      <c r="G107" s="347">
        <f>G108+G110+G112</f>
        <v>5078244</v>
      </c>
      <c r="H107" s="332">
        <f>IF(G107&lt;&gt;0,1,)</f>
        <v>1</v>
      </c>
    </row>
    <row r="108" spans="2:9" ht="18">
      <c r="C108" s="328">
        <v>1</v>
      </c>
      <c r="D108" s="329" t="s">
        <v>1847</v>
      </c>
      <c r="E108" s="328" t="s">
        <v>1765</v>
      </c>
      <c r="F108" s="328" t="s">
        <v>2772</v>
      </c>
      <c r="G108" s="329">
        <f>G109</f>
        <v>111120</v>
      </c>
      <c r="H108" s="332">
        <f>H107</f>
        <v>1</v>
      </c>
    </row>
    <row r="109" spans="2:9" ht="18">
      <c r="B109" s="332" t="str">
        <f>B106</f>
        <v>TR75</v>
      </c>
      <c r="C109" s="350"/>
      <c r="D109" s="351" t="s">
        <v>2200</v>
      </c>
      <c r="E109" s="350" t="s">
        <v>2754</v>
      </c>
      <c r="F109" s="350" t="s">
        <v>1849</v>
      </c>
      <c r="G109" s="351">
        <f>ROUND(VLOOKUP(B109,TNTB,I109,0),0)</f>
        <v>111120</v>
      </c>
      <c r="H109" s="332">
        <f t="shared" ref="H109:H119" si="7">H108</f>
        <v>1</v>
      </c>
      <c r="I109" s="332">
        <f>'10.TNTB'!$J$3</f>
        <v>9</v>
      </c>
    </row>
    <row r="110" spans="2:9" ht="18">
      <c r="C110" s="328">
        <v>2</v>
      </c>
      <c r="D110" s="329" t="s">
        <v>1946</v>
      </c>
      <c r="E110" s="328" t="s">
        <v>1764</v>
      </c>
      <c r="F110" s="328" t="s">
        <v>2773</v>
      </c>
      <c r="G110" s="329">
        <f>G111</f>
        <v>4151133</v>
      </c>
      <c r="H110" s="332">
        <f t="shared" si="7"/>
        <v>1</v>
      </c>
    </row>
    <row r="111" spans="2:9" ht="18">
      <c r="B111" s="332" t="str">
        <f>B106</f>
        <v>TR75</v>
      </c>
      <c r="C111" s="350"/>
      <c r="D111" s="351" t="s">
        <v>2201</v>
      </c>
      <c r="E111" s="350" t="s">
        <v>2755</v>
      </c>
      <c r="F111" s="350" t="s">
        <v>3381</v>
      </c>
      <c r="G111" s="351">
        <f>ROUND(VLOOKUP(B111,TNTB,I111,0)*1,0)</f>
        <v>4151133</v>
      </c>
      <c r="H111" s="332">
        <f t="shared" si="7"/>
        <v>1</v>
      </c>
      <c r="I111" s="332">
        <f>'10.TNTB'!$K$3</f>
        <v>10</v>
      </c>
    </row>
    <row r="112" spans="2:9" ht="18">
      <c r="C112" s="328">
        <v>3</v>
      </c>
      <c r="D112" s="329" t="s">
        <v>1855</v>
      </c>
      <c r="E112" s="328" t="s">
        <v>1774</v>
      </c>
      <c r="F112" s="328" t="s">
        <v>2774</v>
      </c>
      <c r="G112" s="329">
        <f>G113</f>
        <v>815991</v>
      </c>
      <c r="H112" s="332">
        <f t="shared" si="7"/>
        <v>1</v>
      </c>
    </row>
    <row r="113" spans="2:9" ht="18">
      <c r="B113" s="332" t="str">
        <f>B106</f>
        <v>TR75</v>
      </c>
      <c r="C113" s="350"/>
      <c r="D113" s="351" t="s">
        <v>2202</v>
      </c>
      <c r="E113" s="350" t="s">
        <v>2756</v>
      </c>
      <c r="F113" s="350" t="s">
        <v>478</v>
      </c>
      <c r="G113" s="351">
        <f>ROUND(VLOOKUP(B113,TNTB,I113,0),0)</f>
        <v>815991</v>
      </c>
      <c r="H113" s="332">
        <f t="shared" si="7"/>
        <v>1</v>
      </c>
      <c r="I113" s="332">
        <f>'10.TNTB'!$L$3</f>
        <v>11</v>
      </c>
    </row>
    <row r="114" spans="2:9">
      <c r="C114" s="346" t="s">
        <v>1663</v>
      </c>
      <c r="D114" s="347" t="s">
        <v>1858</v>
      </c>
      <c r="E114" s="346" t="s">
        <v>1776</v>
      </c>
      <c r="F114" s="346" t="s">
        <v>1859</v>
      </c>
      <c r="G114" s="347">
        <f>ROUND(65%*G110,0)</f>
        <v>2698236</v>
      </c>
      <c r="H114" s="332">
        <f t="shared" si="7"/>
        <v>1</v>
      </c>
    </row>
    <row r="115" spans="2:9" ht="18">
      <c r="C115" s="346"/>
      <c r="D115" s="347" t="s">
        <v>1861</v>
      </c>
      <c r="E115" s="346" t="s">
        <v>2775</v>
      </c>
      <c r="F115" s="346" t="s">
        <v>2807</v>
      </c>
      <c r="G115" s="347">
        <f>G107+G114</f>
        <v>7776480</v>
      </c>
      <c r="H115" s="332">
        <f t="shared" si="7"/>
        <v>1</v>
      </c>
    </row>
    <row r="116" spans="2:9" ht="18">
      <c r="C116" s="346" t="s">
        <v>1673</v>
      </c>
      <c r="D116" s="347" t="s">
        <v>1862</v>
      </c>
      <c r="E116" s="346" t="s">
        <v>1863</v>
      </c>
      <c r="F116" s="346" t="s">
        <v>2770</v>
      </c>
      <c r="G116" s="347">
        <f>ROUND(6%*G115,0)</f>
        <v>466589</v>
      </c>
      <c r="H116" s="332">
        <f t="shared" si="7"/>
        <v>1</v>
      </c>
    </row>
    <row r="117" spans="2:9" ht="18">
      <c r="B117" s="332" t="str">
        <f>"TN"&amp;B106</f>
        <v>TNTR75</v>
      </c>
      <c r="C117" s="346"/>
      <c r="D117" s="347" t="s">
        <v>1865</v>
      </c>
      <c r="E117" s="346" t="s">
        <v>1866</v>
      </c>
      <c r="F117" s="346" t="s">
        <v>2771</v>
      </c>
      <c r="G117" s="347">
        <f>G115+G116</f>
        <v>8243069</v>
      </c>
      <c r="H117" s="332">
        <f t="shared" si="7"/>
        <v>1</v>
      </c>
    </row>
    <row r="118" spans="2:9">
      <c r="C118" s="346" t="s">
        <v>1717</v>
      </c>
      <c r="D118" s="347" t="s">
        <v>1867</v>
      </c>
      <c r="E118" s="346" t="s">
        <v>1868</v>
      </c>
      <c r="F118" s="346" t="s">
        <v>1869</v>
      </c>
      <c r="G118" s="347">
        <f>ROUND(10%*G117,0)</f>
        <v>824307</v>
      </c>
      <c r="H118" s="332">
        <f t="shared" si="7"/>
        <v>1</v>
      </c>
    </row>
    <row r="119" spans="2:9" ht="18">
      <c r="C119" s="346" t="s">
        <v>1729</v>
      </c>
      <c r="D119" s="347" t="s">
        <v>1950</v>
      </c>
      <c r="E119" s="346" t="s">
        <v>2765</v>
      </c>
      <c r="F119" s="346" t="s">
        <v>1871</v>
      </c>
      <c r="G119" s="347">
        <f>G117+G118</f>
        <v>9067376</v>
      </c>
      <c r="H119" s="332">
        <f t="shared" si="7"/>
        <v>1</v>
      </c>
    </row>
    <row r="120" spans="2:9" hidden="1">
      <c r="B120" s="332" t="s">
        <v>2073</v>
      </c>
      <c r="C120" s="376"/>
      <c r="D120" s="377" t="str">
        <f>VLOOKUP(B120,TNTB,'10.TNTB'!$D$3,0)</f>
        <v>0 Trạm 1 pha 100kVA</v>
      </c>
      <c r="E120" s="376"/>
      <c r="F120" s="377"/>
      <c r="G120" s="377"/>
      <c r="H120" s="332">
        <f>H121</f>
        <v>0</v>
      </c>
    </row>
    <row r="121" spans="2:9" hidden="1">
      <c r="C121" s="346" t="s">
        <v>1631</v>
      </c>
      <c r="D121" s="347" t="s">
        <v>1845</v>
      </c>
      <c r="E121" s="346" t="s">
        <v>1846</v>
      </c>
      <c r="F121" s="346" t="s">
        <v>1875</v>
      </c>
      <c r="G121" s="347">
        <f>G122+G124+G126</f>
        <v>0</v>
      </c>
      <c r="H121" s="332">
        <f>IF(G121&lt;&gt;0,1,)</f>
        <v>0</v>
      </c>
    </row>
    <row r="122" spans="2:9" ht="18" hidden="1">
      <c r="C122" s="328">
        <v>1</v>
      </c>
      <c r="D122" s="329" t="s">
        <v>1847</v>
      </c>
      <c r="E122" s="328" t="s">
        <v>1765</v>
      </c>
      <c r="F122" s="328" t="s">
        <v>2772</v>
      </c>
      <c r="G122" s="329">
        <f>G123</f>
        <v>0</v>
      </c>
      <c r="H122" s="332">
        <f>H121</f>
        <v>0</v>
      </c>
    </row>
    <row r="123" spans="2:9" ht="18" hidden="1">
      <c r="B123" s="332" t="str">
        <f>B120</f>
        <v>TR100</v>
      </c>
      <c r="C123" s="350"/>
      <c r="D123" s="351" t="s">
        <v>2200</v>
      </c>
      <c r="E123" s="350" t="s">
        <v>2754</v>
      </c>
      <c r="F123" s="350" t="s">
        <v>1849</v>
      </c>
      <c r="G123" s="351">
        <f>ROUND(VLOOKUP(B123,TNTB,I123,0),0)</f>
        <v>0</v>
      </c>
      <c r="H123" s="332">
        <f t="shared" ref="H123:H133" si="8">H122</f>
        <v>0</v>
      </c>
      <c r="I123" s="332">
        <f>'10.TNTB'!$J$3</f>
        <v>9</v>
      </c>
    </row>
    <row r="124" spans="2:9" ht="18" hidden="1">
      <c r="C124" s="328">
        <v>2</v>
      </c>
      <c r="D124" s="329" t="s">
        <v>1946</v>
      </c>
      <c r="E124" s="328" t="s">
        <v>1764</v>
      </c>
      <c r="F124" s="328" t="s">
        <v>2773</v>
      </c>
      <c r="G124" s="329">
        <f>G125</f>
        <v>0</v>
      </c>
      <c r="H124" s="332">
        <f t="shared" si="8"/>
        <v>0</v>
      </c>
    </row>
    <row r="125" spans="2:9" ht="18" hidden="1">
      <c r="B125" s="332" t="str">
        <f>B120</f>
        <v>TR100</v>
      </c>
      <c r="C125" s="350"/>
      <c r="D125" s="351" t="s">
        <v>2201</v>
      </c>
      <c r="E125" s="350" t="s">
        <v>2755</v>
      </c>
      <c r="F125" s="350" t="s">
        <v>3270</v>
      </c>
      <c r="G125" s="351">
        <f>ROUND(VLOOKUP(B125,TNTB,I125,0)*0.9,0)</f>
        <v>0</v>
      </c>
      <c r="H125" s="332">
        <f t="shared" si="8"/>
        <v>0</v>
      </c>
      <c r="I125" s="332">
        <f>'10.TNTB'!$K$3</f>
        <v>10</v>
      </c>
    </row>
    <row r="126" spans="2:9" ht="18" hidden="1">
      <c r="C126" s="328">
        <v>3</v>
      </c>
      <c r="D126" s="329" t="s">
        <v>1855</v>
      </c>
      <c r="E126" s="328" t="s">
        <v>1774</v>
      </c>
      <c r="F126" s="328" t="s">
        <v>2774</v>
      </c>
      <c r="G126" s="329">
        <f>G127</f>
        <v>0</v>
      </c>
      <c r="H126" s="332">
        <f t="shared" si="8"/>
        <v>0</v>
      </c>
    </row>
    <row r="127" spans="2:9" ht="18" hidden="1">
      <c r="B127" s="332" t="str">
        <f>B120</f>
        <v>TR100</v>
      </c>
      <c r="C127" s="350"/>
      <c r="D127" s="351" t="s">
        <v>2202</v>
      </c>
      <c r="E127" s="350" t="s">
        <v>2756</v>
      </c>
      <c r="F127" s="350" t="s">
        <v>478</v>
      </c>
      <c r="G127" s="351">
        <f>ROUND(VLOOKUP(B127,TNTB,I127,0),0)</f>
        <v>0</v>
      </c>
      <c r="H127" s="332">
        <f t="shared" si="8"/>
        <v>0</v>
      </c>
      <c r="I127" s="332">
        <f>'10.TNTB'!$L$3</f>
        <v>11</v>
      </c>
    </row>
    <row r="128" spans="2:9" hidden="1">
      <c r="C128" s="346" t="s">
        <v>1663</v>
      </c>
      <c r="D128" s="347" t="s">
        <v>1858</v>
      </c>
      <c r="E128" s="346" t="s">
        <v>1776</v>
      </c>
      <c r="F128" s="346" t="s">
        <v>1859</v>
      </c>
      <c r="G128" s="347">
        <f>ROUND(65%*G124,0)</f>
        <v>0</v>
      </c>
      <c r="H128" s="332">
        <f t="shared" si="8"/>
        <v>0</v>
      </c>
    </row>
    <row r="129" spans="2:9" ht="18" hidden="1">
      <c r="C129" s="346"/>
      <c r="D129" s="347" t="s">
        <v>1861</v>
      </c>
      <c r="E129" s="346" t="s">
        <v>2775</v>
      </c>
      <c r="F129" s="346" t="s">
        <v>2807</v>
      </c>
      <c r="G129" s="347">
        <f>G121+G128</f>
        <v>0</v>
      </c>
      <c r="H129" s="332">
        <f t="shared" si="8"/>
        <v>0</v>
      </c>
    </row>
    <row r="130" spans="2:9" ht="18" hidden="1">
      <c r="C130" s="346" t="s">
        <v>1673</v>
      </c>
      <c r="D130" s="347" t="s">
        <v>1862</v>
      </c>
      <c r="E130" s="346" t="s">
        <v>1863</v>
      </c>
      <c r="F130" s="346" t="s">
        <v>2770</v>
      </c>
      <c r="G130" s="347">
        <f>ROUND(6%*G129,0)</f>
        <v>0</v>
      </c>
      <c r="H130" s="332">
        <f t="shared" si="8"/>
        <v>0</v>
      </c>
    </row>
    <row r="131" spans="2:9" ht="18" hidden="1">
      <c r="B131" s="332" t="str">
        <f>"TN"&amp;B120</f>
        <v>TNTR100</v>
      </c>
      <c r="C131" s="346"/>
      <c r="D131" s="347" t="s">
        <v>1865</v>
      </c>
      <c r="E131" s="346" t="s">
        <v>1866</v>
      </c>
      <c r="F131" s="346" t="s">
        <v>2771</v>
      </c>
      <c r="G131" s="347">
        <f>G129+G130</f>
        <v>0</v>
      </c>
      <c r="H131" s="332">
        <f t="shared" si="8"/>
        <v>0</v>
      </c>
    </row>
    <row r="132" spans="2:9" hidden="1">
      <c r="C132" s="346" t="s">
        <v>1717</v>
      </c>
      <c r="D132" s="347" t="s">
        <v>1867</v>
      </c>
      <c r="E132" s="346" t="s">
        <v>1868</v>
      </c>
      <c r="F132" s="346" t="s">
        <v>1869</v>
      </c>
      <c r="G132" s="347">
        <f>ROUND(10%*G131,0)</f>
        <v>0</v>
      </c>
      <c r="H132" s="332">
        <f t="shared" si="8"/>
        <v>0</v>
      </c>
    </row>
    <row r="133" spans="2:9" ht="18" hidden="1">
      <c r="C133" s="346" t="s">
        <v>1729</v>
      </c>
      <c r="D133" s="347" t="s">
        <v>1950</v>
      </c>
      <c r="E133" s="346" t="s">
        <v>2765</v>
      </c>
      <c r="F133" s="346" t="s">
        <v>1871</v>
      </c>
      <c r="G133" s="347">
        <f>G131+G132</f>
        <v>0</v>
      </c>
      <c r="H133" s="332">
        <f t="shared" si="8"/>
        <v>0</v>
      </c>
    </row>
    <row r="134" spans="2:9" hidden="1">
      <c r="B134" s="332" t="s">
        <v>2076</v>
      </c>
      <c r="C134" s="376"/>
      <c r="D134" s="377" t="str">
        <f>VLOOKUP(B134,TNTB,'10.TNTB'!$D$3,0)</f>
        <v>0 Trạm 3 pha 3x25kVA</v>
      </c>
      <c r="E134" s="376"/>
      <c r="F134" s="377"/>
      <c r="G134" s="377"/>
      <c r="H134" s="332">
        <f>H135</f>
        <v>0</v>
      </c>
    </row>
    <row r="135" spans="2:9" hidden="1">
      <c r="C135" s="346" t="s">
        <v>1631</v>
      </c>
      <c r="D135" s="347" t="s">
        <v>1845</v>
      </c>
      <c r="E135" s="346" t="s">
        <v>1846</v>
      </c>
      <c r="F135" s="346" t="s">
        <v>1875</v>
      </c>
      <c r="G135" s="347">
        <f>G136+G138+G140</f>
        <v>0</v>
      </c>
      <c r="H135" s="332">
        <f>IF(G135&lt;&gt;0,1,)</f>
        <v>0</v>
      </c>
    </row>
    <row r="136" spans="2:9" ht="18" hidden="1">
      <c r="C136" s="328">
        <v>1</v>
      </c>
      <c r="D136" s="329" t="s">
        <v>1847</v>
      </c>
      <c r="E136" s="328" t="s">
        <v>1765</v>
      </c>
      <c r="F136" s="328" t="s">
        <v>2772</v>
      </c>
      <c r="G136" s="329">
        <f>G137</f>
        <v>0</v>
      </c>
      <c r="H136" s="332">
        <f>H135</f>
        <v>0</v>
      </c>
    </row>
    <row r="137" spans="2:9" ht="18" hidden="1">
      <c r="B137" s="332" t="str">
        <f>B134</f>
        <v>TR3X25</v>
      </c>
      <c r="C137" s="350"/>
      <c r="D137" s="351" t="s">
        <v>2200</v>
      </c>
      <c r="E137" s="350" t="s">
        <v>2754</v>
      </c>
      <c r="F137" s="350" t="s">
        <v>1849</v>
      </c>
      <c r="G137" s="351">
        <f>ROUND(VLOOKUP(B137,TNTB,I137,0),0)</f>
        <v>0</v>
      </c>
      <c r="H137" s="332">
        <f t="shared" ref="H137:H147" si="9">H136</f>
        <v>0</v>
      </c>
      <c r="I137" s="332">
        <f>'10.TNTB'!$J$3</f>
        <v>9</v>
      </c>
    </row>
    <row r="138" spans="2:9" ht="18" hidden="1">
      <c r="C138" s="328">
        <v>2</v>
      </c>
      <c r="D138" s="329" t="s">
        <v>1946</v>
      </c>
      <c r="E138" s="328" t="s">
        <v>1764</v>
      </c>
      <c r="F138" s="328" t="s">
        <v>2773</v>
      </c>
      <c r="G138" s="329">
        <f>G139</f>
        <v>0</v>
      </c>
      <c r="H138" s="332">
        <f t="shared" si="9"/>
        <v>0</v>
      </c>
    </row>
    <row r="139" spans="2:9" ht="18" hidden="1">
      <c r="B139" s="332" t="str">
        <f>B134</f>
        <v>TR3X25</v>
      </c>
      <c r="C139" s="350"/>
      <c r="D139" s="351" t="s">
        <v>2201</v>
      </c>
      <c r="E139" s="350" t="s">
        <v>2755</v>
      </c>
      <c r="F139" s="350" t="s">
        <v>3270</v>
      </c>
      <c r="G139" s="351">
        <f>ROUND(VLOOKUP(B139,TNTB,I139,0)*0.9,0)</f>
        <v>0</v>
      </c>
      <c r="H139" s="332">
        <f t="shared" si="9"/>
        <v>0</v>
      </c>
      <c r="I139" s="332">
        <f>'10.TNTB'!$K$3</f>
        <v>10</v>
      </c>
    </row>
    <row r="140" spans="2:9" ht="18" hidden="1">
      <c r="C140" s="328">
        <v>3</v>
      </c>
      <c r="D140" s="329" t="s">
        <v>1855</v>
      </c>
      <c r="E140" s="328" t="s">
        <v>1774</v>
      </c>
      <c r="F140" s="328" t="s">
        <v>2774</v>
      </c>
      <c r="G140" s="329">
        <f>G141</f>
        <v>0</v>
      </c>
      <c r="H140" s="332">
        <f t="shared" si="9"/>
        <v>0</v>
      </c>
    </row>
    <row r="141" spans="2:9" ht="18" hidden="1">
      <c r="B141" s="332" t="str">
        <f>B134</f>
        <v>TR3X25</v>
      </c>
      <c r="C141" s="350"/>
      <c r="D141" s="351" t="s">
        <v>2202</v>
      </c>
      <c r="E141" s="350" t="s">
        <v>2756</v>
      </c>
      <c r="F141" s="350" t="s">
        <v>478</v>
      </c>
      <c r="G141" s="351">
        <f>ROUND(VLOOKUP(B141,TNTB,I141,0),0)</f>
        <v>0</v>
      </c>
      <c r="H141" s="332">
        <f t="shared" si="9"/>
        <v>0</v>
      </c>
      <c r="I141" s="332">
        <f>'10.TNTB'!$L$3</f>
        <v>11</v>
      </c>
    </row>
    <row r="142" spans="2:9" hidden="1">
      <c r="C142" s="346" t="s">
        <v>1663</v>
      </c>
      <c r="D142" s="347" t="s">
        <v>1858</v>
      </c>
      <c r="E142" s="346" t="s">
        <v>1776</v>
      </c>
      <c r="F142" s="346" t="s">
        <v>1859</v>
      </c>
      <c r="G142" s="347">
        <f>ROUND(65%*G138,0)</f>
        <v>0</v>
      </c>
      <c r="H142" s="332">
        <f t="shared" si="9"/>
        <v>0</v>
      </c>
    </row>
    <row r="143" spans="2:9" ht="18" hidden="1">
      <c r="C143" s="346"/>
      <c r="D143" s="347" t="s">
        <v>1861</v>
      </c>
      <c r="E143" s="346" t="s">
        <v>2775</v>
      </c>
      <c r="F143" s="346" t="s">
        <v>2807</v>
      </c>
      <c r="G143" s="347">
        <f>G135+G142</f>
        <v>0</v>
      </c>
      <c r="H143" s="332">
        <f t="shared" si="9"/>
        <v>0</v>
      </c>
    </row>
    <row r="144" spans="2:9" ht="18" hidden="1">
      <c r="C144" s="346" t="s">
        <v>1673</v>
      </c>
      <c r="D144" s="347" t="s">
        <v>1862</v>
      </c>
      <c r="E144" s="346" t="s">
        <v>1863</v>
      </c>
      <c r="F144" s="346" t="s">
        <v>2770</v>
      </c>
      <c r="G144" s="347">
        <f>ROUND(6%*G143,0)</f>
        <v>0</v>
      </c>
      <c r="H144" s="332">
        <f t="shared" si="9"/>
        <v>0</v>
      </c>
    </row>
    <row r="145" spans="2:9" ht="18" hidden="1">
      <c r="B145" s="332" t="str">
        <f>"TN"&amp;B134</f>
        <v>TNTR3X25</v>
      </c>
      <c r="C145" s="346"/>
      <c r="D145" s="347" t="s">
        <v>1865</v>
      </c>
      <c r="E145" s="346" t="s">
        <v>1866</v>
      </c>
      <c r="F145" s="346" t="s">
        <v>2771</v>
      </c>
      <c r="G145" s="347">
        <f>G143+G144</f>
        <v>0</v>
      </c>
      <c r="H145" s="332">
        <f t="shared" si="9"/>
        <v>0</v>
      </c>
    </row>
    <row r="146" spans="2:9" hidden="1">
      <c r="C146" s="346" t="s">
        <v>1717</v>
      </c>
      <c r="D146" s="347" t="s">
        <v>1867</v>
      </c>
      <c r="E146" s="346" t="s">
        <v>1868</v>
      </c>
      <c r="F146" s="346" t="s">
        <v>1869</v>
      </c>
      <c r="G146" s="347">
        <f>ROUND(10%*G145,0)</f>
        <v>0</v>
      </c>
      <c r="H146" s="332">
        <f t="shared" si="9"/>
        <v>0</v>
      </c>
    </row>
    <row r="147" spans="2:9" ht="18" hidden="1">
      <c r="C147" s="346" t="s">
        <v>1729</v>
      </c>
      <c r="D147" s="347" t="s">
        <v>1950</v>
      </c>
      <c r="E147" s="346" t="s">
        <v>2765</v>
      </c>
      <c r="F147" s="346" t="s">
        <v>1871</v>
      </c>
      <c r="G147" s="347">
        <f>G145+G146</f>
        <v>0</v>
      </c>
      <c r="H147" s="332">
        <f t="shared" si="9"/>
        <v>0</v>
      </c>
    </row>
    <row r="148" spans="2:9" hidden="1">
      <c r="B148" s="332" t="s">
        <v>2079</v>
      </c>
      <c r="C148" s="376"/>
      <c r="D148" s="377" t="str">
        <f>VLOOKUP(B148,TNTB,'10.TNTB'!$D$3,0)</f>
        <v>0 Trạm 3 pha 3x37,5kVA</v>
      </c>
      <c r="E148" s="376"/>
      <c r="F148" s="377"/>
      <c r="G148" s="377"/>
      <c r="H148" s="332">
        <f>H149</f>
        <v>0</v>
      </c>
    </row>
    <row r="149" spans="2:9" hidden="1">
      <c r="C149" s="346" t="s">
        <v>1631</v>
      </c>
      <c r="D149" s="347" t="s">
        <v>1845</v>
      </c>
      <c r="E149" s="346" t="s">
        <v>1846</v>
      </c>
      <c r="F149" s="346" t="s">
        <v>1875</v>
      </c>
      <c r="G149" s="347">
        <f>G150+G152+G154</f>
        <v>0</v>
      </c>
      <c r="H149" s="332">
        <f>IF(G149&lt;&gt;0,1,)</f>
        <v>0</v>
      </c>
    </row>
    <row r="150" spans="2:9" ht="18" hidden="1">
      <c r="C150" s="328">
        <v>1</v>
      </c>
      <c r="D150" s="329" t="s">
        <v>1847</v>
      </c>
      <c r="E150" s="328" t="s">
        <v>1765</v>
      </c>
      <c r="F150" s="328" t="s">
        <v>2772</v>
      </c>
      <c r="G150" s="329">
        <f>G151</f>
        <v>0</v>
      </c>
      <c r="H150" s="332">
        <f>H149</f>
        <v>0</v>
      </c>
    </row>
    <row r="151" spans="2:9" ht="18" hidden="1">
      <c r="B151" s="332" t="str">
        <f>B148</f>
        <v>TR3X375</v>
      </c>
      <c r="C151" s="350"/>
      <c r="D151" s="351" t="s">
        <v>2200</v>
      </c>
      <c r="E151" s="350" t="s">
        <v>2754</v>
      </c>
      <c r="F151" s="350" t="s">
        <v>1849</v>
      </c>
      <c r="G151" s="351">
        <f>ROUND(VLOOKUP(B151,TNTB,I151,0),0)</f>
        <v>0</v>
      </c>
      <c r="H151" s="332">
        <f t="shared" ref="H151:H161" si="10">H150</f>
        <v>0</v>
      </c>
      <c r="I151" s="332">
        <f>'10.TNTB'!$J$3</f>
        <v>9</v>
      </c>
    </row>
    <row r="152" spans="2:9" ht="18" hidden="1">
      <c r="C152" s="328">
        <v>2</v>
      </c>
      <c r="D152" s="329" t="s">
        <v>1946</v>
      </c>
      <c r="E152" s="328" t="s">
        <v>1764</v>
      </c>
      <c r="F152" s="328" t="s">
        <v>2773</v>
      </c>
      <c r="G152" s="329">
        <f>G153</f>
        <v>0</v>
      </c>
      <c r="H152" s="332">
        <f t="shared" si="10"/>
        <v>0</v>
      </c>
    </row>
    <row r="153" spans="2:9" ht="18" hidden="1">
      <c r="B153" s="332" t="str">
        <f>B148</f>
        <v>TR3X375</v>
      </c>
      <c r="C153" s="350"/>
      <c r="D153" s="351" t="s">
        <v>2201</v>
      </c>
      <c r="E153" s="350" t="s">
        <v>2755</v>
      </c>
      <c r="F153" s="350" t="s">
        <v>3270</v>
      </c>
      <c r="G153" s="351">
        <f>ROUND(VLOOKUP(B153,TNTB,I153,0)*0.9,0)</f>
        <v>0</v>
      </c>
      <c r="H153" s="332">
        <f t="shared" si="10"/>
        <v>0</v>
      </c>
      <c r="I153" s="332">
        <f>'10.TNTB'!$K$3</f>
        <v>10</v>
      </c>
    </row>
    <row r="154" spans="2:9" ht="18" hidden="1">
      <c r="C154" s="328">
        <v>3</v>
      </c>
      <c r="D154" s="329" t="s">
        <v>1855</v>
      </c>
      <c r="E154" s="328" t="s">
        <v>1774</v>
      </c>
      <c r="F154" s="328" t="s">
        <v>2774</v>
      </c>
      <c r="G154" s="329">
        <f>G155</f>
        <v>0</v>
      </c>
      <c r="H154" s="332">
        <f t="shared" si="10"/>
        <v>0</v>
      </c>
    </row>
    <row r="155" spans="2:9" ht="18" hidden="1">
      <c r="B155" s="332" t="str">
        <f>B148</f>
        <v>TR3X375</v>
      </c>
      <c r="C155" s="350"/>
      <c r="D155" s="351" t="s">
        <v>2202</v>
      </c>
      <c r="E155" s="350" t="s">
        <v>2756</v>
      </c>
      <c r="F155" s="350" t="s">
        <v>478</v>
      </c>
      <c r="G155" s="351">
        <f>ROUND(VLOOKUP(B155,TNTB,I155,0),0)</f>
        <v>0</v>
      </c>
      <c r="H155" s="332">
        <f t="shared" si="10"/>
        <v>0</v>
      </c>
      <c r="I155" s="332">
        <f>'10.TNTB'!$L$3</f>
        <v>11</v>
      </c>
    </row>
    <row r="156" spans="2:9" hidden="1">
      <c r="C156" s="346" t="s">
        <v>1663</v>
      </c>
      <c r="D156" s="347" t="s">
        <v>1858</v>
      </c>
      <c r="E156" s="346" t="s">
        <v>1776</v>
      </c>
      <c r="F156" s="346" t="s">
        <v>1859</v>
      </c>
      <c r="G156" s="347">
        <f>ROUND(65%*G152,0)</f>
        <v>0</v>
      </c>
      <c r="H156" s="332">
        <f t="shared" si="10"/>
        <v>0</v>
      </c>
    </row>
    <row r="157" spans="2:9" ht="18" hidden="1">
      <c r="C157" s="346"/>
      <c r="D157" s="347" t="s">
        <v>1861</v>
      </c>
      <c r="E157" s="346" t="s">
        <v>2775</v>
      </c>
      <c r="F157" s="346" t="s">
        <v>2807</v>
      </c>
      <c r="G157" s="347">
        <f>G149+G156</f>
        <v>0</v>
      </c>
      <c r="H157" s="332">
        <f t="shared" si="10"/>
        <v>0</v>
      </c>
    </row>
    <row r="158" spans="2:9" ht="18" hidden="1">
      <c r="C158" s="346" t="s">
        <v>1673</v>
      </c>
      <c r="D158" s="347" t="s">
        <v>1862</v>
      </c>
      <c r="E158" s="346" t="s">
        <v>1863</v>
      </c>
      <c r="F158" s="346" t="s">
        <v>2770</v>
      </c>
      <c r="G158" s="347">
        <f>ROUND(6%*G157,0)</f>
        <v>0</v>
      </c>
      <c r="H158" s="332">
        <f t="shared" si="10"/>
        <v>0</v>
      </c>
    </row>
    <row r="159" spans="2:9" ht="18" hidden="1">
      <c r="B159" s="332" t="str">
        <f>"TN"&amp;B148</f>
        <v>TNTR3X375</v>
      </c>
      <c r="C159" s="346"/>
      <c r="D159" s="347" t="s">
        <v>1865</v>
      </c>
      <c r="E159" s="346" t="s">
        <v>1866</v>
      </c>
      <c r="F159" s="346" t="s">
        <v>2771</v>
      </c>
      <c r="G159" s="347">
        <f>G157+G158</f>
        <v>0</v>
      </c>
      <c r="H159" s="332">
        <f t="shared" si="10"/>
        <v>0</v>
      </c>
    </row>
    <row r="160" spans="2:9" hidden="1">
      <c r="C160" s="346" t="s">
        <v>1717</v>
      </c>
      <c r="D160" s="347" t="s">
        <v>1867</v>
      </c>
      <c r="E160" s="346" t="s">
        <v>1868</v>
      </c>
      <c r="F160" s="346" t="s">
        <v>1869</v>
      </c>
      <c r="G160" s="347">
        <f>ROUND(10%*G159,0)</f>
        <v>0</v>
      </c>
      <c r="H160" s="332">
        <f t="shared" si="10"/>
        <v>0</v>
      </c>
    </row>
    <row r="161" spans="2:9" ht="18" hidden="1">
      <c r="C161" s="346" t="s">
        <v>1729</v>
      </c>
      <c r="D161" s="347" t="s">
        <v>1950</v>
      </c>
      <c r="E161" s="346" t="s">
        <v>2765</v>
      </c>
      <c r="F161" s="346" t="s">
        <v>1871</v>
      </c>
      <c r="G161" s="347">
        <f>G159+G160</f>
        <v>0</v>
      </c>
      <c r="H161" s="332">
        <f t="shared" si="10"/>
        <v>0</v>
      </c>
    </row>
    <row r="162" spans="2:9">
      <c r="B162" s="332" t="s">
        <v>2082</v>
      </c>
      <c r="C162" s="376"/>
      <c r="D162" s="377" t="str">
        <f>VLOOKUP(B162,TNTB,'10.TNTB'!$D$3,0)</f>
        <v>9 Trạm 3 pha 3x50kVA</v>
      </c>
      <c r="E162" s="376"/>
      <c r="F162" s="377"/>
      <c r="G162" s="377"/>
      <c r="H162" s="332">
        <f>H163</f>
        <v>1</v>
      </c>
    </row>
    <row r="163" spans="2:9">
      <c r="C163" s="346" t="s">
        <v>1631</v>
      </c>
      <c r="D163" s="347" t="s">
        <v>1845</v>
      </c>
      <c r="E163" s="346" t="s">
        <v>1846</v>
      </c>
      <c r="F163" s="346" t="s">
        <v>1875</v>
      </c>
      <c r="G163" s="347">
        <f>G164+G166+G168</f>
        <v>41183298</v>
      </c>
      <c r="H163" s="332">
        <f>IF(G163&lt;&gt;0,1,)</f>
        <v>1</v>
      </c>
    </row>
    <row r="164" spans="2:9" ht="18">
      <c r="C164" s="328">
        <v>1</v>
      </c>
      <c r="D164" s="329" t="s">
        <v>1847</v>
      </c>
      <c r="E164" s="328" t="s">
        <v>1765</v>
      </c>
      <c r="F164" s="328" t="s">
        <v>2772</v>
      </c>
      <c r="G164" s="329">
        <f>G165</f>
        <v>949563</v>
      </c>
      <c r="H164" s="332">
        <f>H163</f>
        <v>1</v>
      </c>
    </row>
    <row r="165" spans="2:9" ht="18">
      <c r="B165" s="332" t="str">
        <f>B162</f>
        <v>TR3X50</v>
      </c>
      <c r="C165" s="350"/>
      <c r="D165" s="351" t="s">
        <v>2200</v>
      </c>
      <c r="E165" s="350" t="s">
        <v>2754</v>
      </c>
      <c r="F165" s="350" t="s">
        <v>1849</v>
      </c>
      <c r="G165" s="351">
        <f>ROUND(VLOOKUP(B165,TNTB,I165,0),0)</f>
        <v>949563</v>
      </c>
      <c r="H165" s="332">
        <f t="shared" ref="H165:H175" si="11">H164</f>
        <v>1</v>
      </c>
      <c r="I165" s="332">
        <f>'10.TNTB'!$J$3</f>
        <v>9</v>
      </c>
    </row>
    <row r="166" spans="2:9" ht="18">
      <c r="C166" s="328">
        <v>2</v>
      </c>
      <c r="D166" s="329" t="s">
        <v>1946</v>
      </c>
      <c r="E166" s="328" t="s">
        <v>1764</v>
      </c>
      <c r="F166" s="328" t="s">
        <v>2773</v>
      </c>
      <c r="G166" s="329">
        <f>G167</f>
        <v>33514596</v>
      </c>
      <c r="H166" s="332">
        <f t="shared" si="11"/>
        <v>1</v>
      </c>
    </row>
    <row r="167" spans="2:9" ht="18">
      <c r="B167" s="332" t="str">
        <f>B162</f>
        <v>TR3X50</v>
      </c>
      <c r="C167" s="350"/>
      <c r="D167" s="351" t="s">
        <v>2201</v>
      </c>
      <c r="E167" s="350" t="s">
        <v>2755</v>
      </c>
      <c r="F167" s="350" t="s">
        <v>3381</v>
      </c>
      <c r="G167" s="351">
        <f>ROUND(VLOOKUP(B167,TNTB,I167,0)*1,0)</f>
        <v>33514596</v>
      </c>
      <c r="H167" s="332">
        <f t="shared" si="11"/>
        <v>1</v>
      </c>
      <c r="I167" s="332">
        <f>'10.TNTB'!$K$3</f>
        <v>10</v>
      </c>
    </row>
    <row r="168" spans="2:9" ht="18">
      <c r="C168" s="328">
        <v>3</v>
      </c>
      <c r="D168" s="329" t="s">
        <v>1855</v>
      </c>
      <c r="E168" s="328" t="s">
        <v>1774</v>
      </c>
      <c r="F168" s="328" t="s">
        <v>2774</v>
      </c>
      <c r="G168" s="329">
        <f>G169</f>
        <v>6719139</v>
      </c>
      <c r="H168" s="332">
        <f t="shared" si="11"/>
        <v>1</v>
      </c>
    </row>
    <row r="169" spans="2:9" ht="18">
      <c r="B169" s="332" t="str">
        <f>B162</f>
        <v>TR3X50</v>
      </c>
      <c r="C169" s="350"/>
      <c r="D169" s="351" t="s">
        <v>2202</v>
      </c>
      <c r="E169" s="350" t="s">
        <v>2756</v>
      </c>
      <c r="F169" s="350" t="s">
        <v>478</v>
      </c>
      <c r="G169" s="351">
        <f>ROUND(VLOOKUP(B169,TNTB,I169,0),0)</f>
        <v>6719139</v>
      </c>
      <c r="H169" s="332">
        <f t="shared" si="11"/>
        <v>1</v>
      </c>
      <c r="I169" s="332">
        <f>'10.TNTB'!$L$3</f>
        <v>11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1859</v>
      </c>
      <c r="G170" s="347">
        <f>ROUND(65%*G166,0)</f>
        <v>21784487</v>
      </c>
      <c r="H170" s="332">
        <f t="shared" si="11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G163+G170</f>
        <v>62967785</v>
      </c>
      <c r="H171" s="332">
        <f t="shared" si="11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3778067</v>
      </c>
      <c r="H172" s="332">
        <f t="shared" si="11"/>
        <v>1</v>
      </c>
    </row>
    <row r="173" spans="2:9" ht="18">
      <c r="B173" s="332" t="str">
        <f>"TN"&amp;B162</f>
        <v>TNTR3X50</v>
      </c>
      <c r="C173" s="346"/>
      <c r="D173" s="347" t="s">
        <v>1865</v>
      </c>
      <c r="E173" s="346" t="s">
        <v>1866</v>
      </c>
      <c r="F173" s="346" t="s">
        <v>2771</v>
      </c>
      <c r="G173" s="347">
        <f>G171+G172</f>
        <v>66745852</v>
      </c>
      <c r="H173" s="332">
        <f t="shared" si="11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6674585</v>
      </c>
      <c r="H174" s="332">
        <f t="shared" si="11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73420437</v>
      </c>
      <c r="H175" s="332">
        <f t="shared" si="11"/>
        <v>1</v>
      </c>
    </row>
    <row r="176" spans="2:9" hidden="1">
      <c r="B176" s="332" t="s">
        <v>2085</v>
      </c>
      <c r="C176" s="376"/>
      <c r="D176" s="377" t="str">
        <f>VLOOKUP(B176,TNTB,'10.TNTB'!$D$3,0)</f>
        <v>0 Trạm 3 pha 3x75kVA</v>
      </c>
      <c r="E176" s="376"/>
      <c r="F176" s="377"/>
      <c r="G176" s="377"/>
      <c r="H176" s="332">
        <f>H177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G178+G180+G182</f>
        <v>0</v>
      </c>
      <c r="H177" s="332">
        <f>IF(G177&lt;&gt;0,1,)</f>
        <v>0</v>
      </c>
    </row>
    <row r="178" spans="2:9" ht="18" hidden="1">
      <c r="C178" s="328">
        <v>1</v>
      </c>
      <c r="D178" s="329" t="s">
        <v>1847</v>
      </c>
      <c r="E178" s="328" t="s">
        <v>1765</v>
      </c>
      <c r="F178" s="328" t="s">
        <v>2772</v>
      </c>
      <c r="G178" s="329">
        <f>G179</f>
        <v>0</v>
      </c>
      <c r="H178" s="332">
        <f>H177</f>
        <v>0</v>
      </c>
    </row>
    <row r="179" spans="2:9" ht="18" hidden="1">
      <c r="B179" s="332" t="str">
        <f>B176</f>
        <v>TR3X75</v>
      </c>
      <c r="C179" s="350"/>
      <c r="D179" s="351" t="s">
        <v>2200</v>
      </c>
      <c r="E179" s="350" t="s">
        <v>2754</v>
      </c>
      <c r="F179" s="350" t="s">
        <v>1849</v>
      </c>
      <c r="G179" s="351">
        <f>ROUND(VLOOKUP(B179,TNTB,I179,0),0)</f>
        <v>0</v>
      </c>
      <c r="H179" s="332">
        <f t="shared" ref="H179:H189" si="12">H178</f>
        <v>0</v>
      </c>
      <c r="I179" s="332">
        <f>'10.TNTB'!$J$3</f>
        <v>9</v>
      </c>
    </row>
    <row r="180" spans="2:9" ht="18" hidden="1">
      <c r="C180" s="328">
        <v>2</v>
      </c>
      <c r="D180" s="329" t="s">
        <v>1946</v>
      </c>
      <c r="E180" s="328" t="s">
        <v>1764</v>
      </c>
      <c r="F180" s="328" t="s">
        <v>2773</v>
      </c>
      <c r="G180" s="329">
        <f>G181</f>
        <v>0</v>
      </c>
      <c r="H180" s="332">
        <f t="shared" si="12"/>
        <v>0</v>
      </c>
    </row>
    <row r="181" spans="2:9" ht="18" hidden="1">
      <c r="B181" s="332" t="str">
        <f>B176</f>
        <v>TR3X75</v>
      </c>
      <c r="C181" s="350"/>
      <c r="D181" s="351" t="s">
        <v>2201</v>
      </c>
      <c r="E181" s="350" t="s">
        <v>2755</v>
      </c>
      <c r="F181" s="350" t="s">
        <v>3270</v>
      </c>
      <c r="G181" s="351">
        <f>ROUND(VLOOKUP(B181,TNTB,I181,0)*0.9,0)</f>
        <v>0</v>
      </c>
      <c r="H181" s="332">
        <f t="shared" si="12"/>
        <v>0</v>
      </c>
      <c r="I181" s="332">
        <f>'10.TNTB'!$K$3</f>
        <v>10</v>
      </c>
    </row>
    <row r="182" spans="2:9" ht="18" hidden="1">
      <c r="C182" s="328">
        <v>3</v>
      </c>
      <c r="D182" s="329" t="s">
        <v>1855</v>
      </c>
      <c r="E182" s="328" t="s">
        <v>1774</v>
      </c>
      <c r="F182" s="328" t="s">
        <v>2774</v>
      </c>
      <c r="G182" s="329">
        <f>G183</f>
        <v>0</v>
      </c>
      <c r="H182" s="332">
        <f t="shared" si="12"/>
        <v>0</v>
      </c>
    </row>
    <row r="183" spans="2:9" ht="18" hidden="1">
      <c r="B183" s="332" t="str">
        <f>B176</f>
        <v>TR3X75</v>
      </c>
      <c r="C183" s="350"/>
      <c r="D183" s="351" t="s">
        <v>2202</v>
      </c>
      <c r="E183" s="350" t="s">
        <v>2756</v>
      </c>
      <c r="F183" s="350" t="s">
        <v>478</v>
      </c>
      <c r="G183" s="351">
        <f>ROUND(VLOOKUP(B183,TNTB,I183,0),0)</f>
        <v>0</v>
      </c>
      <c r="H183" s="332">
        <f t="shared" si="12"/>
        <v>0</v>
      </c>
      <c r="I183" s="332">
        <f>'10.TNTB'!$L$3</f>
        <v>11</v>
      </c>
    </row>
    <row r="184" spans="2:9" hidden="1">
      <c r="C184" s="346" t="s">
        <v>1663</v>
      </c>
      <c r="D184" s="347" t="s">
        <v>1858</v>
      </c>
      <c r="E184" s="346" t="s">
        <v>1776</v>
      </c>
      <c r="F184" s="346" t="s">
        <v>1859</v>
      </c>
      <c r="G184" s="347">
        <f>ROUND(65%*G180,0)</f>
        <v>0</v>
      </c>
      <c r="H184" s="332">
        <f t="shared" si="12"/>
        <v>0</v>
      </c>
    </row>
    <row r="185" spans="2:9" ht="18" hidden="1">
      <c r="C185" s="346"/>
      <c r="D185" s="347" t="s">
        <v>1861</v>
      </c>
      <c r="E185" s="346" t="s">
        <v>2775</v>
      </c>
      <c r="F185" s="346" t="s">
        <v>2807</v>
      </c>
      <c r="G185" s="347">
        <f>G177+G184</f>
        <v>0</v>
      </c>
      <c r="H185" s="332">
        <f t="shared" si="12"/>
        <v>0</v>
      </c>
    </row>
    <row r="186" spans="2:9" ht="18" hidden="1">
      <c r="C186" s="346" t="s">
        <v>1673</v>
      </c>
      <c r="D186" s="347" t="s">
        <v>1862</v>
      </c>
      <c r="E186" s="346" t="s">
        <v>1863</v>
      </c>
      <c r="F186" s="346" t="s">
        <v>2770</v>
      </c>
      <c r="G186" s="347">
        <f>ROUND(6%*G185,0)</f>
        <v>0</v>
      </c>
      <c r="H186" s="332">
        <f t="shared" si="12"/>
        <v>0</v>
      </c>
    </row>
    <row r="187" spans="2:9" ht="18" hidden="1">
      <c r="B187" s="332" t="str">
        <f>"TN"&amp;B176</f>
        <v>TNTR3X75</v>
      </c>
      <c r="C187" s="346"/>
      <c r="D187" s="347" t="s">
        <v>1865</v>
      </c>
      <c r="E187" s="346" t="s">
        <v>1866</v>
      </c>
      <c r="F187" s="346" t="s">
        <v>2771</v>
      </c>
      <c r="G187" s="347">
        <f>G185+G186</f>
        <v>0</v>
      </c>
      <c r="H187" s="332">
        <f t="shared" si="12"/>
        <v>0</v>
      </c>
    </row>
    <row r="188" spans="2:9" hidden="1">
      <c r="C188" s="346" t="s">
        <v>1717</v>
      </c>
      <c r="D188" s="347" t="s">
        <v>1867</v>
      </c>
      <c r="E188" s="346" t="s">
        <v>1868</v>
      </c>
      <c r="F188" s="346" t="s">
        <v>1869</v>
      </c>
      <c r="G188" s="347">
        <f>ROUND(10%*G187,0)</f>
        <v>0</v>
      </c>
      <c r="H188" s="332">
        <f t="shared" si="12"/>
        <v>0</v>
      </c>
    </row>
    <row r="189" spans="2:9" ht="18" hidden="1">
      <c r="C189" s="346" t="s">
        <v>1729</v>
      </c>
      <c r="D189" s="347" t="s">
        <v>1950</v>
      </c>
      <c r="E189" s="346" t="s">
        <v>2765</v>
      </c>
      <c r="F189" s="346" t="s">
        <v>1871</v>
      </c>
      <c r="G189" s="347">
        <f>G187+G188</f>
        <v>0</v>
      </c>
      <c r="H189" s="332">
        <f t="shared" si="12"/>
        <v>0</v>
      </c>
    </row>
    <row r="190" spans="2:9" hidden="1">
      <c r="B190" s="332" t="s">
        <v>2094</v>
      </c>
      <c r="C190" s="376"/>
      <c r="D190" s="377" t="str">
        <f>VLOOKUP(B190,TNTB,'10.TNTB'!$D$3,0)</f>
        <v>0 Trạm 3 pha 3x100kVA</v>
      </c>
      <c r="E190" s="376"/>
      <c r="F190" s="377"/>
      <c r="G190" s="377"/>
      <c r="H190" s="332">
        <f>H191</f>
        <v>0</v>
      </c>
    </row>
    <row r="191" spans="2:9" hidden="1">
      <c r="C191" s="346" t="s">
        <v>1631</v>
      </c>
      <c r="D191" s="347" t="s">
        <v>1845</v>
      </c>
      <c r="E191" s="346" t="s">
        <v>1846</v>
      </c>
      <c r="F191" s="346" t="s">
        <v>1875</v>
      </c>
      <c r="G191" s="347">
        <f>G192+G194+G196</f>
        <v>0</v>
      </c>
      <c r="H191" s="332">
        <f>IF(G191&lt;&gt;0,1,)</f>
        <v>0</v>
      </c>
    </row>
    <row r="192" spans="2:9" ht="18" hidden="1">
      <c r="C192" s="328">
        <v>1</v>
      </c>
      <c r="D192" s="329" t="s">
        <v>1847</v>
      </c>
      <c r="E192" s="328" t="s">
        <v>1765</v>
      </c>
      <c r="F192" s="328" t="s">
        <v>2772</v>
      </c>
      <c r="G192" s="329">
        <f>G193</f>
        <v>0</v>
      </c>
      <c r="H192" s="332">
        <f>H191</f>
        <v>0</v>
      </c>
    </row>
    <row r="193" spans="2:9" ht="18" hidden="1">
      <c r="B193" s="332" t="str">
        <f>B190</f>
        <v>TR3X100</v>
      </c>
      <c r="C193" s="350"/>
      <c r="D193" s="351" t="s">
        <v>2200</v>
      </c>
      <c r="E193" s="350" t="s">
        <v>2754</v>
      </c>
      <c r="F193" s="350" t="s">
        <v>1849</v>
      </c>
      <c r="G193" s="351">
        <f>ROUND(VLOOKUP(B193,TNTB,I193,0),0)</f>
        <v>0</v>
      </c>
      <c r="H193" s="332">
        <f t="shared" ref="H193:H203" si="13">H192</f>
        <v>0</v>
      </c>
      <c r="I193" s="332">
        <f>'10.TNTB'!$J$3</f>
        <v>9</v>
      </c>
    </row>
    <row r="194" spans="2:9" ht="18" hidden="1">
      <c r="C194" s="328">
        <v>2</v>
      </c>
      <c r="D194" s="329" t="s">
        <v>1946</v>
      </c>
      <c r="E194" s="328" t="s">
        <v>1764</v>
      </c>
      <c r="F194" s="328" t="s">
        <v>2773</v>
      </c>
      <c r="G194" s="329">
        <f>G195</f>
        <v>0</v>
      </c>
      <c r="H194" s="332">
        <f t="shared" si="13"/>
        <v>0</v>
      </c>
    </row>
    <row r="195" spans="2:9" ht="18" hidden="1">
      <c r="B195" s="332" t="str">
        <f>B190</f>
        <v>TR3X100</v>
      </c>
      <c r="C195" s="350"/>
      <c r="D195" s="351" t="s">
        <v>2201</v>
      </c>
      <c r="E195" s="350" t="s">
        <v>2755</v>
      </c>
      <c r="F195" s="350" t="s">
        <v>3270</v>
      </c>
      <c r="G195" s="351">
        <f>ROUND(VLOOKUP(B195,TNTB,I195,0)*0.9,0)</f>
        <v>0</v>
      </c>
      <c r="H195" s="332">
        <f t="shared" si="13"/>
        <v>0</v>
      </c>
      <c r="I195" s="332">
        <f>'10.TNTB'!$K$3</f>
        <v>10</v>
      </c>
    </row>
    <row r="196" spans="2:9" ht="18" hidden="1">
      <c r="C196" s="328">
        <v>3</v>
      </c>
      <c r="D196" s="329" t="s">
        <v>1855</v>
      </c>
      <c r="E196" s="328" t="s">
        <v>1774</v>
      </c>
      <c r="F196" s="328" t="s">
        <v>2774</v>
      </c>
      <c r="G196" s="329">
        <f>G197</f>
        <v>0</v>
      </c>
      <c r="H196" s="332">
        <f t="shared" si="13"/>
        <v>0</v>
      </c>
    </row>
    <row r="197" spans="2:9" ht="18" hidden="1">
      <c r="B197" s="332" t="str">
        <f>B190</f>
        <v>TR3X100</v>
      </c>
      <c r="C197" s="350"/>
      <c r="D197" s="351" t="s">
        <v>2202</v>
      </c>
      <c r="E197" s="350" t="s">
        <v>2756</v>
      </c>
      <c r="F197" s="350" t="s">
        <v>478</v>
      </c>
      <c r="G197" s="351">
        <f>ROUND(VLOOKUP(B197,TNTB,I197,0),0)</f>
        <v>0</v>
      </c>
      <c r="H197" s="332">
        <f t="shared" si="13"/>
        <v>0</v>
      </c>
      <c r="I197" s="332">
        <f>'10.TNTB'!$L$3</f>
        <v>11</v>
      </c>
    </row>
    <row r="198" spans="2:9" hidden="1">
      <c r="C198" s="346" t="s">
        <v>1663</v>
      </c>
      <c r="D198" s="347" t="s">
        <v>1858</v>
      </c>
      <c r="E198" s="346" t="s">
        <v>1776</v>
      </c>
      <c r="F198" s="346" t="s">
        <v>1859</v>
      </c>
      <c r="G198" s="347">
        <f>ROUND(65%*G194,0)</f>
        <v>0</v>
      </c>
      <c r="H198" s="332">
        <f t="shared" si="13"/>
        <v>0</v>
      </c>
    </row>
    <row r="199" spans="2:9" ht="18" hidden="1">
      <c r="C199" s="346"/>
      <c r="D199" s="347" t="s">
        <v>1861</v>
      </c>
      <c r="E199" s="346" t="s">
        <v>2775</v>
      </c>
      <c r="F199" s="346" t="s">
        <v>2807</v>
      </c>
      <c r="G199" s="347">
        <f>G191+G198</f>
        <v>0</v>
      </c>
      <c r="H199" s="332">
        <f t="shared" si="13"/>
        <v>0</v>
      </c>
    </row>
    <row r="200" spans="2:9" ht="18" hidden="1">
      <c r="C200" s="346" t="s">
        <v>1673</v>
      </c>
      <c r="D200" s="347" t="s">
        <v>1862</v>
      </c>
      <c r="E200" s="346" t="s">
        <v>1863</v>
      </c>
      <c r="F200" s="346" t="s">
        <v>2770</v>
      </c>
      <c r="G200" s="347">
        <f>ROUND(6%*G199,0)</f>
        <v>0</v>
      </c>
      <c r="H200" s="332">
        <f t="shared" si="13"/>
        <v>0</v>
      </c>
    </row>
    <row r="201" spans="2:9" ht="18" hidden="1">
      <c r="B201" s="332" t="str">
        <f>"TN"&amp;B190</f>
        <v>TNTR3X100</v>
      </c>
      <c r="C201" s="346"/>
      <c r="D201" s="347" t="s">
        <v>1865</v>
      </c>
      <c r="E201" s="346" t="s">
        <v>1866</v>
      </c>
      <c r="F201" s="346" t="s">
        <v>2771</v>
      </c>
      <c r="G201" s="347">
        <f>G199+G200</f>
        <v>0</v>
      </c>
      <c r="H201" s="332">
        <f t="shared" si="13"/>
        <v>0</v>
      </c>
    </row>
    <row r="202" spans="2:9" hidden="1">
      <c r="C202" s="346" t="s">
        <v>1717</v>
      </c>
      <c r="D202" s="347" t="s">
        <v>1867</v>
      </c>
      <c r="E202" s="346" t="s">
        <v>1868</v>
      </c>
      <c r="F202" s="346" t="s">
        <v>1869</v>
      </c>
      <c r="G202" s="347">
        <f>ROUND(10%*G201,0)</f>
        <v>0</v>
      </c>
      <c r="H202" s="332">
        <f t="shared" si="13"/>
        <v>0</v>
      </c>
    </row>
    <row r="203" spans="2:9" ht="18" hidden="1">
      <c r="C203" s="346" t="s">
        <v>1729</v>
      </c>
      <c r="D203" s="347" t="s">
        <v>1950</v>
      </c>
      <c r="E203" s="346" t="s">
        <v>2765</v>
      </c>
      <c r="F203" s="346" t="s">
        <v>1871</v>
      </c>
      <c r="G203" s="347">
        <f>G201+G202</f>
        <v>0</v>
      </c>
      <c r="H203" s="332">
        <f t="shared" si="13"/>
        <v>0</v>
      </c>
    </row>
    <row r="204" spans="2:9" hidden="1">
      <c r="B204" s="332" t="s">
        <v>2838</v>
      </c>
      <c r="C204" s="376"/>
      <c r="D204" s="377" t="str">
        <f>VLOOKUP(B204,TNTB,'10.TNTB'!$D$3,0)</f>
        <v>0 Trạm 3 pha 160kVA (trạm giàn)</v>
      </c>
      <c r="E204" s="376"/>
      <c r="F204" s="377"/>
      <c r="G204" s="377"/>
      <c r="H204" s="332">
        <f>H205</f>
        <v>0</v>
      </c>
    </row>
    <row r="205" spans="2:9" hidden="1">
      <c r="C205" s="346" t="s">
        <v>1631</v>
      </c>
      <c r="D205" s="347" t="s">
        <v>1845</v>
      </c>
      <c r="E205" s="346" t="s">
        <v>1846</v>
      </c>
      <c r="F205" s="346" t="s">
        <v>1875</v>
      </c>
      <c r="G205" s="347">
        <f>G206+G208+G210</f>
        <v>0</v>
      </c>
      <c r="H205" s="332">
        <f>IF(G205&lt;&gt;0,1,)</f>
        <v>0</v>
      </c>
    </row>
    <row r="206" spans="2:9" ht="18" hidden="1">
      <c r="C206" s="328">
        <v>1</v>
      </c>
      <c r="D206" s="329" t="s">
        <v>1847</v>
      </c>
      <c r="E206" s="328" t="s">
        <v>1765</v>
      </c>
      <c r="F206" s="328" t="s">
        <v>2772</v>
      </c>
      <c r="G206" s="329">
        <f>G207</f>
        <v>0</v>
      </c>
      <c r="H206" s="332">
        <f>H205</f>
        <v>0</v>
      </c>
    </row>
    <row r="207" spans="2:9" ht="18" hidden="1">
      <c r="B207" s="332" t="str">
        <f>B204</f>
        <v>T3P160</v>
      </c>
      <c r="C207" s="350"/>
      <c r="D207" s="351" t="s">
        <v>2200</v>
      </c>
      <c r="E207" s="350" t="s">
        <v>2754</v>
      </c>
      <c r="F207" s="350" t="s">
        <v>1849</v>
      </c>
      <c r="G207" s="351">
        <f>ROUND(VLOOKUP(B207,TNTB,I207,0),0)</f>
        <v>0</v>
      </c>
      <c r="H207" s="332">
        <f t="shared" ref="H207:H217" si="14">H206</f>
        <v>0</v>
      </c>
      <c r="I207" s="332">
        <f>'10.TNTB'!$J$3</f>
        <v>9</v>
      </c>
    </row>
    <row r="208" spans="2:9" ht="18" hidden="1">
      <c r="C208" s="328">
        <v>2</v>
      </c>
      <c r="D208" s="329" t="s">
        <v>1946</v>
      </c>
      <c r="E208" s="328" t="s">
        <v>1764</v>
      </c>
      <c r="F208" s="328" t="s">
        <v>2773</v>
      </c>
      <c r="G208" s="329">
        <f>G209</f>
        <v>0</v>
      </c>
      <c r="H208" s="332">
        <f t="shared" si="14"/>
        <v>0</v>
      </c>
    </row>
    <row r="209" spans="2:9" ht="18" hidden="1">
      <c r="B209" s="332" t="str">
        <f>B204</f>
        <v>T3P160</v>
      </c>
      <c r="C209" s="350"/>
      <c r="D209" s="351" t="s">
        <v>2201</v>
      </c>
      <c r="E209" s="350" t="s">
        <v>2755</v>
      </c>
      <c r="F209" s="350" t="s">
        <v>3270</v>
      </c>
      <c r="G209" s="351">
        <f>ROUND(VLOOKUP(B209,TNTB,I209,0)*0.9,0)</f>
        <v>0</v>
      </c>
      <c r="H209" s="332">
        <f t="shared" si="14"/>
        <v>0</v>
      </c>
      <c r="I209" s="332">
        <f>'10.TNTB'!$K$3</f>
        <v>10</v>
      </c>
    </row>
    <row r="210" spans="2:9" ht="18" hidden="1">
      <c r="C210" s="328">
        <v>3</v>
      </c>
      <c r="D210" s="329" t="s">
        <v>1855</v>
      </c>
      <c r="E210" s="328" t="s">
        <v>1774</v>
      </c>
      <c r="F210" s="328" t="s">
        <v>2774</v>
      </c>
      <c r="G210" s="329">
        <f>G211</f>
        <v>0</v>
      </c>
      <c r="H210" s="332">
        <f t="shared" si="14"/>
        <v>0</v>
      </c>
    </row>
    <row r="211" spans="2:9" ht="18" hidden="1">
      <c r="B211" s="332" t="str">
        <f>B204</f>
        <v>T3P160</v>
      </c>
      <c r="C211" s="350"/>
      <c r="D211" s="351" t="s">
        <v>2202</v>
      </c>
      <c r="E211" s="350" t="s">
        <v>2756</v>
      </c>
      <c r="F211" s="350" t="s">
        <v>478</v>
      </c>
      <c r="G211" s="351">
        <f>ROUND(VLOOKUP(B211,TNTB,I211,0),0)</f>
        <v>0</v>
      </c>
      <c r="H211" s="332">
        <f t="shared" si="14"/>
        <v>0</v>
      </c>
      <c r="I211" s="332">
        <f>'10.TNTB'!$L$3</f>
        <v>11</v>
      </c>
    </row>
    <row r="212" spans="2:9" hidden="1">
      <c r="C212" s="346" t="s">
        <v>1663</v>
      </c>
      <c r="D212" s="347" t="s">
        <v>1858</v>
      </c>
      <c r="E212" s="346" t="s">
        <v>1776</v>
      </c>
      <c r="F212" s="346" t="s">
        <v>1859</v>
      </c>
      <c r="G212" s="347">
        <f>ROUND(65%*G208,0)</f>
        <v>0</v>
      </c>
      <c r="H212" s="332">
        <f t="shared" si="14"/>
        <v>0</v>
      </c>
    </row>
    <row r="213" spans="2:9" ht="18" hidden="1">
      <c r="C213" s="346"/>
      <c r="D213" s="347" t="s">
        <v>1861</v>
      </c>
      <c r="E213" s="346" t="s">
        <v>2775</v>
      </c>
      <c r="F213" s="346" t="s">
        <v>2807</v>
      </c>
      <c r="G213" s="347">
        <f>G205+G212</f>
        <v>0</v>
      </c>
      <c r="H213" s="332">
        <f t="shared" si="14"/>
        <v>0</v>
      </c>
    </row>
    <row r="214" spans="2:9" ht="18" hidden="1">
      <c r="C214" s="346" t="s">
        <v>1673</v>
      </c>
      <c r="D214" s="347" t="s">
        <v>1862</v>
      </c>
      <c r="E214" s="346" t="s">
        <v>1863</v>
      </c>
      <c r="F214" s="346" t="s">
        <v>2770</v>
      </c>
      <c r="G214" s="347">
        <f>ROUND(6%*G213,0)</f>
        <v>0</v>
      </c>
      <c r="H214" s="332">
        <f t="shared" si="14"/>
        <v>0</v>
      </c>
    </row>
    <row r="215" spans="2:9" ht="18" hidden="1">
      <c r="B215" s="332" t="str">
        <f>"TN"&amp;B204</f>
        <v>TNT3P160</v>
      </c>
      <c r="C215" s="346"/>
      <c r="D215" s="347" t="s">
        <v>1865</v>
      </c>
      <c r="E215" s="346" t="s">
        <v>1866</v>
      </c>
      <c r="F215" s="346" t="s">
        <v>2771</v>
      </c>
      <c r="G215" s="347">
        <f>G213+G214</f>
        <v>0</v>
      </c>
      <c r="H215" s="332">
        <f t="shared" si="14"/>
        <v>0</v>
      </c>
    </row>
    <row r="216" spans="2:9" hidden="1">
      <c r="C216" s="346" t="s">
        <v>1717</v>
      </c>
      <c r="D216" s="347" t="s">
        <v>1867</v>
      </c>
      <c r="E216" s="346" t="s">
        <v>1868</v>
      </c>
      <c r="F216" s="346" t="s">
        <v>1869</v>
      </c>
      <c r="G216" s="347">
        <f>ROUND(10%*G215,0)</f>
        <v>0</v>
      </c>
      <c r="H216" s="332">
        <f t="shared" si="14"/>
        <v>0</v>
      </c>
    </row>
    <row r="217" spans="2:9" ht="18" hidden="1">
      <c r="C217" s="346" t="s">
        <v>1729</v>
      </c>
      <c r="D217" s="347" t="s">
        <v>1950</v>
      </c>
      <c r="E217" s="346" t="s">
        <v>2765</v>
      </c>
      <c r="F217" s="346" t="s">
        <v>1871</v>
      </c>
      <c r="G217" s="347">
        <f>G215+G216</f>
        <v>0</v>
      </c>
      <c r="H217" s="332">
        <f t="shared" si="14"/>
        <v>0</v>
      </c>
    </row>
    <row r="218" spans="2:9" hidden="1">
      <c r="B218" s="332" t="s">
        <v>2839</v>
      </c>
      <c r="C218" s="376"/>
      <c r="D218" s="377" t="str">
        <f>VLOOKUP(B218,TNTB,'10.TNTB'!$D$3,0)</f>
        <v>0 Trạm 3 pha 160kVA (trạm ngồi)</v>
      </c>
      <c r="E218" s="376"/>
      <c r="F218" s="377"/>
      <c r="G218" s="377"/>
      <c r="H218" s="332">
        <f>H219</f>
        <v>0</v>
      </c>
    </row>
    <row r="219" spans="2:9" hidden="1">
      <c r="C219" s="346" t="s">
        <v>1631</v>
      </c>
      <c r="D219" s="347" t="s">
        <v>1845</v>
      </c>
      <c r="E219" s="346" t="s">
        <v>1846</v>
      </c>
      <c r="F219" s="346" t="s">
        <v>1875</v>
      </c>
      <c r="G219" s="347">
        <f>G220+G222+G224</f>
        <v>0</v>
      </c>
      <c r="H219" s="332">
        <f>IF(G219&lt;&gt;0,1,)</f>
        <v>0</v>
      </c>
    </row>
    <row r="220" spans="2:9" ht="18" hidden="1">
      <c r="C220" s="328">
        <v>1</v>
      </c>
      <c r="D220" s="329" t="s">
        <v>1847</v>
      </c>
      <c r="E220" s="328" t="s">
        <v>1765</v>
      </c>
      <c r="F220" s="328" t="s">
        <v>2772</v>
      </c>
      <c r="G220" s="329">
        <f>G221</f>
        <v>0</v>
      </c>
      <c r="H220" s="332">
        <f>H219</f>
        <v>0</v>
      </c>
    </row>
    <row r="221" spans="2:9" ht="18" hidden="1">
      <c r="B221" s="332" t="str">
        <f>B218</f>
        <v>T3P160N</v>
      </c>
      <c r="C221" s="350"/>
      <c r="D221" s="351" t="s">
        <v>2200</v>
      </c>
      <c r="E221" s="350" t="s">
        <v>2754</v>
      </c>
      <c r="F221" s="350" t="s">
        <v>1849</v>
      </c>
      <c r="G221" s="351">
        <f>ROUND(VLOOKUP(B221,TNTB,I221,0),0)</f>
        <v>0</v>
      </c>
      <c r="H221" s="332">
        <f t="shared" ref="H221:H231" si="15">H220</f>
        <v>0</v>
      </c>
      <c r="I221" s="332">
        <f>'10.TNTB'!$J$3</f>
        <v>9</v>
      </c>
    </row>
    <row r="222" spans="2:9" ht="18" hidden="1">
      <c r="C222" s="328">
        <v>2</v>
      </c>
      <c r="D222" s="329" t="s">
        <v>1946</v>
      </c>
      <c r="E222" s="328" t="s">
        <v>1764</v>
      </c>
      <c r="F222" s="328" t="s">
        <v>2773</v>
      </c>
      <c r="G222" s="329">
        <f>G223</f>
        <v>0</v>
      </c>
      <c r="H222" s="332">
        <f t="shared" si="15"/>
        <v>0</v>
      </c>
    </row>
    <row r="223" spans="2:9" ht="18" hidden="1">
      <c r="B223" s="332" t="str">
        <f>B218</f>
        <v>T3P160N</v>
      </c>
      <c r="C223" s="350"/>
      <c r="D223" s="351" t="s">
        <v>2201</v>
      </c>
      <c r="E223" s="350" t="s">
        <v>2755</v>
      </c>
      <c r="F223" s="350" t="s">
        <v>3270</v>
      </c>
      <c r="G223" s="351">
        <f>ROUND(VLOOKUP(B223,TNTB,I223,0)*0.9,0)</f>
        <v>0</v>
      </c>
      <c r="H223" s="332">
        <f t="shared" si="15"/>
        <v>0</v>
      </c>
      <c r="I223" s="332">
        <f>'10.TNTB'!$K$3</f>
        <v>10</v>
      </c>
    </row>
    <row r="224" spans="2:9" ht="18" hidden="1">
      <c r="C224" s="328">
        <v>3</v>
      </c>
      <c r="D224" s="329" t="s">
        <v>1855</v>
      </c>
      <c r="E224" s="328" t="s">
        <v>1774</v>
      </c>
      <c r="F224" s="328" t="s">
        <v>2774</v>
      </c>
      <c r="G224" s="329">
        <f>G225</f>
        <v>0</v>
      </c>
      <c r="H224" s="332">
        <f t="shared" si="15"/>
        <v>0</v>
      </c>
    </row>
    <row r="225" spans="2:9" ht="18" hidden="1">
      <c r="B225" s="332" t="str">
        <f>B218</f>
        <v>T3P160N</v>
      </c>
      <c r="C225" s="350"/>
      <c r="D225" s="351" t="s">
        <v>2202</v>
      </c>
      <c r="E225" s="350" t="s">
        <v>2756</v>
      </c>
      <c r="F225" s="350" t="s">
        <v>478</v>
      </c>
      <c r="G225" s="351">
        <f>ROUND(VLOOKUP(B225,TNTB,I225,0),0)</f>
        <v>0</v>
      </c>
      <c r="H225" s="332">
        <f t="shared" si="15"/>
        <v>0</v>
      </c>
      <c r="I225" s="332">
        <f>'10.TNTB'!$L$3</f>
        <v>11</v>
      </c>
    </row>
    <row r="226" spans="2:9" hidden="1">
      <c r="C226" s="346" t="s">
        <v>1663</v>
      </c>
      <c r="D226" s="347" t="s">
        <v>1858</v>
      </c>
      <c r="E226" s="346" t="s">
        <v>1776</v>
      </c>
      <c r="F226" s="346" t="s">
        <v>1859</v>
      </c>
      <c r="G226" s="347">
        <f>ROUND(65%*G222,0)</f>
        <v>0</v>
      </c>
      <c r="H226" s="332">
        <f t="shared" si="15"/>
        <v>0</v>
      </c>
    </row>
    <row r="227" spans="2:9" ht="18" hidden="1">
      <c r="C227" s="346"/>
      <c r="D227" s="347" t="s">
        <v>1861</v>
      </c>
      <c r="E227" s="346" t="s">
        <v>2775</v>
      </c>
      <c r="F227" s="346" t="s">
        <v>2807</v>
      </c>
      <c r="G227" s="347">
        <f>G219+G226</f>
        <v>0</v>
      </c>
      <c r="H227" s="332">
        <f t="shared" si="15"/>
        <v>0</v>
      </c>
    </row>
    <row r="228" spans="2:9" ht="18" hidden="1">
      <c r="C228" s="346" t="s">
        <v>1673</v>
      </c>
      <c r="D228" s="347" t="s">
        <v>1862</v>
      </c>
      <c r="E228" s="346" t="s">
        <v>1863</v>
      </c>
      <c r="F228" s="346" t="s">
        <v>2770</v>
      </c>
      <c r="G228" s="347">
        <f>ROUND(6%*G227,0)</f>
        <v>0</v>
      </c>
      <c r="H228" s="332">
        <f t="shared" si="15"/>
        <v>0</v>
      </c>
    </row>
    <row r="229" spans="2:9" ht="18" hidden="1">
      <c r="B229" s="332" t="str">
        <f>"TN"&amp;B218</f>
        <v>TNT3P160N</v>
      </c>
      <c r="C229" s="346"/>
      <c r="D229" s="347" t="s">
        <v>1865</v>
      </c>
      <c r="E229" s="346" t="s">
        <v>1866</v>
      </c>
      <c r="F229" s="346" t="s">
        <v>2771</v>
      </c>
      <c r="G229" s="347">
        <f>G227+G228</f>
        <v>0</v>
      </c>
      <c r="H229" s="332">
        <f t="shared" si="15"/>
        <v>0</v>
      </c>
    </row>
    <row r="230" spans="2:9" hidden="1">
      <c r="C230" s="346" t="s">
        <v>1717</v>
      </c>
      <c r="D230" s="347" t="s">
        <v>1867</v>
      </c>
      <c r="E230" s="346" t="s">
        <v>1868</v>
      </c>
      <c r="F230" s="346" t="s">
        <v>1869</v>
      </c>
      <c r="G230" s="347">
        <f>ROUND(10%*G229,0)</f>
        <v>0</v>
      </c>
      <c r="H230" s="332">
        <f t="shared" si="15"/>
        <v>0</v>
      </c>
    </row>
    <row r="231" spans="2:9" ht="18" hidden="1">
      <c r="C231" s="346" t="s">
        <v>1729</v>
      </c>
      <c r="D231" s="347" t="s">
        <v>1950</v>
      </c>
      <c r="E231" s="346" t="s">
        <v>2765</v>
      </c>
      <c r="F231" s="346" t="s">
        <v>1871</v>
      </c>
      <c r="G231" s="347">
        <f>G229+G230</f>
        <v>0</v>
      </c>
      <c r="H231" s="332">
        <f t="shared" si="15"/>
        <v>0</v>
      </c>
    </row>
    <row r="232" spans="2:9" hidden="1">
      <c r="B232" s="332" t="s">
        <v>3218</v>
      </c>
      <c r="C232" s="376"/>
      <c r="D232" s="377" t="str">
        <f>VLOOKUP(B232,TNTB,'10.TNTB'!$D$3,0)</f>
        <v xml:space="preserve"> Trạm NC từ 2x37,5kVA lên 3x37,5kVA</v>
      </c>
      <c r="E232" s="376"/>
      <c r="F232" s="377"/>
      <c r="G232" s="377"/>
      <c r="H232" s="332">
        <f>H233</f>
        <v>0</v>
      </c>
    </row>
    <row r="233" spans="2:9" hidden="1">
      <c r="C233" s="346" t="s">
        <v>1631</v>
      </c>
      <c r="D233" s="347" t="s">
        <v>1845</v>
      </c>
      <c r="E233" s="346" t="s">
        <v>1846</v>
      </c>
      <c r="F233" s="346" t="s">
        <v>1875</v>
      </c>
      <c r="G233" s="347">
        <f>G234+G236+G238</f>
        <v>0</v>
      </c>
      <c r="H233" s="332">
        <f>IF(G233&lt;&gt;0,1,)</f>
        <v>0</v>
      </c>
    </row>
    <row r="234" spans="2:9" ht="18" hidden="1">
      <c r="C234" s="328">
        <v>1</v>
      </c>
      <c r="D234" s="329" t="s">
        <v>1847</v>
      </c>
      <c r="E234" s="328" t="s">
        <v>1765</v>
      </c>
      <c r="F234" s="328" t="s">
        <v>2772</v>
      </c>
      <c r="G234" s="329">
        <f>G235</f>
        <v>0</v>
      </c>
      <c r="H234" s="332">
        <f>H233</f>
        <v>0</v>
      </c>
    </row>
    <row r="235" spans="2:9" ht="18" hidden="1">
      <c r="B235" s="332" t="str">
        <f>B232</f>
        <v>TRNC3X375</v>
      </c>
      <c r="C235" s="350"/>
      <c r="D235" s="351" t="s">
        <v>2200</v>
      </c>
      <c r="E235" s="350" t="s">
        <v>2754</v>
      </c>
      <c r="F235" s="350" t="s">
        <v>1849</v>
      </c>
      <c r="G235" s="351">
        <f>ROUND(VLOOKUP(B235,TNTB,I235,0),0)</f>
        <v>0</v>
      </c>
      <c r="H235" s="332">
        <f t="shared" ref="H235:H245" si="16">H234</f>
        <v>0</v>
      </c>
      <c r="I235" s="332">
        <f>'10.TNTB'!$J$3</f>
        <v>9</v>
      </c>
    </row>
    <row r="236" spans="2:9" ht="18" hidden="1">
      <c r="C236" s="328">
        <v>2</v>
      </c>
      <c r="D236" s="329" t="s">
        <v>1946</v>
      </c>
      <c r="E236" s="328" t="s">
        <v>1764</v>
      </c>
      <c r="F236" s="328" t="s">
        <v>2773</v>
      </c>
      <c r="G236" s="329">
        <f>G237</f>
        <v>0</v>
      </c>
      <c r="H236" s="332">
        <f t="shared" si="16"/>
        <v>0</v>
      </c>
    </row>
    <row r="237" spans="2:9" ht="18" hidden="1">
      <c r="B237" s="332" t="str">
        <f>B232</f>
        <v>TRNC3X375</v>
      </c>
      <c r="C237" s="350"/>
      <c r="D237" s="351" t="s">
        <v>2201</v>
      </c>
      <c r="E237" s="350" t="s">
        <v>2755</v>
      </c>
      <c r="F237" s="350" t="s">
        <v>3381</v>
      </c>
      <c r="G237" s="351">
        <f>ROUND(VLOOKUP(B237,TNTB,I237,0)*1,0)</f>
        <v>0</v>
      </c>
      <c r="H237" s="332">
        <f t="shared" si="16"/>
        <v>0</v>
      </c>
      <c r="I237" s="332">
        <f>'10.TNTB'!$K$3</f>
        <v>10</v>
      </c>
    </row>
    <row r="238" spans="2:9" ht="18" hidden="1">
      <c r="C238" s="328">
        <v>3</v>
      </c>
      <c r="D238" s="329" t="s">
        <v>1855</v>
      </c>
      <c r="E238" s="328" t="s">
        <v>1774</v>
      </c>
      <c r="F238" s="328" t="s">
        <v>2774</v>
      </c>
      <c r="G238" s="329">
        <f>G239</f>
        <v>0</v>
      </c>
      <c r="H238" s="332">
        <f t="shared" si="16"/>
        <v>0</v>
      </c>
    </row>
    <row r="239" spans="2:9" ht="18" hidden="1">
      <c r="B239" s="332" t="str">
        <f>B232</f>
        <v>TRNC3X375</v>
      </c>
      <c r="C239" s="350"/>
      <c r="D239" s="351" t="s">
        <v>2202</v>
      </c>
      <c r="E239" s="350" t="s">
        <v>2756</v>
      </c>
      <c r="F239" s="350" t="s">
        <v>478</v>
      </c>
      <c r="G239" s="351">
        <f>ROUND(VLOOKUP(B239,TNTB,I239,0),0)</f>
        <v>0</v>
      </c>
      <c r="H239" s="332">
        <f t="shared" si="16"/>
        <v>0</v>
      </c>
      <c r="I239" s="332">
        <f>'10.TNTB'!$L$3</f>
        <v>11</v>
      </c>
    </row>
    <row r="240" spans="2:9" hidden="1">
      <c r="C240" s="346" t="s">
        <v>1663</v>
      </c>
      <c r="D240" s="347" t="s">
        <v>1858</v>
      </c>
      <c r="E240" s="346" t="s">
        <v>1776</v>
      </c>
      <c r="F240" s="346" t="s">
        <v>1859</v>
      </c>
      <c r="G240" s="347">
        <f>ROUND(65%*G236,0)</f>
        <v>0</v>
      </c>
      <c r="H240" s="332">
        <f t="shared" si="16"/>
        <v>0</v>
      </c>
    </row>
    <row r="241" spans="2:9" ht="18" hidden="1">
      <c r="C241" s="346"/>
      <c r="D241" s="347" t="s">
        <v>1861</v>
      </c>
      <c r="E241" s="346" t="s">
        <v>2775</v>
      </c>
      <c r="F241" s="346" t="s">
        <v>2807</v>
      </c>
      <c r="G241" s="347">
        <f>G233+G240</f>
        <v>0</v>
      </c>
      <c r="H241" s="332">
        <f t="shared" si="16"/>
        <v>0</v>
      </c>
    </row>
    <row r="242" spans="2:9" ht="18" hidden="1">
      <c r="C242" s="346" t="s">
        <v>1673</v>
      </c>
      <c r="D242" s="347" t="s">
        <v>1862</v>
      </c>
      <c r="E242" s="346" t="s">
        <v>1863</v>
      </c>
      <c r="F242" s="346" t="s">
        <v>2770</v>
      </c>
      <c r="G242" s="347">
        <f>ROUND(6%*G241,0)</f>
        <v>0</v>
      </c>
      <c r="H242" s="332">
        <f t="shared" si="16"/>
        <v>0</v>
      </c>
    </row>
    <row r="243" spans="2:9" ht="18" hidden="1">
      <c r="B243" s="332" t="str">
        <f>"TN"&amp;B232</f>
        <v>TNTRNC3X375</v>
      </c>
      <c r="C243" s="346"/>
      <c r="D243" s="347" t="s">
        <v>1865</v>
      </c>
      <c r="E243" s="346" t="s">
        <v>1866</v>
      </c>
      <c r="F243" s="346" t="s">
        <v>2771</v>
      </c>
      <c r="G243" s="347">
        <f>G241+G242</f>
        <v>0</v>
      </c>
      <c r="H243" s="332">
        <f t="shared" si="16"/>
        <v>0</v>
      </c>
    </row>
    <row r="244" spans="2:9" hidden="1">
      <c r="C244" s="346" t="s">
        <v>1717</v>
      </c>
      <c r="D244" s="347" t="s">
        <v>1867</v>
      </c>
      <c r="E244" s="346" t="s">
        <v>1868</v>
      </c>
      <c r="F244" s="346" t="s">
        <v>1869</v>
      </c>
      <c r="G244" s="347">
        <f>ROUND(10%*G243,0)</f>
        <v>0</v>
      </c>
      <c r="H244" s="332">
        <f t="shared" si="16"/>
        <v>0</v>
      </c>
    </row>
    <row r="245" spans="2:9" ht="18" hidden="1">
      <c r="C245" s="346" t="s">
        <v>1729</v>
      </c>
      <c r="D245" s="347" t="s">
        <v>1950</v>
      </c>
      <c r="E245" s="346" t="s">
        <v>2765</v>
      </c>
      <c r="F245" s="346" t="s">
        <v>1871</v>
      </c>
      <c r="G245" s="347">
        <f>G243+G244</f>
        <v>0</v>
      </c>
      <c r="H245" s="332">
        <f t="shared" si="16"/>
        <v>0</v>
      </c>
    </row>
    <row r="246" spans="2:9">
      <c r="B246" s="332" t="s">
        <v>3219</v>
      </c>
      <c r="C246" s="376"/>
      <c r="D246" s="377" t="str">
        <f>VLOOKUP(B246,TNTB,'10.TNTB'!$D$3,0)</f>
        <v>2 Trạm NC từ 100kVA lên 100+2x50kVA</v>
      </c>
      <c r="E246" s="376"/>
      <c r="F246" s="377"/>
      <c r="G246" s="377"/>
      <c r="H246" s="332">
        <f>H247</f>
        <v>1</v>
      </c>
    </row>
    <row r="247" spans="2:9">
      <c r="C247" s="346" t="s">
        <v>1631</v>
      </c>
      <c r="D247" s="347" t="s">
        <v>1845</v>
      </c>
      <c r="E247" s="346" t="s">
        <v>1846</v>
      </c>
      <c r="F247" s="346" t="s">
        <v>1875</v>
      </c>
      <c r="G247" s="347">
        <f>G248+G250+G252</f>
        <v>5667696</v>
      </c>
      <c r="H247" s="332">
        <f>IF(G247&lt;&gt;0,1,)</f>
        <v>1</v>
      </c>
    </row>
    <row r="248" spans="2:9" ht="18">
      <c r="C248" s="328">
        <v>1</v>
      </c>
      <c r="D248" s="329" t="s">
        <v>1847</v>
      </c>
      <c r="E248" s="328" t="s">
        <v>1765</v>
      </c>
      <c r="F248" s="328" t="s">
        <v>2772</v>
      </c>
      <c r="G248" s="329">
        <f>G249</f>
        <v>133912</v>
      </c>
      <c r="H248" s="332">
        <f>H247</f>
        <v>1</v>
      </c>
    </row>
    <row r="249" spans="2:9" ht="18">
      <c r="B249" s="332" t="str">
        <f>B246</f>
        <v>TRNC100</v>
      </c>
      <c r="C249" s="350"/>
      <c r="D249" s="351" t="s">
        <v>2200</v>
      </c>
      <c r="E249" s="350" t="s">
        <v>2754</v>
      </c>
      <c r="F249" s="350" t="s">
        <v>1849</v>
      </c>
      <c r="G249" s="351">
        <f>ROUND(VLOOKUP(B249,TNTB,I249,0),0)</f>
        <v>133912</v>
      </c>
      <c r="H249" s="332">
        <f t="shared" ref="H249:H259" si="17">H248</f>
        <v>1</v>
      </c>
      <c r="I249" s="332">
        <f>'10.TNTB'!$J$3</f>
        <v>9</v>
      </c>
    </row>
    <row r="250" spans="2:9" ht="18">
      <c r="C250" s="328">
        <v>2</v>
      </c>
      <c r="D250" s="329" t="s">
        <v>1946</v>
      </c>
      <c r="E250" s="328" t="s">
        <v>1764</v>
      </c>
      <c r="F250" s="328" t="s">
        <v>2773</v>
      </c>
      <c r="G250" s="329">
        <f>G251</f>
        <v>4622076</v>
      </c>
      <c r="H250" s="332">
        <f t="shared" si="17"/>
        <v>1</v>
      </c>
    </row>
    <row r="251" spans="2:9" ht="18">
      <c r="B251" s="332" t="str">
        <f>B246</f>
        <v>TRNC100</v>
      </c>
      <c r="C251" s="350"/>
      <c r="D251" s="351" t="s">
        <v>2201</v>
      </c>
      <c r="E251" s="350" t="s">
        <v>2755</v>
      </c>
      <c r="F251" s="350" t="s">
        <v>3381</v>
      </c>
      <c r="G251" s="351">
        <f>ROUND(VLOOKUP(B251,TNTB,I251,0)*1,0)</f>
        <v>4622076</v>
      </c>
      <c r="H251" s="332">
        <f t="shared" si="17"/>
        <v>1</v>
      </c>
      <c r="I251" s="332">
        <f>'10.TNTB'!$K$3</f>
        <v>10</v>
      </c>
    </row>
    <row r="252" spans="2:9" ht="18">
      <c r="C252" s="328">
        <v>3</v>
      </c>
      <c r="D252" s="329" t="s">
        <v>1855</v>
      </c>
      <c r="E252" s="328" t="s">
        <v>1774</v>
      </c>
      <c r="F252" s="328" t="s">
        <v>2774</v>
      </c>
      <c r="G252" s="329">
        <f>G253</f>
        <v>911708</v>
      </c>
      <c r="H252" s="332">
        <f t="shared" si="17"/>
        <v>1</v>
      </c>
    </row>
    <row r="253" spans="2:9" ht="18">
      <c r="B253" s="332" t="str">
        <f>B246</f>
        <v>TRNC100</v>
      </c>
      <c r="C253" s="350"/>
      <c r="D253" s="351" t="s">
        <v>2202</v>
      </c>
      <c r="E253" s="350" t="s">
        <v>2756</v>
      </c>
      <c r="F253" s="350" t="s">
        <v>478</v>
      </c>
      <c r="G253" s="351">
        <f>ROUND(VLOOKUP(B253,TNTB,I253,0),0)</f>
        <v>911708</v>
      </c>
      <c r="H253" s="332">
        <f t="shared" si="17"/>
        <v>1</v>
      </c>
      <c r="I253" s="332">
        <f>'10.TNTB'!$L$3</f>
        <v>11</v>
      </c>
    </row>
    <row r="254" spans="2:9">
      <c r="C254" s="346" t="s">
        <v>1663</v>
      </c>
      <c r="D254" s="347" t="s">
        <v>1858</v>
      </c>
      <c r="E254" s="346" t="s">
        <v>1776</v>
      </c>
      <c r="F254" s="346" t="s">
        <v>1859</v>
      </c>
      <c r="G254" s="347">
        <f>ROUND(65%*G250,0)</f>
        <v>3004349</v>
      </c>
      <c r="H254" s="332">
        <f t="shared" si="17"/>
        <v>1</v>
      </c>
    </row>
    <row r="255" spans="2:9" ht="18">
      <c r="C255" s="346"/>
      <c r="D255" s="347" t="s">
        <v>1861</v>
      </c>
      <c r="E255" s="346" t="s">
        <v>2775</v>
      </c>
      <c r="F255" s="346" t="s">
        <v>2807</v>
      </c>
      <c r="G255" s="347">
        <f>G247+G254</f>
        <v>8672045</v>
      </c>
      <c r="H255" s="332">
        <f t="shared" si="17"/>
        <v>1</v>
      </c>
    </row>
    <row r="256" spans="2:9" ht="18">
      <c r="C256" s="346" t="s">
        <v>1673</v>
      </c>
      <c r="D256" s="347" t="s">
        <v>1862</v>
      </c>
      <c r="E256" s="346" t="s">
        <v>1863</v>
      </c>
      <c r="F256" s="346" t="s">
        <v>2770</v>
      </c>
      <c r="G256" s="347">
        <f>ROUND(6%*G255,0)</f>
        <v>520323</v>
      </c>
      <c r="H256" s="332">
        <f t="shared" si="17"/>
        <v>1</v>
      </c>
    </row>
    <row r="257" spans="2:9" ht="18">
      <c r="B257" s="332" t="str">
        <f>"TN"&amp;B246</f>
        <v>TNTRNC100</v>
      </c>
      <c r="C257" s="346"/>
      <c r="D257" s="347" t="s">
        <v>1865</v>
      </c>
      <c r="E257" s="346" t="s">
        <v>1866</v>
      </c>
      <c r="F257" s="346" t="s">
        <v>2771</v>
      </c>
      <c r="G257" s="347">
        <f>G255+G256</f>
        <v>9192368</v>
      </c>
      <c r="H257" s="332">
        <f t="shared" si="17"/>
        <v>1</v>
      </c>
    </row>
    <row r="258" spans="2:9">
      <c r="C258" s="346" t="s">
        <v>1717</v>
      </c>
      <c r="D258" s="347" t="s">
        <v>1867</v>
      </c>
      <c r="E258" s="346" t="s">
        <v>1868</v>
      </c>
      <c r="F258" s="346" t="s">
        <v>1869</v>
      </c>
      <c r="G258" s="347">
        <f>ROUND(10%*G257,0)</f>
        <v>919237</v>
      </c>
      <c r="H258" s="332">
        <f t="shared" si="17"/>
        <v>1</v>
      </c>
    </row>
    <row r="259" spans="2:9" ht="18">
      <c r="C259" s="346" t="s">
        <v>1729</v>
      </c>
      <c r="D259" s="347" t="s">
        <v>1950</v>
      </c>
      <c r="E259" s="346" t="s">
        <v>2765</v>
      </c>
      <c r="F259" s="346" t="s">
        <v>1871</v>
      </c>
      <c r="G259" s="347">
        <f>G257+G258</f>
        <v>10111605</v>
      </c>
      <c r="H259" s="332">
        <f t="shared" si="17"/>
        <v>1</v>
      </c>
    </row>
    <row r="260" spans="2:9" hidden="1">
      <c r="B260" s="332" t="s">
        <v>3457</v>
      </c>
      <c r="C260" s="376"/>
      <c r="D260" s="377" t="str">
        <f>VLOOKUP(B260,TNTB,'10.TNTB'!$D$3,0)</f>
        <v xml:space="preserve"> Trạm NC từ 2x50kVA lên 3x50kVA</v>
      </c>
      <c r="E260" s="376"/>
      <c r="F260" s="377"/>
      <c r="G260" s="377"/>
      <c r="H260" s="332">
        <f>H261</f>
        <v>0</v>
      </c>
    </row>
    <row r="261" spans="2:9" hidden="1">
      <c r="C261" s="642" t="s">
        <v>1631</v>
      </c>
      <c r="D261" s="347" t="s">
        <v>1845</v>
      </c>
      <c r="E261" s="642" t="s">
        <v>1846</v>
      </c>
      <c r="F261" s="642" t="s">
        <v>1875</v>
      </c>
      <c r="G261" s="347">
        <f>G262+G264+G266</f>
        <v>0</v>
      </c>
      <c r="H261" s="332">
        <f>IF(G261&lt;&gt;0,1,)</f>
        <v>0</v>
      </c>
    </row>
    <row r="262" spans="2:9" ht="18" hidden="1">
      <c r="C262" s="328">
        <v>1</v>
      </c>
      <c r="D262" s="329" t="s">
        <v>1847</v>
      </c>
      <c r="E262" s="328" t="s">
        <v>1765</v>
      </c>
      <c r="F262" s="328" t="s">
        <v>2772</v>
      </c>
      <c r="G262" s="329">
        <f>G263</f>
        <v>0</v>
      </c>
      <c r="H262" s="332">
        <f>H261</f>
        <v>0</v>
      </c>
    </row>
    <row r="263" spans="2:9" ht="18" hidden="1">
      <c r="B263" s="332" t="str">
        <f>B260</f>
        <v>TRNC2X50</v>
      </c>
      <c r="C263" s="350"/>
      <c r="D263" s="351" t="s">
        <v>2200</v>
      </c>
      <c r="E263" s="350" t="s">
        <v>2754</v>
      </c>
      <c r="F263" s="350" t="s">
        <v>1849</v>
      </c>
      <c r="G263" s="351">
        <f>ROUND(VLOOKUP(B263,TNTB,I263,0),0)</f>
        <v>0</v>
      </c>
      <c r="H263" s="332">
        <f t="shared" ref="H263:H273" si="18">H262</f>
        <v>0</v>
      </c>
      <c r="I263" s="332">
        <f>'10.TNTB'!$J$3</f>
        <v>9</v>
      </c>
    </row>
    <row r="264" spans="2:9" ht="18" hidden="1">
      <c r="C264" s="328">
        <v>2</v>
      </c>
      <c r="D264" s="329" t="s">
        <v>1946</v>
      </c>
      <c r="E264" s="328" t="s">
        <v>1764</v>
      </c>
      <c r="F264" s="328" t="s">
        <v>2773</v>
      </c>
      <c r="G264" s="329">
        <f>G265</f>
        <v>0</v>
      </c>
      <c r="H264" s="332">
        <f t="shared" si="18"/>
        <v>0</v>
      </c>
    </row>
    <row r="265" spans="2:9" ht="18" hidden="1">
      <c r="B265" s="332" t="str">
        <f>B260</f>
        <v>TRNC2X50</v>
      </c>
      <c r="C265" s="350"/>
      <c r="D265" s="351" t="s">
        <v>2201</v>
      </c>
      <c r="E265" s="350" t="s">
        <v>2755</v>
      </c>
      <c r="F265" s="350" t="s">
        <v>3381</v>
      </c>
      <c r="G265" s="351">
        <f>ROUND(VLOOKUP(B265,TNTB,I265,0)*1,0)</f>
        <v>0</v>
      </c>
      <c r="H265" s="332">
        <f t="shared" si="18"/>
        <v>0</v>
      </c>
      <c r="I265" s="332">
        <f>'10.TNTB'!$K$3</f>
        <v>10</v>
      </c>
    </row>
    <row r="266" spans="2:9" ht="18" hidden="1">
      <c r="C266" s="328">
        <v>3</v>
      </c>
      <c r="D266" s="329" t="s">
        <v>1855</v>
      </c>
      <c r="E266" s="328" t="s">
        <v>1774</v>
      </c>
      <c r="F266" s="328" t="s">
        <v>2774</v>
      </c>
      <c r="G266" s="329">
        <f>G267</f>
        <v>0</v>
      </c>
      <c r="H266" s="332">
        <f t="shared" si="18"/>
        <v>0</v>
      </c>
    </row>
    <row r="267" spans="2:9" ht="18" hidden="1">
      <c r="B267" s="332" t="str">
        <f>B260</f>
        <v>TRNC2X50</v>
      </c>
      <c r="C267" s="350"/>
      <c r="D267" s="351" t="s">
        <v>2202</v>
      </c>
      <c r="E267" s="350" t="s">
        <v>2756</v>
      </c>
      <c r="F267" s="350" t="s">
        <v>478</v>
      </c>
      <c r="G267" s="351">
        <f>ROUND(VLOOKUP(B267,TNTB,I267,0),0)</f>
        <v>0</v>
      </c>
      <c r="H267" s="332">
        <f t="shared" si="18"/>
        <v>0</v>
      </c>
      <c r="I267" s="332">
        <f>'10.TNTB'!$L$3</f>
        <v>11</v>
      </c>
    </row>
    <row r="268" spans="2:9" hidden="1">
      <c r="C268" s="642" t="s">
        <v>1663</v>
      </c>
      <c r="D268" s="347" t="s">
        <v>1858</v>
      </c>
      <c r="E268" s="642" t="s">
        <v>1776</v>
      </c>
      <c r="F268" s="642" t="s">
        <v>1859</v>
      </c>
      <c r="G268" s="347">
        <f>ROUND(65%*G264,0)</f>
        <v>0</v>
      </c>
      <c r="H268" s="332">
        <f t="shared" si="18"/>
        <v>0</v>
      </c>
    </row>
    <row r="269" spans="2:9" ht="18" hidden="1">
      <c r="C269" s="642"/>
      <c r="D269" s="347" t="s">
        <v>1861</v>
      </c>
      <c r="E269" s="642" t="s">
        <v>2775</v>
      </c>
      <c r="F269" s="642" t="s">
        <v>2807</v>
      </c>
      <c r="G269" s="347">
        <f>G261+G268</f>
        <v>0</v>
      </c>
      <c r="H269" s="332">
        <f t="shared" si="18"/>
        <v>0</v>
      </c>
    </row>
    <row r="270" spans="2:9" ht="18" hidden="1">
      <c r="C270" s="642" t="s">
        <v>1673</v>
      </c>
      <c r="D270" s="347" t="s">
        <v>1862</v>
      </c>
      <c r="E270" s="642" t="s">
        <v>1863</v>
      </c>
      <c r="F270" s="642" t="s">
        <v>2770</v>
      </c>
      <c r="G270" s="347">
        <f>ROUND(6%*G269,0)</f>
        <v>0</v>
      </c>
      <c r="H270" s="332">
        <f t="shared" si="18"/>
        <v>0</v>
      </c>
    </row>
    <row r="271" spans="2:9" ht="18" hidden="1">
      <c r="B271" s="332" t="str">
        <f>"TN"&amp;B260</f>
        <v>TNTRNC2X50</v>
      </c>
      <c r="C271" s="642"/>
      <c r="D271" s="347" t="s">
        <v>1865</v>
      </c>
      <c r="E271" s="642" t="s">
        <v>1866</v>
      </c>
      <c r="F271" s="642" t="s">
        <v>2771</v>
      </c>
      <c r="G271" s="347">
        <f>G269+G270</f>
        <v>0</v>
      </c>
      <c r="H271" s="332">
        <f t="shared" si="18"/>
        <v>0</v>
      </c>
    </row>
    <row r="272" spans="2:9" hidden="1">
      <c r="C272" s="642" t="s">
        <v>1717</v>
      </c>
      <c r="D272" s="347" t="s">
        <v>1867</v>
      </c>
      <c r="E272" s="642" t="s">
        <v>1868</v>
      </c>
      <c r="F272" s="642" t="s">
        <v>1869</v>
      </c>
      <c r="G272" s="347">
        <f>ROUND(10%*G271,0)</f>
        <v>0</v>
      </c>
      <c r="H272" s="332">
        <f t="shared" si="18"/>
        <v>0</v>
      </c>
    </row>
    <row r="273" spans="2:9" ht="18" hidden="1">
      <c r="C273" s="642" t="s">
        <v>1729</v>
      </c>
      <c r="D273" s="347" t="s">
        <v>1950</v>
      </c>
      <c r="E273" s="642" t="s">
        <v>2765</v>
      </c>
      <c r="F273" s="642" t="s">
        <v>1871</v>
      </c>
      <c r="G273" s="347">
        <f>G271+G272</f>
        <v>0</v>
      </c>
      <c r="H273" s="332">
        <f t="shared" si="18"/>
        <v>0</v>
      </c>
    </row>
    <row r="274" spans="2:9">
      <c r="B274" s="332" t="s">
        <v>3222</v>
      </c>
      <c r="C274" s="376"/>
      <c r="D274" s="377" t="str">
        <f>VLOOKUP(B274,TNTB,'10.TNTB'!$D$3,0)</f>
        <v>2 Trạm NC từ 2x75kVA lên 3x75kVA</v>
      </c>
      <c r="E274" s="376"/>
      <c r="F274" s="377"/>
      <c r="G274" s="377"/>
      <c r="H274" s="332">
        <f>H275</f>
        <v>1</v>
      </c>
    </row>
    <row r="275" spans="2:9">
      <c r="C275" s="346" t="s">
        <v>1631</v>
      </c>
      <c r="D275" s="347" t="s">
        <v>1845</v>
      </c>
      <c r="E275" s="346" t="s">
        <v>1846</v>
      </c>
      <c r="F275" s="346" t="s">
        <v>1875</v>
      </c>
      <c r="G275" s="347">
        <f>G276+G278+G280</f>
        <v>3149488</v>
      </c>
      <c r="H275" s="332">
        <f>IF(G275&lt;&gt;0,1,)</f>
        <v>1</v>
      </c>
    </row>
    <row r="276" spans="2:9" ht="18">
      <c r="C276" s="328">
        <v>1</v>
      </c>
      <c r="D276" s="329" t="s">
        <v>1847</v>
      </c>
      <c r="E276" s="328" t="s">
        <v>1765</v>
      </c>
      <c r="F276" s="328" t="s">
        <v>2772</v>
      </c>
      <c r="G276" s="329">
        <f>G277</f>
        <v>74442</v>
      </c>
      <c r="H276" s="332">
        <f>H275</f>
        <v>1</v>
      </c>
    </row>
    <row r="277" spans="2:9" ht="18">
      <c r="B277" s="332" t="str">
        <f>B274</f>
        <v>TRNC2X75</v>
      </c>
      <c r="C277" s="350"/>
      <c r="D277" s="351" t="s">
        <v>2200</v>
      </c>
      <c r="E277" s="350" t="s">
        <v>2754</v>
      </c>
      <c r="F277" s="350" t="s">
        <v>1849</v>
      </c>
      <c r="G277" s="351">
        <f>ROUND(VLOOKUP(B277,TNTB,I277,0),0)</f>
        <v>74442</v>
      </c>
      <c r="H277" s="332">
        <f t="shared" ref="H277:H287" si="19">H276</f>
        <v>1</v>
      </c>
      <c r="I277" s="332">
        <f>'10.TNTB'!$J$3</f>
        <v>9</v>
      </c>
    </row>
    <row r="278" spans="2:9" ht="18">
      <c r="C278" s="328">
        <v>2</v>
      </c>
      <c r="D278" s="329" t="s">
        <v>1946</v>
      </c>
      <c r="E278" s="328" t="s">
        <v>1764</v>
      </c>
      <c r="F278" s="328" t="s">
        <v>2773</v>
      </c>
      <c r="G278" s="329">
        <f>G279</f>
        <v>2566132</v>
      </c>
      <c r="H278" s="332">
        <f t="shared" si="19"/>
        <v>1</v>
      </c>
    </row>
    <row r="279" spans="2:9" ht="18">
      <c r="B279" s="332" t="str">
        <f>B274</f>
        <v>TRNC2X75</v>
      </c>
      <c r="C279" s="350"/>
      <c r="D279" s="351" t="s">
        <v>2201</v>
      </c>
      <c r="E279" s="350" t="s">
        <v>2755</v>
      </c>
      <c r="F279" s="350" t="s">
        <v>3381</v>
      </c>
      <c r="G279" s="351">
        <f>ROUND(VLOOKUP(B279,TNTB,I279,0)*1,0)</f>
        <v>2566132</v>
      </c>
      <c r="H279" s="332">
        <f t="shared" si="19"/>
        <v>1</v>
      </c>
      <c r="I279" s="332">
        <f>'10.TNTB'!$K$3</f>
        <v>10</v>
      </c>
    </row>
    <row r="280" spans="2:9" ht="18">
      <c r="C280" s="328">
        <v>3</v>
      </c>
      <c r="D280" s="329" t="s">
        <v>1855</v>
      </c>
      <c r="E280" s="328" t="s">
        <v>1774</v>
      </c>
      <c r="F280" s="328" t="s">
        <v>2774</v>
      </c>
      <c r="G280" s="329">
        <f>G281</f>
        <v>508914</v>
      </c>
      <c r="H280" s="332">
        <f t="shared" si="19"/>
        <v>1</v>
      </c>
    </row>
    <row r="281" spans="2:9" ht="18">
      <c r="B281" s="332" t="str">
        <f>B274</f>
        <v>TRNC2X75</v>
      </c>
      <c r="C281" s="350"/>
      <c r="D281" s="351" t="s">
        <v>2202</v>
      </c>
      <c r="E281" s="350" t="s">
        <v>2756</v>
      </c>
      <c r="F281" s="350" t="s">
        <v>478</v>
      </c>
      <c r="G281" s="351">
        <f>ROUND(VLOOKUP(B281,TNTB,I281,0),0)</f>
        <v>508914</v>
      </c>
      <c r="H281" s="332">
        <f t="shared" si="19"/>
        <v>1</v>
      </c>
      <c r="I281" s="332">
        <f>'10.TNTB'!$L$3</f>
        <v>11</v>
      </c>
    </row>
    <row r="282" spans="2:9">
      <c r="C282" s="346" t="s">
        <v>1663</v>
      </c>
      <c r="D282" s="347" t="s">
        <v>1858</v>
      </c>
      <c r="E282" s="346" t="s">
        <v>1776</v>
      </c>
      <c r="F282" s="346" t="s">
        <v>1859</v>
      </c>
      <c r="G282" s="347">
        <f>ROUND(65%*G278,0)</f>
        <v>1667986</v>
      </c>
      <c r="H282" s="332">
        <f t="shared" si="19"/>
        <v>1</v>
      </c>
    </row>
    <row r="283" spans="2:9" ht="18">
      <c r="C283" s="346"/>
      <c r="D283" s="347" t="s">
        <v>1861</v>
      </c>
      <c r="E283" s="346" t="s">
        <v>2775</v>
      </c>
      <c r="F283" s="346" t="s">
        <v>2807</v>
      </c>
      <c r="G283" s="347">
        <f>G275+G282</f>
        <v>4817474</v>
      </c>
      <c r="H283" s="332">
        <f t="shared" si="19"/>
        <v>1</v>
      </c>
    </row>
    <row r="284" spans="2:9" ht="18">
      <c r="C284" s="346" t="s">
        <v>1673</v>
      </c>
      <c r="D284" s="347" t="s">
        <v>1862</v>
      </c>
      <c r="E284" s="346" t="s">
        <v>1863</v>
      </c>
      <c r="F284" s="346" t="s">
        <v>2770</v>
      </c>
      <c r="G284" s="347">
        <f>ROUND(6%*G283,0)</f>
        <v>289048</v>
      </c>
      <c r="H284" s="332">
        <f t="shared" si="19"/>
        <v>1</v>
      </c>
    </row>
    <row r="285" spans="2:9" ht="18">
      <c r="B285" s="332" t="str">
        <f>"TN"&amp;B274</f>
        <v>TNTRNC2X75</v>
      </c>
      <c r="C285" s="346"/>
      <c r="D285" s="347" t="s">
        <v>1865</v>
      </c>
      <c r="E285" s="346" t="s">
        <v>1866</v>
      </c>
      <c r="F285" s="346" t="s">
        <v>2771</v>
      </c>
      <c r="G285" s="347">
        <f>G283+G284</f>
        <v>5106522</v>
      </c>
      <c r="H285" s="332">
        <f t="shared" si="19"/>
        <v>1</v>
      </c>
    </row>
    <row r="286" spans="2:9">
      <c r="C286" s="346" t="s">
        <v>1717</v>
      </c>
      <c r="D286" s="347" t="s">
        <v>1867</v>
      </c>
      <c r="E286" s="346" t="s">
        <v>1868</v>
      </c>
      <c r="F286" s="346" t="s">
        <v>1869</v>
      </c>
      <c r="G286" s="347">
        <f>ROUND(10%*G285,0)</f>
        <v>510652</v>
      </c>
      <c r="H286" s="332">
        <f t="shared" si="19"/>
        <v>1</v>
      </c>
    </row>
    <row r="287" spans="2:9" ht="18">
      <c r="C287" s="346" t="s">
        <v>1729</v>
      </c>
      <c r="D287" s="347" t="s">
        <v>1950</v>
      </c>
      <c r="E287" s="346" t="s">
        <v>2765</v>
      </c>
      <c r="F287" s="346" t="s">
        <v>1871</v>
      </c>
      <c r="G287" s="347">
        <f>G285+G286</f>
        <v>5617174</v>
      </c>
      <c r="H287" s="332">
        <f t="shared" si="19"/>
        <v>1</v>
      </c>
    </row>
    <row r="288" spans="2:9">
      <c r="B288" s="332" t="s">
        <v>3223</v>
      </c>
      <c r="C288" s="376"/>
      <c r="D288" s="377" t="str">
        <f>VLOOKUP(B288,TNTB,'10.TNTB'!$D$3,0)</f>
        <v>1 Trạm NC từ 2x100kVA lên 3x100kVA</v>
      </c>
      <c r="E288" s="376"/>
      <c r="F288" s="377"/>
      <c r="G288" s="377"/>
      <c r="H288" s="332">
        <f>H289</f>
        <v>1</v>
      </c>
    </row>
    <row r="289" spans="2:9">
      <c r="C289" s="346" t="s">
        <v>1631</v>
      </c>
      <c r="D289" s="347" t="s">
        <v>1845</v>
      </c>
      <c r="E289" s="346" t="s">
        <v>1846</v>
      </c>
      <c r="F289" s="346" t="s">
        <v>1875</v>
      </c>
      <c r="G289" s="347">
        <f>G290+G292+G294</f>
        <v>1574744</v>
      </c>
      <c r="H289" s="332">
        <f>IF(G289&lt;&gt;0,1,)</f>
        <v>1</v>
      </c>
    </row>
    <row r="290" spans="2:9" ht="18">
      <c r="C290" s="328">
        <v>1</v>
      </c>
      <c r="D290" s="329" t="s">
        <v>1847</v>
      </c>
      <c r="E290" s="328" t="s">
        <v>1765</v>
      </c>
      <c r="F290" s="328" t="s">
        <v>2772</v>
      </c>
      <c r="G290" s="329">
        <f>G291</f>
        <v>37221</v>
      </c>
      <c r="H290" s="332">
        <f>H289</f>
        <v>1</v>
      </c>
    </row>
    <row r="291" spans="2:9" ht="18">
      <c r="B291" s="332" t="str">
        <f>B288</f>
        <v>TRNC2X100</v>
      </c>
      <c r="C291" s="350"/>
      <c r="D291" s="351" t="s">
        <v>2200</v>
      </c>
      <c r="E291" s="350" t="s">
        <v>2754</v>
      </c>
      <c r="F291" s="350" t="s">
        <v>1849</v>
      </c>
      <c r="G291" s="351">
        <f>ROUND(VLOOKUP(B291,TNTB,I291,0),0)</f>
        <v>37221</v>
      </c>
      <c r="H291" s="332">
        <f t="shared" ref="H291:H301" si="20">H290</f>
        <v>1</v>
      </c>
      <c r="I291" s="332">
        <f>'10.TNTB'!$J$3</f>
        <v>9</v>
      </c>
    </row>
    <row r="292" spans="2:9" ht="18">
      <c r="C292" s="328">
        <v>2</v>
      </c>
      <c r="D292" s="329" t="s">
        <v>1946</v>
      </c>
      <c r="E292" s="328" t="s">
        <v>1764</v>
      </c>
      <c r="F292" s="328" t="s">
        <v>2773</v>
      </c>
      <c r="G292" s="329">
        <f>G293</f>
        <v>1283066</v>
      </c>
      <c r="H292" s="332">
        <f t="shared" si="20"/>
        <v>1</v>
      </c>
    </row>
    <row r="293" spans="2:9" ht="18">
      <c r="B293" s="332" t="str">
        <f>B288</f>
        <v>TRNC2X100</v>
      </c>
      <c r="C293" s="350"/>
      <c r="D293" s="351" t="s">
        <v>2201</v>
      </c>
      <c r="E293" s="350" t="s">
        <v>2755</v>
      </c>
      <c r="F293" s="350" t="s">
        <v>3381</v>
      </c>
      <c r="G293" s="351">
        <f>ROUND(VLOOKUP(B293,TNTB,I293,0)*1,0)</f>
        <v>1283066</v>
      </c>
      <c r="H293" s="332">
        <f t="shared" si="20"/>
        <v>1</v>
      </c>
      <c r="I293" s="332">
        <f>'10.TNTB'!$K$3</f>
        <v>10</v>
      </c>
    </row>
    <row r="294" spans="2:9" ht="18">
      <c r="C294" s="328">
        <v>3</v>
      </c>
      <c r="D294" s="329" t="s">
        <v>1855</v>
      </c>
      <c r="E294" s="328" t="s">
        <v>1774</v>
      </c>
      <c r="F294" s="328" t="s">
        <v>2774</v>
      </c>
      <c r="G294" s="329">
        <f>G295</f>
        <v>254457</v>
      </c>
      <c r="H294" s="332">
        <f t="shared" si="20"/>
        <v>1</v>
      </c>
    </row>
    <row r="295" spans="2:9" ht="18">
      <c r="B295" s="332" t="str">
        <f>B288</f>
        <v>TRNC2X100</v>
      </c>
      <c r="C295" s="350"/>
      <c r="D295" s="351" t="s">
        <v>2202</v>
      </c>
      <c r="E295" s="350" t="s">
        <v>2756</v>
      </c>
      <c r="F295" s="350" t="s">
        <v>478</v>
      </c>
      <c r="G295" s="351">
        <f>ROUND(VLOOKUP(B295,TNTB,I295,0),0)</f>
        <v>254457</v>
      </c>
      <c r="H295" s="332">
        <f t="shared" si="20"/>
        <v>1</v>
      </c>
      <c r="I295" s="332">
        <f>'10.TNTB'!$L$3</f>
        <v>11</v>
      </c>
    </row>
    <row r="296" spans="2:9">
      <c r="C296" s="346" t="s">
        <v>1663</v>
      </c>
      <c r="D296" s="347" t="s">
        <v>1858</v>
      </c>
      <c r="E296" s="346" t="s">
        <v>1776</v>
      </c>
      <c r="F296" s="346" t="s">
        <v>1859</v>
      </c>
      <c r="G296" s="347">
        <f>ROUND(65%*G292,0)</f>
        <v>833993</v>
      </c>
      <c r="H296" s="332">
        <f t="shared" si="20"/>
        <v>1</v>
      </c>
    </row>
    <row r="297" spans="2:9" ht="18">
      <c r="C297" s="346"/>
      <c r="D297" s="347" t="s">
        <v>1861</v>
      </c>
      <c r="E297" s="346" t="s">
        <v>2775</v>
      </c>
      <c r="F297" s="346" t="s">
        <v>2807</v>
      </c>
      <c r="G297" s="347">
        <f>G289+G296</f>
        <v>2408737</v>
      </c>
      <c r="H297" s="332">
        <f t="shared" si="20"/>
        <v>1</v>
      </c>
    </row>
    <row r="298" spans="2:9" ht="18">
      <c r="C298" s="346" t="s">
        <v>1673</v>
      </c>
      <c r="D298" s="347" t="s">
        <v>1862</v>
      </c>
      <c r="E298" s="346" t="s">
        <v>1863</v>
      </c>
      <c r="F298" s="346" t="s">
        <v>2770</v>
      </c>
      <c r="G298" s="347">
        <f>ROUND(6%*G297,0)</f>
        <v>144524</v>
      </c>
      <c r="H298" s="332">
        <f t="shared" si="20"/>
        <v>1</v>
      </c>
    </row>
    <row r="299" spans="2:9" ht="18">
      <c r="B299" s="332" t="str">
        <f>"TN"&amp;B288</f>
        <v>TNTRNC2X100</v>
      </c>
      <c r="C299" s="346"/>
      <c r="D299" s="347" t="s">
        <v>1865</v>
      </c>
      <c r="E299" s="346" t="s">
        <v>1866</v>
      </c>
      <c r="F299" s="346" t="s">
        <v>2771</v>
      </c>
      <c r="G299" s="347">
        <f>G297+G298</f>
        <v>2553261</v>
      </c>
      <c r="H299" s="332">
        <f t="shared" si="20"/>
        <v>1</v>
      </c>
    </row>
    <row r="300" spans="2:9">
      <c r="C300" s="346" t="s">
        <v>1717</v>
      </c>
      <c r="D300" s="347" t="s">
        <v>1867</v>
      </c>
      <c r="E300" s="346" t="s">
        <v>1868</v>
      </c>
      <c r="F300" s="346" t="s">
        <v>1869</v>
      </c>
      <c r="G300" s="347">
        <f>ROUND(10%*G299,0)</f>
        <v>255326</v>
      </c>
      <c r="H300" s="332">
        <f t="shared" si="20"/>
        <v>1</v>
      </c>
    </row>
    <row r="301" spans="2:9" ht="18">
      <c r="C301" s="346" t="s">
        <v>1729</v>
      </c>
      <c r="D301" s="347" t="s">
        <v>1950</v>
      </c>
      <c r="E301" s="346" t="s">
        <v>2765</v>
      </c>
      <c r="F301" s="346" t="s">
        <v>1871</v>
      </c>
      <c r="G301" s="347">
        <f>G299+G300</f>
        <v>2808587</v>
      </c>
      <c r="H301" s="332">
        <f t="shared" si="20"/>
        <v>1</v>
      </c>
    </row>
    <row r="302" spans="2:9" hidden="1">
      <c r="B302" s="332" t="s">
        <v>3243</v>
      </c>
      <c r="C302" s="376"/>
      <c r="D302" s="377" t="str">
        <f>VLOOKUP(B302,TNTB,'10.TNTB'!$D$3,0)</f>
        <v>2 Trạm 1 pha di dời</v>
      </c>
      <c r="E302" s="376"/>
      <c r="F302" s="377"/>
      <c r="G302" s="377"/>
      <c r="H302" s="332">
        <f>H303</f>
        <v>0</v>
      </c>
    </row>
    <row r="303" spans="2:9" hidden="1">
      <c r="C303" s="346" t="s">
        <v>1631</v>
      </c>
      <c r="D303" s="347" t="s">
        <v>1845</v>
      </c>
      <c r="E303" s="346" t="s">
        <v>1846</v>
      </c>
      <c r="F303" s="346" t="s">
        <v>1875</v>
      </c>
      <c r="G303" s="347">
        <f>G304+G306+G308</f>
        <v>0</v>
      </c>
      <c r="H303" s="332">
        <f>IF(G303&lt;&gt;0,1,)</f>
        <v>0</v>
      </c>
    </row>
    <row r="304" spans="2:9" ht="18" hidden="1">
      <c r="C304" s="328">
        <v>1</v>
      </c>
      <c r="D304" s="329" t="s">
        <v>1847</v>
      </c>
      <c r="E304" s="328" t="s">
        <v>1765</v>
      </c>
      <c r="F304" s="328" t="s">
        <v>2772</v>
      </c>
      <c r="G304" s="329">
        <f>G305</f>
        <v>0</v>
      </c>
      <c r="H304" s="332">
        <f>H303</f>
        <v>0</v>
      </c>
    </row>
    <row r="305" spans="2:9" ht="18" hidden="1">
      <c r="B305" s="332" t="str">
        <f>B302</f>
        <v>DTR1P</v>
      </c>
      <c r="C305" s="350"/>
      <c r="D305" s="351" t="s">
        <v>2200</v>
      </c>
      <c r="E305" s="350" t="s">
        <v>2754</v>
      </c>
      <c r="F305" s="350" t="s">
        <v>1849</v>
      </c>
      <c r="G305" s="351">
        <f>ROUND(VLOOKUP(B305,TNTB,I305,0),0)</f>
        <v>0</v>
      </c>
      <c r="H305" s="332">
        <f t="shared" ref="H305:H315" si="21">H304</f>
        <v>0</v>
      </c>
      <c r="I305" s="332">
        <f>'10.TNTB'!$J$3</f>
        <v>9</v>
      </c>
    </row>
    <row r="306" spans="2:9" ht="18" hidden="1">
      <c r="C306" s="328">
        <v>2</v>
      </c>
      <c r="D306" s="329" t="s">
        <v>1946</v>
      </c>
      <c r="E306" s="328" t="s">
        <v>1764</v>
      </c>
      <c r="F306" s="328" t="s">
        <v>2773</v>
      </c>
      <c r="G306" s="329">
        <f>G307</f>
        <v>0</v>
      </c>
      <c r="H306" s="332">
        <f t="shared" si="21"/>
        <v>0</v>
      </c>
    </row>
    <row r="307" spans="2:9" ht="18" hidden="1">
      <c r="B307" s="332" t="str">
        <f>B302</f>
        <v>DTR1P</v>
      </c>
      <c r="C307" s="350"/>
      <c r="D307" s="351" t="s">
        <v>2201</v>
      </c>
      <c r="E307" s="350" t="s">
        <v>2755</v>
      </c>
      <c r="F307" s="350" t="s">
        <v>3381</v>
      </c>
      <c r="G307" s="351">
        <f>ROUND(VLOOKUP(B307,TNTB,I307,0)*1,0)</f>
        <v>0</v>
      </c>
      <c r="H307" s="332">
        <f t="shared" si="21"/>
        <v>0</v>
      </c>
      <c r="I307" s="332">
        <f>'10.TNTB'!$K$3</f>
        <v>10</v>
      </c>
    </row>
    <row r="308" spans="2:9" ht="18" hidden="1">
      <c r="C308" s="328">
        <v>3</v>
      </c>
      <c r="D308" s="329" t="s">
        <v>1855</v>
      </c>
      <c r="E308" s="328" t="s">
        <v>1774</v>
      </c>
      <c r="F308" s="328" t="s">
        <v>2774</v>
      </c>
      <c r="G308" s="329">
        <f>G309</f>
        <v>0</v>
      </c>
      <c r="H308" s="332">
        <f t="shared" si="21"/>
        <v>0</v>
      </c>
    </row>
    <row r="309" spans="2:9" ht="18" hidden="1">
      <c r="B309" s="332" t="str">
        <f>B302</f>
        <v>DTR1P</v>
      </c>
      <c r="C309" s="350"/>
      <c r="D309" s="351" t="s">
        <v>2202</v>
      </c>
      <c r="E309" s="350" t="s">
        <v>2756</v>
      </c>
      <c r="F309" s="350" t="s">
        <v>478</v>
      </c>
      <c r="G309" s="351">
        <f>ROUND(VLOOKUP(B309,TNTB,I309,0),0)</f>
        <v>0</v>
      </c>
      <c r="H309" s="332">
        <f t="shared" si="21"/>
        <v>0</v>
      </c>
      <c r="I309" s="332">
        <f>'10.TNTB'!$L$3</f>
        <v>11</v>
      </c>
    </row>
    <row r="310" spans="2:9" hidden="1">
      <c r="C310" s="346" t="s">
        <v>1663</v>
      </c>
      <c r="D310" s="347" t="s">
        <v>1858</v>
      </c>
      <c r="E310" s="346" t="s">
        <v>1776</v>
      </c>
      <c r="F310" s="346" t="s">
        <v>1859</v>
      </c>
      <c r="G310" s="347">
        <f>ROUND(65%*G306,0)</f>
        <v>0</v>
      </c>
      <c r="H310" s="332">
        <f t="shared" si="21"/>
        <v>0</v>
      </c>
    </row>
    <row r="311" spans="2:9" ht="18" hidden="1">
      <c r="C311" s="346"/>
      <c r="D311" s="347" t="s">
        <v>1861</v>
      </c>
      <c r="E311" s="346" t="s">
        <v>2775</v>
      </c>
      <c r="F311" s="346" t="s">
        <v>2807</v>
      </c>
      <c r="G311" s="347">
        <f>G303+G310</f>
        <v>0</v>
      </c>
      <c r="H311" s="332">
        <f t="shared" si="21"/>
        <v>0</v>
      </c>
    </row>
    <row r="312" spans="2:9" ht="18" hidden="1">
      <c r="C312" s="346" t="s">
        <v>1673</v>
      </c>
      <c r="D312" s="347" t="s">
        <v>1862</v>
      </c>
      <c r="E312" s="346" t="s">
        <v>1863</v>
      </c>
      <c r="F312" s="346" t="s">
        <v>2770</v>
      </c>
      <c r="G312" s="347">
        <f>ROUND(6%*G311,0)</f>
        <v>0</v>
      </c>
      <c r="H312" s="332">
        <f t="shared" si="21"/>
        <v>0</v>
      </c>
    </row>
    <row r="313" spans="2:9" ht="18" hidden="1">
      <c r="B313" s="332" t="str">
        <f>"TN"&amp;B302</f>
        <v>TNDTR1P</v>
      </c>
      <c r="C313" s="346"/>
      <c r="D313" s="347" t="s">
        <v>1865</v>
      </c>
      <c r="E313" s="346" t="s">
        <v>1866</v>
      </c>
      <c r="F313" s="346" t="s">
        <v>2771</v>
      </c>
      <c r="G313" s="347">
        <f>G311+G312</f>
        <v>0</v>
      </c>
      <c r="H313" s="332">
        <f t="shared" si="21"/>
        <v>0</v>
      </c>
    </row>
    <row r="314" spans="2:9" hidden="1">
      <c r="C314" s="346" t="s">
        <v>1717</v>
      </c>
      <c r="D314" s="347" t="s">
        <v>1867</v>
      </c>
      <c r="E314" s="346" t="s">
        <v>1868</v>
      </c>
      <c r="F314" s="346" t="s">
        <v>1869</v>
      </c>
      <c r="G314" s="347">
        <f>ROUND(10%*G313,0)</f>
        <v>0</v>
      </c>
      <c r="H314" s="332">
        <f t="shared" si="21"/>
        <v>0</v>
      </c>
    </row>
    <row r="315" spans="2:9" ht="18" hidden="1">
      <c r="C315" s="346" t="s">
        <v>1729</v>
      </c>
      <c r="D315" s="347" t="s">
        <v>1950</v>
      </c>
      <c r="E315" s="346" t="s">
        <v>2765</v>
      </c>
      <c r="F315" s="346" t="s">
        <v>1871</v>
      </c>
      <c r="G315" s="347">
        <f>G313+G314</f>
        <v>0</v>
      </c>
      <c r="H315" s="332">
        <f t="shared" si="21"/>
        <v>0</v>
      </c>
    </row>
    <row r="316" spans="2:9" hidden="1">
      <c r="B316" s="332" t="s">
        <v>2468</v>
      </c>
      <c r="C316" s="376"/>
      <c r="D316" s="377" t="str">
        <f>VLOOKUP(B316,TNTB,'10.TNTB'!$D$3,0)</f>
        <v xml:space="preserve"> Trạm NC từ 50kVA lên 3x50kVA</v>
      </c>
      <c r="E316" s="376"/>
      <c r="F316" s="377"/>
      <c r="G316" s="377"/>
      <c r="H316" s="332">
        <f>H317</f>
        <v>0</v>
      </c>
    </row>
    <row r="317" spans="2:9" hidden="1">
      <c r="C317" s="346" t="s">
        <v>1631</v>
      </c>
      <c r="D317" s="347" t="s">
        <v>1845</v>
      </c>
      <c r="E317" s="346" t="s">
        <v>1846</v>
      </c>
      <c r="F317" s="346" t="s">
        <v>1875</v>
      </c>
      <c r="G317" s="347">
        <f>G318+G320+G322</f>
        <v>0</v>
      </c>
      <c r="H317" s="332">
        <f>IF(G317&lt;&gt;0,1,)</f>
        <v>0</v>
      </c>
    </row>
    <row r="318" spans="2:9" ht="18" hidden="1">
      <c r="C318" s="328">
        <v>1</v>
      </c>
      <c r="D318" s="329" t="s">
        <v>1847</v>
      </c>
      <c r="E318" s="328" t="s">
        <v>1765</v>
      </c>
      <c r="F318" s="328" t="s">
        <v>2772</v>
      </c>
      <c r="G318" s="329">
        <f>G319</f>
        <v>0</v>
      </c>
      <c r="H318" s="332">
        <f>H317</f>
        <v>0</v>
      </c>
    </row>
    <row r="319" spans="2:9" ht="18" hidden="1">
      <c r="B319" s="332" t="str">
        <f>B316</f>
        <v>TRNC3X50</v>
      </c>
      <c r="C319" s="350"/>
      <c r="D319" s="351" t="s">
        <v>2200</v>
      </c>
      <c r="E319" s="350" t="s">
        <v>2754</v>
      </c>
      <c r="F319" s="350" t="s">
        <v>1849</v>
      </c>
      <c r="G319" s="351">
        <f>ROUND(VLOOKUP(B319,TNTB,I319,0),0)</f>
        <v>0</v>
      </c>
      <c r="H319" s="332">
        <f t="shared" ref="H319:H329" si="22">H318</f>
        <v>0</v>
      </c>
      <c r="I319" s="332">
        <f>'10.TNTB'!$J$3</f>
        <v>9</v>
      </c>
    </row>
    <row r="320" spans="2:9" ht="18" hidden="1">
      <c r="C320" s="328">
        <v>2</v>
      </c>
      <c r="D320" s="329" t="s">
        <v>1946</v>
      </c>
      <c r="E320" s="328" t="s">
        <v>1764</v>
      </c>
      <c r="F320" s="328" t="s">
        <v>2773</v>
      </c>
      <c r="G320" s="329">
        <f>G321</f>
        <v>0</v>
      </c>
      <c r="H320" s="332">
        <f t="shared" si="22"/>
        <v>0</v>
      </c>
    </row>
    <row r="321" spans="2:9" ht="18" hidden="1">
      <c r="B321" s="332" t="str">
        <f>B316</f>
        <v>TRNC3X50</v>
      </c>
      <c r="C321" s="350"/>
      <c r="D321" s="351" t="s">
        <v>2201</v>
      </c>
      <c r="E321" s="350" t="s">
        <v>2755</v>
      </c>
      <c r="F321" s="350" t="s">
        <v>3270</v>
      </c>
      <c r="G321" s="351">
        <f>ROUND(VLOOKUP(B321,TNTB,I321,0)*0.9,0)</f>
        <v>0</v>
      </c>
      <c r="H321" s="332">
        <f t="shared" si="22"/>
        <v>0</v>
      </c>
      <c r="I321" s="332">
        <f>'10.TNTB'!$K$3</f>
        <v>10</v>
      </c>
    </row>
    <row r="322" spans="2:9" ht="18" hidden="1">
      <c r="C322" s="328">
        <v>3</v>
      </c>
      <c r="D322" s="329" t="s">
        <v>1855</v>
      </c>
      <c r="E322" s="328" t="s">
        <v>1774</v>
      </c>
      <c r="F322" s="328" t="s">
        <v>2774</v>
      </c>
      <c r="G322" s="329">
        <f>G323</f>
        <v>0</v>
      </c>
      <c r="H322" s="332">
        <f t="shared" si="22"/>
        <v>0</v>
      </c>
    </row>
    <row r="323" spans="2:9" ht="18" hidden="1">
      <c r="B323" s="332" t="str">
        <f>B316</f>
        <v>TRNC3X50</v>
      </c>
      <c r="C323" s="350"/>
      <c r="D323" s="351" t="s">
        <v>2202</v>
      </c>
      <c r="E323" s="350" t="s">
        <v>2756</v>
      </c>
      <c r="F323" s="350" t="s">
        <v>478</v>
      </c>
      <c r="G323" s="351">
        <f>ROUND(VLOOKUP(B323,TNTB,I323,0),0)</f>
        <v>0</v>
      </c>
      <c r="H323" s="332">
        <f t="shared" si="22"/>
        <v>0</v>
      </c>
      <c r="I323" s="332">
        <f>'10.TNTB'!$L$3</f>
        <v>11</v>
      </c>
    </row>
    <row r="324" spans="2:9" hidden="1">
      <c r="C324" s="346" t="s">
        <v>1663</v>
      </c>
      <c r="D324" s="347" t="s">
        <v>1858</v>
      </c>
      <c r="E324" s="346" t="s">
        <v>1776</v>
      </c>
      <c r="F324" s="346" t="s">
        <v>1859</v>
      </c>
      <c r="G324" s="347">
        <f>ROUND(65%*G320,0)</f>
        <v>0</v>
      </c>
      <c r="H324" s="332">
        <f t="shared" si="22"/>
        <v>0</v>
      </c>
    </row>
    <row r="325" spans="2:9" ht="18" hidden="1">
      <c r="C325" s="346"/>
      <c r="D325" s="347" t="s">
        <v>1861</v>
      </c>
      <c r="E325" s="346" t="s">
        <v>2775</v>
      </c>
      <c r="F325" s="346" t="s">
        <v>2807</v>
      </c>
      <c r="G325" s="347">
        <f>G317+G324</f>
        <v>0</v>
      </c>
      <c r="H325" s="332">
        <f t="shared" si="22"/>
        <v>0</v>
      </c>
    </row>
    <row r="326" spans="2:9" ht="18" hidden="1">
      <c r="C326" s="346" t="s">
        <v>1673</v>
      </c>
      <c r="D326" s="347" t="s">
        <v>1862</v>
      </c>
      <c r="E326" s="346" t="s">
        <v>1863</v>
      </c>
      <c r="F326" s="346" t="s">
        <v>2770</v>
      </c>
      <c r="G326" s="347">
        <f>ROUND(6%*G325,0)</f>
        <v>0</v>
      </c>
      <c r="H326" s="332">
        <f t="shared" si="22"/>
        <v>0</v>
      </c>
    </row>
    <row r="327" spans="2:9" ht="18" hidden="1">
      <c r="B327" s="332" t="str">
        <f>"TN"&amp;B316</f>
        <v>TNTRNC3X50</v>
      </c>
      <c r="C327" s="346"/>
      <c r="D327" s="347" t="s">
        <v>1865</v>
      </c>
      <c r="E327" s="346" t="s">
        <v>1866</v>
      </c>
      <c r="F327" s="346" t="s">
        <v>2771</v>
      </c>
      <c r="G327" s="347">
        <f>G325+G326</f>
        <v>0</v>
      </c>
      <c r="H327" s="332">
        <f t="shared" si="22"/>
        <v>0</v>
      </c>
    </row>
    <row r="328" spans="2:9" hidden="1">
      <c r="C328" s="346" t="s">
        <v>1717</v>
      </c>
      <c r="D328" s="347" t="s">
        <v>1867</v>
      </c>
      <c r="E328" s="346" t="s">
        <v>1868</v>
      </c>
      <c r="F328" s="346" t="s">
        <v>1869</v>
      </c>
      <c r="G328" s="347">
        <f>ROUND(10%*G327,0)</f>
        <v>0</v>
      </c>
      <c r="H328" s="332">
        <f t="shared" si="22"/>
        <v>0</v>
      </c>
    </row>
    <row r="329" spans="2:9" ht="18" hidden="1">
      <c r="C329" s="346" t="s">
        <v>1729</v>
      </c>
      <c r="D329" s="347" t="s">
        <v>1950</v>
      </c>
      <c r="E329" s="346" t="s">
        <v>2765</v>
      </c>
      <c r="F329" s="346" t="s">
        <v>1871</v>
      </c>
      <c r="G329" s="347">
        <f>G327+G328</f>
        <v>0</v>
      </c>
      <c r="H329" s="332">
        <f t="shared" si="22"/>
        <v>0</v>
      </c>
    </row>
  </sheetData>
  <autoFilter ref="H5:H329" xr:uid="{00000000-0009-0000-0000-00000B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E340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2.109375" style="332" customWidth="1"/>
    <col min="2" max="2" width="14.109375" style="332" customWidth="1"/>
    <col min="3" max="3" width="11.5546875" style="332" customWidth="1"/>
    <col min="4" max="4" width="40" style="332" bestFit="1" customWidth="1"/>
    <col min="5" max="5" width="6.44140625" style="332" customWidth="1"/>
    <col min="6" max="6" width="10.33203125" style="332" customWidth="1"/>
    <col min="7" max="12" width="12" style="332" customWidth="1"/>
    <col min="13" max="13" width="9.33203125" style="332" bestFit="1" customWidth="1"/>
    <col min="14" max="14" width="9.109375" style="332"/>
    <col min="15" max="15" width="9.33203125" style="287" bestFit="1" customWidth="1"/>
    <col min="16" max="16" width="9.109375" style="287"/>
    <col min="17" max="17" width="9.33203125" style="287" bestFit="1" customWidth="1"/>
    <col min="18" max="18" width="9.109375" style="287"/>
    <col min="19" max="19" width="9.33203125" style="287" bestFit="1" customWidth="1"/>
    <col min="20" max="20" width="9.109375" style="332"/>
    <col min="21" max="21" width="14.109375" style="332" customWidth="1"/>
    <col min="22" max="22" width="25.33203125" style="332" customWidth="1"/>
    <col min="23" max="23" width="9.33203125" style="332" bestFit="1" customWidth="1"/>
    <col min="24" max="24" width="9.33203125" style="287" bestFit="1" customWidth="1"/>
    <col min="25" max="26" width="9.109375" style="332"/>
    <col min="27" max="27" width="24.33203125" style="332" bestFit="1" customWidth="1"/>
    <col min="28" max="28" width="9.33203125" style="332" bestFit="1" customWidth="1"/>
    <col min="29" max="29" width="9.33203125" style="287" bestFit="1" customWidth="1"/>
    <col min="30" max="30" width="11.5546875" style="332" customWidth="1"/>
    <col min="31" max="31" width="10.5546875" style="332" customWidth="1"/>
    <col min="32" max="16384" width="9.109375" style="332"/>
  </cols>
  <sheetData>
    <row r="1" spans="1:29">
      <c r="C1" s="332" t="s">
        <v>1623</v>
      </c>
    </row>
    <row r="3" spans="1:29">
      <c r="B3" s="333">
        <v>1</v>
      </c>
      <c r="C3" s="333">
        <v>2</v>
      </c>
      <c r="D3" s="333">
        <v>3</v>
      </c>
      <c r="E3" s="333">
        <v>4</v>
      </c>
      <c r="F3" s="333">
        <v>5</v>
      </c>
      <c r="G3" s="333">
        <v>6</v>
      </c>
      <c r="H3" s="333">
        <v>7</v>
      </c>
      <c r="I3" s="333">
        <v>8</v>
      </c>
      <c r="J3" s="333">
        <v>9</v>
      </c>
      <c r="K3" s="333">
        <v>10</v>
      </c>
      <c r="L3" s="333">
        <v>11</v>
      </c>
    </row>
    <row r="4" spans="1:29" s="334" customFormat="1">
      <c r="C4" s="336" t="s">
        <v>2124</v>
      </c>
      <c r="D4" s="336"/>
      <c r="E4" s="336"/>
      <c r="F4" s="336"/>
      <c r="G4" s="336"/>
      <c r="H4" s="336"/>
      <c r="I4" s="336"/>
      <c r="J4" s="336"/>
      <c r="K4" s="336"/>
      <c r="L4" s="336"/>
      <c r="O4" s="459"/>
      <c r="P4" s="459"/>
      <c r="Q4" s="459"/>
      <c r="R4" s="459"/>
      <c r="S4" s="459"/>
      <c r="X4" s="459"/>
      <c r="AC4" s="459"/>
    </row>
    <row r="6" spans="1:29" s="353" customFormat="1">
      <c r="C6" s="1014" t="s">
        <v>1893</v>
      </c>
      <c r="D6" s="1014" t="s">
        <v>2125</v>
      </c>
      <c r="E6" s="1014" t="s">
        <v>1747</v>
      </c>
      <c r="F6" s="1014" t="s">
        <v>2152</v>
      </c>
      <c r="G6" s="1016" t="s">
        <v>1626</v>
      </c>
      <c r="H6" s="1018"/>
      <c r="I6" s="1017"/>
      <c r="J6" s="1016" t="s">
        <v>1627</v>
      </c>
      <c r="K6" s="1018"/>
      <c r="L6" s="1017"/>
      <c r="O6" s="460"/>
      <c r="P6" s="460"/>
      <c r="Q6" s="460"/>
      <c r="R6" s="460"/>
      <c r="S6" s="460"/>
      <c r="X6" s="460"/>
      <c r="AC6" s="460"/>
    </row>
    <row r="7" spans="1:29" s="353" customFormat="1">
      <c r="C7" s="1015"/>
      <c r="D7" s="1015"/>
      <c r="E7" s="1015"/>
      <c r="F7" s="1015"/>
      <c r="G7" s="338" t="s">
        <v>1897</v>
      </c>
      <c r="H7" s="338" t="s">
        <v>1630</v>
      </c>
      <c r="I7" s="338" t="s">
        <v>2126</v>
      </c>
      <c r="J7" s="338" t="s">
        <v>1897</v>
      </c>
      <c r="K7" s="338" t="s">
        <v>1630</v>
      </c>
      <c r="L7" s="338" t="s">
        <v>2126</v>
      </c>
      <c r="O7" s="460"/>
      <c r="P7" s="460"/>
      <c r="Q7" s="460"/>
      <c r="R7" s="460"/>
      <c r="S7" s="460"/>
      <c r="X7" s="460"/>
      <c r="AC7" s="460"/>
    </row>
    <row r="8" spans="1:29">
      <c r="C8" s="324" t="s">
        <v>1765</v>
      </c>
      <c r="D8" s="324" t="s">
        <v>2121</v>
      </c>
      <c r="E8" s="324"/>
      <c r="F8" s="324"/>
      <c r="G8" s="324"/>
      <c r="H8" s="324"/>
      <c r="I8" s="324"/>
      <c r="J8" s="324"/>
      <c r="K8" s="324"/>
      <c r="L8" s="324"/>
      <c r="M8" s="333">
        <f>IF(SUM(M9:M28)&lt;&gt;0,1,)</f>
        <v>1</v>
      </c>
    </row>
    <row r="9" spans="1:29">
      <c r="B9" s="332" t="s">
        <v>1844</v>
      </c>
      <c r="C9" s="344">
        <v>1</v>
      </c>
      <c r="D9" s="345" t="str">
        <f>VLOOKUP(B9,XLDD,'3.XL-DD'!$D$2,0)</f>
        <v>Phần đường dây trung thế</v>
      </c>
      <c r="E9" s="344"/>
      <c r="F9" s="345"/>
      <c r="G9" s="345"/>
      <c r="H9" s="345"/>
      <c r="I9" s="345"/>
      <c r="J9" s="345">
        <f>SUM(J10:J21)</f>
        <v>87286</v>
      </c>
      <c r="K9" s="345">
        <f>SUM(K10:K21)</f>
        <v>4078632</v>
      </c>
      <c r="L9" s="345">
        <f>SUM(L10:L21)</f>
        <v>595940</v>
      </c>
      <c r="M9" s="333">
        <f>IF(SUM(J9:L9)&lt;&gt;0,1,)</f>
        <v>1</v>
      </c>
    </row>
    <row r="10" spans="1:29">
      <c r="A10" s="332" t="s">
        <v>1444</v>
      </c>
      <c r="B10" s="332" t="s">
        <v>2188</v>
      </c>
      <c r="C10" s="328" t="s">
        <v>2127</v>
      </c>
      <c r="D10" s="329" t="s">
        <v>2128</v>
      </c>
      <c r="E10" s="328" t="s">
        <v>11</v>
      </c>
      <c r="F10" s="329">
        <f>PP3P!DI361</f>
        <v>34</v>
      </c>
      <c r="G10" s="329">
        <f t="shared" ref="G10:G15" si="0">ROUND(VLOOKUP(B10,DGTN,$Z$278,0)*S10,0)</f>
        <v>520</v>
      </c>
      <c r="H10" s="515">
        <f t="shared" ref="H10:H21" si="1">ROUND((VLOOKUP(N10,DGNC,5,0)*O10+VLOOKUP(P10,DGNC,5,0)*Q10)*S10,0)</f>
        <v>45165</v>
      </c>
      <c r="I10" s="329">
        <f t="shared" ref="I10:I15" si="2">ROUND(VLOOKUP(B10,DGTN,$AE$278,0)*S10,0)</f>
        <v>1847</v>
      </c>
      <c r="J10" s="329">
        <f>$F10*G10</f>
        <v>17680</v>
      </c>
      <c r="K10" s="329">
        <f>$F10*H10</f>
        <v>1535610</v>
      </c>
      <c r="L10" s="329">
        <f>$F10*I10</f>
        <v>62798</v>
      </c>
      <c r="M10" s="333">
        <f t="shared" ref="M10:M90" si="3">IF(SUM(J10:L10)&lt;&gt;0,1,)</f>
        <v>1</v>
      </c>
      <c r="N10" s="332" t="s">
        <v>1330</v>
      </c>
      <c r="O10" s="287">
        <v>2.89</v>
      </c>
      <c r="P10" s="287" t="s">
        <v>379</v>
      </c>
      <c r="Q10" s="287">
        <v>1.24</v>
      </c>
      <c r="R10" s="287" t="s">
        <v>2129</v>
      </c>
      <c r="S10" s="287">
        <f>0.4*0.1</f>
        <v>4.0000000000000008E-2</v>
      </c>
      <c r="T10" s="286">
        <v>3.3333333333333333E-2</v>
      </c>
    </row>
    <row r="11" spans="1:29" hidden="1">
      <c r="A11" s="332" t="s">
        <v>1443</v>
      </c>
      <c r="B11" s="332" t="s">
        <v>2188</v>
      </c>
      <c r="C11" s="328" t="s">
        <v>2127</v>
      </c>
      <c r="D11" s="329" t="s">
        <v>2130</v>
      </c>
      <c r="E11" s="328" t="s">
        <v>11</v>
      </c>
      <c r="F11" s="329"/>
      <c r="G11" s="329">
        <f t="shared" si="0"/>
        <v>434</v>
      </c>
      <c r="H11" s="329">
        <f t="shared" si="1"/>
        <v>37637</v>
      </c>
      <c r="I11" s="329">
        <f t="shared" si="2"/>
        <v>1539</v>
      </c>
      <c r="J11" s="329">
        <f t="shared" ref="J11:J21" si="4">$F11*G11</f>
        <v>0</v>
      </c>
      <c r="K11" s="329">
        <f t="shared" ref="K11:K21" si="5">$F11*H11</f>
        <v>0</v>
      </c>
      <c r="L11" s="329">
        <f t="shared" ref="L11:L21" si="6">$F11*I11</f>
        <v>0</v>
      </c>
      <c r="M11" s="333">
        <f t="shared" si="3"/>
        <v>0</v>
      </c>
      <c r="N11" s="332" t="s">
        <v>1330</v>
      </c>
      <c r="O11" s="287">
        <v>2.89</v>
      </c>
      <c r="P11" s="287" t="s">
        <v>379</v>
      </c>
      <c r="Q11" s="287">
        <v>1.24</v>
      </c>
      <c r="R11" s="287" t="s">
        <v>2129</v>
      </c>
      <c r="S11" s="287">
        <v>3.3333333333333333E-2</v>
      </c>
      <c r="X11" s="332"/>
      <c r="AC11" s="332"/>
    </row>
    <row r="12" spans="1:29" hidden="1">
      <c r="A12" s="332" t="s">
        <v>1444</v>
      </c>
      <c r="B12" s="332" t="s">
        <v>2188</v>
      </c>
      <c r="C12" s="328" t="s">
        <v>2127</v>
      </c>
      <c r="D12" s="329" t="s">
        <v>2128</v>
      </c>
      <c r="E12" s="328" t="s">
        <v>11</v>
      </c>
      <c r="F12" s="329"/>
      <c r="G12" s="329">
        <f t="shared" si="0"/>
        <v>434</v>
      </c>
      <c r="H12" s="329">
        <f t="shared" si="1"/>
        <v>37637</v>
      </c>
      <c r="I12" s="329">
        <f t="shared" si="2"/>
        <v>1539</v>
      </c>
      <c r="J12" s="329">
        <f t="shared" si="4"/>
        <v>0</v>
      </c>
      <c r="K12" s="329">
        <f t="shared" si="5"/>
        <v>0</v>
      </c>
      <c r="L12" s="329">
        <f t="shared" si="6"/>
        <v>0</v>
      </c>
      <c r="M12" s="333">
        <f t="shared" si="3"/>
        <v>0</v>
      </c>
      <c r="N12" s="332" t="s">
        <v>1330</v>
      </c>
      <c r="O12" s="287">
        <v>2.89</v>
      </c>
      <c r="P12" s="287" t="s">
        <v>379</v>
      </c>
      <c r="Q12" s="287">
        <v>1.24</v>
      </c>
      <c r="R12" s="287" t="s">
        <v>2129</v>
      </c>
      <c r="S12" s="287">
        <v>3.3333333333333333E-2</v>
      </c>
      <c r="X12" s="332"/>
      <c r="AC12" s="332"/>
    </row>
    <row r="13" spans="1:29" hidden="1">
      <c r="A13" s="332" t="s">
        <v>992</v>
      </c>
      <c r="B13" s="332" t="s">
        <v>2190</v>
      </c>
      <c r="C13" s="328" t="s">
        <v>2131</v>
      </c>
      <c r="D13" s="329" t="s">
        <v>2421</v>
      </c>
      <c r="E13" s="328" t="s">
        <v>11</v>
      </c>
      <c r="F13" s="329"/>
      <c r="G13" s="329">
        <f t="shared" si="0"/>
        <v>3562</v>
      </c>
      <c r="H13" s="329">
        <f t="shared" si="1"/>
        <v>273830</v>
      </c>
      <c r="I13" s="329">
        <f t="shared" si="2"/>
        <v>44070</v>
      </c>
      <c r="J13" s="329">
        <f t="shared" si="4"/>
        <v>0</v>
      </c>
      <c r="K13" s="329">
        <f t="shared" si="5"/>
        <v>0</v>
      </c>
      <c r="L13" s="329">
        <f t="shared" si="6"/>
        <v>0</v>
      </c>
      <c r="M13" s="333">
        <f t="shared" si="3"/>
        <v>0</v>
      </c>
      <c r="N13" s="332" t="s">
        <v>1328</v>
      </c>
      <c r="O13" s="287">
        <v>0.79200000000000004</v>
      </c>
      <c r="P13" s="287" t="s">
        <v>12</v>
      </c>
      <c r="Q13" s="287">
        <v>0.33600000000000002</v>
      </c>
      <c r="R13" s="287" t="s">
        <v>2129</v>
      </c>
      <c r="S13" s="287">
        <v>1</v>
      </c>
      <c r="X13" s="332"/>
      <c r="AC13" s="332"/>
    </row>
    <row r="14" spans="1:29" hidden="1">
      <c r="A14" s="332" t="s">
        <v>995</v>
      </c>
      <c r="B14" s="332" t="s">
        <v>2190</v>
      </c>
      <c r="C14" s="328" t="s">
        <v>2131</v>
      </c>
      <c r="D14" s="329" t="s">
        <v>2423</v>
      </c>
      <c r="E14" s="328" t="s">
        <v>11</v>
      </c>
      <c r="F14" s="329"/>
      <c r="G14" s="329">
        <f t="shared" si="0"/>
        <v>3562</v>
      </c>
      <c r="H14" s="329">
        <f t="shared" si="1"/>
        <v>273830</v>
      </c>
      <c r="I14" s="329">
        <f t="shared" si="2"/>
        <v>44070</v>
      </c>
      <c r="J14" s="329">
        <f t="shared" si="4"/>
        <v>0</v>
      </c>
      <c r="K14" s="329">
        <f t="shared" si="5"/>
        <v>0</v>
      </c>
      <c r="L14" s="329">
        <f t="shared" si="6"/>
        <v>0</v>
      </c>
      <c r="M14" s="333">
        <f t="shared" si="3"/>
        <v>0</v>
      </c>
      <c r="N14" s="332" t="s">
        <v>1328</v>
      </c>
      <c r="O14" s="287">
        <v>0.79200000000000004</v>
      </c>
      <c r="P14" s="287" t="s">
        <v>12</v>
      </c>
      <c r="Q14" s="287">
        <v>0.33600000000000002</v>
      </c>
      <c r="R14" s="287" t="s">
        <v>2129</v>
      </c>
      <c r="S14" s="287">
        <v>1</v>
      </c>
      <c r="X14" s="332"/>
      <c r="AC14" s="332"/>
    </row>
    <row r="15" spans="1:29" hidden="1">
      <c r="A15" s="332" t="s">
        <v>996</v>
      </c>
      <c r="B15" s="332" t="s">
        <v>2190</v>
      </c>
      <c r="C15" s="328" t="s">
        <v>2131</v>
      </c>
      <c r="D15" s="329" t="s">
        <v>2424</v>
      </c>
      <c r="E15" s="328" t="s">
        <v>11</v>
      </c>
      <c r="F15" s="329"/>
      <c r="G15" s="329">
        <f t="shared" si="0"/>
        <v>3562</v>
      </c>
      <c r="H15" s="329">
        <f t="shared" si="1"/>
        <v>273830</v>
      </c>
      <c r="I15" s="329">
        <f t="shared" si="2"/>
        <v>44070</v>
      </c>
      <c r="J15" s="329">
        <f t="shared" si="4"/>
        <v>0</v>
      </c>
      <c r="K15" s="329">
        <f t="shared" si="5"/>
        <v>0</v>
      </c>
      <c r="L15" s="329">
        <f t="shared" si="6"/>
        <v>0</v>
      </c>
      <c r="M15" s="333">
        <f t="shared" si="3"/>
        <v>0</v>
      </c>
      <c r="N15" s="332" t="s">
        <v>1328</v>
      </c>
      <c r="O15" s="287">
        <v>0.79200000000000004</v>
      </c>
      <c r="P15" s="287" t="s">
        <v>12</v>
      </c>
      <c r="Q15" s="287">
        <v>0.33600000000000002</v>
      </c>
      <c r="R15" s="287" t="s">
        <v>2129</v>
      </c>
      <c r="S15" s="287">
        <v>1</v>
      </c>
      <c r="X15" s="332"/>
      <c r="AC15" s="332"/>
    </row>
    <row r="16" spans="1:29" hidden="1">
      <c r="B16" s="332" t="s">
        <v>2197</v>
      </c>
      <c r="C16" s="328" t="s">
        <v>2132</v>
      </c>
      <c r="D16" s="329" t="s">
        <v>2133</v>
      </c>
      <c r="E16" s="328" t="s">
        <v>2134</v>
      </c>
      <c r="F16" s="329"/>
      <c r="G16" s="329"/>
      <c r="H16" s="329">
        <f t="shared" si="1"/>
        <v>142943</v>
      </c>
      <c r="I16" s="329"/>
      <c r="J16" s="329">
        <f t="shared" si="4"/>
        <v>0</v>
      </c>
      <c r="K16" s="329">
        <f t="shared" si="5"/>
        <v>0</v>
      </c>
      <c r="L16" s="329">
        <f t="shared" si="6"/>
        <v>0</v>
      </c>
      <c r="M16" s="333">
        <f t="shared" si="3"/>
        <v>0</v>
      </c>
      <c r="N16" s="332" t="s">
        <v>1328</v>
      </c>
      <c r="O16" s="287">
        <v>0.38</v>
      </c>
      <c r="P16" s="287" t="s">
        <v>12</v>
      </c>
      <c r="Q16" s="287">
        <v>0.21</v>
      </c>
      <c r="R16" s="287" t="s">
        <v>2129</v>
      </c>
      <c r="S16" s="287">
        <v>1</v>
      </c>
      <c r="X16" s="332"/>
      <c r="AC16" s="332"/>
    </row>
    <row r="17" spans="1:29">
      <c r="A17" s="332" t="s">
        <v>943</v>
      </c>
      <c r="B17" s="332" t="s">
        <v>2189</v>
      </c>
      <c r="C17" s="328" t="s">
        <v>2135</v>
      </c>
      <c r="D17" s="329" t="s">
        <v>945</v>
      </c>
      <c r="E17" s="328" t="s">
        <v>11</v>
      </c>
      <c r="F17" s="329">
        <f>PP3P!DK361</f>
        <v>27</v>
      </c>
      <c r="G17" s="329">
        <f>ROUND(VLOOKUP(B17,DGTN,$Z$278,0)*S17,0)</f>
        <v>2578</v>
      </c>
      <c r="H17" s="329">
        <f t="shared" si="1"/>
        <v>94186</v>
      </c>
      <c r="I17" s="329">
        <f>ROUND(VLOOKUP(B17,DGTN,$AE$278,0)*S17,0)</f>
        <v>19746</v>
      </c>
      <c r="J17" s="329">
        <f t="shared" si="4"/>
        <v>69606</v>
      </c>
      <c r="K17" s="329">
        <f t="shared" si="5"/>
        <v>2543022</v>
      </c>
      <c r="L17" s="329">
        <f t="shared" si="6"/>
        <v>533142</v>
      </c>
      <c r="M17" s="333">
        <f t="shared" si="3"/>
        <v>1</v>
      </c>
      <c r="N17" s="332" t="s">
        <v>1330</v>
      </c>
      <c r="O17" s="287">
        <v>0.28000000000000003</v>
      </c>
      <c r="P17" s="287" t="s">
        <v>379</v>
      </c>
      <c r="Q17" s="287">
        <v>0.15</v>
      </c>
      <c r="R17" s="287" t="s">
        <v>2129</v>
      </c>
      <c r="S17" s="287">
        <v>0.8</v>
      </c>
      <c r="X17" s="332"/>
      <c r="AC17" s="332"/>
    </row>
    <row r="18" spans="1:29" hidden="1">
      <c r="A18" s="332" t="s">
        <v>940</v>
      </c>
      <c r="B18" s="332" t="s">
        <v>2189</v>
      </c>
      <c r="C18" s="328" t="s">
        <v>2135</v>
      </c>
      <c r="D18" s="329" t="s">
        <v>942</v>
      </c>
      <c r="E18" s="328" t="s">
        <v>11</v>
      </c>
      <c r="F18" s="329"/>
      <c r="G18" s="329">
        <f>ROUND(VLOOKUP(B18,DGTN,$Z$278,0)*S18,0)</f>
        <v>2578</v>
      </c>
      <c r="H18" s="329">
        <f t="shared" si="1"/>
        <v>94186</v>
      </c>
      <c r="I18" s="329">
        <f>ROUND(VLOOKUP(B18,DGTN,$AE$278,0)*S18,0)</f>
        <v>19746</v>
      </c>
      <c r="J18" s="329">
        <f t="shared" si="4"/>
        <v>0</v>
      </c>
      <c r="K18" s="329">
        <f t="shared" si="5"/>
        <v>0</v>
      </c>
      <c r="L18" s="329">
        <f t="shared" si="6"/>
        <v>0</v>
      </c>
      <c r="M18" s="333">
        <f t="shared" si="3"/>
        <v>0</v>
      </c>
      <c r="N18" s="332" t="s">
        <v>1330</v>
      </c>
      <c r="O18" s="287">
        <v>0.28000000000000003</v>
      </c>
      <c r="P18" s="287" t="s">
        <v>379</v>
      </c>
      <c r="Q18" s="287">
        <v>0.15</v>
      </c>
      <c r="R18" s="287" t="s">
        <v>2129</v>
      </c>
      <c r="S18" s="287">
        <v>0.8</v>
      </c>
      <c r="X18" s="332"/>
      <c r="AC18" s="332"/>
    </row>
    <row r="19" spans="1:29" hidden="1">
      <c r="B19" s="332" t="s">
        <v>2194</v>
      </c>
      <c r="C19" s="328" t="s">
        <v>2136</v>
      </c>
      <c r="D19" s="329" t="s">
        <v>2137</v>
      </c>
      <c r="E19" s="328" t="s">
        <v>1912</v>
      </c>
      <c r="F19" s="329"/>
      <c r="G19" s="329">
        <f>ROUND(VLOOKUP(B19,DGTN,$Z$278,0)*S19,0)</f>
        <v>385</v>
      </c>
      <c r="H19" s="329">
        <f t="shared" si="1"/>
        <v>3276</v>
      </c>
      <c r="I19" s="329">
        <f>ROUND(VLOOKUP(B19,DGTN,$AE$278,0)*S19,0)</f>
        <v>1162</v>
      </c>
      <c r="J19" s="329">
        <f t="shared" si="4"/>
        <v>0</v>
      </c>
      <c r="K19" s="329">
        <f t="shared" si="5"/>
        <v>0</v>
      </c>
      <c r="L19" s="329">
        <f t="shared" si="6"/>
        <v>0</v>
      </c>
      <c r="M19" s="333">
        <f t="shared" si="3"/>
        <v>0</v>
      </c>
      <c r="N19" s="332" t="s">
        <v>1330</v>
      </c>
      <c r="O19" s="287">
        <v>0.03</v>
      </c>
      <c r="P19" s="287" t="s">
        <v>379</v>
      </c>
      <c r="Q19" s="287">
        <v>0.01</v>
      </c>
      <c r="R19" s="287" t="s">
        <v>2129</v>
      </c>
      <c r="S19" s="287">
        <v>0.3</v>
      </c>
      <c r="X19" s="332"/>
      <c r="AC19" s="332"/>
    </row>
    <row r="20" spans="1:29" hidden="1">
      <c r="B20" s="332" t="s">
        <v>2195</v>
      </c>
      <c r="C20" s="328" t="s">
        <v>2138</v>
      </c>
      <c r="D20" s="329" t="s">
        <v>2139</v>
      </c>
      <c r="E20" s="328" t="s">
        <v>1912</v>
      </c>
      <c r="F20" s="329"/>
      <c r="G20" s="329">
        <f>ROUND(VLOOKUP(B20,DGTN,$Z$278,0)*S20,0)</f>
        <v>138</v>
      </c>
      <c r="H20" s="329">
        <f t="shared" si="1"/>
        <v>1650</v>
      </c>
      <c r="I20" s="329">
        <f>ROUND(VLOOKUP(B20,DGTN,$AE$278,0)*S20,0)</f>
        <v>604</v>
      </c>
      <c r="J20" s="329">
        <f t="shared" si="4"/>
        <v>0</v>
      </c>
      <c r="K20" s="329">
        <f t="shared" si="5"/>
        <v>0</v>
      </c>
      <c r="L20" s="329">
        <f t="shared" si="6"/>
        <v>0</v>
      </c>
      <c r="M20" s="333">
        <f t="shared" si="3"/>
        <v>0</v>
      </c>
      <c r="N20" s="332" t="s">
        <v>1330</v>
      </c>
      <c r="O20" s="287">
        <v>0.01</v>
      </c>
      <c r="P20" s="287" t="s">
        <v>379</v>
      </c>
      <c r="Q20" s="287">
        <v>0.01</v>
      </c>
      <c r="R20" s="287" t="s">
        <v>2129</v>
      </c>
      <c r="S20" s="287">
        <v>0.3</v>
      </c>
      <c r="X20" s="332"/>
      <c r="AC20" s="332"/>
    </row>
    <row r="21" spans="1:29" hidden="1">
      <c r="B21" s="332" t="s">
        <v>2198</v>
      </c>
      <c r="C21" s="328" t="s">
        <v>2140</v>
      </c>
      <c r="D21" s="329" t="s">
        <v>2141</v>
      </c>
      <c r="E21" s="328" t="s">
        <v>2142</v>
      </c>
      <c r="F21" s="329"/>
      <c r="G21" s="329"/>
      <c r="H21" s="329">
        <f t="shared" si="1"/>
        <v>80840</v>
      </c>
      <c r="I21" s="329"/>
      <c r="J21" s="329">
        <f t="shared" si="4"/>
        <v>0</v>
      </c>
      <c r="K21" s="329">
        <f t="shared" si="5"/>
        <v>0</v>
      </c>
      <c r="L21" s="329">
        <f t="shared" si="6"/>
        <v>0</v>
      </c>
      <c r="M21" s="333">
        <f t="shared" si="3"/>
        <v>0</v>
      </c>
      <c r="N21" s="332" t="s">
        <v>1328</v>
      </c>
      <c r="O21" s="287">
        <v>0.78</v>
      </c>
      <c r="P21" s="287" t="s">
        <v>12</v>
      </c>
      <c r="Q21" s="287">
        <v>0.33</v>
      </c>
      <c r="R21" s="287" t="s">
        <v>2129</v>
      </c>
      <c r="S21" s="287">
        <v>0.3</v>
      </c>
      <c r="X21" s="332"/>
      <c r="AC21" s="332"/>
    </row>
    <row r="22" spans="1:29">
      <c r="B22" s="332" t="s">
        <v>1873</v>
      </c>
      <c r="C22" s="344">
        <v>2</v>
      </c>
      <c r="D22" s="345" t="str">
        <f>VLOOKUP(B22,XLDD,'3.XL-DD'!$D$2,0)</f>
        <v>Phần đường dây hạ thế</v>
      </c>
      <c r="E22" s="344"/>
      <c r="F22" s="345"/>
      <c r="G22" s="345"/>
      <c r="H22" s="345"/>
      <c r="I22" s="345"/>
      <c r="J22" s="345">
        <f>SUM(J23:J28)</f>
        <v>185224</v>
      </c>
      <c r="K22" s="345">
        <f>SUM(K23:K28)</f>
        <v>11865984</v>
      </c>
      <c r="L22" s="345">
        <f>SUM(L23:L28)</f>
        <v>2291640</v>
      </c>
      <c r="M22" s="333">
        <f t="shared" si="3"/>
        <v>1</v>
      </c>
    </row>
    <row r="23" spans="1:29" hidden="1">
      <c r="A23" s="332" t="s">
        <v>1444</v>
      </c>
      <c r="B23" s="332" t="s">
        <v>2188</v>
      </c>
      <c r="C23" s="328" t="s">
        <v>2127</v>
      </c>
      <c r="D23" s="329" t="s">
        <v>2128</v>
      </c>
      <c r="E23" s="328" t="s">
        <v>11</v>
      </c>
      <c r="F23" s="329"/>
      <c r="G23" s="329">
        <f t="shared" ref="G23:G28" si="7">ROUND(VLOOKUP(B23,DGTN,$Z$278,0)*S23,0)</f>
        <v>434</v>
      </c>
      <c r="H23" s="329">
        <f t="shared" ref="H23:H28" si="8">ROUND((VLOOKUP(N23,DGNC,5,0)*O23+VLOOKUP(P23,DGNC,5,0)*Q23)*S23,0)</f>
        <v>37637</v>
      </c>
      <c r="I23" s="329">
        <f t="shared" ref="I23:I28" si="9">ROUND(VLOOKUP(B23,DGTN,$AE$278,0)*S23,0)</f>
        <v>1539</v>
      </c>
      <c r="J23" s="329">
        <f t="shared" ref="J23:L28" si="10">$F23*G23</f>
        <v>0</v>
      </c>
      <c r="K23" s="329">
        <f t="shared" si="10"/>
        <v>0</v>
      </c>
      <c r="L23" s="329">
        <f t="shared" si="10"/>
        <v>0</v>
      </c>
      <c r="M23" s="333">
        <f t="shared" si="3"/>
        <v>0</v>
      </c>
      <c r="N23" s="332" t="s">
        <v>1330</v>
      </c>
      <c r="O23" s="287">
        <v>2.89</v>
      </c>
      <c r="P23" s="287" t="s">
        <v>379</v>
      </c>
      <c r="Q23" s="287">
        <v>1.24</v>
      </c>
      <c r="R23" s="287" t="s">
        <v>2129</v>
      </c>
      <c r="S23" s="287">
        <v>3.3333333333333333E-2</v>
      </c>
      <c r="X23" s="332"/>
      <c r="AC23" s="332"/>
    </row>
    <row r="24" spans="1:29" hidden="1">
      <c r="A24" s="332" t="s">
        <v>992</v>
      </c>
      <c r="B24" s="332" t="s">
        <v>2190</v>
      </c>
      <c r="C24" s="328" t="s">
        <v>2131</v>
      </c>
      <c r="D24" s="329" t="s">
        <v>2421</v>
      </c>
      <c r="E24" s="328" t="s">
        <v>11</v>
      </c>
      <c r="F24" s="329">
        <f>PPHT!CP700+PPHT!CT700</f>
        <v>0</v>
      </c>
      <c r="G24" s="329">
        <f t="shared" si="7"/>
        <v>3562</v>
      </c>
      <c r="H24" s="515">
        <f t="shared" si="8"/>
        <v>228192</v>
      </c>
      <c r="I24" s="329">
        <f t="shared" si="9"/>
        <v>44070</v>
      </c>
      <c r="J24" s="329">
        <f t="shared" si="10"/>
        <v>0</v>
      </c>
      <c r="K24" s="329">
        <f t="shared" si="10"/>
        <v>0</v>
      </c>
      <c r="L24" s="329">
        <f t="shared" si="10"/>
        <v>0</v>
      </c>
      <c r="M24" s="333">
        <f t="shared" si="3"/>
        <v>0</v>
      </c>
      <c r="N24" s="332" t="s">
        <v>1328</v>
      </c>
      <c r="O24" s="287">
        <v>0.66</v>
      </c>
      <c r="P24" s="287" t="s">
        <v>12</v>
      </c>
      <c r="Q24" s="287">
        <v>0.28000000000000003</v>
      </c>
      <c r="R24" s="287" t="s">
        <v>2129</v>
      </c>
      <c r="S24" s="287">
        <v>1</v>
      </c>
    </row>
    <row r="25" spans="1:29">
      <c r="A25" s="332" t="s">
        <v>2948</v>
      </c>
      <c r="B25" s="332" t="s">
        <v>2190</v>
      </c>
      <c r="C25" s="328" t="s">
        <v>2131</v>
      </c>
      <c r="D25" s="329" t="s">
        <v>2949</v>
      </c>
      <c r="E25" s="328" t="s">
        <v>11</v>
      </c>
      <c r="F25" s="329">
        <f>PPHT!CQ700+PPHT!CU700</f>
        <v>42</v>
      </c>
      <c r="G25" s="329">
        <f t="shared" si="7"/>
        <v>3562</v>
      </c>
      <c r="H25" s="515">
        <f t="shared" si="8"/>
        <v>228192</v>
      </c>
      <c r="I25" s="329">
        <f t="shared" si="9"/>
        <v>44070</v>
      </c>
      <c r="J25" s="329">
        <f t="shared" si="10"/>
        <v>149604</v>
      </c>
      <c r="K25" s="329">
        <f t="shared" si="10"/>
        <v>9584064</v>
      </c>
      <c r="L25" s="329">
        <f t="shared" si="10"/>
        <v>1850940</v>
      </c>
      <c r="M25" s="333">
        <f>IF(SUM(J25:L25)&lt;&gt;0,1,)</f>
        <v>1</v>
      </c>
      <c r="N25" s="332" t="s">
        <v>1328</v>
      </c>
      <c r="O25" s="287">
        <v>0.66</v>
      </c>
      <c r="P25" s="287" t="s">
        <v>12</v>
      </c>
      <c r="Q25" s="287">
        <v>0.28000000000000003</v>
      </c>
      <c r="R25" s="287" t="s">
        <v>2129</v>
      </c>
      <c r="S25" s="287">
        <v>1</v>
      </c>
    </row>
    <row r="26" spans="1:29">
      <c r="A26" s="332" t="s">
        <v>995</v>
      </c>
      <c r="B26" s="332" t="s">
        <v>2190</v>
      </c>
      <c r="C26" s="328" t="s">
        <v>2131</v>
      </c>
      <c r="D26" s="329" t="s">
        <v>2423</v>
      </c>
      <c r="E26" s="328" t="s">
        <v>11</v>
      </c>
      <c r="F26" s="329">
        <f>PPHT!CR700+PPHT!CV700</f>
        <v>6</v>
      </c>
      <c r="G26" s="329">
        <f t="shared" si="7"/>
        <v>3562</v>
      </c>
      <c r="H26" s="515">
        <f t="shared" si="8"/>
        <v>228192</v>
      </c>
      <c r="I26" s="329">
        <f t="shared" si="9"/>
        <v>44070</v>
      </c>
      <c r="J26" s="329">
        <f t="shared" si="10"/>
        <v>21372</v>
      </c>
      <c r="K26" s="329">
        <f t="shared" si="10"/>
        <v>1369152</v>
      </c>
      <c r="L26" s="329">
        <f t="shared" si="10"/>
        <v>264420</v>
      </c>
      <c r="M26" s="333">
        <f t="shared" si="3"/>
        <v>1</v>
      </c>
      <c r="N26" s="332" t="s">
        <v>1328</v>
      </c>
      <c r="O26" s="287">
        <v>0.66</v>
      </c>
      <c r="P26" s="287" t="s">
        <v>12</v>
      </c>
      <c r="Q26" s="287">
        <v>0.28000000000000003</v>
      </c>
      <c r="R26" s="287" t="s">
        <v>2129</v>
      </c>
      <c r="S26" s="287">
        <v>1</v>
      </c>
    </row>
    <row r="27" spans="1:29">
      <c r="A27" s="332" t="s">
        <v>996</v>
      </c>
      <c r="B27" s="332" t="s">
        <v>2190</v>
      </c>
      <c r="C27" s="328" t="s">
        <v>2131</v>
      </c>
      <c r="D27" s="329" t="s">
        <v>2424</v>
      </c>
      <c r="E27" s="328" t="s">
        <v>11</v>
      </c>
      <c r="F27" s="329">
        <f>PPHT!CS700+PPHT!CW700</f>
        <v>4</v>
      </c>
      <c r="G27" s="329">
        <f t="shared" si="7"/>
        <v>3562</v>
      </c>
      <c r="H27" s="515">
        <f t="shared" si="8"/>
        <v>228192</v>
      </c>
      <c r="I27" s="329">
        <f t="shared" si="9"/>
        <v>44070</v>
      </c>
      <c r="J27" s="329">
        <f t="shared" si="10"/>
        <v>14248</v>
      </c>
      <c r="K27" s="329">
        <f t="shared" si="10"/>
        <v>912768</v>
      </c>
      <c r="L27" s="329">
        <f t="shared" si="10"/>
        <v>176280</v>
      </c>
      <c r="M27" s="333">
        <f t="shared" si="3"/>
        <v>1</v>
      </c>
      <c r="N27" s="332" t="s">
        <v>1328</v>
      </c>
      <c r="O27" s="287">
        <v>0.66</v>
      </c>
      <c r="P27" s="287" t="s">
        <v>12</v>
      </c>
      <c r="Q27" s="287">
        <v>0.28000000000000003</v>
      </c>
      <c r="R27" s="287" t="s">
        <v>2129</v>
      </c>
      <c r="S27" s="287">
        <v>1</v>
      </c>
    </row>
    <row r="28" spans="1:29" hidden="1">
      <c r="A28" s="332" t="s">
        <v>943</v>
      </c>
      <c r="B28" s="332" t="s">
        <v>2189</v>
      </c>
      <c r="C28" s="328" t="s">
        <v>2135</v>
      </c>
      <c r="D28" s="329" t="s">
        <v>945</v>
      </c>
      <c r="E28" s="328" t="s">
        <v>11</v>
      </c>
      <c r="F28" s="329"/>
      <c r="G28" s="329">
        <f t="shared" si="7"/>
        <v>2578</v>
      </c>
      <c r="H28" s="329">
        <f t="shared" si="8"/>
        <v>94186</v>
      </c>
      <c r="I28" s="329">
        <f t="shared" si="9"/>
        <v>19746</v>
      </c>
      <c r="J28" s="329">
        <f t="shared" si="10"/>
        <v>0</v>
      </c>
      <c r="K28" s="329">
        <f t="shared" si="10"/>
        <v>0</v>
      </c>
      <c r="L28" s="329">
        <f t="shared" si="10"/>
        <v>0</v>
      </c>
      <c r="M28" s="333">
        <f t="shared" si="3"/>
        <v>0</v>
      </c>
      <c r="N28" s="332" t="s">
        <v>1330</v>
      </c>
      <c r="O28" s="287">
        <v>0.28000000000000003</v>
      </c>
      <c r="P28" s="287" t="s">
        <v>379</v>
      </c>
      <c r="Q28" s="287">
        <v>0.15</v>
      </c>
      <c r="R28" s="287" t="s">
        <v>2129</v>
      </c>
      <c r="S28" s="287">
        <v>0.8</v>
      </c>
      <c r="X28" s="332"/>
      <c r="AC28" s="332"/>
    </row>
    <row r="29" spans="1:29">
      <c r="C29" s="324" t="s">
        <v>1764</v>
      </c>
      <c r="D29" s="324" t="s">
        <v>2120</v>
      </c>
      <c r="E29" s="324"/>
      <c r="F29" s="324"/>
      <c r="G29" s="324"/>
      <c r="H29" s="324"/>
      <c r="I29" s="324"/>
      <c r="J29" s="324"/>
      <c r="K29" s="324"/>
      <c r="L29" s="324"/>
      <c r="M29" s="333">
        <f>IF(SUM(M30:M271)&lt;&gt;0,1,)</f>
        <v>1</v>
      </c>
    </row>
    <row r="30" spans="1:29" hidden="1">
      <c r="B30" s="332" t="s">
        <v>2088</v>
      </c>
      <c r="C30" s="344">
        <f>IF(SUM(J30:L30)&lt;&gt;0,1,)</f>
        <v>0</v>
      </c>
      <c r="D30" s="345" t="str">
        <f>VLOOKUP(B30,XLTBA,'6.XL-TR'!$D$2,0)</f>
        <v>0 Trạm 1 pha 25kVA</v>
      </c>
      <c r="E30" s="344"/>
      <c r="F30" s="345"/>
      <c r="G30" s="345"/>
      <c r="H30" s="345"/>
      <c r="I30" s="345"/>
      <c r="J30" s="345">
        <f>SUM(J31:J40)</f>
        <v>0</v>
      </c>
      <c r="K30" s="345">
        <f>SUM(K31:K40)</f>
        <v>0</v>
      </c>
      <c r="L30" s="345">
        <f>SUM(L31:L40)</f>
        <v>0</v>
      </c>
      <c r="M30" s="333">
        <f t="shared" si="3"/>
        <v>0</v>
      </c>
      <c r="X30" s="332"/>
      <c r="AC30" s="332"/>
    </row>
    <row r="31" spans="1:29" hidden="1">
      <c r="B31" s="332" t="s">
        <v>2192</v>
      </c>
      <c r="C31" s="328" t="s">
        <v>2144</v>
      </c>
      <c r="D31" s="329" t="s">
        <v>2145</v>
      </c>
      <c r="E31" s="328" t="s">
        <v>2134</v>
      </c>
      <c r="F31" s="329"/>
      <c r="G31" s="329">
        <f t="shared" ref="G31:G40" si="11">ROUND(VLOOKUP(B31,DGTN,$Z$278,0)*S31,0)</f>
        <v>25808</v>
      </c>
      <c r="H31" s="329">
        <f t="shared" ref="H31:H40" si="12">ROUND((VLOOKUP(N31,DGNC,5,0)*O31+VLOOKUP(P31,DGNC,5,0)*Q31)*S31,0)</f>
        <v>1134066</v>
      </c>
      <c r="I31" s="329">
        <f t="shared" ref="I31:I40" si="13">ROUND(VLOOKUP(B31,DGTN,$AE$278,0)*S31,0)</f>
        <v>28346</v>
      </c>
      <c r="J31" s="329">
        <f>$F31*G31</f>
        <v>0</v>
      </c>
      <c r="K31" s="329">
        <f>$F31*H31</f>
        <v>0</v>
      </c>
      <c r="L31" s="329">
        <f>$F31*I31</f>
        <v>0</v>
      </c>
      <c r="M31" s="333">
        <f t="shared" si="3"/>
        <v>0</v>
      </c>
      <c r="N31" s="332" t="s">
        <v>1328</v>
      </c>
      <c r="O31" s="287">
        <v>3.04</v>
      </c>
      <c r="P31" s="287" t="s">
        <v>12</v>
      </c>
      <c r="Q31" s="287">
        <v>1.64</v>
      </c>
      <c r="R31" s="287" t="s">
        <v>2129</v>
      </c>
      <c r="S31" s="287">
        <v>1</v>
      </c>
      <c r="X31" s="332"/>
      <c r="AC31" s="332"/>
    </row>
    <row r="32" spans="1:29" hidden="1">
      <c r="B32" s="332" t="s">
        <v>2196</v>
      </c>
      <c r="C32" s="328" t="s">
        <v>2146</v>
      </c>
      <c r="D32" s="329" t="s">
        <v>2147</v>
      </c>
      <c r="E32" s="328" t="s">
        <v>2148</v>
      </c>
      <c r="F32" s="329"/>
      <c r="G32" s="329">
        <f t="shared" si="11"/>
        <v>29735</v>
      </c>
      <c r="H32" s="329">
        <f t="shared" si="12"/>
        <v>1027972</v>
      </c>
      <c r="I32" s="329">
        <f t="shared" si="13"/>
        <v>201397</v>
      </c>
      <c r="J32" s="329">
        <f t="shared" ref="J32:J40" si="14">$F32*G32</f>
        <v>0</v>
      </c>
      <c r="K32" s="329">
        <f t="shared" ref="K32:K40" si="15">$F32*H32</f>
        <v>0</v>
      </c>
      <c r="L32" s="329">
        <f t="shared" ref="L32:L40" si="16">$F32*I32</f>
        <v>0</v>
      </c>
      <c r="M32" s="333">
        <f t="shared" si="3"/>
        <v>0</v>
      </c>
      <c r="N32" s="332" t="s">
        <v>1330</v>
      </c>
      <c r="O32" s="287">
        <v>2.63</v>
      </c>
      <c r="P32" s="287" t="s">
        <v>379</v>
      </c>
      <c r="Q32" s="287">
        <v>1.1299999999999999</v>
      </c>
      <c r="R32" s="287" t="s">
        <v>2129</v>
      </c>
      <c r="S32" s="287">
        <v>1</v>
      </c>
      <c r="X32" s="332"/>
      <c r="AC32" s="332"/>
    </row>
    <row r="33" spans="2:29" hidden="1">
      <c r="B33" s="332" t="s">
        <v>2196</v>
      </c>
      <c r="C33" s="328" t="s">
        <v>2146</v>
      </c>
      <c r="D33" s="329" t="s">
        <v>2149</v>
      </c>
      <c r="E33" s="328" t="s">
        <v>2148</v>
      </c>
      <c r="F33" s="329"/>
      <c r="G33" s="329">
        <f t="shared" si="11"/>
        <v>29735</v>
      </c>
      <c r="H33" s="329">
        <f t="shared" si="12"/>
        <v>1027972</v>
      </c>
      <c r="I33" s="329">
        <f t="shared" si="13"/>
        <v>201397</v>
      </c>
      <c r="J33" s="329">
        <f t="shared" si="14"/>
        <v>0</v>
      </c>
      <c r="K33" s="329">
        <f t="shared" si="15"/>
        <v>0</v>
      </c>
      <c r="L33" s="329">
        <f t="shared" si="16"/>
        <v>0</v>
      </c>
      <c r="M33" s="333">
        <f t="shared" si="3"/>
        <v>0</v>
      </c>
      <c r="N33" s="332" t="s">
        <v>1330</v>
      </c>
      <c r="O33" s="287">
        <v>2.63</v>
      </c>
      <c r="P33" s="287" t="s">
        <v>379</v>
      </c>
      <c r="Q33" s="287">
        <v>1.1299999999999999</v>
      </c>
      <c r="R33" s="287" t="s">
        <v>2129</v>
      </c>
      <c r="S33" s="287">
        <v>1</v>
      </c>
      <c r="X33" s="332"/>
      <c r="AC33" s="332"/>
    </row>
    <row r="34" spans="2:29" hidden="1">
      <c r="B34" s="332" t="s">
        <v>2196</v>
      </c>
      <c r="C34" s="328" t="s">
        <v>2146</v>
      </c>
      <c r="D34" s="329" t="s">
        <v>2150</v>
      </c>
      <c r="E34" s="328" t="s">
        <v>2148</v>
      </c>
      <c r="F34" s="329"/>
      <c r="G34" s="329">
        <f t="shared" si="11"/>
        <v>29735</v>
      </c>
      <c r="H34" s="329">
        <f t="shared" si="12"/>
        <v>1027972</v>
      </c>
      <c r="I34" s="329">
        <f t="shared" si="13"/>
        <v>201397</v>
      </c>
      <c r="J34" s="329">
        <f t="shared" si="14"/>
        <v>0</v>
      </c>
      <c r="K34" s="329">
        <f t="shared" si="15"/>
        <v>0</v>
      </c>
      <c r="L34" s="329">
        <f t="shared" si="16"/>
        <v>0</v>
      </c>
      <c r="M34" s="333">
        <f t="shared" si="3"/>
        <v>0</v>
      </c>
      <c r="N34" s="332" t="s">
        <v>1330</v>
      </c>
      <c r="O34" s="287">
        <v>2.63</v>
      </c>
      <c r="P34" s="287" t="s">
        <v>379</v>
      </c>
      <c r="Q34" s="287">
        <v>1.1299999999999999</v>
      </c>
      <c r="R34" s="287" t="s">
        <v>2129</v>
      </c>
      <c r="S34" s="287">
        <v>1</v>
      </c>
      <c r="X34" s="332"/>
      <c r="AC34" s="332"/>
    </row>
    <row r="35" spans="2:29" hidden="1">
      <c r="B35" s="332" t="s">
        <v>2190</v>
      </c>
      <c r="C35" s="328" t="s">
        <v>2131</v>
      </c>
      <c r="D35" s="329" t="s">
        <v>2421</v>
      </c>
      <c r="E35" s="328" t="s">
        <v>11</v>
      </c>
      <c r="F35" s="329"/>
      <c r="G35" s="329">
        <f t="shared" si="11"/>
        <v>3562</v>
      </c>
      <c r="H35" s="329">
        <f t="shared" si="12"/>
        <v>273830</v>
      </c>
      <c r="I35" s="329">
        <f t="shared" si="13"/>
        <v>44070</v>
      </c>
      <c r="J35" s="329">
        <f t="shared" si="14"/>
        <v>0</v>
      </c>
      <c r="K35" s="329">
        <f t="shared" si="15"/>
        <v>0</v>
      </c>
      <c r="L35" s="329">
        <f t="shared" si="16"/>
        <v>0</v>
      </c>
      <c r="M35" s="333">
        <f t="shared" si="3"/>
        <v>0</v>
      </c>
      <c r="N35" s="332" t="s">
        <v>1328</v>
      </c>
      <c r="O35" s="287">
        <v>0.79200000000000004</v>
      </c>
      <c r="P35" s="287" t="s">
        <v>12</v>
      </c>
      <c r="Q35" s="287">
        <v>0.33600000000000002</v>
      </c>
      <c r="R35" s="287" t="s">
        <v>2129</v>
      </c>
      <c r="S35" s="287">
        <v>1</v>
      </c>
      <c r="X35" s="332"/>
      <c r="AC35" s="332"/>
    </row>
    <row r="36" spans="2:29" hidden="1">
      <c r="B36" s="332" t="s">
        <v>2190</v>
      </c>
      <c r="C36" s="328" t="s">
        <v>2131</v>
      </c>
      <c r="D36" s="329" t="s">
        <v>2423</v>
      </c>
      <c r="E36" s="328" t="s">
        <v>11</v>
      </c>
      <c r="F36" s="329"/>
      <c r="G36" s="329">
        <f t="shared" si="11"/>
        <v>3562</v>
      </c>
      <c r="H36" s="329">
        <f t="shared" si="12"/>
        <v>273830</v>
      </c>
      <c r="I36" s="329">
        <f t="shared" si="13"/>
        <v>44070</v>
      </c>
      <c r="J36" s="329">
        <f t="shared" si="14"/>
        <v>0</v>
      </c>
      <c r="K36" s="329">
        <f t="shared" si="15"/>
        <v>0</v>
      </c>
      <c r="L36" s="329">
        <f t="shared" si="16"/>
        <v>0</v>
      </c>
      <c r="M36" s="333">
        <f t="shared" si="3"/>
        <v>0</v>
      </c>
      <c r="N36" s="332" t="s">
        <v>1328</v>
      </c>
      <c r="O36" s="287">
        <v>0.79200000000000004</v>
      </c>
      <c r="P36" s="287" t="s">
        <v>12</v>
      </c>
      <c r="Q36" s="287">
        <v>0.33600000000000002</v>
      </c>
      <c r="R36" s="287" t="s">
        <v>2129</v>
      </c>
      <c r="S36" s="287">
        <v>1</v>
      </c>
      <c r="X36" s="332"/>
      <c r="AC36" s="332"/>
    </row>
    <row r="37" spans="2:29" hidden="1">
      <c r="B37" s="332" t="s">
        <v>2190</v>
      </c>
      <c r="C37" s="328" t="s">
        <v>2131</v>
      </c>
      <c r="D37" s="329" t="s">
        <v>2424</v>
      </c>
      <c r="E37" s="328" t="s">
        <v>11</v>
      </c>
      <c r="F37" s="329"/>
      <c r="G37" s="329">
        <f t="shared" si="11"/>
        <v>3562</v>
      </c>
      <c r="H37" s="329">
        <f t="shared" si="12"/>
        <v>273830</v>
      </c>
      <c r="I37" s="329">
        <f t="shared" si="13"/>
        <v>44070</v>
      </c>
      <c r="J37" s="329">
        <f t="shared" si="14"/>
        <v>0</v>
      </c>
      <c r="K37" s="329">
        <f t="shared" si="15"/>
        <v>0</v>
      </c>
      <c r="L37" s="329">
        <f t="shared" si="16"/>
        <v>0</v>
      </c>
      <c r="M37" s="333">
        <f t="shared" si="3"/>
        <v>0</v>
      </c>
      <c r="N37" s="332" t="s">
        <v>1328</v>
      </c>
      <c r="O37" s="287">
        <v>0.79200000000000004</v>
      </c>
      <c r="P37" s="287" t="s">
        <v>12</v>
      </c>
      <c r="Q37" s="287">
        <v>0.33600000000000002</v>
      </c>
      <c r="R37" s="287" t="s">
        <v>2129</v>
      </c>
      <c r="S37" s="287">
        <v>1</v>
      </c>
      <c r="X37" s="332"/>
      <c r="AC37" s="332"/>
    </row>
    <row r="38" spans="2:29" hidden="1">
      <c r="B38" s="332" t="s">
        <v>2191</v>
      </c>
      <c r="C38" s="328" t="s">
        <v>2151</v>
      </c>
      <c r="D38" s="329" t="s">
        <v>2422</v>
      </c>
      <c r="E38" s="328" t="s">
        <v>11</v>
      </c>
      <c r="F38" s="329"/>
      <c r="G38" s="329">
        <f t="shared" si="11"/>
        <v>5073</v>
      </c>
      <c r="H38" s="329">
        <f t="shared" si="12"/>
        <v>308745</v>
      </c>
      <c r="I38" s="329">
        <f t="shared" si="13"/>
        <v>62790</v>
      </c>
      <c r="J38" s="329">
        <f t="shared" si="14"/>
        <v>0</v>
      </c>
      <c r="K38" s="329">
        <f t="shared" si="15"/>
        <v>0</v>
      </c>
      <c r="L38" s="329">
        <f t="shared" si="16"/>
        <v>0</v>
      </c>
      <c r="M38" s="333">
        <f t="shared" si="3"/>
        <v>0</v>
      </c>
      <c r="N38" s="332" t="s">
        <v>1328</v>
      </c>
      <c r="O38" s="287">
        <v>0.88800000000000001</v>
      </c>
      <c r="P38" s="287" t="s">
        <v>12</v>
      </c>
      <c r="Q38" s="287">
        <v>0.38400000000000001</v>
      </c>
      <c r="R38" s="287" t="s">
        <v>2129</v>
      </c>
      <c r="S38" s="287">
        <v>1</v>
      </c>
      <c r="X38" s="332"/>
      <c r="AC38" s="332"/>
    </row>
    <row r="39" spans="2:29" hidden="1">
      <c r="B39" s="332" t="s">
        <v>2188</v>
      </c>
      <c r="C39" s="328" t="s">
        <v>2127</v>
      </c>
      <c r="D39" s="329" t="s">
        <v>2143</v>
      </c>
      <c r="E39" s="328" t="s">
        <v>11</v>
      </c>
      <c r="F39" s="329"/>
      <c r="G39" s="329">
        <f t="shared" si="11"/>
        <v>5205</v>
      </c>
      <c r="H39" s="329">
        <f t="shared" si="12"/>
        <v>451648</v>
      </c>
      <c r="I39" s="329">
        <f t="shared" si="13"/>
        <v>18474</v>
      </c>
      <c r="J39" s="329">
        <f t="shared" si="14"/>
        <v>0</v>
      </c>
      <c r="K39" s="329">
        <f t="shared" si="15"/>
        <v>0</v>
      </c>
      <c r="L39" s="329">
        <f t="shared" si="16"/>
        <v>0</v>
      </c>
      <c r="M39" s="333">
        <f t="shared" si="3"/>
        <v>0</v>
      </c>
      <c r="N39" s="332" t="s">
        <v>1330</v>
      </c>
      <c r="O39" s="287">
        <v>2.89</v>
      </c>
      <c r="P39" s="287" t="s">
        <v>379</v>
      </c>
      <c r="Q39" s="287">
        <v>1.24</v>
      </c>
      <c r="R39" s="287" t="s">
        <v>2129</v>
      </c>
      <c r="S39" s="287">
        <v>0.4</v>
      </c>
      <c r="X39" s="332"/>
      <c r="AC39" s="332"/>
    </row>
    <row r="40" spans="2:29" hidden="1">
      <c r="B40" s="332" t="s">
        <v>2189</v>
      </c>
      <c r="C40" s="328" t="s">
        <v>2135</v>
      </c>
      <c r="D40" s="329" t="s">
        <v>945</v>
      </c>
      <c r="E40" s="328" t="s">
        <v>11</v>
      </c>
      <c r="F40" s="329"/>
      <c r="G40" s="329">
        <f t="shared" si="11"/>
        <v>3223</v>
      </c>
      <c r="H40" s="329">
        <f t="shared" si="12"/>
        <v>117733</v>
      </c>
      <c r="I40" s="329">
        <f t="shared" si="13"/>
        <v>24683</v>
      </c>
      <c r="J40" s="329">
        <f t="shared" si="14"/>
        <v>0</v>
      </c>
      <c r="K40" s="329">
        <f t="shared" si="15"/>
        <v>0</v>
      </c>
      <c r="L40" s="329">
        <f t="shared" si="16"/>
        <v>0</v>
      </c>
      <c r="M40" s="333">
        <f t="shared" si="3"/>
        <v>0</v>
      </c>
      <c r="N40" s="332" t="s">
        <v>1330</v>
      </c>
      <c r="O40" s="287">
        <v>0.28000000000000003</v>
      </c>
      <c r="P40" s="287" t="s">
        <v>379</v>
      </c>
      <c r="Q40" s="287">
        <v>0.15</v>
      </c>
      <c r="R40" s="287" t="s">
        <v>2129</v>
      </c>
      <c r="S40" s="287">
        <v>1</v>
      </c>
      <c r="X40" s="332"/>
      <c r="AC40" s="332"/>
    </row>
    <row r="41" spans="2:29" hidden="1">
      <c r="B41" s="332" t="s">
        <v>2089</v>
      </c>
      <c r="C41" s="344">
        <f>IF(SUM(J41:L41)&lt;&gt;0,C30+1,C30)</f>
        <v>0</v>
      </c>
      <c r="D41" s="345" t="str">
        <f>VLOOKUP(B41,XLTBA,'6.XL-TR'!$D$2,0)</f>
        <v>0 Trạm 1 pha 37,5kVA</v>
      </c>
      <c r="E41" s="344"/>
      <c r="F41" s="345"/>
      <c r="G41" s="345"/>
      <c r="H41" s="345"/>
      <c r="I41" s="345"/>
      <c r="J41" s="345">
        <f>SUM(J42:J51)</f>
        <v>0</v>
      </c>
      <c r="K41" s="345">
        <f>SUM(K42:K51)</f>
        <v>0</v>
      </c>
      <c r="L41" s="345">
        <f>SUM(L42:L51)</f>
        <v>0</v>
      </c>
      <c r="M41" s="333">
        <f t="shared" si="3"/>
        <v>0</v>
      </c>
      <c r="X41" s="332"/>
      <c r="AC41" s="332"/>
    </row>
    <row r="42" spans="2:29" hidden="1">
      <c r="B42" s="332" t="s">
        <v>2192</v>
      </c>
      <c r="C42" s="328" t="s">
        <v>2144</v>
      </c>
      <c r="D42" s="329" t="s">
        <v>2145</v>
      </c>
      <c r="E42" s="328" t="s">
        <v>2134</v>
      </c>
      <c r="F42" s="329"/>
      <c r="G42" s="329">
        <f t="shared" ref="G42:G51" si="17">ROUND(VLOOKUP(B42,DGTN,$Z$278,0)*S42,0)</f>
        <v>25808</v>
      </c>
      <c r="H42" s="329">
        <f t="shared" ref="H42:H51" si="18">ROUND((VLOOKUP(N42,DGNC,5,0)*O42+VLOOKUP(P42,DGNC,5,0)*Q42)*S42,0)</f>
        <v>1134066</v>
      </c>
      <c r="I42" s="329">
        <f t="shared" ref="I42:I51" si="19">ROUND(VLOOKUP(B42,DGTN,$AE$278,0)*S42,0)</f>
        <v>28346</v>
      </c>
      <c r="J42" s="329">
        <f t="shared" ref="J42:J51" si="20">$F42*G42</f>
        <v>0</v>
      </c>
      <c r="K42" s="329">
        <f t="shared" ref="K42:K51" si="21">$F42*H42</f>
        <v>0</v>
      </c>
      <c r="L42" s="329">
        <f t="shared" ref="L42:L51" si="22">$F42*I42</f>
        <v>0</v>
      </c>
      <c r="M42" s="333">
        <f t="shared" si="3"/>
        <v>0</v>
      </c>
      <c r="N42" s="332" t="s">
        <v>1328</v>
      </c>
      <c r="O42" s="287">
        <v>3.04</v>
      </c>
      <c r="P42" s="287" t="s">
        <v>12</v>
      </c>
      <c r="Q42" s="287">
        <v>1.64</v>
      </c>
      <c r="R42" s="287" t="s">
        <v>2129</v>
      </c>
      <c r="S42" s="287">
        <v>1</v>
      </c>
      <c r="X42" s="332"/>
      <c r="AC42" s="332"/>
    </row>
    <row r="43" spans="2:29" hidden="1">
      <c r="B43" s="332" t="s">
        <v>2196</v>
      </c>
      <c r="C43" s="328" t="s">
        <v>2146</v>
      </c>
      <c r="D43" s="329" t="s">
        <v>2147</v>
      </c>
      <c r="E43" s="328" t="s">
        <v>2148</v>
      </c>
      <c r="F43" s="329"/>
      <c r="G43" s="329">
        <f t="shared" si="17"/>
        <v>29735</v>
      </c>
      <c r="H43" s="329">
        <f t="shared" si="18"/>
        <v>1027972</v>
      </c>
      <c r="I43" s="329">
        <f t="shared" si="19"/>
        <v>201397</v>
      </c>
      <c r="J43" s="329">
        <f t="shared" si="20"/>
        <v>0</v>
      </c>
      <c r="K43" s="329">
        <f t="shared" si="21"/>
        <v>0</v>
      </c>
      <c r="L43" s="329">
        <f t="shared" si="22"/>
        <v>0</v>
      </c>
      <c r="M43" s="333">
        <f t="shared" si="3"/>
        <v>0</v>
      </c>
      <c r="N43" s="332" t="s">
        <v>1330</v>
      </c>
      <c r="O43" s="287">
        <v>2.63</v>
      </c>
      <c r="P43" s="287" t="s">
        <v>379</v>
      </c>
      <c r="Q43" s="287">
        <v>1.1299999999999999</v>
      </c>
      <c r="R43" s="287" t="s">
        <v>2129</v>
      </c>
      <c r="S43" s="287">
        <v>1</v>
      </c>
      <c r="X43" s="332"/>
      <c r="AC43" s="332"/>
    </row>
    <row r="44" spans="2:29" hidden="1">
      <c r="B44" s="332" t="s">
        <v>2196</v>
      </c>
      <c r="C44" s="328" t="s">
        <v>2146</v>
      </c>
      <c r="D44" s="329" t="s">
        <v>2149</v>
      </c>
      <c r="E44" s="328" t="s">
        <v>2148</v>
      </c>
      <c r="F44" s="329"/>
      <c r="G44" s="329">
        <f t="shared" si="17"/>
        <v>29735</v>
      </c>
      <c r="H44" s="329">
        <f t="shared" si="18"/>
        <v>1027972</v>
      </c>
      <c r="I44" s="329">
        <f t="shared" si="19"/>
        <v>201397</v>
      </c>
      <c r="J44" s="329">
        <f t="shared" si="20"/>
        <v>0</v>
      </c>
      <c r="K44" s="329">
        <f t="shared" si="21"/>
        <v>0</v>
      </c>
      <c r="L44" s="329">
        <f t="shared" si="22"/>
        <v>0</v>
      </c>
      <c r="M44" s="333">
        <f t="shared" si="3"/>
        <v>0</v>
      </c>
      <c r="N44" s="332" t="s">
        <v>1330</v>
      </c>
      <c r="O44" s="287">
        <v>2.63</v>
      </c>
      <c r="P44" s="287" t="s">
        <v>379</v>
      </c>
      <c r="Q44" s="287">
        <v>1.1299999999999999</v>
      </c>
      <c r="R44" s="287" t="s">
        <v>2129</v>
      </c>
      <c r="S44" s="287">
        <v>1</v>
      </c>
      <c r="X44" s="332"/>
      <c r="AC44" s="332"/>
    </row>
    <row r="45" spans="2:29" hidden="1">
      <c r="B45" s="332" t="s">
        <v>2196</v>
      </c>
      <c r="C45" s="328" t="s">
        <v>2146</v>
      </c>
      <c r="D45" s="329" t="s">
        <v>2150</v>
      </c>
      <c r="E45" s="328" t="s">
        <v>2148</v>
      </c>
      <c r="F45" s="329"/>
      <c r="G45" s="329">
        <f t="shared" si="17"/>
        <v>29735</v>
      </c>
      <c r="H45" s="329">
        <f t="shared" si="18"/>
        <v>1027972</v>
      </c>
      <c r="I45" s="329">
        <f t="shared" si="19"/>
        <v>201397</v>
      </c>
      <c r="J45" s="329">
        <f t="shared" si="20"/>
        <v>0</v>
      </c>
      <c r="K45" s="329">
        <f t="shared" si="21"/>
        <v>0</v>
      </c>
      <c r="L45" s="329">
        <f t="shared" si="22"/>
        <v>0</v>
      </c>
      <c r="M45" s="333">
        <f t="shared" si="3"/>
        <v>0</v>
      </c>
      <c r="N45" s="332" t="s">
        <v>1330</v>
      </c>
      <c r="O45" s="287">
        <v>2.63</v>
      </c>
      <c r="P45" s="287" t="s">
        <v>379</v>
      </c>
      <c r="Q45" s="287">
        <v>1.1299999999999999</v>
      </c>
      <c r="R45" s="287" t="s">
        <v>2129</v>
      </c>
      <c r="S45" s="287">
        <v>1</v>
      </c>
      <c r="X45" s="332"/>
      <c r="AC45" s="332"/>
    </row>
    <row r="46" spans="2:29" hidden="1">
      <c r="B46" s="332" t="s">
        <v>2190</v>
      </c>
      <c r="C46" s="328" t="s">
        <v>2131</v>
      </c>
      <c r="D46" s="329" t="s">
        <v>2421</v>
      </c>
      <c r="E46" s="328" t="s">
        <v>11</v>
      </c>
      <c r="F46" s="329"/>
      <c r="G46" s="329">
        <f t="shared" si="17"/>
        <v>3562</v>
      </c>
      <c r="H46" s="329">
        <f t="shared" si="18"/>
        <v>273830</v>
      </c>
      <c r="I46" s="329">
        <f t="shared" si="19"/>
        <v>44070</v>
      </c>
      <c r="J46" s="329">
        <f t="shared" si="20"/>
        <v>0</v>
      </c>
      <c r="K46" s="329">
        <f t="shared" si="21"/>
        <v>0</v>
      </c>
      <c r="L46" s="329">
        <f t="shared" si="22"/>
        <v>0</v>
      </c>
      <c r="M46" s="333">
        <f t="shared" si="3"/>
        <v>0</v>
      </c>
      <c r="N46" s="332" t="s">
        <v>1328</v>
      </c>
      <c r="O46" s="287">
        <v>0.79200000000000004</v>
      </c>
      <c r="P46" s="287" t="s">
        <v>12</v>
      </c>
      <c r="Q46" s="287">
        <v>0.33600000000000002</v>
      </c>
      <c r="R46" s="287" t="s">
        <v>2129</v>
      </c>
      <c r="S46" s="287">
        <v>1</v>
      </c>
      <c r="X46" s="332"/>
      <c r="AC46" s="332"/>
    </row>
    <row r="47" spans="2:29" hidden="1">
      <c r="B47" s="332" t="s">
        <v>2190</v>
      </c>
      <c r="C47" s="328" t="s">
        <v>2131</v>
      </c>
      <c r="D47" s="329" t="s">
        <v>2423</v>
      </c>
      <c r="E47" s="328" t="s">
        <v>11</v>
      </c>
      <c r="F47" s="329"/>
      <c r="G47" s="329">
        <f t="shared" si="17"/>
        <v>3562</v>
      </c>
      <c r="H47" s="329">
        <f t="shared" si="18"/>
        <v>273830</v>
      </c>
      <c r="I47" s="329">
        <f t="shared" si="19"/>
        <v>44070</v>
      </c>
      <c r="J47" s="329">
        <f t="shared" si="20"/>
        <v>0</v>
      </c>
      <c r="K47" s="329">
        <f t="shared" si="21"/>
        <v>0</v>
      </c>
      <c r="L47" s="329">
        <f t="shared" si="22"/>
        <v>0</v>
      </c>
      <c r="M47" s="333">
        <f t="shared" si="3"/>
        <v>0</v>
      </c>
      <c r="N47" s="332" t="s">
        <v>1328</v>
      </c>
      <c r="O47" s="287">
        <v>0.79200000000000004</v>
      </c>
      <c r="P47" s="287" t="s">
        <v>12</v>
      </c>
      <c r="Q47" s="287">
        <v>0.33600000000000002</v>
      </c>
      <c r="R47" s="287" t="s">
        <v>2129</v>
      </c>
      <c r="S47" s="287">
        <v>1</v>
      </c>
      <c r="X47" s="332"/>
      <c r="AC47" s="332"/>
    </row>
    <row r="48" spans="2:29" hidden="1">
      <c r="B48" s="332" t="s">
        <v>2190</v>
      </c>
      <c r="C48" s="328" t="s">
        <v>2131</v>
      </c>
      <c r="D48" s="329" t="s">
        <v>2424</v>
      </c>
      <c r="E48" s="328" t="s">
        <v>11</v>
      </c>
      <c r="F48" s="329"/>
      <c r="G48" s="329">
        <f t="shared" si="17"/>
        <v>3562</v>
      </c>
      <c r="H48" s="329">
        <f t="shared" si="18"/>
        <v>273830</v>
      </c>
      <c r="I48" s="329">
        <f t="shared" si="19"/>
        <v>44070</v>
      </c>
      <c r="J48" s="329">
        <f t="shared" si="20"/>
        <v>0</v>
      </c>
      <c r="K48" s="329">
        <f t="shared" si="21"/>
        <v>0</v>
      </c>
      <c r="L48" s="329">
        <f t="shared" si="22"/>
        <v>0</v>
      </c>
      <c r="M48" s="333">
        <f t="shared" si="3"/>
        <v>0</v>
      </c>
      <c r="N48" s="332" t="s">
        <v>1328</v>
      </c>
      <c r="O48" s="287">
        <v>0.79200000000000004</v>
      </c>
      <c r="P48" s="287" t="s">
        <v>12</v>
      </c>
      <c r="Q48" s="287">
        <v>0.33600000000000002</v>
      </c>
      <c r="R48" s="287" t="s">
        <v>2129</v>
      </c>
      <c r="S48" s="287">
        <v>1</v>
      </c>
      <c r="X48" s="332"/>
      <c r="AC48" s="332"/>
    </row>
    <row r="49" spans="2:29" hidden="1">
      <c r="B49" s="332" t="s">
        <v>2191</v>
      </c>
      <c r="C49" s="328" t="s">
        <v>2151</v>
      </c>
      <c r="D49" s="329" t="s">
        <v>2422</v>
      </c>
      <c r="E49" s="328" t="s">
        <v>11</v>
      </c>
      <c r="F49" s="329"/>
      <c r="G49" s="329">
        <f t="shared" si="17"/>
        <v>5073</v>
      </c>
      <c r="H49" s="329">
        <f t="shared" si="18"/>
        <v>308745</v>
      </c>
      <c r="I49" s="329">
        <f t="shared" si="19"/>
        <v>62790</v>
      </c>
      <c r="J49" s="329">
        <f t="shared" si="20"/>
        <v>0</v>
      </c>
      <c r="K49" s="329">
        <f t="shared" si="21"/>
        <v>0</v>
      </c>
      <c r="L49" s="329">
        <f t="shared" si="22"/>
        <v>0</v>
      </c>
      <c r="M49" s="333">
        <f t="shared" si="3"/>
        <v>0</v>
      </c>
      <c r="N49" s="332" t="s">
        <v>1328</v>
      </c>
      <c r="O49" s="287">
        <v>0.88800000000000001</v>
      </c>
      <c r="P49" s="287" t="s">
        <v>12</v>
      </c>
      <c r="Q49" s="287">
        <v>0.38400000000000001</v>
      </c>
      <c r="R49" s="287" t="s">
        <v>2129</v>
      </c>
      <c r="S49" s="287">
        <v>1</v>
      </c>
      <c r="X49" s="332"/>
      <c r="AC49" s="332"/>
    </row>
    <row r="50" spans="2:29" hidden="1">
      <c r="B50" s="332" t="s">
        <v>2188</v>
      </c>
      <c r="C50" s="328" t="s">
        <v>2127</v>
      </c>
      <c r="D50" s="329" t="s">
        <v>2143</v>
      </c>
      <c r="E50" s="328" t="s">
        <v>11</v>
      </c>
      <c r="F50" s="329"/>
      <c r="G50" s="329">
        <f t="shared" si="17"/>
        <v>5205</v>
      </c>
      <c r="H50" s="329">
        <f t="shared" si="18"/>
        <v>451648</v>
      </c>
      <c r="I50" s="329">
        <f t="shared" si="19"/>
        <v>18474</v>
      </c>
      <c r="J50" s="329">
        <f t="shared" si="20"/>
        <v>0</v>
      </c>
      <c r="K50" s="329">
        <f t="shared" si="21"/>
        <v>0</v>
      </c>
      <c r="L50" s="329">
        <f t="shared" si="22"/>
        <v>0</v>
      </c>
      <c r="M50" s="333">
        <f t="shared" si="3"/>
        <v>0</v>
      </c>
      <c r="N50" s="332" t="s">
        <v>1330</v>
      </c>
      <c r="O50" s="287">
        <v>2.89</v>
      </c>
      <c r="P50" s="287" t="s">
        <v>379</v>
      </c>
      <c r="Q50" s="287">
        <v>1.24</v>
      </c>
      <c r="R50" s="287" t="s">
        <v>2129</v>
      </c>
      <c r="S50" s="287">
        <v>0.4</v>
      </c>
      <c r="X50" s="332"/>
      <c r="AC50" s="332"/>
    </row>
    <row r="51" spans="2:29" hidden="1">
      <c r="B51" s="332" t="s">
        <v>2189</v>
      </c>
      <c r="C51" s="328" t="s">
        <v>2135</v>
      </c>
      <c r="D51" s="329" t="s">
        <v>945</v>
      </c>
      <c r="E51" s="328" t="s">
        <v>11</v>
      </c>
      <c r="F51" s="329"/>
      <c r="G51" s="329">
        <f t="shared" si="17"/>
        <v>3223</v>
      </c>
      <c r="H51" s="329">
        <f t="shared" si="18"/>
        <v>117733</v>
      </c>
      <c r="I51" s="329">
        <f t="shared" si="19"/>
        <v>24683</v>
      </c>
      <c r="J51" s="329">
        <f t="shared" si="20"/>
        <v>0</v>
      </c>
      <c r="K51" s="329">
        <f t="shared" si="21"/>
        <v>0</v>
      </c>
      <c r="L51" s="329">
        <f t="shared" si="22"/>
        <v>0</v>
      </c>
      <c r="M51" s="333">
        <f t="shared" si="3"/>
        <v>0</v>
      </c>
      <c r="N51" s="332" t="s">
        <v>1330</v>
      </c>
      <c r="O51" s="287">
        <v>0.28000000000000003</v>
      </c>
      <c r="P51" s="287" t="s">
        <v>379</v>
      </c>
      <c r="Q51" s="287">
        <v>0.15</v>
      </c>
      <c r="R51" s="287" t="s">
        <v>2129</v>
      </c>
      <c r="S51" s="287">
        <v>1</v>
      </c>
      <c r="X51" s="332"/>
      <c r="AC51" s="332"/>
    </row>
    <row r="52" spans="2:29" hidden="1">
      <c r="B52" s="332" t="s">
        <v>2812</v>
      </c>
      <c r="C52" s="344">
        <f>IF(SUM(J52:L52)&lt;&gt;0,C30+1,C30)</f>
        <v>0</v>
      </c>
      <c r="D52" s="345" t="str">
        <f>VLOOKUP(B52,XLTBA,'6.XL-TR'!$D$2,0)</f>
        <v>0 Trạm 1 pha 2x25kVA</v>
      </c>
      <c r="E52" s="344"/>
      <c r="F52" s="345"/>
      <c r="G52" s="345"/>
      <c r="H52" s="345"/>
      <c r="I52" s="345"/>
      <c r="J52" s="345">
        <f>SUM(J53:J62)</f>
        <v>0</v>
      </c>
      <c r="K52" s="345">
        <f>SUM(K53:K62)</f>
        <v>0</v>
      </c>
      <c r="L52" s="345">
        <f>SUM(L53:L62)</f>
        <v>0</v>
      </c>
      <c r="M52" s="333">
        <f t="shared" ref="M52:M62" si="23">IF(SUM(J52:L52)&lt;&gt;0,1,)</f>
        <v>0</v>
      </c>
      <c r="X52" s="332"/>
      <c r="AC52" s="332"/>
    </row>
    <row r="53" spans="2:29" hidden="1">
      <c r="B53" s="332" t="s">
        <v>2192</v>
      </c>
      <c r="C53" s="328" t="s">
        <v>2144</v>
      </c>
      <c r="D53" s="329" t="s">
        <v>2145</v>
      </c>
      <c r="E53" s="328" t="s">
        <v>2134</v>
      </c>
      <c r="F53" s="329"/>
      <c r="G53" s="329">
        <f t="shared" ref="G53:G62" si="24">ROUND(VLOOKUP(B53,DGTN,$Z$278,0)*S53,0)</f>
        <v>25808</v>
      </c>
      <c r="H53" s="329">
        <f t="shared" ref="H53:H62" si="25">ROUND((VLOOKUP(N53,DGNC,5,0)*O53+VLOOKUP(P53,DGNC,5,0)*Q53)*S53,0)</f>
        <v>1134066</v>
      </c>
      <c r="I53" s="329">
        <f t="shared" ref="I53:I62" si="26">ROUND(VLOOKUP(B53,DGTN,$AE$278,0)*S53,0)</f>
        <v>28346</v>
      </c>
      <c r="J53" s="329">
        <f t="shared" ref="J53:J62" si="27">$F53*G53</f>
        <v>0</v>
      </c>
      <c r="K53" s="329">
        <f t="shared" ref="K53:K62" si="28">$F53*H53</f>
        <v>0</v>
      </c>
      <c r="L53" s="329">
        <f t="shared" ref="L53:L62" si="29">$F53*I53</f>
        <v>0</v>
      </c>
      <c r="M53" s="333">
        <f t="shared" si="23"/>
        <v>0</v>
      </c>
      <c r="N53" s="332" t="s">
        <v>1328</v>
      </c>
      <c r="O53" s="287">
        <v>3.04</v>
      </c>
      <c r="P53" s="287" t="s">
        <v>12</v>
      </c>
      <c r="Q53" s="287">
        <v>1.64</v>
      </c>
      <c r="R53" s="287" t="s">
        <v>2129</v>
      </c>
      <c r="S53" s="287">
        <v>1</v>
      </c>
      <c r="X53" s="332"/>
      <c r="AC53" s="332"/>
    </row>
    <row r="54" spans="2:29" hidden="1">
      <c r="B54" s="332" t="s">
        <v>2196</v>
      </c>
      <c r="C54" s="328" t="s">
        <v>2146</v>
      </c>
      <c r="D54" s="329" t="s">
        <v>2147</v>
      </c>
      <c r="E54" s="328" t="s">
        <v>2148</v>
      </c>
      <c r="F54" s="329"/>
      <c r="G54" s="329">
        <f t="shared" si="24"/>
        <v>29735</v>
      </c>
      <c r="H54" s="329">
        <f t="shared" si="25"/>
        <v>1027972</v>
      </c>
      <c r="I54" s="329">
        <f t="shared" si="26"/>
        <v>201397</v>
      </c>
      <c r="J54" s="329">
        <f t="shared" si="27"/>
        <v>0</v>
      </c>
      <c r="K54" s="329">
        <f t="shared" si="28"/>
        <v>0</v>
      </c>
      <c r="L54" s="329">
        <f t="shared" si="29"/>
        <v>0</v>
      </c>
      <c r="M54" s="333">
        <f t="shared" si="23"/>
        <v>0</v>
      </c>
      <c r="N54" s="332" t="s">
        <v>1330</v>
      </c>
      <c r="O54" s="287">
        <v>2.63</v>
      </c>
      <c r="P54" s="287" t="s">
        <v>379</v>
      </c>
      <c r="Q54" s="287">
        <v>1.1299999999999999</v>
      </c>
      <c r="R54" s="287" t="s">
        <v>2129</v>
      </c>
      <c r="S54" s="287">
        <v>1</v>
      </c>
      <c r="X54" s="332"/>
      <c r="AC54" s="332"/>
    </row>
    <row r="55" spans="2:29" hidden="1">
      <c r="B55" s="332" t="s">
        <v>2196</v>
      </c>
      <c r="C55" s="328" t="s">
        <v>2146</v>
      </c>
      <c r="D55" s="329" t="s">
        <v>2149</v>
      </c>
      <c r="E55" s="328" t="s">
        <v>2148</v>
      </c>
      <c r="F55" s="329"/>
      <c r="G55" s="329">
        <f t="shared" si="24"/>
        <v>29735</v>
      </c>
      <c r="H55" s="329">
        <f t="shared" si="25"/>
        <v>1027972</v>
      </c>
      <c r="I55" s="329">
        <f t="shared" si="26"/>
        <v>201397</v>
      </c>
      <c r="J55" s="329">
        <f t="shared" si="27"/>
        <v>0</v>
      </c>
      <c r="K55" s="329">
        <f t="shared" si="28"/>
        <v>0</v>
      </c>
      <c r="L55" s="329">
        <f t="shared" si="29"/>
        <v>0</v>
      </c>
      <c r="M55" s="333">
        <f t="shared" si="23"/>
        <v>0</v>
      </c>
      <c r="N55" s="332" t="s">
        <v>1330</v>
      </c>
      <c r="O55" s="287">
        <v>2.63</v>
      </c>
      <c r="P55" s="287" t="s">
        <v>379</v>
      </c>
      <c r="Q55" s="287">
        <v>1.1299999999999999</v>
      </c>
      <c r="R55" s="287" t="s">
        <v>2129</v>
      </c>
      <c r="S55" s="287">
        <v>1</v>
      </c>
      <c r="X55" s="332"/>
      <c r="AC55" s="332"/>
    </row>
    <row r="56" spans="2:29" hidden="1">
      <c r="B56" s="332" t="s">
        <v>2196</v>
      </c>
      <c r="C56" s="328" t="s">
        <v>2146</v>
      </c>
      <c r="D56" s="329" t="s">
        <v>2150</v>
      </c>
      <c r="E56" s="328" t="s">
        <v>2148</v>
      </c>
      <c r="F56" s="329"/>
      <c r="G56" s="329">
        <f t="shared" si="24"/>
        <v>29735</v>
      </c>
      <c r="H56" s="329">
        <f t="shared" si="25"/>
        <v>1027972</v>
      </c>
      <c r="I56" s="329">
        <f t="shared" si="26"/>
        <v>201397</v>
      </c>
      <c r="J56" s="329">
        <f t="shared" si="27"/>
        <v>0</v>
      </c>
      <c r="K56" s="329">
        <f t="shared" si="28"/>
        <v>0</v>
      </c>
      <c r="L56" s="329">
        <f t="shared" si="29"/>
        <v>0</v>
      </c>
      <c r="M56" s="333">
        <f t="shared" si="23"/>
        <v>0</v>
      </c>
      <c r="N56" s="332" t="s">
        <v>1330</v>
      </c>
      <c r="O56" s="287">
        <v>2.63</v>
      </c>
      <c r="P56" s="287" t="s">
        <v>379</v>
      </c>
      <c r="Q56" s="287">
        <v>1.1299999999999999</v>
      </c>
      <c r="R56" s="287" t="s">
        <v>2129</v>
      </c>
      <c r="S56" s="287">
        <v>1</v>
      </c>
      <c r="X56" s="332"/>
      <c r="AC56" s="332"/>
    </row>
    <row r="57" spans="2:29" hidden="1">
      <c r="B57" s="332" t="s">
        <v>2190</v>
      </c>
      <c r="C57" s="328" t="s">
        <v>2131</v>
      </c>
      <c r="D57" s="329" t="s">
        <v>2421</v>
      </c>
      <c r="E57" s="328" t="s">
        <v>11</v>
      </c>
      <c r="F57" s="329">
        <f>'7.CT-TBA'!H287</f>
        <v>0</v>
      </c>
      <c r="G57" s="329">
        <f t="shared" si="24"/>
        <v>3562</v>
      </c>
      <c r="H57" s="329">
        <f t="shared" si="25"/>
        <v>273830</v>
      </c>
      <c r="I57" s="329">
        <f t="shared" si="26"/>
        <v>44070</v>
      </c>
      <c r="J57" s="329">
        <f t="shared" si="27"/>
        <v>0</v>
      </c>
      <c r="K57" s="329">
        <f t="shared" si="28"/>
        <v>0</v>
      </c>
      <c r="L57" s="329">
        <f t="shared" si="29"/>
        <v>0</v>
      </c>
      <c r="M57" s="333">
        <f t="shared" si="23"/>
        <v>0</v>
      </c>
      <c r="N57" s="332" t="s">
        <v>1328</v>
      </c>
      <c r="O57" s="287">
        <v>0.79200000000000004</v>
      </c>
      <c r="P57" s="287" t="s">
        <v>12</v>
      </c>
      <c r="Q57" s="287">
        <v>0.33600000000000002</v>
      </c>
      <c r="R57" s="287" t="s">
        <v>2129</v>
      </c>
      <c r="S57" s="287">
        <v>1</v>
      </c>
      <c r="X57" s="332"/>
      <c r="AC57" s="332"/>
    </row>
    <row r="58" spans="2:29" hidden="1">
      <c r="B58" s="332" t="s">
        <v>2190</v>
      </c>
      <c r="C58" s="328" t="s">
        <v>2131</v>
      </c>
      <c r="D58" s="329" t="s">
        <v>2423</v>
      </c>
      <c r="E58" s="328" t="s">
        <v>11</v>
      </c>
      <c r="F58" s="329">
        <f>'7.CT-TBA'!H286</f>
        <v>0</v>
      </c>
      <c r="G58" s="329">
        <f t="shared" si="24"/>
        <v>3562</v>
      </c>
      <c r="H58" s="329">
        <f t="shared" si="25"/>
        <v>273830</v>
      </c>
      <c r="I58" s="329">
        <f t="shared" si="26"/>
        <v>44070</v>
      </c>
      <c r="J58" s="329">
        <f t="shared" si="27"/>
        <v>0</v>
      </c>
      <c r="K58" s="329">
        <f t="shared" si="28"/>
        <v>0</v>
      </c>
      <c r="L58" s="329">
        <f t="shared" si="29"/>
        <v>0</v>
      </c>
      <c r="M58" s="333">
        <f t="shared" si="23"/>
        <v>0</v>
      </c>
      <c r="N58" s="332" t="s">
        <v>1328</v>
      </c>
      <c r="O58" s="287">
        <v>0.79200000000000004</v>
      </c>
      <c r="P58" s="287" t="s">
        <v>12</v>
      </c>
      <c r="Q58" s="287">
        <v>0.33600000000000002</v>
      </c>
      <c r="R58" s="287" t="s">
        <v>2129</v>
      </c>
      <c r="S58" s="287">
        <v>1</v>
      </c>
      <c r="X58" s="332"/>
      <c r="AC58" s="332"/>
    </row>
    <row r="59" spans="2:29" hidden="1">
      <c r="B59" s="332" t="s">
        <v>2190</v>
      </c>
      <c r="C59" s="328" t="s">
        <v>2131</v>
      </c>
      <c r="D59" s="329" t="s">
        <v>2424</v>
      </c>
      <c r="E59" s="328" t="s">
        <v>11</v>
      </c>
      <c r="F59" s="329"/>
      <c r="G59" s="329">
        <f t="shared" si="24"/>
        <v>3562</v>
      </c>
      <c r="H59" s="329">
        <f t="shared" si="25"/>
        <v>273830</v>
      </c>
      <c r="I59" s="329">
        <f t="shared" si="26"/>
        <v>44070</v>
      </c>
      <c r="J59" s="329">
        <f t="shared" si="27"/>
        <v>0</v>
      </c>
      <c r="K59" s="329">
        <f t="shared" si="28"/>
        <v>0</v>
      </c>
      <c r="L59" s="329">
        <f t="shared" si="29"/>
        <v>0</v>
      </c>
      <c r="M59" s="333">
        <f t="shared" si="23"/>
        <v>0</v>
      </c>
      <c r="N59" s="332" t="s">
        <v>1328</v>
      </c>
      <c r="O59" s="287">
        <v>0.79200000000000004</v>
      </c>
      <c r="P59" s="287" t="s">
        <v>12</v>
      </c>
      <c r="Q59" s="287">
        <v>0.33600000000000002</v>
      </c>
      <c r="R59" s="287" t="s">
        <v>2129</v>
      </c>
      <c r="S59" s="287">
        <v>1</v>
      </c>
      <c r="X59" s="332"/>
      <c r="AC59" s="332"/>
    </row>
    <row r="60" spans="2:29" hidden="1">
      <c r="B60" s="332" t="s">
        <v>2191</v>
      </c>
      <c r="C60" s="328" t="s">
        <v>2151</v>
      </c>
      <c r="D60" s="329" t="s">
        <v>2422</v>
      </c>
      <c r="E60" s="328" t="s">
        <v>11</v>
      </c>
      <c r="F60" s="329"/>
      <c r="G60" s="329">
        <f t="shared" si="24"/>
        <v>5073</v>
      </c>
      <c r="H60" s="329">
        <f t="shared" si="25"/>
        <v>308745</v>
      </c>
      <c r="I60" s="329">
        <f t="shared" si="26"/>
        <v>62790</v>
      </c>
      <c r="J60" s="329">
        <f t="shared" si="27"/>
        <v>0</v>
      </c>
      <c r="K60" s="329">
        <f t="shared" si="28"/>
        <v>0</v>
      </c>
      <c r="L60" s="329">
        <f t="shared" si="29"/>
        <v>0</v>
      </c>
      <c r="M60" s="333">
        <f t="shared" si="23"/>
        <v>0</v>
      </c>
      <c r="N60" s="332" t="s">
        <v>1328</v>
      </c>
      <c r="O60" s="287">
        <v>0.88800000000000001</v>
      </c>
      <c r="P60" s="287" t="s">
        <v>12</v>
      </c>
      <c r="Q60" s="287">
        <v>0.38400000000000001</v>
      </c>
      <c r="R60" s="287" t="s">
        <v>2129</v>
      </c>
      <c r="S60" s="287">
        <v>1</v>
      </c>
      <c r="X60" s="332"/>
      <c r="AC60" s="332"/>
    </row>
    <row r="61" spans="2:29" hidden="1">
      <c r="B61" s="332" t="s">
        <v>2188</v>
      </c>
      <c r="C61" s="328" t="s">
        <v>2127</v>
      </c>
      <c r="D61" s="329" t="s">
        <v>2143</v>
      </c>
      <c r="E61" s="328" t="s">
        <v>11</v>
      </c>
      <c r="F61" s="329">
        <f>'7.CT-TBA'!H284</f>
        <v>0</v>
      </c>
      <c r="G61" s="329">
        <f t="shared" si="24"/>
        <v>520</v>
      </c>
      <c r="H61" s="329">
        <f t="shared" si="25"/>
        <v>45165</v>
      </c>
      <c r="I61" s="329">
        <f t="shared" si="26"/>
        <v>1847</v>
      </c>
      <c r="J61" s="329">
        <f t="shared" si="27"/>
        <v>0</v>
      </c>
      <c r="K61" s="329">
        <f t="shared" si="28"/>
        <v>0</v>
      </c>
      <c r="L61" s="329">
        <f t="shared" si="29"/>
        <v>0</v>
      </c>
      <c r="M61" s="333">
        <f t="shared" si="23"/>
        <v>0</v>
      </c>
      <c r="N61" s="332" t="s">
        <v>1330</v>
      </c>
      <c r="O61" s="287">
        <v>2.89</v>
      </c>
      <c r="P61" s="287" t="s">
        <v>379</v>
      </c>
      <c r="Q61" s="287">
        <v>1.24</v>
      </c>
      <c r="R61" s="287" t="s">
        <v>2129</v>
      </c>
      <c r="S61" s="287">
        <f>S10</f>
        <v>4.0000000000000008E-2</v>
      </c>
      <c r="X61" s="332"/>
      <c r="AC61" s="332"/>
    </row>
    <row r="62" spans="2:29" hidden="1">
      <c r="B62" s="332" t="s">
        <v>2189</v>
      </c>
      <c r="C62" s="328" t="s">
        <v>2135</v>
      </c>
      <c r="D62" s="329" t="s">
        <v>945</v>
      </c>
      <c r="E62" s="328" t="s">
        <v>11</v>
      </c>
      <c r="F62" s="329">
        <f>'7.CT-TBA'!H285</f>
        <v>0</v>
      </c>
      <c r="G62" s="329">
        <f t="shared" si="24"/>
        <v>2578</v>
      </c>
      <c r="H62" s="329">
        <f t="shared" si="25"/>
        <v>94186</v>
      </c>
      <c r="I62" s="329">
        <f t="shared" si="26"/>
        <v>19746</v>
      </c>
      <c r="J62" s="329">
        <f t="shared" si="27"/>
        <v>0</v>
      </c>
      <c r="K62" s="329">
        <f t="shared" si="28"/>
        <v>0</v>
      </c>
      <c r="L62" s="329">
        <f t="shared" si="29"/>
        <v>0</v>
      </c>
      <c r="M62" s="333">
        <f t="shared" si="23"/>
        <v>0</v>
      </c>
      <c r="N62" s="332" t="s">
        <v>1330</v>
      </c>
      <c r="O62" s="287">
        <v>0.28000000000000003</v>
      </c>
      <c r="P62" s="287" t="s">
        <v>379</v>
      </c>
      <c r="Q62" s="287">
        <v>0.15</v>
      </c>
      <c r="R62" s="287" t="s">
        <v>2129</v>
      </c>
      <c r="S62" s="287">
        <f>S17</f>
        <v>0.8</v>
      </c>
      <c r="X62" s="332"/>
      <c r="AC62" s="332"/>
    </row>
    <row r="63" spans="2:29" hidden="1">
      <c r="B63" s="332" t="s">
        <v>2090</v>
      </c>
      <c r="C63" s="344">
        <f>IF(SUM(J63:L63)&lt;&gt;0,C41+1,C41)</f>
        <v>0</v>
      </c>
      <c r="D63" s="345" t="str">
        <f>VLOOKUP(B63,XLTBA,'6.XL-TR'!$D$2,0)</f>
        <v>0 Trạm 1 pha 50kVA</v>
      </c>
      <c r="E63" s="344"/>
      <c r="F63" s="345"/>
      <c r="G63" s="345"/>
      <c r="H63" s="345"/>
      <c r="I63" s="345"/>
      <c r="J63" s="345">
        <f>SUM(J64:J73)</f>
        <v>0</v>
      </c>
      <c r="K63" s="345">
        <f>SUM(K64:K73)</f>
        <v>0</v>
      </c>
      <c r="L63" s="345">
        <f>SUM(L64:L73)</f>
        <v>0</v>
      </c>
      <c r="M63" s="333">
        <f t="shared" si="3"/>
        <v>0</v>
      </c>
      <c r="X63" s="332"/>
      <c r="AC63" s="332"/>
    </row>
    <row r="64" spans="2:29" hidden="1">
      <c r="B64" s="332" t="s">
        <v>2192</v>
      </c>
      <c r="C64" s="328" t="s">
        <v>2144</v>
      </c>
      <c r="D64" s="329" t="s">
        <v>2145</v>
      </c>
      <c r="E64" s="328" t="s">
        <v>2134</v>
      </c>
      <c r="F64" s="329"/>
      <c r="G64" s="329">
        <f t="shared" ref="G64:G73" si="30">ROUND(VLOOKUP(B64,DGTN,$Z$278,0)*S64,0)</f>
        <v>25808</v>
      </c>
      <c r="H64" s="329">
        <f t="shared" ref="H64:H73" si="31">ROUND((VLOOKUP(N64,DGNC,5,0)*O64+VLOOKUP(P64,DGNC,5,0)*Q64)*S64,0)</f>
        <v>1134066</v>
      </c>
      <c r="I64" s="329">
        <f t="shared" ref="I64:I73" si="32">ROUND(VLOOKUP(B64,DGTN,$AE$278,0)*S64,0)</f>
        <v>28346</v>
      </c>
      <c r="J64" s="329">
        <f t="shared" ref="J64:J73" si="33">$F64*G64</f>
        <v>0</v>
      </c>
      <c r="K64" s="329">
        <f t="shared" ref="K64:K73" si="34">$F64*H64</f>
        <v>0</v>
      </c>
      <c r="L64" s="329">
        <f t="shared" ref="L64:L73" si="35">$F64*I64</f>
        <v>0</v>
      </c>
      <c r="M64" s="333">
        <f t="shared" si="3"/>
        <v>0</v>
      </c>
      <c r="N64" s="332" t="s">
        <v>1328</v>
      </c>
      <c r="O64" s="287">
        <v>3.04</v>
      </c>
      <c r="P64" s="287" t="s">
        <v>12</v>
      </c>
      <c r="Q64" s="287">
        <v>1.64</v>
      </c>
      <c r="R64" s="287" t="s">
        <v>2129</v>
      </c>
      <c r="S64" s="287">
        <v>1</v>
      </c>
      <c r="X64" s="332"/>
      <c r="AC64" s="332"/>
    </row>
    <row r="65" spans="2:29" hidden="1">
      <c r="B65" s="332" t="s">
        <v>2196</v>
      </c>
      <c r="C65" s="328" t="s">
        <v>2146</v>
      </c>
      <c r="D65" s="329" t="s">
        <v>2147</v>
      </c>
      <c r="E65" s="328" t="s">
        <v>2148</v>
      </c>
      <c r="F65" s="329"/>
      <c r="G65" s="329">
        <f t="shared" si="30"/>
        <v>29735</v>
      </c>
      <c r="H65" s="329">
        <f t="shared" si="31"/>
        <v>1027972</v>
      </c>
      <c r="I65" s="329">
        <f t="shared" si="32"/>
        <v>201397</v>
      </c>
      <c r="J65" s="329">
        <f t="shared" si="33"/>
        <v>0</v>
      </c>
      <c r="K65" s="329">
        <f t="shared" si="34"/>
        <v>0</v>
      </c>
      <c r="L65" s="329">
        <f t="shared" si="35"/>
        <v>0</v>
      </c>
      <c r="M65" s="333">
        <f t="shared" si="3"/>
        <v>0</v>
      </c>
      <c r="N65" s="332" t="s">
        <v>1330</v>
      </c>
      <c r="O65" s="287">
        <v>2.63</v>
      </c>
      <c r="P65" s="287" t="s">
        <v>379</v>
      </c>
      <c r="Q65" s="287">
        <v>1.1299999999999999</v>
      </c>
      <c r="R65" s="287" t="s">
        <v>2129</v>
      </c>
      <c r="S65" s="287">
        <v>1</v>
      </c>
      <c r="X65" s="332"/>
      <c r="AC65" s="332"/>
    </row>
    <row r="66" spans="2:29" hidden="1">
      <c r="B66" s="332" t="s">
        <v>2196</v>
      </c>
      <c r="C66" s="328" t="s">
        <v>2146</v>
      </c>
      <c r="D66" s="329" t="s">
        <v>2149</v>
      </c>
      <c r="E66" s="328" t="s">
        <v>2148</v>
      </c>
      <c r="F66" s="329"/>
      <c r="G66" s="329">
        <f t="shared" si="30"/>
        <v>29735</v>
      </c>
      <c r="H66" s="329">
        <f t="shared" si="31"/>
        <v>1027972</v>
      </c>
      <c r="I66" s="329">
        <f t="shared" si="32"/>
        <v>201397</v>
      </c>
      <c r="J66" s="329">
        <f t="shared" si="33"/>
        <v>0</v>
      </c>
      <c r="K66" s="329">
        <f t="shared" si="34"/>
        <v>0</v>
      </c>
      <c r="L66" s="329">
        <f t="shared" si="35"/>
        <v>0</v>
      </c>
      <c r="M66" s="333">
        <f t="shared" si="3"/>
        <v>0</v>
      </c>
      <c r="N66" s="332" t="s">
        <v>1330</v>
      </c>
      <c r="O66" s="287">
        <v>2.63</v>
      </c>
      <c r="P66" s="287" t="s">
        <v>379</v>
      </c>
      <c r="Q66" s="287">
        <v>1.1299999999999999</v>
      </c>
      <c r="R66" s="287" t="s">
        <v>2129</v>
      </c>
      <c r="S66" s="287">
        <v>1</v>
      </c>
      <c r="X66" s="332"/>
      <c r="AC66" s="332"/>
    </row>
    <row r="67" spans="2:29" hidden="1">
      <c r="B67" s="332" t="s">
        <v>2196</v>
      </c>
      <c r="C67" s="328" t="s">
        <v>2146</v>
      </c>
      <c r="D67" s="329" t="s">
        <v>2150</v>
      </c>
      <c r="E67" s="328" t="s">
        <v>2148</v>
      </c>
      <c r="F67" s="329"/>
      <c r="G67" s="329">
        <f t="shared" si="30"/>
        <v>29735</v>
      </c>
      <c r="H67" s="329">
        <f t="shared" si="31"/>
        <v>1027972</v>
      </c>
      <c r="I67" s="329">
        <f t="shared" si="32"/>
        <v>201397</v>
      </c>
      <c r="J67" s="329">
        <f t="shared" si="33"/>
        <v>0</v>
      </c>
      <c r="K67" s="329">
        <f t="shared" si="34"/>
        <v>0</v>
      </c>
      <c r="L67" s="329">
        <f t="shared" si="35"/>
        <v>0</v>
      </c>
      <c r="M67" s="333">
        <f t="shared" si="3"/>
        <v>0</v>
      </c>
      <c r="N67" s="332" t="s">
        <v>1330</v>
      </c>
      <c r="O67" s="287">
        <v>2.63</v>
      </c>
      <c r="P67" s="287" t="s">
        <v>379</v>
      </c>
      <c r="Q67" s="287">
        <v>1.1299999999999999</v>
      </c>
      <c r="R67" s="287" t="s">
        <v>2129</v>
      </c>
      <c r="S67" s="287">
        <v>1</v>
      </c>
      <c r="X67" s="332"/>
      <c r="AC67" s="332"/>
    </row>
    <row r="68" spans="2:29" hidden="1">
      <c r="B68" s="332" t="s">
        <v>2190</v>
      </c>
      <c r="C68" s="328" t="s">
        <v>2131</v>
      </c>
      <c r="D68" s="329" t="s">
        <v>2421</v>
      </c>
      <c r="E68" s="328" t="s">
        <v>11</v>
      </c>
      <c r="F68" s="329"/>
      <c r="G68" s="329">
        <f t="shared" si="30"/>
        <v>3562</v>
      </c>
      <c r="H68" s="329">
        <f t="shared" si="31"/>
        <v>273830</v>
      </c>
      <c r="I68" s="329">
        <f t="shared" si="32"/>
        <v>44070</v>
      </c>
      <c r="J68" s="329">
        <f t="shared" si="33"/>
        <v>0</v>
      </c>
      <c r="K68" s="329">
        <f t="shared" si="34"/>
        <v>0</v>
      </c>
      <c r="L68" s="329">
        <f t="shared" si="35"/>
        <v>0</v>
      </c>
      <c r="M68" s="333">
        <f t="shared" si="3"/>
        <v>0</v>
      </c>
      <c r="N68" s="332" t="s">
        <v>1328</v>
      </c>
      <c r="O68" s="287">
        <v>0.79200000000000004</v>
      </c>
      <c r="P68" s="287" t="s">
        <v>12</v>
      </c>
      <c r="Q68" s="287">
        <v>0.33600000000000002</v>
      </c>
      <c r="R68" s="287" t="s">
        <v>2129</v>
      </c>
      <c r="S68" s="287">
        <v>1</v>
      </c>
      <c r="X68" s="332"/>
      <c r="AC68" s="332"/>
    </row>
    <row r="69" spans="2:29" hidden="1">
      <c r="B69" s="332" t="s">
        <v>2190</v>
      </c>
      <c r="C69" s="328" t="s">
        <v>2131</v>
      </c>
      <c r="D69" s="329" t="s">
        <v>2423</v>
      </c>
      <c r="E69" s="328" t="s">
        <v>11</v>
      </c>
      <c r="F69" s="329"/>
      <c r="G69" s="329">
        <f t="shared" si="30"/>
        <v>3562</v>
      </c>
      <c r="H69" s="329">
        <f t="shared" si="31"/>
        <v>273830</v>
      </c>
      <c r="I69" s="329">
        <f t="shared" si="32"/>
        <v>44070</v>
      </c>
      <c r="J69" s="329">
        <f t="shared" si="33"/>
        <v>0</v>
      </c>
      <c r="K69" s="329">
        <f t="shared" si="34"/>
        <v>0</v>
      </c>
      <c r="L69" s="329">
        <f t="shared" si="35"/>
        <v>0</v>
      </c>
      <c r="M69" s="333">
        <f t="shared" si="3"/>
        <v>0</v>
      </c>
      <c r="N69" s="332" t="s">
        <v>1328</v>
      </c>
      <c r="O69" s="287">
        <v>0.79200000000000004</v>
      </c>
      <c r="P69" s="287" t="s">
        <v>12</v>
      </c>
      <c r="Q69" s="287">
        <v>0.33600000000000002</v>
      </c>
      <c r="R69" s="287" t="s">
        <v>2129</v>
      </c>
      <c r="S69" s="287">
        <v>1</v>
      </c>
      <c r="X69" s="332"/>
      <c r="AC69" s="332"/>
    </row>
    <row r="70" spans="2:29" hidden="1">
      <c r="B70" s="332" t="s">
        <v>2190</v>
      </c>
      <c r="C70" s="328" t="s">
        <v>2131</v>
      </c>
      <c r="D70" s="329" t="s">
        <v>2424</v>
      </c>
      <c r="E70" s="328" t="s">
        <v>11</v>
      </c>
      <c r="F70" s="329"/>
      <c r="G70" s="329">
        <f t="shared" si="30"/>
        <v>3562</v>
      </c>
      <c r="H70" s="329">
        <f t="shared" si="31"/>
        <v>273830</v>
      </c>
      <c r="I70" s="329">
        <f t="shared" si="32"/>
        <v>44070</v>
      </c>
      <c r="J70" s="329">
        <f t="shared" si="33"/>
        <v>0</v>
      </c>
      <c r="K70" s="329">
        <f t="shared" si="34"/>
        <v>0</v>
      </c>
      <c r="L70" s="329">
        <f t="shared" si="35"/>
        <v>0</v>
      </c>
      <c r="M70" s="333">
        <f t="shared" si="3"/>
        <v>0</v>
      </c>
      <c r="N70" s="332" t="s">
        <v>1328</v>
      </c>
      <c r="O70" s="287">
        <v>0.79200000000000004</v>
      </c>
      <c r="P70" s="287" t="s">
        <v>12</v>
      </c>
      <c r="Q70" s="287">
        <v>0.33600000000000002</v>
      </c>
      <c r="R70" s="287" t="s">
        <v>2129</v>
      </c>
      <c r="S70" s="287">
        <v>1</v>
      </c>
      <c r="X70" s="332"/>
      <c r="AC70" s="332"/>
    </row>
    <row r="71" spans="2:29" hidden="1">
      <c r="B71" s="332" t="s">
        <v>2191</v>
      </c>
      <c r="C71" s="328" t="s">
        <v>2151</v>
      </c>
      <c r="D71" s="329" t="s">
        <v>2422</v>
      </c>
      <c r="E71" s="328" t="s">
        <v>11</v>
      </c>
      <c r="F71" s="329"/>
      <c r="G71" s="329">
        <f t="shared" si="30"/>
        <v>5073</v>
      </c>
      <c r="H71" s="329">
        <f t="shared" si="31"/>
        <v>308745</v>
      </c>
      <c r="I71" s="329">
        <f t="shared" si="32"/>
        <v>62790</v>
      </c>
      <c r="J71" s="329">
        <f t="shared" si="33"/>
        <v>0</v>
      </c>
      <c r="K71" s="329">
        <f t="shared" si="34"/>
        <v>0</v>
      </c>
      <c r="L71" s="329">
        <f t="shared" si="35"/>
        <v>0</v>
      </c>
      <c r="M71" s="333">
        <f t="shared" si="3"/>
        <v>0</v>
      </c>
      <c r="N71" s="332" t="s">
        <v>1328</v>
      </c>
      <c r="O71" s="287">
        <v>0.88800000000000001</v>
      </c>
      <c r="P71" s="287" t="s">
        <v>12</v>
      </c>
      <c r="Q71" s="287">
        <v>0.38400000000000001</v>
      </c>
      <c r="R71" s="287" t="s">
        <v>2129</v>
      </c>
      <c r="S71" s="287">
        <v>1</v>
      </c>
      <c r="X71" s="332"/>
      <c r="AC71" s="332"/>
    </row>
    <row r="72" spans="2:29" hidden="1">
      <c r="B72" s="332" t="s">
        <v>2188</v>
      </c>
      <c r="C72" s="328" t="s">
        <v>2127</v>
      </c>
      <c r="D72" s="329" t="s">
        <v>2143</v>
      </c>
      <c r="E72" s="328" t="s">
        <v>11</v>
      </c>
      <c r="F72" s="329"/>
      <c r="G72" s="329">
        <f t="shared" si="30"/>
        <v>5205</v>
      </c>
      <c r="H72" s="329">
        <f t="shared" si="31"/>
        <v>451648</v>
      </c>
      <c r="I72" s="329">
        <f t="shared" si="32"/>
        <v>18474</v>
      </c>
      <c r="J72" s="329">
        <f t="shared" si="33"/>
        <v>0</v>
      </c>
      <c r="K72" s="329">
        <f t="shared" si="34"/>
        <v>0</v>
      </c>
      <c r="L72" s="329">
        <f t="shared" si="35"/>
        <v>0</v>
      </c>
      <c r="M72" s="333">
        <f t="shared" si="3"/>
        <v>0</v>
      </c>
      <c r="N72" s="332" t="s">
        <v>1330</v>
      </c>
      <c r="O72" s="287">
        <v>2.89</v>
      </c>
      <c r="P72" s="287" t="s">
        <v>379</v>
      </c>
      <c r="Q72" s="287">
        <v>1.24</v>
      </c>
      <c r="R72" s="287" t="s">
        <v>2129</v>
      </c>
      <c r="S72" s="287">
        <v>0.4</v>
      </c>
      <c r="X72" s="332"/>
      <c r="AC72" s="332"/>
    </row>
    <row r="73" spans="2:29" hidden="1">
      <c r="B73" s="332" t="s">
        <v>2189</v>
      </c>
      <c r="C73" s="328" t="s">
        <v>2135</v>
      </c>
      <c r="D73" s="329" t="s">
        <v>945</v>
      </c>
      <c r="E73" s="328" t="s">
        <v>11</v>
      </c>
      <c r="F73" s="329"/>
      <c r="G73" s="329">
        <f t="shared" si="30"/>
        <v>3223</v>
      </c>
      <c r="H73" s="329">
        <f t="shared" si="31"/>
        <v>117733</v>
      </c>
      <c r="I73" s="329">
        <f t="shared" si="32"/>
        <v>24683</v>
      </c>
      <c r="J73" s="329">
        <f t="shared" si="33"/>
        <v>0</v>
      </c>
      <c r="K73" s="329">
        <f t="shared" si="34"/>
        <v>0</v>
      </c>
      <c r="L73" s="329">
        <f t="shared" si="35"/>
        <v>0</v>
      </c>
      <c r="M73" s="333">
        <f t="shared" si="3"/>
        <v>0</v>
      </c>
      <c r="N73" s="332" t="s">
        <v>1330</v>
      </c>
      <c r="O73" s="287">
        <v>0.28000000000000003</v>
      </c>
      <c r="P73" s="287" t="s">
        <v>379</v>
      </c>
      <c r="Q73" s="287">
        <v>0.15</v>
      </c>
      <c r="R73" s="287" t="s">
        <v>2129</v>
      </c>
      <c r="S73" s="287">
        <v>1</v>
      </c>
      <c r="X73" s="332"/>
      <c r="AC73" s="332"/>
    </row>
    <row r="74" spans="2:29" hidden="1">
      <c r="B74" s="332" t="s">
        <v>2813</v>
      </c>
      <c r="C74" s="344">
        <f>IF(SUM(J74:L74)&lt;&gt;0,C52+1,C52)</f>
        <v>0</v>
      </c>
      <c r="D74" s="345" t="str">
        <f>VLOOKUP(B74,XLTBA,'6.XL-TR'!$D$2,0)</f>
        <v>0 Trạm 1 pha 2x37,5kVA</v>
      </c>
      <c r="E74" s="344"/>
      <c r="F74" s="345"/>
      <c r="G74" s="345"/>
      <c r="H74" s="345"/>
      <c r="I74" s="345"/>
      <c r="J74" s="345">
        <f>SUM(J75:J84)</f>
        <v>0</v>
      </c>
      <c r="K74" s="345">
        <f>SUM(K75:K84)</f>
        <v>0</v>
      </c>
      <c r="L74" s="345">
        <f>SUM(L75:L84)</f>
        <v>0</v>
      </c>
      <c r="M74" s="333">
        <f t="shared" ref="M74:M84" si="36">IF(SUM(J74:L74)&lt;&gt;0,1,)</f>
        <v>0</v>
      </c>
      <c r="X74" s="332"/>
      <c r="AC74" s="332"/>
    </row>
    <row r="75" spans="2:29" hidden="1">
      <c r="B75" s="332" t="s">
        <v>2192</v>
      </c>
      <c r="C75" s="328" t="s">
        <v>2144</v>
      </c>
      <c r="D75" s="329" t="s">
        <v>2145</v>
      </c>
      <c r="E75" s="328" t="s">
        <v>2134</v>
      </c>
      <c r="F75" s="329"/>
      <c r="G75" s="329">
        <f t="shared" ref="G75:G84" si="37">ROUND(VLOOKUP(B75,DGTN,$Z$278,0)*S75,0)</f>
        <v>25808</v>
      </c>
      <c r="H75" s="329">
        <f t="shared" ref="H75:H84" si="38">ROUND((VLOOKUP(N75,DGNC,5,0)*O75+VLOOKUP(P75,DGNC,5,0)*Q75)*S75,0)</f>
        <v>1134066</v>
      </c>
      <c r="I75" s="329">
        <f t="shared" ref="I75:I84" si="39">ROUND(VLOOKUP(B75,DGTN,$AE$278,0)*S75,0)</f>
        <v>28346</v>
      </c>
      <c r="J75" s="329">
        <f t="shared" ref="J75:J84" si="40">$F75*G75</f>
        <v>0</v>
      </c>
      <c r="K75" s="329">
        <f t="shared" ref="K75:K84" si="41">$F75*H75</f>
        <v>0</v>
      </c>
      <c r="L75" s="329">
        <f t="shared" ref="L75:L84" si="42">$F75*I75</f>
        <v>0</v>
      </c>
      <c r="M75" s="333">
        <f t="shared" si="36"/>
        <v>0</v>
      </c>
      <c r="N75" s="332" t="s">
        <v>1328</v>
      </c>
      <c r="O75" s="287">
        <v>3.04</v>
      </c>
      <c r="P75" s="287" t="s">
        <v>12</v>
      </c>
      <c r="Q75" s="287">
        <v>1.64</v>
      </c>
      <c r="R75" s="287" t="s">
        <v>2129</v>
      </c>
      <c r="S75" s="287">
        <v>1</v>
      </c>
      <c r="X75" s="332"/>
      <c r="AC75" s="332"/>
    </row>
    <row r="76" spans="2:29" hidden="1">
      <c r="B76" s="332" t="s">
        <v>2196</v>
      </c>
      <c r="C76" s="328" t="s">
        <v>2146</v>
      </c>
      <c r="D76" s="329" t="s">
        <v>2147</v>
      </c>
      <c r="E76" s="328" t="s">
        <v>2148</v>
      </c>
      <c r="F76" s="329"/>
      <c r="G76" s="329">
        <f t="shared" si="37"/>
        <v>29735</v>
      </c>
      <c r="H76" s="329">
        <f t="shared" si="38"/>
        <v>1027972</v>
      </c>
      <c r="I76" s="329">
        <f t="shared" si="39"/>
        <v>201397</v>
      </c>
      <c r="J76" s="329">
        <f t="shared" si="40"/>
        <v>0</v>
      </c>
      <c r="K76" s="329">
        <f t="shared" si="41"/>
        <v>0</v>
      </c>
      <c r="L76" s="329">
        <f t="shared" si="42"/>
        <v>0</v>
      </c>
      <c r="M76" s="333">
        <f t="shared" si="36"/>
        <v>0</v>
      </c>
      <c r="N76" s="332" t="s">
        <v>1330</v>
      </c>
      <c r="O76" s="287">
        <v>2.63</v>
      </c>
      <c r="P76" s="287" t="s">
        <v>379</v>
      </c>
      <c r="Q76" s="287">
        <v>1.1299999999999999</v>
      </c>
      <c r="R76" s="287" t="s">
        <v>2129</v>
      </c>
      <c r="S76" s="287">
        <v>1</v>
      </c>
      <c r="X76" s="332"/>
      <c r="AC76" s="332"/>
    </row>
    <row r="77" spans="2:29" hidden="1">
      <c r="B77" s="332" t="s">
        <v>2196</v>
      </c>
      <c r="C77" s="328" t="s">
        <v>2146</v>
      </c>
      <c r="D77" s="329" t="s">
        <v>2149</v>
      </c>
      <c r="E77" s="328" t="s">
        <v>2148</v>
      </c>
      <c r="F77" s="329"/>
      <c r="G77" s="329">
        <f t="shared" si="37"/>
        <v>29735</v>
      </c>
      <c r="H77" s="329">
        <f t="shared" si="38"/>
        <v>1027972</v>
      </c>
      <c r="I77" s="329">
        <f t="shared" si="39"/>
        <v>201397</v>
      </c>
      <c r="J77" s="329">
        <f t="shared" si="40"/>
        <v>0</v>
      </c>
      <c r="K77" s="329">
        <f t="shared" si="41"/>
        <v>0</v>
      </c>
      <c r="L77" s="329">
        <f t="shared" si="42"/>
        <v>0</v>
      </c>
      <c r="M77" s="333">
        <f t="shared" si="36"/>
        <v>0</v>
      </c>
      <c r="N77" s="332" t="s">
        <v>1330</v>
      </c>
      <c r="O77" s="287">
        <v>2.63</v>
      </c>
      <c r="P77" s="287" t="s">
        <v>379</v>
      </c>
      <c r="Q77" s="287">
        <v>1.1299999999999999</v>
      </c>
      <c r="R77" s="287" t="s">
        <v>2129</v>
      </c>
      <c r="S77" s="287">
        <v>1</v>
      </c>
      <c r="X77" s="332"/>
      <c r="AC77" s="332"/>
    </row>
    <row r="78" spans="2:29" hidden="1">
      <c r="B78" s="332" t="s">
        <v>2196</v>
      </c>
      <c r="C78" s="328" t="s">
        <v>2146</v>
      </c>
      <c r="D78" s="329" t="s">
        <v>2150</v>
      </c>
      <c r="E78" s="328" t="s">
        <v>2148</v>
      </c>
      <c r="F78" s="329"/>
      <c r="G78" s="329">
        <f t="shared" si="37"/>
        <v>29735</v>
      </c>
      <c r="H78" s="329">
        <f t="shared" si="38"/>
        <v>1027972</v>
      </c>
      <c r="I78" s="329">
        <f t="shared" si="39"/>
        <v>201397</v>
      </c>
      <c r="J78" s="329">
        <f t="shared" si="40"/>
        <v>0</v>
      </c>
      <c r="K78" s="329">
        <f t="shared" si="41"/>
        <v>0</v>
      </c>
      <c r="L78" s="329">
        <f t="shared" si="42"/>
        <v>0</v>
      </c>
      <c r="M78" s="333">
        <f t="shared" si="36"/>
        <v>0</v>
      </c>
      <c r="N78" s="332" t="s">
        <v>1330</v>
      </c>
      <c r="O78" s="287">
        <v>2.63</v>
      </c>
      <c r="P78" s="287" t="s">
        <v>379</v>
      </c>
      <c r="Q78" s="287">
        <v>1.1299999999999999</v>
      </c>
      <c r="R78" s="287" t="s">
        <v>2129</v>
      </c>
      <c r="S78" s="287">
        <v>1</v>
      </c>
      <c r="X78" s="332"/>
      <c r="AC78" s="332"/>
    </row>
    <row r="79" spans="2:29" hidden="1">
      <c r="B79" s="332" t="s">
        <v>2190</v>
      </c>
      <c r="C79" s="328" t="s">
        <v>2131</v>
      </c>
      <c r="D79" s="329" t="s">
        <v>2421</v>
      </c>
      <c r="E79" s="328" t="s">
        <v>11</v>
      </c>
      <c r="F79" s="329"/>
      <c r="G79" s="329">
        <f t="shared" si="37"/>
        <v>3562</v>
      </c>
      <c r="H79" s="329">
        <f t="shared" si="38"/>
        <v>273830</v>
      </c>
      <c r="I79" s="329">
        <f t="shared" si="39"/>
        <v>44070</v>
      </c>
      <c r="J79" s="329">
        <f t="shared" si="40"/>
        <v>0</v>
      </c>
      <c r="K79" s="329">
        <f t="shared" si="41"/>
        <v>0</v>
      </c>
      <c r="L79" s="329">
        <f t="shared" si="42"/>
        <v>0</v>
      </c>
      <c r="M79" s="333">
        <f t="shared" si="36"/>
        <v>0</v>
      </c>
      <c r="N79" s="332" t="s">
        <v>1328</v>
      </c>
      <c r="O79" s="287">
        <v>0.79200000000000004</v>
      </c>
      <c r="P79" s="287" t="s">
        <v>12</v>
      </c>
      <c r="Q79" s="287">
        <v>0.33600000000000002</v>
      </c>
      <c r="R79" s="287" t="s">
        <v>2129</v>
      </c>
      <c r="S79" s="287">
        <v>1</v>
      </c>
      <c r="X79" s="332"/>
      <c r="AC79" s="332"/>
    </row>
    <row r="80" spans="2:29" hidden="1">
      <c r="B80" s="332" t="s">
        <v>2190</v>
      </c>
      <c r="C80" s="328" t="s">
        <v>2131</v>
      </c>
      <c r="D80" s="329" t="s">
        <v>2987</v>
      </c>
      <c r="E80" s="328" t="s">
        <v>11</v>
      </c>
      <c r="F80" s="329">
        <f>'7.CT-TBA'!H414</f>
        <v>0</v>
      </c>
      <c r="G80" s="329">
        <f t="shared" si="37"/>
        <v>3562</v>
      </c>
      <c r="H80" s="329">
        <f t="shared" si="38"/>
        <v>273830</v>
      </c>
      <c r="I80" s="329">
        <f t="shared" si="39"/>
        <v>44070</v>
      </c>
      <c r="J80" s="329">
        <f t="shared" si="40"/>
        <v>0</v>
      </c>
      <c r="K80" s="329">
        <f t="shared" si="41"/>
        <v>0</v>
      </c>
      <c r="L80" s="329">
        <f t="shared" si="42"/>
        <v>0</v>
      </c>
      <c r="M80" s="333">
        <f t="shared" si="36"/>
        <v>0</v>
      </c>
      <c r="N80" s="332" t="s">
        <v>1328</v>
      </c>
      <c r="O80" s="287">
        <v>0.79200000000000004</v>
      </c>
      <c r="P80" s="287" t="s">
        <v>12</v>
      </c>
      <c r="Q80" s="287">
        <v>0.33600000000000002</v>
      </c>
      <c r="R80" s="287" t="s">
        <v>2129</v>
      </c>
      <c r="S80" s="287">
        <v>1</v>
      </c>
      <c r="X80" s="332"/>
      <c r="AC80" s="332"/>
    </row>
    <row r="81" spans="2:29" hidden="1">
      <c r="B81" s="332" t="s">
        <v>2190</v>
      </c>
      <c r="C81" s="328" t="s">
        <v>2131</v>
      </c>
      <c r="D81" s="329" t="s">
        <v>2424</v>
      </c>
      <c r="E81" s="328" t="s">
        <v>11</v>
      </c>
      <c r="F81" s="329">
        <f>'7.CT-TBA'!H413</f>
        <v>0</v>
      </c>
      <c r="G81" s="329">
        <f t="shared" si="37"/>
        <v>3562</v>
      </c>
      <c r="H81" s="329">
        <f t="shared" si="38"/>
        <v>273830</v>
      </c>
      <c r="I81" s="329">
        <f t="shared" si="39"/>
        <v>44070</v>
      </c>
      <c r="J81" s="329">
        <f t="shared" si="40"/>
        <v>0</v>
      </c>
      <c r="K81" s="329">
        <f t="shared" si="41"/>
        <v>0</v>
      </c>
      <c r="L81" s="329">
        <f t="shared" si="42"/>
        <v>0</v>
      </c>
      <c r="M81" s="333">
        <f t="shared" si="36"/>
        <v>0</v>
      </c>
      <c r="N81" s="332" t="s">
        <v>1328</v>
      </c>
      <c r="O81" s="287">
        <v>0.79200000000000004</v>
      </c>
      <c r="P81" s="287" t="s">
        <v>12</v>
      </c>
      <c r="Q81" s="287">
        <v>0.33600000000000002</v>
      </c>
      <c r="R81" s="287" t="s">
        <v>2129</v>
      </c>
      <c r="S81" s="287">
        <v>1</v>
      </c>
      <c r="X81" s="332"/>
      <c r="AC81" s="332"/>
    </row>
    <row r="82" spans="2:29" hidden="1">
      <c r="B82" s="332" t="s">
        <v>2191</v>
      </c>
      <c r="C82" s="328" t="s">
        <v>2151</v>
      </c>
      <c r="D82" s="329" t="s">
        <v>2422</v>
      </c>
      <c r="E82" s="328" t="s">
        <v>11</v>
      </c>
      <c r="F82" s="329"/>
      <c r="G82" s="329">
        <f t="shared" si="37"/>
        <v>5073</v>
      </c>
      <c r="H82" s="329">
        <f t="shared" si="38"/>
        <v>308745</v>
      </c>
      <c r="I82" s="329">
        <f t="shared" si="39"/>
        <v>62790</v>
      </c>
      <c r="J82" s="329">
        <f t="shared" si="40"/>
        <v>0</v>
      </c>
      <c r="K82" s="329">
        <f t="shared" si="41"/>
        <v>0</v>
      </c>
      <c r="L82" s="329">
        <f t="shared" si="42"/>
        <v>0</v>
      </c>
      <c r="M82" s="333">
        <f t="shared" si="36"/>
        <v>0</v>
      </c>
      <c r="N82" s="332" t="s">
        <v>1328</v>
      </c>
      <c r="O82" s="287">
        <v>0.88800000000000001</v>
      </c>
      <c r="P82" s="287" t="s">
        <v>12</v>
      </c>
      <c r="Q82" s="287">
        <v>0.38400000000000001</v>
      </c>
      <c r="R82" s="287" t="s">
        <v>2129</v>
      </c>
      <c r="S82" s="287">
        <v>1</v>
      </c>
      <c r="X82" s="332"/>
      <c r="AC82" s="332"/>
    </row>
    <row r="83" spans="2:29" hidden="1">
      <c r="B83" s="332" t="s">
        <v>2188</v>
      </c>
      <c r="C83" s="328" t="s">
        <v>2127</v>
      </c>
      <c r="D83" s="329" t="s">
        <v>2143</v>
      </c>
      <c r="E83" s="328" t="s">
        <v>11</v>
      </c>
      <c r="F83" s="329">
        <f>'7.CT-TBA'!H411</f>
        <v>0</v>
      </c>
      <c r="G83" s="329">
        <f t="shared" si="37"/>
        <v>520</v>
      </c>
      <c r="H83" s="329">
        <f t="shared" si="38"/>
        <v>45165</v>
      </c>
      <c r="I83" s="329">
        <f t="shared" si="39"/>
        <v>1847</v>
      </c>
      <c r="J83" s="329">
        <f t="shared" si="40"/>
        <v>0</v>
      </c>
      <c r="K83" s="329">
        <f t="shared" si="41"/>
        <v>0</v>
      </c>
      <c r="L83" s="329">
        <f t="shared" si="42"/>
        <v>0</v>
      </c>
      <c r="M83" s="333">
        <f t="shared" si="36"/>
        <v>0</v>
      </c>
      <c r="N83" s="332" t="s">
        <v>1330</v>
      </c>
      <c r="O83" s="287">
        <v>2.89</v>
      </c>
      <c r="P83" s="287" t="s">
        <v>379</v>
      </c>
      <c r="Q83" s="287">
        <v>1.24</v>
      </c>
      <c r="R83" s="287" t="s">
        <v>2129</v>
      </c>
      <c r="S83" s="287">
        <f>S10</f>
        <v>4.0000000000000008E-2</v>
      </c>
      <c r="X83" s="332"/>
      <c r="AC83" s="332"/>
    </row>
    <row r="84" spans="2:29" hidden="1">
      <c r="B84" s="332" t="s">
        <v>2189</v>
      </c>
      <c r="C84" s="328" t="s">
        <v>2135</v>
      </c>
      <c r="D84" s="329" t="s">
        <v>945</v>
      </c>
      <c r="E84" s="328" t="s">
        <v>11</v>
      </c>
      <c r="F84" s="329">
        <f>'7.CT-TBA'!H412</f>
        <v>0</v>
      </c>
      <c r="G84" s="329">
        <f t="shared" si="37"/>
        <v>2578</v>
      </c>
      <c r="H84" s="329">
        <f t="shared" si="38"/>
        <v>94186</v>
      </c>
      <c r="I84" s="329">
        <f t="shared" si="39"/>
        <v>19746</v>
      </c>
      <c r="J84" s="329">
        <f t="shared" si="40"/>
        <v>0</v>
      </c>
      <c r="K84" s="329">
        <f t="shared" si="41"/>
        <v>0</v>
      </c>
      <c r="L84" s="329">
        <f t="shared" si="42"/>
        <v>0</v>
      </c>
      <c r="M84" s="333">
        <f t="shared" si="36"/>
        <v>0</v>
      </c>
      <c r="N84" s="332" t="s">
        <v>1330</v>
      </c>
      <c r="O84" s="287">
        <v>0.28000000000000003</v>
      </c>
      <c r="P84" s="287" t="s">
        <v>379</v>
      </c>
      <c r="Q84" s="287">
        <v>0.15</v>
      </c>
      <c r="R84" s="287" t="s">
        <v>2129</v>
      </c>
      <c r="S84" s="287">
        <f>S17</f>
        <v>0.8</v>
      </c>
      <c r="X84" s="332"/>
      <c r="AC84" s="332"/>
    </row>
    <row r="85" spans="2:29">
      <c r="B85" s="332" t="s">
        <v>2071</v>
      </c>
      <c r="C85" s="344">
        <f>IF(SUM(J85:L85)&lt;&gt;0,C63+1,C63)</f>
        <v>1</v>
      </c>
      <c r="D85" s="345" t="str">
        <f>VLOOKUP(B85,XLTBA,'6.XL-TR'!$D$2,0)</f>
        <v>3 Trạm 1 pha 75kVA</v>
      </c>
      <c r="E85" s="344"/>
      <c r="F85" s="345"/>
      <c r="G85" s="345"/>
      <c r="H85" s="345"/>
      <c r="I85" s="345"/>
      <c r="J85" s="345">
        <f>SUM(J86:J95)</f>
        <v>111120</v>
      </c>
      <c r="K85" s="345">
        <f>SUM(K86:K95)</f>
        <v>4151133</v>
      </c>
      <c r="L85" s="345">
        <f>SUM(L86:L95)</f>
        <v>815991</v>
      </c>
      <c r="M85" s="333">
        <f t="shared" si="3"/>
        <v>1</v>
      </c>
    </row>
    <row r="86" spans="2:29" hidden="1">
      <c r="B86" s="332" t="s">
        <v>2192</v>
      </c>
      <c r="C86" s="328" t="s">
        <v>2144</v>
      </c>
      <c r="D86" s="329" t="s">
        <v>2145</v>
      </c>
      <c r="E86" s="328" t="s">
        <v>2134</v>
      </c>
      <c r="F86" s="329"/>
      <c r="G86" s="329">
        <f t="shared" ref="G86:G95" si="43">ROUND(VLOOKUP(B86,DGTN,$Z$278,0)*S86,0)</f>
        <v>25808</v>
      </c>
      <c r="H86" s="329">
        <f t="shared" ref="H86:H95" si="44">ROUND((VLOOKUP(N86,DGNC,5,0)*O86+VLOOKUP(P86,DGNC,5,0)*Q86)*S86,0)</f>
        <v>1134066</v>
      </c>
      <c r="I86" s="329">
        <f t="shared" ref="I86:I95" si="45">ROUND(VLOOKUP(B86,DGTN,$AE$278,0)*S86,0)</f>
        <v>28346</v>
      </c>
      <c r="J86" s="329">
        <f t="shared" ref="J86:J95" si="46">$F86*G86</f>
        <v>0</v>
      </c>
      <c r="K86" s="329">
        <f t="shared" ref="K86:K95" si="47">$F86*H86</f>
        <v>0</v>
      </c>
      <c r="L86" s="329">
        <f t="shared" ref="L86:L95" si="48">$F86*I86</f>
        <v>0</v>
      </c>
      <c r="M86" s="333">
        <f t="shared" si="3"/>
        <v>0</v>
      </c>
      <c r="N86" s="332" t="s">
        <v>1328</v>
      </c>
      <c r="O86" s="287">
        <v>3.04</v>
      </c>
      <c r="P86" s="287" t="s">
        <v>12</v>
      </c>
      <c r="Q86" s="287">
        <v>1.64</v>
      </c>
      <c r="R86" s="287" t="s">
        <v>2129</v>
      </c>
      <c r="S86" s="287">
        <v>1</v>
      </c>
      <c r="X86" s="332"/>
      <c r="AC86" s="332"/>
    </row>
    <row r="87" spans="2:29" hidden="1">
      <c r="B87" s="332" t="s">
        <v>2196</v>
      </c>
      <c r="C87" s="328" t="s">
        <v>2146</v>
      </c>
      <c r="D87" s="329" t="s">
        <v>2147</v>
      </c>
      <c r="E87" s="328" t="s">
        <v>2148</v>
      </c>
      <c r="F87" s="329"/>
      <c r="G87" s="329">
        <f t="shared" si="43"/>
        <v>29735</v>
      </c>
      <c r="H87" s="329">
        <f t="shared" si="44"/>
        <v>1027972</v>
      </c>
      <c r="I87" s="329">
        <f t="shared" si="45"/>
        <v>201397</v>
      </c>
      <c r="J87" s="329">
        <f t="shared" si="46"/>
        <v>0</v>
      </c>
      <c r="K87" s="329">
        <f t="shared" si="47"/>
        <v>0</v>
      </c>
      <c r="L87" s="329">
        <f t="shared" si="48"/>
        <v>0</v>
      </c>
      <c r="M87" s="333">
        <f t="shared" si="3"/>
        <v>0</v>
      </c>
      <c r="N87" s="332" t="s">
        <v>1330</v>
      </c>
      <c r="O87" s="287">
        <v>2.63</v>
      </c>
      <c r="P87" s="287" t="s">
        <v>379</v>
      </c>
      <c r="Q87" s="287">
        <v>1.1299999999999999</v>
      </c>
      <c r="R87" s="287" t="s">
        <v>2129</v>
      </c>
      <c r="S87" s="287">
        <v>1</v>
      </c>
      <c r="X87" s="332"/>
      <c r="AC87" s="332"/>
    </row>
    <row r="88" spans="2:29">
      <c r="B88" s="332" t="s">
        <v>2196</v>
      </c>
      <c r="C88" s="328" t="s">
        <v>2146</v>
      </c>
      <c r="D88" s="329" t="s">
        <v>2149</v>
      </c>
      <c r="E88" s="328" t="s">
        <v>2148</v>
      </c>
      <c r="F88" s="329">
        <f>T1P75</f>
        <v>3</v>
      </c>
      <c r="G88" s="329">
        <f t="shared" si="43"/>
        <v>29735</v>
      </c>
      <c r="H88" s="329">
        <f t="shared" si="44"/>
        <v>1027972</v>
      </c>
      <c r="I88" s="329">
        <f t="shared" si="45"/>
        <v>201397</v>
      </c>
      <c r="J88" s="329">
        <f t="shared" si="46"/>
        <v>89205</v>
      </c>
      <c r="K88" s="329">
        <f t="shared" si="47"/>
        <v>3083916</v>
      </c>
      <c r="L88" s="329">
        <f t="shared" si="48"/>
        <v>604191</v>
      </c>
      <c r="M88" s="333">
        <f t="shared" si="3"/>
        <v>1</v>
      </c>
      <c r="N88" s="332" t="s">
        <v>1330</v>
      </c>
      <c r="O88" s="287">
        <v>2.63</v>
      </c>
      <c r="P88" s="287" t="s">
        <v>379</v>
      </c>
      <c r="Q88" s="287">
        <v>1.1299999999999999</v>
      </c>
      <c r="R88" s="287" t="s">
        <v>2129</v>
      </c>
      <c r="S88" s="287">
        <v>1</v>
      </c>
    </row>
    <row r="89" spans="2:29" hidden="1">
      <c r="B89" s="332" t="s">
        <v>2196</v>
      </c>
      <c r="C89" s="328" t="s">
        <v>2146</v>
      </c>
      <c r="D89" s="329" t="s">
        <v>2150</v>
      </c>
      <c r="E89" s="328" t="s">
        <v>2148</v>
      </c>
      <c r="F89" s="329"/>
      <c r="G89" s="329">
        <f t="shared" si="43"/>
        <v>29735</v>
      </c>
      <c r="H89" s="329">
        <f t="shared" si="44"/>
        <v>1027972</v>
      </c>
      <c r="I89" s="329">
        <f t="shared" si="45"/>
        <v>201397</v>
      </c>
      <c r="J89" s="329">
        <f t="shared" si="46"/>
        <v>0</v>
      </c>
      <c r="K89" s="329">
        <f t="shared" si="47"/>
        <v>0</v>
      </c>
      <c r="L89" s="329">
        <f t="shared" si="48"/>
        <v>0</v>
      </c>
      <c r="M89" s="333">
        <f t="shared" si="3"/>
        <v>0</v>
      </c>
      <c r="N89" s="332" t="s">
        <v>1330</v>
      </c>
      <c r="O89" s="287">
        <v>2.63</v>
      </c>
      <c r="P89" s="287" t="s">
        <v>379</v>
      </c>
      <c r="Q89" s="287">
        <v>1.1299999999999999</v>
      </c>
      <c r="R89" s="287" t="s">
        <v>2129</v>
      </c>
      <c r="S89" s="287">
        <v>1</v>
      </c>
      <c r="X89" s="332"/>
      <c r="AC89" s="332"/>
    </row>
    <row r="90" spans="2:29" hidden="1">
      <c r="B90" s="332" t="s">
        <v>2190</v>
      </c>
      <c r="C90" s="328" t="s">
        <v>2131</v>
      </c>
      <c r="D90" s="329" t="s">
        <v>2421</v>
      </c>
      <c r="E90" s="328" t="s">
        <v>11</v>
      </c>
      <c r="F90" s="329"/>
      <c r="G90" s="329">
        <f t="shared" si="43"/>
        <v>3562</v>
      </c>
      <c r="H90" s="329">
        <f t="shared" si="44"/>
        <v>273830</v>
      </c>
      <c r="I90" s="329">
        <f t="shared" si="45"/>
        <v>44070</v>
      </c>
      <c r="J90" s="329">
        <f t="shared" si="46"/>
        <v>0</v>
      </c>
      <c r="K90" s="329">
        <f t="shared" si="47"/>
        <v>0</v>
      </c>
      <c r="L90" s="329">
        <f t="shared" si="48"/>
        <v>0</v>
      </c>
      <c r="M90" s="333">
        <f t="shared" si="3"/>
        <v>0</v>
      </c>
      <c r="N90" s="332" t="s">
        <v>1328</v>
      </c>
      <c r="O90" s="287">
        <v>0.79200000000000004</v>
      </c>
      <c r="P90" s="287" t="s">
        <v>12</v>
      </c>
      <c r="Q90" s="287">
        <v>0.33600000000000002</v>
      </c>
      <c r="R90" s="287" t="s">
        <v>2129</v>
      </c>
      <c r="S90" s="287">
        <v>1</v>
      </c>
      <c r="X90" s="332"/>
      <c r="AC90" s="332"/>
    </row>
    <row r="91" spans="2:29" hidden="1">
      <c r="B91" s="332" t="s">
        <v>2190</v>
      </c>
      <c r="C91" s="328" t="s">
        <v>2131</v>
      </c>
      <c r="D91" s="329" t="s">
        <v>2423</v>
      </c>
      <c r="E91" s="328" t="s">
        <v>11</v>
      </c>
      <c r="F91" s="329"/>
      <c r="G91" s="329">
        <f t="shared" si="43"/>
        <v>3562</v>
      </c>
      <c r="H91" s="329">
        <f t="shared" si="44"/>
        <v>273830</v>
      </c>
      <c r="I91" s="329">
        <f t="shared" si="45"/>
        <v>44070</v>
      </c>
      <c r="J91" s="329">
        <f t="shared" si="46"/>
        <v>0</v>
      </c>
      <c r="K91" s="329">
        <f t="shared" si="47"/>
        <v>0</v>
      </c>
      <c r="L91" s="329">
        <f t="shared" si="48"/>
        <v>0</v>
      </c>
      <c r="M91" s="333">
        <f t="shared" ref="M91:M154" si="49">IF(SUM(J91:L91)&lt;&gt;0,1,)</f>
        <v>0</v>
      </c>
      <c r="N91" s="332" t="s">
        <v>1328</v>
      </c>
      <c r="O91" s="287">
        <v>0.79200000000000004</v>
      </c>
      <c r="P91" s="287" t="s">
        <v>12</v>
      </c>
      <c r="Q91" s="287">
        <v>0.33600000000000002</v>
      </c>
      <c r="R91" s="287" t="s">
        <v>2129</v>
      </c>
      <c r="S91" s="287">
        <v>1</v>
      </c>
      <c r="X91" s="332"/>
      <c r="AC91" s="332"/>
    </row>
    <row r="92" spans="2:29">
      <c r="B92" s="332" t="s">
        <v>2190</v>
      </c>
      <c r="C92" s="328" t="s">
        <v>2131</v>
      </c>
      <c r="D92" s="329" t="s">
        <v>2424</v>
      </c>
      <c r="E92" s="328" t="s">
        <v>11</v>
      </c>
      <c r="F92" s="329">
        <f>T1P75</f>
        <v>3</v>
      </c>
      <c r="G92" s="329">
        <f t="shared" si="43"/>
        <v>3562</v>
      </c>
      <c r="H92" s="515">
        <f t="shared" si="44"/>
        <v>228192</v>
      </c>
      <c r="I92" s="329">
        <f t="shared" si="45"/>
        <v>44070</v>
      </c>
      <c r="J92" s="329">
        <f t="shared" si="46"/>
        <v>10686</v>
      </c>
      <c r="K92" s="329">
        <f t="shared" si="47"/>
        <v>684576</v>
      </c>
      <c r="L92" s="329">
        <f t="shared" si="48"/>
        <v>132210</v>
      </c>
      <c r="M92" s="333">
        <f t="shared" si="49"/>
        <v>1</v>
      </c>
      <c r="N92" s="332" t="s">
        <v>1328</v>
      </c>
      <c r="O92" s="287">
        <v>0.66</v>
      </c>
      <c r="P92" s="287" t="s">
        <v>12</v>
      </c>
      <c r="Q92" s="287">
        <v>0.28000000000000003</v>
      </c>
      <c r="R92" s="287" t="s">
        <v>2129</v>
      </c>
      <c r="S92" s="287">
        <v>1</v>
      </c>
    </row>
    <row r="93" spans="2:29" hidden="1">
      <c r="B93" s="332" t="s">
        <v>2191</v>
      </c>
      <c r="C93" s="328" t="s">
        <v>2151</v>
      </c>
      <c r="D93" s="329" t="s">
        <v>2422</v>
      </c>
      <c r="E93" s="328" t="s">
        <v>11</v>
      </c>
      <c r="F93" s="329"/>
      <c r="G93" s="329">
        <f t="shared" si="43"/>
        <v>5073</v>
      </c>
      <c r="H93" s="329">
        <f t="shared" si="44"/>
        <v>308745</v>
      </c>
      <c r="I93" s="329">
        <f t="shared" si="45"/>
        <v>62790</v>
      </c>
      <c r="J93" s="329">
        <f t="shared" si="46"/>
        <v>0</v>
      </c>
      <c r="K93" s="329">
        <f t="shared" si="47"/>
        <v>0</v>
      </c>
      <c r="L93" s="329">
        <f t="shared" si="48"/>
        <v>0</v>
      </c>
      <c r="M93" s="333">
        <f t="shared" si="49"/>
        <v>0</v>
      </c>
      <c r="N93" s="332" t="s">
        <v>1328</v>
      </c>
      <c r="O93" s="287">
        <v>0.88800000000000001</v>
      </c>
      <c r="P93" s="287" t="s">
        <v>12</v>
      </c>
      <c r="Q93" s="287">
        <v>0.38400000000000001</v>
      </c>
      <c r="R93" s="287" t="s">
        <v>2129</v>
      </c>
      <c r="S93" s="287">
        <v>1</v>
      </c>
      <c r="X93" s="332"/>
      <c r="AC93" s="332"/>
    </row>
    <row r="94" spans="2:29">
      <c r="B94" s="332" t="s">
        <v>2188</v>
      </c>
      <c r="C94" s="328" t="s">
        <v>2127</v>
      </c>
      <c r="D94" s="329" t="s">
        <v>2143</v>
      </c>
      <c r="E94" s="328" t="s">
        <v>11</v>
      </c>
      <c r="F94" s="329">
        <f>T1P75</f>
        <v>3</v>
      </c>
      <c r="G94" s="329">
        <f t="shared" si="43"/>
        <v>520</v>
      </c>
      <c r="H94" s="515">
        <f t="shared" si="44"/>
        <v>45165</v>
      </c>
      <c r="I94" s="515">
        <f t="shared" si="45"/>
        <v>1847</v>
      </c>
      <c r="J94" s="329">
        <f t="shared" si="46"/>
        <v>1560</v>
      </c>
      <c r="K94" s="329">
        <f t="shared" si="47"/>
        <v>135495</v>
      </c>
      <c r="L94" s="329">
        <f t="shared" si="48"/>
        <v>5541</v>
      </c>
      <c r="M94" s="333">
        <f t="shared" si="49"/>
        <v>1</v>
      </c>
      <c r="N94" s="332" t="s">
        <v>1330</v>
      </c>
      <c r="O94" s="287">
        <v>2.89</v>
      </c>
      <c r="P94" s="287" t="s">
        <v>379</v>
      </c>
      <c r="Q94" s="287">
        <v>1.24</v>
      </c>
      <c r="R94" s="287" t="s">
        <v>2129</v>
      </c>
      <c r="S94" s="287">
        <f>0.4*0.1</f>
        <v>4.0000000000000008E-2</v>
      </c>
    </row>
    <row r="95" spans="2:29">
      <c r="B95" s="332" t="s">
        <v>2189</v>
      </c>
      <c r="C95" s="328" t="s">
        <v>3374</v>
      </c>
      <c r="D95" s="329" t="s">
        <v>945</v>
      </c>
      <c r="E95" s="328" t="s">
        <v>11</v>
      </c>
      <c r="F95" s="329">
        <f>T1P75</f>
        <v>3</v>
      </c>
      <c r="G95" s="329">
        <f t="shared" si="43"/>
        <v>3223</v>
      </c>
      <c r="H95" s="515">
        <f t="shared" si="44"/>
        <v>82382</v>
      </c>
      <c r="I95" s="515">
        <f t="shared" si="45"/>
        <v>24683</v>
      </c>
      <c r="J95" s="329">
        <f t="shared" si="46"/>
        <v>9669</v>
      </c>
      <c r="K95" s="329">
        <f t="shared" si="47"/>
        <v>247146</v>
      </c>
      <c r="L95" s="329">
        <f t="shared" si="48"/>
        <v>74049</v>
      </c>
      <c r="M95" s="333">
        <f t="shared" si="49"/>
        <v>1</v>
      </c>
      <c r="N95" s="332" t="s">
        <v>1328</v>
      </c>
      <c r="O95" s="287">
        <v>0.22</v>
      </c>
      <c r="P95" s="287" t="s">
        <v>12</v>
      </c>
      <c r="Q95" s="287">
        <v>0.12</v>
      </c>
      <c r="R95" s="287" t="s">
        <v>2129</v>
      </c>
      <c r="S95" s="287">
        <v>1</v>
      </c>
    </row>
    <row r="96" spans="2:29" hidden="1">
      <c r="B96" s="332" t="s">
        <v>2073</v>
      </c>
      <c r="C96" s="344">
        <f>IF(SUM(J96:L96)&lt;&gt;0,C85+1,C85)</f>
        <v>1</v>
      </c>
      <c r="D96" s="345" t="str">
        <f>VLOOKUP(B96,XLTBA,'6.XL-TR'!$D$2,0)</f>
        <v>0 Trạm 1 pha 100kVA</v>
      </c>
      <c r="E96" s="344"/>
      <c r="F96" s="345"/>
      <c r="G96" s="345"/>
      <c r="H96" s="345"/>
      <c r="I96" s="345"/>
      <c r="J96" s="345">
        <f>SUM(J97:J106)</f>
        <v>0</v>
      </c>
      <c r="K96" s="345">
        <f>SUM(K97:K106)</f>
        <v>0</v>
      </c>
      <c r="L96" s="345">
        <f>SUM(L97:L106)</f>
        <v>0</v>
      </c>
      <c r="M96" s="333">
        <f t="shared" si="49"/>
        <v>0</v>
      </c>
      <c r="X96" s="332"/>
      <c r="AC96" s="332"/>
    </row>
    <row r="97" spans="2:29" hidden="1">
      <c r="B97" s="332" t="s">
        <v>2192</v>
      </c>
      <c r="C97" s="328" t="s">
        <v>2144</v>
      </c>
      <c r="D97" s="329" t="s">
        <v>2145</v>
      </c>
      <c r="E97" s="328" t="s">
        <v>2134</v>
      </c>
      <c r="F97" s="329"/>
      <c r="G97" s="329">
        <f t="shared" ref="G97:G106" si="50">ROUND(VLOOKUP(B97,DGTN,$Z$278,0)*S97,0)</f>
        <v>25808</v>
      </c>
      <c r="H97" s="329">
        <f t="shared" ref="H97:H106" si="51">ROUND((VLOOKUP(N97,DGNC,5,0)*O97+VLOOKUP(P97,DGNC,5,0)*Q97)*S97,0)</f>
        <v>1134066</v>
      </c>
      <c r="I97" s="329">
        <f t="shared" ref="I97:I106" si="52">ROUND(VLOOKUP(B97,DGTN,$AE$278,0)*S97,0)</f>
        <v>28346</v>
      </c>
      <c r="J97" s="329">
        <f t="shared" ref="J97:J106" si="53">$F97*G97</f>
        <v>0</v>
      </c>
      <c r="K97" s="329">
        <f t="shared" ref="K97:K106" si="54">$F97*H97</f>
        <v>0</v>
      </c>
      <c r="L97" s="329">
        <f t="shared" ref="L97:L106" si="55">$F97*I97</f>
        <v>0</v>
      </c>
      <c r="M97" s="333">
        <f t="shared" si="49"/>
        <v>0</v>
      </c>
      <c r="N97" s="332" t="s">
        <v>1328</v>
      </c>
      <c r="O97" s="287">
        <v>3.04</v>
      </c>
      <c r="P97" s="287" t="s">
        <v>12</v>
      </c>
      <c r="Q97" s="287">
        <v>1.64</v>
      </c>
      <c r="R97" s="287" t="s">
        <v>2129</v>
      </c>
      <c r="S97" s="287">
        <v>1</v>
      </c>
      <c r="X97" s="332"/>
      <c r="AC97" s="332"/>
    </row>
    <row r="98" spans="2:29" hidden="1">
      <c r="B98" s="332" t="s">
        <v>2196</v>
      </c>
      <c r="C98" s="328" t="s">
        <v>2146</v>
      </c>
      <c r="D98" s="329" t="s">
        <v>2147</v>
      </c>
      <c r="E98" s="328" t="s">
        <v>2148</v>
      </c>
      <c r="F98" s="329"/>
      <c r="G98" s="329">
        <f t="shared" si="50"/>
        <v>29735</v>
      </c>
      <c r="H98" s="329">
        <f t="shared" si="51"/>
        <v>1027972</v>
      </c>
      <c r="I98" s="329">
        <f t="shared" si="52"/>
        <v>201397</v>
      </c>
      <c r="J98" s="329">
        <f t="shared" si="53"/>
        <v>0</v>
      </c>
      <c r="K98" s="329">
        <f t="shared" si="54"/>
        <v>0</v>
      </c>
      <c r="L98" s="329">
        <f t="shared" si="55"/>
        <v>0</v>
      </c>
      <c r="M98" s="333">
        <f t="shared" si="49"/>
        <v>0</v>
      </c>
      <c r="N98" s="332" t="s">
        <v>1330</v>
      </c>
      <c r="O98" s="287">
        <v>2.63</v>
      </c>
      <c r="P98" s="287" t="s">
        <v>379</v>
      </c>
      <c r="Q98" s="287">
        <v>1.1299999999999999</v>
      </c>
      <c r="R98" s="287" t="s">
        <v>2129</v>
      </c>
      <c r="S98" s="287">
        <v>1</v>
      </c>
      <c r="X98" s="332"/>
      <c r="AC98" s="332"/>
    </row>
    <row r="99" spans="2:29" hidden="1">
      <c r="B99" s="332" t="s">
        <v>2196</v>
      </c>
      <c r="C99" s="328" t="s">
        <v>2146</v>
      </c>
      <c r="D99" s="329" t="s">
        <v>2149</v>
      </c>
      <c r="E99" s="328" t="s">
        <v>2148</v>
      </c>
      <c r="F99" s="329"/>
      <c r="G99" s="329">
        <f t="shared" si="50"/>
        <v>29735</v>
      </c>
      <c r="H99" s="329">
        <f t="shared" si="51"/>
        <v>1027972</v>
      </c>
      <c r="I99" s="329">
        <f t="shared" si="52"/>
        <v>201397</v>
      </c>
      <c r="J99" s="329">
        <f t="shared" si="53"/>
        <v>0</v>
      </c>
      <c r="K99" s="329">
        <f t="shared" si="54"/>
        <v>0</v>
      </c>
      <c r="L99" s="329">
        <f t="shared" si="55"/>
        <v>0</v>
      </c>
      <c r="M99" s="333">
        <f t="shared" si="49"/>
        <v>0</v>
      </c>
      <c r="N99" s="332" t="s">
        <v>1330</v>
      </c>
      <c r="O99" s="287">
        <v>2.63</v>
      </c>
      <c r="P99" s="287" t="s">
        <v>379</v>
      </c>
      <c r="Q99" s="287">
        <v>1.1299999999999999</v>
      </c>
      <c r="R99" s="287" t="s">
        <v>2129</v>
      </c>
      <c r="S99" s="287">
        <v>1</v>
      </c>
      <c r="X99" s="332"/>
      <c r="AC99" s="332"/>
    </row>
    <row r="100" spans="2:29" hidden="1">
      <c r="B100" s="332" t="s">
        <v>2196</v>
      </c>
      <c r="C100" s="328" t="s">
        <v>2146</v>
      </c>
      <c r="D100" s="329" t="s">
        <v>2150</v>
      </c>
      <c r="E100" s="328" t="s">
        <v>2148</v>
      </c>
      <c r="F100" s="329"/>
      <c r="G100" s="329">
        <f t="shared" si="50"/>
        <v>29735</v>
      </c>
      <c r="H100" s="329">
        <f t="shared" si="51"/>
        <v>1027972</v>
      </c>
      <c r="I100" s="329">
        <f t="shared" si="52"/>
        <v>201397</v>
      </c>
      <c r="J100" s="329">
        <f t="shared" si="53"/>
        <v>0</v>
      </c>
      <c r="K100" s="329">
        <f t="shared" si="54"/>
        <v>0</v>
      </c>
      <c r="L100" s="329">
        <f t="shared" si="55"/>
        <v>0</v>
      </c>
      <c r="M100" s="333">
        <f t="shared" si="49"/>
        <v>0</v>
      </c>
      <c r="N100" s="332" t="s">
        <v>1330</v>
      </c>
      <c r="O100" s="287">
        <v>2.63</v>
      </c>
      <c r="P100" s="287" t="s">
        <v>379</v>
      </c>
      <c r="Q100" s="287">
        <v>1.1299999999999999</v>
      </c>
      <c r="R100" s="287" t="s">
        <v>2129</v>
      </c>
      <c r="S100" s="287">
        <v>1</v>
      </c>
      <c r="X100" s="332"/>
      <c r="AC100" s="332"/>
    </row>
    <row r="101" spans="2:29" hidden="1">
      <c r="B101" s="332" t="s">
        <v>2190</v>
      </c>
      <c r="C101" s="328" t="s">
        <v>2131</v>
      </c>
      <c r="D101" s="329" t="s">
        <v>2421</v>
      </c>
      <c r="E101" s="328" t="s">
        <v>11</v>
      </c>
      <c r="F101" s="329"/>
      <c r="G101" s="329">
        <f t="shared" si="50"/>
        <v>3562</v>
      </c>
      <c r="H101" s="329">
        <f t="shared" si="51"/>
        <v>273830</v>
      </c>
      <c r="I101" s="329">
        <f t="shared" si="52"/>
        <v>44070</v>
      </c>
      <c r="J101" s="329">
        <f t="shared" si="53"/>
        <v>0</v>
      </c>
      <c r="K101" s="329">
        <f t="shared" si="54"/>
        <v>0</v>
      </c>
      <c r="L101" s="329">
        <f t="shared" si="55"/>
        <v>0</v>
      </c>
      <c r="M101" s="333">
        <f t="shared" si="49"/>
        <v>0</v>
      </c>
      <c r="N101" s="332" t="s">
        <v>1328</v>
      </c>
      <c r="O101" s="287">
        <v>0.79200000000000004</v>
      </c>
      <c r="P101" s="287" t="s">
        <v>12</v>
      </c>
      <c r="Q101" s="287">
        <v>0.33600000000000002</v>
      </c>
      <c r="R101" s="287" t="s">
        <v>2129</v>
      </c>
      <c r="S101" s="287">
        <v>1</v>
      </c>
      <c r="X101" s="332"/>
      <c r="AC101" s="332"/>
    </row>
    <row r="102" spans="2:29" hidden="1">
      <c r="B102" s="332" t="s">
        <v>2190</v>
      </c>
      <c r="C102" s="328" t="s">
        <v>2131</v>
      </c>
      <c r="D102" s="329" t="s">
        <v>2423</v>
      </c>
      <c r="E102" s="328" t="s">
        <v>11</v>
      </c>
      <c r="F102" s="329"/>
      <c r="G102" s="329">
        <f t="shared" si="50"/>
        <v>3562</v>
      </c>
      <c r="H102" s="329">
        <f t="shared" si="51"/>
        <v>273830</v>
      </c>
      <c r="I102" s="329">
        <f t="shared" si="52"/>
        <v>44070</v>
      </c>
      <c r="J102" s="329">
        <f t="shared" si="53"/>
        <v>0</v>
      </c>
      <c r="K102" s="329">
        <f t="shared" si="54"/>
        <v>0</v>
      </c>
      <c r="L102" s="329">
        <f t="shared" si="55"/>
        <v>0</v>
      </c>
      <c r="M102" s="333">
        <f t="shared" si="49"/>
        <v>0</v>
      </c>
      <c r="N102" s="332" t="s">
        <v>1328</v>
      </c>
      <c r="O102" s="287">
        <v>0.79200000000000004</v>
      </c>
      <c r="P102" s="287" t="s">
        <v>12</v>
      </c>
      <c r="Q102" s="287">
        <v>0.33600000000000002</v>
      </c>
      <c r="R102" s="287" t="s">
        <v>2129</v>
      </c>
      <c r="S102" s="287">
        <v>1</v>
      </c>
      <c r="X102" s="332"/>
      <c r="AC102" s="332"/>
    </row>
    <row r="103" spans="2:29" hidden="1">
      <c r="B103" s="332" t="s">
        <v>2190</v>
      </c>
      <c r="C103" s="328" t="s">
        <v>2131</v>
      </c>
      <c r="D103" s="329" t="s">
        <v>2424</v>
      </c>
      <c r="E103" s="328" t="s">
        <v>11</v>
      </c>
      <c r="F103" s="329"/>
      <c r="G103" s="329">
        <f t="shared" si="50"/>
        <v>3562</v>
      </c>
      <c r="H103" s="329">
        <f t="shared" si="51"/>
        <v>273830</v>
      </c>
      <c r="I103" s="329">
        <f t="shared" si="52"/>
        <v>44070</v>
      </c>
      <c r="J103" s="329">
        <f t="shared" si="53"/>
        <v>0</v>
      </c>
      <c r="K103" s="329">
        <f t="shared" si="54"/>
        <v>0</v>
      </c>
      <c r="L103" s="329">
        <f t="shared" si="55"/>
        <v>0</v>
      </c>
      <c r="M103" s="333">
        <f t="shared" si="49"/>
        <v>0</v>
      </c>
      <c r="N103" s="332" t="s">
        <v>1328</v>
      </c>
      <c r="O103" s="287">
        <v>0.79200000000000004</v>
      </c>
      <c r="P103" s="287" t="s">
        <v>12</v>
      </c>
      <c r="Q103" s="287">
        <v>0.33600000000000002</v>
      </c>
      <c r="R103" s="287" t="s">
        <v>2129</v>
      </c>
      <c r="S103" s="287">
        <v>1</v>
      </c>
      <c r="X103" s="332"/>
      <c r="AC103" s="332"/>
    </row>
    <row r="104" spans="2:29" hidden="1">
      <c r="B104" s="332" t="s">
        <v>2191</v>
      </c>
      <c r="C104" s="328" t="s">
        <v>2151</v>
      </c>
      <c r="D104" s="329" t="s">
        <v>2422</v>
      </c>
      <c r="E104" s="328" t="s">
        <v>11</v>
      </c>
      <c r="F104" s="329"/>
      <c r="G104" s="329">
        <f t="shared" si="50"/>
        <v>5073</v>
      </c>
      <c r="H104" s="329">
        <f t="shared" si="51"/>
        <v>308745</v>
      </c>
      <c r="I104" s="329">
        <f t="shared" si="52"/>
        <v>62790</v>
      </c>
      <c r="J104" s="329">
        <f t="shared" si="53"/>
        <v>0</v>
      </c>
      <c r="K104" s="329">
        <f t="shared" si="54"/>
        <v>0</v>
      </c>
      <c r="L104" s="329">
        <f t="shared" si="55"/>
        <v>0</v>
      </c>
      <c r="M104" s="333">
        <f t="shared" si="49"/>
        <v>0</v>
      </c>
      <c r="N104" s="332" t="s">
        <v>1328</v>
      </c>
      <c r="O104" s="287">
        <v>0.88800000000000001</v>
      </c>
      <c r="P104" s="287" t="s">
        <v>12</v>
      </c>
      <c r="Q104" s="287">
        <v>0.38400000000000001</v>
      </c>
      <c r="R104" s="287" t="s">
        <v>2129</v>
      </c>
      <c r="S104" s="287">
        <v>1</v>
      </c>
      <c r="X104" s="332"/>
      <c r="AC104" s="332"/>
    </row>
    <row r="105" spans="2:29" hidden="1">
      <c r="B105" s="332" t="s">
        <v>2188</v>
      </c>
      <c r="C105" s="328" t="s">
        <v>2127</v>
      </c>
      <c r="D105" s="329" t="s">
        <v>2143</v>
      </c>
      <c r="E105" s="328" t="s">
        <v>11</v>
      </c>
      <c r="F105" s="329"/>
      <c r="G105" s="329">
        <f t="shared" si="50"/>
        <v>5205</v>
      </c>
      <c r="H105" s="329">
        <f t="shared" si="51"/>
        <v>451648</v>
      </c>
      <c r="I105" s="329">
        <f t="shared" si="52"/>
        <v>18474</v>
      </c>
      <c r="J105" s="329">
        <f t="shared" si="53"/>
        <v>0</v>
      </c>
      <c r="K105" s="329">
        <f t="shared" si="54"/>
        <v>0</v>
      </c>
      <c r="L105" s="329">
        <f t="shared" si="55"/>
        <v>0</v>
      </c>
      <c r="M105" s="333">
        <f t="shared" si="49"/>
        <v>0</v>
      </c>
      <c r="N105" s="332" t="s">
        <v>1330</v>
      </c>
      <c r="O105" s="287">
        <v>2.89</v>
      </c>
      <c r="P105" s="287" t="s">
        <v>379</v>
      </c>
      <c r="Q105" s="287">
        <v>1.24</v>
      </c>
      <c r="R105" s="287" t="s">
        <v>2129</v>
      </c>
      <c r="S105" s="287">
        <v>0.4</v>
      </c>
      <c r="X105" s="332"/>
      <c r="AC105" s="332"/>
    </row>
    <row r="106" spans="2:29" hidden="1">
      <c r="B106" s="332" t="s">
        <v>2189</v>
      </c>
      <c r="C106" s="328" t="s">
        <v>2135</v>
      </c>
      <c r="D106" s="329" t="s">
        <v>945</v>
      </c>
      <c r="E106" s="328" t="s">
        <v>11</v>
      </c>
      <c r="F106" s="329"/>
      <c r="G106" s="329">
        <f t="shared" si="50"/>
        <v>3223</v>
      </c>
      <c r="H106" s="329">
        <f t="shared" si="51"/>
        <v>117733</v>
      </c>
      <c r="I106" s="329">
        <f t="shared" si="52"/>
        <v>24683</v>
      </c>
      <c r="J106" s="329">
        <f t="shared" si="53"/>
        <v>0</v>
      </c>
      <c r="K106" s="329">
        <f t="shared" si="54"/>
        <v>0</v>
      </c>
      <c r="L106" s="329">
        <f t="shared" si="55"/>
        <v>0</v>
      </c>
      <c r="M106" s="333">
        <f t="shared" si="49"/>
        <v>0</v>
      </c>
      <c r="N106" s="332" t="s">
        <v>1330</v>
      </c>
      <c r="O106" s="287">
        <v>0.28000000000000003</v>
      </c>
      <c r="P106" s="287" t="s">
        <v>379</v>
      </c>
      <c r="Q106" s="287">
        <v>0.15</v>
      </c>
      <c r="R106" s="287" t="s">
        <v>2129</v>
      </c>
      <c r="S106" s="287">
        <v>1</v>
      </c>
      <c r="X106" s="332"/>
      <c r="AC106" s="332"/>
    </row>
    <row r="107" spans="2:29" hidden="1">
      <c r="B107" s="332" t="s">
        <v>2076</v>
      </c>
      <c r="C107" s="344">
        <f>IF(SUM(J107:L107)&lt;&gt;0,C96+1,C96)</f>
        <v>1</v>
      </c>
      <c r="D107" s="345" t="str">
        <f>VLOOKUP(B107,XLTBA,'6.XL-TR'!$D$2,0)</f>
        <v>0 Trạm 3 pha 3x25kVA</v>
      </c>
      <c r="E107" s="344"/>
      <c r="F107" s="345"/>
      <c r="G107" s="345"/>
      <c r="H107" s="345"/>
      <c r="I107" s="345"/>
      <c r="J107" s="345">
        <f>SUM(J108:J117)</f>
        <v>0</v>
      </c>
      <c r="K107" s="345">
        <f>SUM(K108:K117)</f>
        <v>0</v>
      </c>
      <c r="L107" s="345">
        <f>SUM(L108:L117)</f>
        <v>0</v>
      </c>
      <c r="M107" s="333">
        <f t="shared" si="49"/>
        <v>0</v>
      </c>
      <c r="X107" s="332"/>
      <c r="AC107" s="332"/>
    </row>
    <row r="108" spans="2:29" hidden="1">
      <c r="B108" s="332" t="s">
        <v>2192</v>
      </c>
      <c r="C108" s="328" t="s">
        <v>2144</v>
      </c>
      <c r="D108" s="329" t="s">
        <v>2145</v>
      </c>
      <c r="E108" s="328" t="s">
        <v>2134</v>
      </c>
      <c r="F108" s="329"/>
      <c r="G108" s="329">
        <f t="shared" ref="G108:G117" si="56">ROUND(VLOOKUP(B108,DGTN,$Z$278,0)*S108,0)</f>
        <v>25808</v>
      </c>
      <c r="H108" s="329">
        <f t="shared" ref="H108:H117" si="57">ROUND((VLOOKUP(N108,DGNC,5,0)*O108+VLOOKUP(P108,DGNC,5,0)*Q108)*S108,0)</f>
        <v>1134066</v>
      </c>
      <c r="I108" s="329">
        <f t="shared" ref="I108:I117" si="58">ROUND(VLOOKUP(B108,DGTN,$AE$278,0)*S108,0)</f>
        <v>28346</v>
      </c>
      <c r="J108" s="329">
        <f t="shared" ref="J108:J117" si="59">$F108*G108</f>
        <v>0</v>
      </c>
      <c r="K108" s="329">
        <f t="shared" ref="K108:K117" si="60">$F108*H108</f>
        <v>0</v>
      </c>
      <c r="L108" s="329">
        <f t="shared" ref="L108:L117" si="61">$F108*I108</f>
        <v>0</v>
      </c>
      <c r="M108" s="333">
        <f t="shared" si="49"/>
        <v>0</v>
      </c>
      <c r="N108" s="332" t="s">
        <v>1328</v>
      </c>
      <c r="O108" s="287">
        <v>3.04</v>
      </c>
      <c r="P108" s="287" t="s">
        <v>12</v>
      </c>
      <c r="Q108" s="287">
        <v>1.64</v>
      </c>
      <c r="R108" s="287" t="s">
        <v>2129</v>
      </c>
      <c r="S108" s="287">
        <v>1</v>
      </c>
      <c r="X108" s="332"/>
      <c r="AC108" s="332"/>
    </row>
    <row r="109" spans="2:29" hidden="1">
      <c r="B109" s="332" t="s">
        <v>2196</v>
      </c>
      <c r="C109" s="328" t="s">
        <v>2146</v>
      </c>
      <c r="D109" s="329" t="s">
        <v>2147</v>
      </c>
      <c r="E109" s="328" t="s">
        <v>2148</v>
      </c>
      <c r="F109" s="329"/>
      <c r="G109" s="329">
        <f t="shared" si="56"/>
        <v>29735</v>
      </c>
      <c r="H109" s="329">
        <f t="shared" si="57"/>
        <v>1027972</v>
      </c>
      <c r="I109" s="329">
        <f t="shared" si="58"/>
        <v>201397</v>
      </c>
      <c r="J109" s="329">
        <f t="shared" si="59"/>
        <v>0</v>
      </c>
      <c r="K109" s="329">
        <f t="shared" si="60"/>
        <v>0</v>
      </c>
      <c r="L109" s="329">
        <f t="shared" si="61"/>
        <v>0</v>
      </c>
      <c r="M109" s="333">
        <f t="shared" si="49"/>
        <v>0</v>
      </c>
      <c r="N109" s="332" t="s">
        <v>1330</v>
      </c>
      <c r="O109" s="287">
        <v>2.63</v>
      </c>
      <c r="P109" s="287" t="s">
        <v>379</v>
      </c>
      <c r="Q109" s="287">
        <v>1.1299999999999999</v>
      </c>
      <c r="R109" s="287" t="s">
        <v>2129</v>
      </c>
      <c r="S109" s="287">
        <v>1</v>
      </c>
      <c r="X109" s="332"/>
      <c r="AC109" s="332"/>
    </row>
    <row r="110" spans="2:29" hidden="1">
      <c r="B110" s="332" t="s">
        <v>2196</v>
      </c>
      <c r="C110" s="328" t="s">
        <v>2146</v>
      </c>
      <c r="D110" s="329" t="s">
        <v>2149</v>
      </c>
      <c r="E110" s="328" t="s">
        <v>2148</v>
      </c>
      <c r="F110" s="329"/>
      <c r="G110" s="329">
        <f t="shared" si="56"/>
        <v>29735</v>
      </c>
      <c r="H110" s="329">
        <f t="shared" si="57"/>
        <v>1027972</v>
      </c>
      <c r="I110" s="329">
        <f t="shared" si="58"/>
        <v>201397</v>
      </c>
      <c r="J110" s="329">
        <f t="shared" si="59"/>
        <v>0</v>
      </c>
      <c r="K110" s="329">
        <f t="shared" si="60"/>
        <v>0</v>
      </c>
      <c r="L110" s="329">
        <f t="shared" si="61"/>
        <v>0</v>
      </c>
      <c r="M110" s="333">
        <f t="shared" si="49"/>
        <v>0</v>
      </c>
      <c r="N110" s="332" t="s">
        <v>1330</v>
      </c>
      <c r="O110" s="287">
        <v>2.63</v>
      </c>
      <c r="P110" s="287" t="s">
        <v>379</v>
      </c>
      <c r="Q110" s="287">
        <v>1.1299999999999999</v>
      </c>
      <c r="R110" s="287" t="s">
        <v>2129</v>
      </c>
      <c r="S110" s="287">
        <v>1</v>
      </c>
      <c r="X110" s="332"/>
      <c r="AC110" s="332"/>
    </row>
    <row r="111" spans="2:29" hidden="1">
      <c r="B111" s="332" t="s">
        <v>2196</v>
      </c>
      <c r="C111" s="328" t="s">
        <v>2146</v>
      </c>
      <c r="D111" s="329" t="s">
        <v>2150</v>
      </c>
      <c r="E111" s="328" t="s">
        <v>2148</v>
      </c>
      <c r="F111" s="329"/>
      <c r="G111" s="329">
        <f t="shared" si="56"/>
        <v>29735</v>
      </c>
      <c r="H111" s="329">
        <f t="shared" si="57"/>
        <v>1027972</v>
      </c>
      <c r="I111" s="329">
        <f t="shared" si="58"/>
        <v>201397</v>
      </c>
      <c r="J111" s="329">
        <f t="shared" si="59"/>
        <v>0</v>
      </c>
      <c r="K111" s="329">
        <f t="shared" si="60"/>
        <v>0</v>
      </c>
      <c r="L111" s="329">
        <f t="shared" si="61"/>
        <v>0</v>
      </c>
      <c r="M111" s="333">
        <f t="shared" si="49"/>
        <v>0</v>
      </c>
      <c r="N111" s="332" t="s">
        <v>1330</v>
      </c>
      <c r="O111" s="287">
        <v>2.63</v>
      </c>
      <c r="P111" s="287" t="s">
        <v>379</v>
      </c>
      <c r="Q111" s="287">
        <v>1.1299999999999999</v>
      </c>
      <c r="R111" s="287" t="s">
        <v>2129</v>
      </c>
      <c r="S111" s="287">
        <v>1</v>
      </c>
      <c r="X111" s="332"/>
      <c r="AC111" s="332"/>
    </row>
    <row r="112" spans="2:29" hidden="1">
      <c r="B112" s="332" t="s">
        <v>2190</v>
      </c>
      <c r="C112" s="328" t="s">
        <v>2131</v>
      </c>
      <c r="D112" s="329" t="s">
        <v>2421</v>
      </c>
      <c r="E112" s="328" t="s">
        <v>11</v>
      </c>
      <c r="F112" s="329">
        <f>'7.CT-TBA'!H731</f>
        <v>0</v>
      </c>
      <c r="G112" s="329">
        <f t="shared" si="56"/>
        <v>3562</v>
      </c>
      <c r="H112" s="329">
        <f t="shared" si="57"/>
        <v>273830</v>
      </c>
      <c r="I112" s="329">
        <f t="shared" si="58"/>
        <v>44070</v>
      </c>
      <c r="J112" s="329">
        <f t="shared" si="59"/>
        <v>0</v>
      </c>
      <c r="K112" s="329">
        <f t="shared" si="60"/>
        <v>0</v>
      </c>
      <c r="L112" s="329">
        <f t="shared" si="61"/>
        <v>0</v>
      </c>
      <c r="M112" s="333">
        <f t="shared" si="49"/>
        <v>0</v>
      </c>
      <c r="N112" s="332" t="s">
        <v>1328</v>
      </c>
      <c r="O112" s="287">
        <v>0.79200000000000004</v>
      </c>
      <c r="P112" s="287" t="s">
        <v>12</v>
      </c>
      <c r="Q112" s="287">
        <v>0.33600000000000002</v>
      </c>
      <c r="R112" s="287" t="s">
        <v>2129</v>
      </c>
      <c r="S112" s="287">
        <v>1</v>
      </c>
      <c r="X112" s="332"/>
      <c r="AC112" s="332"/>
    </row>
    <row r="113" spans="2:29" hidden="1">
      <c r="B113" s="332" t="s">
        <v>2190</v>
      </c>
      <c r="C113" s="328" t="s">
        <v>2131</v>
      </c>
      <c r="D113" s="329" t="s">
        <v>2423</v>
      </c>
      <c r="E113" s="328" t="s">
        <v>11</v>
      </c>
      <c r="F113" s="329">
        <f>'7.CT-TBA'!H730</f>
        <v>0</v>
      </c>
      <c r="G113" s="329">
        <f t="shared" si="56"/>
        <v>3562</v>
      </c>
      <c r="H113" s="329">
        <f t="shared" si="57"/>
        <v>273830</v>
      </c>
      <c r="I113" s="329">
        <f t="shared" si="58"/>
        <v>44070</v>
      </c>
      <c r="J113" s="329">
        <f t="shared" si="59"/>
        <v>0</v>
      </c>
      <c r="K113" s="329">
        <f t="shared" si="60"/>
        <v>0</v>
      </c>
      <c r="L113" s="329">
        <f t="shared" si="61"/>
        <v>0</v>
      </c>
      <c r="M113" s="333">
        <f t="shared" si="49"/>
        <v>0</v>
      </c>
      <c r="N113" s="332" t="s">
        <v>1328</v>
      </c>
      <c r="O113" s="287">
        <v>0.79200000000000004</v>
      </c>
      <c r="P113" s="287" t="s">
        <v>12</v>
      </c>
      <c r="Q113" s="287">
        <v>0.33600000000000002</v>
      </c>
      <c r="R113" s="287" t="s">
        <v>2129</v>
      </c>
      <c r="S113" s="287">
        <v>1</v>
      </c>
      <c r="X113" s="332"/>
      <c r="AC113" s="332"/>
    </row>
    <row r="114" spans="2:29" hidden="1">
      <c r="B114" s="332" t="s">
        <v>2190</v>
      </c>
      <c r="C114" s="328" t="s">
        <v>2131</v>
      </c>
      <c r="D114" s="329" t="s">
        <v>2424</v>
      </c>
      <c r="E114" s="328" t="s">
        <v>11</v>
      </c>
      <c r="F114" s="329"/>
      <c r="G114" s="329">
        <f t="shared" si="56"/>
        <v>3562</v>
      </c>
      <c r="H114" s="329">
        <f t="shared" si="57"/>
        <v>273830</v>
      </c>
      <c r="I114" s="329">
        <f t="shared" si="58"/>
        <v>44070</v>
      </c>
      <c r="J114" s="329">
        <f t="shared" si="59"/>
        <v>0</v>
      </c>
      <c r="K114" s="329">
        <f t="shared" si="60"/>
        <v>0</v>
      </c>
      <c r="L114" s="329">
        <f t="shared" si="61"/>
        <v>0</v>
      </c>
      <c r="M114" s="333">
        <f t="shared" si="49"/>
        <v>0</v>
      </c>
      <c r="N114" s="332" t="s">
        <v>1328</v>
      </c>
      <c r="O114" s="287">
        <v>0.79200000000000004</v>
      </c>
      <c r="P114" s="287" t="s">
        <v>12</v>
      </c>
      <c r="Q114" s="287">
        <v>0.33600000000000002</v>
      </c>
      <c r="R114" s="287" t="s">
        <v>2129</v>
      </c>
      <c r="S114" s="287">
        <v>1</v>
      </c>
      <c r="X114" s="332"/>
      <c r="AC114" s="332"/>
    </row>
    <row r="115" spans="2:29" hidden="1">
      <c r="B115" s="332" t="s">
        <v>2191</v>
      </c>
      <c r="C115" s="328" t="s">
        <v>2151</v>
      </c>
      <c r="D115" s="329" t="s">
        <v>2422</v>
      </c>
      <c r="E115" s="328" t="s">
        <v>11</v>
      </c>
      <c r="F115" s="329"/>
      <c r="G115" s="329">
        <f t="shared" si="56"/>
        <v>5073</v>
      </c>
      <c r="H115" s="329">
        <f t="shared" si="57"/>
        <v>308745</v>
      </c>
      <c r="I115" s="329">
        <f t="shared" si="58"/>
        <v>62790</v>
      </c>
      <c r="J115" s="329">
        <f t="shared" si="59"/>
        <v>0</v>
      </c>
      <c r="K115" s="329">
        <f t="shared" si="60"/>
        <v>0</v>
      </c>
      <c r="L115" s="329">
        <f t="shared" si="61"/>
        <v>0</v>
      </c>
      <c r="M115" s="333">
        <f t="shared" si="49"/>
        <v>0</v>
      </c>
      <c r="N115" s="332" t="s">
        <v>1328</v>
      </c>
      <c r="O115" s="287">
        <v>0.88800000000000001</v>
      </c>
      <c r="P115" s="287" t="s">
        <v>12</v>
      </c>
      <c r="Q115" s="287">
        <v>0.38400000000000001</v>
      </c>
      <c r="R115" s="287" t="s">
        <v>2129</v>
      </c>
      <c r="S115" s="287">
        <v>1</v>
      </c>
      <c r="X115" s="332"/>
      <c r="AC115" s="332"/>
    </row>
    <row r="116" spans="2:29" hidden="1">
      <c r="B116" s="332" t="s">
        <v>2188</v>
      </c>
      <c r="C116" s="328" t="s">
        <v>2127</v>
      </c>
      <c r="D116" s="329" t="s">
        <v>2143</v>
      </c>
      <c r="E116" s="328" t="s">
        <v>11</v>
      </c>
      <c r="F116" s="329">
        <f>'7.CT-TBA'!H728</f>
        <v>0</v>
      </c>
      <c r="G116" s="329">
        <f t="shared" si="56"/>
        <v>520</v>
      </c>
      <c r="H116" s="329">
        <f t="shared" si="57"/>
        <v>45165</v>
      </c>
      <c r="I116" s="329">
        <f t="shared" si="58"/>
        <v>1847</v>
      </c>
      <c r="J116" s="329">
        <f t="shared" si="59"/>
        <v>0</v>
      </c>
      <c r="K116" s="329">
        <f t="shared" si="60"/>
        <v>0</v>
      </c>
      <c r="L116" s="329">
        <f t="shared" si="61"/>
        <v>0</v>
      </c>
      <c r="M116" s="333">
        <f t="shared" si="49"/>
        <v>0</v>
      </c>
      <c r="N116" s="332" t="s">
        <v>1330</v>
      </c>
      <c r="O116" s="287">
        <v>2.89</v>
      </c>
      <c r="P116" s="287" t="s">
        <v>379</v>
      </c>
      <c r="Q116" s="287">
        <v>1.24</v>
      </c>
      <c r="R116" s="287" t="s">
        <v>2129</v>
      </c>
      <c r="S116" s="287">
        <f>S10</f>
        <v>4.0000000000000008E-2</v>
      </c>
      <c r="X116" s="332"/>
      <c r="AC116" s="332"/>
    </row>
    <row r="117" spans="2:29" hidden="1">
      <c r="B117" s="332" t="s">
        <v>2189</v>
      </c>
      <c r="C117" s="328" t="s">
        <v>2135</v>
      </c>
      <c r="D117" s="329" t="s">
        <v>945</v>
      </c>
      <c r="E117" s="328" t="s">
        <v>11</v>
      </c>
      <c r="F117" s="329">
        <f>'7.CT-TBA'!H729</f>
        <v>0</v>
      </c>
      <c r="G117" s="329">
        <f t="shared" si="56"/>
        <v>2578</v>
      </c>
      <c r="H117" s="329">
        <f t="shared" si="57"/>
        <v>94186</v>
      </c>
      <c r="I117" s="329">
        <f t="shared" si="58"/>
        <v>19746</v>
      </c>
      <c r="J117" s="329">
        <f t="shared" si="59"/>
        <v>0</v>
      </c>
      <c r="K117" s="329">
        <f t="shared" si="60"/>
        <v>0</v>
      </c>
      <c r="L117" s="329">
        <f t="shared" si="61"/>
        <v>0</v>
      </c>
      <c r="M117" s="333">
        <f t="shared" si="49"/>
        <v>0</v>
      </c>
      <c r="N117" s="332" t="s">
        <v>1330</v>
      </c>
      <c r="O117" s="287">
        <v>0.28000000000000003</v>
      </c>
      <c r="P117" s="287" t="s">
        <v>379</v>
      </c>
      <c r="Q117" s="287">
        <v>0.15</v>
      </c>
      <c r="R117" s="287" t="s">
        <v>2129</v>
      </c>
      <c r="S117" s="287">
        <f>S17</f>
        <v>0.8</v>
      </c>
      <c r="X117" s="332"/>
      <c r="AC117" s="332"/>
    </row>
    <row r="118" spans="2:29" hidden="1">
      <c r="B118" s="332" t="s">
        <v>2079</v>
      </c>
      <c r="C118" s="344">
        <f>IF(SUM(J118:L118)&lt;&gt;0,C107+1,C107)</f>
        <v>1</v>
      </c>
      <c r="D118" s="345" t="str">
        <f>VLOOKUP(B118,XLTBA,'6.XL-TR'!$D$2,0)</f>
        <v>0 Trạm 3 pha 3x37,5kVA</v>
      </c>
      <c r="E118" s="344"/>
      <c r="F118" s="345"/>
      <c r="G118" s="345"/>
      <c r="H118" s="345"/>
      <c r="I118" s="345"/>
      <c r="J118" s="345">
        <f>SUM(J119:J128)</f>
        <v>0</v>
      </c>
      <c r="K118" s="345">
        <f>SUM(K119:K128)</f>
        <v>0</v>
      </c>
      <c r="L118" s="345">
        <f>SUM(L119:L128)</f>
        <v>0</v>
      </c>
      <c r="M118" s="333">
        <f t="shared" si="49"/>
        <v>0</v>
      </c>
      <c r="X118" s="332"/>
      <c r="AC118" s="332"/>
    </row>
    <row r="119" spans="2:29" hidden="1">
      <c r="B119" s="332" t="s">
        <v>2192</v>
      </c>
      <c r="C119" s="328" t="s">
        <v>2144</v>
      </c>
      <c r="D119" s="329" t="s">
        <v>2145</v>
      </c>
      <c r="E119" s="328" t="s">
        <v>2134</v>
      </c>
      <c r="F119" s="329"/>
      <c r="G119" s="329">
        <f t="shared" ref="G119:G128" si="62">ROUND(VLOOKUP(B119,DGTN,$Z$278,0)*S119,0)</f>
        <v>25808</v>
      </c>
      <c r="H119" s="329">
        <f t="shared" ref="H119:H128" si="63">ROUND((VLOOKUP(N119,DGNC,5,0)*O119+VLOOKUP(P119,DGNC,5,0)*Q119)*S119,0)</f>
        <v>1134066</v>
      </c>
      <c r="I119" s="329">
        <f t="shared" ref="I119:I128" si="64">ROUND(VLOOKUP(B119,DGTN,$AE$278,0)*S119,0)</f>
        <v>28346</v>
      </c>
      <c r="J119" s="329">
        <f t="shared" ref="J119:J128" si="65">$F119*G119</f>
        <v>0</v>
      </c>
      <c r="K119" s="329">
        <f t="shared" ref="K119:K128" si="66">$F119*H119</f>
        <v>0</v>
      </c>
      <c r="L119" s="329">
        <f t="shared" ref="L119:L128" si="67">$F119*I119</f>
        <v>0</v>
      </c>
      <c r="M119" s="333">
        <f t="shared" si="49"/>
        <v>0</v>
      </c>
      <c r="N119" s="332" t="s">
        <v>1328</v>
      </c>
      <c r="O119" s="287">
        <v>3.04</v>
      </c>
      <c r="P119" s="287" t="s">
        <v>12</v>
      </c>
      <c r="Q119" s="287">
        <v>1.64</v>
      </c>
      <c r="R119" s="287" t="s">
        <v>2129</v>
      </c>
      <c r="S119" s="287">
        <v>1</v>
      </c>
      <c r="X119" s="332"/>
      <c r="AC119" s="332"/>
    </row>
    <row r="120" spans="2:29" hidden="1">
      <c r="B120" s="332" t="s">
        <v>2196</v>
      </c>
      <c r="C120" s="328" t="s">
        <v>2146</v>
      </c>
      <c r="D120" s="329" t="s">
        <v>2147</v>
      </c>
      <c r="E120" s="328" t="s">
        <v>2148</v>
      </c>
      <c r="F120" s="329"/>
      <c r="G120" s="329">
        <f t="shared" si="62"/>
        <v>29735</v>
      </c>
      <c r="H120" s="329">
        <f t="shared" si="63"/>
        <v>1027972</v>
      </c>
      <c r="I120" s="329">
        <f t="shared" si="64"/>
        <v>201397</v>
      </c>
      <c r="J120" s="329">
        <f t="shared" si="65"/>
        <v>0</v>
      </c>
      <c r="K120" s="329">
        <f t="shared" si="66"/>
        <v>0</v>
      </c>
      <c r="L120" s="329">
        <f t="shared" si="67"/>
        <v>0</v>
      </c>
      <c r="M120" s="333">
        <f t="shared" si="49"/>
        <v>0</v>
      </c>
      <c r="N120" s="332" t="s">
        <v>1330</v>
      </c>
      <c r="O120" s="287">
        <v>2.63</v>
      </c>
      <c r="P120" s="287" t="s">
        <v>379</v>
      </c>
      <c r="Q120" s="287">
        <v>1.1299999999999999</v>
      </c>
      <c r="R120" s="287" t="s">
        <v>2129</v>
      </c>
      <c r="S120" s="287">
        <v>1</v>
      </c>
      <c r="X120" s="332"/>
      <c r="AC120" s="332"/>
    </row>
    <row r="121" spans="2:29" hidden="1">
      <c r="B121" s="332" t="s">
        <v>2196</v>
      </c>
      <c r="C121" s="328" t="s">
        <v>2146</v>
      </c>
      <c r="D121" s="329" t="s">
        <v>2149</v>
      </c>
      <c r="E121" s="328" t="s">
        <v>2148</v>
      </c>
      <c r="F121" s="329"/>
      <c r="G121" s="329">
        <f t="shared" si="62"/>
        <v>29735</v>
      </c>
      <c r="H121" s="329">
        <f t="shared" si="63"/>
        <v>1027972</v>
      </c>
      <c r="I121" s="329">
        <f t="shared" si="64"/>
        <v>201397</v>
      </c>
      <c r="J121" s="329">
        <f t="shared" si="65"/>
        <v>0</v>
      </c>
      <c r="K121" s="329">
        <f t="shared" si="66"/>
        <v>0</v>
      </c>
      <c r="L121" s="329">
        <f t="shared" si="67"/>
        <v>0</v>
      </c>
      <c r="M121" s="333">
        <f t="shared" si="49"/>
        <v>0</v>
      </c>
      <c r="N121" s="332" t="s">
        <v>1330</v>
      </c>
      <c r="O121" s="287">
        <v>2.63</v>
      </c>
      <c r="P121" s="287" t="s">
        <v>379</v>
      </c>
      <c r="Q121" s="287">
        <v>1.1299999999999999</v>
      </c>
      <c r="R121" s="287" t="s">
        <v>2129</v>
      </c>
      <c r="S121" s="287">
        <v>1</v>
      </c>
      <c r="X121" s="332"/>
      <c r="AC121" s="332"/>
    </row>
    <row r="122" spans="2:29" hidden="1">
      <c r="B122" s="332" t="s">
        <v>2196</v>
      </c>
      <c r="C122" s="328" t="s">
        <v>2146</v>
      </c>
      <c r="D122" s="329" t="s">
        <v>2150</v>
      </c>
      <c r="E122" s="328" t="s">
        <v>2148</v>
      </c>
      <c r="F122" s="329"/>
      <c r="G122" s="329">
        <f t="shared" si="62"/>
        <v>29735</v>
      </c>
      <c r="H122" s="329">
        <f t="shared" si="63"/>
        <v>1027972</v>
      </c>
      <c r="I122" s="329">
        <f t="shared" si="64"/>
        <v>201397</v>
      </c>
      <c r="J122" s="329">
        <f t="shared" si="65"/>
        <v>0</v>
      </c>
      <c r="K122" s="329">
        <f t="shared" si="66"/>
        <v>0</v>
      </c>
      <c r="L122" s="329">
        <f t="shared" si="67"/>
        <v>0</v>
      </c>
      <c r="M122" s="333">
        <f t="shared" si="49"/>
        <v>0</v>
      </c>
      <c r="N122" s="332" t="s">
        <v>1330</v>
      </c>
      <c r="O122" s="287">
        <v>2.63</v>
      </c>
      <c r="P122" s="287" t="s">
        <v>379</v>
      </c>
      <c r="Q122" s="287">
        <v>1.1299999999999999</v>
      </c>
      <c r="R122" s="287" t="s">
        <v>2129</v>
      </c>
      <c r="S122" s="287">
        <v>1</v>
      </c>
      <c r="X122" s="332"/>
      <c r="AC122" s="332"/>
    </row>
    <row r="123" spans="2:29" hidden="1">
      <c r="B123" s="332" t="s">
        <v>2190</v>
      </c>
      <c r="C123" s="328" t="s">
        <v>2131</v>
      </c>
      <c r="D123" s="329" t="s">
        <v>2421</v>
      </c>
      <c r="E123" s="328" t="s">
        <v>11</v>
      </c>
      <c r="F123" s="329"/>
      <c r="G123" s="329">
        <f t="shared" si="62"/>
        <v>3562</v>
      </c>
      <c r="H123" s="329">
        <f t="shared" si="63"/>
        <v>273830</v>
      </c>
      <c r="I123" s="329">
        <f t="shared" si="64"/>
        <v>44070</v>
      </c>
      <c r="J123" s="329">
        <f t="shared" si="65"/>
        <v>0</v>
      </c>
      <c r="K123" s="329">
        <f t="shared" si="66"/>
        <v>0</v>
      </c>
      <c r="L123" s="329">
        <f t="shared" si="67"/>
        <v>0</v>
      </c>
      <c r="M123" s="333">
        <f t="shared" si="49"/>
        <v>0</v>
      </c>
      <c r="N123" s="332" t="s">
        <v>1328</v>
      </c>
      <c r="O123" s="287">
        <v>0.79200000000000004</v>
      </c>
      <c r="P123" s="287" t="s">
        <v>12</v>
      </c>
      <c r="Q123" s="287">
        <v>0.33600000000000002</v>
      </c>
      <c r="R123" s="287" t="s">
        <v>2129</v>
      </c>
      <c r="S123" s="287">
        <v>1</v>
      </c>
      <c r="X123" s="332"/>
      <c r="AC123" s="332"/>
    </row>
    <row r="124" spans="2:29" hidden="1">
      <c r="B124" s="332" t="s">
        <v>2190</v>
      </c>
      <c r="C124" s="328" t="s">
        <v>2131</v>
      </c>
      <c r="D124" s="329" t="s">
        <v>2987</v>
      </c>
      <c r="E124" s="328" t="s">
        <v>11</v>
      </c>
      <c r="F124" s="329">
        <f>'7.CT-TBA'!H867</f>
        <v>0</v>
      </c>
      <c r="G124" s="329">
        <f t="shared" si="62"/>
        <v>3562</v>
      </c>
      <c r="H124" s="329">
        <f t="shared" si="63"/>
        <v>273830</v>
      </c>
      <c r="I124" s="329">
        <f t="shared" si="64"/>
        <v>44070</v>
      </c>
      <c r="J124" s="329">
        <f t="shared" si="65"/>
        <v>0</v>
      </c>
      <c r="K124" s="329">
        <f t="shared" si="66"/>
        <v>0</v>
      </c>
      <c r="L124" s="329">
        <f t="shared" si="67"/>
        <v>0</v>
      </c>
      <c r="M124" s="333">
        <f t="shared" si="49"/>
        <v>0</v>
      </c>
      <c r="N124" s="332" t="s">
        <v>1328</v>
      </c>
      <c r="O124" s="287">
        <v>0.79200000000000004</v>
      </c>
      <c r="P124" s="287" t="s">
        <v>12</v>
      </c>
      <c r="Q124" s="287">
        <v>0.33600000000000002</v>
      </c>
      <c r="R124" s="287" t="s">
        <v>2129</v>
      </c>
      <c r="S124" s="287">
        <v>1</v>
      </c>
      <c r="X124" s="332"/>
      <c r="AC124" s="332"/>
    </row>
    <row r="125" spans="2:29" hidden="1">
      <c r="B125" s="332" t="s">
        <v>2190</v>
      </c>
      <c r="C125" s="328" t="s">
        <v>2131</v>
      </c>
      <c r="D125" s="329" t="s">
        <v>2424</v>
      </c>
      <c r="E125" s="328" t="s">
        <v>11</v>
      </c>
      <c r="F125" s="329">
        <f>'7.CT-TBA'!H866</f>
        <v>0</v>
      </c>
      <c r="G125" s="329">
        <f t="shared" si="62"/>
        <v>3562</v>
      </c>
      <c r="H125" s="329">
        <f t="shared" si="63"/>
        <v>273830</v>
      </c>
      <c r="I125" s="329">
        <f t="shared" si="64"/>
        <v>44070</v>
      </c>
      <c r="J125" s="329">
        <f t="shared" si="65"/>
        <v>0</v>
      </c>
      <c r="K125" s="329">
        <f t="shared" si="66"/>
        <v>0</v>
      </c>
      <c r="L125" s="329">
        <f t="shared" si="67"/>
        <v>0</v>
      </c>
      <c r="M125" s="333">
        <f t="shared" si="49"/>
        <v>0</v>
      </c>
      <c r="N125" s="332" t="s">
        <v>1328</v>
      </c>
      <c r="O125" s="287">
        <v>0.79200000000000004</v>
      </c>
      <c r="P125" s="287" t="s">
        <v>12</v>
      </c>
      <c r="Q125" s="287">
        <v>0.33600000000000002</v>
      </c>
      <c r="R125" s="287" t="s">
        <v>2129</v>
      </c>
      <c r="S125" s="287">
        <v>1</v>
      </c>
      <c r="X125" s="332"/>
      <c r="AC125" s="332"/>
    </row>
    <row r="126" spans="2:29" hidden="1">
      <c r="B126" s="332" t="s">
        <v>2191</v>
      </c>
      <c r="C126" s="328" t="s">
        <v>2151</v>
      </c>
      <c r="D126" s="329" t="s">
        <v>2422</v>
      </c>
      <c r="E126" s="328" t="s">
        <v>11</v>
      </c>
      <c r="F126" s="329"/>
      <c r="G126" s="329">
        <f t="shared" si="62"/>
        <v>5073</v>
      </c>
      <c r="H126" s="329">
        <f t="shared" si="63"/>
        <v>308745</v>
      </c>
      <c r="I126" s="329">
        <f t="shared" si="64"/>
        <v>62790</v>
      </c>
      <c r="J126" s="329">
        <f t="shared" si="65"/>
        <v>0</v>
      </c>
      <c r="K126" s="329">
        <f t="shared" si="66"/>
        <v>0</v>
      </c>
      <c r="L126" s="329">
        <f t="shared" si="67"/>
        <v>0</v>
      </c>
      <c r="M126" s="333">
        <f t="shared" si="49"/>
        <v>0</v>
      </c>
      <c r="N126" s="332" t="s">
        <v>1328</v>
      </c>
      <c r="O126" s="287">
        <v>0.88800000000000001</v>
      </c>
      <c r="P126" s="287" t="s">
        <v>12</v>
      </c>
      <c r="Q126" s="287">
        <v>0.38400000000000001</v>
      </c>
      <c r="R126" s="287" t="s">
        <v>2129</v>
      </c>
      <c r="S126" s="287">
        <v>1</v>
      </c>
      <c r="X126" s="332"/>
      <c r="AC126" s="332"/>
    </row>
    <row r="127" spans="2:29" hidden="1">
      <c r="B127" s="332" t="s">
        <v>2188</v>
      </c>
      <c r="C127" s="328" t="s">
        <v>2127</v>
      </c>
      <c r="D127" s="329" t="s">
        <v>2143</v>
      </c>
      <c r="E127" s="328" t="s">
        <v>11</v>
      </c>
      <c r="F127" s="329">
        <f>'7.CT-TBA'!H864</f>
        <v>0</v>
      </c>
      <c r="G127" s="329">
        <f t="shared" si="62"/>
        <v>520</v>
      </c>
      <c r="H127" s="329">
        <f t="shared" si="63"/>
        <v>45165</v>
      </c>
      <c r="I127" s="329">
        <f t="shared" si="64"/>
        <v>1847</v>
      </c>
      <c r="J127" s="329">
        <f t="shared" si="65"/>
        <v>0</v>
      </c>
      <c r="K127" s="329">
        <f t="shared" si="66"/>
        <v>0</v>
      </c>
      <c r="L127" s="329">
        <f t="shared" si="67"/>
        <v>0</v>
      </c>
      <c r="M127" s="333">
        <f t="shared" si="49"/>
        <v>0</v>
      </c>
      <c r="N127" s="332" t="s">
        <v>1330</v>
      </c>
      <c r="O127" s="287">
        <v>2.89</v>
      </c>
      <c r="P127" s="287" t="s">
        <v>379</v>
      </c>
      <c r="Q127" s="287">
        <v>1.24</v>
      </c>
      <c r="R127" s="287" t="s">
        <v>2129</v>
      </c>
      <c r="S127" s="287">
        <f>S10</f>
        <v>4.0000000000000008E-2</v>
      </c>
      <c r="X127" s="332"/>
      <c r="AC127" s="332"/>
    </row>
    <row r="128" spans="2:29" hidden="1">
      <c r="B128" s="332" t="s">
        <v>2189</v>
      </c>
      <c r="C128" s="328" t="s">
        <v>2135</v>
      </c>
      <c r="D128" s="329" t="s">
        <v>945</v>
      </c>
      <c r="E128" s="328" t="s">
        <v>11</v>
      </c>
      <c r="F128" s="329">
        <f>'7.CT-TBA'!H865</f>
        <v>0</v>
      </c>
      <c r="G128" s="329">
        <f t="shared" si="62"/>
        <v>2578</v>
      </c>
      <c r="H128" s="329">
        <f t="shared" si="63"/>
        <v>94186</v>
      </c>
      <c r="I128" s="329">
        <f t="shared" si="64"/>
        <v>19746</v>
      </c>
      <c r="J128" s="329">
        <f t="shared" si="65"/>
        <v>0</v>
      </c>
      <c r="K128" s="329">
        <f t="shared" si="66"/>
        <v>0</v>
      </c>
      <c r="L128" s="329">
        <f t="shared" si="67"/>
        <v>0</v>
      </c>
      <c r="M128" s="333">
        <f t="shared" si="49"/>
        <v>0</v>
      </c>
      <c r="N128" s="332" t="s">
        <v>1330</v>
      </c>
      <c r="O128" s="287">
        <v>0.28000000000000003</v>
      </c>
      <c r="P128" s="287" t="s">
        <v>379</v>
      </c>
      <c r="Q128" s="287">
        <v>0.15</v>
      </c>
      <c r="R128" s="287" t="s">
        <v>2129</v>
      </c>
      <c r="S128" s="287">
        <f>S17</f>
        <v>0.8</v>
      </c>
      <c r="X128" s="332"/>
      <c r="AC128" s="332"/>
    </row>
    <row r="129" spans="2:29">
      <c r="B129" s="332" t="s">
        <v>2082</v>
      </c>
      <c r="C129" s="344">
        <f>IF(SUM(J129:L129)&lt;&gt;0,C118+1,C118)</f>
        <v>2</v>
      </c>
      <c r="D129" s="345" t="str">
        <f>VLOOKUP(B129,XLTBA,'6.XL-TR'!$D$2,0)</f>
        <v>9 Trạm 3 pha 3x50kVA</v>
      </c>
      <c r="E129" s="344"/>
      <c r="F129" s="345"/>
      <c r="G129" s="345"/>
      <c r="H129" s="345"/>
      <c r="I129" s="345"/>
      <c r="J129" s="345">
        <f>SUM(J130:J140)</f>
        <v>949563</v>
      </c>
      <c r="K129" s="345">
        <f>SUM(K130:K140)</f>
        <v>33514596</v>
      </c>
      <c r="L129" s="345">
        <f>SUM(L130:L140)</f>
        <v>6719139</v>
      </c>
      <c r="M129" s="333">
        <f t="shared" si="49"/>
        <v>1</v>
      </c>
    </row>
    <row r="130" spans="2:29" hidden="1">
      <c r="B130" s="332" t="s">
        <v>2192</v>
      </c>
      <c r="C130" s="328" t="s">
        <v>2144</v>
      </c>
      <c r="D130" s="329" t="s">
        <v>2145</v>
      </c>
      <c r="E130" s="328" t="s">
        <v>2134</v>
      </c>
      <c r="F130" s="329"/>
      <c r="G130" s="329">
        <f t="shared" ref="G130:G140" si="68">ROUND(VLOOKUP(B130,DGTN,$Z$278,0)*S130,0)</f>
        <v>25808</v>
      </c>
      <c r="H130" s="329">
        <f t="shared" ref="H130:H140" si="69">ROUND((VLOOKUP(N130,DGNC,5,0)*O130+VLOOKUP(P130,DGNC,5,0)*Q130)*S130,0)</f>
        <v>1134066</v>
      </c>
      <c r="I130" s="329">
        <f t="shared" ref="I130:I140" si="70">ROUND(VLOOKUP(B130,DGTN,$AE$278,0)*S130,0)</f>
        <v>28346</v>
      </c>
      <c r="J130" s="329">
        <f t="shared" ref="J130:J140" si="71">$F130*G130</f>
        <v>0</v>
      </c>
      <c r="K130" s="329">
        <f t="shared" ref="K130:K140" si="72">$F130*H130</f>
        <v>0</v>
      </c>
      <c r="L130" s="329">
        <f t="shared" ref="L130:L140" si="73">$F130*I130</f>
        <v>0</v>
      </c>
      <c r="M130" s="333">
        <f t="shared" si="49"/>
        <v>0</v>
      </c>
      <c r="N130" s="332" t="s">
        <v>1328</v>
      </c>
      <c r="O130" s="287">
        <v>3.04</v>
      </c>
      <c r="P130" s="287" t="s">
        <v>12</v>
      </c>
      <c r="Q130" s="287">
        <v>1.64</v>
      </c>
      <c r="R130" s="287" t="s">
        <v>2129</v>
      </c>
      <c r="S130" s="287">
        <v>1</v>
      </c>
      <c r="X130" s="332"/>
      <c r="AC130" s="332"/>
    </row>
    <row r="131" spans="2:29">
      <c r="B131" s="332" t="s">
        <v>2196</v>
      </c>
      <c r="C131" s="328" t="s">
        <v>2146</v>
      </c>
      <c r="D131" s="329" t="s">
        <v>2147</v>
      </c>
      <c r="E131" s="328" t="s">
        <v>2148</v>
      </c>
      <c r="F131" s="329">
        <f>TR3X50*3</f>
        <v>27</v>
      </c>
      <c r="G131" s="329">
        <f t="shared" si="68"/>
        <v>29735</v>
      </c>
      <c r="H131" s="329">
        <f t="shared" si="69"/>
        <v>1027972</v>
      </c>
      <c r="I131" s="329">
        <f t="shared" si="70"/>
        <v>201397</v>
      </c>
      <c r="J131" s="329">
        <f t="shared" si="71"/>
        <v>802845</v>
      </c>
      <c r="K131" s="329">
        <f t="shared" si="72"/>
        <v>27755244</v>
      </c>
      <c r="L131" s="329">
        <f t="shared" si="73"/>
        <v>5437719</v>
      </c>
      <c r="M131" s="333">
        <f t="shared" si="49"/>
        <v>1</v>
      </c>
      <c r="N131" s="332" t="s">
        <v>1330</v>
      </c>
      <c r="O131" s="287">
        <v>2.63</v>
      </c>
      <c r="P131" s="287" t="s">
        <v>379</v>
      </c>
      <c r="Q131" s="287">
        <v>1.1299999999999999</v>
      </c>
      <c r="R131" s="287" t="s">
        <v>2129</v>
      </c>
      <c r="S131" s="287">
        <v>1</v>
      </c>
    </row>
    <row r="132" spans="2:29" hidden="1">
      <c r="B132" s="332" t="s">
        <v>2196</v>
      </c>
      <c r="C132" s="328" t="s">
        <v>2146</v>
      </c>
      <c r="D132" s="329" t="s">
        <v>2149</v>
      </c>
      <c r="E132" s="328" t="s">
        <v>2148</v>
      </c>
      <c r="F132" s="329"/>
      <c r="G132" s="329">
        <f t="shared" si="68"/>
        <v>29735</v>
      </c>
      <c r="H132" s="329">
        <f t="shared" si="69"/>
        <v>1027972</v>
      </c>
      <c r="I132" s="329">
        <f t="shared" si="70"/>
        <v>201397</v>
      </c>
      <c r="J132" s="329">
        <f t="shared" si="71"/>
        <v>0</v>
      </c>
      <c r="K132" s="329">
        <f t="shared" si="72"/>
        <v>0</v>
      </c>
      <c r="L132" s="329">
        <f t="shared" si="73"/>
        <v>0</v>
      </c>
      <c r="M132" s="333">
        <f t="shared" si="49"/>
        <v>0</v>
      </c>
      <c r="N132" s="332" t="s">
        <v>1330</v>
      </c>
      <c r="O132" s="287">
        <v>2.63</v>
      </c>
      <c r="P132" s="287" t="s">
        <v>379</v>
      </c>
      <c r="Q132" s="287">
        <v>1.1299999999999999</v>
      </c>
      <c r="R132" s="287" t="s">
        <v>2129</v>
      </c>
      <c r="S132" s="287">
        <v>1</v>
      </c>
      <c r="X132" s="332"/>
      <c r="AC132" s="332"/>
    </row>
    <row r="133" spans="2:29" hidden="1">
      <c r="B133" s="332" t="s">
        <v>2196</v>
      </c>
      <c r="C133" s="328" t="s">
        <v>2146</v>
      </c>
      <c r="D133" s="329" t="s">
        <v>2150</v>
      </c>
      <c r="E133" s="328" t="s">
        <v>2148</v>
      </c>
      <c r="F133" s="329"/>
      <c r="G133" s="329">
        <f t="shared" si="68"/>
        <v>29735</v>
      </c>
      <c r="H133" s="329">
        <f t="shared" si="69"/>
        <v>1027972</v>
      </c>
      <c r="I133" s="329">
        <f t="shared" si="70"/>
        <v>201397</v>
      </c>
      <c r="J133" s="329">
        <f t="shared" si="71"/>
        <v>0</v>
      </c>
      <c r="K133" s="329">
        <f t="shared" si="72"/>
        <v>0</v>
      </c>
      <c r="L133" s="329">
        <f t="shared" si="73"/>
        <v>0</v>
      </c>
      <c r="M133" s="333">
        <f t="shared" si="49"/>
        <v>0</v>
      </c>
      <c r="N133" s="332" t="s">
        <v>1330</v>
      </c>
      <c r="O133" s="287">
        <v>2.63</v>
      </c>
      <c r="P133" s="287" t="s">
        <v>379</v>
      </c>
      <c r="Q133" s="287">
        <v>1.1299999999999999</v>
      </c>
      <c r="R133" s="287" t="s">
        <v>2129</v>
      </c>
      <c r="S133" s="287">
        <v>1</v>
      </c>
      <c r="X133" s="332"/>
      <c r="AC133" s="332"/>
    </row>
    <row r="134" spans="2:29" hidden="1">
      <c r="B134" s="332" t="s">
        <v>2190</v>
      </c>
      <c r="C134" s="328" t="s">
        <v>2131</v>
      </c>
      <c r="D134" s="329" t="s">
        <v>2421</v>
      </c>
      <c r="E134" s="328" t="s">
        <v>11</v>
      </c>
      <c r="F134" s="329"/>
      <c r="G134" s="329">
        <f t="shared" si="68"/>
        <v>3562</v>
      </c>
      <c r="H134" s="329">
        <f t="shared" si="69"/>
        <v>273830</v>
      </c>
      <c r="I134" s="329">
        <f t="shared" si="70"/>
        <v>44070</v>
      </c>
      <c r="J134" s="329">
        <f t="shared" si="71"/>
        <v>0</v>
      </c>
      <c r="K134" s="329">
        <f t="shared" si="72"/>
        <v>0</v>
      </c>
      <c r="L134" s="329">
        <f t="shared" si="73"/>
        <v>0</v>
      </c>
      <c r="M134" s="333">
        <f t="shared" si="49"/>
        <v>0</v>
      </c>
      <c r="N134" s="332" t="s">
        <v>1328</v>
      </c>
      <c r="O134" s="287">
        <v>0.79200000000000004</v>
      </c>
      <c r="P134" s="287" t="s">
        <v>12</v>
      </c>
      <c r="Q134" s="287">
        <v>0.33600000000000002</v>
      </c>
      <c r="R134" s="287" t="s">
        <v>2129</v>
      </c>
      <c r="S134" s="287">
        <v>1</v>
      </c>
      <c r="X134" s="332"/>
      <c r="AC134" s="332"/>
    </row>
    <row r="135" spans="2:29" hidden="1">
      <c r="B135" s="332" t="s">
        <v>2190</v>
      </c>
      <c r="C135" s="328" t="s">
        <v>2131</v>
      </c>
      <c r="D135" s="329" t="s">
        <v>2423</v>
      </c>
      <c r="E135" s="328" t="s">
        <v>11</v>
      </c>
      <c r="F135" s="329"/>
      <c r="G135" s="329">
        <f t="shared" si="68"/>
        <v>3562</v>
      </c>
      <c r="H135" s="329">
        <f t="shared" si="69"/>
        <v>273830</v>
      </c>
      <c r="I135" s="329">
        <f t="shared" si="70"/>
        <v>44070</v>
      </c>
      <c r="J135" s="329">
        <f t="shared" si="71"/>
        <v>0</v>
      </c>
      <c r="K135" s="329">
        <f t="shared" si="72"/>
        <v>0</v>
      </c>
      <c r="L135" s="329">
        <f t="shared" si="73"/>
        <v>0</v>
      </c>
      <c r="M135" s="333">
        <f t="shared" si="49"/>
        <v>0</v>
      </c>
      <c r="N135" s="332" t="s">
        <v>1328</v>
      </c>
      <c r="O135" s="287">
        <v>0.79200000000000004</v>
      </c>
      <c r="P135" s="287" t="s">
        <v>12</v>
      </c>
      <c r="Q135" s="287">
        <v>0.33600000000000002</v>
      </c>
      <c r="R135" s="287" t="s">
        <v>2129</v>
      </c>
      <c r="S135" s="287">
        <v>1</v>
      </c>
      <c r="X135" s="332"/>
      <c r="AC135" s="332"/>
    </row>
    <row r="136" spans="2:29" hidden="1">
      <c r="B136" s="332" t="s">
        <v>2190</v>
      </c>
      <c r="C136" s="328" t="s">
        <v>2131</v>
      </c>
      <c r="D136" s="329" t="s">
        <v>2424</v>
      </c>
      <c r="E136" s="328" t="s">
        <v>11</v>
      </c>
      <c r="F136" s="329"/>
      <c r="G136" s="329">
        <f t="shared" si="68"/>
        <v>3562</v>
      </c>
      <c r="H136" s="329">
        <f t="shared" si="69"/>
        <v>273830</v>
      </c>
      <c r="I136" s="329">
        <f t="shared" si="70"/>
        <v>44070</v>
      </c>
      <c r="J136" s="329">
        <f t="shared" si="71"/>
        <v>0</v>
      </c>
      <c r="K136" s="329">
        <f t="shared" si="72"/>
        <v>0</v>
      </c>
      <c r="L136" s="329">
        <f t="shared" si="73"/>
        <v>0</v>
      </c>
      <c r="M136" s="333">
        <f t="shared" si="49"/>
        <v>0</v>
      </c>
      <c r="N136" s="332" t="s">
        <v>1328</v>
      </c>
      <c r="O136" s="287">
        <v>0.79200000000000004</v>
      </c>
      <c r="P136" s="287" t="s">
        <v>12</v>
      </c>
      <c r="Q136" s="287">
        <v>0.33600000000000002</v>
      </c>
      <c r="R136" s="287" t="s">
        <v>2129</v>
      </c>
      <c r="S136" s="287">
        <v>1</v>
      </c>
      <c r="X136" s="332"/>
      <c r="AC136" s="332"/>
    </row>
    <row r="137" spans="2:29">
      <c r="B137" s="332" t="s">
        <v>2191</v>
      </c>
      <c r="C137" s="328" t="s">
        <v>2151</v>
      </c>
      <c r="D137" s="329" t="s">
        <v>2420</v>
      </c>
      <c r="E137" s="328" t="s">
        <v>11</v>
      </c>
      <c r="F137" s="329">
        <f>TR3X50</f>
        <v>9</v>
      </c>
      <c r="G137" s="329">
        <f t="shared" si="68"/>
        <v>5073</v>
      </c>
      <c r="H137" s="515">
        <f>ROUND((VLOOKUP(N137,DGNC,5,0)*O137+VLOOKUP(P137,DGNC,5,0)*Q137)*S137,0)</f>
        <v>257287</v>
      </c>
      <c r="I137" s="515">
        <f t="shared" si="70"/>
        <v>62790</v>
      </c>
      <c r="J137" s="329">
        <f>$F137*G137</f>
        <v>45657</v>
      </c>
      <c r="K137" s="329">
        <f>$F137*H137</f>
        <v>2315583</v>
      </c>
      <c r="L137" s="329">
        <f>$F137*I137</f>
        <v>565110</v>
      </c>
      <c r="M137" s="333">
        <f t="shared" si="49"/>
        <v>1</v>
      </c>
      <c r="N137" s="332" t="s">
        <v>1328</v>
      </c>
      <c r="O137" s="287">
        <v>0.74</v>
      </c>
      <c r="P137" s="287" t="s">
        <v>12</v>
      </c>
      <c r="Q137" s="287">
        <v>0.32</v>
      </c>
      <c r="R137" s="287" t="s">
        <v>2129</v>
      </c>
      <c r="S137" s="287">
        <v>1</v>
      </c>
    </row>
    <row r="138" spans="2:29" hidden="1">
      <c r="B138" s="332" t="s">
        <v>2191</v>
      </c>
      <c r="C138" s="328" t="s">
        <v>2151</v>
      </c>
      <c r="D138" s="329" t="s">
        <v>2422</v>
      </c>
      <c r="E138" s="328" t="s">
        <v>11</v>
      </c>
      <c r="F138" s="329"/>
      <c r="G138" s="329">
        <f t="shared" si="68"/>
        <v>5073</v>
      </c>
      <c r="H138" s="329">
        <f t="shared" si="69"/>
        <v>308745</v>
      </c>
      <c r="I138" s="329">
        <f t="shared" si="70"/>
        <v>62790</v>
      </c>
      <c r="J138" s="329">
        <f t="shared" si="71"/>
        <v>0</v>
      </c>
      <c r="K138" s="329">
        <f t="shared" si="72"/>
        <v>0</v>
      </c>
      <c r="L138" s="329">
        <f t="shared" si="73"/>
        <v>0</v>
      </c>
      <c r="M138" s="333">
        <f t="shared" si="49"/>
        <v>0</v>
      </c>
      <c r="N138" s="332" t="s">
        <v>1328</v>
      </c>
      <c r="O138" s="287">
        <v>0.88800000000000001</v>
      </c>
      <c r="P138" s="287" t="s">
        <v>12</v>
      </c>
      <c r="Q138" s="287">
        <v>0.38400000000000001</v>
      </c>
      <c r="R138" s="287" t="s">
        <v>2129</v>
      </c>
      <c r="S138" s="287">
        <v>1</v>
      </c>
      <c r="X138" s="332"/>
      <c r="AC138" s="332"/>
    </row>
    <row r="139" spans="2:29">
      <c r="B139" s="332" t="s">
        <v>2188</v>
      </c>
      <c r="C139" s="328" t="s">
        <v>2127</v>
      </c>
      <c r="D139" s="329" t="s">
        <v>2143</v>
      </c>
      <c r="E139" s="328" t="s">
        <v>11</v>
      </c>
      <c r="F139" s="329">
        <f>TR3X50*3</f>
        <v>27</v>
      </c>
      <c r="G139" s="329">
        <f t="shared" si="68"/>
        <v>520</v>
      </c>
      <c r="H139" s="515">
        <f t="shared" si="69"/>
        <v>45165</v>
      </c>
      <c r="I139" s="515">
        <f t="shared" si="70"/>
        <v>1847</v>
      </c>
      <c r="J139" s="329">
        <f t="shared" si="71"/>
        <v>14040</v>
      </c>
      <c r="K139" s="329">
        <f t="shared" si="72"/>
        <v>1219455</v>
      </c>
      <c r="L139" s="329">
        <f t="shared" si="73"/>
        <v>49869</v>
      </c>
      <c r="M139" s="333">
        <f t="shared" si="49"/>
        <v>1</v>
      </c>
      <c r="N139" s="332" t="s">
        <v>1330</v>
      </c>
      <c r="O139" s="287">
        <v>2.89</v>
      </c>
      <c r="P139" s="287" t="s">
        <v>379</v>
      </c>
      <c r="Q139" s="287">
        <v>1.24</v>
      </c>
      <c r="R139" s="287" t="s">
        <v>2129</v>
      </c>
      <c r="S139" s="287">
        <f>0.4*0.1</f>
        <v>4.0000000000000008E-2</v>
      </c>
    </row>
    <row r="140" spans="2:29">
      <c r="B140" s="332" t="s">
        <v>2189</v>
      </c>
      <c r="C140" s="328" t="s">
        <v>3374</v>
      </c>
      <c r="D140" s="329" t="s">
        <v>945</v>
      </c>
      <c r="E140" s="328" t="s">
        <v>11</v>
      </c>
      <c r="F140" s="329">
        <f>TR3X50*3</f>
        <v>27</v>
      </c>
      <c r="G140" s="329">
        <f t="shared" si="68"/>
        <v>3223</v>
      </c>
      <c r="H140" s="515">
        <f t="shared" si="69"/>
        <v>82382</v>
      </c>
      <c r="I140" s="515">
        <f t="shared" si="70"/>
        <v>24683</v>
      </c>
      <c r="J140" s="329">
        <f t="shared" si="71"/>
        <v>87021</v>
      </c>
      <c r="K140" s="329">
        <f t="shared" si="72"/>
        <v>2224314</v>
      </c>
      <c r="L140" s="329">
        <f t="shared" si="73"/>
        <v>666441</v>
      </c>
      <c r="M140" s="333">
        <f t="shared" si="49"/>
        <v>1</v>
      </c>
      <c r="N140" s="332" t="s">
        <v>1328</v>
      </c>
      <c r="O140" s="287">
        <v>0.22</v>
      </c>
      <c r="P140" s="287" t="s">
        <v>12</v>
      </c>
      <c r="Q140" s="287">
        <v>0.12</v>
      </c>
      <c r="R140" s="287" t="s">
        <v>2129</v>
      </c>
      <c r="S140" s="287">
        <v>1</v>
      </c>
    </row>
    <row r="141" spans="2:29" hidden="1">
      <c r="B141" s="332" t="s">
        <v>2085</v>
      </c>
      <c r="C141" s="344">
        <f>IF(SUM(J141:L141)&lt;&gt;0,C129+1,C129)</f>
        <v>2</v>
      </c>
      <c r="D141" s="345" t="str">
        <f>VLOOKUP(B141,XLTBA,'6.XL-TR'!$D$2,0)</f>
        <v>0 Trạm 3 pha 3x75kVA</v>
      </c>
      <c r="E141" s="344"/>
      <c r="F141" s="345"/>
      <c r="G141" s="345"/>
      <c r="H141" s="345"/>
      <c r="I141" s="345"/>
      <c r="J141" s="345">
        <f>SUM(J142:J151)</f>
        <v>0</v>
      </c>
      <c r="K141" s="345">
        <f>SUM(K142:K151)</f>
        <v>0</v>
      </c>
      <c r="L141" s="345">
        <f>SUM(L142:L151)</f>
        <v>0</v>
      </c>
      <c r="M141" s="333">
        <f t="shared" si="49"/>
        <v>0</v>
      </c>
      <c r="X141" s="332"/>
      <c r="AC141" s="332"/>
    </row>
    <row r="142" spans="2:29" hidden="1">
      <c r="B142" s="332" t="s">
        <v>2192</v>
      </c>
      <c r="C142" s="328" t="s">
        <v>2144</v>
      </c>
      <c r="D142" s="329" t="s">
        <v>2145</v>
      </c>
      <c r="E142" s="328" t="s">
        <v>2134</v>
      </c>
      <c r="F142" s="329"/>
      <c r="G142" s="329">
        <f t="shared" ref="G142:G151" si="74">ROUND(VLOOKUP(B142,DGTN,$Z$278,0)*S142,0)</f>
        <v>25808</v>
      </c>
      <c r="H142" s="329">
        <f t="shared" ref="H142:H151" si="75">ROUND((VLOOKUP(N142,DGNC,5,0)*O142+VLOOKUP(P142,DGNC,5,0)*Q142)*S142,0)</f>
        <v>1134066</v>
      </c>
      <c r="I142" s="329">
        <f t="shared" ref="I142:I151" si="76">ROUND(VLOOKUP(B142,DGTN,$AE$278,0)*S142,0)</f>
        <v>28346</v>
      </c>
      <c r="J142" s="329">
        <f t="shared" ref="J142:J151" si="77">$F142*G142</f>
        <v>0</v>
      </c>
      <c r="K142" s="329">
        <f t="shared" ref="K142:K151" si="78">$F142*H142</f>
        <v>0</v>
      </c>
      <c r="L142" s="329">
        <f t="shared" ref="L142:L151" si="79">$F142*I142</f>
        <v>0</v>
      </c>
      <c r="M142" s="333">
        <f t="shared" si="49"/>
        <v>0</v>
      </c>
      <c r="N142" s="332" t="s">
        <v>1328</v>
      </c>
      <c r="O142" s="287">
        <v>3.04</v>
      </c>
      <c r="P142" s="287" t="s">
        <v>12</v>
      </c>
      <c r="Q142" s="287">
        <v>1.64</v>
      </c>
      <c r="R142" s="287" t="s">
        <v>2129</v>
      </c>
      <c r="S142" s="287">
        <v>1</v>
      </c>
      <c r="X142" s="332"/>
      <c r="AC142" s="332"/>
    </row>
    <row r="143" spans="2:29" hidden="1">
      <c r="B143" s="332" t="s">
        <v>2196</v>
      </c>
      <c r="C143" s="328" t="s">
        <v>2146</v>
      </c>
      <c r="D143" s="329" t="s">
        <v>2147</v>
      </c>
      <c r="E143" s="328" t="s">
        <v>2148</v>
      </c>
      <c r="F143" s="329"/>
      <c r="G143" s="329">
        <f t="shared" si="74"/>
        <v>29735</v>
      </c>
      <c r="H143" s="329">
        <f t="shared" si="75"/>
        <v>1027972</v>
      </c>
      <c r="I143" s="329">
        <f t="shared" si="76"/>
        <v>201397</v>
      </c>
      <c r="J143" s="329">
        <f t="shared" si="77"/>
        <v>0</v>
      </c>
      <c r="K143" s="329">
        <f t="shared" si="78"/>
        <v>0</v>
      </c>
      <c r="L143" s="329">
        <f t="shared" si="79"/>
        <v>0</v>
      </c>
      <c r="M143" s="333">
        <f t="shared" si="49"/>
        <v>0</v>
      </c>
      <c r="N143" s="332" t="s">
        <v>1330</v>
      </c>
      <c r="O143" s="287">
        <v>2.63</v>
      </c>
      <c r="P143" s="287" t="s">
        <v>379</v>
      </c>
      <c r="Q143" s="287">
        <v>1.1299999999999999</v>
      </c>
      <c r="R143" s="287" t="s">
        <v>2129</v>
      </c>
      <c r="S143" s="287">
        <v>1</v>
      </c>
      <c r="X143" s="332"/>
      <c r="AC143" s="332"/>
    </row>
    <row r="144" spans="2:29" hidden="1">
      <c r="B144" s="332" t="s">
        <v>2196</v>
      </c>
      <c r="C144" s="328" t="s">
        <v>2146</v>
      </c>
      <c r="D144" s="329" t="s">
        <v>2149</v>
      </c>
      <c r="E144" s="328" t="s">
        <v>2148</v>
      </c>
      <c r="F144" s="329"/>
      <c r="G144" s="329">
        <f t="shared" si="74"/>
        <v>29735</v>
      </c>
      <c r="H144" s="329">
        <f t="shared" si="75"/>
        <v>1027972</v>
      </c>
      <c r="I144" s="329">
        <f t="shared" si="76"/>
        <v>201397</v>
      </c>
      <c r="J144" s="329">
        <f t="shared" si="77"/>
        <v>0</v>
      </c>
      <c r="K144" s="329">
        <f t="shared" si="78"/>
        <v>0</v>
      </c>
      <c r="L144" s="329">
        <f t="shared" si="79"/>
        <v>0</v>
      </c>
      <c r="M144" s="333">
        <f t="shared" si="49"/>
        <v>0</v>
      </c>
      <c r="N144" s="332" t="s">
        <v>1330</v>
      </c>
      <c r="O144" s="287">
        <v>2.63</v>
      </c>
      <c r="P144" s="287" t="s">
        <v>379</v>
      </c>
      <c r="Q144" s="287">
        <v>1.1299999999999999</v>
      </c>
      <c r="R144" s="287" t="s">
        <v>2129</v>
      </c>
      <c r="S144" s="287">
        <v>1</v>
      </c>
      <c r="X144" s="332"/>
      <c r="AC144" s="332"/>
    </row>
    <row r="145" spans="2:29" hidden="1">
      <c r="B145" s="332" t="s">
        <v>2196</v>
      </c>
      <c r="C145" s="328" t="s">
        <v>2146</v>
      </c>
      <c r="D145" s="329" t="s">
        <v>2150</v>
      </c>
      <c r="E145" s="328" t="s">
        <v>2148</v>
      </c>
      <c r="F145" s="329"/>
      <c r="G145" s="329">
        <f t="shared" si="74"/>
        <v>29735</v>
      </c>
      <c r="H145" s="329">
        <f t="shared" si="75"/>
        <v>1027972</v>
      </c>
      <c r="I145" s="329">
        <f t="shared" si="76"/>
        <v>201397</v>
      </c>
      <c r="J145" s="329">
        <f t="shared" si="77"/>
        <v>0</v>
      </c>
      <c r="K145" s="329">
        <f t="shared" si="78"/>
        <v>0</v>
      </c>
      <c r="L145" s="329">
        <f t="shared" si="79"/>
        <v>0</v>
      </c>
      <c r="M145" s="333">
        <f t="shared" si="49"/>
        <v>0</v>
      </c>
      <c r="N145" s="332" t="s">
        <v>1330</v>
      </c>
      <c r="O145" s="287">
        <v>2.63</v>
      </c>
      <c r="P145" s="287" t="s">
        <v>379</v>
      </c>
      <c r="Q145" s="287">
        <v>1.1299999999999999</v>
      </c>
      <c r="R145" s="287" t="s">
        <v>2129</v>
      </c>
      <c r="S145" s="287">
        <v>1</v>
      </c>
      <c r="X145" s="332"/>
      <c r="AC145" s="332"/>
    </row>
    <row r="146" spans="2:29" hidden="1">
      <c r="B146" s="332" t="s">
        <v>2190</v>
      </c>
      <c r="C146" s="328" t="s">
        <v>2131</v>
      </c>
      <c r="D146" s="329" t="s">
        <v>2421</v>
      </c>
      <c r="E146" s="328" t="s">
        <v>11</v>
      </c>
      <c r="F146" s="329"/>
      <c r="G146" s="329">
        <f t="shared" si="74"/>
        <v>3562</v>
      </c>
      <c r="H146" s="329">
        <f t="shared" si="75"/>
        <v>273830</v>
      </c>
      <c r="I146" s="329">
        <f t="shared" si="76"/>
        <v>44070</v>
      </c>
      <c r="J146" s="329">
        <f t="shared" si="77"/>
        <v>0</v>
      </c>
      <c r="K146" s="329">
        <f t="shared" si="78"/>
        <v>0</v>
      </c>
      <c r="L146" s="329">
        <f t="shared" si="79"/>
        <v>0</v>
      </c>
      <c r="M146" s="333">
        <f t="shared" si="49"/>
        <v>0</v>
      </c>
      <c r="N146" s="332" t="s">
        <v>1328</v>
      </c>
      <c r="O146" s="287">
        <v>0.79200000000000004</v>
      </c>
      <c r="P146" s="287" t="s">
        <v>12</v>
      </c>
      <c r="Q146" s="287">
        <v>0.33600000000000002</v>
      </c>
      <c r="R146" s="287" t="s">
        <v>2129</v>
      </c>
      <c r="S146" s="287">
        <v>1</v>
      </c>
      <c r="X146" s="332"/>
      <c r="AC146" s="332"/>
    </row>
    <row r="147" spans="2:29" hidden="1">
      <c r="B147" s="332" t="s">
        <v>2190</v>
      </c>
      <c r="C147" s="328" t="s">
        <v>2131</v>
      </c>
      <c r="D147" s="329" t="s">
        <v>2423</v>
      </c>
      <c r="E147" s="328" t="s">
        <v>11</v>
      </c>
      <c r="F147" s="329"/>
      <c r="G147" s="329">
        <f t="shared" si="74"/>
        <v>3562</v>
      </c>
      <c r="H147" s="329">
        <f t="shared" si="75"/>
        <v>273830</v>
      </c>
      <c r="I147" s="329">
        <f t="shared" si="76"/>
        <v>44070</v>
      </c>
      <c r="J147" s="329">
        <f t="shared" si="77"/>
        <v>0</v>
      </c>
      <c r="K147" s="329">
        <f t="shared" si="78"/>
        <v>0</v>
      </c>
      <c r="L147" s="329">
        <f t="shared" si="79"/>
        <v>0</v>
      </c>
      <c r="M147" s="333">
        <f t="shared" si="49"/>
        <v>0</v>
      </c>
      <c r="N147" s="332" t="s">
        <v>1328</v>
      </c>
      <c r="O147" s="287">
        <v>0.79200000000000004</v>
      </c>
      <c r="P147" s="287" t="s">
        <v>12</v>
      </c>
      <c r="Q147" s="287">
        <v>0.33600000000000002</v>
      </c>
      <c r="R147" s="287" t="s">
        <v>2129</v>
      </c>
      <c r="S147" s="287">
        <v>1</v>
      </c>
      <c r="X147" s="332"/>
      <c r="AC147" s="332"/>
    </row>
    <row r="148" spans="2:29" hidden="1">
      <c r="B148" s="332" t="s">
        <v>2190</v>
      </c>
      <c r="C148" s="328" t="s">
        <v>2131</v>
      </c>
      <c r="D148" s="329" t="s">
        <v>2424</v>
      </c>
      <c r="E148" s="328" t="s">
        <v>11</v>
      </c>
      <c r="F148" s="329"/>
      <c r="G148" s="329">
        <f t="shared" si="74"/>
        <v>3562</v>
      </c>
      <c r="H148" s="329">
        <f t="shared" si="75"/>
        <v>273830</v>
      </c>
      <c r="I148" s="329">
        <f t="shared" si="76"/>
        <v>44070</v>
      </c>
      <c r="J148" s="329">
        <f t="shared" si="77"/>
        <v>0</v>
      </c>
      <c r="K148" s="329">
        <f t="shared" si="78"/>
        <v>0</v>
      </c>
      <c r="L148" s="329">
        <f t="shared" si="79"/>
        <v>0</v>
      </c>
      <c r="M148" s="333">
        <f t="shared" si="49"/>
        <v>0</v>
      </c>
      <c r="N148" s="332" t="s">
        <v>1328</v>
      </c>
      <c r="O148" s="287">
        <v>0.79200000000000004</v>
      </c>
      <c r="P148" s="287" t="s">
        <v>12</v>
      </c>
      <c r="Q148" s="287">
        <v>0.33600000000000002</v>
      </c>
      <c r="R148" s="287" t="s">
        <v>2129</v>
      </c>
      <c r="S148" s="287">
        <v>1</v>
      </c>
      <c r="X148" s="332"/>
      <c r="AC148" s="332"/>
    </row>
    <row r="149" spans="2:29" hidden="1">
      <c r="B149" s="332" t="s">
        <v>2191</v>
      </c>
      <c r="C149" s="328" t="s">
        <v>2151</v>
      </c>
      <c r="D149" s="329" t="s">
        <v>2422</v>
      </c>
      <c r="E149" s="328" t="s">
        <v>11</v>
      </c>
      <c r="F149" s="329"/>
      <c r="G149" s="329">
        <f t="shared" si="74"/>
        <v>5073</v>
      </c>
      <c r="H149" s="329">
        <f t="shared" si="75"/>
        <v>308745</v>
      </c>
      <c r="I149" s="329">
        <f t="shared" si="76"/>
        <v>62790</v>
      </c>
      <c r="J149" s="329">
        <f t="shared" si="77"/>
        <v>0</v>
      </c>
      <c r="K149" s="329">
        <f t="shared" si="78"/>
        <v>0</v>
      </c>
      <c r="L149" s="329">
        <f t="shared" si="79"/>
        <v>0</v>
      </c>
      <c r="M149" s="333">
        <f t="shared" si="49"/>
        <v>0</v>
      </c>
      <c r="N149" s="332" t="s">
        <v>1328</v>
      </c>
      <c r="O149" s="287">
        <v>0.88800000000000001</v>
      </c>
      <c r="P149" s="287" t="s">
        <v>12</v>
      </c>
      <c r="Q149" s="287">
        <v>0.38400000000000001</v>
      </c>
      <c r="R149" s="287" t="s">
        <v>2129</v>
      </c>
      <c r="S149" s="287">
        <v>1</v>
      </c>
      <c r="X149" s="332"/>
      <c r="AC149" s="332"/>
    </row>
    <row r="150" spans="2:29" hidden="1">
      <c r="B150" s="332" t="s">
        <v>2188</v>
      </c>
      <c r="C150" s="328" t="s">
        <v>2127</v>
      </c>
      <c r="D150" s="329" t="s">
        <v>2143</v>
      </c>
      <c r="E150" s="328" t="s">
        <v>11</v>
      </c>
      <c r="F150" s="329"/>
      <c r="G150" s="329">
        <f t="shared" si="74"/>
        <v>5205</v>
      </c>
      <c r="H150" s="329">
        <f t="shared" si="75"/>
        <v>451648</v>
      </c>
      <c r="I150" s="329">
        <f t="shared" si="76"/>
        <v>18474</v>
      </c>
      <c r="J150" s="329">
        <f t="shared" si="77"/>
        <v>0</v>
      </c>
      <c r="K150" s="329">
        <f t="shared" si="78"/>
        <v>0</v>
      </c>
      <c r="L150" s="329">
        <f t="shared" si="79"/>
        <v>0</v>
      </c>
      <c r="M150" s="333">
        <f t="shared" si="49"/>
        <v>0</v>
      </c>
      <c r="N150" s="332" t="s">
        <v>1330</v>
      </c>
      <c r="O150" s="287">
        <v>2.89</v>
      </c>
      <c r="P150" s="287" t="s">
        <v>379</v>
      </c>
      <c r="Q150" s="287">
        <v>1.24</v>
      </c>
      <c r="R150" s="287" t="s">
        <v>2129</v>
      </c>
      <c r="S150" s="287">
        <v>0.4</v>
      </c>
      <c r="X150" s="332"/>
      <c r="AC150" s="332"/>
    </row>
    <row r="151" spans="2:29" hidden="1">
      <c r="B151" s="332" t="s">
        <v>2189</v>
      </c>
      <c r="C151" s="328" t="s">
        <v>2135</v>
      </c>
      <c r="D151" s="329" t="s">
        <v>945</v>
      </c>
      <c r="E151" s="328" t="s">
        <v>11</v>
      </c>
      <c r="F151" s="329"/>
      <c r="G151" s="329">
        <f t="shared" si="74"/>
        <v>3223</v>
      </c>
      <c r="H151" s="329">
        <f t="shared" si="75"/>
        <v>117733</v>
      </c>
      <c r="I151" s="329">
        <f t="shared" si="76"/>
        <v>24683</v>
      </c>
      <c r="J151" s="329">
        <f t="shared" si="77"/>
        <v>0</v>
      </c>
      <c r="K151" s="329">
        <f t="shared" si="78"/>
        <v>0</v>
      </c>
      <c r="L151" s="329">
        <f t="shared" si="79"/>
        <v>0</v>
      </c>
      <c r="M151" s="333">
        <f t="shared" si="49"/>
        <v>0</v>
      </c>
      <c r="N151" s="332" t="s">
        <v>1330</v>
      </c>
      <c r="O151" s="287">
        <v>0.28000000000000003</v>
      </c>
      <c r="P151" s="287" t="s">
        <v>379</v>
      </c>
      <c r="Q151" s="287">
        <v>0.15</v>
      </c>
      <c r="R151" s="287" t="s">
        <v>2129</v>
      </c>
      <c r="S151" s="287">
        <v>1</v>
      </c>
      <c r="X151" s="332"/>
      <c r="AC151" s="332"/>
    </row>
    <row r="152" spans="2:29" hidden="1">
      <c r="B152" s="332" t="s">
        <v>2094</v>
      </c>
      <c r="C152" s="344">
        <f>IF(SUM(J152:L152)&lt;&gt;0,C141+1,C141)</f>
        <v>2</v>
      </c>
      <c r="D152" s="345" t="str">
        <f>VLOOKUP(B152,XLTBA,'6.XL-TR'!$D$2,0)</f>
        <v>0 Trạm 3 pha 3x100kVA</v>
      </c>
      <c r="E152" s="344"/>
      <c r="F152" s="345"/>
      <c r="G152" s="345"/>
      <c r="H152" s="345"/>
      <c r="I152" s="345"/>
      <c r="J152" s="345">
        <f>SUM(J153:J162)</f>
        <v>0</v>
      </c>
      <c r="K152" s="345">
        <f>SUM(K153:K162)</f>
        <v>0</v>
      </c>
      <c r="L152" s="345">
        <f>SUM(L153:L162)</f>
        <v>0</v>
      </c>
      <c r="M152" s="333">
        <f t="shared" si="49"/>
        <v>0</v>
      </c>
      <c r="X152" s="332"/>
      <c r="AC152" s="332"/>
    </row>
    <row r="153" spans="2:29" hidden="1">
      <c r="B153" s="332" t="s">
        <v>2192</v>
      </c>
      <c r="C153" s="328" t="s">
        <v>2144</v>
      </c>
      <c r="D153" s="329" t="s">
        <v>2145</v>
      </c>
      <c r="E153" s="328" t="s">
        <v>2134</v>
      </c>
      <c r="F153" s="329"/>
      <c r="G153" s="329">
        <f t="shared" ref="G153:G162" si="80">ROUND(VLOOKUP(B153,DGTN,$Z$278,0)*S153,0)</f>
        <v>25808</v>
      </c>
      <c r="H153" s="329">
        <f t="shared" ref="H153:H162" si="81">ROUND((VLOOKUP(N153,DGNC,5,0)*O153+VLOOKUP(P153,DGNC,5,0)*Q153)*S153,0)</f>
        <v>1134066</v>
      </c>
      <c r="I153" s="329">
        <f t="shared" ref="I153:I162" si="82">ROUND(VLOOKUP(B153,DGTN,$AE$278,0)*S153,0)</f>
        <v>28346</v>
      </c>
      <c r="J153" s="329">
        <f t="shared" ref="J153:J162" si="83">$F153*G153</f>
        <v>0</v>
      </c>
      <c r="K153" s="329">
        <f t="shared" ref="K153:K162" si="84">$F153*H153</f>
        <v>0</v>
      </c>
      <c r="L153" s="329">
        <f t="shared" ref="L153:L162" si="85">$F153*I153</f>
        <v>0</v>
      </c>
      <c r="M153" s="333">
        <f t="shared" si="49"/>
        <v>0</v>
      </c>
      <c r="N153" s="332" t="s">
        <v>1328</v>
      </c>
      <c r="O153" s="287">
        <v>3.04</v>
      </c>
      <c r="P153" s="287" t="s">
        <v>12</v>
      </c>
      <c r="Q153" s="287">
        <v>1.64</v>
      </c>
      <c r="R153" s="287" t="s">
        <v>2129</v>
      </c>
      <c r="S153" s="287">
        <v>1</v>
      </c>
      <c r="X153" s="332"/>
      <c r="AC153" s="332"/>
    </row>
    <row r="154" spans="2:29" hidden="1">
      <c r="B154" s="332" t="s">
        <v>2196</v>
      </c>
      <c r="C154" s="328" t="s">
        <v>2146</v>
      </c>
      <c r="D154" s="329" t="s">
        <v>2147</v>
      </c>
      <c r="E154" s="328" t="s">
        <v>2148</v>
      </c>
      <c r="F154" s="329"/>
      <c r="G154" s="329">
        <f t="shared" si="80"/>
        <v>29735</v>
      </c>
      <c r="H154" s="329">
        <f t="shared" si="81"/>
        <v>1027972</v>
      </c>
      <c r="I154" s="329">
        <f t="shared" si="82"/>
        <v>201397</v>
      </c>
      <c r="J154" s="329">
        <f t="shared" si="83"/>
        <v>0</v>
      </c>
      <c r="K154" s="329">
        <f t="shared" si="84"/>
        <v>0</v>
      </c>
      <c r="L154" s="329">
        <f t="shared" si="85"/>
        <v>0</v>
      </c>
      <c r="M154" s="333">
        <f t="shared" si="49"/>
        <v>0</v>
      </c>
      <c r="N154" s="332" t="s">
        <v>1330</v>
      </c>
      <c r="O154" s="287">
        <v>2.63</v>
      </c>
      <c r="P154" s="287" t="s">
        <v>379</v>
      </c>
      <c r="Q154" s="287">
        <v>1.1299999999999999</v>
      </c>
      <c r="R154" s="287" t="s">
        <v>2129</v>
      </c>
      <c r="S154" s="287">
        <v>1</v>
      </c>
      <c r="X154" s="332"/>
      <c r="AC154" s="332"/>
    </row>
    <row r="155" spans="2:29" hidden="1">
      <c r="B155" s="332" t="s">
        <v>2196</v>
      </c>
      <c r="C155" s="328" t="s">
        <v>2146</v>
      </c>
      <c r="D155" s="329" t="s">
        <v>2149</v>
      </c>
      <c r="E155" s="328" t="s">
        <v>2148</v>
      </c>
      <c r="F155" s="329"/>
      <c r="G155" s="329">
        <f t="shared" si="80"/>
        <v>29735</v>
      </c>
      <c r="H155" s="329">
        <f t="shared" si="81"/>
        <v>1027972</v>
      </c>
      <c r="I155" s="329">
        <f t="shared" si="82"/>
        <v>201397</v>
      </c>
      <c r="J155" s="329">
        <f t="shared" si="83"/>
        <v>0</v>
      </c>
      <c r="K155" s="329">
        <f t="shared" si="84"/>
        <v>0</v>
      </c>
      <c r="L155" s="329">
        <f t="shared" si="85"/>
        <v>0</v>
      </c>
      <c r="M155" s="333">
        <f t="shared" ref="M155:M165" si="86">IF(SUM(J155:L155)&lt;&gt;0,1,)</f>
        <v>0</v>
      </c>
      <c r="N155" s="332" t="s">
        <v>1330</v>
      </c>
      <c r="O155" s="287">
        <v>2.63</v>
      </c>
      <c r="P155" s="287" t="s">
        <v>379</v>
      </c>
      <c r="Q155" s="287">
        <v>1.1299999999999999</v>
      </c>
      <c r="R155" s="287" t="s">
        <v>2129</v>
      </c>
      <c r="S155" s="287">
        <v>1</v>
      </c>
      <c r="X155" s="332"/>
      <c r="AC155" s="332"/>
    </row>
    <row r="156" spans="2:29" hidden="1">
      <c r="B156" s="332" t="s">
        <v>2196</v>
      </c>
      <c r="C156" s="328" t="s">
        <v>2146</v>
      </c>
      <c r="D156" s="329" t="s">
        <v>2150</v>
      </c>
      <c r="E156" s="328" t="s">
        <v>2148</v>
      </c>
      <c r="F156" s="329"/>
      <c r="G156" s="329">
        <f t="shared" si="80"/>
        <v>29735</v>
      </c>
      <c r="H156" s="329">
        <f t="shared" si="81"/>
        <v>1027972</v>
      </c>
      <c r="I156" s="329">
        <f t="shared" si="82"/>
        <v>201397</v>
      </c>
      <c r="J156" s="329">
        <f t="shared" si="83"/>
        <v>0</v>
      </c>
      <c r="K156" s="329">
        <f t="shared" si="84"/>
        <v>0</v>
      </c>
      <c r="L156" s="329">
        <f t="shared" si="85"/>
        <v>0</v>
      </c>
      <c r="M156" s="333">
        <f t="shared" si="86"/>
        <v>0</v>
      </c>
      <c r="N156" s="332" t="s">
        <v>1330</v>
      </c>
      <c r="O156" s="287">
        <v>2.63</v>
      </c>
      <c r="P156" s="287" t="s">
        <v>379</v>
      </c>
      <c r="Q156" s="287">
        <v>1.1299999999999999</v>
      </c>
      <c r="R156" s="287" t="s">
        <v>2129</v>
      </c>
      <c r="S156" s="287">
        <v>1</v>
      </c>
      <c r="X156" s="332"/>
      <c r="AC156" s="332"/>
    </row>
    <row r="157" spans="2:29" hidden="1">
      <c r="B157" s="332" t="s">
        <v>2190</v>
      </c>
      <c r="C157" s="328" t="s">
        <v>2131</v>
      </c>
      <c r="D157" s="329" t="s">
        <v>2421</v>
      </c>
      <c r="E157" s="328" t="s">
        <v>11</v>
      </c>
      <c r="F157" s="329"/>
      <c r="G157" s="329">
        <f t="shared" si="80"/>
        <v>3562</v>
      </c>
      <c r="H157" s="329">
        <f t="shared" si="81"/>
        <v>273830</v>
      </c>
      <c r="I157" s="329">
        <f t="shared" si="82"/>
        <v>44070</v>
      </c>
      <c r="J157" s="329">
        <f t="shared" si="83"/>
        <v>0</v>
      </c>
      <c r="K157" s="329">
        <f t="shared" si="84"/>
        <v>0</v>
      </c>
      <c r="L157" s="329">
        <f t="shared" si="85"/>
        <v>0</v>
      </c>
      <c r="M157" s="333">
        <f t="shared" si="86"/>
        <v>0</v>
      </c>
      <c r="N157" s="332" t="s">
        <v>1328</v>
      </c>
      <c r="O157" s="287">
        <v>0.79200000000000004</v>
      </c>
      <c r="P157" s="287" t="s">
        <v>12</v>
      </c>
      <c r="Q157" s="287">
        <v>0.33600000000000002</v>
      </c>
      <c r="R157" s="287" t="s">
        <v>2129</v>
      </c>
      <c r="S157" s="287">
        <v>1</v>
      </c>
      <c r="X157" s="332"/>
      <c r="AC157" s="332"/>
    </row>
    <row r="158" spans="2:29" hidden="1">
      <c r="B158" s="332" t="s">
        <v>2190</v>
      </c>
      <c r="C158" s="328" t="s">
        <v>2131</v>
      </c>
      <c r="D158" s="329" t="s">
        <v>2423</v>
      </c>
      <c r="E158" s="328" t="s">
        <v>11</v>
      </c>
      <c r="F158" s="329"/>
      <c r="G158" s="329">
        <f t="shared" si="80"/>
        <v>3562</v>
      </c>
      <c r="H158" s="329">
        <f t="shared" si="81"/>
        <v>273830</v>
      </c>
      <c r="I158" s="329">
        <f t="shared" si="82"/>
        <v>44070</v>
      </c>
      <c r="J158" s="329">
        <f t="shared" si="83"/>
        <v>0</v>
      </c>
      <c r="K158" s="329">
        <f t="shared" si="84"/>
        <v>0</v>
      </c>
      <c r="L158" s="329">
        <f t="shared" si="85"/>
        <v>0</v>
      </c>
      <c r="M158" s="333">
        <f t="shared" si="86"/>
        <v>0</v>
      </c>
      <c r="N158" s="332" t="s">
        <v>1328</v>
      </c>
      <c r="O158" s="287">
        <v>0.79200000000000004</v>
      </c>
      <c r="P158" s="287" t="s">
        <v>12</v>
      </c>
      <c r="Q158" s="287">
        <v>0.33600000000000002</v>
      </c>
      <c r="R158" s="287" t="s">
        <v>2129</v>
      </c>
      <c r="S158" s="287">
        <v>1</v>
      </c>
      <c r="X158" s="332"/>
      <c r="AC158" s="332"/>
    </row>
    <row r="159" spans="2:29" hidden="1">
      <c r="B159" s="332" t="s">
        <v>2190</v>
      </c>
      <c r="C159" s="328" t="s">
        <v>2131</v>
      </c>
      <c r="D159" s="329" t="s">
        <v>2424</v>
      </c>
      <c r="E159" s="328" t="s">
        <v>11</v>
      </c>
      <c r="F159" s="329"/>
      <c r="G159" s="329">
        <f t="shared" si="80"/>
        <v>3562</v>
      </c>
      <c r="H159" s="329">
        <f t="shared" si="81"/>
        <v>273830</v>
      </c>
      <c r="I159" s="329">
        <f t="shared" si="82"/>
        <v>44070</v>
      </c>
      <c r="J159" s="329">
        <f t="shared" si="83"/>
        <v>0</v>
      </c>
      <c r="K159" s="329">
        <f t="shared" si="84"/>
        <v>0</v>
      </c>
      <c r="L159" s="329">
        <f t="shared" si="85"/>
        <v>0</v>
      </c>
      <c r="M159" s="333">
        <f t="shared" si="86"/>
        <v>0</v>
      </c>
      <c r="N159" s="332" t="s">
        <v>1328</v>
      </c>
      <c r="O159" s="287">
        <v>0.79200000000000004</v>
      </c>
      <c r="P159" s="287" t="s">
        <v>12</v>
      </c>
      <c r="Q159" s="287">
        <v>0.33600000000000002</v>
      </c>
      <c r="R159" s="287" t="s">
        <v>2129</v>
      </c>
      <c r="S159" s="287">
        <v>1</v>
      </c>
      <c r="X159" s="332"/>
      <c r="AC159" s="332"/>
    </row>
    <row r="160" spans="2:29" hidden="1">
      <c r="B160" s="332" t="s">
        <v>2191</v>
      </c>
      <c r="C160" s="328" t="s">
        <v>2151</v>
      </c>
      <c r="D160" s="329" t="s">
        <v>2422</v>
      </c>
      <c r="E160" s="328" t="s">
        <v>11</v>
      </c>
      <c r="F160" s="329"/>
      <c r="G160" s="329">
        <f t="shared" si="80"/>
        <v>5073</v>
      </c>
      <c r="H160" s="329">
        <f t="shared" si="81"/>
        <v>308745</v>
      </c>
      <c r="I160" s="329">
        <f t="shared" si="82"/>
        <v>62790</v>
      </c>
      <c r="J160" s="329">
        <f t="shared" si="83"/>
        <v>0</v>
      </c>
      <c r="K160" s="329">
        <f t="shared" si="84"/>
        <v>0</v>
      </c>
      <c r="L160" s="329">
        <f t="shared" si="85"/>
        <v>0</v>
      </c>
      <c r="M160" s="333">
        <f t="shared" si="86"/>
        <v>0</v>
      </c>
      <c r="N160" s="332" t="s">
        <v>1328</v>
      </c>
      <c r="O160" s="287">
        <v>0.88800000000000001</v>
      </c>
      <c r="P160" s="287" t="s">
        <v>12</v>
      </c>
      <c r="Q160" s="287">
        <v>0.38400000000000001</v>
      </c>
      <c r="R160" s="287" t="s">
        <v>2129</v>
      </c>
      <c r="S160" s="287">
        <v>1</v>
      </c>
      <c r="X160" s="332"/>
      <c r="AC160" s="332"/>
    </row>
    <row r="161" spans="2:29" hidden="1">
      <c r="B161" s="332" t="s">
        <v>2188</v>
      </c>
      <c r="C161" s="328" t="s">
        <v>2127</v>
      </c>
      <c r="D161" s="329" t="s">
        <v>2143</v>
      </c>
      <c r="E161" s="328" t="s">
        <v>11</v>
      </c>
      <c r="F161" s="329"/>
      <c r="G161" s="329">
        <f t="shared" si="80"/>
        <v>5205</v>
      </c>
      <c r="H161" s="329">
        <f t="shared" si="81"/>
        <v>451648</v>
      </c>
      <c r="I161" s="329">
        <f t="shared" si="82"/>
        <v>18474</v>
      </c>
      <c r="J161" s="329">
        <f t="shared" si="83"/>
        <v>0</v>
      </c>
      <c r="K161" s="329">
        <f t="shared" si="84"/>
        <v>0</v>
      </c>
      <c r="L161" s="329">
        <f t="shared" si="85"/>
        <v>0</v>
      </c>
      <c r="M161" s="333">
        <f t="shared" si="86"/>
        <v>0</v>
      </c>
      <c r="N161" s="332" t="s">
        <v>1330</v>
      </c>
      <c r="O161" s="287">
        <v>2.89</v>
      </c>
      <c r="P161" s="287" t="s">
        <v>379</v>
      </c>
      <c r="Q161" s="287">
        <v>1.24</v>
      </c>
      <c r="R161" s="287" t="s">
        <v>2129</v>
      </c>
      <c r="S161" s="287">
        <v>0.4</v>
      </c>
      <c r="X161" s="332"/>
      <c r="AC161" s="332"/>
    </row>
    <row r="162" spans="2:29" hidden="1">
      <c r="B162" s="332" t="s">
        <v>2189</v>
      </c>
      <c r="C162" s="328" t="s">
        <v>2135</v>
      </c>
      <c r="D162" s="329" t="s">
        <v>945</v>
      </c>
      <c r="E162" s="328" t="s">
        <v>11</v>
      </c>
      <c r="F162" s="329"/>
      <c r="G162" s="329">
        <f t="shared" si="80"/>
        <v>3223</v>
      </c>
      <c r="H162" s="329">
        <f t="shared" si="81"/>
        <v>117733</v>
      </c>
      <c r="I162" s="329">
        <f t="shared" si="82"/>
        <v>24683</v>
      </c>
      <c r="J162" s="329">
        <f t="shared" si="83"/>
        <v>0</v>
      </c>
      <c r="K162" s="329">
        <f t="shared" si="84"/>
        <v>0</v>
      </c>
      <c r="L162" s="329">
        <f t="shared" si="85"/>
        <v>0</v>
      </c>
      <c r="M162" s="333">
        <f t="shared" si="86"/>
        <v>0</v>
      </c>
      <c r="N162" s="332" t="s">
        <v>1330</v>
      </c>
      <c r="O162" s="287">
        <v>0.28000000000000003</v>
      </c>
      <c r="P162" s="287" t="s">
        <v>379</v>
      </c>
      <c r="Q162" s="287">
        <v>0.15</v>
      </c>
      <c r="R162" s="287" t="s">
        <v>2129</v>
      </c>
      <c r="S162" s="287">
        <v>1</v>
      </c>
      <c r="X162" s="332"/>
      <c r="AC162" s="332"/>
    </row>
    <row r="163" spans="2:29" hidden="1">
      <c r="B163" s="332" t="s">
        <v>2838</v>
      </c>
      <c r="C163" s="344">
        <f>IF(SUM(J163:L163)&lt;&gt;0,C152+1,C152)</f>
        <v>2</v>
      </c>
      <c r="D163" s="345" t="str">
        <f>VLOOKUP(B163,XLTBA,'6.XL-TR'!$D$2,0)</f>
        <v>0 Trạm 3 pha 160kVA (trạm giàn)</v>
      </c>
      <c r="E163" s="344"/>
      <c r="F163" s="345"/>
      <c r="G163" s="345"/>
      <c r="H163" s="345"/>
      <c r="I163" s="345"/>
      <c r="J163" s="345">
        <f>SUM(J164:J174)</f>
        <v>0</v>
      </c>
      <c r="K163" s="345">
        <f>SUM(K164:K174)</f>
        <v>0</v>
      </c>
      <c r="L163" s="345">
        <f>SUM(L164:L174)</f>
        <v>0</v>
      </c>
      <c r="M163" s="333">
        <f t="shared" si="86"/>
        <v>0</v>
      </c>
      <c r="X163" s="332"/>
      <c r="AC163" s="332"/>
    </row>
    <row r="164" spans="2:29" hidden="1">
      <c r="B164" s="332" t="s">
        <v>2192</v>
      </c>
      <c r="C164" s="328" t="s">
        <v>2144</v>
      </c>
      <c r="D164" s="329" t="s">
        <v>2145</v>
      </c>
      <c r="E164" s="328" t="s">
        <v>2134</v>
      </c>
      <c r="F164" s="329"/>
      <c r="G164" s="329">
        <f t="shared" ref="G164:G174" si="87">ROUND(VLOOKUP(B164,DGTN,$Z$278,0)*S164,0)</f>
        <v>25808</v>
      </c>
      <c r="H164" s="329">
        <f t="shared" ref="H164:H174" si="88">ROUND((VLOOKUP(N164,DGNC,5,0)*O164+VLOOKUP(P164,DGNC,5,0)*Q164)*S164,0)</f>
        <v>1134066</v>
      </c>
      <c r="I164" s="329">
        <f t="shared" ref="I164:I174" si="89">ROUND(VLOOKUP(B164,DGTN,$AE$278,0)*S164,0)</f>
        <v>28346</v>
      </c>
      <c r="J164" s="329">
        <f t="shared" ref="J164:J174" si="90">$F164*G164</f>
        <v>0</v>
      </c>
      <c r="K164" s="329">
        <f t="shared" ref="K164:K174" si="91">$F164*H164</f>
        <v>0</v>
      </c>
      <c r="L164" s="329">
        <f t="shared" ref="L164:L174" si="92">$F164*I164</f>
        <v>0</v>
      </c>
      <c r="M164" s="333">
        <f t="shared" si="86"/>
        <v>0</v>
      </c>
      <c r="N164" s="332" t="s">
        <v>1328</v>
      </c>
      <c r="O164" s="287">
        <v>3.04</v>
      </c>
      <c r="P164" s="287" t="s">
        <v>12</v>
      </c>
      <c r="Q164" s="287">
        <v>1.64</v>
      </c>
      <c r="R164" s="287" t="s">
        <v>2129</v>
      </c>
      <c r="S164" s="287">
        <v>1</v>
      </c>
      <c r="X164" s="332"/>
      <c r="AC164" s="332"/>
    </row>
    <row r="165" spans="2:29" hidden="1">
      <c r="B165" s="332" t="s">
        <v>2196</v>
      </c>
      <c r="C165" s="328" t="s">
        <v>2146</v>
      </c>
      <c r="D165" s="329" t="s">
        <v>2147</v>
      </c>
      <c r="E165" s="328" t="s">
        <v>2148</v>
      </c>
      <c r="F165" s="329"/>
      <c r="G165" s="329">
        <f t="shared" si="87"/>
        <v>29735</v>
      </c>
      <c r="H165" s="329">
        <f t="shared" si="88"/>
        <v>1027972</v>
      </c>
      <c r="I165" s="329">
        <f t="shared" si="89"/>
        <v>201397</v>
      </c>
      <c r="J165" s="329">
        <f t="shared" si="90"/>
        <v>0</v>
      </c>
      <c r="K165" s="329">
        <f t="shared" si="91"/>
        <v>0</v>
      </c>
      <c r="L165" s="329">
        <f t="shared" si="92"/>
        <v>0</v>
      </c>
      <c r="M165" s="333">
        <f t="shared" si="86"/>
        <v>0</v>
      </c>
      <c r="N165" s="332" t="s">
        <v>1330</v>
      </c>
      <c r="O165" s="287">
        <v>2.63</v>
      </c>
      <c r="P165" s="287" t="s">
        <v>379</v>
      </c>
      <c r="Q165" s="287">
        <v>1.1299999999999999</v>
      </c>
      <c r="R165" s="287" t="s">
        <v>2129</v>
      </c>
      <c r="S165" s="287">
        <v>1</v>
      </c>
      <c r="X165" s="332"/>
      <c r="AC165" s="332"/>
    </row>
    <row r="166" spans="2:29" hidden="1">
      <c r="B166" s="332" t="s">
        <v>2196</v>
      </c>
      <c r="C166" s="328" t="s">
        <v>2146</v>
      </c>
      <c r="D166" s="329" t="s">
        <v>2149</v>
      </c>
      <c r="E166" s="328" t="s">
        <v>2148</v>
      </c>
      <c r="F166" s="329"/>
      <c r="G166" s="329">
        <f t="shared" si="87"/>
        <v>29735</v>
      </c>
      <c r="H166" s="329">
        <f t="shared" si="88"/>
        <v>1027972</v>
      </c>
      <c r="I166" s="329">
        <f t="shared" si="89"/>
        <v>201397</v>
      </c>
      <c r="J166" s="329">
        <f t="shared" si="90"/>
        <v>0</v>
      </c>
      <c r="K166" s="329">
        <f t="shared" si="91"/>
        <v>0</v>
      </c>
      <c r="L166" s="329">
        <f t="shared" si="92"/>
        <v>0</v>
      </c>
      <c r="M166" s="333">
        <f t="shared" ref="M166:M177" si="93">IF(SUM(J166:L166)&lt;&gt;0,1,)</f>
        <v>0</v>
      </c>
      <c r="N166" s="332" t="s">
        <v>1330</v>
      </c>
      <c r="O166" s="287">
        <v>2.63</v>
      </c>
      <c r="P166" s="287" t="s">
        <v>379</v>
      </c>
      <c r="Q166" s="287">
        <v>1.1299999999999999</v>
      </c>
      <c r="R166" s="287" t="s">
        <v>2129</v>
      </c>
      <c r="S166" s="287">
        <v>1</v>
      </c>
      <c r="X166" s="332"/>
      <c r="AC166" s="332"/>
    </row>
    <row r="167" spans="2:29" hidden="1">
      <c r="B167" s="332" t="s">
        <v>2196</v>
      </c>
      <c r="C167" s="328" t="s">
        <v>2146</v>
      </c>
      <c r="D167" s="329" t="s">
        <v>2150</v>
      </c>
      <c r="E167" s="328" t="s">
        <v>2148</v>
      </c>
      <c r="F167" s="329"/>
      <c r="G167" s="329">
        <f t="shared" si="87"/>
        <v>29735</v>
      </c>
      <c r="H167" s="329">
        <f t="shared" si="88"/>
        <v>1027972</v>
      </c>
      <c r="I167" s="329">
        <f t="shared" si="89"/>
        <v>201397</v>
      </c>
      <c r="J167" s="329">
        <f t="shared" si="90"/>
        <v>0</v>
      </c>
      <c r="K167" s="329">
        <f t="shared" si="91"/>
        <v>0</v>
      </c>
      <c r="L167" s="329">
        <f t="shared" si="92"/>
        <v>0</v>
      </c>
      <c r="M167" s="333">
        <f t="shared" si="93"/>
        <v>0</v>
      </c>
      <c r="N167" s="332" t="s">
        <v>1330</v>
      </c>
      <c r="O167" s="287">
        <v>2.63</v>
      </c>
      <c r="P167" s="287" t="s">
        <v>379</v>
      </c>
      <c r="Q167" s="287">
        <v>1.1299999999999999</v>
      </c>
      <c r="R167" s="287" t="s">
        <v>2129</v>
      </c>
      <c r="S167" s="287">
        <v>1</v>
      </c>
      <c r="X167" s="332"/>
      <c r="AC167" s="332"/>
    </row>
    <row r="168" spans="2:29" hidden="1">
      <c r="B168" s="332" t="s">
        <v>2190</v>
      </c>
      <c r="C168" s="328" t="s">
        <v>2131</v>
      </c>
      <c r="D168" s="329" t="s">
        <v>2421</v>
      </c>
      <c r="E168" s="328" t="s">
        <v>11</v>
      </c>
      <c r="F168" s="329"/>
      <c r="G168" s="329">
        <f t="shared" si="87"/>
        <v>3562</v>
      </c>
      <c r="H168" s="329">
        <f t="shared" si="88"/>
        <v>273830</v>
      </c>
      <c r="I168" s="329">
        <f t="shared" si="89"/>
        <v>44070</v>
      </c>
      <c r="J168" s="329">
        <f t="shared" si="90"/>
        <v>0</v>
      </c>
      <c r="K168" s="329">
        <f t="shared" si="91"/>
        <v>0</v>
      </c>
      <c r="L168" s="329">
        <f t="shared" si="92"/>
        <v>0</v>
      </c>
      <c r="M168" s="333">
        <f t="shared" si="93"/>
        <v>0</v>
      </c>
      <c r="N168" s="332" t="s">
        <v>1328</v>
      </c>
      <c r="O168" s="287">
        <v>0.79200000000000004</v>
      </c>
      <c r="P168" s="287" t="s">
        <v>12</v>
      </c>
      <c r="Q168" s="287">
        <v>0.33600000000000002</v>
      </c>
      <c r="R168" s="287" t="s">
        <v>2129</v>
      </c>
      <c r="S168" s="287">
        <v>1</v>
      </c>
      <c r="X168" s="332"/>
      <c r="AC168" s="332"/>
    </row>
    <row r="169" spans="2:29" hidden="1">
      <c r="B169" s="332" t="s">
        <v>2190</v>
      </c>
      <c r="C169" s="328" t="s">
        <v>2131</v>
      </c>
      <c r="D169" s="329" t="s">
        <v>2423</v>
      </c>
      <c r="E169" s="328" t="s">
        <v>11</v>
      </c>
      <c r="F169" s="329">
        <f>'7.CT-TBA'!H2330</f>
        <v>0</v>
      </c>
      <c r="G169" s="329">
        <f t="shared" si="87"/>
        <v>3562</v>
      </c>
      <c r="H169" s="329">
        <f t="shared" si="88"/>
        <v>273830</v>
      </c>
      <c r="I169" s="329">
        <f t="shared" si="89"/>
        <v>44070</v>
      </c>
      <c r="J169" s="329">
        <f t="shared" si="90"/>
        <v>0</v>
      </c>
      <c r="K169" s="329">
        <f t="shared" si="91"/>
        <v>0</v>
      </c>
      <c r="L169" s="329">
        <f t="shared" si="92"/>
        <v>0</v>
      </c>
      <c r="M169" s="333">
        <f t="shared" si="93"/>
        <v>0</v>
      </c>
      <c r="N169" s="332" t="s">
        <v>1328</v>
      </c>
      <c r="O169" s="287">
        <v>0.79200000000000004</v>
      </c>
      <c r="P169" s="287" t="s">
        <v>12</v>
      </c>
      <c r="Q169" s="287">
        <v>0.33600000000000002</v>
      </c>
      <c r="R169" s="287" t="s">
        <v>2129</v>
      </c>
      <c r="S169" s="287">
        <v>1</v>
      </c>
      <c r="X169" s="332"/>
      <c r="AC169" s="332"/>
    </row>
    <row r="170" spans="2:29" hidden="1">
      <c r="B170" s="332" t="s">
        <v>2190</v>
      </c>
      <c r="C170" s="328" t="s">
        <v>2131</v>
      </c>
      <c r="D170" s="329" t="s">
        <v>2424</v>
      </c>
      <c r="E170" s="328" t="s">
        <v>11</v>
      </c>
      <c r="F170" s="329"/>
      <c r="G170" s="329">
        <f t="shared" si="87"/>
        <v>3562</v>
      </c>
      <c r="H170" s="329">
        <f t="shared" si="88"/>
        <v>273830</v>
      </c>
      <c r="I170" s="329">
        <f t="shared" si="89"/>
        <v>44070</v>
      </c>
      <c r="J170" s="329">
        <f t="shared" si="90"/>
        <v>0</v>
      </c>
      <c r="K170" s="329">
        <f t="shared" si="91"/>
        <v>0</v>
      </c>
      <c r="L170" s="329">
        <f t="shared" si="92"/>
        <v>0</v>
      </c>
      <c r="M170" s="333">
        <f t="shared" si="93"/>
        <v>0</v>
      </c>
      <c r="N170" s="332" t="s">
        <v>1328</v>
      </c>
      <c r="O170" s="287">
        <v>0.79200000000000004</v>
      </c>
      <c r="P170" s="287" t="s">
        <v>12</v>
      </c>
      <c r="Q170" s="287">
        <v>0.33600000000000002</v>
      </c>
      <c r="R170" s="287" t="s">
        <v>2129</v>
      </c>
      <c r="S170" s="287">
        <v>1</v>
      </c>
      <c r="X170" s="332"/>
      <c r="AC170" s="332"/>
    </row>
    <row r="171" spans="2:29" hidden="1">
      <c r="B171" s="332" t="s">
        <v>2190</v>
      </c>
      <c r="C171" s="328" t="s">
        <v>2131</v>
      </c>
      <c r="D171" s="329" t="s">
        <v>2420</v>
      </c>
      <c r="E171" s="328" t="s">
        <v>11</v>
      </c>
      <c r="F171" s="329">
        <f>'7.CT-TBA'!H2329</f>
        <v>0</v>
      </c>
      <c r="G171" s="329">
        <f t="shared" si="87"/>
        <v>3562</v>
      </c>
      <c r="H171" s="329">
        <f>ROUND((VLOOKUP(N171,DGNC,5,0)*O171+VLOOKUP(P171,DGNC,5,0)*Q171)*S171,0)</f>
        <v>273830</v>
      </c>
      <c r="I171" s="329">
        <f t="shared" si="89"/>
        <v>44070</v>
      </c>
      <c r="J171" s="329">
        <f>$F171*G171</f>
        <v>0</v>
      </c>
      <c r="K171" s="329">
        <f>$F171*H171</f>
        <v>0</v>
      </c>
      <c r="L171" s="329">
        <f>$F171*I171</f>
        <v>0</v>
      </c>
      <c r="M171" s="333">
        <f>IF(SUM(J171:L171)&lt;&gt;0,1,)</f>
        <v>0</v>
      </c>
      <c r="N171" s="332" t="s">
        <v>1328</v>
      </c>
      <c r="O171" s="287">
        <v>0.79200000000000004</v>
      </c>
      <c r="P171" s="287" t="s">
        <v>12</v>
      </c>
      <c r="Q171" s="287">
        <v>0.33600000000000002</v>
      </c>
      <c r="R171" s="287" t="s">
        <v>2129</v>
      </c>
      <c r="S171" s="287">
        <v>1</v>
      </c>
      <c r="X171" s="332"/>
      <c r="AC171" s="332"/>
    </row>
    <row r="172" spans="2:29" hidden="1">
      <c r="B172" s="332" t="s">
        <v>2191</v>
      </c>
      <c r="C172" s="328" t="s">
        <v>2151</v>
      </c>
      <c r="D172" s="329" t="s">
        <v>2422</v>
      </c>
      <c r="E172" s="328" t="s">
        <v>11</v>
      </c>
      <c r="F172" s="329"/>
      <c r="G172" s="329">
        <f t="shared" si="87"/>
        <v>5073</v>
      </c>
      <c r="H172" s="329">
        <f t="shared" si="88"/>
        <v>308745</v>
      </c>
      <c r="I172" s="329">
        <f t="shared" si="89"/>
        <v>62790</v>
      </c>
      <c r="J172" s="329">
        <f t="shared" si="90"/>
        <v>0</v>
      </c>
      <c r="K172" s="329">
        <f t="shared" si="91"/>
        <v>0</v>
      </c>
      <c r="L172" s="329">
        <f t="shared" si="92"/>
        <v>0</v>
      </c>
      <c r="M172" s="333">
        <f t="shared" si="93"/>
        <v>0</v>
      </c>
      <c r="N172" s="332" t="s">
        <v>1328</v>
      </c>
      <c r="O172" s="287">
        <v>0.88800000000000001</v>
      </c>
      <c r="P172" s="287" t="s">
        <v>12</v>
      </c>
      <c r="Q172" s="287">
        <v>0.38400000000000001</v>
      </c>
      <c r="R172" s="287" t="s">
        <v>2129</v>
      </c>
      <c r="S172" s="287">
        <v>1</v>
      </c>
      <c r="X172" s="332"/>
      <c r="AC172" s="332"/>
    </row>
    <row r="173" spans="2:29" hidden="1">
      <c r="B173" s="332" t="s">
        <v>2188</v>
      </c>
      <c r="C173" s="328" t="s">
        <v>2127</v>
      </c>
      <c r="D173" s="329" t="s">
        <v>2143</v>
      </c>
      <c r="E173" s="328" t="s">
        <v>11</v>
      </c>
      <c r="F173" s="329">
        <f>'7.CT-TBA'!H2327</f>
        <v>0</v>
      </c>
      <c r="G173" s="329">
        <f t="shared" si="87"/>
        <v>520</v>
      </c>
      <c r="H173" s="329">
        <f t="shared" si="88"/>
        <v>45165</v>
      </c>
      <c r="I173" s="329">
        <f t="shared" si="89"/>
        <v>1847</v>
      </c>
      <c r="J173" s="329">
        <f t="shared" si="90"/>
        <v>0</v>
      </c>
      <c r="K173" s="329">
        <f t="shared" si="91"/>
        <v>0</v>
      </c>
      <c r="L173" s="329">
        <f t="shared" si="92"/>
        <v>0</v>
      </c>
      <c r="M173" s="333">
        <f t="shared" si="93"/>
        <v>0</v>
      </c>
      <c r="N173" s="332" t="s">
        <v>1330</v>
      </c>
      <c r="O173" s="287">
        <v>2.89</v>
      </c>
      <c r="P173" s="287" t="s">
        <v>379</v>
      </c>
      <c r="Q173" s="287">
        <v>1.24</v>
      </c>
      <c r="R173" s="287" t="s">
        <v>2129</v>
      </c>
      <c r="S173" s="287">
        <f>S10</f>
        <v>4.0000000000000008E-2</v>
      </c>
      <c r="X173" s="332"/>
      <c r="AC173" s="332"/>
    </row>
    <row r="174" spans="2:29" hidden="1">
      <c r="B174" s="332" t="s">
        <v>2189</v>
      </c>
      <c r="C174" s="328" t="s">
        <v>2135</v>
      </c>
      <c r="D174" s="329" t="s">
        <v>945</v>
      </c>
      <c r="E174" s="328" t="s">
        <v>11</v>
      </c>
      <c r="F174" s="329">
        <f>'7.CT-TBA'!H2328</f>
        <v>0</v>
      </c>
      <c r="G174" s="329">
        <f t="shared" si="87"/>
        <v>2578</v>
      </c>
      <c r="H174" s="329">
        <f t="shared" si="88"/>
        <v>94186</v>
      </c>
      <c r="I174" s="329">
        <f t="shared" si="89"/>
        <v>19746</v>
      </c>
      <c r="J174" s="329">
        <f t="shared" si="90"/>
        <v>0</v>
      </c>
      <c r="K174" s="329">
        <f t="shared" si="91"/>
        <v>0</v>
      </c>
      <c r="L174" s="329">
        <f t="shared" si="92"/>
        <v>0</v>
      </c>
      <c r="M174" s="333">
        <f t="shared" si="93"/>
        <v>0</v>
      </c>
      <c r="N174" s="332" t="s">
        <v>1330</v>
      </c>
      <c r="O174" s="287">
        <v>0.28000000000000003</v>
      </c>
      <c r="P174" s="287" t="s">
        <v>379</v>
      </c>
      <c r="Q174" s="287">
        <v>0.15</v>
      </c>
      <c r="R174" s="287" t="s">
        <v>2129</v>
      </c>
      <c r="S174" s="287">
        <f>S17</f>
        <v>0.8</v>
      </c>
      <c r="X174" s="332"/>
      <c r="AC174" s="332"/>
    </row>
    <row r="175" spans="2:29" hidden="1">
      <c r="B175" s="332" t="s">
        <v>2839</v>
      </c>
      <c r="C175" s="344">
        <f>IF(SUM(J175:L175)&lt;&gt;0,C163+1,C163)</f>
        <v>2</v>
      </c>
      <c r="D175" s="345" t="str">
        <f>VLOOKUP(B175,XLTBA,'6.XL-TR'!$D$2,0)</f>
        <v>0 Trạm 3 pha 160kVA (trạm ngồi)</v>
      </c>
      <c r="E175" s="344"/>
      <c r="F175" s="345"/>
      <c r="G175" s="345"/>
      <c r="H175" s="345"/>
      <c r="I175" s="345"/>
      <c r="J175" s="345">
        <f>SUM(J176:J186)</f>
        <v>0</v>
      </c>
      <c r="K175" s="345">
        <f>SUM(K176:K186)</f>
        <v>0</v>
      </c>
      <c r="L175" s="345">
        <f>SUM(L176:L186)</f>
        <v>0</v>
      </c>
      <c r="M175" s="333">
        <f t="shared" si="93"/>
        <v>0</v>
      </c>
      <c r="X175" s="332"/>
      <c r="AC175" s="332"/>
    </row>
    <row r="176" spans="2:29" hidden="1">
      <c r="B176" s="332" t="s">
        <v>2192</v>
      </c>
      <c r="C176" s="328" t="s">
        <v>2144</v>
      </c>
      <c r="D176" s="329" t="s">
        <v>2145</v>
      </c>
      <c r="E176" s="328" t="s">
        <v>2134</v>
      </c>
      <c r="F176" s="329"/>
      <c r="G176" s="329">
        <f t="shared" ref="G176:G186" si="94">ROUND(VLOOKUP(B176,DGTN,$Z$278,0)*S176,0)</f>
        <v>25808</v>
      </c>
      <c r="H176" s="329">
        <f t="shared" ref="H176:H186" si="95">ROUND((VLOOKUP(N176,DGNC,5,0)*O176+VLOOKUP(P176,DGNC,5,0)*Q176)*S176,0)</f>
        <v>1134066</v>
      </c>
      <c r="I176" s="329">
        <f t="shared" ref="I176:I186" si="96">ROUND(VLOOKUP(B176,DGTN,$AE$278,0)*S176,0)</f>
        <v>28346</v>
      </c>
      <c r="J176" s="329">
        <f t="shared" ref="J176:J186" si="97">$F176*G176</f>
        <v>0</v>
      </c>
      <c r="K176" s="329">
        <f t="shared" ref="K176:K186" si="98">$F176*H176</f>
        <v>0</v>
      </c>
      <c r="L176" s="329">
        <f t="shared" ref="L176:L186" si="99">$F176*I176</f>
        <v>0</v>
      </c>
      <c r="M176" s="333">
        <f t="shared" si="93"/>
        <v>0</v>
      </c>
      <c r="N176" s="332" t="s">
        <v>1328</v>
      </c>
      <c r="O176" s="287">
        <v>3.04</v>
      </c>
      <c r="P176" s="287" t="s">
        <v>12</v>
      </c>
      <c r="Q176" s="287">
        <v>1.64</v>
      </c>
      <c r="R176" s="287" t="s">
        <v>2129</v>
      </c>
      <c r="S176" s="287">
        <v>1</v>
      </c>
      <c r="X176" s="332"/>
      <c r="AC176" s="332"/>
    </row>
    <row r="177" spans="2:29" hidden="1">
      <c r="B177" s="332" t="s">
        <v>2196</v>
      </c>
      <c r="C177" s="328" t="s">
        <v>2146</v>
      </c>
      <c r="D177" s="329" t="s">
        <v>2147</v>
      </c>
      <c r="E177" s="328" t="s">
        <v>2148</v>
      </c>
      <c r="F177" s="329"/>
      <c r="G177" s="329">
        <f t="shared" si="94"/>
        <v>29735</v>
      </c>
      <c r="H177" s="329">
        <f t="shared" si="95"/>
        <v>1027972</v>
      </c>
      <c r="I177" s="329">
        <f t="shared" si="96"/>
        <v>201397</v>
      </c>
      <c r="J177" s="329">
        <f t="shared" si="97"/>
        <v>0</v>
      </c>
      <c r="K177" s="329">
        <f t="shared" si="98"/>
        <v>0</v>
      </c>
      <c r="L177" s="329">
        <f t="shared" si="99"/>
        <v>0</v>
      </c>
      <c r="M177" s="333">
        <f t="shared" si="93"/>
        <v>0</v>
      </c>
      <c r="N177" s="332" t="s">
        <v>1330</v>
      </c>
      <c r="O177" s="287">
        <v>2.63</v>
      </c>
      <c r="P177" s="287" t="s">
        <v>379</v>
      </c>
      <c r="Q177" s="287">
        <v>1.1299999999999999</v>
      </c>
      <c r="R177" s="287" t="s">
        <v>2129</v>
      </c>
      <c r="S177" s="287">
        <v>1</v>
      </c>
      <c r="X177" s="332"/>
      <c r="AC177" s="332"/>
    </row>
    <row r="178" spans="2:29" hidden="1">
      <c r="B178" s="332" t="s">
        <v>2196</v>
      </c>
      <c r="C178" s="328" t="s">
        <v>2146</v>
      </c>
      <c r="D178" s="329" t="s">
        <v>2149</v>
      </c>
      <c r="E178" s="328" t="s">
        <v>2148</v>
      </c>
      <c r="F178" s="329"/>
      <c r="G178" s="329">
        <f t="shared" si="94"/>
        <v>29735</v>
      </c>
      <c r="H178" s="329">
        <f t="shared" si="95"/>
        <v>1027972</v>
      </c>
      <c r="I178" s="329">
        <f t="shared" si="96"/>
        <v>201397</v>
      </c>
      <c r="J178" s="329">
        <f t="shared" si="97"/>
        <v>0</v>
      </c>
      <c r="K178" s="329">
        <f t="shared" si="98"/>
        <v>0</v>
      </c>
      <c r="L178" s="329">
        <f t="shared" si="99"/>
        <v>0</v>
      </c>
      <c r="M178" s="333">
        <f t="shared" ref="M178:M234" si="100">IF(SUM(J178:L178)&lt;&gt;0,1,)</f>
        <v>0</v>
      </c>
      <c r="N178" s="332" t="s">
        <v>1330</v>
      </c>
      <c r="O178" s="287">
        <v>2.63</v>
      </c>
      <c r="P178" s="287" t="s">
        <v>379</v>
      </c>
      <c r="Q178" s="287">
        <v>1.1299999999999999</v>
      </c>
      <c r="R178" s="287" t="s">
        <v>2129</v>
      </c>
      <c r="S178" s="287">
        <v>1</v>
      </c>
      <c r="X178" s="332"/>
      <c r="AC178" s="332"/>
    </row>
    <row r="179" spans="2:29" hidden="1">
      <c r="B179" s="332" t="s">
        <v>2196</v>
      </c>
      <c r="C179" s="328" t="s">
        <v>2146</v>
      </c>
      <c r="D179" s="329" t="s">
        <v>2150</v>
      </c>
      <c r="E179" s="328" t="s">
        <v>2148</v>
      </c>
      <c r="F179" s="329"/>
      <c r="G179" s="329">
        <f t="shared" si="94"/>
        <v>29735</v>
      </c>
      <c r="H179" s="329">
        <f t="shared" si="95"/>
        <v>1027972</v>
      </c>
      <c r="I179" s="329">
        <f t="shared" si="96"/>
        <v>201397</v>
      </c>
      <c r="J179" s="329">
        <f t="shared" si="97"/>
        <v>0</v>
      </c>
      <c r="K179" s="329">
        <f t="shared" si="98"/>
        <v>0</v>
      </c>
      <c r="L179" s="329">
        <f t="shared" si="99"/>
        <v>0</v>
      </c>
      <c r="M179" s="333">
        <f t="shared" si="100"/>
        <v>0</v>
      </c>
      <c r="N179" s="332" t="s">
        <v>1330</v>
      </c>
      <c r="O179" s="287">
        <v>2.63</v>
      </c>
      <c r="P179" s="287" t="s">
        <v>379</v>
      </c>
      <c r="Q179" s="287">
        <v>1.1299999999999999</v>
      </c>
      <c r="R179" s="287" t="s">
        <v>2129</v>
      </c>
      <c r="S179" s="287">
        <v>1</v>
      </c>
      <c r="X179" s="332"/>
      <c r="AC179" s="332"/>
    </row>
    <row r="180" spans="2:29" hidden="1">
      <c r="B180" s="332" t="s">
        <v>2190</v>
      </c>
      <c r="C180" s="328" t="s">
        <v>2131</v>
      </c>
      <c r="D180" s="329" t="s">
        <v>2421</v>
      </c>
      <c r="E180" s="328" t="s">
        <v>11</v>
      </c>
      <c r="F180" s="329"/>
      <c r="G180" s="329">
        <f t="shared" si="94"/>
        <v>3562</v>
      </c>
      <c r="H180" s="329">
        <f t="shared" si="95"/>
        <v>273830</v>
      </c>
      <c r="I180" s="329">
        <f t="shared" si="96"/>
        <v>44070</v>
      </c>
      <c r="J180" s="329">
        <f t="shared" si="97"/>
        <v>0</v>
      </c>
      <c r="K180" s="329">
        <f t="shared" si="98"/>
        <v>0</v>
      </c>
      <c r="L180" s="329">
        <f t="shared" si="99"/>
        <v>0</v>
      </c>
      <c r="M180" s="333">
        <f t="shared" si="100"/>
        <v>0</v>
      </c>
      <c r="N180" s="332" t="s">
        <v>1328</v>
      </c>
      <c r="O180" s="287">
        <v>0.79200000000000004</v>
      </c>
      <c r="P180" s="287" t="s">
        <v>12</v>
      </c>
      <c r="Q180" s="287">
        <v>0.33600000000000002</v>
      </c>
      <c r="R180" s="287" t="s">
        <v>2129</v>
      </c>
      <c r="S180" s="287">
        <v>1</v>
      </c>
      <c r="X180" s="332"/>
      <c r="AC180" s="332"/>
    </row>
    <row r="181" spans="2:29" hidden="1">
      <c r="B181" s="332" t="s">
        <v>2190</v>
      </c>
      <c r="C181" s="328" t="s">
        <v>2131</v>
      </c>
      <c r="D181" s="329" t="s">
        <v>2423</v>
      </c>
      <c r="E181" s="328" t="s">
        <v>11</v>
      </c>
      <c r="F181" s="329">
        <f>'7.CT-TBA'!H2530</f>
        <v>0</v>
      </c>
      <c r="G181" s="329">
        <f t="shared" si="94"/>
        <v>3562</v>
      </c>
      <c r="H181" s="329">
        <f t="shared" si="95"/>
        <v>273830</v>
      </c>
      <c r="I181" s="329">
        <f t="shared" si="96"/>
        <v>44070</v>
      </c>
      <c r="J181" s="329">
        <f t="shared" si="97"/>
        <v>0</v>
      </c>
      <c r="K181" s="329">
        <f t="shared" si="98"/>
        <v>0</v>
      </c>
      <c r="L181" s="329">
        <f t="shared" si="99"/>
        <v>0</v>
      </c>
      <c r="M181" s="333">
        <f t="shared" si="100"/>
        <v>0</v>
      </c>
      <c r="N181" s="332" t="s">
        <v>1328</v>
      </c>
      <c r="O181" s="287">
        <v>0.79200000000000004</v>
      </c>
      <c r="P181" s="287" t="s">
        <v>12</v>
      </c>
      <c r="Q181" s="287">
        <v>0.33600000000000002</v>
      </c>
      <c r="R181" s="287" t="s">
        <v>2129</v>
      </c>
      <c r="S181" s="287">
        <v>1</v>
      </c>
      <c r="X181" s="332"/>
      <c r="AC181" s="332"/>
    </row>
    <row r="182" spans="2:29" hidden="1">
      <c r="B182" s="332" t="s">
        <v>2190</v>
      </c>
      <c r="C182" s="328" t="s">
        <v>2131</v>
      </c>
      <c r="D182" s="329" t="s">
        <v>2424</v>
      </c>
      <c r="E182" s="328" t="s">
        <v>11</v>
      </c>
      <c r="F182" s="329"/>
      <c r="G182" s="329">
        <f t="shared" si="94"/>
        <v>3562</v>
      </c>
      <c r="H182" s="329">
        <f t="shared" si="95"/>
        <v>273830</v>
      </c>
      <c r="I182" s="329">
        <f t="shared" si="96"/>
        <v>44070</v>
      </c>
      <c r="J182" s="329">
        <f t="shared" si="97"/>
        <v>0</v>
      </c>
      <c r="K182" s="329">
        <f t="shared" si="98"/>
        <v>0</v>
      </c>
      <c r="L182" s="329">
        <f t="shared" si="99"/>
        <v>0</v>
      </c>
      <c r="M182" s="333">
        <f t="shared" si="100"/>
        <v>0</v>
      </c>
      <c r="N182" s="332" t="s">
        <v>1328</v>
      </c>
      <c r="O182" s="287">
        <v>0.79200000000000004</v>
      </c>
      <c r="P182" s="287" t="s">
        <v>12</v>
      </c>
      <c r="Q182" s="287">
        <v>0.33600000000000002</v>
      </c>
      <c r="R182" s="287" t="s">
        <v>2129</v>
      </c>
      <c r="S182" s="287">
        <v>1</v>
      </c>
      <c r="X182" s="332"/>
      <c r="AC182" s="332"/>
    </row>
    <row r="183" spans="2:29" hidden="1">
      <c r="B183" s="332" t="s">
        <v>2190</v>
      </c>
      <c r="C183" s="328" t="s">
        <v>2131</v>
      </c>
      <c r="D183" s="329" t="s">
        <v>2420</v>
      </c>
      <c r="E183" s="328" t="s">
        <v>11</v>
      </c>
      <c r="F183" s="329">
        <f>'7.CT-TBA'!H2529</f>
        <v>0</v>
      </c>
      <c r="G183" s="329">
        <f t="shared" si="94"/>
        <v>3562</v>
      </c>
      <c r="H183" s="329">
        <f>ROUND((VLOOKUP(N183,DGNC,5,0)*O183+VLOOKUP(P183,DGNC,5,0)*Q183)*S183,0)</f>
        <v>273830</v>
      </c>
      <c r="I183" s="329">
        <f t="shared" si="96"/>
        <v>44070</v>
      </c>
      <c r="J183" s="329">
        <f>$F183*G183</f>
        <v>0</v>
      </c>
      <c r="K183" s="329">
        <f>$F183*H183</f>
        <v>0</v>
      </c>
      <c r="L183" s="329">
        <f>$F183*I183</f>
        <v>0</v>
      </c>
      <c r="M183" s="333">
        <f>IF(SUM(J183:L183)&lt;&gt;0,1,)</f>
        <v>0</v>
      </c>
      <c r="N183" s="332" t="s">
        <v>1328</v>
      </c>
      <c r="O183" s="287">
        <v>0.79200000000000004</v>
      </c>
      <c r="P183" s="287" t="s">
        <v>12</v>
      </c>
      <c r="Q183" s="287">
        <v>0.33600000000000002</v>
      </c>
      <c r="R183" s="287" t="s">
        <v>2129</v>
      </c>
      <c r="S183" s="287">
        <v>1</v>
      </c>
      <c r="X183" s="332"/>
      <c r="AC183" s="332"/>
    </row>
    <row r="184" spans="2:29" hidden="1">
      <c r="B184" s="332" t="s">
        <v>2191</v>
      </c>
      <c r="C184" s="328" t="s">
        <v>2151</v>
      </c>
      <c r="D184" s="329" t="s">
        <v>2422</v>
      </c>
      <c r="E184" s="328" t="s">
        <v>11</v>
      </c>
      <c r="F184" s="329"/>
      <c r="G184" s="329">
        <f t="shared" si="94"/>
        <v>5073</v>
      </c>
      <c r="H184" s="329">
        <f t="shared" si="95"/>
        <v>308745</v>
      </c>
      <c r="I184" s="329">
        <f t="shared" si="96"/>
        <v>62790</v>
      </c>
      <c r="J184" s="329">
        <f t="shared" si="97"/>
        <v>0</v>
      </c>
      <c r="K184" s="329">
        <f t="shared" si="98"/>
        <v>0</v>
      </c>
      <c r="L184" s="329">
        <f t="shared" si="99"/>
        <v>0</v>
      </c>
      <c r="M184" s="333">
        <f t="shared" si="100"/>
        <v>0</v>
      </c>
      <c r="N184" s="332" t="s">
        <v>1328</v>
      </c>
      <c r="O184" s="287">
        <v>0.88800000000000001</v>
      </c>
      <c r="P184" s="287" t="s">
        <v>12</v>
      </c>
      <c r="Q184" s="287">
        <v>0.38400000000000001</v>
      </c>
      <c r="R184" s="287" t="s">
        <v>2129</v>
      </c>
      <c r="S184" s="287">
        <v>1</v>
      </c>
      <c r="X184" s="332"/>
      <c r="AC184" s="332"/>
    </row>
    <row r="185" spans="2:29" hidden="1">
      <c r="B185" s="332" t="s">
        <v>2188</v>
      </c>
      <c r="C185" s="328" t="s">
        <v>2127</v>
      </c>
      <c r="D185" s="329" t="s">
        <v>2143</v>
      </c>
      <c r="E185" s="328" t="s">
        <v>11</v>
      </c>
      <c r="F185" s="329">
        <f>'7.CT-TBA'!H2527</f>
        <v>0</v>
      </c>
      <c r="G185" s="329">
        <f t="shared" si="94"/>
        <v>520</v>
      </c>
      <c r="H185" s="329">
        <f t="shared" si="95"/>
        <v>45165</v>
      </c>
      <c r="I185" s="329">
        <f t="shared" si="96"/>
        <v>1847</v>
      </c>
      <c r="J185" s="329">
        <f t="shared" si="97"/>
        <v>0</v>
      </c>
      <c r="K185" s="329">
        <f t="shared" si="98"/>
        <v>0</v>
      </c>
      <c r="L185" s="329">
        <f t="shared" si="99"/>
        <v>0</v>
      </c>
      <c r="M185" s="333">
        <f t="shared" si="100"/>
        <v>0</v>
      </c>
      <c r="N185" s="332" t="s">
        <v>1330</v>
      </c>
      <c r="O185" s="287">
        <v>2.89</v>
      </c>
      <c r="P185" s="287" t="s">
        <v>379</v>
      </c>
      <c r="Q185" s="287">
        <v>1.24</v>
      </c>
      <c r="R185" s="287" t="s">
        <v>2129</v>
      </c>
      <c r="S185" s="287">
        <f>S10</f>
        <v>4.0000000000000008E-2</v>
      </c>
      <c r="X185" s="332"/>
      <c r="AC185" s="332"/>
    </row>
    <row r="186" spans="2:29" hidden="1">
      <c r="B186" s="332" t="s">
        <v>2189</v>
      </c>
      <c r="C186" s="328" t="s">
        <v>2135</v>
      </c>
      <c r="D186" s="329" t="s">
        <v>945</v>
      </c>
      <c r="E186" s="328" t="s">
        <v>11</v>
      </c>
      <c r="F186" s="329">
        <f>'7.CT-TBA'!H2528</f>
        <v>0</v>
      </c>
      <c r="G186" s="329">
        <f t="shared" si="94"/>
        <v>2578</v>
      </c>
      <c r="H186" s="329">
        <f t="shared" si="95"/>
        <v>94186</v>
      </c>
      <c r="I186" s="329">
        <f t="shared" si="96"/>
        <v>19746</v>
      </c>
      <c r="J186" s="329">
        <f t="shared" si="97"/>
        <v>0</v>
      </c>
      <c r="K186" s="329">
        <f t="shared" si="98"/>
        <v>0</v>
      </c>
      <c r="L186" s="329">
        <f t="shared" si="99"/>
        <v>0</v>
      </c>
      <c r="M186" s="333">
        <f t="shared" si="100"/>
        <v>0</v>
      </c>
      <c r="N186" s="332" t="s">
        <v>1330</v>
      </c>
      <c r="O186" s="287">
        <v>0.28000000000000003</v>
      </c>
      <c r="P186" s="287" t="s">
        <v>379</v>
      </c>
      <c r="Q186" s="287">
        <v>0.15</v>
      </c>
      <c r="R186" s="287" t="s">
        <v>2129</v>
      </c>
      <c r="S186" s="287">
        <f>S17</f>
        <v>0.8</v>
      </c>
      <c r="X186" s="332"/>
      <c r="AC186" s="332"/>
    </row>
    <row r="187" spans="2:29" hidden="1">
      <c r="B187" s="332" t="s">
        <v>3218</v>
      </c>
      <c r="C187" s="530">
        <f>IF(SUM(J187:L187)&lt;&gt;0,C175+1,C175)</f>
        <v>2</v>
      </c>
      <c r="D187" s="345" t="str">
        <f>VLOOKUP(B187,XLTBA,'6.XL-TR'!$D$2,0)</f>
        <v xml:space="preserve"> Trạm NC từ 2x37,5kVA lên 3x37,5kVA</v>
      </c>
      <c r="E187" s="344"/>
      <c r="F187" s="345"/>
      <c r="G187" s="345"/>
      <c r="H187" s="345"/>
      <c r="I187" s="345"/>
      <c r="J187" s="345">
        <f>SUM(J188:J198)</f>
        <v>0</v>
      </c>
      <c r="K187" s="345">
        <f>SUM(K188:K198)</f>
        <v>0</v>
      </c>
      <c r="L187" s="345">
        <f>SUM(L188:L198)</f>
        <v>0</v>
      </c>
      <c r="M187" s="333">
        <f t="shared" si="100"/>
        <v>0</v>
      </c>
    </row>
    <row r="188" spans="2:29" hidden="1">
      <c r="B188" s="332" t="s">
        <v>2192</v>
      </c>
      <c r="C188" s="328" t="s">
        <v>2144</v>
      </c>
      <c r="D188" s="329" t="s">
        <v>2145</v>
      </c>
      <c r="E188" s="328" t="s">
        <v>2134</v>
      </c>
      <c r="F188" s="329"/>
      <c r="G188" s="329">
        <f t="shared" ref="G188:G198" si="101">ROUND(VLOOKUP(B188,DGTN,$Z$278,0)*S188,0)</f>
        <v>25808</v>
      </c>
      <c r="H188" s="329">
        <f t="shared" ref="H188:H198" si="102">ROUND((VLOOKUP(N188,DGNC,5,0)*O188+VLOOKUP(P188,DGNC,5,0)*Q188)*S188,0)</f>
        <v>1134066</v>
      </c>
      <c r="I188" s="329">
        <f t="shared" ref="I188:I198" si="103">ROUND(VLOOKUP(B188,DGTN,$AE$278,0)*S188,0)</f>
        <v>28346</v>
      </c>
      <c r="J188" s="329">
        <f t="shared" ref="J188:J198" si="104">$F188*G188</f>
        <v>0</v>
      </c>
      <c r="K188" s="329">
        <f t="shared" ref="K188:K198" si="105">$F188*H188</f>
        <v>0</v>
      </c>
      <c r="L188" s="329">
        <f t="shared" ref="L188:L198" si="106">$F188*I188</f>
        <v>0</v>
      </c>
      <c r="M188" s="333">
        <f t="shared" si="100"/>
        <v>0</v>
      </c>
      <c r="N188" s="332" t="s">
        <v>1328</v>
      </c>
      <c r="O188" s="287">
        <v>3.04</v>
      </c>
      <c r="P188" s="287" t="s">
        <v>12</v>
      </c>
      <c r="Q188" s="287">
        <v>1.64</v>
      </c>
      <c r="R188" s="287" t="s">
        <v>2129</v>
      </c>
      <c r="S188" s="287">
        <v>1</v>
      </c>
      <c r="X188" s="332"/>
      <c r="AC188" s="332"/>
    </row>
    <row r="189" spans="2:29" hidden="1">
      <c r="B189" s="332" t="s">
        <v>2196</v>
      </c>
      <c r="C189" s="328" t="s">
        <v>2146</v>
      </c>
      <c r="D189" s="329" t="s">
        <v>2147</v>
      </c>
      <c r="E189" s="328" t="s">
        <v>2148</v>
      </c>
      <c r="F189" s="329"/>
      <c r="G189" s="329">
        <f t="shared" si="101"/>
        <v>29735</v>
      </c>
      <c r="H189" s="329">
        <f t="shared" si="102"/>
        <v>1027972</v>
      </c>
      <c r="I189" s="329">
        <f t="shared" si="103"/>
        <v>201397</v>
      </c>
      <c r="J189" s="329">
        <f t="shared" si="104"/>
        <v>0</v>
      </c>
      <c r="K189" s="329">
        <f t="shared" si="105"/>
        <v>0</v>
      </c>
      <c r="L189" s="329">
        <f t="shared" si="106"/>
        <v>0</v>
      </c>
      <c r="M189" s="333">
        <f t="shared" si="100"/>
        <v>0</v>
      </c>
      <c r="N189" s="332" t="s">
        <v>1330</v>
      </c>
      <c r="O189" s="287">
        <v>2.63</v>
      </c>
      <c r="P189" s="287" t="s">
        <v>379</v>
      </c>
      <c r="Q189" s="287">
        <v>1.1299999999999999</v>
      </c>
      <c r="R189" s="287" t="s">
        <v>2129</v>
      </c>
      <c r="S189" s="287">
        <v>1</v>
      </c>
      <c r="X189" s="332"/>
      <c r="AC189" s="332"/>
    </row>
    <row r="190" spans="2:29" hidden="1">
      <c r="B190" s="332" t="s">
        <v>2196</v>
      </c>
      <c r="C190" s="328" t="s">
        <v>2146</v>
      </c>
      <c r="D190" s="329" t="s">
        <v>2149</v>
      </c>
      <c r="E190" s="328" t="s">
        <v>2148</v>
      </c>
      <c r="F190" s="329"/>
      <c r="G190" s="329">
        <f t="shared" si="101"/>
        <v>29735</v>
      </c>
      <c r="H190" s="329">
        <f t="shared" si="102"/>
        <v>1027972</v>
      </c>
      <c r="I190" s="329">
        <f t="shared" si="103"/>
        <v>201397</v>
      </c>
      <c r="J190" s="329">
        <f t="shared" si="104"/>
        <v>0</v>
      </c>
      <c r="K190" s="329">
        <f t="shared" si="105"/>
        <v>0</v>
      </c>
      <c r="L190" s="329">
        <f t="shared" si="106"/>
        <v>0</v>
      </c>
      <c r="M190" s="333">
        <f t="shared" si="100"/>
        <v>0</v>
      </c>
      <c r="N190" s="332" t="s">
        <v>1330</v>
      </c>
      <c r="O190" s="287">
        <v>2.63</v>
      </c>
      <c r="P190" s="287" t="s">
        <v>379</v>
      </c>
      <c r="Q190" s="287">
        <v>1.1299999999999999</v>
      </c>
      <c r="R190" s="287" t="s">
        <v>2129</v>
      </c>
      <c r="S190" s="287">
        <v>1</v>
      </c>
      <c r="X190" s="332"/>
      <c r="AC190" s="332"/>
    </row>
    <row r="191" spans="2:29" hidden="1">
      <c r="B191" s="332" t="s">
        <v>2196</v>
      </c>
      <c r="C191" s="328" t="s">
        <v>2146</v>
      </c>
      <c r="D191" s="329" t="s">
        <v>2150</v>
      </c>
      <c r="E191" s="328" t="s">
        <v>2148</v>
      </c>
      <c r="F191" s="329"/>
      <c r="G191" s="329">
        <f t="shared" si="101"/>
        <v>29735</v>
      </c>
      <c r="H191" s="329">
        <f t="shared" si="102"/>
        <v>1027972</v>
      </c>
      <c r="I191" s="329">
        <f t="shared" si="103"/>
        <v>201397</v>
      </c>
      <c r="J191" s="329">
        <f t="shared" si="104"/>
        <v>0</v>
      </c>
      <c r="K191" s="329">
        <f t="shared" si="105"/>
        <v>0</v>
      </c>
      <c r="L191" s="329">
        <f t="shared" si="106"/>
        <v>0</v>
      </c>
      <c r="M191" s="333">
        <f t="shared" si="100"/>
        <v>0</v>
      </c>
      <c r="N191" s="332" t="s">
        <v>1330</v>
      </c>
      <c r="O191" s="287">
        <v>2.63</v>
      </c>
      <c r="P191" s="287" t="s">
        <v>379</v>
      </c>
      <c r="Q191" s="287">
        <v>1.1299999999999999</v>
      </c>
      <c r="R191" s="287" t="s">
        <v>2129</v>
      </c>
      <c r="S191" s="287">
        <v>1</v>
      </c>
      <c r="X191" s="332"/>
      <c r="AC191" s="332"/>
    </row>
    <row r="192" spans="2:29" hidden="1">
      <c r="B192" s="332" t="s">
        <v>2190</v>
      </c>
      <c r="C192" s="328" t="s">
        <v>2131</v>
      </c>
      <c r="D192" s="329" t="s">
        <v>2421</v>
      </c>
      <c r="E192" s="328" t="s">
        <v>11</v>
      </c>
      <c r="F192" s="329"/>
      <c r="G192" s="329">
        <f t="shared" si="101"/>
        <v>3562</v>
      </c>
      <c r="H192" s="329">
        <f t="shared" si="102"/>
        <v>273830</v>
      </c>
      <c r="I192" s="329">
        <f t="shared" si="103"/>
        <v>44070</v>
      </c>
      <c r="J192" s="329">
        <f t="shared" si="104"/>
        <v>0</v>
      </c>
      <c r="K192" s="329">
        <f t="shared" si="105"/>
        <v>0</v>
      </c>
      <c r="L192" s="329">
        <f t="shared" si="106"/>
        <v>0</v>
      </c>
      <c r="M192" s="333">
        <f t="shared" si="100"/>
        <v>0</v>
      </c>
      <c r="N192" s="332" t="s">
        <v>1328</v>
      </c>
      <c r="O192" s="287">
        <v>0.79200000000000004</v>
      </c>
      <c r="P192" s="287" t="s">
        <v>12</v>
      </c>
      <c r="Q192" s="287">
        <v>0.33600000000000002</v>
      </c>
      <c r="R192" s="287" t="s">
        <v>2129</v>
      </c>
      <c r="S192" s="287">
        <v>1</v>
      </c>
      <c r="X192" s="332"/>
      <c r="AC192" s="332"/>
    </row>
    <row r="193" spans="2:29" hidden="1">
      <c r="B193" s="332" t="s">
        <v>2190</v>
      </c>
      <c r="C193" s="328" t="s">
        <v>2131</v>
      </c>
      <c r="D193" s="329" t="s">
        <v>2423</v>
      </c>
      <c r="E193" s="328" t="s">
        <v>11</v>
      </c>
      <c r="F193" s="329"/>
      <c r="G193" s="329">
        <f t="shared" si="101"/>
        <v>3562</v>
      </c>
      <c r="H193" s="329">
        <f t="shared" si="102"/>
        <v>273830</v>
      </c>
      <c r="I193" s="329">
        <f t="shared" si="103"/>
        <v>44070</v>
      </c>
      <c r="J193" s="329">
        <f t="shared" si="104"/>
        <v>0</v>
      </c>
      <c r="K193" s="329">
        <f t="shared" si="105"/>
        <v>0</v>
      </c>
      <c r="L193" s="329">
        <f t="shared" si="106"/>
        <v>0</v>
      </c>
      <c r="M193" s="333">
        <f t="shared" si="100"/>
        <v>0</v>
      </c>
      <c r="N193" s="332" t="s">
        <v>1328</v>
      </c>
      <c r="O193" s="287">
        <v>0.79200000000000004</v>
      </c>
      <c r="P193" s="287" t="s">
        <v>12</v>
      </c>
      <c r="Q193" s="287">
        <v>0.33600000000000002</v>
      </c>
      <c r="R193" s="287" t="s">
        <v>2129</v>
      </c>
      <c r="S193" s="287">
        <v>1</v>
      </c>
      <c r="X193" s="332"/>
      <c r="AC193" s="332"/>
    </row>
    <row r="194" spans="2:29" hidden="1">
      <c r="B194" s="332" t="s">
        <v>2190</v>
      </c>
      <c r="C194" s="328" t="s">
        <v>2131</v>
      </c>
      <c r="D194" s="329" t="s">
        <v>2424</v>
      </c>
      <c r="E194" s="328" t="s">
        <v>11</v>
      </c>
      <c r="F194" s="329"/>
      <c r="G194" s="329">
        <f t="shared" si="101"/>
        <v>3562</v>
      </c>
      <c r="H194" s="329">
        <f t="shared" si="102"/>
        <v>273830</v>
      </c>
      <c r="I194" s="329">
        <f t="shared" si="103"/>
        <v>44070</v>
      </c>
      <c r="J194" s="329">
        <f t="shared" si="104"/>
        <v>0</v>
      </c>
      <c r="K194" s="329">
        <f t="shared" si="105"/>
        <v>0</v>
      </c>
      <c r="L194" s="329">
        <f t="shared" si="106"/>
        <v>0</v>
      </c>
      <c r="M194" s="333">
        <f t="shared" si="100"/>
        <v>0</v>
      </c>
      <c r="N194" s="332" t="s">
        <v>1328</v>
      </c>
      <c r="O194" s="287">
        <v>0.79200000000000004</v>
      </c>
      <c r="P194" s="287" t="s">
        <v>12</v>
      </c>
      <c r="Q194" s="287">
        <v>0.33600000000000002</v>
      </c>
      <c r="R194" s="287" t="s">
        <v>2129</v>
      </c>
      <c r="S194" s="287">
        <v>1</v>
      </c>
      <c r="X194" s="332"/>
      <c r="AC194" s="332"/>
    </row>
    <row r="195" spans="2:29" hidden="1">
      <c r="B195" s="332" t="s">
        <v>2191</v>
      </c>
      <c r="C195" s="328" t="s">
        <v>2151</v>
      </c>
      <c r="D195" s="329" t="s">
        <v>2420</v>
      </c>
      <c r="E195" s="328" t="s">
        <v>11</v>
      </c>
      <c r="F195" s="329"/>
      <c r="G195" s="329">
        <f t="shared" si="101"/>
        <v>5073</v>
      </c>
      <c r="H195" s="329">
        <f t="shared" si="102"/>
        <v>308745</v>
      </c>
      <c r="I195" s="329">
        <f t="shared" si="103"/>
        <v>62790</v>
      </c>
      <c r="J195" s="329">
        <f t="shared" si="104"/>
        <v>0</v>
      </c>
      <c r="K195" s="329">
        <f t="shared" si="105"/>
        <v>0</v>
      </c>
      <c r="L195" s="329">
        <f t="shared" si="106"/>
        <v>0</v>
      </c>
      <c r="M195" s="333">
        <f t="shared" si="100"/>
        <v>0</v>
      </c>
      <c r="N195" s="332" t="s">
        <v>1328</v>
      </c>
      <c r="O195" s="287">
        <v>0.88800000000000001</v>
      </c>
      <c r="P195" s="287" t="s">
        <v>12</v>
      </c>
      <c r="Q195" s="287">
        <v>0.38400000000000001</v>
      </c>
      <c r="R195" s="287" t="s">
        <v>2129</v>
      </c>
      <c r="S195" s="287">
        <v>1</v>
      </c>
      <c r="X195" s="332"/>
      <c r="AC195" s="332"/>
    </row>
    <row r="196" spans="2:29" hidden="1">
      <c r="B196" s="332" t="s">
        <v>2191</v>
      </c>
      <c r="C196" s="328" t="s">
        <v>2151</v>
      </c>
      <c r="D196" s="329" t="s">
        <v>2422</v>
      </c>
      <c r="E196" s="328" t="s">
        <v>11</v>
      </c>
      <c r="F196" s="329"/>
      <c r="G196" s="329">
        <f t="shared" si="101"/>
        <v>5073</v>
      </c>
      <c r="H196" s="329">
        <f t="shared" si="102"/>
        <v>308745</v>
      </c>
      <c r="I196" s="329">
        <f t="shared" si="103"/>
        <v>62790</v>
      </c>
      <c r="J196" s="329">
        <f t="shared" si="104"/>
        <v>0</v>
      </c>
      <c r="K196" s="329">
        <f t="shared" si="105"/>
        <v>0</v>
      </c>
      <c r="L196" s="329">
        <f t="shared" si="106"/>
        <v>0</v>
      </c>
      <c r="M196" s="333">
        <f t="shared" si="100"/>
        <v>0</v>
      </c>
      <c r="N196" s="332" t="s">
        <v>1328</v>
      </c>
      <c r="O196" s="287">
        <v>0.88800000000000001</v>
      </c>
      <c r="P196" s="287" t="s">
        <v>12</v>
      </c>
      <c r="Q196" s="287">
        <v>0.38400000000000001</v>
      </c>
      <c r="R196" s="287" t="s">
        <v>2129</v>
      </c>
      <c r="S196" s="287">
        <v>1</v>
      </c>
      <c r="X196" s="332"/>
      <c r="AC196" s="332"/>
    </row>
    <row r="197" spans="2:29" hidden="1">
      <c r="B197" s="332" t="s">
        <v>2188</v>
      </c>
      <c r="C197" s="328" t="s">
        <v>2127</v>
      </c>
      <c r="D197" s="329" t="s">
        <v>2143</v>
      </c>
      <c r="E197" s="328" t="s">
        <v>11</v>
      </c>
      <c r="F197" s="329">
        <f>TRNC2X375*2</f>
        <v>0</v>
      </c>
      <c r="G197" s="329">
        <f t="shared" si="101"/>
        <v>520</v>
      </c>
      <c r="H197" s="515">
        <f t="shared" si="102"/>
        <v>45165</v>
      </c>
      <c r="I197" s="515">
        <f t="shared" si="103"/>
        <v>1847</v>
      </c>
      <c r="J197" s="329">
        <f t="shared" si="104"/>
        <v>0</v>
      </c>
      <c r="K197" s="329">
        <f t="shared" si="105"/>
        <v>0</v>
      </c>
      <c r="L197" s="329">
        <f t="shared" si="106"/>
        <v>0</v>
      </c>
      <c r="M197" s="333">
        <f t="shared" si="100"/>
        <v>0</v>
      </c>
      <c r="N197" s="332" t="s">
        <v>1330</v>
      </c>
      <c r="O197" s="287">
        <v>2.89</v>
      </c>
      <c r="P197" s="287" t="s">
        <v>379</v>
      </c>
      <c r="Q197" s="287">
        <v>1.24</v>
      </c>
      <c r="R197" s="287" t="s">
        <v>2129</v>
      </c>
      <c r="S197" s="287">
        <f>0.4*0.1</f>
        <v>4.0000000000000008E-2</v>
      </c>
    </row>
    <row r="198" spans="2:29" hidden="1">
      <c r="B198" s="332" t="s">
        <v>2189</v>
      </c>
      <c r="C198" s="328" t="s">
        <v>3374</v>
      </c>
      <c r="D198" s="329" t="s">
        <v>945</v>
      </c>
      <c r="E198" s="328" t="s">
        <v>11</v>
      </c>
      <c r="F198" s="329">
        <f>TRNC2X375*2</f>
        <v>0</v>
      </c>
      <c r="G198" s="329">
        <f t="shared" si="101"/>
        <v>3223</v>
      </c>
      <c r="H198" s="515">
        <f t="shared" si="102"/>
        <v>82382</v>
      </c>
      <c r="I198" s="515">
        <f t="shared" si="103"/>
        <v>24683</v>
      </c>
      <c r="J198" s="329">
        <f t="shared" si="104"/>
        <v>0</v>
      </c>
      <c r="K198" s="329">
        <f t="shared" si="105"/>
        <v>0</v>
      </c>
      <c r="L198" s="329">
        <f t="shared" si="106"/>
        <v>0</v>
      </c>
      <c r="M198" s="333">
        <f t="shared" si="100"/>
        <v>0</v>
      </c>
      <c r="N198" s="332" t="s">
        <v>1328</v>
      </c>
      <c r="O198" s="287">
        <v>0.22</v>
      </c>
      <c r="P198" s="287" t="s">
        <v>12</v>
      </c>
      <c r="Q198" s="287">
        <v>0.12</v>
      </c>
      <c r="R198" s="287" t="s">
        <v>2129</v>
      </c>
      <c r="S198" s="287">
        <v>1</v>
      </c>
    </row>
    <row r="199" spans="2:29">
      <c r="B199" s="332" t="s">
        <v>3219</v>
      </c>
      <c r="C199" s="530">
        <f>IF(SUM(J199:L199)&lt;&gt;0,C187+1,C187)</f>
        <v>3</v>
      </c>
      <c r="D199" s="345" t="str">
        <f>VLOOKUP(B199,XLTBA,'6.XL-TR'!$D$2,0)</f>
        <v>2 Trạm NC từ 100kVA lên 100+2x50kVA</v>
      </c>
      <c r="E199" s="344"/>
      <c r="F199" s="345"/>
      <c r="G199" s="345"/>
      <c r="H199" s="345"/>
      <c r="I199" s="345"/>
      <c r="J199" s="345">
        <f>SUM(J200:J210)</f>
        <v>133912</v>
      </c>
      <c r="K199" s="345">
        <f>SUM(K200:K210)</f>
        <v>4622076</v>
      </c>
      <c r="L199" s="345">
        <f>SUM(L200:L210)</f>
        <v>911708</v>
      </c>
      <c r="M199" s="333">
        <f t="shared" ref="M199:M210" si="107">IF(SUM(J199:L199)&lt;&gt;0,1,)</f>
        <v>1</v>
      </c>
    </row>
    <row r="200" spans="2:29" hidden="1">
      <c r="B200" s="332" t="s">
        <v>2192</v>
      </c>
      <c r="C200" s="328" t="s">
        <v>2144</v>
      </c>
      <c r="D200" s="329" t="s">
        <v>2145</v>
      </c>
      <c r="E200" s="328" t="s">
        <v>2134</v>
      </c>
      <c r="F200" s="329"/>
      <c r="G200" s="329">
        <f t="shared" ref="G200:G210" si="108">ROUND(VLOOKUP(B200,DGTN,$Z$278,0)*S200,0)</f>
        <v>25808</v>
      </c>
      <c r="H200" s="329">
        <f t="shared" ref="H200:H210" si="109">ROUND((VLOOKUP(N200,DGNC,5,0)*O200+VLOOKUP(P200,DGNC,5,0)*Q200)*S200,0)</f>
        <v>1134066</v>
      </c>
      <c r="I200" s="329">
        <f t="shared" ref="I200:I210" si="110">ROUND(VLOOKUP(B200,DGTN,$AE$278,0)*S200,0)</f>
        <v>28346</v>
      </c>
      <c r="J200" s="329">
        <f t="shared" ref="J200:J210" si="111">$F200*G200</f>
        <v>0</v>
      </c>
      <c r="K200" s="329">
        <f t="shared" ref="K200:K210" si="112">$F200*H200</f>
        <v>0</v>
      </c>
      <c r="L200" s="329">
        <f t="shared" ref="L200:L210" si="113">$F200*I200</f>
        <v>0</v>
      </c>
      <c r="M200" s="333">
        <f t="shared" si="107"/>
        <v>0</v>
      </c>
      <c r="N200" s="332" t="s">
        <v>1328</v>
      </c>
      <c r="O200" s="287">
        <v>3.04</v>
      </c>
      <c r="P200" s="287" t="s">
        <v>12</v>
      </c>
      <c r="Q200" s="287">
        <v>1.64</v>
      </c>
      <c r="R200" s="287" t="s">
        <v>2129</v>
      </c>
      <c r="S200" s="287">
        <v>1</v>
      </c>
      <c r="X200" s="332"/>
      <c r="AC200" s="332"/>
    </row>
    <row r="201" spans="2:29">
      <c r="B201" s="332" t="s">
        <v>2196</v>
      </c>
      <c r="C201" s="328" t="s">
        <v>2146</v>
      </c>
      <c r="D201" s="329" t="s">
        <v>2147</v>
      </c>
      <c r="E201" s="328" t="s">
        <v>2148</v>
      </c>
      <c r="F201" s="329">
        <f>TRNC100*2</f>
        <v>4</v>
      </c>
      <c r="G201" s="329">
        <f t="shared" si="108"/>
        <v>29735</v>
      </c>
      <c r="H201" s="329">
        <f t="shared" si="109"/>
        <v>1027972</v>
      </c>
      <c r="I201" s="329">
        <f t="shared" si="110"/>
        <v>201397</v>
      </c>
      <c r="J201" s="329">
        <f t="shared" si="111"/>
        <v>118940</v>
      </c>
      <c r="K201" s="329">
        <f t="shared" si="112"/>
        <v>4111888</v>
      </c>
      <c r="L201" s="329">
        <f t="shared" si="113"/>
        <v>805588</v>
      </c>
      <c r="M201" s="333">
        <f t="shared" si="107"/>
        <v>1</v>
      </c>
      <c r="N201" s="332" t="s">
        <v>1330</v>
      </c>
      <c r="O201" s="287">
        <v>2.63</v>
      </c>
      <c r="P201" s="287" t="s">
        <v>379</v>
      </c>
      <c r="Q201" s="287">
        <v>1.1299999999999999</v>
      </c>
      <c r="R201" s="287" t="s">
        <v>2129</v>
      </c>
      <c r="S201" s="287">
        <v>1</v>
      </c>
    </row>
    <row r="202" spans="2:29" hidden="1">
      <c r="B202" s="332" t="s">
        <v>2196</v>
      </c>
      <c r="C202" s="328" t="s">
        <v>2146</v>
      </c>
      <c r="D202" s="329" t="s">
        <v>2149</v>
      </c>
      <c r="E202" s="328" t="s">
        <v>2148</v>
      </c>
      <c r="F202" s="329"/>
      <c r="G202" s="329">
        <f t="shared" si="108"/>
        <v>29735</v>
      </c>
      <c r="H202" s="329">
        <f t="shared" si="109"/>
        <v>1027972</v>
      </c>
      <c r="I202" s="329">
        <f t="shared" si="110"/>
        <v>201397</v>
      </c>
      <c r="J202" s="329">
        <f t="shared" si="111"/>
        <v>0</v>
      </c>
      <c r="K202" s="329">
        <f t="shared" si="112"/>
        <v>0</v>
      </c>
      <c r="L202" s="329">
        <f t="shared" si="113"/>
        <v>0</v>
      </c>
      <c r="M202" s="333">
        <f t="shared" si="107"/>
        <v>0</v>
      </c>
      <c r="N202" s="332" t="s">
        <v>1330</v>
      </c>
      <c r="O202" s="287">
        <v>2.63</v>
      </c>
      <c r="P202" s="287" t="s">
        <v>379</v>
      </c>
      <c r="Q202" s="287">
        <v>1.1299999999999999</v>
      </c>
      <c r="R202" s="287" t="s">
        <v>2129</v>
      </c>
      <c r="S202" s="287">
        <v>1</v>
      </c>
      <c r="X202" s="332"/>
      <c r="AC202" s="332"/>
    </row>
    <row r="203" spans="2:29" hidden="1">
      <c r="B203" s="332" t="s">
        <v>2196</v>
      </c>
      <c r="C203" s="328" t="s">
        <v>2146</v>
      </c>
      <c r="D203" s="329" t="s">
        <v>2150</v>
      </c>
      <c r="E203" s="328" t="s">
        <v>2148</v>
      </c>
      <c r="F203" s="329"/>
      <c r="G203" s="329">
        <f t="shared" si="108"/>
        <v>29735</v>
      </c>
      <c r="H203" s="329">
        <f t="shared" si="109"/>
        <v>1027972</v>
      </c>
      <c r="I203" s="329">
        <f t="shared" si="110"/>
        <v>201397</v>
      </c>
      <c r="J203" s="329">
        <f t="shared" si="111"/>
        <v>0</v>
      </c>
      <c r="K203" s="329">
        <f t="shared" si="112"/>
        <v>0</v>
      </c>
      <c r="L203" s="329">
        <f t="shared" si="113"/>
        <v>0</v>
      </c>
      <c r="M203" s="333">
        <f t="shared" si="107"/>
        <v>0</v>
      </c>
      <c r="N203" s="332" t="s">
        <v>1330</v>
      </c>
      <c r="O203" s="287">
        <v>2.63</v>
      </c>
      <c r="P203" s="287" t="s">
        <v>379</v>
      </c>
      <c r="Q203" s="287">
        <v>1.1299999999999999</v>
      </c>
      <c r="R203" s="287" t="s">
        <v>2129</v>
      </c>
      <c r="S203" s="287">
        <v>1</v>
      </c>
      <c r="X203" s="332"/>
      <c r="AC203" s="332"/>
    </row>
    <row r="204" spans="2:29" hidden="1">
      <c r="B204" s="332" t="s">
        <v>2190</v>
      </c>
      <c r="C204" s="328" t="s">
        <v>2131</v>
      </c>
      <c r="D204" s="329" t="s">
        <v>2421</v>
      </c>
      <c r="E204" s="328" t="s">
        <v>11</v>
      </c>
      <c r="F204" s="329"/>
      <c r="G204" s="329">
        <f t="shared" si="108"/>
        <v>3562</v>
      </c>
      <c r="H204" s="329">
        <f t="shared" si="109"/>
        <v>273830</v>
      </c>
      <c r="I204" s="329">
        <f t="shared" si="110"/>
        <v>44070</v>
      </c>
      <c r="J204" s="329">
        <f t="shared" si="111"/>
        <v>0</v>
      </c>
      <c r="K204" s="329">
        <f t="shared" si="112"/>
        <v>0</v>
      </c>
      <c r="L204" s="329">
        <f t="shared" si="113"/>
        <v>0</v>
      </c>
      <c r="M204" s="333">
        <f t="shared" si="107"/>
        <v>0</v>
      </c>
      <c r="N204" s="332" t="s">
        <v>1328</v>
      </c>
      <c r="O204" s="287">
        <v>0.79200000000000004</v>
      </c>
      <c r="P204" s="287" t="s">
        <v>12</v>
      </c>
      <c r="Q204" s="287">
        <v>0.33600000000000002</v>
      </c>
      <c r="R204" s="287" t="s">
        <v>2129</v>
      </c>
      <c r="S204" s="287">
        <v>1</v>
      </c>
      <c r="X204" s="332"/>
      <c r="AC204" s="332"/>
    </row>
    <row r="205" spans="2:29" hidden="1">
      <c r="B205" s="332" t="s">
        <v>2190</v>
      </c>
      <c r="C205" s="328" t="s">
        <v>2131</v>
      </c>
      <c r="D205" s="329" t="s">
        <v>2423</v>
      </c>
      <c r="E205" s="328" t="s">
        <v>11</v>
      </c>
      <c r="F205" s="329"/>
      <c r="G205" s="329">
        <f t="shared" si="108"/>
        <v>3562</v>
      </c>
      <c r="H205" s="329">
        <f t="shared" si="109"/>
        <v>273830</v>
      </c>
      <c r="I205" s="329">
        <f t="shared" si="110"/>
        <v>44070</v>
      </c>
      <c r="J205" s="329">
        <f t="shared" si="111"/>
        <v>0</v>
      </c>
      <c r="K205" s="329">
        <f t="shared" si="112"/>
        <v>0</v>
      </c>
      <c r="L205" s="329">
        <f t="shared" si="113"/>
        <v>0</v>
      </c>
      <c r="M205" s="333">
        <f t="shared" si="107"/>
        <v>0</v>
      </c>
      <c r="N205" s="332" t="s">
        <v>1328</v>
      </c>
      <c r="O205" s="287">
        <v>0.79200000000000004</v>
      </c>
      <c r="P205" s="287" t="s">
        <v>12</v>
      </c>
      <c r="Q205" s="287">
        <v>0.33600000000000002</v>
      </c>
      <c r="R205" s="287" t="s">
        <v>2129</v>
      </c>
      <c r="S205" s="287">
        <v>1</v>
      </c>
      <c r="X205" s="332"/>
      <c r="AC205" s="332"/>
    </row>
    <row r="206" spans="2:29" hidden="1">
      <c r="B206" s="332" t="s">
        <v>2190</v>
      </c>
      <c r="C206" s="328" t="s">
        <v>2131</v>
      </c>
      <c r="D206" s="329" t="s">
        <v>2424</v>
      </c>
      <c r="E206" s="328" t="s">
        <v>11</v>
      </c>
      <c r="F206" s="329"/>
      <c r="G206" s="329">
        <f t="shared" si="108"/>
        <v>3562</v>
      </c>
      <c r="H206" s="329">
        <f t="shared" si="109"/>
        <v>273830</v>
      </c>
      <c r="I206" s="329">
        <f t="shared" si="110"/>
        <v>44070</v>
      </c>
      <c r="J206" s="329">
        <f t="shared" si="111"/>
        <v>0</v>
      </c>
      <c r="K206" s="329">
        <f t="shared" si="112"/>
        <v>0</v>
      </c>
      <c r="L206" s="329">
        <f t="shared" si="113"/>
        <v>0</v>
      </c>
      <c r="M206" s="333">
        <f t="shared" si="107"/>
        <v>0</v>
      </c>
      <c r="N206" s="332" t="s">
        <v>1328</v>
      </c>
      <c r="O206" s="287">
        <v>0.79200000000000004</v>
      </c>
      <c r="P206" s="287" t="s">
        <v>12</v>
      </c>
      <c r="Q206" s="287">
        <v>0.33600000000000002</v>
      </c>
      <c r="R206" s="287" t="s">
        <v>2129</v>
      </c>
      <c r="S206" s="287">
        <v>1</v>
      </c>
      <c r="X206" s="332"/>
      <c r="AC206" s="332"/>
    </row>
    <row r="207" spans="2:29" hidden="1">
      <c r="B207" s="332" t="s">
        <v>2191</v>
      </c>
      <c r="C207" s="328" t="s">
        <v>2151</v>
      </c>
      <c r="D207" s="329" t="s">
        <v>2420</v>
      </c>
      <c r="E207" s="328" t="s">
        <v>11</v>
      </c>
      <c r="F207" s="329">
        <f>'7.CT-TBA'!H1451</f>
        <v>0</v>
      </c>
      <c r="G207" s="329">
        <f t="shared" si="108"/>
        <v>5073</v>
      </c>
      <c r="H207" s="515">
        <f t="shared" si="109"/>
        <v>257287</v>
      </c>
      <c r="I207" s="515">
        <f t="shared" si="110"/>
        <v>62790</v>
      </c>
      <c r="J207" s="329">
        <f t="shared" si="111"/>
        <v>0</v>
      </c>
      <c r="K207" s="329">
        <f t="shared" si="112"/>
        <v>0</v>
      </c>
      <c r="L207" s="329">
        <f t="shared" si="113"/>
        <v>0</v>
      </c>
      <c r="M207" s="333">
        <f t="shared" si="107"/>
        <v>0</v>
      </c>
      <c r="N207" s="332" t="s">
        <v>1328</v>
      </c>
      <c r="O207" s="287">
        <v>0.74</v>
      </c>
      <c r="P207" s="287" t="s">
        <v>12</v>
      </c>
      <c r="Q207" s="287">
        <v>0.32</v>
      </c>
      <c r="R207" s="287" t="s">
        <v>2129</v>
      </c>
      <c r="S207" s="287">
        <v>1</v>
      </c>
    </row>
    <row r="208" spans="2:29" hidden="1">
      <c r="B208" s="332" t="s">
        <v>2191</v>
      </c>
      <c r="C208" s="328" t="s">
        <v>2151</v>
      </c>
      <c r="D208" s="329" t="s">
        <v>2422</v>
      </c>
      <c r="E208" s="328" t="s">
        <v>11</v>
      </c>
      <c r="F208" s="329"/>
      <c r="G208" s="329">
        <f t="shared" si="108"/>
        <v>5073</v>
      </c>
      <c r="H208" s="329">
        <f t="shared" si="109"/>
        <v>308745</v>
      </c>
      <c r="I208" s="329">
        <f t="shared" si="110"/>
        <v>62790</v>
      </c>
      <c r="J208" s="329">
        <f t="shared" si="111"/>
        <v>0</v>
      </c>
      <c r="K208" s="329">
        <f t="shared" si="112"/>
        <v>0</v>
      </c>
      <c r="L208" s="329">
        <f t="shared" si="113"/>
        <v>0</v>
      </c>
      <c r="M208" s="333">
        <f t="shared" si="107"/>
        <v>0</v>
      </c>
      <c r="N208" s="332" t="s">
        <v>1328</v>
      </c>
      <c r="O208" s="287">
        <v>0.88800000000000001</v>
      </c>
      <c r="P208" s="287" t="s">
        <v>12</v>
      </c>
      <c r="Q208" s="287">
        <v>0.38400000000000001</v>
      </c>
      <c r="R208" s="287" t="s">
        <v>2129</v>
      </c>
      <c r="S208" s="287">
        <v>1</v>
      </c>
      <c r="X208" s="332"/>
      <c r="AC208" s="332"/>
    </row>
    <row r="209" spans="2:29">
      <c r="B209" s="332" t="s">
        <v>2188</v>
      </c>
      <c r="C209" s="328" t="s">
        <v>2127</v>
      </c>
      <c r="D209" s="329" t="s">
        <v>2143</v>
      </c>
      <c r="E209" s="328" t="s">
        <v>11</v>
      </c>
      <c r="F209" s="329">
        <f>TRNC100*2</f>
        <v>4</v>
      </c>
      <c r="G209" s="329">
        <f t="shared" si="108"/>
        <v>520</v>
      </c>
      <c r="H209" s="515">
        <f t="shared" si="109"/>
        <v>45165</v>
      </c>
      <c r="I209" s="515">
        <f t="shared" si="110"/>
        <v>1847</v>
      </c>
      <c r="J209" s="329">
        <f t="shared" si="111"/>
        <v>2080</v>
      </c>
      <c r="K209" s="329">
        <f t="shared" si="112"/>
        <v>180660</v>
      </c>
      <c r="L209" s="329">
        <f t="shared" si="113"/>
        <v>7388</v>
      </c>
      <c r="M209" s="333">
        <f t="shared" si="107"/>
        <v>1</v>
      </c>
      <c r="N209" s="332" t="s">
        <v>1330</v>
      </c>
      <c r="O209" s="287">
        <v>2.89</v>
      </c>
      <c r="P209" s="287" t="s">
        <v>379</v>
      </c>
      <c r="Q209" s="287">
        <v>1.24</v>
      </c>
      <c r="R209" s="287" t="s">
        <v>2129</v>
      </c>
      <c r="S209" s="287">
        <f>0.4*0.1</f>
        <v>4.0000000000000008E-2</v>
      </c>
    </row>
    <row r="210" spans="2:29">
      <c r="B210" s="332" t="s">
        <v>2189</v>
      </c>
      <c r="C210" s="328" t="s">
        <v>3374</v>
      </c>
      <c r="D210" s="329" t="s">
        <v>945</v>
      </c>
      <c r="E210" s="328" t="s">
        <v>11</v>
      </c>
      <c r="F210" s="329">
        <f>TRNC100*2</f>
        <v>4</v>
      </c>
      <c r="G210" s="329">
        <f t="shared" si="108"/>
        <v>3223</v>
      </c>
      <c r="H210" s="515">
        <f t="shared" si="109"/>
        <v>82382</v>
      </c>
      <c r="I210" s="515">
        <f t="shared" si="110"/>
        <v>24683</v>
      </c>
      <c r="J210" s="329">
        <f t="shared" si="111"/>
        <v>12892</v>
      </c>
      <c r="K210" s="329">
        <f t="shared" si="112"/>
        <v>329528</v>
      </c>
      <c r="L210" s="329">
        <f t="shared" si="113"/>
        <v>98732</v>
      </c>
      <c r="M210" s="333">
        <f t="shared" si="107"/>
        <v>1</v>
      </c>
      <c r="N210" s="332" t="s">
        <v>1328</v>
      </c>
      <c r="O210" s="287">
        <v>0.22</v>
      </c>
      <c r="P210" s="287" t="s">
        <v>12</v>
      </c>
      <c r="Q210" s="287">
        <v>0.12</v>
      </c>
      <c r="R210" s="287" t="s">
        <v>2129</v>
      </c>
      <c r="S210" s="287">
        <v>1</v>
      </c>
    </row>
    <row r="211" spans="2:29" hidden="1">
      <c r="B211" s="332" t="s">
        <v>3457</v>
      </c>
      <c r="C211" s="530">
        <f>IF(SUM(J211:L211)&lt;&gt;0,C199+1,C199)</f>
        <v>3</v>
      </c>
      <c r="D211" s="345" t="str">
        <f>VLOOKUP(B211,XLTBA,'6.XL-TR'!$D$2,0)</f>
        <v xml:space="preserve"> Trạm NC từ 2x50kVA lên 3x50kVA</v>
      </c>
      <c r="E211" s="344"/>
      <c r="F211" s="345"/>
      <c r="G211" s="345"/>
      <c r="H211" s="345"/>
      <c r="I211" s="345"/>
      <c r="J211" s="345">
        <f>SUM(J212:J222)</f>
        <v>0</v>
      </c>
      <c r="K211" s="345">
        <f>SUM(K212:K222)</f>
        <v>0</v>
      </c>
      <c r="L211" s="345">
        <f>SUM(L212:L222)</f>
        <v>0</v>
      </c>
      <c r="M211" s="333">
        <f t="shared" ref="M211:M222" si="114">IF(SUM(J211:L211)&lt;&gt;0,1,)</f>
        <v>0</v>
      </c>
    </row>
    <row r="212" spans="2:29" hidden="1">
      <c r="B212" s="332" t="s">
        <v>2192</v>
      </c>
      <c r="C212" s="328" t="s">
        <v>2144</v>
      </c>
      <c r="D212" s="329" t="s">
        <v>2145</v>
      </c>
      <c r="E212" s="328" t="s">
        <v>2134</v>
      </c>
      <c r="F212" s="329"/>
      <c r="G212" s="329">
        <f t="shared" ref="G212:G222" si="115">ROUND(VLOOKUP(B212,DGTN,$Z$278,0)*S212,0)</f>
        <v>25808</v>
      </c>
      <c r="H212" s="329">
        <f t="shared" ref="H212:H222" si="116">ROUND((VLOOKUP(N212,DGNC,5,0)*O212+VLOOKUP(P212,DGNC,5,0)*Q212)*S212,0)</f>
        <v>1134066</v>
      </c>
      <c r="I212" s="329">
        <f t="shared" ref="I212:I222" si="117">ROUND(VLOOKUP(B212,DGTN,$AE$278,0)*S212,0)</f>
        <v>28346</v>
      </c>
      <c r="J212" s="329">
        <f t="shared" ref="J212:J222" si="118">$F212*G212</f>
        <v>0</v>
      </c>
      <c r="K212" s="329">
        <f t="shared" ref="K212:K222" si="119">$F212*H212</f>
        <v>0</v>
      </c>
      <c r="L212" s="329">
        <f t="shared" ref="L212:L222" si="120">$F212*I212</f>
        <v>0</v>
      </c>
      <c r="M212" s="333">
        <f t="shared" si="114"/>
        <v>0</v>
      </c>
      <c r="N212" s="332" t="s">
        <v>1328</v>
      </c>
      <c r="O212" s="287">
        <v>3.04</v>
      </c>
      <c r="P212" s="287" t="s">
        <v>12</v>
      </c>
      <c r="Q212" s="287">
        <v>1.64</v>
      </c>
      <c r="R212" s="287" t="s">
        <v>2129</v>
      </c>
      <c r="S212" s="287">
        <v>1</v>
      </c>
      <c r="X212" s="332"/>
      <c r="AC212" s="332"/>
    </row>
    <row r="213" spans="2:29" hidden="1">
      <c r="B213" s="332" t="s">
        <v>2196</v>
      </c>
      <c r="C213" s="328" t="s">
        <v>2146</v>
      </c>
      <c r="D213" s="329" t="s">
        <v>2147</v>
      </c>
      <c r="E213" s="328" t="s">
        <v>2148</v>
      </c>
      <c r="F213" s="329">
        <f>TRNC2X50</f>
        <v>0</v>
      </c>
      <c r="G213" s="329">
        <f t="shared" si="115"/>
        <v>29735</v>
      </c>
      <c r="H213" s="329">
        <f t="shared" si="116"/>
        <v>1027972</v>
      </c>
      <c r="I213" s="329">
        <f t="shared" si="117"/>
        <v>201397</v>
      </c>
      <c r="J213" s="329">
        <f t="shared" si="118"/>
        <v>0</v>
      </c>
      <c r="K213" s="329">
        <f t="shared" si="119"/>
        <v>0</v>
      </c>
      <c r="L213" s="329">
        <f t="shared" si="120"/>
        <v>0</v>
      </c>
      <c r="M213" s="333">
        <f t="shared" si="114"/>
        <v>0</v>
      </c>
      <c r="N213" s="332" t="s">
        <v>1330</v>
      </c>
      <c r="O213" s="287">
        <v>2.63</v>
      </c>
      <c r="P213" s="287" t="s">
        <v>379</v>
      </c>
      <c r="Q213" s="287">
        <v>1.1299999999999999</v>
      </c>
      <c r="R213" s="287" t="s">
        <v>2129</v>
      </c>
      <c r="S213" s="287">
        <v>1</v>
      </c>
      <c r="X213" s="332"/>
      <c r="AC213" s="332"/>
    </row>
    <row r="214" spans="2:29" hidden="1">
      <c r="B214" s="332" t="s">
        <v>2196</v>
      </c>
      <c r="C214" s="328" t="s">
        <v>2146</v>
      </c>
      <c r="D214" s="329" t="s">
        <v>2149</v>
      </c>
      <c r="E214" s="328" t="s">
        <v>2148</v>
      </c>
      <c r="F214" s="329"/>
      <c r="G214" s="329">
        <f t="shared" si="115"/>
        <v>29735</v>
      </c>
      <c r="H214" s="329">
        <f t="shared" si="116"/>
        <v>1027972</v>
      </c>
      <c r="I214" s="329">
        <f t="shared" si="117"/>
        <v>201397</v>
      </c>
      <c r="J214" s="329">
        <f t="shared" si="118"/>
        <v>0</v>
      </c>
      <c r="K214" s="329">
        <f t="shared" si="119"/>
        <v>0</v>
      </c>
      <c r="L214" s="329">
        <f t="shared" si="120"/>
        <v>0</v>
      </c>
      <c r="M214" s="333">
        <f t="shared" si="114"/>
        <v>0</v>
      </c>
      <c r="N214" s="332" t="s">
        <v>1330</v>
      </c>
      <c r="O214" s="287">
        <v>2.63</v>
      </c>
      <c r="P214" s="287" t="s">
        <v>379</v>
      </c>
      <c r="Q214" s="287">
        <v>1.1299999999999999</v>
      </c>
      <c r="R214" s="287" t="s">
        <v>2129</v>
      </c>
      <c r="S214" s="287">
        <v>1</v>
      </c>
    </row>
    <row r="215" spans="2:29" hidden="1">
      <c r="B215" s="332" t="s">
        <v>2196</v>
      </c>
      <c r="C215" s="328" t="s">
        <v>2146</v>
      </c>
      <c r="D215" s="329" t="s">
        <v>2150</v>
      </c>
      <c r="E215" s="328" t="s">
        <v>2148</v>
      </c>
      <c r="F215" s="329"/>
      <c r="G215" s="329">
        <f t="shared" si="115"/>
        <v>29735</v>
      </c>
      <c r="H215" s="329">
        <f t="shared" si="116"/>
        <v>1027972</v>
      </c>
      <c r="I215" s="329">
        <f t="shared" si="117"/>
        <v>201397</v>
      </c>
      <c r="J215" s="329">
        <f t="shared" si="118"/>
        <v>0</v>
      </c>
      <c r="K215" s="329">
        <f t="shared" si="119"/>
        <v>0</v>
      </c>
      <c r="L215" s="329">
        <f t="shared" si="120"/>
        <v>0</v>
      </c>
      <c r="M215" s="333">
        <f t="shared" si="114"/>
        <v>0</v>
      </c>
      <c r="N215" s="332" t="s">
        <v>1330</v>
      </c>
      <c r="O215" s="287">
        <v>2.63</v>
      </c>
      <c r="P215" s="287" t="s">
        <v>379</v>
      </c>
      <c r="Q215" s="287">
        <v>1.1299999999999999</v>
      </c>
      <c r="R215" s="287" t="s">
        <v>2129</v>
      </c>
      <c r="S215" s="287">
        <v>1</v>
      </c>
      <c r="X215" s="332"/>
      <c r="AC215" s="332"/>
    </row>
    <row r="216" spans="2:29" hidden="1">
      <c r="B216" s="332" t="s">
        <v>2190</v>
      </c>
      <c r="C216" s="328" t="s">
        <v>2131</v>
      </c>
      <c r="D216" s="329" t="s">
        <v>2421</v>
      </c>
      <c r="E216" s="328" t="s">
        <v>11</v>
      </c>
      <c r="F216" s="329"/>
      <c r="G216" s="329">
        <f t="shared" si="115"/>
        <v>3562</v>
      </c>
      <c r="H216" s="329">
        <f t="shared" si="116"/>
        <v>273830</v>
      </c>
      <c r="I216" s="329">
        <f t="shared" si="117"/>
        <v>44070</v>
      </c>
      <c r="J216" s="329">
        <f t="shared" si="118"/>
        <v>0</v>
      </c>
      <c r="K216" s="329">
        <f t="shared" si="119"/>
        <v>0</v>
      </c>
      <c r="L216" s="329">
        <f t="shared" si="120"/>
        <v>0</v>
      </c>
      <c r="M216" s="333">
        <f t="shared" si="114"/>
        <v>0</v>
      </c>
      <c r="N216" s="332" t="s">
        <v>1328</v>
      </c>
      <c r="O216" s="287">
        <v>0.79200000000000004</v>
      </c>
      <c r="P216" s="287" t="s">
        <v>12</v>
      </c>
      <c r="Q216" s="287">
        <v>0.33600000000000002</v>
      </c>
      <c r="R216" s="287" t="s">
        <v>2129</v>
      </c>
      <c r="S216" s="287">
        <v>1</v>
      </c>
      <c r="X216" s="332"/>
      <c r="AC216" s="332"/>
    </row>
    <row r="217" spans="2:29" hidden="1">
      <c r="B217" s="332" t="s">
        <v>2190</v>
      </c>
      <c r="C217" s="328" t="s">
        <v>2131</v>
      </c>
      <c r="D217" s="329" t="s">
        <v>2423</v>
      </c>
      <c r="E217" s="328" t="s">
        <v>11</v>
      </c>
      <c r="F217" s="329"/>
      <c r="G217" s="329">
        <f t="shared" si="115"/>
        <v>3562</v>
      </c>
      <c r="H217" s="329">
        <f t="shared" si="116"/>
        <v>273830</v>
      </c>
      <c r="I217" s="329">
        <f t="shared" si="117"/>
        <v>44070</v>
      </c>
      <c r="J217" s="329">
        <f t="shared" si="118"/>
        <v>0</v>
      </c>
      <c r="K217" s="329">
        <f t="shared" si="119"/>
        <v>0</v>
      </c>
      <c r="L217" s="329">
        <f t="shared" si="120"/>
        <v>0</v>
      </c>
      <c r="M217" s="333">
        <f t="shared" si="114"/>
        <v>0</v>
      </c>
      <c r="N217" s="332" t="s">
        <v>1328</v>
      </c>
      <c r="O217" s="287">
        <v>0.79200000000000004</v>
      </c>
      <c r="P217" s="287" t="s">
        <v>12</v>
      </c>
      <c r="Q217" s="287">
        <v>0.33600000000000002</v>
      </c>
      <c r="R217" s="287" t="s">
        <v>2129</v>
      </c>
      <c r="S217" s="287">
        <v>1</v>
      </c>
      <c r="X217" s="332"/>
      <c r="AC217" s="332"/>
    </row>
    <row r="218" spans="2:29" hidden="1">
      <c r="B218" s="332" t="s">
        <v>2190</v>
      </c>
      <c r="C218" s="328" t="s">
        <v>2131</v>
      </c>
      <c r="D218" s="329" t="s">
        <v>2424</v>
      </c>
      <c r="E218" s="328" t="s">
        <v>11</v>
      </c>
      <c r="F218" s="329"/>
      <c r="G218" s="329">
        <f t="shared" si="115"/>
        <v>3562</v>
      </c>
      <c r="H218" s="329">
        <f t="shared" si="116"/>
        <v>273830</v>
      </c>
      <c r="I218" s="329">
        <f t="shared" si="117"/>
        <v>44070</v>
      </c>
      <c r="J218" s="329">
        <f t="shared" si="118"/>
        <v>0</v>
      </c>
      <c r="K218" s="329">
        <f t="shared" si="119"/>
        <v>0</v>
      </c>
      <c r="L218" s="329">
        <f t="shared" si="120"/>
        <v>0</v>
      </c>
      <c r="M218" s="333">
        <f t="shared" si="114"/>
        <v>0</v>
      </c>
      <c r="N218" s="332" t="s">
        <v>1328</v>
      </c>
      <c r="O218" s="287">
        <v>0.79200000000000004</v>
      </c>
      <c r="P218" s="287" t="s">
        <v>12</v>
      </c>
      <c r="Q218" s="287">
        <v>0.33600000000000002</v>
      </c>
      <c r="R218" s="287" t="s">
        <v>2129</v>
      </c>
      <c r="S218" s="287">
        <v>1</v>
      </c>
      <c r="X218" s="332"/>
      <c r="AC218" s="332"/>
    </row>
    <row r="219" spans="2:29" hidden="1">
      <c r="B219" s="332" t="s">
        <v>2191</v>
      </c>
      <c r="C219" s="328" t="s">
        <v>2151</v>
      </c>
      <c r="D219" s="329" t="s">
        <v>2420</v>
      </c>
      <c r="E219" s="328" t="s">
        <v>11</v>
      </c>
      <c r="F219" s="329"/>
      <c r="G219" s="329">
        <f t="shared" si="115"/>
        <v>5073</v>
      </c>
      <c r="H219" s="329">
        <f t="shared" si="116"/>
        <v>308745</v>
      </c>
      <c r="I219" s="329">
        <f t="shared" si="117"/>
        <v>62790</v>
      </c>
      <c r="J219" s="329">
        <f t="shared" si="118"/>
        <v>0</v>
      </c>
      <c r="K219" s="329">
        <f t="shared" si="119"/>
        <v>0</v>
      </c>
      <c r="L219" s="329">
        <f t="shared" si="120"/>
        <v>0</v>
      </c>
      <c r="M219" s="333">
        <f t="shared" si="114"/>
        <v>0</v>
      </c>
      <c r="N219" s="332" t="s">
        <v>1328</v>
      </c>
      <c r="O219" s="287">
        <v>0.88800000000000001</v>
      </c>
      <c r="P219" s="287" t="s">
        <v>12</v>
      </c>
      <c r="Q219" s="287">
        <v>0.38400000000000001</v>
      </c>
      <c r="R219" s="287" t="s">
        <v>2129</v>
      </c>
      <c r="S219" s="287">
        <v>1</v>
      </c>
      <c r="X219" s="332"/>
      <c r="AC219" s="332"/>
    </row>
    <row r="220" spans="2:29" hidden="1">
      <c r="B220" s="332" t="s">
        <v>2191</v>
      </c>
      <c r="C220" s="328" t="s">
        <v>2151</v>
      </c>
      <c r="D220" s="329" t="s">
        <v>2422</v>
      </c>
      <c r="E220" s="328" t="s">
        <v>11</v>
      </c>
      <c r="F220" s="329"/>
      <c r="G220" s="329">
        <f t="shared" si="115"/>
        <v>5073</v>
      </c>
      <c r="H220" s="329">
        <f t="shared" si="116"/>
        <v>308745</v>
      </c>
      <c r="I220" s="329">
        <f t="shared" si="117"/>
        <v>62790</v>
      </c>
      <c r="J220" s="329">
        <f t="shared" si="118"/>
        <v>0</v>
      </c>
      <c r="K220" s="329">
        <f t="shared" si="119"/>
        <v>0</v>
      </c>
      <c r="L220" s="329">
        <f t="shared" si="120"/>
        <v>0</v>
      </c>
      <c r="M220" s="333">
        <f t="shared" si="114"/>
        <v>0</v>
      </c>
      <c r="N220" s="332" t="s">
        <v>1328</v>
      </c>
      <c r="O220" s="287">
        <v>0.88800000000000001</v>
      </c>
      <c r="P220" s="287" t="s">
        <v>12</v>
      </c>
      <c r="Q220" s="287">
        <v>0.38400000000000001</v>
      </c>
      <c r="R220" s="287" t="s">
        <v>2129</v>
      </c>
      <c r="S220" s="287">
        <v>1</v>
      </c>
      <c r="X220" s="332"/>
      <c r="AC220" s="332"/>
    </row>
    <row r="221" spans="2:29" hidden="1">
      <c r="B221" s="332" t="s">
        <v>2188</v>
      </c>
      <c r="C221" s="328" t="s">
        <v>2127</v>
      </c>
      <c r="D221" s="329" t="s">
        <v>2143</v>
      </c>
      <c r="E221" s="328" t="s">
        <v>11</v>
      </c>
      <c r="F221" s="329">
        <f>TRNC2X50*2</f>
        <v>0</v>
      </c>
      <c r="G221" s="329">
        <f t="shared" si="115"/>
        <v>520</v>
      </c>
      <c r="H221" s="515">
        <f t="shared" si="116"/>
        <v>45165</v>
      </c>
      <c r="I221" s="515">
        <f t="shared" si="117"/>
        <v>1847</v>
      </c>
      <c r="J221" s="329">
        <f t="shared" si="118"/>
        <v>0</v>
      </c>
      <c r="K221" s="329">
        <f t="shared" si="119"/>
        <v>0</v>
      </c>
      <c r="L221" s="329">
        <f t="shared" si="120"/>
        <v>0</v>
      </c>
      <c r="M221" s="333">
        <f t="shared" si="114"/>
        <v>0</v>
      </c>
      <c r="N221" s="332" t="s">
        <v>1330</v>
      </c>
      <c r="O221" s="287">
        <v>2.89</v>
      </c>
      <c r="P221" s="287" t="s">
        <v>379</v>
      </c>
      <c r="Q221" s="287">
        <v>1.24</v>
      </c>
      <c r="R221" s="287" t="s">
        <v>2129</v>
      </c>
      <c r="S221" s="287">
        <f>0.4*0.1</f>
        <v>4.0000000000000008E-2</v>
      </c>
    </row>
    <row r="222" spans="2:29" hidden="1">
      <c r="B222" s="332" t="s">
        <v>2189</v>
      </c>
      <c r="C222" s="328" t="s">
        <v>3374</v>
      </c>
      <c r="D222" s="329" t="s">
        <v>945</v>
      </c>
      <c r="E222" s="328" t="s">
        <v>11</v>
      </c>
      <c r="F222" s="329">
        <f>TRNC2X50*2</f>
        <v>0</v>
      </c>
      <c r="G222" s="329">
        <f t="shared" si="115"/>
        <v>3223</v>
      </c>
      <c r="H222" s="515">
        <f t="shared" si="116"/>
        <v>82382</v>
      </c>
      <c r="I222" s="515">
        <f t="shared" si="117"/>
        <v>24683</v>
      </c>
      <c r="J222" s="329">
        <f t="shared" si="118"/>
        <v>0</v>
      </c>
      <c r="K222" s="329">
        <f t="shared" si="119"/>
        <v>0</v>
      </c>
      <c r="L222" s="329">
        <f t="shared" si="120"/>
        <v>0</v>
      </c>
      <c r="M222" s="333">
        <f t="shared" si="114"/>
        <v>0</v>
      </c>
      <c r="N222" s="332" t="s">
        <v>1328</v>
      </c>
      <c r="O222" s="287">
        <v>0.22</v>
      </c>
      <c r="P222" s="287" t="s">
        <v>12</v>
      </c>
      <c r="Q222" s="287">
        <v>0.12</v>
      </c>
      <c r="R222" s="287" t="s">
        <v>2129</v>
      </c>
      <c r="S222" s="287">
        <v>1</v>
      </c>
    </row>
    <row r="223" spans="2:29">
      <c r="B223" s="332" t="s">
        <v>3222</v>
      </c>
      <c r="C223" s="530">
        <f>IF(SUM(J223:L223)&lt;&gt;0,C211+1,C211)</f>
        <v>4</v>
      </c>
      <c r="D223" s="345" t="str">
        <f>VLOOKUP(B223,XLTBA,'6.XL-TR'!$D$2,0)</f>
        <v>2 Trạm NC từ 2x75kVA lên 3x75kVA</v>
      </c>
      <c r="E223" s="344"/>
      <c r="F223" s="345"/>
      <c r="G223" s="345"/>
      <c r="H223" s="345"/>
      <c r="I223" s="345"/>
      <c r="J223" s="345">
        <f>SUM(J224:J234)</f>
        <v>74442</v>
      </c>
      <c r="K223" s="345">
        <f>SUM(K224:K234)</f>
        <v>2566132</v>
      </c>
      <c r="L223" s="345">
        <f>SUM(L224:L234)</f>
        <v>508914</v>
      </c>
      <c r="M223" s="333">
        <f t="shared" si="100"/>
        <v>1</v>
      </c>
    </row>
    <row r="224" spans="2:29" hidden="1">
      <c r="B224" s="332" t="s">
        <v>2192</v>
      </c>
      <c r="C224" s="328" t="s">
        <v>2144</v>
      </c>
      <c r="D224" s="329" t="s">
        <v>2145</v>
      </c>
      <c r="E224" s="328" t="s">
        <v>2134</v>
      </c>
      <c r="F224" s="329"/>
      <c r="G224" s="329">
        <f t="shared" ref="G224:G234" si="121">ROUND(VLOOKUP(B224,DGTN,$Z$278,0)*S224,0)</f>
        <v>25808</v>
      </c>
      <c r="H224" s="329">
        <f t="shared" ref="H224:H234" si="122">ROUND((VLOOKUP(N224,DGNC,5,0)*O224+VLOOKUP(P224,DGNC,5,0)*Q224)*S224,0)</f>
        <v>1134066</v>
      </c>
      <c r="I224" s="329">
        <f t="shared" ref="I224:I234" si="123">ROUND(VLOOKUP(B224,DGTN,$AE$278,0)*S224,0)</f>
        <v>28346</v>
      </c>
      <c r="J224" s="329">
        <f t="shared" ref="J224:J234" si="124">$F224*G224</f>
        <v>0</v>
      </c>
      <c r="K224" s="329">
        <f t="shared" ref="K224:K234" si="125">$F224*H224</f>
        <v>0</v>
      </c>
      <c r="L224" s="329">
        <f t="shared" ref="L224:L234" si="126">$F224*I224</f>
        <v>0</v>
      </c>
      <c r="M224" s="333">
        <f t="shared" si="100"/>
        <v>0</v>
      </c>
      <c r="N224" s="332" t="s">
        <v>1328</v>
      </c>
      <c r="O224" s="287">
        <v>3.04</v>
      </c>
      <c r="P224" s="287" t="s">
        <v>12</v>
      </c>
      <c r="Q224" s="287">
        <v>1.64</v>
      </c>
      <c r="R224" s="287" t="s">
        <v>2129</v>
      </c>
      <c r="S224" s="287">
        <v>1</v>
      </c>
      <c r="X224" s="332"/>
      <c r="AC224" s="332"/>
    </row>
    <row r="225" spans="2:29" hidden="1">
      <c r="B225" s="332" t="s">
        <v>2196</v>
      </c>
      <c r="C225" s="328" t="s">
        <v>2146</v>
      </c>
      <c r="D225" s="329" t="s">
        <v>2147</v>
      </c>
      <c r="E225" s="328" t="s">
        <v>2148</v>
      </c>
      <c r="F225" s="329"/>
      <c r="G225" s="329">
        <f t="shared" si="121"/>
        <v>29735</v>
      </c>
      <c r="H225" s="329">
        <f t="shared" si="122"/>
        <v>1027972</v>
      </c>
      <c r="I225" s="329">
        <f t="shared" si="123"/>
        <v>201397</v>
      </c>
      <c r="J225" s="329">
        <f t="shared" si="124"/>
        <v>0</v>
      </c>
      <c r="K225" s="329">
        <f t="shared" si="125"/>
        <v>0</v>
      </c>
      <c r="L225" s="329">
        <f t="shared" si="126"/>
        <v>0</v>
      </c>
      <c r="M225" s="333">
        <f t="shared" si="100"/>
        <v>0</v>
      </c>
      <c r="N225" s="332" t="s">
        <v>1330</v>
      </c>
      <c r="O225" s="287">
        <v>2.63</v>
      </c>
      <c r="P225" s="287" t="s">
        <v>379</v>
      </c>
      <c r="Q225" s="287">
        <v>1.1299999999999999</v>
      </c>
      <c r="R225" s="287" t="s">
        <v>2129</v>
      </c>
      <c r="S225" s="287">
        <v>1</v>
      </c>
      <c r="X225" s="332"/>
      <c r="AC225" s="332"/>
    </row>
    <row r="226" spans="2:29">
      <c r="B226" s="332" t="s">
        <v>2196</v>
      </c>
      <c r="C226" s="328" t="s">
        <v>2146</v>
      </c>
      <c r="D226" s="329" t="s">
        <v>2149</v>
      </c>
      <c r="E226" s="328" t="s">
        <v>2148</v>
      </c>
      <c r="F226" s="329">
        <f>TRNC2X75</f>
        <v>2</v>
      </c>
      <c r="G226" s="329">
        <f t="shared" si="121"/>
        <v>29735</v>
      </c>
      <c r="H226" s="329">
        <f t="shared" si="122"/>
        <v>1027972</v>
      </c>
      <c r="I226" s="329">
        <f t="shared" si="123"/>
        <v>201397</v>
      </c>
      <c r="J226" s="329">
        <f t="shared" si="124"/>
        <v>59470</v>
      </c>
      <c r="K226" s="329">
        <f t="shared" si="125"/>
        <v>2055944</v>
      </c>
      <c r="L226" s="329">
        <f t="shared" si="126"/>
        <v>402794</v>
      </c>
      <c r="M226" s="333">
        <f t="shared" si="100"/>
        <v>1</v>
      </c>
      <c r="N226" s="332" t="s">
        <v>1330</v>
      </c>
      <c r="O226" s="287">
        <v>2.63</v>
      </c>
      <c r="P226" s="287" t="s">
        <v>379</v>
      </c>
      <c r="Q226" s="287">
        <v>1.1299999999999999</v>
      </c>
      <c r="R226" s="287" t="s">
        <v>2129</v>
      </c>
      <c r="S226" s="287">
        <v>1</v>
      </c>
    </row>
    <row r="227" spans="2:29" hidden="1">
      <c r="B227" s="332" t="s">
        <v>2196</v>
      </c>
      <c r="C227" s="328" t="s">
        <v>2146</v>
      </c>
      <c r="D227" s="329" t="s">
        <v>2150</v>
      </c>
      <c r="E227" s="328" t="s">
        <v>2148</v>
      </c>
      <c r="F227" s="329"/>
      <c r="G227" s="329">
        <f t="shared" si="121"/>
        <v>29735</v>
      </c>
      <c r="H227" s="329">
        <f t="shared" si="122"/>
        <v>1027972</v>
      </c>
      <c r="I227" s="329">
        <f t="shared" si="123"/>
        <v>201397</v>
      </c>
      <c r="J227" s="329">
        <f t="shared" si="124"/>
        <v>0</v>
      </c>
      <c r="K227" s="329">
        <f t="shared" si="125"/>
        <v>0</v>
      </c>
      <c r="L227" s="329">
        <f t="shared" si="126"/>
        <v>0</v>
      </c>
      <c r="M227" s="333">
        <f t="shared" si="100"/>
        <v>0</v>
      </c>
      <c r="N227" s="332" t="s">
        <v>1330</v>
      </c>
      <c r="O227" s="287">
        <v>2.63</v>
      </c>
      <c r="P227" s="287" t="s">
        <v>379</v>
      </c>
      <c r="Q227" s="287">
        <v>1.1299999999999999</v>
      </c>
      <c r="R227" s="287" t="s">
        <v>2129</v>
      </c>
      <c r="S227" s="287">
        <v>1</v>
      </c>
      <c r="X227" s="332"/>
      <c r="AC227" s="332"/>
    </row>
    <row r="228" spans="2:29" hidden="1">
      <c r="B228" s="332" t="s">
        <v>2190</v>
      </c>
      <c r="C228" s="328" t="s">
        <v>2131</v>
      </c>
      <c r="D228" s="329" t="s">
        <v>2421</v>
      </c>
      <c r="E228" s="328" t="s">
        <v>11</v>
      </c>
      <c r="F228" s="329"/>
      <c r="G228" s="329">
        <f t="shared" si="121"/>
        <v>3562</v>
      </c>
      <c r="H228" s="329">
        <f t="shared" si="122"/>
        <v>273830</v>
      </c>
      <c r="I228" s="329">
        <f t="shared" si="123"/>
        <v>44070</v>
      </c>
      <c r="J228" s="329">
        <f t="shared" si="124"/>
        <v>0</v>
      </c>
      <c r="K228" s="329">
        <f t="shared" si="125"/>
        <v>0</v>
      </c>
      <c r="L228" s="329">
        <f t="shared" si="126"/>
        <v>0</v>
      </c>
      <c r="M228" s="333">
        <f t="shared" si="100"/>
        <v>0</v>
      </c>
      <c r="N228" s="332" t="s">
        <v>1328</v>
      </c>
      <c r="O228" s="287">
        <v>0.79200000000000004</v>
      </c>
      <c r="P228" s="287" t="s">
        <v>12</v>
      </c>
      <c r="Q228" s="287">
        <v>0.33600000000000002</v>
      </c>
      <c r="R228" s="287" t="s">
        <v>2129</v>
      </c>
      <c r="S228" s="287">
        <v>1</v>
      </c>
      <c r="X228" s="332"/>
      <c r="AC228" s="332"/>
    </row>
    <row r="229" spans="2:29" hidden="1">
      <c r="B229" s="332" t="s">
        <v>2190</v>
      </c>
      <c r="C229" s="328" t="s">
        <v>2131</v>
      </c>
      <c r="D229" s="329" t="s">
        <v>2423</v>
      </c>
      <c r="E229" s="328" t="s">
        <v>11</v>
      </c>
      <c r="F229" s="329"/>
      <c r="G229" s="329">
        <f t="shared" si="121"/>
        <v>3562</v>
      </c>
      <c r="H229" s="329">
        <f t="shared" si="122"/>
        <v>273830</v>
      </c>
      <c r="I229" s="329">
        <f t="shared" si="123"/>
        <v>44070</v>
      </c>
      <c r="J229" s="329">
        <f t="shared" si="124"/>
        <v>0</v>
      </c>
      <c r="K229" s="329">
        <f t="shared" si="125"/>
        <v>0</v>
      </c>
      <c r="L229" s="329">
        <f t="shared" si="126"/>
        <v>0</v>
      </c>
      <c r="M229" s="333">
        <f t="shared" si="100"/>
        <v>0</v>
      </c>
      <c r="N229" s="332" t="s">
        <v>1328</v>
      </c>
      <c r="O229" s="287">
        <v>0.79200000000000004</v>
      </c>
      <c r="P229" s="287" t="s">
        <v>12</v>
      </c>
      <c r="Q229" s="287">
        <v>0.33600000000000002</v>
      </c>
      <c r="R229" s="287" t="s">
        <v>2129</v>
      </c>
      <c r="S229" s="287">
        <v>1</v>
      </c>
      <c r="X229" s="332"/>
      <c r="AC229" s="332"/>
    </row>
    <row r="230" spans="2:29" hidden="1">
      <c r="B230" s="332" t="s">
        <v>2190</v>
      </c>
      <c r="C230" s="328" t="s">
        <v>2131</v>
      </c>
      <c r="D230" s="329" t="s">
        <v>2424</v>
      </c>
      <c r="E230" s="328" t="s">
        <v>11</v>
      </c>
      <c r="F230" s="329"/>
      <c r="G230" s="329">
        <f t="shared" si="121"/>
        <v>3562</v>
      </c>
      <c r="H230" s="329">
        <f t="shared" si="122"/>
        <v>273830</v>
      </c>
      <c r="I230" s="329">
        <f t="shared" si="123"/>
        <v>44070</v>
      </c>
      <c r="J230" s="329">
        <f t="shared" si="124"/>
        <v>0</v>
      </c>
      <c r="K230" s="329">
        <f t="shared" si="125"/>
        <v>0</v>
      </c>
      <c r="L230" s="329">
        <f t="shared" si="126"/>
        <v>0</v>
      </c>
      <c r="M230" s="333">
        <f t="shared" si="100"/>
        <v>0</v>
      </c>
      <c r="N230" s="332" t="s">
        <v>1328</v>
      </c>
      <c r="O230" s="287">
        <v>0.79200000000000004</v>
      </c>
      <c r="P230" s="287" t="s">
        <v>12</v>
      </c>
      <c r="Q230" s="287">
        <v>0.33600000000000002</v>
      </c>
      <c r="R230" s="287" t="s">
        <v>2129</v>
      </c>
      <c r="S230" s="287">
        <v>1</v>
      </c>
      <c r="X230" s="332"/>
      <c r="AC230" s="332"/>
    </row>
    <row r="231" spans="2:29" hidden="1">
      <c r="B231" s="332" t="s">
        <v>2191</v>
      </c>
      <c r="C231" s="328" t="s">
        <v>2151</v>
      </c>
      <c r="D231" s="329" t="s">
        <v>2420</v>
      </c>
      <c r="E231" s="328" t="s">
        <v>11</v>
      </c>
      <c r="F231" s="329"/>
      <c r="G231" s="329">
        <f t="shared" si="121"/>
        <v>5073</v>
      </c>
      <c r="H231" s="329">
        <f t="shared" si="122"/>
        <v>308745</v>
      </c>
      <c r="I231" s="329">
        <f t="shared" si="123"/>
        <v>62790</v>
      </c>
      <c r="J231" s="329">
        <f t="shared" si="124"/>
        <v>0</v>
      </c>
      <c r="K231" s="329">
        <f t="shared" si="125"/>
        <v>0</v>
      </c>
      <c r="L231" s="329">
        <f t="shared" si="126"/>
        <v>0</v>
      </c>
      <c r="M231" s="333">
        <f t="shared" si="100"/>
        <v>0</v>
      </c>
      <c r="N231" s="332" t="s">
        <v>1328</v>
      </c>
      <c r="O231" s="287">
        <v>0.88800000000000001</v>
      </c>
      <c r="P231" s="287" t="s">
        <v>12</v>
      </c>
      <c r="Q231" s="287">
        <v>0.38400000000000001</v>
      </c>
      <c r="R231" s="287" t="s">
        <v>2129</v>
      </c>
      <c r="S231" s="287">
        <v>1</v>
      </c>
      <c r="X231" s="332"/>
      <c r="AC231" s="332"/>
    </row>
    <row r="232" spans="2:29" hidden="1">
      <c r="B232" s="332" t="s">
        <v>2191</v>
      </c>
      <c r="C232" s="328" t="s">
        <v>2151</v>
      </c>
      <c r="D232" s="329" t="s">
        <v>2422</v>
      </c>
      <c r="E232" s="328" t="s">
        <v>11</v>
      </c>
      <c r="F232" s="329"/>
      <c r="G232" s="329">
        <f t="shared" si="121"/>
        <v>5073</v>
      </c>
      <c r="H232" s="329">
        <f t="shared" si="122"/>
        <v>308745</v>
      </c>
      <c r="I232" s="329">
        <f t="shared" si="123"/>
        <v>62790</v>
      </c>
      <c r="J232" s="329">
        <f t="shared" si="124"/>
        <v>0</v>
      </c>
      <c r="K232" s="329">
        <f t="shared" si="125"/>
        <v>0</v>
      </c>
      <c r="L232" s="329">
        <f t="shared" si="126"/>
        <v>0</v>
      </c>
      <c r="M232" s="333">
        <f t="shared" si="100"/>
        <v>0</v>
      </c>
      <c r="N232" s="332" t="s">
        <v>1328</v>
      </c>
      <c r="O232" s="287">
        <v>0.88800000000000001</v>
      </c>
      <c r="P232" s="287" t="s">
        <v>12</v>
      </c>
      <c r="Q232" s="287">
        <v>0.38400000000000001</v>
      </c>
      <c r="R232" s="287" t="s">
        <v>2129</v>
      </c>
      <c r="S232" s="287">
        <v>1</v>
      </c>
      <c r="X232" s="332"/>
      <c r="AC232" s="332"/>
    </row>
    <row r="233" spans="2:29">
      <c r="B233" s="332" t="s">
        <v>2188</v>
      </c>
      <c r="C233" s="328" t="s">
        <v>2127</v>
      </c>
      <c r="D233" s="329" t="s">
        <v>2143</v>
      </c>
      <c r="E233" s="328" t="s">
        <v>11</v>
      </c>
      <c r="F233" s="329">
        <f>TRNC2X75*2</f>
        <v>4</v>
      </c>
      <c r="G233" s="329">
        <f t="shared" si="121"/>
        <v>520</v>
      </c>
      <c r="H233" s="515">
        <f t="shared" si="122"/>
        <v>45165</v>
      </c>
      <c r="I233" s="515">
        <f t="shared" si="123"/>
        <v>1847</v>
      </c>
      <c r="J233" s="329">
        <f t="shared" si="124"/>
        <v>2080</v>
      </c>
      <c r="K233" s="329">
        <f t="shared" si="125"/>
        <v>180660</v>
      </c>
      <c r="L233" s="329">
        <f t="shared" si="126"/>
        <v>7388</v>
      </c>
      <c r="M233" s="333">
        <f t="shared" si="100"/>
        <v>1</v>
      </c>
      <c r="N233" s="332" t="s">
        <v>1330</v>
      </c>
      <c r="O233" s="287">
        <v>2.89</v>
      </c>
      <c r="P233" s="287" t="s">
        <v>379</v>
      </c>
      <c r="Q233" s="287">
        <v>1.24</v>
      </c>
      <c r="R233" s="287" t="s">
        <v>2129</v>
      </c>
      <c r="S233" s="287">
        <f>0.4*0.1</f>
        <v>4.0000000000000008E-2</v>
      </c>
    </row>
    <row r="234" spans="2:29">
      <c r="B234" s="332" t="s">
        <v>2189</v>
      </c>
      <c r="C234" s="328" t="s">
        <v>3374</v>
      </c>
      <c r="D234" s="329" t="s">
        <v>945</v>
      </c>
      <c r="E234" s="328" t="s">
        <v>11</v>
      </c>
      <c r="F234" s="329">
        <f>TRNC2X75*2</f>
        <v>4</v>
      </c>
      <c r="G234" s="329">
        <f t="shared" si="121"/>
        <v>3223</v>
      </c>
      <c r="H234" s="515">
        <f t="shared" si="122"/>
        <v>82382</v>
      </c>
      <c r="I234" s="515">
        <f t="shared" si="123"/>
        <v>24683</v>
      </c>
      <c r="J234" s="329">
        <f t="shared" si="124"/>
        <v>12892</v>
      </c>
      <c r="K234" s="329">
        <f t="shared" si="125"/>
        <v>329528</v>
      </c>
      <c r="L234" s="329">
        <f t="shared" si="126"/>
        <v>98732</v>
      </c>
      <c r="M234" s="333">
        <f t="shared" si="100"/>
        <v>1</v>
      </c>
      <c r="N234" s="332" t="s">
        <v>1328</v>
      </c>
      <c r="O234" s="287">
        <v>0.22</v>
      </c>
      <c r="P234" s="287" t="s">
        <v>12</v>
      </c>
      <c r="Q234" s="287">
        <v>0.12</v>
      </c>
      <c r="R234" s="287" t="s">
        <v>2129</v>
      </c>
      <c r="S234" s="287">
        <v>1</v>
      </c>
    </row>
    <row r="235" spans="2:29">
      <c r="B235" s="332" t="s">
        <v>3223</v>
      </c>
      <c r="C235" s="530">
        <f>IF(SUM(J235:L235)&lt;&gt;0,C223+1,C223)</f>
        <v>5</v>
      </c>
      <c r="D235" s="345" t="str">
        <f>VLOOKUP(B235,XLTBA,'6.XL-TR'!$D$2,0)</f>
        <v>1 Trạm NC từ 2x100kVA lên 3x100kVA</v>
      </c>
      <c r="E235" s="344"/>
      <c r="F235" s="345"/>
      <c r="G235" s="345"/>
      <c r="H235" s="345"/>
      <c r="I235" s="345"/>
      <c r="J235" s="345">
        <f>SUM(J236:J246)</f>
        <v>37221</v>
      </c>
      <c r="K235" s="345">
        <f>SUM(K236:K246)</f>
        <v>1283066</v>
      </c>
      <c r="L235" s="345">
        <f>SUM(L236:L246)</f>
        <v>254457</v>
      </c>
      <c r="M235" s="333">
        <f t="shared" ref="M235:M246" si="127">IF(SUM(J235:L235)&lt;&gt;0,1,)</f>
        <v>1</v>
      </c>
    </row>
    <row r="236" spans="2:29" hidden="1">
      <c r="B236" s="332" t="s">
        <v>2192</v>
      </c>
      <c r="C236" s="328" t="s">
        <v>2144</v>
      </c>
      <c r="D236" s="329" t="s">
        <v>2145</v>
      </c>
      <c r="E236" s="328" t="s">
        <v>2134</v>
      </c>
      <c r="F236" s="329"/>
      <c r="G236" s="329">
        <f t="shared" ref="G236:G246" si="128">ROUND(VLOOKUP(B236,DGTN,$Z$278,0)*S236,0)</f>
        <v>25808</v>
      </c>
      <c r="H236" s="329">
        <f t="shared" ref="H236:H246" si="129">ROUND((VLOOKUP(N236,DGNC,5,0)*O236+VLOOKUP(P236,DGNC,5,0)*Q236)*S236,0)</f>
        <v>1134066</v>
      </c>
      <c r="I236" s="329">
        <f t="shared" ref="I236:I246" si="130">ROUND(VLOOKUP(B236,DGTN,$AE$278,0)*S236,0)</f>
        <v>28346</v>
      </c>
      <c r="J236" s="329">
        <f t="shared" ref="J236:J246" si="131">$F236*G236</f>
        <v>0</v>
      </c>
      <c r="K236" s="329">
        <f t="shared" ref="K236:K246" si="132">$F236*H236</f>
        <v>0</v>
      </c>
      <c r="L236" s="329">
        <f t="shared" ref="L236:L246" si="133">$F236*I236</f>
        <v>0</v>
      </c>
      <c r="M236" s="333">
        <f t="shared" si="127"/>
        <v>0</v>
      </c>
      <c r="N236" s="332" t="s">
        <v>1328</v>
      </c>
      <c r="O236" s="287">
        <v>3.04</v>
      </c>
      <c r="P236" s="287" t="s">
        <v>12</v>
      </c>
      <c r="Q236" s="287">
        <v>1.64</v>
      </c>
      <c r="R236" s="287" t="s">
        <v>2129</v>
      </c>
      <c r="S236" s="287">
        <v>1</v>
      </c>
      <c r="X236" s="332"/>
      <c r="AC236" s="332"/>
    </row>
    <row r="237" spans="2:29" hidden="1">
      <c r="B237" s="332" t="s">
        <v>2196</v>
      </c>
      <c r="C237" s="328" t="s">
        <v>2146</v>
      </c>
      <c r="D237" s="329" t="s">
        <v>2147</v>
      </c>
      <c r="E237" s="328" t="s">
        <v>2148</v>
      </c>
      <c r="F237" s="329"/>
      <c r="G237" s="329">
        <f t="shared" si="128"/>
        <v>29735</v>
      </c>
      <c r="H237" s="329">
        <f t="shared" si="129"/>
        <v>1027972</v>
      </c>
      <c r="I237" s="329">
        <f t="shared" si="130"/>
        <v>201397</v>
      </c>
      <c r="J237" s="329">
        <f t="shared" si="131"/>
        <v>0</v>
      </c>
      <c r="K237" s="329">
        <f t="shared" si="132"/>
        <v>0</v>
      </c>
      <c r="L237" s="329">
        <f t="shared" si="133"/>
        <v>0</v>
      </c>
      <c r="M237" s="333">
        <f t="shared" si="127"/>
        <v>0</v>
      </c>
      <c r="N237" s="332" t="s">
        <v>1330</v>
      </c>
      <c r="O237" s="287">
        <v>2.63</v>
      </c>
      <c r="P237" s="287" t="s">
        <v>379</v>
      </c>
      <c r="Q237" s="287">
        <v>1.1299999999999999</v>
      </c>
      <c r="R237" s="287" t="s">
        <v>2129</v>
      </c>
      <c r="S237" s="287">
        <v>1</v>
      </c>
      <c r="X237" s="332"/>
      <c r="AC237" s="332"/>
    </row>
    <row r="238" spans="2:29" hidden="1">
      <c r="B238" s="332" t="s">
        <v>2196</v>
      </c>
      <c r="C238" s="328" t="s">
        <v>2146</v>
      </c>
      <c r="D238" s="329" t="s">
        <v>2149</v>
      </c>
      <c r="E238" s="328" t="s">
        <v>2148</v>
      </c>
      <c r="F238" s="329"/>
      <c r="G238" s="329">
        <f t="shared" si="128"/>
        <v>29735</v>
      </c>
      <c r="H238" s="329">
        <f t="shared" si="129"/>
        <v>1027972</v>
      </c>
      <c r="I238" s="329">
        <f t="shared" si="130"/>
        <v>201397</v>
      </c>
      <c r="J238" s="329">
        <f t="shared" si="131"/>
        <v>0</v>
      </c>
      <c r="K238" s="329">
        <f t="shared" si="132"/>
        <v>0</v>
      </c>
      <c r="L238" s="329">
        <f t="shared" si="133"/>
        <v>0</v>
      </c>
      <c r="M238" s="333">
        <f t="shared" si="127"/>
        <v>0</v>
      </c>
      <c r="N238" s="332" t="s">
        <v>1330</v>
      </c>
      <c r="O238" s="287">
        <v>2.63</v>
      </c>
      <c r="P238" s="287" t="s">
        <v>379</v>
      </c>
      <c r="Q238" s="287">
        <v>1.1299999999999999</v>
      </c>
      <c r="R238" s="287" t="s">
        <v>2129</v>
      </c>
      <c r="S238" s="287">
        <v>1</v>
      </c>
      <c r="X238" s="332"/>
      <c r="AC238" s="332"/>
    </row>
    <row r="239" spans="2:29">
      <c r="B239" s="332" t="s">
        <v>2196</v>
      </c>
      <c r="C239" s="328" t="s">
        <v>2146</v>
      </c>
      <c r="D239" s="329" t="s">
        <v>2150</v>
      </c>
      <c r="E239" s="328" t="s">
        <v>2148</v>
      </c>
      <c r="F239" s="329">
        <f>TRNC2X100</f>
        <v>1</v>
      </c>
      <c r="G239" s="329">
        <f t="shared" si="128"/>
        <v>29735</v>
      </c>
      <c r="H239" s="329">
        <f t="shared" si="129"/>
        <v>1027972</v>
      </c>
      <c r="I239" s="329">
        <f t="shared" si="130"/>
        <v>201397</v>
      </c>
      <c r="J239" s="329">
        <f t="shared" si="131"/>
        <v>29735</v>
      </c>
      <c r="K239" s="329">
        <f t="shared" si="132"/>
        <v>1027972</v>
      </c>
      <c r="L239" s="329">
        <f t="shared" si="133"/>
        <v>201397</v>
      </c>
      <c r="M239" s="333">
        <f t="shared" si="127"/>
        <v>1</v>
      </c>
      <c r="N239" s="332" t="s">
        <v>1330</v>
      </c>
      <c r="O239" s="287">
        <v>2.63</v>
      </c>
      <c r="P239" s="287" t="s">
        <v>379</v>
      </c>
      <c r="Q239" s="287">
        <v>1.1299999999999999</v>
      </c>
      <c r="R239" s="287" t="s">
        <v>2129</v>
      </c>
      <c r="S239" s="287">
        <v>1</v>
      </c>
    </row>
    <row r="240" spans="2:29" hidden="1">
      <c r="B240" s="332" t="s">
        <v>2190</v>
      </c>
      <c r="C240" s="328" t="s">
        <v>2131</v>
      </c>
      <c r="D240" s="329" t="s">
        <v>2421</v>
      </c>
      <c r="E240" s="328" t="s">
        <v>11</v>
      </c>
      <c r="F240" s="329"/>
      <c r="G240" s="329">
        <f t="shared" si="128"/>
        <v>3562</v>
      </c>
      <c r="H240" s="329">
        <f t="shared" si="129"/>
        <v>273830</v>
      </c>
      <c r="I240" s="329">
        <f t="shared" si="130"/>
        <v>44070</v>
      </c>
      <c r="J240" s="329">
        <f t="shared" si="131"/>
        <v>0</v>
      </c>
      <c r="K240" s="329">
        <f t="shared" si="132"/>
        <v>0</v>
      </c>
      <c r="L240" s="329">
        <f t="shared" si="133"/>
        <v>0</v>
      </c>
      <c r="M240" s="333">
        <f t="shared" si="127"/>
        <v>0</v>
      </c>
      <c r="N240" s="332" t="s">
        <v>1328</v>
      </c>
      <c r="O240" s="287">
        <v>0.79200000000000004</v>
      </c>
      <c r="P240" s="287" t="s">
        <v>12</v>
      </c>
      <c r="Q240" s="287">
        <v>0.33600000000000002</v>
      </c>
      <c r="R240" s="287" t="s">
        <v>2129</v>
      </c>
      <c r="S240" s="287">
        <v>1</v>
      </c>
      <c r="X240" s="332"/>
      <c r="AC240" s="332"/>
    </row>
    <row r="241" spans="2:29" hidden="1">
      <c r="B241" s="332" t="s">
        <v>2190</v>
      </c>
      <c r="C241" s="328" t="s">
        <v>2131</v>
      </c>
      <c r="D241" s="329" t="s">
        <v>2423</v>
      </c>
      <c r="E241" s="328" t="s">
        <v>11</v>
      </c>
      <c r="F241" s="329"/>
      <c r="G241" s="329">
        <f t="shared" si="128"/>
        <v>3562</v>
      </c>
      <c r="H241" s="329">
        <f t="shared" si="129"/>
        <v>273830</v>
      </c>
      <c r="I241" s="329">
        <f t="shared" si="130"/>
        <v>44070</v>
      </c>
      <c r="J241" s="329">
        <f t="shared" si="131"/>
        <v>0</v>
      </c>
      <c r="K241" s="329">
        <f t="shared" si="132"/>
        <v>0</v>
      </c>
      <c r="L241" s="329">
        <f t="shared" si="133"/>
        <v>0</v>
      </c>
      <c r="M241" s="333">
        <f t="shared" si="127"/>
        <v>0</v>
      </c>
      <c r="N241" s="332" t="s">
        <v>1328</v>
      </c>
      <c r="O241" s="287">
        <v>0.79200000000000004</v>
      </c>
      <c r="P241" s="287" t="s">
        <v>12</v>
      </c>
      <c r="Q241" s="287">
        <v>0.33600000000000002</v>
      </c>
      <c r="R241" s="287" t="s">
        <v>2129</v>
      </c>
      <c r="S241" s="287">
        <v>1</v>
      </c>
      <c r="X241" s="332"/>
      <c r="AC241" s="332"/>
    </row>
    <row r="242" spans="2:29" hidden="1">
      <c r="B242" s="332" t="s">
        <v>2190</v>
      </c>
      <c r="C242" s="328" t="s">
        <v>2131</v>
      </c>
      <c r="D242" s="329" t="s">
        <v>2424</v>
      </c>
      <c r="E242" s="328" t="s">
        <v>11</v>
      </c>
      <c r="F242" s="329"/>
      <c r="G242" s="329">
        <f t="shared" si="128"/>
        <v>3562</v>
      </c>
      <c r="H242" s="329">
        <f t="shared" si="129"/>
        <v>273830</v>
      </c>
      <c r="I242" s="329">
        <f t="shared" si="130"/>
        <v>44070</v>
      </c>
      <c r="J242" s="329">
        <f t="shared" si="131"/>
        <v>0</v>
      </c>
      <c r="K242" s="329">
        <f t="shared" si="132"/>
        <v>0</v>
      </c>
      <c r="L242" s="329">
        <f t="shared" si="133"/>
        <v>0</v>
      </c>
      <c r="M242" s="333">
        <f t="shared" si="127"/>
        <v>0</v>
      </c>
      <c r="N242" s="332" t="s">
        <v>1328</v>
      </c>
      <c r="O242" s="287">
        <v>0.79200000000000004</v>
      </c>
      <c r="P242" s="287" t="s">
        <v>12</v>
      </c>
      <c r="Q242" s="287">
        <v>0.33600000000000002</v>
      </c>
      <c r="R242" s="287" t="s">
        <v>2129</v>
      </c>
      <c r="S242" s="287">
        <v>1</v>
      </c>
      <c r="X242" s="332"/>
      <c r="AC242" s="332"/>
    </row>
    <row r="243" spans="2:29" hidden="1">
      <c r="B243" s="332" t="s">
        <v>2191</v>
      </c>
      <c r="C243" s="328" t="s">
        <v>2151</v>
      </c>
      <c r="D243" s="329" t="s">
        <v>2420</v>
      </c>
      <c r="E243" s="328" t="s">
        <v>11</v>
      </c>
      <c r="F243" s="329"/>
      <c r="G243" s="329">
        <f t="shared" si="128"/>
        <v>5073</v>
      </c>
      <c r="H243" s="329">
        <f t="shared" si="129"/>
        <v>308745</v>
      </c>
      <c r="I243" s="329">
        <f t="shared" si="130"/>
        <v>62790</v>
      </c>
      <c r="J243" s="329">
        <f t="shared" si="131"/>
        <v>0</v>
      </c>
      <c r="K243" s="329">
        <f t="shared" si="132"/>
        <v>0</v>
      </c>
      <c r="L243" s="329">
        <f t="shared" si="133"/>
        <v>0</v>
      </c>
      <c r="M243" s="333">
        <f t="shared" si="127"/>
        <v>0</v>
      </c>
      <c r="N243" s="332" t="s">
        <v>1328</v>
      </c>
      <c r="O243" s="287">
        <v>0.88800000000000001</v>
      </c>
      <c r="P243" s="287" t="s">
        <v>12</v>
      </c>
      <c r="Q243" s="287">
        <v>0.38400000000000001</v>
      </c>
      <c r="R243" s="287" t="s">
        <v>2129</v>
      </c>
      <c r="S243" s="287">
        <v>1</v>
      </c>
      <c r="X243" s="332"/>
      <c r="AC243" s="332"/>
    </row>
    <row r="244" spans="2:29" hidden="1">
      <c r="B244" s="332" t="s">
        <v>2191</v>
      </c>
      <c r="C244" s="328" t="s">
        <v>2151</v>
      </c>
      <c r="D244" s="329" t="s">
        <v>2422</v>
      </c>
      <c r="E244" s="328" t="s">
        <v>11</v>
      </c>
      <c r="F244" s="329"/>
      <c r="G244" s="329">
        <f t="shared" si="128"/>
        <v>5073</v>
      </c>
      <c r="H244" s="329">
        <f t="shared" si="129"/>
        <v>308745</v>
      </c>
      <c r="I244" s="329">
        <f t="shared" si="130"/>
        <v>62790</v>
      </c>
      <c r="J244" s="329">
        <f t="shared" si="131"/>
        <v>0</v>
      </c>
      <c r="K244" s="329">
        <f t="shared" si="132"/>
        <v>0</v>
      </c>
      <c r="L244" s="329">
        <f t="shared" si="133"/>
        <v>0</v>
      </c>
      <c r="M244" s="333">
        <f t="shared" si="127"/>
        <v>0</v>
      </c>
      <c r="N244" s="332" t="s">
        <v>1328</v>
      </c>
      <c r="O244" s="287">
        <v>0.88800000000000001</v>
      </c>
      <c r="P244" s="287" t="s">
        <v>12</v>
      </c>
      <c r="Q244" s="287">
        <v>0.38400000000000001</v>
      </c>
      <c r="R244" s="287" t="s">
        <v>2129</v>
      </c>
      <c r="S244" s="287">
        <v>1</v>
      </c>
      <c r="X244" s="332"/>
      <c r="AC244" s="332"/>
    </row>
    <row r="245" spans="2:29">
      <c r="B245" s="332" t="s">
        <v>2188</v>
      </c>
      <c r="C245" s="328" t="s">
        <v>2127</v>
      </c>
      <c r="D245" s="329" t="s">
        <v>2143</v>
      </c>
      <c r="E245" s="328" t="s">
        <v>11</v>
      </c>
      <c r="F245" s="329">
        <f>TRNC2X100*2</f>
        <v>2</v>
      </c>
      <c r="G245" s="329">
        <f t="shared" si="128"/>
        <v>520</v>
      </c>
      <c r="H245" s="515">
        <f t="shared" si="129"/>
        <v>45165</v>
      </c>
      <c r="I245" s="515">
        <f t="shared" si="130"/>
        <v>1847</v>
      </c>
      <c r="J245" s="329">
        <f t="shared" si="131"/>
        <v>1040</v>
      </c>
      <c r="K245" s="329">
        <f t="shared" si="132"/>
        <v>90330</v>
      </c>
      <c r="L245" s="329">
        <f t="shared" si="133"/>
        <v>3694</v>
      </c>
      <c r="M245" s="333">
        <f t="shared" si="127"/>
        <v>1</v>
      </c>
      <c r="N245" s="332" t="s">
        <v>1330</v>
      </c>
      <c r="O245" s="287">
        <v>2.89</v>
      </c>
      <c r="P245" s="287" t="s">
        <v>379</v>
      </c>
      <c r="Q245" s="287">
        <v>1.24</v>
      </c>
      <c r="R245" s="287" t="s">
        <v>2129</v>
      </c>
      <c r="S245" s="287">
        <f>0.4*0.1</f>
        <v>4.0000000000000008E-2</v>
      </c>
    </row>
    <row r="246" spans="2:29">
      <c r="B246" s="332" t="s">
        <v>2189</v>
      </c>
      <c r="C246" s="328" t="s">
        <v>3374</v>
      </c>
      <c r="D246" s="329" t="s">
        <v>945</v>
      </c>
      <c r="E246" s="328" t="s">
        <v>11</v>
      </c>
      <c r="F246" s="329">
        <f>TRNC2X100*2</f>
        <v>2</v>
      </c>
      <c r="G246" s="329">
        <f t="shared" si="128"/>
        <v>3223</v>
      </c>
      <c r="H246" s="515">
        <f t="shared" si="129"/>
        <v>82382</v>
      </c>
      <c r="I246" s="515">
        <f t="shared" si="130"/>
        <v>24683</v>
      </c>
      <c r="J246" s="329">
        <f t="shared" si="131"/>
        <v>6446</v>
      </c>
      <c r="K246" s="329">
        <f t="shared" si="132"/>
        <v>164764</v>
      </c>
      <c r="L246" s="329">
        <f t="shared" si="133"/>
        <v>49366</v>
      </c>
      <c r="M246" s="333">
        <f t="shared" si="127"/>
        <v>1</v>
      </c>
      <c r="N246" s="332" t="s">
        <v>1328</v>
      </c>
      <c r="O246" s="287">
        <v>0.22</v>
      </c>
      <c r="P246" s="287" t="s">
        <v>12</v>
      </c>
      <c r="Q246" s="287">
        <v>0.12</v>
      </c>
      <c r="R246" s="287" t="s">
        <v>2129</v>
      </c>
      <c r="S246" s="287">
        <v>1</v>
      </c>
    </row>
    <row r="247" spans="2:29" hidden="1">
      <c r="B247" s="332" t="s">
        <v>3243</v>
      </c>
      <c r="C247" s="530">
        <f>IF(SUM(J247:L247)&lt;&gt;0,C235+1,C235)</f>
        <v>5</v>
      </c>
      <c r="D247" s="345" t="str">
        <f>VLOOKUP(B247,XLTBA,'6.XL-TR'!$D$2,0)</f>
        <v>2 Trạm 1 pha di dời</v>
      </c>
      <c r="E247" s="344"/>
      <c r="F247" s="345"/>
      <c r="G247" s="345"/>
      <c r="H247" s="345"/>
      <c r="I247" s="345"/>
      <c r="J247" s="345">
        <f>SUM(J248:J259)</f>
        <v>0</v>
      </c>
      <c r="K247" s="345">
        <f>SUM(K248:K259)</f>
        <v>0</v>
      </c>
      <c r="L247" s="345">
        <f>SUM(L248:L259)</f>
        <v>0</v>
      </c>
      <c r="M247" s="333">
        <f t="shared" ref="M247:M259" si="134">IF(SUM(J247:L247)&lt;&gt;0,1,)</f>
        <v>0</v>
      </c>
    </row>
    <row r="248" spans="2:29" hidden="1">
      <c r="B248" s="332" t="s">
        <v>2192</v>
      </c>
      <c r="C248" s="328" t="s">
        <v>2144</v>
      </c>
      <c r="D248" s="329" t="s">
        <v>2145</v>
      </c>
      <c r="E248" s="328" t="s">
        <v>2134</v>
      </c>
      <c r="F248" s="329"/>
      <c r="G248" s="329">
        <f t="shared" ref="G248:G255" si="135">ROUND(VLOOKUP(B248,DGTN,$Z$278,0)*S248,0)</f>
        <v>25808</v>
      </c>
      <c r="H248" s="329">
        <f t="shared" ref="H248:H259" si="136">ROUND((VLOOKUP(N248,DGNC,5,0)*O248+VLOOKUP(P248,DGNC,5,0)*Q248)*S248,0)</f>
        <v>1134066</v>
      </c>
      <c r="I248" s="329">
        <f t="shared" ref="I248:I255" si="137">ROUND(VLOOKUP(B248,DGTN,$AE$278,0)*S248,0)</f>
        <v>28346</v>
      </c>
      <c r="J248" s="329">
        <f t="shared" ref="J248:J259" si="138">$F248*G248</f>
        <v>0</v>
      </c>
      <c r="K248" s="329">
        <f t="shared" ref="K248:K259" si="139">$F248*H248</f>
        <v>0</v>
      </c>
      <c r="L248" s="329">
        <f t="shared" ref="L248:L259" si="140">$F248*I248</f>
        <v>0</v>
      </c>
      <c r="M248" s="333">
        <f t="shared" si="134"/>
        <v>0</v>
      </c>
      <c r="N248" s="332" t="s">
        <v>1328</v>
      </c>
      <c r="O248" s="287">
        <v>3.04</v>
      </c>
      <c r="P248" s="287" t="s">
        <v>12</v>
      </c>
      <c r="Q248" s="287">
        <v>1.64</v>
      </c>
      <c r="R248" s="287" t="s">
        <v>2129</v>
      </c>
      <c r="S248" s="287">
        <v>1</v>
      </c>
      <c r="X248" s="332"/>
      <c r="AC248" s="332"/>
    </row>
    <row r="249" spans="2:29" hidden="1">
      <c r="B249" s="332" t="s">
        <v>2196</v>
      </c>
      <c r="C249" s="328" t="s">
        <v>2146</v>
      </c>
      <c r="D249" s="329" t="s">
        <v>2147</v>
      </c>
      <c r="E249" s="328" t="s">
        <v>2148</v>
      </c>
      <c r="F249" s="329"/>
      <c r="G249" s="329">
        <f t="shared" si="135"/>
        <v>29735</v>
      </c>
      <c r="H249" s="329">
        <f t="shared" si="136"/>
        <v>1027972</v>
      </c>
      <c r="I249" s="329">
        <f t="shared" si="137"/>
        <v>201397</v>
      </c>
      <c r="J249" s="329">
        <f t="shared" si="138"/>
        <v>0</v>
      </c>
      <c r="K249" s="329">
        <f t="shared" si="139"/>
        <v>0</v>
      </c>
      <c r="L249" s="329">
        <f t="shared" si="140"/>
        <v>0</v>
      </c>
      <c r="M249" s="333">
        <f t="shared" si="134"/>
        <v>0</v>
      </c>
      <c r="N249" s="332" t="s">
        <v>1330</v>
      </c>
      <c r="O249" s="287">
        <v>2.63</v>
      </c>
      <c r="P249" s="287" t="s">
        <v>379</v>
      </c>
      <c r="Q249" s="287">
        <v>1.1299999999999999</v>
      </c>
      <c r="R249" s="287" t="s">
        <v>2129</v>
      </c>
      <c r="S249" s="287">
        <v>1</v>
      </c>
      <c r="X249" s="332"/>
      <c r="AC249" s="332"/>
    </row>
    <row r="250" spans="2:29" hidden="1">
      <c r="B250" s="332" t="s">
        <v>2196</v>
      </c>
      <c r="C250" s="328" t="s">
        <v>2146</v>
      </c>
      <c r="D250" s="329" t="s">
        <v>2149</v>
      </c>
      <c r="E250" s="328" t="s">
        <v>2148</v>
      </c>
      <c r="F250" s="329"/>
      <c r="G250" s="329">
        <f t="shared" si="135"/>
        <v>29735</v>
      </c>
      <c r="H250" s="329">
        <f t="shared" si="136"/>
        <v>1027972</v>
      </c>
      <c r="I250" s="329">
        <f t="shared" si="137"/>
        <v>201397</v>
      </c>
      <c r="J250" s="329">
        <f t="shared" si="138"/>
        <v>0</v>
      </c>
      <c r="K250" s="329">
        <f t="shared" si="139"/>
        <v>0</v>
      </c>
      <c r="L250" s="329">
        <f t="shared" si="140"/>
        <v>0</v>
      </c>
      <c r="M250" s="333">
        <f t="shared" si="134"/>
        <v>0</v>
      </c>
      <c r="N250" s="332" t="s">
        <v>1330</v>
      </c>
      <c r="O250" s="287">
        <v>2.63</v>
      </c>
      <c r="P250" s="287" t="s">
        <v>379</v>
      </c>
      <c r="Q250" s="287">
        <v>1.1299999999999999</v>
      </c>
      <c r="R250" s="287" t="s">
        <v>2129</v>
      </c>
      <c r="S250" s="287">
        <v>1</v>
      </c>
      <c r="X250" s="332"/>
      <c r="AC250" s="332"/>
    </row>
    <row r="251" spans="2:29" hidden="1">
      <c r="B251" s="332" t="s">
        <v>2196</v>
      </c>
      <c r="C251" s="328" t="s">
        <v>2146</v>
      </c>
      <c r="D251" s="329" t="s">
        <v>2150</v>
      </c>
      <c r="E251" s="328" t="s">
        <v>2148</v>
      </c>
      <c r="F251" s="329"/>
      <c r="G251" s="329">
        <f t="shared" si="135"/>
        <v>29735</v>
      </c>
      <c r="H251" s="329">
        <f t="shared" si="136"/>
        <v>1027972</v>
      </c>
      <c r="I251" s="329">
        <f t="shared" si="137"/>
        <v>201397</v>
      </c>
      <c r="J251" s="329">
        <f t="shared" si="138"/>
        <v>0</v>
      </c>
      <c r="K251" s="329">
        <f t="shared" si="139"/>
        <v>0</v>
      </c>
      <c r="L251" s="329">
        <f t="shared" si="140"/>
        <v>0</v>
      </c>
      <c r="M251" s="333">
        <f t="shared" si="134"/>
        <v>0</v>
      </c>
      <c r="N251" s="332" t="s">
        <v>1330</v>
      </c>
      <c r="O251" s="287">
        <v>2.63</v>
      </c>
      <c r="P251" s="287" t="s">
        <v>379</v>
      </c>
      <c r="Q251" s="287">
        <v>1.1299999999999999</v>
      </c>
      <c r="R251" s="287" t="s">
        <v>2129</v>
      </c>
      <c r="S251" s="287">
        <v>1</v>
      </c>
      <c r="X251" s="332"/>
      <c r="AC251" s="332"/>
    </row>
    <row r="252" spans="2:29" hidden="1">
      <c r="B252" s="332" t="s">
        <v>2190</v>
      </c>
      <c r="C252" s="328" t="s">
        <v>2131</v>
      </c>
      <c r="D252" s="329" t="s">
        <v>2421</v>
      </c>
      <c r="E252" s="328" t="s">
        <v>11</v>
      </c>
      <c r="F252" s="329"/>
      <c r="G252" s="329">
        <f t="shared" si="135"/>
        <v>3562</v>
      </c>
      <c r="H252" s="329">
        <f t="shared" si="136"/>
        <v>273830</v>
      </c>
      <c r="I252" s="329">
        <f t="shared" si="137"/>
        <v>44070</v>
      </c>
      <c r="J252" s="329">
        <f t="shared" si="138"/>
        <v>0</v>
      </c>
      <c r="K252" s="329">
        <f t="shared" si="139"/>
        <v>0</v>
      </c>
      <c r="L252" s="329">
        <f t="shared" si="140"/>
        <v>0</v>
      </c>
      <c r="M252" s="333">
        <f t="shared" si="134"/>
        <v>0</v>
      </c>
      <c r="N252" s="332" t="s">
        <v>1328</v>
      </c>
      <c r="O252" s="287">
        <v>0.79200000000000004</v>
      </c>
      <c r="P252" s="287" t="s">
        <v>12</v>
      </c>
      <c r="Q252" s="287">
        <v>0.33600000000000002</v>
      </c>
      <c r="R252" s="287" t="s">
        <v>2129</v>
      </c>
      <c r="S252" s="287">
        <v>1</v>
      </c>
      <c r="X252" s="332"/>
      <c r="AC252" s="332"/>
    </row>
    <row r="253" spans="2:29" hidden="1">
      <c r="B253" s="332" t="s">
        <v>2190</v>
      </c>
      <c r="C253" s="328" t="s">
        <v>2131</v>
      </c>
      <c r="D253" s="329" t="s">
        <v>2949</v>
      </c>
      <c r="E253" s="328" t="s">
        <v>11</v>
      </c>
      <c r="F253" s="329">
        <f>'7.CT-TBA'!H1978</f>
        <v>0</v>
      </c>
      <c r="G253" s="329">
        <f>ROUND(VLOOKUP(B253,DGTN,$Z$278,0)*S253,0)</f>
        <v>3562</v>
      </c>
      <c r="H253" s="515">
        <f>ROUND((VLOOKUP(N253,DGNC,5,0)*O253+VLOOKUP(P253,DGNC,5,0)*Q253)*S253,0)</f>
        <v>228192</v>
      </c>
      <c r="I253" s="329">
        <f>ROUND(VLOOKUP(B253,DGTN,$AE$278,0)*S253,0)</f>
        <v>44070</v>
      </c>
      <c r="J253" s="329">
        <f>$F253*G253</f>
        <v>0</v>
      </c>
      <c r="K253" s="329">
        <f>$F253*H253</f>
        <v>0</v>
      </c>
      <c r="L253" s="329">
        <f>$F253*I253</f>
        <v>0</v>
      </c>
      <c r="M253" s="333">
        <f>IF(SUM(J253:L253)&lt;&gt;0,1,)</f>
        <v>0</v>
      </c>
      <c r="N253" s="332" t="s">
        <v>1328</v>
      </c>
      <c r="O253" s="287">
        <v>0.66</v>
      </c>
      <c r="P253" s="287" t="s">
        <v>12</v>
      </c>
      <c r="Q253" s="287">
        <v>0.28000000000000003</v>
      </c>
      <c r="R253" s="287" t="s">
        <v>2129</v>
      </c>
      <c r="S253" s="287">
        <v>1</v>
      </c>
    </row>
    <row r="254" spans="2:29" hidden="1">
      <c r="B254" s="332" t="s">
        <v>2190</v>
      </c>
      <c r="C254" s="328" t="s">
        <v>2131</v>
      </c>
      <c r="D254" s="329" t="s">
        <v>2423</v>
      </c>
      <c r="E254" s="328" t="s">
        <v>11</v>
      </c>
      <c r="F254" s="329"/>
      <c r="G254" s="329">
        <f t="shared" si="135"/>
        <v>3562</v>
      </c>
      <c r="H254" s="329">
        <f t="shared" si="136"/>
        <v>273830</v>
      </c>
      <c r="I254" s="329">
        <f t="shared" si="137"/>
        <v>44070</v>
      </c>
      <c r="J254" s="329">
        <f t="shared" si="138"/>
        <v>0</v>
      </c>
      <c r="K254" s="329">
        <f t="shared" si="139"/>
        <v>0</v>
      </c>
      <c r="L254" s="329">
        <f t="shared" si="140"/>
        <v>0</v>
      </c>
      <c r="M254" s="333">
        <f t="shared" si="134"/>
        <v>0</v>
      </c>
      <c r="N254" s="332" t="s">
        <v>1328</v>
      </c>
      <c r="O254" s="287">
        <v>0.79200000000000004</v>
      </c>
      <c r="P254" s="287" t="s">
        <v>12</v>
      </c>
      <c r="Q254" s="287">
        <v>0.33600000000000002</v>
      </c>
      <c r="R254" s="287" t="s">
        <v>2129</v>
      </c>
      <c r="S254" s="287">
        <v>1</v>
      </c>
      <c r="X254" s="332"/>
      <c r="AC254" s="332"/>
    </row>
    <row r="255" spans="2:29" hidden="1">
      <c r="B255" s="332" t="s">
        <v>2190</v>
      </c>
      <c r="C255" s="328" t="s">
        <v>2131</v>
      </c>
      <c r="D255" s="329" t="s">
        <v>2424</v>
      </c>
      <c r="E255" s="328" t="s">
        <v>11</v>
      </c>
      <c r="F255" s="329"/>
      <c r="G255" s="329">
        <f t="shared" si="135"/>
        <v>3562</v>
      </c>
      <c r="H255" s="329">
        <f t="shared" si="136"/>
        <v>273830</v>
      </c>
      <c r="I255" s="329">
        <f t="shared" si="137"/>
        <v>44070</v>
      </c>
      <c r="J255" s="329">
        <f t="shared" si="138"/>
        <v>0</v>
      </c>
      <c r="K255" s="329">
        <f t="shared" si="139"/>
        <v>0</v>
      </c>
      <c r="L255" s="329">
        <f t="shared" si="140"/>
        <v>0</v>
      </c>
      <c r="M255" s="333">
        <f t="shared" si="134"/>
        <v>0</v>
      </c>
      <c r="N255" s="332" t="s">
        <v>1328</v>
      </c>
      <c r="O255" s="287">
        <v>0.79200000000000004</v>
      </c>
      <c r="P255" s="287" t="s">
        <v>12</v>
      </c>
      <c r="Q255" s="287">
        <v>0.33600000000000002</v>
      </c>
      <c r="R255" s="287" t="s">
        <v>2129</v>
      </c>
      <c r="S255" s="287">
        <v>1</v>
      </c>
      <c r="X255" s="332"/>
      <c r="AC255" s="332"/>
    </row>
    <row r="256" spans="2:29" hidden="1">
      <c r="B256" s="332" t="s">
        <v>2191</v>
      </c>
      <c r="C256" s="328" t="s">
        <v>2151</v>
      </c>
      <c r="D256" s="329" t="s">
        <v>2420</v>
      </c>
      <c r="E256" s="328" t="s">
        <v>11</v>
      </c>
      <c r="F256" s="329"/>
      <c r="G256" s="329">
        <f>ROUND(VLOOKUP(B256,DGTN,$Z$278,0)*S256,0)</f>
        <v>5073</v>
      </c>
      <c r="H256" s="329">
        <f t="shared" si="136"/>
        <v>308745</v>
      </c>
      <c r="I256" s="329">
        <f>ROUND(VLOOKUP(B256,DGTN,$AE$278,0)*S256,0)</f>
        <v>62790</v>
      </c>
      <c r="J256" s="329">
        <f t="shared" si="138"/>
        <v>0</v>
      </c>
      <c r="K256" s="329">
        <f t="shared" si="139"/>
        <v>0</v>
      </c>
      <c r="L256" s="329">
        <f t="shared" si="140"/>
        <v>0</v>
      </c>
      <c r="M256" s="333">
        <f t="shared" si="134"/>
        <v>0</v>
      </c>
      <c r="N256" s="332" t="s">
        <v>1328</v>
      </c>
      <c r="O256" s="287">
        <v>0.88800000000000001</v>
      </c>
      <c r="P256" s="287" t="s">
        <v>12</v>
      </c>
      <c r="Q256" s="287">
        <v>0.38400000000000001</v>
      </c>
      <c r="R256" s="287" t="s">
        <v>2129</v>
      </c>
      <c r="S256" s="287">
        <v>1</v>
      </c>
      <c r="X256" s="332"/>
      <c r="AC256" s="332"/>
    </row>
    <row r="257" spans="2:29" hidden="1">
      <c r="B257" s="332" t="s">
        <v>2191</v>
      </c>
      <c r="C257" s="328" t="s">
        <v>2151</v>
      </c>
      <c r="D257" s="329" t="s">
        <v>2422</v>
      </c>
      <c r="E257" s="328" t="s">
        <v>11</v>
      </c>
      <c r="F257" s="329"/>
      <c r="G257" s="329">
        <f>ROUND(VLOOKUP(B257,DGTN,$Z$278,0)*S257,0)</f>
        <v>5073</v>
      </c>
      <c r="H257" s="329">
        <f t="shared" si="136"/>
        <v>308745</v>
      </c>
      <c r="I257" s="329">
        <f>ROUND(VLOOKUP(B257,DGTN,$AE$278,0)*S257,0)</f>
        <v>62790</v>
      </c>
      <c r="J257" s="329">
        <f t="shared" si="138"/>
        <v>0</v>
      </c>
      <c r="K257" s="329">
        <f t="shared" si="139"/>
        <v>0</v>
      </c>
      <c r="L257" s="329">
        <f t="shared" si="140"/>
        <v>0</v>
      </c>
      <c r="M257" s="333">
        <f t="shared" si="134"/>
        <v>0</v>
      </c>
      <c r="N257" s="332" t="s">
        <v>1328</v>
      </c>
      <c r="O257" s="287">
        <v>0.88800000000000001</v>
      </c>
      <c r="P257" s="287" t="s">
        <v>12</v>
      </c>
      <c r="Q257" s="287">
        <v>0.38400000000000001</v>
      </c>
      <c r="R257" s="287" t="s">
        <v>2129</v>
      </c>
      <c r="S257" s="287">
        <v>1</v>
      </c>
      <c r="X257" s="332"/>
      <c r="AC257" s="332"/>
    </row>
    <row r="258" spans="2:29" hidden="1">
      <c r="B258" s="332" t="s">
        <v>2188</v>
      </c>
      <c r="C258" s="328" t="s">
        <v>2127</v>
      </c>
      <c r="D258" s="329" t="s">
        <v>2143</v>
      </c>
      <c r="E258" s="328" t="s">
        <v>11</v>
      </c>
      <c r="F258" s="329"/>
      <c r="G258" s="329">
        <f>ROUND(VLOOKUP(B258,DGTN,$Z$278,0)*S258,0)</f>
        <v>5205</v>
      </c>
      <c r="H258" s="329">
        <f t="shared" si="136"/>
        <v>451648</v>
      </c>
      <c r="I258" s="329">
        <f>ROUND(VLOOKUP(B258,DGTN,$AE$278,0)*S258,0)</f>
        <v>18474</v>
      </c>
      <c r="J258" s="329">
        <f t="shared" si="138"/>
        <v>0</v>
      </c>
      <c r="K258" s="329">
        <f t="shared" si="139"/>
        <v>0</v>
      </c>
      <c r="L258" s="329">
        <f t="shared" si="140"/>
        <v>0</v>
      </c>
      <c r="M258" s="333">
        <f t="shared" si="134"/>
        <v>0</v>
      </c>
      <c r="N258" s="332" t="s">
        <v>1330</v>
      </c>
      <c r="O258" s="287">
        <v>2.89</v>
      </c>
      <c r="P258" s="287" t="s">
        <v>379</v>
      </c>
      <c r="Q258" s="287">
        <v>1.24</v>
      </c>
      <c r="R258" s="287" t="s">
        <v>2129</v>
      </c>
      <c r="S258" s="287">
        <v>0.4</v>
      </c>
      <c r="X258" s="332"/>
      <c r="AC258" s="332"/>
    </row>
    <row r="259" spans="2:29" hidden="1">
      <c r="B259" s="332" t="s">
        <v>2189</v>
      </c>
      <c r="C259" s="328" t="s">
        <v>2135</v>
      </c>
      <c r="D259" s="329" t="s">
        <v>945</v>
      </c>
      <c r="E259" s="328" t="s">
        <v>11</v>
      </c>
      <c r="F259" s="329"/>
      <c r="G259" s="329">
        <f>ROUND(VLOOKUP(B259,DGTN,$Z$278,0)*S259,0)</f>
        <v>3223</v>
      </c>
      <c r="H259" s="329">
        <f t="shared" si="136"/>
        <v>117733</v>
      </c>
      <c r="I259" s="329">
        <f>ROUND(VLOOKUP(B259,DGTN,$AE$278,0)*S259,0)</f>
        <v>24683</v>
      </c>
      <c r="J259" s="329">
        <f t="shared" si="138"/>
        <v>0</v>
      </c>
      <c r="K259" s="329">
        <f t="shared" si="139"/>
        <v>0</v>
      </c>
      <c r="L259" s="329">
        <f t="shared" si="140"/>
        <v>0</v>
      </c>
      <c r="M259" s="333">
        <f t="shared" si="134"/>
        <v>0</v>
      </c>
      <c r="N259" s="332" t="s">
        <v>1330</v>
      </c>
      <c r="O259" s="287">
        <v>0.28000000000000003</v>
      </c>
      <c r="P259" s="287" t="s">
        <v>379</v>
      </c>
      <c r="Q259" s="287">
        <v>0.15</v>
      </c>
      <c r="R259" s="287" t="s">
        <v>2129</v>
      </c>
      <c r="S259" s="287">
        <v>1</v>
      </c>
      <c r="X259" s="332"/>
      <c r="AC259" s="332"/>
    </row>
    <row r="260" spans="2:29" hidden="1">
      <c r="B260" s="332" t="s">
        <v>2468</v>
      </c>
      <c r="C260" s="530">
        <f>IF(SUM(J260:L260)&lt;&gt;0,C235+1,C235)</f>
        <v>5</v>
      </c>
      <c r="D260" s="345" t="str">
        <f>VLOOKUP(B260,XLTBA,'6.XL-TR'!$D$2,0)</f>
        <v xml:space="preserve"> Trạm NC từ 50kVA lên 3x50kVA</v>
      </c>
      <c r="E260" s="344"/>
      <c r="F260" s="345"/>
      <c r="G260" s="345"/>
      <c r="H260" s="345"/>
      <c r="I260" s="345"/>
      <c r="J260" s="345">
        <f>SUM(J261:J271)</f>
        <v>0</v>
      </c>
      <c r="K260" s="345">
        <f>SUM(K261:K271)</f>
        <v>0</v>
      </c>
      <c r="L260" s="345">
        <f>SUM(L261:L271)</f>
        <v>0</v>
      </c>
      <c r="M260" s="333">
        <f t="shared" ref="M260:M271" si="141">IF(SUM(J260:L260)&lt;&gt;0,1,)</f>
        <v>0</v>
      </c>
      <c r="X260" s="332"/>
      <c r="AC260" s="332"/>
    </row>
    <row r="261" spans="2:29" hidden="1">
      <c r="B261" s="332" t="s">
        <v>2192</v>
      </c>
      <c r="C261" s="328" t="s">
        <v>2144</v>
      </c>
      <c r="D261" s="329" t="s">
        <v>2145</v>
      </c>
      <c r="E261" s="328" t="s">
        <v>2134</v>
      </c>
      <c r="F261" s="329"/>
      <c r="G261" s="329">
        <f t="shared" ref="G261:G271" si="142">ROUND(VLOOKUP(B261,DGTN,$Z$278,0)*S261,0)</f>
        <v>25808</v>
      </c>
      <c r="H261" s="329">
        <f t="shared" ref="H261:H271" si="143">ROUND((VLOOKUP(N261,DGNC,5,0)*O261+VLOOKUP(P261,DGNC,5,0)*Q261)*S261,0)</f>
        <v>1134066</v>
      </c>
      <c r="I261" s="329">
        <f t="shared" ref="I261:I271" si="144">ROUND(VLOOKUP(B261,DGTN,$AE$278,0)*S261,0)</f>
        <v>28346</v>
      </c>
      <c r="J261" s="329">
        <f t="shared" ref="J261:J271" si="145">$F261*G261</f>
        <v>0</v>
      </c>
      <c r="K261" s="329">
        <f t="shared" ref="K261:K271" si="146">$F261*H261</f>
        <v>0</v>
      </c>
      <c r="L261" s="329">
        <f t="shared" ref="L261:L271" si="147">$F261*I261</f>
        <v>0</v>
      </c>
      <c r="M261" s="333">
        <f t="shared" si="141"/>
        <v>0</v>
      </c>
      <c r="N261" s="332" t="s">
        <v>1328</v>
      </c>
      <c r="O261" s="287">
        <v>3.04</v>
      </c>
      <c r="P261" s="287" t="s">
        <v>12</v>
      </c>
      <c r="Q261" s="287">
        <v>1.64</v>
      </c>
      <c r="R261" s="287" t="s">
        <v>2129</v>
      </c>
      <c r="S261" s="287">
        <v>1</v>
      </c>
      <c r="X261" s="332"/>
      <c r="AC261" s="332"/>
    </row>
    <row r="262" spans="2:29" hidden="1">
      <c r="B262" s="332" t="s">
        <v>2196</v>
      </c>
      <c r="C262" s="328" t="s">
        <v>2146</v>
      </c>
      <c r="D262" s="329" t="s">
        <v>2147</v>
      </c>
      <c r="E262" s="328" t="s">
        <v>2148</v>
      </c>
      <c r="F262" s="329"/>
      <c r="G262" s="329">
        <f t="shared" si="142"/>
        <v>29735</v>
      </c>
      <c r="H262" s="329">
        <f t="shared" si="143"/>
        <v>1027972</v>
      </c>
      <c r="I262" s="329">
        <f t="shared" si="144"/>
        <v>201397</v>
      </c>
      <c r="J262" s="329">
        <f t="shared" si="145"/>
        <v>0</v>
      </c>
      <c r="K262" s="329">
        <f t="shared" si="146"/>
        <v>0</v>
      </c>
      <c r="L262" s="329">
        <f t="shared" si="147"/>
        <v>0</v>
      </c>
      <c r="M262" s="333">
        <f t="shared" si="141"/>
        <v>0</v>
      </c>
      <c r="N262" s="332" t="s">
        <v>1330</v>
      </c>
      <c r="O262" s="287">
        <v>2.63</v>
      </c>
      <c r="P262" s="287" t="s">
        <v>379</v>
      </c>
      <c r="Q262" s="287">
        <v>1.1299999999999999</v>
      </c>
      <c r="R262" s="287" t="s">
        <v>2129</v>
      </c>
      <c r="S262" s="287">
        <v>1</v>
      </c>
      <c r="X262" s="332"/>
      <c r="AC262" s="332"/>
    </row>
    <row r="263" spans="2:29" hidden="1">
      <c r="B263" s="332" t="s">
        <v>2196</v>
      </c>
      <c r="C263" s="328" t="s">
        <v>2146</v>
      </c>
      <c r="D263" s="329" t="s">
        <v>2149</v>
      </c>
      <c r="E263" s="328" t="s">
        <v>2148</v>
      </c>
      <c r="F263" s="329"/>
      <c r="G263" s="329">
        <f t="shared" si="142"/>
        <v>29735</v>
      </c>
      <c r="H263" s="329">
        <f t="shared" si="143"/>
        <v>1027972</v>
      </c>
      <c r="I263" s="329">
        <f t="shared" si="144"/>
        <v>201397</v>
      </c>
      <c r="J263" s="329">
        <f t="shared" si="145"/>
        <v>0</v>
      </c>
      <c r="K263" s="329">
        <f t="shared" si="146"/>
        <v>0</v>
      </c>
      <c r="L263" s="329">
        <f t="shared" si="147"/>
        <v>0</v>
      </c>
      <c r="M263" s="333">
        <f t="shared" si="141"/>
        <v>0</v>
      </c>
      <c r="N263" s="332" t="s">
        <v>1330</v>
      </c>
      <c r="O263" s="287">
        <v>2.63</v>
      </c>
      <c r="P263" s="287" t="s">
        <v>379</v>
      </c>
      <c r="Q263" s="287">
        <v>1.1299999999999999</v>
      </c>
      <c r="R263" s="287" t="s">
        <v>2129</v>
      </c>
      <c r="S263" s="287">
        <v>1</v>
      </c>
      <c r="X263" s="332"/>
      <c r="AC263" s="332"/>
    </row>
    <row r="264" spans="2:29" hidden="1">
      <c r="B264" s="332" t="s">
        <v>2196</v>
      </c>
      <c r="C264" s="328" t="s">
        <v>2146</v>
      </c>
      <c r="D264" s="329" t="s">
        <v>2150</v>
      </c>
      <c r="E264" s="328" t="s">
        <v>2148</v>
      </c>
      <c r="F264" s="329"/>
      <c r="G264" s="329">
        <f t="shared" si="142"/>
        <v>29735</v>
      </c>
      <c r="H264" s="329">
        <f t="shared" si="143"/>
        <v>1027972</v>
      </c>
      <c r="I264" s="329">
        <f t="shared" si="144"/>
        <v>201397</v>
      </c>
      <c r="J264" s="329">
        <f t="shared" si="145"/>
        <v>0</v>
      </c>
      <c r="K264" s="329">
        <f t="shared" si="146"/>
        <v>0</v>
      </c>
      <c r="L264" s="329">
        <f t="shared" si="147"/>
        <v>0</v>
      </c>
      <c r="M264" s="333">
        <f t="shared" si="141"/>
        <v>0</v>
      </c>
      <c r="N264" s="332" t="s">
        <v>1330</v>
      </c>
      <c r="O264" s="287">
        <v>2.63</v>
      </c>
      <c r="P264" s="287" t="s">
        <v>379</v>
      </c>
      <c r="Q264" s="287">
        <v>1.1299999999999999</v>
      </c>
      <c r="R264" s="287" t="s">
        <v>2129</v>
      </c>
      <c r="S264" s="287">
        <v>1</v>
      </c>
      <c r="X264" s="332"/>
      <c r="AC264" s="332"/>
    </row>
    <row r="265" spans="2:29" hidden="1">
      <c r="B265" s="332" t="s">
        <v>2190</v>
      </c>
      <c r="C265" s="328" t="s">
        <v>2131</v>
      </c>
      <c r="D265" s="329" t="s">
        <v>2421</v>
      </c>
      <c r="E265" s="328" t="s">
        <v>11</v>
      </c>
      <c r="F265" s="329"/>
      <c r="G265" s="329">
        <f t="shared" si="142"/>
        <v>3562</v>
      </c>
      <c r="H265" s="329">
        <f t="shared" si="143"/>
        <v>273830</v>
      </c>
      <c r="I265" s="329">
        <f t="shared" si="144"/>
        <v>44070</v>
      </c>
      <c r="J265" s="329">
        <f t="shared" si="145"/>
        <v>0</v>
      </c>
      <c r="K265" s="329">
        <f t="shared" si="146"/>
        <v>0</v>
      </c>
      <c r="L265" s="329">
        <f t="shared" si="147"/>
        <v>0</v>
      </c>
      <c r="M265" s="333">
        <f t="shared" si="141"/>
        <v>0</v>
      </c>
      <c r="N265" s="332" t="s">
        <v>1328</v>
      </c>
      <c r="O265" s="287">
        <v>0.79200000000000004</v>
      </c>
      <c r="P265" s="287" t="s">
        <v>12</v>
      </c>
      <c r="Q265" s="287">
        <v>0.33600000000000002</v>
      </c>
      <c r="R265" s="287" t="s">
        <v>2129</v>
      </c>
      <c r="S265" s="287">
        <v>1</v>
      </c>
      <c r="X265" s="332"/>
      <c r="AC265" s="332"/>
    </row>
    <row r="266" spans="2:29" hidden="1">
      <c r="B266" s="332" t="s">
        <v>2190</v>
      </c>
      <c r="C266" s="328" t="s">
        <v>2131</v>
      </c>
      <c r="D266" s="329" t="s">
        <v>2423</v>
      </c>
      <c r="E266" s="328" t="s">
        <v>11</v>
      </c>
      <c r="F266" s="329"/>
      <c r="G266" s="329">
        <f t="shared" si="142"/>
        <v>3562</v>
      </c>
      <c r="H266" s="329">
        <f t="shared" si="143"/>
        <v>273830</v>
      </c>
      <c r="I266" s="329">
        <f t="shared" si="144"/>
        <v>44070</v>
      </c>
      <c r="J266" s="329">
        <f t="shared" si="145"/>
        <v>0</v>
      </c>
      <c r="K266" s="329">
        <f t="shared" si="146"/>
        <v>0</v>
      </c>
      <c r="L266" s="329">
        <f t="shared" si="147"/>
        <v>0</v>
      </c>
      <c r="M266" s="333">
        <f t="shared" si="141"/>
        <v>0</v>
      </c>
      <c r="N266" s="332" t="s">
        <v>1328</v>
      </c>
      <c r="O266" s="287">
        <v>0.79200000000000004</v>
      </c>
      <c r="P266" s="287" t="s">
        <v>12</v>
      </c>
      <c r="Q266" s="287">
        <v>0.33600000000000002</v>
      </c>
      <c r="R266" s="287" t="s">
        <v>2129</v>
      </c>
      <c r="S266" s="287">
        <v>1</v>
      </c>
      <c r="X266" s="332"/>
      <c r="AC266" s="332"/>
    </row>
    <row r="267" spans="2:29" hidden="1">
      <c r="B267" s="332" t="s">
        <v>2190</v>
      </c>
      <c r="C267" s="328" t="s">
        <v>2131</v>
      </c>
      <c r="D267" s="329" t="s">
        <v>2424</v>
      </c>
      <c r="E267" s="328" t="s">
        <v>11</v>
      </c>
      <c r="F267" s="329"/>
      <c r="G267" s="329">
        <f t="shared" si="142"/>
        <v>3562</v>
      </c>
      <c r="H267" s="329">
        <f t="shared" si="143"/>
        <v>273830</v>
      </c>
      <c r="I267" s="329">
        <f t="shared" si="144"/>
        <v>44070</v>
      </c>
      <c r="J267" s="329">
        <f t="shared" si="145"/>
        <v>0</v>
      </c>
      <c r="K267" s="329">
        <f t="shared" si="146"/>
        <v>0</v>
      </c>
      <c r="L267" s="329">
        <f t="shared" si="147"/>
        <v>0</v>
      </c>
      <c r="M267" s="333">
        <f t="shared" si="141"/>
        <v>0</v>
      </c>
      <c r="N267" s="332" t="s">
        <v>1328</v>
      </c>
      <c r="O267" s="287">
        <v>0.79200000000000004</v>
      </c>
      <c r="P267" s="287" t="s">
        <v>12</v>
      </c>
      <c r="Q267" s="287">
        <v>0.33600000000000002</v>
      </c>
      <c r="R267" s="287" t="s">
        <v>2129</v>
      </c>
      <c r="S267" s="287">
        <v>1</v>
      </c>
      <c r="X267" s="332"/>
      <c r="AC267" s="332"/>
    </row>
    <row r="268" spans="2:29" hidden="1">
      <c r="B268" s="332" t="s">
        <v>2191</v>
      </c>
      <c r="C268" s="328" t="s">
        <v>2151</v>
      </c>
      <c r="D268" s="329" t="s">
        <v>2420</v>
      </c>
      <c r="E268" s="328" t="s">
        <v>11</v>
      </c>
      <c r="F268" s="329"/>
      <c r="G268" s="329">
        <f>ROUND(VLOOKUP(B268,DGTN,$Z$278,0)*S268,0)</f>
        <v>5073</v>
      </c>
      <c r="H268" s="329">
        <f t="shared" si="143"/>
        <v>308745</v>
      </c>
      <c r="I268" s="329">
        <f>ROUND(VLOOKUP(B268,DGTN,$AE$278,0)*S268,0)</f>
        <v>62790</v>
      </c>
      <c r="J268" s="329">
        <f t="shared" si="145"/>
        <v>0</v>
      </c>
      <c r="K268" s="329">
        <f t="shared" si="146"/>
        <v>0</v>
      </c>
      <c r="L268" s="329">
        <f t="shared" si="147"/>
        <v>0</v>
      </c>
      <c r="M268" s="333">
        <f t="shared" si="141"/>
        <v>0</v>
      </c>
      <c r="N268" s="332" t="s">
        <v>1328</v>
      </c>
      <c r="O268" s="287">
        <v>0.88800000000000001</v>
      </c>
      <c r="P268" s="287" t="s">
        <v>12</v>
      </c>
      <c r="Q268" s="287">
        <v>0.38400000000000001</v>
      </c>
      <c r="R268" s="287" t="s">
        <v>2129</v>
      </c>
      <c r="S268" s="287">
        <v>1</v>
      </c>
      <c r="X268" s="332"/>
      <c r="AC268" s="332"/>
    </row>
    <row r="269" spans="2:29" hidden="1">
      <c r="B269" s="332" t="s">
        <v>2191</v>
      </c>
      <c r="C269" s="328" t="s">
        <v>2151</v>
      </c>
      <c r="D269" s="329" t="s">
        <v>2422</v>
      </c>
      <c r="E269" s="328" t="s">
        <v>11</v>
      </c>
      <c r="F269" s="329"/>
      <c r="G269" s="329">
        <f t="shared" si="142"/>
        <v>5073</v>
      </c>
      <c r="H269" s="329">
        <f t="shared" si="143"/>
        <v>308745</v>
      </c>
      <c r="I269" s="329">
        <f t="shared" si="144"/>
        <v>62790</v>
      </c>
      <c r="J269" s="329">
        <f t="shared" si="145"/>
        <v>0</v>
      </c>
      <c r="K269" s="329">
        <f t="shared" si="146"/>
        <v>0</v>
      </c>
      <c r="L269" s="329">
        <f t="shared" si="147"/>
        <v>0</v>
      </c>
      <c r="M269" s="333">
        <f t="shared" si="141"/>
        <v>0</v>
      </c>
      <c r="N269" s="332" t="s">
        <v>1328</v>
      </c>
      <c r="O269" s="287">
        <v>0.88800000000000001</v>
      </c>
      <c r="P269" s="287" t="s">
        <v>12</v>
      </c>
      <c r="Q269" s="287">
        <v>0.38400000000000001</v>
      </c>
      <c r="R269" s="287" t="s">
        <v>2129</v>
      </c>
      <c r="S269" s="287">
        <v>1</v>
      </c>
      <c r="X269" s="332"/>
      <c r="AC269" s="332"/>
    </row>
    <row r="270" spans="2:29" hidden="1">
      <c r="B270" s="332" t="s">
        <v>2188</v>
      </c>
      <c r="C270" s="328" t="s">
        <v>2127</v>
      </c>
      <c r="D270" s="329" t="s">
        <v>2143</v>
      </c>
      <c r="E270" s="328" t="s">
        <v>11</v>
      </c>
      <c r="F270" s="329"/>
      <c r="G270" s="329">
        <f t="shared" si="142"/>
        <v>5205</v>
      </c>
      <c r="H270" s="329">
        <f t="shared" si="143"/>
        <v>451648</v>
      </c>
      <c r="I270" s="329">
        <f t="shared" si="144"/>
        <v>18474</v>
      </c>
      <c r="J270" s="329">
        <f t="shared" si="145"/>
        <v>0</v>
      </c>
      <c r="K270" s="329">
        <f t="shared" si="146"/>
        <v>0</v>
      </c>
      <c r="L270" s="329">
        <f t="shared" si="147"/>
        <v>0</v>
      </c>
      <c r="M270" s="333">
        <f t="shared" si="141"/>
        <v>0</v>
      </c>
      <c r="N270" s="332" t="s">
        <v>1330</v>
      </c>
      <c r="O270" s="287">
        <v>2.89</v>
      </c>
      <c r="P270" s="287" t="s">
        <v>379</v>
      </c>
      <c r="Q270" s="287">
        <v>1.24</v>
      </c>
      <c r="R270" s="287" t="s">
        <v>2129</v>
      </c>
      <c r="S270" s="287">
        <v>0.4</v>
      </c>
      <c r="X270" s="332"/>
      <c r="AC270" s="332"/>
    </row>
    <row r="271" spans="2:29" hidden="1">
      <c r="B271" s="332" t="s">
        <v>2189</v>
      </c>
      <c r="C271" s="328" t="s">
        <v>2135</v>
      </c>
      <c r="D271" s="329" t="s">
        <v>945</v>
      </c>
      <c r="E271" s="328" t="s">
        <v>11</v>
      </c>
      <c r="F271" s="329"/>
      <c r="G271" s="329">
        <f t="shared" si="142"/>
        <v>3223</v>
      </c>
      <c r="H271" s="329">
        <f t="shared" si="143"/>
        <v>117733</v>
      </c>
      <c r="I271" s="329">
        <f t="shared" si="144"/>
        <v>24683</v>
      </c>
      <c r="J271" s="329">
        <f t="shared" si="145"/>
        <v>0</v>
      </c>
      <c r="K271" s="329">
        <f t="shared" si="146"/>
        <v>0</v>
      </c>
      <c r="L271" s="329">
        <f t="shared" si="147"/>
        <v>0</v>
      </c>
      <c r="M271" s="333">
        <f t="shared" si="141"/>
        <v>0</v>
      </c>
      <c r="N271" s="332" t="s">
        <v>1330</v>
      </c>
      <c r="O271" s="287">
        <v>0.28000000000000003</v>
      </c>
      <c r="P271" s="287" t="s">
        <v>379</v>
      </c>
      <c r="Q271" s="287">
        <v>0.15</v>
      </c>
      <c r="R271" s="287" t="s">
        <v>2129</v>
      </c>
      <c r="S271" s="287">
        <v>1</v>
      </c>
      <c r="X271" s="332"/>
      <c r="AC271" s="332"/>
    </row>
    <row r="278" spans="21:31">
      <c r="U278" s="335">
        <v>1</v>
      </c>
      <c r="V278" s="335">
        <v>2</v>
      </c>
      <c r="W278" s="335">
        <v>3</v>
      </c>
      <c r="X278" s="335">
        <v>4</v>
      </c>
      <c r="Y278" s="335">
        <v>5</v>
      </c>
      <c r="Z278" s="378">
        <v>6</v>
      </c>
      <c r="AA278" s="335">
        <v>7</v>
      </c>
      <c r="AB278" s="335">
        <v>8</v>
      </c>
      <c r="AC278" s="335">
        <v>9</v>
      </c>
      <c r="AD278" s="335">
        <v>10</v>
      </c>
      <c r="AE278" s="378">
        <v>11</v>
      </c>
    </row>
    <row r="280" spans="21:31">
      <c r="V280" s="379" t="s">
        <v>2153</v>
      </c>
      <c r="W280" s="380"/>
      <c r="X280" s="602"/>
      <c r="Y280" s="380"/>
      <c r="Z280" s="380"/>
      <c r="AA280" s="380"/>
      <c r="AB280" s="380"/>
      <c r="AC280" s="602"/>
      <c r="AD280" s="380"/>
      <c r="AE280" s="380"/>
    </row>
    <row r="281" spans="21:31">
      <c r="V281" s="381" t="s">
        <v>2154</v>
      </c>
      <c r="W281" s="381" t="s">
        <v>2155</v>
      </c>
      <c r="X281" s="603" t="s">
        <v>2156</v>
      </c>
      <c r="Y281" s="381" t="s">
        <v>2157</v>
      </c>
      <c r="Z281" s="381"/>
      <c r="AA281" s="381" t="s">
        <v>2158</v>
      </c>
      <c r="AB281" s="381" t="s">
        <v>2155</v>
      </c>
      <c r="AC281" s="603" t="s">
        <v>2156</v>
      </c>
      <c r="AD281" s="381" t="s">
        <v>7</v>
      </c>
      <c r="AE281" s="381"/>
    </row>
    <row r="282" spans="21:31">
      <c r="V282" s="379" t="s">
        <v>2159</v>
      </c>
      <c r="W282" s="379" t="s">
        <v>2160</v>
      </c>
      <c r="X282" s="604">
        <v>0.76800000000000002</v>
      </c>
      <c r="Y282" s="379">
        <v>1647.3</v>
      </c>
      <c r="Z282" s="379">
        <f>ROUND(X282*Y282,0)</f>
        <v>1265</v>
      </c>
      <c r="AA282" s="382" t="s">
        <v>2161</v>
      </c>
      <c r="AB282" s="382" t="s">
        <v>2162</v>
      </c>
      <c r="AC282" s="601">
        <v>4.1000000000000002E-2</v>
      </c>
      <c r="AD282" s="599">
        <v>93580</v>
      </c>
      <c r="AE282" s="379">
        <f>ROUND(AC282*AD282,0)</f>
        <v>3837</v>
      </c>
    </row>
    <row r="283" spans="21:31">
      <c r="V283" s="379" t="s">
        <v>2163</v>
      </c>
      <c r="W283" s="379" t="s">
        <v>146</v>
      </c>
      <c r="X283" s="604">
        <v>0.51200000000000001</v>
      </c>
      <c r="Y283" s="379">
        <v>16130</v>
      </c>
      <c r="Z283" s="379">
        <f>ROUND(X283*Y283,0)</f>
        <v>8259</v>
      </c>
      <c r="AA283" s="379" t="s">
        <v>2164</v>
      </c>
      <c r="AB283" s="379" t="s">
        <v>2162</v>
      </c>
      <c r="AC283" s="604">
        <v>7.2999999999999995E-2</v>
      </c>
      <c r="AD283" s="599">
        <v>45000</v>
      </c>
      <c r="AE283" s="379">
        <f>ROUND(AC283*AD283,0)</f>
        <v>3285</v>
      </c>
    </row>
    <row r="284" spans="21:31">
      <c r="V284" s="379" t="s">
        <v>2165</v>
      </c>
      <c r="W284" s="379" t="s">
        <v>143</v>
      </c>
      <c r="X284" s="604">
        <v>0.10199999999999999</v>
      </c>
      <c r="Y284" s="379">
        <v>2500</v>
      </c>
      <c r="Z284" s="379">
        <f>ROUND(X284*Y284,0)</f>
        <v>255</v>
      </c>
      <c r="AA284" s="379" t="s">
        <v>2166</v>
      </c>
      <c r="AB284" s="379" t="s">
        <v>2162</v>
      </c>
      <c r="AC284" s="604">
        <v>9.1999999999999998E-2</v>
      </c>
      <c r="AD284" s="599">
        <v>424590</v>
      </c>
      <c r="AE284" s="379">
        <f>ROUND(AC284*AD284,0)</f>
        <v>39062</v>
      </c>
    </row>
    <row r="285" spans="21:31">
      <c r="V285" s="379" t="s">
        <v>2167</v>
      </c>
      <c r="W285" s="379" t="s">
        <v>143</v>
      </c>
      <c r="X285" s="604">
        <v>0.10199999999999999</v>
      </c>
      <c r="Y285" s="379">
        <v>6600</v>
      </c>
      <c r="Z285" s="379">
        <f>ROUND(X285*Y285,0)</f>
        <v>673</v>
      </c>
      <c r="AA285" s="379" t="s">
        <v>2168</v>
      </c>
      <c r="AB285" s="379" t="s">
        <v>2162</v>
      </c>
      <c r="AC285" s="604">
        <v>0</v>
      </c>
      <c r="AD285" s="379"/>
      <c r="AE285" s="379">
        <f>ROUND(AC285*AD285,0)</f>
        <v>0</v>
      </c>
    </row>
    <row r="286" spans="21:31">
      <c r="V286" s="379" t="s">
        <v>2169</v>
      </c>
      <c r="W286" s="379" t="s">
        <v>2170</v>
      </c>
      <c r="X286" s="604">
        <v>0.51200000000000001</v>
      </c>
      <c r="Y286" s="379">
        <v>5000</v>
      </c>
      <c r="Z286" s="379">
        <f>ROUND(X286*Y286,0)</f>
        <v>2560</v>
      </c>
      <c r="AA286" s="379"/>
      <c r="AB286" s="379"/>
      <c r="AC286" s="604"/>
      <c r="AD286" s="379"/>
      <c r="AE286" s="379"/>
    </row>
    <row r="287" spans="21:31">
      <c r="U287" s="332" t="s">
        <v>2188</v>
      </c>
      <c r="V287" s="379"/>
      <c r="W287" s="379"/>
      <c r="X287" s="604"/>
      <c r="Y287" s="379"/>
      <c r="Z287" s="379">
        <f>SUM(Z282:Z286)</f>
        <v>13012</v>
      </c>
      <c r="AA287" s="379"/>
      <c r="AB287" s="379"/>
      <c r="AC287" s="604"/>
      <c r="AD287" s="379"/>
      <c r="AE287" s="379">
        <f>SUM(AE282:AE286)</f>
        <v>46184</v>
      </c>
    </row>
    <row r="288" spans="21:31">
      <c r="V288" s="380"/>
      <c r="W288" s="380"/>
      <c r="X288" s="602"/>
      <c r="Y288" s="380"/>
      <c r="Z288" s="380"/>
      <c r="AA288" s="380"/>
      <c r="AB288" s="380"/>
      <c r="AC288" s="602"/>
      <c r="AD288" s="380"/>
      <c r="AE288" s="380"/>
    </row>
    <row r="289" spans="21:31">
      <c r="V289" s="379" t="s">
        <v>2171</v>
      </c>
      <c r="W289" s="379"/>
      <c r="X289" s="604"/>
      <c r="Y289" s="379"/>
      <c r="Z289" s="379"/>
      <c r="AA289" s="379"/>
      <c r="AB289" s="379"/>
      <c r="AC289" s="604"/>
      <c r="AD289" s="379"/>
      <c r="AE289" s="379"/>
    </row>
    <row r="290" spans="21:31">
      <c r="V290" s="379" t="s">
        <v>2159</v>
      </c>
      <c r="W290" s="379" t="s">
        <v>2160</v>
      </c>
      <c r="X290" s="604">
        <v>1.075</v>
      </c>
      <c r="Y290" s="379">
        <f>Y282</f>
        <v>1647.3</v>
      </c>
      <c r="Z290" s="379">
        <f>ROUND(X290*Y290,0)</f>
        <v>1771</v>
      </c>
      <c r="AA290" s="382" t="s">
        <v>2172</v>
      </c>
      <c r="AB290" s="382" t="s">
        <v>2162</v>
      </c>
      <c r="AC290" s="608">
        <v>8.7599999999999997E-2</v>
      </c>
      <c r="AD290" s="599">
        <v>418068</v>
      </c>
      <c r="AE290" s="382">
        <f>ROUND(AC290*AD290,0)</f>
        <v>36623</v>
      </c>
    </row>
    <row r="291" spans="21:31">
      <c r="V291" s="379" t="s">
        <v>2163</v>
      </c>
      <c r="W291" s="379" t="s">
        <v>146</v>
      </c>
      <c r="X291" s="604">
        <v>7.1999999999999995E-2</v>
      </c>
      <c r="Y291" s="379">
        <f>Y283</f>
        <v>16130</v>
      </c>
      <c r="Z291" s="379">
        <f>ROUND(X291*Y291,0)</f>
        <v>1161</v>
      </c>
      <c r="AA291" s="379" t="s">
        <v>2164</v>
      </c>
      <c r="AB291" s="379" t="s">
        <v>2162</v>
      </c>
      <c r="AC291" s="608">
        <v>4.3200000000000002E-2</v>
      </c>
      <c r="AD291" s="383">
        <f>AD283</f>
        <v>45000</v>
      </c>
      <c r="AE291" s="382">
        <f>ROUND(AC291*AD291,0)</f>
        <v>1944</v>
      </c>
    </row>
    <row r="292" spans="21:31">
      <c r="V292" s="379" t="s">
        <v>2165</v>
      </c>
      <c r="W292" s="379" t="s">
        <v>143</v>
      </c>
      <c r="X292" s="604">
        <v>3.5999999999999997E-2</v>
      </c>
      <c r="Y292" s="379">
        <f>Y284</f>
        <v>2500</v>
      </c>
      <c r="Z292" s="379">
        <f>ROUND(X292*Y292,0)</f>
        <v>90</v>
      </c>
      <c r="AA292" s="379" t="s">
        <v>2161</v>
      </c>
      <c r="AB292" s="379" t="s">
        <v>2162</v>
      </c>
      <c r="AC292" s="608">
        <v>5.8799999999999998E-2</v>
      </c>
      <c r="AD292" s="383">
        <f>AD282</f>
        <v>93580</v>
      </c>
      <c r="AE292" s="382">
        <f>ROUND(AC292*AD292,0)</f>
        <v>5503</v>
      </c>
    </row>
    <row r="293" spans="21:31">
      <c r="V293" s="379" t="s">
        <v>2169</v>
      </c>
      <c r="W293" s="379" t="s">
        <v>2170</v>
      </c>
      <c r="X293" s="604">
        <v>0.108</v>
      </c>
      <c r="Y293" s="379">
        <f>Y286</f>
        <v>5000</v>
      </c>
      <c r="Z293" s="379">
        <f>ROUND(X293*Y293,0)</f>
        <v>540</v>
      </c>
      <c r="AA293" s="379"/>
      <c r="AB293" s="379"/>
      <c r="AC293" s="604"/>
      <c r="AD293" s="379"/>
      <c r="AE293" s="379"/>
    </row>
    <row r="294" spans="21:31">
      <c r="U294" s="332" t="s">
        <v>2190</v>
      </c>
      <c r="V294" s="379"/>
      <c r="W294" s="379"/>
      <c r="X294" s="604"/>
      <c r="Y294" s="379"/>
      <c r="Z294" s="379">
        <f>SUM(Z290:Z293)</f>
        <v>3562</v>
      </c>
      <c r="AA294" s="379"/>
      <c r="AB294" s="379"/>
      <c r="AC294" s="604"/>
      <c r="AD294" s="379"/>
      <c r="AE294" s="379">
        <f>SUM(AE290:AE293)</f>
        <v>44070</v>
      </c>
    </row>
    <row r="295" spans="21:31">
      <c r="V295" s="380"/>
      <c r="W295" s="380"/>
      <c r="X295" s="602"/>
      <c r="Y295" s="380"/>
      <c r="Z295" s="380"/>
      <c r="AA295" s="380"/>
      <c r="AB295" s="380"/>
      <c r="AC295" s="602"/>
      <c r="AD295" s="380"/>
      <c r="AE295" s="380"/>
    </row>
    <row r="296" spans="21:31">
      <c r="V296" s="384" t="s">
        <v>2173</v>
      </c>
      <c r="W296" s="384"/>
      <c r="X296" s="605"/>
      <c r="Y296" s="384"/>
      <c r="Z296" s="384"/>
      <c r="AA296" s="384"/>
      <c r="AB296" s="384"/>
      <c r="AC296" s="605"/>
      <c r="AD296" s="384"/>
      <c r="AE296" s="384"/>
    </row>
    <row r="297" spans="21:31">
      <c r="V297" s="379" t="s">
        <v>2159</v>
      </c>
      <c r="W297" s="379" t="s">
        <v>2160</v>
      </c>
      <c r="X297" s="604">
        <v>0.32400000000000001</v>
      </c>
      <c r="Y297" s="379">
        <f>Y282</f>
        <v>1647.3</v>
      </c>
      <c r="Z297" s="379">
        <f>ROUND(X297*Y297,0)</f>
        <v>534</v>
      </c>
      <c r="AA297" s="379" t="s">
        <v>2164</v>
      </c>
      <c r="AB297" s="379" t="s">
        <v>2162</v>
      </c>
      <c r="AC297" s="604">
        <v>3.9E-2</v>
      </c>
      <c r="AD297" s="383">
        <f>AD283</f>
        <v>45000</v>
      </c>
      <c r="AE297" s="379">
        <f>ROUND(AC297*AD297,0)</f>
        <v>1755</v>
      </c>
    </row>
    <row r="298" spans="21:31">
      <c r="V298" s="379" t="s">
        <v>2167</v>
      </c>
      <c r="W298" s="379" t="s">
        <v>143</v>
      </c>
      <c r="X298" s="604">
        <v>6.5000000000000002E-2</v>
      </c>
      <c r="Y298" s="379">
        <f>Y285</f>
        <v>6600</v>
      </c>
      <c r="Z298" s="379">
        <f>ROUND(X298*Y298,0)</f>
        <v>429</v>
      </c>
      <c r="AA298" s="379" t="s">
        <v>2166</v>
      </c>
      <c r="AB298" s="379" t="s">
        <v>2162</v>
      </c>
      <c r="AC298" s="604">
        <v>5.3999999999999999E-2</v>
      </c>
      <c r="AD298" s="379">
        <f>AD284</f>
        <v>424590</v>
      </c>
      <c r="AE298" s="379">
        <f>ROUND(AC298*AD298,0)</f>
        <v>22928</v>
      </c>
    </row>
    <row r="299" spans="21:31">
      <c r="V299" s="379" t="s">
        <v>2163</v>
      </c>
      <c r="W299" s="379" t="s">
        <v>146</v>
      </c>
      <c r="X299" s="604">
        <v>0.13</v>
      </c>
      <c r="Y299" s="379">
        <f>Y283</f>
        <v>16130</v>
      </c>
      <c r="Z299" s="379">
        <f>ROUND(X299*Y299,0)</f>
        <v>2097</v>
      </c>
      <c r="AA299" s="379" t="s">
        <v>2168</v>
      </c>
      <c r="AB299" s="379" t="s">
        <v>2162</v>
      </c>
      <c r="AC299" s="604"/>
      <c r="AD299" s="379"/>
      <c r="AE299" s="379">
        <f>ROUND(AC299*AD299,0)</f>
        <v>0</v>
      </c>
    </row>
    <row r="300" spans="21:31">
      <c r="V300" s="379" t="s">
        <v>2165</v>
      </c>
      <c r="W300" s="379" t="s">
        <v>143</v>
      </c>
      <c r="X300" s="604">
        <v>6.5000000000000002E-2</v>
      </c>
      <c r="Y300" s="379">
        <f>Y284</f>
        <v>2500</v>
      </c>
      <c r="Z300" s="379">
        <f>ROUND(X300*Y300,0)</f>
        <v>163</v>
      </c>
      <c r="AA300" s="379"/>
      <c r="AB300" s="379"/>
      <c r="AC300" s="604"/>
      <c r="AD300" s="379"/>
      <c r="AE300" s="379"/>
    </row>
    <row r="301" spans="21:31">
      <c r="U301" s="332" t="s">
        <v>2189</v>
      </c>
      <c r="V301" s="379"/>
      <c r="W301" s="379"/>
      <c r="X301" s="604"/>
      <c r="Y301" s="379"/>
      <c r="Z301" s="379">
        <f>SUM(Z297:Z300)</f>
        <v>3223</v>
      </c>
      <c r="AA301" s="379"/>
      <c r="AB301" s="379"/>
      <c r="AC301" s="604"/>
      <c r="AD301" s="379"/>
      <c r="AE301" s="379">
        <f>SUM(AE297:AE300)</f>
        <v>24683</v>
      </c>
    </row>
    <row r="302" spans="21:31">
      <c r="V302" s="380"/>
      <c r="W302" s="380"/>
      <c r="X302" s="602"/>
      <c r="Y302" s="380"/>
      <c r="Z302" s="380"/>
      <c r="AA302" s="380"/>
      <c r="AB302" s="380"/>
      <c r="AC302" s="602"/>
      <c r="AD302" s="380"/>
      <c r="AE302" s="380"/>
    </row>
    <row r="303" spans="21:31">
      <c r="V303" s="379" t="s">
        <v>2174</v>
      </c>
      <c r="W303" s="379"/>
      <c r="X303" s="604"/>
      <c r="Y303" s="379"/>
      <c r="Z303" s="379"/>
      <c r="AA303" s="379"/>
      <c r="AB303" s="379"/>
      <c r="AC303" s="604"/>
      <c r="AD303" s="379"/>
      <c r="AE303" s="379"/>
    </row>
    <row r="304" spans="21:31">
      <c r="V304" s="379" t="s">
        <v>2159</v>
      </c>
      <c r="W304" s="379" t="s">
        <v>2160</v>
      </c>
      <c r="X304" s="604">
        <v>1.536</v>
      </c>
      <c r="Y304" s="379">
        <f>Y297</f>
        <v>1647.3</v>
      </c>
      <c r="Z304" s="379">
        <f>ROUND(X304*Y304,0)</f>
        <v>2530</v>
      </c>
      <c r="AA304" s="382" t="s">
        <v>2172</v>
      </c>
      <c r="AB304" s="382" t="s">
        <v>2162</v>
      </c>
      <c r="AC304" s="601">
        <v>0.12479999999999999</v>
      </c>
      <c r="AD304" s="383">
        <f>AD290</f>
        <v>418068</v>
      </c>
      <c r="AE304" s="382">
        <f>ROUND(AC304*AD304,0)</f>
        <v>52175</v>
      </c>
    </row>
    <row r="305" spans="21:31">
      <c r="V305" s="379" t="s">
        <v>2163</v>
      </c>
      <c r="W305" s="379" t="s">
        <v>146</v>
      </c>
      <c r="X305" s="604">
        <v>0.10199999999999999</v>
      </c>
      <c r="Y305" s="379">
        <f>Y283</f>
        <v>16130</v>
      </c>
      <c r="Z305" s="379">
        <f>ROUND(X305*Y305,0)</f>
        <v>1645</v>
      </c>
      <c r="AA305" s="379" t="s">
        <v>2164</v>
      </c>
      <c r="AB305" s="379" t="s">
        <v>2162</v>
      </c>
      <c r="AC305" s="604">
        <v>6.1199999999999997E-2</v>
      </c>
      <c r="AD305" s="383">
        <f>AD291</f>
        <v>45000</v>
      </c>
      <c r="AE305" s="382">
        <f>ROUND(AC305*AD305,0)</f>
        <v>2754</v>
      </c>
    </row>
    <row r="306" spans="21:31">
      <c r="V306" s="379" t="s">
        <v>2165</v>
      </c>
      <c r="W306" s="379" t="s">
        <v>143</v>
      </c>
      <c r="X306" s="604">
        <v>5.0999999999999997E-2</v>
      </c>
      <c r="Y306" s="379">
        <f>Y300</f>
        <v>2500</v>
      </c>
      <c r="Z306" s="379">
        <f>ROUND(X306*Y306,0)</f>
        <v>128</v>
      </c>
      <c r="AA306" s="379" t="s">
        <v>2161</v>
      </c>
      <c r="AB306" s="379" t="s">
        <v>2162</v>
      </c>
      <c r="AC306" s="604">
        <v>8.4000000000000005E-2</v>
      </c>
      <c r="AD306" s="383">
        <f>AD292</f>
        <v>93580</v>
      </c>
      <c r="AE306" s="382">
        <f>ROUND(AC306*AD306,0)</f>
        <v>7861</v>
      </c>
    </row>
    <row r="307" spans="21:31">
      <c r="V307" s="379" t="s">
        <v>2169</v>
      </c>
      <c r="W307" s="379" t="s">
        <v>2170</v>
      </c>
      <c r="X307" s="604">
        <v>0.154</v>
      </c>
      <c r="Y307" s="379">
        <f>Y293</f>
        <v>5000</v>
      </c>
      <c r="Z307" s="379">
        <f>ROUND(X307*Y307,0)</f>
        <v>770</v>
      </c>
      <c r="AA307" s="379"/>
      <c r="AB307" s="379"/>
      <c r="AC307" s="604"/>
      <c r="AD307" s="379"/>
      <c r="AE307" s="379"/>
    </row>
    <row r="308" spans="21:31">
      <c r="U308" s="332" t="s">
        <v>2191</v>
      </c>
      <c r="V308" s="379"/>
      <c r="W308" s="379"/>
      <c r="X308" s="604"/>
      <c r="Y308" s="379"/>
      <c r="Z308" s="379">
        <f>SUM(Z304:Z307)</f>
        <v>5073</v>
      </c>
      <c r="AA308" s="379"/>
      <c r="AB308" s="379"/>
      <c r="AC308" s="604"/>
      <c r="AD308" s="379"/>
      <c r="AE308" s="379">
        <f>SUM(AE304:AE307)</f>
        <v>62790</v>
      </c>
    </row>
    <row r="310" spans="21:31">
      <c r="V310" s="379" t="s">
        <v>2175</v>
      </c>
      <c r="W310" s="379"/>
      <c r="X310" s="604"/>
      <c r="Y310" s="379"/>
      <c r="Z310" s="379"/>
      <c r="AA310" s="379"/>
      <c r="AB310" s="379"/>
      <c r="AC310" s="604"/>
      <c r="AD310" s="379"/>
      <c r="AE310" s="379"/>
    </row>
    <row r="311" spans="21:31">
      <c r="U311" s="332" t="s">
        <v>2192</v>
      </c>
      <c r="V311" s="379" t="s">
        <v>2163</v>
      </c>
      <c r="W311" s="379" t="s">
        <v>146</v>
      </c>
      <c r="X311" s="604">
        <v>1.6</v>
      </c>
      <c r="Y311" s="379">
        <f>Y283</f>
        <v>16130</v>
      </c>
      <c r="Z311" s="379">
        <f>ROUND(X311*Y311,0)</f>
        <v>25808</v>
      </c>
      <c r="AA311" s="379" t="s">
        <v>2176</v>
      </c>
      <c r="AB311" s="379" t="s">
        <v>2162</v>
      </c>
      <c r="AC311" s="604">
        <v>0.52</v>
      </c>
      <c r="AD311" s="599">
        <v>54511</v>
      </c>
      <c r="AE311" s="379">
        <f>ROUND(AC311*AD311,0)</f>
        <v>28346</v>
      </c>
    </row>
    <row r="312" spans="21:31">
      <c r="V312" s="380"/>
      <c r="W312" s="380"/>
      <c r="X312" s="602"/>
      <c r="Y312" s="380"/>
      <c r="Z312" s="380"/>
      <c r="AA312" s="380"/>
      <c r="AB312" s="380"/>
      <c r="AC312" s="602"/>
      <c r="AD312" s="380"/>
      <c r="AE312" s="380"/>
    </row>
    <row r="313" spans="21:31">
      <c r="V313" s="380" t="s">
        <v>2177</v>
      </c>
      <c r="W313" s="380"/>
      <c r="X313" s="602"/>
      <c r="Y313" s="380"/>
      <c r="Z313" s="380"/>
      <c r="AA313" s="380"/>
      <c r="AB313" s="380"/>
      <c r="AC313" s="602"/>
      <c r="AD313" s="380"/>
      <c r="AE313" s="380"/>
    </row>
    <row r="314" spans="21:31">
      <c r="U314" s="332" t="s">
        <v>2193</v>
      </c>
      <c r="V314" s="379" t="s">
        <v>2163</v>
      </c>
      <c r="W314" s="379" t="s">
        <v>146</v>
      </c>
      <c r="X314" s="604">
        <v>0.14699999999999999</v>
      </c>
      <c r="Y314" s="379">
        <f>Y283</f>
        <v>16130</v>
      </c>
      <c r="Z314" s="379">
        <f>ROUND(X314*Y314,0)</f>
        <v>2371</v>
      </c>
      <c r="AA314" s="379" t="s">
        <v>2176</v>
      </c>
      <c r="AB314" s="379" t="s">
        <v>2162</v>
      </c>
      <c r="AC314" s="604">
        <v>7.3999999999999996E-2</v>
      </c>
      <c r="AD314" s="379">
        <v>54511</v>
      </c>
      <c r="AE314" s="379">
        <f>ROUND(AC314*AD314,0)</f>
        <v>4034</v>
      </c>
    </row>
    <row r="315" spans="21:31">
      <c r="V315" s="380"/>
      <c r="W315" s="380"/>
      <c r="X315" s="602"/>
      <c r="Y315" s="380"/>
      <c r="Z315" s="380"/>
      <c r="AA315" s="380"/>
      <c r="AB315" s="380"/>
      <c r="AC315" s="602"/>
      <c r="AD315" s="380"/>
      <c r="AE315" s="380"/>
    </row>
    <row r="316" spans="21:31">
      <c r="V316" s="379" t="s">
        <v>2178</v>
      </c>
      <c r="W316" s="379"/>
      <c r="X316" s="604"/>
      <c r="Y316" s="379"/>
      <c r="Z316" s="379"/>
      <c r="AA316" s="379"/>
      <c r="AB316" s="379"/>
      <c r="AC316" s="604"/>
      <c r="AD316" s="379"/>
      <c r="AE316" s="379"/>
    </row>
    <row r="317" spans="21:31">
      <c r="V317" s="379" t="s">
        <v>2159</v>
      </c>
      <c r="W317" s="379" t="s">
        <v>2160</v>
      </c>
      <c r="X317" s="604">
        <v>0.15</v>
      </c>
      <c r="Y317" s="379">
        <f>Y282</f>
        <v>1647.3</v>
      </c>
      <c r="Z317" s="379">
        <f>ROUND(X317*Y317,0)</f>
        <v>247</v>
      </c>
      <c r="AA317" s="379" t="s">
        <v>2164</v>
      </c>
      <c r="AB317" s="379" t="s">
        <v>2162</v>
      </c>
      <c r="AC317" s="604">
        <v>0.02</v>
      </c>
      <c r="AD317" s="379">
        <f>AD283</f>
        <v>45000</v>
      </c>
      <c r="AE317" s="379">
        <f>ROUND(AC317*AD317,0)</f>
        <v>900</v>
      </c>
    </row>
    <row r="318" spans="21:31">
      <c r="V318" s="379" t="s">
        <v>2167</v>
      </c>
      <c r="W318" s="379" t="s">
        <v>143</v>
      </c>
      <c r="X318" s="604">
        <v>2.5000000000000001E-2</v>
      </c>
      <c r="Y318" s="379">
        <f>Y285</f>
        <v>6600</v>
      </c>
      <c r="Z318" s="379">
        <f>ROUND(X318*Y318,0)</f>
        <v>165</v>
      </c>
      <c r="AA318" s="379" t="s">
        <v>2166</v>
      </c>
      <c r="AB318" s="379" t="s">
        <v>2162</v>
      </c>
      <c r="AC318" s="604">
        <v>7.0000000000000001E-3</v>
      </c>
      <c r="AD318" s="379">
        <f>AD284</f>
        <v>424590</v>
      </c>
      <c r="AE318" s="379">
        <f>ROUND(AC318*AD318,0)</f>
        <v>2972</v>
      </c>
    </row>
    <row r="319" spans="21:31">
      <c r="V319" s="379" t="s">
        <v>2163</v>
      </c>
      <c r="W319" s="379" t="s">
        <v>146</v>
      </c>
      <c r="X319" s="604">
        <v>0.05</v>
      </c>
      <c r="Y319" s="379">
        <f>Y283</f>
        <v>16130</v>
      </c>
      <c r="Z319" s="379">
        <f>ROUND(X319*Y319,0)</f>
        <v>807</v>
      </c>
      <c r="AA319" s="379" t="s">
        <v>2168</v>
      </c>
      <c r="AB319" s="379" t="s">
        <v>2162</v>
      </c>
      <c r="AC319" s="604"/>
      <c r="AD319" s="379"/>
      <c r="AE319" s="379">
        <f>ROUND(AC319*AD319,0)</f>
        <v>0</v>
      </c>
    </row>
    <row r="320" spans="21:31">
      <c r="V320" s="379" t="s">
        <v>2165</v>
      </c>
      <c r="W320" s="379" t="s">
        <v>143</v>
      </c>
      <c r="X320" s="604">
        <v>2.5000000000000001E-2</v>
      </c>
      <c r="Y320" s="379">
        <f>Y284</f>
        <v>2500</v>
      </c>
      <c r="Z320" s="379">
        <f>ROUND(X320*Y320,0)</f>
        <v>63</v>
      </c>
      <c r="AA320" s="379"/>
      <c r="AB320" s="379"/>
      <c r="AC320" s="604"/>
      <c r="AD320" s="379"/>
      <c r="AE320" s="379"/>
    </row>
    <row r="321" spans="21:31">
      <c r="U321" s="332" t="s">
        <v>2194</v>
      </c>
      <c r="V321" s="379"/>
      <c r="W321" s="379"/>
      <c r="X321" s="604"/>
      <c r="Y321" s="379"/>
      <c r="Z321" s="379">
        <f>SUM(Z317:Z320)</f>
        <v>1282</v>
      </c>
      <c r="AA321" s="379"/>
      <c r="AB321" s="379"/>
      <c r="AC321" s="604"/>
      <c r="AD321" s="379"/>
      <c r="AE321" s="379">
        <f>SUM(AE317:AE320)</f>
        <v>3872</v>
      </c>
    </row>
    <row r="322" spans="21:31">
      <c r="V322" s="380"/>
      <c r="W322" s="380"/>
      <c r="X322" s="602"/>
      <c r="Y322" s="380"/>
      <c r="Z322" s="380"/>
      <c r="AA322" s="380"/>
      <c r="AB322" s="380"/>
      <c r="AC322" s="602"/>
      <c r="AD322" s="380"/>
      <c r="AE322" s="380"/>
    </row>
    <row r="323" spans="21:31">
      <c r="V323" s="379" t="s">
        <v>2179</v>
      </c>
      <c r="W323" s="379"/>
      <c r="X323" s="604"/>
      <c r="Y323" s="379"/>
      <c r="Z323" s="379"/>
      <c r="AA323" s="379"/>
      <c r="AB323" s="379"/>
      <c r="AC323" s="604"/>
      <c r="AD323" s="379"/>
      <c r="AE323" s="379"/>
    </row>
    <row r="324" spans="21:31">
      <c r="V324" s="379" t="s">
        <v>2159</v>
      </c>
      <c r="W324" s="379" t="s">
        <v>2160</v>
      </c>
      <c r="X324" s="604">
        <v>5.2999999999999999E-2</v>
      </c>
      <c r="Y324" s="379">
        <f>Y282</f>
        <v>1647.3</v>
      </c>
      <c r="Z324" s="379">
        <f>ROUND(X324*Y324,0)</f>
        <v>87</v>
      </c>
      <c r="AA324" s="379" t="s">
        <v>2164</v>
      </c>
      <c r="AB324" s="379" t="s">
        <v>2162</v>
      </c>
      <c r="AC324" s="604">
        <v>7.0000000000000001E-3</v>
      </c>
      <c r="AD324" s="379">
        <f>AD283</f>
        <v>45000</v>
      </c>
      <c r="AE324" s="379">
        <f>ROUND(AC324*AD324,0)</f>
        <v>315</v>
      </c>
    </row>
    <row r="325" spans="21:31">
      <c r="V325" s="379" t="s">
        <v>2167</v>
      </c>
      <c r="W325" s="379" t="s">
        <v>143</v>
      </c>
      <c r="X325" s="604">
        <v>8.9999999999999993E-3</v>
      </c>
      <c r="Y325" s="379">
        <f>Y285</f>
        <v>6600</v>
      </c>
      <c r="Z325" s="379">
        <f>ROUND(X325*Y325,0)</f>
        <v>59</v>
      </c>
      <c r="AA325" s="379" t="s">
        <v>2166</v>
      </c>
      <c r="AB325" s="379" t="s">
        <v>2162</v>
      </c>
      <c r="AC325" s="604">
        <v>4.0000000000000001E-3</v>
      </c>
      <c r="AD325" s="379">
        <f>AD284</f>
        <v>424590</v>
      </c>
      <c r="AE325" s="379">
        <f>ROUND(AC325*AD325,0)</f>
        <v>1698</v>
      </c>
    </row>
    <row r="326" spans="21:31">
      <c r="V326" s="379" t="s">
        <v>2163</v>
      </c>
      <c r="W326" s="379" t="s">
        <v>146</v>
      </c>
      <c r="X326" s="604">
        <v>1.7999999999999999E-2</v>
      </c>
      <c r="Y326" s="379">
        <f>Y283</f>
        <v>16130</v>
      </c>
      <c r="Z326" s="379">
        <f>ROUND(X326*Y326,0)</f>
        <v>290</v>
      </c>
      <c r="AA326" s="379" t="s">
        <v>2168</v>
      </c>
      <c r="AB326" s="379" t="s">
        <v>2162</v>
      </c>
      <c r="AC326" s="604"/>
      <c r="AD326" s="379"/>
      <c r="AE326" s="379">
        <f>ROUND(AC326*AD326,0)</f>
        <v>0</v>
      </c>
    </row>
    <row r="327" spans="21:31">
      <c r="V327" s="379" t="s">
        <v>2165</v>
      </c>
      <c r="W327" s="379" t="s">
        <v>143</v>
      </c>
      <c r="X327" s="604">
        <v>8.9999999999999993E-3</v>
      </c>
      <c r="Y327" s="379">
        <f>Y284</f>
        <v>2500</v>
      </c>
      <c r="Z327" s="379">
        <f>ROUND(X327*Y327,0)</f>
        <v>23</v>
      </c>
      <c r="AA327" s="379"/>
      <c r="AB327" s="379"/>
      <c r="AC327" s="604"/>
      <c r="AD327" s="379"/>
      <c r="AE327" s="379"/>
    </row>
    <row r="328" spans="21:31">
      <c r="U328" s="332" t="s">
        <v>2195</v>
      </c>
      <c r="V328" s="379"/>
      <c r="W328" s="379"/>
      <c r="X328" s="604"/>
      <c r="Y328" s="379"/>
      <c r="Z328" s="379">
        <f>SUM(Z324:Z327)</f>
        <v>459</v>
      </c>
      <c r="AA328" s="379"/>
      <c r="AB328" s="379"/>
      <c r="AC328" s="604"/>
      <c r="AD328" s="379"/>
      <c r="AE328" s="379">
        <f>SUM(AE324:AE327)</f>
        <v>2013</v>
      </c>
    </row>
    <row r="330" spans="21:31">
      <c r="V330" s="385" t="s">
        <v>2180</v>
      </c>
      <c r="W330" s="385"/>
      <c r="X330" s="606"/>
      <c r="Y330" s="385"/>
      <c r="Z330" s="385"/>
      <c r="AA330" s="385"/>
      <c r="AB330" s="385"/>
      <c r="AC330" s="606"/>
      <c r="AD330" s="385"/>
      <c r="AE330" s="385"/>
    </row>
    <row r="331" spans="21:31">
      <c r="V331" s="386" t="s">
        <v>2154</v>
      </c>
      <c r="W331" s="386" t="s">
        <v>2155</v>
      </c>
      <c r="X331" s="607" t="s">
        <v>2156</v>
      </c>
      <c r="Y331" s="386" t="s">
        <v>2157</v>
      </c>
      <c r="Z331" s="386"/>
      <c r="AA331" s="386" t="s">
        <v>2158</v>
      </c>
      <c r="AB331" s="386" t="s">
        <v>2155</v>
      </c>
      <c r="AC331" s="607" t="s">
        <v>2156</v>
      </c>
      <c r="AD331" s="386" t="s">
        <v>7</v>
      </c>
      <c r="AE331" s="386"/>
    </row>
    <row r="332" spans="21:31">
      <c r="V332" s="382" t="s">
        <v>2159</v>
      </c>
      <c r="W332" s="382" t="s">
        <v>2160</v>
      </c>
      <c r="X332" s="601">
        <v>0.97699999999999998</v>
      </c>
      <c r="Y332" s="382">
        <v>1622</v>
      </c>
      <c r="Z332" s="382">
        <f t="shared" ref="Z332:Z339" si="148">ROUND(Y332*X332,0)</f>
        <v>1585</v>
      </c>
      <c r="AA332" s="382" t="s">
        <v>2164</v>
      </c>
      <c r="AB332" s="382" t="s">
        <v>2162</v>
      </c>
      <c r="AC332" s="601">
        <v>0.11700000000000001</v>
      </c>
      <c r="AD332" s="387">
        <f>AD283</f>
        <v>45000</v>
      </c>
      <c r="AE332" s="382">
        <f>AC332*AD332</f>
        <v>5265</v>
      </c>
    </row>
    <row r="333" spans="21:31">
      <c r="V333" s="382" t="s">
        <v>2181</v>
      </c>
      <c r="W333" s="382" t="s">
        <v>146</v>
      </c>
      <c r="X333" s="601">
        <v>0.217</v>
      </c>
      <c r="Y333" s="382">
        <v>8000</v>
      </c>
      <c r="Z333" s="382">
        <f t="shared" si="148"/>
        <v>1736</v>
      </c>
      <c r="AA333" s="382" t="s">
        <v>2166</v>
      </c>
      <c r="AB333" s="382" t="s">
        <v>2162</v>
      </c>
      <c r="AC333" s="601">
        <v>0.109</v>
      </c>
      <c r="AD333" s="387">
        <f>AD284</f>
        <v>424590</v>
      </c>
      <c r="AE333" s="382">
        <f>AC333*AD333</f>
        <v>46280.31</v>
      </c>
    </row>
    <row r="334" spans="21:31">
      <c r="V334" s="382" t="s">
        <v>2165</v>
      </c>
      <c r="W334" s="382" t="s">
        <v>143</v>
      </c>
      <c r="X334" s="601">
        <v>0.217</v>
      </c>
      <c r="Y334" s="382">
        <v>2500</v>
      </c>
      <c r="Z334" s="382">
        <f t="shared" si="148"/>
        <v>543</v>
      </c>
      <c r="AA334" s="382" t="s">
        <v>2182</v>
      </c>
      <c r="AB334" s="382" t="s">
        <v>2162</v>
      </c>
      <c r="AC334" s="601">
        <v>0.14599999999999999</v>
      </c>
      <c r="AD334" s="600">
        <v>791538</v>
      </c>
      <c r="AE334" s="382">
        <f>AC334*AD334</f>
        <v>115564.548</v>
      </c>
    </row>
    <row r="335" spans="21:31">
      <c r="V335" s="382" t="s">
        <v>2183</v>
      </c>
      <c r="W335" s="382" t="s">
        <v>1194</v>
      </c>
      <c r="X335" s="601">
        <v>0.434</v>
      </c>
      <c r="Y335" s="382">
        <v>8000</v>
      </c>
      <c r="Z335" s="382">
        <f t="shared" si="148"/>
        <v>3472</v>
      </c>
      <c r="AA335" s="382" t="s">
        <v>2184</v>
      </c>
      <c r="AB335" s="382" t="s">
        <v>2162</v>
      </c>
      <c r="AC335" s="601">
        <v>0.11700000000000001</v>
      </c>
      <c r="AD335" s="600">
        <v>160261</v>
      </c>
      <c r="AE335" s="382">
        <f>AC335*AD335</f>
        <v>18750.537</v>
      </c>
    </row>
    <row r="336" spans="21:31">
      <c r="V336" s="382" t="s">
        <v>2167</v>
      </c>
      <c r="W336" s="382" t="s">
        <v>143</v>
      </c>
      <c r="X336" s="601">
        <v>0.217</v>
      </c>
      <c r="Y336" s="382">
        <v>6600</v>
      </c>
      <c r="Z336" s="382">
        <f t="shared" si="148"/>
        <v>1432</v>
      </c>
      <c r="AA336" s="382" t="s">
        <v>2185</v>
      </c>
      <c r="AB336" s="382" t="s">
        <v>2162</v>
      </c>
      <c r="AC336" s="601">
        <v>0.23699999999999999</v>
      </c>
      <c r="AD336" s="600">
        <v>65557</v>
      </c>
      <c r="AE336" s="382">
        <f>AC336*AD336</f>
        <v>15537.009</v>
      </c>
    </row>
    <row r="337" spans="21:31">
      <c r="V337" s="382" t="s">
        <v>2169</v>
      </c>
      <c r="W337" s="382" t="s">
        <v>2170</v>
      </c>
      <c r="X337" s="601">
        <v>0.217</v>
      </c>
      <c r="Y337" s="382">
        <v>5000</v>
      </c>
      <c r="Z337" s="382">
        <f t="shared" si="148"/>
        <v>1085</v>
      </c>
      <c r="AA337" s="382"/>
      <c r="AB337" s="382"/>
      <c r="AC337" s="601"/>
      <c r="AD337" s="382"/>
      <c r="AE337" s="382"/>
    </row>
    <row r="338" spans="21:31">
      <c r="V338" s="382" t="s">
        <v>2186</v>
      </c>
      <c r="W338" s="382" t="s">
        <v>146</v>
      </c>
      <c r="X338" s="601">
        <v>0.86799999999999999</v>
      </c>
      <c r="Y338" s="382">
        <v>16130</v>
      </c>
      <c r="Z338" s="382">
        <f t="shared" si="148"/>
        <v>14001</v>
      </c>
      <c r="AA338" s="382"/>
      <c r="AB338" s="382"/>
      <c r="AC338" s="601"/>
      <c r="AD338" s="382"/>
      <c r="AE338" s="382"/>
    </row>
    <row r="339" spans="21:31">
      <c r="V339" s="382" t="s">
        <v>2187</v>
      </c>
      <c r="W339" s="382" t="s">
        <v>146</v>
      </c>
      <c r="X339" s="601">
        <v>0.217</v>
      </c>
      <c r="Y339" s="382">
        <v>27100</v>
      </c>
      <c r="Z339" s="382">
        <f t="shared" si="148"/>
        <v>5881</v>
      </c>
      <c r="AA339" s="382"/>
      <c r="AB339" s="382"/>
      <c r="AC339" s="601"/>
      <c r="AD339" s="382"/>
      <c r="AE339" s="382"/>
    </row>
    <row r="340" spans="21:31">
      <c r="U340" s="332" t="s">
        <v>2196</v>
      </c>
      <c r="V340" s="382"/>
      <c r="W340" s="382"/>
      <c r="X340" s="601"/>
      <c r="Y340" s="382"/>
      <c r="Z340" s="382">
        <f>SUM(Z332:Z339)</f>
        <v>29735</v>
      </c>
      <c r="AA340" s="382"/>
      <c r="AB340" s="382"/>
      <c r="AC340" s="601"/>
      <c r="AD340" s="382"/>
      <c r="AE340" s="382">
        <f>SUM(AE332:AE339)</f>
        <v>201397.40400000001</v>
      </c>
    </row>
  </sheetData>
  <autoFilter ref="M7:M271" xr:uid="{00000000-0009-0000-0000-00000C000000}">
    <filterColumn colId="0">
      <customFilters>
        <customFilter operator="notEqual" val=" "/>
      </customFilters>
    </filterColumn>
  </autoFilter>
  <mergeCells count="6">
    <mergeCell ref="J6:L6"/>
    <mergeCell ref="C6:C7"/>
    <mergeCell ref="D6:D7"/>
    <mergeCell ref="E6:E7"/>
    <mergeCell ref="F6:F7"/>
    <mergeCell ref="G6:I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H375"/>
  <sheetViews>
    <sheetView view="pageBreakPreview" topLeftCell="A345" zoomScale="80" zoomScaleNormal="100" zoomScaleSheetLayoutView="80" workbookViewId="0">
      <selection activeCell="F43" sqref="F43"/>
    </sheetView>
  </sheetViews>
  <sheetFormatPr defaultColWidth="9.109375" defaultRowHeight="15.6"/>
  <cols>
    <col min="1" max="1" width="9.109375" style="405"/>
    <col min="2" max="2" width="16" style="405" customWidth="1"/>
    <col min="3" max="3" width="5.6640625" style="405" customWidth="1"/>
    <col min="4" max="4" width="12" style="405" customWidth="1"/>
    <col min="5" max="5" width="39.5546875" style="405" customWidth="1"/>
    <col min="6" max="6" width="6" style="405" customWidth="1"/>
    <col min="7" max="8" width="9.6640625" style="405" customWidth="1"/>
    <col min="9" max="12" width="10.5546875" style="405" customWidth="1"/>
    <col min="13" max="13" width="12.44140625" style="405" bestFit="1" customWidth="1"/>
    <col min="14" max="14" width="12.5546875" style="405" customWidth="1"/>
    <col min="15" max="15" width="9.44140625" style="405" bestFit="1" customWidth="1"/>
    <col min="16" max="16" width="9.109375" style="405"/>
    <col min="17" max="19" width="10.6640625" style="650" customWidth="1"/>
    <col min="20" max="22" width="10.6640625" style="405" customWidth="1"/>
    <col min="23" max="25" width="10.6640625" style="650" customWidth="1"/>
    <col min="26" max="28" width="10.6640625" style="405" customWidth="1"/>
    <col min="29" max="29" width="9.109375" style="405"/>
    <col min="30" max="31" width="9.109375" style="651"/>
    <col min="32" max="16384" width="9.109375" style="405"/>
  </cols>
  <sheetData>
    <row r="1" spans="2:34">
      <c r="C1" s="405" t="s">
        <v>1623</v>
      </c>
    </row>
    <row r="2" spans="2:34">
      <c r="B2" s="652">
        <v>1</v>
      </c>
      <c r="C2" s="652">
        <v>2</v>
      </c>
      <c r="D2" s="652">
        <v>3</v>
      </c>
      <c r="E2" s="652">
        <v>4</v>
      </c>
      <c r="F2" s="652">
        <v>5</v>
      </c>
      <c r="G2" s="652">
        <v>6</v>
      </c>
      <c r="H2" s="652">
        <v>7</v>
      </c>
      <c r="I2" s="652">
        <v>8</v>
      </c>
      <c r="J2" s="652">
        <v>9</v>
      </c>
      <c r="K2" s="652">
        <v>10</v>
      </c>
      <c r="L2" s="652">
        <v>11</v>
      </c>
      <c r="M2" s="652">
        <v>12</v>
      </c>
      <c r="N2" s="652">
        <v>13</v>
      </c>
    </row>
    <row r="3" spans="2:34">
      <c r="C3" s="610" t="s">
        <v>2474</v>
      </c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Q3" s="653"/>
      <c r="R3" s="653"/>
      <c r="S3" s="653"/>
      <c r="T3" s="610"/>
      <c r="U3" s="610"/>
      <c r="V3" s="610"/>
    </row>
    <row r="5" spans="2:34" ht="15.75" customHeight="1">
      <c r="C5" s="1024" t="s">
        <v>2204</v>
      </c>
      <c r="D5" s="1024" t="s">
        <v>1893</v>
      </c>
      <c r="E5" s="1024" t="s">
        <v>2205</v>
      </c>
      <c r="F5" s="1024" t="s">
        <v>1747</v>
      </c>
      <c r="G5" s="1024" t="s">
        <v>2257</v>
      </c>
      <c r="H5" s="1024" t="s">
        <v>2258</v>
      </c>
      <c r="I5" s="1021" t="s">
        <v>2259</v>
      </c>
      <c r="J5" s="1023"/>
      <c r="K5" s="1021" t="s">
        <v>2260</v>
      </c>
      <c r="L5" s="1023"/>
      <c r="M5" s="1021" t="s">
        <v>1627</v>
      </c>
      <c r="N5" s="1023"/>
      <c r="O5" s="408"/>
      <c r="P5" s="1040" t="s">
        <v>2212</v>
      </c>
      <c r="Q5" s="1038" t="s">
        <v>2206</v>
      </c>
      <c r="R5" s="1038" t="s">
        <v>2207</v>
      </c>
      <c r="S5" s="1038" t="s">
        <v>2208</v>
      </c>
      <c r="T5" s="1037" t="s">
        <v>2209</v>
      </c>
      <c r="U5" s="1037" t="s">
        <v>2210</v>
      </c>
      <c r="V5" s="1037" t="s">
        <v>2211</v>
      </c>
      <c r="W5" s="1038" t="s">
        <v>2292</v>
      </c>
      <c r="X5" s="1038" t="s">
        <v>2252</v>
      </c>
      <c r="Y5" s="1038" t="s">
        <v>2253</v>
      </c>
      <c r="Z5" s="1037" t="s">
        <v>2293</v>
      </c>
      <c r="AA5" s="1037" t="s">
        <v>2252</v>
      </c>
      <c r="AB5" s="1037" t="s">
        <v>2253</v>
      </c>
      <c r="AC5" s="1037" t="s">
        <v>2292</v>
      </c>
      <c r="AD5" s="1039" t="s">
        <v>2252</v>
      </c>
      <c r="AE5" s="1039" t="s">
        <v>2253</v>
      </c>
      <c r="AF5" s="1037" t="s">
        <v>2293</v>
      </c>
      <c r="AG5" s="1037" t="s">
        <v>2252</v>
      </c>
      <c r="AH5" s="1037" t="s">
        <v>2253</v>
      </c>
    </row>
    <row r="6" spans="2:34" ht="31.5" customHeight="1">
      <c r="C6" s="1025"/>
      <c r="D6" s="1025"/>
      <c r="E6" s="1025"/>
      <c r="F6" s="1025"/>
      <c r="G6" s="1025"/>
      <c r="H6" s="1025"/>
      <c r="I6" s="836" t="s">
        <v>2261</v>
      </c>
      <c r="J6" s="836" t="s">
        <v>2262</v>
      </c>
      <c r="K6" s="836" t="s">
        <v>2261</v>
      </c>
      <c r="L6" s="836" t="s">
        <v>2262</v>
      </c>
      <c r="M6" s="836" t="s">
        <v>2255</v>
      </c>
      <c r="N6" s="836" t="s">
        <v>2256</v>
      </c>
      <c r="O6" s="408"/>
      <c r="P6" s="1040"/>
      <c r="Q6" s="1038"/>
      <c r="R6" s="1038"/>
      <c r="S6" s="1038"/>
      <c r="T6" s="1037"/>
      <c r="U6" s="1037"/>
      <c r="V6" s="1037"/>
      <c r="W6" s="1038"/>
      <c r="X6" s="1038"/>
      <c r="Y6" s="1038"/>
      <c r="Z6" s="1037"/>
      <c r="AA6" s="1037"/>
      <c r="AB6" s="1037"/>
      <c r="AC6" s="1037"/>
      <c r="AD6" s="1039"/>
      <c r="AE6" s="1039"/>
      <c r="AF6" s="1037"/>
      <c r="AG6" s="1037"/>
      <c r="AH6" s="1037"/>
    </row>
    <row r="7" spans="2:34">
      <c r="B7" s="405" t="s">
        <v>1844</v>
      </c>
      <c r="C7" s="538" t="s">
        <v>1631</v>
      </c>
      <c r="D7" s="539" t="str">
        <f>VLOOKUP(B7,XLDD,'3.XL-DD'!$D$2,0)</f>
        <v>Phần đường dây trung thế</v>
      </c>
      <c r="E7" s="539"/>
      <c r="F7" s="538"/>
      <c r="G7" s="539"/>
      <c r="H7" s="539"/>
      <c r="I7" s="539"/>
      <c r="J7" s="539"/>
      <c r="K7" s="539"/>
      <c r="L7" s="539"/>
      <c r="M7" s="539">
        <f>SUM(M8:M41)</f>
        <v>2110723</v>
      </c>
      <c r="N7" s="539">
        <f>SUM(N8:N41)</f>
        <v>812111</v>
      </c>
      <c r="O7" s="418">
        <f>IF((M7+N7)&lt;&gt;0,1,)</f>
        <v>1</v>
      </c>
      <c r="P7" s="525"/>
      <c r="Q7" s="654"/>
      <c r="R7" s="655"/>
      <c r="S7" s="655"/>
      <c r="T7" s="539"/>
      <c r="U7" s="539"/>
      <c r="V7" s="539"/>
      <c r="W7" s="654"/>
      <c r="X7" s="654"/>
      <c r="Y7" s="654"/>
      <c r="Z7" s="539"/>
      <c r="AA7" s="539"/>
      <c r="AB7" s="539"/>
      <c r="AC7" s="525"/>
      <c r="AD7" s="626"/>
      <c r="AE7" s="626"/>
      <c r="AF7" s="525"/>
      <c r="AG7" s="525"/>
      <c r="AH7" s="525"/>
    </row>
    <row r="8" spans="2:34" hidden="1">
      <c r="C8" s="523">
        <f>IF(SUM(G8:H8)&lt;&gt;0,1,)</f>
        <v>0</v>
      </c>
      <c r="D8" s="523" t="s">
        <v>2270</v>
      </c>
      <c r="E8" s="525" t="s">
        <v>2301</v>
      </c>
      <c r="F8" s="523" t="s">
        <v>276</v>
      </c>
      <c r="G8" s="525"/>
      <c r="H8" s="525"/>
      <c r="I8" s="525">
        <f>ROUND(VLOOKUP($P8,DGNC,DG!$S$4,0)*R8*S8,0)</f>
        <v>328984</v>
      </c>
      <c r="J8" s="525">
        <f>ROUND(VLOOKUP($P8,DGNC,DG!$S$4,0)*U8*V8,0)</f>
        <v>402091</v>
      </c>
      <c r="K8" s="525">
        <f t="shared" ref="K8:K41" si="0">ROUND(IF(W8&lt;&gt;0,VLOOKUP(W8,DGMTC,8,0)*X8*Y8,)+IF(AC8&lt;&gt;0,VLOOKUP(AC8,DGMTC,8,0)*AD8*AE8,),0)</f>
        <v>109975</v>
      </c>
      <c r="L8" s="525">
        <f>ROUND(IF(Z8&lt;&gt;0,VLOOKUP(Z8,DGMTC,8,0)*AA8*AB8,)+IF(AF8&lt;&gt;0,VLOOKUP(AF8,DGMTC,8,0)*AG8*AH8,),0)</f>
        <v>134414</v>
      </c>
      <c r="M8" s="525">
        <f t="shared" ref="M8:M18" si="1">ROUND(G8*I8+H8*J8,0)</f>
        <v>0</v>
      </c>
      <c r="N8" s="525">
        <f t="shared" ref="N8:N18" si="2">ROUND(G8*K8+H8*L8,0)</f>
        <v>0</v>
      </c>
      <c r="O8" s="418">
        <f t="shared" ref="O8:O41" si="3">IF((M8+N8)&lt;&gt;0,1,)</f>
        <v>0</v>
      </c>
      <c r="P8" s="525" t="s">
        <v>289</v>
      </c>
      <c r="Q8" s="525" t="s">
        <v>2216</v>
      </c>
      <c r="R8" s="626">
        <v>3.33</v>
      </c>
      <c r="S8" s="626">
        <v>0.45</v>
      </c>
      <c r="T8" s="525" t="s">
        <v>2216</v>
      </c>
      <c r="U8" s="626">
        <v>3.33</v>
      </c>
      <c r="V8" s="626">
        <v>0.55000000000000004</v>
      </c>
      <c r="W8" s="523" t="s">
        <v>603</v>
      </c>
      <c r="X8" s="626">
        <v>0.126</v>
      </c>
      <c r="Y8" s="626">
        <v>0.45</v>
      </c>
      <c r="Z8" s="523" t="s">
        <v>603</v>
      </c>
      <c r="AA8" s="626">
        <v>0.126</v>
      </c>
      <c r="AB8" s="626">
        <v>0.55000000000000004</v>
      </c>
      <c r="AC8" s="525"/>
      <c r="AD8" s="626"/>
      <c r="AE8" s="626"/>
      <c r="AF8" s="525"/>
      <c r="AG8" s="525"/>
      <c r="AH8" s="525"/>
    </row>
    <row r="9" spans="2:34" hidden="1">
      <c r="C9" s="523">
        <f>IF(SUM(G9:H9)&lt;&gt;0,C8+1,C8)</f>
        <v>0</v>
      </c>
      <c r="D9" s="523" t="s">
        <v>2294</v>
      </c>
      <c r="E9" s="525" t="s">
        <v>2300</v>
      </c>
      <c r="F9" s="523" t="s">
        <v>276</v>
      </c>
      <c r="G9" s="525"/>
      <c r="H9" s="525"/>
      <c r="I9" s="525">
        <f>ROUND(VLOOKUP($P9,DGNC,DG!$S$4,0)*R9*S9,0)</f>
        <v>352101</v>
      </c>
      <c r="J9" s="525">
        <f>ROUND(VLOOKUP($P9,DGNC,DG!$S$4,0)*U9*V9,0)</f>
        <v>430346</v>
      </c>
      <c r="K9" s="525">
        <f t="shared" si="0"/>
        <v>109975</v>
      </c>
      <c r="L9" s="525">
        <f>ROUND(IF(Z9&lt;&gt;0,VLOOKUP(Z9,DGMTC,8,0)*AA9*AB9,)+IF(AF9&lt;&gt;0,VLOOKUP(AF9,DGMTC,8,0)*AG9*AH9,),0)</f>
        <v>134414</v>
      </c>
      <c r="M9" s="525">
        <f t="shared" si="1"/>
        <v>0</v>
      </c>
      <c r="N9" s="525">
        <f t="shared" si="2"/>
        <v>0</v>
      </c>
      <c r="O9" s="418">
        <f t="shared" si="3"/>
        <v>0</v>
      </c>
      <c r="P9" s="525" t="s">
        <v>289</v>
      </c>
      <c r="Q9" s="525" t="s">
        <v>2216</v>
      </c>
      <c r="R9" s="626">
        <v>3.5640000000000001</v>
      </c>
      <c r="S9" s="626">
        <v>0.45</v>
      </c>
      <c r="T9" s="525" t="s">
        <v>2216</v>
      </c>
      <c r="U9" s="626">
        <v>3.5640000000000001</v>
      </c>
      <c r="V9" s="626">
        <v>0.55000000000000004</v>
      </c>
      <c r="W9" s="523" t="s">
        <v>603</v>
      </c>
      <c r="X9" s="626">
        <v>0.126</v>
      </c>
      <c r="Y9" s="626">
        <v>0.45</v>
      </c>
      <c r="Z9" s="523" t="s">
        <v>603</v>
      </c>
      <c r="AA9" s="626">
        <v>0.126</v>
      </c>
      <c r="AB9" s="626">
        <v>0.55000000000000004</v>
      </c>
      <c r="AC9" s="525"/>
      <c r="AD9" s="626"/>
      <c r="AE9" s="626"/>
      <c r="AF9" s="525"/>
      <c r="AG9" s="525"/>
      <c r="AH9" s="525"/>
    </row>
    <row r="10" spans="2:34" ht="31.2">
      <c r="C10" s="523">
        <f t="shared" ref="C10:C41" si="4">IF(SUM(G10:H10)&lt;&gt;0,C9+1,C9)</f>
        <v>1</v>
      </c>
      <c r="D10" s="636" t="s">
        <v>3538</v>
      </c>
      <c r="E10" s="525" t="s">
        <v>2232</v>
      </c>
      <c r="F10" s="523" t="s">
        <v>276</v>
      </c>
      <c r="G10" s="525">
        <f>PP3P!EF361</f>
        <v>1</v>
      </c>
      <c r="H10" s="525"/>
      <c r="I10" s="525">
        <f>ROUND(VLOOKUP($P10,DGNC,DG!$S$4,0)*R10*S10,0)</f>
        <v>352101</v>
      </c>
      <c r="J10" s="525">
        <f>ROUND(VLOOKUP($P10,DGNC,DG!$S$4,0)*U10*V10,0)</f>
        <v>460775</v>
      </c>
      <c r="K10" s="525">
        <f t="shared" si="0"/>
        <v>109975</v>
      </c>
      <c r="L10" s="525">
        <f>ROUND(IF(Z10&lt;&gt;0,VLOOKUP(Z10,DGMTC,8,0)*AA10*AB10,)+IF(AF10&lt;&gt;0,VLOOKUP(AF10,DGMTC,8,0)*AG10*AH10,),0)</f>
        <v>192021</v>
      </c>
      <c r="M10" s="525">
        <f>ROUND(G10*I10+H10*J10,0)</f>
        <v>352101</v>
      </c>
      <c r="N10" s="525">
        <f t="shared" si="2"/>
        <v>109975</v>
      </c>
      <c r="O10" s="418">
        <f t="shared" si="3"/>
        <v>1</v>
      </c>
      <c r="P10" s="525" t="s">
        <v>289</v>
      </c>
      <c r="Q10" s="656" t="s">
        <v>2216</v>
      </c>
      <c r="R10" s="657">
        <v>3.5640000000000001</v>
      </c>
      <c r="S10" s="657">
        <v>0.45</v>
      </c>
      <c r="T10" s="525" t="s">
        <v>2216</v>
      </c>
      <c r="U10" s="626">
        <v>3.8159999999999998</v>
      </c>
      <c r="V10" s="626">
        <v>0.55000000000000004</v>
      </c>
      <c r="W10" s="658" t="s">
        <v>603</v>
      </c>
      <c r="X10" s="657">
        <v>0.126</v>
      </c>
      <c r="Y10" s="657">
        <v>0.45</v>
      </c>
      <c r="Z10" s="523" t="s">
        <v>603</v>
      </c>
      <c r="AA10" s="626">
        <v>0.18</v>
      </c>
      <c r="AB10" s="626">
        <v>0.55000000000000004</v>
      </c>
      <c r="AC10" s="525"/>
      <c r="AD10" s="626"/>
      <c r="AE10" s="626"/>
      <c r="AF10" s="525"/>
      <c r="AG10" s="525"/>
      <c r="AH10" s="525"/>
    </row>
    <row r="11" spans="2:34" ht="31.2">
      <c r="C11" s="523">
        <f t="shared" si="4"/>
        <v>2</v>
      </c>
      <c r="D11" s="636" t="s">
        <v>3539</v>
      </c>
      <c r="E11" s="525" t="s">
        <v>2230</v>
      </c>
      <c r="F11" s="523" t="s">
        <v>276</v>
      </c>
      <c r="G11" s="664">
        <f>PP3P!EE361</f>
        <v>2</v>
      </c>
      <c r="H11" s="664">
        <f>PP3P!S361</f>
        <v>2</v>
      </c>
      <c r="I11" s="525">
        <f>ROUND(VLOOKUP($P11,DGNC,DG!$S$4,0)*R11*S11,0)</f>
        <v>376998</v>
      </c>
      <c r="J11" s="525">
        <f>ROUND(VLOOKUP($T11,DGNC,DG!$S$4,0)*U11*V11,0)</f>
        <v>502313</v>
      </c>
      <c r="K11" s="525">
        <f t="shared" si="0"/>
        <v>157108</v>
      </c>
      <c r="L11" s="525">
        <f>ROUND(IF(Z11&lt;&gt;0,VLOOKUP(Z11,DGMTC,8,0)*AA11*AB11,)+IF(AF11&lt;&gt;0,VLOOKUP(AF11,DGMTC,8,0)*AG11*AH11,),0)</f>
        <v>193960</v>
      </c>
      <c r="M11" s="525">
        <f t="shared" si="1"/>
        <v>1758622</v>
      </c>
      <c r="N11" s="525">
        <f t="shared" si="2"/>
        <v>702136</v>
      </c>
      <c r="O11" s="418">
        <f t="shared" si="3"/>
        <v>1</v>
      </c>
      <c r="P11" s="525" t="s">
        <v>289</v>
      </c>
      <c r="Q11" s="656" t="s">
        <v>2216</v>
      </c>
      <c r="R11" s="657">
        <v>3.8159999999999998</v>
      </c>
      <c r="S11" s="657">
        <v>0.45</v>
      </c>
      <c r="T11" s="525" t="s">
        <v>12</v>
      </c>
      <c r="U11" s="626">
        <v>2.12</v>
      </c>
      <c r="V11" s="626">
        <v>1</v>
      </c>
      <c r="W11" s="658" t="s">
        <v>603</v>
      </c>
      <c r="X11" s="657">
        <v>0.18</v>
      </c>
      <c r="Y11" s="657">
        <v>0.45</v>
      </c>
      <c r="Z11" s="523" t="s">
        <v>603</v>
      </c>
      <c r="AA11" s="626">
        <v>0.1</v>
      </c>
      <c r="AB11" s="626">
        <v>1</v>
      </c>
      <c r="AC11" s="549"/>
      <c r="AD11" s="626"/>
      <c r="AE11" s="626"/>
      <c r="AF11" s="525"/>
      <c r="AG11" s="525"/>
      <c r="AH11" s="525"/>
    </row>
    <row r="12" spans="2:34" hidden="1">
      <c r="C12" s="523">
        <f t="shared" si="4"/>
        <v>2</v>
      </c>
      <c r="D12" s="523" t="s">
        <v>2295</v>
      </c>
      <c r="E12" s="525" t="s">
        <v>2229</v>
      </c>
      <c r="F12" s="523" t="s">
        <v>276</v>
      </c>
      <c r="G12" s="525"/>
      <c r="H12" s="525"/>
      <c r="I12" s="525">
        <f>ROUND(VLOOKUP($P12,DGNC,DG!$S$4,0)*R12*S12,0)</f>
        <v>469469</v>
      </c>
      <c r="J12" s="525">
        <f>ROUND(VLOOKUP($P12,DGNC,DG!$S$4,0)*U12*V12,0)</f>
        <v>573795</v>
      </c>
      <c r="K12" s="525">
        <f t="shared" si="0"/>
        <v>157108</v>
      </c>
      <c r="L12" s="525">
        <f t="shared" ref="L12:L41" si="5">ROUND(IF(Z12&lt;&gt;0,VLOOKUP(Z12,DGMTC,8,0)*AA12*AB12,)+IF(AF12&lt;&gt;0,VLOOKUP(AF12,DGMTC,8,0)*AG12*AH12,),0)</f>
        <v>192021</v>
      </c>
      <c r="M12" s="525">
        <f t="shared" si="1"/>
        <v>0</v>
      </c>
      <c r="N12" s="525">
        <f t="shared" si="2"/>
        <v>0</v>
      </c>
      <c r="O12" s="418">
        <f t="shared" si="3"/>
        <v>0</v>
      </c>
      <c r="P12" s="525" t="s">
        <v>289</v>
      </c>
      <c r="Q12" s="525" t="s">
        <v>2216</v>
      </c>
      <c r="R12" s="626">
        <v>4.7519999999999998</v>
      </c>
      <c r="S12" s="626">
        <v>0.45</v>
      </c>
      <c r="T12" s="525" t="s">
        <v>2216</v>
      </c>
      <c r="U12" s="626">
        <v>4.7519999999999998</v>
      </c>
      <c r="V12" s="626">
        <v>0.55000000000000004</v>
      </c>
      <c r="W12" s="523" t="s">
        <v>603</v>
      </c>
      <c r="X12" s="626">
        <v>0.18</v>
      </c>
      <c r="Y12" s="626">
        <v>0.45</v>
      </c>
      <c r="Z12" s="523" t="s">
        <v>603</v>
      </c>
      <c r="AA12" s="626">
        <v>0.18</v>
      </c>
      <c r="AB12" s="626">
        <v>0.55000000000000004</v>
      </c>
      <c r="AC12" s="525"/>
      <c r="AD12" s="626"/>
      <c r="AE12" s="626"/>
      <c r="AF12" s="525"/>
      <c r="AG12" s="525"/>
      <c r="AH12" s="525"/>
    </row>
    <row r="13" spans="2:34" hidden="1">
      <c r="C13" s="523">
        <f t="shared" si="4"/>
        <v>2</v>
      </c>
      <c r="D13" s="523" t="s">
        <v>2296</v>
      </c>
      <c r="E13" s="525" t="s">
        <v>2266</v>
      </c>
      <c r="F13" s="523" t="s">
        <v>138</v>
      </c>
      <c r="G13" s="525">
        <f>PP3P!EH361</f>
        <v>0</v>
      </c>
      <c r="H13" s="525"/>
      <c r="I13" s="525">
        <f>ROUND(VLOOKUP($P13,DGNC,DG!$S$4,0)*R13*S13,0)</f>
        <v>226732</v>
      </c>
      <c r="J13" s="525"/>
      <c r="K13" s="525">
        <f t="shared" si="0"/>
        <v>0</v>
      </c>
      <c r="L13" s="525">
        <f t="shared" si="5"/>
        <v>0</v>
      </c>
      <c r="M13" s="525">
        <f t="shared" si="1"/>
        <v>0</v>
      </c>
      <c r="N13" s="525">
        <f t="shared" si="2"/>
        <v>0</v>
      </c>
      <c r="O13" s="418">
        <f t="shared" si="3"/>
        <v>0</v>
      </c>
      <c r="P13" s="525" t="s">
        <v>289</v>
      </c>
      <c r="Q13" s="656" t="s">
        <v>2216</v>
      </c>
      <c r="R13" s="657">
        <v>1.53</v>
      </c>
      <c r="S13" s="657">
        <f>0.45*1.5</f>
        <v>0.67500000000000004</v>
      </c>
      <c r="T13" s="525" t="s">
        <v>2216</v>
      </c>
      <c r="U13" s="626">
        <v>1.53</v>
      </c>
      <c r="V13" s="626">
        <f>0.55*1.5</f>
        <v>0.82500000000000007</v>
      </c>
      <c r="W13" s="658"/>
      <c r="X13" s="657"/>
      <c r="Y13" s="657"/>
      <c r="Z13" s="523"/>
      <c r="AA13" s="626"/>
      <c r="AB13" s="626"/>
      <c r="AC13" s="525"/>
      <c r="AD13" s="626"/>
      <c r="AE13" s="626"/>
      <c r="AF13" s="525"/>
      <c r="AG13" s="525"/>
      <c r="AH13" s="525"/>
    </row>
    <row r="14" spans="2:34" hidden="1">
      <c r="C14" s="523">
        <f t="shared" si="4"/>
        <v>2</v>
      </c>
      <c r="D14" s="523" t="s">
        <v>2297</v>
      </c>
      <c r="E14" s="525" t="s">
        <v>2267</v>
      </c>
      <c r="F14" s="523" t="s">
        <v>138</v>
      </c>
      <c r="G14" s="525"/>
      <c r="H14" s="525"/>
      <c r="I14" s="525">
        <f>ROUND(VLOOKUP($P14,DGNC,DG!$S$4,0)*R14*S14,0)</f>
        <v>306755</v>
      </c>
      <c r="J14" s="525">
        <f>ROUND(VLOOKUP($P14,DGNC,DG!$S$4,0)*U14*V14,0)</f>
        <v>374923</v>
      </c>
      <c r="K14" s="525">
        <f t="shared" si="0"/>
        <v>0</v>
      </c>
      <c r="L14" s="525">
        <f t="shared" si="5"/>
        <v>0</v>
      </c>
      <c r="M14" s="525">
        <f t="shared" si="1"/>
        <v>0</v>
      </c>
      <c r="N14" s="525">
        <f t="shared" si="2"/>
        <v>0</v>
      </c>
      <c r="O14" s="418">
        <f t="shared" si="3"/>
        <v>0</v>
      </c>
      <c r="P14" s="525" t="s">
        <v>289</v>
      </c>
      <c r="Q14" s="525" t="s">
        <v>2216</v>
      </c>
      <c r="R14" s="626">
        <v>2.0699999999999998</v>
      </c>
      <c r="S14" s="626">
        <f t="shared" ref="S14:S20" si="6">0.45*1.5</f>
        <v>0.67500000000000004</v>
      </c>
      <c r="T14" s="525" t="s">
        <v>2216</v>
      </c>
      <c r="U14" s="626">
        <v>2.0699999999999998</v>
      </c>
      <c r="V14" s="626">
        <f t="shared" ref="V14:V20" si="7">0.55*1.5</f>
        <v>0.82500000000000007</v>
      </c>
      <c r="W14" s="523"/>
      <c r="X14" s="626"/>
      <c r="Y14" s="626"/>
      <c r="Z14" s="523"/>
      <c r="AA14" s="626"/>
      <c r="AB14" s="626"/>
      <c r="AC14" s="525"/>
      <c r="AD14" s="626"/>
      <c r="AE14" s="626"/>
      <c r="AF14" s="525"/>
      <c r="AG14" s="525"/>
      <c r="AH14" s="525"/>
    </row>
    <row r="15" spans="2:34" ht="31.2" hidden="1">
      <c r="C15" s="523">
        <f t="shared" si="4"/>
        <v>2</v>
      </c>
      <c r="D15" s="636" t="s">
        <v>2797</v>
      </c>
      <c r="E15" s="525" t="s">
        <v>2228</v>
      </c>
      <c r="F15" s="523" t="s">
        <v>138</v>
      </c>
      <c r="G15" s="525"/>
      <c r="H15" s="525"/>
      <c r="I15" s="525">
        <f>ROUND(VLOOKUP($P15,DGNC,DG!$S$4,0)*R15*S15,0)</f>
        <v>226732</v>
      </c>
      <c r="J15" s="525">
        <f>ROUND(VLOOKUP($T15,DGNC,DG!$S$4,0)*U15*V15,0)</f>
        <v>283835</v>
      </c>
      <c r="K15" s="525">
        <f t="shared" si="0"/>
        <v>0</v>
      </c>
      <c r="L15" s="525">
        <f t="shared" si="5"/>
        <v>0</v>
      </c>
      <c r="M15" s="525">
        <f t="shared" si="1"/>
        <v>0</v>
      </c>
      <c r="N15" s="525">
        <f t="shared" si="2"/>
        <v>0</v>
      </c>
      <c r="O15" s="418">
        <f t="shared" si="3"/>
        <v>0</v>
      </c>
      <c r="P15" s="525" t="s">
        <v>289</v>
      </c>
      <c r="Q15" s="525" t="s">
        <v>2216</v>
      </c>
      <c r="R15" s="626">
        <v>1.53</v>
      </c>
      <c r="S15" s="626">
        <f t="shared" si="6"/>
        <v>0.67500000000000004</v>
      </c>
      <c r="T15" s="659" t="s">
        <v>289</v>
      </c>
      <c r="U15" s="660">
        <v>0.85</v>
      </c>
      <c r="V15" s="626">
        <f>1.014*1.5</f>
        <v>1.5209999999999999</v>
      </c>
      <c r="W15" s="523"/>
      <c r="X15" s="626"/>
      <c r="Y15" s="626"/>
      <c r="Z15" s="523"/>
      <c r="AA15" s="626"/>
      <c r="AB15" s="626"/>
      <c r="AC15" s="525"/>
      <c r="AD15" s="626"/>
      <c r="AE15" s="626"/>
      <c r="AF15" s="525"/>
      <c r="AG15" s="525"/>
      <c r="AH15" s="525"/>
    </row>
    <row r="16" spans="2:34" hidden="1">
      <c r="C16" s="523">
        <f t="shared" si="4"/>
        <v>2</v>
      </c>
      <c r="D16" s="523" t="s">
        <v>2297</v>
      </c>
      <c r="E16" s="525" t="s">
        <v>2263</v>
      </c>
      <c r="F16" s="523" t="s">
        <v>138</v>
      </c>
      <c r="G16" s="525"/>
      <c r="H16" s="525"/>
      <c r="I16" s="525">
        <f>ROUND(VLOOKUP($P16,DGNC,DG!$S$4,0)*R16*S16,0)</f>
        <v>306755</v>
      </c>
      <c r="J16" s="525">
        <f>ROUND(VLOOKUP($P16,DGNC,DG!$S$4,0)*U16*V16,0)</f>
        <v>374923</v>
      </c>
      <c r="K16" s="525">
        <f t="shared" si="0"/>
        <v>0</v>
      </c>
      <c r="L16" s="525">
        <f t="shared" si="5"/>
        <v>0</v>
      </c>
      <c r="M16" s="525">
        <f t="shared" si="1"/>
        <v>0</v>
      </c>
      <c r="N16" s="525">
        <f t="shared" si="2"/>
        <v>0</v>
      </c>
      <c r="O16" s="418">
        <f t="shared" si="3"/>
        <v>0</v>
      </c>
      <c r="P16" s="525" t="s">
        <v>289</v>
      </c>
      <c r="Q16" s="525" t="s">
        <v>2216</v>
      </c>
      <c r="R16" s="626">
        <v>2.0699999999999998</v>
      </c>
      <c r="S16" s="626">
        <f t="shared" si="6"/>
        <v>0.67500000000000004</v>
      </c>
      <c r="T16" s="525" t="s">
        <v>2216</v>
      </c>
      <c r="U16" s="626">
        <v>2.0699999999999998</v>
      </c>
      <c r="V16" s="626">
        <f t="shared" si="7"/>
        <v>0.82500000000000007</v>
      </c>
      <c r="W16" s="523"/>
      <c r="X16" s="626"/>
      <c r="Y16" s="626"/>
      <c r="Z16" s="523"/>
      <c r="AA16" s="626"/>
      <c r="AB16" s="626"/>
      <c r="AC16" s="525"/>
      <c r="AD16" s="626"/>
      <c r="AE16" s="626"/>
      <c r="AF16" s="525"/>
      <c r="AG16" s="525"/>
      <c r="AH16" s="525"/>
    </row>
    <row r="17" spans="3:34" hidden="1">
      <c r="C17" s="523">
        <f t="shared" si="4"/>
        <v>2</v>
      </c>
      <c r="D17" s="523" t="s">
        <v>2296</v>
      </c>
      <c r="E17" s="525" t="s">
        <v>2265</v>
      </c>
      <c r="F17" s="523" t="s">
        <v>138</v>
      </c>
      <c r="G17" s="525">
        <f>PP3P!FC361</f>
        <v>0</v>
      </c>
      <c r="H17" s="525">
        <f>G17</f>
        <v>0</v>
      </c>
      <c r="I17" s="525">
        <f>ROUND(VLOOKUP($P17,DGNC,DG!$S$4,0)*R17*S17,0)</f>
        <v>226732</v>
      </c>
      <c r="J17" s="525">
        <f>ROUND(VLOOKUP($T17,DGNC,DG!$S$4,0)*U17*V17,0)</f>
        <v>297271</v>
      </c>
      <c r="K17" s="525">
        <f t="shared" si="0"/>
        <v>0</v>
      </c>
      <c r="L17" s="525">
        <f t="shared" si="5"/>
        <v>0</v>
      </c>
      <c r="M17" s="525">
        <f t="shared" si="1"/>
        <v>0</v>
      </c>
      <c r="N17" s="525">
        <f t="shared" si="2"/>
        <v>0</v>
      </c>
      <c r="O17" s="418">
        <f t="shared" si="3"/>
        <v>0</v>
      </c>
      <c r="P17" s="525" t="s">
        <v>289</v>
      </c>
      <c r="Q17" s="656" t="s">
        <v>2216</v>
      </c>
      <c r="R17" s="657">
        <v>1.53</v>
      </c>
      <c r="S17" s="657">
        <f t="shared" si="6"/>
        <v>0.67500000000000004</v>
      </c>
      <c r="T17" s="659" t="s">
        <v>289</v>
      </c>
      <c r="U17" s="660">
        <v>0.85</v>
      </c>
      <c r="V17" s="626">
        <f>1.5*1.062</f>
        <v>1.593</v>
      </c>
      <c r="W17" s="658"/>
      <c r="X17" s="657"/>
      <c r="Y17" s="657"/>
      <c r="Z17" s="523"/>
      <c r="AA17" s="626"/>
      <c r="AB17" s="626"/>
      <c r="AC17" s="525"/>
      <c r="AD17" s="626"/>
      <c r="AE17" s="626"/>
      <c r="AF17" s="525"/>
      <c r="AG17" s="525"/>
      <c r="AH17" s="525"/>
    </row>
    <row r="18" spans="3:34" hidden="1">
      <c r="C18" s="523">
        <f t="shared" si="4"/>
        <v>2</v>
      </c>
      <c r="D18" s="523" t="s">
        <v>2297</v>
      </c>
      <c r="E18" s="525" t="s">
        <v>2264</v>
      </c>
      <c r="F18" s="523" t="s">
        <v>138</v>
      </c>
      <c r="G18" s="525"/>
      <c r="H18" s="525"/>
      <c r="I18" s="525">
        <f>ROUND(VLOOKUP($P18,DGNC,DG!$S$4,0)*R18*S18,0)</f>
        <v>306755</v>
      </c>
      <c r="J18" s="525">
        <f>ROUND(VLOOKUP($P18,DGNC,DG!$S$4,0)*U18*V18,0)</f>
        <v>374923</v>
      </c>
      <c r="K18" s="525">
        <f t="shared" si="0"/>
        <v>0</v>
      </c>
      <c r="L18" s="525">
        <f t="shared" si="5"/>
        <v>0</v>
      </c>
      <c r="M18" s="525">
        <f t="shared" si="1"/>
        <v>0</v>
      </c>
      <c r="N18" s="525">
        <f t="shared" si="2"/>
        <v>0</v>
      </c>
      <c r="O18" s="418">
        <f t="shared" si="3"/>
        <v>0</v>
      </c>
      <c r="P18" s="525" t="s">
        <v>289</v>
      </c>
      <c r="Q18" s="525" t="s">
        <v>2216</v>
      </c>
      <c r="R18" s="626">
        <v>2.0699999999999998</v>
      </c>
      <c r="S18" s="626">
        <f t="shared" si="6"/>
        <v>0.67500000000000004</v>
      </c>
      <c r="T18" s="525" t="s">
        <v>2216</v>
      </c>
      <c r="U18" s="626">
        <v>2.0699999999999998</v>
      </c>
      <c r="V18" s="626">
        <f t="shared" si="7"/>
        <v>0.82500000000000007</v>
      </c>
      <c r="W18" s="523"/>
      <c r="X18" s="626"/>
      <c r="Y18" s="626"/>
      <c r="Z18" s="523"/>
      <c r="AA18" s="626"/>
      <c r="AB18" s="626"/>
      <c r="AC18" s="525"/>
      <c r="AD18" s="626"/>
      <c r="AE18" s="626"/>
      <c r="AF18" s="525"/>
      <c r="AG18" s="525"/>
      <c r="AH18" s="525"/>
    </row>
    <row r="19" spans="3:34" hidden="1">
      <c r="C19" s="523">
        <f t="shared" si="4"/>
        <v>2</v>
      </c>
      <c r="D19" s="523" t="s">
        <v>2296</v>
      </c>
      <c r="E19" s="525" t="s">
        <v>2268</v>
      </c>
      <c r="F19" s="523" t="s">
        <v>138</v>
      </c>
      <c r="G19" s="525"/>
      <c r="H19" s="525"/>
      <c r="I19" s="525">
        <f>ROUND(VLOOKUP($P19,DGNC,DG!$S$4,0)*R19*S19,0)</f>
        <v>226732</v>
      </c>
      <c r="J19" s="525">
        <f>ROUND(VLOOKUP($P19,DGNC,DG!$S$4,0)*U19*V19,0)</f>
        <v>277117</v>
      </c>
      <c r="K19" s="525">
        <f t="shared" si="0"/>
        <v>0</v>
      </c>
      <c r="L19" s="525">
        <f t="shared" si="5"/>
        <v>0</v>
      </c>
      <c r="M19" s="525">
        <f t="shared" ref="M19:M25" si="8">ROUND(G19*I19+H19*J19,0)</f>
        <v>0</v>
      </c>
      <c r="N19" s="525">
        <f t="shared" ref="N19:N25" si="9">ROUND(G19*K19+H19*L19,0)</f>
        <v>0</v>
      </c>
      <c r="O19" s="418">
        <f t="shared" si="3"/>
        <v>0</v>
      </c>
      <c r="P19" s="525" t="s">
        <v>289</v>
      </c>
      <c r="Q19" s="525" t="s">
        <v>2216</v>
      </c>
      <c r="R19" s="626">
        <v>1.53</v>
      </c>
      <c r="S19" s="626">
        <f t="shared" si="6"/>
        <v>0.67500000000000004</v>
      </c>
      <c r="T19" s="525" t="s">
        <v>2216</v>
      </c>
      <c r="U19" s="626">
        <v>1.53</v>
      </c>
      <c r="V19" s="626">
        <f t="shared" si="7"/>
        <v>0.82500000000000007</v>
      </c>
      <c r="W19" s="523"/>
      <c r="X19" s="626"/>
      <c r="Y19" s="626"/>
      <c r="Z19" s="523"/>
      <c r="AA19" s="626"/>
      <c r="AB19" s="626"/>
      <c r="AC19" s="525"/>
      <c r="AD19" s="626"/>
      <c r="AE19" s="626"/>
      <c r="AF19" s="525"/>
      <c r="AG19" s="525"/>
      <c r="AH19" s="525"/>
    </row>
    <row r="20" spans="3:34" hidden="1">
      <c r="C20" s="523">
        <f t="shared" si="4"/>
        <v>2</v>
      </c>
      <c r="D20" s="523" t="s">
        <v>2298</v>
      </c>
      <c r="E20" s="525" t="s">
        <v>2269</v>
      </c>
      <c r="F20" s="523" t="s">
        <v>138</v>
      </c>
      <c r="G20" s="525"/>
      <c r="H20" s="525"/>
      <c r="I20" s="525">
        <f>ROUND(VLOOKUP($P20,DGNC,DG!$S$4,0)*R20*S20,0)</f>
        <v>408118</v>
      </c>
      <c r="J20" s="525">
        <f>ROUND(VLOOKUP($P20,DGNC,DG!$S$4,0)*U20*V20,0)</f>
        <v>498810</v>
      </c>
      <c r="K20" s="525">
        <f t="shared" si="0"/>
        <v>0</v>
      </c>
      <c r="L20" s="525">
        <f t="shared" si="5"/>
        <v>0</v>
      </c>
      <c r="M20" s="525">
        <f t="shared" si="8"/>
        <v>0</v>
      </c>
      <c r="N20" s="525">
        <f t="shared" si="9"/>
        <v>0</v>
      </c>
      <c r="O20" s="418">
        <f t="shared" si="3"/>
        <v>0</v>
      </c>
      <c r="P20" s="525" t="s">
        <v>289</v>
      </c>
      <c r="Q20" s="525" t="s">
        <v>2216</v>
      </c>
      <c r="R20" s="626">
        <v>2.754</v>
      </c>
      <c r="S20" s="626">
        <f t="shared" si="6"/>
        <v>0.67500000000000004</v>
      </c>
      <c r="T20" s="525" t="s">
        <v>2216</v>
      </c>
      <c r="U20" s="626">
        <v>2.754</v>
      </c>
      <c r="V20" s="626">
        <f t="shared" si="7"/>
        <v>0.82500000000000007</v>
      </c>
      <c r="W20" s="523"/>
      <c r="X20" s="626"/>
      <c r="Y20" s="626"/>
      <c r="Z20" s="523"/>
      <c r="AA20" s="626"/>
      <c r="AB20" s="626"/>
      <c r="AC20" s="525"/>
      <c r="AD20" s="626"/>
      <c r="AE20" s="626"/>
      <c r="AF20" s="525"/>
      <c r="AG20" s="525"/>
      <c r="AH20" s="525"/>
    </row>
    <row r="21" spans="3:34" hidden="1">
      <c r="C21" s="523">
        <f t="shared" si="4"/>
        <v>2</v>
      </c>
      <c r="D21" s="523" t="s">
        <v>2224</v>
      </c>
      <c r="E21" s="525" t="s">
        <v>3439</v>
      </c>
      <c r="F21" s="523" t="s">
        <v>138</v>
      </c>
      <c r="G21" s="525">
        <f>PP3P!ET361</f>
        <v>0</v>
      </c>
      <c r="H21" s="525"/>
      <c r="I21" s="525">
        <f>ROUND(VLOOKUP($P21,DGNC,DG!$S$4,0)*R21*S21,0)</f>
        <v>24097</v>
      </c>
      <c r="J21" s="525"/>
      <c r="K21" s="525">
        <f t="shared" si="0"/>
        <v>0</v>
      </c>
      <c r="L21" s="525">
        <f t="shared" si="5"/>
        <v>0</v>
      </c>
      <c r="M21" s="525">
        <f t="shared" si="8"/>
        <v>0</v>
      </c>
      <c r="N21" s="525">
        <f t="shared" si="9"/>
        <v>0</v>
      </c>
      <c r="O21" s="418">
        <f t="shared" si="3"/>
        <v>0</v>
      </c>
      <c r="P21" s="525" t="s">
        <v>12</v>
      </c>
      <c r="Q21" s="656" t="s">
        <v>2221</v>
      </c>
      <c r="R21" s="657">
        <f>0.113*2</f>
        <v>0.22600000000000001</v>
      </c>
      <c r="S21" s="657">
        <v>0.45</v>
      </c>
      <c r="T21" s="525" t="s">
        <v>2221</v>
      </c>
      <c r="U21" s="626">
        <v>0.22600000000000001</v>
      </c>
      <c r="V21" s="626">
        <v>0.55000000000000004</v>
      </c>
      <c r="W21" s="658"/>
      <c r="X21" s="657"/>
      <c r="Y21" s="657"/>
      <c r="Z21" s="523"/>
      <c r="AA21" s="626"/>
      <c r="AB21" s="626"/>
      <c r="AC21" s="525"/>
      <c r="AD21" s="626"/>
      <c r="AE21" s="626"/>
      <c r="AF21" s="525"/>
      <c r="AG21" s="525"/>
      <c r="AH21" s="525"/>
    </row>
    <row r="22" spans="3:34" ht="31.2" hidden="1">
      <c r="C22" s="523">
        <f t="shared" si="4"/>
        <v>2</v>
      </c>
      <c r="D22" s="636" t="s">
        <v>2798</v>
      </c>
      <c r="E22" s="525" t="s">
        <v>2214</v>
      </c>
      <c r="F22" s="523" t="s">
        <v>2215</v>
      </c>
      <c r="G22" s="525">
        <f>PP3P!ES361+PP3P!FD361</f>
        <v>0</v>
      </c>
      <c r="H22" s="525">
        <f>PP3P!FD361</f>
        <v>0</v>
      </c>
      <c r="I22" s="525">
        <f>ROUND(VLOOKUP($P22,DGNC,DG!$S$4,0)*R22*S22,0)</f>
        <v>40189</v>
      </c>
      <c r="J22" s="525">
        <f>ROUND(VLOOKUP($T22,DGNC,DG!$S$4,0)*U22*V22,0)</f>
        <v>49616</v>
      </c>
      <c r="K22" s="525">
        <f t="shared" si="0"/>
        <v>0</v>
      </c>
      <c r="L22" s="525">
        <f t="shared" si="5"/>
        <v>0</v>
      </c>
      <c r="M22" s="525">
        <f t="shared" si="8"/>
        <v>0</v>
      </c>
      <c r="N22" s="525">
        <f t="shared" si="9"/>
        <v>0</v>
      </c>
      <c r="O22" s="418">
        <f t="shared" si="3"/>
        <v>0</v>
      </c>
      <c r="P22" s="525" t="s">
        <v>289</v>
      </c>
      <c r="Q22" s="656" t="s">
        <v>2216</v>
      </c>
      <c r="R22" s="657">
        <v>0.40679999999999999</v>
      </c>
      <c r="S22" s="657">
        <v>0.45</v>
      </c>
      <c r="T22" s="525" t="s">
        <v>289</v>
      </c>
      <c r="U22" s="626">
        <v>0.22599999999999998</v>
      </c>
      <c r="V22" s="626">
        <v>1</v>
      </c>
      <c r="W22" s="658"/>
      <c r="X22" s="657"/>
      <c r="Y22" s="657"/>
      <c r="Z22" s="523"/>
      <c r="AA22" s="626"/>
      <c r="AB22" s="626"/>
      <c r="AC22" s="525"/>
      <c r="AD22" s="626"/>
      <c r="AE22" s="626"/>
      <c r="AF22" s="525"/>
      <c r="AG22" s="525"/>
      <c r="AH22" s="525"/>
    </row>
    <row r="23" spans="3:34" hidden="1">
      <c r="C23" s="523">
        <f t="shared" si="4"/>
        <v>2</v>
      </c>
      <c r="D23" s="523" t="s">
        <v>2217</v>
      </c>
      <c r="E23" s="525" t="s">
        <v>2218</v>
      </c>
      <c r="F23" s="523" t="s">
        <v>2215</v>
      </c>
      <c r="G23" s="525">
        <f>PP3P!FB361</f>
        <v>0</v>
      </c>
      <c r="H23" s="525"/>
      <c r="I23" s="525">
        <f>ROUND(VLOOKUP($P23,DGNC,DG!$S$4,0)*R23*S23,0)</f>
        <v>10670</v>
      </c>
      <c r="J23" s="525">
        <f>ROUND(VLOOKUP($P23,DGNC,DG!$S$4,0)*U23*V23,0)</f>
        <v>13041</v>
      </c>
      <c r="K23" s="525">
        <f t="shared" si="0"/>
        <v>0</v>
      </c>
      <c r="L23" s="525">
        <f t="shared" si="5"/>
        <v>0</v>
      </c>
      <c r="M23" s="525">
        <f t="shared" si="8"/>
        <v>0</v>
      </c>
      <c r="N23" s="525">
        <f t="shared" si="9"/>
        <v>0</v>
      </c>
      <c r="O23" s="418">
        <f t="shared" si="3"/>
        <v>0</v>
      </c>
      <c r="P23" s="525" t="s">
        <v>289</v>
      </c>
      <c r="Q23" s="525" t="s">
        <v>2216</v>
      </c>
      <c r="R23" s="626">
        <v>0.108</v>
      </c>
      <c r="S23" s="626">
        <v>0.45</v>
      </c>
      <c r="T23" s="525" t="s">
        <v>2219</v>
      </c>
      <c r="U23" s="626">
        <v>0.108</v>
      </c>
      <c r="V23" s="626">
        <v>0.55000000000000004</v>
      </c>
      <c r="W23" s="523"/>
      <c r="X23" s="626"/>
      <c r="Y23" s="626"/>
      <c r="Z23" s="523"/>
      <c r="AA23" s="626"/>
      <c r="AB23" s="626"/>
      <c r="AC23" s="525"/>
      <c r="AD23" s="626"/>
      <c r="AE23" s="626"/>
      <c r="AF23" s="525"/>
      <c r="AG23" s="525"/>
      <c r="AH23" s="525"/>
    </row>
    <row r="24" spans="3:34" hidden="1">
      <c r="C24" s="523">
        <f t="shared" si="4"/>
        <v>2</v>
      </c>
      <c r="D24" s="523" t="s">
        <v>2222</v>
      </c>
      <c r="E24" s="525" t="s">
        <v>2223</v>
      </c>
      <c r="F24" s="523" t="s">
        <v>138</v>
      </c>
      <c r="G24" s="525">
        <f>PP3P!EC361</f>
        <v>0</v>
      </c>
      <c r="H24" s="525"/>
      <c r="I24" s="525">
        <f>ROUND(VLOOKUP($P24,DGNC,DG!$S$4,0)*R24*S24,0)</f>
        <v>48407</v>
      </c>
      <c r="J24" s="525">
        <f>ROUND(VLOOKUP($P24,DGNC,DG!$S$4,0)*U24*V24,0)</f>
        <v>58643</v>
      </c>
      <c r="K24" s="525">
        <f t="shared" si="0"/>
        <v>0</v>
      </c>
      <c r="L24" s="525">
        <f t="shared" si="5"/>
        <v>0</v>
      </c>
      <c r="M24" s="525">
        <f t="shared" si="8"/>
        <v>0</v>
      </c>
      <c r="N24" s="525">
        <f t="shared" si="9"/>
        <v>0</v>
      </c>
      <c r="O24" s="418">
        <f t="shared" si="3"/>
        <v>0</v>
      </c>
      <c r="P24" s="525" t="s">
        <v>12</v>
      </c>
      <c r="Q24" s="525" t="s">
        <v>2221</v>
      </c>
      <c r="R24" s="626">
        <v>0.45400000000000001</v>
      </c>
      <c r="S24" s="626">
        <v>0.45</v>
      </c>
      <c r="T24" s="525" t="s">
        <v>2221</v>
      </c>
      <c r="U24" s="626">
        <v>0.45</v>
      </c>
      <c r="V24" s="626">
        <v>0.55000000000000004</v>
      </c>
      <c r="W24" s="523"/>
      <c r="X24" s="626"/>
      <c r="Y24" s="626"/>
      <c r="Z24" s="523"/>
      <c r="AA24" s="626"/>
      <c r="AB24" s="626"/>
      <c r="AC24" s="525"/>
      <c r="AD24" s="626"/>
      <c r="AE24" s="626"/>
      <c r="AF24" s="525"/>
      <c r="AG24" s="525"/>
      <c r="AH24" s="525"/>
    </row>
    <row r="25" spans="3:34" hidden="1">
      <c r="C25" s="523">
        <f t="shared" si="4"/>
        <v>2</v>
      </c>
      <c r="D25" s="523" t="s">
        <v>2299</v>
      </c>
      <c r="E25" s="525" t="s">
        <v>2220</v>
      </c>
      <c r="F25" s="523" t="s">
        <v>138</v>
      </c>
      <c r="G25" s="525"/>
      <c r="H25" s="525"/>
      <c r="I25" s="525">
        <f>ROUND(VLOOKUP($P25,DGNC,DG!$S$4,0)*R25*S25,0)</f>
        <v>36465</v>
      </c>
      <c r="J25" s="525">
        <f>ROUND(VLOOKUP($P25,DGNC,DG!$S$4,0)*U25*V25,0)</f>
        <v>44568</v>
      </c>
      <c r="K25" s="525">
        <f t="shared" si="0"/>
        <v>0</v>
      </c>
      <c r="L25" s="525">
        <f t="shared" si="5"/>
        <v>0</v>
      </c>
      <c r="M25" s="525">
        <f t="shared" si="8"/>
        <v>0</v>
      </c>
      <c r="N25" s="525">
        <f t="shared" si="9"/>
        <v>0</v>
      </c>
      <c r="O25" s="418">
        <f t="shared" si="3"/>
        <v>0</v>
      </c>
      <c r="P25" s="525" t="s">
        <v>12</v>
      </c>
      <c r="Q25" s="525" t="s">
        <v>2221</v>
      </c>
      <c r="R25" s="626">
        <v>0.34200000000000003</v>
      </c>
      <c r="S25" s="626">
        <v>0.45</v>
      </c>
      <c r="T25" s="525" t="s">
        <v>2221</v>
      </c>
      <c r="U25" s="626">
        <v>0.34200000000000003</v>
      </c>
      <c r="V25" s="626">
        <v>0.55000000000000004</v>
      </c>
      <c r="W25" s="523"/>
      <c r="X25" s="626"/>
      <c r="Y25" s="626"/>
      <c r="Z25" s="523"/>
      <c r="AA25" s="626"/>
      <c r="AB25" s="626"/>
      <c r="AC25" s="525"/>
      <c r="AD25" s="626"/>
      <c r="AE25" s="626"/>
      <c r="AF25" s="525"/>
      <c r="AG25" s="525"/>
      <c r="AH25" s="525"/>
    </row>
    <row r="26" spans="3:34" hidden="1">
      <c r="C26" s="523">
        <f t="shared" si="4"/>
        <v>2</v>
      </c>
      <c r="D26" s="523" t="s">
        <v>2225</v>
      </c>
      <c r="E26" s="525" t="s">
        <v>2272</v>
      </c>
      <c r="F26" s="523" t="s">
        <v>138</v>
      </c>
      <c r="G26" s="525">
        <f>PP3P!DX361+PP3P!DY361+PP3P!DZ361</f>
        <v>0</v>
      </c>
      <c r="H26" s="525"/>
      <c r="I26" s="525">
        <f>ROUND(VLOOKUP($P26,DGNC,DG!$S$4,0)*R26*S26,0)</f>
        <v>86365</v>
      </c>
      <c r="J26" s="525">
        <f>ROUND(VLOOKUP($P26,DGNC,DG!$S$4,0)*U26*V26,0)</f>
        <v>105557</v>
      </c>
      <c r="K26" s="525">
        <f t="shared" si="0"/>
        <v>0</v>
      </c>
      <c r="L26" s="525">
        <f t="shared" si="5"/>
        <v>0</v>
      </c>
      <c r="M26" s="525">
        <f t="shared" ref="M26:M41" si="10">ROUND(G26*I26+H26*J26,0)</f>
        <v>0</v>
      </c>
      <c r="N26" s="525">
        <f t="shared" ref="N26:N41" si="11">ROUND(G26*K26+H26*L26,0)</f>
        <v>0</v>
      </c>
      <c r="O26" s="418">
        <f t="shared" si="3"/>
        <v>0</v>
      </c>
      <c r="P26" s="525" t="s">
        <v>12</v>
      </c>
      <c r="Q26" s="525" t="s">
        <v>2221</v>
      </c>
      <c r="R26" s="626">
        <v>0.81</v>
      </c>
      <c r="S26" s="626">
        <v>0.45</v>
      </c>
      <c r="T26" s="525" t="s">
        <v>2221</v>
      </c>
      <c r="U26" s="626">
        <v>0.81</v>
      </c>
      <c r="V26" s="626">
        <v>0.55000000000000004</v>
      </c>
      <c r="W26" s="523"/>
      <c r="X26" s="626"/>
      <c r="Y26" s="626"/>
      <c r="Z26" s="523"/>
      <c r="AA26" s="626"/>
      <c r="AB26" s="626"/>
      <c r="AC26" s="525"/>
      <c r="AD26" s="626"/>
      <c r="AE26" s="626"/>
      <c r="AF26" s="525"/>
      <c r="AG26" s="525"/>
      <c r="AH26" s="525"/>
    </row>
    <row r="27" spans="3:34" hidden="1">
      <c r="C27" s="523">
        <f t="shared" si="4"/>
        <v>2</v>
      </c>
      <c r="D27" s="523" t="s">
        <v>2227</v>
      </c>
      <c r="E27" s="525" t="s">
        <v>2279</v>
      </c>
      <c r="F27" s="523" t="s">
        <v>730</v>
      </c>
      <c r="G27" s="626">
        <f>PP3P!FE361/1000</f>
        <v>0</v>
      </c>
      <c r="H27" s="525"/>
      <c r="I27" s="525">
        <f>ROUND(VLOOKUP($P27,DGNC,DG!$S$4,0)*R27*S27,0)</f>
        <v>1277403</v>
      </c>
      <c r="J27" s="525">
        <f>ROUND(VLOOKUP($P27,DGNC,DG!$S$4,0)*U27*V27,0)</f>
        <v>1561271</v>
      </c>
      <c r="K27" s="525">
        <f t="shared" si="0"/>
        <v>98498</v>
      </c>
      <c r="L27" s="525">
        <f t="shared" si="5"/>
        <v>120386</v>
      </c>
      <c r="M27" s="525">
        <f t="shared" si="10"/>
        <v>0</v>
      </c>
      <c r="N27" s="525">
        <f t="shared" si="11"/>
        <v>0</v>
      </c>
      <c r="O27" s="418">
        <f t="shared" si="3"/>
        <v>0</v>
      </c>
      <c r="P27" s="525" t="s">
        <v>781</v>
      </c>
      <c r="Q27" s="525" t="s">
        <v>2221</v>
      </c>
      <c r="R27" s="626">
        <v>15.714</v>
      </c>
      <c r="S27" s="626">
        <f>0.45*0.7</f>
        <v>0.315</v>
      </c>
      <c r="T27" s="525" t="s">
        <v>2221</v>
      </c>
      <c r="U27" s="626">
        <v>15.714</v>
      </c>
      <c r="V27" s="626">
        <f>0.55*0.7</f>
        <v>0.38500000000000001</v>
      </c>
      <c r="W27" s="525" t="s">
        <v>782</v>
      </c>
      <c r="X27" s="626">
        <v>0.25</v>
      </c>
      <c r="Y27" s="626">
        <v>0.45</v>
      </c>
      <c r="Z27" s="525" t="s">
        <v>782</v>
      </c>
      <c r="AA27" s="626">
        <v>0.25</v>
      </c>
      <c r="AB27" s="626">
        <v>0.55000000000000004</v>
      </c>
      <c r="AC27" s="525" t="s">
        <v>1357</v>
      </c>
      <c r="AD27" s="626">
        <v>0.32</v>
      </c>
      <c r="AE27" s="626">
        <v>0.45</v>
      </c>
      <c r="AF27" s="525" t="s">
        <v>1357</v>
      </c>
      <c r="AG27" s="525">
        <v>0.32</v>
      </c>
      <c r="AH27" s="525">
        <v>0.55000000000000004</v>
      </c>
    </row>
    <row r="28" spans="3:34" hidden="1">
      <c r="C28" s="523">
        <f t="shared" si="4"/>
        <v>2</v>
      </c>
      <c r="D28" s="523" t="s">
        <v>2271</v>
      </c>
      <c r="E28" s="525" t="s">
        <v>2250</v>
      </c>
      <c r="F28" s="523" t="s">
        <v>138</v>
      </c>
      <c r="G28" s="525"/>
      <c r="H28" s="525"/>
      <c r="I28" s="525">
        <f>ROUND(VLOOKUP($P28,DGNC,DG!$S$4,0)*R28*S28,0)</f>
        <v>21111</v>
      </c>
      <c r="J28" s="525"/>
      <c r="K28" s="525">
        <f t="shared" si="0"/>
        <v>0</v>
      </c>
      <c r="L28" s="525">
        <f t="shared" si="5"/>
        <v>0</v>
      </c>
      <c r="M28" s="525">
        <f t="shared" si="10"/>
        <v>0</v>
      </c>
      <c r="N28" s="525">
        <f t="shared" si="11"/>
        <v>0</v>
      </c>
      <c r="O28" s="418">
        <f t="shared" si="3"/>
        <v>0</v>
      </c>
      <c r="P28" s="525" t="s">
        <v>12</v>
      </c>
      <c r="Q28" s="525" t="s">
        <v>2221</v>
      </c>
      <c r="R28" s="626">
        <v>0.19800000000000001</v>
      </c>
      <c r="S28" s="626">
        <v>0.45</v>
      </c>
      <c r="T28" s="525"/>
      <c r="U28" s="626"/>
      <c r="V28" s="626"/>
      <c r="W28" s="525"/>
      <c r="X28" s="626"/>
      <c r="Y28" s="626"/>
      <c r="Z28" s="525"/>
      <c r="AA28" s="626"/>
      <c r="AB28" s="626"/>
      <c r="AC28" s="525"/>
      <c r="AD28" s="626"/>
      <c r="AE28" s="626"/>
      <c r="AF28" s="525"/>
      <c r="AG28" s="525"/>
      <c r="AH28" s="525"/>
    </row>
    <row r="29" spans="3:34" ht="31.2" hidden="1">
      <c r="C29" s="523">
        <f t="shared" si="4"/>
        <v>2</v>
      </c>
      <c r="D29" s="636" t="s">
        <v>2799</v>
      </c>
      <c r="E29" s="525" t="s">
        <v>2290</v>
      </c>
      <c r="F29" s="523" t="s">
        <v>2233</v>
      </c>
      <c r="G29" s="525"/>
      <c r="H29" s="525"/>
      <c r="I29" s="525">
        <f>ROUND(VLOOKUP($P29,DGNC,DG!$S$4,0)*R29*S29,0)</f>
        <v>533707</v>
      </c>
      <c r="J29" s="525">
        <f>ROUND(VLOOKUP($T29,DGNC,DG!$S$4,0)*U29*V29,0)</f>
        <v>746585</v>
      </c>
      <c r="K29" s="525">
        <f t="shared" si="0"/>
        <v>485430</v>
      </c>
      <c r="L29" s="525">
        <f t="shared" si="5"/>
        <v>360605</v>
      </c>
      <c r="M29" s="525">
        <f t="shared" si="10"/>
        <v>0</v>
      </c>
      <c r="N29" s="525">
        <f t="shared" si="11"/>
        <v>0</v>
      </c>
      <c r="O29" s="418">
        <f t="shared" si="3"/>
        <v>0</v>
      </c>
      <c r="P29" s="525" t="s">
        <v>12</v>
      </c>
      <c r="Q29" s="525" t="s">
        <v>2221</v>
      </c>
      <c r="R29" s="626">
        <f>2.4+0.25</f>
        <v>2.65</v>
      </c>
      <c r="S29" s="626">
        <f>0.85</f>
        <v>0.85</v>
      </c>
      <c r="T29" s="525" t="s">
        <v>781</v>
      </c>
      <c r="U29" s="626">
        <v>2.63</v>
      </c>
      <c r="V29" s="626">
        <v>1.1000000000000001</v>
      </c>
      <c r="W29" s="525" t="s">
        <v>898</v>
      </c>
      <c r="X29" s="626">
        <v>0.7</v>
      </c>
      <c r="Y29" s="626">
        <v>0.5</v>
      </c>
      <c r="Z29" s="525" t="s">
        <v>898</v>
      </c>
      <c r="AA29" s="626">
        <v>0.26</v>
      </c>
      <c r="AB29" s="626">
        <v>1</v>
      </c>
      <c r="AC29" s="525"/>
      <c r="AD29" s="626"/>
      <c r="AE29" s="626"/>
      <c r="AF29" s="525"/>
      <c r="AG29" s="525"/>
      <c r="AH29" s="525"/>
    </row>
    <row r="30" spans="3:34" hidden="1">
      <c r="C30" s="523">
        <f t="shared" si="4"/>
        <v>2</v>
      </c>
      <c r="D30" s="523" t="s">
        <v>2234</v>
      </c>
      <c r="E30" s="525" t="s">
        <v>2235</v>
      </c>
      <c r="F30" s="523" t="s">
        <v>896</v>
      </c>
      <c r="G30" s="525"/>
      <c r="H30" s="525"/>
      <c r="I30" s="525">
        <f>ROUND(VLOOKUP($P30,DGNC,DG!$S$4,0)*R30*S30,0)</f>
        <v>533707</v>
      </c>
      <c r="J30" s="525">
        <f>ROUND(VLOOKUP($P30,DGNC,DG!$S$4,0)*U30*V30,0)</f>
        <v>755246</v>
      </c>
      <c r="K30" s="525">
        <f t="shared" si="0"/>
        <v>485430</v>
      </c>
      <c r="L30" s="525">
        <f t="shared" si="5"/>
        <v>485430</v>
      </c>
      <c r="M30" s="525">
        <f t="shared" si="10"/>
        <v>0</v>
      </c>
      <c r="N30" s="525">
        <f t="shared" si="11"/>
        <v>0</v>
      </c>
      <c r="O30" s="418">
        <f t="shared" si="3"/>
        <v>0</v>
      </c>
      <c r="P30" s="525" t="s">
        <v>12</v>
      </c>
      <c r="Q30" s="525" t="s">
        <v>2221</v>
      </c>
      <c r="R30" s="626">
        <f>2.4+0.25</f>
        <v>2.65</v>
      </c>
      <c r="S30" s="626">
        <f>0.85</f>
        <v>0.85</v>
      </c>
      <c r="T30" s="525" t="s">
        <v>2221</v>
      </c>
      <c r="U30" s="626">
        <v>3.75</v>
      </c>
      <c r="V30" s="626">
        <v>0.85</v>
      </c>
      <c r="W30" s="525" t="s">
        <v>898</v>
      </c>
      <c r="X30" s="626">
        <v>0.7</v>
      </c>
      <c r="Y30" s="626">
        <v>0.5</v>
      </c>
      <c r="Z30" s="525" t="s">
        <v>898</v>
      </c>
      <c r="AA30" s="626">
        <v>0.7</v>
      </c>
      <c r="AB30" s="626">
        <v>0.5</v>
      </c>
      <c r="AC30" s="525"/>
      <c r="AD30" s="626"/>
      <c r="AE30" s="626"/>
      <c r="AF30" s="525"/>
      <c r="AG30" s="525"/>
      <c r="AH30" s="525"/>
    </row>
    <row r="31" spans="3:34" ht="31.2" hidden="1">
      <c r="C31" s="523">
        <f t="shared" si="4"/>
        <v>2</v>
      </c>
      <c r="D31" s="636" t="s">
        <v>2800</v>
      </c>
      <c r="E31" s="525" t="s">
        <v>2237</v>
      </c>
      <c r="F31" s="523" t="s">
        <v>11</v>
      </c>
      <c r="G31" s="525"/>
      <c r="H31" s="525"/>
      <c r="I31" s="525">
        <f>ROUND(VLOOKUP($P31,DGNC,DG!$S$4,0)*R31*S31,0)</f>
        <v>379104</v>
      </c>
      <c r="J31" s="525">
        <f>ROUND(VLOOKUP($T31,DGNC,DG!$S$4,0)*U31*V31,0)</f>
        <v>838715</v>
      </c>
      <c r="K31" s="525">
        <f t="shared" si="0"/>
        <v>0</v>
      </c>
      <c r="L31" s="525">
        <f t="shared" si="5"/>
        <v>0</v>
      </c>
      <c r="M31" s="525">
        <f t="shared" si="10"/>
        <v>0</v>
      </c>
      <c r="N31" s="525">
        <f t="shared" si="11"/>
        <v>0</v>
      </c>
      <c r="O31" s="418">
        <f t="shared" si="3"/>
        <v>0</v>
      </c>
      <c r="P31" s="525" t="s">
        <v>12</v>
      </c>
      <c r="Q31" s="525" t="s">
        <v>2221</v>
      </c>
      <c r="R31" s="626">
        <v>4</v>
      </c>
      <c r="S31" s="626">
        <v>0.4</v>
      </c>
      <c r="T31" s="525" t="s">
        <v>781</v>
      </c>
      <c r="U31" s="626">
        <v>2.5</v>
      </c>
      <c r="V31" s="626">
        <v>1.3</v>
      </c>
      <c r="W31" s="523"/>
      <c r="X31" s="626"/>
      <c r="Y31" s="626"/>
      <c r="Z31" s="523"/>
      <c r="AA31" s="626"/>
      <c r="AB31" s="626"/>
      <c r="AC31" s="525"/>
      <c r="AD31" s="626"/>
      <c r="AE31" s="626"/>
      <c r="AF31" s="525"/>
      <c r="AG31" s="525"/>
      <c r="AH31" s="525"/>
    </row>
    <row r="32" spans="3:34" hidden="1">
      <c r="C32" s="523">
        <f t="shared" si="4"/>
        <v>2</v>
      </c>
      <c r="D32" s="523" t="s">
        <v>2238</v>
      </c>
      <c r="E32" s="525" t="s">
        <v>2239</v>
      </c>
      <c r="F32" s="523" t="s">
        <v>11</v>
      </c>
      <c r="G32" s="525"/>
      <c r="H32" s="525"/>
      <c r="I32" s="525">
        <f>ROUND(VLOOKUP($P32,DGNC,DG!$S$4,0)*R32*S32,0)</f>
        <v>303283</v>
      </c>
      <c r="J32" s="525">
        <f>ROUND(VLOOKUP($P32,DGNC,DG!$S$4,0)*U32*V32,0)</f>
        <v>454925</v>
      </c>
      <c r="K32" s="525">
        <f t="shared" si="0"/>
        <v>0</v>
      </c>
      <c r="L32" s="525">
        <f t="shared" si="5"/>
        <v>0</v>
      </c>
      <c r="M32" s="525">
        <f t="shared" si="10"/>
        <v>0</v>
      </c>
      <c r="N32" s="525">
        <f t="shared" si="11"/>
        <v>0</v>
      </c>
      <c r="O32" s="418">
        <f t="shared" si="3"/>
        <v>0</v>
      </c>
      <c r="P32" s="525" t="s">
        <v>12</v>
      </c>
      <c r="Q32" s="525" t="s">
        <v>2221</v>
      </c>
      <c r="R32" s="626">
        <v>3.2</v>
      </c>
      <c r="S32" s="626">
        <v>0.4</v>
      </c>
      <c r="T32" s="525" t="s">
        <v>2221</v>
      </c>
      <c r="U32" s="626">
        <v>3.2</v>
      </c>
      <c r="V32" s="626">
        <v>0.6</v>
      </c>
      <c r="W32" s="523"/>
      <c r="X32" s="626"/>
      <c r="Y32" s="626"/>
      <c r="Z32" s="523"/>
      <c r="AA32" s="626"/>
      <c r="AB32" s="626"/>
      <c r="AC32" s="525"/>
      <c r="AD32" s="626"/>
      <c r="AE32" s="626"/>
      <c r="AF32" s="525"/>
      <c r="AG32" s="525"/>
      <c r="AH32" s="525"/>
    </row>
    <row r="33" spans="2:34" hidden="1">
      <c r="C33" s="523">
        <f t="shared" si="4"/>
        <v>2</v>
      </c>
      <c r="D33" s="636" t="s">
        <v>917</v>
      </c>
      <c r="E33" s="525" t="s">
        <v>2241</v>
      </c>
      <c r="F33" s="523" t="s">
        <v>11</v>
      </c>
      <c r="G33" s="525">
        <f>PP3P!DW361</f>
        <v>0</v>
      </c>
      <c r="H33" s="525">
        <f>G33</f>
        <v>0</v>
      </c>
      <c r="I33" s="525">
        <f>ROUND(VLOOKUP($P33,DGNC,DG!$S$4,0)*R33*S33,0)</f>
        <v>94776</v>
      </c>
      <c r="J33" s="525">
        <f>ROUND(VLOOKUP($T33,DGNC,DG!$S$4,0)*U33*V33,0)</f>
        <v>189552</v>
      </c>
      <c r="K33" s="525">
        <f t="shared" si="0"/>
        <v>0</v>
      </c>
      <c r="L33" s="525">
        <f t="shared" si="5"/>
        <v>0</v>
      </c>
      <c r="M33" s="525">
        <f t="shared" si="10"/>
        <v>0</v>
      </c>
      <c r="N33" s="525">
        <f t="shared" si="11"/>
        <v>0</v>
      </c>
      <c r="O33" s="418">
        <f t="shared" si="3"/>
        <v>0</v>
      </c>
      <c r="P33" s="471" t="s">
        <v>12</v>
      </c>
      <c r="Q33" s="727" t="s">
        <v>2221</v>
      </c>
      <c r="R33" s="728">
        <v>2.4</v>
      </c>
      <c r="S33" s="728">
        <f>0.5/3</f>
        <v>0.16666666666666666</v>
      </c>
      <c r="T33" s="471" t="s">
        <v>12</v>
      </c>
      <c r="U33" s="468">
        <v>2.4</v>
      </c>
      <c r="V33" s="468">
        <f>1/3</f>
        <v>0.33333333333333331</v>
      </c>
      <c r="W33" s="523"/>
      <c r="X33" s="626"/>
      <c r="Y33" s="626"/>
      <c r="Z33" s="523"/>
      <c r="AA33" s="626"/>
      <c r="AB33" s="626"/>
      <c r="AC33" s="525"/>
      <c r="AD33" s="626"/>
      <c r="AE33" s="626"/>
      <c r="AF33" s="525"/>
      <c r="AG33" s="525"/>
      <c r="AH33" s="525"/>
    </row>
    <row r="34" spans="2:34" hidden="1">
      <c r="C34" s="523">
        <f t="shared" si="4"/>
        <v>2</v>
      </c>
      <c r="D34" s="636" t="s">
        <v>944</v>
      </c>
      <c r="E34" s="525" t="s">
        <v>2243</v>
      </c>
      <c r="F34" s="523" t="s">
        <v>11</v>
      </c>
      <c r="G34" s="525">
        <f>PP3P!DV361</f>
        <v>0</v>
      </c>
      <c r="H34" s="525">
        <f>G34</f>
        <v>0</v>
      </c>
      <c r="I34" s="525">
        <f>ROUND(VLOOKUP($P34,DGNC,DG!$S$4,0)*R34*S34,0)</f>
        <v>59235</v>
      </c>
      <c r="J34" s="525">
        <f>ROUND(VLOOKUP($T34,DGNC,DG!$S$4,0)*U34*V34,0)</f>
        <v>118470</v>
      </c>
      <c r="K34" s="525">
        <f t="shared" si="0"/>
        <v>0</v>
      </c>
      <c r="L34" s="525">
        <f t="shared" si="5"/>
        <v>0</v>
      </c>
      <c r="M34" s="525">
        <f t="shared" si="10"/>
        <v>0</v>
      </c>
      <c r="N34" s="525">
        <f t="shared" si="11"/>
        <v>0</v>
      </c>
      <c r="O34" s="418">
        <f t="shared" si="3"/>
        <v>0</v>
      </c>
      <c r="P34" s="471" t="s">
        <v>12</v>
      </c>
      <c r="Q34" s="727" t="s">
        <v>2221</v>
      </c>
      <c r="R34" s="728">
        <v>1.5</v>
      </c>
      <c r="S34" s="728">
        <f>0.5/3</f>
        <v>0.16666666666666666</v>
      </c>
      <c r="T34" s="469" t="s">
        <v>12</v>
      </c>
      <c r="U34" s="468">
        <v>1.5</v>
      </c>
      <c r="V34" s="468">
        <f>1/3</f>
        <v>0.33333333333333331</v>
      </c>
      <c r="W34" s="523"/>
      <c r="X34" s="626"/>
      <c r="Y34" s="626"/>
      <c r="Z34" s="523"/>
      <c r="AA34" s="626"/>
      <c r="AB34" s="626"/>
      <c r="AC34" s="525"/>
      <c r="AD34" s="626"/>
      <c r="AE34" s="626"/>
      <c r="AF34" s="525"/>
      <c r="AG34" s="525"/>
      <c r="AH34" s="525"/>
    </row>
    <row r="35" spans="2:34" ht="31.2" hidden="1">
      <c r="C35" s="523">
        <f t="shared" si="4"/>
        <v>2</v>
      </c>
      <c r="D35" s="636" t="s">
        <v>2801</v>
      </c>
      <c r="E35" s="525" t="s">
        <v>2803</v>
      </c>
      <c r="F35" s="523" t="s">
        <v>146</v>
      </c>
      <c r="G35" s="525"/>
      <c r="H35" s="525"/>
      <c r="I35" s="525">
        <f>ROUND(VLOOKUP($P35,DGNC,DG!$S$4,0)*R35*S35,0)</f>
        <v>16681</v>
      </c>
      <c r="J35" s="525">
        <f>ROUND(VLOOKUP($T35,DGNC,DG!$S$4,0)*U35*V35,0)</f>
        <v>46719</v>
      </c>
      <c r="K35" s="525">
        <f t="shared" si="0"/>
        <v>0</v>
      </c>
      <c r="L35" s="525">
        <f t="shared" si="5"/>
        <v>0</v>
      </c>
      <c r="M35" s="525">
        <f t="shared" si="10"/>
        <v>0</v>
      </c>
      <c r="N35" s="525">
        <f t="shared" si="11"/>
        <v>0</v>
      </c>
      <c r="O35" s="418">
        <f t="shared" si="3"/>
        <v>0</v>
      </c>
      <c r="P35" s="525" t="s">
        <v>12</v>
      </c>
      <c r="Q35" s="525" t="s">
        <v>2221</v>
      </c>
      <c r="R35" s="626">
        <v>0.17599999999999999</v>
      </c>
      <c r="S35" s="626">
        <v>0.4</v>
      </c>
      <c r="T35" s="525" t="s">
        <v>289</v>
      </c>
      <c r="U35" s="626">
        <v>0.21279999999999999</v>
      </c>
      <c r="V35" s="626">
        <v>1</v>
      </c>
      <c r="W35" s="525"/>
      <c r="X35" s="626"/>
      <c r="Y35" s="626"/>
      <c r="Z35" s="525"/>
      <c r="AA35" s="626"/>
      <c r="AB35" s="626"/>
      <c r="AC35" s="525"/>
      <c r="AD35" s="626"/>
      <c r="AE35" s="626"/>
      <c r="AF35" s="525"/>
      <c r="AG35" s="525"/>
      <c r="AH35" s="525"/>
    </row>
    <row r="36" spans="2:34" hidden="1">
      <c r="C36" s="523">
        <f t="shared" si="4"/>
        <v>2</v>
      </c>
      <c r="D36" s="523" t="s">
        <v>2282</v>
      </c>
      <c r="E36" s="525" t="s">
        <v>2283</v>
      </c>
      <c r="F36" s="523" t="s">
        <v>146</v>
      </c>
      <c r="G36" s="525"/>
      <c r="H36" s="525"/>
      <c r="I36" s="525">
        <f>ROUND(VLOOKUP($P36,DGNC,DG!$S$4,0)*R36*S36,0)</f>
        <v>4040</v>
      </c>
      <c r="J36" s="525">
        <f>ROUND(VLOOKUP($P36,DGNC,DG!$S$4,0)*U36*V36,0)</f>
        <v>6059</v>
      </c>
      <c r="K36" s="525">
        <f t="shared" si="0"/>
        <v>0</v>
      </c>
      <c r="L36" s="525">
        <f t="shared" si="5"/>
        <v>0</v>
      </c>
      <c r="M36" s="525">
        <f t="shared" si="10"/>
        <v>0</v>
      </c>
      <c r="N36" s="525">
        <f t="shared" si="11"/>
        <v>0</v>
      </c>
      <c r="O36" s="418">
        <f t="shared" si="3"/>
        <v>0</v>
      </c>
      <c r="P36" s="525" t="s">
        <v>289</v>
      </c>
      <c r="Q36" s="525" t="s">
        <v>2216</v>
      </c>
      <c r="R36" s="626">
        <v>4.5999999999999999E-2</v>
      </c>
      <c r="S36" s="626">
        <v>0.4</v>
      </c>
      <c r="T36" s="525" t="s">
        <v>2216</v>
      </c>
      <c r="U36" s="626">
        <v>4.5999999999999999E-2</v>
      </c>
      <c r="V36" s="626">
        <v>0.6</v>
      </c>
      <c r="W36" s="525"/>
      <c r="X36" s="626"/>
      <c r="Y36" s="626"/>
      <c r="Z36" s="525"/>
      <c r="AA36" s="626"/>
      <c r="AB36" s="626"/>
      <c r="AC36" s="525"/>
      <c r="AD36" s="626"/>
      <c r="AE36" s="626"/>
      <c r="AF36" s="525"/>
      <c r="AG36" s="525"/>
      <c r="AH36" s="525"/>
    </row>
    <row r="37" spans="2:34" hidden="1">
      <c r="C37" s="523">
        <f t="shared" si="4"/>
        <v>2</v>
      </c>
      <c r="D37" s="523" t="s">
        <v>2284</v>
      </c>
      <c r="E37" s="525" t="s">
        <v>2285</v>
      </c>
      <c r="F37" s="523" t="s">
        <v>146</v>
      </c>
      <c r="G37" s="525"/>
      <c r="H37" s="525"/>
      <c r="I37" s="525">
        <f>ROUND(VLOOKUP($P37,DGNC,DG!$S$4,0)*R37*S37,0)</f>
        <v>6586</v>
      </c>
      <c r="J37" s="525">
        <f>ROUND(VLOOKUP($P37,DGNC,DG!$S$4,0)*U37*V37,0)</f>
        <v>9879</v>
      </c>
      <c r="K37" s="525">
        <f t="shared" si="0"/>
        <v>0</v>
      </c>
      <c r="L37" s="525">
        <f t="shared" si="5"/>
        <v>0</v>
      </c>
      <c r="M37" s="525">
        <f t="shared" si="10"/>
        <v>0</v>
      </c>
      <c r="N37" s="525">
        <f t="shared" si="11"/>
        <v>0</v>
      </c>
      <c r="O37" s="418">
        <f t="shared" si="3"/>
        <v>0</v>
      </c>
      <c r="P37" s="525" t="s">
        <v>289</v>
      </c>
      <c r="Q37" s="525" t="s">
        <v>2216</v>
      </c>
      <c r="R37" s="626">
        <v>7.4999999999999997E-2</v>
      </c>
      <c r="S37" s="626">
        <v>0.4</v>
      </c>
      <c r="T37" s="525" t="s">
        <v>2216</v>
      </c>
      <c r="U37" s="626">
        <v>7.4999999999999997E-2</v>
      </c>
      <c r="V37" s="626">
        <v>0.6</v>
      </c>
      <c r="W37" s="525"/>
      <c r="X37" s="626"/>
      <c r="Y37" s="626"/>
      <c r="Z37" s="525"/>
      <c r="AA37" s="626"/>
      <c r="AB37" s="626"/>
      <c r="AC37" s="525"/>
      <c r="AD37" s="626"/>
      <c r="AE37" s="626"/>
      <c r="AF37" s="525"/>
      <c r="AG37" s="525"/>
      <c r="AH37" s="525"/>
    </row>
    <row r="38" spans="2:34" ht="31.2" hidden="1">
      <c r="C38" s="523">
        <f t="shared" si="4"/>
        <v>2</v>
      </c>
      <c r="D38" s="636" t="s">
        <v>2802</v>
      </c>
      <c r="E38" s="525" t="s">
        <v>2804</v>
      </c>
      <c r="F38" s="523" t="s">
        <v>146</v>
      </c>
      <c r="G38" s="525"/>
      <c r="H38" s="525"/>
      <c r="I38" s="525">
        <f>ROUND(VLOOKUP($P38,DGNC,DG!$S$4,0)*R38*S38,0)</f>
        <v>6586</v>
      </c>
      <c r="J38" s="525">
        <f>ROUND(VLOOKUP($T38,DGNC,DG!$S$4,0)*U38*V38,0)</f>
        <v>11847</v>
      </c>
      <c r="K38" s="525">
        <f t="shared" si="0"/>
        <v>0</v>
      </c>
      <c r="L38" s="525">
        <f t="shared" si="5"/>
        <v>0</v>
      </c>
      <c r="M38" s="525">
        <f t="shared" si="10"/>
        <v>0</v>
      </c>
      <c r="N38" s="525">
        <f t="shared" si="11"/>
        <v>0</v>
      </c>
      <c r="O38" s="418">
        <f t="shared" si="3"/>
        <v>0</v>
      </c>
      <c r="P38" s="525" t="s">
        <v>289</v>
      </c>
      <c r="Q38" s="525" t="s">
        <v>2216</v>
      </c>
      <c r="R38" s="626">
        <v>7.4999999999999997E-2</v>
      </c>
      <c r="S38" s="626">
        <v>0.4</v>
      </c>
      <c r="T38" s="525" t="s">
        <v>12</v>
      </c>
      <c r="U38" s="626">
        <v>0.05</v>
      </c>
      <c r="V38" s="626">
        <v>1</v>
      </c>
      <c r="W38" s="525"/>
      <c r="X38" s="626"/>
      <c r="Y38" s="626"/>
      <c r="Z38" s="525"/>
      <c r="AA38" s="626"/>
      <c r="AB38" s="626"/>
      <c r="AC38" s="525"/>
      <c r="AD38" s="626"/>
      <c r="AE38" s="626"/>
      <c r="AF38" s="525"/>
      <c r="AG38" s="525"/>
      <c r="AH38" s="525"/>
    </row>
    <row r="39" spans="2:34" ht="31.2" hidden="1">
      <c r="C39" s="523">
        <f t="shared" si="4"/>
        <v>2</v>
      </c>
      <c r="D39" s="636" t="s">
        <v>2802</v>
      </c>
      <c r="E39" s="525" t="s">
        <v>2287</v>
      </c>
      <c r="F39" s="523" t="s">
        <v>146</v>
      </c>
      <c r="G39" s="525"/>
      <c r="H39" s="525">
        <f>G39</f>
        <v>0</v>
      </c>
      <c r="I39" s="525">
        <f>ROUND(VLOOKUP($P39,DGNC,DG!$S$4,0)*R39*S39,0)</f>
        <v>6586</v>
      </c>
      <c r="J39" s="525">
        <f>ROUND(VLOOKUP($T39,DGNC,DG!$S$4,0)*U39*V39,0)</f>
        <v>11847</v>
      </c>
      <c r="K39" s="525">
        <f t="shared" si="0"/>
        <v>0</v>
      </c>
      <c r="L39" s="525">
        <f t="shared" si="5"/>
        <v>0</v>
      </c>
      <c r="M39" s="525">
        <f t="shared" si="10"/>
        <v>0</v>
      </c>
      <c r="N39" s="525">
        <f t="shared" si="11"/>
        <v>0</v>
      </c>
      <c r="O39" s="418">
        <f t="shared" si="3"/>
        <v>0</v>
      </c>
      <c r="P39" s="525" t="s">
        <v>289</v>
      </c>
      <c r="Q39" s="525" t="s">
        <v>2216</v>
      </c>
      <c r="R39" s="626">
        <v>7.4999999999999997E-2</v>
      </c>
      <c r="S39" s="626">
        <v>0.4</v>
      </c>
      <c r="T39" s="525" t="s">
        <v>12</v>
      </c>
      <c r="U39" s="626">
        <v>0.05</v>
      </c>
      <c r="V39" s="626">
        <v>1</v>
      </c>
      <c r="W39" s="525"/>
      <c r="X39" s="626"/>
      <c r="Y39" s="626"/>
      <c r="Z39" s="525"/>
      <c r="AA39" s="626"/>
      <c r="AB39" s="626"/>
      <c r="AC39" s="525"/>
      <c r="AD39" s="626"/>
      <c r="AE39" s="626"/>
      <c r="AF39" s="525"/>
      <c r="AG39" s="525"/>
      <c r="AH39" s="525"/>
    </row>
    <row r="40" spans="2:34" ht="31.2" hidden="1">
      <c r="C40" s="523">
        <f t="shared" si="4"/>
        <v>2</v>
      </c>
      <c r="D40" s="636" t="s">
        <v>2802</v>
      </c>
      <c r="E40" s="525" t="s">
        <v>2805</v>
      </c>
      <c r="F40" s="523" t="s">
        <v>146</v>
      </c>
      <c r="G40" s="525"/>
      <c r="H40" s="525"/>
      <c r="I40" s="525">
        <f>ROUND(VLOOKUP($P40,DGNC,DG!$S$4,0)*R40*S40,0)</f>
        <v>6586</v>
      </c>
      <c r="J40" s="525">
        <f>ROUND(VLOOKUP($T40,DGNC,DG!$S$4,0)*U40*V40,0)</f>
        <v>11847</v>
      </c>
      <c r="K40" s="525">
        <f t="shared" si="0"/>
        <v>0</v>
      </c>
      <c r="L40" s="525">
        <f t="shared" si="5"/>
        <v>0</v>
      </c>
      <c r="M40" s="525">
        <f t="shared" si="10"/>
        <v>0</v>
      </c>
      <c r="N40" s="525">
        <f t="shared" si="11"/>
        <v>0</v>
      </c>
      <c r="O40" s="418">
        <f t="shared" si="3"/>
        <v>0</v>
      </c>
      <c r="P40" s="525" t="s">
        <v>289</v>
      </c>
      <c r="Q40" s="525" t="s">
        <v>2216</v>
      </c>
      <c r="R40" s="626">
        <v>7.4999999999999997E-2</v>
      </c>
      <c r="S40" s="626">
        <v>0.4</v>
      </c>
      <c r="T40" s="525" t="s">
        <v>12</v>
      </c>
      <c r="U40" s="626">
        <v>0.05</v>
      </c>
      <c r="V40" s="626">
        <v>1</v>
      </c>
      <c r="W40" s="525"/>
      <c r="X40" s="626"/>
      <c r="Y40" s="626"/>
      <c r="Z40" s="525"/>
      <c r="AA40" s="626"/>
      <c r="AB40" s="626"/>
      <c r="AC40" s="525"/>
      <c r="AD40" s="626"/>
      <c r="AE40" s="626"/>
      <c r="AF40" s="525"/>
      <c r="AG40" s="525"/>
      <c r="AH40" s="525"/>
    </row>
    <row r="41" spans="2:34" hidden="1">
      <c r="C41" s="523">
        <f t="shared" si="4"/>
        <v>2</v>
      </c>
      <c r="D41" s="523" t="s">
        <v>2284</v>
      </c>
      <c r="E41" s="525" t="s">
        <v>2289</v>
      </c>
      <c r="F41" s="523" t="s">
        <v>146</v>
      </c>
      <c r="G41" s="525"/>
      <c r="H41" s="525"/>
      <c r="I41" s="525">
        <f>ROUND(VLOOKUP($P41,DGNC,DG!$S$4,0)*R41*S41,0)</f>
        <v>6586</v>
      </c>
      <c r="J41" s="525">
        <f>ROUND(VLOOKUP($P41,DGNC,DG!$S$4,0)*U41*V41,0)</f>
        <v>9879</v>
      </c>
      <c r="K41" s="525">
        <f t="shared" si="0"/>
        <v>0</v>
      </c>
      <c r="L41" s="525">
        <f t="shared" si="5"/>
        <v>0</v>
      </c>
      <c r="M41" s="525">
        <f t="shared" si="10"/>
        <v>0</v>
      </c>
      <c r="N41" s="525">
        <f t="shared" si="11"/>
        <v>0</v>
      </c>
      <c r="O41" s="418">
        <f t="shared" si="3"/>
        <v>0</v>
      </c>
      <c r="P41" s="525" t="s">
        <v>289</v>
      </c>
      <c r="Q41" s="525" t="s">
        <v>2216</v>
      </c>
      <c r="R41" s="626">
        <v>7.4999999999999997E-2</v>
      </c>
      <c r="S41" s="626">
        <v>0.4</v>
      </c>
      <c r="T41" s="525" t="s">
        <v>2216</v>
      </c>
      <c r="U41" s="626">
        <v>7.4999999999999997E-2</v>
      </c>
      <c r="V41" s="626">
        <v>0.6</v>
      </c>
      <c r="W41" s="525"/>
      <c r="X41" s="626"/>
      <c r="Y41" s="626"/>
      <c r="Z41" s="525"/>
      <c r="AA41" s="626"/>
      <c r="AB41" s="626"/>
      <c r="AC41" s="525"/>
      <c r="AD41" s="626"/>
      <c r="AE41" s="626"/>
      <c r="AF41" s="525"/>
      <c r="AG41" s="525"/>
      <c r="AH41" s="525"/>
    </row>
    <row r="42" spans="2:34" hidden="1">
      <c r="B42" s="405" t="s">
        <v>2951</v>
      </c>
      <c r="C42" s="538" t="s">
        <v>1663</v>
      </c>
      <c r="D42" s="539" t="s">
        <v>2953</v>
      </c>
      <c r="E42" s="539"/>
      <c r="F42" s="538"/>
      <c r="G42" s="539"/>
      <c r="H42" s="539"/>
      <c r="I42" s="539"/>
      <c r="J42" s="539"/>
      <c r="K42" s="539"/>
      <c r="L42" s="539"/>
      <c r="M42" s="539">
        <f>SUM(M43:M49)</f>
        <v>0</v>
      </c>
      <c r="N42" s="539">
        <f>SUM(N43:N49)</f>
        <v>0</v>
      </c>
      <c r="O42" s="418">
        <f t="shared" ref="O42:O49" si="12">IF((M42+N42)&lt;&gt;0,1,)</f>
        <v>0</v>
      </c>
      <c r="P42" s="525"/>
      <c r="Q42" s="539"/>
      <c r="R42" s="661"/>
      <c r="S42" s="661"/>
      <c r="T42" s="539"/>
      <c r="U42" s="661"/>
      <c r="V42" s="661"/>
      <c r="W42" s="539"/>
      <c r="X42" s="661"/>
      <c r="Y42" s="661"/>
      <c r="Z42" s="539"/>
      <c r="AA42" s="661"/>
      <c r="AB42" s="661"/>
      <c r="AC42" s="525"/>
      <c r="AD42" s="626"/>
      <c r="AE42" s="626"/>
      <c r="AF42" s="525"/>
      <c r="AG42" s="525"/>
      <c r="AH42" s="525"/>
    </row>
    <row r="43" spans="2:34" hidden="1">
      <c r="C43" s="523" t="s">
        <v>477</v>
      </c>
      <c r="D43" s="523" t="s">
        <v>2295</v>
      </c>
      <c r="E43" s="525" t="s">
        <v>2230</v>
      </c>
      <c r="F43" s="523" t="s">
        <v>276</v>
      </c>
      <c r="G43" s="525"/>
      <c r="H43" s="525"/>
      <c r="I43" s="525">
        <f>ROUND(VLOOKUP($P43,DGNC,DG!$S$4,0)*R43*S43,0)</f>
        <v>469469</v>
      </c>
      <c r="J43" s="525">
        <f>ROUND(VLOOKUP($P43,DGNC,DG!$S$4,0)*U43*V43,0)</f>
        <v>573795</v>
      </c>
      <c r="K43" s="525">
        <f t="shared" ref="K43:K49" si="13">ROUND(IF(W43&lt;&gt;0,VLOOKUP(W43,DGMTC,8,0)*X43*Y43,)+IF(AC43&lt;&gt;0,VLOOKUP(AC43,DGMTC,8,0)*AD43*AE43,),0)</f>
        <v>157108</v>
      </c>
      <c r="L43" s="525">
        <f t="shared" ref="L43:L49" si="14">ROUND(IF(Z43&lt;&gt;0,VLOOKUP(Z43,DGMTC,8,0)*AA43*AB43,)+IF(AF43&lt;&gt;0,VLOOKUP(AF43,DGMTC,8,0)*AG43*AH43,),0)</f>
        <v>192021</v>
      </c>
      <c r="M43" s="525">
        <f t="shared" ref="M43:M49" si="15">ROUND(G43*I43+H43*J43,0)</f>
        <v>0</v>
      </c>
      <c r="N43" s="525">
        <f t="shared" ref="N43:N49" si="16">ROUND(G43*K43+H43*L43,0)</f>
        <v>0</v>
      </c>
      <c r="O43" s="418">
        <f t="shared" si="12"/>
        <v>0</v>
      </c>
      <c r="P43" s="525" t="s">
        <v>289</v>
      </c>
      <c r="Q43" s="525" t="s">
        <v>2216</v>
      </c>
      <c r="R43" s="626">
        <v>4.7519999999999998</v>
      </c>
      <c r="S43" s="626">
        <v>0.45</v>
      </c>
      <c r="T43" s="525" t="s">
        <v>2216</v>
      </c>
      <c r="U43" s="626">
        <v>4.7519999999999998</v>
      </c>
      <c r="V43" s="626">
        <v>0.55000000000000004</v>
      </c>
      <c r="W43" s="523" t="s">
        <v>603</v>
      </c>
      <c r="X43" s="626">
        <v>0.18</v>
      </c>
      <c r="Y43" s="626">
        <v>0.45</v>
      </c>
      <c r="Z43" s="523" t="s">
        <v>603</v>
      </c>
      <c r="AA43" s="626">
        <v>0.18</v>
      </c>
      <c r="AB43" s="626">
        <v>0.55000000000000004</v>
      </c>
      <c r="AC43" s="525"/>
      <c r="AD43" s="626"/>
      <c r="AE43" s="626"/>
      <c r="AF43" s="525"/>
      <c r="AG43" s="525"/>
      <c r="AH43" s="525"/>
    </row>
    <row r="44" spans="2:34" hidden="1">
      <c r="C44" s="523" t="s">
        <v>477</v>
      </c>
      <c r="D44" s="523" t="s">
        <v>2295</v>
      </c>
      <c r="E44" s="525" t="s">
        <v>2229</v>
      </c>
      <c r="F44" s="523" t="s">
        <v>276</v>
      </c>
      <c r="G44" s="525"/>
      <c r="H44" s="525"/>
      <c r="I44" s="525">
        <f>ROUND(VLOOKUP($P44,DGNC,DG!$S$4,0)*R44*S44,0)</f>
        <v>469469</v>
      </c>
      <c r="J44" s="525">
        <f>ROUND(VLOOKUP($P44,DGNC,DG!$S$4,0)*U44*V44,0)</f>
        <v>573795</v>
      </c>
      <c r="K44" s="525">
        <f t="shared" si="13"/>
        <v>157108</v>
      </c>
      <c r="L44" s="525">
        <f t="shared" si="14"/>
        <v>192021</v>
      </c>
      <c r="M44" s="525">
        <f t="shared" si="15"/>
        <v>0</v>
      </c>
      <c r="N44" s="525">
        <f t="shared" si="16"/>
        <v>0</v>
      </c>
      <c r="O44" s="418">
        <f t="shared" si="12"/>
        <v>0</v>
      </c>
      <c r="P44" s="525" t="s">
        <v>289</v>
      </c>
      <c r="Q44" s="525" t="s">
        <v>2216</v>
      </c>
      <c r="R44" s="626">
        <v>4.7519999999999998</v>
      </c>
      <c r="S44" s="626">
        <v>0.45</v>
      </c>
      <c r="T44" s="525" t="s">
        <v>2216</v>
      </c>
      <c r="U44" s="626">
        <v>4.7519999999999998</v>
      </c>
      <c r="V44" s="626">
        <v>0.55000000000000004</v>
      </c>
      <c r="W44" s="523" t="s">
        <v>603</v>
      </c>
      <c r="X44" s="626">
        <v>0.18</v>
      </c>
      <c r="Y44" s="626">
        <v>0.45</v>
      </c>
      <c r="Z44" s="523" t="s">
        <v>603</v>
      </c>
      <c r="AA44" s="626">
        <v>0.18</v>
      </c>
      <c r="AB44" s="626">
        <v>0.55000000000000004</v>
      </c>
      <c r="AC44" s="525"/>
      <c r="AD44" s="626"/>
      <c r="AE44" s="626"/>
      <c r="AF44" s="525"/>
      <c r="AG44" s="525"/>
      <c r="AH44" s="525"/>
    </row>
    <row r="45" spans="2:34" hidden="1">
      <c r="C45" s="523" t="s">
        <v>477</v>
      </c>
      <c r="D45" s="523" t="s">
        <v>2296</v>
      </c>
      <c r="E45" s="525" t="s">
        <v>2266</v>
      </c>
      <c r="F45" s="523" t="s">
        <v>138</v>
      </c>
      <c r="G45" s="525"/>
      <c r="H45" s="525"/>
      <c r="I45" s="525">
        <f>ROUND(VLOOKUP($P45,DGNC,DG!$S$4,0)*R45*S45,0)</f>
        <v>226732</v>
      </c>
      <c r="J45" s="525">
        <f>ROUND(VLOOKUP($P45,DGNC,DG!$S$4,0)*U45*V45,0)</f>
        <v>277117</v>
      </c>
      <c r="K45" s="525">
        <f t="shared" si="13"/>
        <v>0</v>
      </c>
      <c r="L45" s="525">
        <f t="shared" si="14"/>
        <v>0</v>
      </c>
      <c r="M45" s="525">
        <f t="shared" si="15"/>
        <v>0</v>
      </c>
      <c r="N45" s="525">
        <f t="shared" si="16"/>
        <v>0</v>
      </c>
      <c r="O45" s="418">
        <f t="shared" si="12"/>
        <v>0</v>
      </c>
      <c r="P45" s="525" t="s">
        <v>289</v>
      </c>
      <c r="Q45" s="525" t="s">
        <v>2216</v>
      </c>
      <c r="R45" s="626">
        <v>1.53</v>
      </c>
      <c r="S45" s="626">
        <f>0.45*1.5</f>
        <v>0.67500000000000004</v>
      </c>
      <c r="T45" s="525" t="s">
        <v>2216</v>
      </c>
      <c r="U45" s="626">
        <v>1.53</v>
      </c>
      <c r="V45" s="626">
        <f>0.55*1.5</f>
        <v>0.82500000000000007</v>
      </c>
      <c r="W45" s="523"/>
      <c r="X45" s="626"/>
      <c r="Y45" s="626"/>
      <c r="Z45" s="523"/>
      <c r="AA45" s="626"/>
      <c r="AB45" s="626"/>
      <c r="AC45" s="525"/>
      <c r="AD45" s="626"/>
      <c r="AE45" s="626"/>
      <c r="AF45" s="525"/>
      <c r="AG45" s="525"/>
      <c r="AH45" s="525"/>
    </row>
    <row r="46" spans="2:34" hidden="1">
      <c r="C46" s="523" t="s">
        <v>477</v>
      </c>
      <c r="D46" s="523" t="s">
        <v>2297</v>
      </c>
      <c r="E46" s="525" t="s">
        <v>2267</v>
      </c>
      <c r="F46" s="523" t="s">
        <v>138</v>
      </c>
      <c r="G46" s="525"/>
      <c r="H46" s="525"/>
      <c r="I46" s="525">
        <f>ROUND(VLOOKUP($P46,DGNC,DG!$S$4,0)*R46*S46,0)</f>
        <v>306755</v>
      </c>
      <c r="J46" s="525">
        <f>ROUND(VLOOKUP($P46,DGNC,DG!$S$4,0)*U46*V46,0)</f>
        <v>374923</v>
      </c>
      <c r="K46" s="525">
        <f t="shared" si="13"/>
        <v>0</v>
      </c>
      <c r="L46" s="525">
        <f t="shared" si="14"/>
        <v>0</v>
      </c>
      <c r="M46" s="525">
        <f t="shared" si="15"/>
        <v>0</v>
      </c>
      <c r="N46" s="525">
        <f t="shared" si="16"/>
        <v>0</v>
      </c>
      <c r="O46" s="418">
        <f t="shared" si="12"/>
        <v>0</v>
      </c>
      <c r="P46" s="525" t="s">
        <v>289</v>
      </c>
      <c r="Q46" s="525" t="s">
        <v>2216</v>
      </c>
      <c r="R46" s="626">
        <v>2.0699999999999998</v>
      </c>
      <c r="S46" s="626">
        <f>0.45*1.5</f>
        <v>0.67500000000000004</v>
      </c>
      <c r="T46" s="525" t="s">
        <v>2216</v>
      </c>
      <c r="U46" s="626">
        <v>2.0699999999999998</v>
      </c>
      <c r="V46" s="626">
        <f>0.55*1.5</f>
        <v>0.82500000000000007</v>
      </c>
      <c r="W46" s="523"/>
      <c r="X46" s="626"/>
      <c r="Y46" s="626"/>
      <c r="Z46" s="523"/>
      <c r="AA46" s="626"/>
      <c r="AB46" s="626"/>
      <c r="AC46" s="525"/>
      <c r="AD46" s="626"/>
      <c r="AE46" s="626"/>
      <c r="AF46" s="525"/>
      <c r="AG46" s="525"/>
      <c r="AH46" s="525"/>
    </row>
    <row r="47" spans="2:34" hidden="1">
      <c r="C47" s="523" t="s">
        <v>477</v>
      </c>
      <c r="D47" s="523" t="s">
        <v>2296</v>
      </c>
      <c r="E47" s="525" t="s">
        <v>2228</v>
      </c>
      <c r="F47" s="523" t="s">
        <v>138</v>
      </c>
      <c r="G47" s="525"/>
      <c r="H47" s="525"/>
      <c r="I47" s="525">
        <f>ROUND(VLOOKUP($P47,DGNC,DG!$S$4,0)*R47*S47,0)</f>
        <v>226732</v>
      </c>
      <c r="J47" s="525">
        <f>ROUND(VLOOKUP($P47,DGNC,DG!$S$4,0)*U47*V47,0)</f>
        <v>277117</v>
      </c>
      <c r="K47" s="525">
        <f t="shared" si="13"/>
        <v>0</v>
      </c>
      <c r="L47" s="525">
        <f t="shared" si="14"/>
        <v>0</v>
      </c>
      <c r="M47" s="525">
        <f t="shared" si="15"/>
        <v>0</v>
      </c>
      <c r="N47" s="525">
        <f t="shared" si="16"/>
        <v>0</v>
      </c>
      <c r="O47" s="418">
        <f t="shared" si="12"/>
        <v>0</v>
      </c>
      <c r="P47" s="525" t="s">
        <v>289</v>
      </c>
      <c r="Q47" s="525" t="s">
        <v>2216</v>
      </c>
      <c r="R47" s="626">
        <v>1.53</v>
      </c>
      <c r="S47" s="626">
        <f>0.45*1.5</f>
        <v>0.67500000000000004</v>
      </c>
      <c r="T47" s="525" t="s">
        <v>2216</v>
      </c>
      <c r="U47" s="626">
        <v>1.53</v>
      </c>
      <c r="V47" s="626">
        <f>0.55*1.5</f>
        <v>0.82500000000000007</v>
      </c>
      <c r="W47" s="523"/>
      <c r="X47" s="626"/>
      <c r="Y47" s="626"/>
      <c r="Z47" s="523"/>
      <c r="AA47" s="626"/>
      <c r="AB47" s="626"/>
      <c r="AC47" s="525"/>
      <c r="AD47" s="626"/>
      <c r="AE47" s="626"/>
      <c r="AF47" s="525"/>
      <c r="AG47" s="525"/>
      <c r="AH47" s="525"/>
    </row>
    <row r="48" spans="2:34" hidden="1">
      <c r="C48" s="523" t="s">
        <v>477</v>
      </c>
      <c r="D48" s="523" t="s">
        <v>2297</v>
      </c>
      <c r="E48" s="525" t="s">
        <v>2263</v>
      </c>
      <c r="F48" s="523" t="s">
        <v>138</v>
      </c>
      <c r="G48" s="525"/>
      <c r="H48" s="525"/>
      <c r="I48" s="525">
        <f>ROUND(VLOOKUP($P48,DGNC,DG!$S$4,0)*R48*S48,0)</f>
        <v>306755</v>
      </c>
      <c r="J48" s="525">
        <f>ROUND(VLOOKUP($P48,DGNC,DG!$S$4,0)*U48*V48,0)</f>
        <v>374923</v>
      </c>
      <c r="K48" s="525">
        <f t="shared" si="13"/>
        <v>0</v>
      </c>
      <c r="L48" s="525">
        <f t="shared" si="14"/>
        <v>0</v>
      </c>
      <c r="M48" s="525">
        <f t="shared" si="15"/>
        <v>0</v>
      </c>
      <c r="N48" s="525">
        <f t="shared" si="16"/>
        <v>0</v>
      </c>
      <c r="O48" s="418">
        <f t="shared" si="12"/>
        <v>0</v>
      </c>
      <c r="P48" s="525" t="s">
        <v>289</v>
      </c>
      <c r="Q48" s="525" t="s">
        <v>2216</v>
      </c>
      <c r="R48" s="626">
        <v>2.0699999999999998</v>
      </c>
      <c r="S48" s="626">
        <f>0.45*1.5</f>
        <v>0.67500000000000004</v>
      </c>
      <c r="T48" s="525" t="s">
        <v>2216</v>
      </c>
      <c r="U48" s="626">
        <v>2.0699999999999998</v>
      </c>
      <c r="V48" s="626">
        <f>0.55*1.5</f>
        <v>0.82500000000000007</v>
      </c>
      <c r="W48" s="523"/>
      <c r="X48" s="626"/>
      <c r="Y48" s="626"/>
      <c r="Z48" s="523"/>
      <c r="AA48" s="626"/>
      <c r="AB48" s="626"/>
      <c r="AC48" s="525"/>
      <c r="AD48" s="626"/>
      <c r="AE48" s="626"/>
      <c r="AF48" s="525"/>
      <c r="AG48" s="525"/>
      <c r="AH48" s="525"/>
    </row>
    <row r="49" spans="2:34" hidden="1">
      <c r="C49" s="523" t="s">
        <v>477</v>
      </c>
      <c r="D49" s="523" t="s">
        <v>2296</v>
      </c>
      <c r="E49" s="525" t="s">
        <v>2265</v>
      </c>
      <c r="F49" s="523" t="s">
        <v>138</v>
      </c>
      <c r="G49" s="525"/>
      <c r="H49" s="525"/>
      <c r="I49" s="525">
        <f>ROUND(VLOOKUP($P49,DGNC,DG!$S$4,0)*R49*S49,0)</f>
        <v>226732</v>
      </c>
      <c r="J49" s="525">
        <f>ROUND(VLOOKUP($P49,DGNC,DG!$S$4,0)*U49*V49,0)</f>
        <v>277117</v>
      </c>
      <c r="K49" s="525">
        <f t="shared" si="13"/>
        <v>0</v>
      </c>
      <c r="L49" s="525">
        <f t="shared" si="14"/>
        <v>0</v>
      </c>
      <c r="M49" s="525">
        <f t="shared" si="15"/>
        <v>0</v>
      </c>
      <c r="N49" s="525">
        <f t="shared" si="16"/>
        <v>0</v>
      </c>
      <c r="O49" s="418">
        <f t="shared" si="12"/>
        <v>0</v>
      </c>
      <c r="P49" s="525" t="s">
        <v>289</v>
      </c>
      <c r="Q49" s="525" t="s">
        <v>2216</v>
      </c>
      <c r="R49" s="626">
        <v>1.53</v>
      </c>
      <c r="S49" s="626">
        <f>0.45*1.5</f>
        <v>0.67500000000000004</v>
      </c>
      <c r="T49" s="525" t="s">
        <v>2216</v>
      </c>
      <c r="U49" s="626">
        <v>1.53</v>
      </c>
      <c r="V49" s="626">
        <f>0.55*1.5</f>
        <v>0.82500000000000007</v>
      </c>
      <c r="W49" s="523"/>
      <c r="X49" s="626"/>
      <c r="Y49" s="626"/>
      <c r="Z49" s="523"/>
      <c r="AA49" s="626"/>
      <c r="AB49" s="626"/>
      <c r="AC49" s="525"/>
      <c r="AD49" s="626"/>
      <c r="AE49" s="626"/>
      <c r="AF49" s="525"/>
      <c r="AG49" s="525"/>
      <c r="AH49" s="525"/>
    </row>
    <row r="50" spans="2:34" hidden="1">
      <c r="B50" s="405" t="s">
        <v>2952</v>
      </c>
      <c r="C50" s="538" t="s">
        <v>1663</v>
      </c>
      <c r="D50" s="539" t="s">
        <v>2954</v>
      </c>
      <c r="E50" s="539"/>
      <c r="F50" s="538"/>
      <c r="G50" s="539"/>
      <c r="H50" s="539"/>
      <c r="I50" s="539"/>
      <c r="J50" s="539"/>
      <c r="K50" s="539"/>
      <c r="L50" s="539"/>
      <c r="M50" s="539">
        <f>SUM(M51:M58)</f>
        <v>0</v>
      </c>
      <c r="N50" s="539">
        <f>SUM(N51:N58)</f>
        <v>0</v>
      </c>
      <c r="O50" s="418">
        <f t="shared" ref="O50:O58" si="17">IF((M50+N50)&lt;&gt;0,1,)</f>
        <v>0</v>
      </c>
      <c r="P50" s="525"/>
      <c r="Q50" s="539"/>
      <c r="R50" s="661"/>
      <c r="S50" s="661"/>
      <c r="T50" s="539"/>
      <c r="U50" s="661"/>
      <c r="V50" s="661"/>
      <c r="W50" s="539"/>
      <c r="X50" s="661"/>
      <c r="Y50" s="661"/>
      <c r="Z50" s="539"/>
      <c r="AA50" s="661"/>
      <c r="AB50" s="661"/>
      <c r="AC50" s="525"/>
      <c r="AD50" s="626"/>
      <c r="AE50" s="626"/>
      <c r="AF50" s="525"/>
      <c r="AG50" s="525"/>
      <c r="AH50" s="525"/>
    </row>
    <row r="51" spans="2:34" hidden="1">
      <c r="C51" s="523" t="s">
        <v>477</v>
      </c>
      <c r="D51" s="523" t="s">
        <v>2295</v>
      </c>
      <c r="E51" s="525" t="s">
        <v>2230</v>
      </c>
      <c r="F51" s="523" t="s">
        <v>276</v>
      </c>
      <c r="G51" s="525"/>
      <c r="H51" s="525"/>
      <c r="I51" s="525">
        <f>ROUND(VLOOKUP($P51,DGNC,DG!$S$4,0)*R51*S51,0)</f>
        <v>469469</v>
      </c>
      <c r="J51" s="525">
        <f>ROUND(VLOOKUP($P51,DGNC,DG!$S$4,0)*U51*V51,0)</f>
        <v>573795</v>
      </c>
      <c r="K51" s="525">
        <f t="shared" ref="K51:K58" si="18">ROUND(IF(W51&lt;&gt;0,VLOOKUP(W51,DGMTC,8,0)*X51*Y51,)+IF(AC51&lt;&gt;0,VLOOKUP(AC51,DGMTC,8,0)*AD51*AE51,),0)</f>
        <v>157108</v>
      </c>
      <c r="L51" s="525">
        <f t="shared" ref="L51:L58" si="19">ROUND(IF(Z51&lt;&gt;0,VLOOKUP(Z51,DGMTC,8,0)*AA51*AB51,)+IF(AF51&lt;&gt;0,VLOOKUP(AF51,DGMTC,8,0)*AG51*AH51,),0)</f>
        <v>192021</v>
      </c>
      <c r="M51" s="525">
        <f t="shared" ref="M51:M57" si="20">ROUND(G51*I51+H51*J51,0)</f>
        <v>0</v>
      </c>
      <c r="N51" s="525">
        <f t="shared" ref="N51:N57" si="21">ROUND(G51*K51+H51*L51,0)</f>
        <v>0</v>
      </c>
      <c r="O51" s="418">
        <f t="shared" si="17"/>
        <v>0</v>
      </c>
      <c r="P51" s="525" t="s">
        <v>289</v>
      </c>
      <c r="Q51" s="525" t="s">
        <v>2216</v>
      </c>
      <c r="R51" s="626">
        <v>4.7519999999999998</v>
      </c>
      <c r="S51" s="626">
        <v>0.45</v>
      </c>
      <c r="T51" s="525" t="s">
        <v>2216</v>
      </c>
      <c r="U51" s="626">
        <v>4.7519999999999998</v>
      </c>
      <c r="V51" s="626">
        <v>0.55000000000000004</v>
      </c>
      <c r="W51" s="523" t="s">
        <v>603</v>
      </c>
      <c r="X51" s="626">
        <v>0.18</v>
      </c>
      <c r="Y51" s="626">
        <v>0.45</v>
      </c>
      <c r="Z51" s="523" t="s">
        <v>603</v>
      </c>
      <c r="AA51" s="626">
        <v>0.18</v>
      </c>
      <c r="AB51" s="626">
        <v>0.55000000000000004</v>
      </c>
      <c r="AC51" s="525"/>
      <c r="AD51" s="626"/>
      <c r="AE51" s="626"/>
      <c r="AF51" s="525"/>
      <c r="AG51" s="525"/>
      <c r="AH51" s="525"/>
    </row>
    <row r="52" spans="2:34" hidden="1">
      <c r="C52" s="523" t="s">
        <v>477</v>
      </c>
      <c r="D52" s="523" t="s">
        <v>2295</v>
      </c>
      <c r="E52" s="525" t="s">
        <v>2229</v>
      </c>
      <c r="F52" s="523" t="s">
        <v>276</v>
      </c>
      <c r="G52" s="525"/>
      <c r="H52" s="525"/>
      <c r="I52" s="525">
        <f>ROUND(VLOOKUP($P52,DGNC,DG!$S$4,0)*R52*S52,0)</f>
        <v>469469</v>
      </c>
      <c r="J52" s="525">
        <f>ROUND(VLOOKUP($P52,DGNC,DG!$S$4,0)*U52*V52,0)</f>
        <v>573795</v>
      </c>
      <c r="K52" s="525">
        <f t="shared" si="18"/>
        <v>157108</v>
      </c>
      <c r="L52" s="525">
        <f t="shared" si="19"/>
        <v>192021</v>
      </c>
      <c r="M52" s="525">
        <f t="shared" si="20"/>
        <v>0</v>
      </c>
      <c r="N52" s="525">
        <f t="shared" si="21"/>
        <v>0</v>
      </c>
      <c r="O52" s="418">
        <f t="shared" si="17"/>
        <v>0</v>
      </c>
      <c r="P52" s="525" t="s">
        <v>289</v>
      </c>
      <c r="Q52" s="525" t="s">
        <v>2216</v>
      </c>
      <c r="R52" s="626">
        <v>4.7519999999999998</v>
      </c>
      <c r="S52" s="626">
        <v>0.45</v>
      </c>
      <c r="T52" s="525" t="s">
        <v>2216</v>
      </c>
      <c r="U52" s="626">
        <v>4.7519999999999998</v>
      </c>
      <c r="V52" s="626">
        <v>0.55000000000000004</v>
      </c>
      <c r="W52" s="523" t="s">
        <v>603</v>
      </c>
      <c r="X52" s="626">
        <v>0.18</v>
      </c>
      <c r="Y52" s="626">
        <v>0.45</v>
      </c>
      <c r="Z52" s="523" t="s">
        <v>603</v>
      </c>
      <c r="AA52" s="626">
        <v>0.18</v>
      </c>
      <c r="AB52" s="626">
        <v>0.55000000000000004</v>
      </c>
      <c r="AC52" s="525"/>
      <c r="AD52" s="626"/>
      <c r="AE52" s="626"/>
      <c r="AF52" s="525"/>
      <c r="AG52" s="525"/>
      <c r="AH52" s="525"/>
    </row>
    <row r="53" spans="2:34" hidden="1">
      <c r="C53" s="523" t="s">
        <v>477</v>
      </c>
      <c r="D53" s="523" t="s">
        <v>2296</v>
      </c>
      <c r="E53" s="525" t="s">
        <v>2266</v>
      </c>
      <c r="F53" s="523" t="s">
        <v>138</v>
      </c>
      <c r="G53" s="525"/>
      <c r="H53" s="525"/>
      <c r="I53" s="525">
        <f>ROUND(VLOOKUP($P53,DGNC,DG!$S$4,0)*R53*S53,0)</f>
        <v>226732</v>
      </c>
      <c r="J53" s="525">
        <f>ROUND(VLOOKUP($P53,DGNC,DG!$S$4,0)*U53*V53,0)</f>
        <v>277117</v>
      </c>
      <c r="K53" s="525">
        <f t="shared" si="18"/>
        <v>0</v>
      </c>
      <c r="L53" s="525">
        <f t="shared" si="19"/>
        <v>0</v>
      </c>
      <c r="M53" s="525">
        <f t="shared" si="20"/>
        <v>0</v>
      </c>
      <c r="N53" s="525">
        <f t="shared" si="21"/>
        <v>0</v>
      </c>
      <c r="O53" s="418">
        <f t="shared" si="17"/>
        <v>0</v>
      </c>
      <c r="P53" s="525" t="s">
        <v>289</v>
      </c>
      <c r="Q53" s="525" t="s">
        <v>2216</v>
      </c>
      <c r="R53" s="626">
        <v>1.53</v>
      </c>
      <c r="S53" s="626">
        <f>0.45*1.5</f>
        <v>0.67500000000000004</v>
      </c>
      <c r="T53" s="525" t="s">
        <v>2216</v>
      </c>
      <c r="U53" s="626">
        <v>1.53</v>
      </c>
      <c r="V53" s="626">
        <f>0.55*1.5</f>
        <v>0.82500000000000007</v>
      </c>
      <c r="W53" s="523"/>
      <c r="X53" s="626"/>
      <c r="Y53" s="626"/>
      <c r="Z53" s="523"/>
      <c r="AA53" s="626"/>
      <c r="AB53" s="626"/>
      <c r="AC53" s="525"/>
      <c r="AD53" s="626"/>
      <c r="AE53" s="626"/>
      <c r="AF53" s="525"/>
      <c r="AG53" s="525"/>
      <c r="AH53" s="525"/>
    </row>
    <row r="54" spans="2:34" hidden="1">
      <c r="C54" s="523" t="s">
        <v>477</v>
      </c>
      <c r="D54" s="523" t="s">
        <v>2297</v>
      </c>
      <c r="E54" s="525" t="s">
        <v>2267</v>
      </c>
      <c r="F54" s="523" t="s">
        <v>138</v>
      </c>
      <c r="G54" s="525"/>
      <c r="H54" s="525"/>
      <c r="I54" s="525">
        <f>ROUND(VLOOKUP($P54,DGNC,DG!$S$4,0)*R54*S54,0)</f>
        <v>306755</v>
      </c>
      <c r="J54" s="525">
        <f>ROUND(VLOOKUP($P54,DGNC,DG!$S$4,0)*U54*V54,0)</f>
        <v>374923</v>
      </c>
      <c r="K54" s="525">
        <f t="shared" si="18"/>
        <v>0</v>
      </c>
      <c r="L54" s="525">
        <f t="shared" si="19"/>
        <v>0</v>
      </c>
      <c r="M54" s="525">
        <f t="shared" si="20"/>
        <v>0</v>
      </c>
      <c r="N54" s="525">
        <f t="shared" si="21"/>
        <v>0</v>
      </c>
      <c r="O54" s="418">
        <f t="shared" si="17"/>
        <v>0</v>
      </c>
      <c r="P54" s="525" t="s">
        <v>289</v>
      </c>
      <c r="Q54" s="525" t="s">
        <v>2216</v>
      </c>
      <c r="R54" s="626">
        <v>2.0699999999999998</v>
      </c>
      <c r="S54" s="626">
        <f>0.45*1.5</f>
        <v>0.67500000000000004</v>
      </c>
      <c r="T54" s="525" t="s">
        <v>2216</v>
      </c>
      <c r="U54" s="626">
        <v>2.0699999999999998</v>
      </c>
      <c r="V54" s="626">
        <f>0.55*1.5</f>
        <v>0.82500000000000007</v>
      </c>
      <c r="W54" s="523"/>
      <c r="X54" s="626"/>
      <c r="Y54" s="626"/>
      <c r="Z54" s="523"/>
      <c r="AA54" s="626"/>
      <c r="AB54" s="626"/>
      <c r="AC54" s="525"/>
      <c r="AD54" s="626"/>
      <c r="AE54" s="626"/>
      <c r="AF54" s="525"/>
      <c r="AG54" s="525"/>
      <c r="AH54" s="525"/>
    </row>
    <row r="55" spans="2:34" hidden="1">
      <c r="C55" s="523" t="s">
        <v>477</v>
      </c>
      <c r="D55" s="523" t="s">
        <v>2296</v>
      </c>
      <c r="E55" s="525" t="s">
        <v>2228</v>
      </c>
      <c r="F55" s="523" t="s">
        <v>138</v>
      </c>
      <c r="G55" s="525"/>
      <c r="H55" s="525"/>
      <c r="I55" s="525">
        <f>ROUND(VLOOKUP($P55,DGNC,DG!$S$4,0)*R55*S55,0)</f>
        <v>226732</v>
      </c>
      <c r="J55" s="525">
        <f>ROUND(VLOOKUP($P55,DGNC,DG!$S$4,0)*U55*V55,0)</f>
        <v>277117</v>
      </c>
      <c r="K55" s="525">
        <f t="shared" si="18"/>
        <v>0</v>
      </c>
      <c r="L55" s="525">
        <f t="shared" si="19"/>
        <v>0</v>
      </c>
      <c r="M55" s="525">
        <f t="shared" si="20"/>
        <v>0</v>
      </c>
      <c r="N55" s="525">
        <f t="shared" si="21"/>
        <v>0</v>
      </c>
      <c r="O55" s="418">
        <f t="shared" si="17"/>
        <v>0</v>
      </c>
      <c r="P55" s="525" t="s">
        <v>289</v>
      </c>
      <c r="Q55" s="525" t="s">
        <v>2216</v>
      </c>
      <c r="R55" s="626">
        <v>1.53</v>
      </c>
      <c r="S55" s="626">
        <f>0.45*1.5</f>
        <v>0.67500000000000004</v>
      </c>
      <c r="T55" s="525" t="s">
        <v>2216</v>
      </c>
      <c r="U55" s="626">
        <v>1.53</v>
      </c>
      <c r="V55" s="626">
        <f>0.55*1.5</f>
        <v>0.82500000000000007</v>
      </c>
      <c r="W55" s="523"/>
      <c r="X55" s="626"/>
      <c r="Y55" s="626"/>
      <c r="Z55" s="523"/>
      <c r="AA55" s="626"/>
      <c r="AB55" s="626"/>
      <c r="AC55" s="525"/>
      <c r="AD55" s="626"/>
      <c r="AE55" s="626"/>
      <c r="AF55" s="525"/>
      <c r="AG55" s="525"/>
      <c r="AH55" s="525"/>
    </row>
    <row r="56" spans="2:34" hidden="1">
      <c r="C56" s="523" t="s">
        <v>477</v>
      </c>
      <c r="D56" s="523" t="s">
        <v>2297</v>
      </c>
      <c r="E56" s="525" t="s">
        <v>2263</v>
      </c>
      <c r="F56" s="523" t="s">
        <v>138</v>
      </c>
      <c r="G56" s="525"/>
      <c r="H56" s="525"/>
      <c r="I56" s="525">
        <f>ROUND(VLOOKUP($P56,DGNC,DG!$S$4,0)*R56*S56,0)</f>
        <v>306755</v>
      </c>
      <c r="J56" s="525">
        <f>ROUND(VLOOKUP($P56,DGNC,DG!$S$4,0)*U56*V56,0)</f>
        <v>374923</v>
      </c>
      <c r="K56" s="525">
        <f t="shared" si="18"/>
        <v>0</v>
      </c>
      <c r="L56" s="525">
        <f t="shared" si="19"/>
        <v>0</v>
      </c>
      <c r="M56" s="525">
        <f t="shared" si="20"/>
        <v>0</v>
      </c>
      <c r="N56" s="525">
        <f t="shared" si="21"/>
        <v>0</v>
      </c>
      <c r="O56" s="418">
        <f t="shared" si="17"/>
        <v>0</v>
      </c>
      <c r="P56" s="525" t="s">
        <v>289</v>
      </c>
      <c r="Q56" s="525" t="s">
        <v>2216</v>
      </c>
      <c r="R56" s="626">
        <v>2.0699999999999998</v>
      </c>
      <c r="S56" s="626">
        <f>0.45*1.5</f>
        <v>0.67500000000000004</v>
      </c>
      <c r="T56" s="525" t="s">
        <v>2216</v>
      </c>
      <c r="U56" s="626">
        <v>2.0699999999999998</v>
      </c>
      <c r="V56" s="626">
        <f>0.55*1.5</f>
        <v>0.82500000000000007</v>
      </c>
      <c r="W56" s="523"/>
      <c r="X56" s="626"/>
      <c r="Y56" s="626"/>
      <c r="Z56" s="523"/>
      <c r="AA56" s="626"/>
      <c r="AB56" s="626"/>
      <c r="AC56" s="525"/>
      <c r="AD56" s="626"/>
      <c r="AE56" s="626"/>
      <c r="AF56" s="525"/>
      <c r="AG56" s="525"/>
      <c r="AH56" s="525"/>
    </row>
    <row r="57" spans="2:34" hidden="1">
      <c r="C57" s="523" t="s">
        <v>477</v>
      </c>
      <c r="D57" s="523" t="s">
        <v>2296</v>
      </c>
      <c r="E57" s="525" t="s">
        <v>2265</v>
      </c>
      <c r="F57" s="523" t="s">
        <v>138</v>
      </c>
      <c r="G57" s="525"/>
      <c r="H57" s="525"/>
      <c r="I57" s="525">
        <f>ROUND(VLOOKUP($P57,DGNC,DG!$S$4,0)*R57*S57,0)</f>
        <v>226732</v>
      </c>
      <c r="J57" s="525">
        <f>ROUND(VLOOKUP($P57,DGNC,DG!$S$4,0)*U57*V57,0)</f>
        <v>277117</v>
      </c>
      <c r="K57" s="525">
        <f t="shared" si="18"/>
        <v>0</v>
      </c>
      <c r="L57" s="525">
        <f t="shared" si="19"/>
        <v>0</v>
      </c>
      <c r="M57" s="525">
        <f t="shared" si="20"/>
        <v>0</v>
      </c>
      <c r="N57" s="525">
        <f t="shared" si="21"/>
        <v>0</v>
      </c>
      <c r="O57" s="418">
        <f t="shared" si="17"/>
        <v>0</v>
      </c>
      <c r="P57" s="525" t="s">
        <v>289</v>
      </c>
      <c r="Q57" s="525" t="s">
        <v>2216</v>
      </c>
      <c r="R57" s="626">
        <v>1.53</v>
      </c>
      <c r="S57" s="626">
        <f>0.45*1.5</f>
        <v>0.67500000000000004</v>
      </c>
      <c r="T57" s="525" t="s">
        <v>2216</v>
      </c>
      <c r="U57" s="626">
        <v>1.53</v>
      </c>
      <c r="V57" s="626">
        <f>0.55*1.5</f>
        <v>0.82500000000000007</v>
      </c>
      <c r="W57" s="523"/>
      <c r="X57" s="626"/>
      <c r="Y57" s="626"/>
      <c r="Z57" s="523"/>
      <c r="AA57" s="626"/>
      <c r="AB57" s="626"/>
      <c r="AC57" s="525"/>
      <c r="AD57" s="626"/>
      <c r="AE57" s="626"/>
      <c r="AF57" s="525"/>
      <c r="AG57" s="525"/>
      <c r="AH57" s="525"/>
    </row>
    <row r="58" spans="2:34" hidden="1">
      <c r="C58" s="523" t="s">
        <v>477</v>
      </c>
      <c r="D58" s="523" t="s">
        <v>2213</v>
      </c>
      <c r="E58" s="525" t="s">
        <v>2214</v>
      </c>
      <c r="F58" s="523" t="s">
        <v>2215</v>
      </c>
      <c r="G58" s="525"/>
      <c r="H58" s="525"/>
      <c r="I58" s="525">
        <f>ROUND(VLOOKUP($P58,DGNC,DG!$S$4,0)*R58*S58,0)</f>
        <v>40189</v>
      </c>
      <c r="J58" s="525">
        <f>ROUND(VLOOKUP($P58,DGNC,DG!$S$4,0)*U58*V58,0)</f>
        <v>49120</v>
      </c>
      <c r="K58" s="525">
        <f t="shared" si="18"/>
        <v>0</v>
      </c>
      <c r="L58" s="525">
        <f t="shared" si="19"/>
        <v>0</v>
      </c>
      <c r="M58" s="525">
        <f>ROUND(G58*I58+H58*J58,0)</f>
        <v>0</v>
      </c>
      <c r="N58" s="525">
        <f>ROUND(G58*K58+H58*L58,0)</f>
        <v>0</v>
      </c>
      <c r="O58" s="418">
        <f t="shared" si="17"/>
        <v>0</v>
      </c>
      <c r="P58" s="525" t="s">
        <v>289</v>
      </c>
      <c r="Q58" s="525" t="s">
        <v>2216</v>
      </c>
      <c r="R58" s="626">
        <v>0.40679999999999999</v>
      </c>
      <c r="S58" s="626">
        <v>0.45</v>
      </c>
      <c r="T58" s="525" t="s">
        <v>2216</v>
      </c>
      <c r="U58" s="626">
        <v>0.40679999999999999</v>
      </c>
      <c r="V58" s="626">
        <v>0.55000000000000004</v>
      </c>
      <c r="W58" s="523"/>
      <c r="X58" s="626"/>
      <c r="Y58" s="626"/>
      <c r="Z58" s="523"/>
      <c r="AA58" s="626"/>
      <c r="AB58" s="626"/>
      <c r="AC58" s="525"/>
      <c r="AD58" s="626"/>
      <c r="AE58" s="626"/>
      <c r="AF58" s="525"/>
      <c r="AG58" s="525"/>
      <c r="AH58" s="525"/>
    </row>
    <row r="59" spans="2:34">
      <c r="B59" s="405" t="s">
        <v>1873</v>
      </c>
      <c r="C59" s="538" t="s">
        <v>1673</v>
      </c>
      <c r="D59" s="539" t="str">
        <f>VLOOKUP(B59,XLDD,'3.XL-DD'!$D$2,0)</f>
        <v>Phần đường dây hạ thế</v>
      </c>
      <c r="E59" s="539"/>
      <c r="F59" s="538"/>
      <c r="G59" s="539"/>
      <c r="H59" s="539"/>
      <c r="I59" s="539"/>
      <c r="J59" s="539"/>
      <c r="K59" s="539"/>
      <c r="L59" s="539"/>
      <c r="M59" s="539">
        <f>SUM(M60:M94)</f>
        <v>81379246</v>
      </c>
      <c r="N59" s="539">
        <f>SUM(N60:N94)</f>
        <v>13871325</v>
      </c>
      <c r="O59" s="418">
        <f t="shared" ref="O59:O96" si="22">IF((M59+N59)&lt;&gt;0,1,)</f>
        <v>1</v>
      </c>
      <c r="P59" s="525"/>
      <c r="Q59" s="654"/>
      <c r="R59" s="655"/>
      <c r="S59" s="655"/>
      <c r="T59" s="539"/>
      <c r="U59" s="661"/>
      <c r="V59" s="661"/>
      <c r="W59" s="654"/>
      <c r="X59" s="655"/>
      <c r="Y59" s="655"/>
      <c r="Z59" s="539"/>
      <c r="AA59" s="661"/>
      <c r="AB59" s="661"/>
      <c r="AC59" s="525"/>
      <c r="AD59" s="626"/>
      <c r="AE59" s="626"/>
      <c r="AF59" s="525"/>
      <c r="AG59" s="525"/>
      <c r="AH59" s="525"/>
    </row>
    <row r="60" spans="2:34" ht="31.2">
      <c r="C60" s="523">
        <f>IF(SUM(G60:H60)&lt;&gt;0,1,)</f>
        <v>1</v>
      </c>
      <c r="D60" s="636" t="s">
        <v>3537</v>
      </c>
      <c r="E60" s="525" t="s">
        <v>3533</v>
      </c>
      <c r="F60" s="523" t="s">
        <v>276</v>
      </c>
      <c r="G60" s="525">
        <f>BKTL!CP507</f>
        <v>22</v>
      </c>
      <c r="H60" s="525">
        <f>BKTL!CT507</f>
        <v>0</v>
      </c>
      <c r="I60" s="525">
        <f>ROUND(VLOOKUP($P60,DGNC,DG!$S$4,0)*R60*S60,0)</f>
        <v>328984</v>
      </c>
      <c r="J60" s="525">
        <f>ROUND(VLOOKUP($T60,DGNC,DG!$S$4,0)*U60*V60,0)</f>
        <v>438339</v>
      </c>
      <c r="K60" s="525">
        <f t="shared" ref="K60:K94" si="23">ROUND(IF(W60&lt;&gt;0,VLOOKUP(W60,DGMTC,8,0)*X60*Y60,)+IF(AC60&lt;&gt;0,VLOOKUP(AC60,DGMTC,8,0)*AD60*AE60,),0)</f>
        <v>109975</v>
      </c>
      <c r="L60" s="525">
        <f t="shared" ref="L60:L94" si="24">ROUND(IF(Z60&lt;&gt;0,VLOOKUP(Z60,DGMTC,8,0)*AA60*AB60,)+IF(AF60&lt;&gt;0,VLOOKUP(AF60,DGMTC,8,0)*AG60*AH60,),0)</f>
        <v>135772</v>
      </c>
      <c r="M60" s="525">
        <f>ROUND(G60*I60+H60*J60,0)</f>
        <v>7237648</v>
      </c>
      <c r="N60" s="525">
        <f>ROUND(G60*K60+H60*L60,0)</f>
        <v>2419450</v>
      </c>
      <c r="O60" s="418">
        <f t="shared" si="22"/>
        <v>1</v>
      </c>
      <c r="P60" s="525" t="s">
        <v>289</v>
      </c>
      <c r="Q60" s="656" t="s">
        <v>2216</v>
      </c>
      <c r="R60" s="657">
        <v>3.33</v>
      </c>
      <c r="S60" s="657">
        <v>0.45</v>
      </c>
      <c r="T60" s="525" t="s">
        <v>12</v>
      </c>
      <c r="U60" s="626">
        <v>1.85</v>
      </c>
      <c r="V60" s="626">
        <v>1</v>
      </c>
      <c r="W60" s="658" t="s">
        <v>603</v>
      </c>
      <c r="X60" s="657">
        <v>0.126</v>
      </c>
      <c r="Y60" s="657">
        <v>0.45</v>
      </c>
      <c r="Z60" s="525" t="s">
        <v>603</v>
      </c>
      <c r="AA60" s="626">
        <v>7.0000000000000007E-2</v>
      </c>
      <c r="AB60" s="626">
        <v>1</v>
      </c>
      <c r="AC60" s="525"/>
      <c r="AD60" s="626"/>
      <c r="AE60" s="626"/>
      <c r="AF60" s="525"/>
      <c r="AG60" s="525"/>
      <c r="AH60" s="525"/>
    </row>
    <row r="61" spans="2:34" ht="31.2">
      <c r="C61" s="662">
        <f t="shared" ref="C61:C94" si="25">IF(SUM(G61:H61)&lt;&gt;0,C60+1,C60)</f>
        <v>2</v>
      </c>
      <c r="D61" s="636" t="s">
        <v>3537</v>
      </c>
      <c r="E61" s="525" t="s">
        <v>3534</v>
      </c>
      <c r="F61" s="523" t="s">
        <v>276</v>
      </c>
      <c r="G61" s="525">
        <f>BKTL!CQ507</f>
        <v>19</v>
      </c>
      <c r="H61" s="525">
        <f>BKTL!CU507</f>
        <v>11</v>
      </c>
      <c r="I61" s="525">
        <f>ROUND(VLOOKUP($P61,DGNC,DG!$S$4,0)*R61*S61,0)</f>
        <v>328984</v>
      </c>
      <c r="J61" s="525">
        <f>ROUND(VLOOKUP($T61,DGNC,DG!$S$4,0)*U61*V61,0)</f>
        <v>438339</v>
      </c>
      <c r="K61" s="525">
        <f>ROUND(IF(W61&lt;&gt;0,VLOOKUP(W61,DGMTC,8,0)*X61*Y61,)+IF(AC61&lt;&gt;0,VLOOKUP(AC61,DGMTC,8,0)*AD61*AE61,),0)</f>
        <v>109975</v>
      </c>
      <c r="L61" s="525">
        <f>ROUND(IF(Z61&lt;&gt;0,VLOOKUP(Z61,DGMTC,8,0)*AA61*AB61,)+IF(AF61&lt;&gt;0,VLOOKUP(AF61,DGMTC,8,0)*AG61*AH61,),0)</f>
        <v>135772</v>
      </c>
      <c r="M61" s="525">
        <f>ROUND(G61*I61+H61*J61,0)</f>
        <v>11072425</v>
      </c>
      <c r="N61" s="525">
        <f>ROUND(G61*K61+H61*L61,0)</f>
        <v>3583017</v>
      </c>
      <c r="O61" s="418">
        <f>IF((M61+N61)&lt;&gt;0,1,)</f>
        <v>1</v>
      </c>
      <c r="P61" s="525" t="s">
        <v>289</v>
      </c>
      <c r="Q61" s="656" t="s">
        <v>2216</v>
      </c>
      <c r="R61" s="657">
        <v>3.33</v>
      </c>
      <c r="S61" s="657">
        <v>0.45</v>
      </c>
      <c r="T61" s="525" t="s">
        <v>12</v>
      </c>
      <c r="U61" s="626">
        <v>1.85</v>
      </c>
      <c r="V61" s="626">
        <v>1</v>
      </c>
      <c r="W61" s="658" t="s">
        <v>603</v>
      </c>
      <c r="X61" s="657">
        <v>0.126</v>
      </c>
      <c r="Y61" s="657">
        <v>0.45</v>
      </c>
      <c r="Z61" s="525" t="s">
        <v>603</v>
      </c>
      <c r="AA61" s="626">
        <v>7.0000000000000007E-2</v>
      </c>
      <c r="AB61" s="626">
        <v>1</v>
      </c>
      <c r="AC61" s="525"/>
      <c r="AD61" s="626"/>
      <c r="AE61" s="626"/>
      <c r="AF61" s="525"/>
      <c r="AG61" s="525"/>
      <c r="AH61" s="525"/>
    </row>
    <row r="62" spans="2:34" hidden="1">
      <c r="C62" s="662">
        <f t="shared" si="25"/>
        <v>2</v>
      </c>
      <c r="D62" s="523" t="s">
        <v>2231</v>
      </c>
      <c r="E62" s="525" t="s">
        <v>2232</v>
      </c>
      <c r="F62" s="523" t="s">
        <v>276</v>
      </c>
      <c r="G62" s="525">
        <f>BKTL!CR507</f>
        <v>0</v>
      </c>
      <c r="H62" s="525"/>
      <c r="I62" s="525">
        <f>ROUND(VLOOKUP($P62,DGNC,DG!$S$4,0)*R62*S62,0)</f>
        <v>406873</v>
      </c>
      <c r="J62" s="525">
        <f>ROUND(VLOOKUP($P62,DGNC,DG!$S$4,0)*U62*V62,0)</f>
        <v>502313</v>
      </c>
      <c r="K62" s="525">
        <f t="shared" si="23"/>
        <v>157108</v>
      </c>
      <c r="L62" s="525">
        <f t="shared" si="24"/>
        <v>193960</v>
      </c>
      <c r="M62" s="525">
        <f>ROUND(G62*I62+H62*J62,0)</f>
        <v>0</v>
      </c>
      <c r="N62" s="525">
        <f>ROUND(G62*K62+H62*L62,0)</f>
        <v>0</v>
      </c>
      <c r="O62" s="418">
        <f t="shared" si="22"/>
        <v>0</v>
      </c>
      <c r="P62" s="525" t="s">
        <v>12</v>
      </c>
      <c r="Q62" s="525" t="s">
        <v>2221</v>
      </c>
      <c r="R62" s="626">
        <v>3.8159999999999998</v>
      </c>
      <c r="S62" s="626">
        <v>0.45</v>
      </c>
      <c r="T62" s="525" t="s">
        <v>12</v>
      </c>
      <c r="U62" s="626">
        <v>2.12</v>
      </c>
      <c r="V62" s="626">
        <v>1</v>
      </c>
      <c r="W62" s="525" t="s">
        <v>603</v>
      </c>
      <c r="X62" s="626">
        <v>0.18</v>
      </c>
      <c r="Y62" s="626">
        <v>0.45</v>
      </c>
      <c r="Z62" s="525" t="s">
        <v>603</v>
      </c>
      <c r="AA62" s="626">
        <v>0.1</v>
      </c>
      <c r="AB62" s="626">
        <v>1</v>
      </c>
      <c r="AC62" s="525"/>
      <c r="AD62" s="626"/>
      <c r="AE62" s="626"/>
      <c r="AF62" s="525"/>
      <c r="AG62" s="525"/>
      <c r="AH62" s="525"/>
    </row>
    <row r="63" spans="2:34" ht="31.2" hidden="1">
      <c r="C63" s="662">
        <f t="shared" si="25"/>
        <v>2</v>
      </c>
      <c r="D63" s="663" t="s">
        <v>3539</v>
      </c>
      <c r="E63" s="664" t="s">
        <v>2230</v>
      </c>
      <c r="F63" s="662" t="s">
        <v>276</v>
      </c>
      <c r="G63" s="594">
        <f>BKTL!CS507</f>
        <v>0</v>
      </c>
      <c r="H63" s="594">
        <f>G63</f>
        <v>0</v>
      </c>
      <c r="I63" s="664">
        <f>ROUND(VLOOKUP($P63,DGNC,DG!$S$4,0)*R63*S63,0)</f>
        <v>406873</v>
      </c>
      <c r="J63" s="664">
        <f>ROUND(VLOOKUP($P63,DGNC,DG!$S$4,0)*U63*V63,0)</f>
        <v>502313</v>
      </c>
      <c r="K63" s="664">
        <f>ROUND(IF(W63&lt;&gt;0,VLOOKUP(W63,DGMTC,8,0)*X63*Y63,)+IF(AC63&lt;&gt;0,VLOOKUP(AC63,DGMTC,8,0)*AD63*AE63,),0)</f>
        <v>157108</v>
      </c>
      <c r="L63" s="664">
        <f>ROUND(IF(Z63&lt;&gt;0,VLOOKUP(Z63,DGMTC,8,0)*AA63*AB63,)+IF(AF63&lt;&gt;0,VLOOKUP(AF63,DGMTC,8,0)*AG63*AH63,),0)</f>
        <v>193960</v>
      </c>
      <c r="M63" s="664">
        <f>ROUND(G63*I63+H63*J63,0)</f>
        <v>0</v>
      </c>
      <c r="N63" s="664">
        <f>ROUND(G63*K63+H63*L63,0)</f>
        <v>0</v>
      </c>
      <c r="O63" s="418">
        <f>IF((M63+N63)&lt;&gt;0,1,)</f>
        <v>0</v>
      </c>
      <c r="P63" s="525" t="s">
        <v>12</v>
      </c>
      <c r="Q63" s="525" t="s">
        <v>2221</v>
      </c>
      <c r="R63" s="626">
        <v>3.8159999999999998</v>
      </c>
      <c r="S63" s="626">
        <v>0.45</v>
      </c>
      <c r="T63" s="525" t="s">
        <v>12</v>
      </c>
      <c r="U63" s="626">
        <v>2.12</v>
      </c>
      <c r="V63" s="626">
        <v>1</v>
      </c>
      <c r="W63" s="525" t="s">
        <v>603</v>
      </c>
      <c r="X63" s="626">
        <v>0.18</v>
      </c>
      <c r="Y63" s="626">
        <v>0.45</v>
      </c>
      <c r="Z63" s="525" t="s">
        <v>603</v>
      </c>
      <c r="AA63" s="626">
        <v>0.1</v>
      </c>
      <c r="AB63" s="626">
        <v>1</v>
      </c>
      <c r="AC63" s="525"/>
      <c r="AD63" s="626"/>
      <c r="AE63" s="626"/>
      <c r="AF63" s="525"/>
      <c r="AG63" s="525"/>
      <c r="AH63" s="525"/>
    </row>
    <row r="64" spans="2:34" hidden="1">
      <c r="C64" s="523">
        <f t="shared" si="25"/>
        <v>2</v>
      </c>
      <c r="D64" s="523" t="s">
        <v>2244</v>
      </c>
      <c r="E64" s="525" t="s">
        <v>2303</v>
      </c>
      <c r="F64" s="523" t="s">
        <v>730</v>
      </c>
      <c r="G64" s="626"/>
      <c r="H64" s="626"/>
      <c r="I64" s="525">
        <f>ROUND(VLOOKUP($P64,DGNC,DG!$S$4,0)*R64*S64,0)</f>
        <v>1191491</v>
      </c>
      <c r="J64" s="525">
        <f>ROUND(VLOOKUP($P64,DGNC,DG!$S$4,0)*U64*V64,0)</f>
        <v>1456266</v>
      </c>
      <c r="K64" s="525">
        <f t="shared" si="23"/>
        <v>0</v>
      </c>
      <c r="L64" s="525">
        <f t="shared" si="24"/>
        <v>0</v>
      </c>
      <c r="M64" s="525">
        <f>ROUND(G64*I64+H64*J64,0)</f>
        <v>0</v>
      </c>
      <c r="N64" s="525">
        <f>ROUND(G64*K64+H64*L64,0)</f>
        <v>0</v>
      </c>
      <c r="O64" s="418">
        <f t="shared" si="22"/>
        <v>0</v>
      </c>
      <c r="P64" s="525" t="s">
        <v>781</v>
      </c>
      <c r="Q64" s="525" t="s">
        <v>2226</v>
      </c>
      <c r="R64" s="626">
        <v>10.26</v>
      </c>
      <c r="S64" s="626">
        <v>0.45</v>
      </c>
      <c r="T64" s="525" t="s">
        <v>2226</v>
      </c>
      <c r="U64" s="626">
        <v>10.26</v>
      </c>
      <c r="V64" s="626">
        <v>0.55000000000000004</v>
      </c>
      <c r="W64" s="525"/>
      <c r="X64" s="626"/>
      <c r="Y64" s="626"/>
      <c r="Z64" s="525"/>
      <c r="AA64" s="626"/>
      <c r="AB64" s="626"/>
      <c r="AC64" s="525"/>
      <c r="AD64" s="626"/>
      <c r="AE64" s="626"/>
      <c r="AF64" s="525"/>
      <c r="AG64" s="525"/>
      <c r="AH64" s="525"/>
    </row>
    <row r="65" spans="3:34" hidden="1">
      <c r="C65" s="523">
        <f t="shared" si="25"/>
        <v>2</v>
      </c>
      <c r="D65" s="523" t="s">
        <v>2245</v>
      </c>
      <c r="E65" s="525" t="s">
        <v>2302</v>
      </c>
      <c r="F65" s="523" t="s">
        <v>730</v>
      </c>
      <c r="G65" s="626">
        <f>BKTL!EX507*10/1000*0</f>
        <v>0</v>
      </c>
      <c r="H65" s="626">
        <f>G65</f>
        <v>0</v>
      </c>
      <c r="I65" s="525">
        <f>ROUND(VLOOKUP($P65,DGNC,DG!$S$4,0)*R65*S65,0)</f>
        <v>2330723</v>
      </c>
      <c r="J65" s="525">
        <f>ROUND(VLOOKUP($P65,DGNC,DG!$S$4,0)*U65*V65,0)</f>
        <v>2848662</v>
      </c>
      <c r="K65" s="525">
        <f t="shared" si="23"/>
        <v>0</v>
      </c>
      <c r="L65" s="525">
        <f t="shared" si="24"/>
        <v>0</v>
      </c>
      <c r="M65" s="525">
        <f t="shared" ref="M65:M94" si="26">ROUND(G65*I65+H65*J65,0)</f>
        <v>0</v>
      </c>
      <c r="N65" s="525">
        <f t="shared" ref="N65:N94" si="27">ROUND(G65*K65+H65*L65,0)</f>
        <v>0</v>
      </c>
      <c r="O65" s="418">
        <f t="shared" si="22"/>
        <v>0</v>
      </c>
      <c r="P65" s="525" t="s">
        <v>781</v>
      </c>
      <c r="Q65" s="525" t="s">
        <v>2226</v>
      </c>
      <c r="R65" s="626">
        <v>20.07</v>
      </c>
      <c r="S65" s="626">
        <v>0.45</v>
      </c>
      <c r="T65" s="525" t="s">
        <v>2226</v>
      </c>
      <c r="U65" s="626">
        <v>20.07</v>
      </c>
      <c r="V65" s="626">
        <v>0.55000000000000004</v>
      </c>
      <c r="W65" s="525"/>
      <c r="X65" s="626"/>
      <c r="Y65" s="626"/>
      <c r="Z65" s="525"/>
      <c r="AA65" s="626"/>
      <c r="AB65" s="626"/>
      <c r="AC65" s="525"/>
      <c r="AD65" s="626"/>
      <c r="AE65" s="626"/>
      <c r="AF65" s="525"/>
      <c r="AG65" s="525"/>
      <c r="AH65" s="525"/>
    </row>
    <row r="66" spans="3:34" hidden="1">
      <c r="C66" s="523">
        <f t="shared" si="25"/>
        <v>2</v>
      </c>
      <c r="D66" s="523" t="s">
        <v>2246</v>
      </c>
      <c r="E66" s="525" t="s">
        <v>2247</v>
      </c>
      <c r="F66" s="523" t="s">
        <v>11</v>
      </c>
      <c r="G66" s="525"/>
      <c r="H66" s="525"/>
      <c r="I66" s="525">
        <f>ROUND(VLOOKUP($P66,DGNC,DG!$S$4,0)*R66*S66,0)</f>
        <v>37910</v>
      </c>
      <c r="J66" s="525">
        <f>ROUND(VLOOKUP($P66,DGNC,DG!$S$4,0)*U66*V66,0)</f>
        <v>56866</v>
      </c>
      <c r="K66" s="525">
        <f t="shared" si="23"/>
        <v>0</v>
      </c>
      <c r="L66" s="525">
        <f t="shared" si="24"/>
        <v>0</v>
      </c>
      <c r="M66" s="525">
        <f t="shared" si="26"/>
        <v>0</v>
      </c>
      <c r="N66" s="525">
        <f t="shared" si="27"/>
        <v>0</v>
      </c>
      <c r="O66" s="418">
        <f t="shared" si="22"/>
        <v>0</v>
      </c>
      <c r="P66" s="525" t="s">
        <v>12</v>
      </c>
      <c r="Q66" s="525" t="s">
        <v>2221</v>
      </c>
      <c r="R66" s="626">
        <v>0.4</v>
      </c>
      <c r="S66" s="626">
        <v>0.4</v>
      </c>
      <c r="T66" s="525" t="s">
        <v>2221</v>
      </c>
      <c r="U66" s="626">
        <v>0.4</v>
      </c>
      <c r="V66" s="626">
        <v>0.6</v>
      </c>
      <c r="W66" s="525"/>
      <c r="X66" s="626"/>
      <c r="Y66" s="626"/>
      <c r="Z66" s="525"/>
      <c r="AA66" s="626"/>
      <c r="AB66" s="626"/>
      <c r="AC66" s="525"/>
      <c r="AD66" s="626"/>
      <c r="AE66" s="626"/>
      <c r="AF66" s="525"/>
      <c r="AG66" s="525"/>
      <c r="AH66" s="525"/>
    </row>
    <row r="67" spans="3:34">
      <c r="C67" s="523">
        <f t="shared" si="25"/>
        <v>3</v>
      </c>
      <c r="D67" s="523" t="s">
        <v>1053</v>
      </c>
      <c r="E67" s="525" t="s">
        <v>2304</v>
      </c>
      <c r="F67" s="523" t="s">
        <v>11</v>
      </c>
      <c r="G67" s="525">
        <f>BKTL!EY507</f>
        <v>26</v>
      </c>
      <c r="H67" s="525">
        <f>G67</f>
        <v>26</v>
      </c>
      <c r="I67" s="525">
        <f>ROUND(VLOOKUP($P67,DGNC,DG!$S$4,0)*R67*S67,0)</f>
        <v>12294</v>
      </c>
      <c r="J67" s="525">
        <f>ROUND(VLOOKUP($P67,DGNC,DG!$S$4,0)*U67*V67,0)</f>
        <v>30736</v>
      </c>
      <c r="K67" s="525">
        <f t="shared" si="23"/>
        <v>29302</v>
      </c>
      <c r="L67" s="525">
        <f t="shared" si="24"/>
        <v>29302</v>
      </c>
      <c r="M67" s="525">
        <f>ROUND(G67*I67+H67*J67,0)</f>
        <v>1118780</v>
      </c>
      <c r="N67" s="525">
        <f t="shared" si="27"/>
        <v>1523704</v>
      </c>
      <c r="O67" s="418">
        <f t="shared" si="22"/>
        <v>1</v>
      </c>
      <c r="P67" s="404" t="s">
        <v>289</v>
      </c>
      <c r="Q67" s="729" t="s">
        <v>2216</v>
      </c>
      <c r="R67" s="730">
        <v>0.14000000000000001</v>
      </c>
      <c r="S67" s="730">
        <v>0.4</v>
      </c>
      <c r="T67" s="404" t="s">
        <v>2216</v>
      </c>
      <c r="U67" s="660">
        <v>0.14000000000000001</v>
      </c>
      <c r="V67" s="660">
        <v>1</v>
      </c>
      <c r="W67" s="729" t="s">
        <v>3819</v>
      </c>
      <c r="X67" s="730">
        <v>0.15</v>
      </c>
      <c r="Y67" s="730">
        <v>1</v>
      </c>
      <c r="Z67" s="729" t="s">
        <v>3819</v>
      </c>
      <c r="AA67" s="730">
        <v>0.15</v>
      </c>
      <c r="AB67" s="730">
        <v>1</v>
      </c>
      <c r="AC67" s="525"/>
      <c r="AD67" s="626"/>
      <c r="AE67" s="626"/>
      <c r="AF67" s="525"/>
      <c r="AG67" s="525"/>
      <c r="AH67" s="525"/>
    </row>
    <row r="68" spans="3:34" hidden="1">
      <c r="C68" s="523">
        <f t="shared" si="25"/>
        <v>3</v>
      </c>
      <c r="D68" s="523" t="s">
        <v>2291</v>
      </c>
      <c r="E68" s="525" t="s">
        <v>2290</v>
      </c>
      <c r="F68" s="523" t="s">
        <v>2233</v>
      </c>
      <c r="G68" s="525"/>
      <c r="H68" s="525"/>
      <c r="I68" s="525">
        <f>ROUND(VLOOKUP($P68,DGNC,DG!$S$4,0)*R68*S68,0)</f>
        <v>533707</v>
      </c>
      <c r="J68" s="525">
        <f>ROUND(VLOOKUP($P68,DGNC,DG!$S$4,0)*U68*V68,0)</f>
        <v>654547</v>
      </c>
      <c r="K68" s="525">
        <f t="shared" si="23"/>
        <v>485430</v>
      </c>
      <c r="L68" s="525">
        <f t="shared" si="24"/>
        <v>485430</v>
      </c>
      <c r="M68" s="525">
        <f t="shared" si="26"/>
        <v>0</v>
      </c>
      <c r="N68" s="525">
        <f t="shared" si="27"/>
        <v>0</v>
      </c>
      <c r="O68" s="418">
        <f t="shared" si="22"/>
        <v>0</v>
      </c>
      <c r="P68" s="525" t="s">
        <v>12</v>
      </c>
      <c r="Q68" s="525" t="s">
        <v>2221</v>
      </c>
      <c r="R68" s="626">
        <f>2.4+0.25</f>
        <v>2.65</v>
      </c>
      <c r="S68" s="626">
        <f>0.85</f>
        <v>0.85</v>
      </c>
      <c r="T68" s="525" t="s">
        <v>2221</v>
      </c>
      <c r="U68" s="626">
        <v>3.25</v>
      </c>
      <c r="V68" s="626">
        <v>0.85</v>
      </c>
      <c r="W68" s="525" t="s">
        <v>898</v>
      </c>
      <c r="X68" s="626">
        <v>0.7</v>
      </c>
      <c r="Y68" s="626">
        <v>0.5</v>
      </c>
      <c r="Z68" s="525" t="s">
        <v>898</v>
      </c>
      <c r="AA68" s="626">
        <v>0.7</v>
      </c>
      <c r="AB68" s="626">
        <v>0.5</v>
      </c>
      <c r="AC68" s="525"/>
      <c r="AD68" s="626"/>
      <c r="AE68" s="626"/>
      <c r="AF68" s="525"/>
      <c r="AG68" s="525"/>
      <c r="AH68" s="525"/>
    </row>
    <row r="69" spans="3:34" hidden="1">
      <c r="C69" s="523">
        <f t="shared" si="25"/>
        <v>3</v>
      </c>
      <c r="D69" s="523" t="s">
        <v>2234</v>
      </c>
      <c r="E69" s="525" t="s">
        <v>2235</v>
      </c>
      <c r="F69" s="523" t="s">
        <v>2233</v>
      </c>
      <c r="G69" s="525"/>
      <c r="H69" s="525"/>
      <c r="I69" s="525">
        <f>ROUND(VLOOKUP($P69,DGNC,DG!$S$4,0)*R69*S69,0)</f>
        <v>533707</v>
      </c>
      <c r="J69" s="525">
        <f>ROUND(VLOOKUP($P69,DGNC,DG!$S$4,0)*U69*V69,0)</f>
        <v>755246</v>
      </c>
      <c r="K69" s="525">
        <f t="shared" si="23"/>
        <v>485430</v>
      </c>
      <c r="L69" s="525">
        <f t="shared" si="24"/>
        <v>485430</v>
      </c>
      <c r="M69" s="525">
        <f t="shared" si="26"/>
        <v>0</v>
      </c>
      <c r="N69" s="525">
        <f t="shared" si="27"/>
        <v>0</v>
      </c>
      <c r="O69" s="418">
        <f t="shared" si="22"/>
        <v>0</v>
      </c>
      <c r="P69" s="525" t="s">
        <v>12</v>
      </c>
      <c r="Q69" s="525" t="s">
        <v>2221</v>
      </c>
      <c r="R69" s="626">
        <f>2.4+0.25</f>
        <v>2.65</v>
      </c>
      <c r="S69" s="626">
        <f>0.85</f>
        <v>0.85</v>
      </c>
      <c r="T69" s="525" t="s">
        <v>2221</v>
      </c>
      <c r="U69" s="626">
        <v>3.75</v>
      </c>
      <c r="V69" s="626">
        <v>0.85</v>
      </c>
      <c r="W69" s="525" t="s">
        <v>898</v>
      </c>
      <c r="X69" s="626">
        <v>0.7</v>
      </c>
      <c r="Y69" s="626">
        <v>0.5</v>
      </c>
      <c r="Z69" s="525" t="s">
        <v>898</v>
      </c>
      <c r="AA69" s="626">
        <v>0.7</v>
      </c>
      <c r="AB69" s="626">
        <v>0.5</v>
      </c>
      <c r="AC69" s="525"/>
      <c r="AD69" s="626"/>
      <c r="AE69" s="626"/>
      <c r="AF69" s="525"/>
      <c r="AG69" s="525"/>
      <c r="AH69" s="525"/>
    </row>
    <row r="70" spans="3:34" hidden="1">
      <c r="C70" s="523">
        <f t="shared" si="25"/>
        <v>3</v>
      </c>
      <c r="D70" s="523" t="s">
        <v>2236</v>
      </c>
      <c r="E70" s="525" t="s">
        <v>2237</v>
      </c>
      <c r="F70" s="523" t="s">
        <v>11</v>
      </c>
      <c r="G70" s="525"/>
      <c r="H70" s="525"/>
      <c r="I70" s="525">
        <f>ROUND(VLOOKUP($P70,DGNC,DG!$S$4,0)*R70*S70,0)</f>
        <v>379104</v>
      </c>
      <c r="J70" s="525">
        <f>ROUND(VLOOKUP($P70,DGNC,DG!$S$4,0)*U70*V70,0)</f>
        <v>568656</v>
      </c>
      <c r="K70" s="525">
        <f t="shared" si="23"/>
        <v>0</v>
      </c>
      <c r="L70" s="525">
        <f t="shared" si="24"/>
        <v>0</v>
      </c>
      <c r="M70" s="525">
        <f t="shared" si="26"/>
        <v>0</v>
      </c>
      <c r="N70" s="525">
        <f t="shared" si="27"/>
        <v>0</v>
      </c>
      <c r="O70" s="418">
        <f t="shared" si="22"/>
        <v>0</v>
      </c>
      <c r="P70" s="525" t="s">
        <v>12</v>
      </c>
      <c r="Q70" s="525" t="s">
        <v>2221</v>
      </c>
      <c r="R70" s="626">
        <v>4</v>
      </c>
      <c r="S70" s="626">
        <v>0.4</v>
      </c>
      <c r="T70" s="525" t="s">
        <v>2221</v>
      </c>
      <c r="U70" s="626">
        <v>4</v>
      </c>
      <c r="V70" s="626">
        <v>0.6</v>
      </c>
      <c r="W70" s="525"/>
      <c r="X70" s="626"/>
      <c r="Y70" s="626"/>
      <c r="Z70" s="525"/>
      <c r="AA70" s="626"/>
      <c r="AB70" s="626"/>
      <c r="AC70" s="525"/>
      <c r="AD70" s="626"/>
      <c r="AE70" s="626"/>
      <c r="AF70" s="525"/>
      <c r="AG70" s="525"/>
      <c r="AH70" s="525"/>
    </row>
    <row r="71" spans="3:34" hidden="1">
      <c r="C71" s="523">
        <f t="shared" si="25"/>
        <v>3</v>
      </c>
      <c r="D71" s="523" t="s">
        <v>2240</v>
      </c>
      <c r="E71" s="525" t="s">
        <v>2241</v>
      </c>
      <c r="F71" s="523" t="s">
        <v>11</v>
      </c>
      <c r="G71" s="525"/>
      <c r="H71" s="525"/>
      <c r="I71" s="525">
        <f>ROUND(VLOOKUP($P71,DGNC,DG!$S$4,0)*R71*S71,0)</f>
        <v>460611</v>
      </c>
      <c r="J71" s="525">
        <f>ROUND(VLOOKUP($P71,DGNC,DG!$S$4,0)*U71*V71,0)</f>
        <v>562969</v>
      </c>
      <c r="K71" s="525">
        <f t="shared" si="23"/>
        <v>0</v>
      </c>
      <c r="L71" s="525">
        <f t="shared" si="24"/>
        <v>0</v>
      </c>
      <c r="M71" s="525">
        <f t="shared" si="26"/>
        <v>0</v>
      </c>
      <c r="N71" s="525">
        <f t="shared" si="27"/>
        <v>0</v>
      </c>
      <c r="O71" s="418">
        <f t="shared" si="22"/>
        <v>0</v>
      </c>
      <c r="P71" s="525" t="s">
        <v>12</v>
      </c>
      <c r="Q71" s="525" t="s">
        <v>2221</v>
      </c>
      <c r="R71" s="626">
        <v>4.32</v>
      </c>
      <c r="S71" s="626">
        <v>0.45</v>
      </c>
      <c r="T71" s="525" t="s">
        <v>2221</v>
      </c>
      <c r="U71" s="626">
        <v>4.32</v>
      </c>
      <c r="V71" s="626">
        <v>0.55000000000000004</v>
      </c>
      <c r="W71" s="525"/>
      <c r="X71" s="626"/>
      <c r="Y71" s="626"/>
      <c r="Z71" s="525"/>
      <c r="AA71" s="626"/>
      <c r="AB71" s="626"/>
      <c r="AC71" s="525"/>
      <c r="AD71" s="626"/>
      <c r="AE71" s="626"/>
      <c r="AF71" s="525"/>
      <c r="AG71" s="525"/>
      <c r="AH71" s="525"/>
    </row>
    <row r="72" spans="3:34" hidden="1">
      <c r="C72" s="523">
        <f t="shared" si="25"/>
        <v>3</v>
      </c>
      <c r="D72" s="523" t="s">
        <v>2242</v>
      </c>
      <c r="E72" s="525" t="s">
        <v>2243</v>
      </c>
      <c r="F72" s="523" t="s">
        <v>11</v>
      </c>
      <c r="G72" s="525"/>
      <c r="H72" s="525"/>
      <c r="I72" s="525">
        <f>ROUND(VLOOKUP($P72,DGNC,DG!$S$4,0)*R72*S72,0)</f>
        <v>172729</v>
      </c>
      <c r="J72" s="525">
        <f>ROUND(VLOOKUP($P72,DGNC,DG!$S$4,0)*U72*V72,0)</f>
        <v>211114</v>
      </c>
      <c r="K72" s="525">
        <f t="shared" si="23"/>
        <v>0</v>
      </c>
      <c r="L72" s="525">
        <f t="shared" si="24"/>
        <v>0</v>
      </c>
      <c r="M72" s="525">
        <f t="shared" si="26"/>
        <v>0</v>
      </c>
      <c r="N72" s="525">
        <f t="shared" si="27"/>
        <v>0</v>
      </c>
      <c r="O72" s="418">
        <f t="shared" si="22"/>
        <v>0</v>
      </c>
      <c r="P72" s="525" t="s">
        <v>12</v>
      </c>
      <c r="Q72" s="525" t="s">
        <v>2221</v>
      </c>
      <c r="R72" s="626">
        <v>2.7</v>
      </c>
      <c r="S72" s="626">
        <v>0.27</v>
      </c>
      <c r="T72" s="525" t="s">
        <v>2221</v>
      </c>
      <c r="U72" s="626">
        <v>2.7</v>
      </c>
      <c r="V72" s="626">
        <v>0.33</v>
      </c>
      <c r="W72" s="525"/>
      <c r="X72" s="626"/>
      <c r="Y72" s="626"/>
      <c r="Z72" s="525"/>
      <c r="AA72" s="626"/>
      <c r="AB72" s="626"/>
      <c r="AC72" s="525"/>
      <c r="AD72" s="626"/>
      <c r="AE72" s="626"/>
      <c r="AF72" s="525"/>
      <c r="AG72" s="525"/>
      <c r="AH72" s="525"/>
    </row>
    <row r="73" spans="3:34">
      <c r="C73" s="523">
        <f t="shared" si="25"/>
        <v>4</v>
      </c>
      <c r="D73" s="523" t="s">
        <v>302</v>
      </c>
      <c r="E73" s="525" t="s">
        <v>2248</v>
      </c>
      <c r="F73" s="523" t="s">
        <v>24</v>
      </c>
      <c r="G73" s="525">
        <f>BKTL!FA507</f>
        <v>5</v>
      </c>
      <c r="H73" s="525">
        <f>G73</f>
        <v>5</v>
      </c>
      <c r="I73" s="525">
        <f>ROUND(VLOOKUP($P73,DGNC,DG!$S$4,0)*R73*S73,0)</f>
        <v>124349</v>
      </c>
      <c r="J73" s="525">
        <f>ROUND(VLOOKUP($P73,DGNC,DG!$S$4,0)*U73*V73,0)</f>
        <v>186523</v>
      </c>
      <c r="K73" s="525">
        <f t="shared" si="23"/>
        <v>0</v>
      </c>
      <c r="L73" s="525">
        <f t="shared" si="24"/>
        <v>0</v>
      </c>
      <c r="M73" s="525">
        <f t="shared" si="26"/>
        <v>1554360</v>
      </c>
      <c r="N73" s="525">
        <f t="shared" si="27"/>
        <v>0</v>
      </c>
      <c r="O73" s="418">
        <f t="shared" si="22"/>
        <v>1</v>
      </c>
      <c r="P73" s="404" t="s">
        <v>289</v>
      </c>
      <c r="Q73" s="729" t="s">
        <v>2216</v>
      </c>
      <c r="R73" s="657">
        <v>0.94399999999999995</v>
      </c>
      <c r="S73" s="657">
        <f>1.5*0.4</f>
        <v>0.60000000000000009</v>
      </c>
      <c r="T73" s="404" t="s">
        <v>2216</v>
      </c>
      <c r="U73" s="657">
        <v>0.94399999999999995</v>
      </c>
      <c r="V73" s="626">
        <f>1.5*0.6</f>
        <v>0.89999999999999991</v>
      </c>
      <c r="W73" s="656"/>
      <c r="X73" s="657"/>
      <c r="Y73" s="657"/>
      <c r="Z73" s="525"/>
      <c r="AA73" s="626"/>
      <c r="AB73" s="626"/>
      <c r="AC73" s="525"/>
      <c r="AD73" s="626"/>
      <c r="AE73" s="626"/>
      <c r="AF73" s="525"/>
      <c r="AG73" s="525"/>
      <c r="AH73" s="525"/>
    </row>
    <row r="74" spans="3:34">
      <c r="C74" s="523">
        <f t="shared" si="25"/>
        <v>5</v>
      </c>
      <c r="D74" s="523" t="s">
        <v>3824</v>
      </c>
      <c r="E74" s="525" t="s">
        <v>3404</v>
      </c>
      <c r="F74" s="523" t="s">
        <v>11</v>
      </c>
      <c r="G74" s="525">
        <f>BKTL!DN507</f>
        <v>263</v>
      </c>
      <c r="H74" s="525"/>
      <c r="I74" s="525">
        <f>ROUND(VLOOKUP($P74,DGNC,DG!$S$4,0)*R74*S74,0)</f>
        <v>8782</v>
      </c>
      <c r="J74" s="525">
        <f>ROUND(VLOOKUP($P74,DGNC,DG!$S$4,0)*U74*V74,0)</f>
        <v>21954</v>
      </c>
      <c r="K74" s="525">
        <f t="shared" si="23"/>
        <v>9767</v>
      </c>
      <c r="L74" s="525">
        <f t="shared" si="24"/>
        <v>9767</v>
      </c>
      <c r="M74" s="525">
        <f t="shared" si="26"/>
        <v>2309666</v>
      </c>
      <c r="N74" s="525">
        <f t="shared" si="27"/>
        <v>2568721</v>
      </c>
      <c r="O74" s="418">
        <f t="shared" si="22"/>
        <v>1</v>
      </c>
      <c r="P74" s="404" t="s">
        <v>289</v>
      </c>
      <c r="Q74" s="729" t="s">
        <v>2221</v>
      </c>
      <c r="R74" s="730">
        <v>0.1</v>
      </c>
      <c r="S74" s="730">
        <v>0.4</v>
      </c>
      <c r="T74" s="404" t="s">
        <v>2221</v>
      </c>
      <c r="U74" s="660">
        <v>0.1</v>
      </c>
      <c r="V74" s="660">
        <v>1</v>
      </c>
      <c r="W74" s="729" t="s">
        <v>3819</v>
      </c>
      <c r="X74" s="730">
        <v>0.05</v>
      </c>
      <c r="Y74" s="730">
        <v>1</v>
      </c>
      <c r="Z74" s="729" t="s">
        <v>3819</v>
      </c>
      <c r="AA74" s="730">
        <v>0.05</v>
      </c>
      <c r="AB74" s="660">
        <v>1</v>
      </c>
      <c r="AC74" s="525"/>
      <c r="AD74" s="626"/>
      <c r="AE74" s="626"/>
      <c r="AF74" s="525"/>
      <c r="AG74" s="525"/>
      <c r="AH74" s="525"/>
    </row>
    <row r="75" spans="3:34" hidden="1">
      <c r="C75" s="523">
        <f t="shared" si="25"/>
        <v>5</v>
      </c>
      <c r="D75" s="523" t="s">
        <v>2271</v>
      </c>
      <c r="E75" s="525" t="s">
        <v>3236</v>
      </c>
      <c r="F75" s="523" t="s">
        <v>138</v>
      </c>
      <c r="G75" s="525">
        <f>BKTL!DI507</f>
        <v>0</v>
      </c>
      <c r="H75" s="525"/>
      <c r="I75" s="525">
        <f>ROUND(VLOOKUP($P75,DGNC,DG!$S$4,0)*R75*S75,0)</f>
        <v>21111</v>
      </c>
      <c r="J75" s="525">
        <f>ROUND(VLOOKUP($P75,DGNC,DG!$S$4,0)*U75*V75,0)</f>
        <v>25803</v>
      </c>
      <c r="K75" s="525">
        <f>ROUND(IF(W75&lt;&gt;0,VLOOKUP(W75,DGMTC,8,0)*X75*Y75,)+IF(AC75&lt;&gt;0,VLOOKUP(AC75,DGMTC,8,0)*AD75*AE75,),0)</f>
        <v>0</v>
      </c>
      <c r="L75" s="525">
        <f>ROUND(IF(Z75&lt;&gt;0,VLOOKUP(Z75,DGMTC,8,0)*AA75*AB75,)+IF(AF75&lt;&gt;0,VLOOKUP(AF75,DGMTC,8,0)*AG75*AH75,),0)</f>
        <v>0</v>
      </c>
      <c r="M75" s="525">
        <f>ROUND(G75*I75+H75*J75,0)</f>
        <v>0</v>
      </c>
      <c r="N75" s="525">
        <f>ROUND(G75*K75+H75*L75,0)</f>
        <v>0</v>
      </c>
      <c r="O75" s="418">
        <f>IF((M75+N75)&lt;&gt;0,1,)</f>
        <v>0</v>
      </c>
      <c r="P75" s="525" t="s">
        <v>12</v>
      </c>
      <c r="Q75" s="656" t="s">
        <v>2221</v>
      </c>
      <c r="R75" s="657">
        <v>0.19800000000000001</v>
      </c>
      <c r="S75" s="657">
        <v>0.45</v>
      </c>
      <c r="T75" s="525" t="s">
        <v>2221</v>
      </c>
      <c r="U75" s="626">
        <v>0.19800000000000001</v>
      </c>
      <c r="V75" s="626">
        <v>0.55000000000000004</v>
      </c>
      <c r="W75" s="656"/>
      <c r="X75" s="657"/>
      <c r="Y75" s="657"/>
      <c r="Z75" s="525"/>
      <c r="AA75" s="626"/>
      <c r="AB75" s="626"/>
      <c r="AC75" s="525"/>
      <c r="AD75" s="626"/>
      <c r="AE75" s="626"/>
      <c r="AF75" s="525"/>
      <c r="AG75" s="525"/>
      <c r="AH75" s="525"/>
    </row>
    <row r="76" spans="3:34" hidden="1">
      <c r="C76" s="523">
        <f t="shared" si="25"/>
        <v>5</v>
      </c>
      <c r="D76" s="523" t="s">
        <v>2271</v>
      </c>
      <c r="E76" s="525" t="s">
        <v>2249</v>
      </c>
      <c r="F76" s="523" t="s">
        <v>138</v>
      </c>
      <c r="G76" s="525">
        <f>BKTL!DJ507</f>
        <v>0</v>
      </c>
      <c r="H76" s="525"/>
      <c r="I76" s="525">
        <f>ROUND(VLOOKUP($P76,DGNC,DG!$S$4,0)*R76*S76,0)</f>
        <v>21111</v>
      </c>
      <c r="J76" s="525">
        <f>ROUND(VLOOKUP($P76,DGNC,DG!$S$4,0)*U76*V76,0)</f>
        <v>25803</v>
      </c>
      <c r="K76" s="525">
        <f t="shared" si="23"/>
        <v>0</v>
      </c>
      <c r="L76" s="525">
        <f t="shared" si="24"/>
        <v>0</v>
      </c>
      <c r="M76" s="525">
        <f t="shared" si="26"/>
        <v>0</v>
      </c>
      <c r="N76" s="525">
        <f t="shared" si="27"/>
        <v>0</v>
      </c>
      <c r="O76" s="418">
        <f t="shared" si="22"/>
        <v>0</v>
      </c>
      <c r="P76" s="525" t="s">
        <v>12</v>
      </c>
      <c r="Q76" s="525" t="s">
        <v>2221</v>
      </c>
      <c r="R76" s="626">
        <v>0.19800000000000001</v>
      </c>
      <c r="S76" s="626">
        <v>0.45</v>
      </c>
      <c r="T76" s="525" t="s">
        <v>2221</v>
      </c>
      <c r="U76" s="626">
        <v>0.19800000000000001</v>
      </c>
      <c r="V76" s="626">
        <v>0.55000000000000004</v>
      </c>
      <c r="W76" s="525"/>
      <c r="X76" s="626"/>
      <c r="Y76" s="626"/>
      <c r="Z76" s="525"/>
      <c r="AA76" s="626"/>
      <c r="AB76" s="626"/>
      <c r="AC76" s="525"/>
      <c r="AD76" s="626"/>
      <c r="AE76" s="626"/>
      <c r="AF76" s="525"/>
      <c r="AG76" s="525"/>
      <c r="AH76" s="525"/>
    </row>
    <row r="77" spans="3:34">
      <c r="C77" s="523">
        <f t="shared" si="25"/>
        <v>6</v>
      </c>
      <c r="D77" s="523" t="s">
        <v>2271</v>
      </c>
      <c r="E77" s="525" t="s">
        <v>2250</v>
      </c>
      <c r="F77" s="523" t="s">
        <v>138</v>
      </c>
      <c r="G77" s="525">
        <f>BKTL!DK507</f>
        <v>190</v>
      </c>
      <c r="H77" s="525"/>
      <c r="I77" s="525">
        <f>ROUND(VLOOKUP($P77,DGNC,DG!$S$4,0)*R77*S77,0)</f>
        <v>21111</v>
      </c>
      <c r="J77" s="525">
        <f>ROUND(VLOOKUP($P77,DGNC,DG!$S$4,0)*U77*V77,0)</f>
        <v>25803</v>
      </c>
      <c r="K77" s="525">
        <f t="shared" si="23"/>
        <v>0</v>
      </c>
      <c r="L77" s="525">
        <f t="shared" si="24"/>
        <v>0</v>
      </c>
      <c r="M77" s="525">
        <f t="shared" si="26"/>
        <v>4011090</v>
      </c>
      <c r="N77" s="525">
        <f t="shared" si="27"/>
        <v>0</v>
      </c>
      <c r="O77" s="418">
        <f t="shared" si="22"/>
        <v>1</v>
      </c>
      <c r="P77" s="525" t="s">
        <v>12</v>
      </c>
      <c r="Q77" s="656" t="s">
        <v>2221</v>
      </c>
      <c r="R77" s="657">
        <v>0.19800000000000001</v>
      </c>
      <c r="S77" s="657">
        <v>0.45</v>
      </c>
      <c r="T77" s="525" t="s">
        <v>2221</v>
      </c>
      <c r="U77" s="626">
        <v>0.19800000000000001</v>
      </c>
      <c r="V77" s="626">
        <v>0.55000000000000004</v>
      </c>
      <c r="W77" s="656"/>
      <c r="X77" s="657"/>
      <c r="Y77" s="657"/>
      <c r="Z77" s="525"/>
      <c r="AA77" s="626"/>
      <c r="AB77" s="626"/>
      <c r="AC77" s="525"/>
      <c r="AD77" s="626"/>
      <c r="AE77" s="626"/>
      <c r="AF77" s="525"/>
      <c r="AG77" s="525"/>
      <c r="AH77" s="525"/>
    </row>
    <row r="78" spans="3:34">
      <c r="C78" s="523">
        <f t="shared" si="25"/>
        <v>7</v>
      </c>
      <c r="D78" s="523" t="s">
        <v>2271</v>
      </c>
      <c r="E78" s="525" t="s">
        <v>2251</v>
      </c>
      <c r="F78" s="523" t="s">
        <v>138</v>
      </c>
      <c r="G78" s="525">
        <f>BKTL!DL507</f>
        <v>146</v>
      </c>
      <c r="H78" s="525"/>
      <c r="I78" s="525">
        <f>ROUND(VLOOKUP($P78,DGNC,DG!$S$4,0)*R78*S78,0)</f>
        <v>21111</v>
      </c>
      <c r="J78" s="525">
        <f>ROUND(VLOOKUP($P78,DGNC,DG!$S$4,0)*U78*V78,0)</f>
        <v>25803</v>
      </c>
      <c r="K78" s="525">
        <f t="shared" si="23"/>
        <v>0</v>
      </c>
      <c r="L78" s="525">
        <f t="shared" si="24"/>
        <v>0</v>
      </c>
      <c r="M78" s="525">
        <f t="shared" si="26"/>
        <v>3082206</v>
      </c>
      <c r="N78" s="525">
        <f t="shared" si="27"/>
        <v>0</v>
      </c>
      <c r="O78" s="418">
        <f t="shared" si="22"/>
        <v>1</v>
      </c>
      <c r="P78" s="525" t="s">
        <v>12</v>
      </c>
      <c r="Q78" s="656" t="s">
        <v>2221</v>
      </c>
      <c r="R78" s="657">
        <v>0.19800000000000001</v>
      </c>
      <c r="S78" s="657">
        <v>0.45</v>
      </c>
      <c r="T78" s="525" t="s">
        <v>2221</v>
      </c>
      <c r="U78" s="626">
        <v>0.19800000000000001</v>
      </c>
      <c r="V78" s="626">
        <v>0.55000000000000004</v>
      </c>
      <c r="W78" s="656"/>
      <c r="X78" s="657"/>
      <c r="Y78" s="657"/>
      <c r="Z78" s="525"/>
      <c r="AA78" s="626"/>
      <c r="AB78" s="626"/>
      <c r="AC78" s="525"/>
      <c r="AD78" s="626"/>
      <c r="AE78" s="626"/>
      <c r="AF78" s="525"/>
      <c r="AG78" s="525"/>
      <c r="AH78" s="525"/>
    </row>
    <row r="79" spans="3:34" ht="31.2" hidden="1">
      <c r="C79" s="523">
        <f t="shared" si="25"/>
        <v>8</v>
      </c>
      <c r="D79" s="523" t="s">
        <v>2273</v>
      </c>
      <c r="E79" s="666" t="s">
        <v>4009</v>
      </c>
      <c r="F79" s="523" t="s">
        <v>11</v>
      </c>
      <c r="G79" s="525">
        <f>BKTL!DS507</f>
        <v>68</v>
      </c>
      <c r="H79" s="525"/>
      <c r="I79" s="525">
        <f>ROUND(VLOOKUP($P79,DGNC,DG!$S$4,0)*R79*S79,0)*0</f>
        <v>0</v>
      </c>
      <c r="J79" s="525">
        <f>ROUND(VLOOKUP($P79,DGNC,DG!$S$4,0)*U79*V79,0)*0</f>
        <v>0</v>
      </c>
      <c r="K79" s="525">
        <f t="shared" si="23"/>
        <v>0</v>
      </c>
      <c r="L79" s="525">
        <f t="shared" si="24"/>
        <v>0</v>
      </c>
      <c r="M79" s="525">
        <f>ROUND(G79*I79+H79*J79,0)</f>
        <v>0</v>
      </c>
      <c r="N79" s="525">
        <f>ROUND(G79*K79+H79*L79,0)</f>
        <v>0</v>
      </c>
      <c r="O79" s="418">
        <f t="shared" si="22"/>
        <v>0</v>
      </c>
      <c r="P79" s="525" t="s">
        <v>12</v>
      </c>
      <c r="Q79" s="656" t="s">
        <v>2221</v>
      </c>
      <c r="R79" s="657">
        <v>0.45</v>
      </c>
      <c r="S79" s="657">
        <v>0.45</v>
      </c>
      <c r="T79" s="525" t="s">
        <v>2221</v>
      </c>
      <c r="U79" s="626">
        <v>0.45</v>
      </c>
      <c r="V79" s="626">
        <v>0.55000000000000004</v>
      </c>
      <c r="W79" s="656"/>
      <c r="X79" s="657"/>
      <c r="Y79" s="657"/>
      <c r="Z79" s="525"/>
      <c r="AA79" s="626"/>
      <c r="AB79" s="626"/>
      <c r="AC79" s="525"/>
      <c r="AD79" s="626"/>
      <c r="AE79" s="626"/>
      <c r="AF79" s="525"/>
      <c r="AG79" s="525"/>
      <c r="AH79" s="525"/>
    </row>
    <row r="80" spans="3:34" hidden="1">
      <c r="C80" s="523">
        <f t="shared" si="25"/>
        <v>8</v>
      </c>
      <c r="D80" s="523" t="s">
        <v>2274</v>
      </c>
      <c r="E80" s="525" t="s">
        <v>2305</v>
      </c>
      <c r="F80" s="523" t="s">
        <v>11</v>
      </c>
      <c r="G80" s="525"/>
      <c r="H80" s="525"/>
      <c r="I80" s="525">
        <f>ROUND(VLOOKUP($P80,DGNC,DG!$S$4,0)*R80*S80,0)</f>
        <v>5269</v>
      </c>
      <c r="J80" s="525">
        <f>ROUND(VLOOKUP($P80,DGNC,DG!$S$4,0)*U80*V80,0)</f>
        <v>7904</v>
      </c>
      <c r="K80" s="525">
        <f t="shared" si="23"/>
        <v>0</v>
      </c>
      <c r="L80" s="525">
        <f t="shared" si="24"/>
        <v>0</v>
      </c>
      <c r="M80" s="525">
        <f t="shared" si="26"/>
        <v>0</v>
      </c>
      <c r="N80" s="525">
        <f t="shared" si="27"/>
        <v>0</v>
      </c>
      <c r="O80" s="418">
        <f t="shared" si="22"/>
        <v>0</v>
      </c>
      <c r="P80" s="525" t="s">
        <v>289</v>
      </c>
      <c r="Q80" s="525" t="s">
        <v>2216</v>
      </c>
      <c r="R80" s="626">
        <v>0.04</v>
      </c>
      <c r="S80" s="626">
        <f>0.4*1.5</f>
        <v>0.60000000000000009</v>
      </c>
      <c r="T80" s="525" t="s">
        <v>2216</v>
      </c>
      <c r="U80" s="626">
        <v>0.04</v>
      </c>
      <c r="V80" s="626">
        <f>0.6*1.5</f>
        <v>0.89999999999999991</v>
      </c>
      <c r="W80" s="525"/>
      <c r="X80" s="626"/>
      <c r="Y80" s="626"/>
      <c r="Z80" s="525"/>
      <c r="AA80" s="626"/>
      <c r="AB80" s="626"/>
      <c r="AC80" s="525"/>
      <c r="AD80" s="626"/>
      <c r="AE80" s="626"/>
      <c r="AF80" s="525"/>
      <c r="AG80" s="525"/>
      <c r="AH80" s="525"/>
    </row>
    <row r="81" spans="2:34" s="352" customFormat="1" ht="31.2" hidden="1">
      <c r="C81" s="670">
        <f t="shared" si="25"/>
        <v>9</v>
      </c>
      <c r="D81" s="670" t="s">
        <v>288</v>
      </c>
      <c r="E81" s="731" t="s">
        <v>3825</v>
      </c>
      <c r="F81" s="670" t="s">
        <v>11</v>
      </c>
      <c r="G81" s="362">
        <f>BKTL!DP507</f>
        <v>653</v>
      </c>
      <c r="H81" s="362"/>
      <c r="I81" s="362">
        <f>ROUND(VLOOKUP($P81,DGNC,DG!$S$4,0)*R81*S81,0)*0</f>
        <v>0</v>
      </c>
      <c r="J81" s="362">
        <f>ROUND(VLOOKUP($P81,DGNC,DG!$S$4,0)*U81*V81,0)*0</f>
        <v>0</v>
      </c>
      <c r="K81" s="362">
        <f t="shared" si="23"/>
        <v>0</v>
      </c>
      <c r="L81" s="362">
        <f t="shared" si="24"/>
        <v>0</v>
      </c>
      <c r="M81" s="362">
        <f>ROUND(G81*I81+H81*J81,0)</f>
        <v>0</v>
      </c>
      <c r="N81" s="362">
        <f>ROUND(G81*K81+H81*L81,0)</f>
        <v>0</v>
      </c>
      <c r="O81" s="484">
        <f t="shared" si="22"/>
        <v>0</v>
      </c>
      <c r="P81" s="471" t="s">
        <v>289</v>
      </c>
      <c r="Q81" s="471" t="s">
        <v>2221</v>
      </c>
      <c r="R81" s="468">
        <v>0.6</v>
      </c>
      <c r="S81" s="468">
        <v>0.6</v>
      </c>
      <c r="T81" s="471" t="s">
        <v>2221</v>
      </c>
      <c r="U81" s="468">
        <v>0.6</v>
      </c>
      <c r="V81" s="468">
        <v>1</v>
      </c>
      <c r="W81" s="362"/>
      <c r="X81" s="53"/>
      <c r="Y81" s="53"/>
      <c r="Z81" s="362"/>
      <c r="AA81" s="53"/>
      <c r="AB81" s="53"/>
      <c r="AC81" s="362"/>
      <c r="AD81" s="53"/>
      <c r="AE81" s="53"/>
      <c r="AF81" s="362"/>
      <c r="AG81" s="362"/>
      <c r="AH81" s="362"/>
    </row>
    <row r="82" spans="2:34" s="352" customFormat="1" hidden="1">
      <c r="C82" s="670">
        <f t="shared" si="25"/>
        <v>9</v>
      </c>
      <c r="D82" s="670" t="s">
        <v>2273</v>
      </c>
      <c r="E82" s="362" t="s">
        <v>2306</v>
      </c>
      <c r="F82" s="670" t="s">
        <v>11</v>
      </c>
      <c r="G82" s="362">
        <f>BKTL!DT507*0</f>
        <v>0</v>
      </c>
      <c r="H82" s="362"/>
      <c r="I82" s="362">
        <f>ROUND(VLOOKUP($P82,DGNC,DG!$S$4,0)*R82*S82,0)</f>
        <v>47980</v>
      </c>
      <c r="J82" s="362">
        <f>ROUND(VLOOKUP($P82,DGNC,DG!$S$4,0)*U82*V82,0)</f>
        <v>58643</v>
      </c>
      <c r="K82" s="362">
        <f t="shared" si="23"/>
        <v>0</v>
      </c>
      <c r="L82" s="362">
        <f t="shared" si="24"/>
        <v>0</v>
      </c>
      <c r="M82" s="362">
        <f>ROUND(G82*I82+H82*J82,0)</f>
        <v>0</v>
      </c>
      <c r="N82" s="362">
        <f>ROUND(G82*K82+H82*L82,0)</f>
        <v>0</v>
      </c>
      <c r="O82" s="484">
        <f t="shared" si="22"/>
        <v>0</v>
      </c>
      <c r="P82" s="362" t="s">
        <v>12</v>
      </c>
      <c r="Q82" s="362" t="s">
        <v>2221</v>
      </c>
      <c r="R82" s="53">
        <v>0.45</v>
      </c>
      <c r="S82" s="53">
        <v>0.45</v>
      </c>
      <c r="T82" s="362" t="s">
        <v>2221</v>
      </c>
      <c r="U82" s="53">
        <v>0.45</v>
      </c>
      <c r="V82" s="53">
        <v>0.55000000000000004</v>
      </c>
      <c r="W82" s="362"/>
      <c r="X82" s="53"/>
      <c r="Y82" s="53"/>
      <c r="Z82" s="362"/>
      <c r="AA82" s="53"/>
      <c r="AB82" s="53"/>
      <c r="AC82" s="362"/>
      <c r="AD82" s="53"/>
      <c r="AE82" s="53"/>
      <c r="AF82" s="362"/>
      <c r="AG82" s="362"/>
      <c r="AH82" s="362"/>
    </row>
    <row r="83" spans="2:34" s="352" customFormat="1" hidden="1">
      <c r="C83" s="670">
        <f t="shared" si="25"/>
        <v>9</v>
      </c>
      <c r="D83" s="670" t="s">
        <v>2273</v>
      </c>
      <c r="E83" s="362" t="s">
        <v>2307</v>
      </c>
      <c r="F83" s="670" t="s">
        <v>11</v>
      </c>
      <c r="G83" s="362">
        <f>BKTL!DU507*0</f>
        <v>0</v>
      </c>
      <c r="H83" s="362"/>
      <c r="I83" s="362">
        <f>ROUND(VLOOKUP($P83,DGNC,DG!$S$4,0)*R83*S83,0)</f>
        <v>47980</v>
      </c>
      <c r="J83" s="362">
        <f>ROUND(VLOOKUP($P83,DGNC,DG!$S$4,0)*U83*V83,0)</f>
        <v>58643</v>
      </c>
      <c r="K83" s="362">
        <f t="shared" si="23"/>
        <v>0</v>
      </c>
      <c r="L83" s="362">
        <f t="shared" si="24"/>
        <v>0</v>
      </c>
      <c r="M83" s="362">
        <f>ROUND(G83*I83+H83*J83,0)</f>
        <v>0</v>
      </c>
      <c r="N83" s="362">
        <f>ROUND(G83*K83+H83*L83,0)</f>
        <v>0</v>
      </c>
      <c r="O83" s="484">
        <f t="shared" si="22"/>
        <v>0</v>
      </c>
      <c r="P83" s="362" t="s">
        <v>12</v>
      </c>
      <c r="Q83" s="362" t="s">
        <v>2221</v>
      </c>
      <c r="R83" s="53">
        <v>0.45</v>
      </c>
      <c r="S83" s="53">
        <v>0.45</v>
      </c>
      <c r="T83" s="362" t="s">
        <v>2221</v>
      </c>
      <c r="U83" s="53">
        <v>0.45</v>
      </c>
      <c r="V83" s="53">
        <v>0.55000000000000004</v>
      </c>
      <c r="W83" s="362"/>
      <c r="X83" s="53"/>
      <c r="Y83" s="53"/>
      <c r="Z83" s="362"/>
      <c r="AA83" s="53"/>
      <c r="AB83" s="53"/>
      <c r="AC83" s="362"/>
      <c r="AD83" s="53"/>
      <c r="AE83" s="53"/>
      <c r="AF83" s="362"/>
      <c r="AG83" s="362"/>
      <c r="AH83" s="362"/>
    </row>
    <row r="84" spans="2:34" hidden="1">
      <c r="C84" s="523">
        <f t="shared" si="25"/>
        <v>9</v>
      </c>
      <c r="D84" s="523" t="s">
        <v>2275</v>
      </c>
      <c r="E84" s="525" t="s">
        <v>2276</v>
      </c>
      <c r="F84" s="523" t="s">
        <v>24</v>
      </c>
      <c r="G84" s="525"/>
      <c r="H84" s="525"/>
      <c r="I84" s="525">
        <f>ROUND(VLOOKUP($P84,DGNC,DG!$S$4,0)*R84*S84,0)</f>
        <v>88915</v>
      </c>
      <c r="J84" s="525">
        <f>ROUND(VLOOKUP($P84,DGNC,DG!$S$4,0)*U84*V84,0)</f>
        <v>108673</v>
      </c>
      <c r="K84" s="525">
        <f t="shared" si="23"/>
        <v>0</v>
      </c>
      <c r="L84" s="525">
        <f t="shared" si="24"/>
        <v>0</v>
      </c>
      <c r="M84" s="525">
        <f>ROUND(G84*I84+H84*J84,0)</f>
        <v>0</v>
      </c>
      <c r="N84" s="525">
        <f>ROUND(G84*K84+H84*L84,0)</f>
        <v>0</v>
      </c>
      <c r="O84" s="418">
        <f t="shared" si="22"/>
        <v>0</v>
      </c>
      <c r="P84" s="525" t="s">
        <v>289</v>
      </c>
      <c r="Q84" s="525" t="s">
        <v>2216</v>
      </c>
      <c r="R84" s="626">
        <v>0.9</v>
      </c>
      <c r="S84" s="626">
        <v>0.45</v>
      </c>
      <c r="T84" s="525" t="s">
        <v>2216</v>
      </c>
      <c r="U84" s="626">
        <v>0.9</v>
      </c>
      <c r="V84" s="626">
        <v>0.55000000000000004</v>
      </c>
      <c r="W84" s="525"/>
      <c r="X84" s="626"/>
      <c r="Y84" s="626"/>
      <c r="Z84" s="525"/>
      <c r="AA84" s="626"/>
      <c r="AB84" s="626"/>
      <c r="AC84" s="525"/>
      <c r="AD84" s="626"/>
      <c r="AE84" s="626"/>
      <c r="AF84" s="525"/>
      <c r="AG84" s="525"/>
      <c r="AH84" s="525"/>
    </row>
    <row r="85" spans="2:34">
      <c r="C85" s="523">
        <f t="shared" si="25"/>
        <v>10</v>
      </c>
      <c r="D85" s="523" t="s">
        <v>2277</v>
      </c>
      <c r="E85" s="525" t="s">
        <v>3405</v>
      </c>
      <c r="F85" s="523" t="s">
        <v>730</v>
      </c>
      <c r="G85" s="626">
        <f>BKTL!DB507/1000</f>
        <v>5.0057999999999998</v>
      </c>
      <c r="H85" s="626"/>
      <c r="I85" s="525">
        <f>ROUND(VLOOKUP($P85,DGNC,DG!$S$4,0)*R85*S85,0)</f>
        <v>1647602</v>
      </c>
      <c r="J85" s="525">
        <f>ROUND(VLOOKUP($P85,DGNC,DG!$S$4,0)*U85*V85,0)</f>
        <v>2013735</v>
      </c>
      <c r="K85" s="525">
        <f t="shared" si="23"/>
        <v>98498</v>
      </c>
      <c r="L85" s="525">
        <f t="shared" si="24"/>
        <v>120386</v>
      </c>
      <c r="M85" s="525">
        <f>ROUND(G85*I85+H85*J85,0)</f>
        <v>8247566</v>
      </c>
      <c r="N85" s="525">
        <f>ROUND(G85*K85+H85*L85,0)</f>
        <v>493061</v>
      </c>
      <c r="O85" s="418">
        <f t="shared" si="22"/>
        <v>1</v>
      </c>
      <c r="P85" s="525" t="s">
        <v>781</v>
      </c>
      <c r="Q85" s="656" t="s">
        <v>2226</v>
      </c>
      <c r="R85" s="657">
        <v>20.268000000000001</v>
      </c>
      <c r="S85" s="657">
        <f>0.45*0.7</f>
        <v>0.315</v>
      </c>
      <c r="T85" s="525" t="s">
        <v>2226</v>
      </c>
      <c r="U85" s="626">
        <v>20.268000000000001</v>
      </c>
      <c r="V85" s="626">
        <f>0.55*0.7</f>
        <v>0.38500000000000001</v>
      </c>
      <c r="W85" s="656" t="s">
        <v>782</v>
      </c>
      <c r="X85" s="657">
        <v>0.25</v>
      </c>
      <c r="Y85" s="657">
        <v>0.45</v>
      </c>
      <c r="Z85" s="525" t="s">
        <v>782</v>
      </c>
      <c r="AA85" s="626">
        <v>0.25</v>
      </c>
      <c r="AB85" s="626">
        <v>0.55000000000000004</v>
      </c>
      <c r="AC85" s="525" t="s">
        <v>1357</v>
      </c>
      <c r="AD85" s="626">
        <v>0.32</v>
      </c>
      <c r="AE85" s="626">
        <v>0.45</v>
      </c>
      <c r="AF85" s="525" t="s">
        <v>1357</v>
      </c>
      <c r="AG85" s="525">
        <v>0.32</v>
      </c>
      <c r="AH85" s="525">
        <v>0.55000000000000004</v>
      </c>
    </row>
    <row r="86" spans="2:34">
      <c r="C86" s="523">
        <f t="shared" si="25"/>
        <v>11</v>
      </c>
      <c r="D86" s="523" t="s">
        <v>2278</v>
      </c>
      <c r="E86" s="525" t="s">
        <v>3406</v>
      </c>
      <c r="F86" s="523" t="s">
        <v>730</v>
      </c>
      <c r="G86" s="626">
        <f>(BKTL!DA507+BKTL!CX507)/1000</f>
        <v>21.09559999999999</v>
      </c>
      <c r="H86" s="626"/>
      <c r="I86" s="525">
        <f>ROUND(VLOOKUP($P86,DGNC,DG!$S$4,0)*R86*S86,0)</f>
        <v>1213021</v>
      </c>
      <c r="J86" s="525">
        <f>ROUND(VLOOKUP($P86,DGNC,DG!$S$4,0)*U86*V86,0)</f>
        <v>1482581</v>
      </c>
      <c r="K86" s="525">
        <f t="shared" si="23"/>
        <v>98498</v>
      </c>
      <c r="L86" s="525">
        <f t="shared" si="24"/>
        <v>120386</v>
      </c>
      <c r="M86" s="525">
        <f t="shared" si="26"/>
        <v>25589406</v>
      </c>
      <c r="N86" s="525">
        <f t="shared" si="27"/>
        <v>2077874</v>
      </c>
      <c r="O86" s="418">
        <f t="shared" si="22"/>
        <v>1</v>
      </c>
      <c r="P86" s="525" t="s">
        <v>781</v>
      </c>
      <c r="Q86" s="656" t="s">
        <v>2226</v>
      </c>
      <c r="R86" s="657">
        <v>14.922000000000001</v>
      </c>
      <c r="S86" s="657">
        <f>0.45*0.7</f>
        <v>0.315</v>
      </c>
      <c r="T86" s="525" t="s">
        <v>2226</v>
      </c>
      <c r="U86" s="626">
        <v>14.922000000000001</v>
      </c>
      <c r="V86" s="626">
        <f>0.55*0.7</f>
        <v>0.38500000000000001</v>
      </c>
      <c r="W86" s="656" t="s">
        <v>782</v>
      </c>
      <c r="X86" s="657">
        <v>0.25</v>
      </c>
      <c r="Y86" s="657">
        <v>0.45</v>
      </c>
      <c r="Z86" s="525" t="s">
        <v>782</v>
      </c>
      <c r="AA86" s="626">
        <v>0.25</v>
      </c>
      <c r="AB86" s="626">
        <v>0.55000000000000004</v>
      </c>
      <c r="AC86" s="525" t="s">
        <v>1357</v>
      </c>
      <c r="AD86" s="626">
        <v>0.32</v>
      </c>
      <c r="AE86" s="626">
        <v>0.45</v>
      </c>
      <c r="AF86" s="525" t="s">
        <v>1357</v>
      </c>
      <c r="AG86" s="525">
        <v>0.32</v>
      </c>
      <c r="AH86" s="525">
        <v>0.55000000000000004</v>
      </c>
    </row>
    <row r="87" spans="2:34" ht="31.2">
      <c r="C87" s="523">
        <f t="shared" si="25"/>
        <v>12</v>
      </c>
      <c r="D87" s="523" t="s">
        <v>2278</v>
      </c>
      <c r="E87" s="666" t="s">
        <v>3407</v>
      </c>
      <c r="F87" s="523" t="s">
        <v>730</v>
      </c>
      <c r="G87" s="626">
        <f>(BKTL!CV507+BKTL!CW507+BKTL!CZ507)/1000</f>
        <v>11.640999999999998</v>
      </c>
      <c r="H87" s="626"/>
      <c r="I87" s="525">
        <f>ROUND(VLOOKUP($P87,DGNC,DG!$S$4,0)*R87*S87,0)</f>
        <v>1213021</v>
      </c>
      <c r="J87" s="525">
        <f>ROUND(VLOOKUP($P87,DGNC,DG!$S$4,0)*U87*V87,0)</f>
        <v>1482581</v>
      </c>
      <c r="K87" s="525">
        <f t="shared" si="23"/>
        <v>98498</v>
      </c>
      <c r="L87" s="525">
        <f t="shared" si="24"/>
        <v>120386</v>
      </c>
      <c r="M87" s="525">
        <f t="shared" si="26"/>
        <v>14120777</v>
      </c>
      <c r="N87" s="525">
        <f t="shared" si="27"/>
        <v>1146615</v>
      </c>
      <c r="O87" s="418">
        <f t="shared" si="22"/>
        <v>1</v>
      </c>
      <c r="P87" s="525" t="s">
        <v>781</v>
      </c>
      <c r="Q87" s="656" t="s">
        <v>2226</v>
      </c>
      <c r="R87" s="657">
        <v>14.922000000000001</v>
      </c>
      <c r="S87" s="657">
        <f>0.45*0.7</f>
        <v>0.315</v>
      </c>
      <c r="T87" s="525" t="s">
        <v>2226</v>
      </c>
      <c r="U87" s="626">
        <v>14.922000000000001</v>
      </c>
      <c r="V87" s="626">
        <f>0.55*0.7</f>
        <v>0.38500000000000001</v>
      </c>
      <c r="W87" s="656" t="s">
        <v>782</v>
      </c>
      <c r="X87" s="657">
        <v>0.25</v>
      </c>
      <c r="Y87" s="657">
        <v>0.45</v>
      </c>
      <c r="Z87" s="525" t="s">
        <v>782</v>
      </c>
      <c r="AA87" s="626">
        <v>0.25</v>
      </c>
      <c r="AB87" s="626">
        <v>0.55000000000000004</v>
      </c>
      <c r="AC87" s="525" t="s">
        <v>1357</v>
      </c>
      <c r="AD87" s="626">
        <v>0.32</v>
      </c>
      <c r="AE87" s="626">
        <v>0.45</v>
      </c>
      <c r="AF87" s="525" t="s">
        <v>1357</v>
      </c>
      <c r="AG87" s="525">
        <v>0.32</v>
      </c>
      <c r="AH87" s="525">
        <v>0.55000000000000004</v>
      </c>
    </row>
    <row r="88" spans="2:34" hidden="1">
      <c r="C88" s="523">
        <f t="shared" si="25"/>
        <v>12</v>
      </c>
      <c r="D88" s="523" t="s">
        <v>2227</v>
      </c>
      <c r="E88" s="525" t="s">
        <v>3408</v>
      </c>
      <c r="F88" s="523" t="s">
        <v>730</v>
      </c>
      <c r="G88" s="626">
        <f>BKTL!CY507/1000</f>
        <v>0</v>
      </c>
      <c r="H88" s="626"/>
      <c r="I88" s="525">
        <f>ROUND(VLOOKUP($P88,DGNC,DG!$S$4,0)*R88*S88,0)</f>
        <v>1277403</v>
      </c>
      <c r="J88" s="525">
        <f>ROUND(VLOOKUP($P88,DGNC,DG!$S$4,0)*U88*V88,0)</f>
        <v>1561271</v>
      </c>
      <c r="K88" s="525">
        <f t="shared" si="23"/>
        <v>98498</v>
      </c>
      <c r="L88" s="525">
        <f t="shared" si="24"/>
        <v>120386</v>
      </c>
      <c r="M88" s="525">
        <f t="shared" si="26"/>
        <v>0</v>
      </c>
      <c r="N88" s="525">
        <f t="shared" si="27"/>
        <v>0</v>
      </c>
      <c r="O88" s="418">
        <f t="shared" si="22"/>
        <v>0</v>
      </c>
      <c r="P88" s="525" t="s">
        <v>781</v>
      </c>
      <c r="Q88" s="656" t="s">
        <v>2226</v>
      </c>
      <c r="R88" s="657">
        <v>15.714</v>
      </c>
      <c r="S88" s="657">
        <f>0.45*0.7</f>
        <v>0.315</v>
      </c>
      <c r="T88" s="525" t="s">
        <v>2226</v>
      </c>
      <c r="U88" s="626">
        <v>15.714</v>
      </c>
      <c r="V88" s="626">
        <f>0.55*0.7</f>
        <v>0.38500000000000001</v>
      </c>
      <c r="W88" s="656" t="s">
        <v>782</v>
      </c>
      <c r="X88" s="657">
        <v>0.25</v>
      </c>
      <c r="Y88" s="657">
        <v>0.45</v>
      </c>
      <c r="Z88" s="525" t="s">
        <v>782</v>
      </c>
      <c r="AA88" s="626">
        <v>0.25</v>
      </c>
      <c r="AB88" s="626">
        <v>0.55000000000000004</v>
      </c>
      <c r="AC88" s="525" t="s">
        <v>1357</v>
      </c>
      <c r="AD88" s="626">
        <v>0.32</v>
      </c>
      <c r="AE88" s="626">
        <v>0.45</v>
      </c>
      <c r="AF88" s="525" t="s">
        <v>1357</v>
      </c>
      <c r="AG88" s="525">
        <v>0.32</v>
      </c>
      <c r="AH88" s="525">
        <v>0.55000000000000004</v>
      </c>
    </row>
    <row r="89" spans="2:34" hidden="1">
      <c r="C89" s="523">
        <f t="shared" si="25"/>
        <v>12</v>
      </c>
      <c r="D89" s="523" t="s">
        <v>765</v>
      </c>
      <c r="E89" s="525" t="s">
        <v>3409</v>
      </c>
      <c r="F89" s="523" t="s">
        <v>730</v>
      </c>
      <c r="G89" s="626">
        <f>BKTL!DC507/1000</f>
        <v>0</v>
      </c>
      <c r="H89" s="626"/>
      <c r="I89" s="525">
        <f>ROUND(IF(P89&lt;&gt;0,VLOOKUP($P89,DGNC,DG!$S$4,0)*R89*S89,),0)</f>
        <v>2689885</v>
      </c>
      <c r="J89" s="525">
        <f>ROUND(IF(P89&lt;&gt;0,VLOOKUP($P89,DGNC,DG!$S$4,0)*U89*V89,),0)</f>
        <v>0</v>
      </c>
      <c r="K89" s="525">
        <f>ROUND(IF(W89&lt;&gt;0,VLOOKUP(W89,DGMTC,8,0)*X89*Y89,)+IF(AC89&lt;&gt;0,VLOOKUP(AC89,DGMTC,8,0)*AD89*AE89,),0)</f>
        <v>98498</v>
      </c>
      <c r="L89" s="525">
        <f>ROUND(IF(Z89&lt;&gt;0,VLOOKUP(Z89,DGMTC,8,0)*AA89*AB89,)+IF(AF89&lt;&gt;0,VLOOKUP(AF89,DGMTC,8,0)*AG89*AH89,),0)</f>
        <v>0</v>
      </c>
      <c r="M89" s="525">
        <f>ROUND(G89*I89+H89*J89,0)</f>
        <v>0</v>
      </c>
      <c r="N89" s="525">
        <f>ROUND(G89*K89+H89*L89,0)</f>
        <v>0</v>
      </c>
      <c r="O89" s="418">
        <f>IF((M89+N89)&lt;&gt;0,1,)</f>
        <v>0</v>
      </c>
      <c r="P89" s="525" t="s">
        <v>12</v>
      </c>
      <c r="Q89" s="656" t="s">
        <v>2221</v>
      </c>
      <c r="R89" s="657">
        <v>23.85</v>
      </c>
      <c r="S89" s="657">
        <f>0.7*0.85*0.8</f>
        <v>0.47599999999999998</v>
      </c>
      <c r="T89" s="525" t="s">
        <v>2226</v>
      </c>
      <c r="U89" s="626"/>
      <c r="V89" s="626"/>
      <c r="W89" s="656" t="s">
        <v>782</v>
      </c>
      <c r="X89" s="657">
        <v>0.25</v>
      </c>
      <c r="Y89" s="657">
        <v>0.45</v>
      </c>
      <c r="Z89" s="525"/>
      <c r="AA89" s="626"/>
      <c r="AB89" s="626"/>
      <c r="AC89" s="525" t="s">
        <v>1357</v>
      </c>
      <c r="AD89" s="626">
        <v>0.32</v>
      </c>
      <c r="AE89" s="626">
        <v>0.45</v>
      </c>
      <c r="AF89" s="525"/>
      <c r="AG89" s="525"/>
      <c r="AH89" s="525"/>
    </row>
    <row r="90" spans="2:34">
      <c r="C90" s="523">
        <f t="shared" si="25"/>
        <v>13</v>
      </c>
      <c r="D90" s="523" t="s">
        <v>767</v>
      </c>
      <c r="E90" s="525" t="s">
        <v>3410</v>
      </c>
      <c r="F90" s="523" t="s">
        <v>730</v>
      </c>
      <c r="G90" s="626">
        <f>BKTL!DD507/1000</f>
        <v>0.46639999999999998</v>
      </c>
      <c r="H90" s="626"/>
      <c r="I90" s="525">
        <f>ROUND(IF(P90&lt;&gt;0,VLOOKUP($P90,DGNC,DG!$S$4,0)*R90*S90,),0)</f>
        <v>3174854</v>
      </c>
      <c r="J90" s="525">
        <f>ROUND(IF(P90&lt;&gt;0,VLOOKUP($P90,DGNC,DG!$S$4,0)*U90*V90,),0)</f>
        <v>0</v>
      </c>
      <c r="K90" s="525">
        <f t="shared" si="23"/>
        <v>126250</v>
      </c>
      <c r="L90" s="525">
        <f t="shared" si="24"/>
        <v>0</v>
      </c>
      <c r="M90" s="525">
        <f t="shared" si="26"/>
        <v>1480752</v>
      </c>
      <c r="N90" s="525">
        <f t="shared" si="27"/>
        <v>58883</v>
      </c>
      <c r="O90" s="418">
        <f t="shared" si="22"/>
        <v>1</v>
      </c>
      <c r="P90" s="525" t="s">
        <v>12</v>
      </c>
      <c r="Q90" s="656" t="s">
        <v>2221</v>
      </c>
      <c r="R90" s="657">
        <v>28.15</v>
      </c>
      <c r="S90" s="657">
        <f>0.7*0.85*0.8</f>
        <v>0.47599999999999998</v>
      </c>
      <c r="T90" s="525"/>
      <c r="U90" s="626"/>
      <c r="V90" s="626"/>
      <c r="W90" s="656" t="s">
        <v>782</v>
      </c>
      <c r="X90" s="657">
        <v>0.25</v>
      </c>
      <c r="Y90" s="657">
        <v>0.45</v>
      </c>
      <c r="Z90" s="525"/>
      <c r="AA90" s="626"/>
      <c r="AB90" s="626"/>
      <c r="AC90" s="525" t="s">
        <v>1357</v>
      </c>
      <c r="AD90" s="626">
        <v>0.56000000000000005</v>
      </c>
      <c r="AE90" s="626">
        <v>0.45</v>
      </c>
      <c r="AF90" s="525"/>
      <c r="AG90" s="525"/>
      <c r="AH90" s="525"/>
    </row>
    <row r="91" spans="2:34" hidden="1">
      <c r="C91" s="523">
        <f t="shared" si="25"/>
        <v>13</v>
      </c>
      <c r="D91" s="523" t="s">
        <v>3238</v>
      </c>
      <c r="E91" s="525" t="s">
        <v>3234</v>
      </c>
      <c r="F91" s="523" t="s">
        <v>730</v>
      </c>
      <c r="G91" s="626">
        <f>BKTL!DF507/1000</f>
        <v>0</v>
      </c>
      <c r="H91" s="626"/>
      <c r="I91" s="525">
        <f>ROUND(IF(P91&lt;&gt;0,VLOOKUP($P91,DGNC,DG!$S$4,0)*R91*S91,),0)</f>
        <v>2992314</v>
      </c>
      <c r="J91" s="525">
        <f>ROUND(IF(P91&lt;&gt;0,VLOOKUP($P91,DGNC,DG!$S$4,0)*U91*V91,),0)</f>
        <v>0</v>
      </c>
      <c r="K91" s="525">
        <f>ROUND(IF(W91&lt;&gt;0,VLOOKUP(W91,DGMTC,8,0)*X91*Y91,)+IF(AC91&lt;&gt;0,VLOOKUP(AC91,DGMTC,8,0)*AD91*AE91,),0)</f>
        <v>126250</v>
      </c>
      <c r="L91" s="525">
        <f>ROUND(IF(Z91&lt;&gt;0,VLOOKUP(Z91,DGMTC,8,0)*AA91*AB91,)+IF(AF91&lt;&gt;0,VLOOKUP(AF91,DGMTC,8,0)*AG91*AH91,),0)</f>
        <v>0</v>
      </c>
      <c r="M91" s="525">
        <f>ROUND(G91*I91+H91*J91,0)</f>
        <v>0</v>
      </c>
      <c r="N91" s="525">
        <f>ROUND(G91*K91+H91*L91,0)</f>
        <v>0</v>
      </c>
      <c r="O91" s="418">
        <f>IF((M91+N91)&lt;&gt;0,1,)</f>
        <v>0</v>
      </c>
      <c r="P91" s="525" t="s">
        <v>781</v>
      </c>
      <c r="Q91" s="525" t="s">
        <v>2226</v>
      </c>
      <c r="R91" s="626">
        <v>36.81</v>
      </c>
      <c r="S91" s="626">
        <f>0.45*0.7</f>
        <v>0.315</v>
      </c>
      <c r="T91" s="525"/>
      <c r="U91" s="626"/>
      <c r="V91" s="626"/>
      <c r="W91" s="525" t="s">
        <v>782</v>
      </c>
      <c r="X91" s="626">
        <v>0.25</v>
      </c>
      <c r="Y91" s="626">
        <v>0.45</v>
      </c>
      <c r="Z91" s="525"/>
      <c r="AA91" s="626"/>
      <c r="AB91" s="626"/>
      <c r="AC91" s="525" t="s">
        <v>1357</v>
      </c>
      <c r="AD91" s="626">
        <v>0.56000000000000005</v>
      </c>
      <c r="AE91" s="626">
        <v>0.45</v>
      </c>
      <c r="AF91" s="525"/>
      <c r="AG91" s="525"/>
      <c r="AH91" s="525"/>
    </row>
    <row r="92" spans="2:34" hidden="1">
      <c r="C92" s="523">
        <f t="shared" si="25"/>
        <v>13</v>
      </c>
      <c r="D92" s="523" t="s">
        <v>3239</v>
      </c>
      <c r="E92" s="525" t="s">
        <v>3235</v>
      </c>
      <c r="F92" s="523" t="s">
        <v>730</v>
      </c>
      <c r="G92" s="626">
        <f>BKTL!DG507/1000</f>
        <v>0</v>
      </c>
      <c r="H92" s="626"/>
      <c r="I92" s="525">
        <f>ROUND(IF(P92&lt;&gt;0,VLOOKUP($P92,DGNC,DG!$S$4,0)*R92*S92,),0)</f>
        <v>3293740</v>
      </c>
      <c r="J92" s="525">
        <f>ROUND(IF(P92&lt;&gt;0,VLOOKUP($P92,DGNC,DG!$S$4,0)*U92*V92,),0)</f>
        <v>0</v>
      </c>
      <c r="K92" s="525">
        <f>ROUND(IF(W92&lt;&gt;0,VLOOKUP(W92,DGMTC,8,0)*X92*Y92,)+IF(AC92&lt;&gt;0,VLOOKUP(AC92,DGMTC,8,0)*AD92*AE92,),0)</f>
        <v>147800</v>
      </c>
      <c r="L92" s="525">
        <f>ROUND(IF(Z92&lt;&gt;0,VLOOKUP(Z92,DGMTC,8,0)*AA92*AB92,)+IF(AF92&lt;&gt;0,VLOOKUP(AF92,DGMTC,8,0)*AG92*AH92,),0)</f>
        <v>0</v>
      </c>
      <c r="M92" s="525">
        <f>ROUND(G92*I92+H92*J92,0)</f>
        <v>0</v>
      </c>
      <c r="N92" s="525">
        <f>ROUND(G92*K92+H92*L92,0)</f>
        <v>0</v>
      </c>
      <c r="O92" s="418">
        <f>IF((M92+N92)&lt;&gt;0,1,)</f>
        <v>0</v>
      </c>
      <c r="P92" s="525" t="s">
        <v>781</v>
      </c>
      <c r="Q92" s="525" t="s">
        <v>2226</v>
      </c>
      <c r="R92" s="626">
        <v>40.518000000000001</v>
      </c>
      <c r="S92" s="626">
        <f>0.45*0.7</f>
        <v>0.315</v>
      </c>
      <c r="T92" s="525"/>
      <c r="U92" s="626"/>
      <c r="V92" s="626"/>
      <c r="W92" s="525" t="s">
        <v>782</v>
      </c>
      <c r="X92" s="626">
        <v>0.3</v>
      </c>
      <c r="Y92" s="626">
        <v>0.45</v>
      </c>
      <c r="Z92" s="525"/>
      <c r="AA92" s="626"/>
      <c r="AB92" s="626"/>
      <c r="AC92" s="525" t="s">
        <v>1357</v>
      </c>
      <c r="AD92" s="626">
        <v>0.64</v>
      </c>
      <c r="AE92" s="626">
        <v>0.45</v>
      </c>
      <c r="AF92" s="525"/>
      <c r="AG92" s="525"/>
      <c r="AH92" s="525"/>
    </row>
    <row r="93" spans="2:34" hidden="1">
      <c r="C93" s="523">
        <f t="shared" si="25"/>
        <v>13</v>
      </c>
      <c r="D93" s="523" t="s">
        <v>769</v>
      </c>
      <c r="E93" s="525" t="s">
        <v>3411</v>
      </c>
      <c r="F93" s="523" t="s">
        <v>730</v>
      </c>
      <c r="G93" s="626">
        <f>BKTL!DH507/1000</f>
        <v>0</v>
      </c>
      <c r="H93" s="626"/>
      <c r="I93" s="525">
        <f>ROUND(IF(P93&lt;&gt;0,VLOOKUP($P93,DGNC,DG!$S$4,0)*R93*S93,),0)</f>
        <v>5180077</v>
      </c>
      <c r="J93" s="525">
        <f>ROUND(IF(P93&lt;&gt;0,VLOOKUP($P93,DGNC,DG!$S$4,0)*U93*V93,),0)</f>
        <v>0</v>
      </c>
      <c r="K93" s="525">
        <f t="shared" si="23"/>
        <v>0</v>
      </c>
      <c r="L93" s="525">
        <f t="shared" si="24"/>
        <v>0</v>
      </c>
      <c r="M93" s="525">
        <f t="shared" si="26"/>
        <v>0</v>
      </c>
      <c r="N93" s="525">
        <f t="shared" si="27"/>
        <v>0</v>
      </c>
      <c r="O93" s="418">
        <f t="shared" si="22"/>
        <v>0</v>
      </c>
      <c r="P93" s="525" t="s">
        <v>12</v>
      </c>
      <c r="Q93" s="656" t="s">
        <v>2221</v>
      </c>
      <c r="R93" s="657">
        <v>39.04</v>
      </c>
      <c r="S93" s="657">
        <f>0.7*0.8</f>
        <v>0.55999999999999994</v>
      </c>
      <c r="T93" s="525"/>
      <c r="U93" s="626"/>
      <c r="V93" s="626"/>
      <c r="W93" s="656"/>
      <c r="X93" s="657"/>
      <c r="Y93" s="657"/>
      <c r="Z93" s="525"/>
      <c r="AA93" s="626"/>
      <c r="AB93" s="626"/>
      <c r="AC93" s="525"/>
      <c r="AD93" s="626"/>
      <c r="AE93" s="626"/>
      <c r="AF93" s="525"/>
      <c r="AG93" s="525"/>
      <c r="AH93" s="525"/>
    </row>
    <row r="94" spans="2:34">
      <c r="C94" s="523">
        <f t="shared" si="25"/>
        <v>14</v>
      </c>
      <c r="D94" s="523" t="s">
        <v>2225</v>
      </c>
      <c r="E94" s="525" t="s">
        <v>2272</v>
      </c>
      <c r="F94" s="523" t="s">
        <v>138</v>
      </c>
      <c r="G94" s="525">
        <f>BKTL!DV507+BKTL!DW507+BKTL!DX507+BKTL!DY507</f>
        <v>18</v>
      </c>
      <c r="H94" s="525"/>
      <c r="I94" s="525">
        <f>ROUND(VLOOKUP($P94,DGNC,DG!$S$4,0)*R94*S94,0)</f>
        <v>86365</v>
      </c>
      <c r="J94" s="525">
        <f>ROUND(VLOOKUP($P94,DGNC,DG!$S$4,0)*U94*V94,0)</f>
        <v>105557</v>
      </c>
      <c r="K94" s="525">
        <f t="shared" si="23"/>
        <v>0</v>
      </c>
      <c r="L94" s="525">
        <f t="shared" si="24"/>
        <v>0</v>
      </c>
      <c r="M94" s="525">
        <f t="shared" si="26"/>
        <v>1554570</v>
      </c>
      <c r="N94" s="525">
        <f t="shared" si="27"/>
        <v>0</v>
      </c>
      <c r="O94" s="418">
        <f t="shared" si="22"/>
        <v>1</v>
      </c>
      <c r="P94" s="525" t="s">
        <v>12</v>
      </c>
      <c r="Q94" s="656" t="s">
        <v>2221</v>
      </c>
      <c r="R94" s="657">
        <v>0.81</v>
      </c>
      <c r="S94" s="657">
        <v>0.45</v>
      </c>
      <c r="T94" s="525" t="s">
        <v>2221</v>
      </c>
      <c r="U94" s="626">
        <v>0.81</v>
      </c>
      <c r="V94" s="626">
        <v>0.55000000000000004</v>
      </c>
      <c r="W94" s="658"/>
      <c r="X94" s="657"/>
      <c r="Y94" s="657"/>
      <c r="Z94" s="523"/>
      <c r="AA94" s="626"/>
      <c r="AB94" s="626"/>
      <c r="AC94" s="525"/>
      <c r="AD94" s="626"/>
      <c r="AE94" s="626"/>
      <c r="AF94" s="525"/>
      <c r="AG94" s="525"/>
      <c r="AH94" s="525"/>
    </row>
    <row r="95" spans="2:34" hidden="1">
      <c r="B95" s="405" t="s">
        <v>2088</v>
      </c>
      <c r="C95" s="538" t="s">
        <v>1673</v>
      </c>
      <c r="D95" s="539" t="str">
        <f>VLOOKUP(B95,XLTBA,'6.XL-TR'!$D$2,0)</f>
        <v>0 Trạm 1 pha 25kVA</v>
      </c>
      <c r="E95" s="539"/>
      <c r="F95" s="538"/>
      <c r="G95" s="539"/>
      <c r="H95" s="539"/>
      <c r="I95" s="539"/>
      <c r="J95" s="539"/>
      <c r="K95" s="539"/>
      <c r="L95" s="539"/>
      <c r="M95" s="539">
        <f>SUM(M96:M107)</f>
        <v>0</v>
      </c>
      <c r="N95" s="539">
        <f>SUM(N96:N107)</f>
        <v>0</v>
      </c>
      <c r="O95" s="418">
        <f t="shared" si="22"/>
        <v>0</v>
      </c>
      <c r="P95" s="525"/>
      <c r="Q95" s="539"/>
      <c r="R95" s="661"/>
      <c r="S95" s="661"/>
      <c r="T95" s="539"/>
      <c r="U95" s="661"/>
      <c r="V95" s="661"/>
      <c r="W95" s="539"/>
      <c r="X95" s="661"/>
      <c r="Y95" s="661"/>
      <c r="Z95" s="539"/>
      <c r="AA95" s="661"/>
      <c r="AB95" s="661"/>
      <c r="AC95" s="525"/>
      <c r="AD95" s="626"/>
      <c r="AE95" s="626"/>
      <c r="AF95" s="525"/>
      <c r="AG95" s="525"/>
      <c r="AH95" s="525"/>
    </row>
    <row r="96" spans="2:34" hidden="1">
      <c r="C96" s="523">
        <f>IF(SUM(G96:H96)&lt;&gt;0,1,)</f>
        <v>0</v>
      </c>
      <c r="D96" s="523" t="s">
        <v>2291</v>
      </c>
      <c r="E96" s="525" t="s">
        <v>2290</v>
      </c>
      <c r="F96" s="523" t="s">
        <v>896</v>
      </c>
      <c r="G96" s="525"/>
      <c r="H96" s="525"/>
      <c r="I96" s="525">
        <f>ROUND(VLOOKUP($P96,DGNC,DG!$S$4,0)*R96*S96,0)</f>
        <v>533707</v>
      </c>
      <c r="J96" s="525">
        <f>ROUND(VLOOKUP($P96,DGNC,DG!$S$4,0)*U96*V96,0)</f>
        <v>654547</v>
      </c>
      <c r="K96" s="525">
        <f t="shared" ref="K96:K107" si="28">ROUND(IF(W96&lt;&gt;0,VLOOKUP(W96,DGMTC,8,0)*X96*Y96,)+IF(AC96&lt;&gt;0,VLOOKUP(AC96,DGMTC,8,0)*AD96*AE96,),0)</f>
        <v>485430</v>
      </c>
      <c r="L96" s="525">
        <f t="shared" ref="L96:L107" si="29">ROUND(IF(Z96&lt;&gt;0,VLOOKUP(Z96,DGMTC,8,0)*AA96*AB96,)+IF(AF96&lt;&gt;0,VLOOKUP(AF96,DGMTC,8,0)*AG96*AH96,),0)</f>
        <v>485430</v>
      </c>
      <c r="M96" s="525">
        <f t="shared" ref="M96:M107" si="30">ROUND(G96*I96+H96*J96,0)</f>
        <v>0</v>
      </c>
      <c r="N96" s="525">
        <f t="shared" ref="N96:N107" si="31">ROUND(G96*K96+H96*L96,0)</f>
        <v>0</v>
      </c>
      <c r="O96" s="418">
        <f t="shared" si="22"/>
        <v>0</v>
      </c>
      <c r="P96" s="525" t="s">
        <v>12</v>
      </c>
      <c r="Q96" s="525" t="s">
        <v>2221</v>
      </c>
      <c r="R96" s="626">
        <f>2.4+0.25</f>
        <v>2.65</v>
      </c>
      <c r="S96" s="626">
        <f>0.85</f>
        <v>0.85</v>
      </c>
      <c r="T96" s="525" t="s">
        <v>2221</v>
      </c>
      <c r="U96" s="626">
        <v>3.25</v>
      </c>
      <c r="V96" s="626">
        <v>0.85</v>
      </c>
      <c r="W96" s="525" t="s">
        <v>898</v>
      </c>
      <c r="X96" s="626">
        <v>0.7</v>
      </c>
      <c r="Y96" s="626">
        <v>0.5</v>
      </c>
      <c r="Z96" s="525" t="s">
        <v>898</v>
      </c>
      <c r="AA96" s="626">
        <v>0.7</v>
      </c>
      <c r="AB96" s="626">
        <v>0.5</v>
      </c>
      <c r="AC96" s="525"/>
      <c r="AD96" s="626"/>
      <c r="AE96" s="626"/>
      <c r="AF96" s="525"/>
      <c r="AG96" s="525"/>
      <c r="AH96" s="525"/>
    </row>
    <row r="97" spans="2:34" hidden="1">
      <c r="C97" s="523">
        <f>IF(SUM(G97:H97)&lt;&gt;0,C96+1,C96)</f>
        <v>0</v>
      </c>
      <c r="D97" s="523" t="s">
        <v>2234</v>
      </c>
      <c r="E97" s="525" t="s">
        <v>2235</v>
      </c>
      <c r="F97" s="523" t="s">
        <v>896</v>
      </c>
      <c r="G97" s="525"/>
      <c r="H97" s="525"/>
      <c r="I97" s="525">
        <f>ROUND(VLOOKUP($P97,DGNC,DG!$S$4,0)*R97*S97,0)</f>
        <v>533707</v>
      </c>
      <c r="J97" s="525">
        <f>ROUND(VLOOKUP($P97,DGNC,DG!$S$4,0)*U97*V97,0)</f>
        <v>755246</v>
      </c>
      <c r="K97" s="525">
        <f t="shared" si="28"/>
        <v>485430</v>
      </c>
      <c r="L97" s="525">
        <f t="shared" si="29"/>
        <v>485430</v>
      </c>
      <c r="M97" s="525">
        <f t="shared" si="30"/>
        <v>0</v>
      </c>
      <c r="N97" s="525">
        <f t="shared" si="31"/>
        <v>0</v>
      </c>
      <c r="O97" s="418">
        <f t="shared" ref="O97:O186" si="32">IF((M97+N97)&lt;&gt;0,1,)</f>
        <v>0</v>
      </c>
      <c r="P97" s="525" t="s">
        <v>12</v>
      </c>
      <c r="Q97" s="525" t="s">
        <v>2221</v>
      </c>
      <c r="R97" s="626">
        <f>2.4+0.25</f>
        <v>2.65</v>
      </c>
      <c r="S97" s="626">
        <f>0.85</f>
        <v>0.85</v>
      </c>
      <c r="T97" s="525" t="s">
        <v>2221</v>
      </c>
      <c r="U97" s="626">
        <v>3.75</v>
      </c>
      <c r="V97" s="626">
        <v>0.85</v>
      </c>
      <c r="W97" s="525" t="s">
        <v>898</v>
      </c>
      <c r="X97" s="626">
        <v>0.7</v>
      </c>
      <c r="Y97" s="626">
        <v>0.5</v>
      </c>
      <c r="Z97" s="525" t="s">
        <v>898</v>
      </c>
      <c r="AA97" s="626">
        <v>0.7</v>
      </c>
      <c r="AB97" s="626">
        <v>0.5</v>
      </c>
      <c r="AC97" s="525"/>
      <c r="AD97" s="626"/>
      <c r="AE97" s="626"/>
      <c r="AF97" s="525"/>
      <c r="AG97" s="525"/>
      <c r="AH97" s="525"/>
    </row>
    <row r="98" spans="2:34" hidden="1">
      <c r="C98" s="523"/>
      <c r="D98" s="523" t="s">
        <v>2236</v>
      </c>
      <c r="E98" s="525" t="s">
        <v>2237</v>
      </c>
      <c r="F98" s="523" t="s">
        <v>11</v>
      </c>
      <c r="G98" s="525"/>
      <c r="H98" s="525"/>
      <c r="I98" s="525">
        <f>ROUND(VLOOKUP($P98,DGNC,DG!$S$4,0)*R98*S98,0)</f>
        <v>379104</v>
      </c>
      <c r="J98" s="525">
        <f>ROUND(VLOOKUP($P98,DGNC,DG!$S$4,0)*U98*V98,0)</f>
        <v>568656</v>
      </c>
      <c r="K98" s="525">
        <f t="shared" si="28"/>
        <v>0</v>
      </c>
      <c r="L98" s="525">
        <f t="shared" si="29"/>
        <v>0</v>
      </c>
      <c r="M98" s="525">
        <f t="shared" si="30"/>
        <v>0</v>
      </c>
      <c r="N98" s="525">
        <f t="shared" si="31"/>
        <v>0</v>
      </c>
      <c r="O98" s="418">
        <f t="shared" si="32"/>
        <v>0</v>
      </c>
      <c r="P98" s="525" t="s">
        <v>12</v>
      </c>
      <c r="Q98" s="525" t="s">
        <v>2221</v>
      </c>
      <c r="R98" s="626">
        <v>4</v>
      </c>
      <c r="S98" s="626">
        <v>0.4</v>
      </c>
      <c r="T98" s="525" t="s">
        <v>2221</v>
      </c>
      <c r="U98" s="626">
        <v>4</v>
      </c>
      <c r="V98" s="626">
        <v>0.6</v>
      </c>
      <c r="W98" s="525"/>
      <c r="X98" s="626"/>
      <c r="Y98" s="626"/>
      <c r="Z98" s="525"/>
      <c r="AA98" s="626"/>
      <c r="AB98" s="626"/>
      <c r="AC98" s="525"/>
      <c r="AD98" s="626"/>
      <c r="AE98" s="626"/>
      <c r="AF98" s="525"/>
      <c r="AG98" s="525"/>
      <c r="AH98" s="525"/>
    </row>
    <row r="99" spans="2:34" hidden="1">
      <c r="C99" s="523"/>
      <c r="D99" s="523" t="s">
        <v>2240</v>
      </c>
      <c r="E99" s="525" t="s">
        <v>2241</v>
      </c>
      <c r="F99" s="523" t="s">
        <v>11</v>
      </c>
      <c r="G99" s="525"/>
      <c r="H99" s="525"/>
      <c r="I99" s="525">
        <f>ROUND(VLOOKUP($P99,DGNC,DG!$S$4,0)*R99*S99,0)</f>
        <v>460611</v>
      </c>
      <c r="J99" s="525">
        <f>ROUND(VLOOKUP($P99,DGNC,DG!$S$4,0)*U99*V99,0)</f>
        <v>562969</v>
      </c>
      <c r="K99" s="525">
        <f t="shared" si="28"/>
        <v>0</v>
      </c>
      <c r="L99" s="525">
        <f t="shared" si="29"/>
        <v>0</v>
      </c>
      <c r="M99" s="525">
        <f t="shared" si="30"/>
        <v>0</v>
      </c>
      <c r="N99" s="525">
        <f t="shared" si="31"/>
        <v>0</v>
      </c>
      <c r="O99" s="418">
        <f t="shared" si="32"/>
        <v>0</v>
      </c>
      <c r="P99" s="525" t="s">
        <v>12</v>
      </c>
      <c r="Q99" s="525" t="s">
        <v>2221</v>
      </c>
      <c r="R99" s="626">
        <v>4.32</v>
      </c>
      <c r="S99" s="626">
        <v>0.45</v>
      </c>
      <c r="T99" s="525" t="s">
        <v>2221</v>
      </c>
      <c r="U99" s="626">
        <v>4.32</v>
      </c>
      <c r="V99" s="626">
        <v>0.55000000000000004</v>
      </c>
      <c r="W99" s="525"/>
      <c r="X99" s="626"/>
      <c r="Y99" s="626"/>
      <c r="Z99" s="525"/>
      <c r="AA99" s="626"/>
      <c r="AB99" s="626"/>
      <c r="AC99" s="525"/>
      <c r="AD99" s="626"/>
      <c r="AE99" s="626"/>
      <c r="AF99" s="525"/>
      <c r="AG99" s="525"/>
      <c r="AH99" s="525"/>
    </row>
    <row r="100" spans="2:34" hidden="1">
      <c r="C100" s="523"/>
      <c r="D100" s="523" t="s">
        <v>2242</v>
      </c>
      <c r="E100" s="525" t="s">
        <v>2243</v>
      </c>
      <c r="F100" s="523" t="s">
        <v>11</v>
      </c>
      <c r="G100" s="525"/>
      <c r="H100" s="525"/>
      <c r="I100" s="525">
        <f>ROUND(VLOOKUP($P100,DGNC,DG!$S$4,0)*R100*S100,0)</f>
        <v>172729</v>
      </c>
      <c r="J100" s="525">
        <f>ROUND(VLOOKUP($P100,DGNC,DG!$S$4,0)*U100*V100,0)</f>
        <v>211114</v>
      </c>
      <c r="K100" s="525">
        <f t="shared" si="28"/>
        <v>0</v>
      </c>
      <c r="L100" s="525">
        <f t="shared" si="29"/>
        <v>0</v>
      </c>
      <c r="M100" s="525">
        <f t="shared" si="30"/>
        <v>0</v>
      </c>
      <c r="N100" s="525">
        <f t="shared" si="31"/>
        <v>0</v>
      </c>
      <c r="O100" s="418">
        <f t="shared" si="32"/>
        <v>0</v>
      </c>
      <c r="P100" s="525" t="s">
        <v>12</v>
      </c>
      <c r="Q100" s="525" t="s">
        <v>2221</v>
      </c>
      <c r="R100" s="626">
        <v>2.7</v>
      </c>
      <c r="S100" s="626">
        <v>0.27</v>
      </c>
      <c r="T100" s="525" t="s">
        <v>2221</v>
      </c>
      <c r="U100" s="626">
        <v>2.7</v>
      </c>
      <c r="V100" s="626">
        <v>0.33</v>
      </c>
      <c r="W100" s="525"/>
      <c r="X100" s="626"/>
      <c r="Y100" s="626"/>
      <c r="Z100" s="525"/>
      <c r="AA100" s="626"/>
      <c r="AB100" s="626"/>
      <c r="AC100" s="525"/>
      <c r="AD100" s="626"/>
      <c r="AE100" s="626"/>
      <c r="AF100" s="525"/>
      <c r="AG100" s="525"/>
      <c r="AH100" s="525"/>
    </row>
    <row r="101" spans="2:34" hidden="1">
      <c r="C101" s="523"/>
      <c r="D101" s="523" t="s">
        <v>2280</v>
      </c>
      <c r="E101" s="525" t="s">
        <v>2281</v>
      </c>
      <c r="F101" s="523" t="s">
        <v>146</v>
      </c>
      <c r="G101" s="525"/>
      <c r="H101" s="525"/>
      <c r="I101" s="525">
        <f>ROUND(VLOOKUP($P101,DGNC,DG!$S$4,0)*R101*S101,0)</f>
        <v>16681</v>
      </c>
      <c r="J101" s="525">
        <f>ROUND(VLOOKUP($P101,DGNC,DG!$S$4,0)*U101*V101,0)</f>
        <v>25021</v>
      </c>
      <c r="K101" s="525">
        <f t="shared" si="28"/>
        <v>0</v>
      </c>
      <c r="L101" s="525">
        <f t="shared" si="29"/>
        <v>0</v>
      </c>
      <c r="M101" s="525">
        <f t="shared" si="30"/>
        <v>0</v>
      </c>
      <c r="N101" s="525">
        <f t="shared" si="31"/>
        <v>0</v>
      </c>
      <c r="O101" s="418">
        <f t="shared" si="32"/>
        <v>0</v>
      </c>
      <c r="P101" s="525" t="s">
        <v>12</v>
      </c>
      <c r="Q101" s="525" t="s">
        <v>2221</v>
      </c>
      <c r="R101" s="626">
        <v>0.17599999999999999</v>
      </c>
      <c r="S101" s="626">
        <v>0.4</v>
      </c>
      <c r="T101" s="525" t="s">
        <v>2221</v>
      </c>
      <c r="U101" s="626">
        <v>0.17599999999999999</v>
      </c>
      <c r="V101" s="626">
        <v>0.6</v>
      </c>
      <c r="W101" s="525"/>
      <c r="X101" s="626"/>
      <c r="Y101" s="626"/>
      <c r="Z101" s="525"/>
      <c r="AA101" s="626"/>
      <c r="AB101" s="626"/>
      <c r="AC101" s="525"/>
      <c r="AD101" s="626"/>
      <c r="AE101" s="626"/>
      <c r="AF101" s="525"/>
      <c r="AG101" s="525"/>
      <c r="AH101" s="525"/>
    </row>
    <row r="102" spans="2:34" hidden="1">
      <c r="C102" s="523"/>
      <c r="D102" s="523" t="s">
        <v>2282</v>
      </c>
      <c r="E102" s="525" t="s">
        <v>2283</v>
      </c>
      <c r="F102" s="523" t="s">
        <v>146</v>
      </c>
      <c r="G102" s="525"/>
      <c r="H102" s="525"/>
      <c r="I102" s="525">
        <f>ROUND(VLOOKUP($P102,DGNC,DG!$S$4,0)*R102*S102,0)</f>
        <v>4040</v>
      </c>
      <c r="J102" s="525">
        <f>ROUND(VLOOKUP($P102,DGNC,DG!$S$4,0)*U102*V102,0)</f>
        <v>6059</v>
      </c>
      <c r="K102" s="525">
        <f t="shared" si="28"/>
        <v>0</v>
      </c>
      <c r="L102" s="525">
        <f t="shared" si="29"/>
        <v>0</v>
      </c>
      <c r="M102" s="525">
        <f t="shared" si="30"/>
        <v>0</v>
      </c>
      <c r="N102" s="525">
        <f t="shared" si="31"/>
        <v>0</v>
      </c>
      <c r="O102" s="418">
        <f t="shared" si="32"/>
        <v>0</v>
      </c>
      <c r="P102" s="525" t="s">
        <v>289</v>
      </c>
      <c r="Q102" s="525" t="s">
        <v>2216</v>
      </c>
      <c r="R102" s="626">
        <v>4.5999999999999999E-2</v>
      </c>
      <c r="S102" s="626">
        <v>0.4</v>
      </c>
      <c r="T102" s="525" t="s">
        <v>2216</v>
      </c>
      <c r="U102" s="626">
        <v>4.5999999999999999E-2</v>
      </c>
      <c r="V102" s="626">
        <v>0.6</v>
      </c>
      <c r="W102" s="525"/>
      <c r="X102" s="626"/>
      <c r="Y102" s="626"/>
      <c r="Z102" s="525"/>
      <c r="AA102" s="626"/>
      <c r="AB102" s="626"/>
      <c r="AC102" s="525"/>
      <c r="AD102" s="626"/>
      <c r="AE102" s="626"/>
      <c r="AF102" s="525"/>
      <c r="AG102" s="525"/>
      <c r="AH102" s="525"/>
    </row>
    <row r="103" spans="2:34" hidden="1">
      <c r="C103" s="523"/>
      <c r="D103" s="523" t="s">
        <v>2284</v>
      </c>
      <c r="E103" s="525" t="s">
        <v>2285</v>
      </c>
      <c r="F103" s="523" t="s">
        <v>146</v>
      </c>
      <c r="G103" s="525"/>
      <c r="H103" s="525"/>
      <c r="I103" s="525">
        <f>ROUND(VLOOKUP($P103,DGNC,DG!$S$4,0)*R103*S103,0)</f>
        <v>6586</v>
      </c>
      <c r="J103" s="525">
        <f>ROUND(VLOOKUP($P103,DGNC,DG!$S$4,0)*U103*V103,0)</f>
        <v>9879</v>
      </c>
      <c r="K103" s="525">
        <f t="shared" si="28"/>
        <v>0</v>
      </c>
      <c r="L103" s="525">
        <f t="shared" si="29"/>
        <v>0</v>
      </c>
      <c r="M103" s="525">
        <f t="shared" si="30"/>
        <v>0</v>
      </c>
      <c r="N103" s="525">
        <f t="shared" si="31"/>
        <v>0</v>
      </c>
      <c r="O103" s="418">
        <f t="shared" si="32"/>
        <v>0</v>
      </c>
      <c r="P103" s="525" t="s">
        <v>289</v>
      </c>
      <c r="Q103" s="525" t="s">
        <v>2216</v>
      </c>
      <c r="R103" s="626">
        <v>7.4999999999999997E-2</v>
      </c>
      <c r="S103" s="626">
        <v>0.4</v>
      </c>
      <c r="T103" s="525" t="s">
        <v>2216</v>
      </c>
      <c r="U103" s="626">
        <v>7.4999999999999997E-2</v>
      </c>
      <c r="V103" s="626">
        <v>0.6</v>
      </c>
      <c r="W103" s="525"/>
      <c r="X103" s="626"/>
      <c r="Y103" s="626"/>
      <c r="Z103" s="525"/>
      <c r="AA103" s="626"/>
      <c r="AB103" s="626"/>
      <c r="AC103" s="525"/>
      <c r="AD103" s="626"/>
      <c r="AE103" s="626"/>
      <c r="AF103" s="525"/>
      <c r="AG103" s="525"/>
      <c r="AH103" s="525"/>
    </row>
    <row r="104" spans="2:34" hidden="1">
      <c r="C104" s="523"/>
      <c r="D104" s="523" t="s">
        <v>2284</v>
      </c>
      <c r="E104" s="525" t="s">
        <v>2286</v>
      </c>
      <c r="F104" s="523" t="s">
        <v>146</v>
      </c>
      <c r="G104" s="525"/>
      <c r="H104" s="525"/>
      <c r="I104" s="525">
        <f>ROUND(VLOOKUP($P104,DGNC,DG!$S$4,0)*R104*S104,0)</f>
        <v>6586</v>
      </c>
      <c r="J104" s="525">
        <f>ROUND(VLOOKUP($P104,DGNC,DG!$S$4,0)*U104*V104,0)</f>
        <v>9879</v>
      </c>
      <c r="K104" s="525">
        <f t="shared" si="28"/>
        <v>0</v>
      </c>
      <c r="L104" s="525">
        <f t="shared" si="29"/>
        <v>0</v>
      </c>
      <c r="M104" s="525">
        <f t="shared" si="30"/>
        <v>0</v>
      </c>
      <c r="N104" s="525">
        <f t="shared" si="31"/>
        <v>0</v>
      </c>
      <c r="O104" s="418">
        <f t="shared" si="32"/>
        <v>0</v>
      </c>
      <c r="P104" s="525" t="s">
        <v>289</v>
      </c>
      <c r="Q104" s="525" t="s">
        <v>2216</v>
      </c>
      <c r="R104" s="626">
        <v>7.4999999999999997E-2</v>
      </c>
      <c r="S104" s="626">
        <v>0.4</v>
      </c>
      <c r="T104" s="525" t="s">
        <v>2216</v>
      </c>
      <c r="U104" s="626">
        <v>7.4999999999999997E-2</v>
      </c>
      <c r="V104" s="626">
        <v>0.6</v>
      </c>
      <c r="W104" s="525"/>
      <c r="X104" s="626"/>
      <c r="Y104" s="626"/>
      <c r="Z104" s="525"/>
      <c r="AA104" s="626"/>
      <c r="AB104" s="626"/>
      <c r="AC104" s="525"/>
      <c r="AD104" s="626"/>
      <c r="AE104" s="626"/>
      <c r="AF104" s="525"/>
      <c r="AG104" s="525"/>
      <c r="AH104" s="525"/>
    </row>
    <row r="105" spans="2:34" hidden="1">
      <c r="C105" s="523"/>
      <c r="D105" s="523" t="s">
        <v>2284</v>
      </c>
      <c r="E105" s="525" t="s">
        <v>2287</v>
      </c>
      <c r="F105" s="523" t="s">
        <v>146</v>
      </c>
      <c r="G105" s="525"/>
      <c r="H105" s="525"/>
      <c r="I105" s="525">
        <f>ROUND(VLOOKUP($P105,DGNC,DG!$S$4,0)*R105*S105,0)</f>
        <v>6586</v>
      </c>
      <c r="J105" s="525">
        <f>ROUND(VLOOKUP($P105,DGNC,DG!$S$4,0)*U105*V105,0)</f>
        <v>9879</v>
      </c>
      <c r="K105" s="525">
        <f t="shared" si="28"/>
        <v>0</v>
      </c>
      <c r="L105" s="525">
        <f t="shared" si="29"/>
        <v>0</v>
      </c>
      <c r="M105" s="525">
        <f t="shared" si="30"/>
        <v>0</v>
      </c>
      <c r="N105" s="525">
        <f t="shared" si="31"/>
        <v>0</v>
      </c>
      <c r="O105" s="418">
        <f t="shared" si="32"/>
        <v>0</v>
      </c>
      <c r="P105" s="525" t="s">
        <v>289</v>
      </c>
      <c r="Q105" s="525" t="s">
        <v>2216</v>
      </c>
      <c r="R105" s="626">
        <v>7.4999999999999997E-2</v>
      </c>
      <c r="S105" s="626">
        <v>0.4</v>
      </c>
      <c r="T105" s="525" t="s">
        <v>2216</v>
      </c>
      <c r="U105" s="626">
        <v>7.4999999999999997E-2</v>
      </c>
      <c r="V105" s="626">
        <v>0.6</v>
      </c>
      <c r="W105" s="525"/>
      <c r="X105" s="626"/>
      <c r="Y105" s="626"/>
      <c r="Z105" s="525"/>
      <c r="AA105" s="626"/>
      <c r="AB105" s="626"/>
      <c r="AC105" s="525"/>
      <c r="AD105" s="626"/>
      <c r="AE105" s="626"/>
      <c r="AF105" s="525"/>
      <c r="AG105" s="525"/>
      <c r="AH105" s="525"/>
    </row>
    <row r="106" spans="2:34" hidden="1">
      <c r="C106" s="523"/>
      <c r="D106" s="523" t="s">
        <v>2284</v>
      </c>
      <c r="E106" s="525" t="s">
        <v>2288</v>
      </c>
      <c r="F106" s="523" t="s">
        <v>146</v>
      </c>
      <c r="G106" s="525"/>
      <c r="H106" s="525"/>
      <c r="I106" s="525">
        <f>ROUND(VLOOKUP($P106,DGNC,DG!$S$4,0)*R106*S106,0)</f>
        <v>6586</v>
      </c>
      <c r="J106" s="525">
        <f>ROUND(VLOOKUP($P106,DGNC,DG!$S$4,0)*U106*V106,0)</f>
        <v>9879</v>
      </c>
      <c r="K106" s="525">
        <f t="shared" si="28"/>
        <v>0</v>
      </c>
      <c r="L106" s="525">
        <f t="shared" si="29"/>
        <v>0</v>
      </c>
      <c r="M106" s="525">
        <f t="shared" si="30"/>
        <v>0</v>
      </c>
      <c r="N106" s="525">
        <f t="shared" si="31"/>
        <v>0</v>
      </c>
      <c r="O106" s="418">
        <f t="shared" si="32"/>
        <v>0</v>
      </c>
      <c r="P106" s="525" t="s">
        <v>289</v>
      </c>
      <c r="Q106" s="525" t="s">
        <v>2216</v>
      </c>
      <c r="R106" s="626">
        <v>7.4999999999999997E-2</v>
      </c>
      <c r="S106" s="626">
        <v>0.4</v>
      </c>
      <c r="T106" s="525" t="s">
        <v>2216</v>
      </c>
      <c r="U106" s="626">
        <v>7.4999999999999997E-2</v>
      </c>
      <c r="V106" s="626">
        <v>0.6</v>
      </c>
      <c r="W106" s="525"/>
      <c r="X106" s="626"/>
      <c r="Y106" s="626"/>
      <c r="Z106" s="525"/>
      <c r="AA106" s="626"/>
      <c r="AB106" s="626"/>
      <c r="AC106" s="525"/>
      <c r="AD106" s="626"/>
      <c r="AE106" s="626"/>
      <c r="AF106" s="525"/>
      <c r="AG106" s="525"/>
      <c r="AH106" s="525"/>
    </row>
    <row r="107" spans="2:34" hidden="1">
      <c r="C107" s="523"/>
      <c r="D107" s="523" t="s">
        <v>2284</v>
      </c>
      <c r="E107" s="525" t="s">
        <v>2289</v>
      </c>
      <c r="F107" s="523" t="s">
        <v>146</v>
      </c>
      <c r="G107" s="525"/>
      <c r="H107" s="525"/>
      <c r="I107" s="525">
        <f>ROUND(VLOOKUP($P107,DGNC,DG!$S$4,0)*R107*S107,0)</f>
        <v>6586</v>
      </c>
      <c r="J107" s="525">
        <f>ROUND(VLOOKUP($P107,DGNC,DG!$S$4,0)*U107*V107,0)</f>
        <v>9879</v>
      </c>
      <c r="K107" s="525">
        <f t="shared" si="28"/>
        <v>0</v>
      </c>
      <c r="L107" s="525">
        <f t="shared" si="29"/>
        <v>0</v>
      </c>
      <c r="M107" s="525">
        <f t="shared" si="30"/>
        <v>0</v>
      </c>
      <c r="N107" s="525">
        <f t="shared" si="31"/>
        <v>0</v>
      </c>
      <c r="O107" s="418">
        <f t="shared" si="32"/>
        <v>0</v>
      </c>
      <c r="P107" s="525" t="s">
        <v>289</v>
      </c>
      <c r="Q107" s="525" t="s">
        <v>2216</v>
      </c>
      <c r="R107" s="626">
        <v>7.4999999999999997E-2</v>
      </c>
      <c r="S107" s="626">
        <v>0.4</v>
      </c>
      <c r="T107" s="525" t="s">
        <v>2216</v>
      </c>
      <c r="U107" s="626">
        <v>7.4999999999999997E-2</v>
      </c>
      <c r="V107" s="626">
        <v>0.6</v>
      </c>
      <c r="W107" s="525"/>
      <c r="X107" s="626"/>
      <c r="Y107" s="626"/>
      <c r="Z107" s="525"/>
      <c r="AA107" s="626"/>
      <c r="AB107" s="626"/>
      <c r="AC107" s="525"/>
      <c r="AD107" s="626"/>
      <c r="AE107" s="626"/>
      <c r="AF107" s="525"/>
      <c r="AG107" s="525"/>
      <c r="AH107" s="525"/>
    </row>
    <row r="108" spans="2:34" hidden="1">
      <c r="B108" s="405" t="s">
        <v>2089</v>
      </c>
      <c r="C108" s="538" t="s">
        <v>1673</v>
      </c>
      <c r="D108" s="539" t="str">
        <f>VLOOKUP(B108,XLTBA,'6.XL-TR'!$D$2,0)</f>
        <v>0 Trạm 1 pha 37,5kVA</v>
      </c>
      <c r="E108" s="539"/>
      <c r="F108" s="538"/>
      <c r="G108" s="539"/>
      <c r="H108" s="539"/>
      <c r="I108" s="539"/>
      <c r="J108" s="539"/>
      <c r="K108" s="539"/>
      <c r="L108" s="539"/>
      <c r="M108" s="539">
        <f>SUM(M109:M120)</f>
        <v>0</v>
      </c>
      <c r="N108" s="539">
        <f>SUM(N109:N120)</f>
        <v>0</v>
      </c>
      <c r="O108" s="418">
        <f t="shared" si="32"/>
        <v>0</v>
      </c>
      <c r="P108" s="525"/>
      <c r="Q108" s="539"/>
      <c r="R108" s="661"/>
      <c r="S108" s="661"/>
      <c r="T108" s="539"/>
      <c r="U108" s="661"/>
      <c r="V108" s="661"/>
      <c r="W108" s="539"/>
      <c r="X108" s="661"/>
      <c r="Y108" s="661"/>
      <c r="Z108" s="539"/>
      <c r="AA108" s="661"/>
      <c r="AB108" s="661"/>
      <c r="AC108" s="525"/>
      <c r="AD108" s="626"/>
      <c r="AE108" s="626"/>
      <c r="AF108" s="525"/>
      <c r="AG108" s="525"/>
      <c r="AH108" s="525"/>
    </row>
    <row r="109" spans="2:34" hidden="1">
      <c r="C109" s="523">
        <f>IF(SUM(G109:H109)&lt;&gt;0,1,)</f>
        <v>0</v>
      </c>
      <c r="D109" s="523" t="s">
        <v>2291</v>
      </c>
      <c r="E109" s="525" t="s">
        <v>2290</v>
      </c>
      <c r="F109" s="523" t="s">
        <v>896</v>
      </c>
      <c r="G109" s="525"/>
      <c r="H109" s="525"/>
      <c r="I109" s="525">
        <f>ROUND(VLOOKUP($P109,DGNC,DG!$S$4,0)*R109*S109,0)</f>
        <v>533707</v>
      </c>
      <c r="J109" s="525">
        <f>ROUND(VLOOKUP($P109,DGNC,DG!$S$4,0)*U109*V109,0)</f>
        <v>654547</v>
      </c>
      <c r="K109" s="525">
        <f t="shared" ref="K109:K120" si="33">ROUND(IF(W109&lt;&gt;0,VLOOKUP(W109,DGMTC,8,0)*X109*Y109,)+IF(AC109&lt;&gt;0,VLOOKUP(AC109,DGMTC,8,0)*AD109*AE109,),0)</f>
        <v>485430</v>
      </c>
      <c r="L109" s="525">
        <f t="shared" ref="L109:L120" si="34">ROUND(IF(Z109&lt;&gt;0,VLOOKUP(Z109,DGMTC,8,0)*AA109*AB109,)+IF(AF109&lt;&gt;0,VLOOKUP(AF109,DGMTC,8,0)*AG109*AH109,),0)</f>
        <v>485430</v>
      </c>
      <c r="M109" s="525">
        <f t="shared" ref="M109:M120" si="35">ROUND(G109*I109+H109*J109,0)</f>
        <v>0</v>
      </c>
      <c r="N109" s="525">
        <f t="shared" ref="N109:N120" si="36">ROUND(G109*K109+H109*L109,0)</f>
        <v>0</v>
      </c>
      <c r="O109" s="418">
        <f t="shared" si="32"/>
        <v>0</v>
      </c>
      <c r="P109" s="525" t="s">
        <v>12</v>
      </c>
      <c r="Q109" s="525" t="s">
        <v>2221</v>
      </c>
      <c r="R109" s="626">
        <f>2.4+0.25</f>
        <v>2.65</v>
      </c>
      <c r="S109" s="626">
        <f>0.85</f>
        <v>0.85</v>
      </c>
      <c r="T109" s="525" t="s">
        <v>2221</v>
      </c>
      <c r="U109" s="626">
        <v>3.25</v>
      </c>
      <c r="V109" s="626">
        <v>0.85</v>
      </c>
      <c r="W109" s="525" t="s">
        <v>898</v>
      </c>
      <c r="X109" s="626">
        <v>0.7</v>
      </c>
      <c r="Y109" s="626">
        <v>0.5</v>
      </c>
      <c r="Z109" s="525" t="s">
        <v>898</v>
      </c>
      <c r="AA109" s="626">
        <v>0.7</v>
      </c>
      <c r="AB109" s="626">
        <v>0.5</v>
      </c>
      <c r="AC109" s="525"/>
      <c r="AD109" s="626"/>
      <c r="AE109" s="626"/>
      <c r="AF109" s="525"/>
      <c r="AG109" s="525"/>
      <c r="AH109" s="525"/>
    </row>
    <row r="110" spans="2:34" hidden="1">
      <c r="C110" s="523">
        <f>IF(SUM(G110:H110)&lt;&gt;0,C109+1,C109)</f>
        <v>0</v>
      </c>
      <c r="D110" s="523" t="s">
        <v>2234</v>
      </c>
      <c r="E110" s="525" t="s">
        <v>2235</v>
      </c>
      <c r="F110" s="523" t="s">
        <v>896</v>
      </c>
      <c r="G110" s="525"/>
      <c r="H110" s="525"/>
      <c r="I110" s="525">
        <f>ROUND(VLOOKUP($P110,DGNC,DG!$S$4,0)*R110*S110,0)</f>
        <v>533707</v>
      </c>
      <c r="J110" s="525">
        <f>ROUND(VLOOKUP($P110,DGNC,DG!$S$4,0)*U110*V110,0)</f>
        <v>755246</v>
      </c>
      <c r="K110" s="525">
        <f t="shared" si="33"/>
        <v>485430</v>
      </c>
      <c r="L110" s="525">
        <f t="shared" si="34"/>
        <v>485430</v>
      </c>
      <c r="M110" s="525">
        <f t="shared" si="35"/>
        <v>0</v>
      </c>
      <c r="N110" s="525">
        <f t="shared" si="36"/>
        <v>0</v>
      </c>
      <c r="O110" s="418">
        <f t="shared" si="32"/>
        <v>0</v>
      </c>
      <c r="P110" s="525" t="s">
        <v>12</v>
      </c>
      <c r="Q110" s="525" t="s">
        <v>2221</v>
      </c>
      <c r="R110" s="626">
        <f>2.4+0.25</f>
        <v>2.65</v>
      </c>
      <c r="S110" s="626">
        <f>0.85</f>
        <v>0.85</v>
      </c>
      <c r="T110" s="525" t="s">
        <v>2221</v>
      </c>
      <c r="U110" s="626">
        <v>3.75</v>
      </c>
      <c r="V110" s="626">
        <v>0.85</v>
      </c>
      <c r="W110" s="525" t="s">
        <v>898</v>
      </c>
      <c r="X110" s="626">
        <v>0.7</v>
      </c>
      <c r="Y110" s="626">
        <v>0.5</v>
      </c>
      <c r="Z110" s="525" t="s">
        <v>898</v>
      </c>
      <c r="AA110" s="626">
        <v>0.7</v>
      </c>
      <c r="AB110" s="626">
        <v>0.5</v>
      </c>
      <c r="AC110" s="525"/>
      <c r="AD110" s="626"/>
      <c r="AE110" s="626"/>
      <c r="AF110" s="525"/>
      <c r="AG110" s="525"/>
      <c r="AH110" s="525"/>
    </row>
    <row r="111" spans="2:34" hidden="1">
      <c r="C111" s="523"/>
      <c r="D111" s="523" t="s">
        <v>2236</v>
      </c>
      <c r="E111" s="525" t="s">
        <v>2237</v>
      </c>
      <c r="F111" s="523" t="s">
        <v>11</v>
      </c>
      <c r="G111" s="525"/>
      <c r="H111" s="525"/>
      <c r="I111" s="525">
        <f>ROUND(VLOOKUP($P111,DGNC,DG!$S$4,0)*R111*S111,0)</f>
        <v>379104</v>
      </c>
      <c r="J111" s="525">
        <f>ROUND(VLOOKUP($P111,DGNC,DG!$S$4,0)*U111*V111,0)</f>
        <v>568656</v>
      </c>
      <c r="K111" s="525">
        <f t="shared" si="33"/>
        <v>0</v>
      </c>
      <c r="L111" s="525">
        <f t="shared" si="34"/>
        <v>0</v>
      </c>
      <c r="M111" s="525">
        <f t="shared" si="35"/>
        <v>0</v>
      </c>
      <c r="N111" s="525">
        <f t="shared" si="36"/>
        <v>0</v>
      </c>
      <c r="O111" s="418">
        <f t="shared" si="32"/>
        <v>0</v>
      </c>
      <c r="P111" s="525" t="s">
        <v>12</v>
      </c>
      <c r="Q111" s="525" t="s">
        <v>2221</v>
      </c>
      <c r="R111" s="626">
        <v>4</v>
      </c>
      <c r="S111" s="626">
        <v>0.4</v>
      </c>
      <c r="T111" s="525" t="s">
        <v>2221</v>
      </c>
      <c r="U111" s="626">
        <v>4</v>
      </c>
      <c r="V111" s="626">
        <v>0.6</v>
      </c>
      <c r="W111" s="525"/>
      <c r="X111" s="626"/>
      <c r="Y111" s="626"/>
      <c r="Z111" s="525"/>
      <c r="AA111" s="626"/>
      <c r="AB111" s="626"/>
      <c r="AC111" s="525"/>
      <c r="AD111" s="626"/>
      <c r="AE111" s="626"/>
      <c r="AF111" s="525"/>
      <c r="AG111" s="525"/>
      <c r="AH111" s="525"/>
    </row>
    <row r="112" spans="2:34" hidden="1">
      <c r="C112" s="523"/>
      <c r="D112" s="523" t="s">
        <v>2240</v>
      </c>
      <c r="E112" s="525" t="s">
        <v>2241</v>
      </c>
      <c r="F112" s="523" t="s">
        <v>11</v>
      </c>
      <c r="G112" s="525"/>
      <c r="H112" s="525"/>
      <c r="I112" s="525">
        <f>ROUND(VLOOKUP($P112,DGNC,DG!$S$4,0)*R112*S112,0)</f>
        <v>460611</v>
      </c>
      <c r="J112" s="525">
        <f>ROUND(VLOOKUP($P112,DGNC,DG!$S$4,0)*U112*V112,0)</f>
        <v>562969</v>
      </c>
      <c r="K112" s="525">
        <f t="shared" si="33"/>
        <v>0</v>
      </c>
      <c r="L112" s="525">
        <f t="shared" si="34"/>
        <v>0</v>
      </c>
      <c r="M112" s="525">
        <f t="shared" si="35"/>
        <v>0</v>
      </c>
      <c r="N112" s="525">
        <f t="shared" si="36"/>
        <v>0</v>
      </c>
      <c r="O112" s="418">
        <f t="shared" si="32"/>
        <v>0</v>
      </c>
      <c r="P112" s="525" t="s">
        <v>12</v>
      </c>
      <c r="Q112" s="525" t="s">
        <v>2221</v>
      </c>
      <c r="R112" s="626">
        <v>4.32</v>
      </c>
      <c r="S112" s="626">
        <v>0.45</v>
      </c>
      <c r="T112" s="525" t="s">
        <v>2221</v>
      </c>
      <c r="U112" s="626">
        <v>4.32</v>
      </c>
      <c r="V112" s="626">
        <v>0.55000000000000004</v>
      </c>
      <c r="W112" s="525"/>
      <c r="X112" s="626"/>
      <c r="Y112" s="626"/>
      <c r="Z112" s="525"/>
      <c r="AA112" s="626"/>
      <c r="AB112" s="626"/>
      <c r="AC112" s="525"/>
      <c r="AD112" s="626"/>
      <c r="AE112" s="626"/>
      <c r="AF112" s="525"/>
      <c r="AG112" s="525"/>
      <c r="AH112" s="525"/>
    </row>
    <row r="113" spans="2:34" hidden="1">
      <c r="C113" s="523"/>
      <c r="D113" s="523" t="s">
        <v>2242</v>
      </c>
      <c r="E113" s="525" t="s">
        <v>2243</v>
      </c>
      <c r="F113" s="523" t="s">
        <v>11</v>
      </c>
      <c r="G113" s="525"/>
      <c r="H113" s="525"/>
      <c r="I113" s="525">
        <f>ROUND(VLOOKUP($P113,DGNC,DG!$S$4,0)*R113*S113,0)</f>
        <v>172729</v>
      </c>
      <c r="J113" s="525">
        <f>ROUND(VLOOKUP($P113,DGNC,DG!$S$4,0)*U113*V113,0)</f>
        <v>211114</v>
      </c>
      <c r="K113" s="525">
        <f t="shared" si="33"/>
        <v>0</v>
      </c>
      <c r="L113" s="525">
        <f t="shared" si="34"/>
        <v>0</v>
      </c>
      <c r="M113" s="525">
        <f t="shared" si="35"/>
        <v>0</v>
      </c>
      <c r="N113" s="525">
        <f t="shared" si="36"/>
        <v>0</v>
      </c>
      <c r="O113" s="418">
        <f t="shared" si="32"/>
        <v>0</v>
      </c>
      <c r="P113" s="525" t="s">
        <v>12</v>
      </c>
      <c r="Q113" s="525" t="s">
        <v>2221</v>
      </c>
      <c r="R113" s="626">
        <v>2.7</v>
      </c>
      <c r="S113" s="626">
        <v>0.27</v>
      </c>
      <c r="T113" s="525" t="s">
        <v>2221</v>
      </c>
      <c r="U113" s="626">
        <v>2.7</v>
      </c>
      <c r="V113" s="626">
        <v>0.33</v>
      </c>
      <c r="W113" s="525"/>
      <c r="X113" s="626"/>
      <c r="Y113" s="626"/>
      <c r="Z113" s="525"/>
      <c r="AA113" s="626"/>
      <c r="AB113" s="626"/>
      <c r="AC113" s="525"/>
      <c r="AD113" s="626"/>
      <c r="AE113" s="626"/>
      <c r="AF113" s="525"/>
      <c r="AG113" s="525"/>
      <c r="AH113" s="525"/>
    </row>
    <row r="114" spans="2:34" hidden="1">
      <c r="C114" s="523"/>
      <c r="D114" s="523" t="s">
        <v>2280</v>
      </c>
      <c r="E114" s="525" t="s">
        <v>2281</v>
      </c>
      <c r="F114" s="523" t="s">
        <v>146</v>
      </c>
      <c r="G114" s="525"/>
      <c r="H114" s="525"/>
      <c r="I114" s="525">
        <f>ROUND(VLOOKUP($P114,DGNC,DG!$S$4,0)*R114*S114,0)</f>
        <v>16681</v>
      </c>
      <c r="J114" s="525">
        <f>ROUND(VLOOKUP($P114,DGNC,DG!$S$4,0)*U114*V114,0)</f>
        <v>25021</v>
      </c>
      <c r="K114" s="525">
        <f t="shared" si="33"/>
        <v>0</v>
      </c>
      <c r="L114" s="525">
        <f t="shared" si="34"/>
        <v>0</v>
      </c>
      <c r="M114" s="525">
        <f t="shared" si="35"/>
        <v>0</v>
      </c>
      <c r="N114" s="525">
        <f t="shared" si="36"/>
        <v>0</v>
      </c>
      <c r="O114" s="418">
        <f t="shared" si="32"/>
        <v>0</v>
      </c>
      <c r="P114" s="525" t="s">
        <v>12</v>
      </c>
      <c r="Q114" s="525" t="s">
        <v>2221</v>
      </c>
      <c r="R114" s="626">
        <v>0.17599999999999999</v>
      </c>
      <c r="S114" s="626">
        <v>0.4</v>
      </c>
      <c r="T114" s="525" t="s">
        <v>2221</v>
      </c>
      <c r="U114" s="626">
        <v>0.17599999999999999</v>
      </c>
      <c r="V114" s="626">
        <v>0.6</v>
      </c>
      <c r="W114" s="525"/>
      <c r="X114" s="626"/>
      <c r="Y114" s="626"/>
      <c r="Z114" s="525"/>
      <c r="AA114" s="626"/>
      <c r="AB114" s="626"/>
      <c r="AC114" s="525"/>
      <c r="AD114" s="626"/>
      <c r="AE114" s="626"/>
      <c r="AF114" s="525"/>
      <c r="AG114" s="525"/>
      <c r="AH114" s="525"/>
    </row>
    <row r="115" spans="2:34" hidden="1">
      <c r="C115" s="523"/>
      <c r="D115" s="523" t="s">
        <v>2282</v>
      </c>
      <c r="E115" s="525" t="s">
        <v>2283</v>
      </c>
      <c r="F115" s="523" t="s">
        <v>146</v>
      </c>
      <c r="G115" s="525"/>
      <c r="H115" s="525"/>
      <c r="I115" s="525">
        <f>ROUND(VLOOKUP($P115,DGNC,DG!$S$4,0)*R115*S115,0)</f>
        <v>4040</v>
      </c>
      <c r="J115" s="525">
        <f>ROUND(VLOOKUP($P115,DGNC,DG!$S$4,0)*U115*V115,0)</f>
        <v>6059</v>
      </c>
      <c r="K115" s="525">
        <f t="shared" si="33"/>
        <v>0</v>
      </c>
      <c r="L115" s="525">
        <f t="shared" si="34"/>
        <v>0</v>
      </c>
      <c r="M115" s="525">
        <f t="shared" si="35"/>
        <v>0</v>
      </c>
      <c r="N115" s="525">
        <f t="shared" si="36"/>
        <v>0</v>
      </c>
      <c r="O115" s="418">
        <f t="shared" si="32"/>
        <v>0</v>
      </c>
      <c r="P115" s="525" t="s">
        <v>289</v>
      </c>
      <c r="Q115" s="525" t="s">
        <v>2216</v>
      </c>
      <c r="R115" s="626">
        <v>4.5999999999999999E-2</v>
      </c>
      <c r="S115" s="626">
        <v>0.4</v>
      </c>
      <c r="T115" s="525" t="s">
        <v>2216</v>
      </c>
      <c r="U115" s="626">
        <v>4.5999999999999999E-2</v>
      </c>
      <c r="V115" s="626">
        <v>0.6</v>
      </c>
      <c r="W115" s="525"/>
      <c r="X115" s="626"/>
      <c r="Y115" s="626"/>
      <c r="Z115" s="525"/>
      <c r="AA115" s="626"/>
      <c r="AB115" s="626"/>
      <c r="AC115" s="525"/>
      <c r="AD115" s="626"/>
      <c r="AE115" s="626"/>
      <c r="AF115" s="525"/>
      <c r="AG115" s="525"/>
      <c r="AH115" s="525"/>
    </row>
    <row r="116" spans="2:34" hidden="1">
      <c r="C116" s="523"/>
      <c r="D116" s="523" t="s">
        <v>2284</v>
      </c>
      <c r="E116" s="525" t="s">
        <v>2285</v>
      </c>
      <c r="F116" s="523" t="s">
        <v>146</v>
      </c>
      <c r="G116" s="525"/>
      <c r="H116" s="525"/>
      <c r="I116" s="525">
        <f>ROUND(VLOOKUP($P116,DGNC,DG!$S$4,0)*R116*S116,0)</f>
        <v>6586</v>
      </c>
      <c r="J116" s="525">
        <f>ROUND(VLOOKUP($P116,DGNC,DG!$S$4,0)*U116*V116,0)</f>
        <v>9879</v>
      </c>
      <c r="K116" s="525">
        <f t="shared" si="33"/>
        <v>0</v>
      </c>
      <c r="L116" s="525">
        <f t="shared" si="34"/>
        <v>0</v>
      </c>
      <c r="M116" s="525">
        <f t="shared" si="35"/>
        <v>0</v>
      </c>
      <c r="N116" s="525">
        <f t="shared" si="36"/>
        <v>0</v>
      </c>
      <c r="O116" s="418">
        <f t="shared" si="32"/>
        <v>0</v>
      </c>
      <c r="P116" s="525" t="s">
        <v>289</v>
      </c>
      <c r="Q116" s="525" t="s">
        <v>2216</v>
      </c>
      <c r="R116" s="626">
        <v>7.4999999999999997E-2</v>
      </c>
      <c r="S116" s="626">
        <v>0.4</v>
      </c>
      <c r="T116" s="525" t="s">
        <v>2216</v>
      </c>
      <c r="U116" s="626">
        <v>7.4999999999999997E-2</v>
      </c>
      <c r="V116" s="626">
        <v>0.6</v>
      </c>
      <c r="W116" s="525"/>
      <c r="X116" s="626"/>
      <c r="Y116" s="626"/>
      <c r="Z116" s="525"/>
      <c r="AA116" s="626"/>
      <c r="AB116" s="626"/>
      <c r="AC116" s="525"/>
      <c r="AD116" s="626"/>
      <c r="AE116" s="626"/>
      <c r="AF116" s="525"/>
      <c r="AG116" s="525"/>
      <c r="AH116" s="525"/>
    </row>
    <row r="117" spans="2:34" hidden="1">
      <c r="C117" s="523"/>
      <c r="D117" s="523" t="s">
        <v>2284</v>
      </c>
      <c r="E117" s="525" t="s">
        <v>2286</v>
      </c>
      <c r="F117" s="523" t="s">
        <v>146</v>
      </c>
      <c r="G117" s="525"/>
      <c r="H117" s="525"/>
      <c r="I117" s="525">
        <f>ROUND(VLOOKUP($P117,DGNC,DG!$S$4,0)*R117*S117,0)</f>
        <v>6586</v>
      </c>
      <c r="J117" s="525">
        <f>ROUND(VLOOKUP($P117,DGNC,DG!$S$4,0)*U117*V117,0)</f>
        <v>9879</v>
      </c>
      <c r="K117" s="525">
        <f t="shared" si="33"/>
        <v>0</v>
      </c>
      <c r="L117" s="525">
        <f t="shared" si="34"/>
        <v>0</v>
      </c>
      <c r="M117" s="525">
        <f t="shared" si="35"/>
        <v>0</v>
      </c>
      <c r="N117" s="525">
        <f t="shared" si="36"/>
        <v>0</v>
      </c>
      <c r="O117" s="418">
        <f t="shared" si="32"/>
        <v>0</v>
      </c>
      <c r="P117" s="525" t="s">
        <v>289</v>
      </c>
      <c r="Q117" s="525" t="s">
        <v>2216</v>
      </c>
      <c r="R117" s="626">
        <v>7.4999999999999997E-2</v>
      </c>
      <c r="S117" s="626">
        <v>0.4</v>
      </c>
      <c r="T117" s="525" t="s">
        <v>2216</v>
      </c>
      <c r="U117" s="626">
        <v>7.4999999999999997E-2</v>
      </c>
      <c r="V117" s="626">
        <v>0.6</v>
      </c>
      <c r="W117" s="525"/>
      <c r="X117" s="626"/>
      <c r="Y117" s="626"/>
      <c r="Z117" s="525"/>
      <c r="AA117" s="626"/>
      <c r="AB117" s="626"/>
      <c r="AC117" s="525"/>
      <c r="AD117" s="626"/>
      <c r="AE117" s="626"/>
      <c r="AF117" s="525"/>
      <c r="AG117" s="525"/>
      <c r="AH117" s="525"/>
    </row>
    <row r="118" spans="2:34" hidden="1">
      <c r="C118" s="523"/>
      <c r="D118" s="523" t="s">
        <v>2284</v>
      </c>
      <c r="E118" s="525" t="s">
        <v>2287</v>
      </c>
      <c r="F118" s="523" t="s">
        <v>146</v>
      </c>
      <c r="G118" s="525"/>
      <c r="H118" s="525"/>
      <c r="I118" s="525">
        <f>ROUND(VLOOKUP($P118,DGNC,DG!$S$4,0)*R118*S118,0)</f>
        <v>6586</v>
      </c>
      <c r="J118" s="525">
        <f>ROUND(VLOOKUP($P118,DGNC,DG!$S$4,0)*U118*V118,0)</f>
        <v>9879</v>
      </c>
      <c r="K118" s="525">
        <f t="shared" si="33"/>
        <v>0</v>
      </c>
      <c r="L118" s="525">
        <f t="shared" si="34"/>
        <v>0</v>
      </c>
      <c r="M118" s="525">
        <f t="shared" si="35"/>
        <v>0</v>
      </c>
      <c r="N118" s="525">
        <f t="shared" si="36"/>
        <v>0</v>
      </c>
      <c r="O118" s="418">
        <f t="shared" si="32"/>
        <v>0</v>
      </c>
      <c r="P118" s="525" t="s">
        <v>289</v>
      </c>
      <c r="Q118" s="525" t="s">
        <v>2216</v>
      </c>
      <c r="R118" s="626">
        <v>7.4999999999999997E-2</v>
      </c>
      <c r="S118" s="626">
        <v>0.4</v>
      </c>
      <c r="T118" s="525" t="s">
        <v>2216</v>
      </c>
      <c r="U118" s="626">
        <v>7.4999999999999997E-2</v>
      </c>
      <c r="V118" s="626">
        <v>0.6</v>
      </c>
      <c r="W118" s="525"/>
      <c r="X118" s="626"/>
      <c r="Y118" s="626"/>
      <c r="Z118" s="525"/>
      <c r="AA118" s="626"/>
      <c r="AB118" s="626"/>
      <c r="AC118" s="525"/>
      <c r="AD118" s="626"/>
      <c r="AE118" s="626"/>
      <c r="AF118" s="525"/>
      <c r="AG118" s="525"/>
      <c r="AH118" s="525"/>
    </row>
    <row r="119" spans="2:34" hidden="1">
      <c r="C119" s="523"/>
      <c r="D119" s="523" t="s">
        <v>2284</v>
      </c>
      <c r="E119" s="525" t="s">
        <v>2288</v>
      </c>
      <c r="F119" s="523" t="s">
        <v>146</v>
      </c>
      <c r="G119" s="525"/>
      <c r="H119" s="525"/>
      <c r="I119" s="525">
        <f>ROUND(VLOOKUP($P119,DGNC,DG!$S$4,0)*R119*S119,0)</f>
        <v>6586</v>
      </c>
      <c r="J119" s="525">
        <f>ROUND(VLOOKUP($P119,DGNC,DG!$S$4,0)*U119*V119,0)</f>
        <v>9879</v>
      </c>
      <c r="K119" s="525">
        <f t="shared" si="33"/>
        <v>0</v>
      </c>
      <c r="L119" s="525">
        <f t="shared" si="34"/>
        <v>0</v>
      </c>
      <c r="M119" s="525">
        <f t="shared" si="35"/>
        <v>0</v>
      </c>
      <c r="N119" s="525">
        <f t="shared" si="36"/>
        <v>0</v>
      </c>
      <c r="O119" s="418">
        <f t="shared" si="32"/>
        <v>0</v>
      </c>
      <c r="P119" s="525" t="s">
        <v>289</v>
      </c>
      <c r="Q119" s="525" t="s">
        <v>2216</v>
      </c>
      <c r="R119" s="626">
        <v>7.4999999999999997E-2</v>
      </c>
      <c r="S119" s="626">
        <v>0.4</v>
      </c>
      <c r="T119" s="525" t="s">
        <v>2216</v>
      </c>
      <c r="U119" s="626">
        <v>7.4999999999999997E-2</v>
      </c>
      <c r="V119" s="626">
        <v>0.6</v>
      </c>
      <c r="W119" s="525"/>
      <c r="X119" s="626"/>
      <c r="Y119" s="626"/>
      <c r="Z119" s="525"/>
      <c r="AA119" s="626"/>
      <c r="AB119" s="626"/>
      <c r="AC119" s="525"/>
      <c r="AD119" s="626"/>
      <c r="AE119" s="626"/>
      <c r="AF119" s="525"/>
      <c r="AG119" s="525"/>
      <c r="AH119" s="525"/>
    </row>
    <row r="120" spans="2:34" hidden="1">
      <c r="C120" s="523"/>
      <c r="D120" s="523" t="s">
        <v>2284</v>
      </c>
      <c r="E120" s="525" t="s">
        <v>2289</v>
      </c>
      <c r="F120" s="523" t="s">
        <v>146</v>
      </c>
      <c r="G120" s="525"/>
      <c r="H120" s="525"/>
      <c r="I120" s="525">
        <f>ROUND(VLOOKUP($P120,DGNC,DG!$S$4,0)*R120*S120,0)</f>
        <v>6586</v>
      </c>
      <c r="J120" s="525">
        <f>ROUND(VLOOKUP($P120,DGNC,DG!$S$4,0)*U120*V120,0)</f>
        <v>9879</v>
      </c>
      <c r="K120" s="525">
        <f t="shared" si="33"/>
        <v>0</v>
      </c>
      <c r="L120" s="525">
        <f t="shared" si="34"/>
        <v>0</v>
      </c>
      <c r="M120" s="525">
        <f t="shared" si="35"/>
        <v>0</v>
      </c>
      <c r="N120" s="525">
        <f t="shared" si="36"/>
        <v>0</v>
      </c>
      <c r="O120" s="418">
        <f t="shared" si="32"/>
        <v>0</v>
      </c>
      <c r="P120" s="525" t="s">
        <v>289</v>
      </c>
      <c r="Q120" s="525" t="s">
        <v>2216</v>
      </c>
      <c r="R120" s="626">
        <v>7.4999999999999997E-2</v>
      </c>
      <c r="S120" s="626">
        <v>0.4</v>
      </c>
      <c r="T120" s="525" t="s">
        <v>2216</v>
      </c>
      <c r="U120" s="626">
        <v>7.4999999999999997E-2</v>
      </c>
      <c r="V120" s="626">
        <v>0.6</v>
      </c>
      <c r="W120" s="525"/>
      <c r="X120" s="626"/>
      <c r="Y120" s="626"/>
      <c r="Z120" s="525"/>
      <c r="AA120" s="626"/>
      <c r="AB120" s="626"/>
      <c r="AC120" s="525"/>
      <c r="AD120" s="626"/>
      <c r="AE120" s="626"/>
      <c r="AF120" s="525"/>
      <c r="AG120" s="525"/>
      <c r="AH120" s="525"/>
    </row>
    <row r="121" spans="2:34" hidden="1">
      <c r="B121" s="405" t="s">
        <v>2090</v>
      </c>
      <c r="C121" s="538" t="s">
        <v>1673</v>
      </c>
      <c r="D121" s="539" t="str">
        <f>VLOOKUP(B121,XLTBA,'6.XL-TR'!$D$2,0)</f>
        <v>0 Trạm 1 pha 50kVA</v>
      </c>
      <c r="E121" s="539"/>
      <c r="F121" s="538"/>
      <c r="G121" s="539"/>
      <c r="H121" s="539"/>
      <c r="I121" s="539"/>
      <c r="J121" s="539"/>
      <c r="K121" s="539"/>
      <c r="L121" s="539"/>
      <c r="M121" s="539">
        <f>SUM(M122:M133)</f>
        <v>0</v>
      </c>
      <c r="N121" s="539">
        <f>SUM(N122:N133)</f>
        <v>0</v>
      </c>
      <c r="O121" s="418">
        <f t="shared" si="32"/>
        <v>0</v>
      </c>
      <c r="P121" s="525"/>
      <c r="Q121" s="539"/>
      <c r="R121" s="661"/>
      <c r="S121" s="661"/>
      <c r="T121" s="539"/>
      <c r="U121" s="661"/>
      <c r="V121" s="661"/>
      <c r="W121" s="539"/>
      <c r="X121" s="661"/>
      <c r="Y121" s="661"/>
      <c r="Z121" s="539"/>
      <c r="AA121" s="661"/>
      <c r="AB121" s="661"/>
      <c r="AC121" s="525"/>
      <c r="AD121" s="626"/>
      <c r="AE121" s="626"/>
      <c r="AF121" s="525"/>
      <c r="AG121" s="525"/>
      <c r="AH121" s="525"/>
    </row>
    <row r="122" spans="2:34" hidden="1">
      <c r="C122" s="523">
        <f>IF(SUM(G122:H122)&lt;&gt;0,1,)</f>
        <v>0</v>
      </c>
      <c r="D122" s="523" t="s">
        <v>2291</v>
      </c>
      <c r="E122" s="525" t="s">
        <v>2290</v>
      </c>
      <c r="F122" s="523" t="s">
        <v>896</v>
      </c>
      <c r="G122" s="525"/>
      <c r="H122" s="525"/>
      <c r="I122" s="525">
        <f>ROUND(VLOOKUP($P122,DGNC,DG!$S$4,0)*R122*S122,0)</f>
        <v>533707</v>
      </c>
      <c r="J122" s="525">
        <f>ROUND(VLOOKUP($P122,DGNC,DG!$S$4,0)*U122*V122,0)</f>
        <v>654547</v>
      </c>
      <c r="K122" s="525">
        <f t="shared" ref="K122:K133" si="37">ROUND(IF(W122&lt;&gt;0,VLOOKUP(W122,DGMTC,8,0)*X122*Y122,)+IF(AC122&lt;&gt;0,VLOOKUP(AC122,DGMTC,8,0)*AD122*AE122,),0)</f>
        <v>485430</v>
      </c>
      <c r="L122" s="525">
        <f t="shared" ref="L122:L133" si="38">ROUND(IF(Z122&lt;&gt;0,VLOOKUP(Z122,DGMTC,8,0)*AA122*AB122,)+IF(AF122&lt;&gt;0,VLOOKUP(AF122,DGMTC,8,0)*AG122*AH122,),0)</f>
        <v>485430</v>
      </c>
      <c r="M122" s="525">
        <f t="shared" ref="M122:M133" si="39">ROUND(G122*I122+H122*J122,0)</f>
        <v>0</v>
      </c>
      <c r="N122" s="525">
        <f t="shared" ref="N122:N133" si="40">ROUND(G122*K122+H122*L122,0)</f>
        <v>0</v>
      </c>
      <c r="O122" s="418">
        <f t="shared" si="32"/>
        <v>0</v>
      </c>
      <c r="P122" s="525" t="s">
        <v>12</v>
      </c>
      <c r="Q122" s="525" t="s">
        <v>2221</v>
      </c>
      <c r="R122" s="626">
        <f>2.4+0.25</f>
        <v>2.65</v>
      </c>
      <c r="S122" s="626">
        <f>0.85</f>
        <v>0.85</v>
      </c>
      <c r="T122" s="525" t="s">
        <v>2221</v>
      </c>
      <c r="U122" s="626">
        <v>3.25</v>
      </c>
      <c r="V122" s="626">
        <v>0.85</v>
      </c>
      <c r="W122" s="525" t="s">
        <v>898</v>
      </c>
      <c r="X122" s="626">
        <v>0.7</v>
      </c>
      <c r="Y122" s="626">
        <v>0.5</v>
      </c>
      <c r="Z122" s="525" t="s">
        <v>898</v>
      </c>
      <c r="AA122" s="626">
        <v>0.7</v>
      </c>
      <c r="AB122" s="626">
        <v>0.5</v>
      </c>
      <c r="AC122" s="525"/>
      <c r="AD122" s="626"/>
      <c r="AE122" s="626"/>
      <c r="AF122" s="525"/>
      <c r="AG122" s="525"/>
      <c r="AH122" s="525"/>
    </row>
    <row r="123" spans="2:34" hidden="1">
      <c r="C123" s="523">
        <f>IF(SUM(G123:H123)&lt;&gt;0,C122+1,C122)</f>
        <v>0</v>
      </c>
      <c r="D123" s="523" t="s">
        <v>2234</v>
      </c>
      <c r="E123" s="525" t="s">
        <v>2235</v>
      </c>
      <c r="F123" s="523" t="s">
        <v>896</v>
      </c>
      <c r="G123" s="525"/>
      <c r="H123" s="525"/>
      <c r="I123" s="525">
        <f>ROUND(VLOOKUP($P123,DGNC,DG!$S$4,0)*R123*S123,0)</f>
        <v>533707</v>
      </c>
      <c r="J123" s="525">
        <f>ROUND(VLOOKUP($P123,DGNC,DG!$S$4,0)*U123*V123,0)</f>
        <v>755246</v>
      </c>
      <c r="K123" s="525">
        <f t="shared" si="37"/>
        <v>485430</v>
      </c>
      <c r="L123" s="525">
        <f t="shared" si="38"/>
        <v>485430</v>
      </c>
      <c r="M123" s="525">
        <f t="shared" si="39"/>
        <v>0</v>
      </c>
      <c r="N123" s="525">
        <f t="shared" si="40"/>
        <v>0</v>
      </c>
      <c r="O123" s="418">
        <f t="shared" si="32"/>
        <v>0</v>
      </c>
      <c r="P123" s="525" t="s">
        <v>12</v>
      </c>
      <c r="Q123" s="525" t="s">
        <v>2221</v>
      </c>
      <c r="R123" s="626">
        <f>2.4+0.25</f>
        <v>2.65</v>
      </c>
      <c r="S123" s="626">
        <f>0.85</f>
        <v>0.85</v>
      </c>
      <c r="T123" s="525" t="s">
        <v>2221</v>
      </c>
      <c r="U123" s="626">
        <v>3.75</v>
      </c>
      <c r="V123" s="626">
        <v>0.85</v>
      </c>
      <c r="W123" s="525" t="s">
        <v>898</v>
      </c>
      <c r="X123" s="626">
        <v>0.7</v>
      </c>
      <c r="Y123" s="626">
        <v>0.5</v>
      </c>
      <c r="Z123" s="525" t="s">
        <v>898</v>
      </c>
      <c r="AA123" s="626">
        <v>0.7</v>
      </c>
      <c r="AB123" s="626">
        <v>0.5</v>
      </c>
      <c r="AC123" s="525"/>
      <c r="AD123" s="626"/>
      <c r="AE123" s="626"/>
      <c r="AF123" s="525"/>
      <c r="AG123" s="525"/>
      <c r="AH123" s="525"/>
    </row>
    <row r="124" spans="2:34" hidden="1">
      <c r="C124" s="523"/>
      <c r="D124" s="523" t="s">
        <v>2236</v>
      </c>
      <c r="E124" s="525" t="s">
        <v>2237</v>
      </c>
      <c r="F124" s="523" t="s">
        <v>11</v>
      </c>
      <c r="G124" s="525"/>
      <c r="H124" s="525"/>
      <c r="I124" s="525">
        <f>ROUND(VLOOKUP($P124,DGNC,DG!$S$4,0)*R124*S124,0)</f>
        <v>379104</v>
      </c>
      <c r="J124" s="525">
        <f>ROUND(VLOOKUP($P124,DGNC,DG!$S$4,0)*U124*V124,0)</f>
        <v>568656</v>
      </c>
      <c r="K124" s="525">
        <f t="shared" si="37"/>
        <v>0</v>
      </c>
      <c r="L124" s="525">
        <f t="shared" si="38"/>
        <v>0</v>
      </c>
      <c r="M124" s="525">
        <f t="shared" si="39"/>
        <v>0</v>
      </c>
      <c r="N124" s="525">
        <f t="shared" si="40"/>
        <v>0</v>
      </c>
      <c r="O124" s="418">
        <f t="shared" si="32"/>
        <v>0</v>
      </c>
      <c r="P124" s="525" t="s">
        <v>12</v>
      </c>
      <c r="Q124" s="525" t="s">
        <v>2221</v>
      </c>
      <c r="R124" s="626">
        <v>4</v>
      </c>
      <c r="S124" s="626">
        <v>0.4</v>
      </c>
      <c r="T124" s="525" t="s">
        <v>2221</v>
      </c>
      <c r="U124" s="626">
        <v>4</v>
      </c>
      <c r="V124" s="626">
        <v>0.6</v>
      </c>
      <c r="W124" s="525"/>
      <c r="X124" s="626"/>
      <c r="Y124" s="626"/>
      <c r="Z124" s="525"/>
      <c r="AA124" s="626"/>
      <c r="AB124" s="626"/>
      <c r="AC124" s="525"/>
      <c r="AD124" s="626"/>
      <c r="AE124" s="626"/>
      <c r="AF124" s="525"/>
      <c r="AG124" s="525"/>
      <c r="AH124" s="525"/>
    </row>
    <row r="125" spans="2:34" hidden="1">
      <c r="C125" s="523"/>
      <c r="D125" s="523" t="s">
        <v>2240</v>
      </c>
      <c r="E125" s="525" t="s">
        <v>2241</v>
      </c>
      <c r="F125" s="523" t="s">
        <v>11</v>
      </c>
      <c r="G125" s="525"/>
      <c r="H125" s="525"/>
      <c r="I125" s="525">
        <f>ROUND(VLOOKUP($P125,DGNC,DG!$S$4,0)*R125*S125,0)</f>
        <v>460611</v>
      </c>
      <c r="J125" s="525">
        <f>ROUND(VLOOKUP($P125,DGNC,DG!$S$4,0)*U125*V125,0)</f>
        <v>562969</v>
      </c>
      <c r="K125" s="525">
        <f t="shared" si="37"/>
        <v>0</v>
      </c>
      <c r="L125" s="525">
        <f t="shared" si="38"/>
        <v>0</v>
      </c>
      <c r="M125" s="525">
        <f t="shared" si="39"/>
        <v>0</v>
      </c>
      <c r="N125" s="525">
        <f t="shared" si="40"/>
        <v>0</v>
      </c>
      <c r="O125" s="418">
        <f t="shared" si="32"/>
        <v>0</v>
      </c>
      <c r="P125" s="525" t="s">
        <v>12</v>
      </c>
      <c r="Q125" s="525" t="s">
        <v>2221</v>
      </c>
      <c r="R125" s="626">
        <v>4.32</v>
      </c>
      <c r="S125" s="626">
        <v>0.45</v>
      </c>
      <c r="T125" s="525" t="s">
        <v>2221</v>
      </c>
      <c r="U125" s="626">
        <v>4.32</v>
      </c>
      <c r="V125" s="626">
        <v>0.55000000000000004</v>
      </c>
      <c r="W125" s="525"/>
      <c r="X125" s="626"/>
      <c r="Y125" s="626"/>
      <c r="Z125" s="525"/>
      <c r="AA125" s="626"/>
      <c r="AB125" s="626"/>
      <c r="AC125" s="525"/>
      <c r="AD125" s="626"/>
      <c r="AE125" s="626"/>
      <c r="AF125" s="525"/>
      <c r="AG125" s="525"/>
      <c r="AH125" s="525"/>
    </row>
    <row r="126" spans="2:34" hidden="1">
      <c r="C126" s="523"/>
      <c r="D126" s="523" t="s">
        <v>2242</v>
      </c>
      <c r="E126" s="525" t="s">
        <v>2243</v>
      </c>
      <c r="F126" s="523" t="s">
        <v>11</v>
      </c>
      <c r="G126" s="525"/>
      <c r="H126" s="525"/>
      <c r="I126" s="525">
        <f>ROUND(VLOOKUP($P126,DGNC,DG!$S$4,0)*R126*S126,0)</f>
        <v>172729</v>
      </c>
      <c r="J126" s="525">
        <f>ROUND(VLOOKUP($P126,DGNC,DG!$S$4,0)*U126*V126,0)</f>
        <v>211114</v>
      </c>
      <c r="K126" s="525">
        <f t="shared" si="37"/>
        <v>0</v>
      </c>
      <c r="L126" s="525">
        <f t="shared" si="38"/>
        <v>0</v>
      </c>
      <c r="M126" s="525">
        <f t="shared" si="39"/>
        <v>0</v>
      </c>
      <c r="N126" s="525">
        <f t="shared" si="40"/>
        <v>0</v>
      </c>
      <c r="O126" s="418">
        <f t="shared" si="32"/>
        <v>0</v>
      </c>
      <c r="P126" s="525" t="s">
        <v>12</v>
      </c>
      <c r="Q126" s="525" t="s">
        <v>2221</v>
      </c>
      <c r="R126" s="626">
        <v>2.7</v>
      </c>
      <c r="S126" s="626">
        <v>0.27</v>
      </c>
      <c r="T126" s="525" t="s">
        <v>2221</v>
      </c>
      <c r="U126" s="626">
        <v>2.7</v>
      </c>
      <c r="V126" s="626">
        <v>0.33</v>
      </c>
      <c r="W126" s="525"/>
      <c r="X126" s="626"/>
      <c r="Y126" s="626"/>
      <c r="Z126" s="525"/>
      <c r="AA126" s="626"/>
      <c r="AB126" s="626"/>
      <c r="AC126" s="525"/>
      <c r="AD126" s="626"/>
      <c r="AE126" s="626"/>
      <c r="AF126" s="525"/>
      <c r="AG126" s="525"/>
      <c r="AH126" s="525"/>
    </row>
    <row r="127" spans="2:34" hidden="1">
      <c r="C127" s="523"/>
      <c r="D127" s="523" t="s">
        <v>2280</v>
      </c>
      <c r="E127" s="525" t="s">
        <v>2281</v>
      </c>
      <c r="F127" s="523" t="s">
        <v>146</v>
      </c>
      <c r="G127" s="525"/>
      <c r="H127" s="525"/>
      <c r="I127" s="525">
        <f>ROUND(VLOOKUP($P127,DGNC,DG!$S$4,0)*R127*S127,0)</f>
        <v>16681</v>
      </c>
      <c r="J127" s="525">
        <f>ROUND(VLOOKUP($P127,DGNC,DG!$S$4,0)*U127*V127,0)</f>
        <v>25021</v>
      </c>
      <c r="K127" s="525">
        <f t="shared" si="37"/>
        <v>0</v>
      </c>
      <c r="L127" s="525">
        <f t="shared" si="38"/>
        <v>0</v>
      </c>
      <c r="M127" s="525">
        <f t="shared" si="39"/>
        <v>0</v>
      </c>
      <c r="N127" s="525">
        <f t="shared" si="40"/>
        <v>0</v>
      </c>
      <c r="O127" s="418">
        <f t="shared" si="32"/>
        <v>0</v>
      </c>
      <c r="P127" s="525" t="s">
        <v>12</v>
      </c>
      <c r="Q127" s="525" t="s">
        <v>2221</v>
      </c>
      <c r="R127" s="626">
        <v>0.17599999999999999</v>
      </c>
      <c r="S127" s="626">
        <v>0.4</v>
      </c>
      <c r="T127" s="525" t="s">
        <v>2221</v>
      </c>
      <c r="U127" s="626">
        <v>0.17599999999999999</v>
      </c>
      <c r="V127" s="626">
        <v>0.6</v>
      </c>
      <c r="W127" s="525"/>
      <c r="X127" s="626"/>
      <c r="Y127" s="626"/>
      <c r="Z127" s="525"/>
      <c r="AA127" s="626"/>
      <c r="AB127" s="626"/>
      <c r="AC127" s="525"/>
      <c r="AD127" s="626"/>
      <c r="AE127" s="626"/>
      <c r="AF127" s="525"/>
      <c r="AG127" s="525"/>
      <c r="AH127" s="525"/>
    </row>
    <row r="128" spans="2:34" hidden="1">
      <c r="C128" s="523"/>
      <c r="D128" s="523" t="s">
        <v>2282</v>
      </c>
      <c r="E128" s="525" t="s">
        <v>2283</v>
      </c>
      <c r="F128" s="523" t="s">
        <v>146</v>
      </c>
      <c r="G128" s="525"/>
      <c r="H128" s="525"/>
      <c r="I128" s="525">
        <f>ROUND(VLOOKUP($P128,DGNC,DG!$S$4,0)*R128*S128,0)</f>
        <v>4040</v>
      </c>
      <c r="J128" s="525">
        <f>ROUND(VLOOKUP($P128,DGNC,DG!$S$4,0)*U128*V128,0)</f>
        <v>6059</v>
      </c>
      <c r="K128" s="525">
        <f t="shared" si="37"/>
        <v>0</v>
      </c>
      <c r="L128" s="525">
        <f t="shared" si="38"/>
        <v>0</v>
      </c>
      <c r="M128" s="525">
        <f t="shared" si="39"/>
        <v>0</v>
      </c>
      <c r="N128" s="525">
        <f t="shared" si="40"/>
        <v>0</v>
      </c>
      <c r="O128" s="418">
        <f t="shared" si="32"/>
        <v>0</v>
      </c>
      <c r="P128" s="525" t="s">
        <v>289</v>
      </c>
      <c r="Q128" s="525" t="s">
        <v>2216</v>
      </c>
      <c r="R128" s="626">
        <v>4.5999999999999999E-2</v>
      </c>
      <c r="S128" s="626">
        <v>0.4</v>
      </c>
      <c r="T128" s="525" t="s">
        <v>2216</v>
      </c>
      <c r="U128" s="626">
        <v>4.5999999999999999E-2</v>
      </c>
      <c r="V128" s="626">
        <v>0.6</v>
      </c>
      <c r="W128" s="525"/>
      <c r="X128" s="626"/>
      <c r="Y128" s="626"/>
      <c r="Z128" s="525"/>
      <c r="AA128" s="626"/>
      <c r="AB128" s="626"/>
      <c r="AC128" s="525"/>
      <c r="AD128" s="626"/>
      <c r="AE128" s="626"/>
      <c r="AF128" s="525"/>
      <c r="AG128" s="525"/>
      <c r="AH128" s="525"/>
    </row>
    <row r="129" spans="2:34" hidden="1">
      <c r="C129" s="523"/>
      <c r="D129" s="523" t="s">
        <v>2284</v>
      </c>
      <c r="E129" s="525" t="s">
        <v>2285</v>
      </c>
      <c r="F129" s="523" t="s">
        <v>146</v>
      </c>
      <c r="G129" s="525"/>
      <c r="H129" s="525"/>
      <c r="I129" s="525">
        <f>ROUND(VLOOKUP($P129,DGNC,DG!$S$4,0)*R129*S129,0)</f>
        <v>6586</v>
      </c>
      <c r="J129" s="525">
        <f>ROUND(VLOOKUP($P129,DGNC,DG!$S$4,0)*U129*V129,0)</f>
        <v>9879</v>
      </c>
      <c r="K129" s="525">
        <f t="shared" si="37"/>
        <v>0</v>
      </c>
      <c r="L129" s="525">
        <f t="shared" si="38"/>
        <v>0</v>
      </c>
      <c r="M129" s="525">
        <f t="shared" si="39"/>
        <v>0</v>
      </c>
      <c r="N129" s="525">
        <f t="shared" si="40"/>
        <v>0</v>
      </c>
      <c r="O129" s="418">
        <f t="shared" si="32"/>
        <v>0</v>
      </c>
      <c r="P129" s="525" t="s">
        <v>289</v>
      </c>
      <c r="Q129" s="525" t="s">
        <v>2216</v>
      </c>
      <c r="R129" s="626">
        <v>7.4999999999999997E-2</v>
      </c>
      <c r="S129" s="626">
        <v>0.4</v>
      </c>
      <c r="T129" s="525" t="s">
        <v>2216</v>
      </c>
      <c r="U129" s="626">
        <v>7.4999999999999997E-2</v>
      </c>
      <c r="V129" s="626">
        <v>0.6</v>
      </c>
      <c r="W129" s="525"/>
      <c r="X129" s="626"/>
      <c r="Y129" s="626"/>
      <c r="Z129" s="525"/>
      <c r="AA129" s="626"/>
      <c r="AB129" s="626"/>
      <c r="AC129" s="525"/>
      <c r="AD129" s="626"/>
      <c r="AE129" s="626"/>
      <c r="AF129" s="525"/>
      <c r="AG129" s="525"/>
      <c r="AH129" s="525"/>
    </row>
    <row r="130" spans="2:34" hidden="1">
      <c r="C130" s="523"/>
      <c r="D130" s="523" t="s">
        <v>2284</v>
      </c>
      <c r="E130" s="525" t="s">
        <v>2286</v>
      </c>
      <c r="F130" s="523" t="s">
        <v>146</v>
      </c>
      <c r="G130" s="525"/>
      <c r="H130" s="525"/>
      <c r="I130" s="525">
        <f>ROUND(VLOOKUP($P130,DGNC,DG!$S$4,0)*R130*S130,0)</f>
        <v>6586</v>
      </c>
      <c r="J130" s="525">
        <f>ROUND(VLOOKUP($P130,DGNC,DG!$S$4,0)*U130*V130,0)</f>
        <v>9879</v>
      </c>
      <c r="K130" s="525">
        <f t="shared" si="37"/>
        <v>0</v>
      </c>
      <c r="L130" s="525">
        <f t="shared" si="38"/>
        <v>0</v>
      </c>
      <c r="M130" s="525">
        <f t="shared" si="39"/>
        <v>0</v>
      </c>
      <c r="N130" s="525">
        <f t="shared" si="40"/>
        <v>0</v>
      </c>
      <c r="O130" s="418">
        <f t="shared" si="32"/>
        <v>0</v>
      </c>
      <c r="P130" s="525" t="s">
        <v>289</v>
      </c>
      <c r="Q130" s="525" t="s">
        <v>2216</v>
      </c>
      <c r="R130" s="626">
        <v>7.4999999999999997E-2</v>
      </c>
      <c r="S130" s="626">
        <v>0.4</v>
      </c>
      <c r="T130" s="525" t="s">
        <v>2216</v>
      </c>
      <c r="U130" s="626">
        <v>7.4999999999999997E-2</v>
      </c>
      <c r="V130" s="626">
        <v>0.6</v>
      </c>
      <c r="W130" s="525"/>
      <c r="X130" s="626"/>
      <c r="Y130" s="626"/>
      <c r="Z130" s="525"/>
      <c r="AA130" s="626"/>
      <c r="AB130" s="626"/>
      <c r="AC130" s="525"/>
      <c r="AD130" s="626"/>
      <c r="AE130" s="626"/>
      <c r="AF130" s="525"/>
      <c r="AG130" s="525"/>
      <c r="AH130" s="525"/>
    </row>
    <row r="131" spans="2:34" hidden="1">
      <c r="C131" s="523"/>
      <c r="D131" s="523" t="s">
        <v>2284</v>
      </c>
      <c r="E131" s="525" t="s">
        <v>2287</v>
      </c>
      <c r="F131" s="523" t="s">
        <v>146</v>
      </c>
      <c r="G131" s="525"/>
      <c r="H131" s="525"/>
      <c r="I131" s="525">
        <f>ROUND(VLOOKUP($P131,DGNC,DG!$S$4,0)*R131*S131,0)</f>
        <v>6586</v>
      </c>
      <c r="J131" s="525">
        <f>ROUND(VLOOKUP($P131,DGNC,DG!$S$4,0)*U131*V131,0)</f>
        <v>9879</v>
      </c>
      <c r="K131" s="525">
        <f t="shared" si="37"/>
        <v>0</v>
      </c>
      <c r="L131" s="525">
        <f t="shared" si="38"/>
        <v>0</v>
      </c>
      <c r="M131" s="525">
        <f t="shared" si="39"/>
        <v>0</v>
      </c>
      <c r="N131" s="525">
        <f t="shared" si="40"/>
        <v>0</v>
      </c>
      <c r="O131" s="418">
        <f t="shared" si="32"/>
        <v>0</v>
      </c>
      <c r="P131" s="525" t="s">
        <v>289</v>
      </c>
      <c r="Q131" s="525" t="s">
        <v>2216</v>
      </c>
      <c r="R131" s="626">
        <v>7.4999999999999997E-2</v>
      </c>
      <c r="S131" s="626">
        <v>0.4</v>
      </c>
      <c r="T131" s="525" t="s">
        <v>2216</v>
      </c>
      <c r="U131" s="626">
        <v>7.4999999999999997E-2</v>
      </c>
      <c r="V131" s="626">
        <v>0.6</v>
      </c>
      <c r="W131" s="525"/>
      <c r="X131" s="626"/>
      <c r="Y131" s="626"/>
      <c r="Z131" s="525"/>
      <c r="AA131" s="626"/>
      <c r="AB131" s="626"/>
      <c r="AC131" s="525"/>
      <c r="AD131" s="626"/>
      <c r="AE131" s="626"/>
      <c r="AF131" s="525"/>
      <c r="AG131" s="525"/>
      <c r="AH131" s="525"/>
    </row>
    <row r="132" spans="2:34" hidden="1">
      <c r="C132" s="523"/>
      <c r="D132" s="523" t="s">
        <v>2284</v>
      </c>
      <c r="E132" s="525" t="s">
        <v>2288</v>
      </c>
      <c r="F132" s="523" t="s">
        <v>146</v>
      </c>
      <c r="G132" s="525"/>
      <c r="H132" s="525"/>
      <c r="I132" s="525">
        <f>ROUND(VLOOKUP($P132,DGNC,DG!$S$4,0)*R132*S132,0)</f>
        <v>6586</v>
      </c>
      <c r="J132" s="525">
        <f>ROUND(VLOOKUP($P132,DGNC,DG!$S$4,0)*U132*V132,0)</f>
        <v>9879</v>
      </c>
      <c r="K132" s="525">
        <f t="shared" si="37"/>
        <v>0</v>
      </c>
      <c r="L132" s="525">
        <f t="shared" si="38"/>
        <v>0</v>
      </c>
      <c r="M132" s="525">
        <f t="shared" si="39"/>
        <v>0</v>
      </c>
      <c r="N132" s="525">
        <f t="shared" si="40"/>
        <v>0</v>
      </c>
      <c r="O132" s="418">
        <f t="shared" si="32"/>
        <v>0</v>
      </c>
      <c r="P132" s="525" t="s">
        <v>289</v>
      </c>
      <c r="Q132" s="525" t="s">
        <v>2216</v>
      </c>
      <c r="R132" s="626">
        <v>7.4999999999999997E-2</v>
      </c>
      <c r="S132" s="626">
        <v>0.4</v>
      </c>
      <c r="T132" s="525" t="s">
        <v>2216</v>
      </c>
      <c r="U132" s="626">
        <v>7.4999999999999997E-2</v>
      </c>
      <c r="V132" s="626">
        <v>0.6</v>
      </c>
      <c r="W132" s="525"/>
      <c r="X132" s="626"/>
      <c r="Y132" s="626"/>
      <c r="Z132" s="525"/>
      <c r="AA132" s="626"/>
      <c r="AB132" s="626"/>
      <c r="AC132" s="525"/>
      <c r="AD132" s="626"/>
      <c r="AE132" s="626"/>
      <c r="AF132" s="525"/>
      <c r="AG132" s="525"/>
      <c r="AH132" s="525"/>
    </row>
    <row r="133" spans="2:34" hidden="1">
      <c r="C133" s="523"/>
      <c r="D133" s="523" t="s">
        <v>2284</v>
      </c>
      <c r="E133" s="525" t="s">
        <v>2289</v>
      </c>
      <c r="F133" s="523" t="s">
        <v>146</v>
      </c>
      <c r="G133" s="525"/>
      <c r="H133" s="525"/>
      <c r="I133" s="525">
        <f>ROUND(VLOOKUP($P133,DGNC,DG!$S$4,0)*R133*S133,0)</f>
        <v>6586</v>
      </c>
      <c r="J133" s="525">
        <f>ROUND(VLOOKUP($P133,DGNC,DG!$S$4,0)*U133*V133,0)</f>
        <v>9879</v>
      </c>
      <c r="K133" s="525">
        <f t="shared" si="37"/>
        <v>0</v>
      </c>
      <c r="L133" s="525">
        <f t="shared" si="38"/>
        <v>0</v>
      </c>
      <c r="M133" s="525">
        <f t="shared" si="39"/>
        <v>0</v>
      </c>
      <c r="N133" s="525">
        <f t="shared" si="40"/>
        <v>0</v>
      </c>
      <c r="O133" s="418">
        <f t="shared" si="32"/>
        <v>0</v>
      </c>
      <c r="P133" s="525" t="s">
        <v>289</v>
      </c>
      <c r="Q133" s="525" t="s">
        <v>2216</v>
      </c>
      <c r="R133" s="626">
        <v>7.4999999999999997E-2</v>
      </c>
      <c r="S133" s="626">
        <v>0.4</v>
      </c>
      <c r="T133" s="525" t="s">
        <v>2216</v>
      </c>
      <c r="U133" s="626">
        <v>7.4999999999999997E-2</v>
      </c>
      <c r="V133" s="626">
        <v>0.6</v>
      </c>
      <c r="W133" s="525"/>
      <c r="X133" s="626"/>
      <c r="Y133" s="626"/>
      <c r="Z133" s="525"/>
      <c r="AA133" s="626"/>
      <c r="AB133" s="626"/>
      <c r="AC133" s="525"/>
      <c r="AD133" s="626"/>
      <c r="AE133" s="626"/>
      <c r="AF133" s="525"/>
      <c r="AG133" s="525"/>
      <c r="AH133" s="525"/>
    </row>
    <row r="134" spans="2:34" hidden="1">
      <c r="B134" s="405" t="s">
        <v>2812</v>
      </c>
      <c r="C134" s="538" t="s">
        <v>1673</v>
      </c>
      <c r="D134" s="539" t="str">
        <f>VLOOKUP(B134,XLTBA,'6.XL-TR'!$D$2,0)</f>
        <v>0 Trạm 1 pha 2x25kVA</v>
      </c>
      <c r="E134" s="539"/>
      <c r="F134" s="538"/>
      <c r="G134" s="539"/>
      <c r="H134" s="539"/>
      <c r="I134" s="539"/>
      <c r="J134" s="539"/>
      <c r="K134" s="539"/>
      <c r="L134" s="539"/>
      <c r="M134" s="539">
        <f>SUM(M135:M146)</f>
        <v>0</v>
      </c>
      <c r="N134" s="539">
        <f>SUM(N135:N146)</f>
        <v>0</v>
      </c>
      <c r="O134" s="418">
        <f t="shared" si="32"/>
        <v>0</v>
      </c>
      <c r="P134" s="525"/>
      <c r="Q134" s="539"/>
      <c r="R134" s="661"/>
      <c r="S134" s="661"/>
      <c r="T134" s="539"/>
      <c r="U134" s="661"/>
      <c r="V134" s="661"/>
      <c r="W134" s="539"/>
      <c r="X134" s="661"/>
      <c r="Y134" s="661"/>
      <c r="Z134" s="539"/>
      <c r="AA134" s="661"/>
      <c r="AB134" s="661"/>
      <c r="AC134" s="525"/>
      <c r="AD134" s="626"/>
      <c r="AE134" s="626"/>
      <c r="AF134" s="525"/>
      <c r="AG134" s="525"/>
      <c r="AH134" s="525"/>
    </row>
    <row r="135" spans="2:34" hidden="1">
      <c r="C135" s="523">
        <f>IF(SUM(G135:H135)&lt;&gt;0,1,)</f>
        <v>0</v>
      </c>
      <c r="D135" s="523" t="s">
        <v>2291</v>
      </c>
      <c r="E135" s="525" t="s">
        <v>2290</v>
      </c>
      <c r="F135" s="523" t="s">
        <v>896</v>
      </c>
      <c r="G135" s="525"/>
      <c r="H135" s="525"/>
      <c r="I135" s="525">
        <f>ROUND(VLOOKUP($P135,DGNC,DG!$S$4,0)*R135*S135,0)</f>
        <v>533707</v>
      </c>
      <c r="J135" s="525">
        <f>ROUND(VLOOKUP($P135,DGNC,DG!$S$4,0)*U135*V135,0)</f>
        <v>654547</v>
      </c>
      <c r="K135" s="525">
        <f t="shared" ref="K135:K146" si="41">ROUND(IF(W135&lt;&gt;0,VLOOKUP(W135,DGMTC,8,0)*X135*Y135,)+IF(AC135&lt;&gt;0,VLOOKUP(AC135,DGMTC,8,0)*AD135*AE135,),0)</f>
        <v>485430</v>
      </c>
      <c r="L135" s="525">
        <f t="shared" ref="L135:L146" si="42">ROUND(IF(Z135&lt;&gt;0,VLOOKUP(Z135,DGMTC,8,0)*AA135*AB135,)+IF(AF135&lt;&gt;0,VLOOKUP(AF135,DGMTC,8,0)*AG135*AH135,),0)</f>
        <v>485430</v>
      </c>
      <c r="M135" s="525">
        <f t="shared" ref="M135:M146" si="43">ROUND(G135*I135+H135*J135,0)</f>
        <v>0</v>
      </c>
      <c r="N135" s="525">
        <f t="shared" ref="N135:N146" si="44">ROUND(G135*K135+H135*L135,0)</f>
        <v>0</v>
      </c>
      <c r="O135" s="418">
        <f t="shared" si="32"/>
        <v>0</v>
      </c>
      <c r="P135" s="525" t="s">
        <v>12</v>
      </c>
      <c r="Q135" s="525" t="s">
        <v>2221</v>
      </c>
      <c r="R135" s="626">
        <f>2.4+0.25</f>
        <v>2.65</v>
      </c>
      <c r="S135" s="626">
        <f>0.85</f>
        <v>0.85</v>
      </c>
      <c r="T135" s="525" t="s">
        <v>2221</v>
      </c>
      <c r="U135" s="626">
        <v>3.25</v>
      </c>
      <c r="V135" s="626">
        <v>0.85</v>
      </c>
      <c r="W135" s="525" t="s">
        <v>898</v>
      </c>
      <c r="X135" s="626">
        <v>0.7</v>
      </c>
      <c r="Y135" s="626">
        <v>0.5</v>
      </c>
      <c r="Z135" s="525" t="s">
        <v>898</v>
      </c>
      <c r="AA135" s="626">
        <v>0.7</v>
      </c>
      <c r="AB135" s="626">
        <v>0.5</v>
      </c>
      <c r="AC135" s="525"/>
      <c r="AD135" s="626"/>
      <c r="AE135" s="626"/>
      <c r="AF135" s="525"/>
      <c r="AG135" s="525"/>
      <c r="AH135" s="525"/>
    </row>
    <row r="136" spans="2:34" hidden="1">
      <c r="C136" s="523">
        <f>IF(SUM(G136:H136)&lt;&gt;0,C135+1,C135)</f>
        <v>0</v>
      </c>
      <c r="D136" s="523" t="s">
        <v>2234</v>
      </c>
      <c r="E136" s="525" t="s">
        <v>2235</v>
      </c>
      <c r="F136" s="523" t="s">
        <v>896</v>
      </c>
      <c r="G136" s="525"/>
      <c r="H136" s="525"/>
      <c r="I136" s="525">
        <f>ROUND(VLOOKUP($P136,DGNC,DG!$S$4,0)*R136*S136,0)</f>
        <v>533707</v>
      </c>
      <c r="J136" s="525">
        <f>ROUND(VLOOKUP($P136,DGNC,DG!$S$4,0)*U136*V136,0)</f>
        <v>755246</v>
      </c>
      <c r="K136" s="525">
        <f t="shared" si="41"/>
        <v>485430</v>
      </c>
      <c r="L136" s="525">
        <f t="shared" si="42"/>
        <v>485430</v>
      </c>
      <c r="M136" s="525">
        <f t="shared" si="43"/>
        <v>0</v>
      </c>
      <c r="N136" s="525">
        <f t="shared" si="44"/>
        <v>0</v>
      </c>
      <c r="O136" s="418">
        <f t="shared" ref="O136:O148" si="45">IF((M136+N136)&lt;&gt;0,1,)</f>
        <v>0</v>
      </c>
      <c r="P136" s="525" t="s">
        <v>12</v>
      </c>
      <c r="Q136" s="525" t="s">
        <v>2221</v>
      </c>
      <c r="R136" s="626">
        <f>2.4+0.25</f>
        <v>2.65</v>
      </c>
      <c r="S136" s="626">
        <f>0.85</f>
        <v>0.85</v>
      </c>
      <c r="T136" s="525" t="s">
        <v>2221</v>
      </c>
      <c r="U136" s="626">
        <v>3.75</v>
      </c>
      <c r="V136" s="626">
        <v>0.85</v>
      </c>
      <c r="W136" s="525" t="s">
        <v>898</v>
      </c>
      <c r="X136" s="626">
        <v>0.7</v>
      </c>
      <c r="Y136" s="626">
        <v>0.5</v>
      </c>
      <c r="Z136" s="525" t="s">
        <v>898</v>
      </c>
      <c r="AA136" s="626">
        <v>0.7</v>
      </c>
      <c r="AB136" s="626">
        <v>0.5</v>
      </c>
      <c r="AC136" s="525"/>
      <c r="AD136" s="626"/>
      <c r="AE136" s="626"/>
      <c r="AF136" s="525"/>
      <c r="AG136" s="525"/>
      <c r="AH136" s="525"/>
    </row>
    <row r="137" spans="2:34" hidden="1">
      <c r="C137" s="523"/>
      <c r="D137" s="523" t="s">
        <v>2236</v>
      </c>
      <c r="E137" s="525" t="s">
        <v>2237</v>
      </c>
      <c r="F137" s="523" t="s">
        <v>11</v>
      </c>
      <c r="G137" s="525"/>
      <c r="H137" s="525"/>
      <c r="I137" s="525">
        <f>ROUND(VLOOKUP($P137,DGNC,DG!$S$4,0)*R137*S137,0)</f>
        <v>379104</v>
      </c>
      <c r="J137" s="525">
        <f>ROUND(VLOOKUP($P137,DGNC,DG!$S$4,0)*U137*V137,0)</f>
        <v>568656</v>
      </c>
      <c r="K137" s="525">
        <f t="shared" si="41"/>
        <v>0</v>
      </c>
      <c r="L137" s="525">
        <f t="shared" si="42"/>
        <v>0</v>
      </c>
      <c r="M137" s="525">
        <f t="shared" si="43"/>
        <v>0</v>
      </c>
      <c r="N137" s="525">
        <f t="shared" si="44"/>
        <v>0</v>
      </c>
      <c r="O137" s="418">
        <f t="shared" si="45"/>
        <v>0</v>
      </c>
      <c r="P137" s="525" t="s">
        <v>12</v>
      </c>
      <c r="Q137" s="525" t="s">
        <v>2221</v>
      </c>
      <c r="R137" s="626">
        <v>4</v>
      </c>
      <c r="S137" s="626">
        <v>0.4</v>
      </c>
      <c r="T137" s="525" t="s">
        <v>2221</v>
      </c>
      <c r="U137" s="626">
        <v>4</v>
      </c>
      <c r="V137" s="626">
        <v>0.6</v>
      </c>
      <c r="W137" s="525"/>
      <c r="X137" s="626"/>
      <c r="Y137" s="626"/>
      <c r="Z137" s="525"/>
      <c r="AA137" s="626"/>
      <c r="AB137" s="626"/>
      <c r="AC137" s="525"/>
      <c r="AD137" s="626"/>
      <c r="AE137" s="626"/>
      <c r="AF137" s="525"/>
      <c r="AG137" s="525"/>
      <c r="AH137" s="525"/>
    </row>
    <row r="138" spans="2:34" hidden="1">
      <c r="C138" s="523"/>
      <c r="D138" s="523" t="s">
        <v>2240</v>
      </c>
      <c r="E138" s="525" t="s">
        <v>2241</v>
      </c>
      <c r="F138" s="523" t="s">
        <v>11</v>
      </c>
      <c r="G138" s="525"/>
      <c r="H138" s="525"/>
      <c r="I138" s="525">
        <f>ROUND(VLOOKUP($P138,DGNC,DG!$S$4,0)*R138*S138,0)</f>
        <v>460611</v>
      </c>
      <c r="J138" s="525">
        <f>ROUND(VLOOKUP($P138,DGNC,DG!$S$4,0)*U138*V138,0)</f>
        <v>562969</v>
      </c>
      <c r="K138" s="525">
        <f t="shared" si="41"/>
        <v>0</v>
      </c>
      <c r="L138" s="525">
        <f t="shared" si="42"/>
        <v>0</v>
      </c>
      <c r="M138" s="525">
        <f t="shared" si="43"/>
        <v>0</v>
      </c>
      <c r="N138" s="525">
        <f t="shared" si="44"/>
        <v>0</v>
      </c>
      <c r="O138" s="418">
        <f t="shared" si="45"/>
        <v>0</v>
      </c>
      <c r="P138" s="525" t="s">
        <v>12</v>
      </c>
      <c r="Q138" s="525" t="s">
        <v>2221</v>
      </c>
      <c r="R138" s="626">
        <v>4.32</v>
      </c>
      <c r="S138" s="626">
        <v>0.45</v>
      </c>
      <c r="T138" s="525" t="s">
        <v>2221</v>
      </c>
      <c r="U138" s="626">
        <v>4.32</v>
      </c>
      <c r="V138" s="626">
        <v>0.55000000000000004</v>
      </c>
      <c r="W138" s="525"/>
      <c r="X138" s="626"/>
      <c r="Y138" s="626"/>
      <c r="Z138" s="525"/>
      <c r="AA138" s="626"/>
      <c r="AB138" s="626"/>
      <c r="AC138" s="525"/>
      <c r="AD138" s="626"/>
      <c r="AE138" s="626"/>
      <c r="AF138" s="525"/>
      <c r="AG138" s="525"/>
      <c r="AH138" s="525"/>
    </row>
    <row r="139" spans="2:34" hidden="1">
      <c r="C139" s="523"/>
      <c r="D139" s="523" t="s">
        <v>2242</v>
      </c>
      <c r="E139" s="525" t="s">
        <v>2243</v>
      </c>
      <c r="F139" s="523" t="s">
        <v>11</v>
      </c>
      <c r="G139" s="525"/>
      <c r="H139" s="525"/>
      <c r="I139" s="525">
        <f>ROUND(VLOOKUP($P139,DGNC,DG!$S$4,0)*R139*S139,0)</f>
        <v>172729</v>
      </c>
      <c r="J139" s="525">
        <f>ROUND(VLOOKUP($P139,DGNC,DG!$S$4,0)*U139*V139,0)</f>
        <v>211114</v>
      </c>
      <c r="K139" s="525">
        <f t="shared" si="41"/>
        <v>0</v>
      </c>
      <c r="L139" s="525">
        <f t="shared" si="42"/>
        <v>0</v>
      </c>
      <c r="M139" s="525">
        <f t="shared" si="43"/>
        <v>0</v>
      </c>
      <c r="N139" s="525">
        <f t="shared" si="44"/>
        <v>0</v>
      </c>
      <c r="O139" s="418">
        <f t="shared" si="45"/>
        <v>0</v>
      </c>
      <c r="P139" s="525" t="s">
        <v>12</v>
      </c>
      <c r="Q139" s="525" t="s">
        <v>2221</v>
      </c>
      <c r="R139" s="626">
        <v>2.7</v>
      </c>
      <c r="S139" s="626">
        <v>0.27</v>
      </c>
      <c r="T139" s="525" t="s">
        <v>2221</v>
      </c>
      <c r="U139" s="626">
        <v>2.7</v>
      </c>
      <c r="V139" s="626">
        <v>0.33</v>
      </c>
      <c r="W139" s="525"/>
      <c r="X139" s="626"/>
      <c r="Y139" s="626"/>
      <c r="Z139" s="525"/>
      <c r="AA139" s="626"/>
      <c r="AB139" s="626"/>
      <c r="AC139" s="525"/>
      <c r="AD139" s="626"/>
      <c r="AE139" s="626"/>
      <c r="AF139" s="525"/>
      <c r="AG139" s="525"/>
      <c r="AH139" s="525"/>
    </row>
    <row r="140" spans="2:34" hidden="1">
      <c r="C140" s="523"/>
      <c r="D140" s="523" t="s">
        <v>2280</v>
      </c>
      <c r="E140" s="525" t="s">
        <v>2281</v>
      </c>
      <c r="F140" s="523" t="s">
        <v>146</v>
      </c>
      <c r="G140" s="525"/>
      <c r="H140" s="525"/>
      <c r="I140" s="525">
        <f>ROUND(VLOOKUP($P140,DGNC,DG!$S$4,0)*R140*S140,0)</f>
        <v>16681</v>
      </c>
      <c r="J140" s="525">
        <f>ROUND(VLOOKUP($P140,DGNC,DG!$S$4,0)*U140*V140,0)</f>
        <v>25021</v>
      </c>
      <c r="K140" s="525">
        <f t="shared" si="41"/>
        <v>0</v>
      </c>
      <c r="L140" s="525">
        <f t="shared" si="42"/>
        <v>0</v>
      </c>
      <c r="M140" s="525">
        <f t="shared" si="43"/>
        <v>0</v>
      </c>
      <c r="N140" s="525">
        <f t="shared" si="44"/>
        <v>0</v>
      </c>
      <c r="O140" s="418">
        <f t="shared" si="45"/>
        <v>0</v>
      </c>
      <c r="P140" s="525" t="s">
        <v>12</v>
      </c>
      <c r="Q140" s="525" t="s">
        <v>2221</v>
      </c>
      <c r="R140" s="626">
        <v>0.17599999999999999</v>
      </c>
      <c r="S140" s="626">
        <v>0.4</v>
      </c>
      <c r="T140" s="525" t="s">
        <v>2221</v>
      </c>
      <c r="U140" s="626">
        <v>0.17599999999999999</v>
      </c>
      <c r="V140" s="626">
        <v>0.6</v>
      </c>
      <c r="W140" s="525"/>
      <c r="X140" s="626"/>
      <c r="Y140" s="626"/>
      <c r="Z140" s="525"/>
      <c r="AA140" s="626"/>
      <c r="AB140" s="626"/>
      <c r="AC140" s="525"/>
      <c r="AD140" s="626"/>
      <c r="AE140" s="626"/>
      <c r="AF140" s="525"/>
      <c r="AG140" s="525"/>
      <c r="AH140" s="525"/>
    </row>
    <row r="141" spans="2:34" hidden="1">
      <c r="C141" s="523"/>
      <c r="D141" s="523" t="s">
        <v>2282</v>
      </c>
      <c r="E141" s="525" t="s">
        <v>2283</v>
      </c>
      <c r="F141" s="523" t="s">
        <v>146</v>
      </c>
      <c r="G141" s="525"/>
      <c r="H141" s="525"/>
      <c r="I141" s="525">
        <f>ROUND(VLOOKUP($P141,DGNC,DG!$S$4,0)*R141*S141,0)</f>
        <v>4040</v>
      </c>
      <c r="J141" s="525">
        <f>ROUND(VLOOKUP($P141,DGNC,DG!$S$4,0)*U141*V141,0)</f>
        <v>6059</v>
      </c>
      <c r="K141" s="525">
        <f t="shared" si="41"/>
        <v>0</v>
      </c>
      <c r="L141" s="525">
        <f t="shared" si="42"/>
        <v>0</v>
      </c>
      <c r="M141" s="525">
        <f t="shared" si="43"/>
        <v>0</v>
      </c>
      <c r="N141" s="525">
        <f t="shared" si="44"/>
        <v>0</v>
      </c>
      <c r="O141" s="418">
        <f t="shared" si="45"/>
        <v>0</v>
      </c>
      <c r="P141" s="525" t="s">
        <v>289</v>
      </c>
      <c r="Q141" s="525" t="s">
        <v>2216</v>
      </c>
      <c r="R141" s="626">
        <v>4.5999999999999999E-2</v>
      </c>
      <c r="S141" s="626">
        <v>0.4</v>
      </c>
      <c r="T141" s="525" t="s">
        <v>2216</v>
      </c>
      <c r="U141" s="626">
        <v>4.5999999999999999E-2</v>
      </c>
      <c r="V141" s="626">
        <v>0.6</v>
      </c>
      <c r="W141" s="525"/>
      <c r="X141" s="626"/>
      <c r="Y141" s="626"/>
      <c r="Z141" s="525"/>
      <c r="AA141" s="626"/>
      <c r="AB141" s="626"/>
      <c r="AC141" s="525"/>
      <c r="AD141" s="626"/>
      <c r="AE141" s="626"/>
      <c r="AF141" s="525"/>
      <c r="AG141" s="525"/>
      <c r="AH141" s="525"/>
    </row>
    <row r="142" spans="2:34" hidden="1">
      <c r="C142" s="523"/>
      <c r="D142" s="523" t="s">
        <v>2284</v>
      </c>
      <c r="E142" s="525" t="s">
        <v>2285</v>
      </c>
      <c r="F142" s="523" t="s">
        <v>146</v>
      </c>
      <c r="G142" s="525"/>
      <c r="H142" s="525"/>
      <c r="I142" s="525">
        <f>ROUND(VLOOKUP($P142,DGNC,DG!$S$4,0)*R142*S142,0)</f>
        <v>6586</v>
      </c>
      <c r="J142" s="525">
        <f>ROUND(VLOOKUP($P142,DGNC,DG!$S$4,0)*U142*V142,0)</f>
        <v>9879</v>
      </c>
      <c r="K142" s="525">
        <f t="shared" si="41"/>
        <v>0</v>
      </c>
      <c r="L142" s="525">
        <f t="shared" si="42"/>
        <v>0</v>
      </c>
      <c r="M142" s="525">
        <f t="shared" si="43"/>
        <v>0</v>
      </c>
      <c r="N142" s="525">
        <f t="shared" si="44"/>
        <v>0</v>
      </c>
      <c r="O142" s="418">
        <f t="shared" si="45"/>
        <v>0</v>
      </c>
      <c r="P142" s="525" t="s">
        <v>289</v>
      </c>
      <c r="Q142" s="525" t="s">
        <v>2216</v>
      </c>
      <c r="R142" s="626">
        <v>7.4999999999999997E-2</v>
      </c>
      <c r="S142" s="626">
        <v>0.4</v>
      </c>
      <c r="T142" s="525" t="s">
        <v>2216</v>
      </c>
      <c r="U142" s="626">
        <v>7.4999999999999997E-2</v>
      </c>
      <c r="V142" s="626">
        <v>0.6</v>
      </c>
      <c r="W142" s="525"/>
      <c r="X142" s="626"/>
      <c r="Y142" s="626"/>
      <c r="Z142" s="525"/>
      <c r="AA142" s="626"/>
      <c r="AB142" s="626"/>
      <c r="AC142" s="525"/>
      <c r="AD142" s="626"/>
      <c r="AE142" s="626"/>
      <c r="AF142" s="525"/>
      <c r="AG142" s="525"/>
      <c r="AH142" s="525"/>
    </row>
    <row r="143" spans="2:34" hidden="1">
      <c r="C143" s="523"/>
      <c r="D143" s="523" t="s">
        <v>2284</v>
      </c>
      <c r="E143" s="525" t="s">
        <v>2286</v>
      </c>
      <c r="F143" s="523" t="s">
        <v>146</v>
      </c>
      <c r="G143" s="525"/>
      <c r="H143" s="525"/>
      <c r="I143" s="525">
        <f>ROUND(VLOOKUP($P143,DGNC,DG!$S$4,0)*R143*S143,0)</f>
        <v>6586</v>
      </c>
      <c r="J143" s="525">
        <f>ROUND(VLOOKUP($P143,DGNC,DG!$S$4,0)*U143*V143,0)</f>
        <v>9879</v>
      </c>
      <c r="K143" s="525">
        <f t="shared" si="41"/>
        <v>0</v>
      </c>
      <c r="L143" s="525">
        <f t="shared" si="42"/>
        <v>0</v>
      </c>
      <c r="M143" s="525">
        <f t="shared" si="43"/>
        <v>0</v>
      </c>
      <c r="N143" s="525">
        <f t="shared" si="44"/>
        <v>0</v>
      </c>
      <c r="O143" s="418">
        <f t="shared" si="45"/>
        <v>0</v>
      </c>
      <c r="P143" s="525" t="s">
        <v>289</v>
      </c>
      <c r="Q143" s="525" t="s">
        <v>2216</v>
      </c>
      <c r="R143" s="626">
        <v>7.4999999999999997E-2</v>
      </c>
      <c r="S143" s="626">
        <v>0.4</v>
      </c>
      <c r="T143" s="525" t="s">
        <v>2216</v>
      </c>
      <c r="U143" s="626">
        <v>7.4999999999999997E-2</v>
      </c>
      <c r="V143" s="626">
        <v>0.6</v>
      </c>
      <c r="W143" s="525"/>
      <c r="X143" s="626"/>
      <c r="Y143" s="626"/>
      <c r="Z143" s="525"/>
      <c r="AA143" s="626"/>
      <c r="AB143" s="626"/>
      <c r="AC143" s="525"/>
      <c r="AD143" s="626"/>
      <c r="AE143" s="626"/>
      <c r="AF143" s="525"/>
      <c r="AG143" s="525"/>
      <c r="AH143" s="525"/>
    </row>
    <row r="144" spans="2:34" hidden="1">
      <c r="C144" s="523"/>
      <c r="D144" s="523" t="s">
        <v>2284</v>
      </c>
      <c r="E144" s="525" t="s">
        <v>2287</v>
      </c>
      <c r="F144" s="523" t="s">
        <v>146</v>
      </c>
      <c r="G144" s="525"/>
      <c r="H144" s="525"/>
      <c r="I144" s="525">
        <f>ROUND(VLOOKUP($P144,DGNC,DG!$S$4,0)*R144*S144,0)</f>
        <v>6586</v>
      </c>
      <c r="J144" s="525">
        <f>ROUND(VLOOKUP($P144,DGNC,DG!$S$4,0)*U144*V144,0)</f>
        <v>9879</v>
      </c>
      <c r="K144" s="525">
        <f t="shared" si="41"/>
        <v>0</v>
      </c>
      <c r="L144" s="525">
        <f t="shared" si="42"/>
        <v>0</v>
      </c>
      <c r="M144" s="525">
        <f t="shared" si="43"/>
        <v>0</v>
      </c>
      <c r="N144" s="525">
        <f t="shared" si="44"/>
        <v>0</v>
      </c>
      <c r="O144" s="418">
        <f t="shared" si="45"/>
        <v>0</v>
      </c>
      <c r="P144" s="525" t="s">
        <v>289</v>
      </c>
      <c r="Q144" s="525" t="s">
        <v>2216</v>
      </c>
      <c r="R144" s="626">
        <v>7.4999999999999997E-2</v>
      </c>
      <c r="S144" s="626">
        <v>0.4</v>
      </c>
      <c r="T144" s="525" t="s">
        <v>2216</v>
      </c>
      <c r="U144" s="626">
        <v>7.4999999999999997E-2</v>
      </c>
      <c r="V144" s="626">
        <v>0.6</v>
      </c>
      <c r="W144" s="525"/>
      <c r="X144" s="626"/>
      <c r="Y144" s="626"/>
      <c r="Z144" s="525"/>
      <c r="AA144" s="626"/>
      <c r="AB144" s="626"/>
      <c r="AC144" s="525"/>
      <c r="AD144" s="626"/>
      <c r="AE144" s="626"/>
      <c r="AF144" s="525"/>
      <c r="AG144" s="525"/>
      <c r="AH144" s="525"/>
    </row>
    <row r="145" spans="2:34" hidden="1">
      <c r="C145" s="523"/>
      <c r="D145" s="523" t="s">
        <v>2284</v>
      </c>
      <c r="E145" s="525" t="s">
        <v>2288</v>
      </c>
      <c r="F145" s="523" t="s">
        <v>146</v>
      </c>
      <c r="G145" s="525"/>
      <c r="H145" s="525"/>
      <c r="I145" s="525">
        <f>ROUND(VLOOKUP($P145,DGNC,DG!$S$4,0)*R145*S145,0)</f>
        <v>6586</v>
      </c>
      <c r="J145" s="525">
        <f>ROUND(VLOOKUP($P145,DGNC,DG!$S$4,0)*U145*V145,0)</f>
        <v>9879</v>
      </c>
      <c r="K145" s="525">
        <f t="shared" si="41"/>
        <v>0</v>
      </c>
      <c r="L145" s="525">
        <f t="shared" si="42"/>
        <v>0</v>
      </c>
      <c r="M145" s="525">
        <f t="shared" si="43"/>
        <v>0</v>
      </c>
      <c r="N145" s="525">
        <f t="shared" si="44"/>
        <v>0</v>
      </c>
      <c r="O145" s="418">
        <f t="shared" si="45"/>
        <v>0</v>
      </c>
      <c r="P145" s="525" t="s">
        <v>289</v>
      </c>
      <c r="Q145" s="525" t="s">
        <v>2216</v>
      </c>
      <c r="R145" s="626">
        <v>7.4999999999999997E-2</v>
      </c>
      <c r="S145" s="626">
        <v>0.4</v>
      </c>
      <c r="T145" s="525" t="s">
        <v>2216</v>
      </c>
      <c r="U145" s="626">
        <v>7.4999999999999997E-2</v>
      </c>
      <c r="V145" s="626">
        <v>0.6</v>
      </c>
      <c r="W145" s="525"/>
      <c r="X145" s="626"/>
      <c r="Y145" s="626"/>
      <c r="Z145" s="525"/>
      <c r="AA145" s="626"/>
      <c r="AB145" s="626"/>
      <c r="AC145" s="525"/>
      <c r="AD145" s="626"/>
      <c r="AE145" s="626"/>
      <c r="AF145" s="525"/>
      <c r="AG145" s="525"/>
      <c r="AH145" s="525"/>
    </row>
    <row r="146" spans="2:34" hidden="1">
      <c r="C146" s="523"/>
      <c r="D146" s="523" t="s">
        <v>2284</v>
      </c>
      <c r="E146" s="525" t="s">
        <v>2289</v>
      </c>
      <c r="F146" s="523" t="s">
        <v>146</v>
      </c>
      <c r="G146" s="525"/>
      <c r="H146" s="525"/>
      <c r="I146" s="525">
        <f>ROUND(VLOOKUP($P146,DGNC,DG!$S$4,0)*R146*S146,0)</f>
        <v>6586</v>
      </c>
      <c r="J146" s="525">
        <f>ROUND(VLOOKUP($P146,DGNC,DG!$S$4,0)*U146*V146,0)</f>
        <v>9879</v>
      </c>
      <c r="K146" s="525">
        <f t="shared" si="41"/>
        <v>0</v>
      </c>
      <c r="L146" s="525">
        <f t="shared" si="42"/>
        <v>0</v>
      </c>
      <c r="M146" s="525">
        <f t="shared" si="43"/>
        <v>0</v>
      </c>
      <c r="N146" s="525">
        <f t="shared" si="44"/>
        <v>0</v>
      </c>
      <c r="O146" s="418">
        <f t="shared" si="45"/>
        <v>0</v>
      </c>
      <c r="P146" s="525" t="s">
        <v>289</v>
      </c>
      <c r="Q146" s="525" t="s">
        <v>2216</v>
      </c>
      <c r="R146" s="626">
        <v>7.4999999999999997E-2</v>
      </c>
      <c r="S146" s="626">
        <v>0.4</v>
      </c>
      <c r="T146" s="525" t="s">
        <v>2216</v>
      </c>
      <c r="U146" s="626">
        <v>7.4999999999999997E-2</v>
      </c>
      <c r="V146" s="626">
        <v>0.6</v>
      </c>
      <c r="W146" s="525"/>
      <c r="X146" s="626"/>
      <c r="Y146" s="626"/>
      <c r="Z146" s="525"/>
      <c r="AA146" s="626"/>
      <c r="AB146" s="626"/>
      <c r="AC146" s="525"/>
      <c r="AD146" s="626"/>
      <c r="AE146" s="626"/>
      <c r="AF146" s="525"/>
      <c r="AG146" s="525"/>
      <c r="AH146" s="525"/>
    </row>
    <row r="147" spans="2:34" hidden="1">
      <c r="B147" s="405" t="s">
        <v>2813</v>
      </c>
      <c r="C147" s="538" t="s">
        <v>1673</v>
      </c>
      <c r="D147" s="539" t="str">
        <f>VLOOKUP(B147,XLTBA,'6.XL-TR'!$D$2,0)</f>
        <v>0 Trạm 1 pha 2x37,5kVA</v>
      </c>
      <c r="E147" s="539"/>
      <c r="F147" s="538"/>
      <c r="G147" s="539"/>
      <c r="H147" s="539"/>
      <c r="I147" s="539"/>
      <c r="J147" s="539"/>
      <c r="K147" s="539"/>
      <c r="L147" s="539"/>
      <c r="M147" s="539">
        <f>SUM(M148:M159)</f>
        <v>0</v>
      </c>
      <c r="N147" s="539">
        <f>SUM(N148:N159)</f>
        <v>0</v>
      </c>
      <c r="O147" s="418">
        <f t="shared" si="45"/>
        <v>0</v>
      </c>
      <c r="P147" s="525"/>
      <c r="Q147" s="539"/>
      <c r="R147" s="661"/>
      <c r="S147" s="661"/>
      <c r="T147" s="539"/>
      <c r="U147" s="661"/>
      <c r="V147" s="661"/>
      <c r="W147" s="539"/>
      <c r="X147" s="661"/>
      <c r="Y147" s="661"/>
      <c r="Z147" s="539"/>
      <c r="AA147" s="661"/>
      <c r="AB147" s="661"/>
      <c r="AC147" s="525"/>
      <c r="AD147" s="626"/>
      <c r="AE147" s="626"/>
      <c r="AF147" s="525"/>
      <c r="AG147" s="525"/>
      <c r="AH147" s="525"/>
    </row>
    <row r="148" spans="2:34" hidden="1">
      <c r="C148" s="523">
        <f>IF(SUM(G148:H148)&lt;&gt;0,1,)</f>
        <v>0</v>
      </c>
      <c r="D148" s="523" t="s">
        <v>2291</v>
      </c>
      <c r="E148" s="525" t="s">
        <v>2290</v>
      </c>
      <c r="F148" s="523" t="s">
        <v>896</v>
      </c>
      <c r="G148" s="525"/>
      <c r="H148" s="525"/>
      <c r="I148" s="525">
        <f>ROUND(VLOOKUP($P148,DGNC,DG!$S$4,0)*R148*S148,0)</f>
        <v>533707</v>
      </c>
      <c r="J148" s="525">
        <f>ROUND(VLOOKUP($P148,DGNC,DG!$S$4,0)*U148*V148,0)</f>
        <v>654547</v>
      </c>
      <c r="K148" s="525">
        <f t="shared" ref="K148:K159" si="46">ROUND(IF(W148&lt;&gt;0,VLOOKUP(W148,DGMTC,8,0)*X148*Y148,)+IF(AC148&lt;&gt;0,VLOOKUP(AC148,DGMTC,8,0)*AD148*AE148,),0)</f>
        <v>485430</v>
      </c>
      <c r="L148" s="525">
        <f t="shared" ref="L148:L159" si="47">ROUND(IF(Z148&lt;&gt;0,VLOOKUP(Z148,DGMTC,8,0)*AA148*AB148,)+IF(AF148&lt;&gt;0,VLOOKUP(AF148,DGMTC,8,0)*AG148*AH148,),0)</f>
        <v>485430</v>
      </c>
      <c r="M148" s="525">
        <f t="shared" ref="M148:M159" si="48">ROUND(G148*I148+H148*J148,0)</f>
        <v>0</v>
      </c>
      <c r="N148" s="525">
        <f t="shared" ref="N148:N159" si="49">ROUND(G148*K148+H148*L148,0)</f>
        <v>0</v>
      </c>
      <c r="O148" s="418">
        <f t="shared" si="45"/>
        <v>0</v>
      </c>
      <c r="P148" s="525" t="s">
        <v>12</v>
      </c>
      <c r="Q148" s="525" t="s">
        <v>2221</v>
      </c>
      <c r="R148" s="626">
        <f>2.4+0.25</f>
        <v>2.65</v>
      </c>
      <c r="S148" s="626">
        <f>0.85</f>
        <v>0.85</v>
      </c>
      <c r="T148" s="525" t="s">
        <v>2221</v>
      </c>
      <c r="U148" s="626">
        <v>3.25</v>
      </c>
      <c r="V148" s="626">
        <v>0.85</v>
      </c>
      <c r="W148" s="525" t="s">
        <v>898</v>
      </c>
      <c r="X148" s="626">
        <v>0.7</v>
      </c>
      <c r="Y148" s="626">
        <v>0.5</v>
      </c>
      <c r="Z148" s="525" t="s">
        <v>898</v>
      </c>
      <c r="AA148" s="626">
        <v>0.7</v>
      </c>
      <c r="AB148" s="626">
        <v>0.5</v>
      </c>
      <c r="AC148" s="525"/>
      <c r="AD148" s="626"/>
      <c r="AE148" s="626"/>
      <c r="AF148" s="525"/>
      <c r="AG148" s="525"/>
      <c r="AH148" s="525"/>
    </row>
    <row r="149" spans="2:34" hidden="1">
      <c r="C149" s="523">
        <f>IF(SUM(G149:H149)&lt;&gt;0,C148+1,C148)</f>
        <v>0</v>
      </c>
      <c r="D149" s="523" t="s">
        <v>2234</v>
      </c>
      <c r="E149" s="525" t="s">
        <v>2235</v>
      </c>
      <c r="F149" s="523" t="s">
        <v>896</v>
      </c>
      <c r="G149" s="525"/>
      <c r="H149" s="525"/>
      <c r="I149" s="525">
        <f>ROUND(VLOOKUP($P149,DGNC,DG!$S$4,0)*R149*S149,0)</f>
        <v>533707</v>
      </c>
      <c r="J149" s="525">
        <f>ROUND(VLOOKUP($P149,DGNC,DG!$S$4,0)*U149*V149,0)</f>
        <v>755246</v>
      </c>
      <c r="K149" s="525">
        <f t="shared" si="46"/>
        <v>485430</v>
      </c>
      <c r="L149" s="525">
        <f t="shared" si="47"/>
        <v>485430</v>
      </c>
      <c r="M149" s="525">
        <f t="shared" si="48"/>
        <v>0</v>
      </c>
      <c r="N149" s="525">
        <f t="shared" si="49"/>
        <v>0</v>
      </c>
      <c r="O149" s="418">
        <f t="shared" ref="O149:O159" si="50">IF((M149+N149)&lt;&gt;0,1,)</f>
        <v>0</v>
      </c>
      <c r="P149" s="525" t="s">
        <v>12</v>
      </c>
      <c r="Q149" s="525" t="s">
        <v>2221</v>
      </c>
      <c r="R149" s="626">
        <f>2.4+0.25</f>
        <v>2.65</v>
      </c>
      <c r="S149" s="626">
        <f>0.85</f>
        <v>0.85</v>
      </c>
      <c r="T149" s="525" t="s">
        <v>2221</v>
      </c>
      <c r="U149" s="626">
        <v>3.75</v>
      </c>
      <c r="V149" s="626">
        <v>0.85</v>
      </c>
      <c r="W149" s="525" t="s">
        <v>898</v>
      </c>
      <c r="X149" s="626">
        <v>0.7</v>
      </c>
      <c r="Y149" s="626">
        <v>0.5</v>
      </c>
      <c r="Z149" s="525" t="s">
        <v>898</v>
      </c>
      <c r="AA149" s="626">
        <v>0.7</v>
      </c>
      <c r="AB149" s="626">
        <v>0.5</v>
      </c>
      <c r="AC149" s="525"/>
      <c r="AD149" s="626"/>
      <c r="AE149" s="626"/>
      <c r="AF149" s="525"/>
      <c r="AG149" s="525"/>
      <c r="AH149" s="525"/>
    </row>
    <row r="150" spans="2:34" hidden="1">
      <c r="C150" s="523"/>
      <c r="D150" s="523" t="s">
        <v>2236</v>
      </c>
      <c r="E150" s="525" t="s">
        <v>2237</v>
      </c>
      <c r="F150" s="523" t="s">
        <v>11</v>
      </c>
      <c r="G150" s="525"/>
      <c r="H150" s="525"/>
      <c r="I150" s="525">
        <f>ROUND(VLOOKUP($P150,DGNC,DG!$S$4,0)*R150*S150,0)</f>
        <v>379104</v>
      </c>
      <c r="J150" s="525">
        <f>ROUND(VLOOKUP($P150,DGNC,DG!$S$4,0)*U150*V150,0)</f>
        <v>568656</v>
      </c>
      <c r="K150" s="525">
        <f t="shared" si="46"/>
        <v>0</v>
      </c>
      <c r="L150" s="525">
        <f t="shared" si="47"/>
        <v>0</v>
      </c>
      <c r="M150" s="525">
        <f t="shared" si="48"/>
        <v>0</v>
      </c>
      <c r="N150" s="525">
        <f t="shared" si="49"/>
        <v>0</v>
      </c>
      <c r="O150" s="418">
        <f t="shared" si="50"/>
        <v>0</v>
      </c>
      <c r="P150" s="525" t="s">
        <v>12</v>
      </c>
      <c r="Q150" s="525" t="s">
        <v>2221</v>
      </c>
      <c r="R150" s="626">
        <v>4</v>
      </c>
      <c r="S150" s="626">
        <v>0.4</v>
      </c>
      <c r="T150" s="525" t="s">
        <v>2221</v>
      </c>
      <c r="U150" s="626">
        <v>4</v>
      </c>
      <c r="V150" s="626">
        <v>0.6</v>
      </c>
      <c r="W150" s="525"/>
      <c r="X150" s="626"/>
      <c r="Y150" s="626"/>
      <c r="Z150" s="525"/>
      <c r="AA150" s="626"/>
      <c r="AB150" s="626"/>
      <c r="AC150" s="525"/>
      <c r="AD150" s="626"/>
      <c r="AE150" s="626"/>
      <c r="AF150" s="525"/>
      <c r="AG150" s="525"/>
      <c r="AH150" s="525"/>
    </row>
    <row r="151" spans="2:34" hidden="1">
      <c r="C151" s="523"/>
      <c r="D151" s="523" t="s">
        <v>2240</v>
      </c>
      <c r="E151" s="525" t="s">
        <v>2241</v>
      </c>
      <c r="F151" s="523" t="s">
        <v>11</v>
      </c>
      <c r="G151" s="525"/>
      <c r="H151" s="525"/>
      <c r="I151" s="525">
        <f>ROUND(VLOOKUP($P151,DGNC,DG!$S$4,0)*R151*S151,0)</f>
        <v>460611</v>
      </c>
      <c r="J151" s="525">
        <f>ROUND(VLOOKUP($P151,DGNC,DG!$S$4,0)*U151*V151,0)</f>
        <v>562969</v>
      </c>
      <c r="K151" s="525">
        <f t="shared" si="46"/>
        <v>0</v>
      </c>
      <c r="L151" s="525">
        <f t="shared" si="47"/>
        <v>0</v>
      </c>
      <c r="M151" s="525">
        <f t="shared" si="48"/>
        <v>0</v>
      </c>
      <c r="N151" s="525">
        <f t="shared" si="49"/>
        <v>0</v>
      </c>
      <c r="O151" s="418">
        <f t="shared" si="50"/>
        <v>0</v>
      </c>
      <c r="P151" s="525" t="s">
        <v>12</v>
      </c>
      <c r="Q151" s="525" t="s">
        <v>2221</v>
      </c>
      <c r="R151" s="626">
        <v>4.32</v>
      </c>
      <c r="S151" s="626">
        <v>0.45</v>
      </c>
      <c r="T151" s="525" t="s">
        <v>2221</v>
      </c>
      <c r="U151" s="626">
        <v>4.32</v>
      </c>
      <c r="V151" s="626">
        <v>0.55000000000000004</v>
      </c>
      <c r="W151" s="525"/>
      <c r="X151" s="626"/>
      <c r="Y151" s="626"/>
      <c r="Z151" s="525"/>
      <c r="AA151" s="626"/>
      <c r="AB151" s="626"/>
      <c r="AC151" s="525"/>
      <c r="AD151" s="626"/>
      <c r="AE151" s="626"/>
      <c r="AF151" s="525"/>
      <c r="AG151" s="525"/>
      <c r="AH151" s="525"/>
    </row>
    <row r="152" spans="2:34" hidden="1">
      <c r="C152" s="523"/>
      <c r="D152" s="523" t="s">
        <v>2242</v>
      </c>
      <c r="E152" s="525" t="s">
        <v>2243</v>
      </c>
      <c r="F152" s="523" t="s">
        <v>11</v>
      </c>
      <c r="G152" s="525"/>
      <c r="H152" s="525"/>
      <c r="I152" s="525">
        <f>ROUND(VLOOKUP($P152,DGNC,DG!$S$4,0)*R152*S152,0)</f>
        <v>172729</v>
      </c>
      <c r="J152" s="525">
        <f>ROUND(VLOOKUP($P152,DGNC,DG!$S$4,0)*U152*V152,0)</f>
        <v>211114</v>
      </c>
      <c r="K152" s="525">
        <f t="shared" si="46"/>
        <v>0</v>
      </c>
      <c r="L152" s="525">
        <f t="shared" si="47"/>
        <v>0</v>
      </c>
      <c r="M152" s="525">
        <f t="shared" si="48"/>
        <v>0</v>
      </c>
      <c r="N152" s="525">
        <f t="shared" si="49"/>
        <v>0</v>
      </c>
      <c r="O152" s="418">
        <f t="shared" si="50"/>
        <v>0</v>
      </c>
      <c r="P152" s="525" t="s">
        <v>12</v>
      </c>
      <c r="Q152" s="525" t="s">
        <v>2221</v>
      </c>
      <c r="R152" s="626">
        <v>2.7</v>
      </c>
      <c r="S152" s="626">
        <v>0.27</v>
      </c>
      <c r="T152" s="525" t="s">
        <v>2221</v>
      </c>
      <c r="U152" s="626">
        <v>2.7</v>
      </c>
      <c r="V152" s="626">
        <v>0.33</v>
      </c>
      <c r="W152" s="525"/>
      <c r="X152" s="626"/>
      <c r="Y152" s="626"/>
      <c r="Z152" s="525"/>
      <c r="AA152" s="626"/>
      <c r="AB152" s="626"/>
      <c r="AC152" s="525"/>
      <c r="AD152" s="626"/>
      <c r="AE152" s="626"/>
      <c r="AF152" s="525"/>
      <c r="AG152" s="525"/>
      <c r="AH152" s="525"/>
    </row>
    <row r="153" spans="2:34" hidden="1">
      <c r="C153" s="523"/>
      <c r="D153" s="523" t="s">
        <v>2280</v>
      </c>
      <c r="E153" s="525" t="s">
        <v>2281</v>
      </c>
      <c r="F153" s="523" t="s">
        <v>146</v>
      </c>
      <c r="G153" s="525"/>
      <c r="H153" s="525"/>
      <c r="I153" s="525">
        <f>ROUND(VLOOKUP($P153,DGNC,DG!$S$4,0)*R153*S153,0)</f>
        <v>16681</v>
      </c>
      <c r="J153" s="525">
        <f>ROUND(VLOOKUP($P153,DGNC,DG!$S$4,0)*U153*V153,0)</f>
        <v>25021</v>
      </c>
      <c r="K153" s="525">
        <f t="shared" si="46"/>
        <v>0</v>
      </c>
      <c r="L153" s="525">
        <f t="shared" si="47"/>
        <v>0</v>
      </c>
      <c r="M153" s="525">
        <f t="shared" si="48"/>
        <v>0</v>
      </c>
      <c r="N153" s="525">
        <f t="shared" si="49"/>
        <v>0</v>
      </c>
      <c r="O153" s="418">
        <f t="shared" si="50"/>
        <v>0</v>
      </c>
      <c r="P153" s="525" t="s">
        <v>12</v>
      </c>
      <c r="Q153" s="525" t="s">
        <v>2221</v>
      </c>
      <c r="R153" s="626">
        <v>0.17599999999999999</v>
      </c>
      <c r="S153" s="626">
        <v>0.4</v>
      </c>
      <c r="T153" s="525" t="s">
        <v>2221</v>
      </c>
      <c r="U153" s="626">
        <v>0.17599999999999999</v>
      </c>
      <c r="V153" s="626">
        <v>0.6</v>
      </c>
      <c r="W153" s="525"/>
      <c r="X153" s="626"/>
      <c r="Y153" s="626"/>
      <c r="Z153" s="525"/>
      <c r="AA153" s="626"/>
      <c r="AB153" s="626"/>
      <c r="AC153" s="525"/>
      <c r="AD153" s="626"/>
      <c r="AE153" s="626"/>
      <c r="AF153" s="525"/>
      <c r="AG153" s="525"/>
      <c r="AH153" s="525"/>
    </row>
    <row r="154" spans="2:34" hidden="1">
      <c r="C154" s="523"/>
      <c r="D154" s="523" t="s">
        <v>2282</v>
      </c>
      <c r="E154" s="525" t="s">
        <v>2283</v>
      </c>
      <c r="F154" s="523" t="s">
        <v>146</v>
      </c>
      <c r="G154" s="525"/>
      <c r="H154" s="525"/>
      <c r="I154" s="525">
        <f>ROUND(VLOOKUP($P154,DGNC,DG!$S$4,0)*R154*S154,0)</f>
        <v>4040</v>
      </c>
      <c r="J154" s="525">
        <f>ROUND(VLOOKUP($P154,DGNC,DG!$S$4,0)*U154*V154,0)</f>
        <v>6059</v>
      </c>
      <c r="K154" s="525">
        <f t="shared" si="46"/>
        <v>0</v>
      </c>
      <c r="L154" s="525">
        <f t="shared" si="47"/>
        <v>0</v>
      </c>
      <c r="M154" s="525">
        <f t="shared" si="48"/>
        <v>0</v>
      </c>
      <c r="N154" s="525">
        <f t="shared" si="49"/>
        <v>0</v>
      </c>
      <c r="O154" s="418">
        <f t="shared" si="50"/>
        <v>0</v>
      </c>
      <c r="P154" s="525" t="s">
        <v>289</v>
      </c>
      <c r="Q154" s="525" t="s">
        <v>2216</v>
      </c>
      <c r="R154" s="626">
        <v>4.5999999999999999E-2</v>
      </c>
      <c r="S154" s="626">
        <v>0.4</v>
      </c>
      <c r="T154" s="525" t="s">
        <v>2216</v>
      </c>
      <c r="U154" s="626">
        <v>4.5999999999999999E-2</v>
      </c>
      <c r="V154" s="626">
        <v>0.6</v>
      </c>
      <c r="W154" s="525"/>
      <c r="X154" s="626"/>
      <c r="Y154" s="626"/>
      <c r="Z154" s="525"/>
      <c r="AA154" s="626"/>
      <c r="AB154" s="626"/>
      <c r="AC154" s="525"/>
      <c r="AD154" s="626"/>
      <c r="AE154" s="626"/>
      <c r="AF154" s="525"/>
      <c r="AG154" s="525"/>
      <c r="AH154" s="525"/>
    </row>
    <row r="155" spans="2:34" hidden="1">
      <c r="C155" s="523"/>
      <c r="D155" s="523" t="s">
        <v>2284</v>
      </c>
      <c r="E155" s="525" t="s">
        <v>2285</v>
      </c>
      <c r="F155" s="523" t="s">
        <v>146</v>
      </c>
      <c r="G155" s="525"/>
      <c r="H155" s="525"/>
      <c r="I155" s="525">
        <f>ROUND(VLOOKUP($P155,DGNC,DG!$S$4,0)*R155*S155,0)</f>
        <v>6586</v>
      </c>
      <c r="J155" s="525">
        <f>ROUND(VLOOKUP($P155,DGNC,DG!$S$4,0)*U155*V155,0)</f>
        <v>9879</v>
      </c>
      <c r="K155" s="525">
        <f t="shared" si="46"/>
        <v>0</v>
      </c>
      <c r="L155" s="525">
        <f t="shared" si="47"/>
        <v>0</v>
      </c>
      <c r="M155" s="525">
        <f t="shared" si="48"/>
        <v>0</v>
      </c>
      <c r="N155" s="525">
        <f t="shared" si="49"/>
        <v>0</v>
      </c>
      <c r="O155" s="418">
        <f t="shared" si="50"/>
        <v>0</v>
      </c>
      <c r="P155" s="525" t="s">
        <v>289</v>
      </c>
      <c r="Q155" s="525" t="s">
        <v>2216</v>
      </c>
      <c r="R155" s="626">
        <v>7.4999999999999997E-2</v>
      </c>
      <c r="S155" s="626">
        <v>0.4</v>
      </c>
      <c r="T155" s="525" t="s">
        <v>2216</v>
      </c>
      <c r="U155" s="626">
        <v>7.4999999999999997E-2</v>
      </c>
      <c r="V155" s="626">
        <v>0.6</v>
      </c>
      <c r="W155" s="525"/>
      <c r="X155" s="626"/>
      <c r="Y155" s="626"/>
      <c r="Z155" s="525"/>
      <c r="AA155" s="626"/>
      <c r="AB155" s="626"/>
      <c r="AC155" s="525"/>
      <c r="AD155" s="626"/>
      <c r="AE155" s="626"/>
      <c r="AF155" s="525"/>
      <c r="AG155" s="525"/>
      <c r="AH155" s="525"/>
    </row>
    <row r="156" spans="2:34" hidden="1">
      <c r="C156" s="523"/>
      <c r="D156" s="523" t="s">
        <v>2284</v>
      </c>
      <c r="E156" s="525" t="s">
        <v>2286</v>
      </c>
      <c r="F156" s="523" t="s">
        <v>146</v>
      </c>
      <c r="G156" s="525"/>
      <c r="H156" s="525"/>
      <c r="I156" s="525">
        <f>ROUND(VLOOKUP($P156,DGNC,DG!$S$4,0)*R156*S156,0)</f>
        <v>6586</v>
      </c>
      <c r="J156" s="525">
        <f>ROUND(VLOOKUP($P156,DGNC,DG!$S$4,0)*U156*V156,0)</f>
        <v>9879</v>
      </c>
      <c r="K156" s="525">
        <f t="shared" si="46"/>
        <v>0</v>
      </c>
      <c r="L156" s="525">
        <f t="shared" si="47"/>
        <v>0</v>
      </c>
      <c r="M156" s="525">
        <f t="shared" si="48"/>
        <v>0</v>
      </c>
      <c r="N156" s="525">
        <f t="shared" si="49"/>
        <v>0</v>
      </c>
      <c r="O156" s="418">
        <f t="shared" si="50"/>
        <v>0</v>
      </c>
      <c r="P156" s="525" t="s">
        <v>289</v>
      </c>
      <c r="Q156" s="525" t="s">
        <v>2216</v>
      </c>
      <c r="R156" s="626">
        <v>7.4999999999999997E-2</v>
      </c>
      <c r="S156" s="626">
        <v>0.4</v>
      </c>
      <c r="T156" s="525" t="s">
        <v>2216</v>
      </c>
      <c r="U156" s="626">
        <v>7.4999999999999997E-2</v>
      </c>
      <c r="V156" s="626">
        <v>0.6</v>
      </c>
      <c r="W156" s="525"/>
      <c r="X156" s="626"/>
      <c r="Y156" s="626"/>
      <c r="Z156" s="525"/>
      <c r="AA156" s="626"/>
      <c r="AB156" s="626"/>
      <c r="AC156" s="525"/>
      <c r="AD156" s="626"/>
      <c r="AE156" s="626"/>
      <c r="AF156" s="525"/>
      <c r="AG156" s="525"/>
      <c r="AH156" s="525"/>
    </row>
    <row r="157" spans="2:34" hidden="1">
      <c r="C157" s="523"/>
      <c r="D157" s="523" t="s">
        <v>2284</v>
      </c>
      <c r="E157" s="525" t="s">
        <v>2287</v>
      </c>
      <c r="F157" s="523" t="s">
        <v>146</v>
      </c>
      <c r="G157" s="525"/>
      <c r="H157" s="525"/>
      <c r="I157" s="525">
        <f>ROUND(VLOOKUP($P157,DGNC,DG!$S$4,0)*R157*S157,0)</f>
        <v>6586</v>
      </c>
      <c r="J157" s="525">
        <f>ROUND(VLOOKUP($P157,DGNC,DG!$S$4,0)*U157*V157,0)</f>
        <v>9879</v>
      </c>
      <c r="K157" s="525">
        <f t="shared" si="46"/>
        <v>0</v>
      </c>
      <c r="L157" s="525">
        <f t="shared" si="47"/>
        <v>0</v>
      </c>
      <c r="M157" s="525">
        <f t="shared" si="48"/>
        <v>0</v>
      </c>
      <c r="N157" s="525">
        <f t="shared" si="49"/>
        <v>0</v>
      </c>
      <c r="O157" s="418">
        <f t="shared" si="50"/>
        <v>0</v>
      </c>
      <c r="P157" s="525" t="s">
        <v>289</v>
      </c>
      <c r="Q157" s="525" t="s">
        <v>2216</v>
      </c>
      <c r="R157" s="626">
        <v>7.4999999999999997E-2</v>
      </c>
      <c r="S157" s="626">
        <v>0.4</v>
      </c>
      <c r="T157" s="525" t="s">
        <v>2216</v>
      </c>
      <c r="U157" s="626">
        <v>7.4999999999999997E-2</v>
      </c>
      <c r="V157" s="626">
        <v>0.6</v>
      </c>
      <c r="W157" s="525"/>
      <c r="X157" s="626"/>
      <c r="Y157" s="626"/>
      <c r="Z157" s="525"/>
      <c r="AA157" s="626"/>
      <c r="AB157" s="626"/>
      <c r="AC157" s="525"/>
      <c r="AD157" s="626"/>
      <c r="AE157" s="626"/>
      <c r="AF157" s="525"/>
      <c r="AG157" s="525"/>
      <c r="AH157" s="525"/>
    </row>
    <row r="158" spans="2:34" hidden="1">
      <c r="C158" s="523"/>
      <c r="D158" s="523" t="s">
        <v>2284</v>
      </c>
      <c r="E158" s="525" t="s">
        <v>2288</v>
      </c>
      <c r="F158" s="523" t="s">
        <v>146</v>
      </c>
      <c r="G158" s="525"/>
      <c r="H158" s="525"/>
      <c r="I158" s="525">
        <f>ROUND(VLOOKUP($P158,DGNC,DG!$S$4,0)*R158*S158,0)</f>
        <v>6586</v>
      </c>
      <c r="J158" s="525">
        <f>ROUND(VLOOKUP($P158,DGNC,DG!$S$4,0)*U158*V158,0)</f>
        <v>9879</v>
      </c>
      <c r="K158" s="525">
        <f t="shared" si="46"/>
        <v>0</v>
      </c>
      <c r="L158" s="525">
        <f t="shared" si="47"/>
        <v>0</v>
      </c>
      <c r="M158" s="525">
        <f t="shared" si="48"/>
        <v>0</v>
      </c>
      <c r="N158" s="525">
        <f t="shared" si="49"/>
        <v>0</v>
      </c>
      <c r="O158" s="418">
        <f t="shared" si="50"/>
        <v>0</v>
      </c>
      <c r="P158" s="525" t="s">
        <v>289</v>
      </c>
      <c r="Q158" s="525" t="s">
        <v>2216</v>
      </c>
      <c r="R158" s="626">
        <v>7.4999999999999997E-2</v>
      </c>
      <c r="S158" s="626">
        <v>0.4</v>
      </c>
      <c r="T158" s="525" t="s">
        <v>2216</v>
      </c>
      <c r="U158" s="626">
        <v>7.4999999999999997E-2</v>
      </c>
      <c r="V158" s="626">
        <v>0.6</v>
      </c>
      <c r="W158" s="525"/>
      <c r="X158" s="626"/>
      <c r="Y158" s="626"/>
      <c r="Z158" s="525"/>
      <c r="AA158" s="626"/>
      <c r="AB158" s="626"/>
      <c r="AC158" s="525"/>
      <c r="AD158" s="626"/>
      <c r="AE158" s="626"/>
      <c r="AF158" s="525"/>
      <c r="AG158" s="525"/>
      <c r="AH158" s="525"/>
    </row>
    <row r="159" spans="2:34" hidden="1">
      <c r="C159" s="523"/>
      <c r="D159" s="523" t="s">
        <v>2284</v>
      </c>
      <c r="E159" s="525" t="s">
        <v>2289</v>
      </c>
      <c r="F159" s="523" t="s">
        <v>146</v>
      </c>
      <c r="G159" s="525"/>
      <c r="H159" s="525"/>
      <c r="I159" s="525">
        <f>ROUND(VLOOKUP($P159,DGNC,DG!$S$4,0)*R159*S159,0)</f>
        <v>6586</v>
      </c>
      <c r="J159" s="525">
        <f>ROUND(VLOOKUP($P159,DGNC,DG!$S$4,0)*U159*V159,0)</f>
        <v>9879</v>
      </c>
      <c r="K159" s="525">
        <f t="shared" si="46"/>
        <v>0</v>
      </c>
      <c r="L159" s="525">
        <f t="shared" si="47"/>
        <v>0</v>
      </c>
      <c r="M159" s="525">
        <f t="shared" si="48"/>
        <v>0</v>
      </c>
      <c r="N159" s="525">
        <f t="shared" si="49"/>
        <v>0</v>
      </c>
      <c r="O159" s="418">
        <f t="shared" si="50"/>
        <v>0</v>
      </c>
      <c r="P159" s="525" t="s">
        <v>289</v>
      </c>
      <c r="Q159" s="525" t="s">
        <v>2216</v>
      </c>
      <c r="R159" s="626">
        <v>7.4999999999999997E-2</v>
      </c>
      <c r="S159" s="626">
        <v>0.4</v>
      </c>
      <c r="T159" s="525" t="s">
        <v>2216</v>
      </c>
      <c r="U159" s="626">
        <v>7.4999999999999997E-2</v>
      </c>
      <c r="V159" s="626">
        <v>0.6</v>
      </c>
      <c r="W159" s="525"/>
      <c r="X159" s="626"/>
      <c r="Y159" s="626"/>
      <c r="Z159" s="525"/>
      <c r="AA159" s="626"/>
      <c r="AB159" s="626"/>
      <c r="AC159" s="525"/>
      <c r="AD159" s="626"/>
      <c r="AE159" s="626"/>
      <c r="AF159" s="525"/>
      <c r="AG159" s="525"/>
      <c r="AH159" s="525"/>
    </row>
    <row r="160" spans="2:34" hidden="1">
      <c r="B160" s="405" t="s">
        <v>2071</v>
      </c>
      <c r="C160" s="538" t="s">
        <v>1673</v>
      </c>
      <c r="D160" s="539" t="str">
        <f>VLOOKUP(B160,XLTBA,'6.XL-TR'!$D$2,0)</f>
        <v>3 Trạm 1 pha 75kVA</v>
      </c>
      <c r="E160" s="539"/>
      <c r="F160" s="538"/>
      <c r="G160" s="539"/>
      <c r="H160" s="539"/>
      <c r="I160" s="539"/>
      <c r="J160" s="539"/>
      <c r="K160" s="539"/>
      <c r="L160" s="539"/>
      <c r="M160" s="539">
        <f>SUM(M161:M172)</f>
        <v>0</v>
      </c>
      <c r="N160" s="539">
        <f>SUM(N161:N172)</f>
        <v>0</v>
      </c>
      <c r="O160" s="418">
        <f t="shared" si="32"/>
        <v>0</v>
      </c>
      <c r="P160" s="525"/>
      <c r="Q160" s="539"/>
      <c r="R160" s="661"/>
      <c r="S160" s="661"/>
      <c r="T160" s="539"/>
      <c r="U160" s="661"/>
      <c r="V160" s="661"/>
      <c r="W160" s="539"/>
      <c r="X160" s="661"/>
      <c r="Y160" s="661"/>
      <c r="Z160" s="539"/>
      <c r="AA160" s="661"/>
      <c r="AB160" s="661"/>
      <c r="AC160" s="525"/>
      <c r="AD160" s="626"/>
      <c r="AE160" s="626"/>
      <c r="AF160" s="525"/>
      <c r="AG160" s="525"/>
      <c r="AH160" s="525"/>
    </row>
    <row r="161" spans="2:34" hidden="1">
      <c r="C161" s="523">
        <f>IF(SUM(G161:H161)&lt;&gt;0,1,)</f>
        <v>0</v>
      </c>
      <c r="D161" s="523" t="s">
        <v>2291</v>
      </c>
      <c r="E161" s="525" t="s">
        <v>2290</v>
      </c>
      <c r="F161" s="523" t="s">
        <v>896</v>
      </c>
      <c r="G161" s="525"/>
      <c r="H161" s="525"/>
      <c r="I161" s="525">
        <f>ROUND(VLOOKUP($P161,DGNC,DG!$S$4,0)*R161*S161,0)</f>
        <v>533707</v>
      </c>
      <c r="J161" s="525">
        <f>ROUND(VLOOKUP($P161,DGNC,DG!$S$4,0)*U161*V161,0)</f>
        <v>654547</v>
      </c>
      <c r="K161" s="525">
        <f t="shared" ref="K161:K172" si="51">ROUND(IF(W161&lt;&gt;0,VLOOKUP(W161,DGMTC,8,0)*X161*Y161,)+IF(AC161&lt;&gt;0,VLOOKUP(AC161,DGMTC,8,0)*AD161*AE161,),0)</f>
        <v>485430</v>
      </c>
      <c r="L161" s="525">
        <f t="shared" ref="L161:L172" si="52">ROUND(IF(Z161&lt;&gt;0,VLOOKUP(Z161,DGMTC,8,0)*AA161*AB161,)+IF(AF161&lt;&gt;0,VLOOKUP(AF161,DGMTC,8,0)*AG161*AH161,),0)</f>
        <v>485430</v>
      </c>
      <c r="M161" s="525">
        <f t="shared" ref="M161:M172" si="53">ROUND(G161*I161+H161*J161,0)</f>
        <v>0</v>
      </c>
      <c r="N161" s="525">
        <f t="shared" ref="N161:N172" si="54">ROUND(G161*K161+H161*L161,0)</f>
        <v>0</v>
      </c>
      <c r="O161" s="418">
        <f t="shared" si="32"/>
        <v>0</v>
      </c>
      <c r="P161" s="525" t="s">
        <v>12</v>
      </c>
      <c r="Q161" s="525" t="s">
        <v>2221</v>
      </c>
      <c r="R161" s="626">
        <f>2.4+0.25</f>
        <v>2.65</v>
      </c>
      <c r="S161" s="626">
        <f>0.85</f>
        <v>0.85</v>
      </c>
      <c r="T161" s="525" t="s">
        <v>2221</v>
      </c>
      <c r="U161" s="626">
        <v>3.25</v>
      </c>
      <c r="V161" s="626">
        <v>0.85</v>
      </c>
      <c r="W161" s="525" t="s">
        <v>898</v>
      </c>
      <c r="X161" s="626">
        <v>0.7</v>
      </c>
      <c r="Y161" s="626">
        <v>0.5</v>
      </c>
      <c r="Z161" s="525" t="s">
        <v>898</v>
      </c>
      <c r="AA161" s="626">
        <v>0.7</v>
      </c>
      <c r="AB161" s="626">
        <v>0.5</v>
      </c>
      <c r="AC161" s="525"/>
      <c r="AD161" s="626"/>
      <c r="AE161" s="626"/>
      <c r="AF161" s="525"/>
      <c r="AG161" s="525"/>
      <c r="AH161" s="525"/>
    </row>
    <row r="162" spans="2:34" hidden="1">
      <c r="C162" s="523">
        <f>IF(SUM(G162:H162)&lt;&gt;0,C161+1,C161)</f>
        <v>0</v>
      </c>
      <c r="D162" s="523" t="s">
        <v>2234</v>
      </c>
      <c r="E162" s="525" t="s">
        <v>2235</v>
      </c>
      <c r="F162" s="523" t="s">
        <v>896</v>
      </c>
      <c r="G162" s="525"/>
      <c r="H162" s="525"/>
      <c r="I162" s="525">
        <f>ROUND(VLOOKUP($P162,DGNC,DG!$S$4,0)*R162*S162,0)</f>
        <v>533707</v>
      </c>
      <c r="J162" s="525">
        <f>ROUND(VLOOKUP($P162,DGNC,DG!$S$4,0)*U162*V162,0)</f>
        <v>755246</v>
      </c>
      <c r="K162" s="525">
        <f t="shared" si="51"/>
        <v>485430</v>
      </c>
      <c r="L162" s="525">
        <f t="shared" si="52"/>
        <v>485430</v>
      </c>
      <c r="M162" s="525">
        <f t="shared" si="53"/>
        <v>0</v>
      </c>
      <c r="N162" s="525">
        <f t="shared" si="54"/>
        <v>0</v>
      </c>
      <c r="O162" s="418">
        <f t="shared" si="32"/>
        <v>0</v>
      </c>
      <c r="P162" s="525" t="s">
        <v>12</v>
      </c>
      <c r="Q162" s="525" t="s">
        <v>2221</v>
      </c>
      <c r="R162" s="626">
        <f>2.4+0.25</f>
        <v>2.65</v>
      </c>
      <c r="S162" s="626">
        <f>0.85</f>
        <v>0.85</v>
      </c>
      <c r="T162" s="525" t="s">
        <v>2221</v>
      </c>
      <c r="U162" s="626">
        <v>3.75</v>
      </c>
      <c r="V162" s="626">
        <v>0.85</v>
      </c>
      <c r="W162" s="525" t="s">
        <v>898</v>
      </c>
      <c r="X162" s="626">
        <v>0.7</v>
      </c>
      <c r="Y162" s="626">
        <v>0.5</v>
      </c>
      <c r="Z162" s="525" t="s">
        <v>898</v>
      </c>
      <c r="AA162" s="626">
        <v>0.7</v>
      </c>
      <c r="AB162" s="626">
        <v>0.5</v>
      </c>
      <c r="AC162" s="525"/>
      <c r="AD162" s="626"/>
      <c r="AE162" s="626"/>
      <c r="AF162" s="525"/>
      <c r="AG162" s="525"/>
      <c r="AH162" s="525"/>
    </row>
    <row r="163" spans="2:34" hidden="1">
      <c r="C163" s="523"/>
      <c r="D163" s="523" t="s">
        <v>2236</v>
      </c>
      <c r="E163" s="525" t="s">
        <v>2237</v>
      </c>
      <c r="F163" s="523" t="s">
        <v>11</v>
      </c>
      <c r="G163" s="525"/>
      <c r="H163" s="525"/>
      <c r="I163" s="525">
        <f>ROUND(VLOOKUP($P163,DGNC,DG!$S$4,0)*R163*S163,0)</f>
        <v>379104</v>
      </c>
      <c r="J163" s="525">
        <f>ROUND(VLOOKUP($P163,DGNC,DG!$S$4,0)*U163*V163,0)</f>
        <v>568656</v>
      </c>
      <c r="K163" s="525">
        <f t="shared" si="51"/>
        <v>0</v>
      </c>
      <c r="L163" s="525">
        <f t="shared" si="52"/>
        <v>0</v>
      </c>
      <c r="M163" s="525">
        <f t="shared" si="53"/>
        <v>0</v>
      </c>
      <c r="N163" s="525">
        <f t="shared" si="54"/>
        <v>0</v>
      </c>
      <c r="O163" s="418">
        <f t="shared" si="32"/>
        <v>0</v>
      </c>
      <c r="P163" s="525" t="s">
        <v>12</v>
      </c>
      <c r="Q163" s="525" t="s">
        <v>2221</v>
      </c>
      <c r="R163" s="626">
        <v>4</v>
      </c>
      <c r="S163" s="626">
        <v>0.4</v>
      </c>
      <c r="T163" s="525" t="s">
        <v>2221</v>
      </c>
      <c r="U163" s="626">
        <v>4</v>
      </c>
      <c r="V163" s="626">
        <v>0.6</v>
      </c>
      <c r="W163" s="525"/>
      <c r="X163" s="626"/>
      <c r="Y163" s="626"/>
      <c r="Z163" s="525"/>
      <c r="AA163" s="626"/>
      <c r="AB163" s="626"/>
      <c r="AC163" s="525"/>
      <c r="AD163" s="626"/>
      <c r="AE163" s="626"/>
      <c r="AF163" s="525"/>
      <c r="AG163" s="525"/>
      <c r="AH163" s="525"/>
    </row>
    <row r="164" spans="2:34" hidden="1">
      <c r="C164" s="523"/>
      <c r="D164" s="523" t="s">
        <v>2240</v>
      </c>
      <c r="E164" s="525" t="s">
        <v>2241</v>
      </c>
      <c r="F164" s="523" t="s">
        <v>11</v>
      </c>
      <c r="G164" s="525"/>
      <c r="H164" s="525"/>
      <c r="I164" s="525">
        <f>ROUND(VLOOKUP($P164,DGNC,DG!$S$4,0)*R164*S164,0)</f>
        <v>460611</v>
      </c>
      <c r="J164" s="525">
        <f>ROUND(VLOOKUP($P164,DGNC,DG!$S$4,0)*U164*V164,0)</f>
        <v>562969</v>
      </c>
      <c r="K164" s="525">
        <f t="shared" si="51"/>
        <v>0</v>
      </c>
      <c r="L164" s="525">
        <f t="shared" si="52"/>
        <v>0</v>
      </c>
      <c r="M164" s="525">
        <f t="shared" si="53"/>
        <v>0</v>
      </c>
      <c r="N164" s="525">
        <f t="shared" si="54"/>
        <v>0</v>
      </c>
      <c r="O164" s="418">
        <f t="shared" si="32"/>
        <v>0</v>
      </c>
      <c r="P164" s="525" t="s">
        <v>12</v>
      </c>
      <c r="Q164" s="525" t="s">
        <v>2221</v>
      </c>
      <c r="R164" s="626">
        <v>4.32</v>
      </c>
      <c r="S164" s="626">
        <v>0.45</v>
      </c>
      <c r="T164" s="525" t="s">
        <v>2221</v>
      </c>
      <c r="U164" s="626">
        <v>4.32</v>
      </c>
      <c r="V164" s="626">
        <v>0.55000000000000004</v>
      </c>
      <c r="W164" s="525"/>
      <c r="X164" s="626"/>
      <c r="Y164" s="626"/>
      <c r="Z164" s="525"/>
      <c r="AA164" s="626"/>
      <c r="AB164" s="626"/>
      <c r="AC164" s="525"/>
      <c r="AD164" s="626"/>
      <c r="AE164" s="626"/>
      <c r="AF164" s="525"/>
      <c r="AG164" s="525"/>
      <c r="AH164" s="525"/>
    </row>
    <row r="165" spans="2:34" hidden="1">
      <c r="C165" s="523"/>
      <c r="D165" s="523" t="s">
        <v>2242</v>
      </c>
      <c r="E165" s="525" t="s">
        <v>2243</v>
      </c>
      <c r="F165" s="523" t="s">
        <v>11</v>
      </c>
      <c r="G165" s="525"/>
      <c r="H165" s="525"/>
      <c r="I165" s="525">
        <f>ROUND(VLOOKUP($P165,DGNC,DG!$S$4,0)*R165*S165,0)</f>
        <v>172729</v>
      </c>
      <c r="J165" s="525">
        <f>ROUND(VLOOKUP($P165,DGNC,DG!$S$4,0)*U165*V165,0)</f>
        <v>211114</v>
      </c>
      <c r="K165" s="525">
        <f t="shared" si="51"/>
        <v>0</v>
      </c>
      <c r="L165" s="525">
        <f t="shared" si="52"/>
        <v>0</v>
      </c>
      <c r="M165" s="525">
        <f t="shared" si="53"/>
        <v>0</v>
      </c>
      <c r="N165" s="525">
        <f t="shared" si="54"/>
        <v>0</v>
      </c>
      <c r="O165" s="418">
        <f t="shared" si="32"/>
        <v>0</v>
      </c>
      <c r="P165" s="525" t="s">
        <v>12</v>
      </c>
      <c r="Q165" s="525" t="s">
        <v>2221</v>
      </c>
      <c r="R165" s="626">
        <v>2.7</v>
      </c>
      <c r="S165" s="626">
        <v>0.27</v>
      </c>
      <c r="T165" s="525" t="s">
        <v>2221</v>
      </c>
      <c r="U165" s="626">
        <v>2.7</v>
      </c>
      <c r="V165" s="626">
        <v>0.33</v>
      </c>
      <c r="W165" s="525"/>
      <c r="X165" s="626"/>
      <c r="Y165" s="626"/>
      <c r="Z165" s="525"/>
      <c r="AA165" s="626"/>
      <c r="AB165" s="626"/>
      <c r="AC165" s="525"/>
      <c r="AD165" s="626"/>
      <c r="AE165" s="626"/>
      <c r="AF165" s="525"/>
      <c r="AG165" s="525"/>
      <c r="AH165" s="525"/>
    </row>
    <row r="166" spans="2:34" hidden="1">
      <c r="C166" s="523"/>
      <c r="D166" s="523" t="s">
        <v>2280</v>
      </c>
      <c r="E166" s="525" t="s">
        <v>2281</v>
      </c>
      <c r="F166" s="523" t="s">
        <v>146</v>
      </c>
      <c r="G166" s="525"/>
      <c r="H166" s="525"/>
      <c r="I166" s="525">
        <f>ROUND(VLOOKUP($P166,DGNC,DG!$S$4,0)*R166*S166,0)</f>
        <v>16681</v>
      </c>
      <c r="J166" s="525">
        <f>ROUND(VLOOKUP($P166,DGNC,DG!$S$4,0)*U166*V166,0)</f>
        <v>25021</v>
      </c>
      <c r="K166" s="525">
        <f t="shared" si="51"/>
        <v>0</v>
      </c>
      <c r="L166" s="525">
        <f t="shared" si="52"/>
        <v>0</v>
      </c>
      <c r="M166" s="525">
        <f t="shared" si="53"/>
        <v>0</v>
      </c>
      <c r="N166" s="525">
        <f t="shared" si="54"/>
        <v>0</v>
      </c>
      <c r="O166" s="418">
        <f t="shared" si="32"/>
        <v>0</v>
      </c>
      <c r="P166" s="525" t="s">
        <v>12</v>
      </c>
      <c r="Q166" s="525" t="s">
        <v>2221</v>
      </c>
      <c r="R166" s="626">
        <v>0.17599999999999999</v>
      </c>
      <c r="S166" s="626">
        <v>0.4</v>
      </c>
      <c r="T166" s="525" t="s">
        <v>2221</v>
      </c>
      <c r="U166" s="626">
        <v>0.17599999999999999</v>
      </c>
      <c r="V166" s="626">
        <v>0.6</v>
      </c>
      <c r="W166" s="525"/>
      <c r="X166" s="626"/>
      <c r="Y166" s="626"/>
      <c r="Z166" s="525"/>
      <c r="AA166" s="626"/>
      <c r="AB166" s="626"/>
      <c r="AC166" s="525"/>
      <c r="AD166" s="626"/>
      <c r="AE166" s="626"/>
      <c r="AF166" s="525"/>
      <c r="AG166" s="525"/>
      <c r="AH166" s="525"/>
    </row>
    <row r="167" spans="2:34" hidden="1">
      <c r="C167" s="523"/>
      <c r="D167" s="523" t="s">
        <v>2282</v>
      </c>
      <c r="E167" s="525" t="s">
        <v>2283</v>
      </c>
      <c r="F167" s="523" t="s">
        <v>146</v>
      </c>
      <c r="G167" s="525"/>
      <c r="H167" s="525"/>
      <c r="I167" s="525">
        <f>ROUND(VLOOKUP($P167,DGNC,DG!$S$4,0)*R167*S167,0)</f>
        <v>4040</v>
      </c>
      <c r="J167" s="525">
        <f>ROUND(VLOOKUP($P167,DGNC,DG!$S$4,0)*U167*V167,0)</f>
        <v>6059</v>
      </c>
      <c r="K167" s="525">
        <f t="shared" si="51"/>
        <v>0</v>
      </c>
      <c r="L167" s="525">
        <f t="shared" si="52"/>
        <v>0</v>
      </c>
      <c r="M167" s="525">
        <f t="shared" si="53"/>
        <v>0</v>
      </c>
      <c r="N167" s="525">
        <f t="shared" si="54"/>
        <v>0</v>
      </c>
      <c r="O167" s="418">
        <f t="shared" si="32"/>
        <v>0</v>
      </c>
      <c r="P167" s="525" t="s">
        <v>289</v>
      </c>
      <c r="Q167" s="525" t="s">
        <v>2216</v>
      </c>
      <c r="R167" s="626">
        <v>4.5999999999999999E-2</v>
      </c>
      <c r="S167" s="626">
        <v>0.4</v>
      </c>
      <c r="T167" s="525" t="s">
        <v>2216</v>
      </c>
      <c r="U167" s="626">
        <v>4.5999999999999999E-2</v>
      </c>
      <c r="V167" s="626">
        <v>0.6</v>
      </c>
      <c r="W167" s="525"/>
      <c r="X167" s="626"/>
      <c r="Y167" s="626"/>
      <c r="Z167" s="525"/>
      <c r="AA167" s="626"/>
      <c r="AB167" s="626"/>
      <c r="AC167" s="525"/>
      <c r="AD167" s="626"/>
      <c r="AE167" s="626"/>
      <c r="AF167" s="525"/>
      <c r="AG167" s="525"/>
      <c r="AH167" s="525"/>
    </row>
    <row r="168" spans="2:34" hidden="1">
      <c r="C168" s="523"/>
      <c r="D168" s="523" t="s">
        <v>2284</v>
      </c>
      <c r="E168" s="525" t="s">
        <v>2285</v>
      </c>
      <c r="F168" s="523" t="s">
        <v>146</v>
      </c>
      <c r="G168" s="525"/>
      <c r="H168" s="525"/>
      <c r="I168" s="525">
        <f>ROUND(VLOOKUP($P168,DGNC,DG!$S$4,0)*R168*S168,0)</f>
        <v>6586</v>
      </c>
      <c r="J168" s="525">
        <f>ROUND(VLOOKUP($P168,DGNC,DG!$S$4,0)*U168*V168,0)</f>
        <v>9879</v>
      </c>
      <c r="K168" s="525">
        <f t="shared" si="51"/>
        <v>0</v>
      </c>
      <c r="L168" s="525">
        <f t="shared" si="52"/>
        <v>0</v>
      </c>
      <c r="M168" s="525">
        <f t="shared" si="53"/>
        <v>0</v>
      </c>
      <c r="N168" s="525">
        <f t="shared" si="54"/>
        <v>0</v>
      </c>
      <c r="O168" s="418">
        <f t="shared" si="32"/>
        <v>0</v>
      </c>
      <c r="P168" s="525" t="s">
        <v>289</v>
      </c>
      <c r="Q168" s="525" t="s">
        <v>2216</v>
      </c>
      <c r="R168" s="626">
        <v>7.4999999999999997E-2</v>
      </c>
      <c r="S168" s="626">
        <v>0.4</v>
      </c>
      <c r="T168" s="525" t="s">
        <v>2216</v>
      </c>
      <c r="U168" s="626">
        <v>7.4999999999999997E-2</v>
      </c>
      <c r="V168" s="626">
        <v>0.6</v>
      </c>
      <c r="W168" s="525"/>
      <c r="X168" s="626"/>
      <c r="Y168" s="626"/>
      <c r="Z168" s="525"/>
      <c r="AA168" s="626"/>
      <c r="AB168" s="626"/>
      <c r="AC168" s="525"/>
      <c r="AD168" s="626"/>
      <c r="AE168" s="626"/>
      <c r="AF168" s="525"/>
      <c r="AG168" s="525"/>
      <c r="AH168" s="525"/>
    </row>
    <row r="169" spans="2:34" hidden="1">
      <c r="C169" s="523"/>
      <c r="D169" s="523" t="s">
        <v>2284</v>
      </c>
      <c r="E169" s="525" t="s">
        <v>2286</v>
      </c>
      <c r="F169" s="523" t="s">
        <v>146</v>
      </c>
      <c r="G169" s="525"/>
      <c r="H169" s="525"/>
      <c r="I169" s="525">
        <f>ROUND(VLOOKUP($P169,DGNC,DG!$S$4,0)*R169*S169,0)</f>
        <v>6586</v>
      </c>
      <c r="J169" s="525">
        <f>ROUND(VLOOKUP($P169,DGNC,DG!$S$4,0)*U169*V169,0)</f>
        <v>9879</v>
      </c>
      <c r="K169" s="525">
        <f t="shared" si="51"/>
        <v>0</v>
      </c>
      <c r="L169" s="525">
        <f t="shared" si="52"/>
        <v>0</v>
      </c>
      <c r="M169" s="525">
        <f t="shared" si="53"/>
        <v>0</v>
      </c>
      <c r="N169" s="525">
        <f t="shared" si="54"/>
        <v>0</v>
      </c>
      <c r="O169" s="418">
        <f t="shared" si="32"/>
        <v>0</v>
      </c>
      <c r="P169" s="525" t="s">
        <v>289</v>
      </c>
      <c r="Q169" s="525" t="s">
        <v>2216</v>
      </c>
      <c r="R169" s="626">
        <v>7.4999999999999997E-2</v>
      </c>
      <c r="S169" s="626">
        <v>0.4</v>
      </c>
      <c r="T169" s="525" t="s">
        <v>2216</v>
      </c>
      <c r="U169" s="626">
        <v>7.4999999999999997E-2</v>
      </c>
      <c r="V169" s="626">
        <v>0.6</v>
      </c>
      <c r="W169" s="525"/>
      <c r="X169" s="626"/>
      <c r="Y169" s="626"/>
      <c r="Z169" s="525"/>
      <c r="AA169" s="626"/>
      <c r="AB169" s="626"/>
      <c r="AC169" s="525"/>
      <c r="AD169" s="626"/>
      <c r="AE169" s="626"/>
      <c r="AF169" s="525"/>
      <c r="AG169" s="525"/>
      <c r="AH169" s="525"/>
    </row>
    <row r="170" spans="2:34" hidden="1">
      <c r="C170" s="523"/>
      <c r="D170" s="523" t="s">
        <v>2284</v>
      </c>
      <c r="E170" s="525" t="s">
        <v>2287</v>
      </c>
      <c r="F170" s="523" t="s">
        <v>146</v>
      </c>
      <c r="G170" s="525"/>
      <c r="H170" s="525"/>
      <c r="I170" s="525">
        <f>ROUND(VLOOKUP($P170,DGNC,DG!$S$4,0)*R170*S170,0)</f>
        <v>6586</v>
      </c>
      <c r="J170" s="525">
        <f>ROUND(VLOOKUP($P170,DGNC,DG!$S$4,0)*U170*V170,0)</f>
        <v>9879</v>
      </c>
      <c r="K170" s="525">
        <f t="shared" si="51"/>
        <v>0</v>
      </c>
      <c r="L170" s="525">
        <f t="shared" si="52"/>
        <v>0</v>
      </c>
      <c r="M170" s="525">
        <f t="shared" si="53"/>
        <v>0</v>
      </c>
      <c r="N170" s="525">
        <f t="shared" si="54"/>
        <v>0</v>
      </c>
      <c r="O170" s="418">
        <f t="shared" si="32"/>
        <v>0</v>
      </c>
      <c r="P170" s="525" t="s">
        <v>289</v>
      </c>
      <c r="Q170" s="525" t="s">
        <v>2216</v>
      </c>
      <c r="R170" s="626">
        <v>7.4999999999999997E-2</v>
      </c>
      <c r="S170" s="626">
        <v>0.4</v>
      </c>
      <c r="T170" s="525" t="s">
        <v>2216</v>
      </c>
      <c r="U170" s="626">
        <v>7.4999999999999997E-2</v>
      </c>
      <c r="V170" s="626">
        <v>0.6</v>
      </c>
      <c r="W170" s="525"/>
      <c r="X170" s="626"/>
      <c r="Y170" s="626"/>
      <c r="Z170" s="525"/>
      <c r="AA170" s="626"/>
      <c r="AB170" s="626"/>
      <c r="AC170" s="525"/>
      <c r="AD170" s="626"/>
      <c r="AE170" s="626"/>
      <c r="AF170" s="525"/>
      <c r="AG170" s="525"/>
      <c r="AH170" s="525"/>
    </row>
    <row r="171" spans="2:34" hidden="1">
      <c r="C171" s="523"/>
      <c r="D171" s="523" t="s">
        <v>2284</v>
      </c>
      <c r="E171" s="525" t="s">
        <v>2288</v>
      </c>
      <c r="F171" s="523" t="s">
        <v>146</v>
      </c>
      <c r="G171" s="525"/>
      <c r="H171" s="525"/>
      <c r="I171" s="525">
        <f>ROUND(VLOOKUP($P171,DGNC,DG!$S$4,0)*R171*S171,0)</f>
        <v>6586</v>
      </c>
      <c r="J171" s="525">
        <f>ROUND(VLOOKUP($P171,DGNC,DG!$S$4,0)*U171*V171,0)</f>
        <v>9879</v>
      </c>
      <c r="K171" s="525">
        <f t="shared" si="51"/>
        <v>0</v>
      </c>
      <c r="L171" s="525">
        <f t="shared" si="52"/>
        <v>0</v>
      </c>
      <c r="M171" s="525">
        <f t="shared" si="53"/>
        <v>0</v>
      </c>
      <c r="N171" s="525">
        <f t="shared" si="54"/>
        <v>0</v>
      </c>
      <c r="O171" s="418">
        <f t="shared" si="32"/>
        <v>0</v>
      </c>
      <c r="P171" s="525" t="s">
        <v>289</v>
      </c>
      <c r="Q171" s="525" t="s">
        <v>2216</v>
      </c>
      <c r="R171" s="626">
        <v>7.4999999999999997E-2</v>
      </c>
      <c r="S171" s="626">
        <v>0.4</v>
      </c>
      <c r="T171" s="525" t="s">
        <v>2216</v>
      </c>
      <c r="U171" s="626">
        <v>7.4999999999999997E-2</v>
      </c>
      <c r="V171" s="626">
        <v>0.6</v>
      </c>
      <c r="W171" s="525"/>
      <c r="X171" s="626"/>
      <c r="Y171" s="626"/>
      <c r="Z171" s="525"/>
      <c r="AA171" s="626"/>
      <c r="AB171" s="626"/>
      <c r="AC171" s="525"/>
      <c r="AD171" s="626"/>
      <c r="AE171" s="626"/>
      <c r="AF171" s="525"/>
      <c r="AG171" s="525"/>
      <c r="AH171" s="525"/>
    </row>
    <row r="172" spans="2:34" hidden="1">
      <c r="C172" s="523"/>
      <c r="D172" s="523" t="s">
        <v>2284</v>
      </c>
      <c r="E172" s="525" t="s">
        <v>2289</v>
      </c>
      <c r="F172" s="523" t="s">
        <v>146</v>
      </c>
      <c r="G172" s="525"/>
      <c r="H172" s="525"/>
      <c r="I172" s="525">
        <f>ROUND(VLOOKUP($P172,DGNC,DG!$S$4,0)*R172*S172,0)</f>
        <v>6586</v>
      </c>
      <c r="J172" s="525">
        <f>ROUND(VLOOKUP($P172,DGNC,DG!$S$4,0)*U172*V172,0)</f>
        <v>9879</v>
      </c>
      <c r="K172" s="525">
        <f t="shared" si="51"/>
        <v>0</v>
      </c>
      <c r="L172" s="525">
        <f t="shared" si="52"/>
        <v>0</v>
      </c>
      <c r="M172" s="525">
        <f t="shared" si="53"/>
        <v>0</v>
      </c>
      <c r="N172" s="525">
        <f t="shared" si="54"/>
        <v>0</v>
      </c>
      <c r="O172" s="418">
        <f t="shared" si="32"/>
        <v>0</v>
      </c>
      <c r="P172" s="525" t="s">
        <v>289</v>
      </c>
      <c r="Q172" s="525" t="s">
        <v>2216</v>
      </c>
      <c r="R172" s="626">
        <v>7.4999999999999997E-2</v>
      </c>
      <c r="S172" s="626">
        <v>0.4</v>
      </c>
      <c r="T172" s="525" t="s">
        <v>2216</v>
      </c>
      <c r="U172" s="626">
        <v>7.4999999999999997E-2</v>
      </c>
      <c r="V172" s="626">
        <v>0.6</v>
      </c>
      <c r="W172" s="525"/>
      <c r="X172" s="626"/>
      <c r="Y172" s="626"/>
      <c r="Z172" s="525"/>
      <c r="AA172" s="626"/>
      <c r="AB172" s="626"/>
      <c r="AC172" s="525"/>
      <c r="AD172" s="626"/>
      <c r="AE172" s="626"/>
      <c r="AF172" s="525"/>
      <c r="AG172" s="525"/>
      <c r="AH172" s="525"/>
    </row>
    <row r="173" spans="2:34" hidden="1">
      <c r="B173" s="405" t="s">
        <v>2073</v>
      </c>
      <c r="C173" s="538" t="s">
        <v>1673</v>
      </c>
      <c r="D173" s="539" t="str">
        <f>VLOOKUP(B173,XLTBA,'6.XL-TR'!$D$2,0)</f>
        <v>0 Trạm 1 pha 100kVA</v>
      </c>
      <c r="E173" s="539"/>
      <c r="F173" s="538"/>
      <c r="G173" s="539"/>
      <c r="H173" s="539"/>
      <c r="I173" s="539"/>
      <c r="J173" s="539"/>
      <c r="K173" s="539"/>
      <c r="L173" s="539"/>
      <c r="M173" s="539">
        <f>SUM(M174:M185)</f>
        <v>0</v>
      </c>
      <c r="N173" s="539">
        <f>SUM(N174:N185)</f>
        <v>0</v>
      </c>
      <c r="O173" s="418">
        <f t="shared" si="32"/>
        <v>0</v>
      </c>
      <c r="P173" s="525"/>
      <c r="Q173" s="539"/>
      <c r="R173" s="661"/>
      <c r="S173" s="661"/>
      <c r="T173" s="539"/>
      <c r="U173" s="661"/>
      <c r="V173" s="661"/>
      <c r="W173" s="539"/>
      <c r="X173" s="661"/>
      <c r="Y173" s="661"/>
      <c r="Z173" s="539"/>
      <c r="AA173" s="661"/>
      <c r="AB173" s="661"/>
      <c r="AC173" s="525"/>
      <c r="AD173" s="626"/>
      <c r="AE173" s="626"/>
      <c r="AF173" s="525"/>
      <c r="AG173" s="525"/>
      <c r="AH173" s="525"/>
    </row>
    <row r="174" spans="2:34" hidden="1">
      <c r="C174" s="523">
        <f>IF(SUM(G174:H174)&lt;&gt;0,1,)</f>
        <v>0</v>
      </c>
      <c r="D174" s="523" t="s">
        <v>2291</v>
      </c>
      <c r="E174" s="525" t="s">
        <v>2290</v>
      </c>
      <c r="F174" s="523" t="s">
        <v>896</v>
      </c>
      <c r="G174" s="525"/>
      <c r="H174" s="525"/>
      <c r="I174" s="525">
        <f>ROUND(VLOOKUP($P174,DGNC,DG!$S$4,0)*R174*S174,0)</f>
        <v>533707</v>
      </c>
      <c r="J174" s="525">
        <f>ROUND(VLOOKUP($P174,DGNC,DG!$S$4,0)*U174*V174,0)</f>
        <v>654547</v>
      </c>
      <c r="K174" s="525">
        <f t="shared" ref="K174:K185" si="55">ROUND(IF(W174&lt;&gt;0,VLOOKUP(W174,DGMTC,8,0)*X174*Y174,)+IF(AC174&lt;&gt;0,VLOOKUP(AC174,DGMTC,8,0)*AD174*AE174,),0)</f>
        <v>485430</v>
      </c>
      <c r="L174" s="525">
        <f t="shared" ref="L174:L185" si="56">ROUND(IF(Z174&lt;&gt;0,VLOOKUP(Z174,DGMTC,8,0)*AA174*AB174,)+IF(AF174&lt;&gt;0,VLOOKUP(AF174,DGMTC,8,0)*AG174*AH174,),0)</f>
        <v>485430</v>
      </c>
      <c r="M174" s="525">
        <f t="shared" ref="M174:M185" si="57">ROUND(G174*I174+H174*J174,0)</f>
        <v>0</v>
      </c>
      <c r="N174" s="525">
        <f t="shared" ref="N174:N185" si="58">ROUND(G174*K174+H174*L174,0)</f>
        <v>0</v>
      </c>
      <c r="O174" s="418">
        <f t="shared" si="32"/>
        <v>0</v>
      </c>
      <c r="P174" s="525" t="s">
        <v>12</v>
      </c>
      <c r="Q174" s="525" t="s">
        <v>2221</v>
      </c>
      <c r="R174" s="626">
        <f>2.4+0.25</f>
        <v>2.65</v>
      </c>
      <c r="S174" s="626">
        <f>0.85</f>
        <v>0.85</v>
      </c>
      <c r="T174" s="525" t="s">
        <v>2221</v>
      </c>
      <c r="U174" s="626">
        <v>3.25</v>
      </c>
      <c r="V174" s="626">
        <v>0.85</v>
      </c>
      <c r="W174" s="525" t="s">
        <v>898</v>
      </c>
      <c r="X174" s="626">
        <v>0.7</v>
      </c>
      <c r="Y174" s="626">
        <v>0.5</v>
      </c>
      <c r="Z174" s="525" t="s">
        <v>898</v>
      </c>
      <c r="AA174" s="626">
        <v>0.7</v>
      </c>
      <c r="AB174" s="626">
        <v>0.5</v>
      </c>
      <c r="AC174" s="525"/>
      <c r="AD174" s="626"/>
      <c r="AE174" s="626"/>
      <c r="AF174" s="525"/>
      <c r="AG174" s="525"/>
      <c r="AH174" s="525"/>
    </row>
    <row r="175" spans="2:34" hidden="1">
      <c r="C175" s="523">
        <f>IF(SUM(G175:H175)&lt;&gt;0,C174+1,C174)</f>
        <v>0</v>
      </c>
      <c r="D175" s="523" t="s">
        <v>2234</v>
      </c>
      <c r="E175" s="525" t="s">
        <v>2235</v>
      </c>
      <c r="F175" s="523" t="s">
        <v>896</v>
      </c>
      <c r="G175" s="525"/>
      <c r="H175" s="525"/>
      <c r="I175" s="525">
        <f>ROUND(VLOOKUP($P175,DGNC,DG!$S$4,0)*R175*S175,0)</f>
        <v>533707</v>
      </c>
      <c r="J175" s="525">
        <f>ROUND(VLOOKUP($P175,DGNC,DG!$S$4,0)*U175*V175,0)</f>
        <v>755246</v>
      </c>
      <c r="K175" s="525">
        <f t="shared" si="55"/>
        <v>485430</v>
      </c>
      <c r="L175" s="525">
        <f t="shared" si="56"/>
        <v>485430</v>
      </c>
      <c r="M175" s="525">
        <f t="shared" si="57"/>
        <v>0</v>
      </c>
      <c r="N175" s="525">
        <f t="shared" si="58"/>
        <v>0</v>
      </c>
      <c r="O175" s="418">
        <f t="shared" si="32"/>
        <v>0</v>
      </c>
      <c r="P175" s="525" t="s">
        <v>12</v>
      </c>
      <c r="Q175" s="525" t="s">
        <v>2221</v>
      </c>
      <c r="R175" s="626">
        <f>2.4+0.25</f>
        <v>2.65</v>
      </c>
      <c r="S175" s="626">
        <f>0.85</f>
        <v>0.85</v>
      </c>
      <c r="T175" s="525" t="s">
        <v>2221</v>
      </c>
      <c r="U175" s="626">
        <v>3.75</v>
      </c>
      <c r="V175" s="626">
        <v>0.85</v>
      </c>
      <c r="W175" s="525" t="s">
        <v>898</v>
      </c>
      <c r="X175" s="626">
        <v>0.7</v>
      </c>
      <c r="Y175" s="626">
        <v>0.5</v>
      </c>
      <c r="Z175" s="525" t="s">
        <v>898</v>
      </c>
      <c r="AA175" s="626">
        <v>0.7</v>
      </c>
      <c r="AB175" s="626">
        <v>0.5</v>
      </c>
      <c r="AC175" s="525"/>
      <c r="AD175" s="626"/>
      <c r="AE175" s="626"/>
      <c r="AF175" s="525"/>
      <c r="AG175" s="525"/>
      <c r="AH175" s="525"/>
    </row>
    <row r="176" spans="2:34" hidden="1">
      <c r="C176" s="523"/>
      <c r="D176" s="523" t="s">
        <v>2236</v>
      </c>
      <c r="E176" s="525" t="s">
        <v>2237</v>
      </c>
      <c r="F176" s="523" t="s">
        <v>11</v>
      </c>
      <c r="G176" s="525"/>
      <c r="H176" s="525"/>
      <c r="I176" s="525">
        <f>ROUND(VLOOKUP($P176,DGNC,DG!$S$4,0)*R176*S176,0)</f>
        <v>379104</v>
      </c>
      <c r="J176" s="525">
        <f>ROUND(VLOOKUP($P176,DGNC,DG!$S$4,0)*U176*V176,0)</f>
        <v>568656</v>
      </c>
      <c r="K176" s="525">
        <f t="shared" si="55"/>
        <v>0</v>
      </c>
      <c r="L176" s="525">
        <f t="shared" si="56"/>
        <v>0</v>
      </c>
      <c r="M176" s="525">
        <f t="shared" si="57"/>
        <v>0</v>
      </c>
      <c r="N176" s="525">
        <f t="shared" si="58"/>
        <v>0</v>
      </c>
      <c r="O176" s="418">
        <f t="shared" si="32"/>
        <v>0</v>
      </c>
      <c r="P176" s="525" t="s">
        <v>12</v>
      </c>
      <c r="Q176" s="525" t="s">
        <v>2221</v>
      </c>
      <c r="R176" s="626">
        <v>4</v>
      </c>
      <c r="S176" s="626">
        <v>0.4</v>
      </c>
      <c r="T176" s="525" t="s">
        <v>2221</v>
      </c>
      <c r="U176" s="626">
        <v>4</v>
      </c>
      <c r="V176" s="626">
        <v>0.6</v>
      </c>
      <c r="W176" s="525"/>
      <c r="X176" s="626"/>
      <c r="Y176" s="626"/>
      <c r="Z176" s="525"/>
      <c r="AA176" s="626"/>
      <c r="AB176" s="626"/>
      <c r="AC176" s="525"/>
      <c r="AD176" s="626"/>
      <c r="AE176" s="626"/>
      <c r="AF176" s="525"/>
      <c r="AG176" s="525"/>
      <c r="AH176" s="525"/>
    </row>
    <row r="177" spans="2:34" hidden="1">
      <c r="C177" s="523"/>
      <c r="D177" s="523" t="s">
        <v>2240</v>
      </c>
      <c r="E177" s="525" t="s">
        <v>2241</v>
      </c>
      <c r="F177" s="523" t="s">
        <v>11</v>
      </c>
      <c r="G177" s="525"/>
      <c r="H177" s="525"/>
      <c r="I177" s="525">
        <f>ROUND(VLOOKUP($P177,DGNC,DG!$S$4,0)*R177*S177,0)</f>
        <v>460611</v>
      </c>
      <c r="J177" s="525">
        <f>ROUND(VLOOKUP($P177,DGNC,DG!$S$4,0)*U177*V177,0)</f>
        <v>562969</v>
      </c>
      <c r="K177" s="525">
        <f t="shared" si="55"/>
        <v>0</v>
      </c>
      <c r="L177" s="525">
        <f t="shared" si="56"/>
        <v>0</v>
      </c>
      <c r="M177" s="525">
        <f t="shared" si="57"/>
        <v>0</v>
      </c>
      <c r="N177" s="525">
        <f t="shared" si="58"/>
        <v>0</v>
      </c>
      <c r="O177" s="418">
        <f t="shared" si="32"/>
        <v>0</v>
      </c>
      <c r="P177" s="525" t="s">
        <v>12</v>
      </c>
      <c r="Q177" s="525" t="s">
        <v>2221</v>
      </c>
      <c r="R177" s="626">
        <v>4.32</v>
      </c>
      <c r="S177" s="626">
        <v>0.45</v>
      </c>
      <c r="T177" s="525" t="s">
        <v>2221</v>
      </c>
      <c r="U177" s="626">
        <v>4.32</v>
      </c>
      <c r="V177" s="626">
        <v>0.55000000000000004</v>
      </c>
      <c r="W177" s="525"/>
      <c r="X177" s="626"/>
      <c r="Y177" s="626"/>
      <c r="Z177" s="525"/>
      <c r="AA177" s="626"/>
      <c r="AB177" s="626"/>
      <c r="AC177" s="525"/>
      <c r="AD177" s="626"/>
      <c r="AE177" s="626"/>
      <c r="AF177" s="525"/>
      <c r="AG177" s="525"/>
      <c r="AH177" s="525"/>
    </row>
    <row r="178" spans="2:34" hidden="1">
      <c r="C178" s="523"/>
      <c r="D178" s="523" t="s">
        <v>2242</v>
      </c>
      <c r="E178" s="525" t="s">
        <v>2243</v>
      </c>
      <c r="F178" s="523" t="s">
        <v>11</v>
      </c>
      <c r="G178" s="525"/>
      <c r="H178" s="525"/>
      <c r="I178" s="525">
        <f>ROUND(VLOOKUP($P178,DGNC,DG!$S$4,0)*R178*S178,0)</f>
        <v>172729</v>
      </c>
      <c r="J178" s="525">
        <f>ROUND(VLOOKUP($P178,DGNC,DG!$S$4,0)*U178*V178,0)</f>
        <v>211114</v>
      </c>
      <c r="K178" s="525">
        <f t="shared" si="55"/>
        <v>0</v>
      </c>
      <c r="L178" s="525">
        <f t="shared" si="56"/>
        <v>0</v>
      </c>
      <c r="M178" s="525">
        <f t="shared" si="57"/>
        <v>0</v>
      </c>
      <c r="N178" s="525">
        <f t="shared" si="58"/>
        <v>0</v>
      </c>
      <c r="O178" s="418">
        <f t="shared" si="32"/>
        <v>0</v>
      </c>
      <c r="P178" s="525" t="s">
        <v>12</v>
      </c>
      <c r="Q178" s="525" t="s">
        <v>2221</v>
      </c>
      <c r="R178" s="626">
        <v>2.7</v>
      </c>
      <c r="S178" s="626">
        <v>0.27</v>
      </c>
      <c r="T178" s="525" t="s">
        <v>2221</v>
      </c>
      <c r="U178" s="626">
        <v>2.7</v>
      </c>
      <c r="V178" s="626">
        <v>0.33</v>
      </c>
      <c r="W178" s="525"/>
      <c r="X178" s="626"/>
      <c r="Y178" s="626"/>
      <c r="Z178" s="525"/>
      <c r="AA178" s="626"/>
      <c r="AB178" s="626"/>
      <c r="AC178" s="525"/>
      <c r="AD178" s="626"/>
      <c r="AE178" s="626"/>
      <c r="AF178" s="525"/>
      <c r="AG178" s="525"/>
      <c r="AH178" s="525"/>
    </row>
    <row r="179" spans="2:34" hidden="1">
      <c r="C179" s="523"/>
      <c r="D179" s="523" t="s">
        <v>2280</v>
      </c>
      <c r="E179" s="525" t="s">
        <v>2281</v>
      </c>
      <c r="F179" s="523" t="s">
        <v>146</v>
      </c>
      <c r="G179" s="525"/>
      <c r="H179" s="525"/>
      <c r="I179" s="525">
        <f>ROUND(VLOOKUP($P179,DGNC,DG!$S$4,0)*R179*S179,0)</f>
        <v>16681</v>
      </c>
      <c r="J179" s="525">
        <f>ROUND(VLOOKUP($P179,DGNC,DG!$S$4,0)*U179*V179,0)</f>
        <v>25021</v>
      </c>
      <c r="K179" s="525">
        <f t="shared" si="55"/>
        <v>0</v>
      </c>
      <c r="L179" s="525">
        <f t="shared" si="56"/>
        <v>0</v>
      </c>
      <c r="M179" s="525">
        <f t="shared" si="57"/>
        <v>0</v>
      </c>
      <c r="N179" s="525">
        <f t="shared" si="58"/>
        <v>0</v>
      </c>
      <c r="O179" s="418">
        <f t="shared" si="32"/>
        <v>0</v>
      </c>
      <c r="P179" s="525" t="s">
        <v>12</v>
      </c>
      <c r="Q179" s="525" t="s">
        <v>2221</v>
      </c>
      <c r="R179" s="626">
        <v>0.17599999999999999</v>
      </c>
      <c r="S179" s="626">
        <v>0.4</v>
      </c>
      <c r="T179" s="525" t="s">
        <v>2221</v>
      </c>
      <c r="U179" s="626">
        <v>0.17599999999999999</v>
      </c>
      <c r="V179" s="626">
        <v>0.6</v>
      </c>
      <c r="W179" s="525"/>
      <c r="X179" s="626"/>
      <c r="Y179" s="626"/>
      <c r="Z179" s="525"/>
      <c r="AA179" s="626"/>
      <c r="AB179" s="626"/>
      <c r="AC179" s="525"/>
      <c r="AD179" s="626"/>
      <c r="AE179" s="626"/>
      <c r="AF179" s="525"/>
      <c r="AG179" s="525"/>
      <c r="AH179" s="525"/>
    </row>
    <row r="180" spans="2:34" hidden="1">
      <c r="C180" s="523"/>
      <c r="D180" s="523" t="s">
        <v>2282</v>
      </c>
      <c r="E180" s="525" t="s">
        <v>2283</v>
      </c>
      <c r="F180" s="523" t="s">
        <v>146</v>
      </c>
      <c r="G180" s="525"/>
      <c r="H180" s="525"/>
      <c r="I180" s="525">
        <f>ROUND(VLOOKUP($P180,DGNC,DG!$S$4,0)*R180*S180,0)</f>
        <v>4040</v>
      </c>
      <c r="J180" s="525">
        <f>ROUND(VLOOKUP($P180,DGNC,DG!$S$4,0)*U180*V180,0)</f>
        <v>6059</v>
      </c>
      <c r="K180" s="525">
        <f t="shared" si="55"/>
        <v>0</v>
      </c>
      <c r="L180" s="525">
        <f t="shared" si="56"/>
        <v>0</v>
      </c>
      <c r="M180" s="525">
        <f t="shared" si="57"/>
        <v>0</v>
      </c>
      <c r="N180" s="525">
        <f t="shared" si="58"/>
        <v>0</v>
      </c>
      <c r="O180" s="418">
        <f t="shared" si="32"/>
        <v>0</v>
      </c>
      <c r="P180" s="525" t="s">
        <v>289</v>
      </c>
      <c r="Q180" s="525" t="s">
        <v>2216</v>
      </c>
      <c r="R180" s="626">
        <v>4.5999999999999999E-2</v>
      </c>
      <c r="S180" s="626">
        <v>0.4</v>
      </c>
      <c r="T180" s="525" t="s">
        <v>2216</v>
      </c>
      <c r="U180" s="626">
        <v>4.5999999999999999E-2</v>
      </c>
      <c r="V180" s="626">
        <v>0.6</v>
      </c>
      <c r="W180" s="525"/>
      <c r="X180" s="626"/>
      <c r="Y180" s="626"/>
      <c r="Z180" s="525"/>
      <c r="AA180" s="626"/>
      <c r="AB180" s="626"/>
      <c r="AC180" s="525"/>
      <c r="AD180" s="626"/>
      <c r="AE180" s="626"/>
      <c r="AF180" s="525"/>
      <c r="AG180" s="525"/>
      <c r="AH180" s="525"/>
    </row>
    <row r="181" spans="2:34" hidden="1">
      <c r="C181" s="523"/>
      <c r="D181" s="523" t="s">
        <v>2284</v>
      </c>
      <c r="E181" s="525" t="s">
        <v>2285</v>
      </c>
      <c r="F181" s="523" t="s">
        <v>146</v>
      </c>
      <c r="G181" s="525"/>
      <c r="H181" s="525"/>
      <c r="I181" s="525">
        <f>ROUND(VLOOKUP($P181,DGNC,DG!$S$4,0)*R181*S181,0)</f>
        <v>6586</v>
      </c>
      <c r="J181" s="525">
        <f>ROUND(VLOOKUP($P181,DGNC,DG!$S$4,0)*U181*V181,0)</f>
        <v>9879</v>
      </c>
      <c r="K181" s="525">
        <f t="shared" si="55"/>
        <v>0</v>
      </c>
      <c r="L181" s="525">
        <f t="shared" si="56"/>
        <v>0</v>
      </c>
      <c r="M181" s="525">
        <f t="shared" si="57"/>
        <v>0</v>
      </c>
      <c r="N181" s="525">
        <f t="shared" si="58"/>
        <v>0</v>
      </c>
      <c r="O181" s="418">
        <f t="shared" si="32"/>
        <v>0</v>
      </c>
      <c r="P181" s="525" t="s">
        <v>289</v>
      </c>
      <c r="Q181" s="525" t="s">
        <v>2216</v>
      </c>
      <c r="R181" s="626">
        <v>7.4999999999999997E-2</v>
      </c>
      <c r="S181" s="626">
        <v>0.4</v>
      </c>
      <c r="T181" s="525" t="s">
        <v>2216</v>
      </c>
      <c r="U181" s="626">
        <v>7.4999999999999997E-2</v>
      </c>
      <c r="V181" s="626">
        <v>0.6</v>
      </c>
      <c r="W181" s="525"/>
      <c r="X181" s="626"/>
      <c r="Y181" s="626"/>
      <c r="Z181" s="525"/>
      <c r="AA181" s="626"/>
      <c r="AB181" s="626"/>
      <c r="AC181" s="525"/>
      <c r="AD181" s="626"/>
      <c r="AE181" s="626"/>
      <c r="AF181" s="525"/>
      <c r="AG181" s="525"/>
      <c r="AH181" s="525"/>
    </row>
    <row r="182" spans="2:34" hidden="1">
      <c r="C182" s="523"/>
      <c r="D182" s="523" t="s">
        <v>2284</v>
      </c>
      <c r="E182" s="525" t="s">
        <v>2286</v>
      </c>
      <c r="F182" s="523" t="s">
        <v>146</v>
      </c>
      <c r="G182" s="525"/>
      <c r="H182" s="525"/>
      <c r="I182" s="525">
        <f>ROUND(VLOOKUP($P182,DGNC,DG!$S$4,0)*R182*S182,0)</f>
        <v>6586</v>
      </c>
      <c r="J182" s="525">
        <f>ROUND(VLOOKUP($P182,DGNC,DG!$S$4,0)*U182*V182,0)</f>
        <v>9879</v>
      </c>
      <c r="K182" s="525">
        <f t="shared" si="55"/>
        <v>0</v>
      </c>
      <c r="L182" s="525">
        <f t="shared" si="56"/>
        <v>0</v>
      </c>
      <c r="M182" s="525">
        <f t="shared" si="57"/>
        <v>0</v>
      </c>
      <c r="N182" s="525">
        <f t="shared" si="58"/>
        <v>0</v>
      </c>
      <c r="O182" s="418">
        <f t="shared" si="32"/>
        <v>0</v>
      </c>
      <c r="P182" s="525" t="s">
        <v>289</v>
      </c>
      <c r="Q182" s="525" t="s">
        <v>2216</v>
      </c>
      <c r="R182" s="626">
        <v>7.4999999999999997E-2</v>
      </c>
      <c r="S182" s="626">
        <v>0.4</v>
      </c>
      <c r="T182" s="525" t="s">
        <v>2216</v>
      </c>
      <c r="U182" s="626">
        <v>7.4999999999999997E-2</v>
      </c>
      <c r="V182" s="626">
        <v>0.6</v>
      </c>
      <c r="W182" s="525"/>
      <c r="X182" s="626"/>
      <c r="Y182" s="626"/>
      <c r="Z182" s="525"/>
      <c r="AA182" s="626"/>
      <c r="AB182" s="626"/>
      <c r="AC182" s="525"/>
      <c r="AD182" s="626"/>
      <c r="AE182" s="626"/>
      <c r="AF182" s="525"/>
      <c r="AG182" s="525"/>
      <c r="AH182" s="525"/>
    </row>
    <row r="183" spans="2:34" hidden="1">
      <c r="C183" s="523"/>
      <c r="D183" s="523" t="s">
        <v>2284</v>
      </c>
      <c r="E183" s="525" t="s">
        <v>2287</v>
      </c>
      <c r="F183" s="523" t="s">
        <v>146</v>
      </c>
      <c r="G183" s="525"/>
      <c r="H183" s="525"/>
      <c r="I183" s="525">
        <f>ROUND(VLOOKUP($P183,DGNC,DG!$S$4,0)*R183*S183,0)</f>
        <v>6586</v>
      </c>
      <c r="J183" s="525">
        <f>ROUND(VLOOKUP($P183,DGNC,DG!$S$4,0)*U183*V183,0)</f>
        <v>9879</v>
      </c>
      <c r="K183" s="525">
        <f t="shared" si="55"/>
        <v>0</v>
      </c>
      <c r="L183" s="525">
        <f t="shared" si="56"/>
        <v>0</v>
      </c>
      <c r="M183" s="525">
        <f t="shared" si="57"/>
        <v>0</v>
      </c>
      <c r="N183" s="525">
        <f t="shared" si="58"/>
        <v>0</v>
      </c>
      <c r="O183" s="418">
        <f t="shared" si="32"/>
        <v>0</v>
      </c>
      <c r="P183" s="525" t="s">
        <v>289</v>
      </c>
      <c r="Q183" s="525" t="s">
        <v>2216</v>
      </c>
      <c r="R183" s="626">
        <v>7.4999999999999997E-2</v>
      </c>
      <c r="S183" s="626">
        <v>0.4</v>
      </c>
      <c r="T183" s="525" t="s">
        <v>2216</v>
      </c>
      <c r="U183" s="626">
        <v>7.4999999999999997E-2</v>
      </c>
      <c r="V183" s="626">
        <v>0.6</v>
      </c>
      <c r="W183" s="525"/>
      <c r="X183" s="626"/>
      <c r="Y183" s="626"/>
      <c r="Z183" s="525"/>
      <c r="AA183" s="626"/>
      <c r="AB183" s="626"/>
      <c r="AC183" s="525"/>
      <c r="AD183" s="626"/>
      <c r="AE183" s="626"/>
      <c r="AF183" s="525"/>
      <c r="AG183" s="525"/>
      <c r="AH183" s="525"/>
    </row>
    <row r="184" spans="2:34" hidden="1">
      <c r="C184" s="523"/>
      <c r="D184" s="523" t="s">
        <v>2284</v>
      </c>
      <c r="E184" s="525" t="s">
        <v>2288</v>
      </c>
      <c r="F184" s="523" t="s">
        <v>146</v>
      </c>
      <c r="G184" s="525"/>
      <c r="H184" s="525"/>
      <c r="I184" s="525">
        <f>ROUND(VLOOKUP($P184,DGNC,DG!$S$4,0)*R184*S184,0)</f>
        <v>6586</v>
      </c>
      <c r="J184" s="525">
        <f>ROUND(VLOOKUP($P184,DGNC,DG!$S$4,0)*U184*V184,0)</f>
        <v>9879</v>
      </c>
      <c r="K184" s="525">
        <f t="shared" si="55"/>
        <v>0</v>
      </c>
      <c r="L184" s="525">
        <f t="shared" si="56"/>
        <v>0</v>
      </c>
      <c r="M184" s="525">
        <f t="shared" si="57"/>
        <v>0</v>
      </c>
      <c r="N184" s="525">
        <f t="shared" si="58"/>
        <v>0</v>
      </c>
      <c r="O184" s="418">
        <f t="shared" si="32"/>
        <v>0</v>
      </c>
      <c r="P184" s="525" t="s">
        <v>289</v>
      </c>
      <c r="Q184" s="525" t="s">
        <v>2216</v>
      </c>
      <c r="R184" s="626">
        <v>7.4999999999999997E-2</v>
      </c>
      <c r="S184" s="626">
        <v>0.4</v>
      </c>
      <c r="T184" s="525" t="s">
        <v>2216</v>
      </c>
      <c r="U184" s="626">
        <v>7.4999999999999997E-2</v>
      </c>
      <c r="V184" s="626">
        <v>0.6</v>
      </c>
      <c r="W184" s="525"/>
      <c r="X184" s="626"/>
      <c r="Y184" s="626"/>
      <c r="Z184" s="525"/>
      <c r="AA184" s="626"/>
      <c r="AB184" s="626"/>
      <c r="AC184" s="525"/>
      <c r="AD184" s="626"/>
      <c r="AE184" s="626"/>
      <c r="AF184" s="525"/>
      <c r="AG184" s="525"/>
      <c r="AH184" s="525"/>
    </row>
    <row r="185" spans="2:34" hidden="1">
      <c r="C185" s="523"/>
      <c r="D185" s="523" t="s">
        <v>2284</v>
      </c>
      <c r="E185" s="525" t="s">
        <v>2289</v>
      </c>
      <c r="F185" s="523" t="s">
        <v>146</v>
      </c>
      <c r="G185" s="525"/>
      <c r="H185" s="525"/>
      <c r="I185" s="525">
        <f>ROUND(VLOOKUP($P185,DGNC,DG!$S$4,0)*R185*S185,0)</f>
        <v>6586</v>
      </c>
      <c r="J185" s="525">
        <f>ROUND(VLOOKUP($P185,DGNC,DG!$S$4,0)*U185*V185,0)</f>
        <v>9879</v>
      </c>
      <c r="K185" s="525">
        <f t="shared" si="55"/>
        <v>0</v>
      </c>
      <c r="L185" s="525">
        <f t="shared" si="56"/>
        <v>0</v>
      </c>
      <c r="M185" s="525">
        <f t="shared" si="57"/>
        <v>0</v>
      </c>
      <c r="N185" s="525">
        <f t="shared" si="58"/>
        <v>0</v>
      </c>
      <c r="O185" s="418">
        <f t="shared" si="32"/>
        <v>0</v>
      </c>
      <c r="P185" s="525" t="s">
        <v>289</v>
      </c>
      <c r="Q185" s="525" t="s">
        <v>2216</v>
      </c>
      <c r="R185" s="626">
        <v>7.4999999999999997E-2</v>
      </c>
      <c r="S185" s="626">
        <v>0.4</v>
      </c>
      <c r="T185" s="525" t="s">
        <v>2216</v>
      </c>
      <c r="U185" s="626">
        <v>7.4999999999999997E-2</v>
      </c>
      <c r="V185" s="626">
        <v>0.6</v>
      </c>
      <c r="W185" s="525"/>
      <c r="X185" s="626"/>
      <c r="Y185" s="626"/>
      <c r="Z185" s="525"/>
      <c r="AA185" s="626"/>
      <c r="AB185" s="626"/>
      <c r="AC185" s="525"/>
      <c r="AD185" s="626"/>
      <c r="AE185" s="626"/>
      <c r="AF185" s="525"/>
      <c r="AG185" s="525"/>
      <c r="AH185" s="525"/>
    </row>
    <row r="186" spans="2:34" hidden="1">
      <c r="B186" s="405" t="s">
        <v>2076</v>
      </c>
      <c r="C186" s="538" t="s">
        <v>1673</v>
      </c>
      <c r="D186" s="539" t="str">
        <f>VLOOKUP(B186,XLTBA,'6.XL-TR'!$D$2,0)</f>
        <v>0 Trạm 3 pha 3x25kVA</v>
      </c>
      <c r="E186" s="539"/>
      <c r="F186" s="538"/>
      <c r="G186" s="539"/>
      <c r="H186" s="539"/>
      <c r="I186" s="539"/>
      <c r="J186" s="539"/>
      <c r="K186" s="539"/>
      <c r="L186" s="539"/>
      <c r="M186" s="539">
        <f>SUM(M187:M198)</f>
        <v>0</v>
      </c>
      <c r="N186" s="539">
        <f>SUM(N187:N198)</f>
        <v>0</v>
      </c>
      <c r="O186" s="418">
        <f t="shared" si="32"/>
        <v>0</v>
      </c>
      <c r="P186" s="525"/>
      <c r="Q186" s="539"/>
      <c r="R186" s="661"/>
      <c r="S186" s="661"/>
      <c r="T186" s="539"/>
      <c r="U186" s="661"/>
      <c r="V186" s="661"/>
      <c r="W186" s="539"/>
      <c r="X186" s="661"/>
      <c r="Y186" s="661"/>
      <c r="Z186" s="539"/>
      <c r="AA186" s="661"/>
      <c r="AB186" s="661"/>
      <c r="AC186" s="525"/>
      <c r="AD186" s="626"/>
      <c r="AE186" s="626"/>
      <c r="AF186" s="525"/>
      <c r="AG186" s="525"/>
      <c r="AH186" s="525"/>
    </row>
    <row r="187" spans="2:34" hidden="1">
      <c r="C187" s="523">
        <f>IF(SUM(G187:H187)&lt;&gt;0,1,)</f>
        <v>0</v>
      </c>
      <c r="D187" s="523" t="s">
        <v>2291</v>
      </c>
      <c r="E187" s="525" t="s">
        <v>2290</v>
      </c>
      <c r="F187" s="523" t="s">
        <v>896</v>
      </c>
      <c r="G187" s="525"/>
      <c r="H187" s="525"/>
      <c r="I187" s="525">
        <f>ROUND(VLOOKUP($P187,DGNC,DG!$S$4,0)*R187*S187,0)</f>
        <v>533707</v>
      </c>
      <c r="J187" s="525">
        <f>ROUND(VLOOKUP($P187,DGNC,DG!$S$4,0)*U187*V187,0)</f>
        <v>654547</v>
      </c>
      <c r="K187" s="525">
        <f t="shared" ref="K187:K198" si="59">ROUND(IF(W187&lt;&gt;0,VLOOKUP(W187,DGMTC,8,0)*X187*Y187,)+IF(AC187&lt;&gt;0,VLOOKUP(AC187,DGMTC,8,0)*AD187*AE187,),0)</f>
        <v>485430</v>
      </c>
      <c r="L187" s="525">
        <f t="shared" ref="L187:L198" si="60">ROUND(IF(Z187&lt;&gt;0,VLOOKUP(Z187,DGMTC,8,0)*AA187*AB187,)+IF(AF187&lt;&gt;0,VLOOKUP(AF187,DGMTC,8,0)*AG187*AH187,),0)</f>
        <v>485430</v>
      </c>
      <c r="M187" s="525">
        <f t="shared" ref="M187:M198" si="61">ROUND(G187*I187+H187*J187,0)</f>
        <v>0</v>
      </c>
      <c r="N187" s="525">
        <f t="shared" ref="N187:N198" si="62">ROUND(G187*K187+H187*L187,0)</f>
        <v>0</v>
      </c>
      <c r="O187" s="418">
        <f t="shared" ref="O187:O250" si="63">IF((M187+N187)&lt;&gt;0,1,)</f>
        <v>0</v>
      </c>
      <c r="P187" s="525" t="s">
        <v>12</v>
      </c>
      <c r="Q187" s="525" t="s">
        <v>2221</v>
      </c>
      <c r="R187" s="626">
        <f>2.4+0.25</f>
        <v>2.65</v>
      </c>
      <c r="S187" s="626">
        <f>0.85</f>
        <v>0.85</v>
      </c>
      <c r="T187" s="525" t="s">
        <v>2221</v>
      </c>
      <c r="U187" s="626">
        <v>3.25</v>
      </c>
      <c r="V187" s="626">
        <v>0.85</v>
      </c>
      <c r="W187" s="525" t="s">
        <v>898</v>
      </c>
      <c r="X187" s="626">
        <v>0.7</v>
      </c>
      <c r="Y187" s="626">
        <v>0.5</v>
      </c>
      <c r="Z187" s="525" t="s">
        <v>898</v>
      </c>
      <c r="AA187" s="626">
        <v>0.7</v>
      </c>
      <c r="AB187" s="626">
        <v>0.5</v>
      </c>
      <c r="AC187" s="525"/>
      <c r="AD187" s="626"/>
      <c r="AE187" s="626"/>
      <c r="AF187" s="525"/>
      <c r="AG187" s="525"/>
      <c r="AH187" s="525"/>
    </row>
    <row r="188" spans="2:34" hidden="1">
      <c r="C188" s="523">
        <f>IF(SUM(G188:H188)&lt;&gt;0,C187+1,C187)</f>
        <v>0</v>
      </c>
      <c r="D188" s="523" t="s">
        <v>2234</v>
      </c>
      <c r="E188" s="525" t="s">
        <v>2235</v>
      </c>
      <c r="F188" s="523" t="s">
        <v>896</v>
      </c>
      <c r="G188" s="525"/>
      <c r="H188" s="525"/>
      <c r="I188" s="525">
        <f>ROUND(VLOOKUP($P188,DGNC,DG!$S$4,0)*R188*S188,0)</f>
        <v>533707</v>
      </c>
      <c r="J188" s="525">
        <f>ROUND(VLOOKUP($P188,DGNC,DG!$S$4,0)*U188*V188,0)</f>
        <v>755246</v>
      </c>
      <c r="K188" s="525">
        <f t="shared" si="59"/>
        <v>485430</v>
      </c>
      <c r="L188" s="525">
        <f t="shared" si="60"/>
        <v>485430</v>
      </c>
      <c r="M188" s="525">
        <f t="shared" si="61"/>
        <v>0</v>
      </c>
      <c r="N188" s="525">
        <f t="shared" si="62"/>
        <v>0</v>
      </c>
      <c r="O188" s="418">
        <f t="shared" si="63"/>
        <v>0</v>
      </c>
      <c r="P188" s="525" t="s">
        <v>12</v>
      </c>
      <c r="Q188" s="525" t="s">
        <v>2221</v>
      </c>
      <c r="R188" s="626">
        <f>2.4+0.25</f>
        <v>2.65</v>
      </c>
      <c r="S188" s="626">
        <f>0.85</f>
        <v>0.85</v>
      </c>
      <c r="T188" s="525" t="s">
        <v>2221</v>
      </c>
      <c r="U188" s="626">
        <v>3.75</v>
      </c>
      <c r="V188" s="626">
        <v>0.85</v>
      </c>
      <c r="W188" s="525" t="s">
        <v>898</v>
      </c>
      <c r="X188" s="626">
        <v>0.7</v>
      </c>
      <c r="Y188" s="626">
        <v>0.5</v>
      </c>
      <c r="Z188" s="525" t="s">
        <v>898</v>
      </c>
      <c r="AA188" s="626">
        <v>0.7</v>
      </c>
      <c r="AB188" s="626">
        <v>0.5</v>
      </c>
      <c r="AC188" s="525"/>
      <c r="AD188" s="626"/>
      <c r="AE188" s="626"/>
      <c r="AF188" s="525"/>
      <c r="AG188" s="525"/>
      <c r="AH188" s="525"/>
    </row>
    <row r="189" spans="2:34" hidden="1">
      <c r="C189" s="523"/>
      <c r="D189" s="523" t="s">
        <v>2236</v>
      </c>
      <c r="E189" s="525" t="s">
        <v>2237</v>
      </c>
      <c r="F189" s="523" t="s">
        <v>11</v>
      </c>
      <c r="G189" s="525"/>
      <c r="H189" s="525"/>
      <c r="I189" s="525">
        <f>ROUND(VLOOKUP($P189,DGNC,DG!$S$4,0)*R189*S189,0)</f>
        <v>379104</v>
      </c>
      <c r="J189" s="525">
        <f>ROUND(VLOOKUP($P189,DGNC,DG!$S$4,0)*U189*V189,0)</f>
        <v>568656</v>
      </c>
      <c r="K189" s="525">
        <f t="shared" si="59"/>
        <v>0</v>
      </c>
      <c r="L189" s="525">
        <f t="shared" si="60"/>
        <v>0</v>
      </c>
      <c r="M189" s="525">
        <f t="shared" si="61"/>
        <v>0</v>
      </c>
      <c r="N189" s="525">
        <f t="shared" si="62"/>
        <v>0</v>
      </c>
      <c r="O189" s="418">
        <f t="shared" si="63"/>
        <v>0</v>
      </c>
      <c r="P189" s="525" t="s">
        <v>12</v>
      </c>
      <c r="Q189" s="525" t="s">
        <v>2221</v>
      </c>
      <c r="R189" s="626">
        <v>4</v>
      </c>
      <c r="S189" s="626">
        <v>0.4</v>
      </c>
      <c r="T189" s="525" t="s">
        <v>2221</v>
      </c>
      <c r="U189" s="626">
        <v>4</v>
      </c>
      <c r="V189" s="626">
        <v>0.6</v>
      </c>
      <c r="W189" s="525"/>
      <c r="X189" s="626"/>
      <c r="Y189" s="626"/>
      <c r="Z189" s="525"/>
      <c r="AA189" s="626"/>
      <c r="AB189" s="626"/>
      <c r="AC189" s="525"/>
      <c r="AD189" s="626"/>
      <c r="AE189" s="626"/>
      <c r="AF189" s="525"/>
      <c r="AG189" s="525"/>
      <c r="AH189" s="525"/>
    </row>
    <row r="190" spans="2:34" hidden="1">
      <c r="C190" s="523"/>
      <c r="D190" s="523" t="s">
        <v>2240</v>
      </c>
      <c r="E190" s="525" t="s">
        <v>2241</v>
      </c>
      <c r="F190" s="523" t="s">
        <v>11</v>
      </c>
      <c r="G190" s="525"/>
      <c r="H190" s="525"/>
      <c r="I190" s="525">
        <f>ROUND(VLOOKUP($P190,DGNC,DG!$S$4,0)*R190*S190,0)</f>
        <v>460611</v>
      </c>
      <c r="J190" s="525">
        <f>ROUND(VLOOKUP($P190,DGNC,DG!$S$4,0)*U190*V190,0)</f>
        <v>562969</v>
      </c>
      <c r="K190" s="525">
        <f t="shared" si="59"/>
        <v>0</v>
      </c>
      <c r="L190" s="525">
        <f t="shared" si="60"/>
        <v>0</v>
      </c>
      <c r="M190" s="525">
        <f t="shared" si="61"/>
        <v>0</v>
      </c>
      <c r="N190" s="525">
        <f t="shared" si="62"/>
        <v>0</v>
      </c>
      <c r="O190" s="418">
        <f t="shared" si="63"/>
        <v>0</v>
      </c>
      <c r="P190" s="525" t="s">
        <v>12</v>
      </c>
      <c r="Q190" s="525" t="s">
        <v>2221</v>
      </c>
      <c r="R190" s="626">
        <v>4.32</v>
      </c>
      <c r="S190" s="626">
        <v>0.45</v>
      </c>
      <c r="T190" s="525" t="s">
        <v>2221</v>
      </c>
      <c r="U190" s="626">
        <v>4.32</v>
      </c>
      <c r="V190" s="626">
        <v>0.55000000000000004</v>
      </c>
      <c r="W190" s="525"/>
      <c r="X190" s="626"/>
      <c r="Y190" s="626"/>
      <c r="Z190" s="525"/>
      <c r="AA190" s="626"/>
      <c r="AB190" s="626"/>
      <c r="AC190" s="525"/>
      <c r="AD190" s="626"/>
      <c r="AE190" s="626"/>
      <c r="AF190" s="525"/>
      <c r="AG190" s="525"/>
      <c r="AH190" s="525"/>
    </row>
    <row r="191" spans="2:34" hidden="1">
      <c r="C191" s="523"/>
      <c r="D191" s="523" t="s">
        <v>2242</v>
      </c>
      <c r="E191" s="525" t="s">
        <v>2243</v>
      </c>
      <c r="F191" s="523" t="s">
        <v>11</v>
      </c>
      <c r="G191" s="525"/>
      <c r="H191" s="525"/>
      <c r="I191" s="525">
        <f>ROUND(VLOOKUP($P191,DGNC,DG!$S$4,0)*R191*S191,0)</f>
        <v>172729</v>
      </c>
      <c r="J191" s="525">
        <f>ROUND(VLOOKUP($P191,DGNC,DG!$S$4,0)*U191*V191,0)</f>
        <v>211114</v>
      </c>
      <c r="K191" s="525">
        <f t="shared" si="59"/>
        <v>0</v>
      </c>
      <c r="L191" s="525">
        <f t="shared" si="60"/>
        <v>0</v>
      </c>
      <c r="M191" s="525">
        <f t="shared" si="61"/>
        <v>0</v>
      </c>
      <c r="N191" s="525">
        <f t="shared" si="62"/>
        <v>0</v>
      </c>
      <c r="O191" s="418">
        <f t="shared" si="63"/>
        <v>0</v>
      </c>
      <c r="P191" s="525" t="s">
        <v>12</v>
      </c>
      <c r="Q191" s="525" t="s">
        <v>2221</v>
      </c>
      <c r="R191" s="626">
        <v>2.7</v>
      </c>
      <c r="S191" s="626">
        <v>0.27</v>
      </c>
      <c r="T191" s="525" t="s">
        <v>2221</v>
      </c>
      <c r="U191" s="626">
        <v>2.7</v>
      </c>
      <c r="V191" s="626">
        <v>0.33</v>
      </c>
      <c r="W191" s="525"/>
      <c r="X191" s="626"/>
      <c r="Y191" s="626"/>
      <c r="Z191" s="525"/>
      <c r="AA191" s="626"/>
      <c r="AB191" s="626"/>
      <c r="AC191" s="525"/>
      <c r="AD191" s="626"/>
      <c r="AE191" s="626"/>
      <c r="AF191" s="525"/>
      <c r="AG191" s="525"/>
      <c r="AH191" s="525"/>
    </row>
    <row r="192" spans="2:34" hidden="1">
      <c r="C192" s="523"/>
      <c r="D192" s="523" t="s">
        <v>2280</v>
      </c>
      <c r="E192" s="525" t="s">
        <v>2281</v>
      </c>
      <c r="F192" s="523" t="s">
        <v>146</v>
      </c>
      <c r="G192" s="525"/>
      <c r="H192" s="525"/>
      <c r="I192" s="525">
        <f>ROUND(VLOOKUP($P192,DGNC,DG!$S$4,0)*R192*S192,0)</f>
        <v>16681</v>
      </c>
      <c r="J192" s="525">
        <f>ROUND(VLOOKUP($P192,DGNC,DG!$S$4,0)*U192*V192,0)</f>
        <v>25021</v>
      </c>
      <c r="K192" s="525">
        <f t="shared" si="59"/>
        <v>0</v>
      </c>
      <c r="L192" s="525">
        <f t="shared" si="60"/>
        <v>0</v>
      </c>
      <c r="M192" s="525">
        <f t="shared" si="61"/>
        <v>0</v>
      </c>
      <c r="N192" s="525">
        <f t="shared" si="62"/>
        <v>0</v>
      </c>
      <c r="O192" s="418">
        <f t="shared" si="63"/>
        <v>0</v>
      </c>
      <c r="P192" s="525" t="s">
        <v>12</v>
      </c>
      <c r="Q192" s="525" t="s">
        <v>2221</v>
      </c>
      <c r="R192" s="626">
        <v>0.17599999999999999</v>
      </c>
      <c r="S192" s="626">
        <v>0.4</v>
      </c>
      <c r="T192" s="525" t="s">
        <v>2221</v>
      </c>
      <c r="U192" s="626">
        <v>0.17599999999999999</v>
      </c>
      <c r="V192" s="626">
        <v>0.6</v>
      </c>
      <c r="W192" s="525"/>
      <c r="X192" s="626"/>
      <c r="Y192" s="626"/>
      <c r="Z192" s="525"/>
      <c r="AA192" s="626"/>
      <c r="AB192" s="626"/>
      <c r="AC192" s="525"/>
      <c r="AD192" s="626"/>
      <c r="AE192" s="626"/>
      <c r="AF192" s="525"/>
      <c r="AG192" s="525"/>
      <c r="AH192" s="525"/>
    </row>
    <row r="193" spans="2:34" hidden="1">
      <c r="C193" s="523"/>
      <c r="D193" s="523" t="s">
        <v>2282</v>
      </c>
      <c r="E193" s="525" t="s">
        <v>2283</v>
      </c>
      <c r="F193" s="523" t="s">
        <v>146</v>
      </c>
      <c r="G193" s="525"/>
      <c r="H193" s="525"/>
      <c r="I193" s="525">
        <f>ROUND(VLOOKUP($P193,DGNC,DG!$S$4,0)*R193*S193,0)</f>
        <v>4040</v>
      </c>
      <c r="J193" s="525">
        <f>ROUND(VLOOKUP($P193,DGNC,DG!$S$4,0)*U193*V193,0)</f>
        <v>6059</v>
      </c>
      <c r="K193" s="525">
        <f t="shared" si="59"/>
        <v>0</v>
      </c>
      <c r="L193" s="525">
        <f t="shared" si="60"/>
        <v>0</v>
      </c>
      <c r="M193" s="525">
        <f t="shared" si="61"/>
        <v>0</v>
      </c>
      <c r="N193" s="525">
        <f t="shared" si="62"/>
        <v>0</v>
      </c>
      <c r="O193" s="418">
        <f t="shared" si="63"/>
        <v>0</v>
      </c>
      <c r="P193" s="525" t="s">
        <v>289</v>
      </c>
      <c r="Q193" s="525" t="s">
        <v>2216</v>
      </c>
      <c r="R193" s="626">
        <v>4.5999999999999999E-2</v>
      </c>
      <c r="S193" s="626">
        <v>0.4</v>
      </c>
      <c r="T193" s="525" t="s">
        <v>2216</v>
      </c>
      <c r="U193" s="626">
        <v>4.5999999999999999E-2</v>
      </c>
      <c r="V193" s="626">
        <v>0.6</v>
      </c>
      <c r="W193" s="525"/>
      <c r="X193" s="626"/>
      <c r="Y193" s="626"/>
      <c r="Z193" s="525"/>
      <c r="AA193" s="626"/>
      <c r="AB193" s="626"/>
      <c r="AC193" s="525"/>
      <c r="AD193" s="626"/>
      <c r="AE193" s="626"/>
      <c r="AF193" s="525"/>
      <c r="AG193" s="525"/>
      <c r="AH193" s="525"/>
    </row>
    <row r="194" spans="2:34" hidden="1">
      <c r="C194" s="523"/>
      <c r="D194" s="523" t="s">
        <v>2284</v>
      </c>
      <c r="E194" s="525" t="s">
        <v>2285</v>
      </c>
      <c r="F194" s="523" t="s">
        <v>146</v>
      </c>
      <c r="G194" s="525"/>
      <c r="H194" s="525"/>
      <c r="I194" s="525">
        <f>ROUND(VLOOKUP($P194,DGNC,DG!$S$4,0)*R194*S194,0)</f>
        <v>6586</v>
      </c>
      <c r="J194" s="525">
        <f>ROUND(VLOOKUP($P194,DGNC,DG!$S$4,0)*U194*V194,0)</f>
        <v>9879</v>
      </c>
      <c r="K194" s="525">
        <f t="shared" si="59"/>
        <v>0</v>
      </c>
      <c r="L194" s="525">
        <f t="shared" si="60"/>
        <v>0</v>
      </c>
      <c r="M194" s="525">
        <f t="shared" si="61"/>
        <v>0</v>
      </c>
      <c r="N194" s="525">
        <f t="shared" si="62"/>
        <v>0</v>
      </c>
      <c r="O194" s="418">
        <f t="shared" si="63"/>
        <v>0</v>
      </c>
      <c r="P194" s="525" t="s">
        <v>289</v>
      </c>
      <c r="Q194" s="525" t="s">
        <v>2216</v>
      </c>
      <c r="R194" s="626">
        <v>7.4999999999999997E-2</v>
      </c>
      <c r="S194" s="626">
        <v>0.4</v>
      </c>
      <c r="T194" s="525" t="s">
        <v>2216</v>
      </c>
      <c r="U194" s="626">
        <v>7.4999999999999997E-2</v>
      </c>
      <c r="V194" s="626">
        <v>0.6</v>
      </c>
      <c r="W194" s="525"/>
      <c r="X194" s="626"/>
      <c r="Y194" s="626"/>
      <c r="Z194" s="525"/>
      <c r="AA194" s="626"/>
      <c r="AB194" s="626"/>
      <c r="AC194" s="525"/>
      <c r="AD194" s="626"/>
      <c r="AE194" s="626"/>
      <c r="AF194" s="525"/>
      <c r="AG194" s="525"/>
      <c r="AH194" s="525"/>
    </row>
    <row r="195" spans="2:34" hidden="1">
      <c r="C195" s="523"/>
      <c r="D195" s="523" t="s">
        <v>2284</v>
      </c>
      <c r="E195" s="525" t="s">
        <v>2286</v>
      </c>
      <c r="F195" s="523" t="s">
        <v>146</v>
      </c>
      <c r="G195" s="525"/>
      <c r="H195" s="525"/>
      <c r="I195" s="525">
        <f>ROUND(VLOOKUP($P195,DGNC,DG!$S$4,0)*R195*S195,0)</f>
        <v>6586</v>
      </c>
      <c r="J195" s="525">
        <f>ROUND(VLOOKUP($P195,DGNC,DG!$S$4,0)*U195*V195,0)</f>
        <v>9879</v>
      </c>
      <c r="K195" s="525">
        <f t="shared" si="59"/>
        <v>0</v>
      </c>
      <c r="L195" s="525">
        <f t="shared" si="60"/>
        <v>0</v>
      </c>
      <c r="M195" s="525">
        <f t="shared" si="61"/>
        <v>0</v>
      </c>
      <c r="N195" s="525">
        <f t="shared" si="62"/>
        <v>0</v>
      </c>
      <c r="O195" s="418">
        <f t="shared" si="63"/>
        <v>0</v>
      </c>
      <c r="P195" s="525" t="s">
        <v>289</v>
      </c>
      <c r="Q195" s="525" t="s">
        <v>2216</v>
      </c>
      <c r="R195" s="626">
        <v>7.4999999999999997E-2</v>
      </c>
      <c r="S195" s="626">
        <v>0.4</v>
      </c>
      <c r="T195" s="525" t="s">
        <v>2216</v>
      </c>
      <c r="U195" s="626">
        <v>7.4999999999999997E-2</v>
      </c>
      <c r="V195" s="626">
        <v>0.6</v>
      </c>
      <c r="W195" s="525"/>
      <c r="X195" s="626"/>
      <c r="Y195" s="626"/>
      <c r="Z195" s="525"/>
      <c r="AA195" s="626"/>
      <c r="AB195" s="626"/>
      <c r="AC195" s="525"/>
      <c r="AD195" s="626"/>
      <c r="AE195" s="626"/>
      <c r="AF195" s="525"/>
      <c r="AG195" s="525"/>
      <c r="AH195" s="525"/>
    </row>
    <row r="196" spans="2:34" hidden="1">
      <c r="C196" s="523"/>
      <c r="D196" s="523" t="s">
        <v>2284</v>
      </c>
      <c r="E196" s="525" t="s">
        <v>2287</v>
      </c>
      <c r="F196" s="523" t="s">
        <v>146</v>
      </c>
      <c r="G196" s="525"/>
      <c r="H196" s="525"/>
      <c r="I196" s="525">
        <f>ROUND(VLOOKUP($P196,DGNC,DG!$S$4,0)*R196*S196,0)</f>
        <v>6586</v>
      </c>
      <c r="J196" s="525">
        <f>ROUND(VLOOKUP($P196,DGNC,DG!$S$4,0)*U196*V196,0)</f>
        <v>9879</v>
      </c>
      <c r="K196" s="525">
        <f t="shared" si="59"/>
        <v>0</v>
      </c>
      <c r="L196" s="525">
        <f t="shared" si="60"/>
        <v>0</v>
      </c>
      <c r="M196" s="525">
        <f t="shared" si="61"/>
        <v>0</v>
      </c>
      <c r="N196" s="525">
        <f t="shared" si="62"/>
        <v>0</v>
      </c>
      <c r="O196" s="418">
        <f t="shared" si="63"/>
        <v>0</v>
      </c>
      <c r="P196" s="525" t="s">
        <v>289</v>
      </c>
      <c r="Q196" s="525" t="s">
        <v>2216</v>
      </c>
      <c r="R196" s="626">
        <v>7.4999999999999997E-2</v>
      </c>
      <c r="S196" s="626">
        <v>0.4</v>
      </c>
      <c r="T196" s="525" t="s">
        <v>2216</v>
      </c>
      <c r="U196" s="626">
        <v>7.4999999999999997E-2</v>
      </c>
      <c r="V196" s="626">
        <v>0.6</v>
      </c>
      <c r="W196" s="525"/>
      <c r="X196" s="626"/>
      <c r="Y196" s="626"/>
      <c r="Z196" s="525"/>
      <c r="AA196" s="626"/>
      <c r="AB196" s="626"/>
      <c r="AC196" s="525"/>
      <c r="AD196" s="626"/>
      <c r="AE196" s="626"/>
      <c r="AF196" s="525"/>
      <c r="AG196" s="525"/>
      <c r="AH196" s="525"/>
    </row>
    <row r="197" spans="2:34" hidden="1">
      <c r="C197" s="523"/>
      <c r="D197" s="523" t="s">
        <v>2284</v>
      </c>
      <c r="E197" s="525" t="s">
        <v>2288</v>
      </c>
      <c r="F197" s="523" t="s">
        <v>146</v>
      </c>
      <c r="G197" s="525"/>
      <c r="H197" s="525"/>
      <c r="I197" s="525">
        <f>ROUND(VLOOKUP($P197,DGNC,DG!$S$4,0)*R197*S197,0)</f>
        <v>6586</v>
      </c>
      <c r="J197" s="525">
        <f>ROUND(VLOOKUP($P197,DGNC,DG!$S$4,0)*U197*V197,0)</f>
        <v>9879</v>
      </c>
      <c r="K197" s="525">
        <f t="shared" si="59"/>
        <v>0</v>
      </c>
      <c r="L197" s="525">
        <f t="shared" si="60"/>
        <v>0</v>
      </c>
      <c r="M197" s="525">
        <f t="shared" si="61"/>
        <v>0</v>
      </c>
      <c r="N197" s="525">
        <f t="shared" si="62"/>
        <v>0</v>
      </c>
      <c r="O197" s="418">
        <f t="shared" si="63"/>
        <v>0</v>
      </c>
      <c r="P197" s="525" t="s">
        <v>289</v>
      </c>
      <c r="Q197" s="525" t="s">
        <v>2216</v>
      </c>
      <c r="R197" s="626">
        <v>7.4999999999999997E-2</v>
      </c>
      <c r="S197" s="626">
        <v>0.4</v>
      </c>
      <c r="T197" s="525" t="s">
        <v>2216</v>
      </c>
      <c r="U197" s="626">
        <v>7.4999999999999997E-2</v>
      </c>
      <c r="V197" s="626">
        <v>0.6</v>
      </c>
      <c r="W197" s="525"/>
      <c r="X197" s="626"/>
      <c r="Y197" s="626"/>
      <c r="Z197" s="525"/>
      <c r="AA197" s="626"/>
      <c r="AB197" s="626"/>
      <c r="AC197" s="525"/>
      <c r="AD197" s="626"/>
      <c r="AE197" s="626"/>
      <c r="AF197" s="525"/>
      <c r="AG197" s="525"/>
      <c r="AH197" s="525"/>
    </row>
    <row r="198" spans="2:34" hidden="1">
      <c r="C198" s="523"/>
      <c r="D198" s="523" t="s">
        <v>2284</v>
      </c>
      <c r="E198" s="525" t="s">
        <v>2289</v>
      </c>
      <c r="F198" s="523" t="s">
        <v>146</v>
      </c>
      <c r="G198" s="525"/>
      <c r="H198" s="525"/>
      <c r="I198" s="525">
        <f>ROUND(VLOOKUP($P198,DGNC,DG!$S$4,0)*R198*S198,0)</f>
        <v>6586</v>
      </c>
      <c r="J198" s="525">
        <f>ROUND(VLOOKUP($P198,DGNC,DG!$S$4,0)*U198*V198,0)</f>
        <v>9879</v>
      </c>
      <c r="K198" s="525">
        <f t="shared" si="59"/>
        <v>0</v>
      </c>
      <c r="L198" s="525">
        <f t="shared" si="60"/>
        <v>0</v>
      </c>
      <c r="M198" s="525">
        <f t="shared" si="61"/>
        <v>0</v>
      </c>
      <c r="N198" s="525">
        <f t="shared" si="62"/>
        <v>0</v>
      </c>
      <c r="O198" s="418">
        <f t="shared" si="63"/>
        <v>0</v>
      </c>
      <c r="P198" s="525" t="s">
        <v>289</v>
      </c>
      <c r="Q198" s="525" t="s">
        <v>2216</v>
      </c>
      <c r="R198" s="626">
        <v>7.4999999999999997E-2</v>
      </c>
      <c r="S198" s="626">
        <v>0.4</v>
      </c>
      <c r="T198" s="525" t="s">
        <v>2216</v>
      </c>
      <c r="U198" s="626">
        <v>7.4999999999999997E-2</v>
      </c>
      <c r="V198" s="626">
        <v>0.6</v>
      </c>
      <c r="W198" s="525"/>
      <c r="X198" s="626"/>
      <c r="Y198" s="626"/>
      <c r="Z198" s="525"/>
      <c r="AA198" s="626"/>
      <c r="AB198" s="626"/>
      <c r="AC198" s="525"/>
      <c r="AD198" s="626"/>
      <c r="AE198" s="626"/>
      <c r="AF198" s="525"/>
      <c r="AG198" s="525"/>
      <c r="AH198" s="525"/>
    </row>
    <row r="199" spans="2:34" hidden="1">
      <c r="B199" s="405" t="s">
        <v>2079</v>
      </c>
      <c r="C199" s="538" t="s">
        <v>1673</v>
      </c>
      <c r="D199" s="539" t="str">
        <f>VLOOKUP(B199,XLTBA,'6.XL-TR'!$D$2,0)</f>
        <v>0 Trạm 3 pha 3x37,5kVA</v>
      </c>
      <c r="E199" s="539"/>
      <c r="F199" s="538"/>
      <c r="G199" s="539"/>
      <c r="H199" s="539"/>
      <c r="I199" s="539"/>
      <c r="J199" s="539"/>
      <c r="K199" s="539"/>
      <c r="L199" s="539"/>
      <c r="M199" s="539">
        <f>SUM(M200:M211)</f>
        <v>0</v>
      </c>
      <c r="N199" s="539">
        <f>SUM(N200:N211)</f>
        <v>0</v>
      </c>
      <c r="O199" s="418">
        <f t="shared" si="63"/>
        <v>0</v>
      </c>
      <c r="P199" s="525"/>
      <c r="Q199" s="539"/>
      <c r="R199" s="661"/>
      <c r="S199" s="661"/>
      <c r="T199" s="539"/>
      <c r="U199" s="661"/>
      <c r="V199" s="661"/>
      <c r="W199" s="539"/>
      <c r="X199" s="661"/>
      <c r="Y199" s="661"/>
      <c r="Z199" s="539"/>
      <c r="AA199" s="661"/>
      <c r="AB199" s="661"/>
      <c r="AC199" s="525"/>
      <c r="AD199" s="626"/>
      <c r="AE199" s="626"/>
      <c r="AF199" s="525"/>
      <c r="AG199" s="525"/>
      <c r="AH199" s="525"/>
    </row>
    <row r="200" spans="2:34" hidden="1">
      <c r="C200" s="523">
        <f>IF(SUM(G200:H200)&lt;&gt;0,1,)</f>
        <v>0</v>
      </c>
      <c r="D200" s="523" t="s">
        <v>2291</v>
      </c>
      <c r="E200" s="525" t="s">
        <v>2290</v>
      </c>
      <c r="F200" s="523" t="s">
        <v>896</v>
      </c>
      <c r="G200" s="525"/>
      <c r="H200" s="525"/>
      <c r="I200" s="525">
        <f>ROUND(VLOOKUP($P200,DGNC,DG!$S$4,0)*R200*S200,0)</f>
        <v>533707</v>
      </c>
      <c r="J200" s="525">
        <f>ROUND(VLOOKUP($P200,DGNC,DG!$S$4,0)*U200*V200,0)</f>
        <v>654547</v>
      </c>
      <c r="K200" s="525">
        <f t="shared" ref="K200:K211" si="64">ROUND(IF(W200&lt;&gt;0,VLOOKUP(W200,DGMTC,8,0)*X200*Y200,)+IF(AC200&lt;&gt;0,VLOOKUP(AC200,DGMTC,8,0)*AD200*AE200,),0)</f>
        <v>485430</v>
      </c>
      <c r="L200" s="525">
        <f t="shared" ref="L200:L211" si="65">ROUND(IF(Z200&lt;&gt;0,VLOOKUP(Z200,DGMTC,8,0)*AA200*AB200,)+IF(AF200&lt;&gt;0,VLOOKUP(AF200,DGMTC,8,0)*AG200*AH200,),0)</f>
        <v>485430</v>
      </c>
      <c r="M200" s="525">
        <f t="shared" ref="M200:M211" si="66">ROUND(G200*I200+H200*J200,0)</f>
        <v>0</v>
      </c>
      <c r="N200" s="525">
        <f t="shared" ref="N200:N211" si="67">ROUND(G200*K200+H200*L200,0)</f>
        <v>0</v>
      </c>
      <c r="O200" s="418">
        <f t="shared" si="63"/>
        <v>0</v>
      </c>
      <c r="P200" s="525" t="s">
        <v>12</v>
      </c>
      <c r="Q200" s="525" t="s">
        <v>2221</v>
      </c>
      <c r="R200" s="626">
        <f>2.4+0.25</f>
        <v>2.65</v>
      </c>
      <c r="S200" s="626">
        <f>0.85</f>
        <v>0.85</v>
      </c>
      <c r="T200" s="525" t="s">
        <v>2221</v>
      </c>
      <c r="U200" s="626">
        <v>3.25</v>
      </c>
      <c r="V200" s="626">
        <v>0.85</v>
      </c>
      <c r="W200" s="525" t="s">
        <v>898</v>
      </c>
      <c r="X200" s="626">
        <v>0.7</v>
      </c>
      <c r="Y200" s="626">
        <v>0.5</v>
      </c>
      <c r="Z200" s="525" t="s">
        <v>898</v>
      </c>
      <c r="AA200" s="626">
        <v>0.7</v>
      </c>
      <c r="AB200" s="626">
        <v>0.5</v>
      </c>
      <c r="AC200" s="525"/>
      <c r="AD200" s="626"/>
      <c r="AE200" s="626"/>
      <c r="AF200" s="525"/>
      <c r="AG200" s="525"/>
      <c r="AH200" s="525"/>
    </row>
    <row r="201" spans="2:34" hidden="1">
      <c r="C201" s="523">
        <f>IF(SUM(G201:H201)&lt;&gt;0,C200+1,C200)</f>
        <v>0</v>
      </c>
      <c r="D201" s="523" t="s">
        <v>2234</v>
      </c>
      <c r="E201" s="525" t="s">
        <v>2235</v>
      </c>
      <c r="F201" s="523" t="s">
        <v>896</v>
      </c>
      <c r="G201" s="525"/>
      <c r="H201" s="525"/>
      <c r="I201" s="525">
        <f>ROUND(VLOOKUP($P201,DGNC,DG!$S$4,0)*R201*S201,0)</f>
        <v>533707</v>
      </c>
      <c r="J201" s="525">
        <f>ROUND(VLOOKUP($P201,DGNC,DG!$S$4,0)*U201*V201,0)</f>
        <v>755246</v>
      </c>
      <c r="K201" s="525">
        <f t="shared" si="64"/>
        <v>485430</v>
      </c>
      <c r="L201" s="525">
        <f t="shared" si="65"/>
        <v>485430</v>
      </c>
      <c r="M201" s="525">
        <f t="shared" si="66"/>
        <v>0</v>
      </c>
      <c r="N201" s="525">
        <f t="shared" si="67"/>
        <v>0</v>
      </c>
      <c r="O201" s="418">
        <f t="shared" si="63"/>
        <v>0</v>
      </c>
      <c r="P201" s="525" t="s">
        <v>12</v>
      </c>
      <c r="Q201" s="525" t="s">
        <v>2221</v>
      </c>
      <c r="R201" s="626">
        <f>2.4+0.25</f>
        <v>2.65</v>
      </c>
      <c r="S201" s="626">
        <f>0.85</f>
        <v>0.85</v>
      </c>
      <c r="T201" s="525" t="s">
        <v>2221</v>
      </c>
      <c r="U201" s="626">
        <v>3.75</v>
      </c>
      <c r="V201" s="626">
        <v>0.85</v>
      </c>
      <c r="W201" s="525" t="s">
        <v>898</v>
      </c>
      <c r="X201" s="626">
        <v>0.7</v>
      </c>
      <c r="Y201" s="626">
        <v>0.5</v>
      </c>
      <c r="Z201" s="525" t="s">
        <v>898</v>
      </c>
      <c r="AA201" s="626">
        <v>0.7</v>
      </c>
      <c r="AB201" s="626">
        <v>0.5</v>
      </c>
      <c r="AC201" s="525"/>
      <c r="AD201" s="626"/>
      <c r="AE201" s="626"/>
      <c r="AF201" s="525"/>
      <c r="AG201" s="525"/>
      <c r="AH201" s="525"/>
    </row>
    <row r="202" spans="2:34" hidden="1">
      <c r="C202" s="523"/>
      <c r="D202" s="523" t="s">
        <v>2236</v>
      </c>
      <c r="E202" s="525" t="s">
        <v>2237</v>
      </c>
      <c r="F202" s="523" t="s">
        <v>11</v>
      </c>
      <c r="G202" s="525"/>
      <c r="H202" s="525"/>
      <c r="I202" s="525">
        <f>ROUND(VLOOKUP($P202,DGNC,DG!$S$4,0)*R202*S202,0)</f>
        <v>379104</v>
      </c>
      <c r="J202" s="525">
        <f>ROUND(VLOOKUP($P202,DGNC,DG!$S$4,0)*U202*V202,0)</f>
        <v>568656</v>
      </c>
      <c r="K202" s="525">
        <f t="shared" si="64"/>
        <v>0</v>
      </c>
      <c r="L202" s="525">
        <f t="shared" si="65"/>
        <v>0</v>
      </c>
      <c r="M202" s="525">
        <f t="shared" si="66"/>
        <v>0</v>
      </c>
      <c r="N202" s="525">
        <f t="shared" si="67"/>
        <v>0</v>
      </c>
      <c r="O202" s="418">
        <f t="shared" si="63"/>
        <v>0</v>
      </c>
      <c r="P202" s="525" t="s">
        <v>12</v>
      </c>
      <c r="Q202" s="525" t="s">
        <v>2221</v>
      </c>
      <c r="R202" s="626">
        <v>4</v>
      </c>
      <c r="S202" s="626">
        <v>0.4</v>
      </c>
      <c r="T202" s="525" t="s">
        <v>2221</v>
      </c>
      <c r="U202" s="626">
        <v>4</v>
      </c>
      <c r="V202" s="626">
        <v>0.6</v>
      </c>
      <c r="W202" s="525"/>
      <c r="X202" s="626"/>
      <c r="Y202" s="626"/>
      <c r="Z202" s="525"/>
      <c r="AA202" s="626"/>
      <c r="AB202" s="626"/>
      <c r="AC202" s="525"/>
      <c r="AD202" s="626"/>
      <c r="AE202" s="626"/>
      <c r="AF202" s="525"/>
      <c r="AG202" s="525"/>
      <c r="AH202" s="525"/>
    </row>
    <row r="203" spans="2:34" hidden="1">
      <c r="C203" s="523"/>
      <c r="D203" s="523" t="s">
        <v>2240</v>
      </c>
      <c r="E203" s="525" t="s">
        <v>2241</v>
      </c>
      <c r="F203" s="523" t="s">
        <v>11</v>
      </c>
      <c r="G203" s="525"/>
      <c r="H203" s="525"/>
      <c r="I203" s="525">
        <f>ROUND(VLOOKUP($P203,DGNC,DG!$S$4,0)*R203*S203,0)</f>
        <v>460611</v>
      </c>
      <c r="J203" s="525">
        <f>ROUND(VLOOKUP($P203,DGNC,DG!$S$4,0)*U203*V203,0)</f>
        <v>562969</v>
      </c>
      <c r="K203" s="525">
        <f t="shared" si="64"/>
        <v>0</v>
      </c>
      <c r="L203" s="525">
        <f t="shared" si="65"/>
        <v>0</v>
      </c>
      <c r="M203" s="525">
        <f t="shared" si="66"/>
        <v>0</v>
      </c>
      <c r="N203" s="525">
        <f t="shared" si="67"/>
        <v>0</v>
      </c>
      <c r="O203" s="418">
        <f t="shared" si="63"/>
        <v>0</v>
      </c>
      <c r="P203" s="525" t="s">
        <v>12</v>
      </c>
      <c r="Q203" s="525" t="s">
        <v>2221</v>
      </c>
      <c r="R203" s="626">
        <v>4.32</v>
      </c>
      <c r="S203" s="626">
        <v>0.45</v>
      </c>
      <c r="T203" s="525" t="s">
        <v>2221</v>
      </c>
      <c r="U203" s="626">
        <v>4.32</v>
      </c>
      <c r="V203" s="626">
        <v>0.55000000000000004</v>
      </c>
      <c r="W203" s="525"/>
      <c r="X203" s="626"/>
      <c r="Y203" s="626"/>
      <c r="Z203" s="525"/>
      <c r="AA203" s="626"/>
      <c r="AB203" s="626"/>
      <c r="AC203" s="525"/>
      <c r="AD203" s="626"/>
      <c r="AE203" s="626"/>
      <c r="AF203" s="525"/>
      <c r="AG203" s="525"/>
      <c r="AH203" s="525"/>
    </row>
    <row r="204" spans="2:34" hidden="1">
      <c r="C204" s="523"/>
      <c r="D204" s="523" t="s">
        <v>2242</v>
      </c>
      <c r="E204" s="525" t="s">
        <v>2243</v>
      </c>
      <c r="F204" s="523" t="s">
        <v>11</v>
      </c>
      <c r="G204" s="525"/>
      <c r="H204" s="525"/>
      <c r="I204" s="525">
        <f>ROUND(VLOOKUP($P204,DGNC,DG!$S$4,0)*R204*S204,0)</f>
        <v>172729</v>
      </c>
      <c r="J204" s="525">
        <f>ROUND(VLOOKUP($P204,DGNC,DG!$S$4,0)*U204*V204,0)</f>
        <v>211114</v>
      </c>
      <c r="K204" s="525">
        <f t="shared" si="64"/>
        <v>0</v>
      </c>
      <c r="L204" s="525">
        <f t="shared" si="65"/>
        <v>0</v>
      </c>
      <c r="M204" s="525">
        <f t="shared" si="66"/>
        <v>0</v>
      </c>
      <c r="N204" s="525">
        <f t="shared" si="67"/>
        <v>0</v>
      </c>
      <c r="O204" s="418">
        <f t="shared" si="63"/>
        <v>0</v>
      </c>
      <c r="P204" s="525" t="s">
        <v>12</v>
      </c>
      <c r="Q204" s="525" t="s">
        <v>2221</v>
      </c>
      <c r="R204" s="626">
        <v>2.7</v>
      </c>
      <c r="S204" s="626">
        <v>0.27</v>
      </c>
      <c r="T204" s="525" t="s">
        <v>2221</v>
      </c>
      <c r="U204" s="626">
        <v>2.7</v>
      </c>
      <c r="V204" s="626">
        <v>0.33</v>
      </c>
      <c r="W204" s="525"/>
      <c r="X204" s="626"/>
      <c r="Y204" s="626"/>
      <c r="Z204" s="525"/>
      <c r="AA204" s="626"/>
      <c r="AB204" s="626"/>
      <c r="AC204" s="525"/>
      <c r="AD204" s="626"/>
      <c r="AE204" s="626"/>
      <c r="AF204" s="525"/>
      <c r="AG204" s="525"/>
      <c r="AH204" s="525"/>
    </row>
    <row r="205" spans="2:34" hidden="1">
      <c r="C205" s="523"/>
      <c r="D205" s="523" t="s">
        <v>2280</v>
      </c>
      <c r="E205" s="525" t="s">
        <v>2281</v>
      </c>
      <c r="F205" s="523" t="s">
        <v>146</v>
      </c>
      <c r="G205" s="525"/>
      <c r="H205" s="525"/>
      <c r="I205" s="525">
        <f>ROUND(VLOOKUP($P205,DGNC,DG!$S$4,0)*R205*S205,0)</f>
        <v>16681</v>
      </c>
      <c r="J205" s="525">
        <f>ROUND(VLOOKUP($P205,DGNC,DG!$S$4,0)*U205*V205,0)</f>
        <v>25021</v>
      </c>
      <c r="K205" s="525">
        <f t="shared" si="64"/>
        <v>0</v>
      </c>
      <c r="L205" s="525">
        <f t="shared" si="65"/>
        <v>0</v>
      </c>
      <c r="M205" s="525">
        <f t="shared" si="66"/>
        <v>0</v>
      </c>
      <c r="N205" s="525">
        <f t="shared" si="67"/>
        <v>0</v>
      </c>
      <c r="O205" s="418">
        <f t="shared" si="63"/>
        <v>0</v>
      </c>
      <c r="P205" s="525" t="s">
        <v>12</v>
      </c>
      <c r="Q205" s="525" t="s">
        <v>2221</v>
      </c>
      <c r="R205" s="626">
        <v>0.17599999999999999</v>
      </c>
      <c r="S205" s="626">
        <v>0.4</v>
      </c>
      <c r="T205" s="525" t="s">
        <v>2221</v>
      </c>
      <c r="U205" s="626">
        <v>0.17599999999999999</v>
      </c>
      <c r="V205" s="626">
        <v>0.6</v>
      </c>
      <c r="W205" s="525"/>
      <c r="X205" s="626"/>
      <c r="Y205" s="626"/>
      <c r="Z205" s="525"/>
      <c r="AA205" s="626"/>
      <c r="AB205" s="626"/>
      <c r="AC205" s="525"/>
      <c r="AD205" s="626"/>
      <c r="AE205" s="626"/>
      <c r="AF205" s="525"/>
      <c r="AG205" s="525"/>
      <c r="AH205" s="525"/>
    </row>
    <row r="206" spans="2:34" hidden="1">
      <c r="C206" s="523"/>
      <c r="D206" s="523" t="s">
        <v>2282</v>
      </c>
      <c r="E206" s="525" t="s">
        <v>2283</v>
      </c>
      <c r="F206" s="523" t="s">
        <v>146</v>
      </c>
      <c r="G206" s="525"/>
      <c r="H206" s="525"/>
      <c r="I206" s="525">
        <f>ROUND(VLOOKUP($P206,DGNC,DG!$S$4,0)*R206*S206,0)</f>
        <v>4040</v>
      </c>
      <c r="J206" s="525">
        <f>ROUND(VLOOKUP($P206,DGNC,DG!$S$4,0)*U206*V206,0)</f>
        <v>6059</v>
      </c>
      <c r="K206" s="525">
        <f t="shared" si="64"/>
        <v>0</v>
      </c>
      <c r="L206" s="525">
        <f t="shared" si="65"/>
        <v>0</v>
      </c>
      <c r="M206" s="525">
        <f t="shared" si="66"/>
        <v>0</v>
      </c>
      <c r="N206" s="525">
        <f t="shared" si="67"/>
        <v>0</v>
      </c>
      <c r="O206" s="418">
        <f t="shared" si="63"/>
        <v>0</v>
      </c>
      <c r="P206" s="525" t="s">
        <v>289</v>
      </c>
      <c r="Q206" s="525" t="s">
        <v>2216</v>
      </c>
      <c r="R206" s="626">
        <v>4.5999999999999999E-2</v>
      </c>
      <c r="S206" s="626">
        <v>0.4</v>
      </c>
      <c r="T206" s="525" t="s">
        <v>2216</v>
      </c>
      <c r="U206" s="626">
        <v>4.5999999999999999E-2</v>
      </c>
      <c r="V206" s="626">
        <v>0.6</v>
      </c>
      <c r="W206" s="525"/>
      <c r="X206" s="626"/>
      <c r="Y206" s="626"/>
      <c r="Z206" s="525"/>
      <c r="AA206" s="626"/>
      <c r="AB206" s="626"/>
      <c r="AC206" s="525"/>
      <c r="AD206" s="626"/>
      <c r="AE206" s="626"/>
      <c r="AF206" s="525"/>
      <c r="AG206" s="525"/>
      <c r="AH206" s="525"/>
    </row>
    <row r="207" spans="2:34" hidden="1">
      <c r="C207" s="523"/>
      <c r="D207" s="523" t="s">
        <v>2284</v>
      </c>
      <c r="E207" s="525" t="s">
        <v>2285</v>
      </c>
      <c r="F207" s="523" t="s">
        <v>146</v>
      </c>
      <c r="G207" s="525"/>
      <c r="H207" s="525"/>
      <c r="I207" s="525">
        <f>ROUND(VLOOKUP($P207,DGNC,DG!$S$4,0)*R207*S207,0)</f>
        <v>6586</v>
      </c>
      <c r="J207" s="525">
        <f>ROUND(VLOOKUP($P207,DGNC,DG!$S$4,0)*U207*V207,0)</f>
        <v>9879</v>
      </c>
      <c r="K207" s="525">
        <f t="shared" si="64"/>
        <v>0</v>
      </c>
      <c r="L207" s="525">
        <f t="shared" si="65"/>
        <v>0</v>
      </c>
      <c r="M207" s="525">
        <f t="shared" si="66"/>
        <v>0</v>
      </c>
      <c r="N207" s="525">
        <f t="shared" si="67"/>
        <v>0</v>
      </c>
      <c r="O207" s="418">
        <f t="shared" si="63"/>
        <v>0</v>
      </c>
      <c r="P207" s="525" t="s">
        <v>289</v>
      </c>
      <c r="Q207" s="525" t="s">
        <v>2216</v>
      </c>
      <c r="R207" s="626">
        <v>7.4999999999999997E-2</v>
      </c>
      <c r="S207" s="626">
        <v>0.4</v>
      </c>
      <c r="T207" s="525" t="s">
        <v>2216</v>
      </c>
      <c r="U207" s="626">
        <v>7.4999999999999997E-2</v>
      </c>
      <c r="V207" s="626">
        <v>0.6</v>
      </c>
      <c r="W207" s="525"/>
      <c r="X207" s="626"/>
      <c r="Y207" s="626"/>
      <c r="Z207" s="525"/>
      <c r="AA207" s="626"/>
      <c r="AB207" s="626"/>
      <c r="AC207" s="525"/>
      <c r="AD207" s="626"/>
      <c r="AE207" s="626"/>
      <c r="AF207" s="525"/>
      <c r="AG207" s="525"/>
      <c r="AH207" s="525"/>
    </row>
    <row r="208" spans="2:34" hidden="1">
      <c r="C208" s="523"/>
      <c r="D208" s="523" t="s">
        <v>2284</v>
      </c>
      <c r="E208" s="525" t="s">
        <v>2286</v>
      </c>
      <c r="F208" s="523" t="s">
        <v>146</v>
      </c>
      <c r="G208" s="525"/>
      <c r="H208" s="525"/>
      <c r="I208" s="525">
        <f>ROUND(VLOOKUP($P208,DGNC,DG!$S$4,0)*R208*S208,0)</f>
        <v>6586</v>
      </c>
      <c r="J208" s="525">
        <f>ROUND(VLOOKUP($P208,DGNC,DG!$S$4,0)*U208*V208,0)</f>
        <v>9879</v>
      </c>
      <c r="K208" s="525">
        <f t="shared" si="64"/>
        <v>0</v>
      </c>
      <c r="L208" s="525">
        <f t="shared" si="65"/>
        <v>0</v>
      </c>
      <c r="M208" s="525">
        <f t="shared" si="66"/>
        <v>0</v>
      </c>
      <c r="N208" s="525">
        <f t="shared" si="67"/>
        <v>0</v>
      </c>
      <c r="O208" s="418">
        <f t="shared" si="63"/>
        <v>0</v>
      </c>
      <c r="P208" s="525" t="s">
        <v>289</v>
      </c>
      <c r="Q208" s="525" t="s">
        <v>2216</v>
      </c>
      <c r="R208" s="626">
        <v>7.4999999999999997E-2</v>
      </c>
      <c r="S208" s="626">
        <v>0.4</v>
      </c>
      <c r="T208" s="525" t="s">
        <v>2216</v>
      </c>
      <c r="U208" s="626">
        <v>7.4999999999999997E-2</v>
      </c>
      <c r="V208" s="626">
        <v>0.6</v>
      </c>
      <c r="W208" s="525"/>
      <c r="X208" s="626"/>
      <c r="Y208" s="626"/>
      <c r="Z208" s="525"/>
      <c r="AA208" s="626"/>
      <c r="AB208" s="626"/>
      <c r="AC208" s="525"/>
      <c r="AD208" s="626"/>
      <c r="AE208" s="626"/>
      <c r="AF208" s="525"/>
      <c r="AG208" s="525"/>
      <c r="AH208" s="525"/>
    </row>
    <row r="209" spans="2:34" hidden="1">
      <c r="C209" s="523"/>
      <c r="D209" s="523" t="s">
        <v>2284</v>
      </c>
      <c r="E209" s="525" t="s">
        <v>2287</v>
      </c>
      <c r="F209" s="523" t="s">
        <v>146</v>
      </c>
      <c r="G209" s="525"/>
      <c r="H209" s="525"/>
      <c r="I209" s="525">
        <f>ROUND(VLOOKUP($P209,DGNC,DG!$S$4,0)*R209*S209,0)</f>
        <v>6586</v>
      </c>
      <c r="J209" s="525">
        <f>ROUND(VLOOKUP($P209,DGNC,DG!$S$4,0)*U209*V209,0)</f>
        <v>9879</v>
      </c>
      <c r="K209" s="525">
        <f t="shared" si="64"/>
        <v>0</v>
      </c>
      <c r="L209" s="525">
        <f t="shared" si="65"/>
        <v>0</v>
      </c>
      <c r="M209" s="525">
        <f t="shared" si="66"/>
        <v>0</v>
      </c>
      <c r="N209" s="525">
        <f t="shared" si="67"/>
        <v>0</v>
      </c>
      <c r="O209" s="418">
        <f t="shared" si="63"/>
        <v>0</v>
      </c>
      <c r="P209" s="525" t="s">
        <v>289</v>
      </c>
      <c r="Q209" s="525" t="s">
        <v>2216</v>
      </c>
      <c r="R209" s="626">
        <v>7.4999999999999997E-2</v>
      </c>
      <c r="S209" s="626">
        <v>0.4</v>
      </c>
      <c r="T209" s="525" t="s">
        <v>2216</v>
      </c>
      <c r="U209" s="626">
        <v>7.4999999999999997E-2</v>
      </c>
      <c r="V209" s="626">
        <v>0.6</v>
      </c>
      <c r="W209" s="525"/>
      <c r="X209" s="626"/>
      <c r="Y209" s="626"/>
      <c r="Z209" s="525"/>
      <c r="AA209" s="626"/>
      <c r="AB209" s="626"/>
      <c r="AC209" s="525"/>
      <c r="AD209" s="626"/>
      <c r="AE209" s="626"/>
      <c r="AF209" s="525"/>
      <c r="AG209" s="525"/>
      <c r="AH209" s="525"/>
    </row>
    <row r="210" spans="2:34" hidden="1">
      <c r="C210" s="523"/>
      <c r="D210" s="523" t="s">
        <v>2284</v>
      </c>
      <c r="E210" s="525" t="s">
        <v>2288</v>
      </c>
      <c r="F210" s="523" t="s">
        <v>146</v>
      </c>
      <c r="G210" s="525"/>
      <c r="H210" s="525"/>
      <c r="I210" s="525">
        <f>ROUND(VLOOKUP($P210,DGNC,DG!$S$4,0)*R210*S210,0)</f>
        <v>6586</v>
      </c>
      <c r="J210" s="525">
        <f>ROUND(VLOOKUP($P210,DGNC,DG!$S$4,0)*U210*V210,0)</f>
        <v>9879</v>
      </c>
      <c r="K210" s="525">
        <f t="shared" si="64"/>
        <v>0</v>
      </c>
      <c r="L210" s="525">
        <f t="shared" si="65"/>
        <v>0</v>
      </c>
      <c r="M210" s="525">
        <f t="shared" si="66"/>
        <v>0</v>
      </c>
      <c r="N210" s="525">
        <f t="shared" si="67"/>
        <v>0</v>
      </c>
      <c r="O210" s="418">
        <f t="shared" si="63"/>
        <v>0</v>
      </c>
      <c r="P210" s="525" t="s">
        <v>289</v>
      </c>
      <c r="Q210" s="525" t="s">
        <v>2216</v>
      </c>
      <c r="R210" s="626">
        <v>7.4999999999999997E-2</v>
      </c>
      <c r="S210" s="626">
        <v>0.4</v>
      </c>
      <c r="T210" s="525" t="s">
        <v>2216</v>
      </c>
      <c r="U210" s="626">
        <v>7.4999999999999997E-2</v>
      </c>
      <c r="V210" s="626">
        <v>0.6</v>
      </c>
      <c r="W210" s="525"/>
      <c r="X210" s="626"/>
      <c r="Y210" s="626"/>
      <c r="Z210" s="525"/>
      <c r="AA210" s="626"/>
      <c r="AB210" s="626"/>
      <c r="AC210" s="525"/>
      <c r="AD210" s="626"/>
      <c r="AE210" s="626"/>
      <c r="AF210" s="525"/>
      <c r="AG210" s="525"/>
      <c r="AH210" s="525"/>
    </row>
    <row r="211" spans="2:34" hidden="1">
      <c r="C211" s="523"/>
      <c r="D211" s="523" t="s">
        <v>2284</v>
      </c>
      <c r="E211" s="525" t="s">
        <v>2289</v>
      </c>
      <c r="F211" s="523" t="s">
        <v>146</v>
      </c>
      <c r="G211" s="525"/>
      <c r="H211" s="525"/>
      <c r="I211" s="525">
        <f>ROUND(VLOOKUP($P211,DGNC,DG!$S$4,0)*R211*S211,0)</f>
        <v>6586</v>
      </c>
      <c r="J211" s="525">
        <f>ROUND(VLOOKUP($P211,DGNC,DG!$S$4,0)*U211*V211,0)</f>
        <v>9879</v>
      </c>
      <c r="K211" s="525">
        <f t="shared" si="64"/>
        <v>0</v>
      </c>
      <c r="L211" s="525">
        <f t="shared" si="65"/>
        <v>0</v>
      </c>
      <c r="M211" s="525">
        <f t="shared" si="66"/>
        <v>0</v>
      </c>
      <c r="N211" s="525">
        <f t="shared" si="67"/>
        <v>0</v>
      </c>
      <c r="O211" s="418">
        <f t="shared" si="63"/>
        <v>0</v>
      </c>
      <c r="P211" s="525" t="s">
        <v>289</v>
      </c>
      <c r="Q211" s="525" t="s">
        <v>2216</v>
      </c>
      <c r="R211" s="626">
        <v>7.4999999999999997E-2</v>
      </c>
      <c r="S211" s="626">
        <v>0.4</v>
      </c>
      <c r="T211" s="525" t="s">
        <v>2216</v>
      </c>
      <c r="U211" s="626">
        <v>7.4999999999999997E-2</v>
      </c>
      <c r="V211" s="626">
        <v>0.6</v>
      </c>
      <c r="W211" s="525"/>
      <c r="X211" s="626"/>
      <c r="Y211" s="626"/>
      <c r="Z211" s="525"/>
      <c r="AA211" s="626"/>
      <c r="AB211" s="626"/>
      <c r="AC211" s="525"/>
      <c r="AD211" s="626"/>
      <c r="AE211" s="626"/>
      <c r="AF211" s="525"/>
      <c r="AG211" s="525"/>
      <c r="AH211" s="525"/>
    </row>
    <row r="212" spans="2:34" hidden="1">
      <c r="B212" s="405" t="s">
        <v>2082</v>
      </c>
      <c r="C212" s="538" t="s">
        <v>1673</v>
      </c>
      <c r="D212" s="539" t="str">
        <f>VLOOKUP(B212,XLTBA,'6.XL-TR'!$D$2,0)</f>
        <v>9 Trạm 3 pha 3x50kVA</v>
      </c>
      <c r="E212" s="539"/>
      <c r="F212" s="538"/>
      <c r="G212" s="539"/>
      <c r="H212" s="539"/>
      <c r="I212" s="539"/>
      <c r="J212" s="539"/>
      <c r="K212" s="539"/>
      <c r="L212" s="539"/>
      <c r="M212" s="539">
        <f>SUM(M213:M224)</f>
        <v>0</v>
      </c>
      <c r="N212" s="539">
        <f>SUM(N213:N224)</f>
        <v>0</v>
      </c>
      <c r="O212" s="418">
        <f t="shared" si="63"/>
        <v>0</v>
      </c>
      <c r="P212" s="525"/>
      <c r="Q212" s="539"/>
      <c r="R212" s="661"/>
      <c r="S212" s="661"/>
      <c r="T212" s="539"/>
      <c r="U212" s="661"/>
      <c r="V212" s="661"/>
      <c r="W212" s="539"/>
      <c r="X212" s="661"/>
      <c r="Y212" s="661"/>
      <c r="Z212" s="539"/>
      <c r="AA212" s="661"/>
      <c r="AB212" s="661"/>
      <c r="AC212" s="525"/>
      <c r="AD212" s="626"/>
      <c r="AE212" s="626"/>
      <c r="AF212" s="525"/>
      <c r="AG212" s="525"/>
      <c r="AH212" s="525"/>
    </row>
    <row r="213" spans="2:34" hidden="1">
      <c r="C213" s="523">
        <f>IF(SUM(G213:H213)&lt;&gt;0,1,)</f>
        <v>0</v>
      </c>
      <c r="D213" s="523" t="s">
        <v>2291</v>
      </c>
      <c r="E213" s="525" t="s">
        <v>2290</v>
      </c>
      <c r="F213" s="523" t="s">
        <v>896</v>
      </c>
      <c r="G213" s="525"/>
      <c r="H213" s="525"/>
      <c r="I213" s="525">
        <f>ROUND(VLOOKUP($P213,DGNC,DG!$S$4,0)*R213*S213,0)</f>
        <v>533707</v>
      </c>
      <c r="J213" s="525">
        <f>ROUND(VLOOKUP($P213,DGNC,DG!$S$4,0)*U213*V213,0)</f>
        <v>654547</v>
      </c>
      <c r="K213" s="525">
        <f t="shared" ref="K213:K224" si="68">ROUND(IF(W213&lt;&gt;0,VLOOKUP(W213,DGMTC,8,0)*X213*Y213,)+IF(AC213&lt;&gt;0,VLOOKUP(AC213,DGMTC,8,0)*AD213*AE213,),0)</f>
        <v>485430</v>
      </c>
      <c r="L213" s="525">
        <f t="shared" ref="L213:L224" si="69">ROUND(IF(Z213&lt;&gt;0,VLOOKUP(Z213,DGMTC,8,0)*AA213*AB213,)+IF(AF213&lt;&gt;0,VLOOKUP(AF213,DGMTC,8,0)*AG213*AH213,),0)</f>
        <v>485430</v>
      </c>
      <c r="M213" s="525">
        <f t="shared" ref="M213:M224" si="70">ROUND(G213*I213+H213*J213,0)</f>
        <v>0</v>
      </c>
      <c r="N213" s="525">
        <f t="shared" ref="N213:N224" si="71">ROUND(G213*K213+H213*L213,0)</f>
        <v>0</v>
      </c>
      <c r="O213" s="418">
        <f t="shared" si="63"/>
        <v>0</v>
      </c>
      <c r="P213" s="525" t="s">
        <v>12</v>
      </c>
      <c r="Q213" s="525" t="s">
        <v>2221</v>
      </c>
      <c r="R213" s="626">
        <f>2.4+0.25</f>
        <v>2.65</v>
      </c>
      <c r="S213" s="626">
        <f>0.85</f>
        <v>0.85</v>
      </c>
      <c r="T213" s="525" t="s">
        <v>2221</v>
      </c>
      <c r="U213" s="626">
        <v>3.25</v>
      </c>
      <c r="V213" s="626">
        <v>0.85</v>
      </c>
      <c r="W213" s="525" t="s">
        <v>898</v>
      </c>
      <c r="X213" s="626">
        <v>0.7</v>
      </c>
      <c r="Y213" s="626">
        <v>0.5</v>
      </c>
      <c r="Z213" s="525" t="s">
        <v>898</v>
      </c>
      <c r="AA213" s="626">
        <v>0.7</v>
      </c>
      <c r="AB213" s="626">
        <v>0.5</v>
      </c>
      <c r="AC213" s="525"/>
      <c r="AD213" s="626"/>
      <c r="AE213" s="626"/>
      <c r="AF213" s="525"/>
      <c r="AG213" s="525"/>
      <c r="AH213" s="525"/>
    </row>
    <row r="214" spans="2:34" hidden="1">
      <c r="C214" s="523">
        <f>IF(SUM(G214:H214)&lt;&gt;0,C213+1,C213)</f>
        <v>0</v>
      </c>
      <c r="D214" s="523" t="s">
        <v>2234</v>
      </c>
      <c r="E214" s="525" t="s">
        <v>2235</v>
      </c>
      <c r="F214" s="523" t="s">
        <v>896</v>
      </c>
      <c r="G214" s="525"/>
      <c r="H214" s="525"/>
      <c r="I214" s="525">
        <f>ROUND(VLOOKUP($P214,DGNC,DG!$S$4,0)*R214*S214,0)</f>
        <v>533707</v>
      </c>
      <c r="J214" s="525">
        <f>ROUND(VLOOKUP($P214,DGNC,DG!$S$4,0)*U214*V214,0)</f>
        <v>755246</v>
      </c>
      <c r="K214" s="525">
        <f t="shared" si="68"/>
        <v>485430</v>
      </c>
      <c r="L214" s="525">
        <f t="shared" si="69"/>
        <v>485430</v>
      </c>
      <c r="M214" s="525">
        <f t="shared" si="70"/>
        <v>0</v>
      </c>
      <c r="N214" s="525">
        <f t="shared" si="71"/>
        <v>0</v>
      </c>
      <c r="O214" s="418">
        <f t="shared" si="63"/>
        <v>0</v>
      </c>
      <c r="P214" s="525" t="s">
        <v>12</v>
      </c>
      <c r="Q214" s="525" t="s">
        <v>2221</v>
      </c>
      <c r="R214" s="626">
        <f>2.4+0.25</f>
        <v>2.65</v>
      </c>
      <c r="S214" s="626">
        <f>0.85</f>
        <v>0.85</v>
      </c>
      <c r="T214" s="525" t="s">
        <v>2221</v>
      </c>
      <c r="U214" s="626">
        <v>3.75</v>
      </c>
      <c r="V214" s="626">
        <v>0.85</v>
      </c>
      <c r="W214" s="525" t="s">
        <v>898</v>
      </c>
      <c r="X214" s="626">
        <v>0.7</v>
      </c>
      <c r="Y214" s="626">
        <v>0.5</v>
      </c>
      <c r="Z214" s="525" t="s">
        <v>898</v>
      </c>
      <c r="AA214" s="626">
        <v>0.7</v>
      </c>
      <c r="AB214" s="626">
        <v>0.5</v>
      </c>
      <c r="AC214" s="525"/>
      <c r="AD214" s="626"/>
      <c r="AE214" s="626"/>
      <c r="AF214" s="525"/>
      <c r="AG214" s="525"/>
      <c r="AH214" s="525"/>
    </row>
    <row r="215" spans="2:34" hidden="1">
      <c r="C215" s="523"/>
      <c r="D215" s="523" t="s">
        <v>2236</v>
      </c>
      <c r="E215" s="525" t="s">
        <v>2237</v>
      </c>
      <c r="F215" s="523" t="s">
        <v>11</v>
      </c>
      <c r="G215" s="525"/>
      <c r="H215" s="525"/>
      <c r="I215" s="525">
        <f>ROUND(VLOOKUP($P215,DGNC,DG!$S$4,0)*R215*S215,0)</f>
        <v>379104</v>
      </c>
      <c r="J215" s="525">
        <f>ROUND(VLOOKUP($P215,DGNC,DG!$S$4,0)*U215*V215,0)</f>
        <v>568656</v>
      </c>
      <c r="K215" s="525">
        <f t="shared" si="68"/>
        <v>0</v>
      </c>
      <c r="L215" s="525">
        <f t="shared" si="69"/>
        <v>0</v>
      </c>
      <c r="M215" s="525">
        <f t="shared" si="70"/>
        <v>0</v>
      </c>
      <c r="N215" s="525">
        <f t="shared" si="71"/>
        <v>0</v>
      </c>
      <c r="O215" s="418">
        <f t="shared" si="63"/>
        <v>0</v>
      </c>
      <c r="P215" s="525" t="s">
        <v>12</v>
      </c>
      <c r="Q215" s="525" t="s">
        <v>2221</v>
      </c>
      <c r="R215" s="626">
        <v>4</v>
      </c>
      <c r="S215" s="626">
        <v>0.4</v>
      </c>
      <c r="T215" s="525" t="s">
        <v>2221</v>
      </c>
      <c r="U215" s="626">
        <v>4</v>
      </c>
      <c r="V215" s="626">
        <v>0.6</v>
      </c>
      <c r="W215" s="525"/>
      <c r="X215" s="626"/>
      <c r="Y215" s="626"/>
      <c r="Z215" s="525"/>
      <c r="AA215" s="626"/>
      <c r="AB215" s="626"/>
      <c r="AC215" s="525"/>
      <c r="AD215" s="626"/>
      <c r="AE215" s="626"/>
      <c r="AF215" s="525"/>
      <c r="AG215" s="525"/>
      <c r="AH215" s="525"/>
    </row>
    <row r="216" spans="2:34" hidden="1">
      <c r="C216" s="523"/>
      <c r="D216" s="523" t="s">
        <v>2240</v>
      </c>
      <c r="E216" s="525" t="s">
        <v>2241</v>
      </c>
      <c r="F216" s="523" t="s">
        <v>11</v>
      </c>
      <c r="G216" s="525"/>
      <c r="H216" s="525"/>
      <c r="I216" s="525">
        <f>ROUND(VLOOKUP($P216,DGNC,DG!$S$4,0)*R216*S216,0)</f>
        <v>460611</v>
      </c>
      <c r="J216" s="525">
        <f>ROUND(VLOOKUP($P216,DGNC,DG!$S$4,0)*U216*V216,0)</f>
        <v>562969</v>
      </c>
      <c r="K216" s="525">
        <f t="shared" si="68"/>
        <v>0</v>
      </c>
      <c r="L216" s="525">
        <f t="shared" si="69"/>
        <v>0</v>
      </c>
      <c r="M216" s="525">
        <f t="shared" si="70"/>
        <v>0</v>
      </c>
      <c r="N216" s="525">
        <f t="shared" si="71"/>
        <v>0</v>
      </c>
      <c r="O216" s="418">
        <f t="shared" si="63"/>
        <v>0</v>
      </c>
      <c r="P216" s="525" t="s">
        <v>12</v>
      </c>
      <c r="Q216" s="525" t="s">
        <v>2221</v>
      </c>
      <c r="R216" s="626">
        <v>4.32</v>
      </c>
      <c r="S216" s="626">
        <v>0.45</v>
      </c>
      <c r="T216" s="525" t="s">
        <v>2221</v>
      </c>
      <c r="U216" s="626">
        <v>4.32</v>
      </c>
      <c r="V216" s="626">
        <v>0.55000000000000004</v>
      </c>
      <c r="W216" s="525"/>
      <c r="X216" s="626"/>
      <c r="Y216" s="626"/>
      <c r="Z216" s="525"/>
      <c r="AA216" s="626"/>
      <c r="AB216" s="626"/>
      <c r="AC216" s="525"/>
      <c r="AD216" s="626"/>
      <c r="AE216" s="626"/>
      <c r="AF216" s="525"/>
      <c r="AG216" s="525"/>
      <c r="AH216" s="525"/>
    </row>
    <row r="217" spans="2:34" hidden="1">
      <c r="C217" s="523"/>
      <c r="D217" s="523" t="s">
        <v>2242</v>
      </c>
      <c r="E217" s="525" t="s">
        <v>2243</v>
      </c>
      <c r="F217" s="523" t="s">
        <v>11</v>
      </c>
      <c r="G217" s="525"/>
      <c r="H217" s="525"/>
      <c r="I217" s="525">
        <f>ROUND(VLOOKUP($P217,DGNC,DG!$S$4,0)*R217*S217,0)</f>
        <v>172729</v>
      </c>
      <c r="J217" s="525">
        <f>ROUND(VLOOKUP($P217,DGNC,DG!$S$4,0)*U217*V217,0)</f>
        <v>211114</v>
      </c>
      <c r="K217" s="525">
        <f t="shared" si="68"/>
        <v>0</v>
      </c>
      <c r="L217" s="525">
        <f t="shared" si="69"/>
        <v>0</v>
      </c>
      <c r="M217" s="525">
        <f t="shared" si="70"/>
        <v>0</v>
      </c>
      <c r="N217" s="525">
        <f t="shared" si="71"/>
        <v>0</v>
      </c>
      <c r="O217" s="418">
        <f t="shared" si="63"/>
        <v>0</v>
      </c>
      <c r="P217" s="525" t="s">
        <v>12</v>
      </c>
      <c r="Q217" s="525" t="s">
        <v>2221</v>
      </c>
      <c r="R217" s="626">
        <v>2.7</v>
      </c>
      <c r="S217" s="626">
        <v>0.27</v>
      </c>
      <c r="T217" s="525" t="s">
        <v>2221</v>
      </c>
      <c r="U217" s="626">
        <v>2.7</v>
      </c>
      <c r="V217" s="626">
        <v>0.33</v>
      </c>
      <c r="W217" s="525"/>
      <c r="X217" s="626"/>
      <c r="Y217" s="626"/>
      <c r="Z217" s="525"/>
      <c r="AA217" s="626"/>
      <c r="AB217" s="626"/>
      <c r="AC217" s="525"/>
      <c r="AD217" s="626"/>
      <c r="AE217" s="626"/>
      <c r="AF217" s="525"/>
      <c r="AG217" s="525"/>
      <c r="AH217" s="525"/>
    </row>
    <row r="218" spans="2:34" hidden="1">
      <c r="C218" s="523"/>
      <c r="D218" s="523" t="s">
        <v>2280</v>
      </c>
      <c r="E218" s="525" t="s">
        <v>2281</v>
      </c>
      <c r="F218" s="523" t="s">
        <v>146</v>
      </c>
      <c r="G218" s="525"/>
      <c r="H218" s="525"/>
      <c r="I218" s="525">
        <f>ROUND(VLOOKUP($P218,DGNC,DG!$S$4,0)*R218*S218,0)</f>
        <v>16681</v>
      </c>
      <c r="J218" s="525">
        <f>ROUND(VLOOKUP($P218,DGNC,DG!$S$4,0)*U218*V218,0)</f>
        <v>25021</v>
      </c>
      <c r="K218" s="525">
        <f t="shared" si="68"/>
        <v>0</v>
      </c>
      <c r="L218" s="525">
        <f t="shared" si="69"/>
        <v>0</v>
      </c>
      <c r="M218" s="525">
        <f t="shared" si="70"/>
        <v>0</v>
      </c>
      <c r="N218" s="525">
        <f t="shared" si="71"/>
        <v>0</v>
      </c>
      <c r="O218" s="418">
        <f t="shared" si="63"/>
        <v>0</v>
      </c>
      <c r="P218" s="525" t="s">
        <v>12</v>
      </c>
      <c r="Q218" s="525" t="s">
        <v>2221</v>
      </c>
      <c r="R218" s="626">
        <v>0.17599999999999999</v>
      </c>
      <c r="S218" s="626">
        <v>0.4</v>
      </c>
      <c r="T218" s="525" t="s">
        <v>2221</v>
      </c>
      <c r="U218" s="626">
        <v>0.17599999999999999</v>
      </c>
      <c r="V218" s="626">
        <v>0.6</v>
      </c>
      <c r="W218" s="525"/>
      <c r="X218" s="626"/>
      <c r="Y218" s="626"/>
      <c r="Z218" s="525"/>
      <c r="AA218" s="626"/>
      <c r="AB218" s="626"/>
      <c r="AC218" s="525"/>
      <c r="AD218" s="626"/>
      <c r="AE218" s="626"/>
      <c r="AF218" s="525"/>
      <c r="AG218" s="525"/>
      <c r="AH218" s="525"/>
    </row>
    <row r="219" spans="2:34" hidden="1">
      <c r="C219" s="523"/>
      <c r="D219" s="523" t="s">
        <v>2282</v>
      </c>
      <c r="E219" s="525" t="s">
        <v>2283</v>
      </c>
      <c r="F219" s="523" t="s">
        <v>146</v>
      </c>
      <c r="G219" s="525"/>
      <c r="H219" s="525"/>
      <c r="I219" s="525">
        <f>ROUND(VLOOKUP($P219,DGNC,DG!$S$4,0)*R219*S219,0)</f>
        <v>4040</v>
      </c>
      <c r="J219" s="525">
        <f>ROUND(VLOOKUP($P219,DGNC,DG!$S$4,0)*U219*V219,0)</f>
        <v>6059</v>
      </c>
      <c r="K219" s="525">
        <f t="shared" si="68"/>
        <v>0</v>
      </c>
      <c r="L219" s="525">
        <f t="shared" si="69"/>
        <v>0</v>
      </c>
      <c r="M219" s="525">
        <f t="shared" si="70"/>
        <v>0</v>
      </c>
      <c r="N219" s="525">
        <f t="shared" si="71"/>
        <v>0</v>
      </c>
      <c r="O219" s="418">
        <f t="shared" si="63"/>
        <v>0</v>
      </c>
      <c r="P219" s="525" t="s">
        <v>289</v>
      </c>
      <c r="Q219" s="525" t="s">
        <v>2216</v>
      </c>
      <c r="R219" s="626">
        <v>4.5999999999999999E-2</v>
      </c>
      <c r="S219" s="626">
        <v>0.4</v>
      </c>
      <c r="T219" s="525" t="s">
        <v>2216</v>
      </c>
      <c r="U219" s="626">
        <v>4.5999999999999999E-2</v>
      </c>
      <c r="V219" s="626">
        <v>0.6</v>
      </c>
      <c r="W219" s="525"/>
      <c r="X219" s="626"/>
      <c r="Y219" s="626"/>
      <c r="Z219" s="525"/>
      <c r="AA219" s="626"/>
      <c r="AB219" s="626"/>
      <c r="AC219" s="525"/>
      <c r="AD219" s="626"/>
      <c r="AE219" s="626"/>
      <c r="AF219" s="525"/>
      <c r="AG219" s="525"/>
      <c r="AH219" s="525"/>
    </row>
    <row r="220" spans="2:34" hidden="1">
      <c r="C220" s="523"/>
      <c r="D220" s="523" t="s">
        <v>2284</v>
      </c>
      <c r="E220" s="525" t="s">
        <v>2285</v>
      </c>
      <c r="F220" s="523" t="s">
        <v>146</v>
      </c>
      <c r="G220" s="525"/>
      <c r="H220" s="525"/>
      <c r="I220" s="525">
        <f>ROUND(VLOOKUP($P220,DGNC,DG!$S$4,0)*R220*S220,0)</f>
        <v>6586</v>
      </c>
      <c r="J220" s="525">
        <f>ROUND(VLOOKUP($P220,DGNC,DG!$S$4,0)*U220*V220,0)</f>
        <v>9879</v>
      </c>
      <c r="K220" s="525">
        <f t="shared" si="68"/>
        <v>0</v>
      </c>
      <c r="L220" s="525">
        <f t="shared" si="69"/>
        <v>0</v>
      </c>
      <c r="M220" s="525">
        <f t="shared" si="70"/>
        <v>0</v>
      </c>
      <c r="N220" s="525">
        <f t="shared" si="71"/>
        <v>0</v>
      </c>
      <c r="O220" s="418">
        <f t="shared" si="63"/>
        <v>0</v>
      </c>
      <c r="P220" s="525" t="s">
        <v>289</v>
      </c>
      <c r="Q220" s="525" t="s">
        <v>2216</v>
      </c>
      <c r="R220" s="626">
        <v>7.4999999999999997E-2</v>
      </c>
      <c r="S220" s="626">
        <v>0.4</v>
      </c>
      <c r="T220" s="525" t="s">
        <v>2216</v>
      </c>
      <c r="U220" s="626">
        <v>7.4999999999999997E-2</v>
      </c>
      <c r="V220" s="626">
        <v>0.6</v>
      </c>
      <c r="W220" s="525"/>
      <c r="X220" s="626"/>
      <c r="Y220" s="626"/>
      <c r="Z220" s="525"/>
      <c r="AA220" s="626"/>
      <c r="AB220" s="626"/>
      <c r="AC220" s="525"/>
      <c r="AD220" s="626"/>
      <c r="AE220" s="626"/>
      <c r="AF220" s="525"/>
      <c r="AG220" s="525"/>
      <c r="AH220" s="525"/>
    </row>
    <row r="221" spans="2:34" hidden="1">
      <c r="C221" s="523"/>
      <c r="D221" s="523" t="s">
        <v>2284</v>
      </c>
      <c r="E221" s="525" t="s">
        <v>2286</v>
      </c>
      <c r="F221" s="523" t="s">
        <v>146</v>
      </c>
      <c r="G221" s="525"/>
      <c r="H221" s="525"/>
      <c r="I221" s="525">
        <f>ROUND(VLOOKUP($P221,DGNC,DG!$S$4,0)*R221*S221,0)</f>
        <v>6586</v>
      </c>
      <c r="J221" s="525">
        <f>ROUND(VLOOKUP($P221,DGNC,DG!$S$4,0)*U221*V221,0)</f>
        <v>9879</v>
      </c>
      <c r="K221" s="525">
        <f t="shared" si="68"/>
        <v>0</v>
      </c>
      <c r="L221" s="525">
        <f t="shared" si="69"/>
        <v>0</v>
      </c>
      <c r="M221" s="525">
        <f t="shared" si="70"/>
        <v>0</v>
      </c>
      <c r="N221" s="525">
        <f t="shared" si="71"/>
        <v>0</v>
      </c>
      <c r="O221" s="418">
        <f t="shared" si="63"/>
        <v>0</v>
      </c>
      <c r="P221" s="525" t="s">
        <v>289</v>
      </c>
      <c r="Q221" s="525" t="s">
        <v>2216</v>
      </c>
      <c r="R221" s="626">
        <v>7.4999999999999997E-2</v>
      </c>
      <c r="S221" s="626">
        <v>0.4</v>
      </c>
      <c r="T221" s="525" t="s">
        <v>2216</v>
      </c>
      <c r="U221" s="626">
        <v>7.4999999999999997E-2</v>
      </c>
      <c r="V221" s="626">
        <v>0.6</v>
      </c>
      <c r="W221" s="525"/>
      <c r="X221" s="626"/>
      <c r="Y221" s="626"/>
      <c r="Z221" s="525"/>
      <c r="AA221" s="626"/>
      <c r="AB221" s="626"/>
      <c r="AC221" s="525"/>
      <c r="AD221" s="626"/>
      <c r="AE221" s="626"/>
      <c r="AF221" s="525"/>
      <c r="AG221" s="525"/>
      <c r="AH221" s="525"/>
    </row>
    <row r="222" spans="2:34" hidden="1">
      <c r="C222" s="523"/>
      <c r="D222" s="523" t="s">
        <v>2284</v>
      </c>
      <c r="E222" s="525" t="s">
        <v>2287</v>
      </c>
      <c r="F222" s="523" t="s">
        <v>146</v>
      </c>
      <c r="G222" s="525"/>
      <c r="H222" s="525"/>
      <c r="I222" s="525">
        <f>ROUND(VLOOKUP($P222,DGNC,DG!$S$4,0)*R222*S222,0)</f>
        <v>6586</v>
      </c>
      <c r="J222" s="525">
        <f>ROUND(VLOOKUP($P222,DGNC,DG!$S$4,0)*U222*V222,0)</f>
        <v>9879</v>
      </c>
      <c r="K222" s="525">
        <f t="shared" si="68"/>
        <v>0</v>
      </c>
      <c r="L222" s="525">
        <f t="shared" si="69"/>
        <v>0</v>
      </c>
      <c r="M222" s="525">
        <f t="shared" si="70"/>
        <v>0</v>
      </c>
      <c r="N222" s="525">
        <f t="shared" si="71"/>
        <v>0</v>
      </c>
      <c r="O222" s="418">
        <f t="shared" si="63"/>
        <v>0</v>
      </c>
      <c r="P222" s="525" t="s">
        <v>289</v>
      </c>
      <c r="Q222" s="525" t="s">
        <v>2216</v>
      </c>
      <c r="R222" s="626">
        <v>7.4999999999999997E-2</v>
      </c>
      <c r="S222" s="626">
        <v>0.4</v>
      </c>
      <c r="T222" s="525" t="s">
        <v>2216</v>
      </c>
      <c r="U222" s="626">
        <v>7.4999999999999997E-2</v>
      </c>
      <c r="V222" s="626">
        <v>0.6</v>
      </c>
      <c r="W222" s="525"/>
      <c r="X222" s="626"/>
      <c r="Y222" s="626"/>
      <c r="Z222" s="525"/>
      <c r="AA222" s="626"/>
      <c r="AB222" s="626"/>
      <c r="AC222" s="525"/>
      <c r="AD222" s="626"/>
      <c r="AE222" s="626"/>
      <c r="AF222" s="525"/>
      <c r="AG222" s="525"/>
      <c r="AH222" s="525"/>
    </row>
    <row r="223" spans="2:34" hidden="1">
      <c r="C223" s="523"/>
      <c r="D223" s="523" t="s">
        <v>2284</v>
      </c>
      <c r="E223" s="525" t="s">
        <v>2288</v>
      </c>
      <c r="F223" s="523" t="s">
        <v>146</v>
      </c>
      <c r="G223" s="525"/>
      <c r="H223" s="525"/>
      <c r="I223" s="525">
        <f>ROUND(VLOOKUP($P223,DGNC,DG!$S$4,0)*R223*S223,0)</f>
        <v>6586</v>
      </c>
      <c r="J223" s="525">
        <f>ROUND(VLOOKUP($P223,DGNC,DG!$S$4,0)*U223*V223,0)</f>
        <v>9879</v>
      </c>
      <c r="K223" s="525">
        <f t="shared" si="68"/>
        <v>0</v>
      </c>
      <c r="L223" s="525">
        <f t="shared" si="69"/>
        <v>0</v>
      </c>
      <c r="M223" s="525">
        <f t="shared" si="70"/>
        <v>0</v>
      </c>
      <c r="N223" s="525">
        <f t="shared" si="71"/>
        <v>0</v>
      </c>
      <c r="O223" s="418">
        <f t="shared" si="63"/>
        <v>0</v>
      </c>
      <c r="P223" s="525" t="s">
        <v>289</v>
      </c>
      <c r="Q223" s="525" t="s">
        <v>2216</v>
      </c>
      <c r="R223" s="626">
        <v>7.4999999999999997E-2</v>
      </c>
      <c r="S223" s="626">
        <v>0.4</v>
      </c>
      <c r="T223" s="525" t="s">
        <v>2216</v>
      </c>
      <c r="U223" s="626">
        <v>7.4999999999999997E-2</v>
      </c>
      <c r="V223" s="626">
        <v>0.6</v>
      </c>
      <c r="W223" s="525"/>
      <c r="X223" s="626"/>
      <c r="Y223" s="626"/>
      <c r="Z223" s="525"/>
      <c r="AA223" s="626"/>
      <c r="AB223" s="626"/>
      <c r="AC223" s="525"/>
      <c r="AD223" s="626"/>
      <c r="AE223" s="626"/>
      <c r="AF223" s="525"/>
      <c r="AG223" s="525"/>
      <c r="AH223" s="525"/>
    </row>
    <row r="224" spans="2:34" hidden="1">
      <c r="C224" s="523"/>
      <c r="D224" s="523" t="s">
        <v>2284</v>
      </c>
      <c r="E224" s="525" t="s">
        <v>2289</v>
      </c>
      <c r="F224" s="523" t="s">
        <v>146</v>
      </c>
      <c r="G224" s="525"/>
      <c r="H224" s="525"/>
      <c r="I224" s="525">
        <f>ROUND(VLOOKUP($P224,DGNC,DG!$S$4,0)*R224*S224,0)</f>
        <v>6586</v>
      </c>
      <c r="J224" s="525">
        <f>ROUND(VLOOKUP($P224,DGNC,DG!$S$4,0)*U224*V224,0)</f>
        <v>9879</v>
      </c>
      <c r="K224" s="525">
        <f t="shared" si="68"/>
        <v>0</v>
      </c>
      <c r="L224" s="525">
        <f t="shared" si="69"/>
        <v>0</v>
      </c>
      <c r="M224" s="525">
        <f t="shared" si="70"/>
        <v>0</v>
      </c>
      <c r="N224" s="525">
        <f t="shared" si="71"/>
        <v>0</v>
      </c>
      <c r="O224" s="418">
        <f t="shared" si="63"/>
        <v>0</v>
      </c>
      <c r="P224" s="525" t="s">
        <v>289</v>
      </c>
      <c r="Q224" s="525" t="s">
        <v>2216</v>
      </c>
      <c r="R224" s="626">
        <v>7.4999999999999997E-2</v>
      </c>
      <c r="S224" s="626">
        <v>0.4</v>
      </c>
      <c r="T224" s="525" t="s">
        <v>2216</v>
      </c>
      <c r="U224" s="626">
        <v>7.4999999999999997E-2</v>
      </c>
      <c r="V224" s="626">
        <v>0.6</v>
      </c>
      <c r="W224" s="525"/>
      <c r="X224" s="626"/>
      <c r="Y224" s="626"/>
      <c r="Z224" s="525"/>
      <c r="AA224" s="626"/>
      <c r="AB224" s="626"/>
      <c r="AC224" s="525"/>
      <c r="AD224" s="626"/>
      <c r="AE224" s="626"/>
      <c r="AF224" s="525"/>
      <c r="AG224" s="525"/>
      <c r="AH224" s="525"/>
    </row>
    <row r="225" spans="2:34" hidden="1">
      <c r="B225" s="405" t="s">
        <v>2085</v>
      </c>
      <c r="C225" s="538" t="s">
        <v>1673</v>
      </c>
      <c r="D225" s="539" t="str">
        <f>VLOOKUP(B225,XLTBA,'6.XL-TR'!$D$2,0)</f>
        <v>0 Trạm 3 pha 3x75kVA</v>
      </c>
      <c r="E225" s="539"/>
      <c r="F225" s="538"/>
      <c r="G225" s="539"/>
      <c r="H225" s="539"/>
      <c r="I225" s="539"/>
      <c r="J225" s="539"/>
      <c r="K225" s="539"/>
      <c r="L225" s="539"/>
      <c r="M225" s="539">
        <f>SUM(M226:M237)</f>
        <v>0</v>
      </c>
      <c r="N225" s="539">
        <f>SUM(N226:N237)</f>
        <v>0</v>
      </c>
      <c r="O225" s="418">
        <f t="shared" si="63"/>
        <v>0</v>
      </c>
      <c r="P225" s="525"/>
      <c r="Q225" s="539"/>
      <c r="R225" s="661"/>
      <c r="S225" s="661"/>
      <c r="T225" s="539"/>
      <c r="U225" s="661"/>
      <c r="V225" s="661"/>
      <c r="W225" s="539"/>
      <c r="X225" s="661"/>
      <c r="Y225" s="661"/>
      <c r="Z225" s="539"/>
      <c r="AA225" s="661"/>
      <c r="AB225" s="661"/>
      <c r="AC225" s="525"/>
      <c r="AD225" s="626"/>
      <c r="AE225" s="626"/>
      <c r="AF225" s="525"/>
      <c r="AG225" s="525"/>
      <c r="AH225" s="525"/>
    </row>
    <row r="226" spans="2:34" hidden="1">
      <c r="C226" s="523">
        <f>IF(SUM(G226:H226)&lt;&gt;0,1,)</f>
        <v>0</v>
      </c>
      <c r="D226" s="523" t="s">
        <v>2291</v>
      </c>
      <c r="E226" s="525" t="s">
        <v>2290</v>
      </c>
      <c r="F226" s="523" t="s">
        <v>896</v>
      </c>
      <c r="G226" s="525"/>
      <c r="H226" s="525"/>
      <c r="I226" s="525">
        <f>ROUND(VLOOKUP($P226,DGNC,DG!$S$4,0)*R226*S226,0)</f>
        <v>533707</v>
      </c>
      <c r="J226" s="525">
        <f>ROUND(VLOOKUP($P226,DGNC,DG!$S$4,0)*U226*V226,0)</f>
        <v>654547</v>
      </c>
      <c r="K226" s="525">
        <f t="shared" ref="K226:K237" si="72">ROUND(IF(W226&lt;&gt;0,VLOOKUP(W226,DGMTC,8,0)*X226*Y226,)+IF(AC226&lt;&gt;0,VLOOKUP(AC226,DGMTC,8,0)*AD226*AE226,),0)</f>
        <v>485430</v>
      </c>
      <c r="L226" s="525">
        <f t="shared" ref="L226:L237" si="73">ROUND(IF(Z226&lt;&gt;0,VLOOKUP(Z226,DGMTC,8,0)*AA226*AB226,)+IF(AF226&lt;&gt;0,VLOOKUP(AF226,DGMTC,8,0)*AG226*AH226,),0)</f>
        <v>485430</v>
      </c>
      <c r="M226" s="525">
        <f t="shared" ref="M226:M237" si="74">ROUND(G226*I226+H226*J226,0)</f>
        <v>0</v>
      </c>
      <c r="N226" s="525">
        <f t="shared" ref="N226:N237" si="75">ROUND(G226*K226+H226*L226,0)</f>
        <v>0</v>
      </c>
      <c r="O226" s="418">
        <f t="shared" si="63"/>
        <v>0</v>
      </c>
      <c r="P226" s="525" t="s">
        <v>12</v>
      </c>
      <c r="Q226" s="525" t="s">
        <v>2221</v>
      </c>
      <c r="R226" s="626">
        <f>2.4+0.25</f>
        <v>2.65</v>
      </c>
      <c r="S226" s="626">
        <f>0.85</f>
        <v>0.85</v>
      </c>
      <c r="T226" s="525" t="s">
        <v>2221</v>
      </c>
      <c r="U226" s="626">
        <v>3.25</v>
      </c>
      <c r="V226" s="626">
        <v>0.85</v>
      </c>
      <c r="W226" s="525" t="s">
        <v>898</v>
      </c>
      <c r="X226" s="626">
        <v>0.7</v>
      </c>
      <c r="Y226" s="626">
        <v>0.5</v>
      </c>
      <c r="Z226" s="525" t="s">
        <v>898</v>
      </c>
      <c r="AA226" s="626">
        <v>0.7</v>
      </c>
      <c r="AB226" s="626">
        <v>0.5</v>
      </c>
      <c r="AC226" s="525"/>
      <c r="AD226" s="626"/>
      <c r="AE226" s="626"/>
      <c r="AF226" s="525"/>
      <c r="AG226" s="525"/>
      <c r="AH226" s="525"/>
    </row>
    <row r="227" spans="2:34" hidden="1">
      <c r="C227" s="523">
        <f>IF(SUM(G227:H227)&lt;&gt;0,C226+1,C226)</f>
        <v>0</v>
      </c>
      <c r="D227" s="523" t="s">
        <v>2234</v>
      </c>
      <c r="E227" s="525" t="s">
        <v>2235</v>
      </c>
      <c r="F227" s="523" t="s">
        <v>896</v>
      </c>
      <c r="G227" s="525"/>
      <c r="H227" s="525"/>
      <c r="I227" s="525">
        <f>ROUND(VLOOKUP($P227,DGNC,DG!$S$4,0)*R227*S227,0)</f>
        <v>533707</v>
      </c>
      <c r="J227" s="525">
        <f>ROUND(VLOOKUP($P227,DGNC,DG!$S$4,0)*U227*V227,0)</f>
        <v>755246</v>
      </c>
      <c r="K227" s="525">
        <f t="shared" si="72"/>
        <v>485430</v>
      </c>
      <c r="L227" s="525">
        <f t="shared" si="73"/>
        <v>485430</v>
      </c>
      <c r="M227" s="525">
        <f t="shared" si="74"/>
        <v>0</v>
      </c>
      <c r="N227" s="525">
        <f t="shared" si="75"/>
        <v>0</v>
      </c>
      <c r="O227" s="418">
        <f t="shared" si="63"/>
        <v>0</v>
      </c>
      <c r="P227" s="525" t="s">
        <v>12</v>
      </c>
      <c r="Q227" s="525" t="s">
        <v>2221</v>
      </c>
      <c r="R227" s="626">
        <f>2.4+0.25</f>
        <v>2.65</v>
      </c>
      <c r="S227" s="626">
        <f>0.85</f>
        <v>0.85</v>
      </c>
      <c r="T227" s="525" t="s">
        <v>2221</v>
      </c>
      <c r="U227" s="626">
        <v>3.75</v>
      </c>
      <c r="V227" s="626">
        <v>0.85</v>
      </c>
      <c r="W227" s="525" t="s">
        <v>898</v>
      </c>
      <c r="X227" s="626">
        <v>0.7</v>
      </c>
      <c r="Y227" s="626">
        <v>0.5</v>
      </c>
      <c r="Z227" s="525" t="s">
        <v>898</v>
      </c>
      <c r="AA227" s="626">
        <v>0.7</v>
      </c>
      <c r="AB227" s="626">
        <v>0.5</v>
      </c>
      <c r="AC227" s="525"/>
      <c r="AD227" s="626"/>
      <c r="AE227" s="626"/>
      <c r="AF227" s="525"/>
      <c r="AG227" s="525"/>
      <c r="AH227" s="525"/>
    </row>
    <row r="228" spans="2:34" hidden="1">
      <c r="C228" s="523"/>
      <c r="D228" s="523" t="s">
        <v>2236</v>
      </c>
      <c r="E228" s="525" t="s">
        <v>2237</v>
      </c>
      <c r="F228" s="523" t="s">
        <v>11</v>
      </c>
      <c r="G228" s="525"/>
      <c r="H228" s="525"/>
      <c r="I228" s="525">
        <f>ROUND(VLOOKUP($P228,DGNC,DG!$S$4,0)*R228*S228,0)</f>
        <v>379104</v>
      </c>
      <c r="J228" s="525">
        <f>ROUND(VLOOKUP($P228,DGNC,DG!$S$4,0)*U228*V228,0)</f>
        <v>568656</v>
      </c>
      <c r="K228" s="525">
        <f t="shared" si="72"/>
        <v>0</v>
      </c>
      <c r="L228" s="525">
        <f t="shared" si="73"/>
        <v>0</v>
      </c>
      <c r="M228" s="525">
        <f t="shared" si="74"/>
        <v>0</v>
      </c>
      <c r="N228" s="525">
        <f t="shared" si="75"/>
        <v>0</v>
      </c>
      <c r="O228" s="418">
        <f t="shared" si="63"/>
        <v>0</v>
      </c>
      <c r="P228" s="525" t="s">
        <v>12</v>
      </c>
      <c r="Q228" s="525" t="s">
        <v>2221</v>
      </c>
      <c r="R228" s="626">
        <v>4</v>
      </c>
      <c r="S228" s="626">
        <v>0.4</v>
      </c>
      <c r="T228" s="525" t="s">
        <v>2221</v>
      </c>
      <c r="U228" s="626">
        <v>4</v>
      </c>
      <c r="V228" s="626">
        <v>0.6</v>
      </c>
      <c r="W228" s="525"/>
      <c r="X228" s="626"/>
      <c r="Y228" s="626"/>
      <c r="Z228" s="525"/>
      <c r="AA228" s="626"/>
      <c r="AB228" s="626"/>
      <c r="AC228" s="525"/>
      <c r="AD228" s="626"/>
      <c r="AE228" s="626"/>
      <c r="AF228" s="525"/>
      <c r="AG228" s="525"/>
      <c r="AH228" s="525"/>
    </row>
    <row r="229" spans="2:34" hidden="1">
      <c r="C229" s="523"/>
      <c r="D229" s="523" t="s">
        <v>2240</v>
      </c>
      <c r="E229" s="525" t="s">
        <v>2241</v>
      </c>
      <c r="F229" s="523" t="s">
        <v>11</v>
      </c>
      <c r="G229" s="525"/>
      <c r="H229" s="525"/>
      <c r="I229" s="525">
        <f>ROUND(VLOOKUP($P229,DGNC,DG!$S$4,0)*R229*S229,0)</f>
        <v>460611</v>
      </c>
      <c r="J229" s="525">
        <f>ROUND(VLOOKUP($P229,DGNC,DG!$S$4,0)*U229*V229,0)</f>
        <v>562969</v>
      </c>
      <c r="K229" s="525">
        <f t="shared" si="72"/>
        <v>0</v>
      </c>
      <c r="L229" s="525">
        <f t="shared" si="73"/>
        <v>0</v>
      </c>
      <c r="M229" s="525">
        <f t="shared" si="74"/>
        <v>0</v>
      </c>
      <c r="N229" s="525">
        <f t="shared" si="75"/>
        <v>0</v>
      </c>
      <c r="O229" s="418">
        <f t="shared" si="63"/>
        <v>0</v>
      </c>
      <c r="P229" s="525" t="s">
        <v>12</v>
      </c>
      <c r="Q229" s="525" t="s">
        <v>2221</v>
      </c>
      <c r="R229" s="626">
        <v>4.32</v>
      </c>
      <c r="S229" s="626">
        <v>0.45</v>
      </c>
      <c r="T229" s="525" t="s">
        <v>2221</v>
      </c>
      <c r="U229" s="626">
        <v>4.32</v>
      </c>
      <c r="V229" s="626">
        <v>0.55000000000000004</v>
      </c>
      <c r="W229" s="525"/>
      <c r="X229" s="626"/>
      <c r="Y229" s="626"/>
      <c r="Z229" s="525"/>
      <c r="AA229" s="626"/>
      <c r="AB229" s="626"/>
      <c r="AC229" s="525"/>
      <c r="AD229" s="626"/>
      <c r="AE229" s="626"/>
      <c r="AF229" s="525"/>
      <c r="AG229" s="525"/>
      <c r="AH229" s="525"/>
    </row>
    <row r="230" spans="2:34" hidden="1">
      <c r="C230" s="523"/>
      <c r="D230" s="523" t="s">
        <v>2242</v>
      </c>
      <c r="E230" s="525" t="s">
        <v>2243</v>
      </c>
      <c r="F230" s="523" t="s">
        <v>11</v>
      </c>
      <c r="G230" s="525"/>
      <c r="H230" s="525"/>
      <c r="I230" s="525">
        <f>ROUND(VLOOKUP($P230,DGNC,DG!$S$4,0)*R230*S230,0)</f>
        <v>172729</v>
      </c>
      <c r="J230" s="525">
        <f>ROUND(VLOOKUP($P230,DGNC,DG!$S$4,0)*U230*V230,0)</f>
        <v>211114</v>
      </c>
      <c r="K230" s="525">
        <f t="shared" si="72"/>
        <v>0</v>
      </c>
      <c r="L230" s="525">
        <f t="shared" si="73"/>
        <v>0</v>
      </c>
      <c r="M230" s="525">
        <f t="shared" si="74"/>
        <v>0</v>
      </c>
      <c r="N230" s="525">
        <f t="shared" si="75"/>
        <v>0</v>
      </c>
      <c r="O230" s="418">
        <f t="shared" si="63"/>
        <v>0</v>
      </c>
      <c r="P230" s="525" t="s">
        <v>12</v>
      </c>
      <c r="Q230" s="525" t="s">
        <v>2221</v>
      </c>
      <c r="R230" s="626">
        <v>2.7</v>
      </c>
      <c r="S230" s="626">
        <v>0.27</v>
      </c>
      <c r="T230" s="525" t="s">
        <v>2221</v>
      </c>
      <c r="U230" s="626">
        <v>2.7</v>
      </c>
      <c r="V230" s="626">
        <v>0.33</v>
      </c>
      <c r="W230" s="525"/>
      <c r="X230" s="626"/>
      <c r="Y230" s="626"/>
      <c r="Z230" s="525"/>
      <c r="AA230" s="626"/>
      <c r="AB230" s="626"/>
      <c r="AC230" s="525"/>
      <c r="AD230" s="626"/>
      <c r="AE230" s="626"/>
      <c r="AF230" s="525"/>
      <c r="AG230" s="525"/>
      <c r="AH230" s="525"/>
    </row>
    <row r="231" spans="2:34" hidden="1">
      <c r="C231" s="523"/>
      <c r="D231" s="523" t="s">
        <v>2280</v>
      </c>
      <c r="E231" s="525" t="s">
        <v>2281</v>
      </c>
      <c r="F231" s="523" t="s">
        <v>146</v>
      </c>
      <c r="G231" s="525"/>
      <c r="H231" s="525"/>
      <c r="I231" s="525">
        <f>ROUND(VLOOKUP($P231,DGNC,DG!$S$4,0)*R231*S231,0)</f>
        <v>16681</v>
      </c>
      <c r="J231" s="525">
        <f>ROUND(VLOOKUP($P231,DGNC,DG!$S$4,0)*U231*V231,0)</f>
        <v>25021</v>
      </c>
      <c r="K231" s="525">
        <f t="shared" si="72"/>
        <v>0</v>
      </c>
      <c r="L231" s="525">
        <f t="shared" si="73"/>
        <v>0</v>
      </c>
      <c r="M231" s="525">
        <f t="shared" si="74"/>
        <v>0</v>
      </c>
      <c r="N231" s="525">
        <f t="shared" si="75"/>
        <v>0</v>
      </c>
      <c r="O231" s="418">
        <f t="shared" si="63"/>
        <v>0</v>
      </c>
      <c r="P231" s="525" t="s">
        <v>12</v>
      </c>
      <c r="Q231" s="525" t="s">
        <v>2221</v>
      </c>
      <c r="R231" s="626">
        <v>0.17599999999999999</v>
      </c>
      <c r="S231" s="626">
        <v>0.4</v>
      </c>
      <c r="T231" s="525" t="s">
        <v>2221</v>
      </c>
      <c r="U231" s="626">
        <v>0.17599999999999999</v>
      </c>
      <c r="V231" s="626">
        <v>0.6</v>
      </c>
      <c r="W231" s="525"/>
      <c r="X231" s="626"/>
      <c r="Y231" s="626"/>
      <c r="Z231" s="525"/>
      <c r="AA231" s="626"/>
      <c r="AB231" s="626"/>
      <c r="AC231" s="525"/>
      <c r="AD231" s="626"/>
      <c r="AE231" s="626"/>
      <c r="AF231" s="525"/>
      <c r="AG231" s="525"/>
      <c r="AH231" s="525"/>
    </row>
    <row r="232" spans="2:34" hidden="1">
      <c r="C232" s="523"/>
      <c r="D232" s="523" t="s">
        <v>2282</v>
      </c>
      <c r="E232" s="525" t="s">
        <v>2283</v>
      </c>
      <c r="F232" s="523" t="s">
        <v>146</v>
      </c>
      <c r="G232" s="525"/>
      <c r="H232" s="525"/>
      <c r="I232" s="525">
        <f>ROUND(VLOOKUP($P232,DGNC,DG!$S$4,0)*R232*S232,0)</f>
        <v>4040</v>
      </c>
      <c r="J232" s="525">
        <f>ROUND(VLOOKUP($P232,DGNC,DG!$S$4,0)*U232*V232,0)</f>
        <v>6059</v>
      </c>
      <c r="K232" s="525">
        <f t="shared" si="72"/>
        <v>0</v>
      </c>
      <c r="L232" s="525">
        <f t="shared" si="73"/>
        <v>0</v>
      </c>
      <c r="M232" s="525">
        <f t="shared" si="74"/>
        <v>0</v>
      </c>
      <c r="N232" s="525">
        <f t="shared" si="75"/>
        <v>0</v>
      </c>
      <c r="O232" s="418">
        <f t="shared" si="63"/>
        <v>0</v>
      </c>
      <c r="P232" s="525" t="s">
        <v>289</v>
      </c>
      <c r="Q232" s="525" t="s">
        <v>2216</v>
      </c>
      <c r="R232" s="626">
        <v>4.5999999999999999E-2</v>
      </c>
      <c r="S232" s="626">
        <v>0.4</v>
      </c>
      <c r="T232" s="525" t="s">
        <v>2216</v>
      </c>
      <c r="U232" s="626">
        <v>4.5999999999999999E-2</v>
      </c>
      <c r="V232" s="626">
        <v>0.6</v>
      </c>
      <c r="W232" s="525"/>
      <c r="X232" s="626"/>
      <c r="Y232" s="626"/>
      <c r="Z232" s="525"/>
      <c r="AA232" s="626"/>
      <c r="AB232" s="626"/>
      <c r="AC232" s="525"/>
      <c r="AD232" s="626"/>
      <c r="AE232" s="626"/>
      <c r="AF232" s="525"/>
      <c r="AG232" s="525"/>
      <c r="AH232" s="525"/>
    </row>
    <row r="233" spans="2:34" hidden="1">
      <c r="C233" s="523"/>
      <c r="D233" s="523" t="s">
        <v>2284</v>
      </c>
      <c r="E233" s="525" t="s">
        <v>2285</v>
      </c>
      <c r="F233" s="523" t="s">
        <v>146</v>
      </c>
      <c r="G233" s="525"/>
      <c r="H233" s="525"/>
      <c r="I233" s="525">
        <f>ROUND(VLOOKUP($P233,DGNC,DG!$S$4,0)*R233*S233,0)</f>
        <v>6586</v>
      </c>
      <c r="J233" s="525">
        <f>ROUND(VLOOKUP($P233,DGNC,DG!$S$4,0)*U233*V233,0)</f>
        <v>9879</v>
      </c>
      <c r="K233" s="525">
        <f t="shared" si="72"/>
        <v>0</v>
      </c>
      <c r="L233" s="525">
        <f t="shared" si="73"/>
        <v>0</v>
      </c>
      <c r="M233" s="525">
        <f t="shared" si="74"/>
        <v>0</v>
      </c>
      <c r="N233" s="525">
        <f t="shared" si="75"/>
        <v>0</v>
      </c>
      <c r="O233" s="418">
        <f t="shared" si="63"/>
        <v>0</v>
      </c>
      <c r="P233" s="525" t="s">
        <v>289</v>
      </c>
      <c r="Q233" s="525" t="s">
        <v>2216</v>
      </c>
      <c r="R233" s="626">
        <v>7.4999999999999997E-2</v>
      </c>
      <c r="S233" s="626">
        <v>0.4</v>
      </c>
      <c r="T233" s="525" t="s">
        <v>2216</v>
      </c>
      <c r="U233" s="626">
        <v>7.4999999999999997E-2</v>
      </c>
      <c r="V233" s="626">
        <v>0.6</v>
      </c>
      <c r="W233" s="525"/>
      <c r="X233" s="626"/>
      <c r="Y233" s="626"/>
      <c r="Z233" s="525"/>
      <c r="AA233" s="626"/>
      <c r="AB233" s="626"/>
      <c r="AC233" s="525"/>
      <c r="AD233" s="626"/>
      <c r="AE233" s="626"/>
      <c r="AF233" s="525"/>
      <c r="AG233" s="525"/>
      <c r="AH233" s="525"/>
    </row>
    <row r="234" spans="2:34" hidden="1">
      <c r="C234" s="523"/>
      <c r="D234" s="523" t="s">
        <v>2284</v>
      </c>
      <c r="E234" s="525" t="s">
        <v>2286</v>
      </c>
      <c r="F234" s="523" t="s">
        <v>146</v>
      </c>
      <c r="G234" s="525"/>
      <c r="H234" s="525"/>
      <c r="I234" s="525">
        <f>ROUND(VLOOKUP($P234,DGNC,DG!$S$4,0)*R234*S234,0)</f>
        <v>6586</v>
      </c>
      <c r="J234" s="525">
        <f>ROUND(VLOOKUP($P234,DGNC,DG!$S$4,0)*U234*V234,0)</f>
        <v>9879</v>
      </c>
      <c r="K234" s="525">
        <f t="shared" si="72"/>
        <v>0</v>
      </c>
      <c r="L234" s="525">
        <f t="shared" si="73"/>
        <v>0</v>
      </c>
      <c r="M234" s="525">
        <f t="shared" si="74"/>
        <v>0</v>
      </c>
      <c r="N234" s="525">
        <f t="shared" si="75"/>
        <v>0</v>
      </c>
      <c r="O234" s="418">
        <f t="shared" si="63"/>
        <v>0</v>
      </c>
      <c r="P234" s="525" t="s">
        <v>289</v>
      </c>
      <c r="Q234" s="525" t="s">
        <v>2216</v>
      </c>
      <c r="R234" s="626">
        <v>7.4999999999999997E-2</v>
      </c>
      <c r="S234" s="626">
        <v>0.4</v>
      </c>
      <c r="T234" s="525" t="s">
        <v>2216</v>
      </c>
      <c r="U234" s="626">
        <v>7.4999999999999997E-2</v>
      </c>
      <c r="V234" s="626">
        <v>0.6</v>
      </c>
      <c r="W234" s="525"/>
      <c r="X234" s="626"/>
      <c r="Y234" s="626"/>
      <c r="Z234" s="525"/>
      <c r="AA234" s="626"/>
      <c r="AB234" s="626"/>
      <c r="AC234" s="525"/>
      <c r="AD234" s="626"/>
      <c r="AE234" s="626"/>
      <c r="AF234" s="525"/>
      <c r="AG234" s="525"/>
      <c r="AH234" s="525"/>
    </row>
    <row r="235" spans="2:34" hidden="1">
      <c r="C235" s="523"/>
      <c r="D235" s="523" t="s">
        <v>2284</v>
      </c>
      <c r="E235" s="525" t="s">
        <v>2287</v>
      </c>
      <c r="F235" s="523" t="s">
        <v>146</v>
      </c>
      <c r="G235" s="525"/>
      <c r="H235" s="525"/>
      <c r="I235" s="525">
        <f>ROUND(VLOOKUP($P235,DGNC,DG!$S$4,0)*R235*S235,0)</f>
        <v>6586</v>
      </c>
      <c r="J235" s="525">
        <f>ROUND(VLOOKUP($P235,DGNC,DG!$S$4,0)*U235*V235,0)</f>
        <v>9879</v>
      </c>
      <c r="K235" s="525">
        <f t="shared" si="72"/>
        <v>0</v>
      </c>
      <c r="L235" s="525">
        <f t="shared" si="73"/>
        <v>0</v>
      </c>
      <c r="M235" s="525">
        <f t="shared" si="74"/>
        <v>0</v>
      </c>
      <c r="N235" s="525">
        <f t="shared" si="75"/>
        <v>0</v>
      </c>
      <c r="O235" s="418">
        <f t="shared" si="63"/>
        <v>0</v>
      </c>
      <c r="P235" s="525" t="s">
        <v>289</v>
      </c>
      <c r="Q235" s="525" t="s">
        <v>2216</v>
      </c>
      <c r="R235" s="626">
        <v>7.4999999999999997E-2</v>
      </c>
      <c r="S235" s="626">
        <v>0.4</v>
      </c>
      <c r="T235" s="525" t="s">
        <v>2216</v>
      </c>
      <c r="U235" s="626">
        <v>7.4999999999999997E-2</v>
      </c>
      <c r="V235" s="626">
        <v>0.6</v>
      </c>
      <c r="W235" s="525"/>
      <c r="X235" s="626"/>
      <c r="Y235" s="626"/>
      <c r="Z235" s="525"/>
      <c r="AA235" s="626"/>
      <c r="AB235" s="626"/>
      <c r="AC235" s="525"/>
      <c r="AD235" s="626"/>
      <c r="AE235" s="626"/>
      <c r="AF235" s="525"/>
      <c r="AG235" s="525"/>
      <c r="AH235" s="525"/>
    </row>
    <row r="236" spans="2:34" hidden="1">
      <c r="C236" s="523"/>
      <c r="D236" s="523" t="s">
        <v>2284</v>
      </c>
      <c r="E236" s="525" t="s">
        <v>2288</v>
      </c>
      <c r="F236" s="523" t="s">
        <v>146</v>
      </c>
      <c r="G236" s="525"/>
      <c r="H236" s="525"/>
      <c r="I236" s="525">
        <f>ROUND(VLOOKUP($P236,DGNC,DG!$S$4,0)*R236*S236,0)</f>
        <v>6586</v>
      </c>
      <c r="J236" s="525">
        <f>ROUND(VLOOKUP($P236,DGNC,DG!$S$4,0)*U236*V236,0)</f>
        <v>9879</v>
      </c>
      <c r="K236" s="525">
        <f t="shared" si="72"/>
        <v>0</v>
      </c>
      <c r="L236" s="525">
        <f t="shared" si="73"/>
        <v>0</v>
      </c>
      <c r="M236" s="525">
        <f t="shared" si="74"/>
        <v>0</v>
      </c>
      <c r="N236" s="525">
        <f t="shared" si="75"/>
        <v>0</v>
      </c>
      <c r="O236" s="418">
        <f t="shared" si="63"/>
        <v>0</v>
      </c>
      <c r="P236" s="525" t="s">
        <v>289</v>
      </c>
      <c r="Q236" s="525" t="s">
        <v>2216</v>
      </c>
      <c r="R236" s="626">
        <v>7.4999999999999997E-2</v>
      </c>
      <c r="S236" s="626">
        <v>0.4</v>
      </c>
      <c r="T236" s="525" t="s">
        <v>2216</v>
      </c>
      <c r="U236" s="626">
        <v>7.4999999999999997E-2</v>
      </c>
      <c r="V236" s="626">
        <v>0.6</v>
      </c>
      <c r="W236" s="525"/>
      <c r="X236" s="626"/>
      <c r="Y236" s="626"/>
      <c r="Z236" s="525"/>
      <c r="AA236" s="626"/>
      <c r="AB236" s="626"/>
      <c r="AC236" s="525"/>
      <c r="AD236" s="626"/>
      <c r="AE236" s="626"/>
      <c r="AF236" s="525"/>
      <c r="AG236" s="525"/>
      <c r="AH236" s="525"/>
    </row>
    <row r="237" spans="2:34" hidden="1">
      <c r="C237" s="523"/>
      <c r="D237" s="523" t="s">
        <v>2284</v>
      </c>
      <c r="E237" s="525" t="s">
        <v>2289</v>
      </c>
      <c r="F237" s="523" t="s">
        <v>146</v>
      </c>
      <c r="G237" s="525"/>
      <c r="H237" s="525"/>
      <c r="I237" s="525">
        <f>ROUND(VLOOKUP($P237,DGNC,DG!$S$4,0)*R237*S237,0)</f>
        <v>6586</v>
      </c>
      <c r="J237" s="525">
        <f>ROUND(VLOOKUP($P237,DGNC,DG!$S$4,0)*U237*V237,0)</f>
        <v>9879</v>
      </c>
      <c r="K237" s="525">
        <f t="shared" si="72"/>
        <v>0</v>
      </c>
      <c r="L237" s="525">
        <f t="shared" si="73"/>
        <v>0</v>
      </c>
      <c r="M237" s="525">
        <f t="shared" si="74"/>
        <v>0</v>
      </c>
      <c r="N237" s="525">
        <f t="shared" si="75"/>
        <v>0</v>
      </c>
      <c r="O237" s="418">
        <f t="shared" si="63"/>
        <v>0</v>
      </c>
      <c r="P237" s="525" t="s">
        <v>289</v>
      </c>
      <c r="Q237" s="525" t="s">
        <v>2216</v>
      </c>
      <c r="R237" s="626">
        <v>7.4999999999999997E-2</v>
      </c>
      <c r="S237" s="626">
        <v>0.4</v>
      </c>
      <c r="T237" s="525" t="s">
        <v>2216</v>
      </c>
      <c r="U237" s="626">
        <v>7.4999999999999997E-2</v>
      </c>
      <c r="V237" s="626">
        <v>0.6</v>
      </c>
      <c r="W237" s="525"/>
      <c r="X237" s="626"/>
      <c r="Y237" s="626"/>
      <c r="Z237" s="525"/>
      <c r="AA237" s="626"/>
      <c r="AB237" s="626"/>
      <c r="AC237" s="525"/>
      <c r="AD237" s="626"/>
      <c r="AE237" s="626"/>
      <c r="AF237" s="525"/>
      <c r="AG237" s="525"/>
      <c r="AH237" s="525"/>
    </row>
    <row r="238" spans="2:34" hidden="1">
      <c r="B238" s="405" t="s">
        <v>2094</v>
      </c>
      <c r="C238" s="538" t="s">
        <v>1673</v>
      </c>
      <c r="D238" s="539" t="str">
        <f>VLOOKUP(B238,XLTBA,'6.XL-TR'!$D$2,0)</f>
        <v>0 Trạm 3 pha 3x100kVA</v>
      </c>
      <c r="E238" s="539"/>
      <c r="F238" s="538"/>
      <c r="G238" s="539"/>
      <c r="H238" s="539"/>
      <c r="I238" s="539"/>
      <c r="J238" s="539"/>
      <c r="K238" s="539"/>
      <c r="L238" s="539"/>
      <c r="M238" s="539">
        <f>SUM(M239:M250)</f>
        <v>0</v>
      </c>
      <c r="N238" s="539">
        <f>SUM(N239:N250)</f>
        <v>0</v>
      </c>
      <c r="O238" s="418">
        <f t="shared" si="63"/>
        <v>0</v>
      </c>
      <c r="P238" s="525"/>
      <c r="Q238" s="539"/>
      <c r="R238" s="661"/>
      <c r="S238" s="661"/>
      <c r="T238" s="539"/>
      <c r="U238" s="661"/>
      <c r="V238" s="661"/>
      <c r="W238" s="539"/>
      <c r="X238" s="661"/>
      <c r="Y238" s="661"/>
      <c r="Z238" s="539"/>
      <c r="AA238" s="661"/>
      <c r="AB238" s="661"/>
      <c r="AC238" s="525"/>
      <c r="AD238" s="626"/>
      <c r="AE238" s="626"/>
      <c r="AF238" s="525"/>
      <c r="AG238" s="525"/>
      <c r="AH238" s="525"/>
    </row>
    <row r="239" spans="2:34" hidden="1">
      <c r="C239" s="523">
        <f>IF(SUM(G239:H239)&lt;&gt;0,1,)</f>
        <v>0</v>
      </c>
      <c r="D239" s="523" t="s">
        <v>2291</v>
      </c>
      <c r="E239" s="525" t="s">
        <v>2290</v>
      </c>
      <c r="F239" s="523" t="s">
        <v>896</v>
      </c>
      <c r="G239" s="525"/>
      <c r="H239" s="525"/>
      <c r="I239" s="525">
        <f>ROUND(VLOOKUP($P239,DGNC,DG!$S$4,0)*R239*S239,0)</f>
        <v>533707</v>
      </c>
      <c r="J239" s="525">
        <f>ROUND(VLOOKUP($P239,DGNC,DG!$S$4,0)*U239*V239,0)</f>
        <v>654547</v>
      </c>
      <c r="K239" s="525">
        <f t="shared" ref="K239:K250" si="76">ROUND(IF(W239&lt;&gt;0,VLOOKUP(W239,DGMTC,8,0)*X239*Y239,)+IF(AC239&lt;&gt;0,VLOOKUP(AC239,DGMTC,8,0)*AD239*AE239,),0)</f>
        <v>485430</v>
      </c>
      <c r="L239" s="525">
        <f t="shared" ref="L239:L250" si="77">ROUND(IF(Z239&lt;&gt;0,VLOOKUP(Z239,DGMTC,8,0)*AA239*AB239,)+IF(AF239&lt;&gt;0,VLOOKUP(AF239,DGMTC,8,0)*AG239*AH239,),0)</f>
        <v>485430</v>
      </c>
      <c r="M239" s="525">
        <f t="shared" ref="M239:M250" si="78">ROUND(G239*I239+H239*J239,0)</f>
        <v>0</v>
      </c>
      <c r="N239" s="525">
        <f t="shared" ref="N239:N250" si="79">ROUND(G239*K239+H239*L239,0)</f>
        <v>0</v>
      </c>
      <c r="O239" s="418">
        <f t="shared" si="63"/>
        <v>0</v>
      </c>
      <c r="P239" s="525" t="s">
        <v>12</v>
      </c>
      <c r="Q239" s="525" t="s">
        <v>2221</v>
      </c>
      <c r="R239" s="626">
        <f>2.4+0.25</f>
        <v>2.65</v>
      </c>
      <c r="S239" s="626">
        <f>0.85</f>
        <v>0.85</v>
      </c>
      <c r="T239" s="525" t="s">
        <v>2221</v>
      </c>
      <c r="U239" s="626">
        <v>3.25</v>
      </c>
      <c r="V239" s="626">
        <v>0.85</v>
      </c>
      <c r="W239" s="525" t="s">
        <v>898</v>
      </c>
      <c r="X239" s="626">
        <v>0.7</v>
      </c>
      <c r="Y239" s="626">
        <v>0.5</v>
      </c>
      <c r="Z239" s="525" t="s">
        <v>898</v>
      </c>
      <c r="AA239" s="626">
        <v>0.7</v>
      </c>
      <c r="AB239" s="626">
        <v>0.5</v>
      </c>
      <c r="AC239" s="525"/>
      <c r="AD239" s="626"/>
      <c r="AE239" s="626"/>
      <c r="AF239" s="525"/>
      <c r="AG239" s="525"/>
      <c r="AH239" s="525"/>
    </row>
    <row r="240" spans="2:34" hidden="1">
      <c r="C240" s="523">
        <f>IF(SUM(G240:H240)&lt;&gt;0,C239+1,C239)</f>
        <v>0</v>
      </c>
      <c r="D240" s="523" t="s">
        <v>2234</v>
      </c>
      <c r="E240" s="525" t="s">
        <v>2235</v>
      </c>
      <c r="F240" s="523" t="s">
        <v>896</v>
      </c>
      <c r="G240" s="525"/>
      <c r="H240" s="525"/>
      <c r="I240" s="525">
        <f>ROUND(VLOOKUP($P240,DGNC,DG!$S$4,0)*R240*S240,0)</f>
        <v>533707</v>
      </c>
      <c r="J240" s="525">
        <f>ROUND(VLOOKUP($P240,DGNC,DG!$S$4,0)*U240*V240,0)</f>
        <v>755246</v>
      </c>
      <c r="K240" s="525">
        <f t="shared" si="76"/>
        <v>485430</v>
      </c>
      <c r="L240" s="525">
        <f t="shared" si="77"/>
        <v>485430</v>
      </c>
      <c r="M240" s="525">
        <f t="shared" si="78"/>
        <v>0</v>
      </c>
      <c r="N240" s="525">
        <f t="shared" si="79"/>
        <v>0</v>
      </c>
      <c r="O240" s="418">
        <f t="shared" si="63"/>
        <v>0</v>
      </c>
      <c r="P240" s="525" t="s">
        <v>12</v>
      </c>
      <c r="Q240" s="525" t="s">
        <v>2221</v>
      </c>
      <c r="R240" s="626">
        <f>2.4+0.25</f>
        <v>2.65</v>
      </c>
      <c r="S240" s="626">
        <f>0.85</f>
        <v>0.85</v>
      </c>
      <c r="T240" s="525" t="s">
        <v>2221</v>
      </c>
      <c r="U240" s="626">
        <v>3.75</v>
      </c>
      <c r="V240" s="626">
        <v>0.85</v>
      </c>
      <c r="W240" s="525" t="s">
        <v>898</v>
      </c>
      <c r="X240" s="626">
        <v>0.7</v>
      </c>
      <c r="Y240" s="626">
        <v>0.5</v>
      </c>
      <c r="Z240" s="525" t="s">
        <v>898</v>
      </c>
      <c r="AA240" s="626">
        <v>0.7</v>
      </c>
      <c r="AB240" s="626">
        <v>0.5</v>
      </c>
      <c r="AC240" s="525"/>
      <c r="AD240" s="626"/>
      <c r="AE240" s="626"/>
      <c r="AF240" s="525"/>
      <c r="AG240" s="525"/>
      <c r="AH240" s="525"/>
    </row>
    <row r="241" spans="1:34" hidden="1">
      <c r="C241" s="523"/>
      <c r="D241" s="523" t="s">
        <v>2236</v>
      </c>
      <c r="E241" s="525" t="s">
        <v>2237</v>
      </c>
      <c r="F241" s="523" t="s">
        <v>11</v>
      </c>
      <c r="G241" s="525"/>
      <c r="H241" s="525"/>
      <c r="I241" s="525">
        <f>ROUND(VLOOKUP($P241,DGNC,DG!$S$4,0)*R241*S241,0)</f>
        <v>379104</v>
      </c>
      <c r="J241" s="525">
        <f>ROUND(VLOOKUP($P241,DGNC,DG!$S$4,0)*U241*V241,0)</f>
        <v>568656</v>
      </c>
      <c r="K241" s="525">
        <f t="shared" si="76"/>
        <v>0</v>
      </c>
      <c r="L241" s="525">
        <f t="shared" si="77"/>
        <v>0</v>
      </c>
      <c r="M241" s="525">
        <f t="shared" si="78"/>
        <v>0</v>
      </c>
      <c r="N241" s="525">
        <f t="shared" si="79"/>
        <v>0</v>
      </c>
      <c r="O241" s="418">
        <f t="shared" si="63"/>
        <v>0</v>
      </c>
      <c r="P241" s="525" t="s">
        <v>12</v>
      </c>
      <c r="Q241" s="525" t="s">
        <v>2221</v>
      </c>
      <c r="R241" s="626">
        <v>4</v>
      </c>
      <c r="S241" s="626">
        <v>0.4</v>
      </c>
      <c r="T241" s="525" t="s">
        <v>2221</v>
      </c>
      <c r="U241" s="626">
        <v>4</v>
      </c>
      <c r="V241" s="626">
        <v>0.6</v>
      </c>
      <c r="W241" s="525"/>
      <c r="X241" s="626"/>
      <c r="Y241" s="626"/>
      <c r="Z241" s="525"/>
      <c r="AA241" s="626"/>
      <c r="AB241" s="626"/>
      <c r="AC241" s="525"/>
      <c r="AD241" s="626"/>
      <c r="AE241" s="626"/>
      <c r="AF241" s="525"/>
      <c r="AG241" s="525"/>
      <c r="AH241" s="525"/>
    </row>
    <row r="242" spans="1:34" hidden="1">
      <c r="C242" s="523"/>
      <c r="D242" s="523" t="s">
        <v>2240</v>
      </c>
      <c r="E242" s="525" t="s">
        <v>2241</v>
      </c>
      <c r="F242" s="523" t="s">
        <v>11</v>
      </c>
      <c r="G242" s="525"/>
      <c r="H242" s="525"/>
      <c r="I242" s="525">
        <f>ROUND(VLOOKUP($P242,DGNC,DG!$S$4,0)*R242*S242,0)</f>
        <v>460611</v>
      </c>
      <c r="J242" s="525">
        <f>ROUND(VLOOKUP($P242,DGNC,DG!$S$4,0)*U242*V242,0)</f>
        <v>562969</v>
      </c>
      <c r="K242" s="525">
        <f t="shared" si="76"/>
        <v>0</v>
      </c>
      <c r="L242" s="525">
        <f t="shared" si="77"/>
        <v>0</v>
      </c>
      <c r="M242" s="525">
        <f t="shared" si="78"/>
        <v>0</v>
      </c>
      <c r="N242" s="525">
        <f t="shared" si="79"/>
        <v>0</v>
      </c>
      <c r="O242" s="418">
        <f t="shared" si="63"/>
        <v>0</v>
      </c>
      <c r="P242" s="525" t="s">
        <v>12</v>
      </c>
      <c r="Q242" s="525" t="s">
        <v>2221</v>
      </c>
      <c r="R242" s="626">
        <v>4.32</v>
      </c>
      <c r="S242" s="626">
        <v>0.45</v>
      </c>
      <c r="T242" s="525" t="s">
        <v>2221</v>
      </c>
      <c r="U242" s="626">
        <v>4.32</v>
      </c>
      <c r="V242" s="626">
        <v>0.55000000000000004</v>
      </c>
      <c r="W242" s="525"/>
      <c r="X242" s="626"/>
      <c r="Y242" s="626"/>
      <c r="Z242" s="525"/>
      <c r="AA242" s="626"/>
      <c r="AB242" s="626"/>
      <c r="AC242" s="525"/>
      <c r="AD242" s="626"/>
      <c r="AE242" s="626"/>
      <c r="AF242" s="525"/>
      <c r="AG242" s="525"/>
      <c r="AH242" s="525"/>
    </row>
    <row r="243" spans="1:34" hidden="1">
      <c r="C243" s="523"/>
      <c r="D243" s="523" t="s">
        <v>2242</v>
      </c>
      <c r="E243" s="525" t="s">
        <v>2243</v>
      </c>
      <c r="F243" s="523" t="s">
        <v>11</v>
      </c>
      <c r="G243" s="525"/>
      <c r="H243" s="525"/>
      <c r="I243" s="525">
        <f>ROUND(VLOOKUP($P243,DGNC,DG!$S$4,0)*R243*S243,0)</f>
        <v>172729</v>
      </c>
      <c r="J243" s="525">
        <f>ROUND(VLOOKUP($P243,DGNC,DG!$S$4,0)*U243*V243,0)</f>
        <v>211114</v>
      </c>
      <c r="K243" s="525">
        <f t="shared" si="76"/>
        <v>0</v>
      </c>
      <c r="L243" s="525">
        <f t="shared" si="77"/>
        <v>0</v>
      </c>
      <c r="M243" s="525">
        <f t="shared" si="78"/>
        <v>0</v>
      </c>
      <c r="N243" s="525">
        <f t="shared" si="79"/>
        <v>0</v>
      </c>
      <c r="O243" s="418">
        <f t="shared" si="63"/>
        <v>0</v>
      </c>
      <c r="P243" s="525" t="s">
        <v>12</v>
      </c>
      <c r="Q243" s="525" t="s">
        <v>2221</v>
      </c>
      <c r="R243" s="626">
        <v>2.7</v>
      </c>
      <c r="S243" s="626">
        <v>0.27</v>
      </c>
      <c r="T243" s="525" t="s">
        <v>2221</v>
      </c>
      <c r="U243" s="626">
        <v>2.7</v>
      </c>
      <c r="V243" s="626">
        <v>0.33</v>
      </c>
      <c r="W243" s="525"/>
      <c r="X243" s="626"/>
      <c r="Y243" s="626"/>
      <c r="Z243" s="525"/>
      <c r="AA243" s="626"/>
      <c r="AB243" s="626"/>
      <c r="AC243" s="525"/>
      <c r="AD243" s="626"/>
      <c r="AE243" s="626"/>
      <c r="AF243" s="525"/>
      <c r="AG243" s="525"/>
      <c r="AH243" s="525"/>
    </row>
    <row r="244" spans="1:34" hidden="1">
      <c r="C244" s="523"/>
      <c r="D244" s="523" t="s">
        <v>2280</v>
      </c>
      <c r="E244" s="525" t="s">
        <v>2281</v>
      </c>
      <c r="F244" s="523" t="s">
        <v>146</v>
      </c>
      <c r="G244" s="525"/>
      <c r="H244" s="525"/>
      <c r="I244" s="525">
        <f>ROUND(VLOOKUP($P244,DGNC,DG!$S$4,0)*R244*S244,0)</f>
        <v>16681</v>
      </c>
      <c r="J244" s="525">
        <f>ROUND(VLOOKUP($P244,DGNC,DG!$S$4,0)*U244*V244,0)</f>
        <v>25021</v>
      </c>
      <c r="K244" s="525">
        <f t="shared" si="76"/>
        <v>0</v>
      </c>
      <c r="L244" s="525">
        <f t="shared" si="77"/>
        <v>0</v>
      </c>
      <c r="M244" s="525">
        <f t="shared" si="78"/>
        <v>0</v>
      </c>
      <c r="N244" s="525">
        <f t="shared" si="79"/>
        <v>0</v>
      </c>
      <c r="O244" s="418">
        <f t="shared" si="63"/>
        <v>0</v>
      </c>
      <c r="P244" s="525" t="s">
        <v>12</v>
      </c>
      <c r="Q244" s="525" t="s">
        <v>2221</v>
      </c>
      <c r="R244" s="626">
        <v>0.17599999999999999</v>
      </c>
      <c r="S244" s="626">
        <v>0.4</v>
      </c>
      <c r="T244" s="525" t="s">
        <v>2221</v>
      </c>
      <c r="U244" s="626">
        <v>0.17599999999999999</v>
      </c>
      <c r="V244" s="626">
        <v>0.6</v>
      </c>
      <c r="W244" s="525"/>
      <c r="X244" s="626"/>
      <c r="Y244" s="626"/>
      <c r="Z244" s="525"/>
      <c r="AA244" s="626"/>
      <c r="AB244" s="626"/>
      <c r="AC244" s="525"/>
      <c r="AD244" s="626"/>
      <c r="AE244" s="626"/>
      <c r="AF244" s="525"/>
      <c r="AG244" s="525"/>
      <c r="AH244" s="525"/>
    </row>
    <row r="245" spans="1:34" hidden="1">
      <c r="C245" s="523"/>
      <c r="D245" s="523" t="s">
        <v>2282</v>
      </c>
      <c r="E245" s="525" t="s">
        <v>2283</v>
      </c>
      <c r="F245" s="523" t="s">
        <v>146</v>
      </c>
      <c r="G245" s="525"/>
      <c r="H245" s="525"/>
      <c r="I245" s="525">
        <f>ROUND(VLOOKUP($P245,DGNC,DG!$S$4,0)*R245*S245,0)</f>
        <v>4040</v>
      </c>
      <c r="J245" s="525">
        <f>ROUND(VLOOKUP($P245,DGNC,DG!$S$4,0)*U245*V245,0)</f>
        <v>6059</v>
      </c>
      <c r="K245" s="525">
        <f t="shared" si="76"/>
        <v>0</v>
      </c>
      <c r="L245" s="525">
        <f t="shared" si="77"/>
        <v>0</v>
      </c>
      <c r="M245" s="525">
        <f t="shared" si="78"/>
        <v>0</v>
      </c>
      <c r="N245" s="525">
        <f t="shared" si="79"/>
        <v>0</v>
      </c>
      <c r="O245" s="418">
        <f t="shared" si="63"/>
        <v>0</v>
      </c>
      <c r="P245" s="525" t="s">
        <v>289</v>
      </c>
      <c r="Q245" s="525" t="s">
        <v>2216</v>
      </c>
      <c r="R245" s="626">
        <v>4.5999999999999999E-2</v>
      </c>
      <c r="S245" s="626">
        <v>0.4</v>
      </c>
      <c r="T245" s="525" t="s">
        <v>2216</v>
      </c>
      <c r="U245" s="626">
        <v>4.5999999999999999E-2</v>
      </c>
      <c r="V245" s="626">
        <v>0.6</v>
      </c>
      <c r="W245" s="525"/>
      <c r="X245" s="626"/>
      <c r="Y245" s="626"/>
      <c r="Z245" s="525"/>
      <c r="AA245" s="626"/>
      <c r="AB245" s="626"/>
      <c r="AC245" s="525"/>
      <c r="AD245" s="626"/>
      <c r="AE245" s="626"/>
      <c r="AF245" s="525"/>
      <c r="AG245" s="525"/>
      <c r="AH245" s="525"/>
    </row>
    <row r="246" spans="1:34" hidden="1">
      <c r="C246" s="523"/>
      <c r="D246" s="523" t="s">
        <v>2284</v>
      </c>
      <c r="E246" s="525" t="s">
        <v>2285</v>
      </c>
      <c r="F246" s="523" t="s">
        <v>146</v>
      </c>
      <c r="G246" s="525"/>
      <c r="H246" s="525"/>
      <c r="I246" s="525">
        <f>ROUND(VLOOKUP($P246,DGNC,DG!$S$4,0)*R246*S246,0)</f>
        <v>6586</v>
      </c>
      <c r="J246" s="525">
        <f>ROUND(VLOOKUP($P246,DGNC,DG!$S$4,0)*U246*V246,0)</f>
        <v>9879</v>
      </c>
      <c r="K246" s="525">
        <f t="shared" si="76"/>
        <v>0</v>
      </c>
      <c r="L246" s="525">
        <f t="shared" si="77"/>
        <v>0</v>
      </c>
      <c r="M246" s="525">
        <f t="shared" si="78"/>
        <v>0</v>
      </c>
      <c r="N246" s="525">
        <f t="shared" si="79"/>
        <v>0</v>
      </c>
      <c r="O246" s="418">
        <f t="shared" si="63"/>
        <v>0</v>
      </c>
      <c r="P246" s="525" t="s">
        <v>289</v>
      </c>
      <c r="Q246" s="525" t="s">
        <v>2216</v>
      </c>
      <c r="R246" s="626">
        <v>7.4999999999999997E-2</v>
      </c>
      <c r="S246" s="626">
        <v>0.4</v>
      </c>
      <c r="T246" s="525" t="s">
        <v>2216</v>
      </c>
      <c r="U246" s="626">
        <v>7.4999999999999997E-2</v>
      </c>
      <c r="V246" s="626">
        <v>0.6</v>
      </c>
      <c r="W246" s="525"/>
      <c r="X246" s="626"/>
      <c r="Y246" s="626"/>
      <c r="Z246" s="525"/>
      <c r="AA246" s="626"/>
      <c r="AB246" s="626"/>
      <c r="AC246" s="525"/>
      <c r="AD246" s="626"/>
      <c r="AE246" s="626"/>
      <c r="AF246" s="525"/>
      <c r="AG246" s="525"/>
      <c r="AH246" s="525"/>
    </row>
    <row r="247" spans="1:34" hidden="1">
      <c r="C247" s="523"/>
      <c r="D247" s="523" t="s">
        <v>2284</v>
      </c>
      <c r="E247" s="525" t="s">
        <v>2286</v>
      </c>
      <c r="F247" s="523" t="s">
        <v>146</v>
      </c>
      <c r="G247" s="525"/>
      <c r="H247" s="525"/>
      <c r="I247" s="525">
        <f>ROUND(VLOOKUP($P247,DGNC,DG!$S$4,0)*R247*S247,0)</f>
        <v>6586</v>
      </c>
      <c r="J247" s="525">
        <f>ROUND(VLOOKUP($P247,DGNC,DG!$S$4,0)*U247*V247,0)</f>
        <v>9879</v>
      </c>
      <c r="K247" s="525">
        <f t="shared" si="76"/>
        <v>0</v>
      </c>
      <c r="L247" s="525">
        <f t="shared" si="77"/>
        <v>0</v>
      </c>
      <c r="M247" s="525">
        <f t="shared" si="78"/>
        <v>0</v>
      </c>
      <c r="N247" s="525">
        <f t="shared" si="79"/>
        <v>0</v>
      </c>
      <c r="O247" s="418">
        <f t="shared" si="63"/>
        <v>0</v>
      </c>
      <c r="P247" s="525" t="s">
        <v>289</v>
      </c>
      <c r="Q247" s="525" t="s">
        <v>2216</v>
      </c>
      <c r="R247" s="626">
        <v>7.4999999999999997E-2</v>
      </c>
      <c r="S247" s="626">
        <v>0.4</v>
      </c>
      <c r="T247" s="525" t="s">
        <v>2216</v>
      </c>
      <c r="U247" s="626">
        <v>7.4999999999999997E-2</v>
      </c>
      <c r="V247" s="626">
        <v>0.6</v>
      </c>
      <c r="W247" s="525"/>
      <c r="X247" s="626"/>
      <c r="Y247" s="626"/>
      <c r="Z247" s="525"/>
      <c r="AA247" s="626"/>
      <c r="AB247" s="626"/>
      <c r="AC247" s="525"/>
      <c r="AD247" s="626"/>
      <c r="AE247" s="626"/>
      <c r="AF247" s="525"/>
      <c r="AG247" s="525"/>
      <c r="AH247" s="525"/>
    </row>
    <row r="248" spans="1:34" hidden="1">
      <c r="C248" s="523"/>
      <c r="D248" s="523" t="s">
        <v>2284</v>
      </c>
      <c r="E248" s="525" t="s">
        <v>2287</v>
      </c>
      <c r="F248" s="523" t="s">
        <v>146</v>
      </c>
      <c r="G248" s="525"/>
      <c r="H248" s="525"/>
      <c r="I248" s="525">
        <f>ROUND(VLOOKUP($P248,DGNC,DG!$S$4,0)*R248*S248,0)</f>
        <v>6586</v>
      </c>
      <c r="J248" s="525">
        <f>ROUND(VLOOKUP($P248,DGNC,DG!$S$4,0)*U248*V248,0)</f>
        <v>9879</v>
      </c>
      <c r="K248" s="525">
        <f t="shared" si="76"/>
        <v>0</v>
      </c>
      <c r="L248" s="525">
        <f t="shared" si="77"/>
        <v>0</v>
      </c>
      <c r="M248" s="525">
        <f t="shared" si="78"/>
        <v>0</v>
      </c>
      <c r="N248" s="525">
        <f t="shared" si="79"/>
        <v>0</v>
      </c>
      <c r="O248" s="418">
        <f t="shared" si="63"/>
        <v>0</v>
      </c>
      <c r="P248" s="525" t="s">
        <v>289</v>
      </c>
      <c r="Q248" s="525" t="s">
        <v>2216</v>
      </c>
      <c r="R248" s="626">
        <v>7.4999999999999997E-2</v>
      </c>
      <c r="S248" s="626">
        <v>0.4</v>
      </c>
      <c r="T248" s="525" t="s">
        <v>2216</v>
      </c>
      <c r="U248" s="626">
        <v>7.4999999999999997E-2</v>
      </c>
      <c r="V248" s="626">
        <v>0.6</v>
      </c>
      <c r="W248" s="525"/>
      <c r="X248" s="626"/>
      <c r="Y248" s="626"/>
      <c r="Z248" s="525"/>
      <c r="AA248" s="626"/>
      <c r="AB248" s="626"/>
      <c r="AC248" s="525"/>
      <c r="AD248" s="626"/>
      <c r="AE248" s="626"/>
      <c r="AF248" s="525"/>
      <c r="AG248" s="525"/>
      <c r="AH248" s="525"/>
    </row>
    <row r="249" spans="1:34" hidden="1">
      <c r="C249" s="523"/>
      <c r="D249" s="523" t="s">
        <v>2284</v>
      </c>
      <c r="E249" s="525" t="s">
        <v>2288</v>
      </c>
      <c r="F249" s="523" t="s">
        <v>146</v>
      </c>
      <c r="G249" s="525"/>
      <c r="H249" s="525"/>
      <c r="I249" s="525">
        <f>ROUND(VLOOKUP($P249,DGNC,DG!$S$4,0)*R249*S249,0)</f>
        <v>6586</v>
      </c>
      <c r="J249" s="525">
        <f>ROUND(VLOOKUP($P249,DGNC,DG!$S$4,0)*U249*V249,0)</f>
        <v>9879</v>
      </c>
      <c r="K249" s="525">
        <f t="shared" si="76"/>
        <v>0</v>
      </c>
      <c r="L249" s="525">
        <f t="shared" si="77"/>
        <v>0</v>
      </c>
      <c r="M249" s="525">
        <f t="shared" si="78"/>
        <v>0</v>
      </c>
      <c r="N249" s="525">
        <f t="shared" si="79"/>
        <v>0</v>
      </c>
      <c r="O249" s="418">
        <f t="shared" si="63"/>
        <v>0</v>
      </c>
      <c r="P249" s="525" t="s">
        <v>289</v>
      </c>
      <c r="Q249" s="525" t="s">
        <v>2216</v>
      </c>
      <c r="R249" s="626">
        <v>7.4999999999999997E-2</v>
      </c>
      <c r="S249" s="626">
        <v>0.4</v>
      </c>
      <c r="T249" s="525" t="s">
        <v>2216</v>
      </c>
      <c r="U249" s="626">
        <v>7.4999999999999997E-2</v>
      </c>
      <c r="V249" s="626">
        <v>0.6</v>
      </c>
      <c r="W249" s="525"/>
      <c r="X249" s="626"/>
      <c r="Y249" s="626"/>
      <c r="Z249" s="525"/>
      <c r="AA249" s="626"/>
      <c r="AB249" s="626"/>
      <c r="AC249" s="525"/>
      <c r="AD249" s="626"/>
      <c r="AE249" s="626"/>
      <c r="AF249" s="525"/>
      <c r="AG249" s="525"/>
      <c r="AH249" s="525"/>
    </row>
    <row r="250" spans="1:34" hidden="1">
      <c r="C250" s="523"/>
      <c r="D250" s="523" t="s">
        <v>2284</v>
      </c>
      <c r="E250" s="525" t="s">
        <v>2289</v>
      </c>
      <c r="F250" s="523" t="s">
        <v>146</v>
      </c>
      <c r="G250" s="525"/>
      <c r="H250" s="525"/>
      <c r="I250" s="525">
        <f>ROUND(VLOOKUP($P250,DGNC,DG!$S$4,0)*R250*S250,0)</f>
        <v>6586</v>
      </c>
      <c r="J250" s="525">
        <f>ROUND(VLOOKUP($P250,DGNC,DG!$S$4,0)*U250*V250,0)</f>
        <v>9879</v>
      </c>
      <c r="K250" s="525">
        <f t="shared" si="76"/>
        <v>0</v>
      </c>
      <c r="L250" s="525">
        <f t="shared" si="77"/>
        <v>0</v>
      </c>
      <c r="M250" s="525">
        <f t="shared" si="78"/>
        <v>0</v>
      </c>
      <c r="N250" s="525">
        <f t="shared" si="79"/>
        <v>0</v>
      </c>
      <c r="O250" s="418">
        <f t="shared" si="63"/>
        <v>0</v>
      </c>
      <c r="P250" s="525" t="s">
        <v>289</v>
      </c>
      <c r="Q250" s="525" t="s">
        <v>2216</v>
      </c>
      <c r="R250" s="626">
        <v>7.4999999999999997E-2</v>
      </c>
      <c r="S250" s="626">
        <v>0.4</v>
      </c>
      <c r="T250" s="525" t="s">
        <v>2216</v>
      </c>
      <c r="U250" s="626">
        <v>7.4999999999999997E-2</v>
      </c>
      <c r="V250" s="626">
        <v>0.6</v>
      </c>
      <c r="W250" s="525"/>
      <c r="X250" s="626"/>
      <c r="Y250" s="626"/>
      <c r="Z250" s="525"/>
      <c r="AA250" s="626"/>
      <c r="AB250" s="626"/>
      <c r="AC250" s="525"/>
      <c r="AD250" s="626"/>
      <c r="AE250" s="626"/>
      <c r="AF250" s="525"/>
      <c r="AG250" s="525"/>
      <c r="AH250" s="525"/>
    </row>
    <row r="251" spans="1:34">
      <c r="B251" s="405" t="s">
        <v>3243</v>
      </c>
      <c r="C251" s="538" t="s">
        <v>1673</v>
      </c>
      <c r="D251" s="539" t="s">
        <v>3248</v>
      </c>
      <c r="E251" s="539"/>
      <c r="F251" s="538"/>
      <c r="G251" s="539"/>
      <c r="H251" s="539"/>
      <c r="I251" s="539"/>
      <c r="J251" s="539"/>
      <c r="K251" s="539"/>
      <c r="L251" s="539"/>
      <c r="M251" s="539">
        <f>SUM(M252:M267)</f>
        <v>11242331</v>
      </c>
      <c r="N251" s="539">
        <f>SUM(N252:N267)</f>
        <v>4050666</v>
      </c>
      <c r="O251" s="418">
        <f t="shared" ref="O251:O267" si="80">IF((M251+N251)&lt;&gt;0,1,)</f>
        <v>1</v>
      </c>
      <c r="P251" s="525"/>
      <c r="Q251" s="654"/>
      <c r="R251" s="655"/>
      <c r="S251" s="655"/>
      <c r="T251" s="539"/>
      <c r="U251" s="661"/>
      <c r="V251" s="661"/>
      <c r="W251" s="654"/>
      <c r="X251" s="655"/>
      <c r="Y251" s="655"/>
      <c r="Z251" s="539"/>
      <c r="AA251" s="661"/>
      <c r="AB251" s="661"/>
      <c r="AC251" s="525"/>
      <c r="AD251" s="626"/>
      <c r="AE251" s="626"/>
      <c r="AF251" s="525"/>
      <c r="AG251" s="525"/>
      <c r="AH251" s="525"/>
    </row>
    <row r="252" spans="1:34" hidden="1">
      <c r="C252" s="523">
        <f>IF(SUM(G252:H252)&lt;&gt;0,1,)</f>
        <v>0</v>
      </c>
      <c r="D252" s="524" t="s">
        <v>897</v>
      </c>
      <c r="E252" s="362" t="s">
        <v>3500</v>
      </c>
      <c r="F252" s="665" t="s">
        <v>896</v>
      </c>
      <c r="G252" s="525">
        <f>'BKTL Tram'!C18</f>
        <v>0</v>
      </c>
      <c r="H252" s="525"/>
      <c r="I252" s="525">
        <f>ROUND(VLOOKUP($P252,DGNC,DG!$S$4,0)*R252*S252,0)</f>
        <v>388338</v>
      </c>
      <c r="J252" s="525">
        <f>ROUND(VLOOKUP($T252,DGNC,DG!$S$4,0)*U252*V252,0)</f>
        <v>647230</v>
      </c>
      <c r="K252" s="525">
        <f>ROUND(IF(W252&lt;&gt;0,VLOOKUP(W252,DGMTC,8,0)*X252*Y252,)+IF(AC252&lt;&gt;0,VLOOKUP(AC252,DGMTC,8,0)*AD252*AE252,),0)</f>
        <v>360605</v>
      </c>
      <c r="L252" s="525">
        <f>ROUND(IF(Z252&lt;&gt;0,VLOOKUP(Z252,DGMTC,8,0)*AA252*AB252,)+IF(AF252&lt;&gt;0,VLOOKUP(AF252,DGMTC,8,0)*AG252*AH252,),0)</f>
        <v>360605</v>
      </c>
      <c r="M252" s="525">
        <f>ROUND(G252*I252+H252*J252,0)</f>
        <v>0</v>
      </c>
      <c r="N252" s="525">
        <f>ROUND(G252*K252+H252*L252,0)</f>
        <v>0</v>
      </c>
      <c r="O252" s="418">
        <f>IF((M252+N252)&lt;&gt;0,1,)</f>
        <v>0</v>
      </c>
      <c r="P252" s="471" t="s">
        <v>781</v>
      </c>
      <c r="Q252" s="727" t="s">
        <v>2226</v>
      </c>
      <c r="R252" s="728">
        <v>2.2799999999999998</v>
      </c>
      <c r="S252" s="728">
        <f>1.1*0.6</f>
        <v>0.66</v>
      </c>
      <c r="T252" s="471" t="s">
        <v>781</v>
      </c>
      <c r="U252" s="468">
        <v>2.2799999999999998</v>
      </c>
      <c r="V252" s="468">
        <v>1.1000000000000001</v>
      </c>
      <c r="W252" s="727" t="s">
        <v>898</v>
      </c>
      <c r="X252" s="728">
        <v>0.26</v>
      </c>
      <c r="Y252" s="728">
        <v>1</v>
      </c>
      <c r="Z252" s="471" t="s">
        <v>898</v>
      </c>
      <c r="AA252" s="468">
        <v>0.26</v>
      </c>
      <c r="AB252" s="468">
        <v>1</v>
      </c>
      <c r="AC252" s="525"/>
      <c r="AD252" s="626"/>
      <c r="AE252" s="626"/>
      <c r="AF252" s="525"/>
      <c r="AG252" s="525"/>
      <c r="AH252" s="525"/>
    </row>
    <row r="253" spans="1:34">
      <c r="C253" s="523">
        <f t="shared" ref="C253:C267" si="81">IF(SUM(G253:H253)&lt;&gt;0,C252+1,C252)</f>
        <v>1</v>
      </c>
      <c r="D253" s="636" t="s">
        <v>901</v>
      </c>
      <c r="E253" s="525" t="s">
        <v>2290</v>
      </c>
      <c r="F253" s="523" t="s">
        <v>896</v>
      </c>
      <c r="G253" s="525">
        <f>'BKTL Tram'!D7+'BKTL Tram'!E7+'BKTL Tram'!E9+'BKTL Tram'!D9+'BKTL Tram'!D10+'BKTL Tram'!E10+'BKTL Tram'!E16+'BKTL Tram'!D16</f>
        <v>3</v>
      </c>
      <c r="H253" s="525"/>
      <c r="I253" s="525">
        <f>ROUND(VLOOKUP($P253,DGNC,DG!$S$4,0)*R253*S253,0)</f>
        <v>447951</v>
      </c>
      <c r="J253" s="525">
        <f>ROUND(VLOOKUP($T253,DGNC,DG!$S$4,0)*U253*V253,0)</f>
        <v>746585</v>
      </c>
      <c r="K253" s="525">
        <f t="shared" ref="K253:K267" si="82">ROUND(IF(W253&lt;&gt;0,VLOOKUP(W253,DGMTC,8,0)*X253*Y253,)+IF(AC253&lt;&gt;0,VLOOKUP(AC253,DGMTC,8,0)*AD253*AE253,),0)</f>
        <v>360605</v>
      </c>
      <c r="L253" s="525">
        <f t="shared" ref="L253:L267" si="83">ROUND(IF(Z253&lt;&gt;0,VLOOKUP(Z253,DGMTC,8,0)*AA253*AB253,)+IF(AF253&lt;&gt;0,VLOOKUP(AF253,DGMTC,8,0)*AG253*AH253,),0)</f>
        <v>360605</v>
      </c>
      <c r="M253" s="525">
        <f t="shared" ref="M253:M267" si="84">ROUND(G253*I253+H253*J253,0)</f>
        <v>1343853</v>
      </c>
      <c r="N253" s="525">
        <f t="shared" ref="N253:N267" si="85">ROUND(G253*K253+H253*L253,0)</f>
        <v>1081815</v>
      </c>
      <c r="O253" s="418">
        <f t="shared" si="80"/>
        <v>1</v>
      </c>
      <c r="P253" s="404" t="s">
        <v>781</v>
      </c>
      <c r="Q253" s="729" t="s">
        <v>2226</v>
      </c>
      <c r="R253" s="730">
        <v>2.63</v>
      </c>
      <c r="S253" s="730">
        <f>1.1*0.6</f>
        <v>0.66</v>
      </c>
      <c r="T253" s="404" t="s">
        <v>781</v>
      </c>
      <c r="U253" s="660">
        <v>2.63</v>
      </c>
      <c r="V253" s="660">
        <v>1.1000000000000001</v>
      </c>
      <c r="W253" s="729" t="s">
        <v>898</v>
      </c>
      <c r="X253" s="730">
        <v>0.26</v>
      </c>
      <c r="Y253" s="730">
        <v>1</v>
      </c>
      <c r="Z253" s="404" t="s">
        <v>898</v>
      </c>
      <c r="AA253" s="660">
        <v>0.26</v>
      </c>
      <c r="AB253" s="660">
        <v>1</v>
      </c>
      <c r="AC253" s="525"/>
      <c r="AD253" s="626"/>
      <c r="AE253" s="626"/>
      <c r="AF253" s="525"/>
      <c r="AG253" s="525"/>
      <c r="AH253" s="525"/>
    </row>
    <row r="254" spans="1:34" hidden="1">
      <c r="A254" s="405" t="s">
        <v>3489</v>
      </c>
      <c r="C254" s="523">
        <f t="shared" si="81"/>
        <v>1</v>
      </c>
      <c r="D254" s="524" t="s">
        <v>904</v>
      </c>
      <c r="E254" s="362" t="s">
        <v>3490</v>
      </c>
      <c r="F254" s="648" t="s">
        <v>896</v>
      </c>
      <c r="G254" s="525">
        <f>'BKTL Tram'!F7+'BKTL Tram'!F9+'BKTL Tram'!F10+'BKTL Tram'!F16</f>
        <v>0</v>
      </c>
      <c r="H254" s="525"/>
      <c r="I254" s="525">
        <f>ROUND(VLOOKUP($P254,DGNC,DG!$S$4,0)*R254*S254,0)</f>
        <v>596132</v>
      </c>
      <c r="J254" s="525">
        <f>ROUND(VLOOKUP($P254,DGNC,DG!$S$4,0)*U254*V254,0)</f>
        <v>993554</v>
      </c>
      <c r="K254" s="525">
        <f>ROUND(IF(W254&lt;&gt;0,VLOOKUP(W254,DGMTC,8,0)*X254*Y254,)+IF(AC254&lt;&gt;0,VLOOKUP(AC254,DGMTC,8,0)*AD254*AE254,),0)</f>
        <v>360605</v>
      </c>
      <c r="L254" s="525">
        <f>ROUND(IF(Z254&lt;&gt;0,VLOOKUP(Z254,DGMTC,8,0)*AA254*AB254,)+IF(AF254&lt;&gt;0,VLOOKUP(AF254,DGMTC,8,0)*AG254*AH254,),0)</f>
        <v>360605</v>
      </c>
      <c r="M254" s="525">
        <f>ROUND(G254*I254+H254*J254,0)</f>
        <v>0</v>
      </c>
      <c r="N254" s="525">
        <f>ROUND(G254*K254+H254*L254,0)</f>
        <v>0</v>
      </c>
      <c r="O254" s="418">
        <f>IF((M254+N254)&lt;&gt;0,1,)</f>
        <v>0</v>
      </c>
      <c r="P254" s="471" t="s">
        <v>781</v>
      </c>
      <c r="Q254" s="727" t="s">
        <v>2226</v>
      </c>
      <c r="R254" s="728">
        <v>3.5</v>
      </c>
      <c r="S254" s="728">
        <f>1.1*0.6</f>
        <v>0.66</v>
      </c>
      <c r="T254" s="471" t="s">
        <v>781</v>
      </c>
      <c r="U254" s="468">
        <v>3.5</v>
      </c>
      <c r="V254" s="468">
        <v>1.1000000000000001</v>
      </c>
      <c r="W254" s="727" t="s">
        <v>898</v>
      </c>
      <c r="X254" s="728">
        <v>0.26</v>
      </c>
      <c r="Y254" s="728">
        <v>1</v>
      </c>
      <c r="Z254" s="471" t="s">
        <v>898</v>
      </c>
      <c r="AA254" s="468">
        <v>0.26</v>
      </c>
      <c r="AB254" s="468">
        <v>1</v>
      </c>
      <c r="AC254" s="525"/>
      <c r="AD254" s="626"/>
      <c r="AE254" s="626"/>
      <c r="AF254" s="525"/>
      <c r="AG254" s="525"/>
      <c r="AH254" s="525"/>
    </row>
    <row r="255" spans="1:34">
      <c r="A255" s="405" t="s">
        <v>3489</v>
      </c>
      <c r="C255" s="523">
        <f t="shared" si="81"/>
        <v>2</v>
      </c>
      <c r="D255" s="636" t="s">
        <v>906</v>
      </c>
      <c r="E255" s="525" t="s">
        <v>2235</v>
      </c>
      <c r="F255" s="523" t="s">
        <v>896</v>
      </c>
      <c r="G255" s="525">
        <f>'BKTL Tram'!G7+'BKTL Tram'!G9+'BKTL Tram'!G10+'BKTL Tram'!G16</f>
        <v>7</v>
      </c>
      <c r="H255" s="525"/>
      <c r="I255" s="525">
        <f>ROUND(VLOOKUP($P255,DGNC,DG!$S$4,0)*R255*S255,0)</f>
        <v>633604</v>
      </c>
      <c r="J255" s="525">
        <f>ROUND(VLOOKUP($P255,DGNC,DG!$S$4,0)*U255*V255,0)</f>
        <v>1064522</v>
      </c>
      <c r="K255" s="525">
        <f t="shared" si="82"/>
        <v>360605</v>
      </c>
      <c r="L255" s="525">
        <f t="shared" si="83"/>
        <v>360605</v>
      </c>
      <c r="M255" s="525">
        <f t="shared" si="84"/>
        <v>4435228</v>
      </c>
      <c r="N255" s="525">
        <f t="shared" si="85"/>
        <v>2524235</v>
      </c>
      <c r="O255" s="418">
        <f t="shared" si="80"/>
        <v>1</v>
      </c>
      <c r="P255" s="404" t="s">
        <v>781</v>
      </c>
      <c r="Q255" s="729" t="s">
        <v>2226</v>
      </c>
      <c r="R255" s="730">
        <v>3.72</v>
      </c>
      <c r="S255" s="730">
        <f>1.1*0.6</f>
        <v>0.66</v>
      </c>
      <c r="T255" s="404" t="s">
        <v>781</v>
      </c>
      <c r="U255" s="660">
        <v>3.75</v>
      </c>
      <c r="V255" s="660">
        <v>1.1000000000000001</v>
      </c>
      <c r="W255" s="729" t="s">
        <v>898</v>
      </c>
      <c r="X255" s="730">
        <v>0.26</v>
      </c>
      <c r="Y255" s="730">
        <v>1</v>
      </c>
      <c r="Z255" s="404" t="s">
        <v>898</v>
      </c>
      <c r="AA255" s="660">
        <v>0.26</v>
      </c>
      <c r="AB255" s="660">
        <v>1</v>
      </c>
      <c r="AC255" s="525"/>
      <c r="AD255" s="626"/>
      <c r="AE255" s="626"/>
      <c r="AF255" s="525"/>
      <c r="AG255" s="525"/>
      <c r="AH255" s="525"/>
    </row>
    <row r="256" spans="1:34">
      <c r="C256" s="523">
        <f t="shared" si="81"/>
        <v>3</v>
      </c>
      <c r="D256" s="636" t="s">
        <v>988</v>
      </c>
      <c r="E256" s="525" t="s">
        <v>2237</v>
      </c>
      <c r="F256" s="523" t="s">
        <v>11</v>
      </c>
      <c r="G256" s="525">
        <f>'BKTL Tram'!J7+'BKTL Tram'!J9+'BKTL Tram'!J10+'BKTL Tram'!J16</f>
        <v>4</v>
      </c>
      <c r="H256" s="525"/>
      <c r="I256" s="525">
        <f>ROUND(VLOOKUP($P256,DGNC,DG!$S$4,0)*R256*S256,0)</f>
        <v>322583</v>
      </c>
      <c r="J256" s="525">
        <f>ROUND(VLOOKUP($T256,DGNC,DG!$S$4,0)*U256*V256,0)</f>
        <v>645165</v>
      </c>
      <c r="K256" s="525">
        <f t="shared" si="82"/>
        <v>111154</v>
      </c>
      <c r="L256" s="525">
        <f t="shared" si="83"/>
        <v>111154</v>
      </c>
      <c r="M256" s="525">
        <f t="shared" si="84"/>
        <v>1290332</v>
      </c>
      <c r="N256" s="525">
        <f t="shared" si="85"/>
        <v>444616</v>
      </c>
      <c r="O256" s="418">
        <f t="shared" si="80"/>
        <v>1</v>
      </c>
      <c r="P256" s="404" t="s">
        <v>781</v>
      </c>
      <c r="Q256" s="729" t="s">
        <v>2226</v>
      </c>
      <c r="R256" s="730">
        <v>2.5</v>
      </c>
      <c r="S256" s="730">
        <v>0.5</v>
      </c>
      <c r="T256" s="404" t="s">
        <v>781</v>
      </c>
      <c r="U256" s="660">
        <v>2.5</v>
      </c>
      <c r="V256" s="660">
        <v>1</v>
      </c>
      <c r="W256" s="729" t="s">
        <v>3491</v>
      </c>
      <c r="X256" s="730">
        <v>0.2</v>
      </c>
      <c r="Y256" s="730">
        <v>1</v>
      </c>
      <c r="Z256" s="404" t="s">
        <v>3491</v>
      </c>
      <c r="AA256" s="660">
        <v>0.2</v>
      </c>
      <c r="AB256" s="660">
        <v>1</v>
      </c>
      <c r="AC256" s="525"/>
      <c r="AD256" s="626"/>
      <c r="AE256" s="626"/>
      <c r="AF256" s="525"/>
      <c r="AG256" s="525"/>
      <c r="AH256" s="525"/>
    </row>
    <row r="257" spans="1:34" hidden="1">
      <c r="C257" s="523">
        <f t="shared" si="81"/>
        <v>3</v>
      </c>
      <c r="D257" s="524" t="s">
        <v>990</v>
      </c>
      <c r="E257" s="362" t="s">
        <v>3240</v>
      </c>
      <c r="F257" s="523" t="s">
        <v>11</v>
      </c>
      <c r="G257" s="525"/>
      <c r="H257" s="525"/>
      <c r="I257" s="525">
        <f>ROUND(VLOOKUP($P257,DGNC,DG!$S$4,0)*R257*S257,0)</f>
        <v>371615</v>
      </c>
      <c r="J257" s="525">
        <f>ROUND(VLOOKUP($T257,DGNC,DG!$S$4,0)*U257*V257,0)</f>
        <v>743230</v>
      </c>
      <c r="K257" s="525">
        <f>ROUND(IF(W257&lt;&gt;0,VLOOKUP(W257,DGMTC,8,0)*X257*Y257,)+IF(AC257&lt;&gt;0,VLOOKUP(AC257,DGMTC,8,0)*AD257*AE257,),0)</f>
        <v>111154</v>
      </c>
      <c r="L257" s="525">
        <f>ROUND(IF(Z257&lt;&gt;0,VLOOKUP(Z257,DGMTC,8,0)*AA257*AB257,)+IF(AF257&lt;&gt;0,VLOOKUP(AF257,DGMTC,8,0)*AG257*AH257,),0)</f>
        <v>111154</v>
      </c>
      <c r="M257" s="525">
        <f>ROUND(G257*I257+H257*J257,0)</f>
        <v>0</v>
      </c>
      <c r="N257" s="525">
        <f>ROUND(G257*K257+H257*L257,0)</f>
        <v>0</v>
      </c>
      <c r="O257" s="418">
        <f>IF((M257+N257)&lt;&gt;0,1,)</f>
        <v>0</v>
      </c>
      <c r="P257" s="471" t="s">
        <v>781</v>
      </c>
      <c r="Q257" s="727" t="s">
        <v>2226</v>
      </c>
      <c r="R257" s="728">
        <v>2.88</v>
      </c>
      <c r="S257" s="728">
        <v>0.5</v>
      </c>
      <c r="T257" s="471" t="s">
        <v>781</v>
      </c>
      <c r="U257" s="468">
        <v>2.88</v>
      </c>
      <c r="V257" s="468">
        <v>1</v>
      </c>
      <c r="W257" s="727" t="s">
        <v>3491</v>
      </c>
      <c r="X257" s="728">
        <v>0.2</v>
      </c>
      <c r="Y257" s="728">
        <v>1</v>
      </c>
      <c r="Z257" s="471" t="s">
        <v>3491</v>
      </c>
      <c r="AA257" s="468">
        <v>0.2</v>
      </c>
      <c r="AB257" s="468">
        <v>1</v>
      </c>
      <c r="AC257" s="525"/>
      <c r="AD257" s="626"/>
      <c r="AE257" s="626"/>
      <c r="AF257" s="525"/>
      <c r="AG257" s="525"/>
      <c r="AH257" s="525"/>
    </row>
    <row r="258" spans="1:34">
      <c r="C258" s="523">
        <f t="shared" si="81"/>
        <v>4</v>
      </c>
      <c r="D258" s="636" t="s">
        <v>917</v>
      </c>
      <c r="E258" s="525" t="s">
        <v>2241</v>
      </c>
      <c r="F258" s="523" t="s">
        <v>11</v>
      </c>
      <c r="G258" s="525">
        <f>'BKTL Tram'!H7+'BKTL Tram'!H9+'BKTL Tram'!H10+'BKTL Tram'!H16+'BKTL Tram'!H18</f>
        <v>8</v>
      </c>
      <c r="H258" s="525"/>
      <c r="I258" s="525">
        <f>ROUND(VLOOKUP($P258,DGNC,DG!$S$4,0)*R258*S258*V258,0)</f>
        <v>94776</v>
      </c>
      <c r="J258" s="525">
        <f>ROUND(VLOOKUP($T258,DGNC,DG!$S$4,0)*U258*V258,0)</f>
        <v>189552</v>
      </c>
      <c r="K258" s="525">
        <f t="shared" si="82"/>
        <v>0</v>
      </c>
      <c r="L258" s="525">
        <f t="shared" si="83"/>
        <v>0</v>
      </c>
      <c r="M258" s="525">
        <f t="shared" si="84"/>
        <v>758208</v>
      </c>
      <c r="N258" s="525">
        <f t="shared" si="85"/>
        <v>0</v>
      </c>
      <c r="O258" s="418">
        <f t="shared" si="80"/>
        <v>1</v>
      </c>
      <c r="P258" s="404" t="s">
        <v>12</v>
      </c>
      <c r="Q258" s="729" t="s">
        <v>2221</v>
      </c>
      <c r="R258" s="730">
        <v>2.4</v>
      </c>
      <c r="S258" s="730">
        <f>0.5</f>
        <v>0.5</v>
      </c>
      <c r="T258" s="404" t="s">
        <v>12</v>
      </c>
      <c r="U258" s="660">
        <v>2.4</v>
      </c>
      <c r="V258" s="660">
        <f>1/3</f>
        <v>0.33333333333333331</v>
      </c>
      <c r="W258" s="656"/>
      <c r="X258" s="657"/>
      <c r="Y258" s="657"/>
      <c r="Z258" s="525"/>
      <c r="AA258" s="626"/>
      <c r="AB258" s="626"/>
      <c r="AC258" s="525"/>
      <c r="AD258" s="626"/>
      <c r="AE258" s="626"/>
      <c r="AF258" s="525"/>
      <c r="AG258" s="525"/>
      <c r="AH258" s="525"/>
    </row>
    <row r="259" spans="1:34">
      <c r="C259" s="523">
        <f t="shared" si="81"/>
        <v>5</v>
      </c>
      <c r="D259" s="636" t="s">
        <v>944</v>
      </c>
      <c r="E259" s="525" t="s">
        <v>2243</v>
      </c>
      <c r="F259" s="523" t="s">
        <v>11</v>
      </c>
      <c r="G259" s="525">
        <f>'BKTL Tram'!I7+'BKTL Tram'!I9+'BKTL Tram'!I10+'BKTL Tram'!I16+'BKTL Tram'!I18</f>
        <v>8</v>
      </c>
      <c r="H259" s="525"/>
      <c r="I259" s="525">
        <f>ROUND(VLOOKUP($P259,DGNC,DG!$S$4,0)*R259*S259*V259,0)</f>
        <v>35541</v>
      </c>
      <c r="J259" s="525">
        <f>ROUND(VLOOKUP($T259,DGNC,DG!$S$4,0)*U259*V259,0)</f>
        <v>71082</v>
      </c>
      <c r="K259" s="525">
        <f t="shared" si="82"/>
        <v>0</v>
      </c>
      <c r="L259" s="525">
        <f t="shared" si="83"/>
        <v>0</v>
      </c>
      <c r="M259" s="525">
        <f t="shared" si="84"/>
        <v>284328</v>
      </c>
      <c r="N259" s="525">
        <f t="shared" si="85"/>
        <v>0</v>
      </c>
      <c r="O259" s="418">
        <f t="shared" si="80"/>
        <v>1</v>
      </c>
      <c r="P259" s="404" t="s">
        <v>12</v>
      </c>
      <c r="Q259" s="729" t="s">
        <v>2221</v>
      </c>
      <c r="R259" s="730">
        <f>1.5</f>
        <v>1.5</v>
      </c>
      <c r="S259" s="730">
        <f>0.5</f>
        <v>0.5</v>
      </c>
      <c r="T259" s="659" t="s">
        <v>12</v>
      </c>
      <c r="U259" s="660">
        <v>1.5</v>
      </c>
      <c r="V259" s="660">
        <f>0.6/3</f>
        <v>0.19999999999999998</v>
      </c>
      <c r="W259" s="656"/>
      <c r="X259" s="657"/>
      <c r="Y259" s="657"/>
      <c r="Z259" s="525"/>
      <c r="AA259" s="626"/>
      <c r="AB259" s="626"/>
      <c r="AC259" s="525"/>
      <c r="AD259" s="626"/>
      <c r="AE259" s="626"/>
      <c r="AF259" s="525"/>
      <c r="AG259" s="525"/>
      <c r="AH259" s="525"/>
    </row>
    <row r="260" spans="1:34" ht="31.2">
      <c r="C260" s="523">
        <f t="shared" si="81"/>
        <v>6</v>
      </c>
      <c r="D260" s="636" t="s">
        <v>2801</v>
      </c>
      <c r="E260" s="525" t="s">
        <v>2803</v>
      </c>
      <c r="F260" s="523" t="s">
        <v>146</v>
      </c>
      <c r="G260" s="554">
        <f>'BKTL Tram'!N7+'BKTL Tram'!N9+'BKTL Tram'!N10+'BKTL Tram'!N16</f>
        <v>61</v>
      </c>
      <c r="H260" s="525"/>
      <c r="I260" s="525">
        <f>ROUND(VLOOKUP($P260,DGNC,DG!$S$4,0)*R260*S260,0)</f>
        <v>14231</v>
      </c>
      <c r="J260" s="525">
        <f>ROUND(VLOOKUP($T260,DGNC,DG!$S$4,0)*U260*V260,0)</f>
        <v>46719</v>
      </c>
      <c r="K260" s="525">
        <f t="shared" si="82"/>
        <v>0</v>
      </c>
      <c r="L260" s="525">
        <f t="shared" si="83"/>
        <v>0</v>
      </c>
      <c r="M260" s="525">
        <f t="shared" si="84"/>
        <v>868091</v>
      </c>
      <c r="N260" s="525">
        <f t="shared" si="85"/>
        <v>0</v>
      </c>
      <c r="O260" s="418">
        <f t="shared" si="80"/>
        <v>1</v>
      </c>
      <c r="P260" s="525" t="s">
        <v>1311</v>
      </c>
      <c r="Q260" s="656" t="s">
        <v>2219</v>
      </c>
      <c r="R260" s="657">
        <v>0.17599999999999999</v>
      </c>
      <c r="S260" s="657">
        <v>0.4</v>
      </c>
      <c r="T260" s="525" t="s">
        <v>289</v>
      </c>
      <c r="U260" s="626">
        <v>0.21279999999999999</v>
      </c>
      <c r="V260" s="626">
        <v>1</v>
      </c>
      <c r="W260" s="656"/>
      <c r="X260" s="657"/>
      <c r="Y260" s="657"/>
      <c r="Z260" s="525"/>
      <c r="AA260" s="626"/>
      <c r="AB260" s="626"/>
      <c r="AC260" s="525"/>
      <c r="AD260" s="626"/>
      <c r="AE260" s="626"/>
      <c r="AF260" s="525"/>
      <c r="AG260" s="525"/>
      <c r="AH260" s="525"/>
    </row>
    <row r="261" spans="1:34" hidden="1">
      <c r="C261" s="523">
        <f t="shared" si="81"/>
        <v>6</v>
      </c>
      <c r="D261" s="523" t="s">
        <v>2282</v>
      </c>
      <c r="E261" s="525" t="s">
        <v>2283</v>
      </c>
      <c r="F261" s="523" t="s">
        <v>146</v>
      </c>
      <c r="G261" s="554"/>
      <c r="H261" s="525"/>
      <c r="I261" s="525">
        <f>ROUND(VLOOKUP($P261,DGNC,DG!$S$4,0)*R261*S261,0)</f>
        <v>4040</v>
      </c>
      <c r="J261" s="525">
        <f>ROUND(VLOOKUP($P261,DGNC,DG!$S$4,0)*U261*V261,0)</f>
        <v>6059</v>
      </c>
      <c r="K261" s="525">
        <f t="shared" si="82"/>
        <v>0</v>
      </c>
      <c r="L261" s="525">
        <f t="shared" si="83"/>
        <v>0</v>
      </c>
      <c r="M261" s="525">
        <f t="shared" si="84"/>
        <v>0</v>
      </c>
      <c r="N261" s="525">
        <f t="shared" si="85"/>
        <v>0</v>
      </c>
      <c r="O261" s="418">
        <f t="shared" si="80"/>
        <v>0</v>
      </c>
      <c r="P261" s="525" t="s">
        <v>289</v>
      </c>
      <c r="Q261" s="656" t="s">
        <v>2216</v>
      </c>
      <c r="R261" s="657">
        <v>4.5999999999999999E-2</v>
      </c>
      <c r="S261" s="657">
        <v>0.4</v>
      </c>
      <c r="T261" s="525" t="s">
        <v>2216</v>
      </c>
      <c r="U261" s="626">
        <v>4.5999999999999999E-2</v>
      </c>
      <c r="V261" s="626">
        <v>0.6</v>
      </c>
      <c r="W261" s="656"/>
      <c r="X261" s="657"/>
      <c r="Y261" s="657"/>
      <c r="Z261" s="525"/>
      <c r="AA261" s="626"/>
      <c r="AB261" s="626"/>
      <c r="AC261" s="525"/>
      <c r="AD261" s="626"/>
      <c r="AE261" s="626"/>
      <c r="AF261" s="525"/>
      <c r="AG261" s="525"/>
      <c r="AH261" s="525"/>
    </row>
    <row r="262" spans="1:34" hidden="1">
      <c r="C262" s="523">
        <f t="shared" si="81"/>
        <v>6</v>
      </c>
      <c r="D262" s="523" t="s">
        <v>2284</v>
      </c>
      <c r="E262" s="525" t="s">
        <v>2285</v>
      </c>
      <c r="F262" s="523" t="s">
        <v>146</v>
      </c>
      <c r="G262" s="554">
        <f>'BKTL Tram'!X7+'BKTL Tram'!X9+'BKTL Tram'!X10</f>
        <v>0</v>
      </c>
      <c r="H262" s="525"/>
      <c r="I262" s="525">
        <f>ROUND(VLOOKUP($P262,DGNC,DG!$S$4,0)*R262*S262,0)</f>
        <v>6586</v>
      </c>
      <c r="J262" s="525">
        <f>ROUND(VLOOKUP($P262,DGNC,DG!$S$4,0)*U262*V262,0)</f>
        <v>9879</v>
      </c>
      <c r="K262" s="525">
        <f t="shared" si="82"/>
        <v>0</v>
      </c>
      <c r="L262" s="525">
        <f t="shared" si="83"/>
        <v>0</v>
      </c>
      <c r="M262" s="525">
        <f t="shared" si="84"/>
        <v>0</v>
      </c>
      <c r="N262" s="525">
        <f t="shared" si="85"/>
        <v>0</v>
      </c>
      <c r="O262" s="418">
        <f t="shared" si="80"/>
        <v>0</v>
      </c>
      <c r="P262" s="525" t="s">
        <v>289</v>
      </c>
      <c r="Q262" s="525" t="s">
        <v>2216</v>
      </c>
      <c r="R262" s="626">
        <v>7.4999999999999997E-2</v>
      </c>
      <c r="S262" s="626">
        <v>0.4</v>
      </c>
      <c r="T262" s="525" t="s">
        <v>2216</v>
      </c>
      <c r="U262" s="626">
        <v>7.4999999999999997E-2</v>
      </c>
      <c r="V262" s="626">
        <v>0.6</v>
      </c>
      <c r="W262" s="525"/>
      <c r="X262" s="626"/>
      <c r="Y262" s="626"/>
      <c r="Z262" s="525"/>
      <c r="AA262" s="626"/>
      <c r="AB262" s="626"/>
      <c r="AC262" s="525"/>
      <c r="AD262" s="626"/>
      <c r="AE262" s="626"/>
      <c r="AF262" s="525"/>
      <c r="AG262" s="525"/>
      <c r="AH262" s="525"/>
    </row>
    <row r="263" spans="1:34" ht="31.2">
      <c r="C263" s="523">
        <f t="shared" si="81"/>
        <v>7</v>
      </c>
      <c r="D263" s="636" t="s">
        <v>2802</v>
      </c>
      <c r="E263" s="525" t="s">
        <v>2804</v>
      </c>
      <c r="F263" s="523" t="s">
        <v>146</v>
      </c>
      <c r="G263" s="554">
        <f>'BKTL Tram'!W7+'BKTL Tram'!W9+'BKTL Tram'!W10+'BKTL Tram'!W16</f>
        <v>9</v>
      </c>
      <c r="H263" s="525"/>
      <c r="I263" s="525">
        <f>ROUND(VLOOKUP($P263,DGNC,DG!$S$4,0)*R263*S263,0)</f>
        <v>6586</v>
      </c>
      <c r="J263" s="525">
        <f>ROUND(VLOOKUP($T263,DGNC,DG!$S$4,0)*U263*V263,0)</f>
        <v>11847</v>
      </c>
      <c r="K263" s="525">
        <f t="shared" si="82"/>
        <v>0</v>
      </c>
      <c r="L263" s="525">
        <f t="shared" si="83"/>
        <v>0</v>
      </c>
      <c r="M263" s="525">
        <f t="shared" si="84"/>
        <v>59274</v>
      </c>
      <c r="N263" s="525">
        <f t="shared" si="85"/>
        <v>0</v>
      </c>
      <c r="O263" s="418">
        <f t="shared" si="80"/>
        <v>1</v>
      </c>
      <c r="P263" s="525" t="s">
        <v>289</v>
      </c>
      <c r="Q263" s="656" t="s">
        <v>2216</v>
      </c>
      <c r="R263" s="657">
        <v>7.4999999999999997E-2</v>
      </c>
      <c r="S263" s="657">
        <v>0.4</v>
      </c>
      <c r="T263" s="525" t="s">
        <v>12</v>
      </c>
      <c r="U263" s="626">
        <v>0.05</v>
      </c>
      <c r="V263" s="626">
        <v>1</v>
      </c>
      <c r="W263" s="656"/>
      <c r="X263" s="657"/>
      <c r="Y263" s="657"/>
      <c r="Z263" s="525"/>
      <c r="AA263" s="626"/>
      <c r="AB263" s="626"/>
      <c r="AC263" s="525"/>
      <c r="AD263" s="626"/>
      <c r="AE263" s="626"/>
      <c r="AF263" s="525"/>
      <c r="AG263" s="525"/>
      <c r="AH263" s="525"/>
    </row>
    <row r="264" spans="1:34" ht="31.2">
      <c r="C264" s="523">
        <f t="shared" si="81"/>
        <v>8</v>
      </c>
      <c r="D264" s="636" t="s">
        <v>2802</v>
      </c>
      <c r="E264" s="525" t="s">
        <v>2806</v>
      </c>
      <c r="F264" s="523" t="s">
        <v>146</v>
      </c>
      <c r="G264" s="554">
        <f>'BKTL Tram'!V7+'BKTL Tram'!V9+'BKTL Tram'!V10+'BKTL Tram'!V16</f>
        <v>89</v>
      </c>
      <c r="H264" s="525"/>
      <c r="I264" s="525">
        <f>ROUND(VLOOKUP($P264,DGNC,DG!$S$4,0)*R264*S264,0)</f>
        <v>6586</v>
      </c>
      <c r="J264" s="525">
        <f>ROUND(VLOOKUP($T264,DGNC,DG!$S$4,0)*U264*V264,0)</f>
        <v>11847</v>
      </c>
      <c r="K264" s="525">
        <f t="shared" si="82"/>
        <v>0</v>
      </c>
      <c r="L264" s="525">
        <f t="shared" si="83"/>
        <v>0</v>
      </c>
      <c r="M264" s="525">
        <f t="shared" si="84"/>
        <v>586154</v>
      </c>
      <c r="N264" s="525">
        <f t="shared" si="85"/>
        <v>0</v>
      </c>
      <c r="O264" s="418">
        <f t="shared" si="80"/>
        <v>1</v>
      </c>
      <c r="P264" s="525" t="s">
        <v>289</v>
      </c>
      <c r="Q264" s="656" t="s">
        <v>2216</v>
      </c>
      <c r="R264" s="657">
        <v>7.4999999999999997E-2</v>
      </c>
      <c r="S264" s="657">
        <v>0.4</v>
      </c>
      <c r="T264" s="525" t="s">
        <v>12</v>
      </c>
      <c r="U264" s="626">
        <v>0.05</v>
      </c>
      <c r="V264" s="626">
        <v>1</v>
      </c>
      <c r="W264" s="656"/>
      <c r="X264" s="657"/>
      <c r="Y264" s="657"/>
      <c r="Z264" s="525"/>
      <c r="AA264" s="626"/>
      <c r="AB264" s="626"/>
      <c r="AC264" s="525"/>
      <c r="AD264" s="626"/>
      <c r="AE264" s="626"/>
      <c r="AF264" s="525"/>
      <c r="AG264" s="525"/>
      <c r="AH264" s="525"/>
    </row>
    <row r="265" spans="1:34" ht="31.2">
      <c r="C265" s="523">
        <f t="shared" si="81"/>
        <v>9</v>
      </c>
      <c r="D265" s="636" t="s">
        <v>2802</v>
      </c>
      <c r="E265" s="525" t="s">
        <v>2805</v>
      </c>
      <c r="F265" s="523" t="s">
        <v>146</v>
      </c>
      <c r="G265" s="554">
        <f>'BKTL Tram'!U7+'BKTL Tram'!U9+'BKTL Tram'!U10+'BKTL Tram'!U16</f>
        <v>117.5</v>
      </c>
      <c r="H265" s="525"/>
      <c r="I265" s="525">
        <f>ROUND(VLOOKUP($P265,DGNC,DG!$S$4,0)*R265*S265,0)</f>
        <v>6586</v>
      </c>
      <c r="J265" s="525">
        <f>ROUND(VLOOKUP($T265,DGNC,DG!$S$4,0)*U265*V265,0)</f>
        <v>11847</v>
      </c>
      <c r="K265" s="525">
        <f t="shared" si="82"/>
        <v>0</v>
      </c>
      <c r="L265" s="525">
        <f t="shared" si="83"/>
        <v>0</v>
      </c>
      <c r="M265" s="525">
        <f t="shared" si="84"/>
        <v>773855</v>
      </c>
      <c r="N265" s="525">
        <f t="shared" si="85"/>
        <v>0</v>
      </c>
      <c r="O265" s="418">
        <f t="shared" si="80"/>
        <v>1</v>
      </c>
      <c r="P265" s="525" t="s">
        <v>289</v>
      </c>
      <c r="Q265" s="656" t="s">
        <v>2216</v>
      </c>
      <c r="R265" s="657">
        <v>7.4999999999999997E-2</v>
      </c>
      <c r="S265" s="657">
        <v>0.4</v>
      </c>
      <c r="T265" s="525" t="s">
        <v>12</v>
      </c>
      <c r="U265" s="626">
        <v>0.05</v>
      </c>
      <c r="V265" s="626">
        <v>1</v>
      </c>
      <c r="W265" s="656"/>
      <c r="X265" s="657"/>
      <c r="Y265" s="657"/>
      <c r="Z265" s="525"/>
      <c r="AA265" s="626"/>
      <c r="AB265" s="626"/>
      <c r="AC265" s="525"/>
      <c r="AD265" s="626"/>
      <c r="AE265" s="626"/>
      <c r="AF265" s="525"/>
      <c r="AG265" s="525"/>
      <c r="AH265" s="525"/>
    </row>
    <row r="266" spans="1:34">
      <c r="C266" s="523">
        <f t="shared" si="81"/>
        <v>10</v>
      </c>
      <c r="D266" s="523" t="s">
        <v>2284</v>
      </c>
      <c r="E266" s="525" t="s">
        <v>2289</v>
      </c>
      <c r="F266" s="523" t="s">
        <v>146</v>
      </c>
      <c r="G266" s="554">
        <f>'BKTL Tram'!T7+'BKTL Tram'!T9+'BKTL Tram'!T10+'BKTL Tram'!T16</f>
        <v>128</v>
      </c>
      <c r="H266" s="525"/>
      <c r="I266" s="525">
        <f>ROUND(VLOOKUP($P266,DGNC,DG!$S$4,0)*R266*S266,0)</f>
        <v>6586</v>
      </c>
      <c r="J266" s="525">
        <f>ROUND(VLOOKUP($P266,DGNC,DG!$S$4,0)*U266*V266,0)</f>
        <v>9879</v>
      </c>
      <c r="K266" s="525">
        <f>ROUND(IF(W266&lt;&gt;0,VLOOKUP(W266,DGMTC,8,0)*X266*Y266,)+IF(AC266&lt;&gt;0,VLOOKUP(AC266,DGMTC,8,0)*AD266*AE266,),0)</f>
        <v>0</v>
      </c>
      <c r="L266" s="525">
        <f>ROUND(IF(Z266&lt;&gt;0,VLOOKUP(Z266,DGMTC,8,0)*AA266*AB266,)+IF(AF266&lt;&gt;0,VLOOKUP(AF266,DGMTC,8,0)*AG266*AH266,),0)</f>
        <v>0</v>
      </c>
      <c r="M266" s="525">
        <f>ROUND(G266*I266+H266*J266,0)</f>
        <v>843008</v>
      </c>
      <c r="N266" s="525">
        <f>ROUND(G266*K266+H266*L266,0)</f>
        <v>0</v>
      </c>
      <c r="O266" s="418">
        <f>IF((M266+N266)&lt;&gt;0,1,)</f>
        <v>1</v>
      </c>
      <c r="P266" s="525" t="s">
        <v>289</v>
      </c>
      <c r="Q266" s="656" t="s">
        <v>2216</v>
      </c>
      <c r="R266" s="657">
        <v>7.4999999999999997E-2</v>
      </c>
      <c r="S266" s="657">
        <v>0.4</v>
      </c>
      <c r="T266" s="525" t="s">
        <v>2216</v>
      </c>
      <c r="U266" s="626">
        <v>7.4999999999999997E-2</v>
      </c>
      <c r="V266" s="626">
        <v>0.6</v>
      </c>
      <c r="W266" s="656"/>
      <c r="X266" s="657"/>
      <c r="Y266" s="657"/>
      <c r="Z266" s="525"/>
      <c r="AA266" s="626"/>
      <c r="AB266" s="626"/>
      <c r="AC266" s="525"/>
      <c r="AD266" s="626"/>
      <c r="AE266" s="626"/>
      <c r="AF266" s="525"/>
      <c r="AG266" s="525"/>
      <c r="AH266" s="525"/>
    </row>
    <row r="267" spans="1:34" hidden="1">
      <c r="C267" s="523">
        <f t="shared" si="81"/>
        <v>10</v>
      </c>
      <c r="D267" s="523" t="s">
        <v>2284</v>
      </c>
      <c r="E267" s="525" t="s">
        <v>3263</v>
      </c>
      <c r="F267" s="523" t="s">
        <v>146</v>
      </c>
      <c r="G267" s="554">
        <f>'BKTL Tram'!S7+'BKTL Tram'!S9+'BKTL Tram'!S10+'BKTL Tram'!S16</f>
        <v>0</v>
      </c>
      <c r="H267" s="525"/>
      <c r="I267" s="525">
        <f>ROUND(VLOOKUP($P267,DGNC,DG!$S$4,0)*R267*S267,0)</f>
        <v>6586</v>
      </c>
      <c r="J267" s="525">
        <f>ROUND(VLOOKUP($P267,DGNC,DG!$S$4,0)*U267*V267,0)</f>
        <v>9879</v>
      </c>
      <c r="K267" s="525">
        <f t="shared" si="82"/>
        <v>0</v>
      </c>
      <c r="L267" s="525">
        <f t="shared" si="83"/>
        <v>0</v>
      </c>
      <c r="M267" s="525">
        <f t="shared" si="84"/>
        <v>0</v>
      </c>
      <c r="N267" s="525">
        <f t="shared" si="85"/>
        <v>0</v>
      </c>
      <c r="O267" s="418">
        <f t="shared" si="80"/>
        <v>0</v>
      </c>
      <c r="P267" s="525" t="s">
        <v>289</v>
      </c>
      <c r="Q267" s="656" t="s">
        <v>2216</v>
      </c>
      <c r="R267" s="657">
        <v>7.4999999999999997E-2</v>
      </c>
      <c r="S267" s="657">
        <v>0.4</v>
      </c>
      <c r="T267" s="525" t="s">
        <v>2216</v>
      </c>
      <c r="U267" s="626">
        <v>7.4999999999999997E-2</v>
      </c>
      <c r="V267" s="626">
        <v>0.6</v>
      </c>
      <c r="W267" s="656"/>
      <c r="X267" s="657"/>
      <c r="Y267" s="657"/>
      <c r="Z267" s="525"/>
      <c r="AA267" s="626"/>
      <c r="AB267" s="626"/>
      <c r="AC267" s="525"/>
      <c r="AD267" s="626"/>
      <c r="AE267" s="626"/>
      <c r="AF267" s="525"/>
      <c r="AG267" s="525"/>
      <c r="AH267" s="525"/>
    </row>
    <row r="268" spans="1:34" hidden="1">
      <c r="B268" s="405" t="s">
        <v>3244</v>
      </c>
      <c r="C268" s="538" t="s">
        <v>1673</v>
      </c>
      <c r="D268" s="539" t="s">
        <v>3493</v>
      </c>
      <c r="E268" s="539"/>
      <c r="F268" s="538"/>
      <c r="G268" s="539"/>
      <c r="H268" s="539"/>
      <c r="I268" s="539"/>
      <c r="J268" s="539"/>
      <c r="K268" s="539"/>
      <c r="L268" s="539"/>
      <c r="M268" s="539">
        <f>SUM(M269:M284)</f>
        <v>0</v>
      </c>
      <c r="N268" s="539">
        <f>SUM(N269:N284)</f>
        <v>0</v>
      </c>
      <c r="O268" s="418">
        <f t="shared" ref="O268:O284" si="86">IF((M268+N268)&lt;&gt;0,1,)</f>
        <v>0</v>
      </c>
      <c r="P268" s="525"/>
      <c r="Q268" s="654"/>
      <c r="R268" s="655"/>
      <c r="S268" s="655"/>
      <c r="T268" s="539"/>
      <c r="U268" s="661"/>
      <c r="V268" s="661"/>
      <c r="W268" s="654"/>
      <c r="X268" s="655"/>
      <c r="Y268" s="655"/>
      <c r="Z268" s="539"/>
      <c r="AA268" s="661"/>
      <c r="AB268" s="661"/>
      <c r="AC268" s="525"/>
      <c r="AD268" s="626"/>
      <c r="AE268" s="626"/>
      <c r="AF268" s="525"/>
      <c r="AG268" s="525"/>
      <c r="AH268" s="525"/>
    </row>
    <row r="269" spans="1:34" hidden="1">
      <c r="C269" s="523">
        <f>IF(SUM(G269:H269)&lt;&gt;0,1,)</f>
        <v>0</v>
      </c>
      <c r="D269" s="524" t="s">
        <v>901</v>
      </c>
      <c r="E269" s="362" t="s">
        <v>2290</v>
      </c>
      <c r="F269" s="523" t="s">
        <v>896</v>
      </c>
      <c r="G269" s="525">
        <f>'BKTL Tram'!E17</f>
        <v>0</v>
      </c>
      <c r="H269" s="525"/>
      <c r="I269" s="525">
        <f>ROUND(VLOOKUP($P269,DGNC,DG!$S$4,0)*R269*S269,0)</f>
        <v>447951</v>
      </c>
      <c r="J269" s="525">
        <f>ROUND(VLOOKUP($T269,DGNC,DG!$S$4,0)*U269*V269,0)</f>
        <v>746585</v>
      </c>
      <c r="K269" s="525">
        <f t="shared" ref="K269:K284" si="87">ROUND(IF(W269&lt;&gt;0,VLOOKUP(W269,DGMTC,8,0)*X269*Y269,)+IF(AC269&lt;&gt;0,VLOOKUP(AC269,DGMTC,8,0)*AD269*AE269,),0)</f>
        <v>360605</v>
      </c>
      <c r="L269" s="525">
        <f t="shared" ref="L269:L284" si="88">ROUND(IF(Z269&lt;&gt;0,VLOOKUP(Z269,DGMTC,8,0)*AA269*AB269,)+IF(AF269&lt;&gt;0,VLOOKUP(AF269,DGMTC,8,0)*AG269*AH269,),0)</f>
        <v>360605</v>
      </c>
      <c r="M269" s="525">
        <f t="shared" ref="M269:M284" si="89">ROUND(G269*I269+H269*J269,0)</f>
        <v>0</v>
      </c>
      <c r="N269" s="525">
        <f t="shared" ref="N269:N284" si="90">ROUND(G269*K269+H269*L269,0)</f>
        <v>0</v>
      </c>
      <c r="O269" s="418">
        <f t="shared" si="86"/>
        <v>0</v>
      </c>
      <c r="P269" s="471" t="s">
        <v>781</v>
      </c>
      <c r="Q269" s="727" t="s">
        <v>2226</v>
      </c>
      <c r="R269" s="728">
        <v>2.63</v>
      </c>
      <c r="S269" s="728">
        <f>1.1*0.6</f>
        <v>0.66</v>
      </c>
      <c r="T269" s="471" t="s">
        <v>781</v>
      </c>
      <c r="U269" s="468">
        <v>2.63</v>
      </c>
      <c r="V269" s="468">
        <v>1.1000000000000001</v>
      </c>
      <c r="W269" s="727" t="s">
        <v>898</v>
      </c>
      <c r="X269" s="728">
        <v>0.26</v>
      </c>
      <c r="Y269" s="728">
        <v>1</v>
      </c>
      <c r="Z269" s="471" t="s">
        <v>898</v>
      </c>
      <c r="AA269" s="468">
        <v>0.26</v>
      </c>
      <c r="AB269" s="468">
        <v>1</v>
      </c>
      <c r="AC269" s="525"/>
      <c r="AD269" s="626"/>
      <c r="AE269" s="626"/>
      <c r="AF269" s="525"/>
      <c r="AG269" s="525"/>
      <c r="AH269" s="525"/>
    </row>
    <row r="270" spans="1:34" hidden="1">
      <c r="A270" s="405" t="s">
        <v>3489</v>
      </c>
      <c r="C270" s="523">
        <f t="shared" ref="C270:C284" si="91">IF(SUM(G270:H270)&lt;&gt;0,C269+1,C269)</f>
        <v>0</v>
      </c>
      <c r="D270" s="524" t="s">
        <v>904</v>
      </c>
      <c r="E270" s="362" t="s">
        <v>3490</v>
      </c>
      <c r="F270" s="648" t="s">
        <v>896</v>
      </c>
      <c r="G270" s="525">
        <f>'BKTL Tram'!F40+'BKTL Tram'!F42+'BKTL Tram'!F43+'BKTL Tram'!F48+'BKTL Tram'!F19</f>
        <v>0</v>
      </c>
      <c r="H270" s="525"/>
      <c r="I270" s="525">
        <f>ROUND(VLOOKUP($P270,DGNC,DG!$S$4,0)*R270*S270,0)</f>
        <v>596132</v>
      </c>
      <c r="J270" s="525">
        <f>ROUND(VLOOKUP($P270,DGNC,DG!$S$4,0)*U270*V270,0)</f>
        <v>993554</v>
      </c>
      <c r="K270" s="525">
        <f t="shared" si="87"/>
        <v>360605</v>
      </c>
      <c r="L270" s="525">
        <f t="shared" si="88"/>
        <v>360605</v>
      </c>
      <c r="M270" s="525">
        <f t="shared" si="89"/>
        <v>0</v>
      </c>
      <c r="N270" s="525">
        <f t="shared" si="90"/>
        <v>0</v>
      </c>
      <c r="O270" s="418">
        <f t="shared" si="86"/>
        <v>0</v>
      </c>
      <c r="P270" s="471" t="s">
        <v>781</v>
      </c>
      <c r="Q270" s="727" t="s">
        <v>2226</v>
      </c>
      <c r="R270" s="728">
        <v>3.5</v>
      </c>
      <c r="S270" s="728">
        <f>1.1*0.6</f>
        <v>0.66</v>
      </c>
      <c r="T270" s="471" t="s">
        <v>781</v>
      </c>
      <c r="U270" s="468">
        <v>3.5</v>
      </c>
      <c r="V270" s="468">
        <v>1.1000000000000001</v>
      </c>
      <c r="W270" s="727" t="s">
        <v>898</v>
      </c>
      <c r="X270" s="728">
        <v>0.26</v>
      </c>
      <c r="Y270" s="728">
        <v>1</v>
      </c>
      <c r="Z270" s="471" t="s">
        <v>898</v>
      </c>
      <c r="AA270" s="468">
        <v>0.26</v>
      </c>
      <c r="AB270" s="468">
        <v>1</v>
      </c>
      <c r="AC270" s="525"/>
      <c r="AD270" s="626"/>
      <c r="AE270" s="626"/>
      <c r="AF270" s="525"/>
      <c r="AG270" s="525"/>
      <c r="AH270" s="525"/>
    </row>
    <row r="271" spans="1:34" hidden="1">
      <c r="C271" s="523">
        <f t="shared" si="91"/>
        <v>0</v>
      </c>
      <c r="D271" s="524" t="s">
        <v>906</v>
      </c>
      <c r="E271" s="362" t="s">
        <v>2235</v>
      </c>
      <c r="F271" s="523" t="s">
        <v>896</v>
      </c>
      <c r="G271" s="525"/>
      <c r="H271" s="525"/>
      <c r="I271" s="525">
        <f>ROUND(VLOOKUP($P271,DGNC,DG!$S$4,0)*R271*S271,0)</f>
        <v>633604</v>
      </c>
      <c r="J271" s="525">
        <f>ROUND(VLOOKUP($P271,DGNC,DG!$S$4,0)*U271*V271,0)</f>
        <v>1064522</v>
      </c>
      <c r="K271" s="525">
        <f t="shared" si="87"/>
        <v>360605</v>
      </c>
      <c r="L271" s="525">
        <f t="shared" si="88"/>
        <v>360605</v>
      </c>
      <c r="M271" s="525">
        <f t="shared" si="89"/>
        <v>0</v>
      </c>
      <c r="N271" s="525">
        <f t="shared" si="90"/>
        <v>0</v>
      </c>
      <c r="O271" s="418">
        <f t="shared" si="86"/>
        <v>0</v>
      </c>
      <c r="P271" s="471" t="s">
        <v>781</v>
      </c>
      <c r="Q271" s="727" t="s">
        <v>2226</v>
      </c>
      <c r="R271" s="728">
        <v>3.72</v>
      </c>
      <c r="S271" s="728">
        <f>1.1*0.6</f>
        <v>0.66</v>
      </c>
      <c r="T271" s="471" t="s">
        <v>781</v>
      </c>
      <c r="U271" s="468">
        <v>3.75</v>
      </c>
      <c r="V271" s="468">
        <v>1.1000000000000001</v>
      </c>
      <c r="W271" s="727" t="s">
        <v>898</v>
      </c>
      <c r="X271" s="728">
        <v>0.26</v>
      </c>
      <c r="Y271" s="728">
        <v>1</v>
      </c>
      <c r="Z271" s="471" t="s">
        <v>898</v>
      </c>
      <c r="AA271" s="468">
        <v>0.26</v>
      </c>
      <c r="AB271" s="468">
        <v>1</v>
      </c>
      <c r="AC271" s="525"/>
      <c r="AD271" s="626"/>
      <c r="AE271" s="626"/>
      <c r="AF271" s="525"/>
      <c r="AG271" s="525"/>
      <c r="AH271" s="525"/>
    </row>
    <row r="272" spans="1:34" hidden="1">
      <c r="C272" s="523">
        <f t="shared" si="91"/>
        <v>0</v>
      </c>
      <c r="D272" s="524" t="s">
        <v>988</v>
      </c>
      <c r="E272" s="362" t="s">
        <v>2237</v>
      </c>
      <c r="F272" s="523" t="s">
        <v>11</v>
      </c>
      <c r="G272" s="525"/>
      <c r="H272" s="525"/>
      <c r="I272" s="525">
        <f>ROUND(VLOOKUP($P272,DGNC,DG!$S$4,0)*R272*S272,0)</f>
        <v>322583</v>
      </c>
      <c r="J272" s="525">
        <f>ROUND(VLOOKUP($T272,DGNC,DG!$S$4,0)*U272*V272,0)</f>
        <v>645165</v>
      </c>
      <c r="K272" s="525">
        <f t="shared" si="87"/>
        <v>111154</v>
      </c>
      <c r="L272" s="525">
        <f t="shared" si="88"/>
        <v>111154</v>
      </c>
      <c r="M272" s="525">
        <f t="shared" si="89"/>
        <v>0</v>
      </c>
      <c r="N272" s="525">
        <f t="shared" si="90"/>
        <v>0</v>
      </c>
      <c r="O272" s="418">
        <f t="shared" si="86"/>
        <v>0</v>
      </c>
      <c r="P272" s="471" t="s">
        <v>781</v>
      </c>
      <c r="Q272" s="727" t="s">
        <v>2226</v>
      </c>
      <c r="R272" s="728">
        <v>2.5</v>
      </c>
      <c r="S272" s="728">
        <v>0.5</v>
      </c>
      <c r="T272" s="471" t="s">
        <v>781</v>
      </c>
      <c r="U272" s="468">
        <v>2.5</v>
      </c>
      <c r="V272" s="468">
        <v>1</v>
      </c>
      <c r="W272" s="727" t="s">
        <v>3491</v>
      </c>
      <c r="X272" s="728">
        <v>0.2</v>
      </c>
      <c r="Y272" s="728">
        <v>1</v>
      </c>
      <c r="Z272" s="471" t="s">
        <v>3491</v>
      </c>
      <c r="AA272" s="468">
        <v>0.2</v>
      </c>
      <c r="AB272" s="468">
        <v>1</v>
      </c>
      <c r="AC272" s="525"/>
      <c r="AD272" s="626"/>
      <c r="AE272" s="626"/>
      <c r="AF272" s="525"/>
      <c r="AG272" s="525"/>
      <c r="AH272" s="525"/>
    </row>
    <row r="273" spans="2:34" hidden="1">
      <c r="C273" s="523">
        <f t="shared" si="91"/>
        <v>0</v>
      </c>
      <c r="D273" s="524" t="s">
        <v>990</v>
      </c>
      <c r="E273" s="362" t="s">
        <v>3240</v>
      </c>
      <c r="F273" s="523" t="s">
        <v>11</v>
      </c>
      <c r="G273" s="525">
        <f>'BKTL Tram'!J17+'BKTL Tram'!J19</f>
        <v>0</v>
      </c>
      <c r="H273" s="525"/>
      <c r="I273" s="525">
        <f>ROUND(VLOOKUP($P273,DGNC,DG!$S$4,0)*R273*S273,0)</f>
        <v>371615</v>
      </c>
      <c r="J273" s="525">
        <f>ROUND(VLOOKUP($T273,DGNC,DG!$S$4,0)*U273*V273,0)</f>
        <v>743230</v>
      </c>
      <c r="K273" s="525">
        <f t="shared" si="87"/>
        <v>111154</v>
      </c>
      <c r="L273" s="525">
        <f t="shared" si="88"/>
        <v>111154</v>
      </c>
      <c r="M273" s="525">
        <f t="shared" si="89"/>
        <v>0</v>
      </c>
      <c r="N273" s="525">
        <f t="shared" si="90"/>
        <v>0</v>
      </c>
      <c r="O273" s="418">
        <f t="shared" si="86"/>
        <v>0</v>
      </c>
      <c r="P273" s="471" t="s">
        <v>781</v>
      </c>
      <c r="Q273" s="727" t="s">
        <v>2226</v>
      </c>
      <c r="R273" s="728">
        <v>2.88</v>
      </c>
      <c r="S273" s="728">
        <v>0.5</v>
      </c>
      <c r="T273" s="471" t="s">
        <v>781</v>
      </c>
      <c r="U273" s="468">
        <v>2.88</v>
      </c>
      <c r="V273" s="468">
        <v>1</v>
      </c>
      <c r="W273" s="727" t="s">
        <v>3491</v>
      </c>
      <c r="X273" s="728">
        <v>0.2</v>
      </c>
      <c r="Y273" s="728">
        <v>1</v>
      </c>
      <c r="Z273" s="471" t="s">
        <v>3491</v>
      </c>
      <c r="AA273" s="468">
        <v>0.2</v>
      </c>
      <c r="AB273" s="468">
        <v>1</v>
      </c>
      <c r="AC273" s="525"/>
      <c r="AD273" s="626"/>
      <c r="AE273" s="626"/>
      <c r="AF273" s="525"/>
      <c r="AG273" s="525"/>
      <c r="AH273" s="525"/>
    </row>
    <row r="274" spans="2:34" hidden="1">
      <c r="C274" s="523">
        <f t="shared" si="91"/>
        <v>0</v>
      </c>
      <c r="D274" s="524" t="s">
        <v>917</v>
      </c>
      <c r="E274" s="362" t="s">
        <v>2241</v>
      </c>
      <c r="F274" s="523" t="s">
        <v>11</v>
      </c>
      <c r="G274" s="525">
        <f>'BKTL Tram'!H17+'BKTL Tram'!H19</f>
        <v>0</v>
      </c>
      <c r="H274" s="525"/>
      <c r="I274" s="525">
        <f>ROUND(VLOOKUP($P274,DGNC,DG!$S$4,0)*R274*S274*V274,0)</f>
        <v>31592</v>
      </c>
      <c r="J274" s="525">
        <f>ROUND(VLOOKUP($T274,DGNC,DG!$S$4,0)*U274*V274,0)</f>
        <v>189552</v>
      </c>
      <c r="K274" s="525">
        <f t="shared" si="87"/>
        <v>0</v>
      </c>
      <c r="L274" s="525">
        <f t="shared" si="88"/>
        <v>0</v>
      </c>
      <c r="M274" s="525">
        <f t="shared" si="89"/>
        <v>0</v>
      </c>
      <c r="N274" s="525">
        <f t="shared" si="90"/>
        <v>0</v>
      </c>
      <c r="O274" s="418">
        <f t="shared" si="86"/>
        <v>0</v>
      </c>
      <c r="P274" s="471" t="s">
        <v>12</v>
      </c>
      <c r="Q274" s="727" t="s">
        <v>2221</v>
      </c>
      <c r="R274" s="728">
        <v>2.4</v>
      </c>
      <c r="S274" s="728">
        <f>0.5/3</f>
        <v>0.16666666666666666</v>
      </c>
      <c r="T274" s="471" t="s">
        <v>12</v>
      </c>
      <c r="U274" s="468">
        <v>2.4</v>
      </c>
      <c r="V274" s="468">
        <f>1/3</f>
        <v>0.33333333333333331</v>
      </c>
      <c r="W274" s="656"/>
      <c r="X274" s="657"/>
      <c r="Y274" s="657"/>
      <c r="Z274" s="525"/>
      <c r="AA274" s="626"/>
      <c r="AB274" s="626"/>
      <c r="AC274" s="525"/>
      <c r="AD274" s="626"/>
      <c r="AE274" s="626"/>
      <c r="AF274" s="525"/>
      <c r="AG274" s="525"/>
      <c r="AH274" s="525"/>
    </row>
    <row r="275" spans="2:34" hidden="1">
      <c r="C275" s="523">
        <f t="shared" si="91"/>
        <v>0</v>
      </c>
      <c r="D275" s="524" t="s">
        <v>944</v>
      </c>
      <c r="E275" s="362" t="s">
        <v>2243</v>
      </c>
      <c r="F275" s="523" t="s">
        <v>11</v>
      </c>
      <c r="G275" s="525">
        <f>'BKTL Tram'!I17+'BKTL Tram'!I19</f>
        <v>0</v>
      </c>
      <c r="H275" s="525"/>
      <c r="I275" s="525">
        <f>ROUND(VLOOKUP($P275,DGNC,DG!$S$4,0)*R275*S275*V275,0)</f>
        <v>19745</v>
      </c>
      <c r="J275" s="525">
        <f>ROUND(VLOOKUP($T275,DGNC,DG!$S$4,0)*U275*V275,0)</f>
        <v>118470</v>
      </c>
      <c r="K275" s="525">
        <f t="shared" si="87"/>
        <v>0</v>
      </c>
      <c r="L275" s="525">
        <f t="shared" si="88"/>
        <v>0</v>
      </c>
      <c r="M275" s="525">
        <f t="shared" si="89"/>
        <v>0</v>
      </c>
      <c r="N275" s="525">
        <f t="shared" si="90"/>
        <v>0</v>
      </c>
      <c r="O275" s="418">
        <f t="shared" si="86"/>
        <v>0</v>
      </c>
      <c r="P275" s="471" t="s">
        <v>12</v>
      </c>
      <c r="Q275" s="727" t="s">
        <v>2221</v>
      </c>
      <c r="R275" s="728">
        <v>1.5</v>
      </c>
      <c r="S275" s="728">
        <f>0.5/3</f>
        <v>0.16666666666666666</v>
      </c>
      <c r="T275" s="469" t="s">
        <v>12</v>
      </c>
      <c r="U275" s="468">
        <v>1.5</v>
      </c>
      <c r="V275" s="468">
        <f>1/3</f>
        <v>0.33333333333333331</v>
      </c>
      <c r="W275" s="656"/>
      <c r="X275" s="657"/>
      <c r="Y275" s="657"/>
      <c r="Z275" s="525"/>
      <c r="AA275" s="626"/>
      <c r="AB275" s="626"/>
      <c r="AC275" s="525"/>
      <c r="AD275" s="626"/>
      <c r="AE275" s="626"/>
      <c r="AF275" s="525"/>
      <c r="AG275" s="525"/>
      <c r="AH275" s="525"/>
    </row>
    <row r="276" spans="2:34" ht="31.2" hidden="1">
      <c r="C276" s="523">
        <f t="shared" si="91"/>
        <v>0</v>
      </c>
      <c r="D276" s="524" t="s">
        <v>2801</v>
      </c>
      <c r="E276" s="362" t="s">
        <v>2803</v>
      </c>
      <c r="F276" s="523" t="s">
        <v>146</v>
      </c>
      <c r="G276" s="525">
        <f>'BKTL Tram'!N17+'BKTL Tram'!N19</f>
        <v>0</v>
      </c>
      <c r="H276" s="525"/>
      <c r="I276" s="525">
        <f>ROUND(VLOOKUP($P276,DGNC,DG!$S$4,0)*R276*S276,0)</f>
        <v>14231</v>
      </c>
      <c r="J276" s="525">
        <f>ROUND(VLOOKUP($T276,DGNC,DG!$S$4,0)*U276*V276,0)</f>
        <v>46719</v>
      </c>
      <c r="K276" s="525">
        <f t="shared" si="87"/>
        <v>0</v>
      </c>
      <c r="L276" s="525">
        <f t="shared" si="88"/>
        <v>0</v>
      </c>
      <c r="M276" s="525">
        <f t="shared" si="89"/>
        <v>0</v>
      </c>
      <c r="N276" s="525">
        <f t="shared" si="90"/>
        <v>0</v>
      </c>
      <c r="O276" s="418">
        <f t="shared" si="86"/>
        <v>0</v>
      </c>
      <c r="P276" s="362" t="s">
        <v>1311</v>
      </c>
      <c r="Q276" s="637" t="s">
        <v>2219</v>
      </c>
      <c r="R276" s="638">
        <v>0.17599999999999999</v>
      </c>
      <c r="S276" s="638">
        <v>0.4</v>
      </c>
      <c r="T276" s="525" t="s">
        <v>289</v>
      </c>
      <c r="U276" s="626">
        <v>0.21279999999999999</v>
      </c>
      <c r="V276" s="626">
        <v>1</v>
      </c>
      <c r="W276" s="656"/>
      <c r="X276" s="657"/>
      <c r="Y276" s="657"/>
      <c r="Z276" s="525"/>
      <c r="AA276" s="626"/>
      <c r="AB276" s="626"/>
      <c r="AC276" s="525"/>
      <c r="AD276" s="626"/>
      <c r="AE276" s="626"/>
      <c r="AF276" s="525"/>
      <c r="AG276" s="525"/>
      <c r="AH276" s="525"/>
    </row>
    <row r="277" spans="2:34" ht="31.2" hidden="1">
      <c r="C277" s="523">
        <f>IF(SUM(G277:H277)&lt;&gt;0,C276+1,C276)</f>
        <v>0</v>
      </c>
      <c r="D277" s="673" t="s">
        <v>3543</v>
      </c>
      <c r="E277" s="362" t="s">
        <v>3542</v>
      </c>
      <c r="F277" s="523" t="s">
        <v>146</v>
      </c>
      <c r="G277" s="525">
        <f>'BKTL Tram'!M19</f>
        <v>0</v>
      </c>
      <c r="H277" s="525"/>
      <c r="I277" s="525">
        <f>ROUND(VLOOKUP($P277,DGNC,DG!$S$4,0)*R277*S277,0)</f>
        <v>14231</v>
      </c>
      <c r="J277" s="525">
        <f>ROUND(VLOOKUP($T277,DGNC,DG!$S$4,0)*U277*V277,0)</f>
        <v>63074</v>
      </c>
      <c r="K277" s="525">
        <f>ROUND(IF(W277&lt;&gt;0,VLOOKUP(W277,DGMTC,8,0)*X277*Y277,)+IF(AC277&lt;&gt;0,VLOOKUP(AC277,DGMTC,8,0)*AD277*AE277,),0)</f>
        <v>0</v>
      </c>
      <c r="L277" s="525">
        <f>ROUND(IF(Z277&lt;&gt;0,VLOOKUP(Z277,DGMTC,8,0)*AA277*AB277,)+IF(AF277&lt;&gt;0,VLOOKUP(AF277,DGMTC,8,0)*AG277*AH277,),0)</f>
        <v>0</v>
      </c>
      <c r="M277" s="525">
        <f>ROUND(G277*I277+H277*J277,0)</f>
        <v>0</v>
      </c>
      <c r="N277" s="525">
        <f>ROUND(G277*K277+H277*L277,0)</f>
        <v>0</v>
      </c>
      <c r="O277" s="418">
        <f>IF((M277+N277)&lt;&gt;0,1,)</f>
        <v>0</v>
      </c>
      <c r="P277" s="362" t="s">
        <v>1311</v>
      </c>
      <c r="Q277" s="637" t="s">
        <v>2219</v>
      </c>
      <c r="R277" s="638">
        <v>0.17599999999999999</v>
      </c>
      <c r="S277" s="638">
        <v>0.4</v>
      </c>
      <c r="T277" s="525" t="s">
        <v>289</v>
      </c>
      <c r="U277" s="626">
        <v>0.2873</v>
      </c>
      <c r="V277" s="626">
        <v>1</v>
      </c>
      <c r="W277" s="656"/>
      <c r="X277" s="657"/>
      <c r="Y277" s="657"/>
      <c r="Z277" s="525"/>
      <c r="AA277" s="626"/>
      <c r="AB277" s="626"/>
      <c r="AC277" s="525"/>
      <c r="AD277" s="626"/>
      <c r="AE277" s="626"/>
      <c r="AF277" s="525"/>
      <c r="AG277" s="525"/>
      <c r="AH277" s="525"/>
    </row>
    <row r="278" spans="2:34" hidden="1">
      <c r="C278" s="523">
        <f>IF(SUM(G278:H278)&lt;&gt;0,C276+1,C276)</f>
        <v>0</v>
      </c>
      <c r="D278" s="523" t="s">
        <v>2282</v>
      </c>
      <c r="E278" s="525" t="s">
        <v>2283</v>
      </c>
      <c r="F278" s="523" t="s">
        <v>146</v>
      </c>
      <c r="G278" s="554"/>
      <c r="H278" s="525"/>
      <c r="I278" s="525">
        <f>ROUND(VLOOKUP($P278,DGNC,DG!$S$4,0)*R278*S278,0)</f>
        <v>4040</v>
      </c>
      <c r="J278" s="525">
        <f>ROUND(VLOOKUP($P278,DGNC,DG!$S$4,0)*U278*V278,0)</f>
        <v>6059</v>
      </c>
      <c r="K278" s="525">
        <f t="shared" si="87"/>
        <v>0</v>
      </c>
      <c r="L278" s="525">
        <f t="shared" si="88"/>
        <v>0</v>
      </c>
      <c r="M278" s="525">
        <f t="shared" si="89"/>
        <v>0</v>
      </c>
      <c r="N278" s="525">
        <f t="shared" si="90"/>
        <v>0</v>
      </c>
      <c r="O278" s="418">
        <f t="shared" si="86"/>
        <v>0</v>
      </c>
      <c r="P278" s="525" t="s">
        <v>289</v>
      </c>
      <c r="Q278" s="525" t="s">
        <v>2216</v>
      </c>
      <c r="R278" s="626">
        <v>4.5999999999999999E-2</v>
      </c>
      <c r="S278" s="626">
        <v>0.4</v>
      </c>
      <c r="T278" s="525" t="s">
        <v>2216</v>
      </c>
      <c r="U278" s="626">
        <v>4.5999999999999999E-2</v>
      </c>
      <c r="V278" s="626">
        <v>0.6</v>
      </c>
      <c r="W278" s="525"/>
      <c r="X278" s="626"/>
      <c r="Y278" s="626"/>
      <c r="Z278" s="525"/>
      <c r="AA278" s="626"/>
      <c r="AB278" s="626"/>
      <c r="AC278" s="525"/>
      <c r="AD278" s="626"/>
      <c r="AE278" s="626"/>
      <c r="AF278" s="525"/>
      <c r="AG278" s="525"/>
      <c r="AH278" s="525"/>
    </row>
    <row r="279" spans="2:34" hidden="1">
      <c r="C279" s="523">
        <f t="shared" si="91"/>
        <v>0</v>
      </c>
      <c r="D279" s="523" t="s">
        <v>2284</v>
      </c>
      <c r="E279" s="525" t="s">
        <v>2285</v>
      </c>
      <c r="F279" s="523" t="s">
        <v>146</v>
      </c>
      <c r="G279" s="554"/>
      <c r="H279" s="525"/>
      <c r="I279" s="525">
        <f>ROUND(VLOOKUP($P279,DGNC,DG!$S$4,0)*R279*S279,0)</f>
        <v>6586</v>
      </c>
      <c r="J279" s="525">
        <f>ROUND(VLOOKUP($P279,DGNC,DG!$S$4,0)*U279*V279,0)</f>
        <v>9879</v>
      </c>
      <c r="K279" s="525">
        <f t="shared" si="87"/>
        <v>0</v>
      </c>
      <c r="L279" s="525">
        <f t="shared" si="88"/>
        <v>0</v>
      </c>
      <c r="M279" s="525">
        <f t="shared" si="89"/>
        <v>0</v>
      </c>
      <c r="N279" s="525">
        <f t="shared" si="90"/>
        <v>0</v>
      </c>
      <c r="O279" s="418">
        <f t="shared" si="86"/>
        <v>0</v>
      </c>
      <c r="P279" s="525" t="s">
        <v>289</v>
      </c>
      <c r="Q279" s="525" t="s">
        <v>2216</v>
      </c>
      <c r="R279" s="626">
        <v>7.4999999999999997E-2</v>
      </c>
      <c r="S279" s="626">
        <v>0.4</v>
      </c>
      <c r="T279" s="525" t="s">
        <v>2216</v>
      </c>
      <c r="U279" s="626">
        <v>7.4999999999999997E-2</v>
      </c>
      <c r="V279" s="626">
        <v>0.6</v>
      </c>
      <c r="W279" s="525"/>
      <c r="X279" s="626"/>
      <c r="Y279" s="626"/>
      <c r="Z279" s="525"/>
      <c r="AA279" s="626"/>
      <c r="AB279" s="626"/>
      <c r="AC279" s="525"/>
      <c r="AD279" s="626"/>
      <c r="AE279" s="626"/>
      <c r="AF279" s="525"/>
      <c r="AG279" s="525"/>
      <c r="AH279" s="525"/>
    </row>
    <row r="280" spans="2:34" ht="31.2" hidden="1">
      <c r="C280" s="523">
        <f t="shared" si="91"/>
        <v>0</v>
      </c>
      <c r="D280" s="636" t="s">
        <v>2802</v>
      </c>
      <c r="E280" s="525" t="s">
        <v>2804</v>
      </c>
      <c r="F280" s="523" t="s">
        <v>146</v>
      </c>
      <c r="G280" s="554">
        <f>'BKTL Tram'!W17+'BKTL Tram'!W19</f>
        <v>0</v>
      </c>
      <c r="H280" s="525"/>
      <c r="I280" s="525">
        <f>ROUND(VLOOKUP($P280,DGNC,DG!$S$4,0)*R280*S280,0)</f>
        <v>6586</v>
      </c>
      <c r="J280" s="525">
        <f>ROUND(VLOOKUP($T280,DGNC,DG!$S$4,0)*U280*V280,0)</f>
        <v>11847</v>
      </c>
      <c r="K280" s="525">
        <f t="shared" si="87"/>
        <v>0</v>
      </c>
      <c r="L280" s="525">
        <f t="shared" si="88"/>
        <v>0</v>
      </c>
      <c r="M280" s="525">
        <f t="shared" si="89"/>
        <v>0</v>
      </c>
      <c r="N280" s="525">
        <f t="shared" si="90"/>
        <v>0</v>
      </c>
      <c r="O280" s="418">
        <f t="shared" si="86"/>
        <v>0</v>
      </c>
      <c r="P280" s="525" t="s">
        <v>289</v>
      </c>
      <c r="Q280" s="656" t="s">
        <v>2216</v>
      </c>
      <c r="R280" s="657">
        <v>7.4999999999999997E-2</v>
      </c>
      <c r="S280" s="657">
        <v>0.4</v>
      </c>
      <c r="T280" s="525" t="s">
        <v>12</v>
      </c>
      <c r="U280" s="626">
        <v>0.05</v>
      </c>
      <c r="V280" s="626">
        <v>1</v>
      </c>
      <c r="W280" s="656"/>
      <c r="X280" s="657"/>
      <c r="Y280" s="657"/>
      <c r="Z280" s="525"/>
      <c r="AA280" s="626"/>
      <c r="AB280" s="626"/>
      <c r="AC280" s="525"/>
      <c r="AD280" s="626"/>
      <c r="AE280" s="626"/>
      <c r="AF280" s="525"/>
      <c r="AG280" s="525"/>
      <c r="AH280" s="525"/>
    </row>
    <row r="281" spans="2:34" ht="31.2" hidden="1">
      <c r="C281" s="523">
        <f t="shared" si="91"/>
        <v>0</v>
      </c>
      <c r="D281" s="636" t="s">
        <v>2802</v>
      </c>
      <c r="E281" s="525" t="s">
        <v>2806</v>
      </c>
      <c r="F281" s="523" t="s">
        <v>146</v>
      </c>
      <c r="G281" s="554">
        <f>'BKTL Tram'!V17+'BKTL Tram'!V19</f>
        <v>0</v>
      </c>
      <c r="H281" s="525"/>
      <c r="I281" s="525">
        <f>ROUND(VLOOKUP($P281,DGNC,DG!$S$4,0)*R281*S281,0)</f>
        <v>6586</v>
      </c>
      <c r="J281" s="525">
        <f>ROUND(VLOOKUP($T281,DGNC,DG!$S$4,0)*U281*V281,0)</f>
        <v>11847</v>
      </c>
      <c r="K281" s="525">
        <f t="shared" si="87"/>
        <v>0</v>
      </c>
      <c r="L281" s="525">
        <f t="shared" si="88"/>
        <v>0</v>
      </c>
      <c r="M281" s="525">
        <f t="shared" si="89"/>
        <v>0</v>
      </c>
      <c r="N281" s="525">
        <f t="shared" si="90"/>
        <v>0</v>
      </c>
      <c r="O281" s="418">
        <f t="shared" si="86"/>
        <v>0</v>
      </c>
      <c r="P281" s="525" t="s">
        <v>289</v>
      </c>
      <c r="Q281" s="656" t="s">
        <v>2216</v>
      </c>
      <c r="R281" s="657">
        <v>7.4999999999999997E-2</v>
      </c>
      <c r="S281" s="657">
        <v>0.4</v>
      </c>
      <c r="T281" s="525" t="s">
        <v>12</v>
      </c>
      <c r="U281" s="626">
        <v>0.05</v>
      </c>
      <c r="V281" s="626">
        <v>1</v>
      </c>
      <c r="W281" s="656"/>
      <c r="X281" s="657"/>
      <c r="Y281" s="657"/>
      <c r="Z281" s="525"/>
      <c r="AA281" s="626"/>
      <c r="AB281" s="626"/>
      <c r="AC281" s="525"/>
      <c r="AD281" s="626"/>
      <c r="AE281" s="626"/>
      <c r="AF281" s="525"/>
      <c r="AG281" s="525"/>
      <c r="AH281" s="525"/>
    </row>
    <row r="282" spans="2:34" ht="31.2" hidden="1">
      <c r="C282" s="523">
        <f t="shared" si="91"/>
        <v>0</v>
      </c>
      <c r="D282" s="636" t="s">
        <v>2802</v>
      </c>
      <c r="E282" s="525" t="s">
        <v>2805</v>
      </c>
      <c r="F282" s="523" t="s">
        <v>146</v>
      </c>
      <c r="G282" s="554">
        <f>'BKTL Tram'!U17+'BKTL Tram'!U19</f>
        <v>0</v>
      </c>
      <c r="H282" s="525"/>
      <c r="I282" s="525">
        <f>ROUND(VLOOKUP($P282,DGNC,DG!$S$4,0)*R282*S282,0)</f>
        <v>6586</v>
      </c>
      <c r="J282" s="525">
        <f>ROUND(VLOOKUP($T282,DGNC,DG!$S$4,0)*U282*V282,0)</f>
        <v>11847</v>
      </c>
      <c r="K282" s="525">
        <f t="shared" si="87"/>
        <v>0</v>
      </c>
      <c r="L282" s="525">
        <f t="shared" si="88"/>
        <v>0</v>
      </c>
      <c r="M282" s="525">
        <f t="shared" si="89"/>
        <v>0</v>
      </c>
      <c r="N282" s="525">
        <f t="shared" si="90"/>
        <v>0</v>
      </c>
      <c r="O282" s="418">
        <f t="shared" si="86"/>
        <v>0</v>
      </c>
      <c r="P282" s="525" t="s">
        <v>289</v>
      </c>
      <c r="Q282" s="656" t="s">
        <v>2216</v>
      </c>
      <c r="R282" s="657">
        <v>7.4999999999999997E-2</v>
      </c>
      <c r="S282" s="657">
        <v>0.4</v>
      </c>
      <c r="T282" s="525" t="s">
        <v>12</v>
      </c>
      <c r="U282" s="626">
        <v>0.05</v>
      </c>
      <c r="V282" s="626">
        <v>1</v>
      </c>
      <c r="W282" s="656"/>
      <c r="X282" s="657"/>
      <c r="Y282" s="657"/>
      <c r="Z282" s="525"/>
      <c r="AA282" s="626"/>
      <c r="AB282" s="626"/>
      <c r="AC282" s="525"/>
      <c r="AD282" s="626"/>
      <c r="AE282" s="626"/>
      <c r="AF282" s="525"/>
      <c r="AG282" s="525"/>
      <c r="AH282" s="525"/>
    </row>
    <row r="283" spans="2:34" hidden="1">
      <c r="C283" s="523">
        <f t="shared" si="91"/>
        <v>0</v>
      </c>
      <c r="D283" s="523" t="s">
        <v>2284</v>
      </c>
      <c r="E283" s="525" t="s">
        <v>2289</v>
      </c>
      <c r="F283" s="523" t="s">
        <v>146</v>
      </c>
      <c r="G283" s="554">
        <f>'BKTL Tram'!T17+'BKTL Tram'!T19</f>
        <v>0</v>
      </c>
      <c r="H283" s="525"/>
      <c r="I283" s="525">
        <f>ROUND(VLOOKUP($P283,DGNC,DG!$S$4,0)*R283*S283,0)</f>
        <v>6586</v>
      </c>
      <c r="J283" s="525">
        <f>ROUND(VLOOKUP($P283,DGNC,DG!$S$4,0)*U283*V283,0)</f>
        <v>9879</v>
      </c>
      <c r="K283" s="525">
        <f>ROUND(IF(W283&lt;&gt;0,VLOOKUP(W283,DGMTC,8,0)*X283*Y283,)+IF(AC283&lt;&gt;0,VLOOKUP(AC283,DGMTC,8,0)*AD283*AE283,),0)</f>
        <v>0</v>
      </c>
      <c r="L283" s="525">
        <f>ROUND(IF(Z283&lt;&gt;0,VLOOKUP(Z283,DGMTC,8,0)*AA283*AB283,)+IF(AF283&lt;&gt;0,VLOOKUP(AF283,DGMTC,8,0)*AG283*AH283,),0)</f>
        <v>0</v>
      </c>
      <c r="M283" s="525">
        <f>ROUND(G283*I283+H283*J283,0)</f>
        <v>0</v>
      </c>
      <c r="N283" s="525">
        <f>ROUND(G283*K283+H283*L283,0)</f>
        <v>0</v>
      </c>
      <c r="O283" s="418">
        <f>IF((M283+N283)&lt;&gt;0,1,)</f>
        <v>0</v>
      </c>
      <c r="P283" s="525" t="s">
        <v>289</v>
      </c>
      <c r="Q283" s="656" t="s">
        <v>2216</v>
      </c>
      <c r="R283" s="657">
        <v>7.4999999999999997E-2</v>
      </c>
      <c r="S283" s="657">
        <v>0.4</v>
      </c>
      <c r="T283" s="525" t="s">
        <v>2216</v>
      </c>
      <c r="U283" s="626">
        <v>7.4999999999999997E-2</v>
      </c>
      <c r="V283" s="626">
        <v>0.6</v>
      </c>
      <c r="W283" s="656"/>
      <c r="X283" s="657"/>
      <c r="Y283" s="657"/>
      <c r="Z283" s="525"/>
      <c r="AA283" s="626"/>
      <c r="AB283" s="626"/>
      <c r="AC283" s="525"/>
      <c r="AD283" s="626"/>
      <c r="AE283" s="626"/>
      <c r="AF283" s="525"/>
      <c r="AG283" s="525"/>
      <c r="AH283" s="525"/>
    </row>
    <row r="284" spans="2:34" hidden="1">
      <c r="C284" s="523">
        <f t="shared" si="91"/>
        <v>0</v>
      </c>
      <c r="D284" s="523" t="s">
        <v>2284</v>
      </c>
      <c r="E284" s="525" t="s">
        <v>3263</v>
      </c>
      <c r="F284" s="523" t="s">
        <v>146</v>
      </c>
      <c r="G284" s="554">
        <f>'BKTL Tram'!S19</f>
        <v>0</v>
      </c>
      <c r="H284" s="525"/>
      <c r="I284" s="525">
        <f>ROUND(VLOOKUP($P284,DGNC,DG!$S$4,0)*R284*S284,0)</f>
        <v>6586</v>
      </c>
      <c r="J284" s="525">
        <f>ROUND(VLOOKUP($P284,DGNC,DG!$S$4,0)*U284*V284,0)</f>
        <v>9879</v>
      </c>
      <c r="K284" s="525">
        <f t="shared" si="87"/>
        <v>0</v>
      </c>
      <c r="L284" s="525">
        <f t="shared" si="88"/>
        <v>0</v>
      </c>
      <c r="M284" s="525">
        <f t="shared" si="89"/>
        <v>0</v>
      </c>
      <c r="N284" s="525">
        <f t="shared" si="90"/>
        <v>0</v>
      </c>
      <c r="O284" s="418">
        <f t="shared" si="86"/>
        <v>0</v>
      </c>
      <c r="P284" s="525" t="s">
        <v>289</v>
      </c>
      <c r="Q284" s="656" t="s">
        <v>2216</v>
      </c>
      <c r="R284" s="657">
        <v>7.4999999999999997E-2</v>
      </c>
      <c r="S284" s="657">
        <v>0.4</v>
      </c>
      <c r="T284" s="525" t="s">
        <v>2216</v>
      </c>
      <c r="U284" s="626">
        <v>7.4999999999999997E-2</v>
      </c>
      <c r="V284" s="626">
        <v>0.6</v>
      </c>
      <c r="W284" s="656"/>
      <c r="X284" s="657"/>
      <c r="Y284" s="657"/>
      <c r="Z284" s="525"/>
      <c r="AA284" s="626"/>
      <c r="AB284" s="626"/>
      <c r="AC284" s="525"/>
      <c r="AD284" s="626"/>
      <c r="AE284" s="626"/>
      <c r="AF284" s="525"/>
      <c r="AG284" s="525"/>
      <c r="AH284" s="525"/>
    </row>
    <row r="285" spans="2:34" hidden="1">
      <c r="B285" s="405" t="s">
        <v>2468</v>
      </c>
      <c r="C285" s="538" t="s">
        <v>1673</v>
      </c>
      <c r="D285" s="539" t="str">
        <f>VLOOKUP(B285,XLTBA,'6.XL-TR'!$D$2,0)</f>
        <v xml:space="preserve"> Trạm NC từ 50kVA lên 3x50kVA</v>
      </c>
      <c r="E285" s="539"/>
      <c r="F285" s="538"/>
      <c r="G285" s="539"/>
      <c r="H285" s="539"/>
      <c r="I285" s="539"/>
      <c r="J285" s="539"/>
      <c r="K285" s="539"/>
      <c r="L285" s="539"/>
      <c r="M285" s="539">
        <f>SUM(M286:M297)</f>
        <v>0</v>
      </c>
      <c r="N285" s="539">
        <f>SUM(N286:N297)</f>
        <v>0</v>
      </c>
      <c r="O285" s="418">
        <f t="shared" ref="O285:O297" si="92">IF((M285+N285)&lt;&gt;0,1,)</f>
        <v>0</v>
      </c>
      <c r="P285" s="525"/>
      <c r="Q285" s="539"/>
      <c r="R285" s="661"/>
      <c r="S285" s="661"/>
      <c r="T285" s="539"/>
      <c r="U285" s="661"/>
      <c r="V285" s="661"/>
      <c r="W285" s="539"/>
      <c r="X285" s="661"/>
      <c r="Y285" s="661"/>
      <c r="Z285" s="539"/>
      <c r="AA285" s="661"/>
      <c r="AB285" s="661"/>
      <c r="AC285" s="525"/>
      <c r="AD285" s="626"/>
      <c r="AE285" s="626"/>
      <c r="AF285" s="525"/>
      <c r="AG285" s="525"/>
      <c r="AH285" s="525"/>
    </row>
    <row r="286" spans="2:34" hidden="1">
      <c r="C286" s="523">
        <f>IF(SUM(G286:H286)&lt;&gt;0,1,)</f>
        <v>0</v>
      </c>
      <c r="D286" s="524" t="s">
        <v>901</v>
      </c>
      <c r="E286" s="525" t="s">
        <v>2290</v>
      </c>
      <c r="F286" s="523" t="s">
        <v>896</v>
      </c>
      <c r="G286" s="525"/>
      <c r="H286" s="525"/>
      <c r="I286" s="525">
        <f>ROUND(VLOOKUP($P286,DGNC,DG!$S$4,0)*R286*S286,0)</f>
        <v>447951</v>
      </c>
      <c r="J286" s="525">
        <f>ROUND(VLOOKUP($T286,DGNC,DG!$S$4,0)*U286*V286,0)</f>
        <v>746585</v>
      </c>
      <c r="K286" s="525">
        <f t="shared" ref="K286:K297" si="93">ROUND(IF(W286&lt;&gt;0,VLOOKUP(W286,DGMTC,8,0)*X286*Y286,)+IF(AC286&lt;&gt;0,VLOOKUP(AC286,DGMTC,8,0)*AD286*AE286,),0)</f>
        <v>360605</v>
      </c>
      <c r="L286" s="525">
        <f t="shared" ref="L286:L297" si="94">ROUND(IF(Z286&lt;&gt;0,VLOOKUP(Z286,DGMTC,8,0)*AA286*AB286,)+IF(AF286&lt;&gt;0,VLOOKUP(AF286,DGMTC,8,0)*AG286*AH286,),0)</f>
        <v>360605</v>
      </c>
      <c r="M286" s="525">
        <f t="shared" ref="M286:M297" si="95">ROUND(G286*I286+H286*J286,0)</f>
        <v>0</v>
      </c>
      <c r="N286" s="525">
        <f t="shared" ref="N286:N297" si="96">ROUND(G286*K286+H286*L286,0)</f>
        <v>0</v>
      </c>
      <c r="O286" s="418">
        <f t="shared" si="92"/>
        <v>0</v>
      </c>
      <c r="P286" s="471" t="s">
        <v>781</v>
      </c>
      <c r="Q286" s="727" t="s">
        <v>2226</v>
      </c>
      <c r="R286" s="728">
        <v>2.63</v>
      </c>
      <c r="S286" s="728">
        <f>1.1*0.6</f>
        <v>0.66</v>
      </c>
      <c r="T286" s="471" t="s">
        <v>781</v>
      </c>
      <c r="U286" s="468">
        <v>2.63</v>
      </c>
      <c r="V286" s="468">
        <v>1.1000000000000001</v>
      </c>
      <c r="W286" s="727" t="s">
        <v>898</v>
      </c>
      <c r="X286" s="728">
        <v>0.26</v>
      </c>
      <c r="Y286" s="728">
        <v>1</v>
      </c>
      <c r="Z286" s="471" t="s">
        <v>898</v>
      </c>
      <c r="AA286" s="468">
        <v>0.26</v>
      </c>
      <c r="AB286" s="468">
        <v>1</v>
      </c>
      <c r="AC286" s="525"/>
      <c r="AD286" s="626"/>
      <c r="AE286" s="626"/>
      <c r="AF286" s="525"/>
      <c r="AG286" s="525"/>
      <c r="AH286" s="525"/>
    </row>
    <row r="287" spans="2:34" hidden="1">
      <c r="C287" s="523">
        <f>IF(SUM(G287:H287)&lt;&gt;0,C286+1,C286)</f>
        <v>0</v>
      </c>
      <c r="D287" s="524" t="s">
        <v>906</v>
      </c>
      <c r="E287" s="525" t="s">
        <v>2235</v>
      </c>
      <c r="F287" s="523" t="s">
        <v>896</v>
      </c>
      <c r="G287" s="525"/>
      <c r="H287" s="525"/>
      <c r="I287" s="525">
        <f>ROUND(VLOOKUP($P287,DGNC,DG!$S$4,0)*R287*S287,0)</f>
        <v>633604</v>
      </c>
      <c r="J287" s="525">
        <f>ROUND(VLOOKUP($P287,DGNC,DG!$S$4,0)*U287*V287,0)</f>
        <v>1064522</v>
      </c>
      <c r="K287" s="525">
        <f t="shared" si="93"/>
        <v>360605</v>
      </c>
      <c r="L287" s="525">
        <f t="shared" si="94"/>
        <v>360605</v>
      </c>
      <c r="M287" s="525">
        <f t="shared" si="95"/>
        <v>0</v>
      </c>
      <c r="N287" s="525">
        <f t="shared" si="96"/>
        <v>0</v>
      </c>
      <c r="O287" s="418">
        <f t="shared" si="92"/>
        <v>0</v>
      </c>
      <c r="P287" s="471" t="s">
        <v>781</v>
      </c>
      <c r="Q287" s="727" t="s">
        <v>2226</v>
      </c>
      <c r="R287" s="728">
        <v>3.72</v>
      </c>
      <c r="S287" s="728">
        <f>1.1*0.6</f>
        <v>0.66</v>
      </c>
      <c r="T287" s="471" t="s">
        <v>781</v>
      </c>
      <c r="U287" s="468">
        <v>3.75</v>
      </c>
      <c r="V287" s="468">
        <v>1.1000000000000001</v>
      </c>
      <c r="W287" s="727" t="s">
        <v>898</v>
      </c>
      <c r="X287" s="728">
        <v>0.26</v>
      </c>
      <c r="Y287" s="728">
        <v>1</v>
      </c>
      <c r="Z287" s="471" t="s">
        <v>898</v>
      </c>
      <c r="AA287" s="468">
        <v>0.26</v>
      </c>
      <c r="AB287" s="468">
        <v>1</v>
      </c>
      <c r="AC287" s="525"/>
      <c r="AD287" s="626"/>
      <c r="AE287" s="626"/>
      <c r="AF287" s="525"/>
      <c r="AG287" s="525"/>
      <c r="AH287" s="525"/>
    </row>
    <row r="288" spans="2:34" hidden="1">
      <c r="C288" s="523">
        <f t="shared" ref="C288:C297" si="97">IF(SUM(G288:H288)&lt;&gt;0,C287+1,C287)</f>
        <v>0</v>
      </c>
      <c r="D288" s="524" t="s">
        <v>988</v>
      </c>
      <c r="E288" s="525" t="s">
        <v>2237</v>
      </c>
      <c r="F288" s="523" t="s">
        <v>11</v>
      </c>
      <c r="G288" s="525"/>
      <c r="H288" s="525"/>
      <c r="I288" s="525">
        <f>ROUND(VLOOKUP($P288,DGNC,DG!$S$4,0)*R288*S288,0)</f>
        <v>322583</v>
      </c>
      <c r="J288" s="525">
        <f>ROUND(VLOOKUP($T288,DGNC,DG!$S$4,0)*U288*V288,0)</f>
        <v>645165</v>
      </c>
      <c r="K288" s="525">
        <f t="shared" si="93"/>
        <v>111154</v>
      </c>
      <c r="L288" s="525">
        <f t="shared" si="94"/>
        <v>111154</v>
      </c>
      <c r="M288" s="525">
        <f t="shared" si="95"/>
        <v>0</v>
      </c>
      <c r="N288" s="525">
        <f t="shared" si="96"/>
        <v>0</v>
      </c>
      <c r="O288" s="418">
        <f t="shared" si="92"/>
        <v>0</v>
      </c>
      <c r="P288" s="471" t="s">
        <v>781</v>
      </c>
      <c r="Q288" s="727" t="s">
        <v>2226</v>
      </c>
      <c r="R288" s="728">
        <v>2.5</v>
      </c>
      <c r="S288" s="728">
        <v>0.5</v>
      </c>
      <c r="T288" s="471" t="s">
        <v>781</v>
      </c>
      <c r="U288" s="468">
        <v>2.5</v>
      </c>
      <c r="V288" s="468">
        <v>1</v>
      </c>
      <c r="W288" s="727" t="s">
        <v>3491</v>
      </c>
      <c r="X288" s="728">
        <v>0.2</v>
      </c>
      <c r="Y288" s="728">
        <v>1</v>
      </c>
      <c r="Z288" s="471" t="s">
        <v>3491</v>
      </c>
      <c r="AA288" s="468">
        <v>0.2</v>
      </c>
      <c r="AB288" s="468">
        <v>1</v>
      </c>
      <c r="AC288" s="525"/>
      <c r="AD288" s="626"/>
      <c r="AE288" s="626"/>
      <c r="AF288" s="525"/>
      <c r="AG288" s="525"/>
      <c r="AH288" s="525"/>
    </row>
    <row r="289" spans="2:34" hidden="1">
      <c r="C289" s="523">
        <f t="shared" si="97"/>
        <v>0</v>
      </c>
      <c r="D289" s="524" t="s">
        <v>917</v>
      </c>
      <c r="E289" s="525" t="s">
        <v>2241</v>
      </c>
      <c r="F289" s="523" t="s">
        <v>11</v>
      </c>
      <c r="G289" s="525"/>
      <c r="H289" s="525"/>
      <c r="I289" s="525">
        <f>ROUND(VLOOKUP($P289,DGNC,DG!$S$4,0)*R289*S289,0)</f>
        <v>94776</v>
      </c>
      <c r="J289" s="525">
        <f>ROUND(VLOOKUP($T289,DGNC,DG!$S$4,0)*U289*V289,0)</f>
        <v>189552</v>
      </c>
      <c r="K289" s="525">
        <f t="shared" si="93"/>
        <v>0</v>
      </c>
      <c r="L289" s="525">
        <f t="shared" si="94"/>
        <v>0</v>
      </c>
      <c r="M289" s="525">
        <f t="shared" si="95"/>
        <v>0</v>
      </c>
      <c r="N289" s="525">
        <f t="shared" si="96"/>
        <v>0</v>
      </c>
      <c r="O289" s="418">
        <f t="shared" si="92"/>
        <v>0</v>
      </c>
      <c r="P289" s="471" t="s">
        <v>12</v>
      </c>
      <c r="Q289" s="727" t="s">
        <v>2221</v>
      </c>
      <c r="R289" s="728">
        <v>2.4</v>
      </c>
      <c r="S289" s="728">
        <f>0.5/3</f>
        <v>0.16666666666666666</v>
      </c>
      <c r="T289" s="471" t="s">
        <v>12</v>
      </c>
      <c r="U289" s="468">
        <v>2.4</v>
      </c>
      <c r="V289" s="468">
        <f>1/3</f>
        <v>0.33333333333333331</v>
      </c>
      <c r="W289" s="525"/>
      <c r="X289" s="626"/>
      <c r="Y289" s="626"/>
      <c r="Z289" s="525"/>
      <c r="AA289" s="626"/>
      <c r="AB289" s="626"/>
      <c r="AC289" s="525"/>
      <c r="AD289" s="626"/>
      <c r="AE289" s="626"/>
      <c r="AF289" s="525"/>
      <c r="AG289" s="525"/>
      <c r="AH289" s="525"/>
    </row>
    <row r="290" spans="2:34" hidden="1">
      <c r="C290" s="523">
        <f t="shared" si="97"/>
        <v>0</v>
      </c>
      <c r="D290" s="524" t="s">
        <v>944</v>
      </c>
      <c r="E290" s="525" t="s">
        <v>2243</v>
      </c>
      <c r="F290" s="523" t="s">
        <v>11</v>
      </c>
      <c r="G290" s="525"/>
      <c r="H290" s="525"/>
      <c r="I290" s="525">
        <f>ROUND(VLOOKUP($P290,DGNC,DG!$S$4,0)*R290*S290,0)</f>
        <v>59235</v>
      </c>
      <c r="J290" s="525">
        <f>ROUND(VLOOKUP($T290,DGNC,DG!$S$4,0)*U290*V290,0)</f>
        <v>118470</v>
      </c>
      <c r="K290" s="525">
        <f t="shared" si="93"/>
        <v>0</v>
      </c>
      <c r="L290" s="525">
        <f t="shared" si="94"/>
        <v>0</v>
      </c>
      <c r="M290" s="525">
        <f t="shared" si="95"/>
        <v>0</v>
      </c>
      <c r="N290" s="525">
        <f t="shared" si="96"/>
        <v>0</v>
      </c>
      <c r="O290" s="418">
        <f t="shared" si="92"/>
        <v>0</v>
      </c>
      <c r="P290" s="471" t="s">
        <v>12</v>
      </c>
      <c r="Q290" s="727" t="s">
        <v>2221</v>
      </c>
      <c r="R290" s="728">
        <v>1.5</v>
      </c>
      <c r="S290" s="728">
        <f>0.5/3</f>
        <v>0.16666666666666666</v>
      </c>
      <c r="T290" s="469" t="s">
        <v>12</v>
      </c>
      <c r="U290" s="468">
        <v>1.5</v>
      </c>
      <c r="V290" s="468">
        <f>1/3</f>
        <v>0.33333333333333331</v>
      </c>
      <c r="W290" s="525"/>
      <c r="X290" s="626"/>
      <c r="Y290" s="626"/>
      <c r="Z290" s="525"/>
      <c r="AA290" s="626"/>
      <c r="AB290" s="626"/>
      <c r="AC290" s="525"/>
      <c r="AD290" s="626"/>
      <c r="AE290" s="626"/>
      <c r="AF290" s="525"/>
      <c r="AG290" s="525"/>
      <c r="AH290" s="525"/>
    </row>
    <row r="291" spans="2:34" ht="31.2" hidden="1">
      <c r="C291" s="523">
        <f t="shared" si="97"/>
        <v>0</v>
      </c>
      <c r="D291" s="636" t="s">
        <v>2801</v>
      </c>
      <c r="E291" s="525" t="s">
        <v>2803</v>
      </c>
      <c r="F291" s="523" t="s">
        <v>146</v>
      </c>
      <c r="G291" s="525"/>
      <c r="H291" s="525"/>
      <c r="I291" s="525">
        <f>ROUND(VLOOKUP($P291,DGNC,DG!$S$4,0)*R291*S291,0)</f>
        <v>16681</v>
      </c>
      <c r="J291" s="525">
        <f>ROUND(VLOOKUP($T291,DGNC,DG!$S$4,0)*U291*V291,0)</f>
        <v>46719</v>
      </c>
      <c r="K291" s="525">
        <f t="shared" si="93"/>
        <v>0</v>
      </c>
      <c r="L291" s="525">
        <f t="shared" si="94"/>
        <v>0</v>
      </c>
      <c r="M291" s="525">
        <f t="shared" si="95"/>
        <v>0</v>
      </c>
      <c r="N291" s="525">
        <f t="shared" si="96"/>
        <v>0</v>
      </c>
      <c r="O291" s="418">
        <f t="shared" si="92"/>
        <v>0</v>
      </c>
      <c r="P291" s="525" t="s">
        <v>12</v>
      </c>
      <c r="Q291" s="525" t="s">
        <v>2221</v>
      </c>
      <c r="R291" s="626">
        <v>0.17599999999999999</v>
      </c>
      <c r="S291" s="626">
        <v>0.4</v>
      </c>
      <c r="T291" s="525" t="s">
        <v>289</v>
      </c>
      <c r="U291" s="626">
        <v>0.21279999999999999</v>
      </c>
      <c r="V291" s="626">
        <v>1</v>
      </c>
      <c r="W291" s="525"/>
      <c r="X291" s="626"/>
      <c r="Y291" s="626"/>
      <c r="Z291" s="525"/>
      <c r="AA291" s="626"/>
      <c r="AB291" s="626"/>
      <c r="AC291" s="525"/>
      <c r="AD291" s="626"/>
      <c r="AE291" s="626"/>
      <c r="AF291" s="525"/>
      <c r="AG291" s="525"/>
      <c r="AH291" s="525"/>
    </row>
    <row r="292" spans="2:34" hidden="1">
      <c r="C292" s="523">
        <f t="shared" si="97"/>
        <v>0</v>
      </c>
      <c r="D292" s="523" t="s">
        <v>2282</v>
      </c>
      <c r="E292" s="525" t="s">
        <v>2283</v>
      </c>
      <c r="F292" s="523" t="s">
        <v>146</v>
      </c>
      <c r="G292" s="525"/>
      <c r="H292" s="525"/>
      <c r="I292" s="525">
        <f>ROUND(VLOOKUP($P292,DGNC,DG!$S$4,0)*R292*S292,0)</f>
        <v>4040</v>
      </c>
      <c r="J292" s="525">
        <f>ROUND(VLOOKUP($P292,DGNC,DG!$S$4,0)*U292*V292,0)</f>
        <v>6059</v>
      </c>
      <c r="K292" s="525">
        <f t="shared" si="93"/>
        <v>0</v>
      </c>
      <c r="L292" s="525">
        <f t="shared" si="94"/>
        <v>0</v>
      </c>
      <c r="M292" s="525">
        <f t="shared" si="95"/>
        <v>0</v>
      </c>
      <c r="N292" s="525">
        <f t="shared" si="96"/>
        <v>0</v>
      </c>
      <c r="O292" s="418">
        <f t="shared" si="92"/>
        <v>0</v>
      </c>
      <c r="P292" s="525" t="s">
        <v>289</v>
      </c>
      <c r="Q292" s="525" t="s">
        <v>2216</v>
      </c>
      <c r="R292" s="626">
        <v>4.5999999999999999E-2</v>
      </c>
      <c r="S292" s="626">
        <v>0.4</v>
      </c>
      <c r="T292" s="525" t="s">
        <v>2216</v>
      </c>
      <c r="U292" s="626">
        <v>4.5999999999999999E-2</v>
      </c>
      <c r="V292" s="626">
        <v>0.6</v>
      </c>
      <c r="W292" s="525"/>
      <c r="X292" s="626"/>
      <c r="Y292" s="626"/>
      <c r="Z292" s="525"/>
      <c r="AA292" s="626"/>
      <c r="AB292" s="626"/>
      <c r="AC292" s="525"/>
      <c r="AD292" s="626"/>
      <c r="AE292" s="626"/>
      <c r="AF292" s="525"/>
      <c r="AG292" s="525"/>
      <c r="AH292" s="525"/>
    </row>
    <row r="293" spans="2:34" hidden="1">
      <c r="C293" s="523">
        <f t="shared" si="97"/>
        <v>0</v>
      </c>
      <c r="D293" s="523" t="s">
        <v>2284</v>
      </c>
      <c r="E293" s="525" t="s">
        <v>2285</v>
      </c>
      <c r="F293" s="523" t="s">
        <v>146</v>
      </c>
      <c r="G293" s="525"/>
      <c r="H293" s="525"/>
      <c r="I293" s="525">
        <f>ROUND(VLOOKUP($P293,DGNC,DG!$S$4,0)*R293*S293,0)</f>
        <v>6586</v>
      </c>
      <c r="J293" s="525">
        <f>ROUND(VLOOKUP($P293,DGNC,DG!$S$4,0)*U293*V293,0)</f>
        <v>9879</v>
      </c>
      <c r="K293" s="525">
        <f t="shared" si="93"/>
        <v>0</v>
      </c>
      <c r="L293" s="525">
        <f t="shared" si="94"/>
        <v>0</v>
      </c>
      <c r="M293" s="525">
        <f t="shared" si="95"/>
        <v>0</v>
      </c>
      <c r="N293" s="525">
        <f t="shared" si="96"/>
        <v>0</v>
      </c>
      <c r="O293" s="418">
        <f t="shared" si="92"/>
        <v>0</v>
      </c>
      <c r="P293" s="525" t="s">
        <v>289</v>
      </c>
      <c r="Q293" s="525" t="s">
        <v>2216</v>
      </c>
      <c r="R293" s="626">
        <v>7.4999999999999997E-2</v>
      </c>
      <c r="S293" s="626">
        <v>0.4</v>
      </c>
      <c r="T293" s="525" t="s">
        <v>2216</v>
      </c>
      <c r="U293" s="626">
        <v>7.4999999999999997E-2</v>
      </c>
      <c r="V293" s="626">
        <v>0.6</v>
      </c>
      <c r="W293" s="525"/>
      <c r="X293" s="626"/>
      <c r="Y293" s="626"/>
      <c r="Z293" s="525"/>
      <c r="AA293" s="626"/>
      <c r="AB293" s="626"/>
      <c r="AC293" s="525"/>
      <c r="AD293" s="626"/>
      <c r="AE293" s="626"/>
      <c r="AF293" s="525"/>
      <c r="AG293" s="525"/>
      <c r="AH293" s="525"/>
    </row>
    <row r="294" spans="2:34" ht="31.2" hidden="1">
      <c r="C294" s="523">
        <f t="shared" si="97"/>
        <v>0</v>
      </c>
      <c r="D294" s="636" t="s">
        <v>2802</v>
      </c>
      <c r="E294" s="525" t="s">
        <v>2804</v>
      </c>
      <c r="F294" s="523" t="s">
        <v>146</v>
      </c>
      <c r="G294" s="525"/>
      <c r="H294" s="525"/>
      <c r="I294" s="525">
        <f>ROUND(VLOOKUP($P294,DGNC,DG!$S$4,0)*R294*S294,0)</f>
        <v>6586</v>
      </c>
      <c r="J294" s="525">
        <f>ROUND(VLOOKUP($T294,DGNC,DG!$S$4,0)*U294*V294,0)</f>
        <v>11847</v>
      </c>
      <c r="K294" s="525">
        <f t="shared" si="93"/>
        <v>0</v>
      </c>
      <c r="L294" s="525">
        <f t="shared" si="94"/>
        <v>0</v>
      </c>
      <c r="M294" s="525">
        <f t="shared" si="95"/>
        <v>0</v>
      </c>
      <c r="N294" s="525">
        <f t="shared" si="96"/>
        <v>0</v>
      </c>
      <c r="O294" s="418">
        <f t="shared" si="92"/>
        <v>0</v>
      </c>
      <c r="P294" s="525" t="s">
        <v>289</v>
      </c>
      <c r="Q294" s="525" t="s">
        <v>2216</v>
      </c>
      <c r="R294" s="626">
        <v>7.4999999999999997E-2</v>
      </c>
      <c r="S294" s="626">
        <v>0.4</v>
      </c>
      <c r="T294" s="525" t="s">
        <v>12</v>
      </c>
      <c r="U294" s="626">
        <v>0.05</v>
      </c>
      <c r="V294" s="626">
        <v>1</v>
      </c>
      <c r="W294" s="525"/>
      <c r="X294" s="626"/>
      <c r="Y294" s="626"/>
      <c r="Z294" s="525"/>
      <c r="AA294" s="626"/>
      <c r="AB294" s="626"/>
      <c r="AC294" s="525"/>
      <c r="AD294" s="626"/>
      <c r="AE294" s="626"/>
      <c r="AF294" s="525"/>
      <c r="AG294" s="525"/>
      <c r="AH294" s="525"/>
    </row>
    <row r="295" spans="2:34" ht="31.2" hidden="1">
      <c r="C295" s="523">
        <f t="shared" si="97"/>
        <v>0</v>
      </c>
      <c r="D295" s="636" t="s">
        <v>2802</v>
      </c>
      <c r="E295" s="525" t="s">
        <v>2806</v>
      </c>
      <c r="F295" s="523" t="s">
        <v>146</v>
      </c>
      <c r="G295" s="525"/>
      <c r="H295" s="525"/>
      <c r="I295" s="525">
        <f>ROUND(VLOOKUP($P295,DGNC,DG!$S$4,0)*R295*S295,0)</f>
        <v>6586</v>
      </c>
      <c r="J295" s="525">
        <f>ROUND(VLOOKUP($T295,DGNC,DG!$S$4,0)*U295*V295,0)</f>
        <v>11847</v>
      </c>
      <c r="K295" s="525">
        <f t="shared" si="93"/>
        <v>0</v>
      </c>
      <c r="L295" s="525">
        <f t="shared" si="94"/>
        <v>0</v>
      </c>
      <c r="M295" s="525">
        <f t="shared" si="95"/>
        <v>0</v>
      </c>
      <c r="N295" s="525">
        <f t="shared" si="96"/>
        <v>0</v>
      </c>
      <c r="O295" s="418">
        <f t="shared" si="92"/>
        <v>0</v>
      </c>
      <c r="P295" s="525" t="s">
        <v>289</v>
      </c>
      <c r="Q295" s="525" t="s">
        <v>2216</v>
      </c>
      <c r="R295" s="626">
        <v>7.4999999999999997E-2</v>
      </c>
      <c r="S295" s="626">
        <v>0.4</v>
      </c>
      <c r="T295" s="525" t="s">
        <v>12</v>
      </c>
      <c r="U295" s="626">
        <v>0.05</v>
      </c>
      <c r="V295" s="626">
        <v>1</v>
      </c>
      <c r="W295" s="525"/>
      <c r="X295" s="626"/>
      <c r="Y295" s="626"/>
      <c r="Z295" s="525"/>
      <c r="AA295" s="626"/>
      <c r="AB295" s="626"/>
      <c r="AC295" s="525"/>
      <c r="AD295" s="626"/>
      <c r="AE295" s="626"/>
      <c r="AF295" s="525"/>
      <c r="AG295" s="525"/>
      <c r="AH295" s="525"/>
    </row>
    <row r="296" spans="2:34" ht="31.2" hidden="1">
      <c r="C296" s="523">
        <f t="shared" si="97"/>
        <v>0</v>
      </c>
      <c r="D296" s="636" t="s">
        <v>2802</v>
      </c>
      <c r="E296" s="525" t="s">
        <v>2805</v>
      </c>
      <c r="F296" s="523" t="s">
        <v>146</v>
      </c>
      <c r="G296" s="525"/>
      <c r="H296" s="525"/>
      <c r="I296" s="525">
        <f>ROUND(VLOOKUP($P296,DGNC,DG!$S$4,0)*R296*S296,0)</f>
        <v>6586</v>
      </c>
      <c r="J296" s="525">
        <f>ROUND(VLOOKUP($T296,DGNC,DG!$S$4,0)*U296*V296,0)</f>
        <v>11847</v>
      </c>
      <c r="K296" s="525">
        <f t="shared" si="93"/>
        <v>0</v>
      </c>
      <c r="L296" s="525">
        <f t="shared" si="94"/>
        <v>0</v>
      </c>
      <c r="M296" s="525">
        <f t="shared" si="95"/>
        <v>0</v>
      </c>
      <c r="N296" s="525">
        <f t="shared" si="96"/>
        <v>0</v>
      </c>
      <c r="O296" s="418">
        <f t="shared" si="92"/>
        <v>0</v>
      </c>
      <c r="P296" s="525" t="s">
        <v>289</v>
      </c>
      <c r="Q296" s="525" t="s">
        <v>2216</v>
      </c>
      <c r="R296" s="626">
        <v>7.4999999999999997E-2</v>
      </c>
      <c r="S296" s="626">
        <v>0.4</v>
      </c>
      <c r="T296" s="525" t="s">
        <v>12</v>
      </c>
      <c r="U296" s="626">
        <v>0.05</v>
      </c>
      <c r="V296" s="626">
        <v>1</v>
      </c>
      <c r="W296" s="525"/>
      <c r="X296" s="626"/>
      <c r="Y296" s="626"/>
      <c r="Z296" s="525"/>
      <c r="AA296" s="626"/>
      <c r="AB296" s="626"/>
      <c r="AC296" s="525"/>
      <c r="AD296" s="626"/>
      <c r="AE296" s="626"/>
      <c r="AF296" s="525"/>
      <c r="AG296" s="525"/>
      <c r="AH296" s="525"/>
    </row>
    <row r="297" spans="2:34" hidden="1">
      <c r="C297" s="523">
        <f t="shared" si="97"/>
        <v>0</v>
      </c>
      <c r="D297" s="523" t="s">
        <v>2284</v>
      </c>
      <c r="E297" s="525" t="s">
        <v>2289</v>
      </c>
      <c r="F297" s="523" t="s">
        <v>146</v>
      </c>
      <c r="G297" s="525"/>
      <c r="H297" s="525"/>
      <c r="I297" s="525">
        <f>ROUND(VLOOKUP($P297,DGNC,DG!$S$4,0)*R297*S297,0)</f>
        <v>6586</v>
      </c>
      <c r="J297" s="525">
        <f>ROUND(VLOOKUP($P297,DGNC,DG!$S$4,0)*U297*V297,0)</f>
        <v>9879</v>
      </c>
      <c r="K297" s="525">
        <f t="shared" si="93"/>
        <v>0</v>
      </c>
      <c r="L297" s="525">
        <f t="shared" si="94"/>
        <v>0</v>
      </c>
      <c r="M297" s="525">
        <f t="shared" si="95"/>
        <v>0</v>
      </c>
      <c r="N297" s="525">
        <f t="shared" si="96"/>
        <v>0</v>
      </c>
      <c r="O297" s="418">
        <f t="shared" si="92"/>
        <v>0</v>
      </c>
      <c r="P297" s="525" t="s">
        <v>289</v>
      </c>
      <c r="Q297" s="525" t="s">
        <v>2216</v>
      </c>
      <c r="R297" s="626">
        <v>7.4999999999999997E-2</v>
      </c>
      <c r="S297" s="626">
        <v>0.4</v>
      </c>
      <c r="T297" s="525" t="s">
        <v>2216</v>
      </c>
      <c r="U297" s="626">
        <v>7.4999999999999997E-2</v>
      </c>
      <c r="V297" s="626">
        <v>0.6</v>
      </c>
      <c r="W297" s="525"/>
      <c r="X297" s="626"/>
      <c r="Y297" s="626"/>
      <c r="Z297" s="525"/>
      <c r="AA297" s="626"/>
      <c r="AB297" s="626"/>
      <c r="AC297" s="525"/>
      <c r="AD297" s="626"/>
      <c r="AE297" s="626"/>
      <c r="AF297" s="525"/>
      <c r="AG297" s="525"/>
      <c r="AH297" s="525"/>
    </row>
    <row r="298" spans="2:34" hidden="1">
      <c r="B298" s="405" t="s">
        <v>3218</v>
      </c>
      <c r="C298" s="538" t="s">
        <v>1673</v>
      </c>
      <c r="D298" s="539" t="str">
        <f>VLOOKUP(B298,XLTBA,'6.XL-TR'!$D$2,0)</f>
        <v xml:space="preserve"> Trạm NC từ 2x37,5kVA lên 3x37,5kVA</v>
      </c>
      <c r="E298" s="539"/>
      <c r="F298" s="538"/>
      <c r="G298" s="539"/>
      <c r="H298" s="539"/>
      <c r="I298" s="539"/>
      <c r="J298" s="539"/>
      <c r="K298" s="539"/>
      <c r="L298" s="539"/>
      <c r="M298" s="539">
        <f>SUM(M299:M310)</f>
        <v>0</v>
      </c>
      <c r="N298" s="539">
        <f>SUM(N299:N310)</f>
        <v>0</v>
      </c>
      <c r="O298" s="418">
        <f t="shared" ref="O298:O310" si="98">IF((M298+N298)&lt;&gt;0,1,)</f>
        <v>0</v>
      </c>
      <c r="P298" s="525"/>
      <c r="Q298" s="654"/>
      <c r="R298" s="655"/>
      <c r="S298" s="655"/>
      <c r="T298" s="539"/>
      <c r="U298" s="661"/>
      <c r="V298" s="661"/>
      <c r="W298" s="654"/>
      <c r="X298" s="655"/>
      <c r="Y298" s="655"/>
      <c r="Z298" s="539"/>
      <c r="AA298" s="661"/>
      <c r="AB298" s="661"/>
      <c r="AC298" s="525"/>
      <c r="AD298" s="626"/>
      <c r="AE298" s="626"/>
      <c r="AF298" s="525"/>
      <c r="AG298" s="525"/>
      <c r="AH298" s="525"/>
    </row>
    <row r="299" spans="2:34" hidden="1">
      <c r="C299" s="523">
        <f>IF(SUM(G299:H299)&lt;&gt;0,1,)</f>
        <v>0</v>
      </c>
      <c r="D299" s="524" t="s">
        <v>901</v>
      </c>
      <c r="E299" s="525" t="s">
        <v>2290</v>
      </c>
      <c r="F299" s="523" t="s">
        <v>896</v>
      </c>
      <c r="G299" s="525"/>
      <c r="H299" s="525"/>
      <c r="I299" s="525">
        <f>ROUND(VLOOKUP($P299,DGNC,DG!$S$4,0)*R299*S299,0)</f>
        <v>447951</v>
      </c>
      <c r="J299" s="525">
        <f>ROUND(VLOOKUP($T299,DGNC,DG!$S$4,0)*U299*V299,0)</f>
        <v>746585</v>
      </c>
      <c r="K299" s="525">
        <f t="shared" ref="K299:K310" si="99">ROUND(IF(W299&lt;&gt;0,VLOOKUP(W299,DGMTC,8,0)*X299*Y299,)+IF(AC299&lt;&gt;0,VLOOKUP(AC299,DGMTC,8,0)*AD299*AE299,),0)</f>
        <v>360605</v>
      </c>
      <c r="L299" s="525">
        <f t="shared" ref="L299:L310" si="100">ROUND(IF(Z299&lt;&gt;0,VLOOKUP(Z299,DGMTC,8,0)*AA299*AB299,)+IF(AF299&lt;&gt;0,VLOOKUP(AF299,DGMTC,8,0)*AG299*AH299,),0)</f>
        <v>360605</v>
      </c>
      <c r="M299" s="525">
        <f t="shared" ref="M299:M310" si="101">ROUND(G299*I299+H299*J299,0)</f>
        <v>0</v>
      </c>
      <c r="N299" s="525">
        <f t="shared" ref="N299:N310" si="102">ROUND(G299*K299+H299*L299,0)</f>
        <v>0</v>
      </c>
      <c r="O299" s="418">
        <f t="shared" si="98"/>
        <v>0</v>
      </c>
      <c r="P299" s="471" t="s">
        <v>781</v>
      </c>
      <c r="Q299" s="727" t="s">
        <v>2226</v>
      </c>
      <c r="R299" s="728">
        <v>2.63</v>
      </c>
      <c r="S299" s="728">
        <f>1.1*0.6</f>
        <v>0.66</v>
      </c>
      <c r="T299" s="471" t="s">
        <v>781</v>
      </c>
      <c r="U299" s="468">
        <v>2.63</v>
      </c>
      <c r="V299" s="468">
        <v>1.1000000000000001</v>
      </c>
      <c r="W299" s="727" t="s">
        <v>898</v>
      </c>
      <c r="X299" s="728">
        <v>0.26</v>
      </c>
      <c r="Y299" s="728">
        <v>1</v>
      </c>
      <c r="Z299" s="471" t="s">
        <v>898</v>
      </c>
      <c r="AA299" s="468">
        <v>0.26</v>
      </c>
      <c r="AB299" s="468">
        <v>1</v>
      </c>
      <c r="AC299" s="525"/>
      <c r="AD299" s="626"/>
      <c r="AE299" s="626"/>
      <c r="AF299" s="525"/>
      <c r="AG299" s="525"/>
      <c r="AH299" s="525"/>
    </row>
    <row r="300" spans="2:34" hidden="1">
      <c r="C300" s="523">
        <f>IF(SUM(G300:H300)&lt;&gt;0,C299+1,C299)</f>
        <v>0</v>
      </c>
      <c r="D300" s="524" t="s">
        <v>906</v>
      </c>
      <c r="E300" s="525" t="s">
        <v>2235</v>
      </c>
      <c r="F300" s="523" t="s">
        <v>896</v>
      </c>
      <c r="G300" s="525"/>
      <c r="H300" s="525"/>
      <c r="I300" s="525">
        <f>ROUND(VLOOKUP($P300,DGNC,DG!$S$4,0)*R300*S300,0)</f>
        <v>633604</v>
      </c>
      <c r="J300" s="525">
        <f>ROUND(VLOOKUP($P300,DGNC,DG!$S$4,0)*U300*V300,0)</f>
        <v>1064522</v>
      </c>
      <c r="K300" s="525">
        <f t="shared" si="99"/>
        <v>360605</v>
      </c>
      <c r="L300" s="525">
        <f t="shared" si="100"/>
        <v>360605</v>
      </c>
      <c r="M300" s="525">
        <f t="shared" si="101"/>
        <v>0</v>
      </c>
      <c r="N300" s="525">
        <f t="shared" si="102"/>
        <v>0</v>
      </c>
      <c r="O300" s="418">
        <f t="shared" si="98"/>
        <v>0</v>
      </c>
      <c r="P300" s="471" t="s">
        <v>781</v>
      </c>
      <c r="Q300" s="727" t="s">
        <v>2226</v>
      </c>
      <c r="R300" s="728">
        <v>3.72</v>
      </c>
      <c r="S300" s="728">
        <f>1.1*0.6</f>
        <v>0.66</v>
      </c>
      <c r="T300" s="471" t="s">
        <v>781</v>
      </c>
      <c r="U300" s="468">
        <v>3.75</v>
      </c>
      <c r="V300" s="468">
        <v>1.1000000000000001</v>
      </c>
      <c r="W300" s="727" t="s">
        <v>898</v>
      </c>
      <c r="X300" s="728">
        <v>0.26</v>
      </c>
      <c r="Y300" s="728">
        <v>1</v>
      </c>
      <c r="Z300" s="471" t="s">
        <v>898</v>
      </c>
      <c r="AA300" s="468">
        <v>0.26</v>
      </c>
      <c r="AB300" s="468">
        <v>1</v>
      </c>
      <c r="AC300" s="525"/>
      <c r="AD300" s="626"/>
      <c r="AE300" s="626"/>
      <c r="AF300" s="525"/>
      <c r="AG300" s="525"/>
      <c r="AH300" s="525"/>
    </row>
    <row r="301" spans="2:34" hidden="1">
      <c r="C301" s="523">
        <f t="shared" ref="C301:C310" si="103">IF(SUM(G301:H301)&lt;&gt;0,C300+1,C300)</f>
        <v>0</v>
      </c>
      <c r="D301" s="524" t="s">
        <v>988</v>
      </c>
      <c r="E301" s="525" t="s">
        <v>2237</v>
      </c>
      <c r="F301" s="523" t="s">
        <v>11</v>
      </c>
      <c r="G301" s="525"/>
      <c r="H301" s="525"/>
      <c r="I301" s="525">
        <f>ROUND(VLOOKUP($P301,DGNC,DG!$S$4,0)*R301*S301,0)</f>
        <v>322583</v>
      </c>
      <c r="J301" s="525">
        <f>ROUND(VLOOKUP($T301,DGNC,DG!$S$4,0)*U301*V301,0)</f>
        <v>645165</v>
      </c>
      <c r="K301" s="525">
        <f t="shared" si="99"/>
        <v>111154</v>
      </c>
      <c r="L301" s="525">
        <f t="shared" si="100"/>
        <v>111154</v>
      </c>
      <c r="M301" s="525">
        <f t="shared" si="101"/>
        <v>0</v>
      </c>
      <c r="N301" s="525">
        <f t="shared" si="102"/>
        <v>0</v>
      </c>
      <c r="O301" s="418">
        <f t="shared" si="98"/>
        <v>0</v>
      </c>
      <c r="P301" s="471" t="s">
        <v>781</v>
      </c>
      <c r="Q301" s="727" t="s">
        <v>2226</v>
      </c>
      <c r="R301" s="728">
        <v>2.5</v>
      </c>
      <c r="S301" s="728">
        <v>0.5</v>
      </c>
      <c r="T301" s="471" t="s">
        <v>781</v>
      </c>
      <c r="U301" s="468">
        <v>2.5</v>
      </c>
      <c r="V301" s="468">
        <v>1</v>
      </c>
      <c r="W301" s="727" t="s">
        <v>3491</v>
      </c>
      <c r="X301" s="728">
        <v>0.2</v>
      </c>
      <c r="Y301" s="728">
        <v>1</v>
      </c>
      <c r="Z301" s="471" t="s">
        <v>3491</v>
      </c>
      <c r="AA301" s="468">
        <v>0.2</v>
      </c>
      <c r="AB301" s="468">
        <v>1</v>
      </c>
      <c r="AC301" s="525"/>
      <c r="AD301" s="626"/>
      <c r="AE301" s="626"/>
      <c r="AF301" s="525"/>
      <c r="AG301" s="525"/>
      <c r="AH301" s="525"/>
    </row>
    <row r="302" spans="2:34" hidden="1">
      <c r="C302" s="523">
        <f t="shared" si="103"/>
        <v>0</v>
      </c>
      <c r="D302" s="524" t="s">
        <v>917</v>
      </c>
      <c r="E302" s="525" t="s">
        <v>2241</v>
      </c>
      <c r="F302" s="523" t="s">
        <v>11</v>
      </c>
      <c r="G302" s="525"/>
      <c r="H302" s="525"/>
      <c r="I302" s="525">
        <f>ROUND(VLOOKUP($P302,DGNC,DG!$S$4,0)*R302*S302*V302,0)</f>
        <v>31592</v>
      </c>
      <c r="J302" s="525">
        <f>ROUND(VLOOKUP($T302,DGNC,DG!$S$4,0)*U302*V302,0)</f>
        <v>189552</v>
      </c>
      <c r="K302" s="525">
        <f t="shared" si="99"/>
        <v>0</v>
      </c>
      <c r="L302" s="525">
        <f t="shared" si="100"/>
        <v>0</v>
      </c>
      <c r="M302" s="525">
        <f t="shared" si="101"/>
        <v>0</v>
      </c>
      <c r="N302" s="525">
        <f t="shared" si="102"/>
        <v>0</v>
      </c>
      <c r="O302" s="418">
        <f t="shared" si="98"/>
        <v>0</v>
      </c>
      <c r="P302" s="471" t="s">
        <v>12</v>
      </c>
      <c r="Q302" s="727" t="s">
        <v>2221</v>
      </c>
      <c r="R302" s="728">
        <v>2.4</v>
      </c>
      <c r="S302" s="728">
        <f>0.5/3</f>
        <v>0.16666666666666666</v>
      </c>
      <c r="T302" s="471" t="s">
        <v>12</v>
      </c>
      <c r="U302" s="468">
        <v>2.4</v>
      </c>
      <c r="V302" s="468">
        <f>1/3</f>
        <v>0.33333333333333331</v>
      </c>
      <c r="W302" s="525"/>
      <c r="X302" s="626"/>
      <c r="Y302" s="626"/>
      <c r="Z302" s="525"/>
      <c r="AA302" s="626"/>
      <c r="AB302" s="626"/>
      <c r="AC302" s="525"/>
      <c r="AD302" s="626"/>
      <c r="AE302" s="626"/>
      <c r="AF302" s="525"/>
      <c r="AG302" s="525"/>
      <c r="AH302" s="525"/>
    </row>
    <row r="303" spans="2:34" hidden="1">
      <c r="C303" s="523">
        <f t="shared" si="103"/>
        <v>0</v>
      </c>
      <c r="D303" s="524" t="s">
        <v>944</v>
      </c>
      <c r="E303" s="525" t="s">
        <v>2243</v>
      </c>
      <c r="F303" s="523" t="s">
        <v>11</v>
      </c>
      <c r="G303" s="525"/>
      <c r="H303" s="525"/>
      <c r="I303" s="525">
        <f>ROUND(VLOOKUP($P303,DGNC,DG!$S$4,0)*R303*S303*V303,0)</f>
        <v>19745</v>
      </c>
      <c r="J303" s="525">
        <f>ROUND(VLOOKUP($T303,DGNC,DG!$S$4,0)*U303*V303,0)</f>
        <v>118470</v>
      </c>
      <c r="K303" s="525">
        <f t="shared" si="99"/>
        <v>0</v>
      </c>
      <c r="L303" s="525">
        <f t="shared" si="100"/>
        <v>0</v>
      </c>
      <c r="M303" s="525">
        <f t="shared" si="101"/>
        <v>0</v>
      </c>
      <c r="N303" s="525">
        <f t="shared" si="102"/>
        <v>0</v>
      </c>
      <c r="O303" s="418">
        <f t="shared" si="98"/>
        <v>0</v>
      </c>
      <c r="P303" s="471" t="s">
        <v>12</v>
      </c>
      <c r="Q303" s="727" t="s">
        <v>2221</v>
      </c>
      <c r="R303" s="728">
        <v>1.5</v>
      </c>
      <c r="S303" s="728">
        <f>0.5/3</f>
        <v>0.16666666666666666</v>
      </c>
      <c r="T303" s="469" t="s">
        <v>12</v>
      </c>
      <c r="U303" s="468">
        <v>1.5</v>
      </c>
      <c r="V303" s="468">
        <f>1/3</f>
        <v>0.33333333333333331</v>
      </c>
      <c r="W303" s="525"/>
      <c r="X303" s="626"/>
      <c r="Y303" s="626"/>
      <c r="Z303" s="525"/>
      <c r="AA303" s="626"/>
      <c r="AB303" s="626"/>
      <c r="AC303" s="525"/>
      <c r="AD303" s="626"/>
      <c r="AE303" s="626"/>
      <c r="AF303" s="525"/>
      <c r="AG303" s="525"/>
      <c r="AH303" s="525"/>
    </row>
    <row r="304" spans="2:34" ht="31.2" hidden="1">
      <c r="C304" s="523">
        <f t="shared" si="103"/>
        <v>0</v>
      </c>
      <c r="D304" s="636" t="s">
        <v>2801</v>
      </c>
      <c r="E304" s="525" t="s">
        <v>2803</v>
      </c>
      <c r="F304" s="523" t="s">
        <v>146</v>
      </c>
      <c r="G304" s="525"/>
      <c r="H304" s="525"/>
      <c r="I304" s="525">
        <f>ROUND(VLOOKUP($P304,DGNC,DG!$S$4,0)*R304*S304,0)</f>
        <v>14231</v>
      </c>
      <c r="J304" s="525">
        <f>ROUND(VLOOKUP($T304,DGNC,DG!$S$4,0)*U304*V304,0)</f>
        <v>46719</v>
      </c>
      <c r="K304" s="525">
        <f t="shared" si="99"/>
        <v>0</v>
      </c>
      <c r="L304" s="525">
        <f t="shared" si="100"/>
        <v>0</v>
      </c>
      <c r="M304" s="525">
        <f t="shared" si="101"/>
        <v>0</v>
      </c>
      <c r="N304" s="525">
        <f t="shared" si="102"/>
        <v>0</v>
      </c>
      <c r="O304" s="418">
        <f t="shared" si="98"/>
        <v>0</v>
      </c>
      <c r="P304" s="525" t="s">
        <v>1311</v>
      </c>
      <c r="Q304" s="656" t="s">
        <v>2219</v>
      </c>
      <c r="R304" s="657">
        <v>0.17599999999999999</v>
      </c>
      <c r="S304" s="657">
        <v>0.4</v>
      </c>
      <c r="T304" s="525" t="s">
        <v>289</v>
      </c>
      <c r="U304" s="626">
        <v>0.21279999999999999</v>
      </c>
      <c r="V304" s="626">
        <v>1</v>
      </c>
      <c r="W304" s="656"/>
      <c r="X304" s="657"/>
      <c r="Y304" s="657"/>
      <c r="Z304" s="525"/>
      <c r="AA304" s="626"/>
      <c r="AB304" s="626"/>
      <c r="AC304" s="525"/>
      <c r="AD304" s="626"/>
      <c r="AE304" s="626"/>
      <c r="AF304" s="525"/>
      <c r="AG304" s="525"/>
      <c r="AH304" s="525"/>
    </row>
    <row r="305" spans="2:34" hidden="1">
      <c r="C305" s="523">
        <f t="shared" si="103"/>
        <v>0</v>
      </c>
      <c r="D305" s="523" t="s">
        <v>2282</v>
      </c>
      <c r="E305" s="525" t="s">
        <v>2283</v>
      </c>
      <c r="F305" s="523" t="s">
        <v>146</v>
      </c>
      <c r="G305" s="525"/>
      <c r="H305" s="525"/>
      <c r="I305" s="525">
        <f>ROUND(VLOOKUP($P305,DGNC,DG!$S$4,0)*R305*S305,0)</f>
        <v>4040</v>
      </c>
      <c r="J305" s="525">
        <f>ROUND(VLOOKUP($P305,DGNC,DG!$S$4,0)*U305*V305,0)</f>
        <v>6059</v>
      </c>
      <c r="K305" s="525">
        <f t="shared" si="99"/>
        <v>0</v>
      </c>
      <c r="L305" s="525">
        <f t="shared" si="100"/>
        <v>0</v>
      </c>
      <c r="M305" s="525">
        <f t="shared" si="101"/>
        <v>0</v>
      </c>
      <c r="N305" s="525">
        <f t="shared" si="102"/>
        <v>0</v>
      </c>
      <c r="O305" s="418">
        <f t="shared" si="98"/>
        <v>0</v>
      </c>
      <c r="P305" s="525" t="s">
        <v>289</v>
      </c>
      <c r="Q305" s="656" t="s">
        <v>2216</v>
      </c>
      <c r="R305" s="657">
        <v>4.5999999999999999E-2</v>
      </c>
      <c r="S305" s="657">
        <v>0.4</v>
      </c>
      <c r="T305" s="525" t="s">
        <v>2216</v>
      </c>
      <c r="U305" s="626">
        <v>4.5999999999999999E-2</v>
      </c>
      <c r="V305" s="626">
        <v>0.6</v>
      </c>
      <c r="W305" s="656"/>
      <c r="X305" s="657"/>
      <c r="Y305" s="657"/>
      <c r="Z305" s="525"/>
      <c r="AA305" s="626"/>
      <c r="AB305" s="626"/>
      <c r="AC305" s="525"/>
      <c r="AD305" s="626"/>
      <c r="AE305" s="626"/>
      <c r="AF305" s="525"/>
      <c r="AG305" s="525"/>
      <c r="AH305" s="525"/>
    </row>
    <row r="306" spans="2:34" hidden="1">
      <c r="C306" s="523">
        <f t="shared" si="103"/>
        <v>0</v>
      </c>
      <c r="D306" s="523" t="s">
        <v>2284</v>
      </c>
      <c r="E306" s="525" t="s">
        <v>2285</v>
      </c>
      <c r="F306" s="523" t="s">
        <v>146</v>
      </c>
      <c r="G306" s="525"/>
      <c r="H306" s="525"/>
      <c r="I306" s="525">
        <f>ROUND(VLOOKUP($P306,DGNC,DG!$S$4,0)*R306*S306,0)</f>
        <v>6586</v>
      </c>
      <c r="J306" s="525">
        <f>ROUND(VLOOKUP($P306,DGNC,DG!$S$4,0)*U306*V306,0)</f>
        <v>9879</v>
      </c>
      <c r="K306" s="525">
        <f t="shared" si="99"/>
        <v>0</v>
      </c>
      <c r="L306" s="525">
        <f t="shared" si="100"/>
        <v>0</v>
      </c>
      <c r="M306" s="525">
        <f t="shared" si="101"/>
        <v>0</v>
      </c>
      <c r="N306" s="525">
        <f t="shared" si="102"/>
        <v>0</v>
      </c>
      <c r="O306" s="418">
        <f t="shared" si="98"/>
        <v>0</v>
      </c>
      <c r="P306" s="525" t="s">
        <v>289</v>
      </c>
      <c r="Q306" s="525" t="s">
        <v>2216</v>
      </c>
      <c r="R306" s="626">
        <v>7.4999999999999997E-2</v>
      </c>
      <c r="S306" s="626">
        <v>0.4</v>
      </c>
      <c r="T306" s="525" t="s">
        <v>2216</v>
      </c>
      <c r="U306" s="626">
        <v>7.4999999999999997E-2</v>
      </c>
      <c r="V306" s="626">
        <v>0.6</v>
      </c>
      <c r="W306" s="525"/>
      <c r="X306" s="626"/>
      <c r="Y306" s="626"/>
      <c r="Z306" s="525"/>
      <c r="AA306" s="626"/>
      <c r="AB306" s="626"/>
      <c r="AC306" s="525"/>
      <c r="AD306" s="626"/>
      <c r="AE306" s="626"/>
      <c r="AF306" s="525"/>
      <c r="AG306" s="525"/>
      <c r="AH306" s="525"/>
    </row>
    <row r="307" spans="2:34" ht="31.2" hidden="1">
      <c r="C307" s="523">
        <f t="shared" si="103"/>
        <v>0</v>
      </c>
      <c r="D307" s="636" t="s">
        <v>2802</v>
      </c>
      <c r="E307" s="525" t="s">
        <v>2804</v>
      </c>
      <c r="F307" s="523" t="s">
        <v>146</v>
      </c>
      <c r="G307" s="525"/>
      <c r="H307" s="525"/>
      <c r="I307" s="525">
        <f>ROUND(VLOOKUP($P307,DGNC,DG!$S$4,0)*R307*S307,0)</f>
        <v>6586</v>
      </c>
      <c r="J307" s="525">
        <f>ROUND(VLOOKUP($T307,DGNC,DG!$S$4,0)*U307*V307,0)</f>
        <v>11847</v>
      </c>
      <c r="K307" s="525">
        <f t="shared" si="99"/>
        <v>0</v>
      </c>
      <c r="L307" s="525">
        <f t="shared" si="100"/>
        <v>0</v>
      </c>
      <c r="M307" s="525">
        <f t="shared" si="101"/>
        <v>0</v>
      </c>
      <c r="N307" s="525">
        <f t="shared" si="102"/>
        <v>0</v>
      </c>
      <c r="O307" s="418">
        <f t="shared" si="98"/>
        <v>0</v>
      </c>
      <c r="P307" s="525" t="s">
        <v>289</v>
      </c>
      <c r="Q307" s="525" t="s">
        <v>2216</v>
      </c>
      <c r="R307" s="626">
        <v>7.4999999999999997E-2</v>
      </c>
      <c r="S307" s="626">
        <v>0.4</v>
      </c>
      <c r="T307" s="525" t="s">
        <v>12</v>
      </c>
      <c r="U307" s="626">
        <v>0.05</v>
      </c>
      <c r="V307" s="626">
        <v>1</v>
      </c>
      <c r="W307" s="525"/>
      <c r="X307" s="626"/>
      <c r="Y307" s="626"/>
      <c r="Z307" s="525"/>
      <c r="AA307" s="626"/>
      <c r="AB307" s="626"/>
      <c r="AC307" s="525"/>
      <c r="AD307" s="626"/>
      <c r="AE307" s="626"/>
      <c r="AF307" s="525"/>
      <c r="AG307" s="525"/>
      <c r="AH307" s="525"/>
    </row>
    <row r="308" spans="2:34" ht="31.2" hidden="1">
      <c r="C308" s="523">
        <f t="shared" si="103"/>
        <v>0</v>
      </c>
      <c r="D308" s="636" t="s">
        <v>2802</v>
      </c>
      <c r="E308" s="525" t="s">
        <v>2806</v>
      </c>
      <c r="F308" s="523" t="s">
        <v>146</v>
      </c>
      <c r="G308" s="525"/>
      <c r="H308" s="525"/>
      <c r="I308" s="525">
        <f>ROUND(VLOOKUP($P308,DGNC,DG!$S$4,0)*R308*S308,0)</f>
        <v>6586</v>
      </c>
      <c r="J308" s="525">
        <f>ROUND(VLOOKUP($T308,DGNC,DG!$S$4,0)*U308*V308,0)</f>
        <v>11847</v>
      </c>
      <c r="K308" s="525">
        <f t="shared" si="99"/>
        <v>0</v>
      </c>
      <c r="L308" s="525">
        <f t="shared" si="100"/>
        <v>0</v>
      </c>
      <c r="M308" s="525">
        <f t="shared" si="101"/>
        <v>0</v>
      </c>
      <c r="N308" s="525">
        <f t="shared" si="102"/>
        <v>0</v>
      </c>
      <c r="O308" s="418">
        <f t="shared" si="98"/>
        <v>0</v>
      </c>
      <c r="P308" s="525" t="s">
        <v>289</v>
      </c>
      <c r="Q308" s="656" t="s">
        <v>2216</v>
      </c>
      <c r="R308" s="657">
        <v>7.4999999999999997E-2</v>
      </c>
      <c r="S308" s="657">
        <v>0.4</v>
      </c>
      <c r="T308" s="525" t="s">
        <v>12</v>
      </c>
      <c r="U308" s="626">
        <v>0.05</v>
      </c>
      <c r="V308" s="626">
        <v>1</v>
      </c>
      <c r="W308" s="656"/>
      <c r="X308" s="657"/>
      <c r="Y308" s="657"/>
      <c r="Z308" s="525"/>
      <c r="AA308" s="626"/>
      <c r="AB308" s="626"/>
      <c r="AC308" s="525"/>
      <c r="AD308" s="626"/>
      <c r="AE308" s="626"/>
      <c r="AF308" s="525"/>
      <c r="AG308" s="525"/>
      <c r="AH308" s="525"/>
    </row>
    <row r="309" spans="2:34" ht="31.2" hidden="1">
      <c r="C309" s="523">
        <f t="shared" si="103"/>
        <v>0</v>
      </c>
      <c r="D309" s="636" t="s">
        <v>2802</v>
      </c>
      <c r="E309" s="525" t="s">
        <v>2805</v>
      </c>
      <c r="F309" s="523" t="s">
        <v>146</v>
      </c>
      <c r="G309" s="525"/>
      <c r="H309" s="525"/>
      <c r="I309" s="525">
        <f>ROUND(VLOOKUP($P309,DGNC,DG!$S$4,0)*R309*S309,0)</f>
        <v>6586</v>
      </c>
      <c r="J309" s="525">
        <f>ROUND(VLOOKUP($T309,DGNC,DG!$S$4,0)*U309*V309,0)</f>
        <v>11847</v>
      </c>
      <c r="K309" s="525">
        <f t="shared" si="99"/>
        <v>0</v>
      </c>
      <c r="L309" s="525">
        <f t="shared" si="100"/>
        <v>0</v>
      </c>
      <c r="M309" s="525">
        <f t="shared" si="101"/>
        <v>0</v>
      </c>
      <c r="N309" s="525">
        <f t="shared" si="102"/>
        <v>0</v>
      </c>
      <c r="O309" s="418">
        <f t="shared" si="98"/>
        <v>0</v>
      </c>
      <c r="P309" s="525" t="s">
        <v>289</v>
      </c>
      <c r="Q309" s="525" t="s">
        <v>2216</v>
      </c>
      <c r="R309" s="626">
        <v>7.4999999999999997E-2</v>
      </c>
      <c r="S309" s="626">
        <v>0.4</v>
      </c>
      <c r="T309" s="525" t="s">
        <v>12</v>
      </c>
      <c r="U309" s="626">
        <v>0.05</v>
      </c>
      <c r="V309" s="626">
        <v>1</v>
      </c>
      <c r="W309" s="525"/>
      <c r="X309" s="626"/>
      <c r="Y309" s="626"/>
      <c r="Z309" s="525"/>
      <c r="AA309" s="626"/>
      <c r="AB309" s="626"/>
      <c r="AC309" s="525"/>
      <c r="AD309" s="626"/>
      <c r="AE309" s="626"/>
      <c r="AF309" s="525"/>
      <c r="AG309" s="525"/>
      <c r="AH309" s="525"/>
    </row>
    <row r="310" spans="2:34" hidden="1">
      <c r="C310" s="523">
        <f t="shared" si="103"/>
        <v>0</v>
      </c>
      <c r="D310" s="523" t="s">
        <v>2284</v>
      </c>
      <c r="E310" s="525" t="s">
        <v>2289</v>
      </c>
      <c r="F310" s="523" t="s">
        <v>146</v>
      </c>
      <c r="G310" s="525"/>
      <c r="H310" s="525"/>
      <c r="I310" s="525">
        <f>ROUND(VLOOKUP($P310,DGNC,DG!$S$4,0)*R310*S310,0)</f>
        <v>6586</v>
      </c>
      <c r="J310" s="525">
        <f>ROUND(VLOOKUP($P310,DGNC,DG!$S$4,0)*U310*V310,0)</f>
        <v>9879</v>
      </c>
      <c r="K310" s="525">
        <f t="shared" si="99"/>
        <v>0</v>
      </c>
      <c r="L310" s="525">
        <f t="shared" si="100"/>
        <v>0</v>
      </c>
      <c r="M310" s="525">
        <f t="shared" si="101"/>
        <v>0</v>
      </c>
      <c r="N310" s="525">
        <f t="shared" si="102"/>
        <v>0</v>
      </c>
      <c r="O310" s="418">
        <f t="shared" si="98"/>
        <v>0</v>
      </c>
      <c r="P310" s="525" t="s">
        <v>289</v>
      </c>
      <c r="Q310" s="525" t="s">
        <v>2216</v>
      </c>
      <c r="R310" s="626">
        <v>7.4999999999999997E-2</v>
      </c>
      <c r="S310" s="626">
        <v>0.4</v>
      </c>
      <c r="T310" s="525" t="s">
        <v>2216</v>
      </c>
      <c r="U310" s="626">
        <v>7.4999999999999997E-2</v>
      </c>
      <c r="V310" s="626">
        <v>0.6</v>
      </c>
      <c r="W310" s="525"/>
      <c r="X310" s="626"/>
      <c r="Y310" s="626"/>
      <c r="Z310" s="525"/>
      <c r="AA310" s="626"/>
      <c r="AB310" s="626"/>
      <c r="AC310" s="525"/>
      <c r="AD310" s="626"/>
      <c r="AE310" s="626"/>
      <c r="AF310" s="525"/>
      <c r="AG310" s="525"/>
      <c r="AH310" s="525"/>
    </row>
    <row r="311" spans="2:34" hidden="1">
      <c r="B311" s="405" t="s">
        <v>3219</v>
      </c>
      <c r="C311" s="538" t="s">
        <v>1673</v>
      </c>
      <c r="D311" s="539" t="str">
        <f>VLOOKUP(B311,XLTBA,'6.XL-TR'!$D$2,0)</f>
        <v>2 Trạm NC từ 100kVA lên 100+2x50kVA</v>
      </c>
      <c r="E311" s="539"/>
      <c r="F311" s="538"/>
      <c r="G311" s="539"/>
      <c r="H311" s="539"/>
      <c r="I311" s="539"/>
      <c r="J311" s="539"/>
      <c r="K311" s="539"/>
      <c r="L311" s="539"/>
      <c r="M311" s="539">
        <f>SUM(M312:M324)</f>
        <v>0</v>
      </c>
      <c r="N311" s="539">
        <f>SUM(N312:N324)</f>
        <v>0</v>
      </c>
      <c r="O311" s="418">
        <f t="shared" ref="O311:O338" si="104">IF((M311+N311)&lt;&gt;0,1,)</f>
        <v>0</v>
      </c>
      <c r="P311" s="525"/>
      <c r="Q311" s="654"/>
      <c r="R311" s="655"/>
      <c r="S311" s="655"/>
      <c r="T311" s="539"/>
      <c r="U311" s="661"/>
      <c r="V311" s="661"/>
      <c r="W311" s="654"/>
      <c r="X311" s="655"/>
      <c r="Y311" s="655"/>
      <c r="Z311" s="539"/>
      <c r="AA311" s="661"/>
      <c r="AB311" s="661"/>
      <c r="AC311" s="525"/>
      <c r="AD311" s="626"/>
      <c r="AE311" s="626"/>
      <c r="AF311" s="525"/>
      <c r="AG311" s="525"/>
      <c r="AH311" s="525"/>
    </row>
    <row r="312" spans="2:34" hidden="1">
      <c r="C312" s="523">
        <f>IF(SUM(G312:H312)&lt;&gt;0,1,)</f>
        <v>0</v>
      </c>
      <c r="D312" s="524" t="s">
        <v>901</v>
      </c>
      <c r="E312" s="525" t="s">
        <v>2290</v>
      </c>
      <c r="F312" s="523" t="s">
        <v>896</v>
      </c>
      <c r="G312" s="525"/>
      <c r="H312" s="525"/>
      <c r="I312" s="525">
        <f>ROUND(VLOOKUP($P312,DGNC,DG!$S$4,0)*R312*S312,0)</f>
        <v>447951</v>
      </c>
      <c r="J312" s="525">
        <f>ROUND(VLOOKUP($T312,DGNC,DG!$S$4,0)*U312*V312,0)</f>
        <v>746585</v>
      </c>
      <c r="K312" s="525">
        <f t="shared" ref="K312:K324" si="105">ROUND(IF(W312&lt;&gt;0,VLOOKUP(W312,DGMTC,8,0)*X312*Y312,)+IF(AC312&lt;&gt;0,VLOOKUP(AC312,DGMTC,8,0)*AD312*AE312,),0)</f>
        <v>360605</v>
      </c>
      <c r="L312" s="525">
        <f t="shared" ref="L312:L324" si="106">ROUND(IF(Z312&lt;&gt;0,VLOOKUP(Z312,DGMTC,8,0)*AA312*AB312,)+IF(AF312&lt;&gt;0,VLOOKUP(AF312,DGMTC,8,0)*AG312*AH312,),0)</f>
        <v>360605</v>
      </c>
      <c r="M312" s="525">
        <f t="shared" ref="M312:M324" si="107">ROUND(G312*I312+H312*J312,0)</f>
        <v>0</v>
      </c>
      <c r="N312" s="525">
        <f t="shared" ref="N312:N324" si="108">ROUND(G312*K312+H312*L312,0)</f>
        <v>0</v>
      </c>
      <c r="O312" s="418">
        <f t="shared" si="104"/>
        <v>0</v>
      </c>
      <c r="P312" s="471" t="s">
        <v>781</v>
      </c>
      <c r="Q312" s="727" t="s">
        <v>2226</v>
      </c>
      <c r="R312" s="728">
        <v>2.63</v>
      </c>
      <c r="S312" s="728">
        <f>1.1*0.6</f>
        <v>0.66</v>
      </c>
      <c r="T312" s="471" t="s">
        <v>781</v>
      </c>
      <c r="U312" s="468">
        <v>2.63</v>
      </c>
      <c r="V312" s="468">
        <v>1.1000000000000001</v>
      </c>
      <c r="W312" s="727" t="s">
        <v>898</v>
      </c>
      <c r="X312" s="728">
        <v>0.26</v>
      </c>
      <c r="Y312" s="728">
        <v>1</v>
      </c>
      <c r="Z312" s="471" t="s">
        <v>898</v>
      </c>
      <c r="AA312" s="468">
        <v>0.26</v>
      </c>
      <c r="AB312" s="468">
        <v>1</v>
      </c>
      <c r="AC312" s="525"/>
      <c r="AD312" s="626"/>
      <c r="AE312" s="626"/>
      <c r="AF312" s="525"/>
      <c r="AG312" s="525"/>
      <c r="AH312" s="525"/>
    </row>
    <row r="313" spans="2:34" hidden="1">
      <c r="C313" s="523">
        <f>IF(SUM(G313:H313)&lt;&gt;0,C312+1,C312)</f>
        <v>0</v>
      </c>
      <c r="D313" s="524" t="s">
        <v>906</v>
      </c>
      <c r="E313" s="525" t="s">
        <v>2235</v>
      </c>
      <c r="F313" s="523" t="s">
        <v>896</v>
      </c>
      <c r="G313" s="525"/>
      <c r="H313" s="525"/>
      <c r="I313" s="525">
        <f>ROUND(VLOOKUP($P313,DGNC,DG!$S$4,0)*R313*S313,0)</f>
        <v>633604</v>
      </c>
      <c r="J313" s="525">
        <f>ROUND(VLOOKUP($P313,DGNC,DG!$S$4,0)*U313*V313,0)</f>
        <v>1064522</v>
      </c>
      <c r="K313" s="525">
        <f t="shared" si="105"/>
        <v>360605</v>
      </c>
      <c r="L313" s="525">
        <f t="shared" si="106"/>
        <v>360605</v>
      </c>
      <c r="M313" s="525">
        <f t="shared" si="107"/>
        <v>0</v>
      </c>
      <c r="N313" s="525">
        <f t="shared" si="108"/>
        <v>0</v>
      </c>
      <c r="O313" s="418">
        <f t="shared" si="104"/>
        <v>0</v>
      </c>
      <c r="P313" s="471" t="s">
        <v>781</v>
      </c>
      <c r="Q313" s="727" t="s">
        <v>2226</v>
      </c>
      <c r="R313" s="728">
        <v>3.72</v>
      </c>
      <c r="S313" s="728">
        <f>1.1*0.6</f>
        <v>0.66</v>
      </c>
      <c r="T313" s="471" t="s">
        <v>781</v>
      </c>
      <c r="U313" s="468">
        <v>3.75</v>
      </c>
      <c r="V313" s="468">
        <v>1.1000000000000001</v>
      </c>
      <c r="W313" s="727" t="s">
        <v>898</v>
      </c>
      <c r="X313" s="728">
        <v>0.26</v>
      </c>
      <c r="Y313" s="728">
        <v>1</v>
      </c>
      <c r="Z313" s="471" t="s">
        <v>898</v>
      </c>
      <c r="AA313" s="468">
        <v>0.26</v>
      </c>
      <c r="AB313" s="468">
        <v>1</v>
      </c>
      <c r="AC313" s="525"/>
      <c r="AD313" s="626"/>
      <c r="AE313" s="626"/>
      <c r="AF313" s="525"/>
      <c r="AG313" s="525"/>
      <c r="AH313" s="525"/>
    </row>
    <row r="314" spans="2:34" hidden="1">
      <c r="C314" s="523">
        <f t="shared" ref="C314:C322" si="109">IF(SUM(G314:H314)&lt;&gt;0,C313+1,C313)</f>
        <v>0</v>
      </c>
      <c r="D314" s="524" t="s">
        <v>988</v>
      </c>
      <c r="E314" s="525" t="s">
        <v>2237</v>
      </c>
      <c r="F314" s="523" t="s">
        <v>11</v>
      </c>
      <c r="G314" s="525"/>
      <c r="H314" s="525"/>
      <c r="I314" s="525">
        <f>ROUND(VLOOKUP($P314,DGNC,DG!$S$4,0)*R314*S314,0)</f>
        <v>322583</v>
      </c>
      <c r="J314" s="525">
        <f>ROUND(VLOOKUP($T314,DGNC,DG!$S$4,0)*U314*V314,0)</f>
        <v>645165</v>
      </c>
      <c r="K314" s="525">
        <f t="shared" si="105"/>
        <v>111154</v>
      </c>
      <c r="L314" s="525">
        <f t="shared" si="106"/>
        <v>111154</v>
      </c>
      <c r="M314" s="525">
        <f t="shared" si="107"/>
        <v>0</v>
      </c>
      <c r="N314" s="525">
        <f t="shared" si="108"/>
        <v>0</v>
      </c>
      <c r="O314" s="418">
        <f t="shared" si="104"/>
        <v>0</v>
      </c>
      <c r="P314" s="471" t="s">
        <v>781</v>
      </c>
      <c r="Q314" s="727" t="s">
        <v>2226</v>
      </c>
      <c r="R314" s="728">
        <v>2.5</v>
      </c>
      <c r="S314" s="728">
        <v>0.5</v>
      </c>
      <c r="T314" s="471" t="s">
        <v>781</v>
      </c>
      <c r="U314" s="468">
        <v>2.5</v>
      </c>
      <c r="V314" s="468">
        <v>1</v>
      </c>
      <c r="W314" s="727" t="s">
        <v>3491</v>
      </c>
      <c r="X314" s="728">
        <v>0.2</v>
      </c>
      <c r="Y314" s="728">
        <v>1</v>
      </c>
      <c r="Z314" s="471" t="s">
        <v>3491</v>
      </c>
      <c r="AA314" s="468">
        <v>0.2</v>
      </c>
      <c r="AB314" s="468">
        <v>1</v>
      </c>
      <c r="AC314" s="525"/>
      <c r="AD314" s="626"/>
      <c r="AE314" s="626"/>
      <c r="AF314" s="525"/>
      <c r="AG314" s="525"/>
      <c r="AH314" s="525"/>
    </row>
    <row r="315" spans="2:34" hidden="1">
      <c r="C315" s="523">
        <f t="shared" si="109"/>
        <v>0</v>
      </c>
      <c r="D315" s="524" t="s">
        <v>917</v>
      </c>
      <c r="E315" s="525" t="s">
        <v>2241</v>
      </c>
      <c r="F315" s="523" t="s">
        <v>11</v>
      </c>
      <c r="G315" s="525"/>
      <c r="H315" s="525"/>
      <c r="I315" s="525">
        <f>ROUND(VLOOKUP($P315,DGNC,DG!$S$4,0)*R315*S315*V315,0)</f>
        <v>31592</v>
      </c>
      <c r="J315" s="525">
        <f>ROUND(VLOOKUP($T315,DGNC,DG!$S$4,0)*U315*V315,0)</f>
        <v>189552</v>
      </c>
      <c r="K315" s="525">
        <f t="shared" si="105"/>
        <v>0</v>
      </c>
      <c r="L315" s="525">
        <f t="shared" si="106"/>
        <v>0</v>
      </c>
      <c r="M315" s="525">
        <f t="shared" si="107"/>
        <v>0</v>
      </c>
      <c r="N315" s="525">
        <f t="shared" si="108"/>
        <v>0</v>
      </c>
      <c r="O315" s="418">
        <f t="shared" si="104"/>
        <v>0</v>
      </c>
      <c r="P315" s="471" t="s">
        <v>12</v>
      </c>
      <c r="Q315" s="727" t="s">
        <v>2221</v>
      </c>
      <c r="R315" s="728">
        <v>2.4</v>
      </c>
      <c r="S315" s="728">
        <f>0.5/3</f>
        <v>0.16666666666666666</v>
      </c>
      <c r="T315" s="471" t="s">
        <v>12</v>
      </c>
      <c r="U315" s="468">
        <v>2.4</v>
      </c>
      <c r="V315" s="468">
        <f>1/3</f>
        <v>0.33333333333333331</v>
      </c>
      <c r="W315" s="525"/>
      <c r="X315" s="626"/>
      <c r="Y315" s="626"/>
      <c r="Z315" s="525"/>
      <c r="AA315" s="626"/>
      <c r="AB315" s="626"/>
      <c r="AC315" s="525"/>
      <c r="AD315" s="626"/>
      <c r="AE315" s="626"/>
      <c r="AF315" s="525"/>
      <c r="AG315" s="525"/>
      <c r="AH315" s="525"/>
    </row>
    <row r="316" spans="2:34" hidden="1">
      <c r="C316" s="523">
        <f t="shared" si="109"/>
        <v>0</v>
      </c>
      <c r="D316" s="524" t="s">
        <v>944</v>
      </c>
      <c r="E316" s="525" t="s">
        <v>2243</v>
      </c>
      <c r="F316" s="523" t="s">
        <v>11</v>
      </c>
      <c r="G316" s="525"/>
      <c r="H316" s="525"/>
      <c r="I316" s="525">
        <f>ROUND(VLOOKUP($P316,DGNC,DG!$S$4,0)*R316*S316*V316,0)</f>
        <v>19745</v>
      </c>
      <c r="J316" s="525">
        <f>ROUND(VLOOKUP($T316,DGNC,DG!$S$4,0)*U316*V316,0)</f>
        <v>118470</v>
      </c>
      <c r="K316" s="525">
        <f t="shared" si="105"/>
        <v>0</v>
      </c>
      <c r="L316" s="525">
        <f t="shared" si="106"/>
        <v>0</v>
      </c>
      <c r="M316" s="525">
        <f t="shared" si="107"/>
        <v>0</v>
      </c>
      <c r="N316" s="525">
        <f t="shared" si="108"/>
        <v>0</v>
      </c>
      <c r="O316" s="418">
        <f t="shared" si="104"/>
        <v>0</v>
      </c>
      <c r="P316" s="471" t="s">
        <v>12</v>
      </c>
      <c r="Q316" s="727" t="s">
        <v>2221</v>
      </c>
      <c r="R316" s="728">
        <v>1.5</v>
      </c>
      <c r="S316" s="728">
        <f>0.5/3</f>
        <v>0.16666666666666666</v>
      </c>
      <c r="T316" s="469" t="s">
        <v>12</v>
      </c>
      <c r="U316" s="468">
        <v>1.5</v>
      </c>
      <c r="V316" s="468">
        <f>1/3</f>
        <v>0.33333333333333331</v>
      </c>
      <c r="W316" s="525"/>
      <c r="X316" s="626"/>
      <c r="Y316" s="626"/>
      <c r="Z316" s="525"/>
      <c r="AA316" s="626"/>
      <c r="AB316" s="626"/>
      <c r="AC316" s="525"/>
      <c r="AD316" s="626"/>
      <c r="AE316" s="626"/>
      <c r="AF316" s="525"/>
      <c r="AG316" s="525"/>
      <c r="AH316" s="525"/>
    </row>
    <row r="317" spans="2:34" ht="31.2" hidden="1">
      <c r="C317" s="523">
        <f t="shared" si="109"/>
        <v>0</v>
      </c>
      <c r="D317" s="636" t="s">
        <v>2801</v>
      </c>
      <c r="E317" s="525" t="s">
        <v>2803</v>
      </c>
      <c r="F317" s="523" t="s">
        <v>146</v>
      </c>
      <c r="G317" s="525"/>
      <c r="H317" s="525"/>
      <c r="I317" s="525">
        <f>ROUND(VLOOKUP($P317,DGNC,DG!$S$4,0)*R317*S317,0)</f>
        <v>14231</v>
      </c>
      <c r="J317" s="525">
        <f>ROUND(VLOOKUP($T317,DGNC,DG!$S$4,0)*U317*V317,0)</f>
        <v>46719</v>
      </c>
      <c r="K317" s="525">
        <f t="shared" si="105"/>
        <v>0</v>
      </c>
      <c r="L317" s="525">
        <f t="shared" si="106"/>
        <v>0</v>
      </c>
      <c r="M317" s="525">
        <f t="shared" si="107"/>
        <v>0</v>
      </c>
      <c r="N317" s="525">
        <f t="shared" si="108"/>
        <v>0</v>
      </c>
      <c r="O317" s="418">
        <f t="shared" si="104"/>
        <v>0</v>
      </c>
      <c r="P317" s="525" t="s">
        <v>1311</v>
      </c>
      <c r="Q317" s="656" t="s">
        <v>2219</v>
      </c>
      <c r="R317" s="657">
        <v>0.17599999999999999</v>
      </c>
      <c r="S317" s="657">
        <v>0.4</v>
      </c>
      <c r="T317" s="525" t="s">
        <v>289</v>
      </c>
      <c r="U317" s="626">
        <v>0.21279999999999999</v>
      </c>
      <c r="V317" s="626">
        <v>1</v>
      </c>
      <c r="W317" s="656"/>
      <c r="X317" s="657"/>
      <c r="Y317" s="657"/>
      <c r="Z317" s="525"/>
      <c r="AA317" s="626"/>
      <c r="AB317" s="626"/>
      <c r="AC317" s="525"/>
      <c r="AD317" s="626"/>
      <c r="AE317" s="626"/>
      <c r="AF317" s="525"/>
      <c r="AG317" s="525"/>
      <c r="AH317" s="525"/>
    </row>
    <row r="318" spans="2:34" hidden="1">
      <c r="C318" s="523">
        <f t="shared" si="109"/>
        <v>0</v>
      </c>
      <c r="D318" s="523" t="s">
        <v>2282</v>
      </c>
      <c r="E318" s="525" t="s">
        <v>2283</v>
      </c>
      <c r="F318" s="523" t="s">
        <v>146</v>
      </c>
      <c r="G318" s="525"/>
      <c r="H318" s="525"/>
      <c r="I318" s="525">
        <f>ROUND(VLOOKUP($P318,DGNC,DG!$S$4,0)*R318*S318,0)</f>
        <v>4040</v>
      </c>
      <c r="J318" s="525">
        <f>ROUND(VLOOKUP($P318,DGNC,DG!$S$4,0)*U318*V318,0)</f>
        <v>6059</v>
      </c>
      <c r="K318" s="525">
        <f t="shared" si="105"/>
        <v>0</v>
      </c>
      <c r="L318" s="525">
        <f t="shared" si="106"/>
        <v>0</v>
      </c>
      <c r="M318" s="525">
        <f t="shared" si="107"/>
        <v>0</v>
      </c>
      <c r="N318" s="525">
        <f t="shared" si="108"/>
        <v>0</v>
      </c>
      <c r="O318" s="418">
        <f t="shared" si="104"/>
        <v>0</v>
      </c>
      <c r="P318" s="525" t="s">
        <v>289</v>
      </c>
      <c r="Q318" s="656" t="s">
        <v>2216</v>
      </c>
      <c r="R318" s="657">
        <v>4.5999999999999999E-2</v>
      </c>
      <c r="S318" s="657">
        <v>0.4</v>
      </c>
      <c r="T318" s="525" t="s">
        <v>2216</v>
      </c>
      <c r="U318" s="626">
        <v>4.5999999999999999E-2</v>
      </c>
      <c r="V318" s="626">
        <v>0.6</v>
      </c>
      <c r="W318" s="656"/>
      <c r="X318" s="657"/>
      <c r="Y318" s="657"/>
      <c r="Z318" s="525"/>
      <c r="AA318" s="626"/>
      <c r="AB318" s="626"/>
      <c r="AC318" s="525"/>
      <c r="AD318" s="626"/>
      <c r="AE318" s="626"/>
      <c r="AF318" s="525"/>
      <c r="AG318" s="525"/>
      <c r="AH318" s="525"/>
    </row>
    <row r="319" spans="2:34" hidden="1">
      <c r="C319" s="523">
        <f t="shared" si="109"/>
        <v>0</v>
      </c>
      <c r="D319" s="523" t="s">
        <v>2284</v>
      </c>
      <c r="E319" s="525" t="s">
        <v>2285</v>
      </c>
      <c r="F319" s="523" t="s">
        <v>146</v>
      </c>
      <c r="G319" s="525"/>
      <c r="H319" s="525"/>
      <c r="I319" s="525">
        <f>ROUND(VLOOKUP($P319,DGNC,DG!$S$4,0)*R319*S319,0)</f>
        <v>6586</v>
      </c>
      <c r="J319" s="525">
        <f>ROUND(VLOOKUP($P319,DGNC,DG!$S$4,0)*U319*V319,0)</f>
        <v>9879</v>
      </c>
      <c r="K319" s="525">
        <f t="shared" si="105"/>
        <v>0</v>
      </c>
      <c r="L319" s="525">
        <f t="shared" si="106"/>
        <v>0</v>
      </c>
      <c r="M319" s="525">
        <f t="shared" si="107"/>
        <v>0</v>
      </c>
      <c r="N319" s="525">
        <f t="shared" si="108"/>
        <v>0</v>
      </c>
      <c r="O319" s="418">
        <f t="shared" si="104"/>
        <v>0</v>
      </c>
      <c r="P319" s="525" t="s">
        <v>289</v>
      </c>
      <c r="Q319" s="525" t="s">
        <v>2216</v>
      </c>
      <c r="R319" s="626">
        <v>7.4999999999999997E-2</v>
      </c>
      <c r="S319" s="626">
        <v>0.4</v>
      </c>
      <c r="T319" s="525" t="s">
        <v>2216</v>
      </c>
      <c r="U319" s="626">
        <v>7.4999999999999997E-2</v>
      </c>
      <c r="V319" s="626">
        <v>0.6</v>
      </c>
      <c r="W319" s="525"/>
      <c r="X319" s="626"/>
      <c r="Y319" s="626"/>
      <c r="Z319" s="525"/>
      <c r="AA319" s="626"/>
      <c r="AB319" s="626"/>
      <c r="AC319" s="525"/>
      <c r="AD319" s="626"/>
      <c r="AE319" s="626"/>
      <c r="AF319" s="525"/>
      <c r="AG319" s="525"/>
      <c r="AH319" s="525"/>
    </row>
    <row r="320" spans="2:34" ht="31.2" hidden="1">
      <c r="C320" s="523">
        <f t="shared" si="109"/>
        <v>0</v>
      </c>
      <c r="D320" s="636" t="s">
        <v>2802</v>
      </c>
      <c r="E320" s="525" t="s">
        <v>2804</v>
      </c>
      <c r="F320" s="523" t="s">
        <v>146</v>
      </c>
      <c r="G320" s="525"/>
      <c r="H320" s="525"/>
      <c r="I320" s="525">
        <f>ROUND(VLOOKUP($P320,DGNC,DG!$S$4,0)*R320*S320,0)</f>
        <v>6586</v>
      </c>
      <c r="J320" s="525">
        <f>ROUND(VLOOKUP($T320,DGNC,DG!$S$4,0)*U320*V320,0)</f>
        <v>11847</v>
      </c>
      <c r="K320" s="525">
        <f t="shared" si="105"/>
        <v>0</v>
      </c>
      <c r="L320" s="525">
        <f t="shared" si="106"/>
        <v>0</v>
      </c>
      <c r="M320" s="525">
        <f t="shared" si="107"/>
        <v>0</v>
      </c>
      <c r="N320" s="525">
        <f t="shared" si="108"/>
        <v>0</v>
      </c>
      <c r="O320" s="418">
        <f t="shared" si="104"/>
        <v>0</v>
      </c>
      <c r="P320" s="525" t="s">
        <v>289</v>
      </c>
      <c r="Q320" s="656" t="s">
        <v>2216</v>
      </c>
      <c r="R320" s="657">
        <v>7.4999999999999997E-2</v>
      </c>
      <c r="S320" s="657">
        <v>0.4</v>
      </c>
      <c r="T320" s="525" t="s">
        <v>12</v>
      </c>
      <c r="U320" s="626">
        <v>0.05</v>
      </c>
      <c r="V320" s="626">
        <v>1</v>
      </c>
      <c r="W320" s="656"/>
      <c r="X320" s="657"/>
      <c r="Y320" s="657"/>
      <c r="Z320" s="525"/>
      <c r="AA320" s="626"/>
      <c r="AB320" s="626"/>
      <c r="AC320" s="525"/>
      <c r="AD320" s="626"/>
      <c r="AE320" s="626"/>
      <c r="AF320" s="525"/>
      <c r="AG320" s="525"/>
      <c r="AH320" s="525"/>
    </row>
    <row r="321" spans="2:34" ht="31.2" hidden="1">
      <c r="C321" s="523">
        <f t="shared" si="109"/>
        <v>0</v>
      </c>
      <c r="D321" s="636" t="s">
        <v>2802</v>
      </c>
      <c r="E321" s="525" t="s">
        <v>2806</v>
      </c>
      <c r="F321" s="523" t="s">
        <v>146</v>
      </c>
      <c r="G321" s="525"/>
      <c r="H321" s="525"/>
      <c r="I321" s="525">
        <f>ROUND(VLOOKUP($P321,DGNC,DG!$S$4,0)*R321*S321,0)</f>
        <v>6586</v>
      </c>
      <c r="J321" s="525">
        <f>ROUND(VLOOKUP($T321,DGNC,DG!$S$4,0)*U321*V321,0)</f>
        <v>11847</v>
      </c>
      <c r="K321" s="525">
        <f t="shared" si="105"/>
        <v>0</v>
      </c>
      <c r="L321" s="525">
        <f t="shared" si="106"/>
        <v>0</v>
      </c>
      <c r="M321" s="525">
        <f t="shared" si="107"/>
        <v>0</v>
      </c>
      <c r="N321" s="525">
        <f t="shared" si="108"/>
        <v>0</v>
      </c>
      <c r="O321" s="418">
        <f t="shared" si="104"/>
        <v>0</v>
      </c>
      <c r="P321" s="525" t="s">
        <v>289</v>
      </c>
      <c r="Q321" s="656" t="s">
        <v>2216</v>
      </c>
      <c r="R321" s="657">
        <v>7.4999999999999997E-2</v>
      </c>
      <c r="S321" s="657">
        <v>0.4</v>
      </c>
      <c r="T321" s="525" t="s">
        <v>12</v>
      </c>
      <c r="U321" s="626">
        <v>0.05</v>
      </c>
      <c r="V321" s="626">
        <v>1</v>
      </c>
      <c r="W321" s="656"/>
      <c r="X321" s="657"/>
      <c r="Y321" s="657"/>
      <c r="Z321" s="525"/>
      <c r="AA321" s="626"/>
      <c r="AB321" s="626"/>
      <c r="AC321" s="525"/>
      <c r="AD321" s="626"/>
      <c r="AE321" s="626"/>
      <c r="AF321" s="525"/>
      <c r="AG321" s="525"/>
      <c r="AH321" s="525"/>
    </row>
    <row r="322" spans="2:34" ht="31.2" hidden="1">
      <c r="C322" s="523">
        <f t="shared" si="109"/>
        <v>0</v>
      </c>
      <c r="D322" s="636" t="s">
        <v>2802</v>
      </c>
      <c r="E322" s="525" t="s">
        <v>2805</v>
      </c>
      <c r="F322" s="523" t="s">
        <v>146</v>
      </c>
      <c r="G322" s="525"/>
      <c r="H322" s="525"/>
      <c r="I322" s="525">
        <f>ROUND(VLOOKUP($P322,DGNC,DG!$S$4,0)*R322*S322,0)</f>
        <v>6586</v>
      </c>
      <c r="J322" s="525">
        <f>ROUND(VLOOKUP($T322,DGNC,DG!$S$4,0)*U322*V322,0)</f>
        <v>11847</v>
      </c>
      <c r="K322" s="525">
        <f t="shared" si="105"/>
        <v>0</v>
      </c>
      <c r="L322" s="525">
        <f t="shared" si="106"/>
        <v>0</v>
      </c>
      <c r="M322" s="525">
        <f t="shared" si="107"/>
        <v>0</v>
      </c>
      <c r="N322" s="525">
        <f t="shared" si="108"/>
        <v>0</v>
      </c>
      <c r="O322" s="418">
        <f t="shared" si="104"/>
        <v>0</v>
      </c>
      <c r="P322" s="525" t="s">
        <v>289</v>
      </c>
      <c r="Q322" s="656" t="s">
        <v>2216</v>
      </c>
      <c r="R322" s="657">
        <v>7.4999999999999997E-2</v>
      </c>
      <c r="S322" s="657">
        <v>0.4</v>
      </c>
      <c r="T322" s="525" t="s">
        <v>12</v>
      </c>
      <c r="U322" s="626">
        <v>0.05</v>
      </c>
      <c r="V322" s="626">
        <v>1</v>
      </c>
      <c r="W322" s="656"/>
      <c r="X322" s="657"/>
      <c r="Y322" s="657"/>
      <c r="Z322" s="525"/>
      <c r="AA322" s="626"/>
      <c r="AB322" s="626"/>
      <c r="AC322" s="525"/>
      <c r="AD322" s="626"/>
      <c r="AE322" s="626"/>
      <c r="AF322" s="525"/>
      <c r="AG322" s="525"/>
      <c r="AH322" s="525"/>
    </row>
    <row r="323" spans="2:34" hidden="1">
      <c r="C323" s="523">
        <f>IF(SUM(G323:H323)&lt;&gt;0,C321+1,C321)</f>
        <v>0</v>
      </c>
      <c r="D323" s="523" t="s">
        <v>2284</v>
      </c>
      <c r="E323" s="525" t="s">
        <v>2289</v>
      </c>
      <c r="F323" s="523" t="s">
        <v>146</v>
      </c>
      <c r="G323" s="525"/>
      <c r="H323" s="525"/>
      <c r="I323" s="525">
        <f>ROUND(VLOOKUP($P323,DGNC,DG!$S$4,0)*R323*S323,0)</f>
        <v>6586</v>
      </c>
      <c r="J323" s="525">
        <f>ROUND(VLOOKUP($P323,DGNC,DG!$S$4,0)*U323*V323,0)</f>
        <v>9879</v>
      </c>
      <c r="K323" s="525">
        <f>ROUND(IF(W323&lt;&gt;0,VLOOKUP(W323,DGMTC,8,0)*X323*Y323,)+IF(AC323&lt;&gt;0,VLOOKUP(AC323,DGMTC,8,0)*AD323*AE323,),0)</f>
        <v>0</v>
      </c>
      <c r="L323" s="525">
        <f>ROUND(IF(Z323&lt;&gt;0,VLOOKUP(Z323,DGMTC,8,0)*AA323*AB323,)+IF(AF323&lt;&gt;0,VLOOKUP(AF323,DGMTC,8,0)*AG323*AH323,),0)</f>
        <v>0</v>
      </c>
      <c r="M323" s="525">
        <f>ROUND(G323*I323+H323*J323,0)</f>
        <v>0</v>
      </c>
      <c r="N323" s="525">
        <f>ROUND(G323*K323+H323*L323,0)</f>
        <v>0</v>
      </c>
      <c r="O323" s="418">
        <f>IF((M323+N323)&lt;&gt;0,1,)</f>
        <v>0</v>
      </c>
      <c r="P323" s="525" t="s">
        <v>289</v>
      </c>
      <c r="Q323" s="656" t="s">
        <v>2216</v>
      </c>
      <c r="R323" s="657">
        <v>7.4999999999999997E-2</v>
      </c>
      <c r="S323" s="657">
        <v>0.4</v>
      </c>
      <c r="T323" s="525" t="s">
        <v>2216</v>
      </c>
      <c r="U323" s="626">
        <v>7.4999999999999997E-2</v>
      </c>
      <c r="V323" s="626">
        <v>0.6</v>
      </c>
      <c r="W323" s="656"/>
      <c r="X323" s="657"/>
      <c r="Y323" s="657"/>
      <c r="Z323" s="525"/>
      <c r="AA323" s="626"/>
      <c r="AB323" s="626"/>
      <c r="AC323" s="525"/>
      <c r="AD323" s="626"/>
      <c r="AE323" s="626"/>
      <c r="AF323" s="525"/>
      <c r="AG323" s="525"/>
      <c r="AH323" s="525"/>
    </row>
    <row r="324" spans="2:34" hidden="1">
      <c r="C324" s="523">
        <f>IF(SUM(G324:H324)&lt;&gt;0,C322+1,C322)</f>
        <v>0</v>
      </c>
      <c r="D324" s="523" t="s">
        <v>2284</v>
      </c>
      <c r="E324" s="525" t="s">
        <v>3263</v>
      </c>
      <c r="F324" s="523" t="s">
        <v>146</v>
      </c>
      <c r="G324" s="525"/>
      <c r="H324" s="525"/>
      <c r="I324" s="525">
        <f>ROUND(VLOOKUP($P324,DGNC,DG!$S$4,0)*R324*S324,0)</f>
        <v>6586</v>
      </c>
      <c r="J324" s="525">
        <f>ROUND(VLOOKUP($P324,DGNC,DG!$S$4,0)*U324*V324,0)</f>
        <v>9879</v>
      </c>
      <c r="K324" s="525">
        <f t="shared" si="105"/>
        <v>0</v>
      </c>
      <c r="L324" s="525">
        <f t="shared" si="106"/>
        <v>0</v>
      </c>
      <c r="M324" s="525">
        <f t="shared" si="107"/>
        <v>0</v>
      </c>
      <c r="N324" s="525">
        <f t="shared" si="108"/>
        <v>0</v>
      </c>
      <c r="O324" s="418">
        <f t="shared" si="104"/>
        <v>0</v>
      </c>
      <c r="P324" s="525" t="s">
        <v>289</v>
      </c>
      <c r="Q324" s="656" t="s">
        <v>2216</v>
      </c>
      <c r="R324" s="657">
        <v>7.4999999999999997E-2</v>
      </c>
      <c r="S324" s="657">
        <v>0.4</v>
      </c>
      <c r="T324" s="525" t="s">
        <v>2216</v>
      </c>
      <c r="U324" s="626">
        <v>7.4999999999999997E-2</v>
      </c>
      <c r="V324" s="626">
        <v>0.6</v>
      </c>
      <c r="W324" s="656"/>
      <c r="X324" s="657"/>
      <c r="Y324" s="657"/>
      <c r="Z324" s="525"/>
      <c r="AA324" s="626"/>
      <c r="AB324" s="626"/>
      <c r="AC324" s="525"/>
      <c r="AD324" s="626"/>
      <c r="AE324" s="626"/>
      <c r="AF324" s="525"/>
      <c r="AG324" s="525"/>
      <c r="AH324" s="525"/>
    </row>
    <row r="325" spans="2:34">
      <c r="B325" s="405" t="s">
        <v>3456</v>
      </c>
      <c r="C325" s="538" t="s">
        <v>1673</v>
      </c>
      <c r="D325" s="539" t="str">
        <f>VLOOKUP(B325,XLTBA,'6.XL-TR'!$D$2,0)</f>
        <v xml:space="preserve"> Trạm NC từ 2x50kVA lên 3x50kVA</v>
      </c>
      <c r="E325" s="539"/>
      <c r="F325" s="538"/>
      <c r="G325" s="539"/>
      <c r="H325" s="539"/>
      <c r="I325" s="539"/>
      <c r="J325" s="539"/>
      <c r="K325" s="539"/>
      <c r="L325" s="539"/>
      <c r="M325" s="539">
        <f>SUM(M326:M338)</f>
        <v>2120217</v>
      </c>
      <c r="N325" s="539">
        <f>SUM(N326:N338)</f>
        <v>222308</v>
      </c>
      <c r="O325" s="418">
        <f t="shared" si="104"/>
        <v>1</v>
      </c>
      <c r="P325" s="525"/>
      <c r="Q325" s="654"/>
      <c r="R325" s="655"/>
      <c r="S325" s="655"/>
      <c r="T325" s="539"/>
      <c r="U325" s="661"/>
      <c r="V325" s="661"/>
      <c r="W325" s="654"/>
      <c r="X325" s="655"/>
      <c r="Y325" s="655"/>
      <c r="Z325" s="539"/>
      <c r="AA325" s="661"/>
      <c r="AB325" s="661"/>
      <c r="AC325" s="525"/>
      <c r="AD325" s="626"/>
      <c r="AE325" s="626"/>
      <c r="AF325" s="525"/>
      <c r="AG325" s="525"/>
      <c r="AH325" s="525"/>
    </row>
    <row r="326" spans="2:34" hidden="1">
      <c r="C326" s="523">
        <f>IF(SUM(G326:H326)&lt;&gt;0,1,)</f>
        <v>0</v>
      </c>
      <c r="D326" s="524" t="s">
        <v>901</v>
      </c>
      <c r="E326" s="362" t="s">
        <v>2290</v>
      </c>
      <c r="F326" s="523" t="s">
        <v>896</v>
      </c>
      <c r="G326" s="525">
        <f>'BKTL Tram'!E8+'BKTL Tram'!E13</f>
        <v>0</v>
      </c>
      <c r="H326" s="525"/>
      <c r="I326" s="525">
        <f>ROUND(VLOOKUP($P326,DGNC,DG!$S$4,0)*R326*S326,0)</f>
        <v>447951</v>
      </c>
      <c r="J326" s="525">
        <f>ROUND(VLOOKUP($T326,DGNC,DG!$S$4,0)*U326*V326,0)</f>
        <v>746585</v>
      </c>
      <c r="K326" s="525">
        <f t="shared" ref="K326:K338" si="110">ROUND(IF(W326&lt;&gt;0,VLOOKUP(W326,DGMTC,8,0)*X326*Y326,)+IF(AC326&lt;&gt;0,VLOOKUP(AC326,DGMTC,8,0)*AD326*AE326,),0)</f>
        <v>360605</v>
      </c>
      <c r="L326" s="525">
        <f t="shared" ref="L326:L338" si="111">ROUND(IF(Z326&lt;&gt;0,VLOOKUP(Z326,DGMTC,8,0)*AA326*AB326,)+IF(AF326&lt;&gt;0,VLOOKUP(AF326,DGMTC,8,0)*AG326*AH326,),0)</f>
        <v>360605</v>
      </c>
      <c r="M326" s="525">
        <f t="shared" ref="M326:M338" si="112">ROUND(G326*I326+H326*J326,0)</f>
        <v>0</v>
      </c>
      <c r="N326" s="525">
        <f t="shared" ref="N326:N338" si="113">ROUND(G326*K326+H326*L326,0)</f>
        <v>0</v>
      </c>
      <c r="O326" s="418">
        <f t="shared" si="104"/>
        <v>0</v>
      </c>
      <c r="P326" s="471" t="s">
        <v>781</v>
      </c>
      <c r="Q326" s="727" t="s">
        <v>2226</v>
      </c>
      <c r="R326" s="728">
        <v>2.63</v>
      </c>
      <c r="S326" s="728">
        <f>1.1*0.6</f>
        <v>0.66</v>
      </c>
      <c r="T326" s="471" t="s">
        <v>781</v>
      </c>
      <c r="U326" s="468">
        <v>2.63</v>
      </c>
      <c r="V326" s="468">
        <v>1.1000000000000001</v>
      </c>
      <c r="W326" s="727" t="s">
        <v>898</v>
      </c>
      <c r="X326" s="728">
        <v>0.26</v>
      </c>
      <c r="Y326" s="728">
        <v>1</v>
      </c>
      <c r="Z326" s="471" t="s">
        <v>898</v>
      </c>
      <c r="AA326" s="468">
        <v>0.26</v>
      </c>
      <c r="AB326" s="468">
        <v>1</v>
      </c>
      <c r="AC326" s="525"/>
      <c r="AD326" s="626"/>
      <c r="AE326" s="626"/>
      <c r="AF326" s="525"/>
      <c r="AG326" s="525"/>
      <c r="AH326" s="525"/>
    </row>
    <row r="327" spans="2:34" hidden="1">
      <c r="C327" s="523">
        <f>IF(SUM(G327:H327)&lt;&gt;0,C326+1,C326)</f>
        <v>0</v>
      </c>
      <c r="D327" s="524" t="s">
        <v>906</v>
      </c>
      <c r="E327" s="525" t="s">
        <v>2235</v>
      </c>
      <c r="F327" s="523" t="s">
        <v>896</v>
      </c>
      <c r="G327" s="525"/>
      <c r="H327" s="525"/>
      <c r="I327" s="525">
        <f>ROUND(VLOOKUP($P327,DGNC,DG!$S$4,0)*R327*S327,0)</f>
        <v>633604</v>
      </c>
      <c r="J327" s="525">
        <f>ROUND(VLOOKUP($P327,DGNC,DG!$S$4,0)*U327*V327,0)</f>
        <v>1064522</v>
      </c>
      <c r="K327" s="525">
        <f t="shared" si="110"/>
        <v>360605</v>
      </c>
      <c r="L327" s="525">
        <f t="shared" si="111"/>
        <v>360605</v>
      </c>
      <c r="M327" s="525">
        <f t="shared" si="112"/>
        <v>0</v>
      </c>
      <c r="N327" s="525">
        <f t="shared" si="113"/>
        <v>0</v>
      </c>
      <c r="O327" s="418">
        <f t="shared" si="104"/>
        <v>0</v>
      </c>
      <c r="P327" s="471" t="s">
        <v>781</v>
      </c>
      <c r="Q327" s="727" t="s">
        <v>2226</v>
      </c>
      <c r="R327" s="728">
        <v>3.72</v>
      </c>
      <c r="S327" s="728">
        <f>1.1*0.6</f>
        <v>0.66</v>
      </c>
      <c r="T327" s="471" t="s">
        <v>781</v>
      </c>
      <c r="U327" s="468">
        <v>3.75</v>
      </c>
      <c r="V327" s="468">
        <v>1.1000000000000001</v>
      </c>
      <c r="W327" s="727" t="s">
        <v>898</v>
      </c>
      <c r="X327" s="728">
        <v>0.26</v>
      </c>
      <c r="Y327" s="728">
        <v>1</v>
      </c>
      <c r="Z327" s="471" t="s">
        <v>898</v>
      </c>
      <c r="AA327" s="468">
        <v>0.26</v>
      </c>
      <c r="AB327" s="468">
        <v>1</v>
      </c>
      <c r="AC327" s="525"/>
      <c r="AD327" s="626"/>
      <c r="AE327" s="626"/>
      <c r="AF327" s="525"/>
      <c r="AG327" s="525"/>
      <c r="AH327" s="525"/>
    </row>
    <row r="328" spans="2:34">
      <c r="C328" s="523">
        <f t="shared" ref="C328:C338" si="114">IF(SUM(G328:H328)&lt;&gt;0,C327+1,C327)</f>
        <v>1</v>
      </c>
      <c r="D328" s="636" t="s">
        <v>988</v>
      </c>
      <c r="E328" s="525" t="s">
        <v>2237</v>
      </c>
      <c r="F328" s="523" t="s">
        <v>11</v>
      </c>
      <c r="G328" s="525">
        <f>'BKTL Tram'!J8+'BKTL Tram'!J13</f>
        <v>2</v>
      </c>
      <c r="H328" s="525"/>
      <c r="I328" s="525">
        <f>ROUND(VLOOKUP($P328,DGNC,DG!$S$4,0)*R328*S328,0)</f>
        <v>322583</v>
      </c>
      <c r="J328" s="525">
        <f>ROUND(VLOOKUP($T328,DGNC,DG!$S$4,0)*U328*V328,0)</f>
        <v>645165</v>
      </c>
      <c r="K328" s="525">
        <f t="shared" si="110"/>
        <v>111154</v>
      </c>
      <c r="L328" s="525">
        <f t="shared" si="111"/>
        <v>111154</v>
      </c>
      <c r="M328" s="525">
        <f t="shared" si="112"/>
        <v>645166</v>
      </c>
      <c r="N328" s="525">
        <f t="shared" si="113"/>
        <v>222308</v>
      </c>
      <c r="O328" s="418">
        <f t="shared" si="104"/>
        <v>1</v>
      </c>
      <c r="P328" s="404" t="s">
        <v>781</v>
      </c>
      <c r="Q328" s="729" t="s">
        <v>2226</v>
      </c>
      <c r="R328" s="730">
        <v>2.5</v>
      </c>
      <c r="S328" s="730">
        <v>0.5</v>
      </c>
      <c r="T328" s="404" t="s">
        <v>781</v>
      </c>
      <c r="U328" s="660">
        <v>2.5</v>
      </c>
      <c r="V328" s="660">
        <v>1</v>
      </c>
      <c r="W328" s="729" t="s">
        <v>3491</v>
      </c>
      <c r="X328" s="730">
        <v>0.2</v>
      </c>
      <c r="Y328" s="730">
        <v>1</v>
      </c>
      <c r="Z328" s="404" t="s">
        <v>3491</v>
      </c>
      <c r="AA328" s="660">
        <v>0.2</v>
      </c>
      <c r="AB328" s="660">
        <v>1</v>
      </c>
      <c r="AC328" s="525"/>
      <c r="AD328" s="626"/>
      <c r="AE328" s="626"/>
      <c r="AF328" s="525"/>
      <c r="AG328" s="525"/>
      <c r="AH328" s="525"/>
    </row>
    <row r="329" spans="2:34">
      <c r="C329" s="523">
        <f t="shared" si="114"/>
        <v>2</v>
      </c>
      <c r="D329" s="636" t="s">
        <v>917</v>
      </c>
      <c r="E329" s="525" t="s">
        <v>2241</v>
      </c>
      <c r="F329" s="523" t="s">
        <v>11</v>
      </c>
      <c r="G329" s="525">
        <f>'BKTL Tram'!H8+'BKTL Tram'!H13</f>
        <v>1</v>
      </c>
      <c r="H329" s="525"/>
      <c r="I329" s="525">
        <f>ROUND(VLOOKUP($P329,DGNC,DG!$S$4,0)*R329*S329*V329,0)</f>
        <v>94776</v>
      </c>
      <c r="J329" s="525">
        <f>ROUND(VLOOKUP($T329,DGNC,DG!$S$4,0)*U329*V329,0)</f>
        <v>189552</v>
      </c>
      <c r="K329" s="525">
        <f t="shared" si="110"/>
        <v>0</v>
      </c>
      <c r="L329" s="525">
        <f t="shared" si="111"/>
        <v>0</v>
      </c>
      <c r="M329" s="525">
        <f t="shared" si="112"/>
        <v>94776</v>
      </c>
      <c r="N329" s="525">
        <f t="shared" si="113"/>
        <v>0</v>
      </c>
      <c r="O329" s="418">
        <f t="shared" si="104"/>
        <v>1</v>
      </c>
      <c r="P329" s="404" t="s">
        <v>12</v>
      </c>
      <c r="Q329" s="729" t="s">
        <v>2221</v>
      </c>
      <c r="R329" s="730">
        <v>2.4</v>
      </c>
      <c r="S329" s="730">
        <v>0.5</v>
      </c>
      <c r="T329" s="404" t="s">
        <v>12</v>
      </c>
      <c r="U329" s="660">
        <v>2.4</v>
      </c>
      <c r="V329" s="660">
        <f>1/3</f>
        <v>0.33333333333333331</v>
      </c>
      <c r="W329" s="525"/>
      <c r="X329" s="626"/>
      <c r="Y329" s="626"/>
      <c r="Z329" s="525"/>
      <c r="AA329" s="626"/>
      <c r="AB329" s="626"/>
      <c r="AC329" s="525"/>
      <c r="AD329" s="626"/>
      <c r="AE329" s="626"/>
      <c r="AF329" s="525"/>
      <c r="AG329" s="525"/>
      <c r="AH329" s="525"/>
    </row>
    <row r="330" spans="2:34">
      <c r="C330" s="523">
        <f t="shared" si="114"/>
        <v>3</v>
      </c>
      <c r="D330" s="636" t="s">
        <v>944</v>
      </c>
      <c r="E330" s="525" t="s">
        <v>2243</v>
      </c>
      <c r="F330" s="523" t="s">
        <v>11</v>
      </c>
      <c r="G330" s="525">
        <f>'BKTL Tram'!I8+'BKTL Tram'!I13</f>
        <v>1</v>
      </c>
      <c r="H330" s="525"/>
      <c r="I330" s="525">
        <f>ROUND(VLOOKUP($P330,DGNC,DG!$S$4,0)*R330*S330*V330,0)</f>
        <v>35541</v>
      </c>
      <c r="J330" s="525">
        <f>ROUND(VLOOKUP($T330,DGNC,DG!$S$4,0)*U330*V330,0)</f>
        <v>71082</v>
      </c>
      <c r="K330" s="525">
        <f t="shared" si="110"/>
        <v>0</v>
      </c>
      <c r="L330" s="525">
        <f t="shared" si="111"/>
        <v>0</v>
      </c>
      <c r="M330" s="525">
        <f t="shared" si="112"/>
        <v>35541</v>
      </c>
      <c r="N330" s="525">
        <f t="shared" si="113"/>
        <v>0</v>
      </c>
      <c r="O330" s="418">
        <f t="shared" si="104"/>
        <v>1</v>
      </c>
      <c r="P330" s="404" t="s">
        <v>12</v>
      </c>
      <c r="Q330" s="729" t="s">
        <v>2221</v>
      </c>
      <c r="R330" s="730">
        <v>1.5</v>
      </c>
      <c r="S330" s="730">
        <v>0.5</v>
      </c>
      <c r="T330" s="659" t="s">
        <v>12</v>
      </c>
      <c r="U330" s="660">
        <v>1.5</v>
      </c>
      <c r="V330" s="660">
        <f>0.6/3</f>
        <v>0.19999999999999998</v>
      </c>
      <c r="W330" s="525"/>
      <c r="X330" s="626"/>
      <c r="Y330" s="626"/>
      <c r="Z330" s="525"/>
      <c r="AA330" s="626"/>
      <c r="AB330" s="626"/>
      <c r="AC330" s="525"/>
      <c r="AD330" s="626"/>
      <c r="AE330" s="626"/>
      <c r="AF330" s="525"/>
      <c r="AG330" s="525"/>
      <c r="AH330" s="525"/>
    </row>
    <row r="331" spans="2:34" ht="31.2">
      <c r="C331" s="523">
        <f t="shared" si="114"/>
        <v>4</v>
      </c>
      <c r="D331" s="636" t="s">
        <v>2801</v>
      </c>
      <c r="E331" s="525" t="s">
        <v>2803</v>
      </c>
      <c r="F331" s="523" t="s">
        <v>146</v>
      </c>
      <c r="G331" s="525">
        <f>'BKTL Tram'!N8+'BKTL Tram'!N13</f>
        <v>26</v>
      </c>
      <c r="H331" s="525"/>
      <c r="I331" s="525">
        <f>ROUND(VLOOKUP($P331,DGNC,DG!$S$4,0)*R331*S331,0)</f>
        <v>14231</v>
      </c>
      <c r="J331" s="525">
        <f>ROUND(VLOOKUP($T331,DGNC,DG!$S$4,0)*U331*V331,0)</f>
        <v>46719</v>
      </c>
      <c r="K331" s="525">
        <f t="shared" si="110"/>
        <v>0</v>
      </c>
      <c r="L331" s="525">
        <f t="shared" si="111"/>
        <v>0</v>
      </c>
      <c r="M331" s="525">
        <f t="shared" si="112"/>
        <v>370006</v>
      </c>
      <c r="N331" s="525">
        <f t="shared" si="113"/>
        <v>0</v>
      </c>
      <c r="O331" s="418">
        <f t="shared" si="104"/>
        <v>1</v>
      </c>
      <c r="P331" s="525" t="s">
        <v>1311</v>
      </c>
      <c r="Q331" s="656" t="s">
        <v>2219</v>
      </c>
      <c r="R331" s="657">
        <v>0.17599999999999999</v>
      </c>
      <c r="S331" s="657">
        <v>0.4</v>
      </c>
      <c r="T331" s="525" t="s">
        <v>289</v>
      </c>
      <c r="U331" s="626">
        <v>0.21279999999999999</v>
      </c>
      <c r="V331" s="626">
        <v>1</v>
      </c>
      <c r="W331" s="656"/>
      <c r="X331" s="657"/>
      <c r="Y331" s="657"/>
      <c r="Z331" s="525"/>
      <c r="AA331" s="626"/>
      <c r="AB331" s="626"/>
      <c r="AC331" s="525"/>
      <c r="AD331" s="626"/>
      <c r="AE331" s="626"/>
      <c r="AF331" s="525"/>
      <c r="AG331" s="525"/>
      <c r="AH331" s="525"/>
    </row>
    <row r="332" spans="2:34" hidden="1">
      <c r="C332" s="523">
        <f t="shared" si="114"/>
        <v>4</v>
      </c>
      <c r="D332" s="523" t="s">
        <v>2282</v>
      </c>
      <c r="E332" s="525" t="s">
        <v>2283</v>
      </c>
      <c r="F332" s="523" t="s">
        <v>146</v>
      </c>
      <c r="G332" s="525"/>
      <c r="H332" s="525"/>
      <c r="I332" s="525">
        <f>ROUND(VLOOKUP($P332,DGNC,DG!$S$4,0)*R332*S332,0)</f>
        <v>4040</v>
      </c>
      <c r="J332" s="525">
        <f>ROUND(VLOOKUP($P332,DGNC,DG!$S$4,0)*U332*V332,0)</f>
        <v>6059</v>
      </c>
      <c r="K332" s="525">
        <f t="shared" si="110"/>
        <v>0</v>
      </c>
      <c r="L332" s="525">
        <f t="shared" si="111"/>
        <v>0</v>
      </c>
      <c r="M332" s="525">
        <f t="shared" si="112"/>
        <v>0</v>
      </c>
      <c r="N332" s="525">
        <f t="shared" si="113"/>
        <v>0</v>
      </c>
      <c r="O332" s="418">
        <f t="shared" si="104"/>
        <v>0</v>
      </c>
      <c r="P332" s="525" t="s">
        <v>289</v>
      </c>
      <c r="Q332" s="525" t="s">
        <v>2216</v>
      </c>
      <c r="R332" s="626">
        <v>4.5999999999999999E-2</v>
      </c>
      <c r="S332" s="626">
        <v>0.4</v>
      </c>
      <c r="T332" s="525" t="s">
        <v>2216</v>
      </c>
      <c r="U332" s="626">
        <v>4.5999999999999999E-2</v>
      </c>
      <c r="V332" s="626">
        <v>0.6</v>
      </c>
      <c r="W332" s="525"/>
      <c r="X332" s="626"/>
      <c r="Y332" s="626"/>
      <c r="Z332" s="525"/>
      <c r="AA332" s="626"/>
      <c r="AB332" s="626"/>
      <c r="AC332" s="525"/>
      <c r="AD332" s="626"/>
      <c r="AE332" s="626"/>
      <c r="AF332" s="525"/>
      <c r="AG332" s="525"/>
      <c r="AH332" s="525"/>
    </row>
    <row r="333" spans="2:34" hidden="1">
      <c r="C333" s="523">
        <f t="shared" si="114"/>
        <v>4</v>
      </c>
      <c r="D333" s="523" t="s">
        <v>2284</v>
      </c>
      <c r="E333" s="525" t="s">
        <v>2285</v>
      </c>
      <c r="F333" s="523" t="s">
        <v>146</v>
      </c>
      <c r="G333" s="525">
        <f>'BKTL Tram'!X8+'BKTL Tram'!X13</f>
        <v>0</v>
      </c>
      <c r="H333" s="525"/>
      <c r="I333" s="525">
        <f>ROUND(VLOOKUP($P333,DGNC,DG!$S$4,0)*R333*S333,0)</f>
        <v>6586</v>
      </c>
      <c r="J333" s="525">
        <f>ROUND(VLOOKUP($P333,DGNC,DG!$S$4,0)*U333*V333,0)</f>
        <v>9879</v>
      </c>
      <c r="K333" s="525">
        <f t="shared" si="110"/>
        <v>0</v>
      </c>
      <c r="L333" s="525">
        <f t="shared" si="111"/>
        <v>0</v>
      </c>
      <c r="M333" s="525">
        <f t="shared" si="112"/>
        <v>0</v>
      </c>
      <c r="N333" s="525">
        <f t="shared" si="113"/>
        <v>0</v>
      </c>
      <c r="O333" s="418">
        <f t="shared" si="104"/>
        <v>0</v>
      </c>
      <c r="P333" s="525" t="s">
        <v>289</v>
      </c>
      <c r="Q333" s="525" t="s">
        <v>2216</v>
      </c>
      <c r="R333" s="626">
        <v>7.4999999999999997E-2</v>
      </c>
      <c r="S333" s="626">
        <v>0.4</v>
      </c>
      <c r="T333" s="525" t="s">
        <v>2216</v>
      </c>
      <c r="U333" s="626">
        <v>7.4999999999999997E-2</v>
      </c>
      <c r="V333" s="626">
        <v>0.6</v>
      </c>
      <c r="W333" s="525"/>
      <c r="X333" s="626"/>
      <c r="Y333" s="626"/>
      <c r="Z333" s="525"/>
      <c r="AA333" s="626"/>
      <c r="AB333" s="626"/>
      <c r="AC333" s="525"/>
      <c r="AD333" s="626"/>
      <c r="AE333" s="626"/>
      <c r="AF333" s="525"/>
      <c r="AG333" s="525"/>
      <c r="AH333" s="525"/>
    </row>
    <row r="334" spans="2:34" ht="31.2">
      <c r="C334" s="523">
        <f t="shared" si="114"/>
        <v>5</v>
      </c>
      <c r="D334" s="636" t="s">
        <v>2802</v>
      </c>
      <c r="E334" s="525" t="s">
        <v>2804</v>
      </c>
      <c r="F334" s="523" t="s">
        <v>146</v>
      </c>
      <c r="G334" s="525">
        <f>'BKTL Tram'!W8+'BKTL Tram'!W13</f>
        <v>51</v>
      </c>
      <c r="H334" s="525"/>
      <c r="I334" s="525">
        <f>ROUND(VLOOKUP($P334,DGNC,DG!$S$4,0)*R334*S334,0)</f>
        <v>6586</v>
      </c>
      <c r="J334" s="525">
        <f>ROUND(VLOOKUP($T334,DGNC,DG!$S$4,0)*U334*V334,0)</f>
        <v>11847</v>
      </c>
      <c r="K334" s="525">
        <f t="shared" si="110"/>
        <v>0</v>
      </c>
      <c r="L334" s="525">
        <f t="shared" si="111"/>
        <v>0</v>
      </c>
      <c r="M334" s="525">
        <f t="shared" si="112"/>
        <v>335886</v>
      </c>
      <c r="N334" s="525">
        <f t="shared" si="113"/>
        <v>0</v>
      </c>
      <c r="O334" s="418">
        <f t="shared" si="104"/>
        <v>1</v>
      </c>
      <c r="P334" s="525" t="s">
        <v>289</v>
      </c>
      <c r="Q334" s="525" t="s">
        <v>2216</v>
      </c>
      <c r="R334" s="626">
        <v>7.4999999999999997E-2</v>
      </c>
      <c r="S334" s="626">
        <v>0.4</v>
      </c>
      <c r="T334" s="525" t="s">
        <v>12</v>
      </c>
      <c r="U334" s="626">
        <v>0.05</v>
      </c>
      <c r="V334" s="626">
        <v>1</v>
      </c>
      <c r="W334" s="525"/>
      <c r="X334" s="626"/>
      <c r="Y334" s="626"/>
      <c r="Z334" s="525"/>
      <c r="AA334" s="626"/>
      <c r="AB334" s="626"/>
      <c r="AC334" s="525"/>
      <c r="AD334" s="626"/>
      <c r="AE334" s="626"/>
      <c r="AF334" s="525"/>
      <c r="AG334" s="525"/>
      <c r="AH334" s="525"/>
    </row>
    <row r="335" spans="2:34" ht="31.2">
      <c r="C335" s="523">
        <f t="shared" si="114"/>
        <v>6</v>
      </c>
      <c r="D335" s="636" t="s">
        <v>2802</v>
      </c>
      <c r="E335" s="525" t="s">
        <v>2806</v>
      </c>
      <c r="F335" s="523" t="s">
        <v>146</v>
      </c>
      <c r="G335" s="525">
        <f>'BKTL Tram'!V8+'BKTL Tram'!V13</f>
        <v>22.5</v>
      </c>
      <c r="H335" s="525"/>
      <c r="I335" s="525">
        <f>ROUND(VLOOKUP($P335,DGNC,DG!$S$4,0)*R335*S335,0)</f>
        <v>6586</v>
      </c>
      <c r="J335" s="525">
        <f>ROUND(VLOOKUP($T335,DGNC,DG!$S$4,0)*U335*V335,0)</f>
        <v>11847</v>
      </c>
      <c r="K335" s="525">
        <f t="shared" si="110"/>
        <v>0</v>
      </c>
      <c r="L335" s="525">
        <f t="shared" si="111"/>
        <v>0</v>
      </c>
      <c r="M335" s="525">
        <f t="shared" si="112"/>
        <v>148185</v>
      </c>
      <c r="N335" s="525">
        <f t="shared" si="113"/>
        <v>0</v>
      </c>
      <c r="O335" s="418">
        <f t="shared" si="104"/>
        <v>1</v>
      </c>
      <c r="P335" s="525" t="s">
        <v>289</v>
      </c>
      <c r="Q335" s="656" t="s">
        <v>2216</v>
      </c>
      <c r="R335" s="657">
        <v>7.4999999999999997E-2</v>
      </c>
      <c r="S335" s="657">
        <v>0.4</v>
      </c>
      <c r="T335" s="525" t="s">
        <v>12</v>
      </c>
      <c r="U335" s="626">
        <v>0.05</v>
      </c>
      <c r="V335" s="626">
        <v>1</v>
      </c>
      <c r="W335" s="656"/>
      <c r="X335" s="657"/>
      <c r="Y335" s="657"/>
      <c r="Z335" s="525"/>
      <c r="AA335" s="626"/>
      <c r="AB335" s="626"/>
      <c r="AC335" s="525"/>
      <c r="AD335" s="626"/>
      <c r="AE335" s="626"/>
      <c r="AF335" s="525"/>
      <c r="AG335" s="525"/>
      <c r="AH335" s="525"/>
    </row>
    <row r="336" spans="2:34" ht="31.2">
      <c r="C336" s="523">
        <f t="shared" si="114"/>
        <v>7</v>
      </c>
      <c r="D336" s="636" t="s">
        <v>2802</v>
      </c>
      <c r="E336" s="525" t="s">
        <v>2805</v>
      </c>
      <c r="F336" s="523" t="s">
        <v>146</v>
      </c>
      <c r="G336" s="525">
        <f>'BKTL Tram'!U8+'BKTL Tram'!U13</f>
        <v>52</v>
      </c>
      <c r="H336" s="525"/>
      <c r="I336" s="525">
        <f>ROUND(VLOOKUP($P336,DGNC,DG!$S$4,0)*R336*S336,0)</f>
        <v>6586</v>
      </c>
      <c r="J336" s="525">
        <f>ROUND(VLOOKUP($T336,DGNC,DG!$S$4,0)*U336*V336,0)</f>
        <v>11847</v>
      </c>
      <c r="K336" s="525">
        <f t="shared" si="110"/>
        <v>0</v>
      </c>
      <c r="L336" s="525">
        <f t="shared" si="111"/>
        <v>0</v>
      </c>
      <c r="M336" s="525">
        <f t="shared" si="112"/>
        <v>342472</v>
      </c>
      <c r="N336" s="525">
        <f t="shared" si="113"/>
        <v>0</v>
      </c>
      <c r="O336" s="418">
        <f t="shared" si="104"/>
        <v>1</v>
      </c>
      <c r="P336" s="525" t="s">
        <v>289</v>
      </c>
      <c r="Q336" s="656" t="s">
        <v>2216</v>
      </c>
      <c r="R336" s="657">
        <v>7.4999999999999997E-2</v>
      </c>
      <c r="S336" s="657">
        <v>0.4</v>
      </c>
      <c r="T336" s="525" t="s">
        <v>12</v>
      </c>
      <c r="U336" s="626">
        <v>0.05</v>
      </c>
      <c r="V336" s="626">
        <v>1</v>
      </c>
      <c r="W336" s="656"/>
      <c r="X336" s="657"/>
      <c r="Y336" s="657"/>
      <c r="Z336" s="525"/>
      <c r="AA336" s="626"/>
      <c r="AB336" s="626"/>
      <c r="AC336" s="525"/>
      <c r="AD336" s="626"/>
      <c r="AE336" s="626"/>
      <c r="AF336" s="525"/>
      <c r="AG336" s="525"/>
      <c r="AH336" s="525"/>
    </row>
    <row r="337" spans="1:34">
      <c r="C337" s="523">
        <f t="shared" si="114"/>
        <v>8</v>
      </c>
      <c r="D337" s="523" t="s">
        <v>2284</v>
      </c>
      <c r="E337" s="525" t="s">
        <v>2289</v>
      </c>
      <c r="F337" s="523" t="s">
        <v>146</v>
      </c>
      <c r="G337" s="525">
        <f>'BKTL Tram'!T8+'BKTL Tram'!T13</f>
        <v>22.5</v>
      </c>
      <c r="H337" s="525"/>
      <c r="I337" s="525">
        <f>ROUND(VLOOKUP($P337,DGNC,DG!$S$4,0)*R337*S337,0)</f>
        <v>6586</v>
      </c>
      <c r="J337" s="525">
        <f>ROUND(VLOOKUP($P337,DGNC,DG!$S$4,0)*U337*V337,0)</f>
        <v>9879</v>
      </c>
      <c r="K337" s="525">
        <f t="shared" si="110"/>
        <v>0</v>
      </c>
      <c r="L337" s="525">
        <f t="shared" si="111"/>
        <v>0</v>
      </c>
      <c r="M337" s="525">
        <f t="shared" si="112"/>
        <v>148185</v>
      </c>
      <c r="N337" s="525">
        <f t="shared" si="113"/>
        <v>0</v>
      </c>
      <c r="O337" s="418">
        <f t="shared" si="104"/>
        <v>1</v>
      </c>
      <c r="P337" s="525" t="s">
        <v>289</v>
      </c>
      <c r="Q337" s="525" t="s">
        <v>2216</v>
      </c>
      <c r="R337" s="626">
        <v>7.4999999999999997E-2</v>
      </c>
      <c r="S337" s="626">
        <v>0.4</v>
      </c>
      <c r="T337" s="525" t="s">
        <v>2216</v>
      </c>
      <c r="U337" s="626">
        <v>7.4999999999999997E-2</v>
      </c>
      <c r="V337" s="626">
        <v>0.6</v>
      </c>
      <c r="W337" s="525"/>
      <c r="X337" s="626"/>
      <c r="Y337" s="626"/>
      <c r="Z337" s="525"/>
      <c r="AA337" s="626"/>
      <c r="AB337" s="626"/>
      <c r="AC337" s="525"/>
      <c r="AD337" s="626"/>
      <c r="AE337" s="626"/>
      <c r="AF337" s="525"/>
      <c r="AG337" s="525"/>
      <c r="AH337" s="525"/>
    </row>
    <row r="338" spans="1:34" hidden="1">
      <c r="C338" s="523">
        <f t="shared" si="114"/>
        <v>8</v>
      </c>
      <c r="D338" s="523" t="s">
        <v>2284</v>
      </c>
      <c r="E338" s="525" t="s">
        <v>3263</v>
      </c>
      <c r="F338" s="523" t="s">
        <v>146</v>
      </c>
      <c r="G338" s="525">
        <f>'BKTL Tram'!S8+'BKTL Tram'!S13</f>
        <v>0</v>
      </c>
      <c r="H338" s="525"/>
      <c r="I338" s="525">
        <f>ROUND(VLOOKUP($P338,DGNC,DG!$S$4,0)*R338*S338,0)</f>
        <v>6586</v>
      </c>
      <c r="J338" s="525">
        <f>ROUND(VLOOKUP($P338,DGNC,DG!$S$4,0)*U338*V338,0)</f>
        <v>9879</v>
      </c>
      <c r="K338" s="525">
        <f t="shared" si="110"/>
        <v>0</v>
      </c>
      <c r="L338" s="525">
        <f t="shared" si="111"/>
        <v>0</v>
      </c>
      <c r="M338" s="525">
        <f t="shared" si="112"/>
        <v>0</v>
      </c>
      <c r="N338" s="525">
        <f t="shared" si="113"/>
        <v>0</v>
      </c>
      <c r="O338" s="418">
        <f t="shared" si="104"/>
        <v>0</v>
      </c>
      <c r="P338" s="525" t="s">
        <v>289</v>
      </c>
      <c r="Q338" s="656" t="s">
        <v>2216</v>
      </c>
      <c r="R338" s="657">
        <v>7.4999999999999997E-2</v>
      </c>
      <c r="S338" s="657">
        <v>0.4</v>
      </c>
      <c r="T338" s="525" t="s">
        <v>2216</v>
      </c>
      <c r="U338" s="626">
        <v>7.4999999999999997E-2</v>
      </c>
      <c r="V338" s="626">
        <v>0.6</v>
      </c>
      <c r="W338" s="656"/>
      <c r="X338" s="657"/>
      <c r="Y338" s="657"/>
      <c r="Z338" s="525"/>
      <c r="AA338" s="626"/>
      <c r="AB338" s="626"/>
      <c r="AC338" s="525"/>
      <c r="AD338" s="626"/>
      <c r="AE338" s="626"/>
      <c r="AF338" s="525"/>
      <c r="AG338" s="525"/>
      <c r="AH338" s="525"/>
    </row>
    <row r="339" spans="1:34">
      <c r="B339" s="405" t="s">
        <v>3220</v>
      </c>
      <c r="C339" s="538" t="s">
        <v>1673</v>
      </c>
      <c r="D339" s="539" t="str">
        <f>VLOOKUP(B339,XLTBA,'6.XL-TR'!$D$2,0)</f>
        <v>2 Trạm NC từ 2x75kVA lên 3x75kVA</v>
      </c>
      <c r="E339" s="539"/>
      <c r="F339" s="538"/>
      <c r="G339" s="539"/>
      <c r="H339" s="539"/>
      <c r="I339" s="539"/>
      <c r="J339" s="539"/>
      <c r="K339" s="539"/>
      <c r="L339" s="539"/>
      <c r="M339" s="539">
        <f>SUM(M340:M354)</f>
        <v>4184153</v>
      </c>
      <c r="N339" s="539">
        <f>SUM(N340:N354)</f>
        <v>1664728</v>
      </c>
      <c r="O339" s="418">
        <f t="shared" ref="O339:O354" si="115">IF((M339+N339)&lt;&gt;0,1,)</f>
        <v>1</v>
      </c>
      <c r="P339" s="525"/>
      <c r="Q339" s="654"/>
      <c r="R339" s="655"/>
      <c r="S339" s="655"/>
      <c r="T339" s="539"/>
      <c r="U339" s="661"/>
      <c r="V339" s="661"/>
      <c r="W339" s="654"/>
      <c r="X339" s="655"/>
      <c r="Y339" s="655"/>
      <c r="Z339" s="539"/>
      <c r="AA339" s="661"/>
      <c r="AB339" s="661"/>
      <c r="AC339" s="525"/>
      <c r="AD339" s="626"/>
      <c r="AE339" s="626"/>
      <c r="AF339" s="525"/>
      <c r="AG339" s="525"/>
      <c r="AH339" s="525"/>
    </row>
    <row r="340" spans="1:34" hidden="1">
      <c r="C340" s="523">
        <f>IF(SUM(G340:H340)&lt;&gt;0,1,)</f>
        <v>0</v>
      </c>
      <c r="D340" s="524" t="s">
        <v>901</v>
      </c>
      <c r="E340" s="362" t="s">
        <v>2290</v>
      </c>
      <c r="F340" s="523" t="s">
        <v>896</v>
      </c>
      <c r="G340" s="525"/>
      <c r="H340" s="525"/>
      <c r="I340" s="525">
        <f>ROUND(VLOOKUP($P340,DGNC,DG!$S$4,0)*R340*S340,0)</f>
        <v>447951</v>
      </c>
      <c r="J340" s="525">
        <f>ROUND(VLOOKUP($T340,DGNC,DG!$S$4,0)*U340*V340,0)</f>
        <v>746585</v>
      </c>
      <c r="K340" s="525">
        <f t="shared" ref="K340:K354" si="116">ROUND(IF(W340&lt;&gt;0,VLOOKUP(W340,DGMTC,8,0)*X340*Y340,)+IF(AC340&lt;&gt;0,VLOOKUP(AC340,DGMTC,8,0)*AD340*AE340,),0)</f>
        <v>360605</v>
      </c>
      <c r="L340" s="525">
        <f t="shared" ref="L340:L354" si="117">ROUND(IF(Z340&lt;&gt;0,VLOOKUP(Z340,DGMTC,8,0)*AA340*AB340,)+IF(AF340&lt;&gt;0,VLOOKUP(AF340,DGMTC,8,0)*AG340*AH340,),0)</f>
        <v>360605</v>
      </c>
      <c r="M340" s="525">
        <f t="shared" ref="M340:M354" si="118">ROUND(G340*I340+H340*J340,0)</f>
        <v>0</v>
      </c>
      <c r="N340" s="525">
        <f t="shared" ref="N340:N354" si="119">ROUND(G340*K340+H340*L340,0)</f>
        <v>0</v>
      </c>
      <c r="O340" s="418">
        <f t="shared" si="115"/>
        <v>0</v>
      </c>
      <c r="P340" s="471" t="s">
        <v>781</v>
      </c>
      <c r="Q340" s="727" t="s">
        <v>2226</v>
      </c>
      <c r="R340" s="728">
        <v>2.63</v>
      </c>
      <c r="S340" s="728">
        <f>1.1*0.6</f>
        <v>0.66</v>
      </c>
      <c r="T340" s="471" t="s">
        <v>781</v>
      </c>
      <c r="U340" s="468">
        <v>2.63</v>
      </c>
      <c r="V340" s="468">
        <v>1.1000000000000001</v>
      </c>
      <c r="W340" s="727" t="s">
        <v>898</v>
      </c>
      <c r="X340" s="728">
        <v>0.26</v>
      </c>
      <c r="Y340" s="728">
        <v>1</v>
      </c>
      <c r="Z340" s="471" t="s">
        <v>898</v>
      </c>
      <c r="AA340" s="468">
        <v>0.26</v>
      </c>
      <c r="AB340" s="468">
        <v>1</v>
      </c>
      <c r="AC340" s="525"/>
      <c r="AD340" s="626"/>
      <c r="AE340" s="626"/>
      <c r="AF340" s="525"/>
      <c r="AG340" s="525"/>
      <c r="AH340" s="525"/>
    </row>
    <row r="341" spans="1:34">
      <c r="A341" s="405" t="s">
        <v>3489</v>
      </c>
      <c r="C341" s="523">
        <f t="shared" ref="C341:C354" si="120">IF(SUM(G341:H341)&lt;&gt;0,C340+1,C340)</f>
        <v>1</v>
      </c>
      <c r="D341" s="636" t="s">
        <v>904</v>
      </c>
      <c r="E341" s="525" t="s">
        <v>3490</v>
      </c>
      <c r="F341" s="523" t="s">
        <v>896</v>
      </c>
      <c r="G341" s="525">
        <f>'BKTL Tram'!F14+'BKTL Tram'!F15</f>
        <v>4</v>
      </c>
      <c r="H341" s="525"/>
      <c r="I341" s="525">
        <f>ROUND(VLOOKUP($P341,DGNC,DG!$S$4,0)*R341*S341,0)</f>
        <v>596132</v>
      </c>
      <c r="J341" s="525">
        <f>ROUND(VLOOKUP($P341,DGNC,DG!$S$4,0)*U341*V341,0)</f>
        <v>993554</v>
      </c>
      <c r="K341" s="525">
        <f t="shared" si="116"/>
        <v>360605</v>
      </c>
      <c r="L341" s="525">
        <f t="shared" si="117"/>
        <v>360605</v>
      </c>
      <c r="M341" s="525">
        <f t="shared" si="118"/>
        <v>2384528</v>
      </c>
      <c r="N341" s="525">
        <f t="shared" si="119"/>
        <v>1442420</v>
      </c>
      <c r="O341" s="418">
        <f t="shared" si="115"/>
        <v>1</v>
      </c>
      <c r="P341" s="404" t="s">
        <v>781</v>
      </c>
      <c r="Q341" s="729" t="s">
        <v>2226</v>
      </c>
      <c r="R341" s="730">
        <v>3.5</v>
      </c>
      <c r="S341" s="730">
        <f>1.1*0.6</f>
        <v>0.66</v>
      </c>
      <c r="T341" s="404" t="s">
        <v>781</v>
      </c>
      <c r="U341" s="660">
        <v>3.5</v>
      </c>
      <c r="V341" s="660">
        <v>1.1000000000000001</v>
      </c>
      <c r="W341" s="729" t="s">
        <v>898</v>
      </c>
      <c r="X341" s="730">
        <v>0.26</v>
      </c>
      <c r="Y341" s="730">
        <v>1</v>
      </c>
      <c r="Z341" s="404" t="s">
        <v>898</v>
      </c>
      <c r="AA341" s="660">
        <v>0.26</v>
      </c>
      <c r="AB341" s="660">
        <v>1</v>
      </c>
      <c r="AC341" s="525"/>
      <c r="AD341" s="626"/>
      <c r="AE341" s="626"/>
      <c r="AF341" s="525"/>
      <c r="AG341" s="525"/>
      <c r="AH341" s="525"/>
    </row>
    <row r="342" spans="1:34" hidden="1">
      <c r="C342" s="523">
        <f t="shared" si="120"/>
        <v>1</v>
      </c>
      <c r="D342" s="524" t="s">
        <v>906</v>
      </c>
      <c r="E342" s="362" t="s">
        <v>2235</v>
      </c>
      <c r="F342" s="523" t="s">
        <v>896</v>
      </c>
      <c r="G342" s="525"/>
      <c r="H342" s="525"/>
      <c r="I342" s="525">
        <f>ROUND(VLOOKUP($P342,DGNC,DG!$S$4,0)*R342*S342,0)</f>
        <v>633604</v>
      </c>
      <c r="J342" s="525">
        <f>ROUND(VLOOKUP($P342,DGNC,DG!$S$4,0)*U342*V342,0)</f>
        <v>1064522</v>
      </c>
      <c r="K342" s="525">
        <f t="shared" si="116"/>
        <v>360605</v>
      </c>
      <c r="L342" s="525">
        <f t="shared" si="117"/>
        <v>360605</v>
      </c>
      <c r="M342" s="525">
        <f t="shared" si="118"/>
        <v>0</v>
      </c>
      <c r="N342" s="525">
        <f t="shared" si="119"/>
        <v>0</v>
      </c>
      <c r="O342" s="418">
        <f t="shared" si="115"/>
        <v>0</v>
      </c>
      <c r="P342" s="471" t="s">
        <v>781</v>
      </c>
      <c r="Q342" s="727" t="s">
        <v>2226</v>
      </c>
      <c r="R342" s="728">
        <v>3.72</v>
      </c>
      <c r="S342" s="728">
        <f>1.1*0.6</f>
        <v>0.66</v>
      </c>
      <c r="T342" s="471" t="s">
        <v>781</v>
      </c>
      <c r="U342" s="468">
        <v>3.75</v>
      </c>
      <c r="V342" s="468">
        <v>1.1000000000000001</v>
      </c>
      <c r="W342" s="727" t="s">
        <v>898</v>
      </c>
      <c r="X342" s="728">
        <v>0.26</v>
      </c>
      <c r="Y342" s="728">
        <v>1</v>
      </c>
      <c r="Z342" s="471" t="s">
        <v>898</v>
      </c>
      <c r="AA342" s="468">
        <v>0.26</v>
      </c>
      <c r="AB342" s="468">
        <v>1</v>
      </c>
      <c r="AC342" s="525"/>
      <c r="AD342" s="626"/>
      <c r="AE342" s="626"/>
      <c r="AF342" s="525"/>
      <c r="AG342" s="525"/>
      <c r="AH342" s="525"/>
    </row>
    <row r="343" spans="1:34">
      <c r="C343" s="523">
        <f t="shared" si="120"/>
        <v>2</v>
      </c>
      <c r="D343" s="636" t="s">
        <v>988</v>
      </c>
      <c r="E343" s="525" t="s">
        <v>2237</v>
      </c>
      <c r="F343" s="523" t="s">
        <v>11</v>
      </c>
      <c r="G343" s="525">
        <f>'BKTL Tram'!J14+'BKTL Tram'!J15</f>
        <v>2</v>
      </c>
      <c r="H343" s="525"/>
      <c r="I343" s="525">
        <f>ROUND(VLOOKUP($P343,DGNC,DG!$S$4,0)*R343*S343,0)</f>
        <v>322583</v>
      </c>
      <c r="J343" s="525">
        <f>ROUND(VLOOKUP($T343,DGNC,DG!$S$4,0)*U343*V343,0)</f>
        <v>645165</v>
      </c>
      <c r="K343" s="525">
        <f t="shared" si="116"/>
        <v>111154</v>
      </c>
      <c r="L343" s="525">
        <f t="shared" si="117"/>
        <v>111154</v>
      </c>
      <c r="M343" s="525">
        <f t="shared" si="118"/>
        <v>645166</v>
      </c>
      <c r="N343" s="525">
        <f t="shared" si="119"/>
        <v>222308</v>
      </c>
      <c r="O343" s="418">
        <f t="shared" si="115"/>
        <v>1</v>
      </c>
      <c r="P343" s="404" t="s">
        <v>781</v>
      </c>
      <c r="Q343" s="729" t="s">
        <v>2226</v>
      </c>
      <c r="R343" s="730">
        <v>2.5</v>
      </c>
      <c r="S343" s="730">
        <v>0.5</v>
      </c>
      <c r="T343" s="404" t="s">
        <v>781</v>
      </c>
      <c r="U343" s="660">
        <v>2.5</v>
      </c>
      <c r="V343" s="660">
        <v>1</v>
      </c>
      <c r="W343" s="729" t="s">
        <v>3491</v>
      </c>
      <c r="X343" s="730">
        <v>0.2</v>
      </c>
      <c r="Y343" s="730">
        <v>1</v>
      </c>
      <c r="Z343" s="404" t="s">
        <v>3491</v>
      </c>
      <c r="AA343" s="660">
        <v>0.2</v>
      </c>
      <c r="AB343" s="660">
        <v>1</v>
      </c>
      <c r="AC343" s="525"/>
      <c r="AD343" s="626"/>
      <c r="AE343" s="626"/>
      <c r="AF343" s="525"/>
      <c r="AG343" s="525"/>
      <c r="AH343" s="525"/>
    </row>
    <row r="344" spans="1:34" hidden="1">
      <c r="C344" s="523">
        <f t="shared" si="120"/>
        <v>2</v>
      </c>
      <c r="D344" s="524" t="s">
        <v>990</v>
      </c>
      <c r="E344" s="362" t="s">
        <v>3240</v>
      </c>
      <c r="F344" s="523" t="s">
        <v>11</v>
      </c>
      <c r="G344" s="525"/>
      <c r="H344" s="525"/>
      <c r="I344" s="525">
        <f>ROUND(VLOOKUP($P344,DGNC,DG!$S$4,0)*R344*S344,0)</f>
        <v>371615</v>
      </c>
      <c r="J344" s="525">
        <f>ROUND(VLOOKUP($T344,DGNC,DG!$S$4,0)*U344*V344,0)</f>
        <v>743230</v>
      </c>
      <c r="K344" s="525">
        <f t="shared" si="116"/>
        <v>111154</v>
      </c>
      <c r="L344" s="525">
        <f t="shared" si="117"/>
        <v>111154</v>
      </c>
      <c r="M344" s="525">
        <f t="shared" si="118"/>
        <v>0</v>
      </c>
      <c r="N344" s="525">
        <f t="shared" si="119"/>
        <v>0</v>
      </c>
      <c r="O344" s="418">
        <f t="shared" si="115"/>
        <v>0</v>
      </c>
      <c r="P344" s="471" t="s">
        <v>781</v>
      </c>
      <c r="Q344" s="727" t="s">
        <v>2226</v>
      </c>
      <c r="R344" s="728">
        <v>2.88</v>
      </c>
      <c r="S344" s="728">
        <v>0.5</v>
      </c>
      <c r="T344" s="471" t="s">
        <v>781</v>
      </c>
      <c r="U344" s="468">
        <v>2.88</v>
      </c>
      <c r="V344" s="468">
        <v>1</v>
      </c>
      <c r="W344" s="727" t="s">
        <v>3491</v>
      </c>
      <c r="X344" s="728">
        <v>0.2</v>
      </c>
      <c r="Y344" s="728">
        <v>1</v>
      </c>
      <c r="Z344" s="471" t="s">
        <v>3491</v>
      </c>
      <c r="AA344" s="468">
        <v>0.2</v>
      </c>
      <c r="AB344" s="468">
        <v>1</v>
      </c>
      <c r="AC344" s="525"/>
      <c r="AD344" s="626"/>
      <c r="AE344" s="626"/>
      <c r="AF344" s="525"/>
      <c r="AG344" s="525"/>
      <c r="AH344" s="525"/>
    </row>
    <row r="345" spans="1:34">
      <c r="C345" s="523">
        <f t="shared" si="120"/>
        <v>3</v>
      </c>
      <c r="D345" s="636" t="s">
        <v>917</v>
      </c>
      <c r="E345" s="525" t="s">
        <v>2241</v>
      </c>
      <c r="F345" s="523" t="s">
        <v>11</v>
      </c>
      <c r="G345" s="525">
        <f>'BKTL Tram'!H14+'BKTL Tram'!H15</f>
        <v>2</v>
      </c>
      <c r="H345" s="525"/>
      <c r="I345" s="525">
        <f>ROUND(VLOOKUP($P345,DGNC,DG!$S$4,0)*R345*S345*V345,0)</f>
        <v>94776</v>
      </c>
      <c r="J345" s="525">
        <f>ROUND(VLOOKUP($T345,DGNC,DG!$S$4,0)*U345*V345,0)</f>
        <v>189552</v>
      </c>
      <c r="K345" s="525">
        <f t="shared" si="116"/>
        <v>0</v>
      </c>
      <c r="L345" s="525">
        <f t="shared" si="117"/>
        <v>0</v>
      </c>
      <c r="M345" s="525">
        <f t="shared" si="118"/>
        <v>189552</v>
      </c>
      <c r="N345" s="525">
        <f t="shared" si="119"/>
        <v>0</v>
      </c>
      <c r="O345" s="418">
        <f t="shared" si="115"/>
        <v>1</v>
      </c>
      <c r="P345" s="404" t="s">
        <v>12</v>
      </c>
      <c r="Q345" s="729" t="s">
        <v>2221</v>
      </c>
      <c r="R345" s="730">
        <v>2.4</v>
      </c>
      <c r="S345" s="730">
        <v>0.5</v>
      </c>
      <c r="T345" s="404" t="s">
        <v>12</v>
      </c>
      <c r="U345" s="660">
        <v>2.4</v>
      </c>
      <c r="V345" s="660">
        <f>1/3</f>
        <v>0.33333333333333331</v>
      </c>
      <c r="W345" s="656"/>
      <c r="X345" s="657"/>
      <c r="Y345" s="657"/>
      <c r="Z345" s="525"/>
      <c r="AA345" s="626"/>
      <c r="AB345" s="626"/>
      <c r="AC345" s="525"/>
      <c r="AD345" s="626"/>
      <c r="AE345" s="626"/>
      <c r="AF345" s="525"/>
      <c r="AG345" s="525"/>
      <c r="AH345" s="525"/>
    </row>
    <row r="346" spans="1:34">
      <c r="C346" s="523">
        <f t="shared" si="120"/>
        <v>4</v>
      </c>
      <c r="D346" s="636" t="s">
        <v>944</v>
      </c>
      <c r="E346" s="525" t="s">
        <v>2243</v>
      </c>
      <c r="F346" s="523" t="s">
        <v>11</v>
      </c>
      <c r="G346" s="525">
        <f>'BKTL Tram'!I14+'BKTL Tram'!I15</f>
        <v>2</v>
      </c>
      <c r="H346" s="525"/>
      <c r="I346" s="525">
        <f>ROUND(VLOOKUP($P346,DGNC,DG!$S$4,0)*R346*S346*V346,0)</f>
        <v>35541</v>
      </c>
      <c r="J346" s="525">
        <f>ROUND(VLOOKUP($T346,DGNC,DG!$S$4,0)*U346*V346,0)</f>
        <v>71082</v>
      </c>
      <c r="K346" s="525">
        <f t="shared" si="116"/>
        <v>0</v>
      </c>
      <c r="L346" s="525">
        <f t="shared" si="117"/>
        <v>0</v>
      </c>
      <c r="M346" s="525">
        <f t="shared" si="118"/>
        <v>71082</v>
      </c>
      <c r="N346" s="525">
        <f t="shared" si="119"/>
        <v>0</v>
      </c>
      <c r="O346" s="418">
        <f t="shared" si="115"/>
        <v>1</v>
      </c>
      <c r="P346" s="404" t="s">
        <v>12</v>
      </c>
      <c r="Q346" s="729" t="s">
        <v>2221</v>
      </c>
      <c r="R346" s="730">
        <v>1.5</v>
      </c>
      <c r="S346" s="730">
        <v>0.5</v>
      </c>
      <c r="T346" s="659" t="s">
        <v>12</v>
      </c>
      <c r="U346" s="660">
        <v>1.5</v>
      </c>
      <c r="V346" s="660">
        <f>0.6/3</f>
        <v>0.19999999999999998</v>
      </c>
      <c r="W346" s="656"/>
      <c r="X346" s="657"/>
      <c r="Y346" s="657"/>
      <c r="Z346" s="525"/>
      <c r="AA346" s="626"/>
      <c r="AB346" s="626"/>
      <c r="AC346" s="525"/>
      <c r="AD346" s="626"/>
      <c r="AE346" s="626"/>
      <c r="AF346" s="525"/>
      <c r="AG346" s="525"/>
      <c r="AH346" s="525"/>
    </row>
    <row r="347" spans="1:34" ht="31.2">
      <c r="C347" s="523">
        <f t="shared" si="120"/>
        <v>5</v>
      </c>
      <c r="D347" s="636" t="s">
        <v>2801</v>
      </c>
      <c r="E347" s="525" t="s">
        <v>2803</v>
      </c>
      <c r="F347" s="523" t="s">
        <v>146</v>
      </c>
      <c r="G347" s="525">
        <f>'BKTL Tram'!N14+'BKTL Tram'!N15</f>
        <v>20</v>
      </c>
      <c r="H347" s="525"/>
      <c r="I347" s="525">
        <f>ROUND(VLOOKUP($P347,DGNC,DG!$S$4,0)*R347*S347,0)</f>
        <v>14231</v>
      </c>
      <c r="J347" s="525">
        <f>ROUND(VLOOKUP($T347,DGNC,DG!$S$4,0)*U347*V347,0)</f>
        <v>46719</v>
      </c>
      <c r="K347" s="525">
        <f t="shared" si="116"/>
        <v>0</v>
      </c>
      <c r="L347" s="525">
        <f t="shared" si="117"/>
        <v>0</v>
      </c>
      <c r="M347" s="525">
        <f t="shared" si="118"/>
        <v>284620</v>
      </c>
      <c r="N347" s="525">
        <f t="shared" si="119"/>
        <v>0</v>
      </c>
      <c r="O347" s="418">
        <f t="shared" si="115"/>
        <v>1</v>
      </c>
      <c r="P347" s="525" t="s">
        <v>1311</v>
      </c>
      <c r="Q347" s="656" t="s">
        <v>2219</v>
      </c>
      <c r="R347" s="657">
        <v>0.17599999999999999</v>
      </c>
      <c r="S347" s="657">
        <v>0.4</v>
      </c>
      <c r="T347" s="525" t="s">
        <v>289</v>
      </c>
      <c r="U347" s="626">
        <v>0.21279999999999999</v>
      </c>
      <c r="V347" s="626">
        <v>1</v>
      </c>
      <c r="W347" s="656"/>
      <c r="X347" s="657"/>
      <c r="Y347" s="657"/>
      <c r="Z347" s="525"/>
      <c r="AA347" s="626"/>
      <c r="AB347" s="626"/>
      <c r="AC347" s="525"/>
      <c r="AD347" s="626"/>
      <c r="AE347" s="626"/>
      <c r="AF347" s="525"/>
      <c r="AG347" s="525"/>
      <c r="AH347" s="525"/>
    </row>
    <row r="348" spans="1:34" hidden="1">
      <c r="C348" s="523">
        <f t="shared" si="120"/>
        <v>5</v>
      </c>
      <c r="D348" s="523" t="s">
        <v>2282</v>
      </c>
      <c r="E348" s="525" t="s">
        <v>2283</v>
      </c>
      <c r="F348" s="523" t="s">
        <v>146</v>
      </c>
      <c r="G348" s="554"/>
      <c r="H348" s="525"/>
      <c r="I348" s="525">
        <f>ROUND(VLOOKUP($P348,DGNC,DG!$S$4,0)*R348*S348,0)</f>
        <v>4040</v>
      </c>
      <c r="J348" s="525">
        <f>ROUND(VLOOKUP($P348,DGNC,DG!$S$4,0)*U348*V348,0)</f>
        <v>6059</v>
      </c>
      <c r="K348" s="525">
        <f t="shared" si="116"/>
        <v>0</v>
      </c>
      <c r="L348" s="525">
        <f t="shared" si="117"/>
        <v>0</v>
      </c>
      <c r="M348" s="525">
        <f t="shared" si="118"/>
        <v>0</v>
      </c>
      <c r="N348" s="525">
        <f t="shared" si="119"/>
        <v>0</v>
      </c>
      <c r="O348" s="418">
        <f t="shared" si="115"/>
        <v>0</v>
      </c>
      <c r="P348" s="525" t="s">
        <v>289</v>
      </c>
      <c r="Q348" s="525" t="s">
        <v>2216</v>
      </c>
      <c r="R348" s="626">
        <v>4.5999999999999999E-2</v>
      </c>
      <c r="S348" s="626">
        <v>0.4</v>
      </c>
      <c r="T348" s="525" t="s">
        <v>2216</v>
      </c>
      <c r="U348" s="626">
        <v>4.5999999999999999E-2</v>
      </c>
      <c r="V348" s="626">
        <v>0.6</v>
      </c>
      <c r="W348" s="525"/>
      <c r="X348" s="626"/>
      <c r="Y348" s="626"/>
      <c r="Z348" s="525"/>
      <c r="AA348" s="626"/>
      <c r="AB348" s="626"/>
      <c r="AC348" s="525"/>
      <c r="AD348" s="626"/>
      <c r="AE348" s="626"/>
      <c r="AF348" s="525"/>
      <c r="AG348" s="525"/>
      <c r="AH348" s="525"/>
    </row>
    <row r="349" spans="1:34" hidden="1">
      <c r="C349" s="523">
        <f t="shared" si="120"/>
        <v>5</v>
      </c>
      <c r="D349" s="523" t="s">
        <v>2284</v>
      </c>
      <c r="E349" s="525" t="s">
        <v>2285</v>
      </c>
      <c r="F349" s="523" t="s">
        <v>146</v>
      </c>
      <c r="G349" s="554"/>
      <c r="H349" s="525"/>
      <c r="I349" s="525">
        <f>ROUND(VLOOKUP($P349,DGNC,DG!$S$4,0)*R349*S349,0)</f>
        <v>6586</v>
      </c>
      <c r="J349" s="525">
        <f>ROUND(VLOOKUP($P349,DGNC,DG!$S$4,0)*U349*V349,0)</f>
        <v>9879</v>
      </c>
      <c r="K349" s="525">
        <f t="shared" si="116"/>
        <v>0</v>
      </c>
      <c r="L349" s="525">
        <f t="shared" si="117"/>
        <v>0</v>
      </c>
      <c r="M349" s="525">
        <f t="shared" si="118"/>
        <v>0</v>
      </c>
      <c r="N349" s="525">
        <f t="shared" si="119"/>
        <v>0</v>
      </c>
      <c r="O349" s="418">
        <f t="shared" si="115"/>
        <v>0</v>
      </c>
      <c r="P349" s="525" t="s">
        <v>289</v>
      </c>
      <c r="Q349" s="525" t="s">
        <v>2216</v>
      </c>
      <c r="R349" s="626">
        <v>7.4999999999999997E-2</v>
      </c>
      <c r="S349" s="626">
        <v>0.4</v>
      </c>
      <c r="T349" s="525" t="s">
        <v>2216</v>
      </c>
      <c r="U349" s="626">
        <v>7.4999999999999997E-2</v>
      </c>
      <c r="V349" s="626">
        <v>0.6</v>
      </c>
      <c r="W349" s="525"/>
      <c r="X349" s="626"/>
      <c r="Y349" s="626"/>
      <c r="Z349" s="525"/>
      <c r="AA349" s="626"/>
      <c r="AB349" s="626"/>
      <c r="AC349" s="525"/>
      <c r="AD349" s="626"/>
      <c r="AE349" s="626"/>
      <c r="AF349" s="525"/>
      <c r="AG349" s="525"/>
      <c r="AH349" s="525"/>
    </row>
    <row r="350" spans="1:34" ht="31.2" hidden="1">
      <c r="C350" s="523">
        <f t="shared" si="120"/>
        <v>5</v>
      </c>
      <c r="D350" s="636" t="s">
        <v>2802</v>
      </c>
      <c r="E350" s="525" t="s">
        <v>2804</v>
      </c>
      <c r="F350" s="523" t="s">
        <v>146</v>
      </c>
      <c r="G350" s="554">
        <f>'BKTL Tram'!W14+'BKTL Tram'!W15</f>
        <v>0</v>
      </c>
      <c r="H350" s="525"/>
      <c r="I350" s="525">
        <f>ROUND(VLOOKUP($P350,DGNC,DG!$S$4,0)*R350*S350,0)</f>
        <v>6586</v>
      </c>
      <c r="J350" s="525">
        <f>ROUND(VLOOKUP($T350,DGNC,DG!$S$4,0)*U350*V350,0)</f>
        <v>11847</v>
      </c>
      <c r="K350" s="525">
        <f t="shared" si="116"/>
        <v>0</v>
      </c>
      <c r="L350" s="525">
        <f t="shared" si="117"/>
        <v>0</v>
      </c>
      <c r="M350" s="525">
        <f t="shared" si="118"/>
        <v>0</v>
      </c>
      <c r="N350" s="525">
        <f t="shared" si="119"/>
        <v>0</v>
      </c>
      <c r="O350" s="418">
        <f t="shared" si="115"/>
        <v>0</v>
      </c>
      <c r="P350" s="525" t="s">
        <v>289</v>
      </c>
      <c r="Q350" s="656" t="s">
        <v>2216</v>
      </c>
      <c r="R350" s="657">
        <v>7.4999999999999997E-2</v>
      </c>
      <c r="S350" s="657">
        <v>0.4</v>
      </c>
      <c r="T350" s="525" t="s">
        <v>12</v>
      </c>
      <c r="U350" s="626">
        <v>0.05</v>
      </c>
      <c r="V350" s="626">
        <v>1</v>
      </c>
      <c r="W350" s="656"/>
      <c r="X350" s="657"/>
      <c r="Y350" s="657"/>
      <c r="Z350" s="525"/>
      <c r="AA350" s="626"/>
      <c r="AB350" s="626"/>
      <c r="AC350" s="525"/>
      <c r="AD350" s="626"/>
      <c r="AE350" s="626"/>
      <c r="AF350" s="525"/>
      <c r="AG350" s="525"/>
      <c r="AH350" s="525"/>
    </row>
    <row r="351" spans="1:34" ht="31.2">
      <c r="C351" s="523">
        <f t="shared" si="120"/>
        <v>6</v>
      </c>
      <c r="D351" s="636" t="s">
        <v>2802</v>
      </c>
      <c r="E351" s="525" t="s">
        <v>2806</v>
      </c>
      <c r="F351" s="523" t="s">
        <v>146</v>
      </c>
      <c r="G351" s="554">
        <f>'BKTL Tram'!V14+'BKTL Tram'!V15</f>
        <v>19.5</v>
      </c>
      <c r="H351" s="525"/>
      <c r="I351" s="525">
        <f>ROUND(VLOOKUP($P351,DGNC,DG!$S$4,0)*R351*S351,0)</f>
        <v>6586</v>
      </c>
      <c r="J351" s="525">
        <f>ROUND(VLOOKUP($T351,DGNC,DG!$S$4,0)*U351*V351,0)</f>
        <v>11847</v>
      </c>
      <c r="K351" s="525">
        <f t="shared" si="116"/>
        <v>0</v>
      </c>
      <c r="L351" s="525">
        <f t="shared" si="117"/>
        <v>0</v>
      </c>
      <c r="M351" s="525">
        <f t="shared" si="118"/>
        <v>128427</v>
      </c>
      <c r="N351" s="525">
        <f t="shared" si="119"/>
        <v>0</v>
      </c>
      <c r="O351" s="418">
        <f t="shared" si="115"/>
        <v>1</v>
      </c>
      <c r="P351" s="525" t="s">
        <v>289</v>
      </c>
      <c r="Q351" s="656" t="s">
        <v>2216</v>
      </c>
      <c r="R351" s="657">
        <v>7.4999999999999997E-2</v>
      </c>
      <c r="S351" s="657">
        <v>0.4</v>
      </c>
      <c r="T351" s="525" t="s">
        <v>12</v>
      </c>
      <c r="U351" s="626">
        <v>0.05</v>
      </c>
      <c r="V351" s="626">
        <v>1</v>
      </c>
      <c r="W351" s="656"/>
      <c r="X351" s="657"/>
      <c r="Y351" s="657"/>
      <c r="Z351" s="525"/>
      <c r="AA351" s="626"/>
      <c r="AB351" s="626"/>
      <c r="AC351" s="525"/>
      <c r="AD351" s="626"/>
      <c r="AE351" s="626"/>
      <c r="AF351" s="525"/>
      <c r="AG351" s="525"/>
      <c r="AH351" s="525"/>
    </row>
    <row r="352" spans="1:34" ht="31.2">
      <c r="C352" s="523">
        <f t="shared" si="120"/>
        <v>7</v>
      </c>
      <c r="D352" s="636" t="s">
        <v>2802</v>
      </c>
      <c r="E352" s="525" t="s">
        <v>2805</v>
      </c>
      <c r="F352" s="523" t="s">
        <v>146</v>
      </c>
      <c r="G352" s="554">
        <f>'BKTL Tram'!U14+'BKTL Tram'!U15</f>
        <v>21</v>
      </c>
      <c r="H352" s="525"/>
      <c r="I352" s="525">
        <f>ROUND(VLOOKUP($P352,DGNC,DG!$S$4,0)*R352*S352,0)</f>
        <v>6586</v>
      </c>
      <c r="J352" s="525">
        <f>ROUND(VLOOKUP($T352,DGNC,DG!$S$4,0)*U352*V352,0)</f>
        <v>11847</v>
      </c>
      <c r="K352" s="525">
        <f t="shared" si="116"/>
        <v>0</v>
      </c>
      <c r="L352" s="525">
        <f t="shared" si="117"/>
        <v>0</v>
      </c>
      <c r="M352" s="525">
        <f t="shared" si="118"/>
        <v>138306</v>
      </c>
      <c r="N352" s="525">
        <f t="shared" si="119"/>
        <v>0</v>
      </c>
      <c r="O352" s="418">
        <f t="shared" si="115"/>
        <v>1</v>
      </c>
      <c r="P352" s="525" t="s">
        <v>289</v>
      </c>
      <c r="Q352" s="656" t="s">
        <v>2216</v>
      </c>
      <c r="R352" s="657">
        <v>7.4999999999999997E-2</v>
      </c>
      <c r="S352" s="657">
        <v>0.4</v>
      </c>
      <c r="T352" s="525" t="s">
        <v>12</v>
      </c>
      <c r="U352" s="626">
        <v>0.05</v>
      </c>
      <c r="V352" s="626">
        <v>1</v>
      </c>
      <c r="W352" s="656"/>
      <c r="X352" s="657"/>
      <c r="Y352" s="657"/>
      <c r="Z352" s="525"/>
      <c r="AA352" s="626"/>
      <c r="AB352" s="626"/>
      <c r="AC352" s="525"/>
      <c r="AD352" s="626"/>
      <c r="AE352" s="626"/>
      <c r="AF352" s="525"/>
      <c r="AG352" s="525"/>
      <c r="AH352" s="525"/>
    </row>
    <row r="353" spans="1:34">
      <c r="C353" s="523">
        <f t="shared" si="120"/>
        <v>8</v>
      </c>
      <c r="D353" s="523" t="s">
        <v>2284</v>
      </c>
      <c r="E353" s="525" t="s">
        <v>2289</v>
      </c>
      <c r="F353" s="523" t="s">
        <v>146</v>
      </c>
      <c r="G353" s="554">
        <f>'BKTL Tram'!T14+'BKTL Tram'!T15</f>
        <v>52</v>
      </c>
      <c r="H353" s="525"/>
      <c r="I353" s="525">
        <f>ROUND(VLOOKUP($P353,DGNC,DG!$S$4,0)*R353*S353,0)</f>
        <v>6586</v>
      </c>
      <c r="J353" s="525">
        <f>ROUND(VLOOKUP($P353,DGNC,DG!$S$4,0)*U353*V353,0)</f>
        <v>9879</v>
      </c>
      <c r="K353" s="525">
        <f t="shared" si="116"/>
        <v>0</v>
      </c>
      <c r="L353" s="525">
        <f t="shared" si="117"/>
        <v>0</v>
      </c>
      <c r="M353" s="525">
        <f t="shared" si="118"/>
        <v>342472</v>
      </c>
      <c r="N353" s="525">
        <f t="shared" si="119"/>
        <v>0</v>
      </c>
      <c r="O353" s="418">
        <f t="shared" si="115"/>
        <v>1</v>
      </c>
      <c r="P353" s="525" t="s">
        <v>289</v>
      </c>
      <c r="Q353" s="656" t="s">
        <v>2216</v>
      </c>
      <c r="R353" s="657">
        <v>7.4999999999999997E-2</v>
      </c>
      <c r="S353" s="657">
        <v>0.4</v>
      </c>
      <c r="T353" s="525" t="s">
        <v>2216</v>
      </c>
      <c r="U353" s="626">
        <v>7.4999999999999997E-2</v>
      </c>
      <c r="V353" s="626">
        <v>0.6</v>
      </c>
      <c r="W353" s="656"/>
      <c r="X353" s="657"/>
      <c r="Y353" s="657"/>
      <c r="Z353" s="525"/>
      <c r="AA353" s="626"/>
      <c r="AB353" s="626"/>
      <c r="AC353" s="525"/>
      <c r="AD353" s="626"/>
      <c r="AE353" s="626"/>
      <c r="AF353" s="525"/>
      <c r="AG353" s="525"/>
      <c r="AH353" s="525"/>
    </row>
    <row r="354" spans="1:34" hidden="1">
      <c r="C354" s="523">
        <f t="shared" si="120"/>
        <v>8</v>
      </c>
      <c r="D354" s="523" t="s">
        <v>2284</v>
      </c>
      <c r="E354" s="525" t="s">
        <v>3263</v>
      </c>
      <c r="F354" s="523" t="s">
        <v>146</v>
      </c>
      <c r="G354" s="554">
        <f>'BKTL Tram'!S14+'BKTL Tram'!S15</f>
        <v>0</v>
      </c>
      <c r="H354" s="525"/>
      <c r="I354" s="525">
        <f>ROUND(VLOOKUP($P354,DGNC,DG!$S$4,0)*R354*S354,0)</f>
        <v>6586</v>
      </c>
      <c r="J354" s="525">
        <f>ROUND(VLOOKUP($P354,DGNC,DG!$S$4,0)*U354*V354,0)</f>
        <v>9879</v>
      </c>
      <c r="K354" s="525">
        <f t="shared" si="116"/>
        <v>0</v>
      </c>
      <c r="L354" s="525">
        <f t="shared" si="117"/>
        <v>0</v>
      </c>
      <c r="M354" s="525">
        <f t="shared" si="118"/>
        <v>0</v>
      </c>
      <c r="N354" s="525">
        <f t="shared" si="119"/>
        <v>0</v>
      </c>
      <c r="O354" s="418">
        <f t="shared" si="115"/>
        <v>0</v>
      </c>
      <c r="P354" s="525" t="s">
        <v>289</v>
      </c>
      <c r="Q354" s="656" t="s">
        <v>2216</v>
      </c>
      <c r="R354" s="657">
        <v>7.4999999999999997E-2</v>
      </c>
      <c r="S354" s="657">
        <v>0.4</v>
      </c>
      <c r="T354" s="525" t="s">
        <v>2216</v>
      </c>
      <c r="U354" s="626">
        <v>7.4999999999999997E-2</v>
      </c>
      <c r="V354" s="626">
        <v>0.6</v>
      </c>
      <c r="W354" s="656"/>
      <c r="X354" s="657"/>
      <c r="Y354" s="657"/>
      <c r="Z354" s="525"/>
      <c r="AA354" s="626"/>
      <c r="AB354" s="626"/>
      <c r="AC354" s="525"/>
      <c r="AD354" s="626"/>
      <c r="AE354" s="626"/>
      <c r="AF354" s="525"/>
      <c r="AG354" s="525"/>
      <c r="AH354" s="525"/>
    </row>
    <row r="355" spans="1:34">
      <c r="B355" s="405" t="s">
        <v>3221</v>
      </c>
      <c r="C355" s="538" t="s">
        <v>1673</v>
      </c>
      <c r="D355" s="539" t="str">
        <f>VLOOKUP(B355,XLTBA,'6.XL-TR'!$D$2,0)</f>
        <v>1 Trạm NC từ 2x100kVA lên 3x100kVA</v>
      </c>
      <c r="E355" s="539"/>
      <c r="F355" s="538"/>
      <c r="G355" s="539"/>
      <c r="H355" s="539"/>
      <c r="I355" s="539"/>
      <c r="J355" s="539"/>
      <c r="K355" s="539"/>
      <c r="L355" s="539"/>
      <c r="M355" s="539">
        <f>SUM(M356:M370)</f>
        <v>1225865</v>
      </c>
      <c r="N355" s="539">
        <f>SUM(N356:N370)</f>
        <v>471759</v>
      </c>
      <c r="O355" s="418">
        <f t="shared" ref="O355:O370" si="121">IF((M355+N355)&lt;&gt;0,1,)</f>
        <v>1</v>
      </c>
      <c r="P355" s="525"/>
      <c r="Q355" s="654"/>
      <c r="R355" s="655"/>
      <c r="S355" s="655"/>
      <c r="T355" s="539"/>
      <c r="U355" s="661"/>
      <c r="V355" s="661"/>
      <c r="W355" s="654"/>
      <c r="X355" s="655"/>
      <c r="Y355" s="655"/>
      <c r="Z355" s="539"/>
      <c r="AA355" s="661"/>
      <c r="AB355" s="661"/>
      <c r="AC355" s="525"/>
      <c r="AD355" s="626"/>
      <c r="AE355" s="626"/>
      <c r="AF355" s="525"/>
      <c r="AG355" s="525"/>
      <c r="AH355" s="525"/>
    </row>
    <row r="356" spans="1:34" hidden="1">
      <c r="C356" s="523">
        <f>IF(SUM(G356:H356)&lt;&gt;0,1,)</f>
        <v>0</v>
      </c>
      <c r="D356" s="524" t="s">
        <v>901</v>
      </c>
      <c r="E356" s="362" t="s">
        <v>2290</v>
      </c>
      <c r="F356" s="523" t="s">
        <v>896</v>
      </c>
      <c r="G356" s="525"/>
      <c r="H356" s="525"/>
      <c r="I356" s="525">
        <f>ROUND(VLOOKUP($P356,DGNC,DG!$S$4,0)*R356*S356,0)</f>
        <v>447951</v>
      </c>
      <c r="J356" s="525">
        <f>ROUND(VLOOKUP($T356,DGNC,DG!$S$4,0)*U356*V356,0)</f>
        <v>746585</v>
      </c>
      <c r="K356" s="525">
        <f t="shared" ref="K356:K370" si="122">ROUND(IF(W356&lt;&gt;0,VLOOKUP(W356,DGMTC,8,0)*X356*Y356,)+IF(AC356&lt;&gt;0,VLOOKUP(AC356,DGMTC,8,0)*AD356*AE356,),0)</f>
        <v>360605</v>
      </c>
      <c r="L356" s="525">
        <f t="shared" ref="L356:L370" si="123">ROUND(IF(Z356&lt;&gt;0,VLOOKUP(Z356,DGMTC,8,0)*AA356*AB356,)+IF(AF356&lt;&gt;0,VLOOKUP(AF356,DGMTC,8,0)*AG356*AH356,),0)</f>
        <v>360605</v>
      </c>
      <c r="M356" s="525">
        <f t="shared" ref="M356:M370" si="124">ROUND(G356*I356+H356*J356,0)</f>
        <v>0</v>
      </c>
      <c r="N356" s="525">
        <f t="shared" ref="N356:N370" si="125">ROUND(G356*K356+H356*L356,0)</f>
        <v>0</v>
      </c>
      <c r="O356" s="418">
        <f t="shared" si="121"/>
        <v>0</v>
      </c>
      <c r="P356" s="471" t="s">
        <v>781</v>
      </c>
      <c r="Q356" s="727" t="s">
        <v>2226</v>
      </c>
      <c r="R356" s="728">
        <v>2.63</v>
      </c>
      <c r="S356" s="728">
        <f>1.1*0.6</f>
        <v>0.66</v>
      </c>
      <c r="T356" s="471" t="s">
        <v>781</v>
      </c>
      <c r="U356" s="468">
        <v>2.63</v>
      </c>
      <c r="V356" s="468">
        <v>1.1000000000000001</v>
      </c>
      <c r="W356" s="727" t="s">
        <v>898</v>
      </c>
      <c r="X356" s="728">
        <v>0.26</v>
      </c>
      <c r="Y356" s="728">
        <v>1</v>
      </c>
      <c r="Z356" s="471" t="s">
        <v>898</v>
      </c>
      <c r="AA356" s="468">
        <v>0.26</v>
      </c>
      <c r="AB356" s="468">
        <v>1</v>
      </c>
      <c r="AC356" s="525"/>
      <c r="AD356" s="626"/>
      <c r="AE356" s="626"/>
      <c r="AF356" s="525"/>
      <c r="AG356" s="525"/>
      <c r="AH356" s="525"/>
    </row>
    <row r="357" spans="1:34" hidden="1">
      <c r="A357" s="405" t="s">
        <v>3489</v>
      </c>
      <c r="C357" s="523">
        <f t="shared" ref="C357:C370" si="126">IF(SUM(G357:H357)&lt;&gt;0,C356+1,C356)</f>
        <v>0</v>
      </c>
      <c r="D357" s="524" t="s">
        <v>904</v>
      </c>
      <c r="E357" s="362" t="s">
        <v>3490</v>
      </c>
      <c r="F357" s="648" t="s">
        <v>896</v>
      </c>
      <c r="G357" s="525"/>
      <c r="H357" s="525"/>
      <c r="I357" s="525">
        <f>ROUND(VLOOKUP($P357,DGNC,DG!$S$4,0)*R357*S357,0)</f>
        <v>596132</v>
      </c>
      <c r="J357" s="525">
        <f>ROUND(VLOOKUP($P357,DGNC,DG!$S$4,0)*U357*V357,0)</f>
        <v>993554</v>
      </c>
      <c r="K357" s="525">
        <f t="shared" si="122"/>
        <v>360605</v>
      </c>
      <c r="L357" s="525">
        <f t="shared" si="123"/>
        <v>360605</v>
      </c>
      <c r="M357" s="525">
        <f t="shared" si="124"/>
        <v>0</v>
      </c>
      <c r="N357" s="525">
        <f t="shared" si="125"/>
        <v>0</v>
      </c>
      <c r="O357" s="418">
        <f t="shared" si="121"/>
        <v>0</v>
      </c>
      <c r="P357" s="471" t="s">
        <v>781</v>
      </c>
      <c r="Q357" s="727" t="s">
        <v>2226</v>
      </c>
      <c r="R357" s="728">
        <v>3.5</v>
      </c>
      <c r="S357" s="728">
        <f>1.1*0.6</f>
        <v>0.66</v>
      </c>
      <c r="T357" s="471" t="s">
        <v>781</v>
      </c>
      <c r="U357" s="468">
        <v>3.5</v>
      </c>
      <c r="V357" s="468">
        <v>1.1000000000000001</v>
      </c>
      <c r="W357" s="727" t="s">
        <v>898</v>
      </c>
      <c r="X357" s="728">
        <v>0.26</v>
      </c>
      <c r="Y357" s="728">
        <v>1</v>
      </c>
      <c r="Z357" s="471" t="s">
        <v>898</v>
      </c>
      <c r="AA357" s="468">
        <v>0.26</v>
      </c>
      <c r="AB357" s="468">
        <v>1</v>
      </c>
      <c r="AC357" s="525"/>
      <c r="AD357" s="626"/>
      <c r="AE357" s="626"/>
      <c r="AF357" s="525"/>
      <c r="AG357" s="525"/>
      <c r="AH357" s="525"/>
    </row>
    <row r="358" spans="1:34">
      <c r="C358" s="523">
        <f t="shared" si="126"/>
        <v>1</v>
      </c>
      <c r="D358" s="636" t="s">
        <v>906</v>
      </c>
      <c r="E358" s="525" t="s">
        <v>2235</v>
      </c>
      <c r="F358" s="523" t="s">
        <v>896</v>
      </c>
      <c r="G358" s="525">
        <f>'BKTL Tram'!G12</f>
        <v>1</v>
      </c>
      <c r="H358" s="525"/>
      <c r="I358" s="525">
        <f>ROUND(VLOOKUP($P358,DGNC,DG!$S$4,0)*R358*S358,0)</f>
        <v>633604</v>
      </c>
      <c r="J358" s="525">
        <f>ROUND(VLOOKUP($P358,DGNC,DG!$S$4,0)*U358*V358,0)</f>
        <v>1064522</v>
      </c>
      <c r="K358" s="525">
        <f t="shared" si="122"/>
        <v>360605</v>
      </c>
      <c r="L358" s="525">
        <f t="shared" si="123"/>
        <v>360605</v>
      </c>
      <c r="M358" s="525">
        <f t="shared" si="124"/>
        <v>633604</v>
      </c>
      <c r="N358" s="525">
        <f t="shared" si="125"/>
        <v>360605</v>
      </c>
      <c r="O358" s="418">
        <f t="shared" si="121"/>
        <v>1</v>
      </c>
      <c r="P358" s="404" t="s">
        <v>781</v>
      </c>
      <c r="Q358" s="729" t="s">
        <v>2226</v>
      </c>
      <c r="R358" s="730">
        <v>3.72</v>
      </c>
      <c r="S358" s="730">
        <f>1.1*0.6</f>
        <v>0.66</v>
      </c>
      <c r="T358" s="404" t="s">
        <v>781</v>
      </c>
      <c r="U358" s="660">
        <v>3.75</v>
      </c>
      <c r="V358" s="660">
        <v>1.1000000000000001</v>
      </c>
      <c r="W358" s="729" t="s">
        <v>898</v>
      </c>
      <c r="X358" s="730">
        <v>0.26</v>
      </c>
      <c r="Y358" s="730">
        <v>1</v>
      </c>
      <c r="Z358" s="404" t="s">
        <v>898</v>
      </c>
      <c r="AA358" s="660">
        <v>0.26</v>
      </c>
      <c r="AB358" s="660">
        <v>1</v>
      </c>
      <c r="AC358" s="525"/>
      <c r="AD358" s="626"/>
      <c r="AE358" s="626"/>
      <c r="AF358" s="525"/>
      <c r="AG358" s="525"/>
      <c r="AH358" s="525"/>
    </row>
    <row r="359" spans="1:34">
      <c r="C359" s="523">
        <f t="shared" si="126"/>
        <v>2</v>
      </c>
      <c r="D359" s="636" t="s">
        <v>988</v>
      </c>
      <c r="E359" s="525" t="s">
        <v>2237</v>
      </c>
      <c r="F359" s="523" t="s">
        <v>11</v>
      </c>
      <c r="G359" s="525">
        <f>'BKTL Tram'!J12</f>
        <v>1</v>
      </c>
      <c r="H359" s="525"/>
      <c r="I359" s="525">
        <f>ROUND(VLOOKUP($P359,DGNC,DG!$S$4,0)*R359*S359,0)</f>
        <v>322583</v>
      </c>
      <c r="J359" s="525">
        <f>ROUND(VLOOKUP($T359,DGNC,DG!$S$4,0)*U359*V359,0)</f>
        <v>645165</v>
      </c>
      <c r="K359" s="525">
        <f t="shared" si="122"/>
        <v>111154</v>
      </c>
      <c r="L359" s="525">
        <f t="shared" si="123"/>
        <v>111154</v>
      </c>
      <c r="M359" s="525">
        <f t="shared" si="124"/>
        <v>322583</v>
      </c>
      <c r="N359" s="525">
        <f t="shared" si="125"/>
        <v>111154</v>
      </c>
      <c r="O359" s="418">
        <f t="shared" si="121"/>
        <v>1</v>
      </c>
      <c r="P359" s="404" t="s">
        <v>781</v>
      </c>
      <c r="Q359" s="729" t="s">
        <v>2226</v>
      </c>
      <c r="R359" s="730">
        <v>2.5</v>
      </c>
      <c r="S359" s="730">
        <v>0.5</v>
      </c>
      <c r="T359" s="404" t="s">
        <v>781</v>
      </c>
      <c r="U359" s="660">
        <v>2.5</v>
      </c>
      <c r="V359" s="660">
        <v>1</v>
      </c>
      <c r="W359" s="729" t="s">
        <v>3491</v>
      </c>
      <c r="X359" s="730">
        <v>0.2</v>
      </c>
      <c r="Y359" s="730">
        <v>1</v>
      </c>
      <c r="Z359" s="404" t="s">
        <v>3491</v>
      </c>
      <c r="AA359" s="660">
        <v>0.2</v>
      </c>
      <c r="AB359" s="660">
        <v>1</v>
      </c>
      <c r="AC359" s="525"/>
      <c r="AD359" s="626"/>
      <c r="AE359" s="626"/>
      <c r="AF359" s="525"/>
      <c r="AG359" s="525"/>
      <c r="AH359" s="525"/>
    </row>
    <row r="360" spans="1:34" hidden="1">
      <c r="C360" s="523">
        <f t="shared" si="126"/>
        <v>2</v>
      </c>
      <c r="D360" s="524" t="s">
        <v>990</v>
      </c>
      <c r="E360" s="362" t="s">
        <v>3240</v>
      </c>
      <c r="F360" s="523" t="s">
        <v>11</v>
      </c>
      <c r="G360" s="525"/>
      <c r="H360" s="525"/>
      <c r="I360" s="525">
        <f>ROUND(VLOOKUP($P360,DGNC,DG!$S$4,0)*R360*S360,0)</f>
        <v>371615</v>
      </c>
      <c r="J360" s="525">
        <f>ROUND(VLOOKUP($T360,DGNC,DG!$S$4,0)*U360*V360,0)</f>
        <v>743230</v>
      </c>
      <c r="K360" s="525">
        <f t="shared" si="122"/>
        <v>111154</v>
      </c>
      <c r="L360" s="525">
        <f t="shared" si="123"/>
        <v>111154</v>
      </c>
      <c r="M360" s="525">
        <f t="shared" si="124"/>
        <v>0</v>
      </c>
      <c r="N360" s="525">
        <f t="shared" si="125"/>
        <v>0</v>
      </c>
      <c r="O360" s="418">
        <f t="shared" si="121"/>
        <v>0</v>
      </c>
      <c r="P360" s="471" t="s">
        <v>781</v>
      </c>
      <c r="Q360" s="727" t="s">
        <v>2226</v>
      </c>
      <c r="R360" s="728">
        <v>2.88</v>
      </c>
      <c r="S360" s="728">
        <v>0.5</v>
      </c>
      <c r="T360" s="471" t="s">
        <v>781</v>
      </c>
      <c r="U360" s="468">
        <v>2.88</v>
      </c>
      <c r="V360" s="468">
        <v>1</v>
      </c>
      <c r="W360" s="727" t="s">
        <v>3491</v>
      </c>
      <c r="X360" s="728">
        <v>0.2</v>
      </c>
      <c r="Y360" s="728">
        <v>1</v>
      </c>
      <c r="Z360" s="471" t="s">
        <v>3491</v>
      </c>
      <c r="AA360" s="468">
        <v>0.2</v>
      </c>
      <c r="AB360" s="468">
        <v>1</v>
      </c>
      <c r="AC360" s="525"/>
      <c r="AD360" s="626"/>
      <c r="AE360" s="626"/>
      <c r="AF360" s="525"/>
      <c r="AG360" s="525"/>
      <c r="AH360" s="525"/>
    </row>
    <row r="361" spans="1:34" hidden="1">
      <c r="C361" s="523">
        <f t="shared" si="126"/>
        <v>2</v>
      </c>
      <c r="D361" s="524" t="s">
        <v>917</v>
      </c>
      <c r="E361" s="362" t="s">
        <v>2241</v>
      </c>
      <c r="F361" s="523" t="s">
        <v>11</v>
      </c>
      <c r="G361" s="525"/>
      <c r="H361" s="525"/>
      <c r="I361" s="525">
        <f>ROUND(VLOOKUP($P361,DGNC,DG!$S$4,0)*R361*S361*V361,0)</f>
        <v>31592</v>
      </c>
      <c r="J361" s="525">
        <f>ROUND(VLOOKUP($T361,DGNC,DG!$S$4,0)*U361*V361,0)</f>
        <v>189552</v>
      </c>
      <c r="K361" s="525">
        <f t="shared" si="122"/>
        <v>0</v>
      </c>
      <c r="L361" s="525">
        <f t="shared" si="123"/>
        <v>0</v>
      </c>
      <c r="M361" s="525">
        <f t="shared" si="124"/>
        <v>0</v>
      </c>
      <c r="N361" s="525">
        <f t="shared" si="125"/>
        <v>0</v>
      </c>
      <c r="O361" s="418">
        <f t="shared" si="121"/>
        <v>0</v>
      </c>
      <c r="P361" s="471" t="s">
        <v>12</v>
      </c>
      <c r="Q361" s="727" t="s">
        <v>2221</v>
      </c>
      <c r="R361" s="728">
        <v>2.4</v>
      </c>
      <c r="S361" s="728">
        <f>0.5/3</f>
        <v>0.16666666666666666</v>
      </c>
      <c r="T361" s="471" t="s">
        <v>12</v>
      </c>
      <c r="U361" s="468">
        <v>2.4</v>
      </c>
      <c r="V361" s="468">
        <f>1/3</f>
        <v>0.33333333333333331</v>
      </c>
      <c r="W361" s="656"/>
      <c r="X361" s="657"/>
      <c r="Y361" s="657"/>
      <c r="Z361" s="525"/>
      <c r="AA361" s="626"/>
      <c r="AB361" s="626"/>
      <c r="AC361" s="525"/>
      <c r="AD361" s="626"/>
      <c r="AE361" s="626"/>
      <c r="AF361" s="525"/>
      <c r="AG361" s="525"/>
      <c r="AH361" s="525"/>
    </row>
    <row r="362" spans="1:34" hidden="1">
      <c r="C362" s="523">
        <f t="shared" si="126"/>
        <v>2</v>
      </c>
      <c r="D362" s="524" t="s">
        <v>944</v>
      </c>
      <c r="E362" s="362" t="s">
        <v>2243</v>
      </c>
      <c r="F362" s="523" t="s">
        <v>11</v>
      </c>
      <c r="G362" s="525"/>
      <c r="H362" s="525"/>
      <c r="I362" s="525">
        <f>ROUND(VLOOKUP($P362,DGNC,DG!$S$4,0)*R362*S362*V362,0)</f>
        <v>19745</v>
      </c>
      <c r="J362" s="525">
        <f>ROUND(VLOOKUP($T362,DGNC,DG!$S$4,0)*U362*V362,0)</f>
        <v>118470</v>
      </c>
      <c r="K362" s="525">
        <f t="shared" si="122"/>
        <v>0</v>
      </c>
      <c r="L362" s="525">
        <f t="shared" si="123"/>
        <v>0</v>
      </c>
      <c r="M362" s="525">
        <f t="shared" si="124"/>
        <v>0</v>
      </c>
      <c r="N362" s="525">
        <f t="shared" si="125"/>
        <v>0</v>
      </c>
      <c r="O362" s="418">
        <f t="shared" si="121"/>
        <v>0</v>
      </c>
      <c r="P362" s="471" t="s">
        <v>12</v>
      </c>
      <c r="Q362" s="727" t="s">
        <v>2221</v>
      </c>
      <c r="R362" s="728">
        <v>1.5</v>
      </c>
      <c r="S362" s="728">
        <f>0.5/3</f>
        <v>0.16666666666666666</v>
      </c>
      <c r="T362" s="469" t="s">
        <v>12</v>
      </c>
      <c r="U362" s="468">
        <v>1.5</v>
      </c>
      <c r="V362" s="468">
        <f>1/3</f>
        <v>0.33333333333333331</v>
      </c>
      <c r="W362" s="656"/>
      <c r="X362" s="657"/>
      <c r="Y362" s="657"/>
      <c r="Z362" s="525"/>
      <c r="AA362" s="626"/>
      <c r="AB362" s="626"/>
      <c r="AC362" s="525"/>
      <c r="AD362" s="626"/>
      <c r="AE362" s="626"/>
      <c r="AF362" s="525"/>
      <c r="AG362" s="525"/>
      <c r="AH362" s="525"/>
    </row>
    <row r="363" spans="1:34" ht="31.2">
      <c r="C363" s="523">
        <f t="shared" si="126"/>
        <v>3</v>
      </c>
      <c r="D363" s="636" t="s">
        <v>2801</v>
      </c>
      <c r="E363" s="525" t="s">
        <v>2803</v>
      </c>
      <c r="F363" s="523" t="s">
        <v>146</v>
      </c>
      <c r="G363" s="525">
        <f>'BKTL Tram'!N12</f>
        <v>9</v>
      </c>
      <c r="H363" s="525"/>
      <c r="I363" s="525">
        <f>ROUND(VLOOKUP($P363,DGNC,DG!$S$4,0)*R363*S363,0)</f>
        <v>14231</v>
      </c>
      <c r="J363" s="525">
        <f>ROUND(VLOOKUP($T363,DGNC,DG!$S$4,0)*U363*V363,0)</f>
        <v>46719</v>
      </c>
      <c r="K363" s="525">
        <f t="shared" si="122"/>
        <v>0</v>
      </c>
      <c r="L363" s="525">
        <f t="shared" si="123"/>
        <v>0</v>
      </c>
      <c r="M363" s="525">
        <f t="shared" si="124"/>
        <v>128079</v>
      </c>
      <c r="N363" s="525">
        <f t="shared" si="125"/>
        <v>0</v>
      </c>
      <c r="O363" s="418">
        <f t="shared" si="121"/>
        <v>1</v>
      </c>
      <c r="P363" s="525" t="s">
        <v>1311</v>
      </c>
      <c r="Q363" s="656" t="s">
        <v>2219</v>
      </c>
      <c r="R363" s="657">
        <v>0.17599999999999999</v>
      </c>
      <c r="S363" s="657">
        <v>0.4</v>
      </c>
      <c r="T363" s="525" t="s">
        <v>289</v>
      </c>
      <c r="U363" s="626">
        <v>0.21279999999999999</v>
      </c>
      <c r="V363" s="626">
        <v>1</v>
      </c>
      <c r="W363" s="656"/>
      <c r="X363" s="657"/>
      <c r="Y363" s="657"/>
      <c r="Z363" s="525"/>
      <c r="AA363" s="626"/>
      <c r="AB363" s="626"/>
      <c r="AC363" s="525"/>
      <c r="AD363" s="626"/>
      <c r="AE363" s="626"/>
      <c r="AF363" s="525"/>
      <c r="AG363" s="525"/>
      <c r="AH363" s="525"/>
    </row>
    <row r="364" spans="1:34" hidden="1">
      <c r="C364" s="523">
        <f t="shared" si="126"/>
        <v>3</v>
      </c>
      <c r="D364" s="523" t="s">
        <v>2282</v>
      </c>
      <c r="E364" s="525" t="s">
        <v>2283</v>
      </c>
      <c r="F364" s="523" t="s">
        <v>146</v>
      </c>
      <c r="G364" s="554"/>
      <c r="H364" s="525"/>
      <c r="I364" s="525">
        <f>ROUND(VLOOKUP($P364,DGNC,DG!$S$4,0)*R364*S364,0)</f>
        <v>4040</v>
      </c>
      <c r="J364" s="525">
        <f>ROUND(VLOOKUP($P364,DGNC,DG!$S$4,0)*U364*V364,0)</f>
        <v>6059</v>
      </c>
      <c r="K364" s="525">
        <f t="shared" si="122"/>
        <v>0</v>
      </c>
      <c r="L364" s="525">
        <f t="shared" si="123"/>
        <v>0</v>
      </c>
      <c r="M364" s="525">
        <f t="shared" si="124"/>
        <v>0</v>
      </c>
      <c r="N364" s="525">
        <f t="shared" si="125"/>
        <v>0</v>
      </c>
      <c r="O364" s="418">
        <f t="shared" si="121"/>
        <v>0</v>
      </c>
      <c r="P364" s="525" t="s">
        <v>289</v>
      </c>
      <c r="Q364" s="525" t="s">
        <v>2216</v>
      </c>
      <c r="R364" s="626">
        <v>4.5999999999999999E-2</v>
      </c>
      <c r="S364" s="626">
        <v>0.4</v>
      </c>
      <c r="T364" s="525" t="s">
        <v>2216</v>
      </c>
      <c r="U364" s="626">
        <v>4.5999999999999999E-2</v>
      </c>
      <c r="V364" s="626">
        <v>0.6</v>
      </c>
      <c r="W364" s="525"/>
      <c r="X364" s="626"/>
      <c r="Y364" s="626"/>
      <c r="Z364" s="525"/>
      <c r="AA364" s="626"/>
      <c r="AB364" s="626"/>
      <c r="AC364" s="525"/>
      <c r="AD364" s="626"/>
      <c r="AE364" s="626"/>
      <c r="AF364" s="525"/>
      <c r="AG364" s="525"/>
      <c r="AH364" s="525"/>
    </row>
    <row r="365" spans="1:34" hidden="1">
      <c r="C365" s="523">
        <f t="shared" si="126"/>
        <v>3</v>
      </c>
      <c r="D365" s="523" t="s">
        <v>2284</v>
      </c>
      <c r="E365" s="525" t="s">
        <v>2285</v>
      </c>
      <c r="F365" s="523" t="s">
        <v>146</v>
      </c>
      <c r="G365" s="554"/>
      <c r="H365" s="525"/>
      <c r="I365" s="525">
        <f>ROUND(VLOOKUP($P365,DGNC,DG!$S$4,0)*R365*S365,0)</f>
        <v>6586</v>
      </c>
      <c r="J365" s="525">
        <f>ROUND(VLOOKUP($P365,DGNC,DG!$S$4,0)*U365*V365,0)</f>
        <v>9879</v>
      </c>
      <c r="K365" s="525">
        <f t="shared" si="122"/>
        <v>0</v>
      </c>
      <c r="L365" s="525">
        <f t="shared" si="123"/>
        <v>0</v>
      </c>
      <c r="M365" s="525">
        <f t="shared" si="124"/>
        <v>0</v>
      </c>
      <c r="N365" s="525">
        <f t="shared" si="125"/>
        <v>0</v>
      </c>
      <c r="O365" s="418">
        <f t="shared" si="121"/>
        <v>0</v>
      </c>
      <c r="P365" s="525" t="s">
        <v>289</v>
      </c>
      <c r="Q365" s="525" t="s">
        <v>2216</v>
      </c>
      <c r="R365" s="626">
        <v>7.4999999999999997E-2</v>
      </c>
      <c r="S365" s="626">
        <v>0.4</v>
      </c>
      <c r="T365" s="525" t="s">
        <v>2216</v>
      </c>
      <c r="U365" s="626">
        <v>7.4999999999999997E-2</v>
      </c>
      <c r="V365" s="626">
        <v>0.6</v>
      </c>
      <c r="W365" s="525"/>
      <c r="X365" s="626"/>
      <c r="Y365" s="626"/>
      <c r="Z365" s="525"/>
      <c r="AA365" s="626"/>
      <c r="AB365" s="626"/>
      <c r="AC365" s="525"/>
      <c r="AD365" s="626"/>
      <c r="AE365" s="626"/>
      <c r="AF365" s="525"/>
      <c r="AG365" s="525"/>
      <c r="AH365" s="525"/>
    </row>
    <row r="366" spans="1:34" ht="31.2" hidden="1">
      <c r="C366" s="523">
        <f t="shared" si="126"/>
        <v>3</v>
      </c>
      <c r="D366" s="636" t="s">
        <v>2802</v>
      </c>
      <c r="E366" s="525" t="s">
        <v>2804</v>
      </c>
      <c r="F366" s="523" t="s">
        <v>146</v>
      </c>
      <c r="G366" s="554"/>
      <c r="H366" s="525"/>
      <c r="I366" s="525">
        <f>ROUND(VLOOKUP($P366,DGNC,DG!$S$4,0)*R366*S366,0)</f>
        <v>6586</v>
      </c>
      <c r="J366" s="525">
        <f>ROUND(VLOOKUP($T366,DGNC,DG!$S$4,0)*U366*V366,0)</f>
        <v>11847</v>
      </c>
      <c r="K366" s="525">
        <f t="shared" si="122"/>
        <v>0</v>
      </c>
      <c r="L366" s="525">
        <f t="shared" si="123"/>
        <v>0</v>
      </c>
      <c r="M366" s="525">
        <f t="shared" si="124"/>
        <v>0</v>
      </c>
      <c r="N366" s="525">
        <f t="shared" si="125"/>
        <v>0</v>
      </c>
      <c r="O366" s="418">
        <f t="shared" si="121"/>
        <v>0</v>
      </c>
      <c r="P366" s="525" t="s">
        <v>289</v>
      </c>
      <c r="Q366" s="656" t="s">
        <v>2216</v>
      </c>
      <c r="R366" s="657">
        <v>7.4999999999999997E-2</v>
      </c>
      <c r="S366" s="657">
        <v>0.4</v>
      </c>
      <c r="T366" s="525" t="s">
        <v>12</v>
      </c>
      <c r="U366" s="626">
        <v>0.05</v>
      </c>
      <c r="V366" s="626">
        <v>1</v>
      </c>
      <c r="W366" s="656"/>
      <c r="X366" s="657"/>
      <c r="Y366" s="657"/>
      <c r="Z366" s="525"/>
      <c r="AA366" s="626"/>
      <c r="AB366" s="626"/>
      <c r="AC366" s="525"/>
      <c r="AD366" s="626"/>
      <c r="AE366" s="626"/>
      <c r="AF366" s="525"/>
      <c r="AG366" s="525"/>
      <c r="AH366" s="525"/>
    </row>
    <row r="367" spans="1:34" ht="31.2">
      <c r="C367" s="523">
        <f t="shared" si="126"/>
        <v>4</v>
      </c>
      <c r="D367" s="636" t="s">
        <v>2802</v>
      </c>
      <c r="E367" s="525" t="s">
        <v>2806</v>
      </c>
      <c r="F367" s="523" t="s">
        <v>146</v>
      </c>
      <c r="G367" s="554">
        <f>'BKTL Tram'!V12</f>
        <v>7.5</v>
      </c>
      <c r="H367" s="525"/>
      <c r="I367" s="525">
        <f>ROUND(VLOOKUP($P367,DGNC,DG!$S$4,0)*R367*S367,0)</f>
        <v>6586</v>
      </c>
      <c r="J367" s="525">
        <f>ROUND(VLOOKUP($T367,DGNC,DG!$S$4,0)*U367*V367,0)</f>
        <v>11847</v>
      </c>
      <c r="K367" s="525">
        <f t="shared" si="122"/>
        <v>0</v>
      </c>
      <c r="L367" s="525">
        <f t="shared" si="123"/>
        <v>0</v>
      </c>
      <c r="M367" s="525">
        <f t="shared" si="124"/>
        <v>49395</v>
      </c>
      <c r="N367" s="525">
        <f t="shared" si="125"/>
        <v>0</v>
      </c>
      <c r="O367" s="418">
        <f t="shared" si="121"/>
        <v>1</v>
      </c>
      <c r="P367" s="525" t="s">
        <v>289</v>
      </c>
      <c r="Q367" s="656" t="s">
        <v>2216</v>
      </c>
      <c r="R367" s="657">
        <v>7.4999999999999997E-2</v>
      </c>
      <c r="S367" s="657">
        <v>0.4</v>
      </c>
      <c r="T367" s="525" t="s">
        <v>12</v>
      </c>
      <c r="U367" s="626">
        <v>0.05</v>
      </c>
      <c r="V367" s="626">
        <v>1</v>
      </c>
      <c r="W367" s="656"/>
      <c r="X367" s="657"/>
      <c r="Y367" s="657"/>
      <c r="Z367" s="525"/>
      <c r="AA367" s="626"/>
      <c r="AB367" s="626"/>
      <c r="AC367" s="525"/>
      <c r="AD367" s="626"/>
      <c r="AE367" s="626"/>
      <c r="AF367" s="525"/>
      <c r="AG367" s="525"/>
      <c r="AH367" s="525"/>
    </row>
    <row r="368" spans="1:34" ht="31.2">
      <c r="C368" s="523">
        <f t="shared" si="126"/>
        <v>5</v>
      </c>
      <c r="D368" s="636" t="s">
        <v>2802</v>
      </c>
      <c r="E368" s="525" t="s">
        <v>2805</v>
      </c>
      <c r="F368" s="523" t="s">
        <v>146</v>
      </c>
      <c r="G368" s="554">
        <f>'BKTL Tram'!U12</f>
        <v>14</v>
      </c>
      <c r="H368" s="525"/>
      <c r="I368" s="525">
        <f>ROUND(VLOOKUP($P368,DGNC,DG!$S$4,0)*R368*S368,0)</f>
        <v>6586</v>
      </c>
      <c r="J368" s="525">
        <f>ROUND(VLOOKUP($T368,DGNC,DG!$S$4,0)*U368*V368,0)</f>
        <v>11847</v>
      </c>
      <c r="K368" s="525">
        <f t="shared" si="122"/>
        <v>0</v>
      </c>
      <c r="L368" s="525">
        <f t="shared" si="123"/>
        <v>0</v>
      </c>
      <c r="M368" s="525">
        <f t="shared" si="124"/>
        <v>92204</v>
      </c>
      <c r="N368" s="525">
        <f t="shared" si="125"/>
        <v>0</v>
      </c>
      <c r="O368" s="418">
        <f t="shared" si="121"/>
        <v>1</v>
      </c>
      <c r="P368" s="525" t="s">
        <v>289</v>
      </c>
      <c r="Q368" s="656" t="s">
        <v>2216</v>
      </c>
      <c r="R368" s="657">
        <v>7.4999999999999997E-2</v>
      </c>
      <c r="S368" s="657">
        <v>0.4</v>
      </c>
      <c r="T368" s="525" t="s">
        <v>12</v>
      </c>
      <c r="U368" s="626">
        <v>0.05</v>
      </c>
      <c r="V368" s="626">
        <v>1</v>
      </c>
      <c r="W368" s="656"/>
      <c r="X368" s="657"/>
      <c r="Y368" s="657"/>
      <c r="Z368" s="525"/>
      <c r="AA368" s="626"/>
      <c r="AB368" s="626"/>
      <c r="AC368" s="525"/>
      <c r="AD368" s="626"/>
      <c r="AE368" s="626"/>
      <c r="AF368" s="525"/>
      <c r="AG368" s="525"/>
      <c r="AH368" s="525"/>
    </row>
    <row r="369" spans="3:34" hidden="1">
      <c r="C369" s="523">
        <f t="shared" si="126"/>
        <v>5</v>
      </c>
      <c r="D369" s="523" t="s">
        <v>2284</v>
      </c>
      <c r="E369" s="525" t="s">
        <v>2289</v>
      </c>
      <c r="F369" s="523" t="s">
        <v>146</v>
      </c>
      <c r="G369" s="554"/>
      <c r="H369" s="525"/>
      <c r="I369" s="525">
        <f>ROUND(VLOOKUP($P369,DGNC,DG!$S$4,0)*R369*S369,0)</f>
        <v>6586</v>
      </c>
      <c r="J369" s="525">
        <f>ROUND(VLOOKUP($P369,DGNC,DG!$S$4,0)*U369*V369,0)</f>
        <v>9879</v>
      </c>
      <c r="K369" s="525">
        <f t="shared" si="122"/>
        <v>0</v>
      </c>
      <c r="L369" s="525">
        <f t="shared" si="123"/>
        <v>0</v>
      </c>
      <c r="M369" s="525">
        <f t="shared" si="124"/>
        <v>0</v>
      </c>
      <c r="N369" s="525">
        <f t="shared" si="125"/>
        <v>0</v>
      </c>
      <c r="O369" s="418">
        <f t="shared" si="121"/>
        <v>0</v>
      </c>
      <c r="P369" s="525" t="s">
        <v>289</v>
      </c>
      <c r="Q369" s="656" t="s">
        <v>2216</v>
      </c>
      <c r="R369" s="657">
        <v>7.4999999999999997E-2</v>
      </c>
      <c r="S369" s="657">
        <v>0.4</v>
      </c>
      <c r="T369" s="525" t="s">
        <v>2216</v>
      </c>
      <c r="U369" s="626">
        <v>7.4999999999999997E-2</v>
      </c>
      <c r="V369" s="626">
        <v>0.6</v>
      </c>
      <c r="W369" s="656"/>
      <c r="X369" s="657"/>
      <c r="Y369" s="657"/>
      <c r="Z369" s="525"/>
      <c r="AA369" s="626"/>
      <c r="AB369" s="626"/>
      <c r="AC369" s="525"/>
      <c r="AD369" s="626"/>
      <c r="AE369" s="626"/>
      <c r="AF369" s="525"/>
      <c r="AG369" s="525"/>
      <c r="AH369" s="525"/>
    </row>
    <row r="370" spans="3:34" hidden="1">
      <c r="C370" s="523">
        <f t="shared" si="126"/>
        <v>5</v>
      </c>
      <c r="D370" s="523" t="s">
        <v>2284</v>
      </c>
      <c r="E370" s="525" t="s">
        <v>3263</v>
      </c>
      <c r="F370" s="523" t="s">
        <v>146</v>
      </c>
      <c r="G370" s="554">
        <f>'BKTL Tram'!S12</f>
        <v>0</v>
      </c>
      <c r="H370" s="525"/>
      <c r="I370" s="525">
        <f>ROUND(VLOOKUP($P370,DGNC,DG!$S$4,0)*R370*S370,0)</f>
        <v>6586</v>
      </c>
      <c r="J370" s="525">
        <f>ROUND(VLOOKUP($P370,DGNC,DG!$S$4,0)*U370*V370,0)</f>
        <v>9879</v>
      </c>
      <c r="K370" s="525">
        <f t="shared" si="122"/>
        <v>0</v>
      </c>
      <c r="L370" s="525">
        <f t="shared" si="123"/>
        <v>0</v>
      </c>
      <c r="M370" s="525">
        <f t="shared" si="124"/>
        <v>0</v>
      </c>
      <c r="N370" s="525">
        <f t="shared" si="125"/>
        <v>0</v>
      </c>
      <c r="O370" s="418">
        <f t="shared" si="121"/>
        <v>0</v>
      </c>
      <c r="P370" s="525" t="s">
        <v>289</v>
      </c>
      <c r="Q370" s="656" t="s">
        <v>2216</v>
      </c>
      <c r="R370" s="657">
        <v>7.4999999999999997E-2</v>
      </c>
      <c r="S370" s="657">
        <v>0.4</v>
      </c>
      <c r="T370" s="525" t="s">
        <v>2216</v>
      </c>
      <c r="U370" s="626">
        <v>7.4999999999999997E-2</v>
      </c>
      <c r="V370" s="626">
        <v>0.6</v>
      </c>
      <c r="W370" s="656"/>
      <c r="X370" s="657"/>
      <c r="Y370" s="657"/>
      <c r="Z370" s="525"/>
      <c r="AA370" s="626"/>
      <c r="AB370" s="626"/>
      <c r="AC370" s="525"/>
      <c r="AD370" s="626"/>
      <c r="AE370" s="626"/>
      <c r="AF370" s="525"/>
      <c r="AG370" s="525"/>
      <c r="AH370" s="525"/>
    </row>
    <row r="371" spans="3:34" hidden="1">
      <c r="C371" s="523"/>
      <c r="D371" s="525"/>
      <c r="E371" s="525"/>
      <c r="F371" s="523"/>
      <c r="G371" s="525"/>
      <c r="H371" s="525"/>
      <c r="I371" s="525"/>
      <c r="J371" s="525"/>
      <c r="K371" s="525"/>
      <c r="L371" s="525"/>
      <c r="M371" s="525"/>
      <c r="N371" s="525"/>
      <c r="O371" s="418">
        <f>IF((M371+N371)&lt;&gt;0,1,)</f>
        <v>0</v>
      </c>
      <c r="P371" s="525"/>
      <c r="Q371" s="525"/>
      <c r="R371" s="626"/>
      <c r="S371" s="626"/>
      <c r="T371" s="525"/>
      <c r="U371" s="626"/>
      <c r="V371" s="626"/>
      <c r="W371" s="525"/>
      <c r="X371" s="626"/>
      <c r="Y371" s="626"/>
      <c r="Z371" s="525"/>
      <c r="AA371" s="626"/>
      <c r="AB371" s="626"/>
      <c r="AC371" s="525"/>
      <c r="AD371" s="626"/>
      <c r="AE371" s="626"/>
      <c r="AF371" s="525"/>
      <c r="AG371" s="525"/>
      <c r="AH371" s="525"/>
    </row>
    <row r="372" spans="3:34" hidden="1">
      <c r="C372" s="523"/>
      <c r="D372" s="525"/>
      <c r="E372" s="525"/>
      <c r="F372" s="523"/>
      <c r="G372" s="525"/>
      <c r="H372" s="525"/>
      <c r="I372" s="525"/>
      <c r="J372" s="525"/>
      <c r="K372" s="525"/>
      <c r="L372" s="525"/>
      <c r="M372" s="525"/>
      <c r="N372" s="525"/>
      <c r="O372" s="418">
        <f>IF((M372+N372)&lt;&gt;0,1,)</f>
        <v>0</v>
      </c>
      <c r="P372" s="525"/>
      <c r="Q372" s="525"/>
      <c r="R372" s="626"/>
      <c r="S372" s="626"/>
      <c r="T372" s="525"/>
      <c r="U372" s="626"/>
      <c r="V372" s="626"/>
      <c r="W372" s="525"/>
      <c r="X372" s="626"/>
      <c r="Y372" s="626"/>
      <c r="Z372" s="525"/>
      <c r="AA372" s="626"/>
      <c r="AB372" s="626"/>
      <c r="AC372" s="525"/>
      <c r="AD372" s="626"/>
      <c r="AE372" s="626"/>
      <c r="AF372" s="525"/>
      <c r="AG372" s="525"/>
      <c r="AH372" s="525"/>
    </row>
    <row r="373" spans="3:34" hidden="1">
      <c r="C373" s="523"/>
      <c r="D373" s="525"/>
      <c r="E373" s="525"/>
      <c r="F373" s="523"/>
      <c r="G373" s="525"/>
      <c r="H373" s="525"/>
      <c r="I373" s="525"/>
      <c r="J373" s="525"/>
      <c r="K373" s="525"/>
      <c r="L373" s="525"/>
      <c r="M373" s="525"/>
      <c r="N373" s="525"/>
      <c r="O373" s="418">
        <f>IF((M373+N373)&lt;&gt;0,1,)</f>
        <v>0</v>
      </c>
      <c r="P373" s="525"/>
      <c r="Q373" s="525"/>
      <c r="R373" s="626"/>
      <c r="S373" s="626"/>
      <c r="T373" s="525"/>
      <c r="U373" s="626"/>
      <c r="V373" s="626"/>
      <c r="W373" s="525"/>
      <c r="X373" s="626"/>
      <c r="Y373" s="626"/>
      <c r="Z373" s="525"/>
      <c r="AA373" s="626"/>
      <c r="AB373" s="626"/>
      <c r="AC373" s="525"/>
      <c r="AD373" s="626"/>
      <c r="AE373" s="626"/>
      <c r="AF373" s="525"/>
      <c r="AG373" s="525"/>
      <c r="AH373" s="525"/>
    </row>
    <row r="375" spans="3:34">
      <c r="C375" s="405" t="s">
        <v>2254</v>
      </c>
    </row>
  </sheetData>
  <autoFilter ref="O6:O373" xr:uid="{00000000-0009-0000-0000-00000D000000}">
    <filterColumn colId="0">
      <customFilters>
        <customFilter operator="notEqual" val=" "/>
      </customFilters>
    </filterColumn>
  </autoFilter>
  <mergeCells count="28">
    <mergeCell ref="I5:J5"/>
    <mergeCell ref="K5:L5"/>
    <mergeCell ref="M5:N5"/>
    <mergeCell ref="C5:C6"/>
    <mergeCell ref="D5:D6"/>
    <mergeCell ref="E5:E6"/>
    <mergeCell ref="F5:F6"/>
    <mergeCell ref="G5:G6"/>
    <mergeCell ref="H5:H6"/>
    <mergeCell ref="P5:P6"/>
    <mergeCell ref="Q5:Q6"/>
    <mergeCell ref="R5:R6"/>
    <mergeCell ref="S5:S6"/>
    <mergeCell ref="T5:T6"/>
    <mergeCell ref="AH5:AH6"/>
    <mergeCell ref="AA5:AA6"/>
    <mergeCell ref="AB5:AB6"/>
    <mergeCell ref="U5:U6"/>
    <mergeCell ref="V5:V6"/>
    <mergeCell ref="W5:W6"/>
    <mergeCell ref="X5:X6"/>
    <mergeCell ref="Y5:Y6"/>
    <mergeCell ref="Z5:Z6"/>
    <mergeCell ref="AC5:AC6"/>
    <mergeCell ref="AD5:AD6"/>
    <mergeCell ref="AE5:AE6"/>
    <mergeCell ref="AF5:AF6"/>
    <mergeCell ref="AG5:AG6"/>
  </mergeCells>
  <printOptions horizontalCentered="1"/>
  <pageMargins left="0.19685039370078741" right="0.17" top="0.78740157480314965" bottom="0.19685039370078741" header="0.31496062992125984" footer="0.31496062992125984"/>
  <pageSetup paperSize="9" scale="90" orientation="landscape" blackAndWhite="1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N394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3.6640625" style="332" customWidth="1"/>
    <col min="2" max="2" width="17.44140625" style="332" customWidth="1"/>
    <col min="3" max="3" width="7" style="332" customWidth="1"/>
    <col min="4" max="4" width="60.33203125" style="332" customWidth="1"/>
    <col min="5" max="5" width="14.109375" style="332" customWidth="1"/>
    <col min="6" max="6" width="10.88671875" style="332" customWidth="1"/>
    <col min="7" max="7" width="8.5546875" style="332" customWidth="1"/>
    <col min="8" max="8" width="14.6640625" style="332" customWidth="1"/>
    <col min="9" max="9" width="7.5546875" style="332" customWidth="1"/>
    <col min="10" max="10" width="9.109375" style="332"/>
    <col min="11" max="11" width="32.109375" style="332" customWidth="1"/>
    <col min="12" max="16384" width="9.109375" style="332"/>
  </cols>
  <sheetData>
    <row r="1" spans="1:13">
      <c r="D1" s="332" t="s">
        <v>2561</v>
      </c>
      <c r="E1" s="332">
        <v>30</v>
      </c>
      <c r="H1" s="332" t="s">
        <v>2564</v>
      </c>
      <c r="I1" s="332">
        <f>$K$341</f>
        <v>2</v>
      </c>
      <c r="K1" s="332" t="s">
        <v>2569</v>
      </c>
      <c r="L1" s="332">
        <v>5</v>
      </c>
      <c r="M1" s="332" t="s">
        <v>1634</v>
      </c>
    </row>
    <row r="2" spans="1:13">
      <c r="D2" s="332" t="s">
        <v>2562</v>
      </c>
      <c r="E2" s="332">
        <v>10</v>
      </c>
      <c r="H2" s="332" t="s">
        <v>2565</v>
      </c>
      <c r="I2" s="332">
        <f>$L$341</f>
        <v>3</v>
      </c>
      <c r="K2" s="332" t="s">
        <v>2570</v>
      </c>
      <c r="L2" s="332">
        <v>5</v>
      </c>
      <c r="M2" s="332" t="s">
        <v>1634</v>
      </c>
    </row>
    <row r="3" spans="1:13">
      <c r="D3" s="332" t="s">
        <v>2563</v>
      </c>
      <c r="E3" s="332">
        <f>E1</f>
        <v>30</v>
      </c>
      <c r="H3" s="332" t="s">
        <v>2566</v>
      </c>
      <c r="I3" s="332">
        <f>$M$341</f>
        <v>4</v>
      </c>
      <c r="K3" s="332" t="s">
        <v>2571</v>
      </c>
      <c r="L3" s="332">
        <v>5</v>
      </c>
      <c r="M3" s="332" t="s">
        <v>1634</v>
      </c>
    </row>
    <row r="4" spans="1:13">
      <c r="H4" s="332" t="s">
        <v>2567</v>
      </c>
      <c r="I4" s="332">
        <f>$N$341</f>
        <v>5</v>
      </c>
    </row>
    <row r="5" spans="1:13">
      <c r="A5" s="342">
        <v>1</v>
      </c>
      <c r="B5" s="342">
        <v>2</v>
      </c>
      <c r="C5" s="342">
        <v>3</v>
      </c>
      <c r="D5" s="342">
        <v>4</v>
      </c>
      <c r="E5" s="342">
        <v>5</v>
      </c>
      <c r="F5" s="342">
        <v>6</v>
      </c>
    </row>
    <row r="6" spans="1:13">
      <c r="C6" s="336" t="s">
        <v>4010</v>
      </c>
      <c r="D6" s="336"/>
      <c r="E6" s="336"/>
      <c r="F6" s="336"/>
    </row>
    <row r="8" spans="1:13" ht="31.2">
      <c r="C8" s="388" t="s">
        <v>1763</v>
      </c>
      <c r="D8" s="388" t="s">
        <v>1839</v>
      </c>
      <c r="E8" s="388" t="s">
        <v>1627</v>
      </c>
      <c r="F8" s="388" t="s">
        <v>1398</v>
      </c>
    </row>
    <row r="9" spans="1:13">
      <c r="A9" s="332" t="str">
        <f>"VC"&amp;B9</f>
        <v>VCTT3P</v>
      </c>
      <c r="B9" s="389" t="s">
        <v>1743</v>
      </c>
      <c r="C9" s="390" t="s">
        <v>1631</v>
      </c>
      <c r="D9" s="391" t="s">
        <v>1749</v>
      </c>
      <c r="E9" s="391">
        <f>SUM(E10:E19)</f>
        <v>124208329</v>
      </c>
      <c r="F9" s="392"/>
      <c r="G9" s="333">
        <f>IF(E9&lt;&gt;0,1,)</f>
        <v>1</v>
      </c>
    </row>
    <row r="10" spans="1:13">
      <c r="C10" s="393" t="s">
        <v>1415</v>
      </c>
      <c r="D10" s="394" t="s">
        <v>2551</v>
      </c>
      <c r="E10" s="394"/>
      <c r="F10" s="394"/>
      <c r="G10" s="333">
        <f>G9</f>
        <v>1</v>
      </c>
    </row>
    <row r="11" spans="1:13">
      <c r="B11" s="332" t="str">
        <f>$B$9</f>
        <v>TT3P</v>
      </c>
      <c r="C11" s="395"/>
      <c r="D11" s="396" t="str">
        <f>ROUNDUP(HLOOKUP(B11,KLDD,4,0)/($L$1*1000),0)&amp;" chuyến x "&amp;$L$1&amp;" tấn x "&amp;$E$1&amp;"km x "&amp;VLOOKUP($E$1,DGVCDD,$I$4,0)&amp;"đ/km"</f>
        <v>65 chuyến x 5 tấn x 30km x 1057đ/km</v>
      </c>
      <c r="E11" s="396">
        <f>ROUND(ROUNDUP(HLOOKUP(B11,KLDD,4,0)/($L$1*1000),0)*$L$1*$E$1*VLOOKUP($E$1,DGVCDD,$I$4,0),0)</f>
        <v>10305750</v>
      </c>
      <c r="F11" s="394"/>
      <c r="G11" s="333">
        <f>G9</f>
        <v>1</v>
      </c>
    </row>
    <row r="12" spans="1:13">
      <c r="C12" s="393" t="s">
        <v>1416</v>
      </c>
      <c r="D12" s="394" t="s">
        <v>2555</v>
      </c>
      <c r="E12" s="394"/>
      <c r="F12" s="394"/>
      <c r="G12" s="333">
        <f>G9</f>
        <v>1</v>
      </c>
    </row>
    <row r="13" spans="1:13">
      <c r="B13" s="332" t="str">
        <f>$B$9</f>
        <v>TT3P</v>
      </c>
      <c r="C13" s="395"/>
      <c r="D13" s="396" t="str">
        <f>ROUNDUP(HLOOKUP(B13,KLDD,3,0)/($L$2*1000),0)&amp;" chuyến x "&amp;$L$2&amp;" tấn x "&amp;$E$2&amp;"km x "&amp;VLOOKUP($E$2,DGVCDD,$I$4,0)&amp;"đ/km"</f>
        <v>82 chuyến x 5 tấn x 10km x 2231đ/km</v>
      </c>
      <c r="E13" s="396">
        <f>ROUND(ROUNDUP(HLOOKUP(B13,KLDD,3,0)/($L$2*1000),0)*$L$2*$E$2*VLOOKUP($E$2,DGVCDD,$I$4,0),0)</f>
        <v>9147100</v>
      </c>
      <c r="F13" s="394"/>
      <c r="G13" s="333">
        <f>G9</f>
        <v>1</v>
      </c>
    </row>
    <row r="14" spans="1:13">
      <c r="C14" s="393" t="s">
        <v>1417</v>
      </c>
      <c r="D14" s="394" t="s">
        <v>2573</v>
      </c>
      <c r="E14" s="394"/>
      <c r="F14" s="394"/>
      <c r="G14" s="333">
        <f>G9</f>
        <v>1</v>
      </c>
    </row>
    <row r="15" spans="1:13">
      <c r="B15" s="332" t="str">
        <f>$B$9</f>
        <v>TT3P</v>
      </c>
      <c r="C15" s="395"/>
      <c r="D15" s="396" t="str">
        <f>"2 x 0,05ca/tấn x "&amp;ROUND(HLOOKUP(B15,KLDD,3,0)/1000,1)&amp;" tấn x "&amp;VLOOKUP(H15,DGMTC,8,0)&amp;" đ/ca"</f>
        <v>2 x 0,05ca/tấn x 407,5 tấn x 1386944 đ/ca</v>
      </c>
      <c r="E15" s="396">
        <f>ROUND(2*0.05*ROUND(HLOOKUP(B15,KLDD,3,0)/1000,1)*VLOOKUP(H15,DGMTC,8,0),0)</f>
        <v>56517968</v>
      </c>
      <c r="F15" s="394"/>
      <c r="G15" s="333">
        <f>G9</f>
        <v>1</v>
      </c>
      <c r="H15" s="332" t="s">
        <v>898</v>
      </c>
    </row>
    <row r="16" spans="1:13">
      <c r="C16" s="393" t="s">
        <v>2552</v>
      </c>
      <c r="D16" s="394" t="s">
        <v>2574</v>
      </c>
      <c r="E16" s="394"/>
      <c r="F16" s="394"/>
      <c r="G16" s="333">
        <f>G9</f>
        <v>1</v>
      </c>
    </row>
    <row r="17" spans="1:8">
      <c r="B17" s="332" t="str">
        <f>$B$9</f>
        <v>TT3P</v>
      </c>
      <c r="C17" s="395"/>
      <c r="D17" s="396" t="str">
        <f>"2 x 0,05ca/tấn x "&amp;ROUND(HLOOKUP(B17,KLDD,4,0)/1000,1)&amp;" tấn x "&amp;VLOOKUP(H17,DGMTC,8,0)&amp;" đ/ca"</f>
        <v>2 x 0,05ca/tấn x 321,3 tấn x 1386944 đ/ca</v>
      </c>
      <c r="E17" s="396">
        <f>ROUND(2*0.05*ROUND(HLOOKUP(B17,KLDD,4,0)/1000,1)*VLOOKUP(H17,DGMTC,8,0),0)</f>
        <v>44562511</v>
      </c>
      <c r="F17" s="394"/>
      <c r="G17" s="333">
        <f>G9</f>
        <v>1</v>
      </c>
      <c r="H17" s="332" t="s">
        <v>898</v>
      </c>
    </row>
    <row r="18" spans="1:8">
      <c r="C18" s="393" t="s">
        <v>2553</v>
      </c>
      <c r="D18" s="394" t="s">
        <v>3379</v>
      </c>
      <c r="E18" s="394"/>
      <c r="F18" s="394"/>
      <c r="G18" s="333">
        <f>G9</f>
        <v>1</v>
      </c>
    </row>
    <row r="19" spans="1:8">
      <c r="B19" s="332" t="str">
        <f>$B$9</f>
        <v>TT3P</v>
      </c>
      <c r="C19" s="395"/>
      <c r="D19" s="396" t="str">
        <f>ROUNDUP(HLOOKUP(B19,KLDD,3,0)/($L$2*1000),0)+ROUNDUP(HLOOKUP(B19,KLDD,4,0)/($L$1*1000),0)&amp;" chuyến x 25.000đ/chuyến"</f>
        <v>147 chuyến x 25.000đ/chuyến</v>
      </c>
      <c r="E19" s="396">
        <f>(ROUNDUP(HLOOKUP(B11,KLDD,3,0)/($L$2*1000),0)+ROUNDUP(HLOOKUP(B11,KLDD,4,0)/($L$1*1000),0))*25000</f>
        <v>3675000</v>
      </c>
      <c r="F19" s="394"/>
      <c r="G19" s="333">
        <f>G9</f>
        <v>1</v>
      </c>
    </row>
    <row r="20" spans="1:8">
      <c r="A20" s="332" t="str">
        <f>"VC"&amp;B20</f>
        <v>VCHT</v>
      </c>
      <c r="B20" s="389" t="s">
        <v>1745</v>
      </c>
      <c r="C20" s="390" t="s">
        <v>1663</v>
      </c>
      <c r="D20" s="391" t="s">
        <v>2572</v>
      </c>
      <c r="E20" s="391">
        <f>SUM(E21:E30)</f>
        <v>46123319</v>
      </c>
      <c r="F20" s="392"/>
      <c r="G20" s="333">
        <f>IF(E20&lt;&gt;0,1,)</f>
        <v>1</v>
      </c>
    </row>
    <row r="21" spans="1:8">
      <c r="C21" s="393" t="s">
        <v>1415</v>
      </c>
      <c r="D21" s="394" t="s">
        <v>2551</v>
      </c>
      <c r="E21" s="394"/>
      <c r="F21" s="394"/>
      <c r="G21" s="333">
        <f>G20</f>
        <v>1</v>
      </c>
    </row>
    <row r="22" spans="1:8">
      <c r="B22" s="332" t="str">
        <f>$B$20</f>
        <v>HT</v>
      </c>
      <c r="C22" s="395"/>
      <c r="D22" s="396" t="str">
        <f>ROUNDUP(HLOOKUP(B22,KLDD,4,0)/($L$1*1000),0)&amp;" chuyến x "&amp;$L$1&amp;" tấn x "&amp;$E$1&amp;"km x "&amp;VLOOKUP($E$1,DGVCDD,$I$4,0)&amp;"đ/km"</f>
        <v>28 chuyến x 5 tấn x 30km x 1057đ/km</v>
      </c>
      <c r="E22" s="396">
        <f>ROUND(ROUNDUP(HLOOKUP(B22,KLDD,4,0)/($L$1*1000),0)*$L$1*$E$1*VLOOKUP($E$1,DGVCDD,$I$4,0),0)</f>
        <v>4439400</v>
      </c>
      <c r="F22" s="394"/>
      <c r="G22" s="333">
        <f>G20</f>
        <v>1</v>
      </c>
    </row>
    <row r="23" spans="1:8">
      <c r="C23" s="393" t="s">
        <v>1416</v>
      </c>
      <c r="D23" s="394" t="s">
        <v>2555</v>
      </c>
      <c r="E23" s="394"/>
      <c r="F23" s="394"/>
      <c r="G23" s="333">
        <f>G20</f>
        <v>1</v>
      </c>
    </row>
    <row r="24" spans="1:8">
      <c r="B24" s="332" t="str">
        <f>$B$20</f>
        <v>HT</v>
      </c>
      <c r="C24" s="395"/>
      <c r="D24" s="396" t="str">
        <f>ROUNDUP(HLOOKUP(B24,KLDD,3,0)/($L$2*1000),0)&amp;" chuyến x "&amp;$L$2&amp;" tấn x "&amp;$E$2&amp;"km x "&amp;VLOOKUP($E$2,DGVCDD,$I$4,0)&amp;"đ/km"</f>
        <v>26 chuyến x 5 tấn x 10km x 2231đ/km</v>
      </c>
      <c r="E24" s="396">
        <f>ROUND(ROUNDUP(HLOOKUP(B24,KLDD,3,0)/($L$2*1000),0)*$L$2*$E$2*VLOOKUP($E$2,DGVCDD,$I$4,0),0)</f>
        <v>2900300</v>
      </c>
      <c r="F24" s="394"/>
      <c r="G24" s="333">
        <f>G20</f>
        <v>1</v>
      </c>
    </row>
    <row r="25" spans="1:8">
      <c r="C25" s="393" t="s">
        <v>1417</v>
      </c>
      <c r="D25" s="394" t="s">
        <v>2573</v>
      </c>
      <c r="E25" s="394"/>
      <c r="F25" s="394"/>
      <c r="G25" s="333">
        <f>G20</f>
        <v>1</v>
      </c>
    </row>
    <row r="26" spans="1:8">
      <c r="B26" s="332" t="str">
        <f>$B$20</f>
        <v>HT</v>
      </c>
      <c r="C26" s="395"/>
      <c r="D26" s="396" t="str">
        <f>"2 x 0,05ca/tấn x "&amp;ROUND(HLOOKUP(B26,KLDD,3,0)/1000,1)&amp;" tấn x "&amp;VLOOKUP(H26,DGMTC,8,0)&amp;" đ/ca"</f>
        <v>2 x 0,05ca/tấn x 129,9 tấn x 1386944 đ/ca</v>
      </c>
      <c r="E26" s="396">
        <f>ROUND(2*0.05*ROUND(HLOOKUP(B26,KLDD,3,0)/1000,1)*VLOOKUP(H26,DGMTC,8,0),0)</f>
        <v>18016403</v>
      </c>
      <c r="F26" s="394"/>
      <c r="G26" s="333">
        <f>G20</f>
        <v>1</v>
      </c>
      <c r="H26" s="332" t="s">
        <v>898</v>
      </c>
    </row>
    <row r="27" spans="1:8">
      <c r="C27" s="393" t="s">
        <v>2552</v>
      </c>
      <c r="D27" s="394" t="s">
        <v>2556</v>
      </c>
      <c r="E27" s="394"/>
      <c r="F27" s="394"/>
      <c r="G27" s="333">
        <f>G20</f>
        <v>1</v>
      </c>
    </row>
    <row r="28" spans="1:8">
      <c r="B28" s="332" t="str">
        <f>$B$20</f>
        <v>HT</v>
      </c>
      <c r="C28" s="395"/>
      <c r="D28" s="396" t="str">
        <f>"2 x 0,05ca/tấn x "&amp;ROUND(HLOOKUP(B28,KLDD,4,0)/1000,1)&amp;" tấn x "&amp;VLOOKUP(H28,DGMTC,8,0)&amp;" đ/ca"</f>
        <v>2 x 0,05ca/tấn x 140 tấn x 1386944 đ/ca</v>
      </c>
      <c r="E28" s="396">
        <f>ROUND(2*0.05*ROUND(HLOOKUP(B28,KLDD,4,0)/1000,1)*VLOOKUP(H28,DGMTC,8,0),0)</f>
        <v>19417216</v>
      </c>
      <c r="F28" s="394"/>
      <c r="G28" s="333">
        <f>G20</f>
        <v>1</v>
      </c>
      <c r="H28" s="332" t="s">
        <v>898</v>
      </c>
    </row>
    <row r="29" spans="1:8">
      <c r="C29" s="393" t="s">
        <v>2553</v>
      </c>
      <c r="D29" s="394" t="s">
        <v>3379</v>
      </c>
      <c r="E29" s="394"/>
      <c r="F29" s="394"/>
      <c r="G29" s="333">
        <f>G20</f>
        <v>1</v>
      </c>
    </row>
    <row r="30" spans="1:8">
      <c r="B30" s="332" t="str">
        <f>$B$20</f>
        <v>HT</v>
      </c>
      <c r="C30" s="395"/>
      <c r="D30" s="396" t="str">
        <f>ROUNDUP(HLOOKUP(B22,KLDD,3,0)/($L$2*1000),0)+ROUNDUP(HLOOKUP(B22,KLDD,4,0)/($L$1*1000),0)&amp;" chuyến x 25.000đ/chuyến"</f>
        <v>54 chuyến x 25.000đ/chuyến</v>
      </c>
      <c r="E30" s="396">
        <f>(ROUNDUP(HLOOKUP(B22,KLDD,3,0)/($L$2*1000),0)+ROUNDUP(HLOOKUP(B22,KLDD,4,0)/($L$1*1000),0))*25000</f>
        <v>1350000</v>
      </c>
      <c r="F30" s="394"/>
      <c r="G30" s="333">
        <f>G20</f>
        <v>1</v>
      </c>
    </row>
    <row r="31" spans="1:8" hidden="1">
      <c r="A31" s="332" t="str">
        <f>"VC"&amp;B33</f>
        <v>VCVLTR25</v>
      </c>
      <c r="B31" s="389" t="s">
        <v>2088</v>
      </c>
      <c r="C31" s="390" t="s">
        <v>1717</v>
      </c>
      <c r="D31" s="391" t="str">
        <f>"Vận chuyển vật liệu "&amp;VLOOKUP(B31,CTTBA,'7.CT-TBA'!$E$25,0)</f>
        <v>Vận chuyển vật liệu 0 Trạm 1 pha 25kVA</v>
      </c>
      <c r="E31" s="391">
        <f>SUM(E32:E37)</f>
        <v>0</v>
      </c>
      <c r="F31" s="392"/>
      <c r="G31" s="333">
        <f>IF(E31&lt;&gt;0,1,)</f>
        <v>0</v>
      </c>
    </row>
    <row r="32" spans="1:8" hidden="1">
      <c r="C32" s="393" t="s">
        <v>1415</v>
      </c>
      <c r="D32" s="394" t="s">
        <v>2557</v>
      </c>
      <c r="E32" s="394"/>
      <c r="F32" s="394"/>
      <c r="G32" s="333">
        <f>G31</f>
        <v>0</v>
      </c>
    </row>
    <row r="33" spans="1:8" hidden="1">
      <c r="B33" s="332" t="str">
        <f>"VL"&amp;B31</f>
        <v>VLTR25</v>
      </c>
      <c r="C33" s="395"/>
      <c r="D33" s="396" t="str">
        <f>ROUNDUP(VLOOKUP(B33,CTTBA,'7.CT-TBA'!$T$25,0)/($L$2*1000),0)&amp;" chuyến x "&amp;$L$2&amp;" tấn x "&amp;$E$2&amp;"km x "&amp;VLOOKUP($E$2,DGVCDD,$I$4,0)&amp;"đ/km"</f>
        <v>0 chuyến x 5 tấn x 10km x 2231đ/km</v>
      </c>
      <c r="E33" s="396">
        <f>ROUND(ROUNDUP(VLOOKUP(B33,CTTBA,'7.CT-TBA'!$T$25,0)/($L$2*1000),0)*$L$2*$E$2*VLOOKUP($E$2,DGVCDD,$I$4,0),0)</f>
        <v>0</v>
      </c>
      <c r="F33" s="394"/>
      <c r="G33" s="333">
        <f>G31</f>
        <v>0</v>
      </c>
    </row>
    <row r="34" spans="1:8" hidden="1">
      <c r="C34" s="393" t="s">
        <v>1416</v>
      </c>
      <c r="D34" s="394" t="s">
        <v>2573</v>
      </c>
      <c r="E34" s="394"/>
      <c r="F34" s="394"/>
      <c r="G34" s="333">
        <f>G31</f>
        <v>0</v>
      </c>
    </row>
    <row r="35" spans="1:8" hidden="1">
      <c r="B35" s="332" t="str">
        <f>"VL"&amp;B31</f>
        <v>VLTR25</v>
      </c>
      <c r="C35" s="395"/>
      <c r="D35" s="396" t="str">
        <f>"2 x 0,05 ca/tấn x "&amp;ROUND(VLOOKUP(B35,CTTBA,'7.CT-TBA'!$T$25,0)/1000,1)&amp;" tấn x "&amp;VLOOKUP(H35,DGMTC,8,0)&amp;"đ/ca"</f>
        <v>2 x 0,05 ca/tấn x 0 tấn x 1386944đ/ca</v>
      </c>
      <c r="E35" s="396">
        <f>ROUND(2*0.05*ROUND(VLOOKUP(B35,CTTBA,'7.CT-TBA'!$T$25,0)/1000,1)*VLOOKUP(H35,DGMTC,8,0),0)</f>
        <v>0</v>
      </c>
      <c r="F35" s="394"/>
      <c r="G35" s="333">
        <f>G31</f>
        <v>0</v>
      </c>
      <c r="H35" s="332" t="s">
        <v>898</v>
      </c>
    </row>
    <row r="36" spans="1:8" hidden="1">
      <c r="C36" s="393" t="s">
        <v>1417</v>
      </c>
      <c r="D36" s="394" t="s">
        <v>2558</v>
      </c>
      <c r="E36" s="394"/>
      <c r="F36" s="394"/>
      <c r="G36" s="333">
        <f>G31</f>
        <v>0</v>
      </c>
    </row>
    <row r="37" spans="1:8" hidden="1">
      <c r="B37" s="332" t="str">
        <f>"VL"&amp;B31</f>
        <v>VLTR25</v>
      </c>
      <c r="C37" s="395"/>
      <c r="D37" s="396" t="str">
        <f>ROUNDUP(VLOOKUP(B37,CTTBA,'7.CT-TBA'!$T$25,0)/($L$2*1000),0)&amp;" chuyến x 25.000đ/chuyến"</f>
        <v>0 chuyến x 25.000đ/chuyến</v>
      </c>
      <c r="E37" s="396">
        <f>ROUNDUP(VLOOKUP(B37,CTTBA,'7.CT-TBA'!$T$25,0)/($L$2*1000),0)*25000</f>
        <v>0</v>
      </c>
      <c r="F37" s="394"/>
      <c r="G37" s="333">
        <f>G31</f>
        <v>0</v>
      </c>
    </row>
    <row r="38" spans="1:8" hidden="1">
      <c r="A38" s="332" t="str">
        <f>"VC"&amp;B40</f>
        <v>VCTBTR25</v>
      </c>
      <c r="B38" s="332" t="str">
        <f>B31</f>
        <v>TR25</v>
      </c>
      <c r="C38" s="390" t="s">
        <v>1729</v>
      </c>
      <c r="D38" s="391" t="str">
        <f>"Vận chuyển thiết bị "&amp;VLOOKUP(B38,CTTBA,'7.CT-TBA'!$E$25,0)</f>
        <v>Vận chuyển thiết bị 0 Trạm 1 pha 25kVA</v>
      </c>
      <c r="E38" s="391">
        <f>SUM(E39:E44)</f>
        <v>0</v>
      </c>
      <c r="F38" s="392"/>
      <c r="G38" s="333">
        <f>IF(E38&lt;&gt;0,1,)</f>
        <v>0</v>
      </c>
    </row>
    <row r="39" spans="1:8" hidden="1">
      <c r="C39" s="393" t="s">
        <v>1415</v>
      </c>
      <c r="D39" s="394" t="s">
        <v>2559</v>
      </c>
      <c r="E39" s="394"/>
      <c r="F39" s="394"/>
      <c r="G39" s="333">
        <f>G38</f>
        <v>0</v>
      </c>
    </row>
    <row r="40" spans="1:8" hidden="1">
      <c r="B40" s="332" t="str">
        <f>"TB"&amp;B38</f>
        <v>TBTR25</v>
      </c>
      <c r="C40" s="395"/>
      <c r="D40" s="396" t="str">
        <f>ROUNDUP(VLOOKUP(B40,CTTBA,'7.CT-TBA'!$T$25,0)/($L$2*1000),0)&amp;" chuyến x "&amp;$L$2&amp;" tấn x "&amp;$E$2&amp;"km x "&amp;VLOOKUP($E$2,DGVCDD,$I$4,0)&amp;"đ/km"</f>
        <v>0 chuyến x 5 tấn x 10km x 2231đ/km</v>
      </c>
      <c r="E40" s="396">
        <f>ROUND(ROUNDUP(VLOOKUP(B40,CTTBA,'7.CT-TBA'!$T$25,0)/($L$2*1000),0)*$L$2*$E$2*VLOOKUP($E$2,DGVCDD,$I$4,0),0)</f>
        <v>0</v>
      </c>
      <c r="F40" s="394"/>
      <c r="G40" s="333">
        <f>G38</f>
        <v>0</v>
      </c>
    </row>
    <row r="41" spans="1:8" hidden="1">
      <c r="C41" s="393" t="s">
        <v>1416</v>
      </c>
      <c r="D41" s="394" t="s">
        <v>2575</v>
      </c>
      <c r="E41" s="394"/>
      <c r="F41" s="394"/>
      <c r="G41" s="333">
        <f>G38</f>
        <v>0</v>
      </c>
    </row>
    <row r="42" spans="1:8" hidden="1">
      <c r="B42" s="332" t="str">
        <f>"TB"&amp;B38</f>
        <v>TBTR25</v>
      </c>
      <c r="C42" s="395"/>
      <c r="D42" s="396" t="str">
        <f>"2 x 0,05 ca/tấn x "&amp;ROUND(VLOOKUP(B42,CTTBA,'7.CT-TBA'!$T$25,0)/1000,1)&amp;" tấn x "&amp;VLOOKUP(H35,DGMTC,8,0)&amp;"đ/ca"</f>
        <v>2 x 0,05 ca/tấn x 0 tấn x 1386944đ/ca</v>
      </c>
      <c r="E42" s="396">
        <f>ROUND(2*0.05*ROUND(VLOOKUP(B42,CTTBA,'7.CT-TBA'!$T$25,0)/1000,1)*VLOOKUP(H42,DGMTC,8,0),0)</f>
        <v>0</v>
      </c>
      <c r="F42" s="394"/>
      <c r="G42" s="333">
        <f>G38</f>
        <v>0</v>
      </c>
      <c r="H42" s="332" t="s">
        <v>898</v>
      </c>
    </row>
    <row r="43" spans="1:8" hidden="1">
      <c r="C43" s="393" t="s">
        <v>1417</v>
      </c>
      <c r="D43" s="394" t="s">
        <v>2554</v>
      </c>
      <c r="E43" s="394"/>
      <c r="F43" s="394"/>
      <c r="G43" s="333">
        <f>G38</f>
        <v>0</v>
      </c>
    </row>
    <row r="44" spans="1:8" hidden="1">
      <c r="B44" s="332" t="str">
        <f>"TB"&amp;B38</f>
        <v>TBTR25</v>
      </c>
      <c r="C44" s="395"/>
      <c r="D44" s="396" t="str">
        <f>ROUNDUP(VLOOKUP(B44,CTTBA,'7.CT-TBA'!$T$25,0)/($L$2*1000),0)&amp;" chuyến x 25.000đ/chuyến"</f>
        <v>0 chuyến x 25.000đ/chuyến</v>
      </c>
      <c r="E44" s="396">
        <f>ROUNDUP(VLOOKUP(B44,CTTBA,'7.CT-TBA'!$T$25,0)/($L$2*1000),0)*25000</f>
        <v>0</v>
      </c>
      <c r="F44" s="394"/>
      <c r="G44" s="333">
        <f>G38</f>
        <v>0</v>
      </c>
    </row>
    <row r="45" spans="1:8" hidden="1">
      <c r="A45" s="332" t="str">
        <f>"VC"&amp;B47</f>
        <v>VCVLTR375</v>
      </c>
      <c r="B45" s="389" t="s">
        <v>2089</v>
      </c>
      <c r="C45" s="390" t="s">
        <v>1717</v>
      </c>
      <c r="D45" s="391" t="str">
        <f>"Vận chuyển vật liệu "&amp;VLOOKUP(B45,CTTBA,'7.CT-TBA'!$E$25,0)</f>
        <v>Vận chuyển vật liệu 0 Trạm 1 pha 37,5kVA</v>
      </c>
      <c r="E45" s="391">
        <f>SUM(E46:E51)</f>
        <v>0</v>
      </c>
      <c r="F45" s="392"/>
      <c r="G45" s="333">
        <f>IF(E45&lt;&gt;0,1,)</f>
        <v>0</v>
      </c>
    </row>
    <row r="46" spans="1:8" hidden="1">
      <c r="C46" s="393" t="s">
        <v>1415</v>
      </c>
      <c r="D46" s="394" t="s">
        <v>2557</v>
      </c>
      <c r="E46" s="394"/>
      <c r="F46" s="394"/>
      <c r="G46" s="333">
        <f>G45</f>
        <v>0</v>
      </c>
    </row>
    <row r="47" spans="1:8" hidden="1">
      <c r="B47" s="332" t="str">
        <f>"VL"&amp;B45</f>
        <v>VLTR375</v>
      </c>
      <c r="C47" s="395"/>
      <c r="D47" s="396" t="str">
        <f>ROUNDUP(VLOOKUP(B47,CTTBA,'7.CT-TBA'!$T$25,0)/($L$2*1000),0)&amp;" chuyến x "&amp;$L$2&amp;" tấn x "&amp;$E$2&amp;"km x "&amp;VLOOKUP($E$2,DGVCDD,$I$4,0)&amp;"đ/km"</f>
        <v>0 chuyến x 5 tấn x 10km x 2231đ/km</v>
      </c>
      <c r="E47" s="396">
        <f>ROUND(ROUNDUP(VLOOKUP(B47,CTTBA,'7.CT-TBA'!$T$25,0)/($L$2*1000),0)*$L$2*$E$2*VLOOKUP($E$2,DGVCDD,$I$4,0),0)</f>
        <v>0</v>
      </c>
      <c r="F47" s="394"/>
      <c r="G47" s="333">
        <f>G45</f>
        <v>0</v>
      </c>
    </row>
    <row r="48" spans="1:8" hidden="1">
      <c r="C48" s="393" t="s">
        <v>1416</v>
      </c>
      <c r="D48" s="394" t="s">
        <v>2573</v>
      </c>
      <c r="E48" s="394"/>
      <c r="F48" s="394"/>
      <c r="G48" s="333">
        <f>G45</f>
        <v>0</v>
      </c>
    </row>
    <row r="49" spans="1:8" hidden="1">
      <c r="B49" s="332" t="str">
        <f>"VL"&amp;B45</f>
        <v>VLTR375</v>
      </c>
      <c r="C49" s="395"/>
      <c r="D49" s="396" t="str">
        <f>"2 x 0,05 ca/tấn x "&amp;ROUND(VLOOKUP(B49,CTTBA,'7.CT-TBA'!$T$25,0)/1000,1)&amp;" tấn x "&amp;VLOOKUP(H49,DGMTC,8,0)&amp;"đ/ca"</f>
        <v>2 x 0,05 ca/tấn x 0 tấn x 1386944đ/ca</v>
      </c>
      <c r="E49" s="396">
        <f>ROUND(2*0.05*ROUND(VLOOKUP(B49,CTTBA,'7.CT-TBA'!$T$25,0)/1000,1)*VLOOKUP(H49,DGMTC,8,0),0)</f>
        <v>0</v>
      </c>
      <c r="F49" s="394"/>
      <c r="G49" s="333">
        <f>G45</f>
        <v>0</v>
      </c>
      <c r="H49" s="332" t="s">
        <v>898</v>
      </c>
    </row>
    <row r="50" spans="1:8" hidden="1">
      <c r="C50" s="393" t="s">
        <v>1417</v>
      </c>
      <c r="D50" s="394" t="s">
        <v>2558</v>
      </c>
      <c r="E50" s="394"/>
      <c r="F50" s="394"/>
      <c r="G50" s="333">
        <f>G45</f>
        <v>0</v>
      </c>
    </row>
    <row r="51" spans="1:8" hidden="1">
      <c r="B51" s="332" t="str">
        <f>"VL"&amp;B45</f>
        <v>VLTR375</v>
      </c>
      <c r="C51" s="395"/>
      <c r="D51" s="396" t="str">
        <f>ROUNDUP(VLOOKUP(B51,CTTBA,'7.CT-TBA'!$T$25,0)/($L$2*1000),0)&amp;" chuyến x 25.000đ/chuyến"</f>
        <v>0 chuyến x 25.000đ/chuyến</v>
      </c>
      <c r="E51" s="396">
        <f>ROUNDUP(VLOOKUP(B51,CTTBA,'7.CT-TBA'!$T$25,0)/($L$2*1000),0)*25000</f>
        <v>0</v>
      </c>
      <c r="F51" s="394"/>
      <c r="G51" s="333">
        <f>G45</f>
        <v>0</v>
      </c>
    </row>
    <row r="52" spans="1:8" hidden="1">
      <c r="A52" s="332" t="str">
        <f>"VC"&amp;B54</f>
        <v>VCTBTR375</v>
      </c>
      <c r="B52" s="332" t="str">
        <f>B45</f>
        <v>TR375</v>
      </c>
      <c r="C52" s="390" t="s">
        <v>1729</v>
      </c>
      <c r="D52" s="391" t="str">
        <f>"Vận chuyển thiết bị "&amp;VLOOKUP(B52,CTTBA,'7.CT-TBA'!$E$25,0)</f>
        <v>Vận chuyển thiết bị 0 Trạm 1 pha 37,5kVA</v>
      </c>
      <c r="E52" s="391">
        <f>SUM(E53:E58)</f>
        <v>0</v>
      </c>
      <c r="F52" s="392"/>
      <c r="G52" s="333">
        <f>IF(E52&lt;&gt;0,1,)</f>
        <v>0</v>
      </c>
    </row>
    <row r="53" spans="1:8" hidden="1">
      <c r="C53" s="393" t="s">
        <v>1415</v>
      </c>
      <c r="D53" s="394" t="s">
        <v>2559</v>
      </c>
      <c r="E53" s="394"/>
      <c r="F53" s="394"/>
      <c r="G53" s="333">
        <f>G52</f>
        <v>0</v>
      </c>
    </row>
    <row r="54" spans="1:8" hidden="1">
      <c r="B54" s="332" t="str">
        <f>"TB"&amp;B52</f>
        <v>TBTR375</v>
      </c>
      <c r="C54" s="395"/>
      <c r="D54" s="396" t="str">
        <f>ROUNDUP(VLOOKUP(B54,CTTBA,'7.CT-TBA'!$T$25,0)/($L$2*1000),0)&amp;" chuyến x "&amp;$L$2&amp;" tấn x "&amp;$E$2&amp;"km x "&amp;VLOOKUP($E$2,DGVCDD,$I$4,0)&amp;"đ/km"</f>
        <v>0 chuyến x 5 tấn x 10km x 2231đ/km</v>
      </c>
      <c r="E54" s="396">
        <f>ROUND(ROUNDUP(VLOOKUP(B54,CTTBA,'7.CT-TBA'!$T$25,0)/($L$2*1000),0)*$L$2*$E$2*VLOOKUP($E$2,DGVCDD,$I$4,0),0)</f>
        <v>0</v>
      </c>
      <c r="F54" s="394"/>
      <c r="G54" s="333">
        <f>G52</f>
        <v>0</v>
      </c>
    </row>
    <row r="55" spans="1:8" hidden="1">
      <c r="C55" s="393" t="s">
        <v>1416</v>
      </c>
      <c r="D55" s="394" t="s">
        <v>2575</v>
      </c>
      <c r="E55" s="394"/>
      <c r="F55" s="394"/>
      <c r="G55" s="333">
        <f>G52</f>
        <v>0</v>
      </c>
    </row>
    <row r="56" spans="1:8" hidden="1">
      <c r="B56" s="332" t="str">
        <f>"TB"&amp;B52</f>
        <v>TBTR375</v>
      </c>
      <c r="C56" s="395"/>
      <c r="D56" s="396" t="str">
        <f>"2 x 0,05 ca/tấn x "&amp;ROUND(VLOOKUP(B56,CTTBA,'7.CT-TBA'!$T$25,0)/1000,1)&amp;" tấn x "&amp;VLOOKUP(H49,DGMTC,8,0)&amp;"đ/ca"</f>
        <v>2 x 0,05 ca/tấn x 0 tấn x 1386944đ/ca</v>
      </c>
      <c r="E56" s="396">
        <f>ROUND(2*0.05*ROUND(VLOOKUP(B56,CTTBA,'7.CT-TBA'!$T$25,0)/1000,1)*VLOOKUP(H56,DGMTC,8,0),0)</f>
        <v>0</v>
      </c>
      <c r="F56" s="394"/>
      <c r="G56" s="333">
        <f>G52</f>
        <v>0</v>
      </c>
      <c r="H56" s="332" t="s">
        <v>898</v>
      </c>
    </row>
    <row r="57" spans="1:8" hidden="1">
      <c r="C57" s="393" t="s">
        <v>1417</v>
      </c>
      <c r="D57" s="394" t="s">
        <v>2554</v>
      </c>
      <c r="E57" s="394"/>
      <c r="F57" s="394"/>
      <c r="G57" s="333">
        <f>G52</f>
        <v>0</v>
      </c>
    </row>
    <row r="58" spans="1:8" hidden="1">
      <c r="B58" s="332" t="str">
        <f>"TB"&amp;B52</f>
        <v>TBTR375</v>
      </c>
      <c r="C58" s="395"/>
      <c r="D58" s="396" t="str">
        <f>ROUNDUP(VLOOKUP(B58,CTTBA,'7.CT-TBA'!$T$25,0)/($L$2*1000),0)&amp;" chuyến x 25.000đ/chuyến"</f>
        <v>0 chuyến x 25.000đ/chuyến</v>
      </c>
      <c r="E58" s="396">
        <f>ROUNDUP(VLOOKUP(B58,CTTBA,'7.CT-TBA'!$T$25,0)/($L$2*1000),0)*25000</f>
        <v>0</v>
      </c>
      <c r="F58" s="394"/>
      <c r="G58" s="333">
        <f>G52</f>
        <v>0</v>
      </c>
    </row>
    <row r="59" spans="1:8" hidden="1">
      <c r="A59" s="332" t="str">
        <f>"VC"&amp;B61</f>
        <v>VCVLTR2X25</v>
      </c>
      <c r="B59" s="389" t="s">
        <v>2812</v>
      </c>
      <c r="C59" s="390" t="s">
        <v>1717</v>
      </c>
      <c r="D59" s="391" t="str">
        <f>"Vận chuyển vật liệu "&amp;VLOOKUP(B59,CTTBA,'7.CT-TBA'!$E$25,0)</f>
        <v>Vận chuyển vật liệu 0 Trạm 1 pha 2x25kVA</v>
      </c>
      <c r="E59" s="391">
        <f>SUM(E60:E65)</f>
        <v>0</v>
      </c>
      <c r="F59" s="392"/>
      <c r="G59" s="333">
        <f>IF(E59&lt;&gt;0,1,)</f>
        <v>0</v>
      </c>
    </row>
    <row r="60" spans="1:8" hidden="1">
      <c r="C60" s="393" t="s">
        <v>1415</v>
      </c>
      <c r="D60" s="394" t="s">
        <v>2557</v>
      </c>
      <c r="E60" s="394"/>
      <c r="F60" s="394"/>
      <c r="G60" s="333">
        <f>G59</f>
        <v>0</v>
      </c>
    </row>
    <row r="61" spans="1:8" hidden="1">
      <c r="B61" s="332" t="str">
        <f>"VL"&amp;B59</f>
        <v>VLTR2X25</v>
      </c>
      <c r="C61" s="395"/>
      <c r="D61" s="396" t="str">
        <f>ROUNDUP(VLOOKUP(B61,CTTBA,'7.CT-TBA'!$T$25,0)/($L$2*1000),0)&amp;" chuyến x "&amp;$L$2&amp;" tấn x "&amp;$E$2&amp;"km x "&amp;VLOOKUP($E$2,DGVCDD,$I$4,0)&amp;"đ/km"</f>
        <v>0 chuyến x 5 tấn x 10km x 2231đ/km</v>
      </c>
      <c r="E61" s="396">
        <f>ROUND(ROUNDUP(VLOOKUP(B61,CTTBA,'7.CT-TBA'!$T$25,0)/($L$2*1000),0)*$L$2*$E$2*VLOOKUP($E$2,DGVCDD,$I$4,0),0)</f>
        <v>0</v>
      </c>
      <c r="F61" s="394"/>
      <c r="G61" s="333">
        <f>G59</f>
        <v>0</v>
      </c>
    </row>
    <row r="62" spans="1:8" hidden="1">
      <c r="C62" s="393" t="s">
        <v>1416</v>
      </c>
      <c r="D62" s="394" t="s">
        <v>2573</v>
      </c>
      <c r="E62" s="394"/>
      <c r="F62" s="394"/>
      <c r="G62" s="333">
        <f>G59</f>
        <v>0</v>
      </c>
    </row>
    <row r="63" spans="1:8" hidden="1">
      <c r="B63" s="332" t="str">
        <f>"VL"&amp;B59</f>
        <v>VLTR2X25</v>
      </c>
      <c r="C63" s="395"/>
      <c r="D63" s="396" t="str">
        <f>"2 x 0,05 ca/tấn x "&amp;ROUND(VLOOKUP(B63,CTTBA,'7.CT-TBA'!$T$25,0)/1000,1)&amp;" tấn x "&amp;VLOOKUP(H63,DGMTC,8,0)&amp;"đ/ca"</f>
        <v>2 x 0,05 ca/tấn x 0 tấn x 1386944đ/ca</v>
      </c>
      <c r="E63" s="396">
        <f>ROUND(2*0.05*ROUND(VLOOKUP(B63,CTTBA,'7.CT-TBA'!$T$25,0)/1000,1)*VLOOKUP(H63,DGMTC,8,0),0)</f>
        <v>0</v>
      </c>
      <c r="F63" s="394"/>
      <c r="G63" s="333">
        <f>G59</f>
        <v>0</v>
      </c>
      <c r="H63" s="332" t="s">
        <v>898</v>
      </c>
    </row>
    <row r="64" spans="1:8" hidden="1">
      <c r="C64" s="393" t="s">
        <v>1417</v>
      </c>
      <c r="D64" s="394" t="s">
        <v>2558</v>
      </c>
      <c r="E64" s="394"/>
      <c r="F64" s="394"/>
      <c r="G64" s="333">
        <f>G59</f>
        <v>0</v>
      </c>
    </row>
    <row r="65" spans="1:8" hidden="1">
      <c r="B65" s="332" t="str">
        <f>"VL"&amp;B59</f>
        <v>VLTR2X25</v>
      </c>
      <c r="C65" s="395"/>
      <c r="D65" s="396" t="str">
        <f>ROUNDUP(VLOOKUP(B65,CTTBA,'7.CT-TBA'!$T$25,0)/($L$2*1000),0)&amp;" chuyến x 25.000đ/chuyến"</f>
        <v>0 chuyến x 25.000đ/chuyến</v>
      </c>
      <c r="E65" s="396">
        <f>ROUNDUP(VLOOKUP(B65,CTTBA,'7.CT-TBA'!$T$25,0)/($L$2*1000),0)*25000</f>
        <v>0</v>
      </c>
      <c r="F65" s="394"/>
      <c r="G65" s="333">
        <f>G59</f>
        <v>0</v>
      </c>
    </row>
    <row r="66" spans="1:8" hidden="1">
      <c r="A66" s="332" t="str">
        <f>"VC"&amp;B68</f>
        <v>VCTBTR2X25</v>
      </c>
      <c r="B66" s="332" t="str">
        <f>B59</f>
        <v>TR2X25</v>
      </c>
      <c r="C66" s="390" t="s">
        <v>1729</v>
      </c>
      <c r="D66" s="391" t="str">
        <f>"Vận chuyển thiết bị "&amp;VLOOKUP(B66,CTTBA,'7.CT-TBA'!$E$25,0)</f>
        <v>Vận chuyển thiết bị 0 Trạm 1 pha 2x25kVA</v>
      </c>
      <c r="E66" s="391">
        <f>SUM(E67:E72)</f>
        <v>0</v>
      </c>
      <c r="F66" s="392"/>
      <c r="G66" s="333">
        <f>IF(E66&lt;&gt;0,1,)</f>
        <v>0</v>
      </c>
    </row>
    <row r="67" spans="1:8" hidden="1">
      <c r="C67" s="393" t="s">
        <v>1415</v>
      </c>
      <c r="D67" s="394" t="s">
        <v>2559</v>
      </c>
      <c r="E67" s="394"/>
      <c r="F67" s="394"/>
      <c r="G67" s="333">
        <f>G66</f>
        <v>0</v>
      </c>
    </row>
    <row r="68" spans="1:8" hidden="1">
      <c r="B68" s="332" t="str">
        <f>"TB"&amp;B66</f>
        <v>TBTR2X25</v>
      </c>
      <c r="C68" s="395"/>
      <c r="D68" s="396" t="str">
        <f>ROUNDUP(VLOOKUP(B68,CTTBA,'7.CT-TBA'!$T$25,0)/($L$2*1000),0)&amp;" chuyến x "&amp;$L$2&amp;" tấn x "&amp;$E$2&amp;"km x "&amp;VLOOKUP($E$2,DGVCDD,$I$4,0)&amp;"đ/km"</f>
        <v>0 chuyến x 5 tấn x 10km x 2231đ/km</v>
      </c>
      <c r="E68" s="396">
        <f>ROUND(ROUNDUP(VLOOKUP(B68,CTTBA,'7.CT-TBA'!$T$25,0)/($L$2*1000),0)*$L$2*$E$2*VLOOKUP($E$2,DGVCDD,$I$4,0),0)</f>
        <v>0</v>
      </c>
      <c r="F68" s="394"/>
      <c r="G68" s="333">
        <f>G66</f>
        <v>0</v>
      </c>
    </row>
    <row r="69" spans="1:8" hidden="1">
      <c r="C69" s="393" t="s">
        <v>1416</v>
      </c>
      <c r="D69" s="394" t="s">
        <v>2575</v>
      </c>
      <c r="E69" s="394"/>
      <c r="F69" s="394"/>
      <c r="G69" s="333">
        <f>G66</f>
        <v>0</v>
      </c>
    </row>
    <row r="70" spans="1:8" hidden="1">
      <c r="B70" s="332" t="str">
        <f>"TB"&amp;B66</f>
        <v>TBTR2X25</v>
      </c>
      <c r="C70" s="395"/>
      <c r="D70" s="396" t="str">
        <f>"2 x 0,05 ca/tấn x "&amp;ROUND(VLOOKUP(B70,CTTBA,'7.CT-TBA'!$T$25,0)/1000,1)&amp;" tấn x "&amp;VLOOKUP(H63,DGMTC,8,0)&amp;"đ/ca"</f>
        <v>2 x 0,05 ca/tấn x 0 tấn x 1386944đ/ca</v>
      </c>
      <c r="E70" s="396">
        <f>ROUND(2*0.05*ROUND(VLOOKUP(B70,CTTBA,'7.CT-TBA'!$T$25,0)/1000,1)*VLOOKUP(H70,DGMTC,8,0),0)</f>
        <v>0</v>
      </c>
      <c r="F70" s="394"/>
      <c r="G70" s="333">
        <f>G66</f>
        <v>0</v>
      </c>
      <c r="H70" s="332" t="s">
        <v>898</v>
      </c>
    </row>
    <row r="71" spans="1:8" hidden="1">
      <c r="C71" s="393" t="s">
        <v>1417</v>
      </c>
      <c r="D71" s="394" t="s">
        <v>2554</v>
      </c>
      <c r="E71" s="394"/>
      <c r="F71" s="394"/>
      <c r="G71" s="333">
        <f>G66</f>
        <v>0</v>
      </c>
    </row>
    <row r="72" spans="1:8" hidden="1">
      <c r="B72" s="332" t="str">
        <f>"TB"&amp;B66</f>
        <v>TBTR2X25</v>
      </c>
      <c r="C72" s="395"/>
      <c r="D72" s="396" t="str">
        <f>ROUNDUP(VLOOKUP(B72,CTTBA,'7.CT-TBA'!$T$25,0)/($L$2*1000),0)&amp;" chuyến x 25.000đ/chuyến"</f>
        <v>0 chuyến x 25.000đ/chuyến</v>
      </c>
      <c r="E72" s="396">
        <f>ROUNDUP(VLOOKUP(B72,CTTBA,'7.CT-TBA'!$T$25,0)/($L$2*1000),0)*25000</f>
        <v>0</v>
      </c>
      <c r="F72" s="394"/>
      <c r="G72" s="333">
        <f>G66</f>
        <v>0</v>
      </c>
    </row>
    <row r="73" spans="1:8" hidden="1">
      <c r="A73" s="332" t="str">
        <f>"VC"&amp;B75</f>
        <v>VCVLTR50</v>
      </c>
      <c r="B73" s="389" t="s">
        <v>2090</v>
      </c>
      <c r="C73" s="390" t="s">
        <v>1717</v>
      </c>
      <c r="D73" s="391" t="str">
        <f>"Vận chuyển vật liệu "&amp;VLOOKUP(B73,CTTBA,'7.CT-TBA'!$E$25,0)</f>
        <v>Vận chuyển vật liệu 0 Trạm 1 pha 50kVA</v>
      </c>
      <c r="E73" s="391">
        <f>SUM(E74:E79)</f>
        <v>0</v>
      </c>
      <c r="F73" s="392"/>
      <c r="G73" s="333">
        <f>IF(E73&lt;&gt;0,1,)</f>
        <v>0</v>
      </c>
    </row>
    <row r="74" spans="1:8" hidden="1">
      <c r="C74" s="393" t="s">
        <v>1415</v>
      </c>
      <c r="D74" s="394" t="s">
        <v>2557</v>
      </c>
      <c r="E74" s="394"/>
      <c r="F74" s="394"/>
      <c r="G74" s="333">
        <f>G73</f>
        <v>0</v>
      </c>
    </row>
    <row r="75" spans="1:8" hidden="1">
      <c r="B75" s="332" t="str">
        <f>"VL"&amp;B73</f>
        <v>VLTR50</v>
      </c>
      <c r="C75" s="395"/>
      <c r="D75" s="396" t="str">
        <f>ROUNDUP(VLOOKUP(B75,CTTBA,'7.CT-TBA'!$T$25,0)/($L$2*1000),0)&amp;" chuyến x "&amp;$L$2&amp;" tấn x "&amp;$E$2&amp;"km x "&amp;VLOOKUP($E$2,DGVCDD,$I$4,0)&amp;"đ/km"</f>
        <v>0 chuyến x 5 tấn x 10km x 2231đ/km</v>
      </c>
      <c r="E75" s="396">
        <f>ROUND(ROUNDUP(VLOOKUP(B75,CTTBA,'7.CT-TBA'!$T$25,0)/($L$2*1000),0)*$L$2*$E$2*VLOOKUP($E$2,DGVCDD,$I$4,0),0)</f>
        <v>0</v>
      </c>
      <c r="F75" s="394"/>
      <c r="G75" s="333">
        <f>G73</f>
        <v>0</v>
      </c>
    </row>
    <row r="76" spans="1:8" hidden="1">
      <c r="C76" s="393" t="s">
        <v>1416</v>
      </c>
      <c r="D76" s="394" t="s">
        <v>2573</v>
      </c>
      <c r="E76" s="394"/>
      <c r="F76" s="394"/>
      <c r="G76" s="333">
        <f>G73</f>
        <v>0</v>
      </c>
    </row>
    <row r="77" spans="1:8" hidden="1">
      <c r="B77" s="332" t="str">
        <f>"VL"&amp;B73</f>
        <v>VLTR50</v>
      </c>
      <c r="C77" s="395"/>
      <c r="D77" s="396" t="str">
        <f>"2 x 0,05 ca/tấn x "&amp;ROUND(VLOOKUP(B77,CTTBA,'7.CT-TBA'!$T$25,0)/1000,1)&amp;" tấn x "&amp;VLOOKUP(H77,DGMTC,8,0)&amp;"đ/ca"</f>
        <v>2 x 0,05 ca/tấn x 0 tấn x 1386944đ/ca</v>
      </c>
      <c r="E77" s="396">
        <f>ROUND(2*0.05*ROUND(VLOOKUP(B77,CTTBA,'7.CT-TBA'!$T$25,0)/1000,1)*VLOOKUP(H77,DGMTC,8,0),0)</f>
        <v>0</v>
      </c>
      <c r="F77" s="394"/>
      <c r="G77" s="333">
        <f>G73</f>
        <v>0</v>
      </c>
      <c r="H77" s="332" t="s">
        <v>898</v>
      </c>
    </row>
    <row r="78" spans="1:8" hidden="1">
      <c r="C78" s="393" t="s">
        <v>1417</v>
      </c>
      <c r="D78" s="394" t="s">
        <v>2558</v>
      </c>
      <c r="E78" s="394"/>
      <c r="F78" s="394"/>
      <c r="G78" s="333">
        <f>G73</f>
        <v>0</v>
      </c>
    </row>
    <row r="79" spans="1:8" hidden="1">
      <c r="B79" s="332" t="str">
        <f>"VL"&amp;B73</f>
        <v>VLTR50</v>
      </c>
      <c r="C79" s="395"/>
      <c r="D79" s="396" t="str">
        <f>ROUNDUP(VLOOKUP(B79,CTTBA,'7.CT-TBA'!$T$25,0)/($L$2*1000),0)&amp;" chuyến x 25.000đ/chuyến"</f>
        <v>0 chuyến x 25.000đ/chuyến</v>
      </c>
      <c r="E79" s="396">
        <f>ROUNDUP(VLOOKUP(B79,CTTBA,'7.CT-TBA'!$T$25,0)/($L$2*1000),0)*25000</f>
        <v>0</v>
      </c>
      <c r="F79" s="394"/>
      <c r="G79" s="333">
        <f>G73</f>
        <v>0</v>
      </c>
    </row>
    <row r="80" spans="1:8" hidden="1">
      <c r="A80" s="332" t="str">
        <f>"VC"&amp;B82</f>
        <v>VCTBTR50</v>
      </c>
      <c r="B80" s="332" t="str">
        <f>B73</f>
        <v>TR50</v>
      </c>
      <c r="C80" s="390" t="s">
        <v>1729</v>
      </c>
      <c r="D80" s="391" t="str">
        <f>"Vận chuyển thiết bị "&amp;VLOOKUP(B80,CTTBA,'7.CT-TBA'!$E$25,0)</f>
        <v>Vận chuyển thiết bị 0 Trạm 1 pha 50kVA</v>
      </c>
      <c r="E80" s="391">
        <f>SUM(E81:E86)</f>
        <v>0</v>
      </c>
      <c r="F80" s="392"/>
      <c r="G80" s="333">
        <f>IF(E80&lt;&gt;0,1,)</f>
        <v>0</v>
      </c>
    </row>
    <row r="81" spans="1:8" hidden="1">
      <c r="C81" s="393" t="s">
        <v>1415</v>
      </c>
      <c r="D81" s="394" t="s">
        <v>2559</v>
      </c>
      <c r="E81" s="394"/>
      <c r="F81" s="394"/>
      <c r="G81" s="333">
        <f>G80</f>
        <v>0</v>
      </c>
    </row>
    <row r="82" spans="1:8" hidden="1">
      <c r="B82" s="332" t="str">
        <f>"TB"&amp;B80</f>
        <v>TBTR50</v>
      </c>
      <c r="C82" s="395"/>
      <c r="D82" s="396" t="str">
        <f>ROUNDUP(VLOOKUP(B82,CTTBA,'7.CT-TBA'!$T$25,0)/($L$2*1000),0)&amp;" chuyến x "&amp;$L$2&amp;" tấn x "&amp;$E$2&amp;"km x "&amp;VLOOKUP($E$2,DGVCDD,$I$4,0)&amp;"đ/km"</f>
        <v>0 chuyến x 5 tấn x 10km x 2231đ/km</v>
      </c>
      <c r="E82" s="396">
        <f>ROUND(ROUNDUP(VLOOKUP(B82,CTTBA,'7.CT-TBA'!$T$25,0)/($L$2*1000),0)*$L$2*$E$2*VLOOKUP($E$2,DGVCDD,$I$4,0),0)</f>
        <v>0</v>
      </c>
      <c r="F82" s="394"/>
      <c r="G82" s="333">
        <f>G80</f>
        <v>0</v>
      </c>
    </row>
    <row r="83" spans="1:8" hidden="1">
      <c r="C83" s="393" t="s">
        <v>1416</v>
      </c>
      <c r="D83" s="394" t="s">
        <v>2575</v>
      </c>
      <c r="E83" s="394"/>
      <c r="F83" s="394"/>
      <c r="G83" s="333">
        <f>G80</f>
        <v>0</v>
      </c>
    </row>
    <row r="84" spans="1:8" hidden="1">
      <c r="B84" s="332" t="str">
        <f>"TB"&amp;B80</f>
        <v>TBTR50</v>
      </c>
      <c r="C84" s="395"/>
      <c r="D84" s="396" t="str">
        <f>"2 x 0,05 ca/tấn x "&amp;ROUND(VLOOKUP(B84,CTTBA,'7.CT-TBA'!$T$25,0)/1000,1)&amp;" tấn x "&amp;VLOOKUP(H77,DGMTC,8,0)&amp;"đ/ca"</f>
        <v>2 x 0,05 ca/tấn x 0 tấn x 1386944đ/ca</v>
      </c>
      <c r="E84" s="396">
        <f>ROUND(2*0.05*ROUND(VLOOKUP(B84,CTTBA,'7.CT-TBA'!$T$25,0)/1000,1)*VLOOKUP(H84,DGMTC,8,0),0)</f>
        <v>0</v>
      </c>
      <c r="F84" s="394"/>
      <c r="G84" s="333">
        <f>G80</f>
        <v>0</v>
      </c>
      <c r="H84" s="332" t="s">
        <v>898</v>
      </c>
    </row>
    <row r="85" spans="1:8" hidden="1">
      <c r="C85" s="393" t="s">
        <v>1417</v>
      </c>
      <c r="D85" s="394" t="s">
        <v>2554</v>
      </c>
      <c r="E85" s="394"/>
      <c r="F85" s="394"/>
      <c r="G85" s="333">
        <f>G80</f>
        <v>0</v>
      </c>
    </row>
    <row r="86" spans="1:8" hidden="1">
      <c r="B86" s="332" t="str">
        <f>"TB"&amp;B80</f>
        <v>TBTR50</v>
      </c>
      <c r="C86" s="395"/>
      <c r="D86" s="396" t="str">
        <f>ROUNDUP(VLOOKUP(B86,CTTBA,'7.CT-TBA'!$T$25,0)/($L$2*1000),0)&amp;" chuyến x 25.000đ/chuyến"</f>
        <v>0 chuyến x 25.000đ/chuyến</v>
      </c>
      <c r="E86" s="396">
        <f>ROUNDUP(VLOOKUP(B86,CTTBA,'7.CT-TBA'!$T$25,0)/($L$2*1000),0)*25000</f>
        <v>0</v>
      </c>
      <c r="F86" s="394"/>
      <c r="G86" s="333">
        <f>G80</f>
        <v>0</v>
      </c>
    </row>
    <row r="87" spans="1:8" hidden="1">
      <c r="A87" s="332" t="str">
        <f>"VC"&amp;B89</f>
        <v>VCVLTR2X375</v>
      </c>
      <c r="B87" s="389" t="s">
        <v>2813</v>
      </c>
      <c r="C87" s="390" t="s">
        <v>1717</v>
      </c>
      <c r="D87" s="391" t="str">
        <f>"Vận chuyển vật liệu "&amp;VLOOKUP(B87,CTTBA,'7.CT-TBA'!$E$25,0)</f>
        <v>Vận chuyển vật liệu 0 Trạm 1 pha 2x37,5kVA</v>
      </c>
      <c r="E87" s="391">
        <f>SUM(E88:E93)</f>
        <v>0</v>
      </c>
      <c r="F87" s="392"/>
      <c r="G87" s="333">
        <f>IF(E87&lt;&gt;0,1,)</f>
        <v>0</v>
      </c>
    </row>
    <row r="88" spans="1:8" hidden="1">
      <c r="C88" s="393" t="s">
        <v>1415</v>
      </c>
      <c r="D88" s="394" t="s">
        <v>2557</v>
      </c>
      <c r="E88" s="394"/>
      <c r="F88" s="394"/>
      <c r="G88" s="333">
        <f>G87</f>
        <v>0</v>
      </c>
    </row>
    <row r="89" spans="1:8" hidden="1">
      <c r="B89" s="332" t="str">
        <f>"VL"&amp;B87</f>
        <v>VLTR2X375</v>
      </c>
      <c r="C89" s="395"/>
      <c r="D89" s="396" t="str">
        <f>ROUNDUP(VLOOKUP(B89,CTTBA,'7.CT-TBA'!$T$25,0)/($L$2*1000),0)&amp;" chuyến x "&amp;$L$2&amp;" tấn x "&amp;$E$2&amp;"km x "&amp;VLOOKUP($E$2,DGVCDD,$I$4,0)&amp;"đ/km"</f>
        <v>0 chuyến x 5 tấn x 10km x 2231đ/km</v>
      </c>
      <c r="E89" s="396">
        <f>ROUND(ROUNDUP(VLOOKUP(B89,CTTBA,'7.CT-TBA'!$T$25,0)/($L$2*1000),0)*$L$2*$E$2*VLOOKUP($E$2,DGVCDD,$I$4,0),0)</f>
        <v>0</v>
      </c>
      <c r="F89" s="394"/>
      <c r="G89" s="333">
        <f>G87</f>
        <v>0</v>
      </c>
    </row>
    <row r="90" spans="1:8" hidden="1">
      <c r="C90" s="393" t="s">
        <v>1416</v>
      </c>
      <c r="D90" s="394" t="s">
        <v>2573</v>
      </c>
      <c r="E90" s="394"/>
      <c r="F90" s="394"/>
      <c r="G90" s="333">
        <f>G87</f>
        <v>0</v>
      </c>
    </row>
    <row r="91" spans="1:8" hidden="1">
      <c r="B91" s="332" t="str">
        <f>"VL"&amp;B87</f>
        <v>VLTR2X375</v>
      </c>
      <c r="C91" s="395"/>
      <c r="D91" s="396" t="str">
        <f>"2 x 0,05 ca/tấn x "&amp;ROUND(VLOOKUP(B91,CTTBA,'7.CT-TBA'!$T$25,0)/1000,1)&amp;" tấn x "&amp;VLOOKUP(H91,DGMTC,8,0)&amp;"đ/ca"</f>
        <v>2 x 0,05 ca/tấn x 0 tấn x 1386944đ/ca</v>
      </c>
      <c r="E91" s="396">
        <f>ROUND(2*0.05*ROUND(VLOOKUP(B91,CTTBA,'7.CT-TBA'!$T$25,0)/1000,1)*VLOOKUP(H91,DGMTC,8,0),0)</f>
        <v>0</v>
      </c>
      <c r="F91" s="394"/>
      <c r="G91" s="333">
        <f>G87</f>
        <v>0</v>
      </c>
      <c r="H91" s="332" t="s">
        <v>898</v>
      </c>
    </row>
    <row r="92" spans="1:8" hidden="1">
      <c r="C92" s="393" t="s">
        <v>1417</v>
      </c>
      <c r="D92" s="394" t="s">
        <v>2558</v>
      </c>
      <c r="E92" s="394"/>
      <c r="F92" s="394"/>
      <c r="G92" s="333">
        <f>G87</f>
        <v>0</v>
      </c>
    </row>
    <row r="93" spans="1:8" hidden="1">
      <c r="B93" s="332" t="str">
        <f>"VL"&amp;B87</f>
        <v>VLTR2X375</v>
      </c>
      <c r="C93" s="395"/>
      <c r="D93" s="396" t="str">
        <f>ROUNDUP(VLOOKUP(B93,CTTBA,'7.CT-TBA'!$T$25,0)/($L$2*1000),0)&amp;" chuyến x 25.000đ/chuyến"</f>
        <v>0 chuyến x 25.000đ/chuyến</v>
      </c>
      <c r="E93" s="396">
        <f>ROUNDUP(VLOOKUP(B93,CTTBA,'7.CT-TBA'!$T$25,0)/($L$2*1000),0)*25000</f>
        <v>0</v>
      </c>
      <c r="F93" s="394"/>
      <c r="G93" s="333">
        <f>G87</f>
        <v>0</v>
      </c>
    </row>
    <row r="94" spans="1:8" hidden="1">
      <c r="A94" s="332" t="str">
        <f>"VC"&amp;B96</f>
        <v>VCTBTR2X375</v>
      </c>
      <c r="B94" s="332" t="str">
        <f>B87</f>
        <v>TR2X375</v>
      </c>
      <c r="C94" s="390" t="s">
        <v>1729</v>
      </c>
      <c r="D94" s="391" t="str">
        <f>"Vận chuyển thiết bị "&amp;VLOOKUP(B94,CTTBA,'7.CT-TBA'!$E$25,0)</f>
        <v>Vận chuyển thiết bị 0 Trạm 1 pha 2x37,5kVA</v>
      </c>
      <c r="E94" s="391">
        <f>SUM(E95:E100)</f>
        <v>0</v>
      </c>
      <c r="F94" s="392"/>
      <c r="G94" s="333">
        <f>IF(E94&lt;&gt;0,1,)</f>
        <v>0</v>
      </c>
    </row>
    <row r="95" spans="1:8" hidden="1">
      <c r="C95" s="393" t="s">
        <v>1415</v>
      </c>
      <c r="D95" s="394" t="s">
        <v>2559</v>
      </c>
      <c r="E95" s="394"/>
      <c r="F95" s="394"/>
      <c r="G95" s="333">
        <f>G94</f>
        <v>0</v>
      </c>
    </row>
    <row r="96" spans="1:8" hidden="1">
      <c r="B96" s="332" t="str">
        <f>"TB"&amp;B94</f>
        <v>TBTR2X375</v>
      </c>
      <c r="C96" s="395"/>
      <c r="D96" s="396" t="str">
        <f>ROUNDUP(VLOOKUP(B96,CTTBA,'7.CT-TBA'!$T$25,0)/($L$2*1000),0)&amp;" chuyến x "&amp;$L$2&amp;" tấn x "&amp;$E$2&amp;"km x "&amp;VLOOKUP($E$2,DGVCDD,$I$4,0)&amp;"đ/km"</f>
        <v>0 chuyến x 5 tấn x 10km x 2231đ/km</v>
      </c>
      <c r="E96" s="396">
        <f>ROUND(ROUNDUP(VLOOKUP(B96,CTTBA,'7.CT-TBA'!$T$25,0)/($L$2*1000),0)*$L$2*$E$2*VLOOKUP($E$2,DGVCDD,$I$4,0),0)</f>
        <v>0</v>
      </c>
      <c r="F96" s="394"/>
      <c r="G96" s="333">
        <f>G94</f>
        <v>0</v>
      </c>
    </row>
    <row r="97" spans="1:8" hidden="1">
      <c r="C97" s="393" t="s">
        <v>1416</v>
      </c>
      <c r="D97" s="394" t="s">
        <v>2575</v>
      </c>
      <c r="E97" s="394"/>
      <c r="F97" s="394"/>
      <c r="G97" s="333">
        <f>G94</f>
        <v>0</v>
      </c>
    </row>
    <row r="98" spans="1:8" hidden="1">
      <c r="B98" s="332" t="str">
        <f>"TB"&amp;B94</f>
        <v>TBTR2X375</v>
      </c>
      <c r="C98" s="395"/>
      <c r="D98" s="396" t="str">
        <f>"2 x 0,05 ca/tấn x "&amp;ROUND(VLOOKUP(B98,CTTBA,'7.CT-TBA'!$T$25,0)/1000,1)&amp;" tấn x "&amp;VLOOKUP(H91,DGMTC,8,0)&amp;"đ/ca"</f>
        <v>2 x 0,05 ca/tấn x 0 tấn x 1386944đ/ca</v>
      </c>
      <c r="E98" s="396">
        <f>ROUND(2*0.05*ROUND(VLOOKUP(B98,CTTBA,'7.CT-TBA'!$T$25,0)/1000,1)*VLOOKUP(H98,DGMTC,8,0),0)</f>
        <v>0</v>
      </c>
      <c r="F98" s="394"/>
      <c r="G98" s="333">
        <f>G94</f>
        <v>0</v>
      </c>
      <c r="H98" s="332" t="s">
        <v>898</v>
      </c>
    </row>
    <row r="99" spans="1:8" hidden="1">
      <c r="C99" s="393" t="s">
        <v>1417</v>
      </c>
      <c r="D99" s="394" t="s">
        <v>2554</v>
      </c>
      <c r="E99" s="394"/>
      <c r="F99" s="394"/>
      <c r="G99" s="333">
        <f>G94</f>
        <v>0</v>
      </c>
    </row>
    <row r="100" spans="1:8" hidden="1">
      <c r="B100" s="332" t="str">
        <f>"TB"&amp;B94</f>
        <v>TBTR2X375</v>
      </c>
      <c r="C100" s="395"/>
      <c r="D100" s="396" t="str">
        <f>ROUNDUP(VLOOKUP(B100,CTTBA,'7.CT-TBA'!$T$25,0)/($L$2*1000),0)&amp;" chuyến x 25.000đ/chuyến"</f>
        <v>0 chuyến x 25.000đ/chuyến</v>
      </c>
      <c r="E100" s="396">
        <f>ROUNDUP(VLOOKUP(B100,CTTBA,'7.CT-TBA'!$T$25,0)/($L$2*1000),0)*25000</f>
        <v>0</v>
      </c>
      <c r="F100" s="394"/>
      <c r="G100" s="333">
        <f>G94</f>
        <v>0</v>
      </c>
    </row>
    <row r="101" spans="1:8">
      <c r="A101" s="332" t="str">
        <f>"VC"&amp;B103</f>
        <v>VCVLTR75</v>
      </c>
      <c r="B101" s="389" t="s">
        <v>2071</v>
      </c>
      <c r="C101" s="390" t="s">
        <v>3271</v>
      </c>
      <c r="D101" s="391" t="str">
        <f>"Vận chuyển vật liệu "&amp;VLOOKUP(B101,CTTBA,'7.CT-TBA'!$E$25,0)</f>
        <v>Vận chuyển vật liệu 3 Trạm 1 pha 75kVA</v>
      </c>
      <c r="E101" s="391">
        <f>SUM(E102:E107)</f>
        <v>247506</v>
      </c>
      <c r="F101" s="392"/>
      <c r="G101" s="333">
        <f>IF(E101&lt;&gt;0,1,)</f>
        <v>1</v>
      </c>
    </row>
    <row r="102" spans="1:8">
      <c r="C102" s="393" t="s">
        <v>1415</v>
      </c>
      <c r="D102" s="394" t="s">
        <v>2557</v>
      </c>
      <c r="E102" s="394"/>
      <c r="F102" s="394"/>
      <c r="G102" s="333">
        <f>G101</f>
        <v>1</v>
      </c>
    </row>
    <row r="103" spans="1:8">
      <c r="B103" s="332" t="str">
        <f>"VL"&amp;B101</f>
        <v>VLTR75</v>
      </c>
      <c r="C103" s="395"/>
      <c r="D103" s="396" t="str">
        <f>ROUNDUP(VLOOKUP(B103,CTTBA,'7.CT-TBA'!$T$25,0)/($L$2*1000),0)&amp;" chuyến x "&amp;$L$2&amp;" tấn x "&amp;$E$2&amp;"km x "&amp;VLOOKUP($E$2,DGVCDD,$I$4,0)&amp;"đ/km"</f>
        <v>1 chuyến x 5 tấn x 10km x 2231đ/km</v>
      </c>
      <c r="E103" s="396">
        <f>ROUND(ROUNDUP(VLOOKUP(B103,CTTBA,'7.CT-TBA'!$T$25,0)/($L$2*1000),0)*$L$2*$E$2*VLOOKUP($E$2,DGVCDD,$I$4,0),0)</f>
        <v>111550</v>
      </c>
      <c r="F103" s="394"/>
      <c r="G103" s="333">
        <f>G101</f>
        <v>1</v>
      </c>
    </row>
    <row r="104" spans="1:8">
      <c r="C104" s="393" t="s">
        <v>1416</v>
      </c>
      <c r="D104" s="394" t="s">
        <v>2573</v>
      </c>
      <c r="E104" s="394"/>
      <c r="F104" s="394"/>
      <c r="G104" s="333">
        <f>G101</f>
        <v>1</v>
      </c>
    </row>
    <row r="105" spans="1:8">
      <c r="B105" s="332" t="str">
        <f>"VL"&amp;B101</f>
        <v>VLTR75</v>
      </c>
      <c r="C105" s="395"/>
      <c r="D105" s="396" t="str">
        <f>"2 x 0,05 ca/tấn x "&amp;ROUND(VLOOKUP(B105,CTTBA,'7.CT-TBA'!$T$25,0)/1000,1)&amp;" tấn x "&amp;VLOOKUP(H105,DGMTC,8,0)&amp;"đ/ca"</f>
        <v>2 x 0,05 ca/tấn x 0,8 tấn x 1386944đ/ca</v>
      </c>
      <c r="E105" s="396">
        <f>ROUND(2*0.05*ROUND(VLOOKUP(B105,CTTBA,'7.CT-TBA'!$T$25,0)/1000,1)*VLOOKUP(H105,DGMTC,8,0),0)</f>
        <v>110956</v>
      </c>
      <c r="F105" s="394"/>
      <c r="G105" s="333">
        <f>G101</f>
        <v>1</v>
      </c>
      <c r="H105" s="332" t="s">
        <v>898</v>
      </c>
    </row>
    <row r="106" spans="1:8">
      <c r="C106" s="393" t="s">
        <v>1417</v>
      </c>
      <c r="D106" s="394" t="s">
        <v>3380</v>
      </c>
      <c r="E106" s="394"/>
      <c r="F106" s="394"/>
      <c r="G106" s="333">
        <f>G101</f>
        <v>1</v>
      </c>
    </row>
    <row r="107" spans="1:8">
      <c r="B107" s="332" t="str">
        <f>"VL"&amp;B101</f>
        <v>VLTR75</v>
      </c>
      <c r="C107" s="395"/>
      <c r="D107" s="396" t="str">
        <f>ROUNDUP(VLOOKUP(B107,CTTBA,'7.CT-TBA'!$T$25,0)/($L$2*1000),0)&amp;" chuyến x 25.000đ/chuyến"</f>
        <v>1 chuyến x 25.000đ/chuyến</v>
      </c>
      <c r="E107" s="396">
        <f>ROUNDUP(VLOOKUP(B107,CTTBA,'7.CT-TBA'!$T$25,0)/($L$2*1000),0)*25000</f>
        <v>25000</v>
      </c>
      <c r="F107" s="394"/>
      <c r="G107" s="333">
        <f>G101</f>
        <v>1</v>
      </c>
    </row>
    <row r="108" spans="1:8">
      <c r="A108" s="332" t="str">
        <f>"VC"&amp;B110</f>
        <v>VCTBTR75</v>
      </c>
      <c r="B108" s="332" t="str">
        <f>B101</f>
        <v>TR75</v>
      </c>
      <c r="C108" s="390" t="s">
        <v>3272</v>
      </c>
      <c r="D108" s="391" t="str">
        <f>"Vận chuyển thiết bị "&amp;VLOOKUP(B108,CTTBA,'7.CT-TBA'!$E$25,0)</f>
        <v>Vận chuyển thiết bị 3 Trạm 1 pha 75kVA</v>
      </c>
      <c r="E108" s="391">
        <f>SUM(E109:E114)</f>
        <v>330722</v>
      </c>
      <c r="F108" s="392"/>
      <c r="G108" s="333">
        <f>IF(E108&lt;&gt;0,1,)</f>
        <v>1</v>
      </c>
    </row>
    <row r="109" spans="1:8">
      <c r="C109" s="393" t="s">
        <v>1415</v>
      </c>
      <c r="D109" s="394" t="s">
        <v>2559</v>
      </c>
      <c r="E109" s="394"/>
      <c r="F109" s="394"/>
      <c r="G109" s="333">
        <f>G108</f>
        <v>1</v>
      </c>
    </row>
    <row r="110" spans="1:8">
      <c r="B110" s="332" t="str">
        <f>"TB"&amp;B108</f>
        <v>TBTR75</v>
      </c>
      <c r="C110" s="395"/>
      <c r="D110" s="396" t="str">
        <f>ROUNDUP(VLOOKUP(B110,CTTBA,'7.CT-TBA'!$T$25,0)/($L$2*1000),0)&amp;" chuyến x "&amp;$L$2&amp;" tấn x "&amp;$E$2&amp;"km x "&amp;VLOOKUP($E$2,DGVCDD,$I$4,0)&amp;"đ/km"</f>
        <v>1 chuyến x 5 tấn x 10km x 2231đ/km</v>
      </c>
      <c r="E110" s="396">
        <f>ROUND(ROUNDUP(VLOOKUP(B110,CTTBA,'7.CT-TBA'!$T$25,0)/($L$2*1000),0)*$L$2*$E$2*VLOOKUP($E$2,DGVCDD,$I$4,0),0)</f>
        <v>111550</v>
      </c>
      <c r="F110" s="394"/>
      <c r="G110" s="333">
        <f>G108</f>
        <v>1</v>
      </c>
    </row>
    <row r="111" spans="1:8">
      <c r="C111" s="393" t="s">
        <v>1416</v>
      </c>
      <c r="D111" s="394" t="s">
        <v>2575</v>
      </c>
      <c r="E111" s="394"/>
      <c r="F111" s="394"/>
      <c r="G111" s="333">
        <f>G108</f>
        <v>1</v>
      </c>
    </row>
    <row r="112" spans="1:8">
      <c r="B112" s="332" t="str">
        <f>"TB"&amp;B108</f>
        <v>TBTR75</v>
      </c>
      <c r="C112" s="395"/>
      <c r="D112" s="396" t="str">
        <f>"2 x 0,05 ca/tấn x "&amp;ROUND(VLOOKUP(B112,CTTBA,'7.CT-TBA'!$T$25,0)/1000,1)&amp;" tấn x "&amp;VLOOKUP(H105,DGMTC,8,0)&amp;"đ/ca"</f>
        <v>2 x 0,05 ca/tấn x 1,4 tấn x 1386944đ/ca</v>
      </c>
      <c r="E112" s="396">
        <f>ROUND(2*0.05*ROUND(VLOOKUP(B112,CTTBA,'7.CT-TBA'!$T$25,0)/1000,1)*VLOOKUP(H112,DGMTC,8,0),0)</f>
        <v>194172</v>
      </c>
      <c r="F112" s="394"/>
      <c r="G112" s="333">
        <f>G108</f>
        <v>1</v>
      </c>
      <c r="H112" s="332" t="s">
        <v>898</v>
      </c>
    </row>
    <row r="113" spans="1:8">
      <c r="C113" s="393" t="s">
        <v>1417</v>
      </c>
      <c r="D113" s="394" t="s">
        <v>3379</v>
      </c>
      <c r="E113" s="394"/>
      <c r="F113" s="394"/>
      <c r="G113" s="333">
        <f>G108</f>
        <v>1</v>
      </c>
    </row>
    <row r="114" spans="1:8">
      <c r="B114" s="332" t="str">
        <f>"TB"&amp;B108</f>
        <v>TBTR75</v>
      </c>
      <c r="C114" s="395"/>
      <c r="D114" s="396" t="str">
        <f>ROUNDUP(VLOOKUP(B114,CTTBA,'7.CT-TBA'!$T$25,0)/($L$2*1000),0)&amp;" chuyến x 25.000đ/chuyến"</f>
        <v>1 chuyến x 25.000đ/chuyến</v>
      </c>
      <c r="E114" s="396">
        <f>ROUNDUP(VLOOKUP(B114,CTTBA,'7.CT-TBA'!$T$25,0)/($L$2*1000),0)*25000</f>
        <v>25000</v>
      </c>
      <c r="F114" s="394"/>
      <c r="G114" s="333">
        <f>G108</f>
        <v>1</v>
      </c>
    </row>
    <row r="115" spans="1:8" hidden="1">
      <c r="A115" s="332" t="str">
        <f>"VC"&amp;B117</f>
        <v>VCVLTR100</v>
      </c>
      <c r="B115" s="389" t="s">
        <v>2073</v>
      </c>
      <c r="C115" s="390" t="s">
        <v>1717</v>
      </c>
      <c r="D115" s="391" t="str">
        <f>"Vận chuyển vật liệu "&amp;VLOOKUP(B115,CTTBA,'7.CT-TBA'!$E$25,0)</f>
        <v>Vận chuyển vật liệu 0 Trạm 1 pha 100kVA</v>
      </c>
      <c r="E115" s="391">
        <f>SUM(E116:E121)</f>
        <v>0</v>
      </c>
      <c r="F115" s="392"/>
      <c r="G115" s="333">
        <f>IF(E115&lt;&gt;0,1,)</f>
        <v>0</v>
      </c>
    </row>
    <row r="116" spans="1:8" hidden="1">
      <c r="C116" s="393" t="s">
        <v>1415</v>
      </c>
      <c r="D116" s="394" t="s">
        <v>2557</v>
      </c>
      <c r="E116" s="394"/>
      <c r="F116" s="394"/>
      <c r="G116" s="333">
        <f>G115</f>
        <v>0</v>
      </c>
    </row>
    <row r="117" spans="1:8" hidden="1">
      <c r="B117" s="332" t="str">
        <f>"VL"&amp;B115</f>
        <v>VLTR100</v>
      </c>
      <c r="C117" s="395"/>
      <c r="D117" s="396" t="str">
        <f>ROUNDUP(VLOOKUP(B117,CTTBA,'7.CT-TBA'!$T$25,0)/($L$2*1000),0)&amp;" chuyến x "&amp;$L$2&amp;" tấn x "&amp;$E$2&amp;"km x "&amp;VLOOKUP($E$2,DGVCDD,$I$4,0)&amp;"đ/km"</f>
        <v>0 chuyến x 5 tấn x 10km x 2231đ/km</v>
      </c>
      <c r="E117" s="396">
        <f>ROUND(ROUNDUP(VLOOKUP(B117,CTTBA,'7.CT-TBA'!$T$25,0)/($L$2*1000),0)*$L$2*$E$2*VLOOKUP($E$2,DGVCDD,$I$4,0),0)</f>
        <v>0</v>
      </c>
      <c r="F117" s="394"/>
      <c r="G117" s="333">
        <f>G115</f>
        <v>0</v>
      </c>
    </row>
    <row r="118" spans="1:8" hidden="1">
      <c r="C118" s="393" t="s">
        <v>1416</v>
      </c>
      <c r="D118" s="394" t="s">
        <v>2573</v>
      </c>
      <c r="E118" s="394"/>
      <c r="F118" s="394"/>
      <c r="G118" s="333">
        <f>G115</f>
        <v>0</v>
      </c>
    </row>
    <row r="119" spans="1:8" hidden="1">
      <c r="B119" s="332" t="str">
        <f>"VL"&amp;B115</f>
        <v>VLTR100</v>
      </c>
      <c r="C119" s="395"/>
      <c r="D119" s="396" t="str">
        <f>"2 x 0,05 ca/tấn x "&amp;ROUND(VLOOKUP(B119,CTTBA,'7.CT-TBA'!$T$25,0)/1000,1)&amp;" tấn x "&amp;VLOOKUP(H119,DGMTC,8,0)&amp;"đ/ca"</f>
        <v>2 x 0,05 ca/tấn x 0 tấn x 1386944đ/ca</v>
      </c>
      <c r="E119" s="396">
        <f>ROUND(2*0.05*ROUND(VLOOKUP(B119,CTTBA,'7.CT-TBA'!$T$25,0)/1000,1)*VLOOKUP(H119,DGMTC,8,0),0)</f>
        <v>0</v>
      </c>
      <c r="F119" s="394"/>
      <c r="G119" s="333">
        <f>G115</f>
        <v>0</v>
      </c>
      <c r="H119" s="332" t="s">
        <v>898</v>
      </c>
    </row>
    <row r="120" spans="1:8" hidden="1">
      <c r="C120" s="393" t="s">
        <v>1417</v>
      </c>
      <c r="D120" s="394" t="s">
        <v>2558</v>
      </c>
      <c r="E120" s="394"/>
      <c r="F120" s="394"/>
      <c r="G120" s="333">
        <f>G115</f>
        <v>0</v>
      </c>
    </row>
    <row r="121" spans="1:8" hidden="1">
      <c r="B121" s="332" t="str">
        <f>"VL"&amp;B115</f>
        <v>VLTR100</v>
      </c>
      <c r="C121" s="395"/>
      <c r="D121" s="396" t="str">
        <f>ROUNDUP(VLOOKUP(B121,CTTBA,'7.CT-TBA'!$T$25,0)/($L$2*1000),0)&amp;" chuyến x 25.000đ/chuyến"</f>
        <v>0 chuyến x 25.000đ/chuyến</v>
      </c>
      <c r="E121" s="396">
        <f>ROUNDUP(VLOOKUP(B121,CTTBA,'7.CT-TBA'!$T$25,0)/($L$2*1000),0)*25000</f>
        <v>0</v>
      </c>
      <c r="F121" s="394"/>
      <c r="G121" s="333">
        <f>G115</f>
        <v>0</v>
      </c>
    </row>
    <row r="122" spans="1:8" hidden="1">
      <c r="A122" s="332" t="str">
        <f>"VC"&amp;B124</f>
        <v>VCTBTR100</v>
      </c>
      <c r="B122" s="332" t="str">
        <f>B115</f>
        <v>TR100</v>
      </c>
      <c r="C122" s="390" t="s">
        <v>1729</v>
      </c>
      <c r="D122" s="391" t="str">
        <f>"Vận chuyển thiết bị "&amp;VLOOKUP(B122,CTTBA,'7.CT-TBA'!$E$25,0)</f>
        <v>Vận chuyển thiết bị 0 Trạm 1 pha 100kVA</v>
      </c>
      <c r="E122" s="391">
        <f>SUM(E123:E128)</f>
        <v>0</v>
      </c>
      <c r="F122" s="392"/>
      <c r="G122" s="333">
        <f>IF(E122&lt;&gt;0,1,)</f>
        <v>0</v>
      </c>
    </row>
    <row r="123" spans="1:8" hidden="1">
      <c r="C123" s="393" t="s">
        <v>1415</v>
      </c>
      <c r="D123" s="394" t="s">
        <v>2559</v>
      </c>
      <c r="E123" s="394"/>
      <c r="F123" s="394"/>
      <c r="G123" s="333">
        <f>G122</f>
        <v>0</v>
      </c>
    </row>
    <row r="124" spans="1:8" hidden="1">
      <c r="B124" s="332" t="str">
        <f>"TB"&amp;B122</f>
        <v>TBTR100</v>
      </c>
      <c r="C124" s="395"/>
      <c r="D124" s="396" t="str">
        <f>ROUNDUP(VLOOKUP(B124,CTTBA,'7.CT-TBA'!$T$25,0)/($L$2*1000),0)&amp;" chuyến x "&amp;$L$2&amp;" tấn x "&amp;$E$2&amp;"km x "&amp;VLOOKUP($E$2,DGVCDD,$I$4,0)&amp;"đ/km"</f>
        <v>0 chuyến x 5 tấn x 10km x 2231đ/km</v>
      </c>
      <c r="E124" s="396">
        <f>ROUND(ROUNDUP(VLOOKUP(B124,CTTBA,'7.CT-TBA'!$T$25,0)/($L$2*1000),0)*$L$2*$E$2*VLOOKUP($E$2,DGVCDD,$I$4,0),0)</f>
        <v>0</v>
      </c>
      <c r="F124" s="394"/>
      <c r="G124" s="333">
        <f>G122</f>
        <v>0</v>
      </c>
    </row>
    <row r="125" spans="1:8" hidden="1">
      <c r="C125" s="393" t="s">
        <v>1416</v>
      </c>
      <c r="D125" s="394" t="s">
        <v>2575</v>
      </c>
      <c r="E125" s="394"/>
      <c r="F125" s="394"/>
      <c r="G125" s="333">
        <f>G122</f>
        <v>0</v>
      </c>
    </row>
    <row r="126" spans="1:8" hidden="1">
      <c r="B126" s="332" t="str">
        <f>"TB"&amp;B122</f>
        <v>TBTR100</v>
      </c>
      <c r="C126" s="395"/>
      <c r="D126" s="396" t="str">
        <f>"2 x 0,05 ca/tấn x "&amp;ROUND(VLOOKUP(B126,CTTBA,'7.CT-TBA'!$T$25,0)/1000,1)&amp;" tấn x "&amp;VLOOKUP(H119,DGMTC,8,0)&amp;"đ/ca"</f>
        <v>2 x 0,05 ca/tấn x 0 tấn x 1386944đ/ca</v>
      </c>
      <c r="E126" s="396">
        <f>ROUND(2*0.05*ROUND(VLOOKUP(B126,CTTBA,'7.CT-TBA'!$T$25,0)/1000,1)*VLOOKUP(H126,DGMTC,8,0),0)</f>
        <v>0</v>
      </c>
      <c r="F126" s="394"/>
      <c r="G126" s="333">
        <f>G122</f>
        <v>0</v>
      </c>
      <c r="H126" s="332" t="s">
        <v>898</v>
      </c>
    </row>
    <row r="127" spans="1:8" hidden="1">
      <c r="C127" s="393" t="s">
        <v>1417</v>
      </c>
      <c r="D127" s="394" t="s">
        <v>2554</v>
      </c>
      <c r="E127" s="394"/>
      <c r="F127" s="394"/>
      <c r="G127" s="333">
        <f>G122</f>
        <v>0</v>
      </c>
    </row>
    <row r="128" spans="1:8" hidden="1">
      <c r="B128" s="332" t="str">
        <f>"TB"&amp;B122</f>
        <v>TBTR100</v>
      </c>
      <c r="C128" s="395"/>
      <c r="D128" s="396" t="str">
        <f>ROUNDUP(VLOOKUP(B128,CTTBA,'7.CT-TBA'!$T$25,0)/($L$2*1000),0)&amp;" chuyến x 25.000đ/chuyến"</f>
        <v>0 chuyến x 25.000đ/chuyến</v>
      </c>
      <c r="E128" s="396">
        <f>ROUNDUP(VLOOKUP(B128,CTTBA,'7.CT-TBA'!$T$25,0)/($L$2*1000),0)*25000</f>
        <v>0</v>
      </c>
      <c r="F128" s="394"/>
      <c r="G128" s="333">
        <f>G122</f>
        <v>0</v>
      </c>
    </row>
    <row r="129" spans="1:8" hidden="1">
      <c r="A129" s="332" t="str">
        <f>"VC"&amp;B131</f>
        <v>VCVLTR3X25</v>
      </c>
      <c r="B129" s="389" t="s">
        <v>2076</v>
      </c>
      <c r="C129" s="390" t="s">
        <v>1717</v>
      </c>
      <c r="D129" s="391" t="str">
        <f>"Vận chuyển vật liệu "&amp;VLOOKUP(B129,CTTBA,'7.CT-TBA'!$E$25,0)</f>
        <v>Vận chuyển vật liệu 0 Trạm 3 pha 3x25kVA</v>
      </c>
      <c r="E129" s="391">
        <f>SUM(E130:E135)</f>
        <v>0</v>
      </c>
      <c r="F129" s="392"/>
      <c r="G129" s="333">
        <f>IF(E129&lt;&gt;0,1,)</f>
        <v>0</v>
      </c>
    </row>
    <row r="130" spans="1:8" hidden="1">
      <c r="C130" s="393" t="s">
        <v>1415</v>
      </c>
      <c r="D130" s="394" t="s">
        <v>2557</v>
      </c>
      <c r="E130" s="394"/>
      <c r="F130" s="394"/>
      <c r="G130" s="333">
        <f>G129</f>
        <v>0</v>
      </c>
    </row>
    <row r="131" spans="1:8" hidden="1">
      <c r="B131" s="332" t="str">
        <f>"VL"&amp;B129</f>
        <v>VLTR3X25</v>
      </c>
      <c r="C131" s="395"/>
      <c r="D131" s="396" t="str">
        <f>ROUNDUP(VLOOKUP(B131,CTTBA,'7.CT-TBA'!$T$25,0)/($L$2*1000),0)&amp;" chuyến x "&amp;$L$2&amp;" tấn x "&amp;$E$2&amp;"km x "&amp;VLOOKUP($E$2,DGVCDD,$I$4,0)&amp;"đ/km"</f>
        <v>0 chuyến x 5 tấn x 10km x 2231đ/km</v>
      </c>
      <c r="E131" s="396">
        <f>ROUND(ROUNDUP(VLOOKUP(B131,CTTBA,'7.CT-TBA'!$T$25,0)/($L$2*1000),0)*$L$2*$E$2*VLOOKUP($E$2,DGVCDD,$I$4,0),0)</f>
        <v>0</v>
      </c>
      <c r="F131" s="394"/>
      <c r="G131" s="333">
        <f>G129</f>
        <v>0</v>
      </c>
    </row>
    <row r="132" spans="1:8" hidden="1">
      <c r="C132" s="393" t="s">
        <v>1416</v>
      </c>
      <c r="D132" s="394" t="s">
        <v>2573</v>
      </c>
      <c r="E132" s="394"/>
      <c r="F132" s="394"/>
      <c r="G132" s="333">
        <f>G129</f>
        <v>0</v>
      </c>
    </row>
    <row r="133" spans="1:8" hidden="1">
      <c r="B133" s="332" t="str">
        <f>"VL"&amp;B129</f>
        <v>VLTR3X25</v>
      </c>
      <c r="C133" s="395"/>
      <c r="D133" s="396" t="str">
        <f>"2 x 0,05 ca/tấn x "&amp;ROUND(VLOOKUP(B133,CTTBA,'7.CT-TBA'!$T$25,0)/1000,1)&amp;" tấn x "&amp;VLOOKUP(H133,DGMTC,8,0)&amp;"đ/ca"</f>
        <v>2 x 0,05 ca/tấn x 0 tấn x 1386944đ/ca</v>
      </c>
      <c r="E133" s="396">
        <f>ROUND(2*0.05*ROUND(VLOOKUP(B133,CTTBA,'7.CT-TBA'!$T$25,0)/1000,1)*VLOOKUP(H133,DGMTC,8,0),0)</f>
        <v>0</v>
      </c>
      <c r="F133" s="394"/>
      <c r="G133" s="333">
        <f>G129</f>
        <v>0</v>
      </c>
      <c r="H133" s="332" t="s">
        <v>898</v>
      </c>
    </row>
    <row r="134" spans="1:8" hidden="1">
      <c r="C134" s="393" t="s">
        <v>1417</v>
      </c>
      <c r="D134" s="394" t="s">
        <v>2558</v>
      </c>
      <c r="E134" s="394"/>
      <c r="F134" s="394"/>
      <c r="G134" s="333">
        <f>G129</f>
        <v>0</v>
      </c>
    </row>
    <row r="135" spans="1:8" hidden="1">
      <c r="B135" s="332" t="str">
        <f>"VL"&amp;B129</f>
        <v>VLTR3X25</v>
      </c>
      <c r="C135" s="395"/>
      <c r="D135" s="396" t="str">
        <f>ROUNDUP(VLOOKUP(B135,CTTBA,'7.CT-TBA'!$T$25,0)/($L$2*1000),0)&amp;" chuyến x 25.000đ/chuyến"</f>
        <v>0 chuyến x 25.000đ/chuyến</v>
      </c>
      <c r="E135" s="396">
        <f>ROUNDUP(VLOOKUP(B135,CTTBA,'7.CT-TBA'!$T$25,0)/($L$2*1000),0)*25000</f>
        <v>0</v>
      </c>
      <c r="F135" s="394"/>
      <c r="G135" s="333">
        <f>G129</f>
        <v>0</v>
      </c>
    </row>
    <row r="136" spans="1:8" hidden="1">
      <c r="A136" s="332" t="str">
        <f>"VC"&amp;B138</f>
        <v>VCTBTR3X25</v>
      </c>
      <c r="B136" s="332" t="str">
        <f>B129</f>
        <v>TR3X25</v>
      </c>
      <c r="C136" s="390" t="s">
        <v>1729</v>
      </c>
      <c r="D136" s="391" t="str">
        <f>"Vận chuyển thiết bị "&amp;VLOOKUP(B136,CTTBA,'7.CT-TBA'!$E$25,0)</f>
        <v>Vận chuyển thiết bị 0 Trạm 3 pha 3x25kVA</v>
      </c>
      <c r="E136" s="391">
        <f>SUM(E137:E142)</f>
        <v>0</v>
      </c>
      <c r="F136" s="392"/>
      <c r="G136" s="333">
        <f>IF(E136&lt;&gt;0,1,)</f>
        <v>0</v>
      </c>
    </row>
    <row r="137" spans="1:8" hidden="1">
      <c r="C137" s="393" t="s">
        <v>1415</v>
      </c>
      <c r="D137" s="394" t="s">
        <v>2559</v>
      </c>
      <c r="E137" s="394"/>
      <c r="F137" s="394"/>
      <c r="G137" s="333">
        <f>G136</f>
        <v>0</v>
      </c>
    </row>
    <row r="138" spans="1:8" hidden="1">
      <c r="B138" s="332" t="str">
        <f>"TB"&amp;B136</f>
        <v>TBTR3X25</v>
      </c>
      <c r="C138" s="395"/>
      <c r="D138" s="396" t="str">
        <f>ROUNDUP(VLOOKUP(B138,CTTBA,'7.CT-TBA'!$T$25,0)/($L$2*1000),0)&amp;" chuyến x "&amp;$L$2&amp;" tấn x "&amp;$E$2&amp;"km x "&amp;VLOOKUP($E$2,DGVCDD,$I$4,0)&amp;"đ/km"</f>
        <v>0 chuyến x 5 tấn x 10km x 2231đ/km</v>
      </c>
      <c r="E138" s="396">
        <f>ROUND(ROUNDUP(VLOOKUP(B138,CTTBA,'7.CT-TBA'!$T$25,0)/($L$2*1000),0)*$L$2*$E$2*VLOOKUP($E$2,DGVCDD,$I$4,0),0)</f>
        <v>0</v>
      </c>
      <c r="F138" s="394"/>
      <c r="G138" s="333">
        <f>G136</f>
        <v>0</v>
      </c>
    </row>
    <row r="139" spans="1:8" hidden="1">
      <c r="C139" s="393" t="s">
        <v>1416</v>
      </c>
      <c r="D139" s="394" t="s">
        <v>2575</v>
      </c>
      <c r="E139" s="394"/>
      <c r="F139" s="394"/>
      <c r="G139" s="333">
        <f>G136</f>
        <v>0</v>
      </c>
    </row>
    <row r="140" spans="1:8" hidden="1">
      <c r="B140" s="332" t="str">
        <f>"TB"&amp;B136</f>
        <v>TBTR3X25</v>
      </c>
      <c r="C140" s="395"/>
      <c r="D140" s="396" t="str">
        <f>"2 x 0,05 ca/tấn x "&amp;ROUND(VLOOKUP(B140,CTTBA,'7.CT-TBA'!$T$25,0)/1000,1)&amp;" tấn x "&amp;VLOOKUP(H133,DGMTC,8,0)&amp;"đ/ca"</f>
        <v>2 x 0,05 ca/tấn x 0 tấn x 1386944đ/ca</v>
      </c>
      <c r="E140" s="396">
        <f>ROUND(2*0.05*ROUND(VLOOKUP(B140,CTTBA,'7.CT-TBA'!$T$25,0)/1000,1)*VLOOKUP(H140,DGMTC,8,0),0)</f>
        <v>0</v>
      </c>
      <c r="F140" s="394"/>
      <c r="G140" s="333">
        <f>G136</f>
        <v>0</v>
      </c>
      <c r="H140" s="332" t="s">
        <v>898</v>
      </c>
    </row>
    <row r="141" spans="1:8" hidden="1">
      <c r="C141" s="393" t="s">
        <v>1417</v>
      </c>
      <c r="D141" s="394" t="s">
        <v>2554</v>
      </c>
      <c r="E141" s="394"/>
      <c r="F141" s="394"/>
      <c r="G141" s="333">
        <f>G136</f>
        <v>0</v>
      </c>
    </row>
    <row r="142" spans="1:8" hidden="1">
      <c r="B142" s="332" t="str">
        <f>"TB"&amp;B136</f>
        <v>TBTR3X25</v>
      </c>
      <c r="C142" s="395"/>
      <c r="D142" s="396" t="str">
        <f>ROUNDUP(VLOOKUP(B142,CTTBA,'7.CT-TBA'!$T$25,0)/($L$2*1000),0)&amp;" chuyến x 25.000đ/chuyến"</f>
        <v>0 chuyến x 25.000đ/chuyến</v>
      </c>
      <c r="E142" s="396">
        <f>ROUNDUP(VLOOKUP(B142,CTTBA,'7.CT-TBA'!$T$25,0)/($L$2*1000),0)*25000</f>
        <v>0</v>
      </c>
      <c r="F142" s="394"/>
      <c r="G142" s="333">
        <f>G136</f>
        <v>0</v>
      </c>
    </row>
    <row r="143" spans="1:8" hidden="1">
      <c r="A143" s="332" t="str">
        <f>"VC"&amp;B145</f>
        <v>VCVLTR3X375</v>
      </c>
      <c r="B143" s="389" t="s">
        <v>2079</v>
      </c>
      <c r="C143" s="390" t="s">
        <v>1717</v>
      </c>
      <c r="D143" s="391" t="str">
        <f>"Vận chuyển vật liệu "&amp;VLOOKUP(B143,CTTBA,'7.CT-TBA'!$E$25,0)</f>
        <v>Vận chuyển vật liệu 0 Trạm 3 pha 3x37,5kVA</v>
      </c>
      <c r="E143" s="391">
        <f>SUM(E144:E149)</f>
        <v>0</v>
      </c>
      <c r="F143" s="392"/>
      <c r="G143" s="333">
        <f>IF(E143&lt;&gt;0,1,)</f>
        <v>0</v>
      </c>
    </row>
    <row r="144" spans="1:8" hidden="1">
      <c r="C144" s="393" t="s">
        <v>1415</v>
      </c>
      <c r="D144" s="394" t="s">
        <v>2557</v>
      </c>
      <c r="E144" s="394"/>
      <c r="F144" s="394"/>
      <c r="G144" s="333">
        <f>G143</f>
        <v>0</v>
      </c>
    </row>
    <row r="145" spans="1:8" hidden="1">
      <c r="B145" s="332" t="str">
        <f>"VL"&amp;B143</f>
        <v>VLTR3X375</v>
      </c>
      <c r="C145" s="395"/>
      <c r="D145" s="396" t="str">
        <f>ROUNDUP(VLOOKUP(B145,CTTBA,'7.CT-TBA'!$T$25,0)/($L$2*1000),0)&amp;" chuyến x "&amp;$L$2&amp;" tấn x "&amp;$E$2&amp;"km x "&amp;VLOOKUP($E$2,DGVCDD,$I$4,0)&amp;"đ/km"</f>
        <v>0 chuyến x 5 tấn x 10km x 2231đ/km</v>
      </c>
      <c r="E145" s="396">
        <f>ROUND(ROUNDUP(VLOOKUP(B145,CTTBA,'7.CT-TBA'!$T$25,0)/($L$2*1000),0)*$L$2*$E$2*VLOOKUP($E$2,DGVCDD,$I$4,0),0)</f>
        <v>0</v>
      </c>
      <c r="F145" s="394"/>
      <c r="G145" s="333">
        <f>G143</f>
        <v>0</v>
      </c>
    </row>
    <row r="146" spans="1:8" hidden="1">
      <c r="C146" s="393" t="s">
        <v>1416</v>
      </c>
      <c r="D146" s="394" t="s">
        <v>2573</v>
      </c>
      <c r="E146" s="394"/>
      <c r="F146" s="394"/>
      <c r="G146" s="333">
        <f>G143</f>
        <v>0</v>
      </c>
    </row>
    <row r="147" spans="1:8" hidden="1">
      <c r="B147" s="332" t="str">
        <f>"VL"&amp;B143</f>
        <v>VLTR3X375</v>
      </c>
      <c r="C147" s="395"/>
      <c r="D147" s="396" t="str">
        <f>"2 x 0,05 ca/tấn x "&amp;ROUND(VLOOKUP(B147,CTTBA,'7.CT-TBA'!$T$25,0)/1000,1)&amp;" tấn x "&amp;VLOOKUP(H147,DGMTC,8,0)&amp;"đ/ca"</f>
        <v>2 x 0,05 ca/tấn x 0 tấn x 1386944đ/ca</v>
      </c>
      <c r="E147" s="396">
        <f>ROUND(2*0.05*ROUND(VLOOKUP(B147,CTTBA,'7.CT-TBA'!$T$25,0)/1000,1)*VLOOKUP(H147,DGMTC,8,0),0)</f>
        <v>0</v>
      </c>
      <c r="F147" s="394"/>
      <c r="G147" s="333">
        <f>G143</f>
        <v>0</v>
      </c>
      <c r="H147" s="332" t="s">
        <v>898</v>
      </c>
    </row>
    <row r="148" spans="1:8" hidden="1">
      <c r="C148" s="393" t="s">
        <v>1417</v>
      </c>
      <c r="D148" s="394" t="s">
        <v>2558</v>
      </c>
      <c r="E148" s="394"/>
      <c r="F148" s="394"/>
      <c r="G148" s="333">
        <f>G143</f>
        <v>0</v>
      </c>
    </row>
    <row r="149" spans="1:8" hidden="1">
      <c r="B149" s="332" t="str">
        <f>"VL"&amp;B143</f>
        <v>VLTR3X375</v>
      </c>
      <c r="C149" s="395"/>
      <c r="D149" s="396" t="str">
        <f>ROUNDUP(VLOOKUP(B149,CTTBA,'7.CT-TBA'!$T$25,0)/($L$2*1000),0)&amp;" chuyến x 25.000đ/chuyến"</f>
        <v>0 chuyến x 25.000đ/chuyến</v>
      </c>
      <c r="E149" s="396">
        <f>ROUNDUP(VLOOKUP(B149,CTTBA,'7.CT-TBA'!$T$25,0)/($L$2*1000),0)*25000</f>
        <v>0</v>
      </c>
      <c r="F149" s="394"/>
      <c r="G149" s="333">
        <f>G143</f>
        <v>0</v>
      </c>
    </row>
    <row r="150" spans="1:8" hidden="1">
      <c r="A150" s="332" t="str">
        <f>"VC"&amp;B152</f>
        <v>VCTBTR3X375</v>
      </c>
      <c r="B150" s="332" t="str">
        <f>B143</f>
        <v>TR3X375</v>
      </c>
      <c r="C150" s="390" t="s">
        <v>1729</v>
      </c>
      <c r="D150" s="391" t="str">
        <f>"Vận chuyển thiết bị "&amp;VLOOKUP(B150,CTTBA,'7.CT-TBA'!$E$25,0)</f>
        <v>Vận chuyển thiết bị 0 Trạm 3 pha 3x37,5kVA</v>
      </c>
      <c r="E150" s="391">
        <f>SUM(E151:E156)</f>
        <v>0</v>
      </c>
      <c r="F150" s="392"/>
      <c r="G150" s="333">
        <f>IF(E150&lt;&gt;0,1,)</f>
        <v>0</v>
      </c>
    </row>
    <row r="151" spans="1:8" hidden="1">
      <c r="C151" s="393" t="s">
        <v>1415</v>
      </c>
      <c r="D151" s="394" t="s">
        <v>2559</v>
      </c>
      <c r="E151" s="394"/>
      <c r="F151" s="394"/>
      <c r="G151" s="333">
        <f>G150</f>
        <v>0</v>
      </c>
    </row>
    <row r="152" spans="1:8" hidden="1">
      <c r="B152" s="332" t="str">
        <f>"TB"&amp;B150</f>
        <v>TBTR3X375</v>
      </c>
      <c r="C152" s="395"/>
      <c r="D152" s="396" t="str">
        <f>ROUNDUP(VLOOKUP(B152,CTTBA,'7.CT-TBA'!$T$25,0)/($L$2*1000),0)&amp;" chuyến x "&amp;$L$2&amp;" tấn x "&amp;$E$2&amp;"km x "&amp;VLOOKUP($E$2,DGVCDD,$I$4,0)&amp;"đ/km"</f>
        <v>0 chuyến x 5 tấn x 10km x 2231đ/km</v>
      </c>
      <c r="E152" s="396">
        <f>ROUND(ROUNDUP(VLOOKUP(B152,CTTBA,'7.CT-TBA'!$T$25,0)/($L$2*1000),0)*$L$2*$E$2*VLOOKUP($E$2,DGVCDD,$I$4,0),0)</f>
        <v>0</v>
      </c>
      <c r="F152" s="394"/>
      <c r="G152" s="333">
        <f>G150</f>
        <v>0</v>
      </c>
    </row>
    <row r="153" spans="1:8" hidden="1">
      <c r="C153" s="393" t="s">
        <v>1416</v>
      </c>
      <c r="D153" s="394" t="s">
        <v>2575</v>
      </c>
      <c r="E153" s="394"/>
      <c r="F153" s="394"/>
      <c r="G153" s="333">
        <f>G150</f>
        <v>0</v>
      </c>
    </row>
    <row r="154" spans="1:8" hidden="1">
      <c r="B154" s="332" t="str">
        <f>"TB"&amp;B150</f>
        <v>TBTR3X375</v>
      </c>
      <c r="C154" s="395"/>
      <c r="D154" s="396" t="str">
        <f>"2 x 0,05 ca/tấn x "&amp;ROUND(VLOOKUP(B154,CTTBA,'7.CT-TBA'!$T$25,0)/1000,1)&amp;" tấn x "&amp;VLOOKUP(H147,DGMTC,8,0)&amp;"đ/ca"</f>
        <v>2 x 0,05 ca/tấn x 0 tấn x 1386944đ/ca</v>
      </c>
      <c r="E154" s="396">
        <f>ROUND(2*0.05*ROUND(VLOOKUP(B154,CTTBA,'7.CT-TBA'!$T$25,0)/1000,1)*VLOOKUP(H154,DGMTC,8,0),0)</f>
        <v>0</v>
      </c>
      <c r="F154" s="394"/>
      <c r="G154" s="333">
        <f>G150</f>
        <v>0</v>
      </c>
      <c r="H154" s="332" t="s">
        <v>898</v>
      </c>
    </row>
    <row r="155" spans="1:8" hidden="1">
      <c r="C155" s="393" t="s">
        <v>1417</v>
      </c>
      <c r="D155" s="394" t="s">
        <v>2554</v>
      </c>
      <c r="E155" s="394"/>
      <c r="F155" s="394"/>
      <c r="G155" s="333">
        <f>G150</f>
        <v>0</v>
      </c>
    </row>
    <row r="156" spans="1:8" hidden="1">
      <c r="B156" s="332" t="str">
        <f>"TB"&amp;B150</f>
        <v>TBTR3X375</v>
      </c>
      <c r="C156" s="395"/>
      <c r="D156" s="396" t="str">
        <f>ROUNDUP(VLOOKUP(B156,CTTBA,'7.CT-TBA'!$T$25,0)/($L$2*1000),0)&amp;" chuyến x 25.000đ/chuyến"</f>
        <v>0 chuyến x 25.000đ/chuyến</v>
      </c>
      <c r="E156" s="396">
        <f>ROUNDUP(VLOOKUP(B156,CTTBA,'7.CT-TBA'!$T$25,0)/($L$2*1000),0)*25000</f>
        <v>0</v>
      </c>
      <c r="F156" s="394"/>
      <c r="G156" s="333">
        <f>G150</f>
        <v>0</v>
      </c>
    </row>
    <row r="157" spans="1:8">
      <c r="A157" s="332" t="str">
        <f>"VC"&amp;B159</f>
        <v>VCVLTR3X50</v>
      </c>
      <c r="B157" s="389" t="s">
        <v>2082</v>
      </c>
      <c r="C157" s="390" t="s">
        <v>3273</v>
      </c>
      <c r="D157" s="391" t="str">
        <f>"Vận chuyển vật liệu "&amp;VLOOKUP(B157,CTTBA,'7.CT-TBA'!$E$25,0)</f>
        <v>Vận chuyển vật liệu 9 Trạm 3 pha 3x50kVA</v>
      </c>
      <c r="E157" s="391">
        <f>SUM(E158:E163)</f>
        <v>580372</v>
      </c>
      <c r="F157" s="392"/>
      <c r="G157" s="333">
        <f>IF(E157&lt;&gt;0,1,)</f>
        <v>1</v>
      </c>
    </row>
    <row r="158" spans="1:8">
      <c r="C158" s="393" t="s">
        <v>1415</v>
      </c>
      <c r="D158" s="394" t="s">
        <v>2557</v>
      </c>
      <c r="E158" s="394"/>
      <c r="F158" s="394"/>
      <c r="G158" s="333">
        <f>G157</f>
        <v>1</v>
      </c>
    </row>
    <row r="159" spans="1:8">
      <c r="B159" s="332" t="str">
        <f>"VL"&amp;B157</f>
        <v>VLTR3X50</v>
      </c>
      <c r="C159" s="395"/>
      <c r="D159" s="396" t="str">
        <f>ROUNDUP(VLOOKUP(B159,CTTBA,'7.CT-TBA'!$T$25,0)/($L$2*1000),0)&amp;" chuyến x "&amp;$L$2&amp;" tấn x "&amp;$E$2&amp;"km x "&amp;VLOOKUP($E$2,DGVCDD,$I$4,0)&amp;"đ/km"</f>
        <v>1 chuyến x 5 tấn x 10km x 2231đ/km</v>
      </c>
      <c r="E159" s="396">
        <f>ROUND(ROUNDUP(VLOOKUP(B159,CTTBA,'7.CT-TBA'!$T$25,0)/($L$2*1000),0)*$L$2*$E$2*VLOOKUP($E$2,DGVCDD,$I$4,0),0)</f>
        <v>111550</v>
      </c>
      <c r="F159" s="394"/>
      <c r="G159" s="333">
        <f>G157</f>
        <v>1</v>
      </c>
    </row>
    <row r="160" spans="1:8">
      <c r="C160" s="393" t="s">
        <v>1416</v>
      </c>
      <c r="D160" s="394" t="s">
        <v>2573</v>
      </c>
      <c r="E160" s="394"/>
      <c r="F160" s="394"/>
      <c r="G160" s="333">
        <f>G157</f>
        <v>1</v>
      </c>
    </row>
    <row r="161" spans="1:8">
      <c r="B161" s="332" t="str">
        <f>"VL"&amp;B157</f>
        <v>VLTR3X50</v>
      </c>
      <c r="C161" s="395"/>
      <c r="D161" s="396" t="str">
        <f>"2 x 0,05 ca/tấn x "&amp;ROUND(VLOOKUP(B161,CTTBA,'7.CT-TBA'!$T$25,0)/1000,1)&amp;" tấn x "&amp;VLOOKUP(H161,DGMTC,8,0)&amp;"đ/ca"</f>
        <v>2 x 0,05 ca/tấn x 3,2 tấn x 1386944đ/ca</v>
      </c>
      <c r="E161" s="396">
        <f>ROUND(2*0.05*ROUND(VLOOKUP(B161,CTTBA,'7.CT-TBA'!$T$25,0)/1000,1)*VLOOKUP(H161,DGMTC,8,0),0)</f>
        <v>443822</v>
      </c>
      <c r="F161" s="394"/>
      <c r="G161" s="333">
        <f>G157</f>
        <v>1</v>
      </c>
      <c r="H161" s="332" t="s">
        <v>898</v>
      </c>
    </row>
    <row r="162" spans="1:8">
      <c r="C162" s="393" t="s">
        <v>1417</v>
      </c>
      <c r="D162" s="394" t="s">
        <v>3380</v>
      </c>
      <c r="E162" s="394"/>
      <c r="F162" s="394"/>
      <c r="G162" s="333">
        <f>G157</f>
        <v>1</v>
      </c>
    </row>
    <row r="163" spans="1:8">
      <c r="B163" s="332" t="str">
        <f>"VL"&amp;B157</f>
        <v>VLTR3X50</v>
      </c>
      <c r="C163" s="395"/>
      <c r="D163" s="396" t="str">
        <f>ROUNDUP(VLOOKUP(B163,CTTBA,'7.CT-TBA'!$T$25,0)/($L$2*1000),0)&amp;" chuyến x 25.000đ/chuyến"</f>
        <v>1 chuyến x 25.000đ/chuyến</v>
      </c>
      <c r="E163" s="396">
        <f>ROUNDUP(VLOOKUP(B163,CTTBA,'7.CT-TBA'!$T$25,0)/($L$2*1000),0)*25000</f>
        <v>25000</v>
      </c>
      <c r="F163" s="394"/>
      <c r="G163" s="333">
        <f>G157</f>
        <v>1</v>
      </c>
    </row>
    <row r="164" spans="1:8">
      <c r="A164" s="332" t="str">
        <f>"VC"&amp;B166</f>
        <v>VCTBTR3X50</v>
      </c>
      <c r="B164" s="332" t="str">
        <f>B157</f>
        <v>TR3X50</v>
      </c>
      <c r="C164" s="390" t="s">
        <v>3274</v>
      </c>
      <c r="D164" s="391" t="str">
        <f>"Vận chuyển thiết bị "&amp;VLOOKUP(B164,CTTBA,'7.CT-TBA'!$E$25,0)</f>
        <v>Vận chuyển thiết bị 9 Trạm 3 pha 3x50kVA</v>
      </c>
      <c r="E164" s="391">
        <f>SUM(E165:E170)</f>
        <v>1879811</v>
      </c>
      <c r="F164" s="392"/>
      <c r="G164" s="333">
        <f>IF(E164&lt;&gt;0,1,)</f>
        <v>1</v>
      </c>
    </row>
    <row r="165" spans="1:8">
      <c r="C165" s="393" t="s">
        <v>1415</v>
      </c>
      <c r="D165" s="394" t="s">
        <v>2559</v>
      </c>
      <c r="E165" s="394"/>
      <c r="F165" s="394"/>
      <c r="G165" s="333">
        <f>G164</f>
        <v>1</v>
      </c>
    </row>
    <row r="166" spans="1:8">
      <c r="B166" s="332" t="str">
        <f>"TB"&amp;B164</f>
        <v>TBTR3X50</v>
      </c>
      <c r="C166" s="395"/>
      <c r="D166" s="396" t="str">
        <f>ROUNDUP(VLOOKUP(B166,CTTBA,'7.CT-TBA'!$T$25,0)/($L$2*1000),0)&amp;" chuyến x "&amp;$L$2&amp;" tấn x "&amp;$E$2&amp;"km x "&amp;VLOOKUP($E$2,DGVCDD,$I$4,0)&amp;"đ/km"</f>
        <v>3 chuyến x 5 tấn x 10km x 2231đ/km</v>
      </c>
      <c r="E166" s="396">
        <f>ROUND(ROUNDUP(VLOOKUP(B166,CTTBA,'7.CT-TBA'!$T$25,0)/($L$2*1000),0)*$L$2*$E$2*VLOOKUP($E$2,DGVCDD,$I$4,0),0)</f>
        <v>334650</v>
      </c>
      <c r="F166" s="394"/>
      <c r="G166" s="333">
        <f>G164</f>
        <v>1</v>
      </c>
    </row>
    <row r="167" spans="1:8">
      <c r="C167" s="393" t="s">
        <v>1416</v>
      </c>
      <c r="D167" s="394" t="s">
        <v>2575</v>
      </c>
      <c r="E167" s="394"/>
      <c r="F167" s="394"/>
      <c r="G167" s="333">
        <f>G164</f>
        <v>1</v>
      </c>
    </row>
    <row r="168" spans="1:8">
      <c r="B168" s="332" t="str">
        <f>"TB"&amp;B164</f>
        <v>TBTR3X50</v>
      </c>
      <c r="C168" s="395"/>
      <c r="D168" s="396" t="str">
        <f>"2 x 0,05 ca/tấn x "&amp;ROUND(VLOOKUP(B168,CTTBA,'7.CT-TBA'!$T$25,0)/1000,1)&amp;" tấn x "&amp;VLOOKUP(H161,DGMTC,8,0)&amp;"đ/ca"</f>
        <v>2 x 0,05 ca/tấn x 10,6 tấn x 1386944đ/ca</v>
      </c>
      <c r="E168" s="396">
        <f>ROUND(2*0.05*ROUND(VLOOKUP(B168,CTTBA,'7.CT-TBA'!$T$25,0)/1000,1)*VLOOKUP(H168,DGMTC,8,0),0)</f>
        <v>1470161</v>
      </c>
      <c r="F168" s="394"/>
      <c r="G168" s="333">
        <f>G164</f>
        <v>1</v>
      </c>
      <c r="H168" s="332" t="s">
        <v>898</v>
      </c>
    </row>
    <row r="169" spans="1:8">
      <c r="C169" s="393" t="s">
        <v>1417</v>
      </c>
      <c r="D169" s="394" t="s">
        <v>3379</v>
      </c>
      <c r="E169" s="394"/>
      <c r="F169" s="394"/>
      <c r="G169" s="333">
        <f>G164</f>
        <v>1</v>
      </c>
    </row>
    <row r="170" spans="1:8">
      <c r="B170" s="332" t="str">
        <f>"TB"&amp;B164</f>
        <v>TBTR3X50</v>
      </c>
      <c r="C170" s="395"/>
      <c r="D170" s="396" t="str">
        <f>ROUNDUP(VLOOKUP(B170,CTTBA,'7.CT-TBA'!$T$25,0)/($L$2*1000),0)&amp;" chuyến x 25.000đ/chuyến"</f>
        <v>3 chuyến x 25.000đ/chuyến</v>
      </c>
      <c r="E170" s="396">
        <f>ROUNDUP(VLOOKUP(B170,CTTBA,'7.CT-TBA'!$T$25,0)/($L$2*1000),0)*25000</f>
        <v>75000</v>
      </c>
      <c r="F170" s="394"/>
      <c r="G170" s="333">
        <f>G164</f>
        <v>1</v>
      </c>
    </row>
    <row r="171" spans="1:8" hidden="1">
      <c r="A171" s="332" t="str">
        <f>"VC"&amp;B173</f>
        <v>VCVLTR3X75</v>
      </c>
      <c r="B171" s="389" t="s">
        <v>2085</v>
      </c>
      <c r="C171" s="390" t="s">
        <v>1717</v>
      </c>
      <c r="D171" s="391" t="str">
        <f>"Vận chuyển vật liệu "&amp;VLOOKUP(B171,CTTBA,'7.CT-TBA'!$E$25,0)</f>
        <v>Vận chuyển vật liệu 0 Trạm 3 pha 3x75kVA</v>
      </c>
      <c r="E171" s="391">
        <f>SUM(E172:E177)</f>
        <v>0</v>
      </c>
      <c r="F171" s="392"/>
      <c r="G171" s="333">
        <f>IF(E171&lt;&gt;0,1,)</f>
        <v>0</v>
      </c>
    </row>
    <row r="172" spans="1:8" hidden="1">
      <c r="C172" s="393" t="s">
        <v>1415</v>
      </c>
      <c r="D172" s="394" t="s">
        <v>2557</v>
      </c>
      <c r="E172" s="394"/>
      <c r="F172" s="394"/>
      <c r="G172" s="333">
        <f>G171</f>
        <v>0</v>
      </c>
    </row>
    <row r="173" spans="1:8" hidden="1">
      <c r="B173" s="332" t="str">
        <f>"VL"&amp;B171</f>
        <v>VLTR3X75</v>
      </c>
      <c r="C173" s="395"/>
      <c r="D173" s="396" t="str">
        <f>ROUNDUP(VLOOKUP(B173,CTTBA,'7.CT-TBA'!$T$25,0)/($L$2*1000),0)&amp;" chuyến x "&amp;$L$2&amp;" tấn x "&amp;$E$2&amp;"km x "&amp;VLOOKUP($E$2,DGVCDD,$I$4,0)&amp;"đ/km"</f>
        <v>0 chuyến x 5 tấn x 10km x 2231đ/km</v>
      </c>
      <c r="E173" s="396">
        <f>ROUND(ROUNDUP(VLOOKUP(B173,CTTBA,'7.CT-TBA'!$T$25,0)/($L$2*1000),0)*$L$2*$E$2*VLOOKUP($E$2,DGVCDD,$I$4,0),0)</f>
        <v>0</v>
      </c>
      <c r="F173" s="394"/>
      <c r="G173" s="333">
        <f>G171</f>
        <v>0</v>
      </c>
    </row>
    <row r="174" spans="1:8" hidden="1">
      <c r="C174" s="393" t="s">
        <v>1416</v>
      </c>
      <c r="D174" s="394" t="s">
        <v>2573</v>
      </c>
      <c r="E174" s="394"/>
      <c r="F174" s="394"/>
      <c r="G174" s="333">
        <f>G171</f>
        <v>0</v>
      </c>
    </row>
    <row r="175" spans="1:8" hidden="1">
      <c r="B175" s="332" t="str">
        <f>"VL"&amp;B171</f>
        <v>VLTR3X75</v>
      </c>
      <c r="C175" s="395"/>
      <c r="D175" s="396" t="str">
        <f>"2 x 0,05 ca/tấn x "&amp;ROUND(VLOOKUP(B175,CTTBA,'7.CT-TBA'!$T$25,0)/1000,1)&amp;" tấn x "&amp;VLOOKUP(H175,DGMTC,8,0)&amp;"đ/ca"</f>
        <v>2 x 0,05 ca/tấn x 0 tấn x 1386944đ/ca</v>
      </c>
      <c r="E175" s="396">
        <f>ROUND(2*0.05*ROUND(VLOOKUP(B175,CTTBA,'7.CT-TBA'!$T$25,0)/1000,1)*VLOOKUP(H175,DGMTC,8,0),0)</f>
        <v>0</v>
      </c>
      <c r="F175" s="394"/>
      <c r="G175" s="333">
        <f>G171</f>
        <v>0</v>
      </c>
      <c r="H175" s="332" t="s">
        <v>898</v>
      </c>
    </row>
    <row r="176" spans="1:8" hidden="1">
      <c r="C176" s="393" t="s">
        <v>1417</v>
      </c>
      <c r="D176" s="394" t="s">
        <v>2558</v>
      </c>
      <c r="E176" s="394"/>
      <c r="F176" s="394"/>
      <c r="G176" s="333">
        <f>G171</f>
        <v>0</v>
      </c>
    </row>
    <row r="177" spans="1:8" hidden="1">
      <c r="B177" s="332" t="str">
        <f>"VL"&amp;B171</f>
        <v>VLTR3X75</v>
      </c>
      <c r="C177" s="395"/>
      <c r="D177" s="396" t="str">
        <f>ROUNDUP(VLOOKUP(B177,CTTBA,'7.CT-TBA'!$T$25,0)/($L$2*1000),0)&amp;" chuyến x 25.000đ/chuyến"</f>
        <v>0 chuyến x 25.000đ/chuyến</v>
      </c>
      <c r="E177" s="396">
        <f>ROUNDUP(VLOOKUP(B177,CTTBA,'7.CT-TBA'!$T$25,0)/($L$2*1000),0)*25000</f>
        <v>0</v>
      </c>
      <c r="F177" s="394"/>
      <c r="G177" s="333">
        <f>G171</f>
        <v>0</v>
      </c>
    </row>
    <row r="178" spans="1:8" hidden="1">
      <c r="A178" s="332" t="str">
        <f>"VC"&amp;B180</f>
        <v>VCTBTR3X75</v>
      </c>
      <c r="B178" s="332" t="str">
        <f>B171</f>
        <v>TR3X75</v>
      </c>
      <c r="C178" s="390" t="s">
        <v>1729</v>
      </c>
      <c r="D178" s="391" t="str">
        <f>"Vận chuyển thiết bị "&amp;VLOOKUP(B178,CTTBA,'7.CT-TBA'!$E$25,0)</f>
        <v>Vận chuyển thiết bị 0 Trạm 3 pha 3x75kVA</v>
      </c>
      <c r="E178" s="391">
        <f>SUM(E179:E184)</f>
        <v>0</v>
      </c>
      <c r="F178" s="392"/>
      <c r="G178" s="333">
        <f>IF(E178&lt;&gt;0,1,)</f>
        <v>0</v>
      </c>
    </row>
    <row r="179" spans="1:8" hidden="1">
      <c r="C179" s="393" t="s">
        <v>1415</v>
      </c>
      <c r="D179" s="394" t="s">
        <v>2559</v>
      </c>
      <c r="E179" s="394"/>
      <c r="F179" s="394"/>
      <c r="G179" s="333">
        <f>G178</f>
        <v>0</v>
      </c>
    </row>
    <row r="180" spans="1:8" hidden="1">
      <c r="B180" s="332" t="str">
        <f>"TB"&amp;B178</f>
        <v>TBTR3X75</v>
      </c>
      <c r="C180" s="395"/>
      <c r="D180" s="396" t="str">
        <f>ROUNDUP(VLOOKUP(B180,CTTBA,'7.CT-TBA'!$T$25,0)/($L$2*1000),0)&amp;" chuyến x "&amp;$L$2&amp;" tấn x "&amp;$E$2&amp;"km x "&amp;VLOOKUP($E$2,DGVCDD,$I$4,0)&amp;"đ/km"</f>
        <v>0 chuyến x 5 tấn x 10km x 2231đ/km</v>
      </c>
      <c r="E180" s="396">
        <f>ROUND(ROUNDUP(VLOOKUP(B180,CTTBA,'7.CT-TBA'!$T$25,0)/($L$2*1000),0)*$L$2*$E$2*VLOOKUP($E$2,DGVCDD,$I$4,0),0)</f>
        <v>0</v>
      </c>
      <c r="F180" s="394"/>
      <c r="G180" s="333">
        <f>G178</f>
        <v>0</v>
      </c>
    </row>
    <row r="181" spans="1:8" hidden="1">
      <c r="C181" s="393" t="s">
        <v>1416</v>
      </c>
      <c r="D181" s="394" t="s">
        <v>2575</v>
      </c>
      <c r="E181" s="394"/>
      <c r="F181" s="394"/>
      <c r="G181" s="333">
        <f>G178</f>
        <v>0</v>
      </c>
    </row>
    <row r="182" spans="1:8" hidden="1">
      <c r="B182" s="332" t="str">
        <f>"TB"&amp;B178</f>
        <v>TBTR3X75</v>
      </c>
      <c r="C182" s="395"/>
      <c r="D182" s="396" t="str">
        <f>"2 x 0,05 ca/tấn x "&amp;ROUND(VLOOKUP(B182,CTTBA,'7.CT-TBA'!$T$25,0)/1000,1)&amp;" tấn x "&amp;VLOOKUP(H175,DGMTC,8,0)&amp;"đ/ca"</f>
        <v>2 x 0,05 ca/tấn x 0 tấn x 1386944đ/ca</v>
      </c>
      <c r="E182" s="396">
        <f>ROUND(2*0.05*ROUND(VLOOKUP(B182,CTTBA,'7.CT-TBA'!$T$25,0)/1000,1)*VLOOKUP(H182,DGMTC,8,0),0)</f>
        <v>0</v>
      </c>
      <c r="F182" s="394"/>
      <c r="G182" s="333">
        <f>G178</f>
        <v>0</v>
      </c>
      <c r="H182" s="332" t="s">
        <v>898</v>
      </c>
    </row>
    <row r="183" spans="1:8" hidden="1">
      <c r="C183" s="393" t="s">
        <v>1417</v>
      </c>
      <c r="D183" s="394" t="s">
        <v>2554</v>
      </c>
      <c r="E183" s="394"/>
      <c r="F183" s="394"/>
      <c r="G183" s="333">
        <f>G178</f>
        <v>0</v>
      </c>
    </row>
    <row r="184" spans="1:8" hidden="1">
      <c r="B184" s="332" t="str">
        <f>"TB"&amp;B178</f>
        <v>TBTR3X75</v>
      </c>
      <c r="C184" s="395"/>
      <c r="D184" s="396" t="str">
        <f>ROUNDUP(VLOOKUP(B184,CTTBA,'7.CT-TBA'!$T$25,0)/($L$2*1000),0)&amp;" chuyến x 25.000đ/chuyến"</f>
        <v>0 chuyến x 25.000đ/chuyến</v>
      </c>
      <c r="E184" s="396">
        <f>ROUNDUP(VLOOKUP(B184,CTTBA,'7.CT-TBA'!$T$25,0)/($L$2*1000),0)*25000</f>
        <v>0</v>
      </c>
      <c r="F184" s="394"/>
      <c r="G184" s="333">
        <f>G178</f>
        <v>0</v>
      </c>
    </row>
    <row r="185" spans="1:8" hidden="1">
      <c r="A185" s="332" t="str">
        <f>"VC"&amp;B187</f>
        <v>VCVLTR3X100</v>
      </c>
      <c r="B185" s="389" t="s">
        <v>2094</v>
      </c>
      <c r="C185" s="390" t="s">
        <v>1717</v>
      </c>
      <c r="D185" s="391" t="str">
        <f>"Vận chuyển vật liệu "&amp;VLOOKUP(B185,CTTBA,'7.CT-TBA'!$E$25,0)</f>
        <v>Vận chuyển vật liệu 0 Trạm 3 pha 3x100kVA</v>
      </c>
      <c r="E185" s="391">
        <f>SUM(E186:E191)</f>
        <v>0</v>
      </c>
      <c r="F185" s="392"/>
      <c r="G185" s="333">
        <f>IF(E185&lt;&gt;0,1,)</f>
        <v>0</v>
      </c>
    </row>
    <row r="186" spans="1:8" hidden="1">
      <c r="C186" s="393" t="s">
        <v>1415</v>
      </c>
      <c r="D186" s="394" t="s">
        <v>2557</v>
      </c>
      <c r="E186" s="394"/>
      <c r="F186" s="394"/>
      <c r="G186" s="333">
        <f>G185</f>
        <v>0</v>
      </c>
    </row>
    <row r="187" spans="1:8" hidden="1">
      <c r="B187" s="332" t="str">
        <f>"VL"&amp;B185</f>
        <v>VLTR3X100</v>
      </c>
      <c r="C187" s="395"/>
      <c r="D187" s="396" t="str">
        <f>ROUNDUP(VLOOKUP(B187,CTTBA,'7.CT-TBA'!$T$25,0)/($L$2*1000),0)&amp;" chuyến x "&amp;$L$2&amp;" tấn x "&amp;$E$2&amp;"km x "&amp;VLOOKUP($E$2,DGVCDD,$I$4,0)&amp;"đ/km"</f>
        <v>0 chuyến x 5 tấn x 10km x 2231đ/km</v>
      </c>
      <c r="E187" s="396">
        <f>ROUND(ROUNDUP(VLOOKUP(B187,CTTBA,'7.CT-TBA'!$T$25,0)/($L$2*1000),0)*$L$2*$E$2*VLOOKUP($E$2,DGVCDD,$I$4,0),0)</f>
        <v>0</v>
      </c>
      <c r="F187" s="394"/>
      <c r="G187" s="333">
        <f>G185</f>
        <v>0</v>
      </c>
    </row>
    <row r="188" spans="1:8" hidden="1">
      <c r="C188" s="393" t="s">
        <v>1416</v>
      </c>
      <c r="D188" s="394" t="s">
        <v>2573</v>
      </c>
      <c r="E188" s="394"/>
      <c r="F188" s="394"/>
      <c r="G188" s="333">
        <f>G185</f>
        <v>0</v>
      </c>
    </row>
    <row r="189" spans="1:8" hidden="1">
      <c r="B189" s="332" t="str">
        <f>"VL"&amp;B185</f>
        <v>VLTR3X100</v>
      </c>
      <c r="C189" s="395"/>
      <c r="D189" s="396" t="str">
        <f>"2 x 0,05 ca/tấn x "&amp;ROUND(VLOOKUP(B189,CTTBA,'7.CT-TBA'!$T$25,0)/1000,1)&amp;" tấn x "&amp;VLOOKUP(H189,DGMTC,8,0)&amp;"đ/ca"</f>
        <v>2 x 0,05 ca/tấn x 0 tấn x 1386944đ/ca</v>
      </c>
      <c r="E189" s="396">
        <f>ROUND(2*0.05*ROUND(VLOOKUP(B189,CTTBA,'7.CT-TBA'!$T$25,0)/1000,1)*VLOOKUP(H189,DGMTC,8,0),0)</f>
        <v>0</v>
      </c>
      <c r="F189" s="394"/>
      <c r="G189" s="333">
        <f>G185</f>
        <v>0</v>
      </c>
      <c r="H189" s="332" t="s">
        <v>898</v>
      </c>
    </row>
    <row r="190" spans="1:8" hidden="1">
      <c r="C190" s="393" t="s">
        <v>1417</v>
      </c>
      <c r="D190" s="394" t="s">
        <v>2558</v>
      </c>
      <c r="E190" s="394"/>
      <c r="F190" s="394"/>
      <c r="G190" s="333">
        <f>G185</f>
        <v>0</v>
      </c>
    </row>
    <row r="191" spans="1:8" hidden="1">
      <c r="B191" s="332" t="str">
        <f>"VL"&amp;B185</f>
        <v>VLTR3X100</v>
      </c>
      <c r="C191" s="395"/>
      <c r="D191" s="396" t="str">
        <f>ROUNDUP(VLOOKUP(B191,CTTBA,'7.CT-TBA'!$T$25,0)/($L$2*1000),0)&amp;" chuyến x 25.000đ/chuyến"</f>
        <v>0 chuyến x 25.000đ/chuyến</v>
      </c>
      <c r="E191" s="396">
        <f>ROUNDUP(VLOOKUP(B191,CTTBA,'7.CT-TBA'!$T$25,0)/($L$2*1000),0)*25000</f>
        <v>0</v>
      </c>
      <c r="F191" s="394"/>
      <c r="G191" s="333">
        <f>G185</f>
        <v>0</v>
      </c>
    </row>
    <row r="192" spans="1:8" hidden="1">
      <c r="A192" s="332" t="str">
        <f>"VC"&amp;B194</f>
        <v>VCTBTR3X100</v>
      </c>
      <c r="B192" s="332" t="str">
        <f>B185</f>
        <v>TR3X100</v>
      </c>
      <c r="C192" s="390" t="s">
        <v>1729</v>
      </c>
      <c r="D192" s="391" t="str">
        <f>"Vận chuyển thiết bị "&amp;VLOOKUP(B192,CTTBA,'7.CT-TBA'!$E$25,0)</f>
        <v>Vận chuyển thiết bị 0 Trạm 3 pha 3x100kVA</v>
      </c>
      <c r="E192" s="391">
        <f>SUM(E193:E198)</f>
        <v>0</v>
      </c>
      <c r="F192" s="392"/>
      <c r="G192" s="333">
        <f>IF(E192&lt;&gt;0,1,)</f>
        <v>0</v>
      </c>
    </row>
    <row r="193" spans="1:8" hidden="1">
      <c r="C193" s="393" t="s">
        <v>1415</v>
      </c>
      <c r="D193" s="394" t="s">
        <v>2559</v>
      </c>
      <c r="E193" s="394"/>
      <c r="F193" s="394"/>
      <c r="G193" s="333">
        <f>G192</f>
        <v>0</v>
      </c>
    </row>
    <row r="194" spans="1:8" hidden="1">
      <c r="B194" s="332" t="str">
        <f>"TB"&amp;B192</f>
        <v>TBTR3X100</v>
      </c>
      <c r="C194" s="395"/>
      <c r="D194" s="396" t="str">
        <f>ROUNDUP(VLOOKUP(B194,CTTBA,'7.CT-TBA'!$T$25,0)/($L$2*1000),0)&amp;" chuyến x "&amp;$L$2&amp;" tấn x "&amp;$E$2&amp;"km x "&amp;VLOOKUP($E$2,DGVCDD,$I$4,0)&amp;"đ/km"</f>
        <v>0 chuyến x 5 tấn x 10km x 2231đ/km</v>
      </c>
      <c r="E194" s="396">
        <f>ROUND(ROUNDUP(VLOOKUP(B194,CTTBA,'7.CT-TBA'!$T$25,0)/($L$2*1000),0)*$L$2*$E$2*VLOOKUP($E$2,DGVCDD,$I$4,0),0)</f>
        <v>0</v>
      </c>
      <c r="F194" s="394"/>
      <c r="G194" s="333">
        <f>G192</f>
        <v>0</v>
      </c>
    </row>
    <row r="195" spans="1:8" hidden="1">
      <c r="C195" s="393" t="s">
        <v>1416</v>
      </c>
      <c r="D195" s="394" t="s">
        <v>2575</v>
      </c>
      <c r="E195" s="394"/>
      <c r="F195" s="394"/>
      <c r="G195" s="333">
        <f>G192</f>
        <v>0</v>
      </c>
    </row>
    <row r="196" spans="1:8" hidden="1">
      <c r="B196" s="332" t="str">
        <f>"TB"&amp;B192</f>
        <v>TBTR3X100</v>
      </c>
      <c r="C196" s="395"/>
      <c r="D196" s="396" t="str">
        <f>"2 x 0,05 ca/tấn x "&amp;ROUND(VLOOKUP(B196,CTTBA,'7.CT-TBA'!$T$25,0)/1000,1)&amp;" tấn x "&amp;VLOOKUP(H189,DGMTC,8,0)&amp;"đ/ca"</f>
        <v>2 x 0,05 ca/tấn x 0 tấn x 1386944đ/ca</v>
      </c>
      <c r="E196" s="396">
        <f>ROUND(2*0.05*ROUND(VLOOKUP(B196,CTTBA,'7.CT-TBA'!$T$25,0)/1000,1)*VLOOKUP(H196,DGMTC,8,0),0)</f>
        <v>0</v>
      </c>
      <c r="F196" s="394"/>
      <c r="G196" s="333">
        <f>G192</f>
        <v>0</v>
      </c>
      <c r="H196" s="332" t="s">
        <v>898</v>
      </c>
    </row>
    <row r="197" spans="1:8" hidden="1">
      <c r="C197" s="393" t="s">
        <v>1417</v>
      </c>
      <c r="D197" s="394" t="s">
        <v>2554</v>
      </c>
      <c r="E197" s="394"/>
      <c r="F197" s="394"/>
      <c r="G197" s="333">
        <f>G192</f>
        <v>0</v>
      </c>
    </row>
    <row r="198" spans="1:8" hidden="1">
      <c r="B198" s="332" t="str">
        <f>"TB"&amp;B192</f>
        <v>TBTR3X100</v>
      </c>
      <c r="C198" s="395"/>
      <c r="D198" s="396" t="str">
        <f>ROUNDUP(VLOOKUP(B198,CTTBA,'7.CT-TBA'!$T$25,0)/($L$2*1000),0)&amp;" chuyến x 25.000đ/chuyến"</f>
        <v>0 chuyến x 25.000đ/chuyến</v>
      </c>
      <c r="E198" s="396">
        <f>ROUNDUP(VLOOKUP(B198,CTTBA,'7.CT-TBA'!$T$25,0)/($L$2*1000),0)*25000</f>
        <v>0</v>
      </c>
      <c r="F198" s="394"/>
      <c r="G198" s="333">
        <f>G192</f>
        <v>0</v>
      </c>
    </row>
    <row r="199" spans="1:8" hidden="1">
      <c r="A199" s="332" t="str">
        <f>"VC"&amp;B201</f>
        <v>VCVLT3P160</v>
      </c>
      <c r="B199" s="389" t="s">
        <v>2838</v>
      </c>
      <c r="C199" s="390" t="s">
        <v>1717</v>
      </c>
      <c r="D199" s="391" t="str">
        <f>"Vận chuyển vật liệu "&amp;VLOOKUP(B199,CTTBA,'7.CT-TBA'!$E$25,0)</f>
        <v>Vận chuyển vật liệu 0 Trạm 3 pha 160kVA (trạm giàn)</v>
      </c>
      <c r="E199" s="391">
        <f>SUM(E200:E205)</f>
        <v>0</v>
      </c>
      <c r="F199" s="392"/>
      <c r="G199" s="333">
        <f>IF(E199&lt;&gt;0,1,)</f>
        <v>0</v>
      </c>
    </row>
    <row r="200" spans="1:8" hidden="1">
      <c r="C200" s="393" t="s">
        <v>1415</v>
      </c>
      <c r="D200" s="394" t="s">
        <v>2557</v>
      </c>
      <c r="E200" s="394"/>
      <c r="F200" s="394"/>
      <c r="G200" s="333">
        <f>G199</f>
        <v>0</v>
      </c>
    </row>
    <row r="201" spans="1:8" hidden="1">
      <c r="B201" s="332" t="str">
        <f>"VL"&amp;B199</f>
        <v>VLT3P160</v>
      </c>
      <c r="C201" s="395"/>
      <c r="D201" s="396" t="str">
        <f>ROUNDUP(VLOOKUP(B201,CTTBA,'7.CT-TBA'!$T$25,0)/($L$2*1000),0)&amp;" chuyến x "&amp;$L$2&amp;" tấn x "&amp;$E$2&amp;"km x "&amp;VLOOKUP($E$2,DGVCDD,$I$4,0)&amp;"đ/km"</f>
        <v>0 chuyến x 5 tấn x 10km x 2231đ/km</v>
      </c>
      <c r="E201" s="396">
        <f>ROUND(ROUNDUP(VLOOKUP(B201,CTTBA,'7.CT-TBA'!$T$25,0)/($L$2*1000),0)*$L$2*$E$2*VLOOKUP($E$2,DGVCDD,$I$4,0),0)</f>
        <v>0</v>
      </c>
      <c r="F201" s="394"/>
      <c r="G201" s="333">
        <f>G199</f>
        <v>0</v>
      </c>
    </row>
    <row r="202" spans="1:8" hidden="1">
      <c r="C202" s="393" t="s">
        <v>1416</v>
      </c>
      <c r="D202" s="394" t="s">
        <v>2573</v>
      </c>
      <c r="E202" s="394"/>
      <c r="F202" s="394"/>
      <c r="G202" s="333">
        <f>G199</f>
        <v>0</v>
      </c>
    </row>
    <row r="203" spans="1:8" hidden="1">
      <c r="B203" s="332" t="str">
        <f>"VL"&amp;B199</f>
        <v>VLT3P160</v>
      </c>
      <c r="C203" s="395"/>
      <c r="D203" s="396" t="str">
        <f>"2 x 0,05 ca/tấn x "&amp;ROUND(VLOOKUP(B203,CTTBA,'7.CT-TBA'!$T$25,0)/1000,1)&amp;" tấn x "&amp;VLOOKUP(H203,DGMTC,8,0)&amp;"đ/ca"</f>
        <v>2 x 0,05 ca/tấn x 0 tấn x 1386944đ/ca</v>
      </c>
      <c r="E203" s="396">
        <f>ROUND(2*0.05*ROUND(VLOOKUP(B203,CTTBA,'7.CT-TBA'!$T$25,0)/1000,1)*VLOOKUP(H203,DGMTC,8,0),0)</f>
        <v>0</v>
      </c>
      <c r="F203" s="394"/>
      <c r="G203" s="333">
        <f>G199</f>
        <v>0</v>
      </c>
      <c r="H203" s="332" t="s">
        <v>898</v>
      </c>
    </row>
    <row r="204" spans="1:8" hidden="1">
      <c r="C204" s="393" t="s">
        <v>1417</v>
      </c>
      <c r="D204" s="394" t="s">
        <v>2558</v>
      </c>
      <c r="E204" s="394"/>
      <c r="F204" s="394"/>
      <c r="G204" s="333">
        <f>G199</f>
        <v>0</v>
      </c>
    </row>
    <row r="205" spans="1:8" hidden="1">
      <c r="B205" s="332" t="str">
        <f>"VL"&amp;B199</f>
        <v>VLT3P160</v>
      </c>
      <c r="C205" s="395"/>
      <c r="D205" s="396" t="str">
        <f>ROUNDUP(VLOOKUP(B205,CTTBA,'7.CT-TBA'!$T$25,0)/($L$2*1000),0)&amp;" chuyến x 25.000đ/chuyến"</f>
        <v>0 chuyến x 25.000đ/chuyến</v>
      </c>
      <c r="E205" s="396">
        <f>ROUNDUP(VLOOKUP(B205,CTTBA,'7.CT-TBA'!$T$25,0)/($L$2*1000),0)*25000</f>
        <v>0</v>
      </c>
      <c r="F205" s="394"/>
      <c r="G205" s="333">
        <f>G199</f>
        <v>0</v>
      </c>
    </row>
    <row r="206" spans="1:8" hidden="1">
      <c r="A206" s="332" t="str">
        <f>"VC"&amp;B208</f>
        <v>VCTBT3P160</v>
      </c>
      <c r="B206" s="332" t="str">
        <f>B199</f>
        <v>T3P160</v>
      </c>
      <c r="C206" s="390" t="s">
        <v>1729</v>
      </c>
      <c r="D206" s="391" t="str">
        <f>"Vận chuyển thiết bị "&amp;VLOOKUP(B206,CTTBA,'7.CT-TBA'!$E$25,0)</f>
        <v>Vận chuyển thiết bị 0 Trạm 3 pha 160kVA (trạm giàn)</v>
      </c>
      <c r="E206" s="391">
        <f>SUM(E207:E212)</f>
        <v>0</v>
      </c>
      <c r="F206" s="392"/>
      <c r="G206" s="333">
        <f>IF(E206&lt;&gt;0,1,)</f>
        <v>0</v>
      </c>
    </row>
    <row r="207" spans="1:8" hidden="1">
      <c r="C207" s="393" t="s">
        <v>1415</v>
      </c>
      <c r="D207" s="394" t="s">
        <v>2559</v>
      </c>
      <c r="E207" s="394"/>
      <c r="F207" s="394"/>
      <c r="G207" s="333">
        <f>G206</f>
        <v>0</v>
      </c>
    </row>
    <row r="208" spans="1:8" hidden="1">
      <c r="B208" s="332" t="str">
        <f>"TB"&amp;B206</f>
        <v>TBT3P160</v>
      </c>
      <c r="C208" s="395"/>
      <c r="D208" s="396" t="str">
        <f>ROUNDUP(VLOOKUP(B208,CTTBA,'7.CT-TBA'!$T$25,0)/($L$2*1000),0)&amp;" chuyến x "&amp;$L$2&amp;" tấn x "&amp;$E$2&amp;"km x "&amp;VLOOKUP($E$2,DGVCDD,$I$4,0)&amp;"đ/km"</f>
        <v>0 chuyến x 5 tấn x 10km x 2231đ/km</v>
      </c>
      <c r="E208" s="396">
        <f>ROUND(ROUNDUP(VLOOKUP(B208,CTTBA,'7.CT-TBA'!$T$25,0)/($L$2*1000),0)*$L$2*$E$2*VLOOKUP($E$2,DGVCDD,$I$4,0),0)</f>
        <v>0</v>
      </c>
      <c r="F208" s="394"/>
      <c r="G208" s="333">
        <f>G206</f>
        <v>0</v>
      </c>
    </row>
    <row r="209" spans="1:8" hidden="1">
      <c r="C209" s="393" t="s">
        <v>1416</v>
      </c>
      <c r="D209" s="394" t="s">
        <v>2575</v>
      </c>
      <c r="E209" s="394"/>
      <c r="F209" s="394"/>
      <c r="G209" s="333">
        <f>G206</f>
        <v>0</v>
      </c>
    </row>
    <row r="210" spans="1:8" hidden="1">
      <c r="B210" s="332" t="str">
        <f>"TB"&amp;B206</f>
        <v>TBT3P160</v>
      </c>
      <c r="C210" s="395"/>
      <c r="D210" s="396" t="str">
        <f>"2 x 0,05 ca/tấn x "&amp;ROUND(VLOOKUP(B210,CTTBA,'7.CT-TBA'!$T$25,0)/1000,1)&amp;" tấn x "&amp;VLOOKUP(H203,DGMTC,8,0)&amp;"đ/ca"</f>
        <v>2 x 0,05 ca/tấn x 0 tấn x 1386944đ/ca</v>
      </c>
      <c r="E210" s="396">
        <f>ROUND(2*0.05*ROUND(VLOOKUP(B210,CTTBA,'7.CT-TBA'!$T$25,0)/1000,1)*VLOOKUP(H210,DGMTC,8,0),0)</f>
        <v>0</v>
      </c>
      <c r="F210" s="394"/>
      <c r="G210" s="333">
        <f>G206</f>
        <v>0</v>
      </c>
      <c r="H210" s="332" t="s">
        <v>898</v>
      </c>
    </row>
    <row r="211" spans="1:8" hidden="1">
      <c r="C211" s="393" t="s">
        <v>1417</v>
      </c>
      <c r="D211" s="394" t="s">
        <v>2554</v>
      </c>
      <c r="E211" s="394"/>
      <c r="F211" s="394"/>
      <c r="G211" s="333">
        <f>G206</f>
        <v>0</v>
      </c>
    </row>
    <row r="212" spans="1:8" hidden="1">
      <c r="B212" s="332" t="str">
        <f>"TB"&amp;B206</f>
        <v>TBT3P160</v>
      </c>
      <c r="C212" s="395"/>
      <c r="D212" s="396" t="str">
        <f>ROUNDUP(VLOOKUP(B212,CTTBA,'7.CT-TBA'!$T$25,0)/($L$2*1000),0)&amp;" chuyến x 25.000đ/chuyến"</f>
        <v>0 chuyến x 25.000đ/chuyến</v>
      </c>
      <c r="E212" s="396">
        <f>ROUNDUP(VLOOKUP(B212,CTTBA,'7.CT-TBA'!$T$25,0)/($L$2*1000),0)*25000</f>
        <v>0</v>
      </c>
      <c r="F212" s="394"/>
      <c r="G212" s="333">
        <f>G206</f>
        <v>0</v>
      </c>
    </row>
    <row r="213" spans="1:8" hidden="1">
      <c r="A213" s="332" t="str">
        <f>"VC"&amp;B215</f>
        <v>VCVLT3P160N</v>
      </c>
      <c r="B213" s="389" t="s">
        <v>2839</v>
      </c>
      <c r="C213" s="390" t="s">
        <v>1717</v>
      </c>
      <c r="D213" s="391" t="str">
        <f>"Vận chuyển vật liệu "&amp;VLOOKUP(B213,CTTBA,'7.CT-TBA'!$E$25,0)</f>
        <v>Vận chuyển vật liệu 0 Trạm 3 pha 160kVA (trạm ngồi)</v>
      </c>
      <c r="E213" s="391">
        <f>SUM(E214:E219)</f>
        <v>0</v>
      </c>
      <c r="F213" s="392"/>
      <c r="G213" s="333">
        <f>IF(E213&lt;&gt;0,1,)</f>
        <v>0</v>
      </c>
    </row>
    <row r="214" spans="1:8" hidden="1">
      <c r="C214" s="393" t="s">
        <v>1415</v>
      </c>
      <c r="D214" s="394" t="s">
        <v>2557</v>
      </c>
      <c r="E214" s="394"/>
      <c r="F214" s="394"/>
      <c r="G214" s="333">
        <f>G213</f>
        <v>0</v>
      </c>
    </row>
    <row r="215" spans="1:8" hidden="1">
      <c r="B215" s="332" t="str">
        <f>"VL"&amp;B213</f>
        <v>VLT3P160N</v>
      </c>
      <c r="C215" s="395"/>
      <c r="D215" s="396" t="str">
        <f>ROUNDUP(VLOOKUP(B215,CTTBA,'7.CT-TBA'!$T$25,0)/($L$2*1000),0)&amp;" chuyến x "&amp;$L$2&amp;" tấn x "&amp;$E$2&amp;"km x "&amp;VLOOKUP($E$2,DGVCDD,$I$4,0)&amp;"đ/km"</f>
        <v>0 chuyến x 5 tấn x 10km x 2231đ/km</v>
      </c>
      <c r="E215" s="396">
        <f>ROUND(ROUNDUP(VLOOKUP(B215,CTTBA,'7.CT-TBA'!$T$25,0)/($L$2*1000),0)*$L$2*$E$2*VLOOKUP($E$2,DGVCDD,$I$4,0),0)</f>
        <v>0</v>
      </c>
      <c r="F215" s="394"/>
      <c r="G215" s="333">
        <f>G213</f>
        <v>0</v>
      </c>
    </row>
    <row r="216" spans="1:8" hidden="1">
      <c r="C216" s="393" t="s">
        <v>1416</v>
      </c>
      <c r="D216" s="394" t="s">
        <v>2573</v>
      </c>
      <c r="E216" s="394"/>
      <c r="F216" s="394"/>
      <c r="G216" s="333">
        <f>G213</f>
        <v>0</v>
      </c>
    </row>
    <row r="217" spans="1:8" hidden="1">
      <c r="B217" s="332" t="str">
        <f>"VL"&amp;B213</f>
        <v>VLT3P160N</v>
      </c>
      <c r="C217" s="395"/>
      <c r="D217" s="396" t="str">
        <f>"2 x 0,05 ca/tấn x "&amp;ROUND(VLOOKUP(B217,CTTBA,'7.CT-TBA'!$T$25,0)/1000,1)&amp;" tấn x "&amp;VLOOKUP(H217,DGMTC,8,0)&amp;"đ/ca"</f>
        <v>2 x 0,05 ca/tấn x 0 tấn x 1386944đ/ca</v>
      </c>
      <c r="E217" s="396">
        <f>ROUND(2*0.05*ROUND(VLOOKUP(B217,CTTBA,'7.CT-TBA'!$T$25,0)/1000,1)*VLOOKUP(H217,DGMTC,8,0),0)</f>
        <v>0</v>
      </c>
      <c r="F217" s="394"/>
      <c r="G217" s="333">
        <f>G213</f>
        <v>0</v>
      </c>
      <c r="H217" s="332" t="s">
        <v>898</v>
      </c>
    </row>
    <row r="218" spans="1:8" hidden="1">
      <c r="C218" s="393" t="s">
        <v>1417</v>
      </c>
      <c r="D218" s="394" t="s">
        <v>2558</v>
      </c>
      <c r="E218" s="394"/>
      <c r="F218" s="394"/>
      <c r="G218" s="333">
        <f>G213</f>
        <v>0</v>
      </c>
    </row>
    <row r="219" spans="1:8" hidden="1">
      <c r="B219" s="332" t="str">
        <f>"VL"&amp;B213</f>
        <v>VLT3P160N</v>
      </c>
      <c r="C219" s="395"/>
      <c r="D219" s="396" t="str">
        <f>ROUNDUP(VLOOKUP(B219,CTTBA,'7.CT-TBA'!$T$25,0)/($L$2*1000),0)&amp;" chuyến x 25.000đ/chuyến"</f>
        <v>0 chuyến x 25.000đ/chuyến</v>
      </c>
      <c r="E219" s="396">
        <f>ROUNDUP(VLOOKUP(B219,CTTBA,'7.CT-TBA'!$T$25,0)/($L$2*1000),0)*25000</f>
        <v>0</v>
      </c>
      <c r="F219" s="394"/>
      <c r="G219" s="333">
        <f>G213</f>
        <v>0</v>
      </c>
    </row>
    <row r="220" spans="1:8" hidden="1">
      <c r="A220" s="332" t="str">
        <f>"VC"&amp;B222</f>
        <v>VCTBT3P160N</v>
      </c>
      <c r="B220" s="332" t="str">
        <f>B213</f>
        <v>T3P160N</v>
      </c>
      <c r="C220" s="390" t="s">
        <v>1729</v>
      </c>
      <c r="D220" s="391" t="str">
        <f>"Vận chuyển thiết bị "&amp;VLOOKUP(B220,CTTBA,'7.CT-TBA'!$E$25,0)</f>
        <v>Vận chuyển thiết bị 0 Trạm 3 pha 160kVA (trạm ngồi)</v>
      </c>
      <c r="E220" s="391">
        <f>SUM(E221:E226)</f>
        <v>0</v>
      </c>
      <c r="F220" s="392"/>
      <c r="G220" s="333">
        <f>IF(E220&lt;&gt;0,1,)</f>
        <v>0</v>
      </c>
    </row>
    <row r="221" spans="1:8" hidden="1">
      <c r="C221" s="393" t="s">
        <v>1415</v>
      </c>
      <c r="D221" s="394" t="s">
        <v>2559</v>
      </c>
      <c r="E221" s="394"/>
      <c r="F221" s="394"/>
      <c r="G221" s="333">
        <f>G220</f>
        <v>0</v>
      </c>
    </row>
    <row r="222" spans="1:8" hidden="1">
      <c r="B222" s="332" t="str">
        <f>"TB"&amp;B220</f>
        <v>TBT3P160N</v>
      </c>
      <c r="C222" s="395"/>
      <c r="D222" s="396" t="str">
        <f>ROUNDUP(VLOOKUP(B222,CTTBA,'7.CT-TBA'!$T$25,0)/($L$2*1000),0)&amp;" chuyến x "&amp;$L$2&amp;" tấn x "&amp;$E$2&amp;"km x "&amp;VLOOKUP($E$2,DGVCDD,$I$4,0)&amp;"đ/km"</f>
        <v>0 chuyến x 5 tấn x 10km x 2231đ/km</v>
      </c>
      <c r="E222" s="396">
        <f>ROUND(ROUNDUP(VLOOKUP(B222,CTTBA,'7.CT-TBA'!$T$25,0)/($L$2*1000),0)*$L$2*$E$2*VLOOKUP($E$2,DGVCDD,$I$4,0),0)</f>
        <v>0</v>
      </c>
      <c r="F222" s="394"/>
      <c r="G222" s="333">
        <f>G220</f>
        <v>0</v>
      </c>
    </row>
    <row r="223" spans="1:8" hidden="1">
      <c r="C223" s="393" t="s">
        <v>1416</v>
      </c>
      <c r="D223" s="394" t="s">
        <v>2575</v>
      </c>
      <c r="E223" s="394"/>
      <c r="F223" s="394"/>
      <c r="G223" s="333">
        <f>G220</f>
        <v>0</v>
      </c>
    </row>
    <row r="224" spans="1:8" hidden="1">
      <c r="B224" s="332" t="str">
        <f>"TB"&amp;B220</f>
        <v>TBT3P160N</v>
      </c>
      <c r="C224" s="395"/>
      <c r="D224" s="396" t="str">
        <f>"2 x 0,05 ca/tấn x "&amp;ROUND(VLOOKUP(B224,CTTBA,'7.CT-TBA'!$T$25,0)/1000,1)&amp;" tấn x "&amp;VLOOKUP(H217,DGMTC,8,0)&amp;"đ/ca"</f>
        <v>2 x 0,05 ca/tấn x 0 tấn x 1386944đ/ca</v>
      </c>
      <c r="E224" s="396">
        <f>ROUND(2*0.05*ROUND(VLOOKUP(B224,CTTBA,'7.CT-TBA'!$T$25,0)/1000,1)*VLOOKUP(H224,DGMTC,8,0),0)</f>
        <v>0</v>
      </c>
      <c r="F224" s="394"/>
      <c r="G224" s="333">
        <f>G220</f>
        <v>0</v>
      </c>
      <c r="H224" s="332" t="s">
        <v>898</v>
      </c>
    </row>
    <row r="225" spans="1:8" hidden="1">
      <c r="C225" s="393" t="s">
        <v>1417</v>
      </c>
      <c r="D225" s="394" t="s">
        <v>2554</v>
      </c>
      <c r="E225" s="394"/>
      <c r="F225" s="394"/>
      <c r="G225" s="333">
        <f>G220</f>
        <v>0</v>
      </c>
    </row>
    <row r="226" spans="1:8" hidden="1">
      <c r="B226" s="332" t="str">
        <f>"TB"&amp;B220</f>
        <v>TBT3P160N</v>
      </c>
      <c r="C226" s="395"/>
      <c r="D226" s="396" t="str">
        <f>ROUNDUP(VLOOKUP(B226,CTTBA,'7.CT-TBA'!$T$25,0)/($L$2*1000),0)&amp;" chuyến x 25.000đ/chuyến"</f>
        <v>0 chuyến x 25.000đ/chuyến</v>
      </c>
      <c r="E226" s="396">
        <f>ROUNDUP(VLOOKUP(B226,CTTBA,'7.CT-TBA'!$T$25,0)/($L$2*1000),0)*25000</f>
        <v>0</v>
      </c>
      <c r="F226" s="394"/>
      <c r="G226" s="333">
        <f>G220</f>
        <v>0</v>
      </c>
    </row>
    <row r="227" spans="1:8" hidden="1">
      <c r="A227" s="332" t="str">
        <f>"VC"&amp;B229</f>
        <v>VCVLTRNC3X375</v>
      </c>
      <c r="B227" s="389" t="s">
        <v>3218</v>
      </c>
      <c r="C227" s="390" t="s">
        <v>3275</v>
      </c>
      <c r="D227" s="391" t="str">
        <f>"Vận chuyển vật liệu "&amp;VLOOKUP(B227,CTTBA,'7.CT-TBA'!$E$25,0)</f>
        <v>Vận chuyển vật liệu  Trạm NC từ 2x37,5kVA lên 3x37,5kVA</v>
      </c>
      <c r="E227" s="391">
        <f>SUM(E228:E233)</f>
        <v>0</v>
      </c>
      <c r="F227" s="392"/>
      <c r="G227" s="333">
        <f>IF(E227&lt;&gt;0,1,)</f>
        <v>0</v>
      </c>
    </row>
    <row r="228" spans="1:8" hidden="1">
      <c r="C228" s="393" t="s">
        <v>1415</v>
      </c>
      <c r="D228" s="394" t="s">
        <v>2557</v>
      </c>
      <c r="E228" s="394"/>
      <c r="F228" s="394"/>
      <c r="G228" s="333">
        <f>G227</f>
        <v>0</v>
      </c>
    </row>
    <row r="229" spans="1:8" hidden="1">
      <c r="B229" s="332" t="str">
        <f>"VL"&amp;B227</f>
        <v>VLTRNC3X375</v>
      </c>
      <c r="C229" s="395"/>
      <c r="D229" s="396" t="str">
        <f>ROUNDUP(VLOOKUP(B229,CTTBA,'7.CT-TBA'!$T$25,0)/($L$2*1000),0)&amp;" chuyến x "&amp;$L$2&amp;" tấn x "&amp;$E$2&amp;"km x "&amp;VLOOKUP($E$2,DGVCDD,$I$4,0)&amp;"đ/km"</f>
        <v>0 chuyến x 5 tấn x 10km x 2231đ/km</v>
      </c>
      <c r="E229" s="396">
        <f>ROUND(ROUNDUP(VLOOKUP(B229,CTTBA,'7.CT-TBA'!$T$25,0)/($L$2*1000),0)*$L$2*$E$2*VLOOKUP($E$2,DGVCDD,$I$4,0),0)</f>
        <v>0</v>
      </c>
      <c r="F229" s="394"/>
      <c r="G229" s="333">
        <f>G227</f>
        <v>0</v>
      </c>
    </row>
    <row r="230" spans="1:8" hidden="1">
      <c r="C230" s="393" t="s">
        <v>1416</v>
      </c>
      <c r="D230" s="394" t="s">
        <v>2573</v>
      </c>
      <c r="E230" s="394"/>
      <c r="F230" s="394"/>
      <c r="G230" s="333">
        <f>G227</f>
        <v>0</v>
      </c>
    </row>
    <row r="231" spans="1:8" hidden="1">
      <c r="B231" s="332" t="str">
        <f>"VL"&amp;B227</f>
        <v>VLTRNC3X375</v>
      </c>
      <c r="C231" s="395"/>
      <c r="D231" s="396" t="str">
        <f>"2 x 0,05 ca/tấn x "&amp;ROUND(VLOOKUP(B231,CTTBA,'7.CT-TBA'!$T$25,0)/1000,1)&amp;" tấn x "&amp;VLOOKUP(H231,DGMTC,8,0)&amp;"đ/ca"</f>
        <v>2 x 0,05 ca/tấn x 0 tấn x 1386944đ/ca</v>
      </c>
      <c r="E231" s="396">
        <f>ROUND(2*0.05*ROUND(VLOOKUP(B231,CTTBA,'7.CT-TBA'!$T$25,0)/1000,1)*VLOOKUP(H231,DGMTC,8,0),0)</f>
        <v>0</v>
      </c>
      <c r="F231" s="394"/>
      <c r="G231" s="333">
        <f>G227</f>
        <v>0</v>
      </c>
      <c r="H231" s="332" t="s">
        <v>898</v>
      </c>
    </row>
    <row r="232" spans="1:8" hidden="1">
      <c r="C232" s="393" t="s">
        <v>1417</v>
      </c>
      <c r="D232" s="394" t="s">
        <v>3380</v>
      </c>
      <c r="E232" s="394"/>
      <c r="F232" s="394"/>
      <c r="G232" s="333">
        <f>G227</f>
        <v>0</v>
      </c>
    </row>
    <row r="233" spans="1:8" hidden="1">
      <c r="B233" s="332" t="str">
        <f>"VL"&amp;B227</f>
        <v>VLTRNC3X375</v>
      </c>
      <c r="C233" s="395"/>
      <c r="D233" s="396" t="str">
        <f>ROUNDUP(VLOOKUP(B233,CTTBA,'7.CT-TBA'!$T$25,0)/($L$2*1000),0)&amp;" chuyến x 25.000đ/chuyến"</f>
        <v>0 chuyến x 25.000đ/chuyến</v>
      </c>
      <c r="E233" s="396">
        <f>ROUNDUP(VLOOKUP(B233,CTTBA,'7.CT-TBA'!$T$25,0)/($L$2*1000),0)*25000</f>
        <v>0</v>
      </c>
      <c r="F233" s="394"/>
      <c r="G233" s="333">
        <f>G227</f>
        <v>0</v>
      </c>
    </row>
    <row r="234" spans="1:8" hidden="1">
      <c r="A234" s="332" t="str">
        <f>"VC"&amp;B236</f>
        <v>VCTBTRNC3X375</v>
      </c>
      <c r="B234" s="332" t="str">
        <f>B227</f>
        <v>TRNC3X375</v>
      </c>
      <c r="C234" s="390" t="s">
        <v>3276</v>
      </c>
      <c r="D234" s="391" t="str">
        <f>"Vận chuyển thiết bị "&amp;VLOOKUP(B234,CTTBA,'7.CT-TBA'!$E$25,0)</f>
        <v>Vận chuyển thiết bị  Trạm NC từ 2x37,5kVA lên 3x37,5kVA</v>
      </c>
      <c r="E234" s="391">
        <f>SUM(E235:E240)</f>
        <v>0</v>
      </c>
      <c r="F234" s="392"/>
      <c r="G234" s="333">
        <f>IF(E234&lt;&gt;0,1,)</f>
        <v>0</v>
      </c>
    </row>
    <row r="235" spans="1:8" hidden="1">
      <c r="C235" s="393" t="s">
        <v>1415</v>
      </c>
      <c r="D235" s="394" t="s">
        <v>2559</v>
      </c>
      <c r="E235" s="394"/>
      <c r="F235" s="394"/>
      <c r="G235" s="333">
        <f>G234</f>
        <v>0</v>
      </c>
    </row>
    <row r="236" spans="1:8" hidden="1">
      <c r="B236" s="332" t="str">
        <f>"TB"&amp;B234</f>
        <v>TBTRNC3X375</v>
      </c>
      <c r="C236" s="395"/>
      <c r="D236" s="396" t="str">
        <f>ROUNDUP(VLOOKUP(B236,CTTBA,'7.CT-TBA'!$T$25,0)/($L$2*1000),0)&amp;" chuyến x "&amp;$L$2&amp;" tấn x "&amp;$E$2&amp;"km x "&amp;VLOOKUP($E$2,DGVCDD,$I$4,0)&amp;"đ/km"</f>
        <v>0 chuyến x 5 tấn x 10km x 2231đ/km</v>
      </c>
      <c r="E236" s="396">
        <f>ROUND(ROUNDUP(VLOOKUP(B236,CTTBA,'7.CT-TBA'!$T$25,0)/($L$2*1000),0)*$L$2*$E$2*VLOOKUP($E$2,DGVCDD,$I$4,0),0)</f>
        <v>0</v>
      </c>
      <c r="F236" s="394"/>
      <c r="G236" s="333">
        <f>G234</f>
        <v>0</v>
      </c>
    </row>
    <row r="237" spans="1:8" hidden="1">
      <c r="C237" s="393" t="s">
        <v>1416</v>
      </c>
      <c r="D237" s="394" t="s">
        <v>2575</v>
      </c>
      <c r="E237" s="394"/>
      <c r="F237" s="394"/>
      <c r="G237" s="333">
        <f>G234</f>
        <v>0</v>
      </c>
    </row>
    <row r="238" spans="1:8" hidden="1">
      <c r="B238" s="332" t="str">
        <f>"TB"&amp;B234</f>
        <v>TBTRNC3X375</v>
      </c>
      <c r="C238" s="395"/>
      <c r="D238" s="396" t="str">
        <f>"2 x 0,05 ca/tấn x "&amp;ROUND(VLOOKUP(B238,CTTBA,'7.CT-TBA'!$T$25,0)/1000,1)&amp;" tấn x "&amp;VLOOKUP(H231,DGMTC,8,0)&amp;"đ/ca"</f>
        <v>2 x 0,05 ca/tấn x 0 tấn x 1386944đ/ca</v>
      </c>
      <c r="E238" s="396">
        <f>ROUND(2*0.05*ROUND(VLOOKUP(B238,CTTBA,'7.CT-TBA'!$T$25,0)/1000,1)*VLOOKUP(H238,DGMTC,8,0),0)</f>
        <v>0</v>
      </c>
      <c r="F238" s="394"/>
      <c r="G238" s="333">
        <f>G234</f>
        <v>0</v>
      </c>
      <c r="H238" s="332" t="s">
        <v>898</v>
      </c>
    </row>
    <row r="239" spans="1:8" hidden="1">
      <c r="C239" s="393" t="s">
        <v>1417</v>
      </c>
      <c r="D239" s="394" t="s">
        <v>3379</v>
      </c>
      <c r="E239" s="394"/>
      <c r="F239" s="394"/>
      <c r="G239" s="333">
        <f>G234</f>
        <v>0</v>
      </c>
    </row>
    <row r="240" spans="1:8" hidden="1">
      <c r="B240" s="332" t="str">
        <f>"TB"&amp;B234</f>
        <v>TBTRNC3X375</v>
      </c>
      <c r="C240" s="395"/>
      <c r="D240" s="396" t="str">
        <f>ROUNDUP(VLOOKUP(B240,CTTBA,'7.CT-TBA'!$T$25,0)/($L$2*1000),0)&amp;" chuyến x 25.000đ/chuyến"</f>
        <v>0 chuyến x 25.000đ/chuyến</v>
      </c>
      <c r="E240" s="396">
        <f>ROUNDUP(VLOOKUP(B240,CTTBA,'7.CT-TBA'!$T$25,0)/($L$2*1000),0)*25000</f>
        <v>0</v>
      </c>
      <c r="F240" s="394"/>
      <c r="G240" s="333">
        <f>G234</f>
        <v>0</v>
      </c>
    </row>
    <row r="241" spans="1:8">
      <c r="A241" s="332" t="str">
        <f>"VC"&amp;B243</f>
        <v>VCVLTRNC100</v>
      </c>
      <c r="B241" s="389" t="s">
        <v>3219</v>
      </c>
      <c r="C241" s="390" t="s">
        <v>3277</v>
      </c>
      <c r="D241" s="391" t="str">
        <f>"Vận chuyển vật liệu "&amp;VLOOKUP(B241,CTTBA,'7.CT-TBA'!$E$25,0)</f>
        <v>Vận chuyển vật liệu 2 Trạm NC từ 100kVA lên 100+2x50kVA</v>
      </c>
      <c r="E241" s="391">
        <f>SUM(E242:E247)</f>
        <v>219767</v>
      </c>
      <c r="F241" s="392"/>
      <c r="G241" s="333">
        <f>IF(E241&lt;&gt;0,1,)</f>
        <v>1</v>
      </c>
    </row>
    <row r="242" spans="1:8">
      <c r="C242" s="393" t="s">
        <v>1415</v>
      </c>
      <c r="D242" s="394" t="s">
        <v>2557</v>
      </c>
      <c r="E242" s="394"/>
      <c r="F242" s="394"/>
      <c r="G242" s="333">
        <f>G241</f>
        <v>1</v>
      </c>
    </row>
    <row r="243" spans="1:8">
      <c r="B243" s="332" t="str">
        <f>"VL"&amp;B241</f>
        <v>VLTRNC100</v>
      </c>
      <c r="C243" s="395"/>
      <c r="D243" s="396" t="str">
        <f>ROUNDUP(VLOOKUP(B243,CTTBA,'7.CT-TBA'!$T$25,0)/($L$2*1000),0)&amp;" chuyến x "&amp;$L$2&amp;" tấn x "&amp;$E$2&amp;"km x "&amp;VLOOKUP($E$2,DGVCDD,$I$4,0)&amp;"đ/km"</f>
        <v>1 chuyến x 5 tấn x 10km x 2231đ/km</v>
      </c>
      <c r="E243" s="396">
        <f>ROUND(ROUNDUP(VLOOKUP(B243,CTTBA,'7.CT-TBA'!$T$25,0)/($L$2*1000),0)*$L$2*$E$2*VLOOKUP($E$2,DGVCDD,$I$4,0),0)</f>
        <v>111550</v>
      </c>
      <c r="F243" s="394"/>
      <c r="G243" s="333">
        <f>G241</f>
        <v>1</v>
      </c>
    </row>
    <row r="244" spans="1:8">
      <c r="C244" s="393" t="s">
        <v>1416</v>
      </c>
      <c r="D244" s="394" t="s">
        <v>2573</v>
      </c>
      <c r="E244" s="394"/>
      <c r="F244" s="394"/>
      <c r="G244" s="333">
        <f>G241</f>
        <v>1</v>
      </c>
    </row>
    <row r="245" spans="1:8">
      <c r="B245" s="332" t="str">
        <f>"VL"&amp;B241</f>
        <v>VLTRNC100</v>
      </c>
      <c r="C245" s="395"/>
      <c r="D245" s="396" t="str">
        <f>"2 x 0,05 ca/tấn x "&amp;ROUND(VLOOKUP(B245,CTTBA,'7.CT-TBA'!$T$25,0)/1000,1)&amp;" tấn x "&amp;VLOOKUP(H245,DGMTC,8,0)&amp;"đ/ca"</f>
        <v>2 x 0,05 ca/tấn x 0,6 tấn x 1386944đ/ca</v>
      </c>
      <c r="E245" s="396">
        <f>ROUND(2*0.05*ROUND(VLOOKUP(B245,CTTBA,'7.CT-TBA'!$T$25,0)/1000,1)*VLOOKUP(H245,DGMTC,8,0),0)</f>
        <v>83217</v>
      </c>
      <c r="F245" s="394"/>
      <c r="G245" s="333">
        <f>G241</f>
        <v>1</v>
      </c>
      <c r="H245" s="332" t="s">
        <v>898</v>
      </c>
    </row>
    <row r="246" spans="1:8">
      <c r="C246" s="393" t="s">
        <v>1417</v>
      </c>
      <c r="D246" s="394" t="s">
        <v>3380</v>
      </c>
      <c r="E246" s="394"/>
      <c r="F246" s="394"/>
      <c r="G246" s="333">
        <f>G241</f>
        <v>1</v>
      </c>
    </row>
    <row r="247" spans="1:8">
      <c r="B247" s="332" t="str">
        <f>"VL"&amp;B241</f>
        <v>VLTRNC100</v>
      </c>
      <c r="C247" s="395"/>
      <c r="D247" s="396" t="str">
        <f>ROUNDUP(VLOOKUP(B247,CTTBA,'7.CT-TBA'!$T$25,0)/($L$2*1000),0)&amp;" chuyến x 25.000đ/chuyến"</f>
        <v>1 chuyến x 25.000đ/chuyến</v>
      </c>
      <c r="E247" s="396">
        <f>ROUNDUP(VLOOKUP(B247,CTTBA,'7.CT-TBA'!$T$25,0)/($L$2*1000),0)*25000</f>
        <v>25000</v>
      </c>
      <c r="F247" s="394"/>
      <c r="G247" s="333">
        <f>G241</f>
        <v>1</v>
      </c>
    </row>
    <row r="248" spans="1:8">
      <c r="A248" s="332" t="str">
        <f>"VC"&amp;B250</f>
        <v>VCTBTRNC100</v>
      </c>
      <c r="B248" s="332" t="str">
        <f>B241</f>
        <v>TRNC100</v>
      </c>
      <c r="C248" s="390" t="s">
        <v>3278</v>
      </c>
      <c r="D248" s="391" t="str">
        <f>"Vận chuyển thiết bị "&amp;VLOOKUP(B248,CTTBA,'7.CT-TBA'!$E$25,0)</f>
        <v>Vận chuyển thiết bị 2 Trạm NC từ 100kVA lên 100+2x50kVA</v>
      </c>
      <c r="E248" s="391">
        <f>SUM(E249:E254)</f>
        <v>469417</v>
      </c>
      <c r="F248" s="392"/>
      <c r="G248" s="333">
        <f>IF(E248&lt;&gt;0,1,)</f>
        <v>1</v>
      </c>
    </row>
    <row r="249" spans="1:8">
      <c r="C249" s="393" t="s">
        <v>1415</v>
      </c>
      <c r="D249" s="394" t="s">
        <v>2559</v>
      </c>
      <c r="E249" s="394"/>
      <c r="F249" s="394"/>
      <c r="G249" s="333">
        <f>G248</f>
        <v>1</v>
      </c>
    </row>
    <row r="250" spans="1:8">
      <c r="B250" s="332" t="str">
        <f>"TB"&amp;B248</f>
        <v>TBTRNC100</v>
      </c>
      <c r="C250" s="395"/>
      <c r="D250" s="396" t="str">
        <f>ROUNDUP(VLOOKUP(B250,CTTBA,'7.CT-TBA'!$T$25,0)/($L$2*1000),0)&amp;" chuyến x "&amp;$L$2&amp;" tấn x "&amp;$E$2&amp;"km x "&amp;VLOOKUP($E$2,DGVCDD,$I$4,0)&amp;"đ/km"</f>
        <v>1 chuyến x 5 tấn x 10km x 2231đ/km</v>
      </c>
      <c r="E250" s="396">
        <f>ROUND(ROUNDUP(VLOOKUP(B250,CTTBA,'7.CT-TBA'!$T$25,0)/($L$2*1000),0)*$L$2*$E$2*VLOOKUP($E$2,DGVCDD,$I$4,0),0)</f>
        <v>111550</v>
      </c>
      <c r="F250" s="394"/>
      <c r="G250" s="333">
        <f>G248</f>
        <v>1</v>
      </c>
    </row>
    <row r="251" spans="1:8">
      <c r="C251" s="393" t="s">
        <v>1416</v>
      </c>
      <c r="D251" s="394" t="s">
        <v>2575</v>
      </c>
      <c r="E251" s="394"/>
      <c r="F251" s="394"/>
      <c r="G251" s="333">
        <f>G248</f>
        <v>1</v>
      </c>
    </row>
    <row r="252" spans="1:8">
      <c r="B252" s="332" t="str">
        <f>"TB"&amp;B248</f>
        <v>TBTRNC100</v>
      </c>
      <c r="C252" s="395"/>
      <c r="D252" s="396" t="str">
        <f>"2 x 0,05 ca/tấn x "&amp;ROUND(VLOOKUP(B252,CTTBA,'7.CT-TBA'!$T$25,0)/1000,1)&amp;" tấn x "&amp;VLOOKUP(H245,DGMTC,8,0)&amp;"đ/ca"</f>
        <v>2 x 0,05 ca/tấn x 2,4 tấn x 1386944đ/ca</v>
      </c>
      <c r="E252" s="396">
        <f>ROUND(2*0.05*ROUND(VLOOKUP(B252,CTTBA,'7.CT-TBA'!$T$25,0)/1000,1)*VLOOKUP(H252,DGMTC,8,0),0)</f>
        <v>332867</v>
      </c>
      <c r="F252" s="394"/>
      <c r="G252" s="333">
        <f>G248</f>
        <v>1</v>
      </c>
      <c r="H252" s="332" t="s">
        <v>898</v>
      </c>
    </row>
    <row r="253" spans="1:8">
      <c r="C253" s="393" t="s">
        <v>1417</v>
      </c>
      <c r="D253" s="394" t="s">
        <v>3379</v>
      </c>
      <c r="E253" s="394"/>
      <c r="F253" s="394"/>
      <c r="G253" s="333">
        <f>G248</f>
        <v>1</v>
      </c>
    </row>
    <row r="254" spans="1:8">
      <c r="B254" s="332" t="str">
        <f>"TB"&amp;B248</f>
        <v>TBTRNC100</v>
      </c>
      <c r="C254" s="395"/>
      <c r="D254" s="396" t="str">
        <f>ROUNDUP(VLOOKUP(B254,CTTBA,'7.CT-TBA'!$T$25,0)/($L$2*1000),0)&amp;" chuyến x 25.000đ/chuyến"</f>
        <v>1 chuyến x 25.000đ/chuyến</v>
      </c>
      <c r="E254" s="396">
        <f>ROUNDUP(VLOOKUP(B254,CTTBA,'7.CT-TBA'!$T$25,0)/($L$2*1000),0)*25000</f>
        <v>25000</v>
      </c>
      <c r="F254" s="394"/>
      <c r="G254" s="333">
        <f>G248</f>
        <v>1</v>
      </c>
    </row>
    <row r="255" spans="1:8" hidden="1">
      <c r="A255" s="332" t="str">
        <f>"VC"&amp;B257</f>
        <v>VCVLTRNC2X50</v>
      </c>
      <c r="B255" s="389" t="s">
        <v>3457</v>
      </c>
      <c r="C255" s="390" t="s">
        <v>3279</v>
      </c>
      <c r="D255" s="391" t="str">
        <f>"Vận chuyển vật liệu "&amp;VLOOKUP(B255,CTTBA,'7.CT-TBA'!$E$25,0)</f>
        <v>Vận chuyển vật liệu  Trạm NC từ 2x50kVA lên 3x50kVA</v>
      </c>
      <c r="E255" s="391">
        <f>SUM(E256:E261)</f>
        <v>0</v>
      </c>
      <c r="F255" s="392"/>
      <c r="G255" s="333">
        <f>IF(E255&lt;&gt;0,1,)</f>
        <v>0</v>
      </c>
    </row>
    <row r="256" spans="1:8" hidden="1">
      <c r="C256" s="393" t="s">
        <v>1415</v>
      </c>
      <c r="D256" s="394" t="s">
        <v>2557</v>
      </c>
      <c r="E256" s="394"/>
      <c r="F256" s="394"/>
      <c r="G256" s="333">
        <f>G255</f>
        <v>0</v>
      </c>
    </row>
    <row r="257" spans="1:8" hidden="1">
      <c r="B257" s="332" t="str">
        <f>"VL"&amp;B255</f>
        <v>VLTRNC2X50</v>
      </c>
      <c r="C257" s="395"/>
      <c r="D257" s="396" t="str">
        <f>ROUNDUP(VLOOKUP(B257,CTTBA,'7.CT-TBA'!$T$25,0)/($L$2*1000),0)&amp;" chuyến x "&amp;$L$2&amp;" tấn x "&amp;$E$2&amp;"km x "&amp;VLOOKUP($E$2,DGVCDD,$I$4,0)&amp;"đ/km"</f>
        <v>0 chuyến x 5 tấn x 10km x 2231đ/km</v>
      </c>
      <c r="E257" s="396">
        <f>ROUND(ROUNDUP(VLOOKUP(B257,CTTBA,'7.CT-TBA'!$T$25,0)/($L$2*1000),0)*$L$2*$E$2*VLOOKUP($E$2,DGVCDD,$I$4,0),0)</f>
        <v>0</v>
      </c>
      <c r="F257" s="394"/>
      <c r="G257" s="333">
        <f>G255</f>
        <v>0</v>
      </c>
    </row>
    <row r="258" spans="1:8" hidden="1">
      <c r="C258" s="393" t="s">
        <v>1416</v>
      </c>
      <c r="D258" s="394" t="s">
        <v>2573</v>
      </c>
      <c r="E258" s="394"/>
      <c r="F258" s="394"/>
      <c r="G258" s="333">
        <f>G255</f>
        <v>0</v>
      </c>
    </row>
    <row r="259" spans="1:8" hidden="1">
      <c r="B259" s="332" t="str">
        <f>"VL"&amp;B255</f>
        <v>VLTRNC2X50</v>
      </c>
      <c r="C259" s="395"/>
      <c r="D259" s="396" t="str">
        <f>"2 x 0,05 ca/tấn x "&amp;ROUND(VLOOKUP(B259,CTTBA,'7.CT-TBA'!$T$25,0)/1000,1)&amp;" tấn x "&amp;VLOOKUP(H259,DGMTC,8,0)&amp;"đ/ca"</f>
        <v>2 x 0,05 ca/tấn x 0 tấn x 1386944đ/ca</v>
      </c>
      <c r="E259" s="396">
        <f>ROUND(2*0.05*ROUND(VLOOKUP(B259,CTTBA,'7.CT-TBA'!$T$25,0)/1000,1)*VLOOKUP(H259,DGMTC,8,0),0)</f>
        <v>0</v>
      </c>
      <c r="F259" s="394"/>
      <c r="G259" s="333">
        <f>G255</f>
        <v>0</v>
      </c>
      <c r="H259" s="332" t="s">
        <v>898</v>
      </c>
    </row>
    <row r="260" spans="1:8" hidden="1">
      <c r="C260" s="393" t="s">
        <v>1417</v>
      </c>
      <c r="D260" s="394" t="s">
        <v>3380</v>
      </c>
      <c r="E260" s="394"/>
      <c r="F260" s="394"/>
      <c r="G260" s="333">
        <f>G255</f>
        <v>0</v>
      </c>
    </row>
    <row r="261" spans="1:8" hidden="1">
      <c r="B261" s="332" t="str">
        <f>"VL"&amp;B255</f>
        <v>VLTRNC2X50</v>
      </c>
      <c r="C261" s="395"/>
      <c r="D261" s="396" t="str">
        <f>ROUNDUP(VLOOKUP(B261,CTTBA,'7.CT-TBA'!$T$25,0)/($L$2*1000),0)&amp;" chuyến x 25.000đ/chuyến"</f>
        <v>0 chuyến x 25.000đ/chuyến</v>
      </c>
      <c r="E261" s="396">
        <f>ROUNDUP(VLOOKUP(B261,CTTBA,'7.CT-TBA'!$T$25,0)/($L$2*1000),0)*25000</f>
        <v>0</v>
      </c>
      <c r="F261" s="394"/>
      <c r="G261" s="333">
        <f>G255</f>
        <v>0</v>
      </c>
    </row>
    <row r="262" spans="1:8" hidden="1">
      <c r="A262" s="332" t="str">
        <f>"VC"&amp;B264</f>
        <v>VCTBTRNC2X50</v>
      </c>
      <c r="B262" s="332" t="str">
        <f>B255</f>
        <v>TRNC2X50</v>
      </c>
      <c r="C262" s="390" t="s">
        <v>3280</v>
      </c>
      <c r="D262" s="391" t="str">
        <f>"Vận chuyển thiết bị "&amp;VLOOKUP(B262,CTTBA,'7.CT-TBA'!$E$25,0)</f>
        <v>Vận chuyển thiết bị  Trạm NC từ 2x50kVA lên 3x50kVA</v>
      </c>
      <c r="E262" s="391">
        <f>SUM(E263:E268)</f>
        <v>0</v>
      </c>
      <c r="F262" s="392"/>
      <c r="G262" s="333">
        <f>IF(E262&lt;&gt;0,1,)</f>
        <v>0</v>
      </c>
    </row>
    <row r="263" spans="1:8" hidden="1">
      <c r="C263" s="393" t="s">
        <v>1415</v>
      </c>
      <c r="D263" s="394" t="s">
        <v>2559</v>
      </c>
      <c r="E263" s="394"/>
      <c r="F263" s="394"/>
      <c r="G263" s="333">
        <f>G262</f>
        <v>0</v>
      </c>
    </row>
    <row r="264" spans="1:8" hidden="1">
      <c r="B264" s="332" t="str">
        <f>"TB"&amp;B262</f>
        <v>TBTRNC2X50</v>
      </c>
      <c r="C264" s="395"/>
      <c r="D264" s="396" t="str">
        <f>ROUNDUP(VLOOKUP(B264,CTTBA,'7.CT-TBA'!$T$25,0)/($L$2*1000),0)&amp;" chuyến x "&amp;$L$2&amp;" tấn x "&amp;$E$2&amp;"km x "&amp;VLOOKUP($E$2,DGVCDD,$I$4,0)&amp;"đ/km"</f>
        <v>0 chuyến x 5 tấn x 10km x 2231đ/km</v>
      </c>
      <c r="E264" s="396">
        <f>ROUND(ROUNDUP(VLOOKUP(B264,CTTBA,'7.CT-TBA'!$T$25,0)/($L$2*1000),0)*$L$2*$E$2*VLOOKUP($E$2,DGVCDD,$I$4,0),0)</f>
        <v>0</v>
      </c>
      <c r="F264" s="394"/>
      <c r="G264" s="333">
        <f>G262</f>
        <v>0</v>
      </c>
    </row>
    <row r="265" spans="1:8" hidden="1">
      <c r="C265" s="393" t="s">
        <v>1416</v>
      </c>
      <c r="D265" s="394" t="s">
        <v>2575</v>
      </c>
      <c r="E265" s="394"/>
      <c r="F265" s="394"/>
      <c r="G265" s="333">
        <f>G262</f>
        <v>0</v>
      </c>
    </row>
    <row r="266" spans="1:8" hidden="1">
      <c r="B266" s="332" t="str">
        <f>"TB"&amp;B262</f>
        <v>TBTRNC2X50</v>
      </c>
      <c r="C266" s="395"/>
      <c r="D266" s="396" t="str">
        <f>"2 x 0,05 ca/tấn x "&amp;ROUND(VLOOKUP(B266,CTTBA,'7.CT-TBA'!$T$25,0)/1000,1)&amp;" tấn x "&amp;VLOOKUP(H259,DGMTC,8,0)&amp;"đ/ca"</f>
        <v>2 x 0,05 ca/tấn x 0 tấn x 1386944đ/ca</v>
      </c>
      <c r="E266" s="396">
        <f>ROUND(2*0.05*ROUND(VLOOKUP(B266,CTTBA,'7.CT-TBA'!$T$25,0)/1000,1)*VLOOKUP(H266,DGMTC,8,0),0)</f>
        <v>0</v>
      </c>
      <c r="F266" s="394"/>
      <c r="G266" s="333">
        <f>G262</f>
        <v>0</v>
      </c>
      <c r="H266" s="332" t="s">
        <v>898</v>
      </c>
    </row>
    <row r="267" spans="1:8" hidden="1">
      <c r="C267" s="393" t="s">
        <v>1417</v>
      </c>
      <c r="D267" s="394" t="s">
        <v>3379</v>
      </c>
      <c r="E267" s="394"/>
      <c r="F267" s="394"/>
      <c r="G267" s="333">
        <f>G262</f>
        <v>0</v>
      </c>
    </row>
    <row r="268" spans="1:8" hidden="1">
      <c r="B268" s="332" t="str">
        <f>"TB"&amp;B262</f>
        <v>TBTRNC2X50</v>
      </c>
      <c r="C268" s="395"/>
      <c r="D268" s="396" t="str">
        <f>ROUNDUP(VLOOKUP(B268,CTTBA,'7.CT-TBA'!$T$25,0)/($L$2*1000),0)&amp;" chuyến x 25.000đ/chuyến"</f>
        <v>0 chuyến x 25.000đ/chuyến</v>
      </c>
      <c r="E268" s="396">
        <f>ROUNDUP(VLOOKUP(B268,CTTBA,'7.CT-TBA'!$T$25,0)/($L$2*1000),0)*25000</f>
        <v>0</v>
      </c>
      <c r="F268" s="394"/>
      <c r="G268" s="333">
        <f>G262</f>
        <v>0</v>
      </c>
    </row>
    <row r="269" spans="1:8">
      <c r="A269" s="332" t="str">
        <f>"VC"&amp;B271</f>
        <v>VCVLTRNC2X75</v>
      </c>
      <c r="B269" s="389" t="s">
        <v>3222</v>
      </c>
      <c r="C269" s="390" t="s">
        <v>3279</v>
      </c>
      <c r="D269" s="391" t="str">
        <f>"Vận chuyển vật liệu "&amp;VLOOKUP(B269,CTTBA,'7.CT-TBA'!$E$25,0)</f>
        <v>Vận chuyển vật liệu 2 Trạm NC từ 2x75kVA lên 3x75kVA</v>
      </c>
      <c r="E269" s="391">
        <f>SUM(E270:E275)</f>
        <v>233636</v>
      </c>
      <c r="F269" s="392"/>
      <c r="G269" s="333">
        <f>IF(E269&lt;&gt;0,1,)</f>
        <v>1</v>
      </c>
    </row>
    <row r="270" spans="1:8">
      <c r="C270" s="393" t="s">
        <v>1415</v>
      </c>
      <c r="D270" s="394" t="s">
        <v>2557</v>
      </c>
      <c r="E270" s="394"/>
      <c r="F270" s="394"/>
      <c r="G270" s="333">
        <f>G269</f>
        <v>1</v>
      </c>
    </row>
    <row r="271" spans="1:8">
      <c r="B271" s="332" t="str">
        <f>"VL"&amp;B269</f>
        <v>VLTRNC2X75</v>
      </c>
      <c r="C271" s="395"/>
      <c r="D271" s="396" t="str">
        <f>ROUNDUP(VLOOKUP(B271,CTTBA,'7.CT-TBA'!$T$25,0)/($L$2*1000),0)&amp;" chuyến x "&amp;$L$2&amp;" tấn x "&amp;$E$2&amp;"km x "&amp;VLOOKUP($E$2,DGVCDD,$I$4,0)&amp;"đ/km"</f>
        <v>1 chuyến x 5 tấn x 10km x 2231đ/km</v>
      </c>
      <c r="E271" s="396">
        <f>ROUND(ROUNDUP(VLOOKUP(B271,CTTBA,'7.CT-TBA'!$T$25,0)/($L$2*1000),0)*$L$2*$E$2*VLOOKUP($E$2,DGVCDD,$I$4,0),0)</f>
        <v>111550</v>
      </c>
      <c r="F271" s="394"/>
      <c r="G271" s="333">
        <f>G269</f>
        <v>1</v>
      </c>
    </row>
    <row r="272" spans="1:8">
      <c r="C272" s="393" t="s">
        <v>1416</v>
      </c>
      <c r="D272" s="394" t="s">
        <v>2573</v>
      </c>
      <c r="E272" s="394"/>
      <c r="F272" s="394"/>
      <c r="G272" s="333">
        <f>G269</f>
        <v>1</v>
      </c>
    </row>
    <row r="273" spans="1:8">
      <c r="B273" s="332" t="str">
        <f>"VL"&amp;B269</f>
        <v>VLTRNC2X75</v>
      </c>
      <c r="C273" s="395"/>
      <c r="D273" s="396" t="str">
        <f>"2 x 0,05 ca/tấn x "&amp;ROUND(VLOOKUP(B273,CTTBA,'7.CT-TBA'!$T$25,0)/1000,1)&amp;" tấn x "&amp;VLOOKUP(H273,DGMTC,8,0)&amp;"đ/ca"</f>
        <v>2 x 0,05 ca/tấn x 0,7 tấn x 1386944đ/ca</v>
      </c>
      <c r="E273" s="396">
        <f>ROUND(2*0.05*ROUND(VLOOKUP(B273,CTTBA,'7.CT-TBA'!$T$25,0)/1000,1)*VLOOKUP(H273,DGMTC,8,0),0)</f>
        <v>97086</v>
      </c>
      <c r="F273" s="394"/>
      <c r="G273" s="333">
        <f>G269</f>
        <v>1</v>
      </c>
      <c r="H273" s="332" t="s">
        <v>898</v>
      </c>
    </row>
    <row r="274" spans="1:8">
      <c r="C274" s="393" t="s">
        <v>1417</v>
      </c>
      <c r="D274" s="394" t="s">
        <v>3380</v>
      </c>
      <c r="E274" s="394"/>
      <c r="F274" s="394"/>
      <c r="G274" s="333">
        <f>G269</f>
        <v>1</v>
      </c>
    </row>
    <row r="275" spans="1:8">
      <c r="B275" s="332" t="str">
        <f>"VL"&amp;B269</f>
        <v>VLTRNC2X75</v>
      </c>
      <c r="C275" s="395"/>
      <c r="D275" s="396" t="str">
        <f>ROUNDUP(VLOOKUP(B275,CTTBA,'7.CT-TBA'!$T$25,0)/($L$2*1000),0)&amp;" chuyến x 25.000đ/chuyến"</f>
        <v>1 chuyến x 25.000đ/chuyến</v>
      </c>
      <c r="E275" s="396">
        <f>ROUNDUP(VLOOKUP(B275,CTTBA,'7.CT-TBA'!$T$25,0)/($L$2*1000),0)*25000</f>
        <v>25000</v>
      </c>
      <c r="F275" s="394"/>
      <c r="G275" s="333">
        <f>G269</f>
        <v>1</v>
      </c>
    </row>
    <row r="276" spans="1:8">
      <c r="A276" s="332" t="str">
        <f>"VC"&amp;B278</f>
        <v>VCTBTRNC2X75</v>
      </c>
      <c r="B276" s="332" t="str">
        <f>B269</f>
        <v>TRNC2X75</v>
      </c>
      <c r="C276" s="390" t="s">
        <v>3280</v>
      </c>
      <c r="D276" s="391" t="str">
        <f>"Vận chuyển thiết bị "&amp;VLOOKUP(B276,CTTBA,'7.CT-TBA'!$E$25,0)</f>
        <v>Vận chuyển thiết bị 2 Trạm NC từ 2x75kVA lên 3x75kVA</v>
      </c>
      <c r="E276" s="391">
        <f>SUM(E277:E282)</f>
        <v>524894</v>
      </c>
      <c r="F276" s="392"/>
      <c r="G276" s="333">
        <f>IF(E276&lt;&gt;0,1,)</f>
        <v>1</v>
      </c>
    </row>
    <row r="277" spans="1:8">
      <c r="C277" s="393" t="s">
        <v>1415</v>
      </c>
      <c r="D277" s="394" t="s">
        <v>2559</v>
      </c>
      <c r="E277" s="394"/>
      <c r="F277" s="394"/>
      <c r="G277" s="333">
        <f>G276</f>
        <v>1</v>
      </c>
    </row>
    <row r="278" spans="1:8">
      <c r="B278" s="332" t="str">
        <f>"TB"&amp;B276</f>
        <v>TBTRNC2X75</v>
      </c>
      <c r="C278" s="395"/>
      <c r="D278" s="396" t="str">
        <f>ROUNDUP(VLOOKUP(B278,CTTBA,'7.CT-TBA'!$T$25,0)/($L$2*1000),0)&amp;" chuyến x "&amp;$L$2&amp;" tấn x "&amp;$E$2&amp;"km x "&amp;VLOOKUP($E$2,DGVCDD,$I$4,0)&amp;"đ/km"</f>
        <v>1 chuyến x 5 tấn x 10km x 2231đ/km</v>
      </c>
      <c r="E278" s="396">
        <f>ROUND(ROUNDUP(VLOOKUP(B278,CTTBA,'7.CT-TBA'!$T$25,0)/($L$2*1000),0)*$L$2*$E$2*VLOOKUP($E$2,DGVCDD,$I$4,0),0)</f>
        <v>111550</v>
      </c>
      <c r="F278" s="394"/>
      <c r="G278" s="333">
        <f>G276</f>
        <v>1</v>
      </c>
    </row>
    <row r="279" spans="1:8">
      <c r="C279" s="393" t="s">
        <v>1416</v>
      </c>
      <c r="D279" s="394" t="s">
        <v>2575</v>
      </c>
      <c r="E279" s="394"/>
      <c r="F279" s="394"/>
      <c r="G279" s="333">
        <f>G276</f>
        <v>1</v>
      </c>
    </row>
    <row r="280" spans="1:8">
      <c r="B280" s="332" t="str">
        <f>"TB"&amp;B276</f>
        <v>TBTRNC2X75</v>
      </c>
      <c r="C280" s="395"/>
      <c r="D280" s="396" t="str">
        <f>"2 x 0,05 ca/tấn x "&amp;ROUND(VLOOKUP(B280,CTTBA,'7.CT-TBA'!$T$25,0)/1000,1)&amp;" tấn x "&amp;VLOOKUP(H273,DGMTC,8,0)&amp;"đ/ca"</f>
        <v>2 x 0,05 ca/tấn x 2,8 tấn x 1386944đ/ca</v>
      </c>
      <c r="E280" s="396">
        <f>ROUND(2*0.05*ROUND(VLOOKUP(B280,CTTBA,'7.CT-TBA'!$T$25,0)/1000,1)*VLOOKUP(H280,DGMTC,8,0),0)</f>
        <v>388344</v>
      </c>
      <c r="F280" s="394"/>
      <c r="G280" s="333">
        <f>G276</f>
        <v>1</v>
      </c>
      <c r="H280" s="332" t="s">
        <v>898</v>
      </c>
    </row>
    <row r="281" spans="1:8">
      <c r="C281" s="393" t="s">
        <v>1417</v>
      </c>
      <c r="D281" s="394" t="s">
        <v>3379</v>
      </c>
      <c r="E281" s="394"/>
      <c r="F281" s="394"/>
      <c r="G281" s="333">
        <f>G276</f>
        <v>1</v>
      </c>
    </row>
    <row r="282" spans="1:8">
      <c r="B282" s="332" t="str">
        <f>"TB"&amp;B276</f>
        <v>TBTRNC2X75</v>
      </c>
      <c r="C282" s="395"/>
      <c r="D282" s="396" t="str">
        <f>ROUNDUP(VLOOKUP(B282,CTTBA,'7.CT-TBA'!$T$25,0)/($L$2*1000),0)&amp;" chuyến x 25.000đ/chuyến"</f>
        <v>1 chuyến x 25.000đ/chuyến</v>
      </c>
      <c r="E282" s="396">
        <f>ROUNDUP(VLOOKUP(B282,CTTBA,'7.CT-TBA'!$T$25,0)/($L$2*1000),0)*25000</f>
        <v>25000</v>
      </c>
      <c r="F282" s="394"/>
      <c r="G282" s="333">
        <f>G276</f>
        <v>1</v>
      </c>
    </row>
    <row r="283" spans="1:8">
      <c r="A283" s="332" t="str">
        <f>"VC"&amp;B285</f>
        <v>VCVLTRNC2X100</v>
      </c>
      <c r="B283" s="389" t="s">
        <v>3223</v>
      </c>
      <c r="C283" s="390" t="s">
        <v>3281</v>
      </c>
      <c r="D283" s="391" t="str">
        <f>"Vận chuyển vật liệu "&amp;VLOOKUP(B283,CTTBA,'7.CT-TBA'!$E$25,0)</f>
        <v>Vận chuyển vật liệu 1 Trạm NC từ 2x100kVA lên 3x100kVA</v>
      </c>
      <c r="E283" s="391">
        <f>SUM(E284:E289)</f>
        <v>192028</v>
      </c>
      <c r="F283" s="392"/>
      <c r="G283" s="333">
        <f>IF(E283&lt;&gt;0,1,)</f>
        <v>1</v>
      </c>
    </row>
    <row r="284" spans="1:8">
      <c r="C284" s="393" t="s">
        <v>1415</v>
      </c>
      <c r="D284" s="394" t="s">
        <v>2557</v>
      </c>
      <c r="E284" s="394"/>
      <c r="F284" s="394"/>
      <c r="G284" s="333">
        <f>G283</f>
        <v>1</v>
      </c>
    </row>
    <row r="285" spans="1:8">
      <c r="B285" s="332" t="str">
        <f>"VL"&amp;B283</f>
        <v>VLTRNC2X100</v>
      </c>
      <c r="C285" s="395"/>
      <c r="D285" s="396" t="str">
        <f>ROUNDUP(VLOOKUP(B285,CTTBA,'7.CT-TBA'!$T$25,0)/($L$2*1000),0)&amp;" chuyến x "&amp;$L$2&amp;" tấn x "&amp;$E$2&amp;"km x "&amp;VLOOKUP($E$2,DGVCDD,$I$4,0)&amp;"đ/km"</f>
        <v>1 chuyến x 5 tấn x 10km x 2231đ/km</v>
      </c>
      <c r="E285" s="396">
        <f>ROUND(ROUNDUP(VLOOKUP(B285,CTTBA,'7.CT-TBA'!$T$25,0)/($L$2*1000),0)*$L$2*$E$2*VLOOKUP($E$2,DGVCDD,$I$4,0),0)</f>
        <v>111550</v>
      </c>
      <c r="F285" s="394"/>
      <c r="G285" s="333">
        <f>G283</f>
        <v>1</v>
      </c>
    </row>
    <row r="286" spans="1:8">
      <c r="C286" s="393" t="s">
        <v>1416</v>
      </c>
      <c r="D286" s="394" t="s">
        <v>2573</v>
      </c>
      <c r="E286" s="394"/>
      <c r="F286" s="394"/>
      <c r="G286" s="333">
        <f>G283</f>
        <v>1</v>
      </c>
    </row>
    <row r="287" spans="1:8">
      <c r="B287" s="332" t="str">
        <f>"VL"&amp;B283</f>
        <v>VLTRNC2X100</v>
      </c>
      <c r="C287" s="395"/>
      <c r="D287" s="396" t="str">
        <f>"2 x 0,05 ca/tấn x "&amp;ROUND(VLOOKUP(B287,CTTBA,'7.CT-TBA'!$T$25,0)/1000,1)&amp;" tấn x "&amp;VLOOKUP(H287,DGMTC,8,0)&amp;"đ/ca"</f>
        <v>2 x 0,05 ca/tấn x 0,4 tấn x 1386944đ/ca</v>
      </c>
      <c r="E287" s="396">
        <f>ROUND(2*0.05*ROUND(VLOOKUP(B287,CTTBA,'7.CT-TBA'!$T$25,0)/1000,1)*VLOOKUP(H287,DGMTC,8,0),0)</f>
        <v>55478</v>
      </c>
      <c r="F287" s="394"/>
      <c r="G287" s="333">
        <f>G283</f>
        <v>1</v>
      </c>
      <c r="H287" s="332" t="s">
        <v>898</v>
      </c>
    </row>
    <row r="288" spans="1:8">
      <c r="C288" s="393" t="s">
        <v>1417</v>
      </c>
      <c r="D288" s="394" t="s">
        <v>3380</v>
      </c>
      <c r="E288" s="394"/>
      <c r="F288" s="394"/>
      <c r="G288" s="333">
        <f>G283</f>
        <v>1</v>
      </c>
    </row>
    <row r="289" spans="1:8">
      <c r="B289" s="332" t="str">
        <f>"VL"&amp;B283</f>
        <v>VLTRNC2X100</v>
      </c>
      <c r="C289" s="395"/>
      <c r="D289" s="396" t="str">
        <f>ROUNDUP(VLOOKUP(B289,CTTBA,'7.CT-TBA'!$T$25,0)/($L$2*1000),0)&amp;" chuyến x 25.000đ/chuyến"</f>
        <v>1 chuyến x 25.000đ/chuyến</v>
      </c>
      <c r="E289" s="396">
        <f>ROUNDUP(VLOOKUP(B289,CTTBA,'7.CT-TBA'!$T$25,0)/($L$2*1000),0)*25000</f>
        <v>25000</v>
      </c>
      <c r="F289" s="394"/>
      <c r="G289" s="333">
        <f>G283</f>
        <v>1</v>
      </c>
    </row>
    <row r="290" spans="1:8">
      <c r="A290" s="332" t="str">
        <f>"VC"&amp;B292</f>
        <v>VCTBTRNC2X100</v>
      </c>
      <c r="B290" s="332" t="str">
        <f>B283</f>
        <v>TRNC2X100</v>
      </c>
      <c r="C290" s="390" t="s">
        <v>3282</v>
      </c>
      <c r="D290" s="391" t="str">
        <f>"Vận chuyển thiết bị "&amp;VLOOKUP(B290,CTTBA,'7.CT-TBA'!$E$25,0)</f>
        <v>Vận chuyển thiết bị 1 Trạm NC từ 2x100kVA lên 3x100kVA</v>
      </c>
      <c r="E290" s="391">
        <f>SUM(E291:E296)</f>
        <v>372330</v>
      </c>
      <c r="F290" s="392"/>
      <c r="G290" s="333">
        <f>IF(E290&lt;&gt;0,1,)</f>
        <v>1</v>
      </c>
    </row>
    <row r="291" spans="1:8">
      <c r="C291" s="393" t="s">
        <v>1415</v>
      </c>
      <c r="D291" s="394" t="s">
        <v>2559</v>
      </c>
      <c r="E291" s="394"/>
      <c r="F291" s="394"/>
      <c r="G291" s="333">
        <f>G290</f>
        <v>1</v>
      </c>
    </row>
    <row r="292" spans="1:8">
      <c r="B292" s="332" t="str">
        <f>"TB"&amp;B290</f>
        <v>TBTRNC2X100</v>
      </c>
      <c r="C292" s="395"/>
      <c r="D292" s="396" t="str">
        <f>ROUNDUP(VLOOKUP(B292,CTTBA,'7.CT-TBA'!$T$25,0)/($L$2*1000),0)&amp;" chuyến x "&amp;$L$2&amp;" tấn x "&amp;$E$2&amp;"km x "&amp;VLOOKUP($E$2,DGVCDD,$I$4,0)&amp;"đ/km"</f>
        <v>1 chuyến x 5 tấn x 10km x 2231đ/km</v>
      </c>
      <c r="E292" s="396">
        <f>ROUND(ROUNDUP(VLOOKUP(B292,CTTBA,'7.CT-TBA'!$T$25,0)/($L$2*1000),0)*$L$2*$E$2*VLOOKUP($E$2,DGVCDD,$I$4,0),0)</f>
        <v>111550</v>
      </c>
      <c r="F292" s="394"/>
      <c r="G292" s="333">
        <f>G290</f>
        <v>1</v>
      </c>
    </row>
    <row r="293" spans="1:8">
      <c r="C293" s="393" t="s">
        <v>1416</v>
      </c>
      <c r="D293" s="394" t="s">
        <v>2575</v>
      </c>
      <c r="E293" s="394"/>
      <c r="F293" s="394"/>
      <c r="G293" s="333">
        <f>G290</f>
        <v>1</v>
      </c>
    </row>
    <row r="294" spans="1:8">
      <c r="B294" s="332" t="str">
        <f>"TB"&amp;B290</f>
        <v>TBTRNC2X100</v>
      </c>
      <c r="C294" s="395"/>
      <c r="D294" s="396" t="str">
        <f>"2 x 0,05 ca/tấn x "&amp;ROUND(VLOOKUP(B294,CTTBA,'7.CT-TBA'!$T$25,0)/1000,1)&amp;" tấn x "&amp;VLOOKUP(H287,DGMTC,8,0)&amp;"đ/ca"</f>
        <v>2 x 0,05 ca/tấn x 1,7 tấn x 1386944đ/ca</v>
      </c>
      <c r="E294" s="396">
        <f>ROUND(2*0.05*ROUND(VLOOKUP(B294,CTTBA,'7.CT-TBA'!$T$25,0)/1000,1)*VLOOKUP(H294,DGMTC,8,0),0)</f>
        <v>235780</v>
      </c>
      <c r="F294" s="394"/>
      <c r="G294" s="333">
        <f>G290</f>
        <v>1</v>
      </c>
      <c r="H294" s="332" t="s">
        <v>898</v>
      </c>
    </row>
    <row r="295" spans="1:8">
      <c r="C295" s="393" t="s">
        <v>1417</v>
      </c>
      <c r="D295" s="394" t="s">
        <v>3379</v>
      </c>
      <c r="E295" s="394"/>
      <c r="F295" s="394"/>
      <c r="G295" s="333">
        <f>G290</f>
        <v>1</v>
      </c>
    </row>
    <row r="296" spans="1:8">
      <c r="B296" s="332" t="str">
        <f>"TB"&amp;B290</f>
        <v>TBTRNC2X100</v>
      </c>
      <c r="C296" s="395"/>
      <c r="D296" s="396" t="str">
        <f>ROUNDUP(VLOOKUP(B296,CTTBA,'7.CT-TBA'!$T$25,0)/($L$2*1000),0)&amp;" chuyến x 25.000đ/chuyến"</f>
        <v>1 chuyến x 25.000đ/chuyến</v>
      </c>
      <c r="E296" s="396">
        <f>ROUNDUP(VLOOKUP(B296,CTTBA,'7.CT-TBA'!$T$25,0)/($L$2*1000),0)*25000</f>
        <v>25000</v>
      </c>
      <c r="F296" s="394"/>
      <c r="G296" s="333">
        <f>G290</f>
        <v>1</v>
      </c>
    </row>
    <row r="297" spans="1:8">
      <c r="A297" s="332" t="str">
        <f>"VC"&amp;B299</f>
        <v>VCVLDTR1P</v>
      </c>
      <c r="B297" s="389" t="s">
        <v>3243</v>
      </c>
      <c r="C297" s="390" t="s">
        <v>3283</v>
      </c>
      <c r="D297" s="391" t="str">
        <f>"Vận chuyển vật liệu "&amp;VLOOKUP(B297,CTTBA,'7.CT-TBA'!$E$25,0)</f>
        <v>Vận chuyển vật liệu 2 Trạm 1 pha di dời</v>
      </c>
      <c r="E297" s="391">
        <f>SUM(E298:E303)</f>
        <v>205897</v>
      </c>
      <c r="F297" s="392"/>
      <c r="G297" s="333">
        <f>IF(E297&lt;&gt;0,1,)</f>
        <v>1</v>
      </c>
    </row>
    <row r="298" spans="1:8">
      <c r="C298" s="393" t="s">
        <v>1415</v>
      </c>
      <c r="D298" s="394" t="s">
        <v>2557</v>
      </c>
      <c r="E298" s="394"/>
      <c r="F298" s="394"/>
      <c r="G298" s="333">
        <f>G297</f>
        <v>1</v>
      </c>
    </row>
    <row r="299" spans="1:8">
      <c r="B299" s="332" t="str">
        <f>"VL"&amp;B297</f>
        <v>VLDTR1P</v>
      </c>
      <c r="C299" s="395"/>
      <c r="D299" s="396" t="str">
        <f>ROUNDUP(VLOOKUP(B299,CTTBA,'7.CT-TBA'!$T$25,0)/($L$2*1000),0)&amp;" chuyến x "&amp;$L$2&amp;" tấn x "&amp;$E$2&amp;"km x "&amp;VLOOKUP($E$2,DGVCDD,$I$4,0)&amp;"đ/km"</f>
        <v>1 chuyến x 5 tấn x 10km x 2231đ/km</v>
      </c>
      <c r="E299" s="396">
        <f>ROUND(ROUNDUP(VLOOKUP(B299,CTTBA,'7.CT-TBA'!$T$25,0)/($L$2*1000),0)*$L$2*$E$2*VLOOKUP($E$2,DGVCDD,$I$4,0),0)</f>
        <v>111550</v>
      </c>
      <c r="F299" s="394"/>
      <c r="G299" s="333">
        <f>G297</f>
        <v>1</v>
      </c>
    </row>
    <row r="300" spans="1:8">
      <c r="C300" s="393" t="s">
        <v>1416</v>
      </c>
      <c r="D300" s="394" t="s">
        <v>2573</v>
      </c>
      <c r="E300" s="394"/>
      <c r="F300" s="394"/>
      <c r="G300" s="333">
        <f>G297</f>
        <v>1</v>
      </c>
    </row>
    <row r="301" spans="1:8">
      <c r="B301" s="332" t="str">
        <f>"VL"&amp;B297</f>
        <v>VLDTR1P</v>
      </c>
      <c r="C301" s="395"/>
      <c r="D301" s="396" t="str">
        <f>"2 x 0,05 ca/tấn x "&amp;ROUND(VLOOKUP(B301,CTTBA,'7.CT-TBA'!$T$25,0)/1000,1)&amp;" tấn x "&amp;VLOOKUP(H301,DGMTC,8,0)&amp;"đ/ca"</f>
        <v>2 x 0,05 ca/tấn x 0,5 tấn x 1386944đ/ca</v>
      </c>
      <c r="E301" s="396">
        <f>ROUND(2*0.05*ROUND(VLOOKUP(B301,CTTBA,'7.CT-TBA'!$T$25,0)/1000,1)*VLOOKUP(H301,DGMTC,8,0),0)</f>
        <v>69347</v>
      </c>
      <c r="F301" s="394"/>
      <c r="G301" s="333">
        <f>G297</f>
        <v>1</v>
      </c>
      <c r="H301" s="332" t="s">
        <v>898</v>
      </c>
    </row>
    <row r="302" spans="1:8">
      <c r="C302" s="393" t="s">
        <v>1417</v>
      </c>
      <c r="D302" s="394" t="s">
        <v>3380</v>
      </c>
      <c r="E302" s="394"/>
      <c r="F302" s="394"/>
      <c r="G302" s="333">
        <f>G297</f>
        <v>1</v>
      </c>
    </row>
    <row r="303" spans="1:8">
      <c r="B303" s="332" t="str">
        <f>"VL"&amp;B297</f>
        <v>VLDTR1P</v>
      </c>
      <c r="C303" s="395"/>
      <c r="D303" s="396" t="str">
        <f>ROUNDUP(VLOOKUP(B303,CTTBA,'7.CT-TBA'!$T$25,0)/($L$2*1000),0)&amp;" chuyến x 25.000đ/chuyến"</f>
        <v>1 chuyến x 25.000đ/chuyến</v>
      </c>
      <c r="E303" s="396">
        <f>ROUNDUP(VLOOKUP(B303,CTTBA,'7.CT-TBA'!$T$25,0)/($L$2*1000),0)*25000</f>
        <v>25000</v>
      </c>
      <c r="F303" s="394"/>
      <c r="G303" s="333">
        <f>G297</f>
        <v>1</v>
      </c>
    </row>
    <row r="304" spans="1:8">
      <c r="A304" s="332" t="str">
        <f>"VC"&amp;B306</f>
        <v>VCTBDTR1P</v>
      </c>
      <c r="B304" s="332" t="str">
        <f>B297</f>
        <v>DTR1P</v>
      </c>
      <c r="C304" s="390" t="s">
        <v>3284</v>
      </c>
      <c r="D304" s="391" t="str">
        <f>"Vận chuyển thiết bị "&amp;VLOOKUP(B304,CTTBA,'7.CT-TBA'!$E$25,0)</f>
        <v>Vận chuyển thiết bị 2 Trạm 1 pha di dời</v>
      </c>
      <c r="E304" s="391">
        <f>SUM(E305:E310)</f>
        <v>386200</v>
      </c>
      <c r="F304" s="392"/>
      <c r="G304" s="333">
        <f>IF(E304&lt;&gt;0,1,)</f>
        <v>1</v>
      </c>
    </row>
    <row r="305" spans="1:8">
      <c r="C305" s="393" t="s">
        <v>1415</v>
      </c>
      <c r="D305" s="394" t="s">
        <v>2559</v>
      </c>
      <c r="E305" s="394"/>
      <c r="F305" s="394"/>
      <c r="G305" s="333">
        <f>G304</f>
        <v>1</v>
      </c>
    </row>
    <row r="306" spans="1:8">
      <c r="B306" s="332" t="str">
        <f>"TB"&amp;B304</f>
        <v>TBDTR1P</v>
      </c>
      <c r="C306" s="395"/>
      <c r="D306" s="396" t="str">
        <f>ROUNDUP(VLOOKUP(B306,CTTBA,'7.CT-TBA'!$T$25,0)/($L$2*1000),0)&amp;" chuyến x "&amp;$L$2&amp;" tấn x "&amp;$E$2&amp;"km x "&amp;VLOOKUP($E$2,DGVCDD,$I$4,0)&amp;"đ/km"</f>
        <v>1 chuyến x 5 tấn x 10km x 2231đ/km</v>
      </c>
      <c r="E306" s="396">
        <f>ROUND(ROUNDUP(VLOOKUP(B306,CTTBA,'7.CT-TBA'!$T$25,0)/($L$2*1000),0)*$L$2*$E$2*VLOOKUP($E$2,DGVCDD,$I$4,0),0)</f>
        <v>111550</v>
      </c>
      <c r="F306" s="394"/>
      <c r="G306" s="333">
        <f>G304</f>
        <v>1</v>
      </c>
    </row>
    <row r="307" spans="1:8">
      <c r="C307" s="393" t="s">
        <v>1416</v>
      </c>
      <c r="D307" s="394" t="s">
        <v>2575</v>
      </c>
      <c r="E307" s="394"/>
      <c r="F307" s="394"/>
      <c r="G307" s="333">
        <f>G304</f>
        <v>1</v>
      </c>
    </row>
    <row r="308" spans="1:8">
      <c r="B308" s="332" t="str">
        <f>"TB"&amp;B304</f>
        <v>TBDTR1P</v>
      </c>
      <c r="C308" s="395"/>
      <c r="D308" s="396" t="str">
        <f>"2 x 0,05 ca/tấn x "&amp;ROUND(VLOOKUP(B308,CTTBA,'7.CT-TBA'!$T$25,0)/1000,1)&amp;" tấn x "&amp;VLOOKUP(H301,DGMTC,8,0)&amp;"đ/ca"</f>
        <v>2 x 0,05 ca/tấn x 1,8 tấn x 1386944đ/ca</v>
      </c>
      <c r="E308" s="396">
        <f>ROUND(2*0.05*ROUND(VLOOKUP(B308,CTTBA,'7.CT-TBA'!$T$25,0)/1000,1)*VLOOKUP(H308,DGMTC,8,0),0)</f>
        <v>249650</v>
      </c>
      <c r="F308" s="394"/>
      <c r="G308" s="333">
        <f>G304</f>
        <v>1</v>
      </c>
      <c r="H308" s="332" t="s">
        <v>898</v>
      </c>
    </row>
    <row r="309" spans="1:8">
      <c r="C309" s="393" t="s">
        <v>1417</v>
      </c>
      <c r="D309" s="394" t="s">
        <v>3379</v>
      </c>
      <c r="E309" s="394"/>
      <c r="F309" s="394"/>
      <c r="G309" s="333">
        <f>G304</f>
        <v>1</v>
      </c>
    </row>
    <row r="310" spans="1:8">
      <c r="B310" s="332" t="str">
        <f>"TB"&amp;B304</f>
        <v>TBDTR1P</v>
      </c>
      <c r="C310" s="395"/>
      <c r="D310" s="396" t="str">
        <f>ROUNDUP(VLOOKUP(B310,CTTBA,'7.CT-TBA'!$T$25,0)/($L$2*1000),0)&amp;" chuyến x 25.000đ/chuyến"</f>
        <v>1 chuyến x 25.000đ/chuyến</v>
      </c>
      <c r="E310" s="396">
        <f>ROUNDUP(VLOOKUP(B310,CTTBA,'7.CT-TBA'!$T$25,0)/($L$2*1000),0)*25000</f>
        <v>25000</v>
      </c>
      <c r="F310" s="394"/>
      <c r="G310" s="333">
        <f>G304</f>
        <v>1</v>
      </c>
    </row>
    <row r="311" spans="1:8">
      <c r="A311" s="332" t="str">
        <f>"VC"&amp;B313</f>
        <v>VCVLDTR3P</v>
      </c>
      <c r="B311" s="389" t="s">
        <v>3244</v>
      </c>
      <c r="C311" s="390" t="s">
        <v>3285</v>
      </c>
      <c r="D311" s="391" t="str">
        <f>"Vận chuyển vật liệu "&amp;VLOOKUP(B311,CTTBA,'7.CT-TBA'!$E$25,0)</f>
        <v>Vận chuyển vật liệu 2 Trạm 3 pha di dời</v>
      </c>
      <c r="E311" s="391">
        <f>SUM(E312:E317)</f>
        <v>233636</v>
      </c>
      <c r="F311" s="392"/>
      <c r="G311" s="333">
        <f>IF(E311&lt;&gt;0,1,)</f>
        <v>1</v>
      </c>
    </row>
    <row r="312" spans="1:8">
      <c r="C312" s="393" t="s">
        <v>1415</v>
      </c>
      <c r="D312" s="394" t="s">
        <v>2557</v>
      </c>
      <c r="E312" s="394"/>
      <c r="F312" s="394"/>
      <c r="G312" s="333">
        <f>G311</f>
        <v>1</v>
      </c>
    </row>
    <row r="313" spans="1:8">
      <c r="B313" s="332" t="str">
        <f>"VL"&amp;B311</f>
        <v>VLDTR3P</v>
      </c>
      <c r="C313" s="395"/>
      <c r="D313" s="396" t="str">
        <f>ROUNDUP(VLOOKUP(B313,CTTBA,'7.CT-TBA'!$T$25,0)/($L$2*1000),0)&amp;" chuyến x "&amp;$L$2&amp;" tấn x "&amp;$E$2&amp;"km x "&amp;VLOOKUP($E$2,DGVCDD,$I$4,0)&amp;"đ/km"</f>
        <v>1 chuyến x 5 tấn x 10km x 2231đ/km</v>
      </c>
      <c r="E313" s="396">
        <f>ROUND(ROUNDUP(VLOOKUP(B313,CTTBA,'7.CT-TBA'!$T$25,0)/($L$2*1000),0)*$L$2*$E$2*VLOOKUP($E$2,DGVCDD,$I$4,0),0)</f>
        <v>111550</v>
      </c>
      <c r="F313" s="394"/>
      <c r="G313" s="333">
        <f>G311</f>
        <v>1</v>
      </c>
    </row>
    <row r="314" spans="1:8">
      <c r="C314" s="393" t="s">
        <v>1416</v>
      </c>
      <c r="D314" s="394" t="s">
        <v>2573</v>
      </c>
      <c r="E314" s="394"/>
      <c r="F314" s="394"/>
      <c r="G314" s="333">
        <f>G311</f>
        <v>1</v>
      </c>
    </row>
    <row r="315" spans="1:8">
      <c r="B315" s="332" t="str">
        <f>"VL"&amp;B311</f>
        <v>VLDTR3P</v>
      </c>
      <c r="C315" s="395"/>
      <c r="D315" s="396" t="str">
        <f>"2 x 0,05 ca/tấn x "&amp;ROUND(VLOOKUP(B315,CTTBA,'7.CT-TBA'!$T$25,0)/1000,1)&amp;" tấn x "&amp;VLOOKUP(H315,DGMTC,8,0)&amp;"đ/ca"</f>
        <v>2 x 0,05 ca/tấn x 0,7 tấn x 1386944đ/ca</v>
      </c>
      <c r="E315" s="396">
        <f>ROUND(2*0.05*ROUND(VLOOKUP(B315,CTTBA,'7.CT-TBA'!$T$25,0)/1000,1)*VLOOKUP(H315,DGMTC,8,0),0)</f>
        <v>97086</v>
      </c>
      <c r="F315" s="394"/>
      <c r="G315" s="333">
        <f>G311</f>
        <v>1</v>
      </c>
      <c r="H315" s="332" t="s">
        <v>898</v>
      </c>
    </row>
    <row r="316" spans="1:8">
      <c r="C316" s="393" t="s">
        <v>1417</v>
      </c>
      <c r="D316" s="394" t="s">
        <v>3380</v>
      </c>
      <c r="E316" s="394"/>
      <c r="F316" s="394"/>
      <c r="G316" s="333">
        <f>G311</f>
        <v>1</v>
      </c>
    </row>
    <row r="317" spans="1:8">
      <c r="B317" s="332" t="str">
        <f>"VL"&amp;B311</f>
        <v>VLDTR3P</v>
      </c>
      <c r="C317" s="395"/>
      <c r="D317" s="396" t="str">
        <f>ROUNDUP(VLOOKUP(B317,CTTBA,'7.CT-TBA'!$T$25,0)/($L$2*1000),0)&amp;" chuyến x 25.000đ/chuyến"</f>
        <v>1 chuyến x 25.000đ/chuyến</v>
      </c>
      <c r="E317" s="396">
        <f>ROUNDUP(VLOOKUP(B317,CTTBA,'7.CT-TBA'!$T$25,0)/($L$2*1000),0)*25000</f>
        <v>25000</v>
      </c>
      <c r="F317" s="394"/>
      <c r="G317" s="333">
        <f>G311</f>
        <v>1</v>
      </c>
    </row>
    <row r="318" spans="1:8">
      <c r="A318" s="332" t="str">
        <f>"VC"&amp;B320</f>
        <v>VCTBDTR3P</v>
      </c>
      <c r="B318" s="332" t="str">
        <f>B311</f>
        <v>DTR3P</v>
      </c>
      <c r="C318" s="390" t="s">
        <v>3286</v>
      </c>
      <c r="D318" s="391" t="str">
        <f>"Vận chuyển thiết bị "&amp;VLOOKUP(B318,CTTBA,'7.CT-TBA'!$E$25,0)</f>
        <v>Vận chuyển thiết bị 2 Trạm 3 pha di dời</v>
      </c>
      <c r="E318" s="391">
        <f>SUM(E319:E324)</f>
        <v>538764</v>
      </c>
      <c r="F318" s="392"/>
      <c r="G318" s="333">
        <f>IF(E318&lt;&gt;0,1,)</f>
        <v>1</v>
      </c>
    </row>
    <row r="319" spans="1:8">
      <c r="C319" s="393" t="s">
        <v>1415</v>
      </c>
      <c r="D319" s="394" t="s">
        <v>2559</v>
      </c>
      <c r="E319" s="394"/>
      <c r="F319" s="394"/>
      <c r="G319" s="333">
        <f>G318</f>
        <v>1</v>
      </c>
    </row>
    <row r="320" spans="1:8">
      <c r="B320" s="332" t="str">
        <f>"TB"&amp;B318</f>
        <v>TBDTR3P</v>
      </c>
      <c r="C320" s="395"/>
      <c r="D320" s="396" t="str">
        <f>ROUNDUP(VLOOKUP(B320,CTTBA,'7.CT-TBA'!$T$25,0)/($L$2*1000),0)&amp;" chuyến x "&amp;$L$2&amp;" tấn x "&amp;$E$2&amp;"km x "&amp;VLOOKUP($E$2,DGVCDD,$I$4,0)&amp;"đ/km"</f>
        <v>1 chuyến x 5 tấn x 10km x 2231đ/km</v>
      </c>
      <c r="E320" s="396">
        <f>ROUND(ROUNDUP(VLOOKUP(B320,CTTBA,'7.CT-TBA'!$T$25,0)/($L$2*1000),0)*$L$2*$E$2*VLOOKUP($E$2,DGVCDD,$I$4,0),0)</f>
        <v>111550</v>
      </c>
      <c r="F320" s="394"/>
      <c r="G320" s="333">
        <f>G318</f>
        <v>1</v>
      </c>
    </row>
    <row r="321" spans="1:8">
      <c r="C321" s="393" t="s">
        <v>1416</v>
      </c>
      <c r="D321" s="394" t="s">
        <v>2575</v>
      </c>
      <c r="E321" s="394"/>
      <c r="F321" s="394"/>
      <c r="G321" s="333">
        <f>G318</f>
        <v>1</v>
      </c>
    </row>
    <row r="322" spans="1:8">
      <c r="B322" s="332" t="str">
        <f>"TB"&amp;B318</f>
        <v>TBDTR3P</v>
      </c>
      <c r="C322" s="395"/>
      <c r="D322" s="396" t="str">
        <f>"2 x 0,05 ca/tấn x "&amp;ROUND(VLOOKUP(B322,CTTBA,'7.CT-TBA'!$T$25,0)/1000,1)&amp;" tấn x "&amp;VLOOKUP(H315,DGMTC,8,0)&amp;"đ/ca"</f>
        <v>2 x 0,05 ca/tấn x 2,9 tấn x 1386944đ/ca</v>
      </c>
      <c r="E322" s="396">
        <f>ROUND(2*0.05*ROUND(VLOOKUP(B322,CTTBA,'7.CT-TBA'!$T$25,0)/1000,1)*VLOOKUP(H322,DGMTC,8,0),0)</f>
        <v>402214</v>
      </c>
      <c r="F322" s="394"/>
      <c r="G322" s="333">
        <f>G318</f>
        <v>1</v>
      </c>
      <c r="H322" s="332" t="s">
        <v>898</v>
      </c>
    </row>
    <row r="323" spans="1:8">
      <c r="C323" s="393" t="s">
        <v>1417</v>
      </c>
      <c r="D323" s="394" t="s">
        <v>3379</v>
      </c>
      <c r="E323" s="394"/>
      <c r="F323" s="394"/>
      <c r="G323" s="333">
        <f>G318</f>
        <v>1</v>
      </c>
    </row>
    <row r="324" spans="1:8">
      <c r="B324" s="332" t="str">
        <f>"TB"&amp;B318</f>
        <v>TBDTR3P</v>
      </c>
      <c r="C324" s="395"/>
      <c r="D324" s="396" t="str">
        <f>ROUNDUP(VLOOKUP(B324,CTTBA,'7.CT-TBA'!$T$25,0)/($L$2*1000),0)&amp;" chuyến x 25.000đ/chuyến"</f>
        <v>1 chuyến x 25.000đ/chuyến</v>
      </c>
      <c r="E324" s="396">
        <f>ROUNDUP(VLOOKUP(B324,CTTBA,'7.CT-TBA'!$T$25,0)/($L$2*1000),0)*25000</f>
        <v>25000</v>
      </c>
      <c r="F324" s="394"/>
      <c r="G324" s="333">
        <f>G318</f>
        <v>1</v>
      </c>
    </row>
    <row r="325" spans="1:8" hidden="1">
      <c r="A325" s="332" t="str">
        <f>"VC"&amp;B327</f>
        <v>VCVLTRNC3X50</v>
      </c>
      <c r="B325" s="389" t="s">
        <v>2468</v>
      </c>
      <c r="C325" s="390" t="s">
        <v>1717</v>
      </c>
      <c r="D325" s="391" t="str">
        <f>"Vận chuyển vật liệu "&amp;VLOOKUP(B325,CTTBA,'7.CT-TBA'!$E$25,0)</f>
        <v>Vận chuyển vật liệu  Trạm NC từ 50kVA lên 3x50kVA</v>
      </c>
      <c r="E325" s="391">
        <f>SUM(E326:E331)</f>
        <v>0</v>
      </c>
      <c r="F325" s="392"/>
      <c r="G325" s="333">
        <f>IF(E325&lt;&gt;0,1,)</f>
        <v>0</v>
      </c>
    </row>
    <row r="326" spans="1:8" hidden="1">
      <c r="C326" s="393" t="s">
        <v>1415</v>
      </c>
      <c r="D326" s="394" t="s">
        <v>2557</v>
      </c>
      <c r="E326" s="394"/>
      <c r="F326" s="394"/>
      <c r="G326" s="333">
        <f>G325</f>
        <v>0</v>
      </c>
    </row>
    <row r="327" spans="1:8" hidden="1">
      <c r="B327" s="332" t="str">
        <f>"VL"&amp;B325</f>
        <v>VLTRNC3X50</v>
      </c>
      <c r="C327" s="395"/>
      <c r="D327" s="396" t="str">
        <f>ROUNDUP(VLOOKUP(B327,CTTBA,'7.CT-TBA'!$T$25,0)/($L$2*1000),0)&amp;" chuyến x "&amp;$L$2&amp;" tấn x "&amp;$E$2&amp;"km x "&amp;VLOOKUP($E$2,DGVCDD,$I$4,0)&amp;"đ/km"</f>
        <v>0 chuyến x 5 tấn x 10km x 2231đ/km</v>
      </c>
      <c r="E327" s="396">
        <f>ROUND(ROUNDUP(VLOOKUP(B327,CTTBA,'7.CT-TBA'!$T$25,0)/($L$2*1000),0)*$L$2*$E$2*VLOOKUP($E$2,DGVCDD,$I$4,0),0)</f>
        <v>0</v>
      </c>
      <c r="F327" s="394"/>
      <c r="G327" s="333">
        <f>G325</f>
        <v>0</v>
      </c>
    </row>
    <row r="328" spans="1:8" hidden="1">
      <c r="C328" s="393" t="s">
        <v>1416</v>
      </c>
      <c r="D328" s="394" t="s">
        <v>2573</v>
      </c>
      <c r="E328" s="394"/>
      <c r="F328" s="394"/>
      <c r="G328" s="333">
        <f>G325</f>
        <v>0</v>
      </c>
    </row>
    <row r="329" spans="1:8" hidden="1">
      <c r="B329" s="332" t="str">
        <f>"VL"&amp;B325</f>
        <v>VLTRNC3X50</v>
      </c>
      <c r="C329" s="395"/>
      <c r="D329" s="396" t="str">
        <f>"2 x 0,05 ca/tấn x "&amp;ROUND(VLOOKUP(B329,CTTBA,'7.CT-TBA'!$T$25,0)/1000,1)&amp;" tấn x "&amp;VLOOKUP(H329,DGMTC,8,0)&amp;"đ/ca"</f>
        <v>2 x 0,05 ca/tấn x 0 tấn x 1386944đ/ca</v>
      </c>
      <c r="E329" s="396">
        <f>ROUND(2*0.05*ROUND(VLOOKUP(B329,CTTBA,'7.CT-TBA'!$T$25,0)/1000,1)*VLOOKUP(H329,DGMTC,8,0),0)</f>
        <v>0</v>
      </c>
      <c r="F329" s="394"/>
      <c r="G329" s="333">
        <f>G325</f>
        <v>0</v>
      </c>
      <c r="H329" s="332" t="s">
        <v>898</v>
      </c>
    </row>
    <row r="330" spans="1:8" hidden="1">
      <c r="C330" s="393" t="s">
        <v>1417</v>
      </c>
      <c r="D330" s="394" t="s">
        <v>2558</v>
      </c>
      <c r="E330" s="394"/>
      <c r="F330" s="394"/>
      <c r="G330" s="333">
        <f>G325</f>
        <v>0</v>
      </c>
    </row>
    <row r="331" spans="1:8" hidden="1">
      <c r="B331" s="332" t="str">
        <f>"VL"&amp;B325</f>
        <v>VLTRNC3X50</v>
      </c>
      <c r="C331" s="395"/>
      <c r="D331" s="396" t="str">
        <f>ROUNDUP(VLOOKUP(B331,CTTBA,'7.CT-TBA'!$T$25,0)/($L$2*1000),0)&amp;" chuyến x 25.000đ/chuyến"</f>
        <v>0 chuyến x 25.000đ/chuyến</v>
      </c>
      <c r="E331" s="396">
        <f>ROUNDUP(VLOOKUP(B331,CTTBA,'7.CT-TBA'!$T$25,0)/($L$2*1000),0)*25000</f>
        <v>0</v>
      </c>
      <c r="F331" s="394"/>
      <c r="G331" s="333">
        <f>G325</f>
        <v>0</v>
      </c>
    </row>
    <row r="332" spans="1:8" hidden="1">
      <c r="A332" s="332" t="str">
        <f>"VC"&amp;B334</f>
        <v>VCTBTRNC3X50</v>
      </c>
      <c r="B332" s="332" t="str">
        <f>B325</f>
        <v>TRNC3X50</v>
      </c>
      <c r="C332" s="390" t="s">
        <v>1729</v>
      </c>
      <c r="D332" s="391" t="str">
        <f>"Vận chuyển thiết bị "&amp;VLOOKUP(B332,CTTBA,'7.CT-TBA'!$E$25,0)</f>
        <v>Vận chuyển thiết bị  Trạm NC từ 50kVA lên 3x50kVA</v>
      </c>
      <c r="E332" s="391">
        <f>SUM(E333:E338)</f>
        <v>0</v>
      </c>
      <c r="F332" s="392"/>
      <c r="G332" s="333">
        <f>IF(E332&lt;&gt;0,1,)</f>
        <v>0</v>
      </c>
    </row>
    <row r="333" spans="1:8" hidden="1">
      <c r="C333" s="393" t="s">
        <v>1415</v>
      </c>
      <c r="D333" s="394" t="s">
        <v>2559</v>
      </c>
      <c r="E333" s="394"/>
      <c r="F333" s="394"/>
      <c r="G333" s="333">
        <f>G332</f>
        <v>0</v>
      </c>
    </row>
    <row r="334" spans="1:8" hidden="1">
      <c r="B334" s="332" t="str">
        <f>"TB"&amp;B332</f>
        <v>TBTRNC3X50</v>
      </c>
      <c r="C334" s="395"/>
      <c r="D334" s="396" t="str">
        <f>ROUNDUP(VLOOKUP(B334,CTTBA,'7.CT-TBA'!$T$25,0)/($L$2*1000),0)&amp;" chuyến x "&amp;$L$2&amp;" tấn x "&amp;$E$2&amp;"km x "&amp;VLOOKUP($E$2,DGVCDD,$I$4,0)&amp;"đ/km"</f>
        <v>0 chuyến x 5 tấn x 10km x 2231đ/km</v>
      </c>
      <c r="E334" s="396">
        <f>ROUND(ROUNDUP(VLOOKUP(B334,CTTBA,'7.CT-TBA'!$T$25,0)/($L$2*1000),0)*$L$2*$E$2*VLOOKUP($E$2,DGVCDD,$I$4,0),0)</f>
        <v>0</v>
      </c>
      <c r="F334" s="394"/>
      <c r="G334" s="333">
        <f>G332</f>
        <v>0</v>
      </c>
    </row>
    <row r="335" spans="1:8" hidden="1">
      <c r="C335" s="393" t="s">
        <v>1416</v>
      </c>
      <c r="D335" s="394" t="s">
        <v>2575</v>
      </c>
      <c r="E335" s="394"/>
      <c r="F335" s="394"/>
      <c r="G335" s="333">
        <f>G332</f>
        <v>0</v>
      </c>
    </row>
    <row r="336" spans="1:8" hidden="1">
      <c r="B336" s="332" t="str">
        <f>"TB"&amp;B332</f>
        <v>TBTRNC3X50</v>
      </c>
      <c r="C336" s="395"/>
      <c r="D336" s="396" t="str">
        <f>"2 x 0,05 ca/tấn x "&amp;ROUND(VLOOKUP(B336,CTTBA,'7.CT-TBA'!$T$25,0)/1000,1)&amp;" tấn x "&amp;VLOOKUP(H329,DGMTC,8,0)&amp;"đ/ca"</f>
        <v>2 x 0,05 ca/tấn x 0 tấn x 1386944đ/ca</v>
      </c>
      <c r="E336" s="396">
        <f>ROUND(2*0.05*ROUND(VLOOKUP(B336,CTTBA,'7.CT-TBA'!$T$25,0)/1000,1)*VLOOKUP(H336,DGMTC,8,0),0)</f>
        <v>0</v>
      </c>
      <c r="F336" s="394"/>
      <c r="G336" s="333">
        <f>G332</f>
        <v>0</v>
      </c>
      <c r="H336" s="332" t="s">
        <v>898</v>
      </c>
    </row>
    <row r="337" spans="2:14" hidden="1">
      <c r="C337" s="393" t="s">
        <v>1417</v>
      </c>
      <c r="D337" s="394" t="s">
        <v>2554</v>
      </c>
      <c r="E337" s="394"/>
      <c r="F337" s="394"/>
      <c r="G337" s="333">
        <f>G332</f>
        <v>0</v>
      </c>
    </row>
    <row r="338" spans="2:14" hidden="1">
      <c r="B338" s="332" t="str">
        <f>"TB"&amp;B332</f>
        <v>TBTRNC3X50</v>
      </c>
      <c r="C338" s="395"/>
      <c r="D338" s="396" t="str">
        <f>ROUNDUP(VLOOKUP(B338,CTTBA,'7.CT-TBA'!$T$25,0)/($L$2*1000),0)&amp;" chuyến x 25.000đ/chuyến"</f>
        <v>0 chuyến x 25.000đ/chuyến</v>
      </c>
      <c r="E338" s="396">
        <f>ROUNDUP(VLOOKUP(B338,CTTBA,'7.CT-TBA'!$T$25,0)/($L$2*1000),0)*25000</f>
        <v>0</v>
      </c>
      <c r="F338" s="394"/>
      <c r="G338" s="333">
        <f>G332</f>
        <v>0</v>
      </c>
    </row>
    <row r="341" spans="2:14">
      <c r="J341" s="397">
        <v>1</v>
      </c>
      <c r="K341" s="397">
        <v>2</v>
      </c>
      <c r="L341" s="397">
        <v>3</v>
      </c>
      <c r="M341" s="397">
        <v>4</v>
      </c>
      <c r="N341" s="397">
        <v>5</v>
      </c>
    </row>
    <row r="342" spans="2:14">
      <c r="J342" s="398" t="s">
        <v>730</v>
      </c>
      <c r="K342" s="398"/>
      <c r="L342" s="398"/>
      <c r="M342" s="398"/>
      <c r="N342" s="398" t="s">
        <v>2560</v>
      </c>
    </row>
    <row r="343" spans="2:14">
      <c r="J343" s="393"/>
      <c r="K343" s="393" t="s">
        <v>1631</v>
      </c>
      <c r="L343" s="393" t="s">
        <v>1663</v>
      </c>
      <c r="M343" s="393" t="s">
        <v>1673</v>
      </c>
      <c r="N343" s="393" t="s">
        <v>1717</v>
      </c>
    </row>
    <row r="344" spans="2:14">
      <c r="J344" s="393">
        <v>1</v>
      </c>
      <c r="K344" s="394">
        <v>5600</v>
      </c>
      <c r="L344" s="394"/>
      <c r="M344" s="394"/>
      <c r="N344" s="394">
        <v>4798</v>
      </c>
    </row>
    <row r="345" spans="2:14">
      <c r="J345" s="393">
        <v>2</v>
      </c>
      <c r="K345" s="394">
        <v>3100</v>
      </c>
      <c r="L345" s="394"/>
      <c r="M345" s="394"/>
      <c r="N345" s="394">
        <v>2656</v>
      </c>
    </row>
    <row r="346" spans="2:14">
      <c r="J346" s="393">
        <v>3</v>
      </c>
      <c r="K346" s="394">
        <v>2230</v>
      </c>
      <c r="L346" s="394"/>
      <c r="M346" s="394"/>
      <c r="N346" s="394">
        <v>1911</v>
      </c>
    </row>
    <row r="347" spans="2:14">
      <c r="J347" s="393">
        <v>4</v>
      </c>
      <c r="K347" s="394">
        <v>1825</v>
      </c>
      <c r="L347" s="394"/>
      <c r="M347" s="394"/>
      <c r="N347" s="394">
        <v>1564</v>
      </c>
    </row>
    <row r="348" spans="2:14">
      <c r="J348" s="393">
        <v>5</v>
      </c>
      <c r="K348" s="394">
        <v>1600</v>
      </c>
      <c r="L348" s="394"/>
      <c r="M348" s="394"/>
      <c r="N348" s="394">
        <v>1371</v>
      </c>
    </row>
    <row r="349" spans="2:14">
      <c r="J349" s="393">
        <v>6</v>
      </c>
      <c r="K349" s="394">
        <v>1446</v>
      </c>
      <c r="L349" s="394"/>
      <c r="M349" s="394"/>
      <c r="N349" s="394">
        <v>1239</v>
      </c>
    </row>
    <row r="350" spans="2:14">
      <c r="J350" s="393">
        <v>7</v>
      </c>
      <c r="K350" s="394">
        <v>1333</v>
      </c>
      <c r="L350" s="394"/>
      <c r="M350" s="394"/>
      <c r="N350" s="394">
        <v>1142</v>
      </c>
    </row>
    <row r="351" spans="2:14">
      <c r="J351" s="393">
        <v>8</v>
      </c>
      <c r="K351" s="394">
        <v>1245</v>
      </c>
      <c r="L351" s="394"/>
      <c r="M351" s="394"/>
      <c r="N351" s="394">
        <v>1067</v>
      </c>
    </row>
    <row r="352" spans="2:14">
      <c r="J352" s="393">
        <v>9</v>
      </c>
      <c r="K352" s="394">
        <v>1173</v>
      </c>
      <c r="L352" s="394"/>
      <c r="M352" s="394"/>
      <c r="N352" s="394">
        <v>1005</v>
      </c>
    </row>
    <row r="353" spans="10:14">
      <c r="J353" s="393">
        <v>10</v>
      </c>
      <c r="K353" s="394">
        <v>1114</v>
      </c>
      <c r="L353" s="394"/>
      <c r="M353" s="394"/>
      <c r="N353" s="394">
        <v>2231</v>
      </c>
    </row>
    <row r="354" spans="10:14">
      <c r="J354" s="393">
        <v>11</v>
      </c>
      <c r="K354" s="394">
        <v>1063</v>
      </c>
      <c r="L354" s="394"/>
      <c r="M354" s="394"/>
      <c r="N354" s="394">
        <v>911</v>
      </c>
    </row>
    <row r="355" spans="10:14">
      <c r="J355" s="393">
        <v>12</v>
      </c>
      <c r="K355" s="394">
        <v>1016</v>
      </c>
      <c r="L355" s="394"/>
      <c r="M355" s="394"/>
      <c r="N355" s="394">
        <v>870</v>
      </c>
    </row>
    <row r="356" spans="10:14">
      <c r="J356" s="393">
        <v>13</v>
      </c>
      <c r="K356" s="394">
        <v>968</v>
      </c>
      <c r="L356" s="394"/>
      <c r="M356" s="394"/>
      <c r="N356" s="394">
        <v>829</v>
      </c>
    </row>
    <row r="357" spans="10:14">
      <c r="J357" s="393">
        <v>14</v>
      </c>
      <c r="K357" s="394">
        <v>924</v>
      </c>
      <c r="L357" s="394"/>
      <c r="M357" s="394"/>
      <c r="N357" s="394">
        <v>792</v>
      </c>
    </row>
    <row r="358" spans="10:14">
      <c r="J358" s="393">
        <v>15</v>
      </c>
      <c r="K358" s="394">
        <v>883</v>
      </c>
      <c r="L358" s="394"/>
      <c r="M358" s="394"/>
      <c r="N358" s="394">
        <v>1768</v>
      </c>
    </row>
    <row r="359" spans="10:14">
      <c r="J359" s="393">
        <v>16</v>
      </c>
      <c r="K359" s="394">
        <v>846</v>
      </c>
      <c r="L359" s="394"/>
      <c r="M359" s="394"/>
      <c r="N359" s="394">
        <v>725</v>
      </c>
    </row>
    <row r="360" spans="10:14">
      <c r="J360" s="393">
        <v>17</v>
      </c>
      <c r="K360" s="394">
        <v>820</v>
      </c>
      <c r="L360" s="394"/>
      <c r="M360" s="394"/>
      <c r="N360" s="394">
        <v>703</v>
      </c>
    </row>
    <row r="361" spans="10:14">
      <c r="J361" s="393">
        <v>18</v>
      </c>
      <c r="K361" s="394">
        <v>799</v>
      </c>
      <c r="L361" s="394"/>
      <c r="M361" s="394"/>
      <c r="N361" s="394">
        <v>68</v>
      </c>
    </row>
    <row r="362" spans="10:14">
      <c r="J362" s="393">
        <v>19</v>
      </c>
      <c r="K362" s="394">
        <v>776</v>
      </c>
      <c r="L362" s="394"/>
      <c r="M362" s="394"/>
      <c r="N362" s="394">
        <v>665</v>
      </c>
    </row>
    <row r="363" spans="10:14">
      <c r="J363" s="393">
        <v>20</v>
      </c>
      <c r="K363" s="394">
        <v>750</v>
      </c>
      <c r="L363" s="394"/>
      <c r="M363" s="394"/>
      <c r="N363" s="394">
        <v>2177</v>
      </c>
    </row>
    <row r="364" spans="10:14">
      <c r="J364" s="393">
        <v>21</v>
      </c>
      <c r="K364" s="394">
        <v>720</v>
      </c>
      <c r="L364" s="394"/>
      <c r="M364" s="394"/>
      <c r="N364" s="394">
        <v>617</v>
      </c>
    </row>
    <row r="365" spans="10:14">
      <c r="J365" s="393">
        <v>22</v>
      </c>
      <c r="K365" s="394">
        <v>692</v>
      </c>
      <c r="L365" s="394"/>
      <c r="M365" s="394"/>
      <c r="N365" s="394">
        <v>593</v>
      </c>
    </row>
    <row r="366" spans="10:14">
      <c r="J366" s="393">
        <v>23</v>
      </c>
      <c r="K366" s="394">
        <v>667</v>
      </c>
      <c r="L366" s="394"/>
      <c r="M366" s="394"/>
      <c r="N366" s="394">
        <v>572</v>
      </c>
    </row>
    <row r="367" spans="10:14">
      <c r="J367" s="393">
        <v>24</v>
      </c>
      <c r="K367" s="394">
        <v>645</v>
      </c>
      <c r="L367" s="394"/>
      <c r="M367" s="394"/>
      <c r="N367" s="394">
        <v>553</v>
      </c>
    </row>
    <row r="368" spans="10:14">
      <c r="J368" s="393">
        <v>25</v>
      </c>
      <c r="K368" s="394">
        <v>624</v>
      </c>
      <c r="L368" s="394"/>
      <c r="M368" s="394"/>
      <c r="N368" s="394">
        <v>1812</v>
      </c>
    </row>
    <row r="369" spans="10:14">
      <c r="J369" s="393">
        <v>26</v>
      </c>
      <c r="K369" s="394">
        <v>604</v>
      </c>
      <c r="L369" s="394"/>
      <c r="M369" s="394"/>
      <c r="N369" s="394">
        <v>518</v>
      </c>
    </row>
    <row r="370" spans="10:14">
      <c r="J370" s="393">
        <v>27</v>
      </c>
      <c r="K370" s="394">
        <v>584</v>
      </c>
      <c r="L370" s="394"/>
      <c r="M370" s="394"/>
      <c r="N370" s="394">
        <v>500</v>
      </c>
    </row>
    <row r="371" spans="10:14">
      <c r="J371" s="393">
        <v>28</v>
      </c>
      <c r="K371" s="394">
        <v>564</v>
      </c>
      <c r="L371" s="394"/>
      <c r="M371" s="394"/>
      <c r="N371" s="394">
        <v>483</v>
      </c>
    </row>
    <row r="372" spans="10:14">
      <c r="J372" s="393">
        <v>29</v>
      </c>
      <c r="K372" s="394">
        <v>545</v>
      </c>
      <c r="L372" s="394"/>
      <c r="M372" s="394"/>
      <c r="N372" s="394">
        <v>467</v>
      </c>
    </row>
    <row r="373" spans="10:14">
      <c r="J373" s="393">
        <v>30</v>
      </c>
      <c r="K373" s="394">
        <v>528</v>
      </c>
      <c r="L373" s="394"/>
      <c r="M373" s="394"/>
      <c r="N373" s="394">
        <v>1057</v>
      </c>
    </row>
    <row r="374" spans="10:14">
      <c r="J374" s="393">
        <v>31</v>
      </c>
      <c r="K374" s="394">
        <v>512</v>
      </c>
      <c r="L374" s="394"/>
      <c r="M374" s="394"/>
      <c r="N374" s="394">
        <v>438</v>
      </c>
    </row>
    <row r="375" spans="10:14">
      <c r="J375" s="393">
        <v>35</v>
      </c>
      <c r="K375" s="394">
        <v>512</v>
      </c>
      <c r="L375" s="394"/>
      <c r="M375" s="394"/>
      <c r="N375" s="394">
        <v>1501</v>
      </c>
    </row>
    <row r="376" spans="10:14">
      <c r="J376" s="393">
        <v>36</v>
      </c>
      <c r="K376" s="394">
        <v>498</v>
      </c>
      <c r="L376" s="394"/>
      <c r="M376" s="394"/>
      <c r="N376" s="394">
        <v>427</v>
      </c>
    </row>
    <row r="377" spans="10:14">
      <c r="J377" s="393">
        <v>40</v>
      </c>
      <c r="K377" s="394">
        <v>498</v>
      </c>
      <c r="L377" s="394"/>
      <c r="M377" s="394"/>
      <c r="N377" s="394">
        <v>1460</v>
      </c>
    </row>
    <row r="378" spans="10:14">
      <c r="J378" s="393">
        <v>41</v>
      </c>
      <c r="K378" s="394">
        <v>487</v>
      </c>
      <c r="L378" s="394"/>
      <c r="M378" s="394"/>
      <c r="N378" s="394">
        <v>418</v>
      </c>
    </row>
    <row r="379" spans="10:14">
      <c r="J379" s="393">
        <v>45</v>
      </c>
      <c r="K379" s="394">
        <v>487</v>
      </c>
      <c r="L379" s="394"/>
      <c r="M379" s="394"/>
      <c r="N379" s="394">
        <v>1447</v>
      </c>
    </row>
    <row r="380" spans="10:14">
      <c r="J380" s="393">
        <v>46</v>
      </c>
      <c r="K380" s="394">
        <v>477</v>
      </c>
      <c r="L380" s="394"/>
      <c r="M380" s="394"/>
      <c r="N380" s="394">
        <v>409</v>
      </c>
    </row>
    <row r="381" spans="10:14">
      <c r="J381" s="393">
        <v>50</v>
      </c>
      <c r="K381" s="394">
        <v>477</v>
      </c>
      <c r="L381" s="394"/>
      <c r="M381" s="394"/>
      <c r="N381" s="394">
        <v>1430</v>
      </c>
    </row>
    <row r="382" spans="10:14">
      <c r="J382" s="393">
        <v>51</v>
      </c>
      <c r="K382" s="394">
        <v>468</v>
      </c>
      <c r="L382" s="394"/>
      <c r="M382" s="394"/>
      <c r="N382" s="394">
        <v>401</v>
      </c>
    </row>
    <row r="383" spans="10:14">
      <c r="J383" s="393">
        <v>55</v>
      </c>
      <c r="K383" s="394">
        <v>468</v>
      </c>
      <c r="L383" s="394"/>
      <c r="M383" s="394"/>
      <c r="N383" s="394">
        <v>1359</v>
      </c>
    </row>
    <row r="384" spans="10:14">
      <c r="J384" s="393">
        <v>56</v>
      </c>
      <c r="K384" s="394">
        <v>460</v>
      </c>
      <c r="L384" s="394"/>
      <c r="M384" s="394"/>
      <c r="N384" s="394">
        <v>394</v>
      </c>
    </row>
    <row r="385" spans="10:14">
      <c r="J385" s="393">
        <v>60</v>
      </c>
      <c r="K385" s="394">
        <v>460</v>
      </c>
      <c r="L385" s="394"/>
      <c r="M385" s="394"/>
      <c r="N385" s="394">
        <v>1336</v>
      </c>
    </row>
    <row r="386" spans="10:14">
      <c r="J386" s="393">
        <v>61</v>
      </c>
      <c r="K386" s="394">
        <v>453</v>
      </c>
      <c r="L386" s="394"/>
      <c r="M386" s="394"/>
      <c r="N386" s="394">
        <v>388</v>
      </c>
    </row>
    <row r="387" spans="10:14">
      <c r="J387" s="393">
        <v>70</v>
      </c>
      <c r="K387" s="394">
        <v>453</v>
      </c>
      <c r="L387" s="394"/>
      <c r="M387" s="394"/>
      <c r="N387" s="394">
        <v>388</v>
      </c>
    </row>
    <row r="388" spans="10:14">
      <c r="J388" s="393">
        <v>71</v>
      </c>
      <c r="K388" s="394">
        <v>447</v>
      </c>
      <c r="L388" s="394"/>
      <c r="M388" s="394"/>
      <c r="N388" s="394">
        <v>609</v>
      </c>
    </row>
    <row r="389" spans="10:14">
      <c r="J389" s="393">
        <v>80</v>
      </c>
      <c r="K389" s="394">
        <v>447</v>
      </c>
      <c r="L389" s="394"/>
      <c r="M389" s="394"/>
      <c r="N389" s="394">
        <v>609</v>
      </c>
    </row>
    <row r="390" spans="10:14">
      <c r="J390" s="393">
        <v>81</v>
      </c>
      <c r="K390" s="394">
        <v>442</v>
      </c>
      <c r="L390" s="394"/>
      <c r="M390" s="394"/>
      <c r="N390" s="394">
        <v>379</v>
      </c>
    </row>
    <row r="391" spans="10:14">
      <c r="J391" s="393">
        <v>90</v>
      </c>
      <c r="K391" s="394">
        <v>442</v>
      </c>
      <c r="L391" s="394"/>
      <c r="M391" s="394"/>
      <c r="N391" s="394">
        <v>379</v>
      </c>
    </row>
    <row r="392" spans="10:14">
      <c r="J392" s="393">
        <v>91</v>
      </c>
      <c r="K392" s="394">
        <v>438</v>
      </c>
      <c r="L392" s="394"/>
      <c r="M392" s="394"/>
      <c r="N392" s="394">
        <v>375</v>
      </c>
    </row>
    <row r="393" spans="10:14">
      <c r="J393" s="393">
        <v>100</v>
      </c>
      <c r="K393" s="394">
        <v>438</v>
      </c>
      <c r="L393" s="394"/>
      <c r="M393" s="394"/>
      <c r="N393" s="394">
        <v>375</v>
      </c>
    </row>
    <row r="394" spans="10:14">
      <c r="J394" s="393">
        <v>101</v>
      </c>
      <c r="K394" s="394">
        <v>435</v>
      </c>
      <c r="L394" s="394"/>
      <c r="M394" s="394"/>
      <c r="N394" s="394">
        <v>563</v>
      </c>
    </row>
  </sheetData>
  <autoFilter ref="G8:G338" xr:uid="{00000000-0009-0000-0000-00000E000000}">
    <filterColumn colId="0">
      <customFilters>
        <customFilter operator="notEqual" val=" "/>
      </customFilters>
    </filterColumn>
  </autoFilter>
  <printOptions horizontalCentered="1"/>
  <pageMargins left="0.78740157480314998" right="0.39370078740157499" top="0.39370078740157499" bottom="0.39370078740157499" header="0.31496062992126" footer="0.31496062992126"/>
  <pageSetup paperSize="9" scale="95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Q12"/>
  <sheetViews>
    <sheetView view="pageBreakPreview" zoomScaleNormal="100" zoomScaleSheetLayoutView="100" workbookViewId="0">
      <selection activeCell="F43" sqref="F43"/>
    </sheetView>
  </sheetViews>
  <sheetFormatPr defaultRowHeight="14.4"/>
  <cols>
    <col min="1" max="1" width="7.5546875" customWidth="1"/>
    <col min="2" max="2" width="41.109375" customWidth="1"/>
    <col min="4" max="4" width="15.88671875" customWidth="1"/>
    <col min="5" max="5" width="10.44140625" customWidth="1"/>
    <col min="8" max="10" width="20.44140625" customWidth="1"/>
    <col min="14" max="17" width="16.6640625" customWidth="1"/>
  </cols>
  <sheetData>
    <row r="3" spans="1:17" ht="22.5" customHeight="1">
      <c r="A3" s="1044" t="s">
        <v>4011</v>
      </c>
      <c r="B3" s="1044"/>
      <c r="C3" s="1044"/>
      <c r="D3" s="1044"/>
      <c r="E3" s="1044"/>
    </row>
    <row r="4" spans="1:17" ht="22.5" customHeight="1">
      <c r="A4" s="1044"/>
      <c r="B4" s="1044"/>
      <c r="C4" s="1044"/>
      <c r="D4" s="1044"/>
      <c r="E4" s="1044"/>
      <c r="H4" s="206"/>
      <c r="I4" s="206"/>
      <c r="J4" s="206"/>
      <c r="K4" s="206"/>
      <c r="L4" s="206"/>
      <c r="M4" s="1042" t="s">
        <v>2473</v>
      </c>
      <c r="N4" s="1042"/>
      <c r="O4" s="1042"/>
      <c r="P4" s="1042"/>
      <c r="Q4" s="1042"/>
    </row>
    <row r="5" spans="1:17" ht="16.2">
      <c r="A5" s="194"/>
      <c r="B5" s="1041"/>
      <c r="C5" s="1041"/>
      <c r="D5" s="1041"/>
      <c r="E5" s="194"/>
      <c r="H5" s="1043" t="s">
        <v>2413</v>
      </c>
      <c r="I5" s="1043"/>
      <c r="J5" s="1043"/>
      <c r="K5" s="206"/>
      <c r="L5" s="206"/>
      <c r="M5" s="207"/>
      <c r="N5" s="207"/>
      <c r="O5" s="206"/>
      <c r="P5" s="206"/>
      <c r="Q5" s="206"/>
    </row>
    <row r="6" spans="1:17" ht="15.6">
      <c r="A6" s="195" t="s">
        <v>2407</v>
      </c>
      <c r="B6" s="196" t="s">
        <v>2408</v>
      </c>
      <c r="C6" s="195" t="s">
        <v>2409</v>
      </c>
      <c r="D6" s="197">
        <f>+D8</f>
        <v>466174546</v>
      </c>
      <c r="E6" s="198" t="s">
        <v>2410</v>
      </c>
      <c r="H6" s="208" t="s">
        <v>2414</v>
      </c>
      <c r="I6" s="208" t="s">
        <v>2415</v>
      </c>
      <c r="J6" s="208" t="s">
        <v>2416</v>
      </c>
      <c r="K6" s="206"/>
      <c r="L6" s="209"/>
      <c r="M6" s="210"/>
      <c r="N6" s="211"/>
      <c r="O6" s="211"/>
      <c r="P6" s="211"/>
      <c r="Q6" s="211" t="s">
        <v>2417</v>
      </c>
    </row>
    <row r="7" spans="1:17" ht="15.6">
      <c r="A7" s="194"/>
      <c r="B7" s="199" t="str">
        <f>"= "&amp;ROUND(Q9,3)&amp;"% x (Gxd + Gtb) trước thuế x 1,1 "</f>
        <v xml:space="preserve">= 4,09% x (Gxd + Gtb) trước thuế x 1,1 </v>
      </c>
      <c r="C7" s="194"/>
      <c r="D7" s="200"/>
      <c r="E7" s="201"/>
      <c r="H7" s="212">
        <f>I7+J7</f>
        <v>10361736968</v>
      </c>
      <c r="I7" s="213">
        <f>'2.TCP-XD'!F6</f>
        <v>8522689679</v>
      </c>
      <c r="J7" s="213">
        <f>'2.TCP-XD'!F89</f>
        <v>1839047289</v>
      </c>
      <c r="K7" s="206"/>
      <c r="L7" s="214"/>
      <c r="M7" s="208" t="s">
        <v>1774</v>
      </c>
      <c r="N7" s="215">
        <v>3000000000</v>
      </c>
      <c r="O7" s="215">
        <v>7000000000</v>
      </c>
      <c r="P7" s="215">
        <v>15000000000</v>
      </c>
      <c r="Q7" s="216">
        <f>H7</f>
        <v>10361736968</v>
      </c>
    </row>
    <row r="8" spans="1:17" ht="15.6">
      <c r="A8" s="194"/>
      <c r="B8" s="202" t="str">
        <f>"= "&amp;ROUND(Q9,3)&amp;"% x "&amp;TEXT(H7,"#.###")&amp;" đ x 1,1  "</f>
        <v xml:space="preserve">= 4,09% x 10.361.736.968 đ x 1,1  </v>
      </c>
      <c r="C8" s="194" t="s">
        <v>2409</v>
      </c>
      <c r="D8" s="200">
        <f>ROUND(Q9/100*H7*1.1,0)</f>
        <v>466174546</v>
      </c>
      <c r="E8" s="201" t="s">
        <v>2410</v>
      </c>
      <c r="H8" s="217"/>
      <c r="I8" s="218"/>
      <c r="J8" s="218"/>
      <c r="K8" s="206"/>
      <c r="L8" s="214"/>
      <c r="M8" s="208"/>
      <c r="N8" s="208"/>
      <c r="O8" s="215"/>
      <c r="P8" s="215"/>
      <c r="Q8" s="216"/>
    </row>
    <row r="9" spans="1:17" ht="15.6">
      <c r="A9" s="194"/>
      <c r="B9" s="203" t="s">
        <v>2411</v>
      </c>
      <c r="C9" s="194"/>
      <c r="D9" s="204"/>
      <c r="E9" s="194"/>
      <c r="H9" s="219" t="s">
        <v>2418</v>
      </c>
      <c r="I9" s="220"/>
      <c r="J9" s="219"/>
      <c r="K9" s="206"/>
      <c r="L9" s="206"/>
      <c r="M9" s="208" t="s">
        <v>2419</v>
      </c>
      <c r="N9" s="221">
        <v>4.8</v>
      </c>
      <c r="O9" s="221">
        <v>4.3</v>
      </c>
      <c r="P9" s="221">
        <v>3.8</v>
      </c>
      <c r="Q9" s="222">
        <f>IF(Q7&lt;=N7,N9,IF(Q7&lt;=O7,ROUND(N9-(N9-O9)*(Q7-N7)/(O7-N7),3),IF(Q7&lt;=P7,ROUND(O9-(O9-P9)*(Q7-O7)/(P7-O7),3),)))</f>
        <v>4.09</v>
      </c>
    </row>
    <row r="10" spans="1:17" ht="15.6">
      <c r="A10" s="194"/>
      <c r="B10" s="205" t="str">
        <f>"  + "&amp;ROUND(Q9,3)&amp;"% là hệ số nội suy theo QĐ 79/QĐ- BXD"</f>
        <v xml:space="preserve">  + 4,09% là hệ số nội suy theo QĐ 79/QĐ- BXD</v>
      </c>
      <c r="C10" s="206"/>
      <c r="D10" s="206"/>
      <c r="E10" s="194"/>
    </row>
    <row r="11" spans="1:17" ht="15.6">
      <c r="A11" s="194"/>
      <c r="B11" s="205" t="str">
        <f>"  + Vốn XD+TB trước thuế  =  "&amp;TEXT(H7,"# ### ### ###")&amp;" VNĐ"</f>
        <v xml:space="preserve">  + Vốn XD+TB trước thuế  =  10 361 736 968 VNĐ</v>
      </c>
      <c r="C11" s="206"/>
      <c r="D11" s="206"/>
      <c r="E11" s="194"/>
    </row>
    <row r="12" spans="1:17" ht="15.6">
      <c r="A12" s="194"/>
      <c r="B12" s="205" t="s">
        <v>2412</v>
      </c>
      <c r="C12" s="206"/>
      <c r="D12" s="206"/>
      <c r="E12" s="194"/>
    </row>
  </sheetData>
  <mergeCells count="4">
    <mergeCell ref="B5:D5"/>
    <mergeCell ref="M4:Q4"/>
    <mergeCell ref="H5:J5"/>
    <mergeCell ref="A3:E4"/>
  </mergeCells>
  <printOptions horizontalCentered="1"/>
  <pageMargins left="0.78740157480314965" right="0.19685039370078741" top="0.39370078740157483" bottom="0.39370078740157483" header="0.31496062992125984" footer="0.31496062992125984"/>
  <pageSetup paperSize="9" orientation="portrait" blackAndWhite="1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3:F12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4"/>
    <col min="2" max="2" width="8" style="4" customWidth="1"/>
    <col min="3" max="3" width="44.44140625" style="4" customWidth="1"/>
    <col min="4" max="4" width="11.109375" style="4" customWidth="1"/>
    <col min="5" max="5" width="25.44140625" style="4" customWidth="1"/>
    <col min="6" max="6" width="17.109375" style="4" customWidth="1"/>
    <col min="7" max="16384" width="9.109375" style="4"/>
  </cols>
  <sheetData>
    <row r="3" spans="2:6" s="18" customFormat="1">
      <c r="B3" s="59" t="s">
        <v>4012</v>
      </c>
      <c r="C3" s="59"/>
      <c r="D3" s="59"/>
      <c r="E3" s="59"/>
      <c r="F3" s="59"/>
    </row>
    <row r="5" spans="2:6">
      <c r="B5" s="58" t="s">
        <v>1763</v>
      </c>
      <c r="C5" s="58" t="s">
        <v>1958</v>
      </c>
      <c r="D5" s="58" t="s">
        <v>1840</v>
      </c>
      <c r="E5" s="58" t="s">
        <v>1841</v>
      </c>
      <c r="F5" s="58" t="s">
        <v>1627</v>
      </c>
    </row>
    <row r="6" spans="2:6">
      <c r="B6" s="40" t="s">
        <v>1631</v>
      </c>
      <c r="C6" s="41" t="s">
        <v>2458</v>
      </c>
      <c r="D6" s="40" t="s">
        <v>1630</v>
      </c>
      <c r="E6" s="40" t="s">
        <v>2425</v>
      </c>
      <c r="F6" s="31">
        <f>'16.CTKS'!G27</f>
        <v>9469321</v>
      </c>
    </row>
    <row r="7" spans="2:6">
      <c r="B7" s="40" t="s">
        <v>1663</v>
      </c>
      <c r="C7" s="41" t="s">
        <v>2459</v>
      </c>
      <c r="D7" s="40" t="s">
        <v>2426</v>
      </c>
      <c r="E7" s="40" t="s">
        <v>2425</v>
      </c>
      <c r="F7" s="31">
        <f>'16.CTKS'!H27</f>
        <v>5926880</v>
      </c>
    </row>
    <row r="8" spans="2:6">
      <c r="B8" s="40" t="s">
        <v>1673</v>
      </c>
      <c r="C8" s="41" t="s">
        <v>2460</v>
      </c>
      <c r="D8" s="40" t="s">
        <v>1774</v>
      </c>
      <c r="E8" s="40" t="s">
        <v>3402</v>
      </c>
      <c r="F8" s="31">
        <f>ROUND(70%*F6,0)</f>
        <v>6628525</v>
      </c>
    </row>
    <row r="9" spans="2:6">
      <c r="B9" s="40" t="s">
        <v>1673</v>
      </c>
      <c r="C9" s="41" t="s">
        <v>2461</v>
      </c>
      <c r="D9" s="40" t="s">
        <v>1863</v>
      </c>
      <c r="E9" s="40" t="s">
        <v>2427</v>
      </c>
      <c r="F9" s="31">
        <f>ROUND(6%*SUM(F6:F8),0)</f>
        <v>1321484</v>
      </c>
    </row>
    <row r="10" spans="2:6" ht="16.2">
      <c r="B10" s="38"/>
      <c r="C10" s="39" t="s">
        <v>2462</v>
      </c>
      <c r="D10" s="38" t="s">
        <v>1866</v>
      </c>
      <c r="E10" s="38" t="s">
        <v>2456</v>
      </c>
      <c r="F10" s="29">
        <f>SUM(F6:F9)</f>
        <v>23346210</v>
      </c>
    </row>
    <row r="11" spans="2:6">
      <c r="B11" s="40" t="s">
        <v>1717</v>
      </c>
      <c r="C11" s="41" t="s">
        <v>2463</v>
      </c>
      <c r="D11" s="40" t="s">
        <v>1868</v>
      </c>
      <c r="E11" s="40" t="s">
        <v>2457</v>
      </c>
      <c r="F11" s="31">
        <f>ROUND(F10*10%,0)</f>
        <v>2334621</v>
      </c>
    </row>
    <row r="12" spans="2:6">
      <c r="B12" s="182" t="s">
        <v>1729</v>
      </c>
      <c r="C12" s="37" t="s">
        <v>2428</v>
      </c>
      <c r="D12" s="182" t="s">
        <v>1903</v>
      </c>
      <c r="E12" s="182" t="s">
        <v>2455</v>
      </c>
      <c r="F12" s="28">
        <f>F10+F11</f>
        <v>25680831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7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2" width="9.44140625" style="4" bestFit="1" customWidth="1"/>
    <col min="3" max="3" width="62.44140625" style="4" customWidth="1"/>
    <col min="4" max="4" width="12.5546875" style="4" customWidth="1"/>
    <col min="5" max="5" width="9.44140625" style="4" bestFit="1" customWidth="1"/>
    <col min="6" max="8" width="13.109375" style="4" customWidth="1"/>
    <col min="9" max="12" width="9.109375" style="4"/>
    <col min="13" max="13" width="35.44140625" style="4" customWidth="1"/>
    <col min="14" max="14" width="20" style="4" customWidth="1"/>
    <col min="15" max="16384" width="9.109375" style="4"/>
  </cols>
  <sheetData>
    <row r="1" spans="1:8">
      <c r="B1" s="59" t="s">
        <v>4013</v>
      </c>
      <c r="C1" s="59"/>
      <c r="D1" s="59"/>
      <c r="E1" s="59"/>
      <c r="F1" s="59"/>
      <c r="G1" s="59"/>
      <c r="H1" s="59"/>
    </row>
    <row r="2" spans="1:8" ht="10.5" customHeight="1">
      <c r="B2" s="59"/>
      <c r="C2" s="59"/>
      <c r="D2" s="59"/>
      <c r="E2" s="59"/>
      <c r="F2" s="59"/>
      <c r="G2" s="59"/>
      <c r="H2" s="59"/>
    </row>
    <row r="3" spans="1:8">
      <c r="C3" s="629" t="s">
        <v>3396</v>
      </c>
      <c r="D3" s="630">
        <f>SUM(D4:D7)</f>
        <v>24.294799999999999</v>
      </c>
      <c r="E3" s="630" t="s">
        <v>730</v>
      </c>
    </row>
    <row r="4" spans="1:8">
      <c r="C4" s="631" t="s">
        <v>3397</v>
      </c>
      <c r="D4" s="630">
        <f>PP3P!D361/1000-D5</f>
        <v>5.9317999999999991</v>
      </c>
      <c r="E4" s="630" t="s">
        <v>730</v>
      </c>
    </row>
    <row r="5" spans="1:8">
      <c r="C5" s="631" t="s">
        <v>3398</v>
      </c>
      <c r="D5" s="630">
        <f>SUM(PP3P!D8:D18)/1000</f>
        <v>0.40699999999999997</v>
      </c>
      <c r="E5" s="630" t="s">
        <v>730</v>
      </c>
    </row>
    <row r="6" spans="1:8">
      <c r="C6" s="631" t="s">
        <v>3399</v>
      </c>
      <c r="D6" s="751">
        <f>SUM(PPHT!E165:E177,PPHT!E204:E214,PPHT!E229:E239,PPHT!E529:E553,PPHT!E597:E637)/1000</f>
        <v>3.0162</v>
      </c>
      <c r="E6" s="630" t="s">
        <v>730</v>
      </c>
    </row>
    <row r="7" spans="1:8">
      <c r="C7" s="631" t="s">
        <v>3401</v>
      </c>
      <c r="D7" s="630">
        <f>ROUND(PPHT!E700/1000-'16.CTKS'!D6,4)</f>
        <v>14.9398</v>
      </c>
      <c r="E7" s="630" t="s">
        <v>730</v>
      </c>
    </row>
    <row r="8" spans="1:8">
      <c r="C8" s="632" t="s">
        <v>3400</v>
      </c>
      <c r="D8" s="633">
        <f>ROUNDUP((D4+D5*0.6+D6*0.3+D7*0.25)/1,)</f>
        <v>11</v>
      </c>
      <c r="E8" s="633" t="s">
        <v>1257</v>
      </c>
    </row>
    <row r="9" spans="1:8" ht="11.25" customHeight="1"/>
    <row r="10" spans="1:8" ht="31.2">
      <c r="B10" s="181" t="s">
        <v>2204</v>
      </c>
      <c r="C10" s="181" t="s">
        <v>2429</v>
      </c>
      <c r="D10" s="181" t="s">
        <v>3</v>
      </c>
      <c r="E10" s="181" t="s">
        <v>2430</v>
      </c>
      <c r="F10" s="181" t="s">
        <v>2431</v>
      </c>
      <c r="G10" s="181" t="s">
        <v>2432</v>
      </c>
      <c r="H10" s="181" t="s">
        <v>2433</v>
      </c>
    </row>
    <row r="11" spans="1:8">
      <c r="B11" s="60" t="s">
        <v>1765</v>
      </c>
      <c r="C11" s="224" t="s">
        <v>2434</v>
      </c>
      <c r="D11" s="225"/>
      <c r="E11" s="225"/>
      <c r="F11" s="22"/>
      <c r="G11" s="22"/>
      <c r="H11" s="22"/>
    </row>
    <row r="12" spans="1:8">
      <c r="A12" s="4" t="s">
        <v>1330</v>
      </c>
      <c r="B12" s="62">
        <v>1</v>
      </c>
      <c r="C12" s="223" t="s">
        <v>3232</v>
      </c>
      <c r="D12" s="62" t="s">
        <v>2435</v>
      </c>
      <c r="E12" s="62">
        <v>2</v>
      </c>
      <c r="F12" s="21">
        <f>VLOOKUP(A12,DGNC,5,0)</f>
        <v>270907</v>
      </c>
      <c r="G12" s="21">
        <f>F12*E12</f>
        <v>541814</v>
      </c>
      <c r="H12" s="21"/>
    </row>
    <row r="13" spans="1:8">
      <c r="A13" s="4" t="s">
        <v>2436</v>
      </c>
      <c r="B13" s="62">
        <v>2</v>
      </c>
      <c r="C13" s="223" t="s">
        <v>2437</v>
      </c>
      <c r="D13" s="62" t="s">
        <v>24</v>
      </c>
      <c r="E13" s="62">
        <v>2</v>
      </c>
      <c r="F13" s="21">
        <v>200000</v>
      </c>
      <c r="G13" s="21"/>
      <c r="H13" s="21">
        <f>F13*E13</f>
        <v>400000</v>
      </c>
    </row>
    <row r="14" spans="1:8" hidden="1">
      <c r="A14" s="4" t="s">
        <v>2438</v>
      </c>
      <c r="B14" s="62">
        <v>3</v>
      </c>
      <c r="C14" s="223" t="s">
        <v>3233</v>
      </c>
      <c r="D14" s="62" t="s">
        <v>1257</v>
      </c>
      <c r="E14" s="62">
        <v>0</v>
      </c>
      <c r="F14" s="21">
        <v>150000</v>
      </c>
      <c r="G14" s="21"/>
      <c r="H14" s="21">
        <f>F14*E14</f>
        <v>0</v>
      </c>
    </row>
    <row r="15" spans="1:8">
      <c r="B15" s="60" t="s">
        <v>1764</v>
      </c>
      <c r="C15" s="224" t="s">
        <v>3403</v>
      </c>
      <c r="D15" s="60"/>
      <c r="E15" s="60"/>
      <c r="F15" s="22"/>
      <c r="G15" s="22"/>
      <c r="H15" s="22"/>
    </row>
    <row r="16" spans="1:8" ht="46.8">
      <c r="A16" s="4" t="s">
        <v>2439</v>
      </c>
      <c r="B16" s="62">
        <v>1</v>
      </c>
      <c r="C16" s="223" t="str">
        <f>"Xe đi từ Biên Hòa đến khu vực dự án và ngược lại: bình quân 80km/lượt x "&amp;D8&amp;" ngày x 2 lượt (đi và về)/lần x 15L/100km x 21.360 đ/1,1"</f>
        <v>Xe đi từ Biên Hòa đến khu vực dự án và ngược lại: bình quân 80km/lượt x 11 ngày x 2 lượt (đi và về)/lần x 15L/100km x 21.360 đ/1,1</v>
      </c>
      <c r="D16" s="62" t="s">
        <v>730</v>
      </c>
      <c r="E16" s="62">
        <f>D8*2*80</f>
        <v>1760</v>
      </c>
      <c r="F16" s="21">
        <f>ROUND(15*21360/100/1.1,0)</f>
        <v>2913</v>
      </c>
      <c r="G16" s="21"/>
      <c r="H16" s="21">
        <f>F16*E16</f>
        <v>5126880</v>
      </c>
    </row>
    <row r="17" spans="1:15">
      <c r="A17" s="4" t="s">
        <v>1330</v>
      </c>
      <c r="B17" s="62">
        <v>2</v>
      </c>
      <c r="C17" s="223" t="str">
        <f>"Cán bộ tham gia khảo sát, KS 4,0: 01 người/đợt x "&amp;D8&amp;" đợt"</f>
        <v>Cán bộ tham gia khảo sát, KS 4,0: 01 người/đợt x 11 đợt</v>
      </c>
      <c r="D17" s="62" t="s">
        <v>2435</v>
      </c>
      <c r="E17" s="24">
        <f>D8</f>
        <v>11</v>
      </c>
      <c r="F17" s="21">
        <f>VLOOKUP(A17,DGNC,5,0)</f>
        <v>270907</v>
      </c>
      <c r="G17" s="21">
        <f>E17*F17</f>
        <v>2979977</v>
      </c>
      <c r="H17" s="21"/>
    </row>
    <row r="18" spans="1:15">
      <c r="A18" s="4" t="s">
        <v>12</v>
      </c>
      <c r="B18" s="62">
        <v>3</v>
      </c>
      <c r="C18" s="223" t="str">
        <f>"Cán bộ tham gia khảo sát, CN 4,0/7,0: 01 người/đợt x "&amp;D9&amp;" đợt"</f>
        <v>Cán bộ tham gia khảo sát, CN 4,0/7,0: 01 người/đợt x  đợt</v>
      </c>
      <c r="D18" s="62" t="s">
        <v>2435</v>
      </c>
      <c r="E18" s="24">
        <f>D8</f>
        <v>11</v>
      </c>
      <c r="F18" s="21">
        <f>VLOOKUP(A18,DGNC,5,0)</f>
        <v>236940</v>
      </c>
      <c r="G18" s="21">
        <f>E18*F18</f>
        <v>2606340</v>
      </c>
      <c r="H18" s="21"/>
    </row>
    <row r="19" spans="1:15">
      <c r="A19" s="4" t="s">
        <v>2440</v>
      </c>
      <c r="B19" s="62">
        <v>4</v>
      </c>
      <c r="C19" s="223" t="s">
        <v>3345</v>
      </c>
      <c r="D19" s="62" t="s">
        <v>2435</v>
      </c>
      <c r="E19" s="24">
        <f>D8</f>
        <v>11</v>
      </c>
      <c r="F19" s="21">
        <f>VLOOKUP(A19,DGNC,5,0)</f>
        <v>180605</v>
      </c>
      <c r="G19" s="21">
        <f>E19*F19</f>
        <v>1986655</v>
      </c>
      <c r="H19" s="21"/>
    </row>
    <row r="20" spans="1:15">
      <c r="B20" s="60" t="s">
        <v>1774</v>
      </c>
      <c r="C20" s="224" t="s">
        <v>2441</v>
      </c>
      <c r="D20" s="60"/>
      <c r="E20" s="60"/>
      <c r="F20" s="22"/>
      <c r="G20" s="22"/>
      <c r="H20" s="22"/>
    </row>
    <row r="21" spans="1:15" hidden="1">
      <c r="B21" s="62">
        <v>1</v>
      </c>
      <c r="C21" s="223" t="s">
        <v>2442</v>
      </c>
      <c r="D21" s="62" t="s">
        <v>2443</v>
      </c>
      <c r="E21" s="62"/>
      <c r="F21" s="21">
        <v>200000</v>
      </c>
      <c r="G21" s="21"/>
      <c r="H21" s="21">
        <f>E21*F21</f>
        <v>0</v>
      </c>
    </row>
    <row r="22" spans="1:15" hidden="1">
      <c r="B22" s="62">
        <v>2</v>
      </c>
      <c r="C22" s="223" t="s">
        <v>2444</v>
      </c>
      <c r="D22" s="62" t="s">
        <v>2443</v>
      </c>
      <c r="E22" s="62"/>
      <c r="F22" s="21">
        <v>200000</v>
      </c>
      <c r="G22" s="21"/>
      <c r="H22" s="21">
        <f>E22*F22</f>
        <v>0</v>
      </c>
      <c r="M22" s="228" t="s">
        <v>2450</v>
      </c>
      <c r="N22" s="227">
        <v>850000000</v>
      </c>
      <c r="O22" s="227"/>
    </row>
    <row r="23" spans="1:15" hidden="1">
      <c r="B23" s="62">
        <v>3</v>
      </c>
      <c r="C23" s="223" t="s">
        <v>2445</v>
      </c>
      <c r="D23" s="62" t="s">
        <v>2443</v>
      </c>
      <c r="E23" s="62"/>
      <c r="F23" s="21">
        <v>200000</v>
      </c>
      <c r="G23" s="21"/>
      <c r="H23" s="21">
        <f>E23*F23</f>
        <v>0</v>
      </c>
      <c r="M23" s="228" t="s">
        <v>2451</v>
      </c>
      <c r="N23" s="227">
        <v>10</v>
      </c>
      <c r="O23" s="227" t="s">
        <v>2452</v>
      </c>
    </row>
    <row r="24" spans="1:15" hidden="1">
      <c r="B24" s="62">
        <v>4</v>
      </c>
      <c r="C24" s="223" t="s">
        <v>2446</v>
      </c>
      <c r="D24" s="62" t="s">
        <v>1257</v>
      </c>
      <c r="E24" s="62"/>
      <c r="F24" s="21">
        <f>N26</f>
        <v>272436</v>
      </c>
      <c r="G24" s="21"/>
      <c r="H24" s="21">
        <f>E24*F24</f>
        <v>0</v>
      </c>
      <c r="M24" s="228" t="s">
        <v>2453</v>
      </c>
      <c r="N24" s="227">
        <f>N22/N23</f>
        <v>85000000</v>
      </c>
      <c r="O24" s="227"/>
    </row>
    <row r="25" spans="1:15">
      <c r="A25" s="4" t="s">
        <v>1330</v>
      </c>
      <c r="B25" s="62">
        <v>1</v>
      </c>
      <c r="C25" s="223" t="s">
        <v>2447</v>
      </c>
      <c r="D25" s="62" t="s">
        <v>2435</v>
      </c>
      <c r="E25" s="674">
        <f>ROUND(D3/5,0)</f>
        <v>5</v>
      </c>
      <c r="F25" s="21">
        <f>VLOOKUP(A25,DGNC,5,0)</f>
        <v>270907</v>
      </c>
      <c r="G25" s="21">
        <f>E25*F25</f>
        <v>1354535</v>
      </c>
      <c r="H25" s="21"/>
      <c r="M25" s="227" t="s">
        <v>2454</v>
      </c>
      <c r="N25" s="227">
        <f>ROUND(N24/12,0)</f>
        <v>7083333</v>
      </c>
      <c r="O25" s="227"/>
    </row>
    <row r="26" spans="1:15">
      <c r="A26" s="4" t="s">
        <v>2448</v>
      </c>
      <c r="B26" s="62">
        <v>2</v>
      </c>
      <c r="C26" s="223" t="s">
        <v>2466</v>
      </c>
      <c r="D26" s="62" t="s">
        <v>24</v>
      </c>
      <c r="E26" s="62">
        <v>8</v>
      </c>
      <c r="F26" s="21">
        <v>50000</v>
      </c>
      <c r="G26" s="21"/>
      <c r="H26" s="21">
        <f>E26*F26</f>
        <v>400000</v>
      </c>
      <c r="M26" s="228" t="s">
        <v>2467</v>
      </c>
      <c r="N26" s="227">
        <f>ROUND(N25/26,0)</f>
        <v>272436</v>
      </c>
      <c r="O26" s="227"/>
    </row>
    <row r="27" spans="1:15">
      <c r="B27" s="61" t="s">
        <v>1776</v>
      </c>
      <c r="C27" s="226" t="s">
        <v>2449</v>
      </c>
      <c r="D27" s="61"/>
      <c r="E27" s="61"/>
      <c r="F27" s="33"/>
      <c r="G27" s="33">
        <f>SUM(G12:G26)</f>
        <v>9469321</v>
      </c>
      <c r="H27" s="33">
        <f>SUM(H12:H26)</f>
        <v>5926880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N123"/>
  <sheetViews>
    <sheetView view="pageBreakPreview" topLeftCell="B1" zoomScaleNormal="100" zoomScaleSheetLayoutView="100" workbookViewId="0">
      <selection activeCell="F43" sqref="F43"/>
    </sheetView>
  </sheetViews>
  <sheetFormatPr defaultColWidth="9.109375" defaultRowHeight="15.6"/>
  <cols>
    <col min="1" max="2" width="9.109375" style="4"/>
    <col min="3" max="3" width="58.44140625" style="4" customWidth="1"/>
    <col min="4" max="4" width="10.44140625" style="4" customWidth="1"/>
    <col min="5" max="5" width="29.6640625" style="4" customWidth="1"/>
    <col min="6" max="6" width="19" style="4" customWidth="1"/>
    <col min="7" max="10" width="9.109375" style="4"/>
    <col min="11" max="11" width="40.44140625" style="4" customWidth="1"/>
    <col min="12" max="12" width="17.5546875" style="4" customWidth="1"/>
    <col min="13" max="14" width="18.109375" style="4" customWidth="1"/>
    <col min="15" max="16384" width="9.109375" style="4"/>
  </cols>
  <sheetData>
    <row r="1" spans="1:7">
      <c r="A1" s="55">
        <v>1</v>
      </c>
      <c r="B1" s="55">
        <v>2</v>
      </c>
      <c r="C1" s="55">
        <v>3</v>
      </c>
      <c r="D1" s="55">
        <v>4</v>
      </c>
      <c r="E1" s="55">
        <v>5</v>
      </c>
      <c r="F1" s="55">
        <v>6</v>
      </c>
      <c r="G1" s="55">
        <v>7</v>
      </c>
    </row>
    <row r="2" spans="1:7">
      <c r="B2" s="59" t="s">
        <v>4014</v>
      </c>
      <c r="C2" s="59"/>
      <c r="D2" s="59"/>
      <c r="E2" s="59"/>
      <c r="F2" s="59"/>
    </row>
    <row r="3" spans="1:7" s="18" customFormat="1">
      <c r="B3" s="4"/>
      <c r="C3" s="4"/>
      <c r="D3" s="4"/>
      <c r="E3" s="4"/>
      <c r="F3" s="4"/>
    </row>
    <row r="4" spans="1:7">
      <c r="B4" s="295" t="s">
        <v>1763</v>
      </c>
      <c r="C4" s="295" t="s">
        <v>2621</v>
      </c>
      <c r="D4" s="296" t="s">
        <v>1840</v>
      </c>
      <c r="E4" s="296" t="s">
        <v>1841</v>
      </c>
      <c r="F4" s="297" t="s">
        <v>1627</v>
      </c>
    </row>
    <row r="5" spans="1:7">
      <c r="A5" s="4" t="s">
        <v>1844</v>
      </c>
      <c r="B5" s="435"/>
      <c r="C5" s="438" t="str">
        <f>VLOOKUP(A5,XLDD,'3.XL-DD'!$D$2,0)</f>
        <v>Phần đường dây trung thế</v>
      </c>
      <c r="D5" s="436"/>
      <c r="E5" s="435"/>
      <c r="F5" s="437"/>
      <c r="G5" s="4">
        <f>IF(F6&lt;&gt;0,1,)</f>
        <v>1</v>
      </c>
    </row>
    <row r="6" spans="1:7">
      <c r="B6" s="299" t="s">
        <v>1631</v>
      </c>
      <c r="C6" s="319" t="s">
        <v>1845</v>
      </c>
      <c r="D6" s="826" t="s">
        <v>1846</v>
      </c>
      <c r="E6" s="303"/>
      <c r="F6" s="828">
        <f>SUM(F7:F10)</f>
        <v>56042533</v>
      </c>
      <c r="G6" s="4">
        <f>G5</f>
        <v>1</v>
      </c>
    </row>
    <row r="7" spans="1:7">
      <c r="A7" s="4" t="str">
        <f>A5</f>
        <v>T1</v>
      </c>
      <c r="B7" s="299">
        <v>1</v>
      </c>
      <c r="C7" s="321" t="s">
        <v>3910</v>
      </c>
      <c r="D7" s="301" t="s">
        <v>1849</v>
      </c>
      <c r="E7" s="301" t="s">
        <v>2627</v>
      </c>
      <c r="F7" s="302">
        <f>ROUND('18.CT-HOTLINE'!P8,0)</f>
        <v>4132389</v>
      </c>
      <c r="G7" s="4">
        <f t="shared" ref="G7:G17" si="0">G6</f>
        <v>1</v>
      </c>
    </row>
    <row r="8" spans="1:7">
      <c r="A8" s="4" t="str">
        <f>A5</f>
        <v>T1</v>
      </c>
      <c r="B8" s="299">
        <v>2</v>
      </c>
      <c r="C8" s="321" t="s">
        <v>3911</v>
      </c>
      <c r="D8" s="301" t="s">
        <v>3912</v>
      </c>
      <c r="E8" s="301" t="s">
        <v>2627</v>
      </c>
      <c r="F8" s="302">
        <f>ROUND('19.VC-HL'!P23,0)</f>
        <v>3242606</v>
      </c>
      <c r="G8" s="4">
        <f t="shared" si="0"/>
        <v>1</v>
      </c>
    </row>
    <row r="9" spans="1:7">
      <c r="A9" s="4" t="str">
        <f>A5</f>
        <v>T1</v>
      </c>
      <c r="B9" s="299">
        <v>3</v>
      </c>
      <c r="C9" s="321" t="s">
        <v>2458</v>
      </c>
      <c r="D9" s="301" t="s">
        <v>1630</v>
      </c>
      <c r="E9" s="301" t="s">
        <v>2627</v>
      </c>
      <c r="F9" s="302">
        <f>ROUND('18.CT-HOTLINE'!Q8,0)</f>
        <v>15159728</v>
      </c>
      <c r="G9" s="4">
        <f t="shared" si="0"/>
        <v>1</v>
      </c>
    </row>
    <row r="10" spans="1:7">
      <c r="B10" s="299">
        <v>4</v>
      </c>
      <c r="C10" s="321" t="s">
        <v>2623</v>
      </c>
      <c r="D10" s="301" t="s">
        <v>478</v>
      </c>
      <c r="E10" s="301" t="s">
        <v>2627</v>
      </c>
      <c r="F10" s="302">
        <f>ROUND('18.CT-HOTLINE'!R8,0)</f>
        <v>33507810</v>
      </c>
      <c r="G10" s="4">
        <f t="shared" si="0"/>
        <v>1</v>
      </c>
    </row>
    <row r="11" spans="1:7">
      <c r="B11" s="299" t="s">
        <v>1663</v>
      </c>
      <c r="C11" s="319" t="s">
        <v>1858</v>
      </c>
      <c r="D11" s="313" t="s">
        <v>1774</v>
      </c>
      <c r="E11" s="826" t="s">
        <v>3913</v>
      </c>
      <c r="F11" s="827">
        <f>ROUND($L$94*F9/100,0)</f>
        <v>9853823</v>
      </c>
      <c r="G11" s="4">
        <f t="shared" si="0"/>
        <v>1</v>
      </c>
    </row>
    <row r="12" spans="1:7">
      <c r="B12" s="299" t="s">
        <v>1673</v>
      </c>
      <c r="C12" s="319" t="s">
        <v>1862</v>
      </c>
      <c r="D12" s="313" t="s">
        <v>1863</v>
      </c>
      <c r="E12" s="298" t="s">
        <v>3914</v>
      </c>
      <c r="F12" s="827">
        <f>ROUND(6%*(F6+F11),0)</f>
        <v>3953781</v>
      </c>
      <c r="G12" s="4">
        <f t="shared" si="0"/>
        <v>1</v>
      </c>
    </row>
    <row r="13" spans="1:7" s="18" customFormat="1">
      <c r="A13" s="18" t="str">
        <f>"NL"&amp;A5</f>
        <v>NLT1</v>
      </c>
      <c r="B13" s="826" t="s">
        <v>1717</v>
      </c>
      <c r="C13" s="829" t="s">
        <v>3915</v>
      </c>
      <c r="D13" s="826" t="s">
        <v>1903</v>
      </c>
      <c r="E13" s="826" t="s">
        <v>3916</v>
      </c>
      <c r="F13" s="827">
        <f>F6+F11+F12</f>
        <v>69850137</v>
      </c>
      <c r="G13" s="18">
        <f t="shared" si="0"/>
        <v>1</v>
      </c>
    </row>
    <row r="14" spans="1:7">
      <c r="A14" s="4" t="str">
        <f>"HD"&amp;A5</f>
        <v>HDT1</v>
      </c>
      <c r="B14" s="301"/>
      <c r="C14" s="322" t="s">
        <v>3917</v>
      </c>
      <c r="D14" s="301" t="s">
        <v>2631</v>
      </c>
      <c r="E14" s="301" t="s">
        <v>3918</v>
      </c>
      <c r="F14" s="302">
        <f>ROUND(5%*F13,0)</f>
        <v>3492507</v>
      </c>
      <c r="G14" s="4">
        <f t="shared" si="0"/>
        <v>1</v>
      </c>
    </row>
    <row r="15" spans="1:7">
      <c r="B15" s="301"/>
      <c r="C15" s="322" t="s">
        <v>3919</v>
      </c>
      <c r="D15" s="301" t="s">
        <v>2990</v>
      </c>
      <c r="E15" s="303" t="s">
        <v>3920</v>
      </c>
      <c r="F15" s="302">
        <f>F13+F14</f>
        <v>73342644</v>
      </c>
      <c r="G15" s="4">
        <f t="shared" si="0"/>
        <v>1</v>
      </c>
    </row>
    <row r="16" spans="1:7">
      <c r="A16" s="4" t="str">
        <f>"HL"&amp;A5</f>
        <v>HLT1</v>
      </c>
      <c r="B16" s="301"/>
      <c r="C16" s="323" t="s">
        <v>2633</v>
      </c>
      <c r="D16" s="299" t="s">
        <v>2641</v>
      </c>
      <c r="E16" s="299" t="s">
        <v>3921</v>
      </c>
      <c r="F16" s="302">
        <f>ROUND(0.1*F15,0)</f>
        <v>7334264</v>
      </c>
      <c r="G16" s="4">
        <f t="shared" si="0"/>
        <v>1</v>
      </c>
    </row>
    <row r="17" spans="1:7" s="18" customFormat="1">
      <c r="B17" s="826" t="s">
        <v>1729</v>
      </c>
      <c r="C17" s="829" t="s">
        <v>2634</v>
      </c>
      <c r="D17" s="826"/>
      <c r="E17" s="826" t="s">
        <v>3922</v>
      </c>
      <c r="F17" s="827">
        <f>F15+F16</f>
        <v>80676908</v>
      </c>
      <c r="G17" s="18">
        <f t="shared" si="0"/>
        <v>1</v>
      </c>
    </row>
    <row r="18" spans="1:7" hidden="1">
      <c r="A18" s="4" t="s">
        <v>2584</v>
      </c>
      <c r="B18" s="435"/>
      <c r="C18" s="438" t="e">
        <f>VLOOKUP(A18,XLDD,'3.XL-DD'!$D$2,0)</f>
        <v>#N/A</v>
      </c>
      <c r="D18" s="436"/>
      <c r="E18" s="435"/>
      <c r="F18" s="437"/>
      <c r="G18" s="4" t="e">
        <f>IF(F31&lt;&gt;0,1,)</f>
        <v>#N/A</v>
      </c>
    </row>
    <row r="19" spans="1:7" hidden="1">
      <c r="B19" s="299" t="s">
        <v>1631</v>
      </c>
      <c r="C19" s="319" t="s">
        <v>1845</v>
      </c>
      <c r="D19" s="304"/>
      <c r="E19" s="303"/>
      <c r="F19" s="320"/>
      <c r="G19" s="4" t="e">
        <f>G18</f>
        <v>#N/A</v>
      </c>
    </row>
    <row r="20" spans="1:7" hidden="1">
      <c r="A20" s="4" t="str">
        <f>A18</f>
        <v>T1-2</v>
      </c>
      <c r="B20" s="299">
        <v>1</v>
      </c>
      <c r="C20" s="321" t="s">
        <v>2622</v>
      </c>
      <c r="D20" s="301" t="s">
        <v>1849</v>
      </c>
      <c r="E20" s="301" t="str">
        <f>"Chiết tính x "&amp;$L$90</f>
        <v>Chiết tính x 1,4717</v>
      </c>
      <c r="F20" s="302" t="e">
        <f>ROUND(VLOOKUP(A20,DGHOTLINE,'18.CT-HOTLINE'!$P$2,0)*L104,0)</f>
        <v>#N/A</v>
      </c>
      <c r="G20" s="4" t="e">
        <f t="shared" ref="G20:G31" si="1">G19</f>
        <v>#N/A</v>
      </c>
    </row>
    <row r="21" spans="1:7" hidden="1">
      <c r="A21" s="4" t="str">
        <f>A18</f>
        <v>T1-2</v>
      </c>
      <c r="B21" s="299">
        <v>2</v>
      </c>
      <c r="C21" s="321" t="s">
        <v>2458</v>
      </c>
      <c r="D21" s="301" t="s">
        <v>1630</v>
      </c>
      <c r="E21" s="301" t="s">
        <v>2624</v>
      </c>
      <c r="F21" s="302" t="e">
        <f>ROUND(VLOOKUP(A21,DGHOTLINE,'18.CT-HOTLINE'!$Q$2,0),0)</f>
        <v>#N/A</v>
      </c>
      <c r="G21" s="4" t="e">
        <f t="shared" si="1"/>
        <v>#N/A</v>
      </c>
    </row>
    <row r="22" spans="1:7" hidden="1">
      <c r="A22" s="4" t="str">
        <f>A18</f>
        <v>T1-2</v>
      </c>
      <c r="B22" s="299">
        <v>3</v>
      </c>
      <c r="C22" s="321" t="s">
        <v>2623</v>
      </c>
      <c r="D22" s="301" t="s">
        <v>478</v>
      </c>
      <c r="E22" s="301" t="s">
        <v>2624</v>
      </c>
      <c r="F22" s="302" t="e">
        <f>ROUND(VLOOKUP(A22,DGHOTLINE,'18.CT-HOTLINE'!$R$2,0),0)</f>
        <v>#N/A</v>
      </c>
      <c r="G22" s="4" t="e">
        <f t="shared" si="1"/>
        <v>#N/A</v>
      </c>
    </row>
    <row r="23" spans="1:7" hidden="1">
      <c r="B23" s="299">
        <v>4</v>
      </c>
      <c r="C23" s="321" t="s">
        <v>2625</v>
      </c>
      <c r="D23" s="301" t="s">
        <v>1846</v>
      </c>
      <c r="E23" s="301" t="s">
        <v>2671</v>
      </c>
      <c r="F23" s="302" t="e">
        <f>SUM(F20:F22)</f>
        <v>#N/A</v>
      </c>
      <c r="G23" s="4" t="e">
        <f t="shared" si="1"/>
        <v>#N/A</v>
      </c>
    </row>
    <row r="24" spans="1:7" hidden="1">
      <c r="B24" s="299" t="s">
        <v>1663</v>
      </c>
      <c r="C24" s="319" t="s">
        <v>1858</v>
      </c>
      <c r="D24" s="313" t="s">
        <v>1774</v>
      </c>
      <c r="E24" s="301" t="str">
        <f>$L$108&amp;"% x NC"</f>
        <v>13% x NC</v>
      </c>
      <c r="F24" s="302" t="e">
        <f>ROUND($L$94*F21/100,0)</f>
        <v>#N/A</v>
      </c>
      <c r="G24" s="4" t="e">
        <f t="shared" si="1"/>
        <v>#N/A</v>
      </c>
    </row>
    <row r="25" spans="1:7" hidden="1">
      <c r="B25" s="299" t="s">
        <v>1673</v>
      </c>
      <c r="C25" s="319" t="s">
        <v>1862</v>
      </c>
      <c r="D25" s="313" t="s">
        <v>1863</v>
      </c>
      <c r="E25" s="298" t="str">
        <f>"(T+C)x "&amp;M122&amp;"%"</f>
        <v>(T+C)x %</v>
      </c>
      <c r="F25" s="302" t="e">
        <f>ROUND((F23+F24)*M122/100,0)</f>
        <v>#N/A</v>
      </c>
      <c r="G25" s="4" t="e">
        <f t="shared" si="1"/>
        <v>#N/A</v>
      </c>
    </row>
    <row r="26" spans="1:7" hidden="1">
      <c r="A26" s="4" t="str">
        <f>"NL"&amp;A18</f>
        <v>NLT1-2</v>
      </c>
      <c r="B26" s="301" t="s">
        <v>1717</v>
      </c>
      <c r="C26" s="322" t="s">
        <v>2626</v>
      </c>
      <c r="D26" s="301" t="s">
        <v>2682</v>
      </c>
      <c r="E26" s="301" t="s">
        <v>2627</v>
      </c>
      <c r="F26" s="302" t="e">
        <f>ROUND(VLOOKUP(A26,DGHOTLINE,'18.CT-HOTLINE'!$I$2,0),0)</f>
        <v>#N/A</v>
      </c>
      <c r="G26" s="4" t="e">
        <f t="shared" si="1"/>
        <v>#N/A</v>
      </c>
    </row>
    <row r="27" spans="1:7" hidden="1">
      <c r="A27" s="4" t="str">
        <f>"HD"&amp;A18</f>
        <v>HDT1-2</v>
      </c>
      <c r="B27" s="301" t="s">
        <v>1729</v>
      </c>
      <c r="C27" s="322" t="s">
        <v>2628</v>
      </c>
      <c r="D27" s="301" t="s">
        <v>2629</v>
      </c>
      <c r="E27" s="301" t="s">
        <v>2627</v>
      </c>
      <c r="F27" s="302" t="e">
        <f>ROUND(VLOOKUP(A27,DGHOTLINE,'18.CT-HOTLINE'!$I$2,0),0)</f>
        <v>#N/A</v>
      </c>
      <c r="G27" s="4" t="e">
        <f t="shared" si="1"/>
        <v>#N/A</v>
      </c>
    </row>
    <row r="28" spans="1:7" hidden="1">
      <c r="B28" s="301" t="s">
        <v>1732</v>
      </c>
      <c r="C28" s="322" t="s">
        <v>2630</v>
      </c>
      <c r="D28" s="301" t="s">
        <v>2631</v>
      </c>
      <c r="E28" s="303" t="s">
        <v>2672</v>
      </c>
      <c r="F28" s="302" t="e">
        <f>ROUND(5%*(F23+F24+F25+F26+F27),0)</f>
        <v>#N/A</v>
      </c>
      <c r="G28" s="4" t="e">
        <f t="shared" si="1"/>
        <v>#N/A</v>
      </c>
    </row>
    <row r="29" spans="1:7" hidden="1">
      <c r="A29" s="4" t="str">
        <f>"HL"&amp;A18</f>
        <v>HLT1-2</v>
      </c>
      <c r="B29" s="301"/>
      <c r="C29" s="323" t="s">
        <v>2632</v>
      </c>
      <c r="D29" s="299" t="s">
        <v>1903</v>
      </c>
      <c r="E29" s="299" t="s">
        <v>2673</v>
      </c>
      <c r="F29" s="302" t="e">
        <f>F23+F24+F25+F26+F27+F28</f>
        <v>#N/A</v>
      </c>
      <c r="G29" s="4" t="e">
        <f t="shared" si="1"/>
        <v>#N/A</v>
      </c>
    </row>
    <row r="30" spans="1:7" hidden="1">
      <c r="B30" s="301" t="s">
        <v>1771</v>
      </c>
      <c r="C30" s="322" t="s">
        <v>2633</v>
      </c>
      <c r="D30" s="301"/>
      <c r="E30" s="301" t="str">
        <f>"GTGT = "&amp;$N$108&amp;"% x G"</f>
        <v>GTGT = 0% x G</v>
      </c>
      <c r="F30" s="302" t="e">
        <f>ROUND(F29*N122/100,0)</f>
        <v>#N/A</v>
      </c>
      <c r="G30" s="4" t="e">
        <f t="shared" si="1"/>
        <v>#N/A</v>
      </c>
    </row>
    <row r="31" spans="1:7" ht="18" hidden="1">
      <c r="B31" s="301"/>
      <c r="C31" s="323" t="s">
        <v>2634</v>
      </c>
      <c r="D31" s="299"/>
      <c r="E31" s="299" t="s">
        <v>2635</v>
      </c>
      <c r="F31" s="300" t="e">
        <f>F29+F30</f>
        <v>#N/A</v>
      </c>
      <c r="G31" s="4" t="e">
        <f t="shared" si="1"/>
        <v>#N/A</v>
      </c>
    </row>
    <row r="32" spans="1:7" hidden="1">
      <c r="A32" s="4" t="s">
        <v>2585</v>
      </c>
      <c r="B32" s="435"/>
      <c r="C32" s="438" t="e">
        <f>VLOOKUP(A32,XLDD,'3.XL-DD'!$D$2,0)</f>
        <v>#N/A</v>
      </c>
      <c r="D32" s="436"/>
      <c r="E32" s="435"/>
      <c r="F32" s="437"/>
      <c r="G32" s="4" t="e">
        <f>IF(F45&lt;&gt;0,1,)</f>
        <v>#N/A</v>
      </c>
    </row>
    <row r="33" spans="1:7" hidden="1">
      <c r="B33" s="299" t="s">
        <v>1631</v>
      </c>
      <c r="C33" s="319" t="s">
        <v>1845</v>
      </c>
      <c r="D33" s="304"/>
      <c r="E33" s="303"/>
      <c r="F33" s="320"/>
      <c r="G33" s="4" t="e">
        <f>G32</f>
        <v>#N/A</v>
      </c>
    </row>
    <row r="34" spans="1:7" hidden="1">
      <c r="A34" s="4" t="str">
        <f>A32</f>
        <v>T1-3</v>
      </c>
      <c r="B34" s="299">
        <v>1</v>
      </c>
      <c r="C34" s="321" t="s">
        <v>2622</v>
      </c>
      <c r="D34" s="301" t="s">
        <v>1849</v>
      </c>
      <c r="E34" s="301" t="str">
        <f>"Chiết tính x "&amp;$L$90</f>
        <v>Chiết tính x 1,4717</v>
      </c>
      <c r="F34" s="302" t="e">
        <f>ROUND(VLOOKUP(A34,DGHOTLINE,'18.CT-HOTLINE'!$P$2,0)*L118,0)</f>
        <v>#N/A</v>
      </c>
      <c r="G34" s="4" t="e">
        <f t="shared" ref="G34:G45" si="2">G33</f>
        <v>#N/A</v>
      </c>
    </row>
    <row r="35" spans="1:7" hidden="1">
      <c r="A35" s="4" t="str">
        <f>A32</f>
        <v>T1-3</v>
      </c>
      <c r="B35" s="299">
        <v>2</v>
      </c>
      <c r="C35" s="321" t="s">
        <v>2458</v>
      </c>
      <c r="D35" s="301" t="s">
        <v>1630</v>
      </c>
      <c r="E35" s="301" t="s">
        <v>2624</v>
      </c>
      <c r="F35" s="302" t="e">
        <f>ROUND(VLOOKUP(A35,DGHOTLINE,'18.CT-HOTLINE'!$Q$2,0),0)</f>
        <v>#N/A</v>
      </c>
      <c r="G35" s="4" t="e">
        <f t="shared" si="2"/>
        <v>#N/A</v>
      </c>
    </row>
    <row r="36" spans="1:7" hidden="1">
      <c r="A36" s="4" t="str">
        <f>A32</f>
        <v>T1-3</v>
      </c>
      <c r="B36" s="299">
        <v>3</v>
      </c>
      <c r="C36" s="321" t="s">
        <v>2623</v>
      </c>
      <c r="D36" s="301" t="s">
        <v>478</v>
      </c>
      <c r="E36" s="301" t="s">
        <v>2624</v>
      </c>
      <c r="F36" s="302" t="e">
        <f>ROUND(VLOOKUP(A36,DGHOTLINE,'18.CT-HOTLINE'!$R$2,0),0)</f>
        <v>#N/A</v>
      </c>
      <c r="G36" s="4" t="e">
        <f t="shared" si="2"/>
        <v>#N/A</v>
      </c>
    </row>
    <row r="37" spans="1:7" hidden="1">
      <c r="B37" s="299">
        <v>4</v>
      </c>
      <c r="C37" s="321" t="s">
        <v>2625</v>
      </c>
      <c r="D37" s="301" t="s">
        <v>1846</v>
      </c>
      <c r="E37" s="301" t="s">
        <v>2671</v>
      </c>
      <c r="F37" s="302" t="e">
        <f>SUM(F34:F36)</f>
        <v>#N/A</v>
      </c>
      <c r="G37" s="4" t="e">
        <f t="shared" si="2"/>
        <v>#N/A</v>
      </c>
    </row>
    <row r="38" spans="1:7" hidden="1">
      <c r="B38" s="299" t="s">
        <v>1663</v>
      </c>
      <c r="C38" s="319" t="s">
        <v>1858</v>
      </c>
      <c r="D38" s="313" t="s">
        <v>1774</v>
      </c>
      <c r="E38" s="301" t="str">
        <f>$L$108&amp;"% x NC"</f>
        <v>13% x NC</v>
      </c>
      <c r="F38" s="302" t="e">
        <f>ROUND($L$94*F35/100,0)</f>
        <v>#N/A</v>
      </c>
      <c r="G38" s="4" t="e">
        <f t="shared" si="2"/>
        <v>#N/A</v>
      </c>
    </row>
    <row r="39" spans="1:7" hidden="1">
      <c r="B39" s="299" t="s">
        <v>1673</v>
      </c>
      <c r="C39" s="319" t="s">
        <v>1862</v>
      </c>
      <c r="D39" s="313" t="s">
        <v>1863</v>
      </c>
      <c r="E39" s="298" t="str">
        <f>"(T+C)x "&amp;M136&amp;"%"</f>
        <v>(T+C)x %</v>
      </c>
      <c r="F39" s="302" t="e">
        <f>ROUND((F37+F38)*M136/100,0)</f>
        <v>#N/A</v>
      </c>
      <c r="G39" s="4" t="e">
        <f t="shared" si="2"/>
        <v>#N/A</v>
      </c>
    </row>
    <row r="40" spans="1:7" hidden="1">
      <c r="A40" s="4" t="str">
        <f>"NL"&amp;A32</f>
        <v>NLT1-3</v>
      </c>
      <c r="B40" s="301" t="s">
        <v>1717</v>
      </c>
      <c r="C40" s="322" t="s">
        <v>2626</v>
      </c>
      <c r="D40" s="301" t="s">
        <v>2682</v>
      </c>
      <c r="E40" s="301" t="s">
        <v>2627</v>
      </c>
      <c r="F40" s="302" t="e">
        <f>ROUND(VLOOKUP(A40,DGHOTLINE,'18.CT-HOTLINE'!$I$2,0),0)</f>
        <v>#N/A</v>
      </c>
      <c r="G40" s="4" t="e">
        <f t="shared" si="2"/>
        <v>#N/A</v>
      </c>
    </row>
    <row r="41" spans="1:7" hidden="1">
      <c r="A41" s="4" t="str">
        <f>"HD"&amp;A32</f>
        <v>HDT1-3</v>
      </c>
      <c r="B41" s="301" t="s">
        <v>1729</v>
      </c>
      <c r="C41" s="322" t="s">
        <v>2628</v>
      </c>
      <c r="D41" s="301" t="s">
        <v>2629</v>
      </c>
      <c r="E41" s="301" t="s">
        <v>2627</v>
      </c>
      <c r="F41" s="302" t="e">
        <f>ROUND(VLOOKUP(A41,DGHOTLINE,'18.CT-HOTLINE'!$I$2,0),0)</f>
        <v>#N/A</v>
      </c>
      <c r="G41" s="4" t="e">
        <f t="shared" si="2"/>
        <v>#N/A</v>
      </c>
    </row>
    <row r="42" spans="1:7" hidden="1">
      <c r="B42" s="301" t="s">
        <v>1732</v>
      </c>
      <c r="C42" s="322" t="s">
        <v>2630</v>
      </c>
      <c r="D42" s="301" t="s">
        <v>2631</v>
      </c>
      <c r="E42" s="303" t="s">
        <v>2672</v>
      </c>
      <c r="F42" s="302" t="e">
        <f>ROUND(5%*(F37+F38+F39+F40+F41),0)</f>
        <v>#N/A</v>
      </c>
      <c r="G42" s="4" t="e">
        <f t="shared" si="2"/>
        <v>#N/A</v>
      </c>
    </row>
    <row r="43" spans="1:7" hidden="1">
      <c r="A43" s="4" t="str">
        <f>"HL"&amp;A32</f>
        <v>HLT1-3</v>
      </c>
      <c r="B43" s="301"/>
      <c r="C43" s="323" t="s">
        <v>2632</v>
      </c>
      <c r="D43" s="299" t="s">
        <v>1903</v>
      </c>
      <c r="E43" s="299" t="s">
        <v>2673</v>
      </c>
      <c r="F43" s="302" t="e">
        <f>F37+F38+F39+F40+F41+F42</f>
        <v>#N/A</v>
      </c>
      <c r="G43" s="4" t="e">
        <f t="shared" si="2"/>
        <v>#N/A</v>
      </c>
    </row>
    <row r="44" spans="1:7" hidden="1">
      <c r="B44" s="301" t="s">
        <v>1771</v>
      </c>
      <c r="C44" s="322" t="s">
        <v>2633</v>
      </c>
      <c r="D44" s="301"/>
      <c r="E44" s="301" t="str">
        <f>"GTGT = "&amp;$N$108&amp;"% x G"</f>
        <v>GTGT = 0% x G</v>
      </c>
      <c r="F44" s="302" t="e">
        <f>ROUND(F43*N136/100,0)</f>
        <v>#N/A</v>
      </c>
      <c r="G44" s="4" t="e">
        <f t="shared" si="2"/>
        <v>#N/A</v>
      </c>
    </row>
    <row r="45" spans="1:7" ht="18" hidden="1">
      <c r="B45" s="301"/>
      <c r="C45" s="323" t="s">
        <v>2634</v>
      </c>
      <c r="D45" s="299"/>
      <c r="E45" s="299" t="s">
        <v>2635</v>
      </c>
      <c r="F45" s="300" t="e">
        <f>F43+F44</f>
        <v>#N/A</v>
      </c>
      <c r="G45" s="4" t="e">
        <f t="shared" si="2"/>
        <v>#N/A</v>
      </c>
    </row>
    <row r="46" spans="1:7" hidden="1">
      <c r="A46" s="4" t="s">
        <v>1872</v>
      </c>
      <c r="B46" s="435"/>
      <c r="C46" s="438" t="e">
        <f>VLOOKUP(A46,XLDD,'3.XL-DD'!$D$2,0)</f>
        <v>#N/A</v>
      </c>
      <c r="D46" s="436"/>
      <c r="E46" s="435"/>
      <c r="F46" s="437"/>
      <c r="G46" s="4" t="e">
        <f>IF(F59&lt;&gt;0,1,)</f>
        <v>#N/A</v>
      </c>
    </row>
    <row r="47" spans="1:7" hidden="1">
      <c r="B47" s="299" t="s">
        <v>1631</v>
      </c>
      <c r="C47" s="319" t="s">
        <v>1845</v>
      </c>
      <c r="D47" s="304"/>
      <c r="E47" s="303"/>
      <c r="F47" s="320"/>
      <c r="G47" s="4" t="e">
        <f>G46</f>
        <v>#N/A</v>
      </c>
    </row>
    <row r="48" spans="1:7" hidden="1">
      <c r="A48" s="4" t="str">
        <f>A46</f>
        <v>T2</v>
      </c>
      <c r="B48" s="299">
        <v>1</v>
      </c>
      <c r="C48" s="321" t="s">
        <v>2795</v>
      </c>
      <c r="D48" s="301" t="s">
        <v>1849</v>
      </c>
      <c r="E48" s="301" t="str">
        <f>"Chiết tính x "&amp;$L$90</f>
        <v>Chiết tính x 1,4717</v>
      </c>
      <c r="F48" s="302" t="e">
        <f>ROUND(VLOOKUP(A48,DGHOTLINE,'18.CT-HOTLINE'!$P$2,0)*L90,0)</f>
        <v>#N/A</v>
      </c>
      <c r="G48" s="4" t="e">
        <f t="shared" ref="G48:G59" si="3">G47</f>
        <v>#N/A</v>
      </c>
    </row>
    <row r="49" spans="1:7" hidden="1">
      <c r="A49" s="4" t="str">
        <f>A46</f>
        <v>T2</v>
      </c>
      <c r="B49" s="299">
        <v>2</v>
      </c>
      <c r="C49" s="321" t="s">
        <v>2458</v>
      </c>
      <c r="D49" s="301" t="s">
        <v>1630</v>
      </c>
      <c r="E49" s="301" t="s">
        <v>2794</v>
      </c>
      <c r="F49" s="302" t="e">
        <f>ROUND(VLOOKUP(A49,DGHOTLINE,'18.CT-HOTLINE'!$Q$2,0)*0.934,0)</f>
        <v>#N/A</v>
      </c>
      <c r="G49" s="4" t="e">
        <f t="shared" si="3"/>
        <v>#N/A</v>
      </c>
    </row>
    <row r="50" spans="1:7" hidden="1">
      <c r="A50" s="4" t="str">
        <f>A46</f>
        <v>T2</v>
      </c>
      <c r="B50" s="299">
        <v>3</v>
      </c>
      <c r="C50" s="321" t="s">
        <v>2623</v>
      </c>
      <c r="D50" s="301" t="s">
        <v>478</v>
      </c>
      <c r="E50" s="301" t="s">
        <v>2624</v>
      </c>
      <c r="F50" s="302" t="e">
        <f>ROUND(VLOOKUP(A50,DGHOTLINE,'18.CT-HOTLINE'!$R$2,0),0)</f>
        <v>#N/A</v>
      </c>
      <c r="G50" s="4" t="e">
        <f t="shared" si="3"/>
        <v>#N/A</v>
      </c>
    </row>
    <row r="51" spans="1:7" hidden="1">
      <c r="B51" s="299">
        <v>4</v>
      </c>
      <c r="C51" s="321" t="s">
        <v>2625</v>
      </c>
      <c r="D51" s="301" t="s">
        <v>1846</v>
      </c>
      <c r="E51" s="301" t="s">
        <v>2671</v>
      </c>
      <c r="F51" s="302" t="e">
        <f>SUM(F48:F50)</f>
        <v>#N/A</v>
      </c>
      <c r="G51" s="4" t="e">
        <f t="shared" si="3"/>
        <v>#N/A</v>
      </c>
    </row>
    <row r="52" spans="1:7" hidden="1">
      <c r="B52" s="299" t="s">
        <v>1663</v>
      </c>
      <c r="C52" s="319" t="s">
        <v>1858</v>
      </c>
      <c r="D52" s="313" t="s">
        <v>1774</v>
      </c>
      <c r="E52" s="301" t="str">
        <f>$L$108&amp;"% x NC"</f>
        <v>13% x NC</v>
      </c>
      <c r="F52" s="302" t="e">
        <f>ROUND($L$94*F49/100,0)</f>
        <v>#N/A</v>
      </c>
      <c r="G52" s="4" t="e">
        <f t="shared" si="3"/>
        <v>#N/A</v>
      </c>
    </row>
    <row r="53" spans="1:7" hidden="1">
      <c r="B53" s="299" t="s">
        <v>1673</v>
      </c>
      <c r="C53" s="319" t="s">
        <v>1862</v>
      </c>
      <c r="D53" s="313" t="s">
        <v>1863</v>
      </c>
      <c r="E53" s="298" t="str">
        <f>"(T+C)x "&amp;M108&amp;"%"</f>
        <v>(T+C)x 0%</v>
      </c>
      <c r="F53" s="302" t="e">
        <f>ROUND((F51+F52)*$M$108/100,0)</f>
        <v>#N/A</v>
      </c>
      <c r="G53" s="4" t="e">
        <f t="shared" si="3"/>
        <v>#N/A</v>
      </c>
    </row>
    <row r="54" spans="1:7" hidden="1">
      <c r="A54" s="4" t="str">
        <f>"NL"&amp;A46</f>
        <v>NLT2</v>
      </c>
      <c r="B54" s="301" t="s">
        <v>1717</v>
      </c>
      <c r="C54" s="322" t="s">
        <v>2626</v>
      </c>
      <c r="D54" s="301" t="s">
        <v>2682</v>
      </c>
      <c r="E54" s="301" t="s">
        <v>2627</v>
      </c>
      <c r="F54" s="302" t="e">
        <f>ROUND(VLOOKUP(A54,DGHOTLINE,'18.CT-HOTLINE'!$I$2,0),0)</f>
        <v>#N/A</v>
      </c>
      <c r="G54" s="4" t="e">
        <f t="shared" si="3"/>
        <v>#N/A</v>
      </c>
    </row>
    <row r="55" spans="1:7" hidden="1">
      <c r="A55" s="4" t="str">
        <f>"HD"&amp;A46</f>
        <v>HDT2</v>
      </c>
      <c r="B55" s="301" t="s">
        <v>1729</v>
      </c>
      <c r="C55" s="322" t="s">
        <v>2628</v>
      </c>
      <c r="D55" s="301" t="s">
        <v>2629</v>
      </c>
      <c r="E55" s="301" t="s">
        <v>2627</v>
      </c>
      <c r="F55" s="302" t="e">
        <f>ROUND(VLOOKUP(A55,DGHOTLINE,'18.CT-HOTLINE'!$I$2,0),0)</f>
        <v>#N/A</v>
      </c>
      <c r="G55" s="4" t="e">
        <f t="shared" si="3"/>
        <v>#N/A</v>
      </c>
    </row>
    <row r="56" spans="1:7" hidden="1">
      <c r="B56" s="301" t="s">
        <v>1732</v>
      </c>
      <c r="C56" s="322" t="s">
        <v>2630</v>
      </c>
      <c r="D56" s="301" t="s">
        <v>2631</v>
      </c>
      <c r="E56" s="303" t="s">
        <v>2672</v>
      </c>
      <c r="F56" s="302" t="e">
        <f>ROUND(5%*(F51+F52+F53+F54+F55),0)</f>
        <v>#N/A</v>
      </c>
      <c r="G56" s="4" t="e">
        <f t="shared" si="3"/>
        <v>#N/A</v>
      </c>
    </row>
    <row r="57" spans="1:7" hidden="1">
      <c r="A57" s="4" t="str">
        <f>"HL"&amp;A46</f>
        <v>HLT2</v>
      </c>
      <c r="B57" s="301"/>
      <c r="C57" s="323" t="s">
        <v>2632</v>
      </c>
      <c r="D57" s="299" t="s">
        <v>1903</v>
      </c>
      <c r="E57" s="299" t="s">
        <v>2673</v>
      </c>
      <c r="F57" s="302" t="e">
        <f>F51+F52+F53+F54+F55+F56</f>
        <v>#N/A</v>
      </c>
      <c r="G57" s="4" t="e">
        <f t="shared" si="3"/>
        <v>#N/A</v>
      </c>
    </row>
    <row r="58" spans="1:7" hidden="1">
      <c r="B58" s="301" t="s">
        <v>1771</v>
      </c>
      <c r="C58" s="322" t="s">
        <v>2633</v>
      </c>
      <c r="D58" s="301"/>
      <c r="E58" s="301" t="str">
        <f>"GTGT = "&amp;$N$108&amp;"% x G"</f>
        <v>GTGT = 0% x G</v>
      </c>
      <c r="F58" s="302" t="e">
        <f>ROUND(F57*$N$108/100,0)</f>
        <v>#N/A</v>
      </c>
      <c r="G58" s="4" t="e">
        <f t="shared" si="3"/>
        <v>#N/A</v>
      </c>
    </row>
    <row r="59" spans="1:7" ht="18" hidden="1">
      <c r="B59" s="301"/>
      <c r="C59" s="323" t="s">
        <v>2634</v>
      </c>
      <c r="D59" s="299"/>
      <c r="E59" s="299" t="s">
        <v>2635</v>
      </c>
      <c r="F59" s="300" t="e">
        <f>F57+F58</f>
        <v>#N/A</v>
      </c>
      <c r="G59" s="4" t="e">
        <f t="shared" si="3"/>
        <v>#N/A</v>
      </c>
    </row>
    <row r="60" spans="1:7" hidden="1">
      <c r="A60" s="4" t="s">
        <v>2586</v>
      </c>
      <c r="B60" s="435"/>
      <c r="C60" s="438" t="e">
        <f>VLOOKUP(A60,XLDD,'3.XL-DD'!$D$2,0)</f>
        <v>#N/A</v>
      </c>
      <c r="D60" s="436"/>
      <c r="E60" s="435"/>
      <c r="F60" s="437"/>
      <c r="G60" s="4" t="e">
        <f>IF(F73&lt;&gt;0,1,)</f>
        <v>#N/A</v>
      </c>
    </row>
    <row r="61" spans="1:7" hidden="1">
      <c r="B61" s="299" t="s">
        <v>1631</v>
      </c>
      <c r="C61" s="319" t="s">
        <v>1845</v>
      </c>
      <c r="D61" s="304"/>
      <c r="E61" s="303"/>
      <c r="F61" s="320"/>
      <c r="G61" s="4" t="e">
        <f>G60</f>
        <v>#N/A</v>
      </c>
    </row>
    <row r="62" spans="1:7" hidden="1">
      <c r="A62" s="4" t="str">
        <f>A60</f>
        <v>T2-2</v>
      </c>
      <c r="B62" s="299">
        <v>1</v>
      </c>
      <c r="C62" s="321" t="s">
        <v>2795</v>
      </c>
      <c r="D62" s="301" t="s">
        <v>1849</v>
      </c>
      <c r="E62" s="301" t="str">
        <f>"Chiết tính x "&amp;$L$90</f>
        <v>Chiết tính x 1,4717</v>
      </c>
      <c r="F62" s="302" t="e">
        <f>ROUND(VLOOKUP(A62,DGHOTLINE,'18.CT-HOTLINE'!$P$2,0)*L90,0)</f>
        <v>#N/A</v>
      </c>
      <c r="G62" s="4" t="e">
        <f t="shared" ref="G62:G73" si="4">G61</f>
        <v>#N/A</v>
      </c>
    </row>
    <row r="63" spans="1:7" hidden="1">
      <c r="A63" s="4" t="str">
        <f>A60</f>
        <v>T2-2</v>
      </c>
      <c r="B63" s="299">
        <v>2</v>
      </c>
      <c r="C63" s="321" t="s">
        <v>2458</v>
      </c>
      <c r="D63" s="301" t="s">
        <v>1630</v>
      </c>
      <c r="E63" s="301" t="s">
        <v>2794</v>
      </c>
      <c r="F63" s="302" t="e">
        <f>ROUND(VLOOKUP(A63,DGHOTLINE,'18.CT-HOTLINE'!$Q$2,0)*0.934,0)</f>
        <v>#N/A</v>
      </c>
      <c r="G63" s="4" t="e">
        <f t="shared" si="4"/>
        <v>#N/A</v>
      </c>
    </row>
    <row r="64" spans="1:7" hidden="1">
      <c r="A64" s="4" t="str">
        <f>A60</f>
        <v>T2-2</v>
      </c>
      <c r="B64" s="299">
        <v>3</v>
      </c>
      <c r="C64" s="321" t="s">
        <v>2623</v>
      </c>
      <c r="D64" s="301" t="s">
        <v>478</v>
      </c>
      <c r="E64" s="301" t="s">
        <v>2624</v>
      </c>
      <c r="F64" s="302" t="e">
        <f>ROUND(VLOOKUP(A64,DGHOTLINE,'18.CT-HOTLINE'!$R$2,0),0)</f>
        <v>#N/A</v>
      </c>
      <c r="G64" s="4" t="e">
        <f t="shared" si="4"/>
        <v>#N/A</v>
      </c>
    </row>
    <row r="65" spans="1:7" hidden="1">
      <c r="B65" s="299">
        <v>4</v>
      </c>
      <c r="C65" s="321" t="s">
        <v>2625</v>
      </c>
      <c r="D65" s="301" t="s">
        <v>1846</v>
      </c>
      <c r="E65" s="301" t="s">
        <v>2671</v>
      </c>
      <c r="F65" s="302" t="e">
        <f>SUM(F62:F64)</f>
        <v>#N/A</v>
      </c>
      <c r="G65" s="4" t="e">
        <f t="shared" si="4"/>
        <v>#N/A</v>
      </c>
    </row>
    <row r="66" spans="1:7" hidden="1">
      <c r="B66" s="299" t="s">
        <v>1663</v>
      </c>
      <c r="C66" s="319" t="s">
        <v>1858</v>
      </c>
      <c r="D66" s="313" t="s">
        <v>1774</v>
      </c>
      <c r="E66" s="301" t="str">
        <f>$L$108&amp;"% x NC"</f>
        <v>13% x NC</v>
      </c>
      <c r="F66" s="302" t="e">
        <f>ROUND($L$94*F63/100,0)</f>
        <v>#N/A</v>
      </c>
      <c r="G66" s="4" t="e">
        <f t="shared" si="4"/>
        <v>#N/A</v>
      </c>
    </row>
    <row r="67" spans="1:7" hidden="1">
      <c r="B67" s="299" t="s">
        <v>1673</v>
      </c>
      <c r="C67" s="319" t="s">
        <v>1862</v>
      </c>
      <c r="D67" s="313" t="s">
        <v>1863</v>
      </c>
      <c r="E67" s="298" t="str">
        <f>"(T+C)x "&amp;$M$108&amp;"%"</f>
        <v>(T+C)x 0%</v>
      </c>
      <c r="F67" s="302" t="e">
        <f>ROUND((F65+F66)*$M$108/100,0)</f>
        <v>#N/A</v>
      </c>
      <c r="G67" s="4" t="e">
        <f t="shared" si="4"/>
        <v>#N/A</v>
      </c>
    </row>
    <row r="68" spans="1:7" hidden="1">
      <c r="A68" s="4" t="str">
        <f>"NL"&amp;A60</f>
        <v>NLT2-2</v>
      </c>
      <c r="B68" s="301" t="s">
        <v>1717</v>
      </c>
      <c r="C68" s="322" t="s">
        <v>2626</v>
      </c>
      <c r="D68" s="301" t="s">
        <v>2682</v>
      </c>
      <c r="E68" s="301" t="s">
        <v>2627</v>
      </c>
      <c r="F68" s="302" t="e">
        <f>ROUND(VLOOKUP(A68,DGHOTLINE,'18.CT-HOTLINE'!$I$2,0),0)</f>
        <v>#N/A</v>
      </c>
      <c r="G68" s="4" t="e">
        <f t="shared" si="4"/>
        <v>#N/A</v>
      </c>
    </row>
    <row r="69" spans="1:7" hidden="1">
      <c r="A69" s="4" t="str">
        <f>"HD"&amp;A60</f>
        <v>HDT2-2</v>
      </c>
      <c r="B69" s="301" t="s">
        <v>1729</v>
      </c>
      <c r="C69" s="322" t="s">
        <v>2628</v>
      </c>
      <c r="D69" s="301" t="s">
        <v>2629</v>
      </c>
      <c r="E69" s="301" t="s">
        <v>2627</v>
      </c>
      <c r="F69" s="302" t="e">
        <f>ROUND(VLOOKUP(A69,DGHOTLINE,'18.CT-HOTLINE'!$I$2,0),0)</f>
        <v>#N/A</v>
      </c>
      <c r="G69" s="4" t="e">
        <f t="shared" si="4"/>
        <v>#N/A</v>
      </c>
    </row>
    <row r="70" spans="1:7" hidden="1">
      <c r="B70" s="301" t="s">
        <v>1732</v>
      </c>
      <c r="C70" s="322" t="s">
        <v>2630</v>
      </c>
      <c r="D70" s="301" t="s">
        <v>2631</v>
      </c>
      <c r="E70" s="303" t="s">
        <v>2672</v>
      </c>
      <c r="F70" s="302" t="e">
        <f>ROUND(5%*(F65+F66+F67+F68+F69),0)</f>
        <v>#N/A</v>
      </c>
      <c r="G70" s="4" t="e">
        <f t="shared" si="4"/>
        <v>#N/A</v>
      </c>
    </row>
    <row r="71" spans="1:7" hidden="1">
      <c r="A71" s="4" t="str">
        <f>"HL"&amp;A60</f>
        <v>HLT2-2</v>
      </c>
      <c r="B71" s="301"/>
      <c r="C71" s="323" t="s">
        <v>2632</v>
      </c>
      <c r="D71" s="299" t="s">
        <v>1903</v>
      </c>
      <c r="E71" s="299" t="s">
        <v>2673</v>
      </c>
      <c r="F71" s="302" t="e">
        <f>F65+F66+F67+F68+F69+F70</f>
        <v>#N/A</v>
      </c>
      <c r="G71" s="4" t="e">
        <f t="shared" si="4"/>
        <v>#N/A</v>
      </c>
    </row>
    <row r="72" spans="1:7" hidden="1">
      <c r="B72" s="301" t="s">
        <v>1771</v>
      </c>
      <c r="C72" s="322" t="s">
        <v>2633</v>
      </c>
      <c r="D72" s="301"/>
      <c r="E72" s="301" t="str">
        <f>"GTGT = "&amp;$N$108&amp;"% x G"</f>
        <v>GTGT = 0% x G</v>
      </c>
      <c r="F72" s="302" t="e">
        <f>ROUND(F71*$N$9/100,0)</f>
        <v>#N/A</v>
      </c>
      <c r="G72" s="4" t="e">
        <f t="shared" si="4"/>
        <v>#N/A</v>
      </c>
    </row>
    <row r="73" spans="1:7" ht="18" hidden="1">
      <c r="B73" s="301"/>
      <c r="C73" s="323" t="s">
        <v>2634</v>
      </c>
      <c r="D73" s="299"/>
      <c r="E73" s="299" t="s">
        <v>2635</v>
      </c>
      <c r="F73" s="300" t="e">
        <f>F71+F72</f>
        <v>#N/A</v>
      </c>
      <c r="G73" s="4" t="e">
        <f t="shared" si="4"/>
        <v>#N/A</v>
      </c>
    </row>
    <row r="74" spans="1:7" hidden="1">
      <c r="A74" s="4" t="s">
        <v>2587</v>
      </c>
      <c r="B74" s="435"/>
      <c r="C74" s="438" t="e">
        <f>VLOOKUP(A74,XLDD,'3.XL-DD'!$D$2,0)</f>
        <v>#N/A</v>
      </c>
      <c r="D74" s="436"/>
      <c r="E74" s="435"/>
      <c r="F74" s="437"/>
      <c r="G74" s="4" t="e">
        <f>IF(F87&lt;&gt;0,1,)</f>
        <v>#N/A</v>
      </c>
    </row>
    <row r="75" spans="1:7" hidden="1">
      <c r="B75" s="299" t="s">
        <v>1631</v>
      </c>
      <c r="C75" s="319" t="s">
        <v>1845</v>
      </c>
      <c r="D75" s="304"/>
      <c r="E75" s="303"/>
      <c r="F75" s="320"/>
      <c r="G75" s="4" t="e">
        <f>G74</f>
        <v>#N/A</v>
      </c>
    </row>
    <row r="76" spans="1:7" hidden="1">
      <c r="A76" s="4" t="str">
        <f>A74</f>
        <v>T2-3</v>
      </c>
      <c r="B76" s="299">
        <v>1</v>
      </c>
      <c r="C76" s="321" t="s">
        <v>2622</v>
      </c>
      <c r="D76" s="301" t="s">
        <v>1849</v>
      </c>
      <c r="E76" s="301" t="str">
        <f>"Chiết tính x "&amp;$L$90</f>
        <v>Chiết tính x 1,4717</v>
      </c>
      <c r="F76" s="302" t="e">
        <f>ROUND(VLOOKUP(A76,DGHOTLINE,'18.CT-HOTLINE'!$P$2,0)*L160,0)</f>
        <v>#N/A</v>
      </c>
      <c r="G76" s="4" t="e">
        <f t="shared" ref="G76:G87" si="5">G75</f>
        <v>#N/A</v>
      </c>
    </row>
    <row r="77" spans="1:7" hidden="1">
      <c r="A77" s="4" t="str">
        <f>A74</f>
        <v>T2-3</v>
      </c>
      <c r="B77" s="299">
        <v>2</v>
      </c>
      <c r="C77" s="321" t="s">
        <v>2458</v>
      </c>
      <c r="D77" s="301" t="s">
        <v>1630</v>
      </c>
      <c r="E77" s="301" t="s">
        <v>2624</v>
      </c>
      <c r="F77" s="302" t="e">
        <f>ROUND(VLOOKUP(A77,DGHOTLINE,'18.CT-HOTLINE'!$Q$2,0),0)</f>
        <v>#N/A</v>
      </c>
      <c r="G77" s="4" t="e">
        <f t="shared" si="5"/>
        <v>#N/A</v>
      </c>
    </row>
    <row r="78" spans="1:7" hidden="1">
      <c r="A78" s="4" t="str">
        <f>A74</f>
        <v>T2-3</v>
      </c>
      <c r="B78" s="299">
        <v>3</v>
      </c>
      <c r="C78" s="321" t="s">
        <v>2623</v>
      </c>
      <c r="D78" s="301" t="s">
        <v>478</v>
      </c>
      <c r="E78" s="301" t="s">
        <v>2624</v>
      </c>
      <c r="F78" s="302" t="e">
        <f>ROUND(VLOOKUP(A78,DGHOTLINE,'18.CT-HOTLINE'!$R$2,0),0)</f>
        <v>#N/A</v>
      </c>
      <c r="G78" s="4" t="e">
        <f t="shared" si="5"/>
        <v>#N/A</v>
      </c>
    </row>
    <row r="79" spans="1:7" hidden="1">
      <c r="B79" s="299">
        <v>4</v>
      </c>
      <c r="C79" s="321" t="s">
        <v>2625</v>
      </c>
      <c r="D79" s="301" t="s">
        <v>1846</v>
      </c>
      <c r="E79" s="301" t="s">
        <v>2671</v>
      </c>
      <c r="F79" s="302" t="e">
        <f>SUM(F76:F78)</f>
        <v>#N/A</v>
      </c>
      <c r="G79" s="4" t="e">
        <f t="shared" si="5"/>
        <v>#N/A</v>
      </c>
    </row>
    <row r="80" spans="1:7" hidden="1">
      <c r="B80" s="299" t="s">
        <v>1663</v>
      </c>
      <c r="C80" s="319" t="s">
        <v>1858</v>
      </c>
      <c r="D80" s="313" t="s">
        <v>1774</v>
      </c>
      <c r="E80" s="301" t="str">
        <f>$L$108&amp;"% x NC"</f>
        <v>13% x NC</v>
      </c>
      <c r="F80" s="302" t="e">
        <f>ROUND($L$94*F77/100,0)</f>
        <v>#N/A</v>
      </c>
      <c r="G80" s="4" t="e">
        <f t="shared" si="5"/>
        <v>#N/A</v>
      </c>
    </row>
    <row r="81" spans="1:12" hidden="1">
      <c r="B81" s="299" t="s">
        <v>1673</v>
      </c>
      <c r="C81" s="319" t="s">
        <v>1862</v>
      </c>
      <c r="D81" s="313" t="s">
        <v>1863</v>
      </c>
      <c r="E81" s="298" t="str">
        <f>"(T+C)x "&amp;M178&amp;"%"</f>
        <v>(T+C)x %</v>
      </c>
      <c r="F81" s="302" t="e">
        <f>ROUND((F79+F80)*M178/100,0)</f>
        <v>#N/A</v>
      </c>
      <c r="G81" s="4" t="e">
        <f t="shared" si="5"/>
        <v>#N/A</v>
      </c>
    </row>
    <row r="82" spans="1:12" hidden="1">
      <c r="A82" s="4" t="str">
        <f>"NL"&amp;A74</f>
        <v>NLT2-3</v>
      </c>
      <c r="B82" s="301" t="s">
        <v>1717</v>
      </c>
      <c r="C82" s="322" t="s">
        <v>2626</v>
      </c>
      <c r="D82" s="301" t="s">
        <v>2682</v>
      </c>
      <c r="E82" s="301" t="s">
        <v>2627</v>
      </c>
      <c r="F82" s="302" t="e">
        <f>ROUND(VLOOKUP(A82,DGHOTLINE,'18.CT-HOTLINE'!$I$2,0),0)</f>
        <v>#N/A</v>
      </c>
      <c r="G82" s="4" t="e">
        <f t="shared" si="5"/>
        <v>#N/A</v>
      </c>
    </row>
    <row r="83" spans="1:12" hidden="1">
      <c r="A83" s="4" t="str">
        <f>"HD"&amp;A74</f>
        <v>HDT2-3</v>
      </c>
      <c r="B83" s="301" t="s">
        <v>1729</v>
      </c>
      <c r="C83" s="322" t="s">
        <v>2628</v>
      </c>
      <c r="D83" s="301" t="s">
        <v>2629</v>
      </c>
      <c r="E83" s="301" t="s">
        <v>2627</v>
      </c>
      <c r="F83" s="302" t="e">
        <f>ROUND(VLOOKUP(A83,DGHOTLINE,'18.CT-HOTLINE'!$I$2,0),0)</f>
        <v>#N/A</v>
      </c>
      <c r="G83" s="4" t="e">
        <f t="shared" si="5"/>
        <v>#N/A</v>
      </c>
    </row>
    <row r="84" spans="1:12" hidden="1">
      <c r="B84" s="301" t="s">
        <v>1732</v>
      </c>
      <c r="C84" s="322" t="s">
        <v>2630</v>
      </c>
      <c r="D84" s="301" t="s">
        <v>2631</v>
      </c>
      <c r="E84" s="303" t="s">
        <v>2672</v>
      </c>
      <c r="F84" s="302" t="e">
        <f>ROUND(5%*(F79+F80+F81+F82+F83),0)</f>
        <v>#N/A</v>
      </c>
      <c r="G84" s="4" t="e">
        <f t="shared" si="5"/>
        <v>#N/A</v>
      </c>
    </row>
    <row r="85" spans="1:12" hidden="1">
      <c r="A85" s="4" t="str">
        <f>"HL"&amp;A74</f>
        <v>HLT2-3</v>
      </c>
      <c r="B85" s="301"/>
      <c r="C85" s="323" t="s">
        <v>2632</v>
      </c>
      <c r="D85" s="299" t="s">
        <v>1903</v>
      </c>
      <c r="E85" s="299" t="s">
        <v>2673</v>
      </c>
      <c r="F85" s="302" t="e">
        <f>F79+F80+F81+F82+F83+F84</f>
        <v>#N/A</v>
      </c>
      <c r="G85" s="4" t="e">
        <f t="shared" si="5"/>
        <v>#N/A</v>
      </c>
    </row>
    <row r="86" spans="1:12" hidden="1">
      <c r="B86" s="301" t="s">
        <v>1771</v>
      </c>
      <c r="C86" s="322" t="s">
        <v>2633</v>
      </c>
      <c r="D86" s="301"/>
      <c r="E86" s="301" t="str">
        <f>"GTGT = "&amp;$N$108&amp;"% x G"</f>
        <v>GTGT = 0% x G</v>
      </c>
      <c r="F86" s="302" t="e">
        <f>ROUND(F85*N178/100,0)</f>
        <v>#N/A</v>
      </c>
      <c r="G86" s="4" t="e">
        <f t="shared" si="5"/>
        <v>#N/A</v>
      </c>
    </row>
    <row r="87" spans="1:12" ht="18" hidden="1">
      <c r="B87" s="301"/>
      <c r="C87" s="323" t="s">
        <v>2634</v>
      </c>
      <c r="D87" s="299"/>
      <c r="E87" s="299" t="s">
        <v>2635</v>
      </c>
      <c r="F87" s="300" t="e">
        <f>F85+F86</f>
        <v>#N/A</v>
      </c>
      <c r="G87" s="4" t="e">
        <f t="shared" si="5"/>
        <v>#N/A</v>
      </c>
    </row>
    <row r="88" spans="1:12" hidden="1"/>
    <row r="90" spans="1:12">
      <c r="K90" s="290" t="s">
        <v>1765</v>
      </c>
      <c r="L90" s="318">
        <f>ROUND(L92/L91,4)</f>
        <v>1.4717</v>
      </c>
    </row>
    <row r="91" spans="1:12">
      <c r="K91" s="290" t="s">
        <v>2636</v>
      </c>
      <c r="L91" s="278">
        <v>15455</v>
      </c>
    </row>
    <row r="92" spans="1:12">
      <c r="K92" s="290" t="s">
        <v>2637</v>
      </c>
      <c r="L92" s="278">
        <v>22745</v>
      </c>
    </row>
    <row r="93" spans="1:12">
      <c r="K93" s="290" t="s">
        <v>2638</v>
      </c>
      <c r="L93" s="310">
        <f>L104</f>
        <v>0.85106382978723405</v>
      </c>
    </row>
    <row r="94" spans="1:12">
      <c r="K94" s="290" t="s">
        <v>2639</v>
      </c>
      <c r="L94" s="290">
        <v>65</v>
      </c>
    </row>
    <row r="95" spans="1:12">
      <c r="K95" s="290" t="s">
        <v>2640</v>
      </c>
      <c r="L95" s="311">
        <v>6</v>
      </c>
    </row>
    <row r="96" spans="1:12">
      <c r="K96" s="290" t="s">
        <v>2641</v>
      </c>
      <c r="L96" s="312">
        <f>N108</f>
        <v>0</v>
      </c>
    </row>
    <row r="97" spans="11:14">
      <c r="K97" s="290"/>
      <c r="L97" s="290"/>
    </row>
    <row r="101" spans="11:14">
      <c r="K101" s="305" t="s">
        <v>2642</v>
      </c>
      <c r="L101" s="306" t="s">
        <v>2638</v>
      </c>
    </row>
    <row r="102" spans="11:14">
      <c r="K102" s="305">
        <v>1</v>
      </c>
      <c r="L102" s="307">
        <v>1</v>
      </c>
    </row>
    <row r="103" spans="11:14">
      <c r="K103" s="305">
        <v>2</v>
      </c>
      <c r="L103" s="308">
        <f>2150000/2350000</f>
        <v>0.91489361702127658</v>
      </c>
    </row>
    <row r="104" spans="11:14">
      <c r="K104" s="305">
        <v>3</v>
      </c>
      <c r="L104" s="308">
        <f>2000000/2350000</f>
        <v>0.85106382978723405</v>
      </c>
    </row>
    <row r="106" spans="11:14">
      <c r="K106" s="313" t="s">
        <v>2643</v>
      </c>
      <c r="L106" s="314" t="s">
        <v>2650</v>
      </c>
      <c r="M106" s="313" t="s">
        <v>2651</v>
      </c>
      <c r="N106" s="314" t="s">
        <v>2652</v>
      </c>
    </row>
    <row r="107" spans="11:14">
      <c r="K107" s="305" t="s">
        <v>408</v>
      </c>
      <c r="L107" s="422">
        <v>15</v>
      </c>
      <c r="M107" s="423">
        <v>0</v>
      </c>
      <c r="N107" s="422">
        <v>0</v>
      </c>
    </row>
    <row r="108" spans="11:14">
      <c r="K108" s="305" t="s">
        <v>2644</v>
      </c>
      <c r="L108" s="422">
        <v>13</v>
      </c>
      <c r="M108" s="423">
        <v>0</v>
      </c>
      <c r="N108" s="422">
        <v>0</v>
      </c>
    </row>
    <row r="109" spans="11:14">
      <c r="K109" s="305" t="s">
        <v>2645</v>
      </c>
      <c r="L109" s="422">
        <v>65</v>
      </c>
      <c r="M109" s="423">
        <v>6</v>
      </c>
      <c r="N109" s="422">
        <v>10</v>
      </c>
    </row>
    <row r="111" spans="11:14">
      <c r="K111" s="305" t="s">
        <v>2646</v>
      </c>
      <c r="L111" s="309">
        <f>L92</f>
        <v>22745</v>
      </c>
    </row>
    <row r="112" spans="11:14">
      <c r="K112" s="305" t="s">
        <v>2647</v>
      </c>
      <c r="L112" s="309">
        <v>15570</v>
      </c>
    </row>
    <row r="113" spans="11:12">
      <c r="K113" s="305" t="s">
        <v>2648</v>
      </c>
      <c r="L113" s="309">
        <v>32</v>
      </c>
    </row>
    <row r="114" spans="11:12">
      <c r="K114" s="305" t="s">
        <v>2649</v>
      </c>
      <c r="L114" s="309">
        <v>64</v>
      </c>
    </row>
    <row r="116" spans="11:12">
      <c r="K116" s="305" t="s">
        <v>2653</v>
      </c>
      <c r="L116" s="317"/>
    </row>
    <row r="117" spans="11:12">
      <c r="K117" s="305" t="s">
        <v>2654</v>
      </c>
      <c r="L117" s="315"/>
    </row>
    <row r="118" spans="11:12">
      <c r="K118" s="305" t="s">
        <v>2642</v>
      </c>
      <c r="L118" s="307">
        <v>3</v>
      </c>
    </row>
    <row r="119" spans="11:12">
      <c r="K119" s="305" t="s">
        <v>2655</v>
      </c>
      <c r="L119" s="315" t="s">
        <v>2645</v>
      </c>
    </row>
    <row r="120" spans="11:12">
      <c r="K120" s="305" t="s">
        <v>2656</v>
      </c>
      <c r="L120" s="316">
        <v>15</v>
      </c>
    </row>
    <row r="121" spans="11:12">
      <c r="K121" s="305" t="s">
        <v>2657</v>
      </c>
      <c r="L121" s="306"/>
    </row>
    <row r="122" spans="11:12">
      <c r="K122" s="305" t="s">
        <v>2658</v>
      </c>
      <c r="L122" s="306"/>
    </row>
    <row r="123" spans="11:12">
      <c r="K123" s="305" t="s">
        <v>2659</v>
      </c>
      <c r="L123" s="306"/>
    </row>
  </sheetData>
  <autoFilter ref="G4:G88" xr:uid="{00000000-0009-0000-0000-000012000000}">
    <filterColumn colId="0">
      <filters>
        <filter val="1"/>
      </filters>
    </filterColumn>
  </autoFilter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B2:Z30"/>
  <sheetViews>
    <sheetView view="pageBreakPreview" topLeftCell="H1" zoomScaleNormal="100" zoomScaleSheetLayoutView="100" workbookViewId="0">
      <selection activeCell="W12" sqref="W12"/>
    </sheetView>
  </sheetViews>
  <sheetFormatPr defaultColWidth="9.109375" defaultRowHeight="15.6"/>
  <cols>
    <col min="1" max="2" width="9.109375" style="399"/>
    <col min="3" max="3" width="9.109375" style="420"/>
    <col min="4" max="4" width="11.109375" style="399" customWidth="1"/>
    <col min="5" max="5" width="20" style="399" customWidth="1"/>
    <col min="6" max="6" width="19.44140625" style="399" customWidth="1"/>
    <col min="7" max="7" width="23.88671875" style="399" customWidth="1"/>
    <col min="8" max="8" width="8.109375" style="399" customWidth="1"/>
    <col min="9" max="9" width="8.5546875" style="399" customWidth="1"/>
    <col min="10" max="10" width="6.109375" style="399" customWidth="1"/>
    <col min="11" max="12" width="9.33203125" style="399" bestFit="1" customWidth="1"/>
    <col min="13" max="13" width="9.88671875" style="399" customWidth="1"/>
    <col min="14" max="15" width="10.33203125" style="399" customWidth="1"/>
    <col min="16" max="16" width="9.88671875" style="399" customWidth="1"/>
    <col min="17" max="18" width="11.33203125" style="399" bestFit="1" customWidth="1"/>
    <col min="19" max="19" width="13" style="399" customWidth="1"/>
    <col min="20" max="20" width="9.5546875" style="399" hidden="1" customWidth="1"/>
    <col min="21" max="22" width="10" style="399" customWidth="1"/>
    <col min="23" max="23" width="9.109375" style="399"/>
    <col min="24" max="24" width="18.88671875" style="399" customWidth="1"/>
    <col min="25" max="25" width="10.6640625" style="399" bestFit="1" customWidth="1"/>
    <col min="26" max="26" width="10.109375" style="399" bestFit="1" customWidth="1"/>
    <col min="27" max="16384" width="9.109375" style="399"/>
  </cols>
  <sheetData>
    <row r="2" spans="2:26">
      <c r="B2" s="430">
        <v>1</v>
      </c>
      <c r="C2" s="430">
        <v>2</v>
      </c>
      <c r="D2" s="430">
        <v>3</v>
      </c>
      <c r="E2" s="430">
        <v>4</v>
      </c>
      <c r="F2" s="430">
        <v>5</v>
      </c>
      <c r="G2" s="430">
        <v>6</v>
      </c>
      <c r="H2" s="430">
        <v>7</v>
      </c>
      <c r="I2" s="434">
        <v>8</v>
      </c>
      <c r="J2" s="430">
        <v>9</v>
      </c>
      <c r="K2" s="430">
        <v>10</v>
      </c>
      <c r="L2" s="430">
        <v>11</v>
      </c>
      <c r="M2" s="430">
        <v>12</v>
      </c>
      <c r="N2" s="430">
        <v>13</v>
      </c>
      <c r="O2" s="430">
        <v>14</v>
      </c>
      <c r="P2" s="434">
        <v>15</v>
      </c>
      <c r="Q2" s="434">
        <v>16</v>
      </c>
      <c r="R2" s="434">
        <v>17</v>
      </c>
      <c r="S2" s="430">
        <v>18</v>
      </c>
      <c r="T2" s="430">
        <v>19</v>
      </c>
    </row>
    <row r="3" spans="2:26">
      <c r="D3" s="410" t="s">
        <v>4015</v>
      </c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</row>
    <row r="4" spans="2:26">
      <c r="C4" s="400"/>
      <c r="D4" s="400"/>
      <c r="E4" s="1054"/>
      <c r="F4" s="1054"/>
      <c r="G4" s="1054"/>
      <c r="H4" s="1054"/>
      <c r="I4" s="1054"/>
      <c r="J4" s="1054"/>
      <c r="K4" s="1054"/>
      <c r="L4" s="1054"/>
      <c r="M4" s="1054"/>
      <c r="N4" s="1054"/>
      <c r="O4" s="1054"/>
      <c r="P4" s="1054"/>
      <c r="Q4" s="1054"/>
      <c r="R4" s="1054"/>
      <c r="S4" s="1054"/>
      <c r="T4" s="1054"/>
    </row>
    <row r="5" spans="2:26">
      <c r="C5" s="432" t="s">
        <v>1631</v>
      </c>
      <c r="D5" s="1055" t="s">
        <v>3979</v>
      </c>
      <c r="E5" s="1055"/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5"/>
      <c r="T5" s="1055"/>
    </row>
    <row r="6" spans="2:26" ht="15.75" customHeight="1">
      <c r="C6" s="433"/>
      <c r="D6" s="1045" t="s">
        <v>2660</v>
      </c>
      <c r="E6" s="1050" t="s">
        <v>2600</v>
      </c>
      <c r="F6" s="1051"/>
      <c r="G6" s="1051"/>
      <c r="H6" s="1045" t="s">
        <v>1747</v>
      </c>
      <c r="I6" s="1048" t="s">
        <v>2670</v>
      </c>
      <c r="J6" s="1045" t="s">
        <v>1877</v>
      </c>
      <c r="K6" s="1046" t="s">
        <v>2253</v>
      </c>
      <c r="L6" s="1047"/>
      <c r="M6" s="1045" t="s">
        <v>1626</v>
      </c>
      <c r="N6" s="1045"/>
      <c r="O6" s="1045"/>
      <c r="P6" s="1045" t="s">
        <v>1627</v>
      </c>
      <c r="Q6" s="1045"/>
      <c r="R6" s="1045"/>
      <c r="S6" s="1048" t="s">
        <v>1398</v>
      </c>
      <c r="T6" s="803"/>
      <c r="U6" s="1045"/>
      <c r="V6" s="1045"/>
    </row>
    <row r="7" spans="2:26" ht="31.2">
      <c r="C7" s="400"/>
      <c r="D7" s="1045"/>
      <c r="E7" s="1052"/>
      <c r="F7" s="1053"/>
      <c r="G7" s="1053"/>
      <c r="H7" s="1045"/>
      <c r="I7" s="1049"/>
      <c r="J7" s="1045"/>
      <c r="K7" s="401" t="s">
        <v>2668</v>
      </c>
      <c r="L7" s="401" t="s">
        <v>2669</v>
      </c>
      <c r="M7" s="401" t="s">
        <v>1897</v>
      </c>
      <c r="N7" s="401" t="s">
        <v>2661</v>
      </c>
      <c r="O7" s="401" t="s">
        <v>478</v>
      </c>
      <c r="P7" s="401" t="s">
        <v>1897</v>
      </c>
      <c r="Q7" s="401" t="s">
        <v>2661</v>
      </c>
      <c r="R7" s="401" t="s">
        <v>478</v>
      </c>
      <c r="S7" s="1049"/>
      <c r="T7" s="788"/>
      <c r="U7" s="401"/>
      <c r="V7" s="401"/>
    </row>
    <row r="8" spans="2:26" s="427" customFormat="1">
      <c r="B8" s="427" t="s">
        <v>1844</v>
      </c>
      <c r="C8" s="400">
        <f>IF(SUM(C9:C27)&lt;&gt;0,1,)</f>
        <v>1</v>
      </c>
      <c r="D8" s="424">
        <f>IF(C8&lt;&gt;0,1,)</f>
        <v>1</v>
      </c>
      <c r="E8" s="431" t="str">
        <f>VLOOKUP(B8,XLDD,'3.XL-DD'!$D$2,0)</f>
        <v>Phần đường dây trung thế</v>
      </c>
      <c r="F8" s="425"/>
      <c r="G8" s="426"/>
      <c r="H8" s="424"/>
      <c r="I8" s="424"/>
      <c r="J8" s="424"/>
      <c r="K8" s="424"/>
      <c r="L8" s="424"/>
      <c r="M8" s="424"/>
      <c r="N8" s="424"/>
      <c r="O8" s="424"/>
      <c r="P8" s="428">
        <f>SUM(P9:P27)</f>
        <v>4132389</v>
      </c>
      <c r="Q8" s="428">
        <f>SUM(Q9:Q27)</f>
        <v>15159728</v>
      </c>
      <c r="R8" s="428">
        <f>SUM(R9:R27)</f>
        <v>33507810</v>
      </c>
      <c r="S8" s="429"/>
      <c r="T8" s="429"/>
      <c r="U8" s="424"/>
      <c r="V8" s="424"/>
    </row>
    <row r="9" spans="2:26" s="419" customFormat="1" hidden="1">
      <c r="C9" s="791">
        <f>IF(J9&lt;&gt;0,1,)</f>
        <v>0</v>
      </c>
      <c r="D9" s="792" t="s">
        <v>3923</v>
      </c>
      <c r="E9" s="793" t="s">
        <v>3924</v>
      </c>
      <c r="F9" s="794"/>
      <c r="G9" s="794"/>
      <c r="H9" s="792" t="s">
        <v>2675</v>
      </c>
      <c r="I9" s="792" t="s">
        <v>2684</v>
      </c>
      <c r="J9" s="792"/>
      <c r="K9" s="795">
        <v>0.8</v>
      </c>
      <c r="L9" s="792">
        <v>1</v>
      </c>
      <c r="M9" s="796">
        <v>132343</v>
      </c>
      <c r="N9" s="797">
        <v>609218</v>
      </c>
      <c r="O9" s="797">
        <v>1575861</v>
      </c>
      <c r="P9" s="797">
        <f>ROUND(J9*M9,0)</f>
        <v>0</v>
      </c>
      <c r="Q9" s="797">
        <f>IF(I9="M",ROUND(J9*K9*N9,0),ROUND(J9*L9*N9,0))</f>
        <v>0</v>
      </c>
      <c r="R9" s="797">
        <f>ROUND(J9*O9,0)</f>
        <v>0</v>
      </c>
      <c r="S9" s="798"/>
      <c r="T9" s="798"/>
      <c r="U9" s="799"/>
      <c r="V9" s="799"/>
      <c r="X9" s="471" t="s">
        <v>2662</v>
      </c>
      <c r="Y9" s="471">
        <v>4300</v>
      </c>
    </row>
    <row r="10" spans="2:26" s="419" customFormat="1">
      <c r="C10" s="791">
        <f t="shared" ref="C10:C27" si="0">IF(J10&lt;&gt;0,1,)</f>
        <v>1</v>
      </c>
      <c r="D10" s="792" t="s">
        <v>3925</v>
      </c>
      <c r="E10" s="793" t="s">
        <v>2601</v>
      </c>
      <c r="F10" s="794"/>
      <c r="G10" s="794"/>
      <c r="H10" s="792" t="s">
        <v>2678</v>
      </c>
      <c r="I10" s="792" t="s">
        <v>2684</v>
      </c>
      <c r="J10" s="792">
        <f>1+2</f>
        <v>3</v>
      </c>
      <c r="K10" s="795">
        <v>0.8</v>
      </c>
      <c r="L10" s="792">
        <v>1</v>
      </c>
      <c r="M10" s="796">
        <v>286171</v>
      </c>
      <c r="N10" s="797">
        <v>1062741</v>
      </c>
      <c r="O10" s="797">
        <v>2668626</v>
      </c>
      <c r="P10" s="797">
        <f t="shared" ref="P10:P27" si="1">ROUND(J10*M10,0)</f>
        <v>858513</v>
      </c>
      <c r="Q10" s="797">
        <f t="shared" ref="Q10:Q27" si="2">IF(I10="M",ROUND(J10*K10*N10,0),ROUND(J10*L10*N10,0))</f>
        <v>2550578</v>
      </c>
      <c r="R10" s="797">
        <f t="shared" ref="R10:R27" si="3">ROUND(J10*O10,0)</f>
        <v>8005878</v>
      </c>
      <c r="S10" s="798" t="s">
        <v>3943</v>
      </c>
      <c r="T10" s="798"/>
      <c r="U10" s="799"/>
      <c r="V10" s="799"/>
      <c r="X10" s="471" t="s">
        <v>2647</v>
      </c>
      <c r="Y10" s="471">
        <f>'17.TH-HOTLINE'!L112</f>
        <v>15570</v>
      </c>
    </row>
    <row r="11" spans="2:26" hidden="1">
      <c r="C11" s="433">
        <f t="shared" si="0"/>
        <v>0</v>
      </c>
      <c r="D11" s="411" t="s">
        <v>2602</v>
      </c>
      <c r="E11" s="412" t="s">
        <v>2603</v>
      </c>
      <c r="F11" s="413"/>
      <c r="G11" s="413"/>
      <c r="H11" s="411" t="s">
        <v>2678</v>
      </c>
      <c r="I11" s="411"/>
      <c r="J11" s="411"/>
      <c r="K11" s="416">
        <v>0.8</v>
      </c>
      <c r="L11" s="411">
        <v>1</v>
      </c>
      <c r="M11" s="402">
        <v>158292</v>
      </c>
      <c r="N11" s="403">
        <v>1378675</v>
      </c>
      <c r="O11" s="403">
        <v>637330</v>
      </c>
      <c r="P11" s="403">
        <f t="shared" si="1"/>
        <v>0</v>
      </c>
      <c r="Q11" s="403">
        <f t="shared" si="2"/>
        <v>0</v>
      </c>
      <c r="R11" s="403">
        <f t="shared" si="3"/>
        <v>0</v>
      </c>
      <c r="S11" s="421"/>
      <c r="T11" s="421"/>
      <c r="U11" s="409"/>
      <c r="V11" s="409"/>
      <c r="X11" s="404" t="s">
        <v>2663</v>
      </c>
      <c r="Y11" s="404">
        <v>32</v>
      </c>
    </row>
    <row r="12" spans="2:26" s="419" customFormat="1">
      <c r="C12" s="791">
        <f t="shared" si="0"/>
        <v>1</v>
      </c>
      <c r="D12" s="792" t="s">
        <v>3926</v>
      </c>
      <c r="E12" s="793" t="s">
        <v>3927</v>
      </c>
      <c r="F12" s="794"/>
      <c r="G12" s="794"/>
      <c r="H12" s="792" t="s">
        <v>2675</v>
      </c>
      <c r="I12" s="792" t="s">
        <v>2684</v>
      </c>
      <c r="J12" s="792">
        <v>1</v>
      </c>
      <c r="K12" s="795">
        <v>0.8</v>
      </c>
      <c r="L12" s="792">
        <v>1</v>
      </c>
      <c r="M12" s="796">
        <v>187454</v>
      </c>
      <c r="N12" s="797">
        <v>778439</v>
      </c>
      <c r="O12" s="797">
        <v>1995923</v>
      </c>
      <c r="P12" s="797">
        <f t="shared" si="1"/>
        <v>187454</v>
      </c>
      <c r="Q12" s="797">
        <f t="shared" si="2"/>
        <v>622751</v>
      </c>
      <c r="R12" s="797">
        <f t="shared" si="3"/>
        <v>1995923</v>
      </c>
      <c r="S12" s="798" t="s">
        <v>3905</v>
      </c>
      <c r="T12" s="798"/>
      <c r="U12" s="799"/>
      <c r="V12" s="799"/>
      <c r="X12" s="471" t="s">
        <v>2664</v>
      </c>
      <c r="Y12" s="471">
        <v>64</v>
      </c>
    </row>
    <row r="13" spans="2:26" s="419" customFormat="1">
      <c r="C13" s="791">
        <f t="shared" si="0"/>
        <v>1</v>
      </c>
      <c r="D13" s="792" t="s">
        <v>3928</v>
      </c>
      <c r="E13" s="793" t="s">
        <v>3929</v>
      </c>
      <c r="F13" s="794"/>
      <c r="G13" s="794"/>
      <c r="H13" s="792" t="s">
        <v>2678</v>
      </c>
      <c r="I13" s="792" t="s">
        <v>2684</v>
      </c>
      <c r="J13" s="792">
        <v>1</v>
      </c>
      <c r="K13" s="795">
        <v>1.6</v>
      </c>
      <c r="L13" s="792">
        <v>1</v>
      </c>
      <c r="M13" s="796">
        <v>311600</v>
      </c>
      <c r="N13" s="797">
        <v>1827656</v>
      </c>
      <c r="O13" s="797">
        <v>2416489</v>
      </c>
      <c r="P13" s="797">
        <f t="shared" si="1"/>
        <v>311600</v>
      </c>
      <c r="Q13" s="797">
        <f t="shared" si="2"/>
        <v>2924250</v>
      </c>
      <c r="R13" s="797">
        <f t="shared" si="3"/>
        <v>2416489</v>
      </c>
      <c r="S13" s="798" t="s">
        <v>3944</v>
      </c>
      <c r="T13" s="798"/>
      <c r="U13" s="799"/>
      <c r="V13" s="799"/>
      <c r="X13" s="471" t="s">
        <v>2665</v>
      </c>
      <c r="Y13" s="471"/>
    </row>
    <row r="14" spans="2:26" s="419" customFormat="1">
      <c r="C14" s="791">
        <f t="shared" si="0"/>
        <v>1</v>
      </c>
      <c r="D14" s="792" t="s">
        <v>3930</v>
      </c>
      <c r="E14" s="793" t="s">
        <v>3931</v>
      </c>
      <c r="F14" s="794"/>
      <c r="G14" s="794"/>
      <c r="H14" s="792" t="s">
        <v>2676</v>
      </c>
      <c r="I14" s="792" t="s">
        <v>2684</v>
      </c>
      <c r="J14" s="792">
        <v>1</v>
      </c>
      <c r="K14" s="795">
        <v>0.8</v>
      </c>
      <c r="L14" s="792">
        <v>1</v>
      </c>
      <c r="M14" s="796">
        <v>169708</v>
      </c>
      <c r="N14" s="797">
        <v>778439</v>
      </c>
      <c r="O14" s="797">
        <v>2048872</v>
      </c>
      <c r="P14" s="797">
        <f t="shared" si="1"/>
        <v>169708</v>
      </c>
      <c r="Q14" s="797">
        <f t="shared" si="2"/>
        <v>622751</v>
      </c>
      <c r="R14" s="797">
        <f t="shared" si="3"/>
        <v>2048872</v>
      </c>
      <c r="S14" s="798" t="s">
        <v>3905</v>
      </c>
      <c r="T14" s="798"/>
      <c r="U14" s="799"/>
      <c r="V14" s="799"/>
      <c r="X14" s="471" t="s">
        <v>2666</v>
      </c>
      <c r="Y14" s="471"/>
    </row>
    <row r="15" spans="2:26" s="419" customFormat="1">
      <c r="C15" s="791">
        <f t="shared" si="0"/>
        <v>1</v>
      </c>
      <c r="D15" s="792" t="s">
        <v>3932</v>
      </c>
      <c r="E15" s="793" t="s">
        <v>3933</v>
      </c>
      <c r="F15" s="794"/>
      <c r="G15" s="794"/>
      <c r="H15" s="792" t="s">
        <v>3934</v>
      </c>
      <c r="I15" s="792" t="s">
        <v>2684</v>
      </c>
      <c r="J15" s="792">
        <v>1</v>
      </c>
      <c r="K15" s="795">
        <v>1.6</v>
      </c>
      <c r="L15" s="792">
        <v>1</v>
      </c>
      <c r="M15" s="796">
        <v>319302</v>
      </c>
      <c r="N15" s="797">
        <v>1895360</v>
      </c>
      <c r="O15" s="797">
        <v>2364044</v>
      </c>
      <c r="P15" s="797">
        <f t="shared" si="1"/>
        <v>319302</v>
      </c>
      <c r="Q15" s="797">
        <f t="shared" si="2"/>
        <v>3032576</v>
      </c>
      <c r="R15" s="797">
        <f t="shared" si="3"/>
        <v>2364044</v>
      </c>
      <c r="S15" s="798" t="s">
        <v>3944</v>
      </c>
      <c r="T15" s="798"/>
      <c r="U15" s="799"/>
      <c r="V15" s="799"/>
      <c r="X15" s="800" t="s">
        <v>2667</v>
      </c>
      <c r="Y15" s="419">
        <v>70</v>
      </c>
      <c r="Z15" s="419" t="s">
        <v>730</v>
      </c>
    </row>
    <row r="16" spans="2:26" hidden="1">
      <c r="C16" s="433">
        <f t="shared" si="0"/>
        <v>0</v>
      </c>
      <c r="D16" s="411" t="s">
        <v>2604</v>
      </c>
      <c r="E16" s="414" t="s">
        <v>2605</v>
      </c>
      <c r="F16" s="415"/>
      <c r="G16" s="415"/>
      <c r="H16" s="411" t="s">
        <v>2679</v>
      </c>
      <c r="I16" s="411"/>
      <c r="J16" s="411"/>
      <c r="K16" s="416">
        <v>0.8</v>
      </c>
      <c r="L16" s="411">
        <v>1</v>
      </c>
      <c r="M16" s="402">
        <v>76864</v>
      </c>
      <c r="N16" s="403">
        <v>909246</v>
      </c>
      <c r="O16" s="403">
        <v>419290</v>
      </c>
      <c r="P16" s="403">
        <f t="shared" si="1"/>
        <v>0</v>
      </c>
      <c r="Q16" s="403">
        <f t="shared" si="2"/>
        <v>0</v>
      </c>
      <c r="R16" s="403">
        <f t="shared" si="3"/>
        <v>0</v>
      </c>
      <c r="S16" s="421"/>
      <c r="T16" s="421"/>
      <c r="U16" s="409"/>
      <c r="V16" s="409"/>
      <c r="X16" s="405" t="s">
        <v>2683</v>
      </c>
      <c r="Y16" s="399">
        <v>498</v>
      </c>
    </row>
    <row r="17" spans="3:25" hidden="1">
      <c r="C17" s="433">
        <f t="shared" si="0"/>
        <v>0</v>
      </c>
      <c r="D17" s="411" t="s">
        <v>2606</v>
      </c>
      <c r="E17" s="414" t="s">
        <v>2607</v>
      </c>
      <c r="F17" s="415"/>
      <c r="G17" s="415"/>
      <c r="H17" s="411" t="s">
        <v>2679</v>
      </c>
      <c r="I17" s="411"/>
      <c r="J17" s="411"/>
      <c r="K17" s="416">
        <v>0.8</v>
      </c>
      <c r="L17" s="411">
        <v>1</v>
      </c>
      <c r="M17" s="402">
        <v>154961</v>
      </c>
      <c r="N17" s="403">
        <v>1120717</v>
      </c>
      <c r="O17" s="403">
        <v>527045</v>
      </c>
      <c r="P17" s="403">
        <f t="shared" si="1"/>
        <v>0</v>
      </c>
      <c r="Q17" s="403">
        <f t="shared" si="2"/>
        <v>0</v>
      </c>
      <c r="R17" s="403">
        <f t="shared" si="3"/>
        <v>0</v>
      </c>
      <c r="S17" s="421"/>
      <c r="T17" s="421"/>
      <c r="U17" s="409"/>
      <c r="V17" s="409"/>
      <c r="X17" s="405"/>
    </row>
    <row r="18" spans="3:25" hidden="1">
      <c r="C18" s="433">
        <f t="shared" si="0"/>
        <v>0</v>
      </c>
      <c r="D18" s="411" t="s">
        <v>2608</v>
      </c>
      <c r="E18" s="414" t="s">
        <v>2609</v>
      </c>
      <c r="F18" s="415"/>
      <c r="G18" s="415"/>
      <c r="H18" s="411" t="s">
        <v>2679</v>
      </c>
      <c r="I18" s="411"/>
      <c r="J18" s="411"/>
      <c r="K18" s="416">
        <v>0.8</v>
      </c>
      <c r="L18" s="411">
        <v>1</v>
      </c>
      <c r="M18" s="402">
        <v>194787</v>
      </c>
      <c r="N18" s="403">
        <v>2484598</v>
      </c>
      <c r="O18" s="403">
        <v>982330</v>
      </c>
      <c r="P18" s="403">
        <f t="shared" si="1"/>
        <v>0</v>
      </c>
      <c r="Q18" s="403">
        <f t="shared" si="2"/>
        <v>0</v>
      </c>
      <c r="R18" s="403">
        <f t="shared" si="3"/>
        <v>0</v>
      </c>
      <c r="S18" s="421"/>
      <c r="T18" s="421"/>
      <c r="U18" s="409"/>
      <c r="V18" s="409"/>
      <c r="X18" s="405"/>
      <c r="Y18" s="417"/>
    </row>
    <row r="19" spans="3:25" s="419" customFormat="1">
      <c r="C19" s="791">
        <f t="shared" si="0"/>
        <v>1</v>
      </c>
      <c r="D19" s="792" t="s">
        <v>3935</v>
      </c>
      <c r="E19" s="801" t="s">
        <v>3936</v>
      </c>
      <c r="F19" s="802"/>
      <c r="G19" s="802"/>
      <c r="H19" s="792" t="s">
        <v>2680</v>
      </c>
      <c r="I19" s="792" t="s">
        <v>2684</v>
      </c>
      <c r="J19" s="792">
        <f>1+2</f>
        <v>3</v>
      </c>
      <c r="K19" s="795">
        <v>0.8</v>
      </c>
      <c r="L19" s="792">
        <v>1</v>
      </c>
      <c r="M19" s="796">
        <v>506448</v>
      </c>
      <c r="N19" s="797">
        <v>1484970</v>
      </c>
      <c r="O19" s="797">
        <v>3466895</v>
      </c>
      <c r="P19" s="797">
        <f t="shared" si="1"/>
        <v>1519344</v>
      </c>
      <c r="Q19" s="797">
        <f t="shared" si="2"/>
        <v>3563928</v>
      </c>
      <c r="R19" s="797">
        <f t="shared" si="3"/>
        <v>10400685</v>
      </c>
      <c r="S19" s="798" t="s">
        <v>3945</v>
      </c>
      <c r="T19" s="798"/>
      <c r="U19" s="799"/>
      <c r="V19" s="799"/>
      <c r="X19" s="352"/>
    </row>
    <row r="20" spans="3:25" s="419" customFormat="1" hidden="1">
      <c r="C20" s="791">
        <f t="shared" si="0"/>
        <v>0</v>
      </c>
      <c r="D20" s="792" t="s">
        <v>3937</v>
      </c>
      <c r="E20" s="801" t="s">
        <v>3938</v>
      </c>
      <c r="F20" s="802"/>
      <c r="G20" s="802"/>
      <c r="H20" s="792" t="s">
        <v>2680</v>
      </c>
      <c r="I20" s="792"/>
      <c r="J20" s="792"/>
      <c r="K20" s="795">
        <v>0.8</v>
      </c>
      <c r="L20" s="792">
        <v>1</v>
      </c>
      <c r="M20" s="796">
        <v>536238</v>
      </c>
      <c r="N20" s="797">
        <v>1637274</v>
      </c>
      <c r="O20" s="797">
        <v>3886956</v>
      </c>
      <c r="P20" s="797">
        <f t="shared" si="1"/>
        <v>0</v>
      </c>
      <c r="Q20" s="797">
        <f t="shared" si="2"/>
        <v>0</v>
      </c>
      <c r="R20" s="797">
        <f t="shared" si="3"/>
        <v>0</v>
      </c>
      <c r="S20" s="798"/>
      <c r="T20" s="798"/>
      <c r="U20" s="799"/>
      <c r="V20" s="799"/>
      <c r="X20" s="352"/>
    </row>
    <row r="21" spans="3:25" hidden="1">
      <c r="C21" s="433">
        <f t="shared" si="0"/>
        <v>0</v>
      </c>
      <c r="D21" s="411" t="s">
        <v>2610</v>
      </c>
      <c r="E21" s="414" t="s">
        <v>2611</v>
      </c>
      <c r="F21" s="415"/>
      <c r="G21" s="415"/>
      <c r="H21" s="411" t="s">
        <v>2680</v>
      </c>
      <c r="I21" s="411" t="s">
        <v>2684</v>
      </c>
      <c r="J21" s="411"/>
      <c r="K21" s="416">
        <v>0.8</v>
      </c>
      <c r="L21" s="411">
        <v>1</v>
      </c>
      <c r="M21" s="402">
        <v>286522</v>
      </c>
      <c r="N21" s="403">
        <v>2236131</v>
      </c>
      <c r="O21" s="403">
        <v>982330</v>
      </c>
      <c r="P21" s="403">
        <f t="shared" si="1"/>
        <v>0</v>
      </c>
      <c r="Q21" s="403">
        <f t="shared" si="2"/>
        <v>0</v>
      </c>
      <c r="R21" s="403">
        <f t="shared" si="3"/>
        <v>0</v>
      </c>
      <c r="S21" s="421"/>
      <c r="T21" s="421"/>
      <c r="U21" s="409"/>
      <c r="V21" s="409"/>
      <c r="X21" s="405"/>
    </row>
    <row r="22" spans="3:25" hidden="1">
      <c r="C22" s="433">
        <f t="shared" si="0"/>
        <v>0</v>
      </c>
      <c r="D22" s="411" t="s">
        <v>2612</v>
      </c>
      <c r="E22" s="414" t="s">
        <v>2613</v>
      </c>
      <c r="F22" s="415"/>
      <c r="G22" s="415"/>
      <c r="H22" s="411" t="s">
        <v>2680</v>
      </c>
      <c r="I22" s="411"/>
      <c r="J22" s="411"/>
      <c r="K22" s="416">
        <v>0.8</v>
      </c>
      <c r="L22" s="411">
        <v>1</v>
      </c>
      <c r="M22" s="402">
        <v>161239</v>
      </c>
      <c r="N22" s="403">
        <v>1427318</v>
      </c>
      <c r="O22" s="403">
        <v>586960</v>
      </c>
      <c r="P22" s="403">
        <f t="shared" si="1"/>
        <v>0</v>
      </c>
      <c r="Q22" s="403">
        <f t="shared" si="2"/>
        <v>0</v>
      </c>
      <c r="R22" s="403">
        <f t="shared" si="3"/>
        <v>0</v>
      </c>
      <c r="S22" s="421"/>
      <c r="T22" s="421"/>
      <c r="U22" s="409"/>
      <c r="V22" s="409"/>
      <c r="X22" s="405"/>
    </row>
    <row r="23" spans="3:25" s="419" customFormat="1" hidden="1">
      <c r="C23" s="791">
        <f t="shared" si="0"/>
        <v>0</v>
      </c>
      <c r="D23" s="792" t="s">
        <v>3939</v>
      </c>
      <c r="E23" s="801" t="s">
        <v>3940</v>
      </c>
      <c r="F23" s="802"/>
      <c r="G23" s="802"/>
      <c r="H23" s="792" t="s">
        <v>2677</v>
      </c>
      <c r="I23" s="792"/>
      <c r="J23" s="792"/>
      <c r="K23" s="795">
        <v>0.8</v>
      </c>
      <c r="L23" s="792">
        <v>1</v>
      </c>
      <c r="M23" s="796">
        <v>556894</v>
      </c>
      <c r="N23" s="797">
        <v>1814963</v>
      </c>
      <c r="O23" s="797">
        <v>556894</v>
      </c>
      <c r="P23" s="797">
        <f t="shared" si="1"/>
        <v>0</v>
      </c>
      <c r="Q23" s="797">
        <f t="shared" si="2"/>
        <v>0</v>
      </c>
      <c r="R23" s="797">
        <f t="shared" si="3"/>
        <v>0</v>
      </c>
      <c r="S23" s="798"/>
      <c r="T23" s="798"/>
      <c r="U23" s="799"/>
      <c r="V23" s="799"/>
      <c r="X23" s="352"/>
    </row>
    <row r="24" spans="3:25" s="419" customFormat="1">
      <c r="C24" s="791">
        <f t="shared" si="0"/>
        <v>1</v>
      </c>
      <c r="D24" s="792" t="s">
        <v>3941</v>
      </c>
      <c r="E24" s="801" t="s">
        <v>3942</v>
      </c>
      <c r="F24" s="802"/>
      <c r="G24" s="802"/>
      <c r="H24" s="792" t="s">
        <v>2677</v>
      </c>
      <c r="I24" s="792" t="s">
        <v>2684</v>
      </c>
      <c r="J24" s="792">
        <v>1</v>
      </c>
      <c r="K24" s="795">
        <v>0.8</v>
      </c>
      <c r="L24" s="792">
        <v>1</v>
      </c>
      <c r="M24" s="796">
        <v>766468</v>
      </c>
      <c r="N24" s="797">
        <v>2303618</v>
      </c>
      <c r="O24" s="797">
        <v>6275919</v>
      </c>
      <c r="P24" s="797">
        <f t="shared" si="1"/>
        <v>766468</v>
      </c>
      <c r="Q24" s="797">
        <f t="shared" si="2"/>
        <v>1842894</v>
      </c>
      <c r="R24" s="797">
        <f t="shared" si="3"/>
        <v>6275919</v>
      </c>
      <c r="S24" s="798" t="s">
        <v>3905</v>
      </c>
      <c r="T24" s="798"/>
      <c r="U24" s="799"/>
      <c r="V24" s="799"/>
      <c r="X24" s="352"/>
    </row>
    <row r="25" spans="3:25" hidden="1">
      <c r="C25" s="433">
        <f t="shared" si="0"/>
        <v>0</v>
      </c>
      <c r="D25" s="411" t="s">
        <v>2614</v>
      </c>
      <c r="E25" s="414" t="s">
        <v>2615</v>
      </c>
      <c r="F25" s="415"/>
      <c r="G25" s="415"/>
      <c r="H25" s="411" t="s">
        <v>2677</v>
      </c>
      <c r="I25" s="411"/>
      <c r="J25" s="411"/>
      <c r="K25" s="416">
        <v>0.8</v>
      </c>
      <c r="L25" s="411">
        <v>1</v>
      </c>
      <c r="M25" s="402">
        <v>248404</v>
      </c>
      <c r="N25" s="403">
        <v>2762119</v>
      </c>
      <c r="O25" s="403">
        <v>1322046</v>
      </c>
      <c r="P25" s="403">
        <f t="shared" si="1"/>
        <v>0</v>
      </c>
      <c r="Q25" s="403">
        <f t="shared" si="2"/>
        <v>0</v>
      </c>
      <c r="R25" s="403">
        <f t="shared" si="3"/>
        <v>0</v>
      </c>
      <c r="S25" s="421"/>
      <c r="T25" s="421"/>
      <c r="U25" s="409"/>
      <c r="V25" s="409"/>
      <c r="X25" s="405"/>
    </row>
    <row r="26" spans="3:25" hidden="1">
      <c r="C26" s="433">
        <f t="shared" si="0"/>
        <v>0</v>
      </c>
      <c r="D26" s="411" t="s">
        <v>2616</v>
      </c>
      <c r="E26" s="414" t="s">
        <v>2617</v>
      </c>
      <c r="F26" s="415"/>
      <c r="G26" s="415"/>
      <c r="H26" s="411" t="s">
        <v>2677</v>
      </c>
      <c r="I26" s="411"/>
      <c r="J26" s="411"/>
      <c r="K26" s="416">
        <v>0.8</v>
      </c>
      <c r="L26" s="411">
        <v>1</v>
      </c>
      <c r="M26" s="402">
        <v>395239</v>
      </c>
      <c r="N26" s="403">
        <v>3401786</v>
      </c>
      <c r="O26" s="403">
        <v>1585626</v>
      </c>
      <c r="P26" s="403">
        <f t="shared" si="1"/>
        <v>0</v>
      </c>
      <c r="Q26" s="403">
        <f t="shared" si="2"/>
        <v>0</v>
      </c>
      <c r="R26" s="403">
        <f t="shared" si="3"/>
        <v>0</v>
      </c>
      <c r="S26" s="421"/>
      <c r="T26" s="421"/>
      <c r="U26" s="409"/>
      <c r="V26" s="409"/>
      <c r="X26" s="405"/>
      <c r="Y26" s="419"/>
    </row>
    <row r="27" spans="3:25" hidden="1">
      <c r="C27" s="433">
        <f t="shared" si="0"/>
        <v>0</v>
      </c>
      <c r="D27" s="411" t="s">
        <v>2618</v>
      </c>
      <c r="E27" s="412" t="s">
        <v>2619</v>
      </c>
      <c r="F27" s="413"/>
      <c r="G27" s="413"/>
      <c r="H27" s="411" t="s">
        <v>2681</v>
      </c>
      <c r="I27" s="411"/>
      <c r="J27" s="411"/>
      <c r="K27" s="416">
        <v>0.8</v>
      </c>
      <c r="L27" s="411">
        <v>1</v>
      </c>
      <c r="M27" s="402">
        <v>123873</v>
      </c>
      <c r="N27" s="403">
        <v>507491</v>
      </c>
      <c r="O27" s="403">
        <v>215625</v>
      </c>
      <c r="P27" s="403">
        <f t="shared" si="1"/>
        <v>0</v>
      </c>
      <c r="Q27" s="403">
        <f t="shared" si="2"/>
        <v>0</v>
      </c>
      <c r="R27" s="403">
        <f t="shared" si="3"/>
        <v>0</v>
      </c>
      <c r="S27" s="421"/>
      <c r="T27" s="421"/>
      <c r="U27" s="409"/>
      <c r="V27" s="409"/>
    </row>
    <row r="28" spans="3:25" hidden="1">
      <c r="C28" s="407"/>
      <c r="D28" s="406"/>
      <c r="E28" s="406"/>
      <c r="F28" s="406"/>
      <c r="G28" s="406"/>
      <c r="H28" s="406"/>
      <c r="I28" s="406"/>
      <c r="J28" s="407"/>
      <c r="K28" s="407"/>
      <c r="L28" s="407"/>
      <c r="M28" s="406"/>
      <c r="N28" s="406"/>
      <c r="O28" s="406"/>
      <c r="P28" s="406"/>
      <c r="Q28" s="406"/>
      <c r="R28" s="406"/>
      <c r="S28" s="406"/>
      <c r="T28" s="406"/>
    </row>
    <row r="29" spans="3:25" hidden="1">
      <c r="C29" s="407"/>
      <c r="D29" s="406" t="s">
        <v>2620</v>
      </c>
      <c r="E29" s="406"/>
      <c r="F29" s="406"/>
      <c r="G29" s="406"/>
      <c r="H29" s="406"/>
      <c r="I29" s="406"/>
      <c r="J29" s="407"/>
      <c r="K29" s="407"/>
      <c r="L29" s="407"/>
      <c r="M29" s="406"/>
      <c r="N29" s="406"/>
      <c r="O29" s="406"/>
      <c r="P29" s="406"/>
      <c r="Q29" s="406"/>
      <c r="R29" s="406"/>
      <c r="S29" s="406"/>
      <c r="T29" s="406"/>
    </row>
    <row r="30" spans="3:25" hidden="1">
      <c r="C30" s="407"/>
      <c r="D30" s="406" t="s">
        <v>2674</v>
      </c>
      <c r="E30" s="406"/>
      <c r="F30" s="406"/>
      <c r="G30" s="406"/>
      <c r="H30" s="406"/>
      <c r="I30" s="406"/>
      <c r="J30" s="407"/>
      <c r="K30" s="407"/>
      <c r="L30" s="407"/>
      <c r="M30" s="406"/>
      <c r="N30" s="406"/>
      <c r="O30" s="406"/>
      <c r="P30" s="406"/>
      <c r="Q30" s="406"/>
      <c r="R30" s="406"/>
      <c r="S30" s="406"/>
      <c r="T30" s="406"/>
    </row>
  </sheetData>
  <autoFilter ref="C7:C30" xr:uid="{00000000-0009-0000-0000-000013000000}">
    <filterColumn colId="0">
      <customFilters>
        <customFilter operator="notEqual" val=" "/>
      </customFilters>
    </filterColumn>
  </autoFilter>
  <mergeCells count="12">
    <mergeCell ref="E4:T4"/>
    <mergeCell ref="D5:T5"/>
    <mergeCell ref="D6:D7"/>
    <mergeCell ref="J6:J7"/>
    <mergeCell ref="M6:O6"/>
    <mergeCell ref="P6:R6"/>
    <mergeCell ref="U6:V6"/>
    <mergeCell ref="K6:L6"/>
    <mergeCell ref="I6:I7"/>
    <mergeCell ref="E6:G7"/>
    <mergeCell ref="H6:H7"/>
    <mergeCell ref="S6:S7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72" orientation="landscape" blackAndWhite="1" r:id="rId1"/>
  <colBreaks count="1" manualBreakCount="1">
    <brk id="19" min="2" max="29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23"/>
  <sheetViews>
    <sheetView view="pageBreakPreview" topLeftCell="A7" zoomScaleNormal="100" zoomScaleSheetLayoutView="100" workbookViewId="0">
      <selection activeCell="F43" sqref="F43"/>
    </sheetView>
  </sheetViews>
  <sheetFormatPr defaultColWidth="9.109375" defaultRowHeight="14.4"/>
  <cols>
    <col min="1" max="1" width="7.5546875" style="805" customWidth="1"/>
    <col min="2" max="2" width="47" style="804" customWidth="1"/>
    <col min="3" max="3" width="9.109375" style="804"/>
    <col min="4" max="5" width="6.6640625" style="804" customWidth="1"/>
    <col min="6" max="6" width="5.5546875" style="805" customWidth="1"/>
    <col min="7" max="7" width="3" style="805" customWidth="1"/>
    <col min="8" max="8" width="4" style="805" customWidth="1"/>
    <col min="9" max="9" width="5.5546875" style="805" customWidth="1"/>
    <col min="10" max="10" width="3.33203125" style="805" customWidth="1"/>
    <col min="11" max="11" width="9.109375" style="804"/>
    <col min="12" max="12" width="6.5546875" style="804" customWidth="1"/>
    <col min="13" max="13" width="3.44140625" style="805" customWidth="1"/>
    <col min="14" max="14" width="8" style="804" customWidth="1"/>
    <col min="15" max="15" width="7.109375" style="804" customWidth="1"/>
    <col min="16" max="16" width="12.44140625" style="804" customWidth="1"/>
    <col min="17" max="16384" width="9.109375" style="804"/>
  </cols>
  <sheetData>
    <row r="1" spans="1:16" s="806" customFormat="1" ht="15.6">
      <c r="A1" s="1056" t="s">
        <v>4016</v>
      </c>
      <c r="B1" s="1056"/>
      <c r="C1" s="1056"/>
      <c r="D1" s="1056"/>
      <c r="E1" s="1056"/>
      <c r="F1" s="1056"/>
      <c r="G1" s="1056"/>
      <c r="H1" s="1056"/>
      <c r="I1" s="1056"/>
      <c r="J1" s="1056"/>
      <c r="K1" s="1056"/>
      <c r="L1" s="1056"/>
      <c r="M1" s="1056"/>
      <c r="N1" s="1056"/>
      <c r="O1" s="1056"/>
      <c r="P1" s="1056"/>
    </row>
    <row r="2" spans="1:16" ht="15.6">
      <c r="A2" s="56"/>
      <c r="B2" s="4"/>
      <c r="C2" s="4"/>
      <c r="D2" s="4"/>
      <c r="E2" s="4"/>
      <c r="F2" s="56"/>
      <c r="G2" s="56"/>
      <c r="H2" s="56"/>
      <c r="I2" s="56"/>
      <c r="J2" s="56"/>
      <c r="K2" s="4"/>
      <c r="L2" s="4"/>
      <c r="M2" s="56"/>
      <c r="N2" s="4"/>
      <c r="O2" s="4"/>
      <c r="P2" s="4"/>
    </row>
    <row r="3" spans="1:16" ht="15.6">
      <c r="A3" s="56"/>
      <c r="B3" s="4" t="s">
        <v>3946</v>
      </c>
      <c r="C3" s="4">
        <v>80</v>
      </c>
      <c r="D3" s="4" t="s">
        <v>730</v>
      </c>
      <c r="E3" s="4"/>
      <c r="F3" s="56"/>
      <c r="G3" s="56"/>
      <c r="H3" s="56"/>
      <c r="I3" s="56"/>
      <c r="J3" s="56"/>
      <c r="K3" s="4"/>
      <c r="L3" s="4"/>
      <c r="M3" s="56"/>
      <c r="N3" s="4"/>
      <c r="O3" s="4"/>
      <c r="P3" s="4"/>
    </row>
    <row r="4" spans="1:16" ht="15.6">
      <c r="A4" s="56"/>
      <c r="B4" s="4" t="s">
        <v>3947</v>
      </c>
      <c r="C4" s="4">
        <v>1</v>
      </c>
      <c r="D4" s="4" t="s">
        <v>3948</v>
      </c>
      <c r="E4" s="4"/>
      <c r="F4" s="56"/>
      <c r="G4" s="56"/>
      <c r="H4" s="56"/>
      <c r="I4" s="56"/>
      <c r="J4" s="56"/>
      <c r="K4" s="4"/>
      <c r="L4" s="4"/>
      <c r="M4" s="56"/>
      <c r="N4" s="4"/>
      <c r="O4" s="4"/>
      <c r="P4" s="4"/>
    </row>
    <row r="5" spans="1:16" ht="15.6">
      <c r="A5" s="56"/>
      <c r="B5" s="4" t="s">
        <v>3949</v>
      </c>
      <c r="C5" s="20">
        <v>15118</v>
      </c>
      <c r="D5" s="4" t="s">
        <v>3950</v>
      </c>
      <c r="E5" s="4"/>
      <c r="F5" s="56"/>
      <c r="G5" s="56"/>
      <c r="H5" s="56"/>
      <c r="I5" s="56"/>
      <c r="J5" s="56"/>
      <c r="K5" s="4"/>
      <c r="L5" s="4"/>
      <c r="M5" s="56"/>
      <c r="N5" s="4"/>
      <c r="O5" s="4"/>
      <c r="P5" s="4"/>
    </row>
    <row r="6" spans="1:16" ht="15.6">
      <c r="A6" s="56"/>
      <c r="B6" s="4" t="s">
        <v>2665</v>
      </c>
      <c r="C6" s="4">
        <v>1</v>
      </c>
      <c r="D6" s="4" t="s">
        <v>3951</v>
      </c>
      <c r="E6" s="4"/>
      <c r="F6" s="56"/>
      <c r="G6" s="56"/>
      <c r="H6" s="56"/>
      <c r="I6" s="56"/>
      <c r="J6" s="56"/>
      <c r="K6" s="4"/>
      <c r="L6" s="4"/>
      <c r="M6" s="56"/>
      <c r="N6" s="4"/>
      <c r="O6" s="4"/>
      <c r="P6" s="4"/>
    </row>
    <row r="7" spans="1:16" ht="15.6">
      <c r="A7" s="56"/>
      <c r="B7" s="4" t="s">
        <v>3952</v>
      </c>
      <c r="C7" s="4">
        <v>1</v>
      </c>
      <c r="D7" s="4" t="s">
        <v>3951</v>
      </c>
      <c r="E7" s="4"/>
      <c r="F7" s="56"/>
      <c r="G7" s="56"/>
      <c r="H7" s="56"/>
      <c r="I7" s="56"/>
      <c r="J7" s="56"/>
      <c r="K7" s="4"/>
      <c r="L7" s="4"/>
      <c r="M7" s="56"/>
      <c r="N7" s="4"/>
      <c r="O7" s="4"/>
      <c r="P7" s="4"/>
    </row>
    <row r="8" spans="1:16" ht="15.6">
      <c r="A8" s="56"/>
      <c r="B8" s="4" t="s">
        <v>3953</v>
      </c>
      <c r="C8" s="4">
        <v>1</v>
      </c>
      <c r="D8" s="4" t="s">
        <v>3951</v>
      </c>
      <c r="E8" s="4"/>
      <c r="F8" s="56"/>
      <c r="G8" s="56"/>
      <c r="H8" s="56"/>
      <c r="I8" s="56"/>
      <c r="J8" s="56"/>
      <c r="K8" s="4"/>
      <c r="L8" s="4"/>
      <c r="M8" s="56"/>
      <c r="N8" s="4"/>
      <c r="O8" s="4"/>
      <c r="P8" s="4"/>
    </row>
    <row r="9" spans="1:16" s="807" customFormat="1" ht="31.2">
      <c r="A9" s="789" t="s">
        <v>1763</v>
      </c>
      <c r="B9" s="789" t="s">
        <v>3954</v>
      </c>
      <c r="C9" s="789" t="s">
        <v>1840</v>
      </c>
      <c r="D9" s="789" t="s">
        <v>3955</v>
      </c>
      <c r="E9" s="1057" t="s">
        <v>3303</v>
      </c>
      <c r="F9" s="1058"/>
      <c r="G9" s="1058"/>
      <c r="H9" s="1058"/>
      <c r="I9" s="1058"/>
      <c r="J9" s="1058"/>
      <c r="K9" s="1058"/>
      <c r="L9" s="1058"/>
      <c r="M9" s="1058"/>
      <c r="N9" s="1058"/>
      <c r="O9" s="1059"/>
      <c r="P9" s="789" t="s">
        <v>1627</v>
      </c>
    </row>
    <row r="10" spans="1:16" s="806" customFormat="1" ht="15.6">
      <c r="A10" s="671" t="s">
        <v>1631</v>
      </c>
      <c r="B10" s="672" t="s">
        <v>3956</v>
      </c>
      <c r="C10" s="671" t="s">
        <v>3912</v>
      </c>
      <c r="D10" s="672"/>
      <c r="E10" s="817"/>
      <c r="F10" s="818"/>
      <c r="G10" s="818"/>
      <c r="H10" s="818"/>
      <c r="I10" s="818"/>
      <c r="J10" s="818"/>
      <c r="K10" s="819"/>
      <c r="L10" s="820"/>
      <c r="M10" s="818"/>
      <c r="N10" s="820"/>
      <c r="O10" s="821"/>
      <c r="P10" s="814"/>
    </row>
    <row r="11" spans="1:16" s="806" customFormat="1" ht="15.6">
      <c r="A11" s="671">
        <v>1</v>
      </c>
      <c r="B11" s="672" t="s">
        <v>3957</v>
      </c>
      <c r="C11" s="671" t="s">
        <v>3958</v>
      </c>
      <c r="D11" s="672"/>
      <c r="E11" s="817"/>
      <c r="F11" s="818"/>
      <c r="G11" s="818"/>
      <c r="H11" s="818"/>
      <c r="I11" s="818"/>
      <c r="J11" s="818"/>
      <c r="K11" s="819"/>
      <c r="L11" s="820"/>
      <c r="M11" s="818"/>
      <c r="N11" s="820"/>
      <c r="O11" s="821"/>
      <c r="P11" s="814"/>
    </row>
    <row r="12" spans="1:16" ht="15.6">
      <c r="A12" s="454" t="s">
        <v>1966</v>
      </c>
      <c r="B12" s="290" t="s">
        <v>2665</v>
      </c>
      <c r="C12" s="454"/>
      <c r="D12" s="812">
        <f>C6</f>
        <v>1</v>
      </c>
      <c r="E12" s="809">
        <f>$C$4</f>
        <v>1</v>
      </c>
      <c r="F12" s="822" t="s">
        <v>3959</v>
      </c>
      <c r="G12" s="822" t="s">
        <v>1623</v>
      </c>
      <c r="H12" s="822">
        <v>2</v>
      </c>
      <c r="I12" s="822" t="s">
        <v>3960</v>
      </c>
      <c r="J12" s="822" t="s">
        <v>1623</v>
      </c>
      <c r="K12" s="823">
        <v>40000</v>
      </c>
      <c r="L12" s="824" t="s">
        <v>3961</v>
      </c>
      <c r="M12" s="822"/>
      <c r="N12" s="824"/>
      <c r="O12" s="825"/>
      <c r="P12" s="815">
        <f>D12*E12*H12*K12</f>
        <v>80000</v>
      </c>
    </row>
    <row r="13" spans="1:16" ht="15.6">
      <c r="A13" s="454" t="s">
        <v>3962</v>
      </c>
      <c r="B13" s="290" t="s">
        <v>3952</v>
      </c>
      <c r="C13" s="454"/>
      <c r="D13" s="812">
        <f>C7</f>
        <v>1</v>
      </c>
      <c r="E13" s="809">
        <f>$C$4</f>
        <v>1</v>
      </c>
      <c r="F13" s="822" t="s">
        <v>3959</v>
      </c>
      <c r="G13" s="822" t="s">
        <v>1623</v>
      </c>
      <c r="H13" s="822">
        <v>2</v>
      </c>
      <c r="I13" s="822" t="s">
        <v>3960</v>
      </c>
      <c r="J13" s="822" t="s">
        <v>1623</v>
      </c>
      <c r="K13" s="823">
        <v>20000</v>
      </c>
      <c r="L13" s="824" t="s">
        <v>3961</v>
      </c>
      <c r="M13" s="822"/>
      <c r="N13" s="824"/>
      <c r="O13" s="825"/>
      <c r="P13" s="815">
        <f>D13*E13*H13*K13</f>
        <v>40000</v>
      </c>
    </row>
    <row r="14" spans="1:16" ht="15.6">
      <c r="A14" s="454" t="s">
        <v>3963</v>
      </c>
      <c r="B14" s="290" t="s">
        <v>3953</v>
      </c>
      <c r="C14" s="454"/>
      <c r="D14" s="812">
        <f>C8</f>
        <v>1</v>
      </c>
      <c r="E14" s="809">
        <f>$C$4</f>
        <v>1</v>
      </c>
      <c r="F14" s="822" t="s">
        <v>3959</v>
      </c>
      <c r="G14" s="822" t="s">
        <v>1623</v>
      </c>
      <c r="H14" s="822">
        <v>2</v>
      </c>
      <c r="I14" s="822" t="s">
        <v>3960</v>
      </c>
      <c r="J14" s="822" t="s">
        <v>1623</v>
      </c>
      <c r="K14" s="823">
        <v>40000</v>
      </c>
      <c r="L14" s="824" t="s">
        <v>3961</v>
      </c>
      <c r="M14" s="822"/>
      <c r="N14" s="824"/>
      <c r="O14" s="825"/>
      <c r="P14" s="815">
        <f>D14*E14*H14*K14</f>
        <v>80000</v>
      </c>
    </row>
    <row r="15" spans="1:16" s="806" customFormat="1" ht="15.6">
      <c r="A15" s="671">
        <v>2</v>
      </c>
      <c r="B15" s="672" t="s">
        <v>3964</v>
      </c>
      <c r="C15" s="671" t="s">
        <v>1630</v>
      </c>
      <c r="D15" s="813"/>
      <c r="E15" s="808"/>
      <c r="F15" s="818"/>
      <c r="G15" s="818"/>
      <c r="H15" s="818"/>
      <c r="I15" s="818"/>
      <c r="J15" s="818"/>
      <c r="K15" s="819"/>
      <c r="L15" s="820"/>
      <c r="M15" s="818"/>
      <c r="N15" s="820"/>
      <c r="O15" s="821"/>
      <c r="P15" s="815"/>
    </row>
    <row r="16" spans="1:16" ht="15.6">
      <c r="A16" s="454" t="s">
        <v>3965</v>
      </c>
      <c r="B16" s="290" t="s">
        <v>3966</v>
      </c>
      <c r="C16" s="454"/>
      <c r="D16" s="812">
        <f>C6</f>
        <v>1</v>
      </c>
      <c r="E16" s="810">
        <f>+C$3/100</f>
        <v>0.8</v>
      </c>
      <c r="F16" s="822" t="s">
        <v>3967</v>
      </c>
      <c r="G16" s="822" t="s">
        <v>1623</v>
      </c>
      <c r="H16" s="822">
        <v>2</v>
      </c>
      <c r="I16" s="822" t="s">
        <v>3960</v>
      </c>
      <c r="J16" s="822" t="s">
        <v>1623</v>
      </c>
      <c r="K16" s="823">
        <v>284991</v>
      </c>
      <c r="L16" s="824" t="s">
        <v>2313</v>
      </c>
      <c r="M16" s="822"/>
      <c r="N16" s="824"/>
      <c r="O16" s="825"/>
      <c r="P16" s="815">
        <f>D16*E16*H16*K16</f>
        <v>455985.60000000003</v>
      </c>
    </row>
    <row r="17" spans="1:16" ht="15.6">
      <c r="A17" s="454" t="s">
        <v>3968</v>
      </c>
      <c r="B17" s="290" t="s">
        <v>3969</v>
      </c>
      <c r="C17" s="454"/>
      <c r="D17" s="812">
        <f>C7</f>
        <v>1</v>
      </c>
      <c r="E17" s="810">
        <f>+C$3/100</f>
        <v>0.8</v>
      </c>
      <c r="F17" s="822" t="s">
        <v>3967</v>
      </c>
      <c r="G17" s="822" t="s">
        <v>1623</v>
      </c>
      <c r="H17" s="822">
        <v>2</v>
      </c>
      <c r="I17" s="822" t="s">
        <v>3960</v>
      </c>
      <c r="J17" s="822" t="s">
        <v>1623</v>
      </c>
      <c r="K17" s="823">
        <v>212915</v>
      </c>
      <c r="L17" s="824" t="s">
        <v>2313</v>
      </c>
      <c r="M17" s="822"/>
      <c r="N17" s="824"/>
      <c r="O17" s="825"/>
      <c r="P17" s="815">
        <f>D17*E17*H17*K17</f>
        <v>340664</v>
      </c>
    </row>
    <row r="18" spans="1:16" ht="15.6">
      <c r="A18" s="454" t="s">
        <v>3970</v>
      </c>
      <c r="B18" s="290" t="s">
        <v>3971</v>
      </c>
      <c r="C18" s="454"/>
      <c r="D18" s="812">
        <f>C8</f>
        <v>1</v>
      </c>
      <c r="E18" s="810">
        <f>+C$3/100</f>
        <v>0.8</v>
      </c>
      <c r="F18" s="822" t="s">
        <v>3967</v>
      </c>
      <c r="G18" s="822" t="s">
        <v>1623</v>
      </c>
      <c r="H18" s="822">
        <v>2</v>
      </c>
      <c r="I18" s="822" t="s">
        <v>3960</v>
      </c>
      <c r="J18" s="822" t="s">
        <v>1623</v>
      </c>
      <c r="K18" s="823">
        <v>284991</v>
      </c>
      <c r="L18" s="824" t="s">
        <v>2313</v>
      </c>
      <c r="M18" s="822"/>
      <c r="N18" s="824"/>
      <c r="O18" s="825"/>
      <c r="P18" s="815">
        <f>D18*E18*H18*K18</f>
        <v>455985.60000000003</v>
      </c>
    </row>
    <row r="19" spans="1:16" s="806" customFormat="1" ht="15.6">
      <c r="A19" s="671">
        <v>3</v>
      </c>
      <c r="B19" s="672" t="s">
        <v>3972</v>
      </c>
      <c r="C19" s="671" t="s">
        <v>3973</v>
      </c>
      <c r="D19" s="813"/>
      <c r="E19" s="808"/>
      <c r="F19" s="818"/>
      <c r="G19" s="818"/>
      <c r="H19" s="818"/>
      <c r="I19" s="818"/>
      <c r="J19" s="818"/>
      <c r="K19" s="819"/>
      <c r="L19" s="820"/>
      <c r="M19" s="818"/>
      <c r="N19" s="820"/>
      <c r="O19" s="821"/>
      <c r="P19" s="815"/>
    </row>
    <row r="20" spans="1:16" ht="15.6">
      <c r="A20" s="454" t="s">
        <v>3974</v>
      </c>
      <c r="B20" s="290" t="s">
        <v>2665</v>
      </c>
      <c r="C20" s="454"/>
      <c r="D20" s="812">
        <f>C6</f>
        <v>1</v>
      </c>
      <c r="E20" s="811">
        <f>25/100</f>
        <v>0.25</v>
      </c>
      <c r="F20" s="822" t="s">
        <v>3975</v>
      </c>
      <c r="G20" s="822" t="s">
        <v>1623</v>
      </c>
      <c r="H20" s="822">
        <v>2</v>
      </c>
      <c r="I20" s="822" t="s">
        <v>3960</v>
      </c>
      <c r="J20" s="822" t="s">
        <v>1623</v>
      </c>
      <c r="K20" s="823">
        <f>C3</f>
        <v>80</v>
      </c>
      <c r="L20" s="824" t="s">
        <v>3976</v>
      </c>
      <c r="M20" s="822" t="s">
        <v>1623</v>
      </c>
      <c r="N20" s="824">
        <v>15118</v>
      </c>
      <c r="O20" s="825" t="s">
        <v>3950</v>
      </c>
      <c r="P20" s="815">
        <f>D20*E20*H20*K20*N20</f>
        <v>604720</v>
      </c>
    </row>
    <row r="21" spans="1:16" ht="15.6">
      <c r="A21" s="454" t="s">
        <v>3977</v>
      </c>
      <c r="B21" s="290" t="s">
        <v>3952</v>
      </c>
      <c r="C21" s="454"/>
      <c r="D21" s="812">
        <f>C7</f>
        <v>1</v>
      </c>
      <c r="E21" s="811">
        <f>14/100</f>
        <v>0.14000000000000001</v>
      </c>
      <c r="F21" s="822" t="s">
        <v>3975</v>
      </c>
      <c r="G21" s="822" t="s">
        <v>1623</v>
      </c>
      <c r="H21" s="822">
        <v>2</v>
      </c>
      <c r="I21" s="822" t="s">
        <v>3960</v>
      </c>
      <c r="J21" s="822" t="s">
        <v>1623</v>
      </c>
      <c r="K21" s="823">
        <f>C3</f>
        <v>80</v>
      </c>
      <c r="L21" s="824" t="s">
        <v>3976</v>
      </c>
      <c r="M21" s="822" t="s">
        <v>1623</v>
      </c>
      <c r="N21" s="824">
        <v>15118</v>
      </c>
      <c r="O21" s="825" t="s">
        <v>3950</v>
      </c>
      <c r="P21" s="815">
        <f>D21*E21*H21*K21*N21</f>
        <v>338643.20000000001</v>
      </c>
    </row>
    <row r="22" spans="1:16" ht="15.6">
      <c r="A22" s="454" t="s">
        <v>3978</v>
      </c>
      <c r="B22" s="290" t="s">
        <v>3953</v>
      </c>
      <c r="C22" s="454"/>
      <c r="D22" s="812">
        <f>C8</f>
        <v>1</v>
      </c>
      <c r="E22" s="811">
        <f>35/100</f>
        <v>0.35</v>
      </c>
      <c r="F22" s="822" t="s">
        <v>3975</v>
      </c>
      <c r="G22" s="822" t="s">
        <v>1623</v>
      </c>
      <c r="H22" s="822">
        <v>2</v>
      </c>
      <c r="I22" s="822" t="s">
        <v>3960</v>
      </c>
      <c r="J22" s="822" t="s">
        <v>1623</v>
      </c>
      <c r="K22" s="823">
        <f>C3</f>
        <v>80</v>
      </c>
      <c r="L22" s="824" t="s">
        <v>3976</v>
      </c>
      <c r="M22" s="822" t="s">
        <v>1623</v>
      </c>
      <c r="N22" s="824">
        <v>15118</v>
      </c>
      <c r="O22" s="825" t="s">
        <v>3950</v>
      </c>
      <c r="P22" s="815">
        <f>D22*E22*H22*K22*N22</f>
        <v>846608</v>
      </c>
    </row>
    <row r="23" spans="1:16" s="806" customFormat="1" ht="15.6">
      <c r="A23" s="671"/>
      <c r="B23" s="672" t="s">
        <v>2119</v>
      </c>
      <c r="C23" s="671"/>
      <c r="D23" s="672"/>
      <c r="E23" s="817"/>
      <c r="F23" s="818"/>
      <c r="G23" s="818"/>
      <c r="H23" s="818"/>
      <c r="I23" s="818"/>
      <c r="J23" s="818"/>
      <c r="K23" s="819"/>
      <c r="L23" s="820"/>
      <c r="M23" s="818"/>
      <c r="N23" s="820"/>
      <c r="O23" s="821"/>
      <c r="P23" s="816">
        <f>SUM(P12:P22)</f>
        <v>3242606.4000000004</v>
      </c>
    </row>
  </sheetData>
  <mergeCells count="2">
    <mergeCell ref="A1:P1"/>
    <mergeCell ref="E9:O9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99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0"/>
  <sheetViews>
    <sheetView view="pageBreakPreview" zoomScaleNormal="100" zoomScaleSheetLayoutView="100" workbookViewId="0">
      <selection activeCell="D4" sqref="D4"/>
    </sheetView>
  </sheetViews>
  <sheetFormatPr defaultRowHeight="13.8"/>
  <cols>
    <col min="1" max="1" width="7.88671875" style="571" customWidth="1"/>
    <col min="2" max="2" width="23.109375" style="571" customWidth="1"/>
    <col min="3" max="3" width="30.88671875" style="571" customWidth="1"/>
    <col min="4" max="4" width="25" style="571" customWidth="1"/>
    <col min="5" max="5" width="23.109375" style="571" hidden="1" customWidth="1"/>
    <col min="6" max="6" width="43.44140625" style="571" customWidth="1"/>
    <col min="7" max="256" width="9.109375" style="571"/>
    <col min="257" max="257" width="7.88671875" style="571" customWidth="1"/>
    <col min="258" max="258" width="23.109375" style="571" customWidth="1"/>
    <col min="259" max="259" width="30.88671875" style="571" customWidth="1"/>
    <col min="260" max="260" width="25" style="571" customWidth="1"/>
    <col min="261" max="261" width="0" style="571" hidden="1" customWidth="1"/>
    <col min="262" max="262" width="43.44140625" style="571" customWidth="1"/>
    <col min="263" max="512" width="9.109375" style="571"/>
    <col min="513" max="513" width="7.88671875" style="571" customWidth="1"/>
    <col min="514" max="514" width="23.109375" style="571" customWidth="1"/>
    <col min="515" max="515" width="30.88671875" style="571" customWidth="1"/>
    <col min="516" max="516" width="25" style="571" customWidth="1"/>
    <col min="517" max="517" width="0" style="571" hidden="1" customWidth="1"/>
    <col min="518" max="518" width="43.44140625" style="571" customWidth="1"/>
    <col min="519" max="768" width="9.109375" style="571"/>
    <col min="769" max="769" width="7.88671875" style="571" customWidth="1"/>
    <col min="770" max="770" width="23.109375" style="571" customWidth="1"/>
    <col min="771" max="771" width="30.88671875" style="571" customWidth="1"/>
    <col min="772" max="772" width="25" style="571" customWidth="1"/>
    <col min="773" max="773" width="0" style="571" hidden="1" customWidth="1"/>
    <col min="774" max="774" width="43.44140625" style="571" customWidth="1"/>
    <col min="775" max="1024" width="9.109375" style="571"/>
    <col min="1025" max="1025" width="7.88671875" style="571" customWidth="1"/>
    <col min="1026" max="1026" width="23.109375" style="571" customWidth="1"/>
    <col min="1027" max="1027" width="30.88671875" style="571" customWidth="1"/>
    <col min="1028" max="1028" width="25" style="571" customWidth="1"/>
    <col min="1029" max="1029" width="0" style="571" hidden="1" customWidth="1"/>
    <col min="1030" max="1030" width="43.44140625" style="571" customWidth="1"/>
    <col min="1031" max="1280" width="9.109375" style="571"/>
    <col min="1281" max="1281" width="7.88671875" style="571" customWidth="1"/>
    <col min="1282" max="1282" width="23.109375" style="571" customWidth="1"/>
    <col min="1283" max="1283" width="30.88671875" style="571" customWidth="1"/>
    <col min="1284" max="1284" width="25" style="571" customWidth="1"/>
    <col min="1285" max="1285" width="0" style="571" hidden="1" customWidth="1"/>
    <col min="1286" max="1286" width="43.44140625" style="571" customWidth="1"/>
    <col min="1287" max="1536" width="9.109375" style="571"/>
    <col min="1537" max="1537" width="7.88671875" style="571" customWidth="1"/>
    <col min="1538" max="1538" width="23.109375" style="571" customWidth="1"/>
    <col min="1539" max="1539" width="30.88671875" style="571" customWidth="1"/>
    <col min="1540" max="1540" width="25" style="571" customWidth="1"/>
    <col min="1541" max="1541" width="0" style="571" hidden="1" customWidth="1"/>
    <col min="1542" max="1542" width="43.44140625" style="571" customWidth="1"/>
    <col min="1543" max="1792" width="9.109375" style="571"/>
    <col min="1793" max="1793" width="7.88671875" style="571" customWidth="1"/>
    <col min="1794" max="1794" width="23.109375" style="571" customWidth="1"/>
    <col min="1795" max="1795" width="30.88671875" style="571" customWidth="1"/>
    <col min="1796" max="1796" width="25" style="571" customWidth="1"/>
    <col min="1797" max="1797" width="0" style="571" hidden="1" customWidth="1"/>
    <col min="1798" max="1798" width="43.44140625" style="571" customWidth="1"/>
    <col min="1799" max="2048" width="9.109375" style="571"/>
    <col min="2049" max="2049" width="7.88671875" style="571" customWidth="1"/>
    <col min="2050" max="2050" width="23.109375" style="571" customWidth="1"/>
    <col min="2051" max="2051" width="30.88671875" style="571" customWidth="1"/>
    <col min="2052" max="2052" width="25" style="571" customWidth="1"/>
    <col min="2053" max="2053" width="0" style="571" hidden="1" customWidth="1"/>
    <col min="2054" max="2054" width="43.44140625" style="571" customWidth="1"/>
    <col min="2055" max="2304" width="9.109375" style="571"/>
    <col min="2305" max="2305" width="7.88671875" style="571" customWidth="1"/>
    <col min="2306" max="2306" width="23.109375" style="571" customWidth="1"/>
    <col min="2307" max="2307" width="30.88671875" style="571" customWidth="1"/>
    <col min="2308" max="2308" width="25" style="571" customWidth="1"/>
    <col min="2309" max="2309" width="0" style="571" hidden="1" customWidth="1"/>
    <col min="2310" max="2310" width="43.44140625" style="571" customWidth="1"/>
    <col min="2311" max="2560" width="9.109375" style="571"/>
    <col min="2561" max="2561" width="7.88671875" style="571" customWidth="1"/>
    <col min="2562" max="2562" width="23.109375" style="571" customWidth="1"/>
    <col min="2563" max="2563" width="30.88671875" style="571" customWidth="1"/>
    <col min="2564" max="2564" width="25" style="571" customWidth="1"/>
    <col min="2565" max="2565" width="0" style="571" hidden="1" customWidth="1"/>
    <col min="2566" max="2566" width="43.44140625" style="571" customWidth="1"/>
    <col min="2567" max="2816" width="9.109375" style="571"/>
    <col min="2817" max="2817" width="7.88671875" style="571" customWidth="1"/>
    <col min="2818" max="2818" width="23.109375" style="571" customWidth="1"/>
    <col min="2819" max="2819" width="30.88671875" style="571" customWidth="1"/>
    <col min="2820" max="2820" width="25" style="571" customWidth="1"/>
    <col min="2821" max="2821" width="0" style="571" hidden="1" customWidth="1"/>
    <col min="2822" max="2822" width="43.44140625" style="571" customWidth="1"/>
    <col min="2823" max="3072" width="9.109375" style="571"/>
    <col min="3073" max="3073" width="7.88671875" style="571" customWidth="1"/>
    <col min="3074" max="3074" width="23.109375" style="571" customWidth="1"/>
    <col min="3075" max="3075" width="30.88671875" style="571" customWidth="1"/>
    <col min="3076" max="3076" width="25" style="571" customWidth="1"/>
    <col min="3077" max="3077" width="0" style="571" hidden="1" customWidth="1"/>
    <col min="3078" max="3078" width="43.44140625" style="571" customWidth="1"/>
    <col min="3079" max="3328" width="9.109375" style="571"/>
    <col min="3329" max="3329" width="7.88671875" style="571" customWidth="1"/>
    <col min="3330" max="3330" width="23.109375" style="571" customWidth="1"/>
    <col min="3331" max="3331" width="30.88671875" style="571" customWidth="1"/>
    <col min="3332" max="3332" width="25" style="571" customWidth="1"/>
    <col min="3333" max="3333" width="0" style="571" hidden="1" customWidth="1"/>
    <col min="3334" max="3334" width="43.44140625" style="571" customWidth="1"/>
    <col min="3335" max="3584" width="9.109375" style="571"/>
    <col min="3585" max="3585" width="7.88671875" style="571" customWidth="1"/>
    <col min="3586" max="3586" width="23.109375" style="571" customWidth="1"/>
    <col min="3587" max="3587" width="30.88671875" style="571" customWidth="1"/>
    <col min="3588" max="3588" width="25" style="571" customWidth="1"/>
    <col min="3589" max="3589" width="0" style="571" hidden="1" customWidth="1"/>
    <col min="3590" max="3590" width="43.44140625" style="571" customWidth="1"/>
    <col min="3591" max="3840" width="9.109375" style="571"/>
    <col min="3841" max="3841" width="7.88671875" style="571" customWidth="1"/>
    <col min="3842" max="3842" width="23.109375" style="571" customWidth="1"/>
    <col min="3843" max="3843" width="30.88671875" style="571" customWidth="1"/>
    <col min="3844" max="3844" width="25" style="571" customWidth="1"/>
    <col min="3845" max="3845" width="0" style="571" hidden="1" customWidth="1"/>
    <col min="3846" max="3846" width="43.44140625" style="571" customWidth="1"/>
    <col min="3847" max="4096" width="9.109375" style="571"/>
    <col min="4097" max="4097" width="7.88671875" style="571" customWidth="1"/>
    <col min="4098" max="4098" width="23.109375" style="571" customWidth="1"/>
    <col min="4099" max="4099" width="30.88671875" style="571" customWidth="1"/>
    <col min="4100" max="4100" width="25" style="571" customWidth="1"/>
    <col min="4101" max="4101" width="0" style="571" hidden="1" customWidth="1"/>
    <col min="4102" max="4102" width="43.44140625" style="571" customWidth="1"/>
    <col min="4103" max="4352" width="9.109375" style="571"/>
    <col min="4353" max="4353" width="7.88671875" style="571" customWidth="1"/>
    <col min="4354" max="4354" width="23.109375" style="571" customWidth="1"/>
    <col min="4355" max="4355" width="30.88671875" style="571" customWidth="1"/>
    <col min="4356" max="4356" width="25" style="571" customWidth="1"/>
    <col min="4357" max="4357" width="0" style="571" hidden="1" customWidth="1"/>
    <col min="4358" max="4358" width="43.44140625" style="571" customWidth="1"/>
    <col min="4359" max="4608" width="9.109375" style="571"/>
    <col min="4609" max="4609" width="7.88671875" style="571" customWidth="1"/>
    <col min="4610" max="4610" width="23.109375" style="571" customWidth="1"/>
    <col min="4611" max="4611" width="30.88671875" style="571" customWidth="1"/>
    <col min="4612" max="4612" width="25" style="571" customWidth="1"/>
    <col min="4613" max="4613" width="0" style="571" hidden="1" customWidth="1"/>
    <col min="4614" max="4614" width="43.44140625" style="571" customWidth="1"/>
    <col min="4615" max="4864" width="9.109375" style="571"/>
    <col min="4865" max="4865" width="7.88671875" style="571" customWidth="1"/>
    <col min="4866" max="4866" width="23.109375" style="571" customWidth="1"/>
    <col min="4867" max="4867" width="30.88671875" style="571" customWidth="1"/>
    <col min="4868" max="4868" width="25" style="571" customWidth="1"/>
    <col min="4869" max="4869" width="0" style="571" hidden="1" customWidth="1"/>
    <col min="4870" max="4870" width="43.44140625" style="571" customWidth="1"/>
    <col min="4871" max="5120" width="9.109375" style="571"/>
    <col min="5121" max="5121" width="7.88671875" style="571" customWidth="1"/>
    <col min="5122" max="5122" width="23.109375" style="571" customWidth="1"/>
    <col min="5123" max="5123" width="30.88671875" style="571" customWidth="1"/>
    <col min="5124" max="5124" width="25" style="571" customWidth="1"/>
    <col min="5125" max="5125" width="0" style="571" hidden="1" customWidth="1"/>
    <col min="5126" max="5126" width="43.44140625" style="571" customWidth="1"/>
    <col min="5127" max="5376" width="9.109375" style="571"/>
    <col min="5377" max="5377" width="7.88671875" style="571" customWidth="1"/>
    <col min="5378" max="5378" width="23.109375" style="571" customWidth="1"/>
    <col min="5379" max="5379" width="30.88671875" style="571" customWidth="1"/>
    <col min="5380" max="5380" width="25" style="571" customWidth="1"/>
    <col min="5381" max="5381" width="0" style="571" hidden="1" customWidth="1"/>
    <col min="5382" max="5382" width="43.44140625" style="571" customWidth="1"/>
    <col min="5383" max="5632" width="9.109375" style="571"/>
    <col min="5633" max="5633" width="7.88671875" style="571" customWidth="1"/>
    <col min="5634" max="5634" width="23.109375" style="571" customWidth="1"/>
    <col min="5635" max="5635" width="30.88671875" style="571" customWidth="1"/>
    <col min="5636" max="5636" width="25" style="571" customWidth="1"/>
    <col min="5637" max="5637" width="0" style="571" hidden="1" customWidth="1"/>
    <col min="5638" max="5638" width="43.44140625" style="571" customWidth="1"/>
    <col min="5639" max="5888" width="9.109375" style="571"/>
    <col min="5889" max="5889" width="7.88671875" style="571" customWidth="1"/>
    <col min="5890" max="5890" width="23.109375" style="571" customWidth="1"/>
    <col min="5891" max="5891" width="30.88671875" style="571" customWidth="1"/>
    <col min="5892" max="5892" width="25" style="571" customWidth="1"/>
    <col min="5893" max="5893" width="0" style="571" hidden="1" customWidth="1"/>
    <col min="5894" max="5894" width="43.44140625" style="571" customWidth="1"/>
    <col min="5895" max="6144" width="9.109375" style="571"/>
    <col min="6145" max="6145" width="7.88671875" style="571" customWidth="1"/>
    <col min="6146" max="6146" width="23.109375" style="571" customWidth="1"/>
    <col min="6147" max="6147" width="30.88671875" style="571" customWidth="1"/>
    <col min="6148" max="6148" width="25" style="571" customWidth="1"/>
    <col min="6149" max="6149" width="0" style="571" hidden="1" customWidth="1"/>
    <col min="6150" max="6150" width="43.44140625" style="571" customWidth="1"/>
    <col min="6151" max="6400" width="9.109375" style="571"/>
    <col min="6401" max="6401" width="7.88671875" style="571" customWidth="1"/>
    <col min="6402" max="6402" width="23.109375" style="571" customWidth="1"/>
    <col min="6403" max="6403" width="30.88671875" style="571" customWidth="1"/>
    <col min="6404" max="6404" width="25" style="571" customWidth="1"/>
    <col min="6405" max="6405" width="0" style="571" hidden="1" customWidth="1"/>
    <col min="6406" max="6406" width="43.44140625" style="571" customWidth="1"/>
    <col min="6407" max="6656" width="9.109375" style="571"/>
    <col min="6657" max="6657" width="7.88671875" style="571" customWidth="1"/>
    <col min="6658" max="6658" width="23.109375" style="571" customWidth="1"/>
    <col min="6659" max="6659" width="30.88671875" style="571" customWidth="1"/>
    <col min="6660" max="6660" width="25" style="571" customWidth="1"/>
    <col min="6661" max="6661" width="0" style="571" hidden="1" customWidth="1"/>
    <col min="6662" max="6662" width="43.44140625" style="571" customWidth="1"/>
    <col min="6663" max="6912" width="9.109375" style="571"/>
    <col min="6913" max="6913" width="7.88671875" style="571" customWidth="1"/>
    <col min="6914" max="6914" width="23.109375" style="571" customWidth="1"/>
    <col min="6915" max="6915" width="30.88671875" style="571" customWidth="1"/>
    <col min="6916" max="6916" width="25" style="571" customWidth="1"/>
    <col min="6917" max="6917" width="0" style="571" hidden="1" customWidth="1"/>
    <col min="6918" max="6918" width="43.44140625" style="571" customWidth="1"/>
    <col min="6919" max="7168" width="9.109375" style="571"/>
    <col min="7169" max="7169" width="7.88671875" style="571" customWidth="1"/>
    <col min="7170" max="7170" width="23.109375" style="571" customWidth="1"/>
    <col min="7171" max="7171" width="30.88671875" style="571" customWidth="1"/>
    <col min="7172" max="7172" width="25" style="571" customWidth="1"/>
    <col min="7173" max="7173" width="0" style="571" hidden="1" customWidth="1"/>
    <col min="7174" max="7174" width="43.44140625" style="571" customWidth="1"/>
    <col min="7175" max="7424" width="9.109375" style="571"/>
    <col min="7425" max="7425" width="7.88671875" style="571" customWidth="1"/>
    <col min="7426" max="7426" width="23.109375" style="571" customWidth="1"/>
    <col min="7427" max="7427" width="30.88671875" style="571" customWidth="1"/>
    <col min="7428" max="7428" width="25" style="571" customWidth="1"/>
    <col min="7429" max="7429" width="0" style="571" hidden="1" customWidth="1"/>
    <col min="7430" max="7430" width="43.44140625" style="571" customWidth="1"/>
    <col min="7431" max="7680" width="9.109375" style="571"/>
    <col min="7681" max="7681" width="7.88671875" style="571" customWidth="1"/>
    <col min="7682" max="7682" width="23.109375" style="571" customWidth="1"/>
    <col min="7683" max="7683" width="30.88671875" style="571" customWidth="1"/>
    <col min="7684" max="7684" width="25" style="571" customWidth="1"/>
    <col min="7685" max="7685" width="0" style="571" hidden="1" customWidth="1"/>
    <col min="7686" max="7686" width="43.44140625" style="571" customWidth="1"/>
    <col min="7687" max="7936" width="9.109375" style="571"/>
    <col min="7937" max="7937" width="7.88671875" style="571" customWidth="1"/>
    <col min="7938" max="7938" width="23.109375" style="571" customWidth="1"/>
    <col min="7939" max="7939" width="30.88671875" style="571" customWidth="1"/>
    <col min="7940" max="7940" width="25" style="571" customWidth="1"/>
    <col min="7941" max="7941" width="0" style="571" hidden="1" customWidth="1"/>
    <col min="7942" max="7942" width="43.44140625" style="571" customWidth="1"/>
    <col min="7943" max="8192" width="9.109375" style="571"/>
    <col min="8193" max="8193" width="7.88671875" style="571" customWidth="1"/>
    <col min="8194" max="8194" width="23.109375" style="571" customWidth="1"/>
    <col min="8195" max="8195" width="30.88671875" style="571" customWidth="1"/>
    <col min="8196" max="8196" width="25" style="571" customWidth="1"/>
    <col min="8197" max="8197" width="0" style="571" hidden="1" customWidth="1"/>
    <col min="8198" max="8198" width="43.44140625" style="571" customWidth="1"/>
    <col min="8199" max="8448" width="9.109375" style="571"/>
    <col min="8449" max="8449" width="7.88671875" style="571" customWidth="1"/>
    <col min="8450" max="8450" width="23.109375" style="571" customWidth="1"/>
    <col min="8451" max="8451" width="30.88671875" style="571" customWidth="1"/>
    <col min="8452" max="8452" width="25" style="571" customWidth="1"/>
    <col min="8453" max="8453" width="0" style="571" hidden="1" customWidth="1"/>
    <col min="8454" max="8454" width="43.44140625" style="571" customWidth="1"/>
    <col min="8455" max="8704" width="9.109375" style="571"/>
    <col min="8705" max="8705" width="7.88671875" style="571" customWidth="1"/>
    <col min="8706" max="8706" width="23.109375" style="571" customWidth="1"/>
    <col min="8707" max="8707" width="30.88671875" style="571" customWidth="1"/>
    <col min="8708" max="8708" width="25" style="571" customWidth="1"/>
    <col min="8709" max="8709" width="0" style="571" hidden="1" customWidth="1"/>
    <col min="8710" max="8710" width="43.44140625" style="571" customWidth="1"/>
    <col min="8711" max="8960" width="9.109375" style="571"/>
    <col min="8961" max="8961" width="7.88671875" style="571" customWidth="1"/>
    <col min="8962" max="8962" width="23.109375" style="571" customWidth="1"/>
    <col min="8963" max="8963" width="30.88671875" style="571" customWidth="1"/>
    <col min="8964" max="8964" width="25" style="571" customWidth="1"/>
    <col min="8965" max="8965" width="0" style="571" hidden="1" customWidth="1"/>
    <col min="8966" max="8966" width="43.44140625" style="571" customWidth="1"/>
    <col min="8967" max="9216" width="9.109375" style="571"/>
    <col min="9217" max="9217" width="7.88671875" style="571" customWidth="1"/>
    <col min="9218" max="9218" width="23.109375" style="571" customWidth="1"/>
    <col min="9219" max="9219" width="30.88671875" style="571" customWidth="1"/>
    <col min="9220" max="9220" width="25" style="571" customWidth="1"/>
    <col min="9221" max="9221" width="0" style="571" hidden="1" customWidth="1"/>
    <col min="9222" max="9222" width="43.44140625" style="571" customWidth="1"/>
    <col min="9223" max="9472" width="9.109375" style="571"/>
    <col min="9473" max="9473" width="7.88671875" style="571" customWidth="1"/>
    <col min="9474" max="9474" width="23.109375" style="571" customWidth="1"/>
    <col min="9475" max="9475" width="30.88671875" style="571" customWidth="1"/>
    <col min="9476" max="9476" width="25" style="571" customWidth="1"/>
    <col min="9477" max="9477" width="0" style="571" hidden="1" customWidth="1"/>
    <col min="9478" max="9478" width="43.44140625" style="571" customWidth="1"/>
    <col min="9479" max="9728" width="9.109375" style="571"/>
    <col min="9729" max="9729" width="7.88671875" style="571" customWidth="1"/>
    <col min="9730" max="9730" width="23.109375" style="571" customWidth="1"/>
    <col min="9731" max="9731" width="30.88671875" style="571" customWidth="1"/>
    <col min="9732" max="9732" width="25" style="571" customWidth="1"/>
    <col min="9733" max="9733" width="0" style="571" hidden="1" customWidth="1"/>
    <col min="9734" max="9734" width="43.44140625" style="571" customWidth="1"/>
    <col min="9735" max="9984" width="9.109375" style="571"/>
    <col min="9985" max="9985" width="7.88671875" style="571" customWidth="1"/>
    <col min="9986" max="9986" width="23.109375" style="571" customWidth="1"/>
    <col min="9987" max="9987" width="30.88671875" style="571" customWidth="1"/>
    <col min="9988" max="9988" width="25" style="571" customWidth="1"/>
    <col min="9989" max="9989" width="0" style="571" hidden="1" customWidth="1"/>
    <col min="9990" max="9990" width="43.44140625" style="571" customWidth="1"/>
    <col min="9991" max="10240" width="9.109375" style="571"/>
    <col min="10241" max="10241" width="7.88671875" style="571" customWidth="1"/>
    <col min="10242" max="10242" width="23.109375" style="571" customWidth="1"/>
    <col min="10243" max="10243" width="30.88671875" style="571" customWidth="1"/>
    <col min="10244" max="10244" width="25" style="571" customWidth="1"/>
    <col min="10245" max="10245" width="0" style="571" hidden="1" customWidth="1"/>
    <col min="10246" max="10246" width="43.44140625" style="571" customWidth="1"/>
    <col min="10247" max="10496" width="9.109375" style="571"/>
    <col min="10497" max="10497" width="7.88671875" style="571" customWidth="1"/>
    <col min="10498" max="10498" width="23.109375" style="571" customWidth="1"/>
    <col min="10499" max="10499" width="30.88671875" style="571" customWidth="1"/>
    <col min="10500" max="10500" width="25" style="571" customWidth="1"/>
    <col min="10501" max="10501" width="0" style="571" hidden="1" customWidth="1"/>
    <col min="10502" max="10502" width="43.44140625" style="571" customWidth="1"/>
    <col min="10503" max="10752" width="9.109375" style="571"/>
    <col min="10753" max="10753" width="7.88671875" style="571" customWidth="1"/>
    <col min="10754" max="10754" width="23.109375" style="571" customWidth="1"/>
    <col min="10755" max="10755" width="30.88671875" style="571" customWidth="1"/>
    <col min="10756" max="10756" width="25" style="571" customWidth="1"/>
    <col min="10757" max="10757" width="0" style="571" hidden="1" customWidth="1"/>
    <col min="10758" max="10758" width="43.44140625" style="571" customWidth="1"/>
    <col min="10759" max="11008" width="9.109375" style="571"/>
    <col min="11009" max="11009" width="7.88671875" style="571" customWidth="1"/>
    <col min="11010" max="11010" width="23.109375" style="571" customWidth="1"/>
    <col min="11011" max="11011" width="30.88671875" style="571" customWidth="1"/>
    <col min="11012" max="11012" width="25" style="571" customWidth="1"/>
    <col min="11013" max="11013" width="0" style="571" hidden="1" customWidth="1"/>
    <col min="11014" max="11014" width="43.44140625" style="571" customWidth="1"/>
    <col min="11015" max="11264" width="9.109375" style="571"/>
    <col min="11265" max="11265" width="7.88671875" style="571" customWidth="1"/>
    <col min="11266" max="11266" width="23.109375" style="571" customWidth="1"/>
    <col min="11267" max="11267" width="30.88671875" style="571" customWidth="1"/>
    <col min="11268" max="11268" width="25" style="571" customWidth="1"/>
    <col min="11269" max="11269" width="0" style="571" hidden="1" customWidth="1"/>
    <col min="11270" max="11270" width="43.44140625" style="571" customWidth="1"/>
    <col min="11271" max="11520" width="9.109375" style="571"/>
    <col min="11521" max="11521" width="7.88671875" style="571" customWidth="1"/>
    <col min="11522" max="11522" width="23.109375" style="571" customWidth="1"/>
    <col min="11523" max="11523" width="30.88671875" style="571" customWidth="1"/>
    <col min="11524" max="11524" width="25" style="571" customWidth="1"/>
    <col min="11525" max="11525" width="0" style="571" hidden="1" customWidth="1"/>
    <col min="11526" max="11526" width="43.44140625" style="571" customWidth="1"/>
    <col min="11527" max="11776" width="9.109375" style="571"/>
    <col min="11777" max="11777" width="7.88671875" style="571" customWidth="1"/>
    <col min="11778" max="11778" width="23.109375" style="571" customWidth="1"/>
    <col min="11779" max="11779" width="30.88671875" style="571" customWidth="1"/>
    <col min="11780" max="11780" width="25" style="571" customWidth="1"/>
    <col min="11781" max="11781" width="0" style="571" hidden="1" customWidth="1"/>
    <col min="11782" max="11782" width="43.44140625" style="571" customWidth="1"/>
    <col min="11783" max="12032" width="9.109375" style="571"/>
    <col min="12033" max="12033" width="7.88671875" style="571" customWidth="1"/>
    <col min="12034" max="12034" width="23.109375" style="571" customWidth="1"/>
    <col min="12035" max="12035" width="30.88671875" style="571" customWidth="1"/>
    <col min="12036" max="12036" width="25" style="571" customWidth="1"/>
    <col min="12037" max="12037" width="0" style="571" hidden="1" customWidth="1"/>
    <col min="12038" max="12038" width="43.44140625" style="571" customWidth="1"/>
    <col min="12039" max="12288" width="9.109375" style="571"/>
    <col min="12289" max="12289" width="7.88671875" style="571" customWidth="1"/>
    <col min="12290" max="12290" width="23.109375" style="571" customWidth="1"/>
    <col min="12291" max="12291" width="30.88671875" style="571" customWidth="1"/>
    <col min="12292" max="12292" width="25" style="571" customWidth="1"/>
    <col min="12293" max="12293" width="0" style="571" hidden="1" customWidth="1"/>
    <col min="12294" max="12294" width="43.44140625" style="571" customWidth="1"/>
    <col min="12295" max="12544" width="9.109375" style="571"/>
    <col min="12545" max="12545" width="7.88671875" style="571" customWidth="1"/>
    <col min="12546" max="12546" width="23.109375" style="571" customWidth="1"/>
    <col min="12547" max="12547" width="30.88671875" style="571" customWidth="1"/>
    <col min="12548" max="12548" width="25" style="571" customWidth="1"/>
    <col min="12549" max="12549" width="0" style="571" hidden="1" customWidth="1"/>
    <col min="12550" max="12550" width="43.44140625" style="571" customWidth="1"/>
    <col min="12551" max="12800" width="9.109375" style="571"/>
    <col min="12801" max="12801" width="7.88671875" style="571" customWidth="1"/>
    <col min="12802" max="12802" width="23.109375" style="571" customWidth="1"/>
    <col min="12803" max="12803" width="30.88671875" style="571" customWidth="1"/>
    <col min="12804" max="12804" width="25" style="571" customWidth="1"/>
    <col min="12805" max="12805" width="0" style="571" hidden="1" customWidth="1"/>
    <col min="12806" max="12806" width="43.44140625" style="571" customWidth="1"/>
    <col min="12807" max="13056" width="9.109375" style="571"/>
    <col min="13057" max="13057" width="7.88671875" style="571" customWidth="1"/>
    <col min="13058" max="13058" width="23.109375" style="571" customWidth="1"/>
    <col min="13059" max="13059" width="30.88671875" style="571" customWidth="1"/>
    <col min="13060" max="13060" width="25" style="571" customWidth="1"/>
    <col min="13061" max="13061" width="0" style="571" hidden="1" customWidth="1"/>
    <col min="13062" max="13062" width="43.44140625" style="571" customWidth="1"/>
    <col min="13063" max="13312" width="9.109375" style="571"/>
    <col min="13313" max="13313" width="7.88671875" style="571" customWidth="1"/>
    <col min="13314" max="13314" width="23.109375" style="571" customWidth="1"/>
    <col min="13315" max="13315" width="30.88671875" style="571" customWidth="1"/>
    <col min="13316" max="13316" width="25" style="571" customWidth="1"/>
    <col min="13317" max="13317" width="0" style="571" hidden="1" customWidth="1"/>
    <col min="13318" max="13318" width="43.44140625" style="571" customWidth="1"/>
    <col min="13319" max="13568" width="9.109375" style="571"/>
    <col min="13569" max="13569" width="7.88671875" style="571" customWidth="1"/>
    <col min="13570" max="13570" width="23.109375" style="571" customWidth="1"/>
    <col min="13571" max="13571" width="30.88671875" style="571" customWidth="1"/>
    <col min="13572" max="13572" width="25" style="571" customWidth="1"/>
    <col min="13573" max="13573" width="0" style="571" hidden="1" customWidth="1"/>
    <col min="13574" max="13574" width="43.44140625" style="571" customWidth="1"/>
    <col min="13575" max="13824" width="9.109375" style="571"/>
    <col min="13825" max="13825" width="7.88671875" style="571" customWidth="1"/>
    <col min="13826" max="13826" width="23.109375" style="571" customWidth="1"/>
    <col min="13827" max="13827" width="30.88671875" style="571" customWidth="1"/>
    <col min="13828" max="13828" width="25" style="571" customWidth="1"/>
    <col min="13829" max="13829" width="0" style="571" hidden="1" customWidth="1"/>
    <col min="13830" max="13830" width="43.44140625" style="571" customWidth="1"/>
    <col min="13831" max="14080" width="9.109375" style="571"/>
    <col min="14081" max="14081" width="7.88671875" style="571" customWidth="1"/>
    <col min="14082" max="14082" width="23.109375" style="571" customWidth="1"/>
    <col min="14083" max="14083" width="30.88671875" style="571" customWidth="1"/>
    <col min="14084" max="14084" width="25" style="571" customWidth="1"/>
    <col min="14085" max="14085" width="0" style="571" hidden="1" customWidth="1"/>
    <col min="14086" max="14086" width="43.44140625" style="571" customWidth="1"/>
    <col min="14087" max="14336" width="9.109375" style="571"/>
    <col min="14337" max="14337" width="7.88671875" style="571" customWidth="1"/>
    <col min="14338" max="14338" width="23.109375" style="571" customWidth="1"/>
    <col min="14339" max="14339" width="30.88671875" style="571" customWidth="1"/>
    <col min="14340" max="14340" width="25" style="571" customWidth="1"/>
    <col min="14341" max="14341" width="0" style="571" hidden="1" customWidth="1"/>
    <col min="14342" max="14342" width="43.44140625" style="571" customWidth="1"/>
    <col min="14343" max="14592" width="9.109375" style="571"/>
    <col min="14593" max="14593" width="7.88671875" style="571" customWidth="1"/>
    <col min="14594" max="14594" width="23.109375" style="571" customWidth="1"/>
    <col min="14595" max="14595" width="30.88671875" style="571" customWidth="1"/>
    <col min="14596" max="14596" width="25" style="571" customWidth="1"/>
    <col min="14597" max="14597" width="0" style="571" hidden="1" customWidth="1"/>
    <col min="14598" max="14598" width="43.44140625" style="571" customWidth="1"/>
    <col min="14599" max="14848" width="9.109375" style="571"/>
    <col min="14849" max="14849" width="7.88671875" style="571" customWidth="1"/>
    <col min="14850" max="14850" width="23.109375" style="571" customWidth="1"/>
    <col min="14851" max="14851" width="30.88671875" style="571" customWidth="1"/>
    <col min="14852" max="14852" width="25" style="571" customWidth="1"/>
    <col min="14853" max="14853" width="0" style="571" hidden="1" customWidth="1"/>
    <col min="14854" max="14854" width="43.44140625" style="571" customWidth="1"/>
    <col min="14855" max="15104" width="9.109375" style="571"/>
    <col min="15105" max="15105" width="7.88671875" style="571" customWidth="1"/>
    <col min="15106" max="15106" width="23.109375" style="571" customWidth="1"/>
    <col min="15107" max="15107" width="30.88671875" style="571" customWidth="1"/>
    <col min="15108" max="15108" width="25" style="571" customWidth="1"/>
    <col min="15109" max="15109" width="0" style="571" hidden="1" customWidth="1"/>
    <col min="15110" max="15110" width="43.44140625" style="571" customWidth="1"/>
    <col min="15111" max="15360" width="9.109375" style="571"/>
    <col min="15361" max="15361" width="7.88671875" style="571" customWidth="1"/>
    <col min="15362" max="15362" width="23.109375" style="571" customWidth="1"/>
    <col min="15363" max="15363" width="30.88671875" style="571" customWidth="1"/>
    <col min="15364" max="15364" width="25" style="571" customWidth="1"/>
    <col min="15365" max="15365" width="0" style="571" hidden="1" customWidth="1"/>
    <col min="15366" max="15366" width="43.44140625" style="571" customWidth="1"/>
    <col min="15367" max="15616" width="9.109375" style="571"/>
    <col min="15617" max="15617" width="7.88671875" style="571" customWidth="1"/>
    <col min="15618" max="15618" width="23.109375" style="571" customWidth="1"/>
    <col min="15619" max="15619" width="30.88671875" style="571" customWidth="1"/>
    <col min="15620" max="15620" width="25" style="571" customWidth="1"/>
    <col min="15621" max="15621" width="0" style="571" hidden="1" customWidth="1"/>
    <col min="15622" max="15622" width="43.44140625" style="571" customWidth="1"/>
    <col min="15623" max="15872" width="9.109375" style="571"/>
    <col min="15873" max="15873" width="7.88671875" style="571" customWidth="1"/>
    <col min="15874" max="15874" width="23.109375" style="571" customWidth="1"/>
    <col min="15875" max="15875" width="30.88671875" style="571" customWidth="1"/>
    <col min="15876" max="15876" width="25" style="571" customWidth="1"/>
    <col min="15877" max="15877" width="0" style="571" hidden="1" customWidth="1"/>
    <col min="15878" max="15878" width="43.44140625" style="571" customWidth="1"/>
    <col min="15879" max="16128" width="9.109375" style="571"/>
    <col min="16129" max="16129" width="7.88671875" style="571" customWidth="1"/>
    <col min="16130" max="16130" width="23.109375" style="571" customWidth="1"/>
    <col min="16131" max="16131" width="30.88671875" style="571" customWidth="1"/>
    <col min="16132" max="16132" width="25" style="571" customWidth="1"/>
    <col min="16133" max="16133" width="0" style="571" hidden="1" customWidth="1"/>
    <col min="16134" max="16134" width="43.44140625" style="571" customWidth="1"/>
    <col min="16135" max="16384" width="9.109375" style="571"/>
  </cols>
  <sheetData>
    <row r="1" spans="1:6" ht="17.399999999999999">
      <c r="A1" s="1060" t="s">
        <v>4017</v>
      </c>
      <c r="B1" s="1060"/>
      <c r="C1" s="1060"/>
      <c r="D1" s="1060"/>
      <c r="E1" s="1060"/>
      <c r="F1" s="1060"/>
    </row>
    <row r="2" spans="1:6" ht="15.6">
      <c r="A2" s="572"/>
      <c r="B2" s="572"/>
      <c r="C2" s="572"/>
      <c r="D2" s="572"/>
      <c r="E2" s="572"/>
      <c r="F2" s="573"/>
    </row>
    <row r="3" spans="1:6" ht="31.2">
      <c r="A3" s="574" t="s">
        <v>1763</v>
      </c>
      <c r="B3" s="1061" t="s">
        <v>3303</v>
      </c>
      <c r="C3" s="1062"/>
      <c r="D3" s="575" t="s">
        <v>3319</v>
      </c>
      <c r="E3" s="575" t="s">
        <v>3304</v>
      </c>
      <c r="F3" s="575" t="s">
        <v>3305</v>
      </c>
    </row>
    <row r="4" spans="1:6" ht="15.6">
      <c r="A4" s="576" t="s">
        <v>1765</v>
      </c>
      <c r="B4" s="1063" t="s">
        <v>3306</v>
      </c>
      <c r="C4" s="1064"/>
      <c r="D4" s="566">
        <f ca="1">ROUND(('1.TONG HOP'!I8-'1.TONG HOP'!H8)/1.1,0)</f>
        <v>12185167017</v>
      </c>
      <c r="E4" s="566"/>
      <c r="F4" s="577"/>
    </row>
    <row r="5" spans="1:6" ht="15.6">
      <c r="A5" s="574" t="s">
        <v>1764</v>
      </c>
      <c r="B5" s="1065" t="s">
        <v>3307</v>
      </c>
      <c r="C5" s="1064"/>
      <c r="D5" s="567">
        <f>+D9</f>
        <v>242451894</v>
      </c>
      <c r="E5" s="567"/>
      <c r="F5" s="578"/>
    </row>
    <row r="6" spans="1:6" ht="15.6">
      <c r="A6" s="1066">
        <v>1</v>
      </c>
      <c r="B6" s="1069" t="s">
        <v>3308</v>
      </c>
      <c r="C6" s="568" t="s">
        <v>3309</v>
      </c>
      <c r="D6" s="568">
        <f>F16+F17+F18+F19</f>
        <v>9698075743</v>
      </c>
      <c r="E6" s="568"/>
      <c r="F6" s="1072" t="s">
        <v>3310</v>
      </c>
    </row>
    <row r="7" spans="1:6" ht="15.6">
      <c r="A7" s="1067"/>
      <c r="B7" s="1070"/>
      <c r="C7" s="579" t="s">
        <v>3311</v>
      </c>
      <c r="D7" s="580">
        <v>0.1</v>
      </c>
      <c r="E7" s="579"/>
      <c r="F7" s="1073"/>
    </row>
    <row r="8" spans="1:6" ht="15.6">
      <c r="A8" s="1067"/>
      <c r="B8" s="1070"/>
      <c r="C8" s="579" t="s">
        <v>3312</v>
      </c>
      <c r="D8" s="569">
        <v>3</v>
      </c>
      <c r="E8" s="579"/>
      <c r="F8" s="1073"/>
    </row>
    <row r="9" spans="1:6" ht="15.6">
      <c r="A9" s="1068"/>
      <c r="B9" s="1071"/>
      <c r="C9" s="570" t="s">
        <v>3313</v>
      </c>
      <c r="D9" s="570">
        <f>ROUND(D6*D7*D8/12,0)</f>
        <v>242451894</v>
      </c>
      <c r="E9" s="570"/>
      <c r="F9" s="1074"/>
    </row>
    <row r="10" spans="1:6" ht="15.6">
      <c r="A10" s="581"/>
      <c r="B10" s="582"/>
      <c r="C10" s="583"/>
      <c r="D10" s="583"/>
      <c r="E10" s="583"/>
      <c r="F10" s="583"/>
    </row>
    <row r="11" spans="1:6" ht="15.6">
      <c r="A11" s="584" t="s">
        <v>3314</v>
      </c>
      <c r="B11" s="582"/>
      <c r="C11" s="585"/>
      <c r="D11" s="585"/>
      <c r="E11" s="585"/>
      <c r="F11" s="585"/>
    </row>
    <row r="12" spans="1:6" ht="15.6">
      <c r="A12" s="581"/>
      <c r="B12" s="586" t="s">
        <v>3315</v>
      </c>
      <c r="D12" s="587">
        <f>'2.TCP-XD'!I194+'2.TCP-XD'!I195</f>
        <v>491855377</v>
      </c>
    </row>
    <row r="13" spans="1:6" ht="15.6">
      <c r="A13" s="588"/>
      <c r="B13" s="586" t="s">
        <v>3316</v>
      </c>
      <c r="D13" s="589">
        <f>'2.TCP-XD'!I225+'2.TCP-XD'!I226</f>
        <v>22795822</v>
      </c>
    </row>
    <row r="14" spans="1:6" ht="15.6">
      <c r="A14" s="588"/>
      <c r="B14" s="586" t="s">
        <v>3317</v>
      </c>
      <c r="D14" s="589">
        <f>'2.TCP-XD'!I8+'2.TCP-XD'!I20+'2.TCP-XD'!I91+'2.TCP-XD'!I101</f>
        <v>8793905908</v>
      </c>
    </row>
    <row r="15" spans="1:6" ht="15.6">
      <c r="A15" s="588"/>
      <c r="B15" s="586" t="s">
        <v>3318</v>
      </c>
      <c r="D15" s="589">
        <f>'2.TCP-XD'!I11+'2.TCP-XD'!I43+'2.TCP-XD'!I94+'2.TCP-XD'!I124</f>
        <v>2193520870</v>
      </c>
    </row>
    <row r="16" spans="1:6">
      <c r="F16" s="590">
        <f>ROUND(D12*0.9,0)</f>
        <v>442669839</v>
      </c>
    </row>
    <row r="17" spans="4:6">
      <c r="F17" s="590">
        <f>D13</f>
        <v>22795822</v>
      </c>
    </row>
    <row r="18" spans="4:6">
      <c r="F18" s="590">
        <f>D14</f>
        <v>8793905908</v>
      </c>
    </row>
    <row r="19" spans="4:6">
      <c r="D19" s="855">
        <f>'2.TCP-XD'!F6</f>
        <v>8522689679</v>
      </c>
      <c r="F19" s="590">
        <f>ROUND(D15*20%,0)</f>
        <v>438704174</v>
      </c>
    </row>
    <row r="20" spans="4:6">
      <c r="D20" s="855">
        <f>'2.TCP-XD'!F89</f>
        <v>1839047289</v>
      </c>
    </row>
  </sheetData>
  <mergeCells count="7">
    <mergeCell ref="A1:F1"/>
    <mergeCell ref="B3:C3"/>
    <mergeCell ref="B4:C4"/>
    <mergeCell ref="B5:C5"/>
    <mergeCell ref="A6:A9"/>
    <mergeCell ref="B6:B9"/>
    <mergeCell ref="F6:F9"/>
  </mergeCells>
  <printOptions horizontalCentered="1"/>
  <pageMargins left="0" right="0" top="1.3385826771653544" bottom="0.98425196850393704" header="0.31496062992125984" footer="0.39370078740157483"/>
  <pageSetup paperSize="9" orientation="landscape" blackAndWhite="1" r:id="rId1"/>
  <headerFooter>
    <oddFooter>&amp;R&amp;P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FG368"/>
  <sheetViews>
    <sheetView showZeros="0" view="pageBreakPreview" topLeftCell="C5" zoomScale="85" zoomScaleNormal="100" zoomScaleSheetLayoutView="85" workbookViewId="0">
      <pane xSplit="16" ySplit="2" topLeftCell="S243" activePane="bottomRight" state="frozen"/>
      <selection activeCell="C5" sqref="C5"/>
      <selection pane="topRight" activeCell="S5" sqref="S5"/>
      <selection pane="bottomLeft" activeCell="C7" sqref="C7"/>
      <selection pane="bottomRight" activeCell="AK361" sqref="AK361"/>
    </sheetView>
  </sheetViews>
  <sheetFormatPr defaultColWidth="9.109375" defaultRowHeight="15.6"/>
  <cols>
    <col min="1" max="1" width="6.44140625" style="56" customWidth="1"/>
    <col min="2" max="2" width="12.109375" style="55" customWidth="1"/>
    <col min="3" max="4" width="9.109375" style="4"/>
    <col min="5" max="5" width="10" style="4" customWidth="1"/>
    <col min="6" max="6" width="10.33203125" style="4" hidden="1" customWidth="1"/>
    <col min="7" max="11" width="9.109375" style="4" hidden="1" customWidth="1"/>
    <col min="12" max="12" width="9.109375" style="4"/>
    <col min="13" max="17" width="9.109375" style="4" hidden="1" customWidth="1"/>
    <col min="18" max="18" width="7.5546875" style="4" customWidth="1"/>
    <col min="19" max="19" width="4.5546875" style="4" customWidth="1"/>
    <col min="20" max="21" width="4.5546875" style="4" hidden="1" customWidth="1"/>
    <col min="22" max="22" width="4.5546875" style="4" customWidth="1"/>
    <col min="23" max="23" width="4.5546875" style="4" hidden="1" customWidth="1"/>
    <col min="24" max="24" width="4.5546875" style="4" customWidth="1"/>
    <col min="25" max="29" width="4.5546875" style="4" hidden="1" customWidth="1"/>
    <col min="30" max="30" width="4.5546875" style="4" customWidth="1"/>
    <col min="31" max="31" width="4.5546875" style="4" hidden="1" customWidth="1"/>
    <col min="32" max="32" width="4.5546875" style="4" customWidth="1"/>
    <col min="33" max="33" width="4.5546875" style="893" customWidth="1"/>
    <col min="34" max="34" width="4.5546875" style="4" hidden="1" customWidth="1"/>
    <col min="35" max="35" width="4.5546875" style="901" customWidth="1"/>
    <col min="36" max="36" width="4.5546875" style="915" customWidth="1"/>
    <col min="37" max="37" width="4.5546875" style="925" customWidth="1"/>
    <col min="38" max="38" width="4.5546875" style="4" customWidth="1"/>
    <col min="39" max="40" width="4.5546875" style="4" hidden="1" customWidth="1"/>
    <col min="41" max="41" width="4.5546875" style="935" customWidth="1"/>
    <col min="42" max="45" width="4.5546875" style="4" hidden="1" customWidth="1"/>
    <col min="46" max="46" width="4.5546875" style="4" customWidth="1"/>
    <col min="47" max="52" width="4.5546875" style="4" hidden="1" customWidth="1"/>
    <col min="53" max="53" width="4.5546875" style="4" customWidth="1"/>
    <col min="54" max="54" width="4.5546875" style="4" hidden="1" customWidth="1"/>
    <col min="55" max="55" width="4.5546875" style="4" customWidth="1"/>
    <col min="56" max="57" width="4.5546875" style="4" hidden="1" customWidth="1"/>
    <col min="58" max="58" width="4.5546875" style="4" customWidth="1"/>
    <col min="59" max="61" width="4.5546875" style="4" hidden="1" customWidth="1"/>
    <col min="62" max="63" width="4.5546875" style="4" customWidth="1"/>
    <col min="64" max="64" width="4.5546875" style="4" hidden="1" customWidth="1"/>
    <col min="65" max="66" width="4.5546875" style="4" customWidth="1"/>
    <col min="67" max="68" width="4.5546875" style="4" hidden="1" customWidth="1"/>
    <col min="69" max="70" width="4.5546875" style="4" customWidth="1"/>
    <col min="71" max="73" width="4.5546875" style="4" hidden="1" customWidth="1"/>
    <col min="74" max="75" width="4.5546875" style="4" customWidth="1"/>
    <col min="76" max="76" width="4.5546875" style="4" hidden="1" customWidth="1"/>
    <col min="77" max="86" width="4.5546875" style="4" customWidth="1"/>
    <col min="87" max="92" width="4.5546875" style="4" hidden="1" customWidth="1"/>
    <col min="93" max="93" width="4.5546875" style="4" customWidth="1"/>
    <col min="94" max="94" width="4.5546875" style="4" hidden="1" customWidth="1"/>
    <col min="95" max="97" width="4.5546875" style="4" customWidth="1"/>
    <col min="98" max="101" width="4.5546875" style="4" hidden="1" customWidth="1"/>
    <col min="102" max="104" width="4.5546875" style="4" customWidth="1"/>
    <col min="105" max="105" width="4.5546875" style="4" hidden="1" customWidth="1"/>
    <col min="106" max="108" width="4.5546875" style="4" customWidth="1"/>
    <col min="109" max="112" width="4.5546875" style="4" hidden="1" customWidth="1"/>
    <col min="113" max="113" width="4.5546875" style="4" customWidth="1"/>
    <col min="114" max="114" width="4.5546875" style="4" hidden="1" customWidth="1"/>
    <col min="115" max="115" width="4.5546875" style="4" customWidth="1"/>
    <col min="116" max="117" width="5.6640625" style="4" customWidth="1"/>
    <col min="118" max="122" width="5.6640625" style="4" hidden="1" customWidth="1"/>
    <col min="123" max="123" width="5.6640625" style="4" customWidth="1"/>
    <col min="124" max="124" width="6.6640625" style="4" customWidth="1"/>
    <col min="125" max="125" width="4.5546875" style="4" hidden="1" customWidth="1"/>
    <col min="126" max="126" width="6.6640625" style="4" hidden="1" customWidth="1"/>
    <col min="127" max="134" width="4.5546875" style="4" hidden="1" customWidth="1"/>
    <col min="135" max="136" width="4.5546875" style="4" customWidth="1"/>
    <col min="137" max="160" width="4.5546875" style="4" hidden="1" customWidth="1"/>
    <col min="161" max="161" width="6.5546875" style="4" hidden="1" customWidth="1"/>
    <col min="162" max="162" width="8.6640625" style="4" customWidth="1"/>
    <col min="163" max="16384" width="9.109375" style="4"/>
  </cols>
  <sheetData>
    <row r="2" spans="1:163" s="18" customFormat="1">
      <c r="A2" s="55"/>
      <c r="B2" s="55"/>
      <c r="C2" s="59" t="s">
        <v>2750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880"/>
      <c r="AH2" s="59"/>
      <c r="AI2" s="894"/>
      <c r="AJ2" s="902"/>
      <c r="AK2" s="916"/>
      <c r="AL2" s="59"/>
      <c r="AM2" s="59"/>
      <c r="AN2" s="59"/>
      <c r="AO2" s="926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</row>
    <row r="3" spans="1:163" s="18" customFormat="1">
      <c r="A3" s="55"/>
      <c r="B3" s="55"/>
      <c r="C3" s="59" t="str">
        <f>"CÔNG TRÌNH: "&amp;'SO LIEU'!C5</f>
        <v>CÔNG TRÌNH: CẢI TẠO LƯỚI ĐIỆN TRUNG HẠ THẾ VÀ TBA HUYỆN CẨM MỸ NĂM 2020</v>
      </c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880"/>
      <c r="AH3" s="59"/>
      <c r="AI3" s="894"/>
      <c r="AJ3" s="902"/>
      <c r="AK3" s="916"/>
      <c r="AL3" s="59"/>
      <c r="AM3" s="59"/>
      <c r="AN3" s="59"/>
      <c r="AO3" s="926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</row>
    <row r="5" spans="1:163" s="6" customFormat="1" ht="66">
      <c r="A5" s="54">
        <v>1</v>
      </c>
      <c r="B5" s="57"/>
      <c r="C5" s="7" t="s">
        <v>1830</v>
      </c>
      <c r="D5" s="7" t="s">
        <v>280</v>
      </c>
      <c r="E5" s="7" t="s">
        <v>1363</v>
      </c>
      <c r="F5" s="7" t="s">
        <v>1364</v>
      </c>
      <c r="G5" s="7" t="s">
        <v>1365</v>
      </c>
      <c r="H5" s="7" t="s">
        <v>1366</v>
      </c>
      <c r="I5" s="7" t="s">
        <v>1367</v>
      </c>
      <c r="J5" s="7" t="s">
        <v>1368</v>
      </c>
      <c r="K5" s="7" t="s">
        <v>1369</v>
      </c>
      <c r="L5" s="7" t="s">
        <v>177</v>
      </c>
      <c r="M5" s="7" t="s">
        <v>179</v>
      </c>
      <c r="N5" s="7" t="s">
        <v>181</v>
      </c>
      <c r="O5" s="7" t="s">
        <v>183</v>
      </c>
      <c r="P5" s="7" t="s">
        <v>1827</v>
      </c>
      <c r="Q5" s="7" t="s">
        <v>1828</v>
      </c>
      <c r="R5" s="7" t="s">
        <v>1829</v>
      </c>
      <c r="S5" s="7" t="s">
        <v>2696</v>
      </c>
      <c r="T5" s="7" t="s">
        <v>2695</v>
      </c>
      <c r="U5" s="7" t="s">
        <v>1478</v>
      </c>
      <c r="V5" s="7" t="s">
        <v>1479</v>
      </c>
      <c r="W5" s="7" t="s">
        <v>1784</v>
      </c>
      <c r="X5" s="7" t="s">
        <v>1480</v>
      </c>
      <c r="Y5" s="7" t="s">
        <v>1481</v>
      </c>
      <c r="Z5" s="7" t="s">
        <v>1400</v>
      </c>
      <c r="AA5" s="7" t="s">
        <v>1401</v>
      </c>
      <c r="AB5" s="7" t="s">
        <v>1482</v>
      </c>
      <c r="AC5" s="7" t="s">
        <v>1483</v>
      </c>
      <c r="AD5" s="7" t="s">
        <v>558</v>
      </c>
      <c r="AE5" s="7" t="s">
        <v>1402</v>
      </c>
      <c r="AF5" s="7" t="s">
        <v>1484</v>
      </c>
      <c r="AG5" s="881" t="s">
        <v>1485</v>
      </c>
      <c r="AH5" s="7" t="s">
        <v>3585</v>
      </c>
      <c r="AI5" s="895" t="s">
        <v>2596</v>
      </c>
      <c r="AJ5" s="903" t="s">
        <v>1486</v>
      </c>
      <c r="AK5" s="917" t="s">
        <v>2595</v>
      </c>
      <c r="AL5" s="7" t="s">
        <v>1448</v>
      </c>
      <c r="AM5" s="7" t="s">
        <v>1427</v>
      </c>
      <c r="AN5" s="7" t="s">
        <v>1487</v>
      </c>
      <c r="AO5" s="927" t="s">
        <v>1488</v>
      </c>
      <c r="AP5" s="7" t="s">
        <v>2689</v>
      </c>
      <c r="AQ5" s="7" t="s">
        <v>1778</v>
      </c>
      <c r="AR5" s="7" t="s">
        <v>1471</v>
      </c>
      <c r="AS5" s="7" t="s">
        <v>1472</v>
      </c>
      <c r="AT5" s="7" t="s">
        <v>1473</v>
      </c>
      <c r="AU5" s="7" t="s">
        <v>1474</v>
      </c>
      <c r="AV5" s="7" t="s">
        <v>1475</v>
      </c>
      <c r="AW5" s="7" t="s">
        <v>1476</v>
      </c>
      <c r="AX5" s="7" t="s">
        <v>1489</v>
      </c>
      <c r="AY5" s="7" t="s">
        <v>1783</v>
      </c>
      <c r="AZ5" s="7" t="s">
        <v>1816</v>
      </c>
      <c r="BA5" s="7" t="s">
        <v>1392</v>
      </c>
      <c r="BB5" s="7" t="s">
        <v>1393</v>
      </c>
      <c r="BC5" s="7" t="s">
        <v>2592</v>
      </c>
      <c r="BD5" s="7" t="s">
        <v>2593</v>
      </c>
      <c r="BE5" s="7" t="s">
        <v>1779</v>
      </c>
      <c r="BF5" s="7" t="s">
        <v>1766</v>
      </c>
      <c r="BG5" s="7" t="s">
        <v>1780</v>
      </c>
      <c r="BH5" s="7" t="s">
        <v>1781</v>
      </c>
      <c r="BI5" s="7" t="s">
        <v>1782</v>
      </c>
      <c r="BJ5" s="7" t="s">
        <v>3516</v>
      </c>
      <c r="BK5" s="7" t="s">
        <v>1493</v>
      </c>
      <c r="BL5" s="7" t="s">
        <v>1494</v>
      </c>
      <c r="BM5" s="7" t="s">
        <v>1497</v>
      </c>
      <c r="BN5" s="7" t="s">
        <v>1498</v>
      </c>
      <c r="BO5" s="7" t="s">
        <v>1818</v>
      </c>
      <c r="BP5" s="7" t="s">
        <v>1819</v>
      </c>
      <c r="BQ5" s="7" t="s">
        <v>1495</v>
      </c>
      <c r="BR5" s="7" t="s">
        <v>1496</v>
      </c>
      <c r="BS5" s="7" t="s">
        <v>1836</v>
      </c>
      <c r="BT5" s="7" t="s">
        <v>1837</v>
      </c>
      <c r="BU5" s="7" t="s">
        <v>1490</v>
      </c>
      <c r="BV5" s="7" t="s">
        <v>1491</v>
      </c>
      <c r="BW5" s="7" t="s">
        <v>1492</v>
      </c>
      <c r="BX5" s="7" t="s">
        <v>1499</v>
      </c>
      <c r="BY5" s="7" t="s">
        <v>1500</v>
      </c>
      <c r="BZ5" s="7" t="s">
        <v>1675</v>
      </c>
      <c r="CA5" s="7" t="s">
        <v>1678</v>
      </c>
      <c r="CB5" s="7" t="s">
        <v>3008</v>
      </c>
      <c r="CC5" s="7" t="s">
        <v>1501</v>
      </c>
      <c r="CD5" s="7" t="s">
        <v>1502</v>
      </c>
      <c r="CE5" s="7" t="s">
        <v>404</v>
      </c>
      <c r="CF5" s="7" t="s">
        <v>3386</v>
      </c>
      <c r="CG5" s="7" t="s">
        <v>3387</v>
      </c>
      <c r="CH5" s="7" t="s">
        <v>1803</v>
      </c>
      <c r="CI5" s="7" t="s">
        <v>1804</v>
      </c>
      <c r="CJ5" s="7" t="s">
        <v>1805</v>
      </c>
      <c r="CK5" s="7" t="s">
        <v>1806</v>
      </c>
      <c r="CL5" s="7" t="s">
        <v>1807</v>
      </c>
      <c r="CM5" s="7" t="s">
        <v>1808</v>
      </c>
      <c r="CN5" s="7" t="s">
        <v>1809</v>
      </c>
      <c r="CO5" s="7" t="s">
        <v>1810</v>
      </c>
      <c r="CP5" s="7" t="s">
        <v>1811</v>
      </c>
      <c r="CQ5" s="7" t="s">
        <v>1503</v>
      </c>
      <c r="CR5" s="7" t="s">
        <v>1504</v>
      </c>
      <c r="CS5" s="7" t="s">
        <v>345</v>
      </c>
      <c r="CT5" s="7" t="s">
        <v>347</v>
      </c>
      <c r="CU5" s="7" t="s">
        <v>348</v>
      </c>
      <c r="CV5" s="7" t="s">
        <v>350</v>
      </c>
      <c r="CW5" s="7" t="s">
        <v>1509</v>
      </c>
      <c r="CX5" s="7" t="s">
        <v>1507</v>
      </c>
      <c r="CY5" s="7" t="s">
        <v>1511</v>
      </c>
      <c r="CZ5" s="7" t="s">
        <v>1508</v>
      </c>
      <c r="DA5" s="7" t="s">
        <v>1510</v>
      </c>
      <c r="DB5" s="7" t="s">
        <v>323</v>
      </c>
      <c r="DC5" s="7" t="s">
        <v>325</v>
      </c>
      <c r="DD5" s="7" t="s">
        <v>327</v>
      </c>
      <c r="DE5" s="7" t="s">
        <v>329</v>
      </c>
      <c r="DF5" s="7" t="s">
        <v>331</v>
      </c>
      <c r="DG5" s="7" t="s">
        <v>333</v>
      </c>
      <c r="DH5" s="7" t="s">
        <v>335</v>
      </c>
      <c r="DI5" s="7" t="s">
        <v>1444</v>
      </c>
      <c r="DJ5" s="7" t="s">
        <v>1443</v>
      </c>
      <c r="DK5" s="7" t="s">
        <v>943</v>
      </c>
      <c r="DL5" s="7" t="s">
        <v>388</v>
      </c>
      <c r="DM5" s="7" t="s">
        <v>389</v>
      </c>
      <c r="DN5" s="7" t="s">
        <v>390</v>
      </c>
      <c r="DO5" s="7" t="s">
        <v>391</v>
      </c>
      <c r="DP5" s="7" t="s">
        <v>392</v>
      </c>
      <c r="DQ5" s="7" t="s">
        <v>394</v>
      </c>
      <c r="DR5" s="7" t="s">
        <v>395</v>
      </c>
      <c r="DS5" s="7" t="s">
        <v>396</v>
      </c>
      <c r="DT5" s="7" t="s">
        <v>1468</v>
      </c>
      <c r="DU5" s="7" t="s">
        <v>1469</v>
      </c>
      <c r="DV5" s="7" t="s">
        <v>3417</v>
      </c>
      <c r="DW5" s="7" t="s">
        <v>3418</v>
      </c>
      <c r="DX5" s="8"/>
      <c r="DY5" s="9"/>
      <c r="DZ5" s="9"/>
      <c r="EA5" s="9"/>
      <c r="EB5" s="9"/>
      <c r="EC5" s="9"/>
      <c r="ED5" s="9"/>
      <c r="EE5" s="790" t="s">
        <v>3908</v>
      </c>
      <c r="EF5" s="8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7"/>
    </row>
    <row r="6" spans="1:163" s="6" customFormat="1" ht="174">
      <c r="A6" s="54">
        <v>2</v>
      </c>
      <c r="B6" s="57" t="s">
        <v>1763</v>
      </c>
      <c r="C6" s="15" t="s">
        <v>1418</v>
      </c>
      <c r="D6" s="15" t="s">
        <v>1386</v>
      </c>
      <c r="E6" s="15" t="s">
        <v>1420</v>
      </c>
      <c r="F6" s="15" t="s">
        <v>2019</v>
      </c>
      <c r="G6" s="15" t="s">
        <v>2395</v>
      </c>
      <c r="H6" s="15" t="s">
        <v>2396</v>
      </c>
      <c r="I6" s="15" t="s">
        <v>2397</v>
      </c>
      <c r="J6" s="15" t="s">
        <v>2398</v>
      </c>
      <c r="K6" s="15" t="s">
        <v>2399</v>
      </c>
      <c r="L6" s="15" t="s">
        <v>2400</v>
      </c>
      <c r="M6" s="15" t="s">
        <v>2401</v>
      </c>
      <c r="N6" s="15" t="s">
        <v>2402</v>
      </c>
      <c r="O6" s="15" t="s">
        <v>2403</v>
      </c>
      <c r="P6" s="15" t="s">
        <v>1432</v>
      </c>
      <c r="Q6" s="15" t="s">
        <v>1433</v>
      </c>
      <c r="R6" s="15" t="s">
        <v>1422</v>
      </c>
      <c r="S6" s="15" t="s">
        <v>2691</v>
      </c>
      <c r="T6" s="15" t="s">
        <v>2690</v>
      </c>
      <c r="U6" s="15" t="s">
        <v>1457</v>
      </c>
      <c r="V6" s="15" t="s">
        <v>1514</v>
      </c>
      <c r="W6" s="15" t="s">
        <v>1515</v>
      </c>
      <c r="X6" s="15" t="s">
        <v>1516</v>
      </c>
      <c r="Y6" s="15" t="s">
        <v>1517</v>
      </c>
      <c r="Z6" s="15" t="s">
        <v>1518</v>
      </c>
      <c r="AA6" s="15" t="s">
        <v>1519</v>
      </c>
      <c r="AB6" s="15" t="s">
        <v>1520</v>
      </c>
      <c r="AC6" s="15" t="s">
        <v>1521</v>
      </c>
      <c r="AD6" s="15" t="s">
        <v>1522</v>
      </c>
      <c r="AE6" s="15" t="s">
        <v>1523</v>
      </c>
      <c r="AF6" s="15" t="s">
        <v>1524</v>
      </c>
      <c r="AG6" s="881" t="s">
        <v>1525</v>
      </c>
      <c r="AH6" s="15" t="s">
        <v>3586</v>
      </c>
      <c r="AI6" s="895" t="s">
        <v>3007</v>
      </c>
      <c r="AJ6" s="903" t="s">
        <v>1526</v>
      </c>
      <c r="AK6" s="917" t="s">
        <v>2599</v>
      </c>
      <c r="AL6" s="15" t="s">
        <v>1527</v>
      </c>
      <c r="AM6" s="15" t="s">
        <v>1528</v>
      </c>
      <c r="AN6" s="15" t="s">
        <v>1529</v>
      </c>
      <c r="AO6" s="927" t="s">
        <v>1530</v>
      </c>
      <c r="AP6" s="15" t="s">
        <v>2688</v>
      </c>
      <c r="AQ6" s="15" t="s">
        <v>1814</v>
      </c>
      <c r="AR6" s="15" t="s">
        <v>1532</v>
      </c>
      <c r="AS6" s="15" t="s">
        <v>1531</v>
      </c>
      <c r="AT6" s="15" t="s">
        <v>1533</v>
      </c>
      <c r="AU6" s="15" t="s">
        <v>1534</v>
      </c>
      <c r="AV6" s="15" t="s">
        <v>1535</v>
      </c>
      <c r="AW6" s="15" t="s">
        <v>1536</v>
      </c>
      <c r="AX6" s="15" t="s">
        <v>1537</v>
      </c>
      <c r="AY6" s="15" t="s">
        <v>1815</v>
      </c>
      <c r="AZ6" s="15" t="s">
        <v>1817</v>
      </c>
      <c r="BA6" s="15" t="s">
        <v>1538</v>
      </c>
      <c r="BB6" s="15" t="s">
        <v>1539</v>
      </c>
      <c r="BC6" s="15" t="s">
        <v>2686</v>
      </c>
      <c r="BD6" s="15" t="s">
        <v>2687</v>
      </c>
      <c r="BE6" s="15" t="s">
        <v>1558</v>
      </c>
      <c r="BF6" s="15" t="s">
        <v>1423</v>
      </c>
      <c r="BG6" s="15" t="s">
        <v>1556</v>
      </c>
      <c r="BH6" s="15" t="s">
        <v>1557</v>
      </c>
      <c r="BI6" s="15" t="s">
        <v>3514</v>
      </c>
      <c r="BJ6" s="15" t="s">
        <v>3515</v>
      </c>
      <c r="BK6" s="15" t="s">
        <v>1543</v>
      </c>
      <c r="BL6" s="15" t="s">
        <v>1544</v>
      </c>
      <c r="BM6" s="15" t="s">
        <v>1547</v>
      </c>
      <c r="BN6" s="15" t="s">
        <v>1548</v>
      </c>
      <c r="BO6" s="15" t="s">
        <v>1820</v>
      </c>
      <c r="BP6" s="15" t="s">
        <v>1821</v>
      </c>
      <c r="BQ6" s="15" t="s">
        <v>1545</v>
      </c>
      <c r="BR6" s="15" t="s">
        <v>1546</v>
      </c>
      <c r="BS6" s="15" t="s">
        <v>2723</v>
      </c>
      <c r="BT6" s="15" t="s">
        <v>2722</v>
      </c>
      <c r="BU6" s="15" t="s">
        <v>1540</v>
      </c>
      <c r="BV6" s="15" t="s">
        <v>1541</v>
      </c>
      <c r="BW6" s="15" t="s">
        <v>1542</v>
      </c>
      <c r="BX6" s="15" t="s">
        <v>1449</v>
      </c>
      <c r="BY6" s="15" t="s">
        <v>3334</v>
      </c>
      <c r="BZ6" s="15" t="s">
        <v>1565</v>
      </c>
      <c r="CA6" s="15" t="s">
        <v>1452</v>
      </c>
      <c r="CB6" s="15" t="s">
        <v>3009</v>
      </c>
      <c r="CC6" s="15" t="s">
        <v>1549</v>
      </c>
      <c r="CD6" s="15" t="s">
        <v>1550</v>
      </c>
      <c r="CE6" s="15" t="s">
        <v>1551</v>
      </c>
      <c r="CF6" s="15" t="s">
        <v>3388</v>
      </c>
      <c r="CG6" s="15" t="s">
        <v>3389</v>
      </c>
      <c r="CH6" s="15" t="s">
        <v>1796</v>
      </c>
      <c r="CI6" s="15" t="s">
        <v>1797</v>
      </c>
      <c r="CJ6" s="15" t="s">
        <v>1798</v>
      </c>
      <c r="CK6" s="15" t="s">
        <v>1799</v>
      </c>
      <c r="CL6" s="15" t="s">
        <v>1800</v>
      </c>
      <c r="CM6" s="15" t="s">
        <v>1801</v>
      </c>
      <c r="CN6" s="15" t="s">
        <v>1802</v>
      </c>
      <c r="CO6" s="15" t="s">
        <v>1812</v>
      </c>
      <c r="CP6" s="15" t="s">
        <v>1813</v>
      </c>
      <c r="CQ6" s="15" t="s">
        <v>1552</v>
      </c>
      <c r="CR6" s="15" t="s">
        <v>1553</v>
      </c>
      <c r="CS6" s="15" t="s">
        <v>1792</v>
      </c>
      <c r="CT6" s="15" t="s">
        <v>1793</v>
      </c>
      <c r="CU6" s="15" t="s">
        <v>1794</v>
      </c>
      <c r="CV6" s="15" t="s">
        <v>1795</v>
      </c>
      <c r="CW6" s="15" t="s">
        <v>1464</v>
      </c>
      <c r="CX6" s="15" t="s">
        <v>1425</v>
      </c>
      <c r="CY6" s="15" t="s">
        <v>1451</v>
      </c>
      <c r="CZ6" s="15" t="s">
        <v>1434</v>
      </c>
      <c r="DA6" s="15" t="s">
        <v>1435</v>
      </c>
      <c r="DB6" s="15" t="s">
        <v>1436</v>
      </c>
      <c r="DC6" s="15" t="s">
        <v>1437</v>
      </c>
      <c r="DD6" s="15" t="s">
        <v>1438</v>
      </c>
      <c r="DE6" s="15" t="s">
        <v>1439</v>
      </c>
      <c r="DF6" s="15" t="s">
        <v>1440</v>
      </c>
      <c r="DG6" s="15" t="s">
        <v>1441</v>
      </c>
      <c r="DH6" s="15" t="s">
        <v>1442</v>
      </c>
      <c r="DI6" s="15" t="s">
        <v>1444</v>
      </c>
      <c r="DJ6" s="15" t="s">
        <v>1443</v>
      </c>
      <c r="DK6" s="15" t="s">
        <v>945</v>
      </c>
      <c r="DL6" s="15" t="s">
        <v>1445</v>
      </c>
      <c r="DM6" s="15" t="s">
        <v>1446</v>
      </c>
      <c r="DN6" s="15" t="s">
        <v>1822</v>
      </c>
      <c r="DO6" s="15" t="s">
        <v>1823</v>
      </c>
      <c r="DP6" s="15" t="s">
        <v>1824</v>
      </c>
      <c r="DQ6" s="15" t="s">
        <v>1825</v>
      </c>
      <c r="DR6" s="15" t="s">
        <v>1826</v>
      </c>
      <c r="DS6" s="15" t="s">
        <v>1426</v>
      </c>
      <c r="DT6" s="15" t="s">
        <v>1447</v>
      </c>
      <c r="DU6" s="15" t="s">
        <v>1450</v>
      </c>
      <c r="DV6" s="15" t="s">
        <v>3419</v>
      </c>
      <c r="DW6" s="15" t="s">
        <v>3420</v>
      </c>
      <c r="DX6" s="15" t="s">
        <v>1453</v>
      </c>
      <c r="DY6" s="15" t="s">
        <v>1454</v>
      </c>
      <c r="DZ6" s="15" t="s">
        <v>1455</v>
      </c>
      <c r="EA6" s="15" t="s">
        <v>3121</v>
      </c>
      <c r="EB6" s="15" t="s">
        <v>3421</v>
      </c>
      <c r="EC6" s="15" t="s">
        <v>1456</v>
      </c>
      <c r="ED6" s="15" t="s">
        <v>2692</v>
      </c>
      <c r="EE6" s="500" t="s">
        <v>3584</v>
      </c>
      <c r="EF6" s="15" t="s">
        <v>1457</v>
      </c>
      <c r="EG6" s="15" t="s">
        <v>1514</v>
      </c>
      <c r="EH6" s="15" t="s">
        <v>3230</v>
      </c>
      <c r="EI6" s="15" t="s">
        <v>2693</v>
      </c>
      <c r="EJ6" s="441" t="s">
        <v>1447</v>
      </c>
      <c r="EK6" s="15" t="s">
        <v>1459</v>
      </c>
      <c r="EL6" s="15" t="s">
        <v>1458</v>
      </c>
      <c r="EM6" s="15" t="s">
        <v>1460</v>
      </c>
      <c r="EN6" s="15" t="s">
        <v>3423</v>
      </c>
      <c r="EO6" s="15" t="s">
        <v>1461</v>
      </c>
      <c r="EP6" s="15" t="s">
        <v>1462</v>
      </c>
      <c r="EQ6" s="15" t="s">
        <v>3120</v>
      </c>
      <c r="ER6" s="15" t="s">
        <v>3122</v>
      </c>
      <c r="ES6" s="15" t="s">
        <v>2694</v>
      </c>
      <c r="ET6" s="15" t="s">
        <v>3422</v>
      </c>
      <c r="EU6" s="15" t="s">
        <v>1463</v>
      </c>
      <c r="EV6" s="15" t="s">
        <v>1464</v>
      </c>
      <c r="EW6" s="15" t="s">
        <v>1434</v>
      </c>
      <c r="EX6" s="15" t="s">
        <v>3416</v>
      </c>
      <c r="EY6" s="15" t="s">
        <v>1465</v>
      </c>
      <c r="EZ6" s="15" t="s">
        <v>1554</v>
      </c>
      <c r="FA6" s="15" t="s">
        <v>1466</v>
      </c>
      <c r="FB6" s="15" t="s">
        <v>1467</v>
      </c>
      <c r="FC6" s="15" t="s">
        <v>3368</v>
      </c>
      <c r="FD6" s="15" t="s">
        <v>3369</v>
      </c>
      <c r="FE6" s="15" t="s">
        <v>1421</v>
      </c>
      <c r="FF6" s="15" t="s">
        <v>1398</v>
      </c>
    </row>
    <row r="7" spans="1:163">
      <c r="A7" s="54"/>
      <c r="B7" s="55" t="s">
        <v>1743</v>
      </c>
      <c r="C7" s="11" t="s">
        <v>3592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882"/>
      <c r="AH7" s="12"/>
      <c r="AI7" s="896"/>
      <c r="AJ7" s="904"/>
      <c r="AK7" s="918"/>
      <c r="AL7" s="12"/>
      <c r="AM7" s="12"/>
      <c r="AN7" s="12"/>
      <c r="AO7" s="12"/>
      <c r="AP7" s="12"/>
      <c r="AQ7" s="12"/>
      <c r="AR7" s="12"/>
      <c r="AS7" s="12"/>
      <c r="AT7" s="12"/>
      <c r="AU7" s="17" t="s">
        <v>477</v>
      </c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503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3"/>
      <c r="FG7" s="4">
        <v>0</v>
      </c>
    </row>
    <row r="8" spans="1:163" s="56" customFormat="1">
      <c r="A8" s="54"/>
      <c r="B8" s="55"/>
      <c r="C8" s="490" t="s">
        <v>3039</v>
      </c>
      <c r="D8" s="62"/>
      <c r="E8" s="62">
        <f>D8</f>
        <v>0</v>
      </c>
      <c r="F8" s="62"/>
      <c r="G8" s="62"/>
      <c r="H8" s="62"/>
      <c r="I8" s="62"/>
      <c r="J8" s="62"/>
      <c r="K8" s="62"/>
      <c r="L8" s="62">
        <f>D8</f>
        <v>0</v>
      </c>
      <c r="M8" s="62"/>
      <c r="N8" s="62"/>
      <c r="O8" s="62"/>
      <c r="P8" s="62"/>
      <c r="Q8" s="62"/>
      <c r="R8" s="173" t="s">
        <v>2989</v>
      </c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883"/>
      <c r="AH8" s="174"/>
      <c r="AI8" s="492"/>
      <c r="AJ8" s="905"/>
      <c r="AK8" s="919"/>
      <c r="AL8" s="174"/>
      <c r="AM8" s="174"/>
      <c r="AN8" s="174"/>
      <c r="AO8" s="928"/>
      <c r="AP8" s="174"/>
      <c r="AQ8" s="174"/>
      <c r="AR8" s="174"/>
      <c r="AS8" s="174"/>
      <c r="AT8" s="174"/>
      <c r="AU8" s="174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  <c r="BH8" s="174"/>
      <c r="BI8" s="174"/>
      <c r="BJ8" s="174"/>
      <c r="BK8" s="174"/>
      <c r="BL8" s="174"/>
      <c r="BM8" s="174"/>
      <c r="BN8" s="174"/>
      <c r="BO8" s="174"/>
      <c r="BP8" s="174"/>
      <c r="BQ8" s="174"/>
      <c r="BR8" s="174"/>
      <c r="BS8" s="174"/>
      <c r="BT8" s="174"/>
      <c r="BU8" s="174"/>
      <c r="BV8" s="174"/>
      <c r="BW8" s="174"/>
      <c r="BX8" s="174"/>
      <c r="BY8" s="174"/>
      <c r="BZ8" s="174"/>
      <c r="CA8" s="174"/>
      <c r="CB8" s="174"/>
      <c r="CC8" s="174">
        <v>1</v>
      </c>
      <c r="CD8" s="174"/>
      <c r="CE8" s="174"/>
      <c r="CF8" s="174">
        <f t="shared" ref="CF8:CF23" si="0">CC8</f>
        <v>1</v>
      </c>
      <c r="CG8" s="174">
        <f>CD8*2</f>
        <v>0</v>
      </c>
      <c r="CH8" s="174"/>
      <c r="CI8" s="174"/>
      <c r="CJ8" s="174"/>
      <c r="CK8" s="174"/>
      <c r="CL8" s="174"/>
      <c r="CM8" s="174"/>
      <c r="CN8" s="174"/>
      <c r="CO8" s="174">
        <v>1</v>
      </c>
      <c r="CP8" s="174"/>
      <c r="CQ8" s="174"/>
      <c r="CR8" s="174"/>
      <c r="CS8" s="179">
        <v>1</v>
      </c>
      <c r="CT8" s="174"/>
      <c r="CU8" s="174"/>
      <c r="CV8" s="174"/>
      <c r="CW8" s="174"/>
      <c r="CX8" s="174"/>
      <c r="CY8" s="174"/>
      <c r="CZ8" s="174"/>
      <c r="DA8" s="174"/>
      <c r="DB8" s="174">
        <v>2</v>
      </c>
      <c r="DC8" s="174"/>
      <c r="DD8" s="174"/>
      <c r="DE8" s="174"/>
      <c r="DF8" s="174"/>
      <c r="DG8" s="174"/>
      <c r="DH8" s="174"/>
      <c r="DI8" s="174"/>
      <c r="DJ8" s="174"/>
      <c r="DK8" s="174"/>
      <c r="DL8" s="62">
        <v>0.5</v>
      </c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454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</row>
    <row r="9" spans="1:163" s="56" customFormat="1">
      <c r="A9" s="54"/>
      <c r="B9" s="55"/>
      <c r="C9" s="490" t="s">
        <v>3040</v>
      </c>
      <c r="D9" s="62">
        <v>43</v>
      </c>
      <c r="E9" s="62">
        <f t="shared" ref="E9:E25" si="1">D9</f>
        <v>43</v>
      </c>
      <c r="F9" s="62"/>
      <c r="G9" s="62"/>
      <c r="H9" s="62"/>
      <c r="I9" s="62"/>
      <c r="J9" s="62"/>
      <c r="K9" s="62"/>
      <c r="L9" s="62">
        <f t="shared" ref="L9:L25" si="2">D9</f>
        <v>43</v>
      </c>
      <c r="M9" s="62"/>
      <c r="N9" s="62"/>
      <c r="O9" s="62"/>
      <c r="P9" s="62"/>
      <c r="Q9" s="62"/>
      <c r="R9" s="173" t="s">
        <v>2989</v>
      </c>
      <c r="S9" s="174"/>
      <c r="T9" s="174"/>
      <c r="U9" s="174"/>
      <c r="V9" s="174">
        <v>2</v>
      </c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883"/>
      <c r="AH9" s="174"/>
      <c r="AI9" s="492"/>
      <c r="AJ9" s="905">
        <v>1</v>
      </c>
      <c r="AK9" s="919"/>
      <c r="AL9" s="174"/>
      <c r="AM9" s="174"/>
      <c r="AN9" s="174"/>
      <c r="AO9" s="928"/>
      <c r="AP9" s="174"/>
      <c r="AQ9" s="174"/>
      <c r="AR9" s="174"/>
      <c r="AS9" s="174"/>
      <c r="AT9" s="174"/>
      <c r="AU9" s="174"/>
      <c r="AV9" s="174"/>
      <c r="AW9" s="174"/>
      <c r="AX9" s="174"/>
      <c r="AY9" s="174"/>
      <c r="AZ9" s="174"/>
      <c r="BA9" s="174"/>
      <c r="BB9" s="174"/>
      <c r="BC9" s="174"/>
      <c r="BD9" s="174"/>
      <c r="BE9" s="174"/>
      <c r="BF9" s="174">
        <v>1</v>
      </c>
      <c r="BG9" s="174"/>
      <c r="BH9" s="174"/>
      <c r="BI9" s="174"/>
      <c r="BJ9" s="174"/>
      <c r="BK9" s="174"/>
      <c r="BL9" s="174"/>
      <c r="BM9" s="174"/>
      <c r="BN9" s="174"/>
      <c r="BO9" s="174"/>
      <c r="BP9" s="174"/>
      <c r="BQ9" s="174"/>
      <c r="BR9" s="174"/>
      <c r="BS9" s="174"/>
      <c r="BT9" s="174"/>
      <c r="BU9" s="174"/>
      <c r="BV9" s="174"/>
      <c r="BW9" s="174"/>
      <c r="BX9" s="174"/>
      <c r="BY9" s="174"/>
      <c r="BZ9" s="174">
        <v>1</v>
      </c>
      <c r="CA9" s="174"/>
      <c r="CB9" s="174"/>
      <c r="CC9" s="174"/>
      <c r="CD9" s="174"/>
      <c r="CE9" s="174"/>
      <c r="CF9" s="174">
        <f t="shared" si="0"/>
        <v>0</v>
      </c>
      <c r="CG9" s="174">
        <f t="shared" ref="CG9:CG25" si="3">CD9*2</f>
        <v>0</v>
      </c>
      <c r="CH9" s="174"/>
      <c r="CI9" s="174"/>
      <c r="CJ9" s="174"/>
      <c r="CK9" s="174"/>
      <c r="CL9" s="174"/>
      <c r="CM9" s="174"/>
      <c r="CN9" s="174"/>
      <c r="CO9" s="174">
        <v>2</v>
      </c>
      <c r="CP9" s="174"/>
      <c r="CQ9" s="174"/>
      <c r="CR9" s="174"/>
      <c r="CS9" s="174">
        <v>2</v>
      </c>
      <c r="CT9" s="174"/>
      <c r="CU9" s="174"/>
      <c r="CV9" s="174"/>
      <c r="CW9" s="174"/>
      <c r="CX9" s="174"/>
      <c r="CY9" s="174"/>
      <c r="CZ9" s="174"/>
      <c r="DA9" s="174"/>
      <c r="DB9" s="174"/>
      <c r="DC9" s="174"/>
      <c r="DD9" s="174"/>
      <c r="DE9" s="174"/>
      <c r="DF9" s="174"/>
      <c r="DG9" s="174"/>
      <c r="DH9" s="174"/>
      <c r="DI9" s="174">
        <v>1</v>
      </c>
      <c r="DJ9" s="174"/>
      <c r="DK9" s="174"/>
      <c r="DL9" s="62">
        <v>1</v>
      </c>
      <c r="DM9" s="62"/>
      <c r="DN9" s="62"/>
      <c r="DO9" s="62"/>
      <c r="DP9" s="62"/>
      <c r="DQ9" s="62"/>
      <c r="DR9" s="62"/>
      <c r="DS9" s="62">
        <v>1</v>
      </c>
      <c r="DT9" s="62">
        <v>2</v>
      </c>
      <c r="DU9" s="62"/>
      <c r="DV9" s="62"/>
      <c r="DW9" s="62"/>
      <c r="DX9" s="62"/>
      <c r="DY9" s="62"/>
      <c r="DZ9" s="62"/>
      <c r="EA9" s="62"/>
      <c r="EB9" s="710"/>
      <c r="EC9" s="62"/>
      <c r="ED9" s="62"/>
      <c r="EE9" s="454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</row>
    <row r="10" spans="1:163" s="56" customFormat="1">
      <c r="A10" s="54"/>
      <c r="B10" s="55"/>
      <c r="C10" s="490" t="s">
        <v>3041</v>
      </c>
      <c r="D10" s="62">
        <v>44</v>
      </c>
      <c r="E10" s="62">
        <f t="shared" si="1"/>
        <v>44</v>
      </c>
      <c r="F10" s="62"/>
      <c r="G10" s="62"/>
      <c r="H10" s="62"/>
      <c r="I10" s="62"/>
      <c r="J10" s="62"/>
      <c r="K10" s="62"/>
      <c r="L10" s="62">
        <f t="shared" si="2"/>
        <v>44</v>
      </c>
      <c r="M10" s="62"/>
      <c r="N10" s="62"/>
      <c r="O10" s="62"/>
      <c r="P10" s="62"/>
      <c r="Q10" s="62"/>
      <c r="R10" s="173" t="s">
        <v>1631</v>
      </c>
      <c r="S10" s="174"/>
      <c r="T10" s="174"/>
      <c r="U10" s="174"/>
      <c r="V10" s="174">
        <v>1</v>
      </c>
      <c r="W10" s="174"/>
      <c r="X10" s="174"/>
      <c r="Y10" s="174"/>
      <c r="Z10" s="174"/>
      <c r="AA10" s="174"/>
      <c r="AB10" s="174"/>
      <c r="AC10" s="174"/>
      <c r="AD10" s="174">
        <v>1</v>
      </c>
      <c r="AE10" s="174"/>
      <c r="AF10" s="174"/>
      <c r="AG10" s="883"/>
      <c r="AH10" s="174"/>
      <c r="AI10" s="492"/>
      <c r="AJ10" s="905"/>
      <c r="AK10" s="919"/>
      <c r="AL10" s="174"/>
      <c r="AM10" s="174"/>
      <c r="AN10" s="174"/>
      <c r="AO10" s="928"/>
      <c r="AP10" s="174"/>
      <c r="AQ10" s="174"/>
      <c r="AR10" s="174"/>
      <c r="AS10" s="174"/>
      <c r="AT10" s="174"/>
      <c r="AU10" s="174"/>
      <c r="AV10" s="174"/>
      <c r="AW10" s="174"/>
      <c r="AX10" s="174"/>
      <c r="AY10" s="174"/>
      <c r="AZ10" s="174"/>
      <c r="BA10" s="174"/>
      <c r="BB10" s="174"/>
      <c r="BC10" s="174"/>
      <c r="BD10" s="174"/>
      <c r="BE10" s="174"/>
      <c r="BF10" s="174"/>
      <c r="BG10" s="174"/>
      <c r="BH10" s="174"/>
      <c r="BI10" s="174"/>
      <c r="BJ10" s="174"/>
      <c r="BK10" s="174"/>
      <c r="BL10" s="174"/>
      <c r="BM10" s="174"/>
      <c r="BN10" s="174"/>
      <c r="BO10" s="174"/>
      <c r="BP10" s="174"/>
      <c r="BQ10" s="174"/>
      <c r="BR10" s="174"/>
      <c r="BS10" s="174"/>
      <c r="BT10" s="174"/>
      <c r="BU10" s="174"/>
      <c r="BV10" s="174"/>
      <c r="BW10" s="174"/>
      <c r="BX10" s="174"/>
      <c r="BY10" s="174"/>
      <c r="BZ10" s="174"/>
      <c r="CA10" s="174"/>
      <c r="CB10" s="174"/>
      <c r="CC10" s="174">
        <v>1</v>
      </c>
      <c r="CD10" s="174"/>
      <c r="CE10" s="174"/>
      <c r="CF10" s="174">
        <f t="shared" si="0"/>
        <v>1</v>
      </c>
      <c r="CG10" s="174">
        <f t="shared" si="3"/>
        <v>0</v>
      </c>
      <c r="CH10" s="174"/>
      <c r="CI10" s="174"/>
      <c r="CJ10" s="174"/>
      <c r="CK10" s="174"/>
      <c r="CL10" s="174"/>
      <c r="CM10" s="174"/>
      <c r="CN10" s="174"/>
      <c r="CO10" s="174"/>
      <c r="CP10" s="174"/>
      <c r="CQ10" s="174">
        <v>1</v>
      </c>
      <c r="CR10" s="174"/>
      <c r="CS10" s="174"/>
      <c r="CT10" s="174"/>
      <c r="CU10" s="174"/>
      <c r="CV10" s="174"/>
      <c r="CW10" s="174"/>
      <c r="CX10" s="174">
        <v>1</v>
      </c>
      <c r="CY10" s="174">
        <v>1</v>
      </c>
      <c r="CZ10" s="174"/>
      <c r="DA10" s="174"/>
      <c r="DB10" s="174"/>
      <c r="DC10" s="174"/>
      <c r="DD10" s="174"/>
      <c r="DE10" s="174"/>
      <c r="DF10" s="174"/>
      <c r="DG10" s="174"/>
      <c r="DH10" s="174"/>
      <c r="DI10" s="174"/>
      <c r="DJ10" s="174"/>
      <c r="DK10" s="174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710"/>
      <c r="EC10" s="62"/>
      <c r="ED10" s="62"/>
      <c r="EE10" s="454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</row>
    <row r="11" spans="1:163" s="56" customFormat="1">
      <c r="A11" s="54"/>
      <c r="B11" s="55"/>
      <c r="C11" s="490" t="s">
        <v>3042</v>
      </c>
      <c r="D11" s="710">
        <v>40</v>
      </c>
      <c r="E11" s="62">
        <f t="shared" si="1"/>
        <v>40</v>
      </c>
      <c r="F11" s="62"/>
      <c r="G11" s="62"/>
      <c r="H11" s="62"/>
      <c r="I11" s="62"/>
      <c r="J11" s="62"/>
      <c r="K11" s="62"/>
      <c r="L11" s="62">
        <f t="shared" si="2"/>
        <v>40</v>
      </c>
      <c r="M11" s="62"/>
      <c r="N11" s="62"/>
      <c r="O11" s="62"/>
      <c r="P11" s="62"/>
      <c r="Q11" s="62"/>
      <c r="R11" s="561" t="s">
        <v>1903</v>
      </c>
      <c r="S11" s="174"/>
      <c r="T11" s="174"/>
      <c r="U11" s="174"/>
      <c r="V11" s="174">
        <v>2</v>
      </c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883"/>
      <c r="AH11" s="174"/>
      <c r="AI11" s="492"/>
      <c r="AJ11" s="905">
        <v>1</v>
      </c>
      <c r="AK11" s="919"/>
      <c r="AL11" s="174"/>
      <c r="AM11" s="174"/>
      <c r="AN11" s="174"/>
      <c r="AO11" s="928"/>
      <c r="AP11" s="174"/>
      <c r="AQ11" s="174"/>
      <c r="AR11" s="174"/>
      <c r="AS11" s="174"/>
      <c r="AT11" s="174"/>
      <c r="AU11" s="174"/>
      <c r="AV11" s="174"/>
      <c r="AW11" s="174"/>
      <c r="AX11" s="174"/>
      <c r="AY11" s="174"/>
      <c r="AZ11" s="174"/>
      <c r="BA11" s="174"/>
      <c r="BB11" s="174"/>
      <c r="BC11" s="174"/>
      <c r="BD11" s="174"/>
      <c r="BE11" s="174"/>
      <c r="BF11" s="174"/>
      <c r="BG11" s="174"/>
      <c r="BH11" s="174"/>
      <c r="BI11" s="174"/>
      <c r="BJ11" s="174"/>
      <c r="BK11" s="174"/>
      <c r="BL11" s="174"/>
      <c r="BM11" s="174"/>
      <c r="BN11" s="174"/>
      <c r="BO11" s="174"/>
      <c r="BP11" s="174"/>
      <c r="BQ11" s="174"/>
      <c r="BR11" s="174"/>
      <c r="BS11" s="174"/>
      <c r="BT11" s="174"/>
      <c r="BU11" s="174"/>
      <c r="BV11" s="174"/>
      <c r="BW11" s="174"/>
      <c r="BX11" s="174"/>
      <c r="BY11" s="174"/>
      <c r="BZ11" s="174"/>
      <c r="CA11" s="174"/>
      <c r="CB11" s="174"/>
      <c r="CC11" s="174"/>
      <c r="CD11" s="174">
        <v>1</v>
      </c>
      <c r="CE11" s="174"/>
      <c r="CF11" s="174">
        <f t="shared" si="0"/>
        <v>0</v>
      </c>
      <c r="CG11" s="174">
        <f t="shared" si="3"/>
        <v>2</v>
      </c>
      <c r="CH11" s="174"/>
      <c r="CI11" s="174"/>
      <c r="CJ11" s="174"/>
      <c r="CK11" s="174"/>
      <c r="CL11" s="174"/>
      <c r="CM11" s="174"/>
      <c r="CN11" s="174"/>
      <c r="CO11" s="174"/>
      <c r="CP11" s="174"/>
      <c r="CQ11" s="174"/>
      <c r="CR11" s="174">
        <v>1</v>
      </c>
      <c r="CS11" s="174"/>
      <c r="CT11" s="174"/>
      <c r="CU11" s="174"/>
      <c r="CV11" s="174"/>
      <c r="CW11" s="174"/>
      <c r="CX11" s="174"/>
      <c r="CY11" s="174"/>
      <c r="CZ11" s="174"/>
      <c r="DA11" s="174"/>
      <c r="DB11" s="174"/>
      <c r="DC11" s="174"/>
      <c r="DD11" s="174"/>
      <c r="DE11" s="174"/>
      <c r="DF11" s="174"/>
      <c r="DG11" s="174"/>
      <c r="DH11" s="174"/>
      <c r="DI11" s="174"/>
      <c r="DJ11" s="174"/>
      <c r="DK11" s="174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710"/>
      <c r="EC11" s="62"/>
      <c r="ED11" s="62"/>
      <c r="EE11" s="454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</row>
    <row r="12" spans="1:163" s="56" customFormat="1">
      <c r="A12" s="54"/>
      <c r="B12" s="55"/>
      <c r="C12" s="490" t="s">
        <v>3043</v>
      </c>
      <c r="D12" s="710">
        <v>40</v>
      </c>
      <c r="E12" s="62">
        <f t="shared" si="1"/>
        <v>40</v>
      </c>
      <c r="F12" s="62"/>
      <c r="G12" s="62"/>
      <c r="H12" s="62"/>
      <c r="I12" s="62"/>
      <c r="J12" s="62"/>
      <c r="K12" s="62"/>
      <c r="L12" s="62">
        <f t="shared" si="2"/>
        <v>40</v>
      </c>
      <c r="M12" s="62"/>
      <c r="N12" s="62"/>
      <c r="O12" s="62"/>
      <c r="P12" s="62"/>
      <c r="Q12" s="62"/>
      <c r="R12" s="173" t="s">
        <v>1631</v>
      </c>
      <c r="S12" s="174"/>
      <c r="T12" s="174"/>
      <c r="U12" s="174"/>
      <c r="V12" s="174">
        <v>1</v>
      </c>
      <c r="W12" s="174"/>
      <c r="X12" s="174"/>
      <c r="Y12" s="174"/>
      <c r="Z12" s="174"/>
      <c r="AA12" s="174"/>
      <c r="AB12" s="174"/>
      <c r="AC12" s="174"/>
      <c r="AD12" s="174">
        <v>1</v>
      </c>
      <c r="AE12" s="174"/>
      <c r="AF12" s="174"/>
      <c r="AG12" s="883"/>
      <c r="AH12" s="174"/>
      <c r="AI12" s="492"/>
      <c r="AJ12" s="905"/>
      <c r="AK12" s="919"/>
      <c r="AL12" s="174"/>
      <c r="AM12" s="174"/>
      <c r="AN12" s="174"/>
      <c r="AO12" s="928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  <c r="BH12" s="174"/>
      <c r="BI12" s="174"/>
      <c r="BJ12" s="174"/>
      <c r="BK12" s="174"/>
      <c r="BL12" s="174"/>
      <c r="BM12" s="174"/>
      <c r="BN12" s="174"/>
      <c r="BO12" s="174"/>
      <c r="BP12" s="174"/>
      <c r="BQ12" s="174"/>
      <c r="BR12" s="174"/>
      <c r="BS12" s="174"/>
      <c r="BT12" s="174"/>
      <c r="BU12" s="174"/>
      <c r="BV12" s="174"/>
      <c r="BW12" s="174"/>
      <c r="BX12" s="174"/>
      <c r="BY12" s="174"/>
      <c r="BZ12" s="174"/>
      <c r="CA12" s="174"/>
      <c r="CB12" s="174"/>
      <c r="CC12" s="174">
        <v>1</v>
      </c>
      <c r="CD12" s="174"/>
      <c r="CE12" s="174"/>
      <c r="CF12" s="174">
        <f t="shared" si="0"/>
        <v>1</v>
      </c>
      <c r="CG12" s="174">
        <f t="shared" si="3"/>
        <v>0</v>
      </c>
      <c r="CH12" s="174"/>
      <c r="CI12" s="174"/>
      <c r="CJ12" s="174"/>
      <c r="CK12" s="174"/>
      <c r="CL12" s="174"/>
      <c r="CM12" s="174"/>
      <c r="CN12" s="174"/>
      <c r="CO12" s="174"/>
      <c r="CP12" s="174"/>
      <c r="CQ12" s="174">
        <v>1</v>
      </c>
      <c r="CR12" s="174"/>
      <c r="CS12" s="174"/>
      <c r="CT12" s="174"/>
      <c r="CU12" s="174"/>
      <c r="CV12" s="174"/>
      <c r="CW12" s="174"/>
      <c r="CX12" s="174"/>
      <c r="CY12" s="174"/>
      <c r="CZ12" s="174"/>
      <c r="DA12" s="174"/>
      <c r="DB12" s="174"/>
      <c r="DC12" s="174"/>
      <c r="DD12" s="174"/>
      <c r="DE12" s="174"/>
      <c r="DF12" s="174"/>
      <c r="DG12" s="174"/>
      <c r="DH12" s="174"/>
      <c r="DI12" s="174"/>
      <c r="DJ12" s="174"/>
      <c r="DK12" s="174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710"/>
      <c r="EC12" s="62"/>
      <c r="ED12" s="62"/>
      <c r="EE12" s="454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</row>
    <row r="13" spans="1:163" s="56" customFormat="1">
      <c r="A13" s="54"/>
      <c r="B13" s="55"/>
      <c r="C13" s="490" t="s">
        <v>3044</v>
      </c>
      <c r="D13" s="710">
        <v>40</v>
      </c>
      <c r="E13" s="62">
        <f t="shared" si="1"/>
        <v>40</v>
      </c>
      <c r="F13" s="62"/>
      <c r="G13" s="62"/>
      <c r="H13" s="62"/>
      <c r="I13" s="62"/>
      <c r="J13" s="62"/>
      <c r="K13" s="62"/>
      <c r="L13" s="62">
        <f t="shared" si="2"/>
        <v>40</v>
      </c>
      <c r="M13" s="62"/>
      <c r="N13" s="62"/>
      <c r="O13" s="62"/>
      <c r="P13" s="62"/>
      <c r="Q13" s="62"/>
      <c r="R13" s="173" t="s">
        <v>1631</v>
      </c>
      <c r="S13" s="174"/>
      <c r="T13" s="174"/>
      <c r="U13" s="174"/>
      <c r="V13" s="174">
        <v>1</v>
      </c>
      <c r="W13" s="174"/>
      <c r="X13" s="174"/>
      <c r="Y13" s="174"/>
      <c r="Z13" s="174"/>
      <c r="AA13" s="174"/>
      <c r="AB13" s="174"/>
      <c r="AC13" s="174"/>
      <c r="AD13" s="174">
        <v>1</v>
      </c>
      <c r="AE13" s="174"/>
      <c r="AF13" s="174"/>
      <c r="AG13" s="883"/>
      <c r="AH13" s="174"/>
      <c r="AI13" s="492"/>
      <c r="AJ13" s="905"/>
      <c r="AK13" s="919"/>
      <c r="AL13" s="174"/>
      <c r="AM13" s="174"/>
      <c r="AN13" s="174"/>
      <c r="AO13" s="928"/>
      <c r="AP13" s="174"/>
      <c r="AQ13" s="174"/>
      <c r="AR13" s="174"/>
      <c r="AS13" s="174"/>
      <c r="AT13" s="174"/>
      <c r="AU13" s="174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/>
      <c r="BG13" s="174"/>
      <c r="BH13" s="174"/>
      <c r="BI13" s="174"/>
      <c r="BJ13" s="174"/>
      <c r="BK13" s="174"/>
      <c r="BL13" s="174"/>
      <c r="BM13" s="174"/>
      <c r="BN13" s="174"/>
      <c r="BO13" s="174"/>
      <c r="BP13" s="174"/>
      <c r="BQ13" s="174"/>
      <c r="BR13" s="174"/>
      <c r="BS13" s="174"/>
      <c r="BT13" s="174"/>
      <c r="BU13" s="174"/>
      <c r="BV13" s="174"/>
      <c r="BW13" s="174"/>
      <c r="BX13" s="174"/>
      <c r="BY13" s="174"/>
      <c r="BZ13" s="174"/>
      <c r="CA13" s="174"/>
      <c r="CB13" s="174"/>
      <c r="CC13" s="174">
        <v>1</v>
      </c>
      <c r="CD13" s="174"/>
      <c r="CE13" s="174"/>
      <c r="CF13" s="174">
        <f t="shared" si="0"/>
        <v>1</v>
      </c>
      <c r="CG13" s="174">
        <f t="shared" si="3"/>
        <v>0</v>
      </c>
      <c r="CH13" s="174"/>
      <c r="CI13" s="174"/>
      <c r="CJ13" s="174"/>
      <c r="CK13" s="174"/>
      <c r="CL13" s="174"/>
      <c r="CM13" s="174"/>
      <c r="CN13" s="174"/>
      <c r="CO13" s="174"/>
      <c r="CP13" s="174"/>
      <c r="CQ13" s="174">
        <v>1</v>
      </c>
      <c r="CR13" s="174"/>
      <c r="CS13" s="174"/>
      <c r="CT13" s="174"/>
      <c r="CU13" s="174"/>
      <c r="CV13" s="174"/>
      <c r="CW13" s="174"/>
      <c r="CX13" s="174"/>
      <c r="CY13" s="174"/>
      <c r="CZ13" s="174"/>
      <c r="DA13" s="174"/>
      <c r="DB13" s="174"/>
      <c r="DC13" s="174"/>
      <c r="DD13" s="174"/>
      <c r="DE13" s="174"/>
      <c r="DF13" s="174"/>
      <c r="DG13" s="174"/>
      <c r="DH13" s="174"/>
      <c r="DI13" s="174"/>
      <c r="DJ13" s="174"/>
      <c r="DK13" s="174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710"/>
      <c r="EC13" s="62"/>
      <c r="ED13" s="62"/>
      <c r="EE13" s="454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</row>
    <row r="14" spans="1:163" s="56" customFormat="1">
      <c r="A14" s="54"/>
      <c r="B14" s="55"/>
      <c r="C14" s="490" t="s">
        <v>3045</v>
      </c>
      <c r="D14" s="710">
        <v>40</v>
      </c>
      <c r="E14" s="62">
        <f t="shared" si="1"/>
        <v>40</v>
      </c>
      <c r="F14" s="62"/>
      <c r="G14" s="62"/>
      <c r="H14" s="62"/>
      <c r="I14" s="62"/>
      <c r="J14" s="62"/>
      <c r="K14" s="62"/>
      <c r="L14" s="62">
        <f t="shared" si="2"/>
        <v>40</v>
      </c>
      <c r="M14" s="62"/>
      <c r="N14" s="62"/>
      <c r="O14" s="62"/>
      <c r="P14" s="62"/>
      <c r="Q14" s="62"/>
      <c r="R14" s="173" t="s">
        <v>1631</v>
      </c>
      <c r="S14" s="174"/>
      <c r="T14" s="174"/>
      <c r="U14" s="174"/>
      <c r="V14" s="174">
        <v>1</v>
      </c>
      <c r="W14" s="174"/>
      <c r="X14" s="174"/>
      <c r="Y14" s="174"/>
      <c r="Z14" s="174"/>
      <c r="AA14" s="174"/>
      <c r="AB14" s="174"/>
      <c r="AC14" s="174"/>
      <c r="AD14" s="174">
        <v>1</v>
      </c>
      <c r="AE14" s="174"/>
      <c r="AF14" s="174"/>
      <c r="AG14" s="883"/>
      <c r="AH14" s="174"/>
      <c r="AI14" s="492"/>
      <c r="AJ14" s="905"/>
      <c r="AK14" s="919"/>
      <c r="AL14" s="174"/>
      <c r="AM14" s="174"/>
      <c r="AN14" s="174"/>
      <c r="AO14" s="928"/>
      <c r="AP14" s="174"/>
      <c r="AQ14" s="174"/>
      <c r="AR14" s="174"/>
      <c r="AS14" s="174"/>
      <c r="AT14" s="174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174"/>
      <c r="BJ14" s="174"/>
      <c r="BK14" s="174"/>
      <c r="BL14" s="174"/>
      <c r="BM14" s="174"/>
      <c r="BN14" s="174"/>
      <c r="BO14" s="174"/>
      <c r="BP14" s="174"/>
      <c r="BQ14" s="174"/>
      <c r="BR14" s="174"/>
      <c r="BS14" s="174"/>
      <c r="BT14" s="174"/>
      <c r="BU14" s="174"/>
      <c r="BV14" s="174"/>
      <c r="BW14" s="174"/>
      <c r="BX14" s="174"/>
      <c r="BY14" s="174"/>
      <c r="BZ14" s="174"/>
      <c r="CA14" s="174"/>
      <c r="CB14" s="174"/>
      <c r="CC14" s="174">
        <v>1</v>
      </c>
      <c r="CD14" s="174"/>
      <c r="CE14" s="174"/>
      <c r="CF14" s="174">
        <f t="shared" si="0"/>
        <v>1</v>
      </c>
      <c r="CG14" s="174">
        <f t="shared" si="3"/>
        <v>0</v>
      </c>
      <c r="CH14" s="174"/>
      <c r="CI14" s="174"/>
      <c r="CJ14" s="174"/>
      <c r="CK14" s="174"/>
      <c r="CL14" s="174"/>
      <c r="CM14" s="174"/>
      <c r="CN14" s="174"/>
      <c r="CO14" s="174"/>
      <c r="CP14" s="174"/>
      <c r="CQ14" s="174">
        <v>1</v>
      </c>
      <c r="CR14" s="174"/>
      <c r="CS14" s="174"/>
      <c r="CT14" s="174"/>
      <c r="CU14" s="174"/>
      <c r="CV14" s="174"/>
      <c r="CW14" s="174"/>
      <c r="CX14" s="174"/>
      <c r="CY14" s="174"/>
      <c r="CZ14" s="174"/>
      <c r="DA14" s="174"/>
      <c r="DB14" s="174"/>
      <c r="DC14" s="174"/>
      <c r="DD14" s="174"/>
      <c r="DE14" s="174"/>
      <c r="DF14" s="174"/>
      <c r="DG14" s="174"/>
      <c r="DH14" s="174"/>
      <c r="DI14" s="174"/>
      <c r="DJ14" s="174"/>
      <c r="DK14" s="174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454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</row>
    <row r="15" spans="1:163" s="56" customFormat="1">
      <c r="A15" s="54"/>
      <c r="B15" s="55"/>
      <c r="C15" s="490" t="s">
        <v>3046</v>
      </c>
      <c r="D15" s="710">
        <v>40</v>
      </c>
      <c r="E15" s="62">
        <f t="shared" si="1"/>
        <v>40</v>
      </c>
      <c r="F15" s="62"/>
      <c r="G15" s="62"/>
      <c r="H15" s="62"/>
      <c r="I15" s="62"/>
      <c r="J15" s="62"/>
      <c r="K15" s="62"/>
      <c r="L15" s="62">
        <f t="shared" si="2"/>
        <v>40</v>
      </c>
      <c r="M15" s="62"/>
      <c r="N15" s="62"/>
      <c r="O15" s="62"/>
      <c r="P15" s="62"/>
      <c r="Q15" s="62"/>
      <c r="R15" s="173" t="s">
        <v>1631</v>
      </c>
      <c r="S15" s="174"/>
      <c r="T15" s="174"/>
      <c r="U15" s="174"/>
      <c r="V15" s="174">
        <v>1</v>
      </c>
      <c r="W15" s="174"/>
      <c r="X15" s="174"/>
      <c r="Y15" s="174"/>
      <c r="Z15" s="174"/>
      <c r="AA15" s="174"/>
      <c r="AB15" s="174"/>
      <c r="AC15" s="174"/>
      <c r="AD15" s="174">
        <v>1</v>
      </c>
      <c r="AE15" s="174"/>
      <c r="AF15" s="174"/>
      <c r="AG15" s="883"/>
      <c r="AH15" s="174"/>
      <c r="AI15" s="492"/>
      <c r="AJ15" s="905"/>
      <c r="AK15" s="919"/>
      <c r="AL15" s="174"/>
      <c r="AM15" s="174"/>
      <c r="AN15" s="174"/>
      <c r="AO15" s="928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174">
        <v>1</v>
      </c>
      <c r="BG15" s="174"/>
      <c r="BH15" s="174"/>
      <c r="BI15" s="174"/>
      <c r="BJ15" s="174"/>
      <c r="BK15" s="174"/>
      <c r="BL15" s="174"/>
      <c r="BM15" s="174"/>
      <c r="BN15" s="174"/>
      <c r="BO15" s="174"/>
      <c r="BP15" s="174"/>
      <c r="BQ15" s="174"/>
      <c r="BR15" s="174"/>
      <c r="BS15" s="174"/>
      <c r="BT15" s="174"/>
      <c r="BU15" s="174"/>
      <c r="BV15" s="174"/>
      <c r="BW15" s="174"/>
      <c r="BX15" s="174"/>
      <c r="BY15" s="174"/>
      <c r="BZ15" s="174"/>
      <c r="CA15" s="174"/>
      <c r="CB15" s="174"/>
      <c r="CC15" s="174">
        <v>1</v>
      </c>
      <c r="CD15" s="174"/>
      <c r="CE15" s="174"/>
      <c r="CF15" s="174">
        <f t="shared" si="0"/>
        <v>1</v>
      </c>
      <c r="CG15" s="174">
        <f t="shared" si="3"/>
        <v>0</v>
      </c>
      <c r="CH15" s="174"/>
      <c r="CI15" s="174"/>
      <c r="CJ15" s="174"/>
      <c r="CK15" s="174"/>
      <c r="CL15" s="174"/>
      <c r="CM15" s="174"/>
      <c r="CN15" s="174"/>
      <c r="CO15" s="174"/>
      <c r="CP15" s="174"/>
      <c r="CQ15" s="174">
        <v>1</v>
      </c>
      <c r="CR15" s="174"/>
      <c r="CS15" s="174"/>
      <c r="CT15" s="174"/>
      <c r="CU15" s="174"/>
      <c r="CV15" s="174"/>
      <c r="CW15" s="174"/>
      <c r="CX15" s="174"/>
      <c r="CY15" s="174"/>
      <c r="CZ15" s="174"/>
      <c r="DA15" s="174"/>
      <c r="DB15" s="174"/>
      <c r="DC15" s="174"/>
      <c r="DD15" s="174"/>
      <c r="DE15" s="174"/>
      <c r="DF15" s="174"/>
      <c r="DG15" s="174"/>
      <c r="DH15" s="174"/>
      <c r="DI15" s="174"/>
      <c r="DJ15" s="174"/>
      <c r="DK15" s="174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454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</row>
    <row r="16" spans="1:163" s="56" customFormat="1">
      <c r="A16" s="54"/>
      <c r="B16" s="55"/>
      <c r="C16" s="490" t="s">
        <v>3047</v>
      </c>
      <c r="D16" s="711">
        <v>40</v>
      </c>
      <c r="E16" s="62">
        <f t="shared" si="1"/>
        <v>40</v>
      </c>
      <c r="F16" s="62"/>
      <c r="G16" s="62"/>
      <c r="H16" s="62"/>
      <c r="I16" s="62"/>
      <c r="J16" s="62"/>
      <c r="K16" s="62"/>
      <c r="L16" s="62">
        <f t="shared" si="2"/>
        <v>40</v>
      </c>
      <c r="M16" s="190"/>
      <c r="N16" s="190"/>
      <c r="O16" s="190"/>
      <c r="P16" s="190"/>
      <c r="Q16" s="190"/>
      <c r="R16" s="561" t="s">
        <v>2989</v>
      </c>
      <c r="S16" s="174"/>
      <c r="T16" s="174"/>
      <c r="U16" s="174"/>
      <c r="V16" s="174">
        <v>2</v>
      </c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883"/>
      <c r="AH16" s="174"/>
      <c r="AI16" s="492"/>
      <c r="AJ16" s="905">
        <v>1</v>
      </c>
      <c r="AK16" s="919"/>
      <c r="AL16" s="174"/>
      <c r="AM16" s="174"/>
      <c r="AN16" s="174"/>
      <c r="AO16" s="928"/>
      <c r="AP16" s="174"/>
      <c r="AQ16" s="174"/>
      <c r="AR16" s="174"/>
      <c r="AS16" s="174"/>
      <c r="AT16" s="174"/>
      <c r="AU16" s="174"/>
      <c r="AV16" s="174"/>
      <c r="AW16" s="174"/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H16" s="174"/>
      <c r="BI16" s="174"/>
      <c r="BJ16" s="174">
        <v>1</v>
      </c>
      <c r="BK16" s="174"/>
      <c r="BL16" s="174"/>
      <c r="BM16" s="174"/>
      <c r="BN16" s="174"/>
      <c r="BO16" s="174"/>
      <c r="BP16" s="174"/>
      <c r="BQ16" s="174"/>
      <c r="BR16" s="174"/>
      <c r="BS16" s="174"/>
      <c r="BT16" s="174"/>
      <c r="BU16" s="174"/>
      <c r="BV16" s="174"/>
      <c r="BW16" s="174"/>
      <c r="BX16" s="174"/>
      <c r="BY16" s="174"/>
      <c r="BZ16" s="174">
        <v>1</v>
      </c>
      <c r="CA16" s="174"/>
      <c r="CB16" s="174"/>
      <c r="CC16" s="174">
        <v>1</v>
      </c>
      <c r="CD16" s="174"/>
      <c r="CE16" s="174"/>
      <c r="CF16" s="174">
        <f t="shared" si="0"/>
        <v>1</v>
      </c>
      <c r="CG16" s="174">
        <f t="shared" si="3"/>
        <v>0</v>
      </c>
      <c r="CH16" s="174"/>
      <c r="CI16" s="174"/>
      <c r="CJ16" s="174"/>
      <c r="CK16" s="174"/>
      <c r="CL16" s="174"/>
      <c r="CM16" s="174"/>
      <c r="CN16" s="174"/>
      <c r="CO16" s="174">
        <v>2</v>
      </c>
      <c r="CP16" s="174"/>
      <c r="CQ16" s="174"/>
      <c r="CR16" s="174"/>
      <c r="CS16" s="174">
        <v>2</v>
      </c>
      <c r="CT16" s="174"/>
      <c r="CU16" s="174"/>
      <c r="CV16" s="174"/>
      <c r="CW16" s="174"/>
      <c r="CX16" s="174">
        <v>1</v>
      </c>
      <c r="CY16" s="174">
        <v>1</v>
      </c>
      <c r="CZ16" s="174">
        <v>1</v>
      </c>
      <c r="DA16" s="174"/>
      <c r="DB16" s="174"/>
      <c r="DC16" s="174"/>
      <c r="DD16" s="174"/>
      <c r="DE16" s="174"/>
      <c r="DF16" s="174"/>
      <c r="DG16" s="174"/>
      <c r="DH16" s="174"/>
      <c r="DI16" s="174"/>
      <c r="DJ16" s="174"/>
      <c r="DK16" s="174">
        <v>1</v>
      </c>
      <c r="DL16" s="62">
        <v>1</v>
      </c>
      <c r="DM16" s="62"/>
      <c r="DN16" s="62"/>
      <c r="DO16" s="62"/>
      <c r="DP16" s="62"/>
      <c r="DQ16" s="62"/>
      <c r="DR16" s="62"/>
      <c r="DS16" s="62">
        <v>0.5</v>
      </c>
      <c r="DT16" s="62">
        <v>1.5</v>
      </c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454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</row>
    <row r="17" spans="1:162" s="56" customFormat="1">
      <c r="A17" s="54"/>
      <c r="B17" s="55"/>
      <c r="C17" s="490" t="s">
        <v>3048</v>
      </c>
      <c r="D17" s="62">
        <v>40</v>
      </c>
      <c r="E17" s="62">
        <f t="shared" si="1"/>
        <v>40</v>
      </c>
      <c r="F17" s="62"/>
      <c r="G17" s="62"/>
      <c r="H17" s="62"/>
      <c r="I17" s="62"/>
      <c r="J17" s="62"/>
      <c r="K17" s="62"/>
      <c r="L17" s="62">
        <f t="shared" si="2"/>
        <v>40</v>
      </c>
      <c r="M17" s="62"/>
      <c r="N17" s="62"/>
      <c r="O17" s="62"/>
      <c r="P17" s="62"/>
      <c r="Q17" s="62"/>
      <c r="R17" s="173" t="s">
        <v>1631</v>
      </c>
      <c r="S17" s="174"/>
      <c r="T17" s="174"/>
      <c r="U17" s="174"/>
      <c r="V17" s="174">
        <v>1</v>
      </c>
      <c r="W17" s="174"/>
      <c r="X17" s="174"/>
      <c r="Y17" s="174"/>
      <c r="Z17" s="174"/>
      <c r="AA17" s="174"/>
      <c r="AB17" s="174"/>
      <c r="AC17" s="174"/>
      <c r="AD17" s="174">
        <v>1</v>
      </c>
      <c r="AE17" s="174"/>
      <c r="AF17" s="174"/>
      <c r="AG17" s="883"/>
      <c r="AH17" s="174"/>
      <c r="AI17" s="492"/>
      <c r="AJ17" s="905"/>
      <c r="AK17" s="919"/>
      <c r="AL17" s="174"/>
      <c r="AM17" s="174"/>
      <c r="AN17" s="174"/>
      <c r="AO17" s="928"/>
      <c r="AP17" s="174"/>
      <c r="AQ17" s="174"/>
      <c r="AR17" s="174"/>
      <c r="AS17" s="174"/>
      <c r="AT17" s="174"/>
      <c r="AU17" s="174"/>
      <c r="AV17" s="174"/>
      <c r="AW17" s="174"/>
      <c r="AX17" s="174"/>
      <c r="AY17" s="174"/>
      <c r="AZ17" s="174"/>
      <c r="BA17" s="174"/>
      <c r="BB17" s="174"/>
      <c r="BC17" s="174"/>
      <c r="BD17" s="174"/>
      <c r="BE17" s="174"/>
      <c r="BF17" s="174"/>
      <c r="BG17" s="174"/>
      <c r="BH17" s="174"/>
      <c r="BI17" s="174"/>
      <c r="BJ17" s="174"/>
      <c r="BK17" s="174"/>
      <c r="BL17" s="174"/>
      <c r="BM17" s="174"/>
      <c r="BN17" s="174"/>
      <c r="BO17" s="174"/>
      <c r="BP17" s="174"/>
      <c r="BQ17" s="174"/>
      <c r="BR17" s="174"/>
      <c r="BS17" s="174"/>
      <c r="BT17" s="174"/>
      <c r="BU17" s="174"/>
      <c r="BV17" s="174"/>
      <c r="BW17" s="174"/>
      <c r="BX17" s="174"/>
      <c r="BY17" s="174"/>
      <c r="BZ17" s="174"/>
      <c r="CA17" s="174"/>
      <c r="CB17" s="174"/>
      <c r="CC17" s="174">
        <v>1</v>
      </c>
      <c r="CD17" s="174"/>
      <c r="CE17" s="174"/>
      <c r="CF17" s="174">
        <f t="shared" si="0"/>
        <v>1</v>
      </c>
      <c r="CG17" s="174">
        <f t="shared" si="3"/>
        <v>0</v>
      </c>
      <c r="CH17" s="174"/>
      <c r="CI17" s="174"/>
      <c r="CJ17" s="174"/>
      <c r="CK17" s="174"/>
      <c r="CL17" s="174"/>
      <c r="CM17" s="174"/>
      <c r="CN17" s="174"/>
      <c r="CO17" s="174"/>
      <c r="CP17" s="174"/>
      <c r="CQ17" s="174">
        <v>1</v>
      </c>
      <c r="CR17" s="174"/>
      <c r="CS17" s="174"/>
      <c r="CT17" s="174"/>
      <c r="CU17" s="174"/>
      <c r="CV17" s="174"/>
      <c r="CW17" s="174"/>
      <c r="CX17" s="174"/>
      <c r="CY17" s="174"/>
      <c r="CZ17" s="174"/>
      <c r="DA17" s="174"/>
      <c r="DB17" s="174"/>
      <c r="DC17" s="174"/>
      <c r="DD17" s="174"/>
      <c r="DE17" s="174"/>
      <c r="DF17" s="174"/>
      <c r="DG17" s="174"/>
      <c r="DH17" s="174"/>
      <c r="DI17" s="174"/>
      <c r="DJ17" s="174"/>
      <c r="DK17" s="174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454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</row>
    <row r="18" spans="1:162" s="56" customFormat="1">
      <c r="A18" s="54"/>
      <c r="B18" s="55"/>
      <c r="C18" s="490" t="s">
        <v>3049</v>
      </c>
      <c r="D18" s="62">
        <v>40</v>
      </c>
      <c r="E18" s="62">
        <f t="shared" si="1"/>
        <v>40</v>
      </c>
      <c r="F18" s="62"/>
      <c r="G18" s="62"/>
      <c r="H18" s="62"/>
      <c r="I18" s="62"/>
      <c r="J18" s="62"/>
      <c r="K18" s="62"/>
      <c r="L18" s="62">
        <f t="shared" si="2"/>
        <v>40</v>
      </c>
      <c r="M18" s="62"/>
      <c r="N18" s="62"/>
      <c r="O18" s="62"/>
      <c r="P18" s="62"/>
      <c r="Q18" s="62"/>
      <c r="R18" s="173" t="s">
        <v>1903</v>
      </c>
      <c r="S18" s="174"/>
      <c r="T18" s="174"/>
      <c r="U18" s="174"/>
      <c r="V18" s="174">
        <v>2</v>
      </c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883"/>
      <c r="AH18" s="174"/>
      <c r="AI18" s="492"/>
      <c r="AJ18" s="905">
        <v>1</v>
      </c>
      <c r="AK18" s="919"/>
      <c r="AL18" s="174"/>
      <c r="AM18" s="174"/>
      <c r="AN18" s="174"/>
      <c r="AO18" s="928"/>
      <c r="AP18" s="174"/>
      <c r="AQ18" s="174"/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4"/>
      <c r="BI18" s="174"/>
      <c r="BJ18" s="174"/>
      <c r="BK18" s="174"/>
      <c r="BL18" s="174"/>
      <c r="BM18" s="174"/>
      <c r="BN18" s="174"/>
      <c r="BO18" s="174"/>
      <c r="BP18" s="174"/>
      <c r="BQ18" s="174"/>
      <c r="BR18" s="174"/>
      <c r="BS18" s="174"/>
      <c r="BT18" s="174"/>
      <c r="BU18" s="174"/>
      <c r="BV18" s="174"/>
      <c r="BW18" s="174"/>
      <c r="BX18" s="174"/>
      <c r="BY18" s="174"/>
      <c r="BZ18" s="174"/>
      <c r="CA18" s="174"/>
      <c r="CB18" s="174"/>
      <c r="CC18" s="174"/>
      <c r="CD18" s="174">
        <v>1</v>
      </c>
      <c r="CE18" s="174"/>
      <c r="CF18" s="174">
        <f t="shared" si="0"/>
        <v>0</v>
      </c>
      <c r="CG18" s="174">
        <f t="shared" si="3"/>
        <v>2</v>
      </c>
      <c r="CH18" s="174"/>
      <c r="CI18" s="174"/>
      <c r="CJ18" s="174"/>
      <c r="CK18" s="174"/>
      <c r="CL18" s="174"/>
      <c r="CM18" s="174"/>
      <c r="CN18" s="174"/>
      <c r="CO18" s="174"/>
      <c r="CP18" s="174"/>
      <c r="CQ18" s="174"/>
      <c r="CR18" s="174">
        <v>1</v>
      </c>
      <c r="CS18" s="174"/>
      <c r="CT18" s="174"/>
      <c r="CU18" s="174"/>
      <c r="CV18" s="174"/>
      <c r="CW18" s="174"/>
      <c r="CX18" s="174"/>
      <c r="CY18" s="174"/>
      <c r="CZ18" s="174"/>
      <c r="DA18" s="174"/>
      <c r="DB18" s="174"/>
      <c r="DC18" s="174"/>
      <c r="DD18" s="174"/>
      <c r="DE18" s="174"/>
      <c r="DF18" s="174"/>
      <c r="DG18" s="174"/>
      <c r="DH18" s="174"/>
      <c r="DI18" s="174"/>
      <c r="DJ18" s="174"/>
      <c r="DK18" s="174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454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</row>
    <row r="19" spans="1:162" s="56" customFormat="1">
      <c r="A19" s="54"/>
      <c r="B19" s="55"/>
      <c r="C19" s="490" t="s">
        <v>3020</v>
      </c>
      <c r="D19" s="62">
        <v>35</v>
      </c>
      <c r="E19" s="62">
        <f t="shared" si="1"/>
        <v>35</v>
      </c>
      <c r="F19" s="62"/>
      <c r="G19" s="62"/>
      <c r="H19" s="62"/>
      <c r="I19" s="62"/>
      <c r="J19" s="62"/>
      <c r="K19" s="62"/>
      <c r="L19" s="62">
        <f t="shared" si="2"/>
        <v>35</v>
      </c>
      <c r="M19" s="62"/>
      <c r="N19" s="62"/>
      <c r="O19" s="62"/>
      <c r="P19" s="62"/>
      <c r="Q19" s="62"/>
      <c r="R19" s="173" t="s">
        <v>1631</v>
      </c>
      <c r="S19" s="174"/>
      <c r="T19" s="174"/>
      <c r="U19" s="174"/>
      <c r="V19" s="174">
        <v>1</v>
      </c>
      <c r="W19" s="174"/>
      <c r="X19" s="174"/>
      <c r="Y19" s="174"/>
      <c r="Z19" s="174"/>
      <c r="AA19" s="174"/>
      <c r="AB19" s="174"/>
      <c r="AC19" s="174"/>
      <c r="AD19" s="174">
        <v>1</v>
      </c>
      <c r="AE19" s="174"/>
      <c r="AF19" s="174"/>
      <c r="AG19" s="883"/>
      <c r="AH19" s="174"/>
      <c r="AI19" s="492"/>
      <c r="AJ19" s="905"/>
      <c r="AK19" s="919"/>
      <c r="AL19" s="174"/>
      <c r="AM19" s="174"/>
      <c r="AN19" s="174"/>
      <c r="AO19" s="928"/>
      <c r="AP19" s="174"/>
      <c r="AQ19" s="174"/>
      <c r="AR19" s="174"/>
      <c r="AS19" s="174"/>
      <c r="AT19" s="174"/>
      <c r="AU19" s="174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/>
      <c r="BG19" s="174"/>
      <c r="BH19" s="174"/>
      <c r="BI19" s="174"/>
      <c r="BJ19" s="174"/>
      <c r="BK19" s="174"/>
      <c r="BL19" s="174"/>
      <c r="BM19" s="174"/>
      <c r="BN19" s="174"/>
      <c r="BO19" s="174"/>
      <c r="BP19" s="174"/>
      <c r="BQ19" s="174"/>
      <c r="BR19" s="174"/>
      <c r="BS19" s="174"/>
      <c r="BT19" s="174"/>
      <c r="BU19" s="174"/>
      <c r="BV19" s="174"/>
      <c r="BW19" s="174"/>
      <c r="BX19" s="174"/>
      <c r="BY19" s="174"/>
      <c r="BZ19" s="174"/>
      <c r="CA19" s="174"/>
      <c r="CB19" s="174"/>
      <c r="CC19" s="174">
        <v>1</v>
      </c>
      <c r="CD19" s="174"/>
      <c r="CE19" s="174"/>
      <c r="CF19" s="174">
        <f t="shared" si="0"/>
        <v>1</v>
      </c>
      <c r="CG19" s="174">
        <f t="shared" si="3"/>
        <v>0</v>
      </c>
      <c r="CH19" s="174"/>
      <c r="CI19" s="174"/>
      <c r="CJ19" s="174"/>
      <c r="CK19" s="174"/>
      <c r="CL19" s="174"/>
      <c r="CM19" s="174"/>
      <c r="CN19" s="174"/>
      <c r="CO19" s="174"/>
      <c r="CP19" s="174"/>
      <c r="CQ19" s="174">
        <v>1</v>
      </c>
      <c r="CR19" s="174"/>
      <c r="CS19" s="174"/>
      <c r="CT19" s="174"/>
      <c r="CU19" s="174"/>
      <c r="CV19" s="174"/>
      <c r="CW19" s="174"/>
      <c r="CX19" s="174"/>
      <c r="CY19" s="174"/>
      <c r="CZ19" s="174"/>
      <c r="DA19" s="174"/>
      <c r="DB19" s="174"/>
      <c r="DC19" s="174"/>
      <c r="DD19" s="174"/>
      <c r="DE19" s="174"/>
      <c r="DF19" s="174"/>
      <c r="DG19" s="174"/>
      <c r="DH19" s="174"/>
      <c r="DI19" s="174"/>
      <c r="DJ19" s="174"/>
      <c r="DK19" s="174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454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</row>
    <row r="20" spans="1:162" s="56" customFormat="1">
      <c r="A20" s="54"/>
      <c r="B20" s="55"/>
      <c r="C20" s="490" t="s">
        <v>3050</v>
      </c>
      <c r="D20" s="62">
        <v>33</v>
      </c>
      <c r="E20" s="62">
        <f t="shared" si="1"/>
        <v>33</v>
      </c>
      <c r="F20" s="62"/>
      <c r="G20" s="62"/>
      <c r="H20" s="62"/>
      <c r="I20" s="62"/>
      <c r="J20" s="62"/>
      <c r="K20" s="62"/>
      <c r="L20" s="62">
        <f t="shared" si="2"/>
        <v>33</v>
      </c>
      <c r="M20" s="62"/>
      <c r="N20" s="62"/>
      <c r="O20" s="62"/>
      <c r="P20" s="62"/>
      <c r="Q20" s="62"/>
      <c r="R20" s="173" t="s">
        <v>1903</v>
      </c>
      <c r="S20" s="174"/>
      <c r="T20" s="174"/>
      <c r="U20" s="174"/>
      <c r="V20" s="174">
        <v>2</v>
      </c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883"/>
      <c r="AH20" s="174"/>
      <c r="AI20" s="492"/>
      <c r="AJ20" s="905">
        <v>1</v>
      </c>
      <c r="AK20" s="919"/>
      <c r="AL20" s="174"/>
      <c r="AM20" s="174"/>
      <c r="AN20" s="174"/>
      <c r="AO20" s="928"/>
      <c r="AP20" s="174"/>
      <c r="AQ20" s="174"/>
      <c r="AR20" s="174"/>
      <c r="AS20" s="174"/>
      <c r="AT20" s="174"/>
      <c r="AU20" s="174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  <c r="BH20" s="174"/>
      <c r="BI20" s="174"/>
      <c r="BJ20" s="174"/>
      <c r="BK20" s="174"/>
      <c r="BL20" s="174"/>
      <c r="BM20" s="174"/>
      <c r="BN20" s="174"/>
      <c r="BO20" s="174"/>
      <c r="BP20" s="174"/>
      <c r="BQ20" s="174"/>
      <c r="BR20" s="174"/>
      <c r="BS20" s="174"/>
      <c r="BT20" s="174"/>
      <c r="BU20" s="174"/>
      <c r="BV20" s="174"/>
      <c r="BW20" s="174"/>
      <c r="BX20" s="174"/>
      <c r="BY20" s="174"/>
      <c r="BZ20" s="174"/>
      <c r="CA20" s="174"/>
      <c r="CB20" s="174"/>
      <c r="CC20" s="174"/>
      <c r="CD20" s="174">
        <v>1</v>
      </c>
      <c r="CE20" s="174"/>
      <c r="CF20" s="174">
        <f t="shared" si="0"/>
        <v>0</v>
      </c>
      <c r="CG20" s="174">
        <f t="shared" si="3"/>
        <v>2</v>
      </c>
      <c r="CH20" s="174"/>
      <c r="CI20" s="174"/>
      <c r="CJ20" s="174"/>
      <c r="CK20" s="174"/>
      <c r="CL20" s="174"/>
      <c r="CM20" s="174"/>
      <c r="CN20" s="174"/>
      <c r="CO20" s="174"/>
      <c r="CP20" s="174"/>
      <c r="CQ20" s="174"/>
      <c r="CR20" s="174">
        <v>1</v>
      </c>
      <c r="CS20" s="174"/>
      <c r="CT20" s="174"/>
      <c r="CU20" s="174"/>
      <c r="CV20" s="174"/>
      <c r="CW20" s="174"/>
      <c r="CX20" s="174"/>
      <c r="CY20" s="174"/>
      <c r="CZ20" s="174"/>
      <c r="DA20" s="174"/>
      <c r="DB20" s="174"/>
      <c r="DC20" s="174"/>
      <c r="DD20" s="174"/>
      <c r="DE20" s="174"/>
      <c r="DF20" s="174"/>
      <c r="DG20" s="174"/>
      <c r="DH20" s="174"/>
      <c r="DI20" s="174"/>
      <c r="DJ20" s="174"/>
      <c r="DK20" s="174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454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</row>
    <row r="21" spans="1:162" s="56" customFormat="1">
      <c r="A21" s="54"/>
      <c r="B21" s="55"/>
      <c r="C21" s="490" t="s">
        <v>3081</v>
      </c>
      <c r="D21" s="62">
        <v>35</v>
      </c>
      <c r="E21" s="62">
        <f t="shared" si="1"/>
        <v>35</v>
      </c>
      <c r="F21" s="62"/>
      <c r="G21" s="62"/>
      <c r="H21" s="62"/>
      <c r="I21" s="62"/>
      <c r="J21" s="62"/>
      <c r="K21" s="62"/>
      <c r="L21" s="62">
        <f t="shared" si="2"/>
        <v>35</v>
      </c>
      <c r="M21" s="62"/>
      <c r="N21" s="62"/>
      <c r="O21" s="62"/>
      <c r="P21" s="62"/>
      <c r="Q21" s="62"/>
      <c r="R21" s="173" t="s">
        <v>1631</v>
      </c>
      <c r="S21" s="174"/>
      <c r="T21" s="174"/>
      <c r="U21" s="174"/>
      <c r="V21" s="174">
        <v>1</v>
      </c>
      <c r="W21" s="174"/>
      <c r="X21" s="174"/>
      <c r="Y21" s="174"/>
      <c r="Z21" s="174"/>
      <c r="AA21" s="174"/>
      <c r="AB21" s="174"/>
      <c r="AC21" s="174"/>
      <c r="AD21" s="174">
        <v>1</v>
      </c>
      <c r="AE21" s="174"/>
      <c r="AF21" s="174"/>
      <c r="AG21" s="883"/>
      <c r="AH21" s="174"/>
      <c r="AI21" s="492"/>
      <c r="AJ21" s="905"/>
      <c r="AK21" s="919"/>
      <c r="AL21" s="174"/>
      <c r="AM21" s="174"/>
      <c r="AN21" s="174"/>
      <c r="AO21" s="928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>
        <v>1</v>
      </c>
      <c r="BG21" s="174"/>
      <c r="BH21" s="174"/>
      <c r="BI21" s="174"/>
      <c r="BJ21" s="174"/>
      <c r="BK21" s="174"/>
      <c r="BL21" s="174"/>
      <c r="BM21" s="174"/>
      <c r="BN21" s="174"/>
      <c r="BO21" s="174"/>
      <c r="BP21" s="174"/>
      <c r="BQ21" s="174"/>
      <c r="BR21" s="174"/>
      <c r="BS21" s="174"/>
      <c r="BT21" s="174"/>
      <c r="BU21" s="174"/>
      <c r="BV21" s="174"/>
      <c r="BW21" s="174"/>
      <c r="BX21" s="174"/>
      <c r="BY21" s="174"/>
      <c r="BZ21" s="174"/>
      <c r="CA21" s="174"/>
      <c r="CB21" s="174"/>
      <c r="CC21" s="174">
        <v>1</v>
      </c>
      <c r="CD21" s="174"/>
      <c r="CE21" s="174"/>
      <c r="CF21" s="174">
        <f t="shared" si="0"/>
        <v>1</v>
      </c>
      <c r="CG21" s="174">
        <f t="shared" si="3"/>
        <v>0</v>
      </c>
      <c r="CH21" s="174"/>
      <c r="CI21" s="174"/>
      <c r="CJ21" s="174"/>
      <c r="CK21" s="174"/>
      <c r="CL21" s="174"/>
      <c r="CM21" s="174"/>
      <c r="CN21" s="174"/>
      <c r="CO21" s="174"/>
      <c r="CP21" s="174"/>
      <c r="CQ21" s="174">
        <v>1</v>
      </c>
      <c r="CR21" s="174"/>
      <c r="CS21" s="174"/>
      <c r="CT21" s="174"/>
      <c r="CU21" s="174"/>
      <c r="CV21" s="174"/>
      <c r="CW21" s="174"/>
      <c r="CX21" s="174"/>
      <c r="CY21" s="174"/>
      <c r="CZ21" s="174"/>
      <c r="DA21" s="174"/>
      <c r="DB21" s="174"/>
      <c r="DC21" s="174"/>
      <c r="DD21" s="174"/>
      <c r="DE21" s="174"/>
      <c r="DF21" s="174"/>
      <c r="DG21" s="174"/>
      <c r="DH21" s="174"/>
      <c r="DI21" s="174"/>
      <c r="DJ21" s="174"/>
      <c r="DK21" s="174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454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</row>
    <row r="22" spans="1:162" s="56" customFormat="1">
      <c r="A22" s="54"/>
      <c r="B22" s="55"/>
      <c r="C22" s="490" t="s">
        <v>3022</v>
      </c>
      <c r="D22" s="62">
        <v>40</v>
      </c>
      <c r="E22" s="62">
        <f t="shared" si="1"/>
        <v>40</v>
      </c>
      <c r="F22" s="62"/>
      <c r="G22" s="62"/>
      <c r="H22" s="62"/>
      <c r="I22" s="62"/>
      <c r="J22" s="62"/>
      <c r="K22" s="62"/>
      <c r="L22" s="62">
        <f t="shared" si="2"/>
        <v>40</v>
      </c>
      <c r="M22" s="62"/>
      <c r="N22" s="62"/>
      <c r="O22" s="62"/>
      <c r="P22" s="62"/>
      <c r="Q22" s="62"/>
      <c r="R22" s="173" t="s">
        <v>1631</v>
      </c>
      <c r="S22" s="174"/>
      <c r="T22" s="174"/>
      <c r="U22" s="174"/>
      <c r="V22" s="174">
        <v>1</v>
      </c>
      <c r="W22" s="174"/>
      <c r="X22" s="174"/>
      <c r="Y22" s="174"/>
      <c r="Z22" s="174"/>
      <c r="AA22" s="174"/>
      <c r="AB22" s="174"/>
      <c r="AC22" s="174"/>
      <c r="AD22" s="174">
        <v>1</v>
      </c>
      <c r="AE22" s="174"/>
      <c r="AF22" s="174"/>
      <c r="AG22" s="883"/>
      <c r="AH22" s="174"/>
      <c r="AI22" s="492"/>
      <c r="AJ22" s="905"/>
      <c r="AK22" s="919"/>
      <c r="AL22" s="174"/>
      <c r="AM22" s="174"/>
      <c r="AN22" s="174"/>
      <c r="AO22" s="928"/>
      <c r="AP22" s="174"/>
      <c r="AQ22" s="174"/>
      <c r="AR22" s="174"/>
      <c r="AS22" s="174"/>
      <c r="AT22" s="174"/>
      <c r="AU22" s="174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  <c r="BH22" s="174"/>
      <c r="BI22" s="174"/>
      <c r="BJ22" s="174"/>
      <c r="BK22" s="174"/>
      <c r="BL22" s="174"/>
      <c r="BM22" s="174"/>
      <c r="BN22" s="174"/>
      <c r="BO22" s="174"/>
      <c r="BP22" s="174"/>
      <c r="BQ22" s="174"/>
      <c r="BR22" s="174"/>
      <c r="BS22" s="174"/>
      <c r="BT22" s="174"/>
      <c r="BU22" s="174"/>
      <c r="BV22" s="174"/>
      <c r="BW22" s="174"/>
      <c r="BX22" s="174"/>
      <c r="BY22" s="174"/>
      <c r="BZ22" s="174"/>
      <c r="CA22" s="174"/>
      <c r="CB22" s="174"/>
      <c r="CC22" s="174">
        <v>1</v>
      </c>
      <c r="CD22" s="174"/>
      <c r="CE22" s="174"/>
      <c r="CF22" s="174">
        <f t="shared" si="0"/>
        <v>1</v>
      </c>
      <c r="CG22" s="174">
        <f t="shared" si="3"/>
        <v>0</v>
      </c>
      <c r="CH22" s="174"/>
      <c r="CI22" s="174"/>
      <c r="CJ22" s="174"/>
      <c r="CK22" s="174"/>
      <c r="CL22" s="174"/>
      <c r="CM22" s="174"/>
      <c r="CN22" s="174"/>
      <c r="CO22" s="174"/>
      <c r="CP22" s="174"/>
      <c r="CQ22" s="174">
        <v>1</v>
      </c>
      <c r="CR22" s="174"/>
      <c r="CS22" s="174"/>
      <c r="CT22" s="174"/>
      <c r="CU22" s="174"/>
      <c r="CV22" s="174"/>
      <c r="CW22" s="174"/>
      <c r="CX22" s="174"/>
      <c r="CY22" s="174"/>
      <c r="CZ22" s="174"/>
      <c r="DA22" s="174"/>
      <c r="DB22" s="174"/>
      <c r="DC22" s="174"/>
      <c r="DD22" s="174"/>
      <c r="DE22" s="174"/>
      <c r="DF22" s="174"/>
      <c r="DG22" s="174"/>
      <c r="DH22" s="174"/>
      <c r="DI22" s="174"/>
      <c r="DJ22" s="174"/>
      <c r="DK22" s="174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454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</row>
    <row r="23" spans="1:162" s="56" customFormat="1">
      <c r="A23" s="54"/>
      <c r="B23" s="55"/>
      <c r="C23" s="490" t="s">
        <v>3027</v>
      </c>
      <c r="D23" s="62">
        <v>40</v>
      </c>
      <c r="E23" s="62">
        <f t="shared" si="1"/>
        <v>40</v>
      </c>
      <c r="F23" s="62"/>
      <c r="G23" s="62"/>
      <c r="H23" s="62"/>
      <c r="I23" s="62"/>
      <c r="J23" s="62"/>
      <c r="K23" s="62"/>
      <c r="L23" s="62">
        <f t="shared" si="2"/>
        <v>40</v>
      </c>
      <c r="M23" s="62"/>
      <c r="N23" s="62"/>
      <c r="O23" s="62"/>
      <c r="P23" s="62"/>
      <c r="Q23" s="62"/>
      <c r="R23" s="173" t="s">
        <v>1631</v>
      </c>
      <c r="S23" s="174"/>
      <c r="T23" s="174"/>
      <c r="U23" s="174"/>
      <c r="V23" s="174">
        <v>1</v>
      </c>
      <c r="W23" s="174"/>
      <c r="X23" s="174"/>
      <c r="Y23" s="174"/>
      <c r="Z23" s="174"/>
      <c r="AA23" s="174"/>
      <c r="AB23" s="174"/>
      <c r="AC23" s="174"/>
      <c r="AD23" s="174">
        <v>1</v>
      </c>
      <c r="AE23" s="174"/>
      <c r="AF23" s="174"/>
      <c r="AG23" s="883"/>
      <c r="AH23" s="174"/>
      <c r="AI23" s="492"/>
      <c r="AJ23" s="905"/>
      <c r="AK23" s="919"/>
      <c r="AL23" s="174"/>
      <c r="AM23" s="174"/>
      <c r="AN23" s="174"/>
      <c r="AO23" s="928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174"/>
      <c r="BP23" s="174"/>
      <c r="BQ23" s="174"/>
      <c r="BR23" s="174"/>
      <c r="BS23" s="174"/>
      <c r="BT23" s="174"/>
      <c r="BU23" s="174"/>
      <c r="BV23" s="174"/>
      <c r="BW23" s="174"/>
      <c r="BX23" s="174"/>
      <c r="BY23" s="174"/>
      <c r="BZ23" s="174"/>
      <c r="CA23" s="174"/>
      <c r="CB23" s="174"/>
      <c r="CC23" s="174">
        <v>1</v>
      </c>
      <c r="CD23" s="174"/>
      <c r="CE23" s="174"/>
      <c r="CF23" s="174">
        <f t="shared" si="0"/>
        <v>1</v>
      </c>
      <c r="CG23" s="174">
        <f t="shared" si="3"/>
        <v>0</v>
      </c>
      <c r="CH23" s="174"/>
      <c r="CI23" s="174"/>
      <c r="CJ23" s="174"/>
      <c r="CK23" s="174"/>
      <c r="CL23" s="174"/>
      <c r="CM23" s="174"/>
      <c r="CN23" s="174"/>
      <c r="CO23" s="174"/>
      <c r="CP23" s="174"/>
      <c r="CQ23" s="174">
        <v>1</v>
      </c>
      <c r="CR23" s="174"/>
      <c r="CS23" s="174"/>
      <c r="CT23" s="174"/>
      <c r="CU23" s="174"/>
      <c r="CV23" s="174"/>
      <c r="CW23" s="174"/>
      <c r="CX23" s="174"/>
      <c r="CY23" s="174"/>
      <c r="CZ23" s="174"/>
      <c r="DA23" s="174"/>
      <c r="DB23" s="174"/>
      <c r="DC23" s="174"/>
      <c r="DD23" s="174"/>
      <c r="DE23" s="174"/>
      <c r="DF23" s="174"/>
      <c r="DG23" s="174"/>
      <c r="DH23" s="174"/>
      <c r="DI23" s="174"/>
      <c r="DJ23" s="174"/>
      <c r="DK23" s="174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454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</row>
    <row r="24" spans="1:162" s="56" customFormat="1">
      <c r="A24" s="54"/>
      <c r="B24" s="55"/>
      <c r="C24" s="490" t="s">
        <v>3029</v>
      </c>
      <c r="D24" s="62">
        <v>40</v>
      </c>
      <c r="E24" s="62">
        <f t="shared" si="1"/>
        <v>40</v>
      </c>
      <c r="F24" s="62"/>
      <c r="G24" s="62"/>
      <c r="H24" s="62"/>
      <c r="I24" s="62"/>
      <c r="J24" s="62"/>
      <c r="K24" s="62"/>
      <c r="L24" s="62">
        <f t="shared" si="2"/>
        <v>40</v>
      </c>
      <c r="M24" s="62"/>
      <c r="N24" s="62"/>
      <c r="O24" s="62"/>
      <c r="P24" s="62"/>
      <c r="Q24" s="62"/>
      <c r="R24" s="173" t="s">
        <v>2990</v>
      </c>
      <c r="S24" s="174"/>
      <c r="T24" s="174"/>
      <c r="U24" s="174"/>
      <c r="V24" s="174">
        <v>2</v>
      </c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883"/>
      <c r="AH24" s="174"/>
      <c r="AI24" s="492"/>
      <c r="AJ24" s="905">
        <v>1</v>
      </c>
      <c r="AK24" s="919"/>
      <c r="AL24" s="174"/>
      <c r="AM24" s="174"/>
      <c r="AN24" s="174"/>
      <c r="AO24" s="928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4"/>
      <c r="BI24" s="174"/>
      <c r="BJ24" s="174"/>
      <c r="BK24" s="174"/>
      <c r="BL24" s="174"/>
      <c r="BM24" s="174"/>
      <c r="BN24" s="174"/>
      <c r="BO24" s="174"/>
      <c r="BP24" s="174"/>
      <c r="BQ24" s="174"/>
      <c r="BR24" s="174"/>
      <c r="BS24" s="174"/>
      <c r="BT24" s="174"/>
      <c r="BU24" s="174"/>
      <c r="BV24" s="174"/>
      <c r="BW24" s="174"/>
      <c r="BX24" s="174"/>
      <c r="BY24" s="174"/>
      <c r="BZ24" s="174"/>
      <c r="CA24" s="174"/>
      <c r="CB24" s="174"/>
      <c r="CC24" s="174"/>
      <c r="CD24" s="174"/>
      <c r="CE24" s="174"/>
      <c r="CF24" s="174">
        <f>CC24</f>
        <v>0</v>
      </c>
      <c r="CG24" s="174">
        <f t="shared" si="3"/>
        <v>0</v>
      </c>
      <c r="CH24" s="174"/>
      <c r="CI24" s="174"/>
      <c r="CJ24" s="174"/>
      <c r="CK24" s="174"/>
      <c r="CL24" s="174"/>
      <c r="CM24" s="174"/>
      <c r="CN24" s="174"/>
      <c r="CO24" s="174">
        <v>1</v>
      </c>
      <c r="CP24" s="174"/>
      <c r="CQ24" s="174"/>
      <c r="CR24" s="174"/>
      <c r="CS24" s="174">
        <v>1</v>
      </c>
      <c r="CT24" s="174"/>
      <c r="CU24" s="174"/>
      <c r="CV24" s="174"/>
      <c r="CW24" s="174"/>
      <c r="CX24" s="174"/>
      <c r="CY24" s="174"/>
      <c r="CZ24" s="174"/>
      <c r="DA24" s="174"/>
      <c r="DB24" s="174"/>
      <c r="DC24" s="174"/>
      <c r="DD24" s="174"/>
      <c r="DE24" s="174"/>
      <c r="DF24" s="174"/>
      <c r="DG24" s="174"/>
      <c r="DH24" s="174"/>
      <c r="DI24" s="174"/>
      <c r="DJ24" s="174"/>
      <c r="DK24" s="174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454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</row>
    <row r="25" spans="1:162" s="56" customFormat="1">
      <c r="A25" s="54"/>
      <c r="B25" s="55"/>
      <c r="C25" s="490"/>
      <c r="D25" s="62"/>
      <c r="E25" s="62">
        <f t="shared" si="1"/>
        <v>0</v>
      </c>
      <c r="F25" s="62"/>
      <c r="G25" s="62"/>
      <c r="H25" s="62"/>
      <c r="I25" s="62"/>
      <c r="J25" s="62"/>
      <c r="K25" s="62"/>
      <c r="L25" s="62">
        <f t="shared" si="2"/>
        <v>0</v>
      </c>
      <c r="M25" s="62"/>
      <c r="N25" s="62"/>
      <c r="O25" s="62"/>
      <c r="P25" s="62"/>
      <c r="Q25" s="62"/>
      <c r="R25" s="173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883"/>
      <c r="AH25" s="174"/>
      <c r="AI25" s="492"/>
      <c r="AJ25" s="905"/>
      <c r="AK25" s="919"/>
      <c r="AL25" s="174"/>
      <c r="AM25" s="174"/>
      <c r="AN25" s="174"/>
      <c r="AO25" s="928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/>
      <c r="BG25" s="174"/>
      <c r="BH25" s="174"/>
      <c r="BI25" s="174"/>
      <c r="BJ25" s="174"/>
      <c r="BK25" s="174"/>
      <c r="BL25" s="174"/>
      <c r="BM25" s="174"/>
      <c r="BN25" s="174"/>
      <c r="BO25" s="174"/>
      <c r="BP25" s="174"/>
      <c r="BQ25" s="174"/>
      <c r="BR25" s="174"/>
      <c r="BS25" s="174"/>
      <c r="BT25" s="174"/>
      <c r="BU25" s="174"/>
      <c r="BV25" s="174"/>
      <c r="BW25" s="174"/>
      <c r="BX25" s="174"/>
      <c r="BY25" s="174"/>
      <c r="BZ25" s="174"/>
      <c r="CA25" s="174"/>
      <c r="CB25" s="174"/>
      <c r="CC25" s="174"/>
      <c r="CD25" s="174"/>
      <c r="CE25" s="174"/>
      <c r="CF25" s="174"/>
      <c r="CG25" s="174">
        <f t="shared" si="3"/>
        <v>0</v>
      </c>
      <c r="CH25" s="174"/>
      <c r="CI25" s="174"/>
      <c r="CJ25" s="174"/>
      <c r="CK25" s="174"/>
      <c r="CL25" s="174"/>
      <c r="CM25" s="174"/>
      <c r="CN25" s="174"/>
      <c r="CO25" s="174"/>
      <c r="CP25" s="174"/>
      <c r="CQ25" s="174"/>
      <c r="CR25" s="174"/>
      <c r="CS25" s="174"/>
      <c r="CT25" s="174"/>
      <c r="CU25" s="174"/>
      <c r="CV25" s="174"/>
      <c r="CW25" s="174"/>
      <c r="CX25" s="174"/>
      <c r="CY25" s="174"/>
      <c r="CZ25" s="174"/>
      <c r="DA25" s="174"/>
      <c r="DB25" s="174"/>
      <c r="DC25" s="174"/>
      <c r="DD25" s="174"/>
      <c r="DE25" s="174"/>
      <c r="DF25" s="174"/>
      <c r="DG25" s="174"/>
      <c r="DH25" s="174"/>
      <c r="DI25" s="174"/>
      <c r="DJ25" s="174"/>
      <c r="DK25" s="174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454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</row>
    <row r="26" spans="1:162">
      <c r="A26" s="487">
        <f>MATCH(C26,$C$5:$C$361,0)</f>
        <v>22</v>
      </c>
      <c r="C26" s="14" t="s">
        <v>1428</v>
      </c>
      <c r="D26" s="14">
        <f t="shared" ref="D26:Q26" si="4">SUM(D8:D25)</f>
        <v>630</v>
      </c>
      <c r="E26" s="14">
        <f t="shared" si="4"/>
        <v>630</v>
      </c>
      <c r="F26" s="14">
        <f t="shared" si="4"/>
        <v>0</v>
      </c>
      <c r="G26" s="14">
        <f t="shared" si="4"/>
        <v>0</v>
      </c>
      <c r="H26" s="14">
        <f t="shared" si="4"/>
        <v>0</v>
      </c>
      <c r="I26" s="14">
        <f t="shared" si="4"/>
        <v>0</v>
      </c>
      <c r="J26" s="14">
        <f t="shared" si="4"/>
        <v>0</v>
      </c>
      <c r="K26" s="14">
        <f t="shared" si="4"/>
        <v>0</v>
      </c>
      <c r="L26" s="14">
        <f t="shared" si="4"/>
        <v>630</v>
      </c>
      <c r="M26" s="14">
        <f t="shared" si="4"/>
        <v>0</v>
      </c>
      <c r="N26" s="14">
        <f t="shared" si="4"/>
        <v>0</v>
      </c>
      <c r="O26" s="14">
        <f t="shared" si="4"/>
        <v>0</v>
      </c>
      <c r="P26" s="14">
        <f t="shared" si="4"/>
        <v>0</v>
      </c>
      <c r="Q26" s="14">
        <f t="shared" si="4"/>
        <v>0</v>
      </c>
      <c r="R26" s="14"/>
      <c r="S26" s="175">
        <f t="shared" ref="S26:AX26" si="5">SUM(S8:S25)</f>
        <v>0</v>
      </c>
      <c r="T26" s="175">
        <f t="shared" si="5"/>
        <v>0</v>
      </c>
      <c r="U26" s="175">
        <f t="shared" si="5"/>
        <v>0</v>
      </c>
      <c r="V26" s="175">
        <f t="shared" si="5"/>
        <v>22</v>
      </c>
      <c r="W26" s="175">
        <f t="shared" si="5"/>
        <v>0</v>
      </c>
      <c r="X26" s="175">
        <f t="shared" si="5"/>
        <v>0</v>
      </c>
      <c r="Y26" s="175">
        <f t="shared" si="5"/>
        <v>0</v>
      </c>
      <c r="Z26" s="175">
        <f t="shared" si="5"/>
        <v>0</v>
      </c>
      <c r="AA26" s="175">
        <f t="shared" si="5"/>
        <v>0</v>
      </c>
      <c r="AB26" s="175">
        <f t="shared" si="5"/>
        <v>0</v>
      </c>
      <c r="AC26" s="175">
        <f t="shared" si="5"/>
        <v>0</v>
      </c>
      <c r="AD26" s="175">
        <f t="shared" si="5"/>
        <v>10</v>
      </c>
      <c r="AE26" s="175">
        <f t="shared" si="5"/>
        <v>0</v>
      </c>
      <c r="AF26" s="175">
        <f t="shared" si="5"/>
        <v>0</v>
      </c>
      <c r="AG26" s="884">
        <f t="shared" si="5"/>
        <v>0</v>
      </c>
      <c r="AH26" s="175">
        <f t="shared" si="5"/>
        <v>0</v>
      </c>
      <c r="AI26" s="178">
        <f t="shared" si="5"/>
        <v>0</v>
      </c>
      <c r="AJ26" s="906">
        <f t="shared" si="5"/>
        <v>6</v>
      </c>
      <c r="AK26" s="920">
        <f t="shared" si="5"/>
        <v>0</v>
      </c>
      <c r="AL26" s="175">
        <f t="shared" si="5"/>
        <v>0</v>
      </c>
      <c r="AM26" s="175">
        <f t="shared" si="5"/>
        <v>0</v>
      </c>
      <c r="AN26" s="175">
        <f t="shared" si="5"/>
        <v>0</v>
      </c>
      <c r="AO26" s="929">
        <f t="shared" si="5"/>
        <v>0</v>
      </c>
      <c r="AP26" s="175">
        <f t="shared" si="5"/>
        <v>0</v>
      </c>
      <c r="AQ26" s="175">
        <f t="shared" si="5"/>
        <v>0</v>
      </c>
      <c r="AR26" s="175">
        <f t="shared" si="5"/>
        <v>0</v>
      </c>
      <c r="AS26" s="175">
        <f t="shared" si="5"/>
        <v>0</v>
      </c>
      <c r="AT26" s="175">
        <f t="shared" si="5"/>
        <v>0</v>
      </c>
      <c r="AU26" s="175">
        <f t="shared" si="5"/>
        <v>0</v>
      </c>
      <c r="AV26" s="175">
        <f t="shared" si="5"/>
        <v>0</v>
      </c>
      <c r="AW26" s="175">
        <f t="shared" si="5"/>
        <v>0</v>
      </c>
      <c r="AX26" s="175">
        <f t="shared" si="5"/>
        <v>0</v>
      </c>
      <c r="AY26" s="175">
        <f t="shared" ref="AY26:CD26" si="6">SUM(AY8:AY25)</f>
        <v>0</v>
      </c>
      <c r="AZ26" s="175">
        <f t="shared" si="6"/>
        <v>0</v>
      </c>
      <c r="BA26" s="175">
        <f t="shared" si="6"/>
        <v>0</v>
      </c>
      <c r="BB26" s="175">
        <f t="shared" si="6"/>
        <v>0</v>
      </c>
      <c r="BC26" s="175">
        <f t="shared" si="6"/>
        <v>0</v>
      </c>
      <c r="BD26" s="175">
        <f t="shared" si="6"/>
        <v>0</v>
      </c>
      <c r="BE26" s="175">
        <f t="shared" si="6"/>
        <v>0</v>
      </c>
      <c r="BF26" s="175">
        <f t="shared" si="6"/>
        <v>3</v>
      </c>
      <c r="BG26" s="175">
        <f t="shared" si="6"/>
        <v>0</v>
      </c>
      <c r="BH26" s="175">
        <f t="shared" si="6"/>
        <v>0</v>
      </c>
      <c r="BI26" s="175">
        <f t="shared" si="6"/>
        <v>0</v>
      </c>
      <c r="BJ26" s="175">
        <f t="shared" si="6"/>
        <v>1</v>
      </c>
      <c r="BK26" s="175">
        <f t="shared" si="6"/>
        <v>0</v>
      </c>
      <c r="BL26" s="175">
        <f t="shared" si="6"/>
        <v>0</v>
      </c>
      <c r="BM26" s="175">
        <f t="shared" si="6"/>
        <v>0</v>
      </c>
      <c r="BN26" s="175">
        <f t="shared" si="6"/>
        <v>0</v>
      </c>
      <c r="BO26" s="175">
        <f t="shared" si="6"/>
        <v>0</v>
      </c>
      <c r="BP26" s="175">
        <f t="shared" si="6"/>
        <v>0</v>
      </c>
      <c r="BQ26" s="175">
        <f t="shared" si="6"/>
        <v>0</v>
      </c>
      <c r="BR26" s="175">
        <f t="shared" si="6"/>
        <v>0</v>
      </c>
      <c r="BS26" s="175">
        <f t="shared" si="6"/>
        <v>0</v>
      </c>
      <c r="BT26" s="175">
        <f t="shared" si="6"/>
        <v>0</v>
      </c>
      <c r="BU26" s="175">
        <f t="shared" si="6"/>
        <v>0</v>
      </c>
      <c r="BV26" s="175">
        <f t="shared" si="6"/>
        <v>0</v>
      </c>
      <c r="BW26" s="175">
        <f t="shared" si="6"/>
        <v>0</v>
      </c>
      <c r="BX26" s="175">
        <f t="shared" si="6"/>
        <v>0</v>
      </c>
      <c r="BY26" s="175">
        <f t="shared" si="6"/>
        <v>0</v>
      </c>
      <c r="BZ26" s="175">
        <f t="shared" si="6"/>
        <v>2</v>
      </c>
      <c r="CA26" s="175">
        <f t="shared" si="6"/>
        <v>0</v>
      </c>
      <c r="CB26" s="175">
        <f t="shared" si="6"/>
        <v>0</v>
      </c>
      <c r="CC26" s="175">
        <f t="shared" si="6"/>
        <v>12</v>
      </c>
      <c r="CD26" s="175">
        <f t="shared" si="6"/>
        <v>3</v>
      </c>
      <c r="CE26" s="175">
        <f t="shared" ref="CE26:DJ26" si="7">SUM(CE8:CE25)</f>
        <v>0</v>
      </c>
      <c r="CF26" s="175">
        <f t="shared" si="7"/>
        <v>12</v>
      </c>
      <c r="CG26" s="175">
        <f t="shared" si="7"/>
        <v>6</v>
      </c>
      <c r="CH26" s="175">
        <f t="shared" si="7"/>
        <v>0</v>
      </c>
      <c r="CI26" s="175">
        <f t="shared" si="7"/>
        <v>0</v>
      </c>
      <c r="CJ26" s="175">
        <f t="shared" si="7"/>
        <v>0</v>
      </c>
      <c r="CK26" s="175">
        <f t="shared" si="7"/>
        <v>0</v>
      </c>
      <c r="CL26" s="175">
        <f t="shared" si="7"/>
        <v>0</v>
      </c>
      <c r="CM26" s="175">
        <f t="shared" si="7"/>
        <v>0</v>
      </c>
      <c r="CN26" s="175">
        <f t="shared" si="7"/>
        <v>0</v>
      </c>
      <c r="CO26" s="175">
        <f t="shared" si="7"/>
        <v>6</v>
      </c>
      <c r="CP26" s="175">
        <f t="shared" si="7"/>
        <v>0</v>
      </c>
      <c r="CQ26" s="175">
        <f t="shared" si="7"/>
        <v>10</v>
      </c>
      <c r="CR26" s="175">
        <f t="shared" si="7"/>
        <v>3</v>
      </c>
      <c r="CS26" s="175">
        <f t="shared" si="7"/>
        <v>6</v>
      </c>
      <c r="CT26" s="175">
        <f t="shared" si="7"/>
        <v>0</v>
      </c>
      <c r="CU26" s="175">
        <f t="shared" si="7"/>
        <v>0</v>
      </c>
      <c r="CV26" s="175">
        <f t="shared" si="7"/>
        <v>0</v>
      </c>
      <c r="CW26" s="175">
        <f t="shared" si="7"/>
        <v>0</v>
      </c>
      <c r="CX26" s="175">
        <f t="shared" si="7"/>
        <v>2</v>
      </c>
      <c r="CY26" s="175">
        <f t="shared" si="7"/>
        <v>2</v>
      </c>
      <c r="CZ26" s="175">
        <f t="shared" si="7"/>
        <v>1</v>
      </c>
      <c r="DA26" s="175">
        <f t="shared" si="7"/>
        <v>0</v>
      </c>
      <c r="DB26" s="175">
        <f t="shared" si="7"/>
        <v>2</v>
      </c>
      <c r="DC26" s="175">
        <f t="shared" si="7"/>
        <v>0</v>
      </c>
      <c r="DD26" s="175">
        <f t="shared" si="7"/>
        <v>0</v>
      </c>
      <c r="DE26" s="175">
        <f t="shared" si="7"/>
        <v>0</v>
      </c>
      <c r="DF26" s="175">
        <f t="shared" si="7"/>
        <v>0</v>
      </c>
      <c r="DG26" s="175">
        <f t="shared" si="7"/>
        <v>0</v>
      </c>
      <c r="DH26" s="175">
        <f t="shared" si="7"/>
        <v>0</v>
      </c>
      <c r="DI26" s="175">
        <f t="shared" si="7"/>
        <v>1</v>
      </c>
      <c r="DJ26" s="175">
        <f t="shared" si="7"/>
        <v>0</v>
      </c>
      <c r="DK26" s="175">
        <f t="shared" ref="DK26:ED26" si="8">SUM(DK8:DK25)</f>
        <v>1</v>
      </c>
      <c r="DL26" s="14">
        <f t="shared" si="8"/>
        <v>2.5</v>
      </c>
      <c r="DM26" s="14">
        <f t="shared" si="8"/>
        <v>0</v>
      </c>
      <c r="DN26" s="14">
        <f t="shared" si="8"/>
        <v>0</v>
      </c>
      <c r="DO26" s="14">
        <f t="shared" si="8"/>
        <v>0</v>
      </c>
      <c r="DP26" s="14">
        <f t="shared" si="8"/>
        <v>0</v>
      </c>
      <c r="DQ26" s="14">
        <f t="shared" si="8"/>
        <v>0</v>
      </c>
      <c r="DR26" s="14">
        <f t="shared" si="8"/>
        <v>0</v>
      </c>
      <c r="DS26" s="14">
        <f t="shared" si="8"/>
        <v>1.5</v>
      </c>
      <c r="DT26" s="14">
        <f t="shared" si="8"/>
        <v>3.5</v>
      </c>
      <c r="DU26" s="14">
        <f t="shared" si="8"/>
        <v>0</v>
      </c>
      <c r="DV26" s="14">
        <f t="shared" si="8"/>
        <v>0</v>
      </c>
      <c r="DW26" s="14">
        <f t="shared" si="8"/>
        <v>0</v>
      </c>
      <c r="DX26" s="14">
        <f t="shared" si="8"/>
        <v>0</v>
      </c>
      <c r="DY26" s="14">
        <f t="shared" si="8"/>
        <v>0</v>
      </c>
      <c r="DZ26" s="14">
        <f t="shared" si="8"/>
        <v>0</v>
      </c>
      <c r="EA26" s="14">
        <f t="shared" si="8"/>
        <v>0</v>
      </c>
      <c r="EB26" s="14">
        <f t="shared" si="8"/>
        <v>0</v>
      </c>
      <c r="EC26" s="14">
        <f t="shared" si="8"/>
        <v>0</v>
      </c>
      <c r="ED26" s="14">
        <f t="shared" si="8"/>
        <v>0</v>
      </c>
      <c r="EE26" s="508"/>
      <c r="EF26" s="14">
        <f t="shared" ref="EF26:FE26" si="9">SUM(EF8:EF25)</f>
        <v>0</v>
      </c>
      <c r="EG26" s="14">
        <f t="shared" si="9"/>
        <v>0</v>
      </c>
      <c r="EH26" s="14">
        <f t="shared" si="9"/>
        <v>0</v>
      </c>
      <c r="EI26" s="14">
        <f t="shared" si="9"/>
        <v>0</v>
      </c>
      <c r="EJ26" s="14">
        <f t="shared" si="9"/>
        <v>0</v>
      </c>
      <c r="EK26" s="14">
        <f t="shared" si="9"/>
        <v>0</v>
      </c>
      <c r="EL26" s="14">
        <f t="shared" si="9"/>
        <v>0</v>
      </c>
      <c r="EM26" s="14">
        <f t="shared" si="9"/>
        <v>0</v>
      </c>
      <c r="EN26" s="14">
        <f t="shared" si="9"/>
        <v>0</v>
      </c>
      <c r="EO26" s="14">
        <f t="shared" si="9"/>
        <v>0</v>
      </c>
      <c r="EP26" s="14">
        <f t="shared" si="9"/>
        <v>0</v>
      </c>
      <c r="EQ26" s="14">
        <f t="shared" si="9"/>
        <v>0</v>
      </c>
      <c r="ER26" s="14">
        <f t="shared" si="9"/>
        <v>0</v>
      </c>
      <c r="ES26" s="14">
        <f t="shared" si="9"/>
        <v>0</v>
      </c>
      <c r="ET26" s="14">
        <f t="shared" si="9"/>
        <v>0</v>
      </c>
      <c r="EU26" s="14">
        <f t="shared" si="9"/>
        <v>0</v>
      </c>
      <c r="EV26" s="14">
        <f t="shared" si="9"/>
        <v>0</v>
      </c>
      <c r="EW26" s="14">
        <f t="shared" si="9"/>
        <v>0</v>
      </c>
      <c r="EX26" s="14">
        <f t="shared" si="9"/>
        <v>0</v>
      </c>
      <c r="EY26" s="14">
        <f t="shared" si="9"/>
        <v>0</v>
      </c>
      <c r="EZ26" s="14">
        <f t="shared" si="9"/>
        <v>0</v>
      </c>
      <c r="FA26" s="14">
        <f t="shared" si="9"/>
        <v>0</v>
      </c>
      <c r="FB26" s="14">
        <f t="shared" si="9"/>
        <v>0</v>
      </c>
      <c r="FC26" s="14">
        <f t="shared" si="9"/>
        <v>0</v>
      </c>
      <c r="FD26" s="14">
        <f t="shared" si="9"/>
        <v>0</v>
      </c>
      <c r="FE26" s="14">
        <f t="shared" si="9"/>
        <v>0</v>
      </c>
      <c r="FF26" s="14"/>
    </row>
    <row r="27" spans="1:162">
      <c r="A27" s="54"/>
      <c r="B27" s="55" t="s">
        <v>2580</v>
      </c>
      <c r="C27" s="11" t="s">
        <v>3593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885"/>
      <c r="AH27" s="176"/>
      <c r="AI27" s="897"/>
      <c r="AJ27" s="907"/>
      <c r="AK27" s="921"/>
      <c r="AL27" s="176"/>
      <c r="AM27" s="176"/>
      <c r="AN27" s="176"/>
      <c r="AO27" s="176"/>
      <c r="AP27" s="176"/>
      <c r="AQ27" s="176"/>
      <c r="AR27" s="176"/>
      <c r="AS27" s="176"/>
      <c r="AT27" s="176"/>
      <c r="AU27" s="176"/>
      <c r="AV27" s="176"/>
      <c r="AW27" s="176"/>
      <c r="AX27" s="176"/>
      <c r="AY27" s="176"/>
      <c r="AZ27" s="176"/>
      <c r="BA27" s="176"/>
      <c r="BB27" s="176"/>
      <c r="BC27" s="176"/>
      <c r="BD27" s="176"/>
      <c r="BE27" s="176"/>
      <c r="BF27" s="176"/>
      <c r="BG27" s="176"/>
      <c r="BH27" s="176"/>
      <c r="BI27" s="176"/>
      <c r="BJ27" s="176"/>
      <c r="BK27" s="176"/>
      <c r="BL27" s="176"/>
      <c r="BM27" s="176"/>
      <c r="BN27" s="176"/>
      <c r="BO27" s="176"/>
      <c r="BP27" s="176"/>
      <c r="BQ27" s="176"/>
      <c r="BR27" s="176"/>
      <c r="BS27" s="176"/>
      <c r="BT27" s="176"/>
      <c r="BU27" s="176"/>
      <c r="BV27" s="176"/>
      <c r="BW27" s="176"/>
      <c r="BX27" s="176"/>
      <c r="BY27" s="176"/>
      <c r="BZ27" s="176"/>
      <c r="CA27" s="176"/>
      <c r="CB27" s="176"/>
      <c r="CC27" s="176"/>
      <c r="CD27" s="176"/>
      <c r="CE27" s="176"/>
      <c r="CF27" s="176"/>
      <c r="CG27" s="176"/>
      <c r="CH27" s="176"/>
      <c r="CI27" s="176"/>
      <c r="CJ27" s="176"/>
      <c r="CK27" s="176"/>
      <c r="CL27" s="176"/>
      <c r="CM27" s="176"/>
      <c r="CN27" s="176"/>
      <c r="CO27" s="176"/>
      <c r="CP27" s="176"/>
      <c r="CQ27" s="176"/>
      <c r="CR27" s="176"/>
      <c r="CS27" s="176"/>
      <c r="CT27" s="176"/>
      <c r="CU27" s="176"/>
      <c r="CV27" s="176"/>
      <c r="CW27" s="176"/>
      <c r="CX27" s="176"/>
      <c r="CY27" s="176"/>
      <c r="CZ27" s="176"/>
      <c r="DA27" s="176"/>
      <c r="DB27" s="176"/>
      <c r="DC27" s="176"/>
      <c r="DD27" s="176"/>
      <c r="DE27" s="176"/>
      <c r="DF27" s="176"/>
      <c r="DG27" s="176"/>
      <c r="DH27" s="176"/>
      <c r="DI27" s="176"/>
      <c r="DJ27" s="176"/>
      <c r="DK27" s="176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503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3"/>
    </row>
    <row r="28" spans="1:162" s="56" customFormat="1">
      <c r="A28" s="54"/>
      <c r="B28" s="55"/>
      <c r="C28" s="491" t="s">
        <v>2999</v>
      </c>
      <c r="D28" s="62"/>
      <c r="E28" s="62">
        <f t="shared" ref="E28:E51" si="10">D28</f>
        <v>0</v>
      </c>
      <c r="F28" s="62"/>
      <c r="G28" s="62"/>
      <c r="H28" s="62"/>
      <c r="I28" s="62"/>
      <c r="J28" s="62"/>
      <c r="K28" s="62"/>
      <c r="L28" s="62">
        <f>D28</f>
        <v>0</v>
      </c>
      <c r="M28" s="62"/>
      <c r="N28" s="62"/>
      <c r="O28" s="62"/>
      <c r="P28" s="62"/>
      <c r="Q28" s="62"/>
      <c r="R28" s="173" t="s">
        <v>2989</v>
      </c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883"/>
      <c r="AH28" s="174"/>
      <c r="AI28" s="492"/>
      <c r="AJ28" s="905"/>
      <c r="AK28" s="919"/>
      <c r="AL28" s="174"/>
      <c r="AM28" s="174"/>
      <c r="AN28" s="174"/>
      <c r="AO28" s="928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174"/>
      <c r="BJ28" s="174"/>
      <c r="BK28" s="174"/>
      <c r="BL28" s="174"/>
      <c r="BM28" s="174"/>
      <c r="BN28" s="174"/>
      <c r="BO28" s="174"/>
      <c r="BP28" s="174"/>
      <c r="BQ28" s="174"/>
      <c r="BR28" s="174"/>
      <c r="BS28" s="174"/>
      <c r="BT28" s="174"/>
      <c r="BU28" s="174"/>
      <c r="BV28" s="174"/>
      <c r="BW28" s="174"/>
      <c r="BX28" s="174"/>
      <c r="BY28" s="174"/>
      <c r="BZ28" s="174"/>
      <c r="CA28" s="174"/>
      <c r="CB28" s="174"/>
      <c r="CC28" s="174">
        <v>1</v>
      </c>
      <c r="CD28" s="174"/>
      <c r="CE28" s="712"/>
      <c r="CF28" s="174">
        <f>CC28</f>
        <v>1</v>
      </c>
      <c r="CG28" s="174">
        <f>CD28*2</f>
        <v>0</v>
      </c>
      <c r="CH28" s="174"/>
      <c r="CI28" s="174"/>
      <c r="CJ28" s="174"/>
      <c r="CK28" s="174"/>
      <c r="CL28" s="174"/>
      <c r="CM28" s="174"/>
      <c r="CN28" s="174"/>
      <c r="CO28" s="174">
        <v>1</v>
      </c>
      <c r="CP28" s="174"/>
      <c r="CQ28" s="174"/>
      <c r="CR28" s="174"/>
      <c r="CS28" s="174">
        <v>1</v>
      </c>
      <c r="CT28" s="174"/>
      <c r="CU28" s="174"/>
      <c r="CV28" s="174"/>
      <c r="CW28" s="174"/>
      <c r="CX28" s="174"/>
      <c r="CY28" s="174"/>
      <c r="CZ28" s="174"/>
      <c r="DA28" s="174"/>
      <c r="DB28" s="174">
        <v>2</v>
      </c>
      <c r="DC28" s="174"/>
      <c r="DD28" s="174"/>
      <c r="DE28" s="174"/>
      <c r="DF28" s="174"/>
      <c r="DG28" s="174"/>
      <c r="DH28" s="174"/>
      <c r="DI28" s="174"/>
      <c r="DJ28" s="174"/>
      <c r="DK28" s="174"/>
      <c r="DL28" s="62">
        <v>0.5</v>
      </c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454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</row>
    <row r="29" spans="1:162" s="56" customFormat="1">
      <c r="A29" s="54"/>
      <c r="B29" s="55"/>
      <c r="C29" s="491" t="s">
        <v>3000</v>
      </c>
      <c r="D29" s="62">
        <v>35</v>
      </c>
      <c r="E29" s="62">
        <f t="shared" si="10"/>
        <v>35</v>
      </c>
      <c r="F29" s="62"/>
      <c r="G29" s="62"/>
      <c r="H29" s="62"/>
      <c r="I29" s="62"/>
      <c r="J29" s="62"/>
      <c r="K29" s="62"/>
      <c r="L29" s="62">
        <f t="shared" ref="L29:L51" si="11">D29</f>
        <v>35</v>
      </c>
      <c r="M29" s="62"/>
      <c r="N29" s="62"/>
      <c r="O29" s="62"/>
      <c r="P29" s="62"/>
      <c r="Q29" s="62"/>
      <c r="R29" s="173" t="s">
        <v>2989</v>
      </c>
      <c r="S29" s="174"/>
      <c r="T29" s="174"/>
      <c r="U29" s="174"/>
      <c r="V29" s="174">
        <v>2</v>
      </c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883"/>
      <c r="AH29" s="174"/>
      <c r="AI29" s="492"/>
      <c r="AJ29" s="905">
        <v>1</v>
      </c>
      <c r="AK29" s="919"/>
      <c r="AL29" s="174"/>
      <c r="AM29" s="174"/>
      <c r="AN29" s="174"/>
      <c r="AO29" s="928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174"/>
      <c r="BJ29" s="174"/>
      <c r="BK29" s="174"/>
      <c r="BL29" s="174"/>
      <c r="BM29" s="174"/>
      <c r="BN29" s="174"/>
      <c r="BO29" s="174"/>
      <c r="BP29" s="174"/>
      <c r="BQ29" s="174"/>
      <c r="BR29" s="174"/>
      <c r="BS29" s="174"/>
      <c r="BT29" s="174"/>
      <c r="BU29" s="174"/>
      <c r="BV29" s="174"/>
      <c r="BW29" s="174"/>
      <c r="BX29" s="174"/>
      <c r="BY29" s="174"/>
      <c r="BZ29" s="174">
        <v>1</v>
      </c>
      <c r="CA29" s="174"/>
      <c r="CB29" s="174"/>
      <c r="CC29" s="174"/>
      <c r="CD29" s="174"/>
      <c r="CE29" s="713"/>
      <c r="CF29" s="174">
        <f t="shared" ref="CF29:CF51" si="12">CC29</f>
        <v>0</v>
      </c>
      <c r="CG29" s="174">
        <f t="shared" ref="CG29:CG51" si="13">CD29*2</f>
        <v>0</v>
      </c>
      <c r="CH29" s="174"/>
      <c r="CI29" s="174"/>
      <c r="CJ29" s="174"/>
      <c r="CK29" s="174"/>
      <c r="CL29" s="174"/>
      <c r="CM29" s="174"/>
      <c r="CN29" s="174"/>
      <c r="CO29" s="174">
        <v>2</v>
      </c>
      <c r="CP29" s="174"/>
      <c r="CQ29" s="174"/>
      <c r="CR29" s="174"/>
      <c r="CS29" s="174">
        <v>2</v>
      </c>
      <c r="CT29" s="174"/>
      <c r="CU29" s="174"/>
      <c r="CV29" s="174"/>
      <c r="CW29" s="174"/>
      <c r="CX29" s="174"/>
      <c r="CY29" s="174"/>
      <c r="CZ29" s="174"/>
      <c r="DA29" s="174"/>
      <c r="DB29" s="174"/>
      <c r="DC29" s="174"/>
      <c r="DD29" s="174"/>
      <c r="DE29" s="174"/>
      <c r="DF29" s="174"/>
      <c r="DG29" s="174"/>
      <c r="DH29" s="174"/>
      <c r="DI29" s="174">
        <v>1</v>
      </c>
      <c r="DJ29" s="174"/>
      <c r="DK29" s="174"/>
      <c r="DL29" s="62">
        <v>1</v>
      </c>
      <c r="DM29" s="62"/>
      <c r="DN29" s="62"/>
      <c r="DO29" s="62"/>
      <c r="DP29" s="62"/>
      <c r="DQ29" s="62"/>
      <c r="DR29" s="62"/>
      <c r="DS29" s="62">
        <v>1</v>
      </c>
      <c r="DT29" s="62">
        <v>2</v>
      </c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454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</row>
    <row r="30" spans="1:162" s="56" customFormat="1">
      <c r="A30" s="54"/>
      <c r="B30" s="55"/>
      <c r="C30" s="491" t="s">
        <v>3001</v>
      </c>
      <c r="D30" s="62">
        <v>35</v>
      </c>
      <c r="E30" s="62">
        <f t="shared" si="10"/>
        <v>35</v>
      </c>
      <c r="F30" s="62"/>
      <c r="G30" s="62"/>
      <c r="H30" s="62"/>
      <c r="I30" s="62"/>
      <c r="J30" s="62"/>
      <c r="K30" s="62"/>
      <c r="L30" s="62">
        <f t="shared" si="11"/>
        <v>35</v>
      </c>
      <c r="M30" s="62"/>
      <c r="N30" s="62"/>
      <c r="O30" s="62"/>
      <c r="P30" s="62"/>
      <c r="Q30" s="62"/>
      <c r="R30" s="173" t="s">
        <v>1631</v>
      </c>
      <c r="S30" s="174"/>
      <c r="T30" s="174"/>
      <c r="U30" s="174"/>
      <c r="V30" s="174">
        <v>1</v>
      </c>
      <c r="W30" s="174"/>
      <c r="X30" s="174"/>
      <c r="Y30" s="174"/>
      <c r="Z30" s="174"/>
      <c r="AA30" s="174"/>
      <c r="AB30" s="174"/>
      <c r="AC30" s="174"/>
      <c r="AD30" s="174">
        <v>1</v>
      </c>
      <c r="AE30" s="174"/>
      <c r="AF30" s="174"/>
      <c r="AG30" s="883"/>
      <c r="AH30" s="174"/>
      <c r="AI30" s="492"/>
      <c r="AJ30" s="905"/>
      <c r="AK30" s="919"/>
      <c r="AL30" s="174"/>
      <c r="AM30" s="174"/>
      <c r="AN30" s="174"/>
      <c r="AO30" s="928"/>
      <c r="AP30" s="174"/>
      <c r="AQ30" s="174"/>
      <c r="AR30" s="174"/>
      <c r="AS30" s="174"/>
      <c r="AT30" s="174"/>
      <c r="AU30" s="174"/>
      <c r="AV30" s="174"/>
      <c r="AW30" s="174"/>
      <c r="AX30" s="174"/>
      <c r="AY30" s="174"/>
      <c r="AZ30" s="174"/>
      <c r="BA30" s="174"/>
      <c r="BB30" s="174"/>
      <c r="BC30" s="174"/>
      <c r="BD30" s="174"/>
      <c r="BE30" s="174"/>
      <c r="BF30" s="174"/>
      <c r="BG30" s="174"/>
      <c r="BH30" s="174"/>
      <c r="BI30" s="174"/>
      <c r="BJ30" s="174"/>
      <c r="BK30" s="174"/>
      <c r="BL30" s="174"/>
      <c r="BM30" s="174"/>
      <c r="BN30" s="174"/>
      <c r="BO30" s="174"/>
      <c r="BP30" s="174"/>
      <c r="BQ30" s="174"/>
      <c r="BR30" s="174"/>
      <c r="BS30" s="174"/>
      <c r="BT30" s="174"/>
      <c r="BU30" s="174"/>
      <c r="BV30" s="174"/>
      <c r="BW30" s="174"/>
      <c r="BX30" s="174"/>
      <c r="BY30" s="174"/>
      <c r="BZ30" s="174"/>
      <c r="CA30" s="174"/>
      <c r="CB30" s="174"/>
      <c r="CC30" s="174">
        <v>1</v>
      </c>
      <c r="CD30" s="174"/>
      <c r="CE30" s="713"/>
      <c r="CF30" s="174">
        <f t="shared" si="12"/>
        <v>1</v>
      </c>
      <c r="CG30" s="174">
        <f t="shared" si="13"/>
        <v>0</v>
      </c>
      <c r="CH30" s="174"/>
      <c r="CI30" s="174"/>
      <c r="CJ30" s="174"/>
      <c r="CK30" s="174"/>
      <c r="CL30" s="174"/>
      <c r="CM30" s="174"/>
      <c r="CN30" s="174"/>
      <c r="CO30" s="174"/>
      <c r="CP30" s="174"/>
      <c r="CQ30" s="174">
        <v>1</v>
      </c>
      <c r="CR30" s="174"/>
      <c r="CS30" s="174"/>
      <c r="CT30" s="174"/>
      <c r="CU30" s="174"/>
      <c r="CV30" s="174"/>
      <c r="CW30" s="174"/>
      <c r="CX30" s="174">
        <v>1</v>
      </c>
      <c r="CY30" s="174">
        <v>1</v>
      </c>
      <c r="CZ30" s="174"/>
      <c r="DA30" s="174"/>
      <c r="DB30" s="174"/>
      <c r="DC30" s="174"/>
      <c r="DD30" s="174"/>
      <c r="DE30" s="174"/>
      <c r="DF30" s="174"/>
      <c r="DG30" s="174"/>
      <c r="DH30" s="174"/>
      <c r="DI30" s="174"/>
      <c r="DJ30" s="174"/>
      <c r="DK30" s="174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454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</row>
    <row r="31" spans="1:162" s="56" customFormat="1">
      <c r="A31" s="54"/>
      <c r="B31" s="55"/>
      <c r="C31" s="491" t="s">
        <v>3002</v>
      </c>
      <c r="D31" s="62">
        <v>30</v>
      </c>
      <c r="E31" s="62">
        <f t="shared" si="10"/>
        <v>30</v>
      </c>
      <c r="F31" s="62"/>
      <c r="G31" s="62"/>
      <c r="H31" s="62"/>
      <c r="I31" s="62"/>
      <c r="J31" s="62"/>
      <c r="K31" s="62"/>
      <c r="L31" s="62">
        <f t="shared" si="11"/>
        <v>30</v>
      </c>
      <c r="M31" s="62"/>
      <c r="N31" s="62"/>
      <c r="O31" s="62"/>
      <c r="P31" s="62"/>
      <c r="Q31" s="62"/>
      <c r="R31" s="173" t="s">
        <v>1631</v>
      </c>
      <c r="S31" s="174"/>
      <c r="T31" s="174"/>
      <c r="U31" s="174"/>
      <c r="V31" s="174">
        <v>1</v>
      </c>
      <c r="W31" s="174"/>
      <c r="X31" s="174"/>
      <c r="Y31" s="174"/>
      <c r="Z31" s="174"/>
      <c r="AA31" s="174"/>
      <c r="AB31" s="174"/>
      <c r="AC31" s="174"/>
      <c r="AD31" s="174">
        <v>1</v>
      </c>
      <c r="AE31" s="174"/>
      <c r="AF31" s="174"/>
      <c r="AG31" s="883"/>
      <c r="AH31" s="174"/>
      <c r="AI31" s="492"/>
      <c r="AJ31" s="905"/>
      <c r="AK31" s="919"/>
      <c r="AL31" s="174"/>
      <c r="AM31" s="174"/>
      <c r="AN31" s="174"/>
      <c r="AO31" s="928"/>
      <c r="AP31" s="174"/>
      <c r="AQ31" s="174"/>
      <c r="AR31" s="174"/>
      <c r="AS31" s="174"/>
      <c r="AT31" s="174"/>
      <c r="AU31" s="174"/>
      <c r="AV31" s="174"/>
      <c r="AW31" s="174"/>
      <c r="AX31" s="174"/>
      <c r="AY31" s="174"/>
      <c r="AZ31" s="174"/>
      <c r="BA31" s="174"/>
      <c r="BB31" s="174"/>
      <c r="BC31" s="174"/>
      <c r="BD31" s="174"/>
      <c r="BE31" s="174"/>
      <c r="BF31" s="174">
        <v>1</v>
      </c>
      <c r="BG31" s="174"/>
      <c r="BH31" s="174"/>
      <c r="BI31" s="174"/>
      <c r="BJ31" s="174"/>
      <c r="BK31" s="174"/>
      <c r="BL31" s="174"/>
      <c r="BM31" s="174"/>
      <c r="BN31" s="174"/>
      <c r="BO31" s="174"/>
      <c r="BP31" s="174"/>
      <c r="BQ31" s="174"/>
      <c r="BR31" s="174"/>
      <c r="BS31" s="174"/>
      <c r="BT31" s="174"/>
      <c r="BU31" s="174"/>
      <c r="BV31" s="174"/>
      <c r="BW31" s="174"/>
      <c r="BX31" s="174"/>
      <c r="BY31" s="174"/>
      <c r="BZ31" s="174"/>
      <c r="CA31" s="174"/>
      <c r="CB31" s="174"/>
      <c r="CC31" s="174">
        <v>1</v>
      </c>
      <c r="CD31" s="174"/>
      <c r="CE31" s="713"/>
      <c r="CF31" s="174">
        <f t="shared" si="12"/>
        <v>1</v>
      </c>
      <c r="CG31" s="174">
        <f t="shared" si="13"/>
        <v>0</v>
      </c>
      <c r="CH31" s="174"/>
      <c r="CI31" s="174"/>
      <c r="CJ31" s="174"/>
      <c r="CK31" s="174"/>
      <c r="CL31" s="174"/>
      <c r="CM31" s="174"/>
      <c r="CN31" s="174"/>
      <c r="CO31" s="174"/>
      <c r="CP31" s="174"/>
      <c r="CQ31" s="174">
        <v>1</v>
      </c>
      <c r="CR31" s="174"/>
      <c r="CS31" s="174"/>
      <c r="CT31" s="174"/>
      <c r="CU31" s="174"/>
      <c r="CV31" s="174"/>
      <c r="CW31" s="174"/>
      <c r="CX31" s="174"/>
      <c r="CY31" s="174"/>
      <c r="CZ31" s="174"/>
      <c r="DA31" s="174"/>
      <c r="DB31" s="174"/>
      <c r="DC31" s="174"/>
      <c r="DD31" s="174"/>
      <c r="DE31" s="174"/>
      <c r="DF31" s="174"/>
      <c r="DG31" s="174"/>
      <c r="DH31" s="174"/>
      <c r="DI31" s="174"/>
      <c r="DJ31" s="174"/>
      <c r="DK31" s="174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454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</row>
    <row r="32" spans="1:162" s="56" customFormat="1">
      <c r="A32" s="54"/>
      <c r="B32" s="55"/>
      <c r="C32" s="491" t="s">
        <v>3003</v>
      </c>
      <c r="D32" s="62">
        <v>35</v>
      </c>
      <c r="E32" s="62">
        <f t="shared" si="10"/>
        <v>35</v>
      </c>
      <c r="F32" s="62"/>
      <c r="G32" s="62"/>
      <c r="H32" s="62"/>
      <c r="I32" s="62"/>
      <c r="J32" s="62"/>
      <c r="K32" s="62"/>
      <c r="L32" s="62">
        <f t="shared" si="11"/>
        <v>35</v>
      </c>
      <c r="M32" s="62"/>
      <c r="N32" s="62"/>
      <c r="O32" s="62"/>
      <c r="P32" s="62"/>
      <c r="Q32" s="62"/>
      <c r="R32" s="173" t="s">
        <v>1903</v>
      </c>
      <c r="S32" s="174"/>
      <c r="T32" s="174"/>
      <c r="U32" s="174"/>
      <c r="V32" s="174">
        <v>2</v>
      </c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883"/>
      <c r="AH32" s="174"/>
      <c r="AI32" s="492"/>
      <c r="AJ32" s="905">
        <v>1</v>
      </c>
      <c r="AK32" s="919"/>
      <c r="AL32" s="174"/>
      <c r="AM32" s="174"/>
      <c r="AN32" s="174"/>
      <c r="AO32" s="928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4"/>
      <c r="BI32" s="174"/>
      <c r="BJ32" s="174">
        <v>1</v>
      </c>
      <c r="BK32" s="174"/>
      <c r="BL32" s="174"/>
      <c r="BM32" s="174"/>
      <c r="BN32" s="174"/>
      <c r="BO32" s="174"/>
      <c r="BP32" s="174"/>
      <c r="BQ32" s="174"/>
      <c r="BR32" s="174"/>
      <c r="BS32" s="174"/>
      <c r="BT32" s="174"/>
      <c r="BU32" s="174"/>
      <c r="BV32" s="174"/>
      <c r="BW32" s="174"/>
      <c r="BX32" s="174"/>
      <c r="BY32" s="174"/>
      <c r="BZ32" s="174">
        <v>1</v>
      </c>
      <c r="CA32" s="174"/>
      <c r="CB32" s="174"/>
      <c r="CC32" s="174"/>
      <c r="CD32" s="174">
        <v>1</v>
      </c>
      <c r="CE32" s="713"/>
      <c r="CF32" s="174">
        <f t="shared" si="12"/>
        <v>0</v>
      </c>
      <c r="CG32" s="174">
        <f t="shared" si="13"/>
        <v>2</v>
      </c>
      <c r="CH32" s="174"/>
      <c r="CI32" s="174"/>
      <c r="CJ32" s="174"/>
      <c r="CK32" s="174"/>
      <c r="CL32" s="174"/>
      <c r="CM32" s="174"/>
      <c r="CN32" s="174"/>
      <c r="CO32" s="174"/>
      <c r="CP32" s="174"/>
      <c r="CQ32" s="174"/>
      <c r="CR32" s="174">
        <v>1</v>
      </c>
      <c r="CS32" s="174"/>
      <c r="CT32" s="174"/>
      <c r="CU32" s="174"/>
      <c r="CV32" s="174"/>
      <c r="CW32" s="174"/>
      <c r="CX32" s="174">
        <v>1</v>
      </c>
      <c r="CY32" s="174">
        <v>1</v>
      </c>
      <c r="CZ32" s="174">
        <v>1</v>
      </c>
      <c r="DA32" s="174"/>
      <c r="DB32" s="174"/>
      <c r="DC32" s="174"/>
      <c r="DD32" s="174"/>
      <c r="DE32" s="174"/>
      <c r="DF32" s="174"/>
      <c r="DG32" s="174"/>
      <c r="DH32" s="174"/>
      <c r="DI32" s="174"/>
      <c r="DJ32" s="174"/>
      <c r="DK32" s="174">
        <v>1</v>
      </c>
      <c r="DL32" s="62"/>
      <c r="DM32" s="62"/>
      <c r="DN32" s="62"/>
      <c r="DO32" s="62"/>
      <c r="DP32" s="62"/>
      <c r="DQ32" s="62"/>
      <c r="DR32" s="62"/>
      <c r="DS32" s="62"/>
      <c r="DT32" s="62">
        <v>1.5</v>
      </c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454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</row>
    <row r="33" spans="1:162" s="56" customFormat="1">
      <c r="A33" s="54"/>
      <c r="B33" s="55"/>
      <c r="C33" s="491" t="s">
        <v>3004</v>
      </c>
      <c r="D33" s="62">
        <v>40</v>
      </c>
      <c r="E33" s="62">
        <f t="shared" si="10"/>
        <v>40</v>
      </c>
      <c r="F33" s="62"/>
      <c r="G33" s="62"/>
      <c r="H33" s="62"/>
      <c r="I33" s="62"/>
      <c r="J33" s="62"/>
      <c r="K33" s="62"/>
      <c r="L33" s="62">
        <f t="shared" si="11"/>
        <v>40</v>
      </c>
      <c r="M33" s="62"/>
      <c r="N33" s="62"/>
      <c r="O33" s="62"/>
      <c r="P33" s="62"/>
      <c r="Q33" s="62"/>
      <c r="R33" s="173" t="s">
        <v>2989</v>
      </c>
      <c r="S33" s="174"/>
      <c r="T33" s="174"/>
      <c r="U33" s="174"/>
      <c r="V33" s="174">
        <v>2</v>
      </c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883"/>
      <c r="AH33" s="174"/>
      <c r="AI33" s="492"/>
      <c r="AJ33" s="905">
        <v>1</v>
      </c>
      <c r="AK33" s="919"/>
      <c r="AL33" s="174"/>
      <c r="AM33" s="174"/>
      <c r="AN33" s="174"/>
      <c r="AO33" s="928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>
        <v>1</v>
      </c>
      <c r="CD33" s="174"/>
      <c r="CE33" s="713"/>
      <c r="CF33" s="174">
        <f t="shared" si="12"/>
        <v>1</v>
      </c>
      <c r="CG33" s="174">
        <f t="shared" si="13"/>
        <v>0</v>
      </c>
      <c r="CH33" s="174"/>
      <c r="CI33" s="174"/>
      <c r="CJ33" s="174"/>
      <c r="CK33" s="174"/>
      <c r="CL33" s="174"/>
      <c r="CM33" s="174"/>
      <c r="CN33" s="174"/>
      <c r="CO33" s="174">
        <v>2</v>
      </c>
      <c r="CP33" s="174"/>
      <c r="CQ33" s="174"/>
      <c r="CR33" s="174"/>
      <c r="CS33" s="174">
        <v>2</v>
      </c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454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</row>
    <row r="34" spans="1:162" s="56" customFormat="1">
      <c r="A34" s="54"/>
      <c r="B34" s="55"/>
      <c r="C34" s="491" t="s">
        <v>3038</v>
      </c>
      <c r="D34" s="62">
        <v>41</v>
      </c>
      <c r="E34" s="62">
        <f t="shared" si="10"/>
        <v>41</v>
      </c>
      <c r="F34" s="62"/>
      <c r="G34" s="62"/>
      <c r="H34" s="62"/>
      <c r="I34" s="62"/>
      <c r="J34" s="62"/>
      <c r="K34" s="62"/>
      <c r="L34" s="62">
        <f t="shared" si="11"/>
        <v>41</v>
      </c>
      <c r="M34" s="62"/>
      <c r="N34" s="62"/>
      <c r="O34" s="62"/>
      <c r="P34" s="62"/>
      <c r="Q34" s="62"/>
      <c r="R34" s="173" t="s">
        <v>2989</v>
      </c>
      <c r="S34" s="174"/>
      <c r="T34" s="174"/>
      <c r="U34" s="174"/>
      <c r="V34" s="174">
        <v>1</v>
      </c>
      <c r="W34" s="174"/>
      <c r="X34" s="174"/>
      <c r="Y34" s="174"/>
      <c r="Z34" s="174"/>
      <c r="AA34" s="174"/>
      <c r="AB34" s="174"/>
      <c r="AC34" s="174"/>
      <c r="AD34" s="174">
        <v>1</v>
      </c>
      <c r="AE34" s="174"/>
      <c r="AF34" s="174"/>
      <c r="AG34" s="883"/>
      <c r="AH34" s="174"/>
      <c r="AI34" s="492"/>
      <c r="AJ34" s="905"/>
      <c r="AK34" s="919"/>
      <c r="AL34" s="174"/>
      <c r="AM34" s="174"/>
      <c r="AN34" s="174"/>
      <c r="AO34" s="928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  <c r="BH34" s="174"/>
      <c r="BI34" s="174"/>
      <c r="BJ34" s="174"/>
      <c r="BK34" s="174"/>
      <c r="BL34" s="174"/>
      <c r="BM34" s="174"/>
      <c r="BN34" s="174"/>
      <c r="BO34" s="174"/>
      <c r="BP34" s="174"/>
      <c r="BQ34" s="174"/>
      <c r="BR34" s="174"/>
      <c r="BS34" s="174"/>
      <c r="BT34" s="174"/>
      <c r="BU34" s="174"/>
      <c r="BV34" s="174"/>
      <c r="BW34" s="174"/>
      <c r="BX34" s="174"/>
      <c r="BY34" s="174"/>
      <c r="BZ34" s="174"/>
      <c r="CA34" s="174"/>
      <c r="CB34" s="174"/>
      <c r="CC34" s="174">
        <v>1</v>
      </c>
      <c r="CD34" s="174"/>
      <c r="CE34" s="713"/>
      <c r="CF34" s="174">
        <f t="shared" si="12"/>
        <v>1</v>
      </c>
      <c r="CG34" s="174">
        <f t="shared" si="13"/>
        <v>0</v>
      </c>
      <c r="CH34" s="174"/>
      <c r="CI34" s="174"/>
      <c r="CJ34" s="174"/>
      <c r="CK34" s="174"/>
      <c r="CL34" s="174"/>
      <c r="CM34" s="174"/>
      <c r="CN34" s="174"/>
      <c r="CO34" s="174">
        <v>2</v>
      </c>
      <c r="CP34" s="174"/>
      <c r="CQ34" s="174"/>
      <c r="CR34" s="174"/>
      <c r="CS34" s="174">
        <v>2</v>
      </c>
      <c r="CT34" s="174"/>
      <c r="CU34" s="174"/>
      <c r="CV34" s="174"/>
      <c r="CW34" s="174"/>
      <c r="CX34" s="174"/>
      <c r="CY34" s="174"/>
      <c r="CZ34" s="174"/>
      <c r="DA34" s="174"/>
      <c r="DB34" s="174"/>
      <c r="DC34" s="174"/>
      <c r="DD34" s="174"/>
      <c r="DE34" s="174"/>
      <c r="DF34" s="174"/>
      <c r="DG34" s="174"/>
      <c r="DH34" s="174"/>
      <c r="DI34" s="174"/>
      <c r="DJ34" s="174"/>
      <c r="DK34" s="174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454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</row>
    <row r="35" spans="1:162" s="56" customFormat="1">
      <c r="A35" s="54"/>
      <c r="B35" s="55"/>
      <c r="C35" s="491" t="s">
        <v>3039</v>
      </c>
      <c r="D35" s="62">
        <v>35</v>
      </c>
      <c r="E35" s="62">
        <f t="shared" si="10"/>
        <v>35</v>
      </c>
      <c r="F35" s="62"/>
      <c r="G35" s="62"/>
      <c r="H35" s="62"/>
      <c r="I35" s="62"/>
      <c r="J35" s="62"/>
      <c r="K35" s="62"/>
      <c r="L35" s="62">
        <f t="shared" si="11"/>
        <v>35</v>
      </c>
      <c r="M35" s="62"/>
      <c r="N35" s="62"/>
      <c r="O35" s="62"/>
      <c r="P35" s="62"/>
      <c r="Q35" s="62"/>
      <c r="R35" s="173" t="s">
        <v>1903</v>
      </c>
      <c r="S35" s="174"/>
      <c r="T35" s="174"/>
      <c r="U35" s="174"/>
      <c r="V35" s="174"/>
      <c r="W35" s="174"/>
      <c r="X35" s="174">
        <v>2</v>
      </c>
      <c r="Y35" s="174"/>
      <c r="Z35" s="174"/>
      <c r="AA35" s="174"/>
      <c r="AB35" s="174"/>
      <c r="AC35" s="174"/>
      <c r="AD35" s="174"/>
      <c r="AE35" s="174"/>
      <c r="AF35" s="174"/>
      <c r="AG35" s="883"/>
      <c r="AH35" s="174"/>
      <c r="AI35" s="492"/>
      <c r="AJ35" s="905"/>
      <c r="AK35" s="919"/>
      <c r="AL35" s="174"/>
      <c r="AM35" s="174"/>
      <c r="AN35" s="174"/>
      <c r="AO35" s="928">
        <v>1</v>
      </c>
      <c r="AP35" s="174"/>
      <c r="AQ35" s="174"/>
      <c r="AR35" s="174"/>
      <c r="AS35" s="174"/>
      <c r="AT35" s="174"/>
      <c r="AU35" s="174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/>
      <c r="BG35" s="174"/>
      <c r="BH35" s="174"/>
      <c r="BI35" s="174"/>
      <c r="BJ35" s="174"/>
      <c r="BK35" s="174"/>
      <c r="BL35" s="174"/>
      <c r="BM35" s="174"/>
      <c r="BN35" s="174"/>
      <c r="BO35" s="174"/>
      <c r="BP35" s="174"/>
      <c r="BQ35" s="174"/>
      <c r="BR35" s="174"/>
      <c r="BS35" s="174"/>
      <c r="BT35" s="174"/>
      <c r="BU35" s="174"/>
      <c r="BV35" s="174"/>
      <c r="BW35" s="174"/>
      <c r="BX35" s="174"/>
      <c r="BY35" s="174"/>
      <c r="BZ35" s="174"/>
      <c r="CA35" s="174"/>
      <c r="CB35" s="174"/>
      <c r="CC35" s="174"/>
      <c r="CD35" s="174">
        <v>1</v>
      </c>
      <c r="CE35" s="713"/>
      <c r="CF35" s="174">
        <f t="shared" si="12"/>
        <v>0</v>
      </c>
      <c r="CG35" s="174">
        <f t="shared" si="13"/>
        <v>2</v>
      </c>
      <c r="CH35" s="174"/>
      <c r="CI35" s="174"/>
      <c r="CJ35" s="174"/>
      <c r="CK35" s="174"/>
      <c r="CL35" s="174"/>
      <c r="CM35" s="174"/>
      <c r="CN35" s="174"/>
      <c r="CO35" s="174"/>
      <c r="CP35" s="174"/>
      <c r="CQ35" s="174">
        <v>1</v>
      </c>
      <c r="CR35" s="174"/>
      <c r="CS35" s="174"/>
      <c r="CT35" s="174"/>
      <c r="CU35" s="174"/>
      <c r="CV35" s="174"/>
      <c r="CW35" s="174"/>
      <c r="CX35" s="174"/>
      <c r="CY35" s="174"/>
      <c r="CZ35" s="174"/>
      <c r="DA35" s="174"/>
      <c r="DB35" s="174"/>
      <c r="DC35" s="174"/>
      <c r="DD35" s="174"/>
      <c r="DE35" s="174"/>
      <c r="DF35" s="174"/>
      <c r="DG35" s="174"/>
      <c r="DH35" s="174"/>
      <c r="DI35" s="174"/>
      <c r="DJ35" s="174"/>
      <c r="DK35" s="174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454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</row>
    <row r="36" spans="1:162" s="56" customFormat="1">
      <c r="A36" s="54"/>
      <c r="B36" s="55"/>
      <c r="C36" s="491" t="s">
        <v>3040</v>
      </c>
      <c r="D36" s="62">
        <v>35</v>
      </c>
      <c r="E36" s="62">
        <f t="shared" si="10"/>
        <v>35</v>
      </c>
      <c r="F36" s="62"/>
      <c r="G36" s="62"/>
      <c r="H36" s="62"/>
      <c r="I36" s="62"/>
      <c r="J36" s="62"/>
      <c r="K36" s="62"/>
      <c r="L36" s="62">
        <f t="shared" si="11"/>
        <v>35</v>
      </c>
      <c r="M36" s="62"/>
      <c r="N36" s="62"/>
      <c r="O36" s="62"/>
      <c r="P36" s="62"/>
      <c r="Q36" s="62"/>
      <c r="R36" s="173" t="s">
        <v>1631</v>
      </c>
      <c r="S36" s="174"/>
      <c r="T36" s="174"/>
      <c r="U36" s="174"/>
      <c r="V36" s="174"/>
      <c r="W36" s="174"/>
      <c r="X36" s="174">
        <v>1</v>
      </c>
      <c r="Y36" s="174"/>
      <c r="Z36" s="174"/>
      <c r="AA36" s="174"/>
      <c r="AB36" s="174"/>
      <c r="AC36" s="174"/>
      <c r="AD36" s="174"/>
      <c r="AE36" s="174"/>
      <c r="AF36" s="174"/>
      <c r="AG36" s="883"/>
      <c r="AH36" s="174"/>
      <c r="AI36" s="492"/>
      <c r="AJ36" s="905"/>
      <c r="AK36" s="919"/>
      <c r="AL36" s="174">
        <v>1</v>
      </c>
      <c r="AM36" s="174"/>
      <c r="AN36" s="174"/>
      <c r="AO36" s="928"/>
      <c r="AP36" s="174"/>
      <c r="AQ36" s="174"/>
      <c r="AR36" s="174"/>
      <c r="AS36" s="174"/>
      <c r="AT36" s="174"/>
      <c r="AU36" s="174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>
        <v>1</v>
      </c>
      <c r="BG36" s="174"/>
      <c r="BH36" s="174"/>
      <c r="BI36" s="174"/>
      <c r="BJ36" s="174"/>
      <c r="BK36" s="174"/>
      <c r="BL36" s="174"/>
      <c r="BM36" s="174"/>
      <c r="BN36" s="174"/>
      <c r="BO36" s="174"/>
      <c r="BP36" s="174"/>
      <c r="BQ36" s="174"/>
      <c r="BR36" s="174"/>
      <c r="BS36" s="174"/>
      <c r="BT36" s="174"/>
      <c r="BU36" s="174"/>
      <c r="BV36" s="174"/>
      <c r="BW36" s="174"/>
      <c r="BX36" s="174"/>
      <c r="BY36" s="174"/>
      <c r="BZ36" s="174"/>
      <c r="CA36" s="174"/>
      <c r="CB36" s="174"/>
      <c r="CC36" s="174">
        <v>1</v>
      </c>
      <c r="CD36" s="174"/>
      <c r="CE36" s="713"/>
      <c r="CF36" s="174">
        <f t="shared" si="12"/>
        <v>1</v>
      </c>
      <c r="CG36" s="174">
        <f t="shared" si="13"/>
        <v>0</v>
      </c>
      <c r="CH36" s="174"/>
      <c r="CI36" s="174"/>
      <c r="CJ36" s="174"/>
      <c r="CK36" s="174"/>
      <c r="CL36" s="174"/>
      <c r="CM36" s="174"/>
      <c r="CN36" s="174"/>
      <c r="CO36" s="174"/>
      <c r="CP36" s="174"/>
      <c r="CQ36" s="174">
        <v>1</v>
      </c>
      <c r="CR36" s="174"/>
      <c r="CS36" s="174"/>
      <c r="CT36" s="174"/>
      <c r="CU36" s="174"/>
      <c r="CV36" s="174"/>
      <c r="CW36" s="174"/>
      <c r="CX36" s="174"/>
      <c r="CY36" s="174"/>
      <c r="CZ36" s="174"/>
      <c r="DA36" s="174"/>
      <c r="DB36" s="174"/>
      <c r="DC36" s="174"/>
      <c r="DD36" s="174"/>
      <c r="DE36" s="174"/>
      <c r="DF36" s="174"/>
      <c r="DG36" s="174"/>
      <c r="DH36" s="174"/>
      <c r="DI36" s="174"/>
      <c r="DJ36" s="174"/>
      <c r="DK36" s="174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454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</row>
    <row r="37" spans="1:162" s="56" customFormat="1">
      <c r="A37" s="54"/>
      <c r="B37" s="55"/>
      <c r="C37" s="491" t="s">
        <v>3041</v>
      </c>
      <c r="D37" s="62">
        <v>33</v>
      </c>
      <c r="E37" s="62">
        <f t="shared" si="10"/>
        <v>33</v>
      </c>
      <c r="F37" s="62"/>
      <c r="G37" s="62"/>
      <c r="H37" s="62"/>
      <c r="I37" s="62"/>
      <c r="J37" s="62"/>
      <c r="K37" s="62"/>
      <c r="L37" s="62">
        <f t="shared" si="11"/>
        <v>33</v>
      </c>
      <c r="M37" s="62"/>
      <c r="N37" s="62"/>
      <c r="O37" s="62"/>
      <c r="P37" s="62"/>
      <c r="Q37" s="62"/>
      <c r="R37" s="173" t="s">
        <v>1903</v>
      </c>
      <c r="S37" s="174"/>
      <c r="T37" s="174"/>
      <c r="U37" s="174"/>
      <c r="V37" s="174"/>
      <c r="W37" s="174"/>
      <c r="X37" s="174">
        <v>2</v>
      </c>
      <c r="Y37" s="174"/>
      <c r="Z37" s="174"/>
      <c r="AA37" s="174"/>
      <c r="AB37" s="174"/>
      <c r="AC37" s="174"/>
      <c r="AD37" s="174"/>
      <c r="AE37" s="174"/>
      <c r="AF37" s="174"/>
      <c r="AG37" s="883"/>
      <c r="AH37" s="174"/>
      <c r="AI37" s="492"/>
      <c r="AJ37" s="905"/>
      <c r="AK37" s="919"/>
      <c r="AL37" s="174"/>
      <c r="AM37" s="174"/>
      <c r="AN37" s="174"/>
      <c r="AO37" s="928">
        <v>1</v>
      </c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/>
      <c r="BK37" s="174"/>
      <c r="BL37" s="174"/>
      <c r="BM37" s="174"/>
      <c r="BN37" s="174"/>
      <c r="BO37" s="174"/>
      <c r="BP37" s="174"/>
      <c r="BQ37" s="174"/>
      <c r="BR37" s="174"/>
      <c r="BS37" s="174"/>
      <c r="BT37" s="174"/>
      <c r="BU37" s="174"/>
      <c r="BV37" s="174"/>
      <c r="BW37" s="174"/>
      <c r="BX37" s="174"/>
      <c r="BY37" s="174"/>
      <c r="BZ37" s="174"/>
      <c r="CA37" s="174"/>
      <c r="CB37" s="174"/>
      <c r="CC37" s="174"/>
      <c r="CD37" s="174">
        <v>1</v>
      </c>
      <c r="CE37" s="713"/>
      <c r="CF37" s="174">
        <f t="shared" si="12"/>
        <v>0</v>
      </c>
      <c r="CG37" s="174">
        <f t="shared" si="13"/>
        <v>2</v>
      </c>
      <c r="CH37" s="174"/>
      <c r="CI37" s="174"/>
      <c r="CJ37" s="174"/>
      <c r="CK37" s="174"/>
      <c r="CL37" s="174"/>
      <c r="CM37" s="174"/>
      <c r="CN37" s="174"/>
      <c r="CO37" s="174"/>
      <c r="CP37" s="174"/>
      <c r="CQ37" s="174">
        <v>1</v>
      </c>
      <c r="CR37" s="174"/>
      <c r="CS37" s="174"/>
      <c r="CT37" s="174"/>
      <c r="CU37" s="174"/>
      <c r="CV37" s="174"/>
      <c r="CW37" s="174"/>
      <c r="CX37" s="174"/>
      <c r="CY37" s="174"/>
      <c r="CZ37" s="174"/>
      <c r="DA37" s="174"/>
      <c r="DB37" s="174"/>
      <c r="DC37" s="174"/>
      <c r="DD37" s="174"/>
      <c r="DE37" s="174"/>
      <c r="DF37" s="174"/>
      <c r="DG37" s="174"/>
      <c r="DH37" s="174"/>
      <c r="DI37" s="174"/>
      <c r="DJ37" s="174"/>
      <c r="DK37" s="174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454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</row>
    <row r="38" spans="1:162" s="56" customFormat="1">
      <c r="A38" s="54"/>
      <c r="B38" s="55"/>
      <c r="C38" s="491" t="s">
        <v>3042</v>
      </c>
      <c r="D38" s="62">
        <v>30.5</v>
      </c>
      <c r="E38" s="62">
        <f t="shared" si="10"/>
        <v>30.5</v>
      </c>
      <c r="F38" s="62"/>
      <c r="G38" s="62"/>
      <c r="H38" s="62"/>
      <c r="I38" s="62"/>
      <c r="J38" s="62"/>
      <c r="K38" s="62"/>
      <c r="L38" s="62">
        <f t="shared" si="11"/>
        <v>30.5</v>
      </c>
      <c r="M38" s="62"/>
      <c r="N38" s="62"/>
      <c r="O38" s="62"/>
      <c r="P38" s="62"/>
      <c r="Q38" s="62"/>
      <c r="R38" s="173" t="s">
        <v>2989</v>
      </c>
      <c r="S38" s="174"/>
      <c r="T38" s="174"/>
      <c r="U38" s="174"/>
      <c r="V38" s="174"/>
      <c r="W38" s="174"/>
      <c r="X38" s="174">
        <v>2</v>
      </c>
      <c r="Y38" s="174"/>
      <c r="Z38" s="174"/>
      <c r="AA38" s="174"/>
      <c r="AB38" s="174"/>
      <c r="AC38" s="174"/>
      <c r="AD38" s="174"/>
      <c r="AE38" s="174"/>
      <c r="AF38" s="174"/>
      <c r="AG38" s="883"/>
      <c r="AH38" s="174"/>
      <c r="AI38" s="492"/>
      <c r="AJ38" s="905"/>
      <c r="AK38" s="919"/>
      <c r="AL38" s="174"/>
      <c r="AM38" s="174"/>
      <c r="AN38" s="174"/>
      <c r="AO38" s="928">
        <v>1</v>
      </c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/>
      <c r="BI38" s="174"/>
      <c r="BJ38" s="174"/>
      <c r="BK38" s="174"/>
      <c r="BL38" s="174"/>
      <c r="BM38" s="174"/>
      <c r="BN38" s="174"/>
      <c r="BO38" s="174"/>
      <c r="BP38" s="174"/>
      <c r="BQ38" s="174"/>
      <c r="BR38" s="174"/>
      <c r="BS38" s="174"/>
      <c r="BT38" s="174"/>
      <c r="BU38" s="174"/>
      <c r="BV38" s="174"/>
      <c r="BW38" s="174"/>
      <c r="BX38" s="174"/>
      <c r="BY38" s="174"/>
      <c r="BZ38" s="174"/>
      <c r="CA38" s="174"/>
      <c r="CB38" s="174"/>
      <c r="CC38" s="174">
        <v>1</v>
      </c>
      <c r="CD38" s="174"/>
      <c r="CE38" s="713"/>
      <c r="CF38" s="174">
        <f t="shared" si="12"/>
        <v>1</v>
      </c>
      <c r="CG38" s="174">
        <f t="shared" si="13"/>
        <v>0</v>
      </c>
      <c r="CH38" s="174"/>
      <c r="CI38" s="174"/>
      <c r="CJ38" s="174"/>
      <c r="CK38" s="174"/>
      <c r="CL38" s="174"/>
      <c r="CM38" s="174"/>
      <c r="CN38" s="174"/>
      <c r="CO38" s="174">
        <v>2</v>
      </c>
      <c r="CP38" s="174"/>
      <c r="CQ38" s="174"/>
      <c r="CR38" s="174"/>
      <c r="CS38" s="174">
        <v>2</v>
      </c>
      <c r="CT38" s="174"/>
      <c r="CU38" s="174"/>
      <c r="CV38" s="174"/>
      <c r="CW38" s="174"/>
      <c r="CX38" s="174"/>
      <c r="CY38" s="174"/>
      <c r="CZ38" s="174"/>
      <c r="DA38" s="174"/>
      <c r="DB38" s="174"/>
      <c r="DC38" s="174"/>
      <c r="DD38" s="174"/>
      <c r="DE38" s="174"/>
      <c r="DF38" s="174"/>
      <c r="DG38" s="174"/>
      <c r="DH38" s="174"/>
      <c r="DI38" s="174"/>
      <c r="DJ38" s="174"/>
      <c r="DK38" s="174"/>
      <c r="DL38" s="62">
        <v>1</v>
      </c>
      <c r="DM38" s="62"/>
      <c r="DN38" s="62"/>
      <c r="DO38" s="62"/>
      <c r="DP38" s="62"/>
      <c r="DQ38" s="62"/>
      <c r="DR38" s="62"/>
      <c r="DS38" s="62">
        <v>0.5</v>
      </c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454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</row>
    <row r="39" spans="1:162" s="56" customFormat="1">
      <c r="A39" s="54"/>
      <c r="B39" s="55"/>
      <c r="C39" s="491" t="s">
        <v>3043</v>
      </c>
      <c r="D39" s="62">
        <v>33</v>
      </c>
      <c r="E39" s="62">
        <f t="shared" si="10"/>
        <v>33</v>
      </c>
      <c r="F39" s="62"/>
      <c r="G39" s="62"/>
      <c r="H39" s="62"/>
      <c r="I39" s="62"/>
      <c r="J39" s="62"/>
      <c r="K39" s="62"/>
      <c r="L39" s="62">
        <f t="shared" si="11"/>
        <v>33</v>
      </c>
      <c r="M39" s="62"/>
      <c r="N39" s="62"/>
      <c r="O39" s="62"/>
      <c r="P39" s="62"/>
      <c r="Q39" s="62"/>
      <c r="R39" s="173" t="s">
        <v>1903</v>
      </c>
      <c r="S39" s="174"/>
      <c r="T39" s="174"/>
      <c r="U39" s="174"/>
      <c r="V39" s="174"/>
      <c r="W39" s="174"/>
      <c r="X39" s="174">
        <v>2</v>
      </c>
      <c r="Y39" s="174"/>
      <c r="Z39" s="174"/>
      <c r="AA39" s="174"/>
      <c r="AB39" s="174"/>
      <c r="AC39" s="174"/>
      <c r="AD39" s="174"/>
      <c r="AE39" s="174"/>
      <c r="AF39" s="174"/>
      <c r="AG39" s="883"/>
      <c r="AH39" s="174"/>
      <c r="AI39" s="492"/>
      <c r="AJ39" s="905"/>
      <c r="AK39" s="919"/>
      <c r="AL39" s="174"/>
      <c r="AM39" s="174"/>
      <c r="AN39" s="174"/>
      <c r="AO39" s="928">
        <v>1</v>
      </c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  <c r="BH39" s="174"/>
      <c r="BI39" s="174"/>
      <c r="BJ39" s="174"/>
      <c r="BK39" s="174"/>
      <c r="BL39" s="174"/>
      <c r="BM39" s="174"/>
      <c r="BN39" s="174"/>
      <c r="BO39" s="174"/>
      <c r="BP39" s="174"/>
      <c r="BQ39" s="174"/>
      <c r="BR39" s="174"/>
      <c r="BS39" s="174"/>
      <c r="BT39" s="174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>
        <v>1</v>
      </c>
      <c r="CE39" s="713"/>
      <c r="CF39" s="174">
        <f t="shared" si="12"/>
        <v>0</v>
      </c>
      <c r="CG39" s="174">
        <f t="shared" si="13"/>
        <v>2</v>
      </c>
      <c r="CH39" s="174"/>
      <c r="CI39" s="174"/>
      <c r="CJ39" s="174"/>
      <c r="CK39" s="174"/>
      <c r="CL39" s="174"/>
      <c r="CM39" s="174"/>
      <c r="CN39" s="174"/>
      <c r="CO39" s="174"/>
      <c r="CP39" s="174"/>
      <c r="CQ39" s="174">
        <v>1</v>
      </c>
      <c r="CR39" s="174"/>
      <c r="CS39" s="174"/>
      <c r="CT39" s="174"/>
      <c r="CU39" s="174"/>
      <c r="CV39" s="174"/>
      <c r="CW39" s="174"/>
      <c r="CX39" s="174"/>
      <c r="CY39" s="174"/>
      <c r="CZ39" s="174"/>
      <c r="DA39" s="174"/>
      <c r="DB39" s="174"/>
      <c r="DC39" s="174"/>
      <c r="DD39" s="174"/>
      <c r="DE39" s="174"/>
      <c r="DF39" s="174"/>
      <c r="DG39" s="174"/>
      <c r="DH39" s="174"/>
      <c r="DI39" s="174"/>
      <c r="DJ39" s="174"/>
      <c r="DK39" s="174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454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</row>
    <row r="40" spans="1:162" s="56" customFormat="1">
      <c r="A40" s="54"/>
      <c r="B40" s="55"/>
      <c r="C40" s="491" t="s">
        <v>3044</v>
      </c>
      <c r="D40" s="62">
        <v>38</v>
      </c>
      <c r="E40" s="62">
        <f t="shared" si="10"/>
        <v>38</v>
      </c>
      <c r="F40" s="62"/>
      <c r="G40" s="62"/>
      <c r="H40" s="62"/>
      <c r="I40" s="62"/>
      <c r="J40" s="62"/>
      <c r="K40" s="62"/>
      <c r="L40" s="62">
        <f t="shared" si="11"/>
        <v>38</v>
      </c>
      <c r="M40" s="62"/>
      <c r="N40" s="62"/>
      <c r="O40" s="62"/>
      <c r="P40" s="62"/>
      <c r="Q40" s="62"/>
      <c r="R40" s="173" t="s">
        <v>2989</v>
      </c>
      <c r="S40" s="174"/>
      <c r="T40" s="174"/>
      <c r="U40" s="174"/>
      <c r="V40" s="174">
        <v>1</v>
      </c>
      <c r="W40" s="174"/>
      <c r="X40" s="174"/>
      <c r="Y40" s="174"/>
      <c r="Z40" s="174"/>
      <c r="AA40" s="174"/>
      <c r="AB40" s="174"/>
      <c r="AC40" s="174"/>
      <c r="AD40" s="174">
        <v>1</v>
      </c>
      <c r="AE40" s="174"/>
      <c r="AF40" s="174"/>
      <c r="AG40" s="883"/>
      <c r="AH40" s="174"/>
      <c r="AI40" s="492"/>
      <c r="AJ40" s="905"/>
      <c r="AK40" s="919"/>
      <c r="AL40" s="174"/>
      <c r="AM40" s="174"/>
      <c r="AN40" s="174"/>
      <c r="AO40" s="928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174"/>
      <c r="BJ40" s="174"/>
      <c r="BK40" s="174"/>
      <c r="BL40" s="174"/>
      <c r="BM40" s="174"/>
      <c r="BN40" s="174"/>
      <c r="BO40" s="174"/>
      <c r="BP40" s="174"/>
      <c r="BQ40" s="174"/>
      <c r="BR40" s="174"/>
      <c r="BS40" s="174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>
        <v>1</v>
      </c>
      <c r="CD40" s="174"/>
      <c r="CE40" s="713"/>
      <c r="CF40" s="174">
        <f t="shared" si="12"/>
        <v>1</v>
      </c>
      <c r="CG40" s="174">
        <f t="shared" si="13"/>
        <v>0</v>
      </c>
      <c r="CH40" s="174"/>
      <c r="CI40" s="174"/>
      <c r="CJ40" s="174"/>
      <c r="CK40" s="174"/>
      <c r="CL40" s="174"/>
      <c r="CM40" s="174"/>
      <c r="CN40" s="174"/>
      <c r="CO40" s="174">
        <v>2</v>
      </c>
      <c r="CP40" s="174"/>
      <c r="CQ40" s="174"/>
      <c r="CR40" s="174"/>
      <c r="CS40" s="174">
        <v>2</v>
      </c>
      <c r="CT40" s="174"/>
      <c r="CU40" s="174"/>
      <c r="CV40" s="174"/>
      <c r="CW40" s="174"/>
      <c r="CX40" s="174"/>
      <c r="CY40" s="174"/>
      <c r="CZ40" s="174"/>
      <c r="DA40" s="174"/>
      <c r="DB40" s="174"/>
      <c r="DC40" s="174"/>
      <c r="DD40" s="174"/>
      <c r="DE40" s="174"/>
      <c r="DF40" s="174"/>
      <c r="DG40" s="174"/>
      <c r="DH40" s="174"/>
      <c r="DI40" s="174"/>
      <c r="DJ40" s="174"/>
      <c r="DK40" s="174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454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</row>
    <row r="41" spans="1:162" s="56" customFormat="1">
      <c r="A41" s="54"/>
      <c r="B41" s="55"/>
      <c r="C41" s="491" t="s">
        <v>3045</v>
      </c>
      <c r="D41" s="62">
        <v>35</v>
      </c>
      <c r="E41" s="62">
        <f t="shared" si="10"/>
        <v>35</v>
      </c>
      <c r="F41" s="62"/>
      <c r="G41" s="62"/>
      <c r="H41" s="62"/>
      <c r="I41" s="62"/>
      <c r="J41" s="62"/>
      <c r="K41" s="62"/>
      <c r="L41" s="62">
        <f t="shared" si="11"/>
        <v>35</v>
      </c>
      <c r="M41" s="62"/>
      <c r="N41" s="62"/>
      <c r="O41" s="62"/>
      <c r="P41" s="62"/>
      <c r="Q41" s="62"/>
      <c r="R41" s="173" t="s">
        <v>1903</v>
      </c>
      <c r="S41" s="174"/>
      <c r="T41" s="174"/>
      <c r="U41" s="174"/>
      <c r="V41" s="174">
        <v>2</v>
      </c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883"/>
      <c r="AH41" s="174"/>
      <c r="AI41" s="492"/>
      <c r="AJ41" s="905">
        <v>1</v>
      </c>
      <c r="AK41" s="919"/>
      <c r="AL41" s="174"/>
      <c r="AM41" s="174"/>
      <c r="AN41" s="174"/>
      <c r="AO41" s="928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>
        <v>1</v>
      </c>
      <c r="BK41" s="174"/>
      <c r="BL41" s="174"/>
      <c r="BM41" s="174"/>
      <c r="BN41" s="174"/>
      <c r="BO41" s="174"/>
      <c r="BP41" s="174"/>
      <c r="BQ41" s="174"/>
      <c r="BR41" s="174"/>
      <c r="BS41" s="174"/>
      <c r="BT41" s="174"/>
      <c r="BU41" s="174"/>
      <c r="BV41" s="174"/>
      <c r="BW41" s="174"/>
      <c r="BX41" s="174"/>
      <c r="BY41" s="174"/>
      <c r="BZ41" s="174">
        <v>1</v>
      </c>
      <c r="CA41" s="174"/>
      <c r="CB41" s="174"/>
      <c r="CC41" s="174"/>
      <c r="CD41" s="174">
        <v>1</v>
      </c>
      <c r="CE41" s="713"/>
      <c r="CF41" s="174">
        <f t="shared" si="12"/>
        <v>0</v>
      </c>
      <c r="CG41" s="174">
        <f t="shared" si="13"/>
        <v>2</v>
      </c>
      <c r="CH41" s="174"/>
      <c r="CI41" s="174"/>
      <c r="CJ41" s="174"/>
      <c r="CK41" s="174"/>
      <c r="CL41" s="174"/>
      <c r="CM41" s="174"/>
      <c r="CN41" s="174"/>
      <c r="CO41" s="174"/>
      <c r="CP41" s="174"/>
      <c r="CQ41" s="174"/>
      <c r="CR41" s="174">
        <v>1</v>
      </c>
      <c r="CS41" s="174"/>
      <c r="CT41" s="174"/>
      <c r="CU41" s="174"/>
      <c r="CV41" s="174"/>
      <c r="CW41" s="174"/>
      <c r="CX41" s="174">
        <v>1</v>
      </c>
      <c r="CY41" s="174">
        <v>1</v>
      </c>
      <c r="CZ41" s="174">
        <v>1</v>
      </c>
      <c r="DA41" s="174"/>
      <c r="DB41" s="174"/>
      <c r="DC41" s="174"/>
      <c r="DD41" s="174"/>
      <c r="DE41" s="174"/>
      <c r="DF41" s="174"/>
      <c r="DG41" s="174"/>
      <c r="DH41" s="174"/>
      <c r="DI41" s="174"/>
      <c r="DJ41" s="174"/>
      <c r="DK41" s="174">
        <v>1</v>
      </c>
      <c r="DL41" s="62"/>
      <c r="DM41" s="62"/>
      <c r="DN41" s="62"/>
      <c r="DO41" s="62"/>
      <c r="DP41" s="62"/>
      <c r="DQ41" s="62"/>
      <c r="DR41" s="62"/>
      <c r="DS41" s="62"/>
      <c r="DT41" s="62">
        <v>1.5</v>
      </c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454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</row>
    <row r="42" spans="1:162" s="56" customFormat="1">
      <c r="A42" s="54"/>
      <c r="B42" s="55"/>
      <c r="C42" s="491" t="s">
        <v>3046</v>
      </c>
      <c r="D42" s="62">
        <v>35</v>
      </c>
      <c r="E42" s="62">
        <f t="shared" si="10"/>
        <v>35</v>
      </c>
      <c r="F42" s="62"/>
      <c r="G42" s="62"/>
      <c r="H42" s="62"/>
      <c r="I42" s="62"/>
      <c r="J42" s="62"/>
      <c r="K42" s="62"/>
      <c r="L42" s="62">
        <f t="shared" si="11"/>
        <v>35</v>
      </c>
      <c r="M42" s="62"/>
      <c r="N42" s="62"/>
      <c r="O42" s="62"/>
      <c r="P42" s="62"/>
      <c r="Q42" s="62"/>
      <c r="R42" s="173" t="s">
        <v>1903</v>
      </c>
      <c r="S42" s="174"/>
      <c r="T42" s="174"/>
      <c r="U42" s="174"/>
      <c r="V42" s="174">
        <v>1</v>
      </c>
      <c r="W42" s="174"/>
      <c r="X42" s="174"/>
      <c r="Y42" s="174"/>
      <c r="Z42" s="174"/>
      <c r="AA42" s="174"/>
      <c r="AB42" s="174"/>
      <c r="AC42" s="174"/>
      <c r="AD42" s="174">
        <v>1</v>
      </c>
      <c r="AE42" s="174"/>
      <c r="AF42" s="174"/>
      <c r="AG42" s="883"/>
      <c r="AH42" s="174"/>
      <c r="AI42" s="492"/>
      <c r="AJ42" s="905"/>
      <c r="AK42" s="919"/>
      <c r="AL42" s="174"/>
      <c r="AM42" s="174"/>
      <c r="AN42" s="174"/>
      <c r="AO42" s="928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>
        <v>1</v>
      </c>
      <c r="BG42" s="174"/>
      <c r="BH42" s="174"/>
      <c r="BI42" s="174"/>
      <c r="BJ42" s="174"/>
      <c r="BK42" s="174"/>
      <c r="BL42" s="174"/>
      <c r="BM42" s="174"/>
      <c r="BN42" s="174"/>
      <c r="BO42" s="174"/>
      <c r="BP42" s="174"/>
      <c r="BQ42" s="174"/>
      <c r="BR42" s="174"/>
      <c r="BS42" s="174"/>
      <c r="BT42" s="174"/>
      <c r="BU42" s="174"/>
      <c r="BV42" s="174"/>
      <c r="BW42" s="174"/>
      <c r="BX42" s="174"/>
      <c r="BY42" s="174"/>
      <c r="BZ42" s="174"/>
      <c r="CA42" s="174"/>
      <c r="CB42" s="174"/>
      <c r="CC42" s="174"/>
      <c r="CD42" s="174">
        <v>1</v>
      </c>
      <c r="CE42" s="713"/>
      <c r="CF42" s="174">
        <f t="shared" si="12"/>
        <v>0</v>
      </c>
      <c r="CG42" s="174">
        <f t="shared" si="13"/>
        <v>2</v>
      </c>
      <c r="CH42" s="174"/>
      <c r="CI42" s="174"/>
      <c r="CJ42" s="174"/>
      <c r="CK42" s="174"/>
      <c r="CL42" s="174"/>
      <c r="CM42" s="174"/>
      <c r="CN42" s="174"/>
      <c r="CO42" s="174"/>
      <c r="CP42" s="174"/>
      <c r="CQ42" s="174">
        <v>1</v>
      </c>
      <c r="CR42" s="174"/>
      <c r="CS42" s="174"/>
      <c r="CT42" s="174"/>
      <c r="CU42" s="174"/>
      <c r="CV42" s="174"/>
      <c r="CW42" s="174"/>
      <c r="CX42" s="174"/>
      <c r="CY42" s="174"/>
      <c r="CZ42" s="174"/>
      <c r="DA42" s="174"/>
      <c r="DB42" s="174"/>
      <c r="DC42" s="174"/>
      <c r="DD42" s="174"/>
      <c r="DE42" s="174"/>
      <c r="DF42" s="174"/>
      <c r="DG42" s="174"/>
      <c r="DH42" s="174"/>
      <c r="DI42" s="174"/>
      <c r="DJ42" s="174"/>
      <c r="DK42" s="174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454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</row>
    <row r="43" spans="1:162" s="56" customFormat="1">
      <c r="A43" s="54"/>
      <c r="B43" s="689"/>
      <c r="C43" s="491" t="s">
        <v>3047</v>
      </c>
      <c r="D43" s="62">
        <v>34</v>
      </c>
      <c r="E43" s="62">
        <f t="shared" si="10"/>
        <v>34</v>
      </c>
      <c r="F43" s="62"/>
      <c r="G43" s="62"/>
      <c r="H43" s="62"/>
      <c r="I43" s="62"/>
      <c r="J43" s="62"/>
      <c r="K43" s="62"/>
      <c r="L43" s="62">
        <f t="shared" si="11"/>
        <v>34</v>
      </c>
      <c r="M43" s="62"/>
      <c r="N43" s="62"/>
      <c r="O43" s="62"/>
      <c r="P43" s="62"/>
      <c r="Q43" s="62"/>
      <c r="R43" s="173" t="s">
        <v>1903</v>
      </c>
      <c r="S43" s="174"/>
      <c r="T43" s="174"/>
      <c r="U43" s="174"/>
      <c r="V43" s="174">
        <v>2</v>
      </c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883"/>
      <c r="AH43" s="174"/>
      <c r="AI43" s="492"/>
      <c r="AJ43" s="905">
        <v>1</v>
      </c>
      <c r="AK43" s="919"/>
      <c r="AL43" s="174"/>
      <c r="AM43" s="174"/>
      <c r="AN43" s="174"/>
      <c r="AO43" s="928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  <c r="BH43" s="174"/>
      <c r="BI43" s="174"/>
      <c r="BJ43" s="174"/>
      <c r="BK43" s="174"/>
      <c r="BL43" s="174"/>
      <c r="BM43" s="174"/>
      <c r="BN43" s="174"/>
      <c r="BO43" s="174"/>
      <c r="BP43" s="174"/>
      <c r="BQ43" s="174"/>
      <c r="BR43" s="174"/>
      <c r="BS43" s="174"/>
      <c r="BT43" s="174"/>
      <c r="BU43" s="174"/>
      <c r="BV43" s="174"/>
      <c r="BW43" s="174"/>
      <c r="BX43" s="174"/>
      <c r="BY43" s="174"/>
      <c r="BZ43" s="174"/>
      <c r="CA43" s="174"/>
      <c r="CB43" s="174"/>
      <c r="CC43" s="174"/>
      <c r="CD43" s="174">
        <v>1</v>
      </c>
      <c r="CE43" s="713"/>
      <c r="CF43" s="174">
        <f t="shared" si="12"/>
        <v>0</v>
      </c>
      <c r="CG43" s="174">
        <f t="shared" si="13"/>
        <v>2</v>
      </c>
      <c r="CH43" s="174"/>
      <c r="CI43" s="174"/>
      <c r="CJ43" s="174"/>
      <c r="CK43" s="174"/>
      <c r="CL43" s="174"/>
      <c r="CM43" s="174"/>
      <c r="CN43" s="174"/>
      <c r="CO43" s="174"/>
      <c r="CP43" s="174"/>
      <c r="CQ43" s="174"/>
      <c r="CR43" s="174">
        <v>1</v>
      </c>
      <c r="CS43" s="174"/>
      <c r="CT43" s="174"/>
      <c r="CU43" s="174"/>
      <c r="CV43" s="174"/>
      <c r="CW43" s="174"/>
      <c r="CX43" s="174"/>
      <c r="CY43" s="174"/>
      <c r="CZ43" s="174"/>
      <c r="DA43" s="174"/>
      <c r="DB43" s="174"/>
      <c r="DC43" s="174"/>
      <c r="DD43" s="174"/>
      <c r="DE43" s="174"/>
      <c r="DF43" s="174"/>
      <c r="DG43" s="174"/>
      <c r="DH43" s="174"/>
      <c r="DI43" s="174"/>
      <c r="DJ43" s="174"/>
      <c r="DK43" s="174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454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</row>
    <row r="44" spans="1:162" s="56" customFormat="1">
      <c r="A44" s="54"/>
      <c r="B44" s="689"/>
      <c r="C44" s="491" t="s">
        <v>3048</v>
      </c>
      <c r="D44" s="62">
        <v>35</v>
      </c>
      <c r="E44" s="62">
        <f t="shared" si="10"/>
        <v>35</v>
      </c>
      <c r="F44" s="62"/>
      <c r="G44" s="62"/>
      <c r="H44" s="62"/>
      <c r="I44" s="62"/>
      <c r="J44" s="62"/>
      <c r="K44" s="62"/>
      <c r="L44" s="62">
        <f t="shared" si="11"/>
        <v>35</v>
      </c>
      <c r="M44" s="62"/>
      <c r="N44" s="62"/>
      <c r="O44" s="62"/>
      <c r="P44" s="62"/>
      <c r="Q44" s="62"/>
      <c r="R44" s="173" t="s">
        <v>1903</v>
      </c>
      <c r="S44" s="174"/>
      <c r="T44" s="174"/>
      <c r="U44" s="174"/>
      <c r="V44" s="174">
        <v>2</v>
      </c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883"/>
      <c r="AH44" s="174"/>
      <c r="AI44" s="492"/>
      <c r="AJ44" s="905">
        <v>1</v>
      </c>
      <c r="AK44" s="919"/>
      <c r="AL44" s="174"/>
      <c r="AM44" s="174"/>
      <c r="AN44" s="174"/>
      <c r="AO44" s="928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  <c r="BH44" s="174"/>
      <c r="BI44" s="174"/>
      <c r="BJ44" s="174"/>
      <c r="BK44" s="174"/>
      <c r="BL44" s="174"/>
      <c r="BM44" s="174"/>
      <c r="BN44" s="174"/>
      <c r="BO44" s="174"/>
      <c r="BP44" s="174"/>
      <c r="BQ44" s="174"/>
      <c r="BR44" s="174"/>
      <c r="BS44" s="174"/>
      <c r="BT44" s="174"/>
      <c r="BU44" s="174"/>
      <c r="BV44" s="174"/>
      <c r="BW44" s="174"/>
      <c r="BX44" s="174"/>
      <c r="BY44" s="174"/>
      <c r="BZ44" s="174"/>
      <c r="CA44" s="174"/>
      <c r="CB44" s="174"/>
      <c r="CC44" s="174"/>
      <c r="CD44" s="174">
        <v>1</v>
      </c>
      <c r="CE44" s="713"/>
      <c r="CF44" s="174">
        <f t="shared" si="12"/>
        <v>0</v>
      </c>
      <c r="CG44" s="174">
        <f t="shared" si="13"/>
        <v>2</v>
      </c>
      <c r="CH44" s="174"/>
      <c r="CI44" s="174"/>
      <c r="CJ44" s="174"/>
      <c r="CK44" s="174"/>
      <c r="CL44" s="174"/>
      <c r="CM44" s="174"/>
      <c r="CN44" s="174"/>
      <c r="CO44" s="174"/>
      <c r="CP44" s="174"/>
      <c r="CQ44" s="174"/>
      <c r="CR44" s="174">
        <v>1</v>
      </c>
      <c r="CS44" s="174"/>
      <c r="CT44" s="174"/>
      <c r="CU44" s="174"/>
      <c r="CV44" s="174"/>
      <c r="CW44" s="174"/>
      <c r="CX44" s="174"/>
      <c r="CY44" s="174"/>
      <c r="CZ44" s="174"/>
      <c r="DA44" s="174"/>
      <c r="DB44" s="174"/>
      <c r="DC44" s="174"/>
      <c r="DD44" s="174"/>
      <c r="DE44" s="174"/>
      <c r="DF44" s="174"/>
      <c r="DG44" s="174"/>
      <c r="DH44" s="174"/>
      <c r="DI44" s="174"/>
      <c r="DJ44" s="174"/>
      <c r="DK44" s="174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454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</row>
    <row r="45" spans="1:162" s="56" customFormat="1">
      <c r="A45" s="54"/>
      <c r="B45" s="689"/>
      <c r="C45" s="491" t="s">
        <v>3049</v>
      </c>
      <c r="D45" s="62">
        <v>30</v>
      </c>
      <c r="E45" s="62">
        <f t="shared" si="10"/>
        <v>30</v>
      </c>
      <c r="F45" s="62"/>
      <c r="G45" s="62"/>
      <c r="H45" s="62"/>
      <c r="I45" s="62"/>
      <c r="J45" s="62"/>
      <c r="K45" s="62"/>
      <c r="L45" s="62">
        <f t="shared" si="11"/>
        <v>30</v>
      </c>
      <c r="M45" s="62"/>
      <c r="N45" s="62"/>
      <c r="O45" s="62"/>
      <c r="P45" s="62"/>
      <c r="Q45" s="62"/>
      <c r="R45" s="173" t="s">
        <v>1631</v>
      </c>
      <c r="S45" s="174"/>
      <c r="T45" s="174"/>
      <c r="U45" s="174"/>
      <c r="V45" s="174">
        <v>1</v>
      </c>
      <c r="W45" s="174"/>
      <c r="X45" s="174"/>
      <c r="Y45" s="174"/>
      <c r="Z45" s="174"/>
      <c r="AA45" s="174"/>
      <c r="AB45" s="174"/>
      <c r="AC45" s="174"/>
      <c r="AD45" s="174">
        <v>1</v>
      </c>
      <c r="AE45" s="174"/>
      <c r="AF45" s="174"/>
      <c r="AG45" s="883"/>
      <c r="AH45" s="174"/>
      <c r="AI45" s="492"/>
      <c r="AJ45" s="905"/>
      <c r="AK45" s="919"/>
      <c r="AL45" s="174"/>
      <c r="AM45" s="174"/>
      <c r="AN45" s="174"/>
      <c r="AO45" s="928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  <c r="BH45" s="174"/>
      <c r="BI45" s="174"/>
      <c r="BJ45" s="174"/>
      <c r="BK45" s="174"/>
      <c r="BL45" s="174"/>
      <c r="BM45" s="174"/>
      <c r="BN45" s="174"/>
      <c r="BO45" s="174"/>
      <c r="BP45" s="174"/>
      <c r="BQ45" s="174"/>
      <c r="BR45" s="174"/>
      <c r="BS45" s="174"/>
      <c r="BT45" s="174"/>
      <c r="BU45" s="174"/>
      <c r="BV45" s="174"/>
      <c r="BW45" s="174"/>
      <c r="BX45" s="174"/>
      <c r="BY45" s="174"/>
      <c r="BZ45" s="174"/>
      <c r="CA45" s="174"/>
      <c r="CB45" s="174"/>
      <c r="CC45" s="174">
        <v>1</v>
      </c>
      <c r="CD45" s="174"/>
      <c r="CE45" s="713"/>
      <c r="CF45" s="174">
        <f t="shared" si="12"/>
        <v>1</v>
      </c>
      <c r="CG45" s="174">
        <f t="shared" si="13"/>
        <v>0</v>
      </c>
      <c r="CH45" s="174"/>
      <c r="CI45" s="174"/>
      <c r="CJ45" s="174"/>
      <c r="CK45" s="174"/>
      <c r="CL45" s="174"/>
      <c r="CM45" s="174"/>
      <c r="CN45" s="174"/>
      <c r="CO45" s="174"/>
      <c r="CP45" s="174"/>
      <c r="CQ45" s="174">
        <v>1</v>
      </c>
      <c r="CR45" s="174"/>
      <c r="CS45" s="174"/>
      <c r="CT45" s="174"/>
      <c r="CU45" s="174"/>
      <c r="CV45" s="174"/>
      <c r="CW45" s="174"/>
      <c r="CX45" s="174"/>
      <c r="CY45" s="174"/>
      <c r="CZ45" s="174"/>
      <c r="DA45" s="174"/>
      <c r="DB45" s="174"/>
      <c r="DC45" s="174"/>
      <c r="DD45" s="174"/>
      <c r="DE45" s="174"/>
      <c r="DF45" s="174"/>
      <c r="DG45" s="174"/>
      <c r="DH45" s="174"/>
      <c r="DI45" s="174"/>
      <c r="DJ45" s="174"/>
      <c r="DK45" s="174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454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</row>
    <row r="46" spans="1:162" s="56" customFormat="1">
      <c r="A46" s="54"/>
      <c r="B46" s="689"/>
      <c r="C46" s="491" t="s">
        <v>3020</v>
      </c>
      <c r="D46" s="62">
        <v>37</v>
      </c>
      <c r="E46" s="62">
        <f t="shared" si="10"/>
        <v>37</v>
      </c>
      <c r="F46" s="62"/>
      <c r="G46" s="62"/>
      <c r="H46" s="62"/>
      <c r="I46" s="62"/>
      <c r="J46" s="62"/>
      <c r="K46" s="62"/>
      <c r="L46" s="62">
        <f t="shared" si="11"/>
        <v>37</v>
      </c>
      <c r="M46" s="62"/>
      <c r="N46" s="62"/>
      <c r="O46" s="62"/>
      <c r="P46" s="62"/>
      <c r="Q46" s="62"/>
      <c r="R46" s="173" t="s">
        <v>2989</v>
      </c>
      <c r="S46" s="174"/>
      <c r="T46" s="174"/>
      <c r="U46" s="174"/>
      <c r="V46" s="174">
        <v>1</v>
      </c>
      <c r="W46" s="174"/>
      <c r="X46" s="174"/>
      <c r="Y46" s="174"/>
      <c r="Z46" s="174"/>
      <c r="AA46" s="174"/>
      <c r="AB46" s="174"/>
      <c r="AC46" s="174"/>
      <c r="AD46" s="174">
        <v>1</v>
      </c>
      <c r="AE46" s="174"/>
      <c r="AF46" s="174"/>
      <c r="AG46" s="883"/>
      <c r="AH46" s="174"/>
      <c r="AI46" s="492"/>
      <c r="AJ46" s="905"/>
      <c r="AK46" s="919"/>
      <c r="AL46" s="174"/>
      <c r="AM46" s="174"/>
      <c r="AN46" s="174"/>
      <c r="AO46" s="928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>
        <v>1</v>
      </c>
      <c r="CD46" s="174"/>
      <c r="CE46" s="713"/>
      <c r="CF46" s="174">
        <f t="shared" si="12"/>
        <v>1</v>
      </c>
      <c r="CG46" s="174">
        <f t="shared" si="13"/>
        <v>0</v>
      </c>
      <c r="CH46" s="174"/>
      <c r="CI46" s="174"/>
      <c r="CJ46" s="174"/>
      <c r="CK46" s="174"/>
      <c r="CL46" s="174"/>
      <c r="CM46" s="174"/>
      <c r="CN46" s="174"/>
      <c r="CO46" s="174">
        <v>2</v>
      </c>
      <c r="CP46" s="174"/>
      <c r="CQ46" s="174"/>
      <c r="CR46" s="174"/>
      <c r="CS46" s="174">
        <v>2</v>
      </c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/>
      <c r="DE46" s="174"/>
      <c r="DF46" s="174"/>
      <c r="DG46" s="174"/>
      <c r="DH46" s="174"/>
      <c r="DI46" s="174"/>
      <c r="DJ46" s="174"/>
      <c r="DK46" s="174"/>
      <c r="DL46" s="62">
        <v>1</v>
      </c>
      <c r="DM46" s="62"/>
      <c r="DN46" s="62"/>
      <c r="DO46" s="62"/>
      <c r="DP46" s="62"/>
      <c r="DQ46" s="62"/>
      <c r="DR46" s="62"/>
      <c r="DS46" s="62">
        <v>0.5</v>
      </c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454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</row>
    <row r="47" spans="1:162" s="56" customFormat="1">
      <c r="A47" s="54"/>
      <c r="B47" s="689"/>
      <c r="C47" s="491" t="s">
        <v>3050</v>
      </c>
      <c r="D47" s="62">
        <v>40</v>
      </c>
      <c r="E47" s="62">
        <f t="shared" si="10"/>
        <v>40</v>
      </c>
      <c r="F47" s="62"/>
      <c r="G47" s="62"/>
      <c r="H47" s="62"/>
      <c r="I47" s="62"/>
      <c r="J47" s="62"/>
      <c r="K47" s="62"/>
      <c r="L47" s="62">
        <f t="shared" si="11"/>
        <v>40</v>
      </c>
      <c r="M47" s="62"/>
      <c r="N47" s="62"/>
      <c r="O47" s="62"/>
      <c r="P47" s="62"/>
      <c r="Q47" s="62"/>
      <c r="R47" s="173" t="s">
        <v>1631</v>
      </c>
      <c r="S47" s="174"/>
      <c r="T47" s="174"/>
      <c r="U47" s="174"/>
      <c r="V47" s="174">
        <v>1</v>
      </c>
      <c r="W47" s="174"/>
      <c r="X47" s="174"/>
      <c r="Y47" s="174"/>
      <c r="Z47" s="174"/>
      <c r="AA47" s="174"/>
      <c r="AB47" s="174"/>
      <c r="AC47" s="174"/>
      <c r="AD47" s="174">
        <v>1</v>
      </c>
      <c r="AE47" s="174"/>
      <c r="AF47" s="174"/>
      <c r="AG47" s="883"/>
      <c r="AH47" s="174"/>
      <c r="AI47" s="492"/>
      <c r="AJ47" s="905"/>
      <c r="AK47" s="919"/>
      <c r="AL47" s="174"/>
      <c r="AM47" s="174"/>
      <c r="AN47" s="174"/>
      <c r="AO47" s="928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>
        <v>1</v>
      </c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>
        <v>1</v>
      </c>
      <c r="CD47" s="174"/>
      <c r="CE47" s="713"/>
      <c r="CF47" s="174">
        <f t="shared" si="12"/>
        <v>1</v>
      </c>
      <c r="CG47" s="174">
        <f t="shared" si="13"/>
        <v>0</v>
      </c>
      <c r="CH47" s="174"/>
      <c r="CI47" s="174"/>
      <c r="CJ47" s="174"/>
      <c r="CK47" s="174"/>
      <c r="CL47" s="174"/>
      <c r="CM47" s="174"/>
      <c r="CN47" s="174"/>
      <c r="CO47" s="174"/>
      <c r="CP47" s="174"/>
      <c r="CQ47" s="174">
        <v>1</v>
      </c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454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</row>
    <row r="48" spans="1:162" s="56" customFormat="1">
      <c r="A48" s="54"/>
      <c r="B48" s="689"/>
      <c r="C48" s="491" t="s">
        <v>3081</v>
      </c>
      <c r="D48" s="62">
        <v>40</v>
      </c>
      <c r="E48" s="62">
        <f t="shared" si="10"/>
        <v>40</v>
      </c>
      <c r="F48" s="62"/>
      <c r="G48" s="62"/>
      <c r="H48" s="62"/>
      <c r="I48" s="62"/>
      <c r="J48" s="62"/>
      <c r="K48" s="62"/>
      <c r="L48" s="62">
        <f t="shared" si="11"/>
        <v>40</v>
      </c>
      <c r="M48" s="62"/>
      <c r="N48" s="62"/>
      <c r="O48" s="62"/>
      <c r="P48" s="62"/>
      <c r="Q48" s="62"/>
      <c r="R48" s="173" t="s">
        <v>1903</v>
      </c>
      <c r="S48" s="174"/>
      <c r="T48" s="174"/>
      <c r="U48" s="174"/>
      <c r="V48" s="174">
        <v>2</v>
      </c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883"/>
      <c r="AH48" s="174"/>
      <c r="AI48" s="492"/>
      <c r="AJ48" s="905">
        <v>1</v>
      </c>
      <c r="AK48" s="919"/>
      <c r="AL48" s="174"/>
      <c r="AM48" s="174"/>
      <c r="AN48" s="174"/>
      <c r="AO48" s="928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>
        <v>1</v>
      </c>
      <c r="CE48" s="713"/>
      <c r="CF48" s="174">
        <f t="shared" si="12"/>
        <v>0</v>
      </c>
      <c r="CG48" s="174">
        <f t="shared" si="13"/>
        <v>2</v>
      </c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>
        <v>1</v>
      </c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454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</row>
    <row r="49" spans="1:162" s="56" customFormat="1">
      <c r="A49" s="54"/>
      <c r="B49" s="689"/>
      <c r="C49" s="491" t="s">
        <v>3022</v>
      </c>
      <c r="D49" s="62">
        <v>37</v>
      </c>
      <c r="E49" s="62">
        <f t="shared" si="10"/>
        <v>37</v>
      </c>
      <c r="F49" s="62"/>
      <c r="G49" s="62"/>
      <c r="H49" s="62"/>
      <c r="I49" s="62"/>
      <c r="J49" s="62"/>
      <c r="K49" s="62"/>
      <c r="L49" s="62">
        <f t="shared" si="11"/>
        <v>37</v>
      </c>
      <c r="M49" s="62"/>
      <c r="N49" s="62"/>
      <c r="O49" s="62"/>
      <c r="P49" s="62"/>
      <c r="Q49" s="62"/>
      <c r="R49" s="173" t="s">
        <v>1903</v>
      </c>
      <c r="S49" s="174"/>
      <c r="T49" s="174"/>
      <c r="U49" s="174"/>
      <c r="V49" s="174">
        <v>2</v>
      </c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883"/>
      <c r="AH49" s="174"/>
      <c r="AI49" s="492"/>
      <c r="AJ49" s="905">
        <v>1</v>
      </c>
      <c r="AK49" s="919"/>
      <c r="AL49" s="174"/>
      <c r="AM49" s="174"/>
      <c r="AN49" s="174"/>
      <c r="AO49" s="928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>
        <v>1</v>
      </c>
      <c r="CE49" s="713"/>
      <c r="CF49" s="174">
        <f t="shared" si="12"/>
        <v>0</v>
      </c>
      <c r="CG49" s="174">
        <f t="shared" si="13"/>
        <v>2</v>
      </c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>
        <v>1</v>
      </c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454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</row>
    <row r="50" spans="1:162" s="56" customFormat="1">
      <c r="A50" s="54"/>
      <c r="B50" s="689"/>
      <c r="C50" s="491" t="s">
        <v>3027</v>
      </c>
      <c r="D50" s="62">
        <v>36</v>
      </c>
      <c r="E50" s="62">
        <f t="shared" si="10"/>
        <v>36</v>
      </c>
      <c r="F50" s="62"/>
      <c r="G50" s="62"/>
      <c r="H50" s="62"/>
      <c r="I50" s="62"/>
      <c r="J50" s="62"/>
      <c r="K50" s="62"/>
      <c r="L50" s="62">
        <f t="shared" si="11"/>
        <v>36</v>
      </c>
      <c r="M50" s="62"/>
      <c r="N50" s="62"/>
      <c r="O50" s="62"/>
      <c r="P50" s="62"/>
      <c r="Q50" s="62"/>
      <c r="R50" s="173" t="s">
        <v>2990</v>
      </c>
      <c r="S50" s="174"/>
      <c r="T50" s="174"/>
      <c r="U50" s="174"/>
      <c r="V50" s="174">
        <v>2</v>
      </c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883"/>
      <c r="AH50" s="174"/>
      <c r="AI50" s="492"/>
      <c r="AJ50" s="905">
        <v>1</v>
      </c>
      <c r="AK50" s="919"/>
      <c r="AL50" s="174"/>
      <c r="AM50" s="174"/>
      <c r="AN50" s="174"/>
      <c r="AO50" s="928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713"/>
      <c r="CF50" s="174">
        <f t="shared" si="12"/>
        <v>0</v>
      </c>
      <c r="CG50" s="174">
        <f t="shared" si="13"/>
        <v>0</v>
      </c>
      <c r="CH50" s="174"/>
      <c r="CI50" s="174"/>
      <c r="CJ50" s="174"/>
      <c r="CK50" s="174"/>
      <c r="CL50" s="174"/>
      <c r="CM50" s="174"/>
      <c r="CN50" s="174"/>
      <c r="CO50" s="174">
        <v>1</v>
      </c>
      <c r="CP50" s="174"/>
      <c r="CQ50" s="174"/>
      <c r="CR50" s="174"/>
      <c r="CS50" s="174">
        <v>1</v>
      </c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454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</row>
    <row r="51" spans="1:162" s="56" customFormat="1">
      <c r="A51" s="54"/>
      <c r="B51" s="55"/>
      <c r="C51" s="491"/>
      <c r="D51" s="62"/>
      <c r="E51" s="62">
        <f t="shared" si="10"/>
        <v>0</v>
      </c>
      <c r="F51" s="62"/>
      <c r="G51" s="62"/>
      <c r="H51" s="62"/>
      <c r="I51" s="62"/>
      <c r="J51" s="62"/>
      <c r="K51" s="62"/>
      <c r="L51" s="62">
        <f t="shared" si="11"/>
        <v>0</v>
      </c>
      <c r="M51" s="62"/>
      <c r="N51" s="62"/>
      <c r="O51" s="62"/>
      <c r="P51" s="62"/>
      <c r="Q51" s="62"/>
      <c r="R51" s="173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883"/>
      <c r="AH51" s="174"/>
      <c r="AI51" s="492"/>
      <c r="AJ51" s="905"/>
      <c r="AK51" s="919"/>
      <c r="AL51" s="174"/>
      <c r="AM51" s="174"/>
      <c r="AN51" s="174"/>
      <c r="AO51" s="928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>
        <f t="shared" si="12"/>
        <v>0</v>
      </c>
      <c r="CG51" s="174">
        <f t="shared" si="13"/>
        <v>0</v>
      </c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454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</row>
    <row r="52" spans="1:162">
      <c r="A52" s="487">
        <f>MATCH(C52,$C$5:$C$361,0)</f>
        <v>48</v>
      </c>
      <c r="C52" s="14" t="s">
        <v>1429</v>
      </c>
      <c r="D52" s="14">
        <f t="shared" ref="D52:Q52" si="14">SUM(D28:D51)</f>
        <v>779.5</v>
      </c>
      <c r="E52" s="14">
        <f t="shared" si="14"/>
        <v>779.5</v>
      </c>
      <c r="F52" s="14">
        <f t="shared" si="14"/>
        <v>0</v>
      </c>
      <c r="G52" s="14">
        <f t="shared" si="14"/>
        <v>0</v>
      </c>
      <c r="H52" s="14">
        <f t="shared" si="14"/>
        <v>0</v>
      </c>
      <c r="I52" s="14">
        <f t="shared" si="14"/>
        <v>0</v>
      </c>
      <c r="J52" s="14">
        <f t="shared" si="14"/>
        <v>0</v>
      </c>
      <c r="K52" s="14">
        <f t="shared" si="14"/>
        <v>0</v>
      </c>
      <c r="L52" s="14">
        <f t="shared" si="14"/>
        <v>779.5</v>
      </c>
      <c r="M52" s="14">
        <f t="shared" si="14"/>
        <v>0</v>
      </c>
      <c r="N52" s="14">
        <f t="shared" si="14"/>
        <v>0</v>
      </c>
      <c r="O52" s="14">
        <f t="shared" si="14"/>
        <v>0</v>
      </c>
      <c r="P52" s="14">
        <f t="shared" si="14"/>
        <v>0</v>
      </c>
      <c r="Q52" s="14">
        <f t="shared" si="14"/>
        <v>0</v>
      </c>
      <c r="R52" s="14"/>
      <c r="S52" s="175">
        <f t="shared" ref="S52:AX52" si="15">SUM(S28:S51)</f>
        <v>0</v>
      </c>
      <c r="T52" s="175">
        <f t="shared" si="15"/>
        <v>0</v>
      </c>
      <c r="U52" s="175">
        <f t="shared" si="15"/>
        <v>0</v>
      </c>
      <c r="V52" s="175">
        <f t="shared" si="15"/>
        <v>26</v>
      </c>
      <c r="W52" s="175">
        <f t="shared" si="15"/>
        <v>0</v>
      </c>
      <c r="X52" s="175">
        <f t="shared" si="15"/>
        <v>9</v>
      </c>
      <c r="Y52" s="175">
        <f t="shared" si="15"/>
        <v>0</v>
      </c>
      <c r="Z52" s="175">
        <f t="shared" si="15"/>
        <v>0</v>
      </c>
      <c r="AA52" s="175">
        <f t="shared" si="15"/>
        <v>0</v>
      </c>
      <c r="AB52" s="175">
        <f t="shared" si="15"/>
        <v>0</v>
      </c>
      <c r="AC52" s="175">
        <f t="shared" si="15"/>
        <v>0</v>
      </c>
      <c r="AD52" s="175">
        <f t="shared" si="15"/>
        <v>8</v>
      </c>
      <c r="AE52" s="175">
        <f t="shared" si="15"/>
        <v>0</v>
      </c>
      <c r="AF52" s="175">
        <f t="shared" si="15"/>
        <v>0</v>
      </c>
      <c r="AG52" s="884">
        <f t="shared" si="15"/>
        <v>0</v>
      </c>
      <c r="AH52" s="175">
        <f t="shared" si="15"/>
        <v>0</v>
      </c>
      <c r="AI52" s="178">
        <f t="shared" si="15"/>
        <v>0</v>
      </c>
      <c r="AJ52" s="906">
        <f t="shared" si="15"/>
        <v>9</v>
      </c>
      <c r="AK52" s="920">
        <f t="shared" si="15"/>
        <v>0</v>
      </c>
      <c r="AL52" s="175">
        <f t="shared" si="15"/>
        <v>1</v>
      </c>
      <c r="AM52" s="175">
        <f t="shared" si="15"/>
        <v>0</v>
      </c>
      <c r="AN52" s="175">
        <f t="shared" si="15"/>
        <v>0</v>
      </c>
      <c r="AO52" s="929">
        <f t="shared" si="15"/>
        <v>4</v>
      </c>
      <c r="AP52" s="175">
        <f t="shared" si="15"/>
        <v>0</v>
      </c>
      <c r="AQ52" s="175">
        <f t="shared" si="15"/>
        <v>0</v>
      </c>
      <c r="AR52" s="175">
        <f t="shared" si="15"/>
        <v>0</v>
      </c>
      <c r="AS52" s="175">
        <f t="shared" si="15"/>
        <v>0</v>
      </c>
      <c r="AT52" s="175">
        <f t="shared" si="15"/>
        <v>0</v>
      </c>
      <c r="AU52" s="175">
        <f t="shared" si="15"/>
        <v>0</v>
      </c>
      <c r="AV52" s="175">
        <f t="shared" si="15"/>
        <v>0</v>
      </c>
      <c r="AW52" s="175">
        <f t="shared" si="15"/>
        <v>0</v>
      </c>
      <c r="AX52" s="175">
        <f t="shared" si="15"/>
        <v>0</v>
      </c>
      <c r="AY52" s="175">
        <f t="shared" ref="AY52:CD52" si="16">SUM(AY28:AY51)</f>
        <v>0</v>
      </c>
      <c r="AZ52" s="175">
        <f t="shared" si="16"/>
        <v>0</v>
      </c>
      <c r="BA52" s="175">
        <f t="shared" si="16"/>
        <v>0</v>
      </c>
      <c r="BB52" s="175">
        <f t="shared" si="16"/>
        <v>0</v>
      </c>
      <c r="BC52" s="175">
        <f t="shared" si="16"/>
        <v>0</v>
      </c>
      <c r="BD52" s="175">
        <f t="shared" si="16"/>
        <v>0</v>
      </c>
      <c r="BE52" s="175">
        <f t="shared" si="16"/>
        <v>0</v>
      </c>
      <c r="BF52" s="175">
        <f t="shared" si="16"/>
        <v>4</v>
      </c>
      <c r="BG52" s="175">
        <f t="shared" si="16"/>
        <v>0</v>
      </c>
      <c r="BH52" s="175">
        <f t="shared" si="16"/>
        <v>0</v>
      </c>
      <c r="BI52" s="175">
        <f t="shared" si="16"/>
        <v>0</v>
      </c>
      <c r="BJ52" s="175">
        <f t="shared" si="16"/>
        <v>2</v>
      </c>
      <c r="BK52" s="175">
        <f t="shared" si="16"/>
        <v>0</v>
      </c>
      <c r="BL52" s="175">
        <f t="shared" si="16"/>
        <v>0</v>
      </c>
      <c r="BM52" s="175">
        <f t="shared" si="16"/>
        <v>0</v>
      </c>
      <c r="BN52" s="175">
        <f t="shared" si="16"/>
        <v>0</v>
      </c>
      <c r="BO52" s="175">
        <f t="shared" si="16"/>
        <v>0</v>
      </c>
      <c r="BP52" s="175">
        <f t="shared" si="16"/>
        <v>0</v>
      </c>
      <c r="BQ52" s="175">
        <f t="shared" si="16"/>
        <v>0</v>
      </c>
      <c r="BR52" s="175">
        <f t="shared" si="16"/>
        <v>0</v>
      </c>
      <c r="BS52" s="175">
        <f t="shared" si="16"/>
        <v>0</v>
      </c>
      <c r="BT52" s="175">
        <f t="shared" si="16"/>
        <v>0</v>
      </c>
      <c r="BU52" s="175">
        <f t="shared" si="16"/>
        <v>0</v>
      </c>
      <c r="BV52" s="175">
        <f t="shared" si="16"/>
        <v>0</v>
      </c>
      <c r="BW52" s="175">
        <f t="shared" si="16"/>
        <v>0</v>
      </c>
      <c r="BX52" s="175">
        <f t="shared" si="16"/>
        <v>0</v>
      </c>
      <c r="BY52" s="175">
        <f t="shared" si="16"/>
        <v>0</v>
      </c>
      <c r="BZ52" s="175">
        <f t="shared" si="16"/>
        <v>3</v>
      </c>
      <c r="CA52" s="175">
        <f t="shared" si="16"/>
        <v>0</v>
      </c>
      <c r="CB52" s="175">
        <f t="shared" si="16"/>
        <v>0</v>
      </c>
      <c r="CC52" s="175">
        <f t="shared" si="16"/>
        <v>11</v>
      </c>
      <c r="CD52" s="175">
        <f t="shared" si="16"/>
        <v>10</v>
      </c>
      <c r="CE52" s="175">
        <f t="shared" ref="CE52:DJ52" si="17">SUM(CE28:CE51)</f>
        <v>0</v>
      </c>
      <c r="CF52" s="175">
        <f t="shared" si="17"/>
        <v>11</v>
      </c>
      <c r="CG52" s="175">
        <f t="shared" si="17"/>
        <v>20</v>
      </c>
      <c r="CH52" s="175">
        <f t="shared" si="17"/>
        <v>0</v>
      </c>
      <c r="CI52" s="175">
        <f t="shared" si="17"/>
        <v>0</v>
      </c>
      <c r="CJ52" s="175">
        <f t="shared" si="17"/>
        <v>0</v>
      </c>
      <c r="CK52" s="175">
        <f t="shared" si="17"/>
        <v>0</v>
      </c>
      <c r="CL52" s="175">
        <f t="shared" si="17"/>
        <v>0</v>
      </c>
      <c r="CM52" s="175">
        <f t="shared" si="17"/>
        <v>0</v>
      </c>
      <c r="CN52" s="175">
        <f t="shared" si="17"/>
        <v>0</v>
      </c>
      <c r="CO52" s="175">
        <f t="shared" si="17"/>
        <v>14</v>
      </c>
      <c r="CP52" s="175">
        <f t="shared" si="17"/>
        <v>0</v>
      </c>
      <c r="CQ52" s="175">
        <f t="shared" si="17"/>
        <v>9</v>
      </c>
      <c r="CR52" s="175">
        <f t="shared" si="17"/>
        <v>6</v>
      </c>
      <c r="CS52" s="175">
        <f t="shared" si="17"/>
        <v>14</v>
      </c>
      <c r="CT52" s="175">
        <f t="shared" si="17"/>
        <v>0</v>
      </c>
      <c r="CU52" s="175">
        <f t="shared" si="17"/>
        <v>0</v>
      </c>
      <c r="CV52" s="175">
        <f t="shared" si="17"/>
        <v>0</v>
      </c>
      <c r="CW52" s="175">
        <f t="shared" si="17"/>
        <v>0</v>
      </c>
      <c r="CX52" s="175">
        <f t="shared" si="17"/>
        <v>3</v>
      </c>
      <c r="CY52" s="175">
        <f t="shared" si="17"/>
        <v>3</v>
      </c>
      <c r="CZ52" s="175">
        <f t="shared" si="17"/>
        <v>2</v>
      </c>
      <c r="DA52" s="175">
        <f t="shared" si="17"/>
        <v>0</v>
      </c>
      <c r="DB52" s="175">
        <f t="shared" si="17"/>
        <v>2</v>
      </c>
      <c r="DC52" s="175">
        <f t="shared" si="17"/>
        <v>0</v>
      </c>
      <c r="DD52" s="175">
        <f t="shared" si="17"/>
        <v>0</v>
      </c>
      <c r="DE52" s="175">
        <f t="shared" si="17"/>
        <v>0</v>
      </c>
      <c r="DF52" s="175">
        <f t="shared" si="17"/>
        <v>0</v>
      </c>
      <c r="DG52" s="175">
        <f t="shared" si="17"/>
        <v>0</v>
      </c>
      <c r="DH52" s="175">
        <f t="shared" si="17"/>
        <v>0</v>
      </c>
      <c r="DI52" s="175">
        <f t="shared" si="17"/>
        <v>1</v>
      </c>
      <c r="DJ52" s="175">
        <f t="shared" si="17"/>
        <v>0</v>
      </c>
      <c r="DK52" s="175">
        <f t="shared" ref="DK52:ED52" si="18">SUM(DK28:DK51)</f>
        <v>2</v>
      </c>
      <c r="DL52" s="14">
        <f t="shared" si="18"/>
        <v>3.5</v>
      </c>
      <c r="DM52" s="14">
        <f t="shared" si="18"/>
        <v>0</v>
      </c>
      <c r="DN52" s="14">
        <f t="shared" si="18"/>
        <v>0</v>
      </c>
      <c r="DO52" s="14">
        <f t="shared" si="18"/>
        <v>0</v>
      </c>
      <c r="DP52" s="14">
        <f t="shared" si="18"/>
        <v>0</v>
      </c>
      <c r="DQ52" s="14">
        <f t="shared" si="18"/>
        <v>0</v>
      </c>
      <c r="DR52" s="14">
        <f t="shared" si="18"/>
        <v>0</v>
      </c>
      <c r="DS52" s="14">
        <f t="shared" si="18"/>
        <v>2</v>
      </c>
      <c r="DT52" s="14">
        <f t="shared" si="18"/>
        <v>5</v>
      </c>
      <c r="DU52" s="14">
        <f t="shared" si="18"/>
        <v>0</v>
      </c>
      <c r="DV52" s="14">
        <f t="shared" si="18"/>
        <v>0</v>
      </c>
      <c r="DW52" s="14">
        <f t="shared" si="18"/>
        <v>0</v>
      </c>
      <c r="DX52" s="14">
        <f t="shared" si="18"/>
        <v>0</v>
      </c>
      <c r="DY52" s="14">
        <f t="shared" si="18"/>
        <v>0</v>
      </c>
      <c r="DZ52" s="14">
        <f t="shared" si="18"/>
        <v>0</v>
      </c>
      <c r="EA52" s="14">
        <f t="shared" si="18"/>
        <v>0</v>
      </c>
      <c r="EB52" s="14">
        <f t="shared" si="18"/>
        <v>0</v>
      </c>
      <c r="EC52" s="14">
        <f t="shared" si="18"/>
        <v>0</v>
      </c>
      <c r="ED52" s="14">
        <f t="shared" si="18"/>
        <v>0</v>
      </c>
      <c r="EE52" s="508"/>
      <c r="EF52" s="14">
        <f t="shared" ref="EF52:FE52" si="19">SUM(EF28:EF51)</f>
        <v>0</v>
      </c>
      <c r="EG52" s="14">
        <f t="shared" si="19"/>
        <v>0</v>
      </c>
      <c r="EH52" s="14">
        <f t="shared" si="19"/>
        <v>0</v>
      </c>
      <c r="EI52" s="14">
        <f t="shared" si="19"/>
        <v>0</v>
      </c>
      <c r="EJ52" s="14">
        <f t="shared" si="19"/>
        <v>0</v>
      </c>
      <c r="EK52" s="14">
        <f t="shared" si="19"/>
        <v>0</v>
      </c>
      <c r="EL52" s="14">
        <f t="shared" si="19"/>
        <v>0</v>
      </c>
      <c r="EM52" s="14">
        <f t="shared" si="19"/>
        <v>0</v>
      </c>
      <c r="EN52" s="14">
        <f t="shared" si="19"/>
        <v>0</v>
      </c>
      <c r="EO52" s="14">
        <f t="shared" si="19"/>
        <v>0</v>
      </c>
      <c r="EP52" s="14">
        <f t="shared" si="19"/>
        <v>0</v>
      </c>
      <c r="EQ52" s="14">
        <f t="shared" si="19"/>
        <v>0</v>
      </c>
      <c r="ER52" s="14">
        <f t="shared" si="19"/>
        <v>0</v>
      </c>
      <c r="ES52" s="14">
        <f t="shared" si="19"/>
        <v>0</v>
      </c>
      <c r="ET52" s="14">
        <f t="shared" si="19"/>
        <v>0</v>
      </c>
      <c r="EU52" s="14">
        <f t="shared" si="19"/>
        <v>0</v>
      </c>
      <c r="EV52" s="14">
        <f t="shared" si="19"/>
        <v>0</v>
      </c>
      <c r="EW52" s="14">
        <f t="shared" si="19"/>
        <v>0</v>
      </c>
      <c r="EX52" s="14">
        <f t="shared" si="19"/>
        <v>0</v>
      </c>
      <c r="EY52" s="14">
        <f t="shared" si="19"/>
        <v>0</v>
      </c>
      <c r="EZ52" s="14">
        <f t="shared" si="19"/>
        <v>0</v>
      </c>
      <c r="FA52" s="14">
        <f t="shared" si="19"/>
        <v>0</v>
      </c>
      <c r="FB52" s="14">
        <f t="shared" si="19"/>
        <v>0</v>
      </c>
      <c r="FC52" s="14">
        <f t="shared" si="19"/>
        <v>0</v>
      </c>
      <c r="FD52" s="14">
        <f t="shared" si="19"/>
        <v>0</v>
      </c>
      <c r="FE52" s="14">
        <f t="shared" si="19"/>
        <v>0</v>
      </c>
      <c r="FF52" s="14"/>
    </row>
    <row r="53" spans="1:162">
      <c r="A53" s="54"/>
      <c r="B53" s="55" t="s">
        <v>2581</v>
      </c>
      <c r="C53" s="11" t="s">
        <v>3594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885"/>
      <c r="AH53" s="176"/>
      <c r="AI53" s="897"/>
      <c r="AJ53" s="907"/>
      <c r="AK53" s="921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  <c r="BD53" s="176"/>
      <c r="BE53" s="176"/>
      <c r="BF53" s="176"/>
      <c r="BG53" s="176"/>
      <c r="BH53" s="176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/>
      <c r="CK53" s="176"/>
      <c r="CL53" s="176"/>
      <c r="CM53" s="176"/>
      <c r="CN53" s="176"/>
      <c r="CO53" s="176"/>
      <c r="CP53" s="176"/>
      <c r="CQ53" s="176"/>
      <c r="CR53" s="176"/>
      <c r="CS53" s="176"/>
      <c r="CT53" s="176"/>
      <c r="CU53" s="176"/>
      <c r="CV53" s="176"/>
      <c r="CW53" s="176"/>
      <c r="CX53" s="176"/>
      <c r="CY53" s="176"/>
      <c r="CZ53" s="176"/>
      <c r="DA53" s="176"/>
      <c r="DB53" s="176"/>
      <c r="DC53" s="176"/>
      <c r="DD53" s="176"/>
      <c r="DE53" s="176"/>
      <c r="DF53" s="176"/>
      <c r="DG53" s="176"/>
      <c r="DH53" s="176"/>
      <c r="DI53" s="176"/>
      <c r="DJ53" s="176"/>
      <c r="DK53" s="176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503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3"/>
    </row>
    <row r="54" spans="1:162" s="56" customFormat="1">
      <c r="A54" s="54"/>
      <c r="B54" s="55"/>
      <c r="C54" s="491" t="s">
        <v>3909</v>
      </c>
      <c r="D54" s="62"/>
      <c r="E54" s="62">
        <f>D54</f>
        <v>0</v>
      </c>
      <c r="F54" s="62"/>
      <c r="G54" s="62"/>
      <c r="H54" s="62"/>
      <c r="I54" s="62"/>
      <c r="J54" s="62"/>
      <c r="K54" s="62"/>
      <c r="L54" s="62">
        <f>D54</f>
        <v>0</v>
      </c>
      <c r="M54" s="62"/>
      <c r="N54" s="62"/>
      <c r="O54" s="62"/>
      <c r="P54" s="62"/>
      <c r="Q54" s="62"/>
      <c r="R54" s="173" t="s">
        <v>3005</v>
      </c>
      <c r="S54" s="174"/>
      <c r="T54" s="174"/>
      <c r="U54" s="174"/>
      <c r="V54" s="174">
        <v>1</v>
      </c>
      <c r="W54" s="174"/>
      <c r="X54" s="174"/>
      <c r="Y54" s="174"/>
      <c r="Z54" s="174"/>
      <c r="AA54" s="174"/>
      <c r="AB54" s="174"/>
      <c r="AC54" s="174"/>
      <c r="AD54" s="174">
        <v>1</v>
      </c>
      <c r="AE54" s="174"/>
      <c r="AF54" s="174"/>
      <c r="AG54" s="883"/>
      <c r="AH54" s="174"/>
      <c r="AI54" s="492"/>
      <c r="AJ54" s="905"/>
      <c r="AK54" s="919"/>
      <c r="AL54" s="174"/>
      <c r="AM54" s="174"/>
      <c r="AN54" s="174"/>
      <c r="AO54" s="928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>
        <v>1</v>
      </c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>
        <v>1</v>
      </c>
      <c r="CD54" s="174"/>
      <c r="CE54" s="174">
        <v>2</v>
      </c>
      <c r="CF54" s="174">
        <v>3</v>
      </c>
      <c r="CG54" s="174"/>
      <c r="CH54" s="174"/>
      <c r="CI54" s="174"/>
      <c r="CJ54" s="174"/>
      <c r="CK54" s="174"/>
      <c r="CL54" s="174"/>
      <c r="CM54" s="174"/>
      <c r="CN54" s="174"/>
      <c r="CO54" s="174">
        <v>1</v>
      </c>
      <c r="CP54" s="174"/>
      <c r="CQ54" s="174">
        <v>1</v>
      </c>
      <c r="CR54" s="174"/>
      <c r="CS54" s="174">
        <v>1</v>
      </c>
      <c r="CT54" s="174"/>
      <c r="CU54" s="174"/>
      <c r="CV54" s="174"/>
      <c r="CW54" s="174"/>
      <c r="CX54" s="174">
        <v>1</v>
      </c>
      <c r="CY54" s="174">
        <v>1</v>
      </c>
      <c r="CZ54" s="174">
        <v>1</v>
      </c>
      <c r="DA54" s="174"/>
      <c r="DB54" s="174">
        <v>2</v>
      </c>
      <c r="DC54" s="174"/>
      <c r="DD54" s="174"/>
      <c r="DE54" s="174"/>
      <c r="DF54" s="174"/>
      <c r="DG54" s="174"/>
      <c r="DH54" s="174"/>
      <c r="DI54" s="174"/>
      <c r="DJ54" s="174"/>
      <c r="DK54" s="174"/>
      <c r="DL54" s="62">
        <v>0.5</v>
      </c>
      <c r="DM54" s="62"/>
      <c r="DN54" s="62"/>
      <c r="DO54" s="62"/>
      <c r="DP54" s="62"/>
      <c r="DQ54" s="62"/>
      <c r="DR54" s="62"/>
      <c r="DS54" s="62">
        <v>0.5</v>
      </c>
      <c r="DT54" s="62">
        <v>1</v>
      </c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454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</row>
    <row r="55" spans="1:162" s="56" customFormat="1">
      <c r="A55" s="54"/>
      <c r="B55" s="55"/>
      <c r="C55" s="491" t="s">
        <v>3006</v>
      </c>
      <c r="D55" s="62">
        <v>25</v>
      </c>
      <c r="E55" s="62">
        <f t="shared" ref="E55:E71" si="20">D55</f>
        <v>25</v>
      </c>
      <c r="F55" s="62"/>
      <c r="G55" s="62"/>
      <c r="H55" s="62"/>
      <c r="I55" s="62"/>
      <c r="J55" s="62"/>
      <c r="K55" s="62"/>
      <c r="L55" s="62">
        <f t="shared" ref="L55:L71" si="21">D55</f>
        <v>25</v>
      </c>
      <c r="M55" s="62"/>
      <c r="N55" s="62"/>
      <c r="O55" s="62"/>
      <c r="P55" s="62"/>
      <c r="Q55" s="62"/>
      <c r="R55" s="173" t="s">
        <v>2989</v>
      </c>
      <c r="S55" s="174"/>
      <c r="T55" s="174"/>
      <c r="U55" s="174"/>
      <c r="V55" s="174">
        <v>1</v>
      </c>
      <c r="W55" s="174"/>
      <c r="X55" s="174"/>
      <c r="Y55" s="174"/>
      <c r="Z55" s="174"/>
      <c r="AA55" s="174"/>
      <c r="AB55" s="174"/>
      <c r="AC55" s="174"/>
      <c r="AD55" s="174">
        <v>1</v>
      </c>
      <c r="AE55" s="174"/>
      <c r="AF55" s="174"/>
      <c r="AG55" s="883"/>
      <c r="AH55" s="174"/>
      <c r="AI55" s="492"/>
      <c r="AJ55" s="905"/>
      <c r="AK55" s="919"/>
      <c r="AL55" s="174"/>
      <c r="AM55" s="174"/>
      <c r="AN55" s="174"/>
      <c r="AO55" s="928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>
        <v>1</v>
      </c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>
        <v>1</v>
      </c>
      <c r="CA55" s="174"/>
      <c r="CB55" s="174"/>
      <c r="CC55" s="174"/>
      <c r="CD55" s="174"/>
      <c r="CE55" s="174"/>
      <c r="CF55" s="174">
        <f t="shared" ref="CF55:CF72" si="22">CC55</f>
        <v>0</v>
      </c>
      <c r="CG55" s="174">
        <f t="shared" ref="CG55:CG72" si="23">CD55*2</f>
        <v>0</v>
      </c>
      <c r="CH55" s="174"/>
      <c r="CI55" s="174"/>
      <c r="CJ55" s="174"/>
      <c r="CK55" s="174"/>
      <c r="CL55" s="174"/>
      <c r="CM55" s="174"/>
      <c r="CN55" s="174"/>
      <c r="CO55" s="174">
        <v>2</v>
      </c>
      <c r="CP55" s="174"/>
      <c r="CQ55" s="174"/>
      <c r="CR55" s="174"/>
      <c r="CS55" s="174">
        <v>2</v>
      </c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>
        <v>1</v>
      </c>
      <c r="DJ55" s="174"/>
      <c r="DK55" s="174"/>
      <c r="DL55" s="62">
        <v>1</v>
      </c>
      <c r="DM55" s="62"/>
      <c r="DN55" s="62"/>
      <c r="DO55" s="62"/>
      <c r="DP55" s="62"/>
      <c r="DQ55" s="62"/>
      <c r="DR55" s="62"/>
      <c r="DS55" s="62">
        <v>1</v>
      </c>
      <c r="DT55" s="62">
        <v>2</v>
      </c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454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</row>
    <row r="56" spans="1:162" s="56" customFormat="1">
      <c r="A56" s="54"/>
      <c r="B56" s="55"/>
      <c r="C56" s="491" t="s">
        <v>2991</v>
      </c>
      <c r="D56" s="62">
        <v>40</v>
      </c>
      <c r="E56" s="62">
        <f t="shared" si="20"/>
        <v>40</v>
      </c>
      <c r="F56" s="62"/>
      <c r="G56" s="62"/>
      <c r="H56" s="62"/>
      <c r="I56" s="62"/>
      <c r="J56" s="62"/>
      <c r="K56" s="62"/>
      <c r="L56" s="62">
        <f t="shared" si="21"/>
        <v>40</v>
      </c>
      <c r="M56" s="62"/>
      <c r="N56" s="62"/>
      <c r="O56" s="62"/>
      <c r="P56" s="62"/>
      <c r="Q56" s="62"/>
      <c r="R56" s="173" t="s">
        <v>1631</v>
      </c>
      <c r="S56" s="174"/>
      <c r="T56" s="174"/>
      <c r="U56" s="174"/>
      <c r="V56" s="174">
        <v>1</v>
      </c>
      <c r="W56" s="174"/>
      <c r="X56" s="174"/>
      <c r="Y56" s="174"/>
      <c r="Z56" s="174"/>
      <c r="AA56" s="174"/>
      <c r="AB56" s="174"/>
      <c r="AC56" s="174"/>
      <c r="AD56" s="174">
        <v>1</v>
      </c>
      <c r="AE56" s="174"/>
      <c r="AF56" s="174"/>
      <c r="AG56" s="883"/>
      <c r="AH56" s="174"/>
      <c r="AI56" s="492"/>
      <c r="AJ56" s="905"/>
      <c r="AK56" s="919"/>
      <c r="AL56" s="174"/>
      <c r="AM56" s="174"/>
      <c r="AN56" s="174"/>
      <c r="AO56" s="928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>
        <v>1</v>
      </c>
      <c r="CD56" s="174"/>
      <c r="CE56" s="174"/>
      <c r="CF56" s="174">
        <f t="shared" si="22"/>
        <v>1</v>
      </c>
      <c r="CG56" s="174">
        <f t="shared" si="23"/>
        <v>0</v>
      </c>
      <c r="CH56" s="174"/>
      <c r="CI56" s="174"/>
      <c r="CJ56" s="174"/>
      <c r="CK56" s="174"/>
      <c r="CL56" s="174"/>
      <c r="CM56" s="174"/>
      <c r="CN56" s="174"/>
      <c r="CO56" s="174"/>
      <c r="CP56" s="174"/>
      <c r="CQ56" s="174">
        <v>1</v>
      </c>
      <c r="CR56" s="174"/>
      <c r="CS56" s="174"/>
      <c r="CT56" s="174"/>
      <c r="CU56" s="174"/>
      <c r="CV56" s="174"/>
      <c r="CW56" s="174"/>
      <c r="CX56" s="174">
        <v>1</v>
      </c>
      <c r="CY56" s="174">
        <v>1</v>
      </c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62"/>
      <c r="DM56" s="62"/>
      <c r="DN56" s="62"/>
      <c r="DO56" s="62"/>
      <c r="DP56" s="62"/>
      <c r="DQ56" s="62"/>
      <c r="DR56" s="62"/>
      <c r="DS56" s="62"/>
      <c r="DT56" s="711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454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</row>
    <row r="57" spans="1:162" s="56" customFormat="1">
      <c r="A57" s="54"/>
      <c r="B57" s="55"/>
      <c r="C57" s="491" t="s">
        <v>2992</v>
      </c>
      <c r="D57" s="62">
        <v>40</v>
      </c>
      <c r="E57" s="62">
        <f t="shared" si="20"/>
        <v>40</v>
      </c>
      <c r="F57" s="62"/>
      <c r="G57" s="62"/>
      <c r="H57" s="62"/>
      <c r="I57" s="62"/>
      <c r="J57" s="62"/>
      <c r="K57" s="62"/>
      <c r="L57" s="62">
        <f t="shared" si="21"/>
        <v>40</v>
      </c>
      <c r="M57" s="62"/>
      <c r="N57" s="62"/>
      <c r="O57" s="62"/>
      <c r="P57" s="62"/>
      <c r="Q57" s="62"/>
      <c r="R57" s="173" t="s">
        <v>1631</v>
      </c>
      <c r="S57" s="174"/>
      <c r="T57" s="174"/>
      <c r="U57" s="174"/>
      <c r="V57" s="174">
        <v>1</v>
      </c>
      <c r="W57" s="174"/>
      <c r="X57" s="174"/>
      <c r="Y57" s="174"/>
      <c r="Z57" s="174"/>
      <c r="AA57" s="174"/>
      <c r="AB57" s="174"/>
      <c r="AC57" s="174"/>
      <c r="AD57" s="174">
        <v>1</v>
      </c>
      <c r="AE57" s="174"/>
      <c r="AF57" s="174"/>
      <c r="AG57" s="883"/>
      <c r="AH57" s="174"/>
      <c r="AI57" s="492"/>
      <c r="AJ57" s="905"/>
      <c r="AK57" s="919"/>
      <c r="AL57" s="174"/>
      <c r="AM57" s="174"/>
      <c r="AN57" s="174"/>
      <c r="AO57" s="928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>
        <v>1</v>
      </c>
      <c r="CD57" s="174"/>
      <c r="CE57" s="174"/>
      <c r="CF57" s="174">
        <f t="shared" si="22"/>
        <v>1</v>
      </c>
      <c r="CG57" s="174">
        <f t="shared" si="23"/>
        <v>0</v>
      </c>
      <c r="CH57" s="174"/>
      <c r="CI57" s="174"/>
      <c r="CJ57" s="174"/>
      <c r="CK57" s="174"/>
      <c r="CL57" s="174"/>
      <c r="CM57" s="174"/>
      <c r="CN57" s="174"/>
      <c r="CO57" s="174"/>
      <c r="CP57" s="174"/>
      <c r="CQ57" s="174">
        <v>1</v>
      </c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  <c r="DK57" s="174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454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</row>
    <row r="58" spans="1:162" s="56" customFormat="1">
      <c r="A58" s="54"/>
      <c r="B58" s="55"/>
      <c r="C58" s="491" t="s">
        <v>2993</v>
      </c>
      <c r="D58" s="62">
        <v>40</v>
      </c>
      <c r="E58" s="62">
        <f t="shared" si="20"/>
        <v>40</v>
      </c>
      <c r="F58" s="62"/>
      <c r="G58" s="62"/>
      <c r="H58" s="62"/>
      <c r="I58" s="62"/>
      <c r="J58" s="62"/>
      <c r="K58" s="62"/>
      <c r="L58" s="62">
        <f t="shared" si="21"/>
        <v>40</v>
      </c>
      <c r="M58" s="62"/>
      <c r="N58" s="62"/>
      <c r="O58" s="62"/>
      <c r="P58" s="62"/>
      <c r="Q58" s="62"/>
      <c r="R58" s="173" t="s">
        <v>1631</v>
      </c>
      <c r="S58" s="174"/>
      <c r="T58" s="174"/>
      <c r="U58" s="174"/>
      <c r="V58" s="174">
        <v>1</v>
      </c>
      <c r="W58" s="174"/>
      <c r="X58" s="174"/>
      <c r="Y58" s="174"/>
      <c r="Z58" s="174"/>
      <c r="AA58" s="174"/>
      <c r="AB58" s="174"/>
      <c r="AC58" s="174"/>
      <c r="AD58" s="174">
        <v>1</v>
      </c>
      <c r="AE58" s="174"/>
      <c r="AF58" s="174"/>
      <c r="AG58" s="883"/>
      <c r="AH58" s="174"/>
      <c r="AI58" s="492"/>
      <c r="AJ58" s="905"/>
      <c r="AK58" s="919"/>
      <c r="AL58" s="174"/>
      <c r="AM58" s="174"/>
      <c r="AN58" s="174"/>
      <c r="AO58" s="928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>
        <v>1</v>
      </c>
      <c r="CD58" s="174"/>
      <c r="CE58" s="174"/>
      <c r="CF58" s="174">
        <f t="shared" si="22"/>
        <v>1</v>
      </c>
      <c r="CG58" s="174">
        <f t="shared" si="23"/>
        <v>0</v>
      </c>
      <c r="CH58" s="174"/>
      <c r="CI58" s="174"/>
      <c r="CJ58" s="174"/>
      <c r="CK58" s="174"/>
      <c r="CL58" s="174"/>
      <c r="CM58" s="174"/>
      <c r="CN58" s="174"/>
      <c r="CO58" s="174"/>
      <c r="CP58" s="174"/>
      <c r="CQ58" s="174">
        <v>1</v>
      </c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454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</row>
    <row r="59" spans="1:162" s="56" customFormat="1">
      <c r="A59" s="54"/>
      <c r="B59" s="55"/>
      <c r="C59" s="491" t="s">
        <v>2994</v>
      </c>
      <c r="D59" s="62">
        <v>40</v>
      </c>
      <c r="E59" s="62">
        <f t="shared" si="20"/>
        <v>40</v>
      </c>
      <c r="F59" s="62"/>
      <c r="G59" s="62"/>
      <c r="H59" s="62"/>
      <c r="I59" s="62"/>
      <c r="J59" s="62"/>
      <c r="K59" s="62"/>
      <c r="L59" s="62">
        <f t="shared" si="21"/>
        <v>40</v>
      </c>
      <c r="M59" s="62"/>
      <c r="N59" s="62"/>
      <c r="O59" s="62"/>
      <c r="P59" s="62"/>
      <c r="Q59" s="62"/>
      <c r="R59" s="173" t="s">
        <v>1631</v>
      </c>
      <c r="S59" s="174"/>
      <c r="T59" s="174"/>
      <c r="U59" s="174"/>
      <c r="V59" s="174">
        <v>1</v>
      </c>
      <c r="W59" s="174"/>
      <c r="X59" s="174"/>
      <c r="Y59" s="174"/>
      <c r="Z59" s="174"/>
      <c r="AA59" s="174"/>
      <c r="AB59" s="174"/>
      <c r="AC59" s="174"/>
      <c r="AD59" s="174">
        <v>1</v>
      </c>
      <c r="AE59" s="174"/>
      <c r="AF59" s="174"/>
      <c r="AG59" s="883"/>
      <c r="AH59" s="174"/>
      <c r="AI59" s="492"/>
      <c r="AJ59" s="905"/>
      <c r="AK59" s="919"/>
      <c r="AL59" s="174"/>
      <c r="AM59" s="174"/>
      <c r="AN59" s="174"/>
      <c r="AO59" s="928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>
        <v>1</v>
      </c>
      <c r="CD59" s="174"/>
      <c r="CE59" s="174"/>
      <c r="CF59" s="174">
        <f t="shared" si="22"/>
        <v>1</v>
      </c>
      <c r="CG59" s="174">
        <f t="shared" si="23"/>
        <v>0</v>
      </c>
      <c r="CH59" s="174"/>
      <c r="CI59" s="174"/>
      <c r="CJ59" s="174"/>
      <c r="CK59" s="174"/>
      <c r="CL59" s="174"/>
      <c r="CM59" s="174"/>
      <c r="CN59" s="174"/>
      <c r="CO59" s="174"/>
      <c r="CP59" s="174"/>
      <c r="CQ59" s="174">
        <v>1</v>
      </c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  <c r="DK59" s="174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454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</row>
    <row r="60" spans="1:162" s="56" customFormat="1">
      <c r="A60" s="54"/>
      <c r="B60" s="55"/>
      <c r="C60" s="491" t="s">
        <v>2995</v>
      </c>
      <c r="D60" s="62">
        <v>40</v>
      </c>
      <c r="E60" s="62">
        <f t="shared" si="20"/>
        <v>40</v>
      </c>
      <c r="F60" s="62"/>
      <c r="G60" s="62"/>
      <c r="H60" s="62"/>
      <c r="I60" s="62"/>
      <c r="J60" s="62"/>
      <c r="K60" s="62"/>
      <c r="L60" s="62">
        <f t="shared" si="21"/>
        <v>40</v>
      </c>
      <c r="M60" s="62"/>
      <c r="N60" s="62"/>
      <c r="O60" s="62"/>
      <c r="P60" s="62"/>
      <c r="Q60" s="62"/>
      <c r="R60" s="173" t="s">
        <v>1631</v>
      </c>
      <c r="S60" s="174"/>
      <c r="T60" s="174"/>
      <c r="U60" s="174"/>
      <c r="V60" s="174">
        <v>1</v>
      </c>
      <c r="W60" s="174"/>
      <c r="X60" s="174"/>
      <c r="Y60" s="174"/>
      <c r="Z60" s="174"/>
      <c r="AA60" s="174"/>
      <c r="AB60" s="174"/>
      <c r="AC60" s="174"/>
      <c r="AD60" s="174">
        <v>1</v>
      </c>
      <c r="AE60" s="174"/>
      <c r="AF60" s="174"/>
      <c r="AG60" s="883"/>
      <c r="AH60" s="174"/>
      <c r="AI60" s="492"/>
      <c r="AJ60" s="905"/>
      <c r="AK60" s="919"/>
      <c r="AL60" s="174"/>
      <c r="AM60" s="174"/>
      <c r="AN60" s="174"/>
      <c r="AO60" s="928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>
        <v>1</v>
      </c>
      <c r="CD60" s="174"/>
      <c r="CE60" s="174"/>
      <c r="CF60" s="174">
        <f t="shared" si="22"/>
        <v>1</v>
      </c>
      <c r="CG60" s="174">
        <f t="shared" si="23"/>
        <v>0</v>
      </c>
      <c r="CH60" s="174"/>
      <c r="CI60" s="174"/>
      <c r="CJ60" s="174"/>
      <c r="CK60" s="174"/>
      <c r="CL60" s="174"/>
      <c r="CM60" s="174"/>
      <c r="CN60" s="174"/>
      <c r="CO60" s="174"/>
      <c r="CP60" s="174"/>
      <c r="CQ60" s="174">
        <v>1</v>
      </c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454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</row>
    <row r="61" spans="1:162" s="56" customFormat="1">
      <c r="A61" s="54"/>
      <c r="B61" s="55"/>
      <c r="C61" s="491" t="s">
        <v>2996</v>
      </c>
      <c r="D61" s="62">
        <v>40</v>
      </c>
      <c r="E61" s="62">
        <f t="shared" si="20"/>
        <v>40</v>
      </c>
      <c r="F61" s="62"/>
      <c r="G61" s="62"/>
      <c r="H61" s="62"/>
      <c r="I61" s="62"/>
      <c r="J61" s="62"/>
      <c r="K61" s="62"/>
      <c r="L61" s="62">
        <f t="shared" si="21"/>
        <v>40</v>
      </c>
      <c r="M61" s="62"/>
      <c r="N61" s="62"/>
      <c r="O61" s="62"/>
      <c r="P61" s="62"/>
      <c r="Q61" s="62"/>
      <c r="R61" s="173" t="s">
        <v>1631</v>
      </c>
      <c r="S61" s="174"/>
      <c r="T61" s="174"/>
      <c r="U61" s="174"/>
      <c r="V61" s="174">
        <v>1</v>
      </c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883">
        <v>1</v>
      </c>
      <c r="AH61" s="174"/>
      <c r="AI61" s="492"/>
      <c r="AJ61" s="905"/>
      <c r="AK61" s="919"/>
      <c r="AL61" s="174"/>
      <c r="AM61" s="174"/>
      <c r="AN61" s="174"/>
      <c r="AO61" s="928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>
        <v>1</v>
      </c>
      <c r="CD61" s="174"/>
      <c r="CE61" s="174"/>
      <c r="CF61" s="174">
        <f t="shared" si="22"/>
        <v>1</v>
      </c>
      <c r="CG61" s="174">
        <f t="shared" si="23"/>
        <v>0</v>
      </c>
      <c r="CH61" s="174"/>
      <c r="CI61" s="174"/>
      <c r="CJ61" s="174"/>
      <c r="CK61" s="174"/>
      <c r="CL61" s="174"/>
      <c r="CM61" s="174"/>
      <c r="CN61" s="174"/>
      <c r="CO61" s="174"/>
      <c r="CP61" s="174"/>
      <c r="CQ61" s="174">
        <v>1</v>
      </c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454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</row>
    <row r="62" spans="1:162" s="56" customFormat="1">
      <c r="A62" s="54"/>
      <c r="B62" s="55"/>
      <c r="C62" s="491" t="s">
        <v>2997</v>
      </c>
      <c r="D62" s="62">
        <v>40</v>
      </c>
      <c r="E62" s="62">
        <f t="shared" si="20"/>
        <v>40</v>
      </c>
      <c r="F62" s="62"/>
      <c r="G62" s="62"/>
      <c r="H62" s="62"/>
      <c r="I62" s="62"/>
      <c r="J62" s="62"/>
      <c r="K62" s="62"/>
      <c r="L62" s="62">
        <f t="shared" si="21"/>
        <v>40</v>
      </c>
      <c r="M62" s="62"/>
      <c r="N62" s="62"/>
      <c r="O62" s="62"/>
      <c r="P62" s="62"/>
      <c r="Q62" s="62"/>
      <c r="R62" s="173" t="s">
        <v>1631</v>
      </c>
      <c r="S62" s="174"/>
      <c r="T62" s="174"/>
      <c r="U62" s="174"/>
      <c r="V62" s="174">
        <v>1</v>
      </c>
      <c r="W62" s="174"/>
      <c r="X62" s="174"/>
      <c r="Y62" s="174"/>
      <c r="Z62" s="174"/>
      <c r="AA62" s="174"/>
      <c r="AB62" s="174"/>
      <c r="AC62" s="174"/>
      <c r="AD62" s="174">
        <v>1</v>
      </c>
      <c r="AE62" s="174"/>
      <c r="AF62" s="174"/>
      <c r="AG62" s="883"/>
      <c r="AH62" s="174"/>
      <c r="AI62" s="492"/>
      <c r="AJ62" s="905"/>
      <c r="AK62" s="919"/>
      <c r="AL62" s="174"/>
      <c r="AM62" s="174"/>
      <c r="AN62" s="174"/>
      <c r="AO62" s="928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>
        <v>1</v>
      </c>
      <c r="CD62" s="174"/>
      <c r="CE62" s="174"/>
      <c r="CF62" s="174">
        <f t="shared" si="22"/>
        <v>1</v>
      </c>
      <c r="CG62" s="174">
        <f t="shared" si="23"/>
        <v>0</v>
      </c>
      <c r="CH62" s="174"/>
      <c r="CI62" s="174"/>
      <c r="CJ62" s="174"/>
      <c r="CK62" s="174"/>
      <c r="CL62" s="174"/>
      <c r="CM62" s="174"/>
      <c r="CN62" s="174"/>
      <c r="CO62" s="174"/>
      <c r="CP62" s="174"/>
      <c r="CQ62" s="174">
        <v>1</v>
      </c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454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</row>
    <row r="63" spans="1:162" s="56" customFormat="1">
      <c r="A63" s="54"/>
      <c r="B63" s="55"/>
      <c r="C63" s="491" t="s">
        <v>2998</v>
      </c>
      <c r="D63" s="62">
        <v>40</v>
      </c>
      <c r="E63" s="62">
        <f t="shared" si="20"/>
        <v>40</v>
      </c>
      <c r="F63" s="62"/>
      <c r="G63" s="62"/>
      <c r="H63" s="62"/>
      <c r="I63" s="62"/>
      <c r="J63" s="62"/>
      <c r="K63" s="62"/>
      <c r="L63" s="62">
        <f t="shared" si="21"/>
        <v>40</v>
      </c>
      <c r="M63" s="62"/>
      <c r="N63" s="62"/>
      <c r="O63" s="62"/>
      <c r="P63" s="62"/>
      <c r="Q63" s="62"/>
      <c r="R63" s="173" t="s">
        <v>1631</v>
      </c>
      <c r="S63" s="174"/>
      <c r="T63" s="174"/>
      <c r="U63" s="174"/>
      <c r="V63" s="174">
        <v>1</v>
      </c>
      <c r="W63" s="174"/>
      <c r="X63" s="174"/>
      <c r="Y63" s="174"/>
      <c r="Z63" s="174"/>
      <c r="AA63" s="174"/>
      <c r="AB63" s="174"/>
      <c r="AC63" s="174"/>
      <c r="AD63" s="174">
        <v>1</v>
      </c>
      <c r="AE63" s="174"/>
      <c r="AF63" s="174"/>
      <c r="AG63" s="883"/>
      <c r="AH63" s="174"/>
      <c r="AI63" s="492"/>
      <c r="AJ63" s="905"/>
      <c r="AK63" s="919"/>
      <c r="AL63" s="174"/>
      <c r="AM63" s="174"/>
      <c r="AN63" s="174"/>
      <c r="AO63" s="928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>
        <v>1</v>
      </c>
      <c r="CD63" s="174"/>
      <c r="CE63" s="174"/>
      <c r="CF63" s="174">
        <f t="shared" si="22"/>
        <v>1</v>
      </c>
      <c r="CG63" s="174">
        <f t="shared" si="23"/>
        <v>0</v>
      </c>
      <c r="CH63" s="174"/>
      <c r="CI63" s="174"/>
      <c r="CJ63" s="174"/>
      <c r="CK63" s="174"/>
      <c r="CL63" s="174"/>
      <c r="CM63" s="174"/>
      <c r="CN63" s="174"/>
      <c r="CO63" s="174"/>
      <c r="CP63" s="174"/>
      <c r="CQ63" s="174">
        <v>1</v>
      </c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454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</row>
    <row r="64" spans="1:162" s="56" customFormat="1">
      <c r="A64" s="54"/>
      <c r="B64" s="55"/>
      <c r="C64" s="491" t="s">
        <v>2999</v>
      </c>
      <c r="D64" s="62">
        <v>40</v>
      </c>
      <c r="E64" s="62">
        <f t="shared" si="20"/>
        <v>40</v>
      </c>
      <c r="F64" s="62"/>
      <c r="G64" s="62"/>
      <c r="H64" s="62"/>
      <c r="I64" s="62"/>
      <c r="J64" s="62"/>
      <c r="K64" s="62"/>
      <c r="L64" s="62">
        <f t="shared" si="21"/>
        <v>40</v>
      </c>
      <c r="M64" s="62"/>
      <c r="N64" s="62"/>
      <c r="O64" s="62"/>
      <c r="P64" s="62"/>
      <c r="Q64" s="62"/>
      <c r="R64" s="173" t="s">
        <v>1631</v>
      </c>
      <c r="S64" s="174"/>
      <c r="T64" s="174"/>
      <c r="U64" s="174"/>
      <c r="V64" s="174">
        <v>1</v>
      </c>
      <c r="W64" s="174"/>
      <c r="X64" s="174"/>
      <c r="Y64" s="174"/>
      <c r="Z64" s="174"/>
      <c r="AA64" s="174"/>
      <c r="AB64" s="174"/>
      <c r="AC64" s="174"/>
      <c r="AD64" s="174">
        <v>1</v>
      </c>
      <c r="AE64" s="174"/>
      <c r="AF64" s="174"/>
      <c r="AG64" s="883"/>
      <c r="AH64" s="174"/>
      <c r="AI64" s="492"/>
      <c r="AJ64" s="905"/>
      <c r="AK64" s="919"/>
      <c r="AL64" s="174"/>
      <c r="AM64" s="174"/>
      <c r="AN64" s="174"/>
      <c r="AO64" s="928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>
        <v>1</v>
      </c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>
        <v>1</v>
      </c>
      <c r="CD64" s="174"/>
      <c r="CE64" s="174"/>
      <c r="CF64" s="174">
        <f t="shared" si="22"/>
        <v>1</v>
      </c>
      <c r="CG64" s="174">
        <f t="shared" si="23"/>
        <v>0</v>
      </c>
      <c r="CH64" s="174"/>
      <c r="CI64" s="174"/>
      <c r="CJ64" s="174"/>
      <c r="CK64" s="174"/>
      <c r="CL64" s="174"/>
      <c r="CM64" s="174"/>
      <c r="CN64" s="174"/>
      <c r="CO64" s="174"/>
      <c r="CP64" s="174"/>
      <c r="CQ64" s="174">
        <v>1</v>
      </c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454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</row>
    <row r="65" spans="1:162" s="56" customFormat="1">
      <c r="A65" s="54"/>
      <c r="B65" s="55"/>
      <c r="C65" s="491" t="s">
        <v>3000</v>
      </c>
      <c r="D65" s="62">
        <v>40</v>
      </c>
      <c r="E65" s="62">
        <f t="shared" si="20"/>
        <v>40</v>
      </c>
      <c r="F65" s="62"/>
      <c r="G65" s="62"/>
      <c r="H65" s="62"/>
      <c r="I65" s="62"/>
      <c r="J65" s="62"/>
      <c r="K65" s="62"/>
      <c r="L65" s="62">
        <f t="shared" si="21"/>
        <v>40</v>
      </c>
      <c r="M65" s="62"/>
      <c r="N65" s="62"/>
      <c r="O65" s="62"/>
      <c r="P65" s="62"/>
      <c r="Q65" s="62"/>
      <c r="R65" s="173" t="s">
        <v>1903</v>
      </c>
      <c r="S65" s="174"/>
      <c r="T65" s="174"/>
      <c r="U65" s="174"/>
      <c r="V65" s="174">
        <v>2</v>
      </c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883"/>
      <c r="AH65" s="174"/>
      <c r="AI65" s="492"/>
      <c r="AJ65" s="905">
        <v>1</v>
      </c>
      <c r="AK65" s="919"/>
      <c r="AL65" s="174"/>
      <c r="AM65" s="174"/>
      <c r="AN65" s="174"/>
      <c r="AO65" s="928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>
        <v>1</v>
      </c>
      <c r="CE65" s="174"/>
      <c r="CF65" s="174">
        <f t="shared" si="22"/>
        <v>0</v>
      </c>
      <c r="CG65" s="174">
        <f t="shared" si="23"/>
        <v>2</v>
      </c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>
        <v>1</v>
      </c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454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</row>
    <row r="66" spans="1:162" s="56" customFormat="1">
      <c r="A66" s="54"/>
      <c r="B66" s="689"/>
      <c r="C66" s="491" t="s">
        <v>3001</v>
      </c>
      <c r="D66" s="62">
        <v>40</v>
      </c>
      <c r="E66" s="62">
        <f t="shared" si="20"/>
        <v>40</v>
      </c>
      <c r="F66" s="62"/>
      <c r="G66" s="62"/>
      <c r="H66" s="62"/>
      <c r="I66" s="62"/>
      <c r="J66" s="62"/>
      <c r="K66" s="62"/>
      <c r="L66" s="62">
        <f t="shared" si="21"/>
        <v>40</v>
      </c>
      <c r="M66" s="62"/>
      <c r="N66" s="62"/>
      <c r="O66" s="62"/>
      <c r="P66" s="62"/>
      <c r="Q66" s="62"/>
      <c r="R66" s="173" t="s">
        <v>1903</v>
      </c>
      <c r="S66" s="174"/>
      <c r="T66" s="174"/>
      <c r="U66" s="174"/>
      <c r="V66" s="174">
        <v>1</v>
      </c>
      <c r="W66" s="174"/>
      <c r="X66" s="174"/>
      <c r="Y66" s="174"/>
      <c r="Z66" s="174"/>
      <c r="AA66" s="174"/>
      <c r="AB66" s="174"/>
      <c r="AC66" s="174"/>
      <c r="AD66" s="174">
        <v>1</v>
      </c>
      <c r="AE66" s="174"/>
      <c r="AF66" s="174"/>
      <c r="AG66" s="883"/>
      <c r="AH66" s="174"/>
      <c r="AI66" s="492"/>
      <c r="AJ66" s="905"/>
      <c r="AK66" s="919"/>
      <c r="AL66" s="174"/>
      <c r="AM66" s="174"/>
      <c r="AN66" s="174"/>
      <c r="AO66" s="928"/>
      <c r="AP66" s="174"/>
      <c r="AQ66" s="174"/>
      <c r="AR66" s="174"/>
      <c r="AS66" s="174"/>
      <c r="AT66" s="174">
        <v>1</v>
      </c>
      <c r="AU66" s="174"/>
      <c r="AV66" s="174"/>
      <c r="AW66" s="174"/>
      <c r="AX66" s="174"/>
      <c r="AY66" s="174"/>
      <c r="AZ66" s="174"/>
      <c r="BA66" s="174">
        <v>1</v>
      </c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>
        <v>1</v>
      </c>
      <c r="CE66" s="174"/>
      <c r="CF66" s="174">
        <f t="shared" si="22"/>
        <v>0</v>
      </c>
      <c r="CG66" s="174">
        <f t="shared" si="23"/>
        <v>2</v>
      </c>
      <c r="CH66" s="174"/>
      <c r="CI66" s="174"/>
      <c r="CJ66" s="174"/>
      <c r="CK66" s="174"/>
      <c r="CL66" s="174"/>
      <c r="CM66" s="174"/>
      <c r="CN66" s="174"/>
      <c r="CO66" s="174"/>
      <c r="CP66" s="174"/>
      <c r="CQ66" s="174">
        <v>1</v>
      </c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62"/>
      <c r="DM66" s="62"/>
      <c r="DN66" s="62"/>
      <c r="DO66" s="62"/>
      <c r="DP66" s="62"/>
      <c r="DQ66" s="62"/>
      <c r="DR66" s="62"/>
      <c r="DS66" s="62"/>
      <c r="DT66" s="711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454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</row>
    <row r="67" spans="1:162" s="56" customFormat="1">
      <c r="A67" s="54"/>
      <c r="B67" s="689"/>
      <c r="C67" s="491" t="s">
        <v>3002</v>
      </c>
      <c r="D67" s="62">
        <v>38</v>
      </c>
      <c r="E67" s="62">
        <f t="shared" si="20"/>
        <v>38</v>
      </c>
      <c r="F67" s="62"/>
      <c r="G67" s="62"/>
      <c r="H67" s="62"/>
      <c r="I67" s="62"/>
      <c r="J67" s="62"/>
      <c r="K67" s="62"/>
      <c r="L67" s="62">
        <f t="shared" si="21"/>
        <v>38</v>
      </c>
      <c r="M67" s="62"/>
      <c r="N67" s="62"/>
      <c r="O67" s="62"/>
      <c r="P67" s="62"/>
      <c r="Q67" s="62"/>
      <c r="R67" s="173" t="s">
        <v>2989</v>
      </c>
      <c r="S67" s="174"/>
      <c r="T67" s="174"/>
      <c r="U67" s="174"/>
      <c r="V67" s="174">
        <v>2</v>
      </c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883"/>
      <c r="AH67" s="174"/>
      <c r="AI67" s="492"/>
      <c r="AJ67" s="905">
        <v>1</v>
      </c>
      <c r="AK67" s="919"/>
      <c r="AL67" s="174"/>
      <c r="AM67" s="174"/>
      <c r="AN67" s="174"/>
      <c r="AO67" s="928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>
        <v>1</v>
      </c>
      <c r="CD67" s="174"/>
      <c r="CE67" s="174"/>
      <c r="CF67" s="174">
        <f t="shared" si="22"/>
        <v>1</v>
      </c>
      <c r="CG67" s="174">
        <f t="shared" si="23"/>
        <v>0</v>
      </c>
      <c r="CH67" s="174"/>
      <c r="CI67" s="174"/>
      <c r="CJ67" s="174"/>
      <c r="CK67" s="174"/>
      <c r="CL67" s="174"/>
      <c r="CM67" s="174"/>
      <c r="CN67" s="174"/>
      <c r="CO67" s="174">
        <v>2</v>
      </c>
      <c r="CP67" s="174"/>
      <c r="CQ67" s="174"/>
      <c r="CR67" s="174"/>
      <c r="CS67" s="174">
        <v>2</v>
      </c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62">
        <v>1</v>
      </c>
      <c r="DM67" s="62"/>
      <c r="DN67" s="62"/>
      <c r="DO67" s="62"/>
      <c r="DP67" s="62"/>
      <c r="DQ67" s="62"/>
      <c r="DR67" s="62"/>
      <c r="DS67" s="62">
        <v>0.5</v>
      </c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454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</row>
    <row r="68" spans="1:162" s="56" customFormat="1">
      <c r="A68" s="54"/>
      <c r="B68" s="689"/>
      <c r="C68" s="491" t="s">
        <v>3003</v>
      </c>
      <c r="D68" s="62">
        <v>27</v>
      </c>
      <c r="E68" s="62">
        <f t="shared" si="20"/>
        <v>27</v>
      </c>
      <c r="F68" s="62"/>
      <c r="G68" s="62"/>
      <c r="H68" s="62"/>
      <c r="I68" s="62"/>
      <c r="J68" s="62"/>
      <c r="K68" s="62"/>
      <c r="L68" s="62">
        <f t="shared" si="21"/>
        <v>27</v>
      </c>
      <c r="M68" s="62"/>
      <c r="N68" s="62"/>
      <c r="O68" s="62"/>
      <c r="P68" s="62"/>
      <c r="Q68" s="62"/>
      <c r="R68" s="173" t="s">
        <v>2989</v>
      </c>
      <c r="S68" s="174"/>
      <c r="T68" s="174"/>
      <c r="U68" s="174"/>
      <c r="V68" s="174">
        <v>2</v>
      </c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883"/>
      <c r="AH68" s="174"/>
      <c r="AI68" s="492"/>
      <c r="AJ68" s="905">
        <v>1</v>
      </c>
      <c r="AK68" s="919"/>
      <c r="AL68" s="174"/>
      <c r="AM68" s="174"/>
      <c r="AN68" s="174"/>
      <c r="AO68" s="928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>
        <v>1</v>
      </c>
      <c r="CD68" s="174"/>
      <c r="CE68" s="174"/>
      <c r="CF68" s="174">
        <f t="shared" si="22"/>
        <v>1</v>
      </c>
      <c r="CG68" s="174">
        <f t="shared" si="23"/>
        <v>0</v>
      </c>
      <c r="CH68" s="174"/>
      <c r="CI68" s="174"/>
      <c r="CJ68" s="174"/>
      <c r="CK68" s="174"/>
      <c r="CL68" s="174"/>
      <c r="CM68" s="174"/>
      <c r="CN68" s="174"/>
      <c r="CO68" s="174">
        <v>2</v>
      </c>
      <c r="CP68" s="174"/>
      <c r="CQ68" s="174"/>
      <c r="CR68" s="174"/>
      <c r="CS68" s="174">
        <v>2</v>
      </c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454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</row>
    <row r="69" spans="1:162" s="56" customFormat="1">
      <c r="A69" s="54"/>
      <c r="B69" s="689"/>
      <c r="C69" s="491" t="s">
        <v>3004</v>
      </c>
      <c r="D69" s="62">
        <v>35</v>
      </c>
      <c r="E69" s="62">
        <f t="shared" si="20"/>
        <v>35</v>
      </c>
      <c r="F69" s="62"/>
      <c r="G69" s="62"/>
      <c r="H69" s="62"/>
      <c r="I69" s="62"/>
      <c r="J69" s="62"/>
      <c r="K69" s="62"/>
      <c r="L69" s="62">
        <f t="shared" si="21"/>
        <v>35</v>
      </c>
      <c r="M69" s="62"/>
      <c r="N69" s="62"/>
      <c r="O69" s="62"/>
      <c r="P69" s="62"/>
      <c r="Q69" s="62"/>
      <c r="R69" s="173" t="s">
        <v>1903</v>
      </c>
      <c r="S69" s="174"/>
      <c r="T69" s="174"/>
      <c r="U69" s="174"/>
      <c r="V69" s="174">
        <v>2</v>
      </c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883"/>
      <c r="AH69" s="174"/>
      <c r="AI69" s="492"/>
      <c r="AJ69" s="905">
        <v>1</v>
      </c>
      <c r="AK69" s="919"/>
      <c r="AL69" s="174"/>
      <c r="AM69" s="174"/>
      <c r="AN69" s="174"/>
      <c r="AO69" s="928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>
        <v>1</v>
      </c>
      <c r="CE69" s="174"/>
      <c r="CF69" s="174">
        <f t="shared" si="22"/>
        <v>0</v>
      </c>
      <c r="CG69" s="174">
        <f t="shared" si="23"/>
        <v>2</v>
      </c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>
        <v>1</v>
      </c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454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</row>
    <row r="70" spans="1:162" s="56" customFormat="1">
      <c r="A70" s="54"/>
      <c r="B70" s="689"/>
      <c r="C70" s="491" t="s">
        <v>3038</v>
      </c>
      <c r="D70" s="62">
        <v>21</v>
      </c>
      <c r="E70" s="62">
        <f t="shared" si="20"/>
        <v>21</v>
      </c>
      <c r="F70" s="62"/>
      <c r="G70" s="62"/>
      <c r="H70" s="62"/>
      <c r="I70" s="62"/>
      <c r="J70" s="62"/>
      <c r="K70" s="62"/>
      <c r="L70" s="62">
        <f t="shared" si="21"/>
        <v>21</v>
      </c>
      <c r="M70" s="62"/>
      <c r="N70" s="62"/>
      <c r="O70" s="62"/>
      <c r="P70" s="62"/>
      <c r="Q70" s="62"/>
      <c r="R70" s="173" t="s">
        <v>1903</v>
      </c>
      <c r="S70" s="174"/>
      <c r="T70" s="174"/>
      <c r="U70" s="174"/>
      <c r="V70" s="174">
        <v>2</v>
      </c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883"/>
      <c r="AH70" s="174"/>
      <c r="AI70" s="492"/>
      <c r="AJ70" s="905">
        <v>1</v>
      </c>
      <c r="AK70" s="919"/>
      <c r="AL70" s="174"/>
      <c r="AM70" s="174"/>
      <c r="AN70" s="174"/>
      <c r="AO70" s="928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>
        <v>1</v>
      </c>
      <c r="CE70" s="174"/>
      <c r="CF70" s="174">
        <f t="shared" si="22"/>
        <v>0</v>
      </c>
      <c r="CG70" s="174">
        <f t="shared" si="23"/>
        <v>2</v>
      </c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>
        <v>1</v>
      </c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454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</row>
    <row r="71" spans="1:162" s="56" customFormat="1">
      <c r="A71" s="54"/>
      <c r="B71" s="689"/>
      <c r="C71" s="491" t="s">
        <v>3039</v>
      </c>
      <c r="D71" s="62">
        <v>41</v>
      </c>
      <c r="E71" s="62">
        <f t="shared" si="20"/>
        <v>41</v>
      </c>
      <c r="F71" s="62"/>
      <c r="G71" s="62"/>
      <c r="H71" s="62"/>
      <c r="I71" s="62"/>
      <c r="J71" s="62"/>
      <c r="K71" s="62"/>
      <c r="L71" s="62">
        <f t="shared" si="21"/>
        <v>41</v>
      </c>
      <c r="M71" s="62"/>
      <c r="N71" s="62"/>
      <c r="O71" s="62"/>
      <c r="P71" s="62"/>
      <c r="Q71" s="62"/>
      <c r="R71" s="173" t="s">
        <v>2990</v>
      </c>
      <c r="S71" s="174"/>
      <c r="T71" s="174"/>
      <c r="U71" s="174"/>
      <c r="V71" s="174">
        <v>2</v>
      </c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883"/>
      <c r="AH71" s="174"/>
      <c r="AI71" s="492"/>
      <c r="AJ71" s="905">
        <v>1</v>
      </c>
      <c r="AK71" s="919"/>
      <c r="AL71" s="174"/>
      <c r="AM71" s="174"/>
      <c r="AN71" s="174"/>
      <c r="AO71" s="928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>
        <f t="shared" si="22"/>
        <v>0</v>
      </c>
      <c r="CG71" s="174">
        <f t="shared" si="23"/>
        <v>0</v>
      </c>
      <c r="CH71" s="174"/>
      <c r="CI71" s="174"/>
      <c r="CJ71" s="174"/>
      <c r="CK71" s="174"/>
      <c r="CL71" s="174"/>
      <c r="CM71" s="174"/>
      <c r="CN71" s="174"/>
      <c r="CO71" s="174">
        <v>1</v>
      </c>
      <c r="CP71" s="174"/>
      <c r="CQ71" s="174"/>
      <c r="CR71" s="174"/>
      <c r="CS71" s="174">
        <v>1</v>
      </c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454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</row>
    <row r="72" spans="1:162" s="56" customFormat="1">
      <c r="A72" s="54"/>
      <c r="B72" s="55"/>
      <c r="C72" s="491"/>
      <c r="D72" s="62"/>
      <c r="E72" s="62">
        <f>D72</f>
        <v>0</v>
      </c>
      <c r="F72" s="62"/>
      <c r="G72" s="62"/>
      <c r="H72" s="62"/>
      <c r="I72" s="62"/>
      <c r="J72" s="62"/>
      <c r="K72" s="62"/>
      <c r="L72" s="62">
        <f>D72</f>
        <v>0</v>
      </c>
      <c r="M72" s="62"/>
      <c r="N72" s="62"/>
      <c r="O72" s="62"/>
      <c r="P72" s="62"/>
      <c r="Q72" s="62"/>
      <c r="R72" s="173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883"/>
      <c r="AH72" s="174"/>
      <c r="AI72" s="492"/>
      <c r="AJ72" s="905"/>
      <c r="AK72" s="919"/>
      <c r="AL72" s="174"/>
      <c r="AM72" s="174"/>
      <c r="AN72" s="174"/>
      <c r="AO72" s="928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>
        <f t="shared" si="22"/>
        <v>0</v>
      </c>
      <c r="CG72" s="174">
        <f t="shared" si="23"/>
        <v>0</v>
      </c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454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</row>
    <row r="73" spans="1:162">
      <c r="A73" s="487">
        <f>MATCH(C73,$C$5:$C$361,0)</f>
        <v>69</v>
      </c>
      <c r="C73" s="14" t="s">
        <v>1430</v>
      </c>
      <c r="D73" s="14">
        <f t="shared" ref="D73:Q73" si="24">SUM(D54:D72)</f>
        <v>627</v>
      </c>
      <c r="E73" s="14">
        <f t="shared" si="24"/>
        <v>627</v>
      </c>
      <c r="F73" s="14">
        <f t="shared" si="24"/>
        <v>0</v>
      </c>
      <c r="G73" s="14">
        <f t="shared" si="24"/>
        <v>0</v>
      </c>
      <c r="H73" s="14">
        <f t="shared" si="24"/>
        <v>0</v>
      </c>
      <c r="I73" s="14">
        <f t="shared" si="24"/>
        <v>0</v>
      </c>
      <c r="J73" s="14">
        <f t="shared" si="24"/>
        <v>0</v>
      </c>
      <c r="K73" s="14">
        <f t="shared" si="24"/>
        <v>0</v>
      </c>
      <c r="L73" s="14">
        <f t="shared" si="24"/>
        <v>627</v>
      </c>
      <c r="M73" s="14">
        <f t="shared" si="24"/>
        <v>0</v>
      </c>
      <c r="N73" s="14">
        <f t="shared" si="24"/>
        <v>0</v>
      </c>
      <c r="O73" s="14">
        <f t="shared" si="24"/>
        <v>0</v>
      </c>
      <c r="P73" s="14">
        <f t="shared" si="24"/>
        <v>0</v>
      </c>
      <c r="Q73" s="14">
        <f t="shared" si="24"/>
        <v>0</v>
      </c>
      <c r="R73" s="14"/>
      <c r="S73" s="175">
        <f t="shared" ref="S73:AX73" si="25">SUM(S54:S72)</f>
        <v>0</v>
      </c>
      <c r="T73" s="175">
        <f t="shared" si="25"/>
        <v>0</v>
      </c>
      <c r="U73" s="175">
        <f t="shared" si="25"/>
        <v>0</v>
      </c>
      <c r="V73" s="175">
        <f t="shared" si="25"/>
        <v>24</v>
      </c>
      <c r="W73" s="175">
        <f t="shared" si="25"/>
        <v>0</v>
      </c>
      <c r="X73" s="175">
        <f t="shared" si="25"/>
        <v>0</v>
      </c>
      <c r="Y73" s="175">
        <f t="shared" si="25"/>
        <v>0</v>
      </c>
      <c r="Z73" s="175">
        <f t="shared" si="25"/>
        <v>0</v>
      </c>
      <c r="AA73" s="175">
        <f t="shared" si="25"/>
        <v>0</v>
      </c>
      <c r="AB73" s="175">
        <f t="shared" si="25"/>
        <v>0</v>
      </c>
      <c r="AC73" s="175">
        <f t="shared" si="25"/>
        <v>0</v>
      </c>
      <c r="AD73" s="175">
        <f t="shared" si="25"/>
        <v>11</v>
      </c>
      <c r="AE73" s="175">
        <f t="shared" si="25"/>
        <v>0</v>
      </c>
      <c r="AF73" s="175">
        <f t="shared" si="25"/>
        <v>0</v>
      </c>
      <c r="AG73" s="884">
        <f t="shared" si="25"/>
        <v>1</v>
      </c>
      <c r="AH73" s="175">
        <f t="shared" si="25"/>
        <v>0</v>
      </c>
      <c r="AI73" s="178">
        <f t="shared" si="25"/>
        <v>0</v>
      </c>
      <c r="AJ73" s="906">
        <f t="shared" si="25"/>
        <v>6</v>
      </c>
      <c r="AK73" s="920">
        <f t="shared" si="25"/>
        <v>0</v>
      </c>
      <c r="AL73" s="175">
        <f t="shared" si="25"/>
        <v>0</v>
      </c>
      <c r="AM73" s="175">
        <f t="shared" si="25"/>
        <v>0</v>
      </c>
      <c r="AN73" s="175">
        <f t="shared" si="25"/>
        <v>0</v>
      </c>
      <c r="AO73" s="929">
        <f t="shared" si="25"/>
        <v>0</v>
      </c>
      <c r="AP73" s="175">
        <f t="shared" si="25"/>
        <v>0</v>
      </c>
      <c r="AQ73" s="175">
        <f t="shared" si="25"/>
        <v>0</v>
      </c>
      <c r="AR73" s="175">
        <f t="shared" si="25"/>
        <v>0</v>
      </c>
      <c r="AS73" s="175">
        <f t="shared" si="25"/>
        <v>0</v>
      </c>
      <c r="AT73" s="175">
        <f t="shared" si="25"/>
        <v>1</v>
      </c>
      <c r="AU73" s="175">
        <f t="shared" si="25"/>
        <v>0</v>
      </c>
      <c r="AV73" s="175">
        <f t="shared" si="25"/>
        <v>0</v>
      </c>
      <c r="AW73" s="175">
        <f t="shared" si="25"/>
        <v>0</v>
      </c>
      <c r="AX73" s="175">
        <f t="shared" si="25"/>
        <v>0</v>
      </c>
      <c r="AY73" s="175">
        <f t="shared" ref="AY73:CD73" si="26">SUM(AY54:AY72)</f>
        <v>0</v>
      </c>
      <c r="AZ73" s="175">
        <f t="shared" si="26"/>
        <v>0</v>
      </c>
      <c r="BA73" s="175">
        <f t="shared" si="26"/>
        <v>1</v>
      </c>
      <c r="BB73" s="175">
        <f t="shared" si="26"/>
        <v>0</v>
      </c>
      <c r="BC73" s="175">
        <f t="shared" si="26"/>
        <v>0</v>
      </c>
      <c r="BD73" s="175">
        <f t="shared" si="26"/>
        <v>0</v>
      </c>
      <c r="BE73" s="175">
        <f t="shared" si="26"/>
        <v>0</v>
      </c>
      <c r="BF73" s="175">
        <f t="shared" si="26"/>
        <v>2</v>
      </c>
      <c r="BG73" s="175">
        <f t="shared" si="26"/>
        <v>0</v>
      </c>
      <c r="BH73" s="175">
        <f t="shared" si="26"/>
        <v>0</v>
      </c>
      <c r="BI73" s="175">
        <f t="shared" si="26"/>
        <v>0</v>
      </c>
      <c r="BJ73" s="175">
        <f t="shared" si="26"/>
        <v>0</v>
      </c>
      <c r="BK73" s="175">
        <f t="shared" si="26"/>
        <v>1</v>
      </c>
      <c r="BL73" s="175">
        <f t="shared" si="26"/>
        <v>0</v>
      </c>
      <c r="BM73" s="175">
        <f t="shared" si="26"/>
        <v>0</v>
      </c>
      <c r="BN73" s="175">
        <f t="shared" si="26"/>
        <v>0</v>
      </c>
      <c r="BO73" s="175">
        <f t="shared" si="26"/>
        <v>0</v>
      </c>
      <c r="BP73" s="175">
        <f t="shared" si="26"/>
        <v>0</v>
      </c>
      <c r="BQ73" s="175">
        <f t="shared" si="26"/>
        <v>0</v>
      </c>
      <c r="BR73" s="175">
        <f t="shared" si="26"/>
        <v>0</v>
      </c>
      <c r="BS73" s="175">
        <f t="shared" si="26"/>
        <v>0</v>
      </c>
      <c r="BT73" s="175">
        <f t="shared" si="26"/>
        <v>0</v>
      </c>
      <c r="BU73" s="175">
        <f t="shared" si="26"/>
        <v>0</v>
      </c>
      <c r="BV73" s="175">
        <f t="shared" si="26"/>
        <v>0</v>
      </c>
      <c r="BW73" s="175">
        <f t="shared" si="26"/>
        <v>0</v>
      </c>
      <c r="BX73" s="175">
        <f t="shared" si="26"/>
        <v>0</v>
      </c>
      <c r="BY73" s="175">
        <f t="shared" si="26"/>
        <v>0</v>
      </c>
      <c r="BZ73" s="175">
        <f t="shared" si="26"/>
        <v>1</v>
      </c>
      <c r="CA73" s="175">
        <f t="shared" si="26"/>
        <v>0</v>
      </c>
      <c r="CB73" s="175">
        <f t="shared" si="26"/>
        <v>0</v>
      </c>
      <c r="CC73" s="175">
        <f t="shared" si="26"/>
        <v>12</v>
      </c>
      <c r="CD73" s="175">
        <f t="shared" si="26"/>
        <v>4</v>
      </c>
      <c r="CE73" s="175">
        <f t="shared" ref="CE73:DJ73" si="27">SUM(CE54:CE72)</f>
        <v>2</v>
      </c>
      <c r="CF73" s="175">
        <f t="shared" si="27"/>
        <v>14</v>
      </c>
      <c r="CG73" s="175">
        <f t="shared" si="27"/>
        <v>8</v>
      </c>
      <c r="CH73" s="175">
        <f t="shared" si="27"/>
        <v>0</v>
      </c>
      <c r="CI73" s="175">
        <f t="shared" si="27"/>
        <v>0</v>
      </c>
      <c r="CJ73" s="175">
        <f t="shared" si="27"/>
        <v>0</v>
      </c>
      <c r="CK73" s="175">
        <f t="shared" si="27"/>
        <v>0</v>
      </c>
      <c r="CL73" s="175">
        <f t="shared" si="27"/>
        <v>0</v>
      </c>
      <c r="CM73" s="175">
        <f t="shared" si="27"/>
        <v>0</v>
      </c>
      <c r="CN73" s="175">
        <f t="shared" si="27"/>
        <v>0</v>
      </c>
      <c r="CO73" s="175">
        <f t="shared" si="27"/>
        <v>8</v>
      </c>
      <c r="CP73" s="175">
        <f t="shared" si="27"/>
        <v>0</v>
      </c>
      <c r="CQ73" s="175">
        <f t="shared" si="27"/>
        <v>11</v>
      </c>
      <c r="CR73" s="175">
        <f t="shared" si="27"/>
        <v>3</v>
      </c>
      <c r="CS73" s="175">
        <f t="shared" si="27"/>
        <v>8</v>
      </c>
      <c r="CT73" s="175">
        <f t="shared" si="27"/>
        <v>0</v>
      </c>
      <c r="CU73" s="175">
        <f t="shared" si="27"/>
        <v>0</v>
      </c>
      <c r="CV73" s="175">
        <f t="shared" si="27"/>
        <v>0</v>
      </c>
      <c r="CW73" s="175">
        <f t="shared" si="27"/>
        <v>0</v>
      </c>
      <c r="CX73" s="175">
        <f t="shared" si="27"/>
        <v>2</v>
      </c>
      <c r="CY73" s="175">
        <f t="shared" si="27"/>
        <v>2</v>
      </c>
      <c r="CZ73" s="175">
        <f t="shared" si="27"/>
        <v>1</v>
      </c>
      <c r="DA73" s="175">
        <f t="shared" si="27"/>
        <v>0</v>
      </c>
      <c r="DB73" s="175">
        <f t="shared" si="27"/>
        <v>2</v>
      </c>
      <c r="DC73" s="175">
        <f t="shared" si="27"/>
        <v>0</v>
      </c>
      <c r="DD73" s="175">
        <f t="shared" si="27"/>
        <v>0</v>
      </c>
      <c r="DE73" s="175">
        <f t="shared" si="27"/>
        <v>0</v>
      </c>
      <c r="DF73" s="175">
        <f t="shared" si="27"/>
        <v>0</v>
      </c>
      <c r="DG73" s="175">
        <f t="shared" si="27"/>
        <v>0</v>
      </c>
      <c r="DH73" s="175">
        <f t="shared" si="27"/>
        <v>0</v>
      </c>
      <c r="DI73" s="175">
        <f t="shared" si="27"/>
        <v>1</v>
      </c>
      <c r="DJ73" s="175">
        <f t="shared" si="27"/>
        <v>0</v>
      </c>
      <c r="DK73" s="175">
        <f t="shared" ref="DK73:ED73" si="28">SUM(DK54:DK72)</f>
        <v>0</v>
      </c>
      <c r="DL73" s="14">
        <f t="shared" si="28"/>
        <v>2.5</v>
      </c>
      <c r="DM73" s="14">
        <f t="shared" si="28"/>
        <v>0</v>
      </c>
      <c r="DN73" s="14">
        <f t="shared" si="28"/>
        <v>0</v>
      </c>
      <c r="DO73" s="14">
        <f t="shared" si="28"/>
        <v>0</v>
      </c>
      <c r="DP73" s="14">
        <f t="shared" si="28"/>
        <v>0</v>
      </c>
      <c r="DQ73" s="14">
        <f t="shared" si="28"/>
        <v>0</v>
      </c>
      <c r="DR73" s="14">
        <f t="shared" si="28"/>
        <v>0</v>
      </c>
      <c r="DS73" s="14">
        <f t="shared" si="28"/>
        <v>2</v>
      </c>
      <c r="DT73" s="14">
        <f t="shared" si="28"/>
        <v>3</v>
      </c>
      <c r="DU73" s="14">
        <f t="shared" si="28"/>
        <v>0</v>
      </c>
      <c r="DV73" s="14">
        <f t="shared" si="28"/>
        <v>0</v>
      </c>
      <c r="DW73" s="14">
        <f t="shared" si="28"/>
        <v>0</v>
      </c>
      <c r="DX73" s="14">
        <f t="shared" si="28"/>
        <v>0</v>
      </c>
      <c r="DY73" s="14">
        <f t="shared" si="28"/>
        <v>0</v>
      </c>
      <c r="DZ73" s="14">
        <f t="shared" si="28"/>
        <v>0</v>
      </c>
      <c r="EA73" s="14">
        <f t="shared" si="28"/>
        <v>0</v>
      </c>
      <c r="EB73" s="14">
        <f t="shared" si="28"/>
        <v>0</v>
      </c>
      <c r="EC73" s="14">
        <f t="shared" si="28"/>
        <v>0</v>
      </c>
      <c r="ED73" s="14">
        <f t="shared" si="28"/>
        <v>0</v>
      </c>
      <c r="EE73" s="508"/>
      <c r="EF73" s="14">
        <f t="shared" ref="EF73:FE73" si="29">SUM(EF54:EF72)</f>
        <v>0</v>
      </c>
      <c r="EG73" s="14">
        <f t="shared" si="29"/>
        <v>0</v>
      </c>
      <c r="EH73" s="14">
        <f t="shared" si="29"/>
        <v>0</v>
      </c>
      <c r="EI73" s="14">
        <f t="shared" si="29"/>
        <v>0</v>
      </c>
      <c r="EJ73" s="14">
        <f t="shared" si="29"/>
        <v>0</v>
      </c>
      <c r="EK73" s="14">
        <f t="shared" si="29"/>
        <v>0</v>
      </c>
      <c r="EL73" s="14">
        <f t="shared" si="29"/>
        <v>0</v>
      </c>
      <c r="EM73" s="14">
        <f t="shared" si="29"/>
        <v>0</v>
      </c>
      <c r="EN73" s="14">
        <f t="shared" si="29"/>
        <v>0</v>
      </c>
      <c r="EO73" s="14">
        <f t="shared" si="29"/>
        <v>0</v>
      </c>
      <c r="EP73" s="14">
        <f t="shared" si="29"/>
        <v>0</v>
      </c>
      <c r="EQ73" s="14">
        <f t="shared" si="29"/>
        <v>0</v>
      </c>
      <c r="ER73" s="14">
        <f t="shared" si="29"/>
        <v>0</v>
      </c>
      <c r="ES73" s="14">
        <f t="shared" si="29"/>
        <v>0</v>
      </c>
      <c r="ET73" s="14">
        <f t="shared" si="29"/>
        <v>0</v>
      </c>
      <c r="EU73" s="14">
        <f t="shared" si="29"/>
        <v>0</v>
      </c>
      <c r="EV73" s="14">
        <f t="shared" si="29"/>
        <v>0</v>
      </c>
      <c r="EW73" s="14">
        <f t="shared" si="29"/>
        <v>0</v>
      </c>
      <c r="EX73" s="14">
        <f t="shared" si="29"/>
        <v>0</v>
      </c>
      <c r="EY73" s="14">
        <f t="shared" si="29"/>
        <v>0</v>
      </c>
      <c r="EZ73" s="14">
        <f t="shared" si="29"/>
        <v>0</v>
      </c>
      <c r="FA73" s="14">
        <f t="shared" si="29"/>
        <v>0</v>
      </c>
      <c r="FB73" s="14">
        <f t="shared" si="29"/>
        <v>0</v>
      </c>
      <c r="FC73" s="14">
        <f t="shared" si="29"/>
        <v>0</v>
      </c>
      <c r="FD73" s="14">
        <f t="shared" si="29"/>
        <v>0</v>
      </c>
      <c r="FE73" s="14">
        <f t="shared" si="29"/>
        <v>0</v>
      </c>
      <c r="FF73" s="14"/>
    </row>
    <row r="74" spans="1:162">
      <c r="A74" s="54"/>
      <c r="B74" s="55" t="s">
        <v>3012</v>
      </c>
      <c r="C74" s="11" t="s">
        <v>3595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885"/>
      <c r="AH74" s="176"/>
      <c r="AI74" s="897"/>
      <c r="AJ74" s="907"/>
      <c r="AK74" s="921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176"/>
      <c r="CF74" s="176"/>
      <c r="CG74" s="176"/>
      <c r="CH74" s="176"/>
      <c r="CI74" s="176"/>
      <c r="CJ74" s="176"/>
      <c r="CK74" s="176"/>
      <c r="CL74" s="176"/>
      <c r="CM74" s="176"/>
      <c r="CN74" s="176"/>
      <c r="CO74" s="176"/>
      <c r="CP74" s="176"/>
      <c r="CQ74" s="176"/>
      <c r="CR74" s="176"/>
      <c r="CS74" s="176"/>
      <c r="CT74" s="176"/>
      <c r="CU74" s="176"/>
      <c r="CV74" s="176"/>
      <c r="CW74" s="176"/>
      <c r="CX74" s="176"/>
      <c r="CY74" s="176"/>
      <c r="CZ74" s="176"/>
      <c r="DA74" s="176"/>
      <c r="DB74" s="176"/>
      <c r="DC74" s="176"/>
      <c r="DD74" s="176"/>
      <c r="DE74" s="176"/>
      <c r="DF74" s="176"/>
      <c r="DG74" s="176"/>
      <c r="DH74" s="176"/>
      <c r="DI74" s="176"/>
      <c r="DJ74" s="176"/>
      <c r="DK74" s="176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503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3"/>
    </row>
    <row r="75" spans="1:162" s="56" customFormat="1">
      <c r="A75" s="54"/>
      <c r="B75" s="55"/>
      <c r="C75" s="491" t="s">
        <v>3043</v>
      </c>
      <c r="D75" s="62"/>
      <c r="E75" s="62">
        <f t="shared" ref="E75:E80" si="30">D75</f>
        <v>0</v>
      </c>
      <c r="F75" s="62"/>
      <c r="G75" s="62"/>
      <c r="H75" s="62"/>
      <c r="I75" s="62"/>
      <c r="J75" s="62"/>
      <c r="K75" s="62"/>
      <c r="L75" s="62">
        <f t="shared" ref="L75:L80" si="31">D75</f>
        <v>0</v>
      </c>
      <c r="M75" s="62"/>
      <c r="N75" s="62"/>
      <c r="O75" s="62"/>
      <c r="P75" s="62"/>
      <c r="Q75" s="62"/>
      <c r="R75" s="173" t="s">
        <v>2989</v>
      </c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883"/>
      <c r="AH75" s="174"/>
      <c r="AI75" s="492"/>
      <c r="AJ75" s="905"/>
      <c r="AK75" s="919"/>
      <c r="AL75" s="174"/>
      <c r="AM75" s="174"/>
      <c r="AN75" s="174"/>
      <c r="AO75" s="928"/>
      <c r="AP75" s="174"/>
      <c r="AQ75" s="174"/>
      <c r="AR75" s="174"/>
      <c r="AS75" s="174"/>
      <c r="AT75" s="174">
        <v>1</v>
      </c>
      <c r="AU75" s="174"/>
      <c r="AV75" s="174"/>
      <c r="AW75" s="174"/>
      <c r="AX75" s="174"/>
      <c r="AY75" s="174"/>
      <c r="AZ75" s="174"/>
      <c r="BA75" s="174"/>
      <c r="BB75" s="174"/>
      <c r="BC75" s="174">
        <v>1</v>
      </c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>
        <v>1</v>
      </c>
      <c r="CA75" s="174"/>
      <c r="CB75" s="174"/>
      <c r="CC75" s="174">
        <v>1</v>
      </c>
      <c r="CD75" s="174"/>
      <c r="CE75" s="174"/>
      <c r="CF75" s="174">
        <f t="shared" ref="CF75:CF80" si="32">CC75</f>
        <v>1</v>
      </c>
      <c r="CG75" s="174">
        <f t="shared" ref="CG75:CG80" si="33">CD75*2</f>
        <v>0</v>
      </c>
      <c r="CH75" s="174"/>
      <c r="CI75" s="174"/>
      <c r="CJ75" s="174"/>
      <c r="CK75" s="174"/>
      <c r="CL75" s="174"/>
      <c r="CM75" s="174"/>
      <c r="CN75" s="174"/>
      <c r="CO75" s="174">
        <v>1</v>
      </c>
      <c r="CP75" s="174"/>
      <c r="CQ75" s="174"/>
      <c r="CR75" s="174"/>
      <c r="CS75" s="174">
        <v>1</v>
      </c>
      <c r="CT75" s="174"/>
      <c r="CU75" s="174"/>
      <c r="CV75" s="174"/>
      <c r="CW75" s="174"/>
      <c r="CX75" s="174"/>
      <c r="CY75" s="174"/>
      <c r="CZ75" s="174"/>
      <c r="DA75" s="174"/>
      <c r="DB75" s="174">
        <v>2</v>
      </c>
      <c r="DC75" s="174"/>
      <c r="DD75" s="174"/>
      <c r="DE75" s="174"/>
      <c r="DF75" s="174"/>
      <c r="DG75" s="174"/>
      <c r="DH75" s="174"/>
      <c r="DI75" s="174">
        <v>1</v>
      </c>
      <c r="DJ75" s="174"/>
      <c r="DK75" s="174"/>
      <c r="DL75" s="62">
        <v>1</v>
      </c>
      <c r="DM75" s="62"/>
      <c r="DN75" s="62"/>
      <c r="DO75" s="62"/>
      <c r="DP75" s="62"/>
      <c r="DQ75" s="62"/>
      <c r="DR75" s="62"/>
      <c r="DS75" s="62">
        <v>1</v>
      </c>
      <c r="DT75" s="62">
        <v>2.5</v>
      </c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454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</row>
    <row r="76" spans="1:162" s="56" customFormat="1">
      <c r="A76" s="54"/>
      <c r="B76" s="55"/>
      <c r="C76" s="491" t="s">
        <v>3044</v>
      </c>
      <c r="D76" s="62">
        <v>40</v>
      </c>
      <c r="E76" s="62">
        <f t="shared" si="30"/>
        <v>40</v>
      </c>
      <c r="F76" s="62"/>
      <c r="G76" s="62"/>
      <c r="H76" s="62"/>
      <c r="I76" s="62"/>
      <c r="J76" s="62"/>
      <c r="K76" s="62"/>
      <c r="L76" s="62">
        <f t="shared" si="31"/>
        <v>40</v>
      </c>
      <c r="M76" s="62"/>
      <c r="N76" s="62"/>
      <c r="O76" s="62"/>
      <c r="P76" s="62"/>
      <c r="Q76" s="62"/>
      <c r="R76" s="173" t="s">
        <v>1903</v>
      </c>
      <c r="S76" s="174"/>
      <c r="T76" s="174"/>
      <c r="U76" s="174"/>
      <c r="V76" s="174">
        <v>2</v>
      </c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883"/>
      <c r="AH76" s="174"/>
      <c r="AI76" s="492"/>
      <c r="AJ76" s="905"/>
      <c r="AK76" s="919">
        <v>1</v>
      </c>
      <c r="AL76" s="174"/>
      <c r="AM76" s="174"/>
      <c r="AN76" s="174"/>
      <c r="AO76" s="928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>
        <v>1</v>
      </c>
      <c r="CE76" s="174"/>
      <c r="CF76" s="174">
        <f t="shared" si="32"/>
        <v>0</v>
      </c>
      <c r="CG76" s="174">
        <f t="shared" si="33"/>
        <v>2</v>
      </c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>
        <v>1</v>
      </c>
      <c r="CS76" s="174"/>
      <c r="CT76" s="174"/>
      <c r="CU76" s="174"/>
      <c r="CV76" s="174"/>
      <c r="CW76" s="174"/>
      <c r="CX76" s="174">
        <v>1</v>
      </c>
      <c r="CY76" s="174">
        <v>1</v>
      </c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454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</row>
    <row r="77" spans="1:162" s="56" customFormat="1">
      <c r="A77" s="54"/>
      <c r="B77" s="55"/>
      <c r="C77" s="491" t="s">
        <v>3045</v>
      </c>
      <c r="D77" s="62">
        <v>45</v>
      </c>
      <c r="E77" s="62">
        <f t="shared" si="30"/>
        <v>45</v>
      </c>
      <c r="F77" s="62"/>
      <c r="G77" s="62"/>
      <c r="H77" s="62"/>
      <c r="I77" s="62"/>
      <c r="J77" s="62"/>
      <c r="K77" s="62"/>
      <c r="L77" s="62">
        <f t="shared" si="31"/>
        <v>45</v>
      </c>
      <c r="M77" s="62"/>
      <c r="N77" s="62"/>
      <c r="O77" s="62"/>
      <c r="P77" s="62"/>
      <c r="Q77" s="62"/>
      <c r="R77" s="173" t="s">
        <v>1631</v>
      </c>
      <c r="S77" s="174"/>
      <c r="T77" s="174"/>
      <c r="U77" s="174"/>
      <c r="V77" s="174">
        <v>1</v>
      </c>
      <c r="W77" s="174"/>
      <c r="X77" s="174"/>
      <c r="Y77" s="174"/>
      <c r="Z77" s="174"/>
      <c r="AA77" s="174"/>
      <c r="AB77" s="174"/>
      <c r="AC77" s="174"/>
      <c r="AD77" s="174"/>
      <c r="AE77" s="174"/>
      <c r="AF77" s="174">
        <v>1</v>
      </c>
      <c r="AG77" s="883"/>
      <c r="AH77" s="174"/>
      <c r="AI77" s="492"/>
      <c r="AJ77" s="905"/>
      <c r="AK77" s="919"/>
      <c r="AL77" s="174"/>
      <c r="AM77" s="174"/>
      <c r="AN77" s="174"/>
      <c r="AO77" s="928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>
        <v>1</v>
      </c>
      <c r="CD77" s="174"/>
      <c r="CE77" s="174"/>
      <c r="CF77" s="174">
        <f t="shared" si="32"/>
        <v>1</v>
      </c>
      <c r="CG77" s="174">
        <f t="shared" si="33"/>
        <v>0</v>
      </c>
      <c r="CH77" s="174"/>
      <c r="CI77" s="174"/>
      <c r="CJ77" s="174"/>
      <c r="CK77" s="174"/>
      <c r="CL77" s="174"/>
      <c r="CM77" s="174"/>
      <c r="CN77" s="174"/>
      <c r="CO77" s="174"/>
      <c r="CP77" s="174"/>
      <c r="CQ77" s="174">
        <v>1</v>
      </c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  <c r="DK77" s="174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454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</row>
    <row r="78" spans="1:162" s="56" customFormat="1">
      <c r="A78" s="54"/>
      <c r="B78" s="55"/>
      <c r="C78" s="491" t="s">
        <v>3046</v>
      </c>
      <c r="D78" s="62">
        <v>40</v>
      </c>
      <c r="E78" s="62">
        <f t="shared" si="30"/>
        <v>40</v>
      </c>
      <c r="F78" s="62"/>
      <c r="G78" s="62"/>
      <c r="H78" s="62"/>
      <c r="I78" s="62"/>
      <c r="J78" s="62"/>
      <c r="K78" s="62"/>
      <c r="L78" s="62">
        <f t="shared" si="31"/>
        <v>40</v>
      </c>
      <c r="M78" s="62"/>
      <c r="N78" s="62"/>
      <c r="O78" s="62"/>
      <c r="P78" s="62"/>
      <c r="Q78" s="62"/>
      <c r="R78" s="173" t="s">
        <v>1631</v>
      </c>
      <c r="S78" s="174"/>
      <c r="T78" s="174"/>
      <c r="U78" s="174"/>
      <c r="V78" s="174">
        <v>1</v>
      </c>
      <c r="W78" s="174"/>
      <c r="X78" s="174"/>
      <c r="Y78" s="174"/>
      <c r="Z78" s="174"/>
      <c r="AA78" s="174"/>
      <c r="AB78" s="174"/>
      <c r="AC78" s="174"/>
      <c r="AD78" s="174"/>
      <c r="AE78" s="174"/>
      <c r="AF78" s="174">
        <v>1</v>
      </c>
      <c r="AG78" s="883"/>
      <c r="AH78" s="174"/>
      <c r="AI78" s="492"/>
      <c r="AJ78" s="905"/>
      <c r="AK78" s="919"/>
      <c r="AL78" s="174"/>
      <c r="AM78" s="174"/>
      <c r="AN78" s="174"/>
      <c r="AO78" s="928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>
        <v>1</v>
      </c>
      <c r="CD78" s="174"/>
      <c r="CE78" s="174"/>
      <c r="CF78" s="174">
        <f t="shared" si="32"/>
        <v>1</v>
      </c>
      <c r="CG78" s="174">
        <f t="shared" si="33"/>
        <v>0</v>
      </c>
      <c r="CH78" s="174"/>
      <c r="CI78" s="174"/>
      <c r="CJ78" s="174"/>
      <c r="CK78" s="174"/>
      <c r="CL78" s="174"/>
      <c r="CM78" s="174"/>
      <c r="CN78" s="174"/>
      <c r="CO78" s="174"/>
      <c r="CP78" s="174"/>
      <c r="CQ78" s="174">
        <v>1</v>
      </c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  <c r="DK78" s="174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454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</row>
    <row r="79" spans="1:162" s="56" customFormat="1">
      <c r="A79" s="54"/>
      <c r="B79" s="55"/>
      <c r="C79" s="491" t="s">
        <v>3047</v>
      </c>
      <c r="D79" s="62">
        <v>40</v>
      </c>
      <c r="E79" s="62">
        <f t="shared" si="30"/>
        <v>40</v>
      </c>
      <c r="F79" s="62"/>
      <c r="G79" s="62"/>
      <c r="H79" s="62"/>
      <c r="I79" s="62"/>
      <c r="J79" s="62"/>
      <c r="K79" s="62"/>
      <c r="L79" s="62">
        <f t="shared" si="31"/>
        <v>40</v>
      </c>
      <c r="M79" s="62"/>
      <c r="N79" s="62"/>
      <c r="O79" s="62"/>
      <c r="P79" s="62"/>
      <c r="Q79" s="62"/>
      <c r="R79" s="173" t="s">
        <v>2990</v>
      </c>
      <c r="S79" s="174"/>
      <c r="T79" s="174"/>
      <c r="U79" s="174"/>
      <c r="V79" s="174">
        <v>1</v>
      </c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883"/>
      <c r="AH79" s="174"/>
      <c r="AI79" s="492">
        <v>1</v>
      </c>
      <c r="AJ79" s="905"/>
      <c r="AK79" s="919"/>
      <c r="AL79" s="174"/>
      <c r="AM79" s="174"/>
      <c r="AN79" s="174"/>
      <c r="AO79" s="928"/>
      <c r="AP79" s="174"/>
      <c r="AQ79" s="174"/>
      <c r="AR79" s="174"/>
      <c r="AS79" s="174"/>
      <c r="AT79" s="174">
        <v>1</v>
      </c>
      <c r="AU79" s="174"/>
      <c r="AV79" s="174"/>
      <c r="AW79" s="174"/>
      <c r="AX79" s="174"/>
      <c r="AY79" s="174"/>
      <c r="AZ79" s="174"/>
      <c r="BA79" s="174"/>
      <c r="BB79" s="174"/>
      <c r="BC79" s="174">
        <v>1</v>
      </c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>
        <f t="shared" si="32"/>
        <v>0</v>
      </c>
      <c r="CG79" s="174">
        <f t="shared" si="33"/>
        <v>0</v>
      </c>
      <c r="CH79" s="174"/>
      <c r="CI79" s="174"/>
      <c r="CJ79" s="174"/>
      <c r="CK79" s="174"/>
      <c r="CL79" s="174"/>
      <c r="CM79" s="174"/>
      <c r="CN79" s="174"/>
      <c r="CO79" s="174">
        <v>1</v>
      </c>
      <c r="CP79" s="174"/>
      <c r="CQ79" s="174"/>
      <c r="CR79" s="174"/>
      <c r="CS79" s="174">
        <v>1</v>
      </c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454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</row>
    <row r="80" spans="1:162" s="56" customFormat="1">
      <c r="A80" s="54"/>
      <c r="B80" s="55"/>
      <c r="C80" s="491"/>
      <c r="D80" s="62"/>
      <c r="E80" s="62">
        <f t="shared" si="30"/>
        <v>0</v>
      </c>
      <c r="F80" s="62"/>
      <c r="G80" s="62"/>
      <c r="H80" s="62"/>
      <c r="I80" s="62"/>
      <c r="J80" s="62"/>
      <c r="K80" s="62"/>
      <c r="L80" s="62">
        <f t="shared" si="31"/>
        <v>0</v>
      </c>
      <c r="M80" s="62"/>
      <c r="N80" s="62"/>
      <c r="O80" s="62"/>
      <c r="P80" s="62"/>
      <c r="Q80" s="62"/>
      <c r="R80" s="173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883"/>
      <c r="AH80" s="174"/>
      <c r="AI80" s="492"/>
      <c r="AJ80" s="905"/>
      <c r="AK80" s="919"/>
      <c r="AL80" s="174"/>
      <c r="AM80" s="174"/>
      <c r="AN80" s="174"/>
      <c r="AO80" s="928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>
        <f t="shared" si="32"/>
        <v>0</v>
      </c>
      <c r="CG80" s="174">
        <f t="shared" si="33"/>
        <v>0</v>
      </c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454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</row>
    <row r="81" spans="1:162">
      <c r="A81" s="487">
        <f>MATCH(C81,$C$5:$C$361,0)</f>
        <v>77</v>
      </c>
      <c r="C81" s="14" t="s">
        <v>3010</v>
      </c>
      <c r="D81" s="14">
        <f t="shared" ref="D81:Q81" si="34">SUM(D75:D80)</f>
        <v>165</v>
      </c>
      <c r="E81" s="14">
        <f t="shared" si="34"/>
        <v>165</v>
      </c>
      <c r="F81" s="14">
        <f t="shared" si="34"/>
        <v>0</v>
      </c>
      <c r="G81" s="14">
        <f t="shared" si="34"/>
        <v>0</v>
      </c>
      <c r="H81" s="14">
        <f t="shared" si="34"/>
        <v>0</v>
      </c>
      <c r="I81" s="14">
        <f t="shared" si="34"/>
        <v>0</v>
      </c>
      <c r="J81" s="14">
        <f t="shared" si="34"/>
        <v>0</v>
      </c>
      <c r="K81" s="14">
        <f t="shared" si="34"/>
        <v>0</v>
      </c>
      <c r="L81" s="14">
        <f t="shared" si="34"/>
        <v>165</v>
      </c>
      <c r="M81" s="14">
        <f t="shared" si="34"/>
        <v>0</v>
      </c>
      <c r="N81" s="14">
        <f t="shared" si="34"/>
        <v>0</v>
      </c>
      <c r="O81" s="14">
        <f t="shared" si="34"/>
        <v>0</v>
      </c>
      <c r="P81" s="14">
        <f t="shared" si="34"/>
        <v>0</v>
      </c>
      <c r="Q81" s="14">
        <f t="shared" si="34"/>
        <v>0</v>
      </c>
      <c r="R81" s="14"/>
      <c r="S81" s="175">
        <f t="shared" ref="S81:AX81" si="35">SUM(S75:S80)</f>
        <v>0</v>
      </c>
      <c r="T81" s="175">
        <f t="shared" si="35"/>
        <v>0</v>
      </c>
      <c r="U81" s="175">
        <f t="shared" si="35"/>
        <v>0</v>
      </c>
      <c r="V81" s="175">
        <f t="shared" si="35"/>
        <v>5</v>
      </c>
      <c r="W81" s="175">
        <f t="shared" si="35"/>
        <v>0</v>
      </c>
      <c r="X81" s="175">
        <f t="shared" si="35"/>
        <v>0</v>
      </c>
      <c r="Y81" s="175">
        <f t="shared" si="35"/>
        <v>0</v>
      </c>
      <c r="Z81" s="175">
        <f t="shared" si="35"/>
        <v>0</v>
      </c>
      <c r="AA81" s="175">
        <f t="shared" si="35"/>
        <v>0</v>
      </c>
      <c r="AB81" s="175">
        <f t="shared" si="35"/>
        <v>0</v>
      </c>
      <c r="AC81" s="175">
        <f t="shared" si="35"/>
        <v>0</v>
      </c>
      <c r="AD81" s="175">
        <f t="shared" si="35"/>
        <v>0</v>
      </c>
      <c r="AE81" s="175">
        <f t="shared" si="35"/>
        <v>0</v>
      </c>
      <c r="AF81" s="175">
        <f t="shared" si="35"/>
        <v>2</v>
      </c>
      <c r="AG81" s="884">
        <f t="shared" si="35"/>
        <v>0</v>
      </c>
      <c r="AH81" s="175">
        <f t="shared" si="35"/>
        <v>0</v>
      </c>
      <c r="AI81" s="178">
        <f t="shared" si="35"/>
        <v>1</v>
      </c>
      <c r="AJ81" s="906">
        <f t="shared" si="35"/>
        <v>0</v>
      </c>
      <c r="AK81" s="920">
        <f t="shared" si="35"/>
        <v>1</v>
      </c>
      <c r="AL81" s="175">
        <f t="shared" si="35"/>
        <v>0</v>
      </c>
      <c r="AM81" s="175">
        <f t="shared" si="35"/>
        <v>0</v>
      </c>
      <c r="AN81" s="175">
        <f t="shared" si="35"/>
        <v>0</v>
      </c>
      <c r="AO81" s="929">
        <f t="shared" si="35"/>
        <v>0</v>
      </c>
      <c r="AP81" s="175">
        <f t="shared" si="35"/>
        <v>0</v>
      </c>
      <c r="AQ81" s="175">
        <f t="shared" si="35"/>
        <v>0</v>
      </c>
      <c r="AR81" s="175">
        <f t="shared" si="35"/>
        <v>0</v>
      </c>
      <c r="AS81" s="175">
        <f t="shared" si="35"/>
        <v>0</v>
      </c>
      <c r="AT81" s="175">
        <f t="shared" si="35"/>
        <v>2</v>
      </c>
      <c r="AU81" s="175">
        <f t="shared" si="35"/>
        <v>0</v>
      </c>
      <c r="AV81" s="175">
        <f t="shared" si="35"/>
        <v>0</v>
      </c>
      <c r="AW81" s="175">
        <f t="shared" si="35"/>
        <v>0</v>
      </c>
      <c r="AX81" s="175">
        <f t="shared" si="35"/>
        <v>0</v>
      </c>
      <c r="AY81" s="175">
        <f t="shared" ref="AY81:CD81" si="36">SUM(AY75:AY80)</f>
        <v>0</v>
      </c>
      <c r="AZ81" s="175">
        <f t="shared" si="36"/>
        <v>0</v>
      </c>
      <c r="BA81" s="175">
        <f t="shared" si="36"/>
        <v>0</v>
      </c>
      <c r="BB81" s="175">
        <f t="shared" si="36"/>
        <v>0</v>
      </c>
      <c r="BC81" s="175">
        <f t="shared" si="36"/>
        <v>2</v>
      </c>
      <c r="BD81" s="175">
        <f t="shared" si="36"/>
        <v>0</v>
      </c>
      <c r="BE81" s="175">
        <f t="shared" si="36"/>
        <v>0</v>
      </c>
      <c r="BF81" s="175">
        <f t="shared" si="36"/>
        <v>0</v>
      </c>
      <c r="BG81" s="175">
        <f t="shared" si="36"/>
        <v>0</v>
      </c>
      <c r="BH81" s="175">
        <f t="shared" si="36"/>
        <v>0</v>
      </c>
      <c r="BI81" s="175">
        <f t="shared" si="36"/>
        <v>0</v>
      </c>
      <c r="BJ81" s="175">
        <f t="shared" si="36"/>
        <v>0</v>
      </c>
      <c r="BK81" s="175">
        <f t="shared" si="36"/>
        <v>0</v>
      </c>
      <c r="BL81" s="175">
        <f t="shared" si="36"/>
        <v>0</v>
      </c>
      <c r="BM81" s="175">
        <f t="shared" si="36"/>
        <v>0</v>
      </c>
      <c r="BN81" s="175">
        <f t="shared" si="36"/>
        <v>0</v>
      </c>
      <c r="BO81" s="175">
        <f t="shared" si="36"/>
        <v>0</v>
      </c>
      <c r="BP81" s="175">
        <f t="shared" si="36"/>
        <v>0</v>
      </c>
      <c r="BQ81" s="175">
        <f t="shared" si="36"/>
        <v>0</v>
      </c>
      <c r="BR81" s="175">
        <f t="shared" si="36"/>
        <v>0</v>
      </c>
      <c r="BS81" s="175">
        <f t="shared" si="36"/>
        <v>0</v>
      </c>
      <c r="BT81" s="175">
        <f t="shared" si="36"/>
        <v>0</v>
      </c>
      <c r="BU81" s="175">
        <f t="shared" si="36"/>
        <v>0</v>
      </c>
      <c r="BV81" s="175">
        <f t="shared" si="36"/>
        <v>0</v>
      </c>
      <c r="BW81" s="175">
        <f t="shared" si="36"/>
        <v>0</v>
      </c>
      <c r="BX81" s="175">
        <f t="shared" si="36"/>
        <v>0</v>
      </c>
      <c r="BY81" s="175">
        <f t="shared" si="36"/>
        <v>0</v>
      </c>
      <c r="BZ81" s="175">
        <f t="shared" si="36"/>
        <v>1</v>
      </c>
      <c r="CA81" s="175">
        <f t="shared" si="36"/>
        <v>0</v>
      </c>
      <c r="CB81" s="175">
        <f t="shared" si="36"/>
        <v>0</v>
      </c>
      <c r="CC81" s="175">
        <f t="shared" si="36"/>
        <v>3</v>
      </c>
      <c r="CD81" s="175">
        <f t="shared" si="36"/>
        <v>1</v>
      </c>
      <c r="CE81" s="175">
        <f t="shared" ref="CE81:DJ81" si="37">SUM(CE75:CE80)</f>
        <v>0</v>
      </c>
      <c r="CF81" s="175">
        <f t="shared" si="37"/>
        <v>3</v>
      </c>
      <c r="CG81" s="175">
        <f t="shared" si="37"/>
        <v>2</v>
      </c>
      <c r="CH81" s="175">
        <f t="shared" si="37"/>
        <v>0</v>
      </c>
      <c r="CI81" s="175">
        <f t="shared" si="37"/>
        <v>0</v>
      </c>
      <c r="CJ81" s="175">
        <f t="shared" si="37"/>
        <v>0</v>
      </c>
      <c r="CK81" s="175">
        <f t="shared" si="37"/>
        <v>0</v>
      </c>
      <c r="CL81" s="175">
        <f t="shared" si="37"/>
        <v>0</v>
      </c>
      <c r="CM81" s="175">
        <f t="shared" si="37"/>
        <v>0</v>
      </c>
      <c r="CN81" s="175">
        <f t="shared" si="37"/>
        <v>0</v>
      </c>
      <c r="CO81" s="175">
        <f t="shared" si="37"/>
        <v>2</v>
      </c>
      <c r="CP81" s="175">
        <f t="shared" si="37"/>
        <v>0</v>
      </c>
      <c r="CQ81" s="175">
        <f t="shared" si="37"/>
        <v>2</v>
      </c>
      <c r="CR81" s="175">
        <f t="shared" si="37"/>
        <v>1</v>
      </c>
      <c r="CS81" s="175">
        <f t="shared" si="37"/>
        <v>2</v>
      </c>
      <c r="CT81" s="175">
        <f t="shared" si="37"/>
        <v>0</v>
      </c>
      <c r="CU81" s="175">
        <f t="shared" si="37"/>
        <v>0</v>
      </c>
      <c r="CV81" s="175">
        <f t="shared" si="37"/>
        <v>0</v>
      </c>
      <c r="CW81" s="175">
        <f t="shared" si="37"/>
        <v>0</v>
      </c>
      <c r="CX81" s="175">
        <f t="shared" si="37"/>
        <v>1</v>
      </c>
      <c r="CY81" s="175">
        <f t="shared" si="37"/>
        <v>1</v>
      </c>
      <c r="CZ81" s="175">
        <f t="shared" si="37"/>
        <v>0</v>
      </c>
      <c r="DA81" s="175">
        <f t="shared" si="37"/>
        <v>0</v>
      </c>
      <c r="DB81" s="175">
        <f t="shared" si="37"/>
        <v>2</v>
      </c>
      <c r="DC81" s="175">
        <f t="shared" si="37"/>
        <v>0</v>
      </c>
      <c r="DD81" s="175">
        <f t="shared" si="37"/>
        <v>0</v>
      </c>
      <c r="DE81" s="175">
        <f t="shared" si="37"/>
        <v>0</v>
      </c>
      <c r="DF81" s="175">
        <f t="shared" si="37"/>
        <v>0</v>
      </c>
      <c r="DG81" s="175">
        <f t="shared" si="37"/>
        <v>0</v>
      </c>
      <c r="DH81" s="175">
        <f t="shared" si="37"/>
        <v>0</v>
      </c>
      <c r="DI81" s="175">
        <f t="shared" si="37"/>
        <v>1</v>
      </c>
      <c r="DJ81" s="175">
        <f t="shared" si="37"/>
        <v>0</v>
      </c>
      <c r="DK81" s="175">
        <f t="shared" ref="DK81:ED81" si="38">SUM(DK75:DK80)</f>
        <v>0</v>
      </c>
      <c r="DL81" s="14">
        <f t="shared" si="38"/>
        <v>1</v>
      </c>
      <c r="DM81" s="14">
        <f t="shared" si="38"/>
        <v>0</v>
      </c>
      <c r="DN81" s="14">
        <f t="shared" si="38"/>
        <v>0</v>
      </c>
      <c r="DO81" s="14">
        <f t="shared" si="38"/>
        <v>0</v>
      </c>
      <c r="DP81" s="14">
        <f t="shared" si="38"/>
        <v>0</v>
      </c>
      <c r="DQ81" s="14">
        <f t="shared" si="38"/>
        <v>0</v>
      </c>
      <c r="DR81" s="14">
        <f t="shared" si="38"/>
        <v>0</v>
      </c>
      <c r="DS81" s="14">
        <f t="shared" si="38"/>
        <v>1</v>
      </c>
      <c r="DT81" s="14">
        <f t="shared" si="38"/>
        <v>2.5</v>
      </c>
      <c r="DU81" s="14">
        <f t="shared" si="38"/>
        <v>0</v>
      </c>
      <c r="DV81" s="14">
        <f t="shared" si="38"/>
        <v>0</v>
      </c>
      <c r="DW81" s="14">
        <f t="shared" si="38"/>
        <v>0</v>
      </c>
      <c r="DX81" s="14">
        <f t="shared" si="38"/>
        <v>0</v>
      </c>
      <c r="DY81" s="14">
        <f t="shared" si="38"/>
        <v>0</v>
      </c>
      <c r="DZ81" s="14">
        <f t="shared" si="38"/>
        <v>0</v>
      </c>
      <c r="EA81" s="14">
        <f t="shared" si="38"/>
        <v>0</v>
      </c>
      <c r="EB81" s="14">
        <f t="shared" si="38"/>
        <v>0</v>
      </c>
      <c r="EC81" s="14">
        <f t="shared" si="38"/>
        <v>0</v>
      </c>
      <c r="ED81" s="14">
        <f t="shared" si="38"/>
        <v>0</v>
      </c>
      <c r="EE81" s="508"/>
      <c r="EF81" s="14">
        <f t="shared" ref="EF81:FE81" si="39">SUM(EF75:EF80)</f>
        <v>0</v>
      </c>
      <c r="EG81" s="14">
        <f t="shared" si="39"/>
        <v>0</v>
      </c>
      <c r="EH81" s="14">
        <f t="shared" si="39"/>
        <v>0</v>
      </c>
      <c r="EI81" s="14">
        <f t="shared" si="39"/>
        <v>0</v>
      </c>
      <c r="EJ81" s="14">
        <f t="shared" si="39"/>
        <v>0</v>
      </c>
      <c r="EK81" s="14">
        <f t="shared" si="39"/>
        <v>0</v>
      </c>
      <c r="EL81" s="14">
        <f t="shared" si="39"/>
        <v>0</v>
      </c>
      <c r="EM81" s="14">
        <f t="shared" si="39"/>
        <v>0</v>
      </c>
      <c r="EN81" s="14">
        <f t="shared" si="39"/>
        <v>0</v>
      </c>
      <c r="EO81" s="14">
        <f t="shared" si="39"/>
        <v>0</v>
      </c>
      <c r="EP81" s="14">
        <f t="shared" si="39"/>
        <v>0</v>
      </c>
      <c r="EQ81" s="14">
        <f t="shared" si="39"/>
        <v>0</v>
      </c>
      <c r="ER81" s="14">
        <f t="shared" si="39"/>
        <v>0</v>
      </c>
      <c r="ES81" s="14">
        <f t="shared" si="39"/>
        <v>0</v>
      </c>
      <c r="ET81" s="14">
        <f t="shared" si="39"/>
        <v>0</v>
      </c>
      <c r="EU81" s="14">
        <f t="shared" si="39"/>
        <v>0</v>
      </c>
      <c r="EV81" s="14">
        <f t="shared" si="39"/>
        <v>0</v>
      </c>
      <c r="EW81" s="14">
        <f t="shared" si="39"/>
        <v>0</v>
      </c>
      <c r="EX81" s="14">
        <f t="shared" si="39"/>
        <v>0</v>
      </c>
      <c r="EY81" s="14">
        <f t="shared" si="39"/>
        <v>0</v>
      </c>
      <c r="EZ81" s="14">
        <f t="shared" si="39"/>
        <v>0</v>
      </c>
      <c r="FA81" s="14">
        <f t="shared" si="39"/>
        <v>0</v>
      </c>
      <c r="FB81" s="14">
        <f t="shared" si="39"/>
        <v>0</v>
      </c>
      <c r="FC81" s="14">
        <f t="shared" si="39"/>
        <v>0</v>
      </c>
      <c r="FD81" s="14">
        <f t="shared" si="39"/>
        <v>0</v>
      </c>
      <c r="FE81" s="14">
        <f t="shared" si="39"/>
        <v>0</v>
      </c>
      <c r="FF81" s="14"/>
    </row>
    <row r="82" spans="1:162">
      <c r="A82" s="54"/>
      <c r="B82" s="55" t="s">
        <v>3013</v>
      </c>
      <c r="C82" s="11" t="s">
        <v>3596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885"/>
      <c r="AH82" s="176"/>
      <c r="AI82" s="897"/>
      <c r="AJ82" s="907"/>
      <c r="AK82" s="921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503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3"/>
    </row>
    <row r="83" spans="1:162" s="56" customFormat="1">
      <c r="A83" s="54"/>
      <c r="B83" s="55"/>
      <c r="C83" s="491" t="s">
        <v>3002</v>
      </c>
      <c r="D83" s="62"/>
      <c r="E83" s="62">
        <f>D83*3</f>
        <v>0</v>
      </c>
      <c r="F83" s="62"/>
      <c r="G83" s="62"/>
      <c r="H83" s="62"/>
      <c r="I83" s="62"/>
      <c r="J83" s="62"/>
      <c r="K83" s="62"/>
      <c r="L83" s="62">
        <f>D83</f>
        <v>0</v>
      </c>
      <c r="M83" s="62"/>
      <c r="N83" s="62"/>
      <c r="O83" s="62"/>
      <c r="P83" s="62"/>
      <c r="Q83" s="62"/>
      <c r="R83" s="173" t="s">
        <v>2989</v>
      </c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883"/>
      <c r="AH83" s="174"/>
      <c r="AI83" s="492"/>
      <c r="AJ83" s="905"/>
      <c r="AK83" s="919"/>
      <c r="AL83" s="174"/>
      <c r="AM83" s="174"/>
      <c r="AN83" s="174"/>
      <c r="AO83" s="928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>
        <v>1</v>
      </c>
      <c r="CB83" s="174"/>
      <c r="CC83" s="174"/>
      <c r="CD83" s="174"/>
      <c r="CE83" s="174"/>
      <c r="CF83" s="174"/>
      <c r="CG83" s="174">
        <f>CE83-CF83</f>
        <v>0</v>
      </c>
      <c r="CH83" s="174">
        <v>3</v>
      </c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>
        <v>2</v>
      </c>
      <c r="CT83" s="174"/>
      <c r="CU83" s="174"/>
      <c r="CV83" s="174"/>
      <c r="CW83" s="174"/>
      <c r="CX83" s="174"/>
      <c r="CY83" s="174"/>
      <c r="CZ83" s="174"/>
      <c r="DA83" s="174"/>
      <c r="DB83" s="174">
        <v>2</v>
      </c>
      <c r="DC83" s="174"/>
      <c r="DD83" s="174"/>
      <c r="DE83" s="174"/>
      <c r="DF83" s="174"/>
      <c r="DG83" s="174"/>
      <c r="DH83" s="174"/>
      <c r="DI83" s="174">
        <v>3</v>
      </c>
      <c r="DJ83" s="174"/>
      <c r="DK83" s="174"/>
      <c r="DL83" s="62">
        <v>3</v>
      </c>
      <c r="DM83" s="62"/>
      <c r="DN83" s="62"/>
      <c r="DO83" s="62"/>
      <c r="DP83" s="62"/>
      <c r="DQ83" s="62"/>
      <c r="DR83" s="62"/>
      <c r="DS83" s="62">
        <v>1.5</v>
      </c>
      <c r="DT83" s="62">
        <f>1.5*3+1.5*3</f>
        <v>9</v>
      </c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454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</row>
    <row r="84" spans="1:162" s="56" customFormat="1">
      <c r="A84" s="54"/>
      <c r="B84" s="55"/>
      <c r="C84" s="491" t="s">
        <v>3003</v>
      </c>
      <c r="D84" s="62">
        <v>5.5</v>
      </c>
      <c r="E84" s="62">
        <f t="shared" ref="E84:E96" si="40">D84*3</f>
        <v>16.5</v>
      </c>
      <c r="F84" s="62"/>
      <c r="G84" s="62"/>
      <c r="H84" s="62"/>
      <c r="I84" s="62"/>
      <c r="J84" s="62"/>
      <c r="K84" s="62"/>
      <c r="L84" s="62">
        <f t="shared" ref="L84:L96" si="41">D84</f>
        <v>5.5</v>
      </c>
      <c r="M84" s="62"/>
      <c r="N84" s="62"/>
      <c r="O84" s="62"/>
      <c r="P84" s="62"/>
      <c r="Q84" s="62"/>
      <c r="R84" s="173" t="s">
        <v>2989</v>
      </c>
      <c r="S84" s="174"/>
      <c r="T84" s="174"/>
      <c r="U84" s="174"/>
      <c r="V84" s="174">
        <v>2</v>
      </c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883"/>
      <c r="AH84" s="174"/>
      <c r="AI84" s="492"/>
      <c r="AJ84" s="905">
        <v>1</v>
      </c>
      <c r="AK84" s="919"/>
      <c r="AL84" s="174"/>
      <c r="AM84" s="174"/>
      <c r="AN84" s="174"/>
      <c r="AO84" s="928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>
        <v>1</v>
      </c>
      <c r="BW84" s="174">
        <v>1</v>
      </c>
      <c r="BX84" s="174"/>
      <c r="BY84" s="174"/>
      <c r="BZ84" s="174"/>
      <c r="CA84" s="174"/>
      <c r="CB84" s="174"/>
      <c r="CC84" s="174"/>
      <c r="CD84" s="174"/>
      <c r="CE84" s="174">
        <v>5</v>
      </c>
      <c r="CF84" s="174">
        <v>1</v>
      </c>
      <c r="CG84" s="174">
        <f t="shared" ref="CG84:CG97" si="42">CE84-CF84</f>
        <v>4</v>
      </c>
      <c r="CH84" s="174">
        <v>6</v>
      </c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>
        <v>2</v>
      </c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454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</row>
    <row r="85" spans="1:162" s="56" customFormat="1">
      <c r="A85" s="54"/>
      <c r="B85" s="55"/>
      <c r="C85" s="491" t="s">
        <v>3004</v>
      </c>
      <c r="D85" s="62">
        <v>23</v>
      </c>
      <c r="E85" s="62">
        <f t="shared" si="40"/>
        <v>69</v>
      </c>
      <c r="F85" s="62"/>
      <c r="G85" s="62"/>
      <c r="H85" s="62"/>
      <c r="I85" s="62"/>
      <c r="J85" s="62"/>
      <c r="K85" s="62"/>
      <c r="L85" s="62">
        <f t="shared" si="41"/>
        <v>23</v>
      </c>
      <c r="M85" s="62"/>
      <c r="N85" s="62"/>
      <c r="O85" s="62"/>
      <c r="P85" s="62"/>
      <c r="Q85" s="62"/>
      <c r="R85" s="173" t="s">
        <v>1903</v>
      </c>
      <c r="S85" s="174"/>
      <c r="T85" s="174"/>
      <c r="U85" s="174"/>
      <c r="V85" s="174">
        <v>2</v>
      </c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883"/>
      <c r="AH85" s="174"/>
      <c r="AI85" s="492"/>
      <c r="AJ85" s="905">
        <v>1</v>
      </c>
      <c r="AK85" s="919"/>
      <c r="AL85" s="174"/>
      <c r="AM85" s="174"/>
      <c r="AN85" s="174"/>
      <c r="AO85" s="928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>
        <v>1</v>
      </c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>
        <v>6</v>
      </c>
      <c r="CF85" s="174"/>
      <c r="CG85" s="174">
        <f t="shared" si="42"/>
        <v>6</v>
      </c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>
        <v>1</v>
      </c>
      <c r="CS85" s="174"/>
      <c r="CT85" s="174"/>
      <c r="CU85" s="174"/>
      <c r="CV85" s="174"/>
      <c r="CW85" s="174"/>
      <c r="CX85" s="174">
        <v>3</v>
      </c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454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</row>
    <row r="86" spans="1:162" s="56" customFormat="1">
      <c r="A86" s="54"/>
      <c r="B86" s="55"/>
      <c r="C86" s="491" t="s">
        <v>3038</v>
      </c>
      <c r="D86" s="62">
        <v>32</v>
      </c>
      <c r="E86" s="62">
        <f t="shared" si="40"/>
        <v>96</v>
      </c>
      <c r="F86" s="62"/>
      <c r="G86" s="62"/>
      <c r="H86" s="62"/>
      <c r="I86" s="62"/>
      <c r="J86" s="62"/>
      <c r="K86" s="62"/>
      <c r="L86" s="62">
        <f t="shared" si="41"/>
        <v>32</v>
      </c>
      <c r="M86" s="62"/>
      <c r="N86" s="62"/>
      <c r="O86" s="62"/>
      <c r="P86" s="62"/>
      <c r="Q86" s="62"/>
      <c r="R86" s="173" t="s">
        <v>2989</v>
      </c>
      <c r="S86" s="174"/>
      <c r="T86" s="174"/>
      <c r="U86" s="174"/>
      <c r="V86" s="174">
        <v>2</v>
      </c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883"/>
      <c r="AH86" s="174"/>
      <c r="AI86" s="492"/>
      <c r="AJ86" s="905">
        <v>1</v>
      </c>
      <c r="AK86" s="919"/>
      <c r="AL86" s="174"/>
      <c r="AM86" s="174"/>
      <c r="AN86" s="174"/>
      <c r="AO86" s="928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>
        <v>1</v>
      </c>
      <c r="BW86" s="174">
        <v>1</v>
      </c>
      <c r="BX86" s="174"/>
      <c r="BY86" s="174"/>
      <c r="BZ86" s="174"/>
      <c r="CA86" s="174"/>
      <c r="CB86" s="174"/>
      <c r="CC86" s="174"/>
      <c r="CD86" s="174"/>
      <c r="CE86" s="174">
        <v>5</v>
      </c>
      <c r="CF86" s="174">
        <v>1</v>
      </c>
      <c r="CG86" s="174">
        <f t="shared" si="42"/>
        <v>4</v>
      </c>
      <c r="CH86" s="174">
        <v>6</v>
      </c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>
        <v>2</v>
      </c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454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</row>
    <row r="87" spans="1:162" s="56" customFormat="1">
      <c r="A87" s="54"/>
      <c r="B87" s="55"/>
      <c r="C87" s="491" t="s">
        <v>3039</v>
      </c>
      <c r="D87" s="62">
        <v>35</v>
      </c>
      <c r="E87" s="62">
        <f t="shared" si="40"/>
        <v>105</v>
      </c>
      <c r="F87" s="62"/>
      <c r="G87" s="62"/>
      <c r="H87" s="62"/>
      <c r="I87" s="62"/>
      <c r="J87" s="62"/>
      <c r="K87" s="62"/>
      <c r="L87" s="62">
        <f t="shared" si="41"/>
        <v>35</v>
      </c>
      <c r="M87" s="62"/>
      <c r="N87" s="62"/>
      <c r="O87" s="62"/>
      <c r="P87" s="62"/>
      <c r="Q87" s="62"/>
      <c r="R87" s="173" t="s">
        <v>1903</v>
      </c>
      <c r="S87" s="174"/>
      <c r="T87" s="174"/>
      <c r="U87" s="174"/>
      <c r="V87" s="174">
        <v>2</v>
      </c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883"/>
      <c r="AH87" s="174"/>
      <c r="AI87" s="492"/>
      <c r="AJ87" s="905">
        <v>1</v>
      </c>
      <c r="AK87" s="919"/>
      <c r="AL87" s="174"/>
      <c r="AM87" s="174"/>
      <c r="AN87" s="174"/>
      <c r="AO87" s="928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>
        <v>1</v>
      </c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>
        <v>6</v>
      </c>
      <c r="CF87" s="174"/>
      <c r="CG87" s="174">
        <f t="shared" si="42"/>
        <v>6</v>
      </c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>
        <v>1</v>
      </c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454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</row>
    <row r="88" spans="1:162" s="56" customFormat="1">
      <c r="A88" s="54"/>
      <c r="B88" s="55"/>
      <c r="C88" s="491" t="s">
        <v>3040</v>
      </c>
      <c r="D88" s="62">
        <v>30</v>
      </c>
      <c r="E88" s="62">
        <f t="shared" si="40"/>
        <v>90</v>
      </c>
      <c r="F88" s="62"/>
      <c r="G88" s="62"/>
      <c r="H88" s="62"/>
      <c r="I88" s="62"/>
      <c r="J88" s="62"/>
      <c r="K88" s="62"/>
      <c r="L88" s="62">
        <f t="shared" si="41"/>
        <v>30</v>
      </c>
      <c r="M88" s="62"/>
      <c r="N88" s="62"/>
      <c r="O88" s="62"/>
      <c r="P88" s="62"/>
      <c r="Q88" s="62"/>
      <c r="R88" s="173" t="s">
        <v>1903</v>
      </c>
      <c r="S88" s="174"/>
      <c r="T88" s="174"/>
      <c r="U88" s="174"/>
      <c r="V88" s="174">
        <v>2</v>
      </c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883"/>
      <c r="AH88" s="174"/>
      <c r="AI88" s="492"/>
      <c r="AJ88" s="905">
        <v>1</v>
      </c>
      <c r="AK88" s="919"/>
      <c r="AL88" s="174"/>
      <c r="AM88" s="174"/>
      <c r="AN88" s="174"/>
      <c r="AO88" s="928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>
        <v>1</v>
      </c>
      <c r="BG88" s="174"/>
      <c r="BH88" s="174"/>
      <c r="BI88" s="174"/>
      <c r="BJ88" s="174"/>
      <c r="BK88" s="174"/>
      <c r="BL88" s="174"/>
      <c r="BM88" s="174"/>
      <c r="BN88" s="174">
        <v>1</v>
      </c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>
        <v>6</v>
      </c>
      <c r="CF88" s="174"/>
      <c r="CG88" s="174">
        <f t="shared" si="42"/>
        <v>6</v>
      </c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>
        <v>1</v>
      </c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454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</row>
    <row r="89" spans="1:162" s="56" customFormat="1">
      <c r="A89" s="54"/>
      <c r="B89" s="55"/>
      <c r="C89" s="491" t="s">
        <v>3041</v>
      </c>
      <c r="D89" s="62">
        <v>40</v>
      </c>
      <c r="E89" s="62">
        <f t="shared" si="40"/>
        <v>120</v>
      </c>
      <c r="F89" s="62"/>
      <c r="G89" s="62"/>
      <c r="H89" s="62"/>
      <c r="I89" s="62"/>
      <c r="J89" s="62"/>
      <c r="K89" s="62"/>
      <c r="L89" s="62">
        <f t="shared" si="41"/>
        <v>40</v>
      </c>
      <c r="M89" s="62"/>
      <c r="N89" s="62"/>
      <c r="O89" s="62"/>
      <c r="P89" s="62"/>
      <c r="Q89" s="62"/>
      <c r="R89" s="173" t="s">
        <v>2989</v>
      </c>
      <c r="S89" s="174"/>
      <c r="T89" s="174"/>
      <c r="U89" s="174"/>
      <c r="V89" s="174">
        <v>2</v>
      </c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883"/>
      <c r="AH89" s="174"/>
      <c r="AI89" s="492"/>
      <c r="AJ89" s="905">
        <v>1</v>
      </c>
      <c r="AK89" s="919"/>
      <c r="AL89" s="174"/>
      <c r="AM89" s="174"/>
      <c r="AN89" s="174"/>
      <c r="AO89" s="928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>
        <v>1</v>
      </c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>
        <v>1</v>
      </c>
      <c r="BX89" s="174"/>
      <c r="BY89" s="174"/>
      <c r="BZ89" s="174"/>
      <c r="CA89" s="174"/>
      <c r="CB89" s="174"/>
      <c r="CC89" s="174"/>
      <c r="CD89" s="174"/>
      <c r="CE89" s="174">
        <v>6</v>
      </c>
      <c r="CF89" s="174"/>
      <c r="CG89" s="174">
        <f t="shared" si="42"/>
        <v>6</v>
      </c>
      <c r="CH89" s="174">
        <v>6</v>
      </c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>
        <v>2</v>
      </c>
      <c r="CT89" s="174"/>
      <c r="CU89" s="174"/>
      <c r="CV89" s="174"/>
      <c r="CW89" s="174"/>
      <c r="CX89" s="174">
        <v>3</v>
      </c>
      <c r="CY89" s="174">
        <v>3</v>
      </c>
      <c r="CZ89" s="174">
        <v>3</v>
      </c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>
        <v>3</v>
      </c>
      <c r="DL89" s="62">
        <v>2</v>
      </c>
      <c r="DM89" s="62"/>
      <c r="DN89" s="62"/>
      <c r="DO89" s="62"/>
      <c r="DP89" s="62"/>
      <c r="DQ89" s="62"/>
      <c r="DR89" s="62"/>
      <c r="DS89" s="62">
        <v>1.5</v>
      </c>
      <c r="DT89" s="62">
        <v>4.5</v>
      </c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454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</row>
    <row r="90" spans="1:162" s="56" customFormat="1">
      <c r="A90" s="54"/>
      <c r="B90" s="55"/>
      <c r="C90" s="491" t="s">
        <v>3042</v>
      </c>
      <c r="D90" s="62">
        <v>35</v>
      </c>
      <c r="E90" s="62">
        <f t="shared" si="40"/>
        <v>105</v>
      </c>
      <c r="F90" s="62"/>
      <c r="G90" s="62"/>
      <c r="H90" s="62"/>
      <c r="I90" s="62"/>
      <c r="J90" s="62"/>
      <c r="K90" s="62"/>
      <c r="L90" s="62">
        <f t="shared" si="41"/>
        <v>35</v>
      </c>
      <c r="M90" s="62"/>
      <c r="N90" s="62"/>
      <c r="O90" s="62"/>
      <c r="P90" s="62"/>
      <c r="Q90" s="62"/>
      <c r="R90" s="173" t="s">
        <v>1631</v>
      </c>
      <c r="S90" s="174"/>
      <c r="T90" s="174"/>
      <c r="U90" s="174"/>
      <c r="V90" s="174">
        <v>1</v>
      </c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883">
        <v>1</v>
      </c>
      <c r="AH90" s="174"/>
      <c r="AI90" s="492"/>
      <c r="AJ90" s="905"/>
      <c r="AK90" s="919"/>
      <c r="AL90" s="174"/>
      <c r="AM90" s="174"/>
      <c r="AN90" s="174"/>
      <c r="AO90" s="928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>
        <v>1</v>
      </c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>
        <v>3</v>
      </c>
      <c r="CF90" s="174">
        <v>3</v>
      </c>
      <c r="CG90" s="174">
        <f t="shared" si="42"/>
        <v>0</v>
      </c>
      <c r="CH90" s="174"/>
      <c r="CI90" s="174"/>
      <c r="CJ90" s="174"/>
      <c r="CK90" s="174"/>
      <c r="CL90" s="174"/>
      <c r="CM90" s="174"/>
      <c r="CN90" s="174"/>
      <c r="CO90" s="174"/>
      <c r="CP90" s="174"/>
      <c r="CQ90" s="174">
        <v>1</v>
      </c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454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</row>
    <row r="91" spans="1:162" s="56" customFormat="1">
      <c r="A91" s="54"/>
      <c r="B91" s="55"/>
      <c r="C91" s="491" t="s">
        <v>3043</v>
      </c>
      <c r="D91" s="62">
        <v>33</v>
      </c>
      <c r="E91" s="62">
        <f t="shared" si="40"/>
        <v>99</v>
      </c>
      <c r="F91" s="62"/>
      <c r="G91" s="62"/>
      <c r="H91" s="62"/>
      <c r="I91" s="62"/>
      <c r="J91" s="62"/>
      <c r="K91" s="62"/>
      <c r="L91" s="62">
        <f t="shared" si="41"/>
        <v>33</v>
      </c>
      <c r="M91" s="62"/>
      <c r="N91" s="62"/>
      <c r="O91" s="62"/>
      <c r="P91" s="62"/>
      <c r="Q91" s="62"/>
      <c r="R91" s="173" t="s">
        <v>1631</v>
      </c>
      <c r="S91" s="174"/>
      <c r="T91" s="174"/>
      <c r="U91" s="174"/>
      <c r="V91" s="174">
        <v>1</v>
      </c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883">
        <v>1</v>
      </c>
      <c r="AH91" s="174"/>
      <c r="AI91" s="492"/>
      <c r="AJ91" s="905"/>
      <c r="AK91" s="919"/>
      <c r="AL91" s="174"/>
      <c r="AM91" s="174"/>
      <c r="AN91" s="174"/>
      <c r="AO91" s="928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>
        <v>1</v>
      </c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>
        <v>3</v>
      </c>
      <c r="CF91" s="174">
        <v>3</v>
      </c>
      <c r="CG91" s="174">
        <f t="shared" si="42"/>
        <v>0</v>
      </c>
      <c r="CH91" s="174"/>
      <c r="CI91" s="174"/>
      <c r="CJ91" s="174"/>
      <c r="CK91" s="174"/>
      <c r="CL91" s="174"/>
      <c r="CM91" s="174"/>
      <c r="CN91" s="174"/>
      <c r="CO91" s="174"/>
      <c r="CP91" s="174"/>
      <c r="CQ91" s="174">
        <v>1</v>
      </c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454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</row>
    <row r="92" spans="1:162" s="56" customFormat="1">
      <c r="A92" s="54"/>
      <c r="B92" s="55"/>
      <c r="C92" s="491" t="s">
        <v>3044</v>
      </c>
      <c r="D92" s="62">
        <v>33</v>
      </c>
      <c r="E92" s="62">
        <f t="shared" si="40"/>
        <v>99</v>
      </c>
      <c r="F92" s="62"/>
      <c r="G92" s="62"/>
      <c r="H92" s="62"/>
      <c r="I92" s="62"/>
      <c r="J92" s="62"/>
      <c r="K92" s="62"/>
      <c r="L92" s="62">
        <f t="shared" si="41"/>
        <v>33</v>
      </c>
      <c r="M92" s="62"/>
      <c r="N92" s="62"/>
      <c r="O92" s="62"/>
      <c r="P92" s="62"/>
      <c r="Q92" s="62"/>
      <c r="R92" s="173" t="s">
        <v>2989</v>
      </c>
      <c r="S92" s="174"/>
      <c r="T92" s="174"/>
      <c r="U92" s="174"/>
      <c r="V92" s="174">
        <v>2</v>
      </c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883"/>
      <c r="AH92" s="174"/>
      <c r="AI92" s="492"/>
      <c r="AJ92" s="905">
        <v>1</v>
      </c>
      <c r="AK92" s="919"/>
      <c r="AL92" s="174"/>
      <c r="AM92" s="174"/>
      <c r="AN92" s="174"/>
      <c r="AO92" s="928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4"/>
      <c r="BA92" s="174"/>
      <c r="BB92" s="174"/>
      <c r="BC92" s="174"/>
      <c r="BD92" s="174"/>
      <c r="BE92" s="174"/>
      <c r="BF92" s="174"/>
      <c r="BG92" s="174"/>
      <c r="BH92" s="174"/>
      <c r="BI92" s="174"/>
      <c r="BJ92" s="174"/>
      <c r="BK92" s="174"/>
      <c r="BL92" s="174"/>
      <c r="BM92" s="174"/>
      <c r="BN92" s="174"/>
      <c r="BO92" s="174"/>
      <c r="BP92" s="174"/>
      <c r="BQ92" s="174"/>
      <c r="BR92" s="174"/>
      <c r="BS92" s="174"/>
      <c r="BT92" s="174"/>
      <c r="BU92" s="174"/>
      <c r="BV92" s="174">
        <v>1</v>
      </c>
      <c r="BW92" s="174">
        <v>1</v>
      </c>
      <c r="BX92" s="174"/>
      <c r="BY92" s="174"/>
      <c r="BZ92" s="174"/>
      <c r="CA92" s="174"/>
      <c r="CB92" s="174"/>
      <c r="CC92" s="174"/>
      <c r="CD92" s="174"/>
      <c r="CE92" s="174">
        <v>5</v>
      </c>
      <c r="CF92" s="174">
        <v>1</v>
      </c>
      <c r="CG92" s="174">
        <f t="shared" si="42"/>
        <v>4</v>
      </c>
      <c r="CH92" s="174">
        <v>6</v>
      </c>
      <c r="CI92" s="174"/>
      <c r="CJ92" s="174"/>
      <c r="CK92" s="174"/>
      <c r="CL92" s="174"/>
      <c r="CM92" s="174"/>
      <c r="CN92" s="174"/>
      <c r="CO92" s="174"/>
      <c r="CP92" s="174"/>
      <c r="CQ92" s="174"/>
      <c r="CR92" s="174"/>
      <c r="CS92" s="174">
        <v>2</v>
      </c>
      <c r="CT92" s="174"/>
      <c r="CU92" s="174"/>
      <c r="CV92" s="174"/>
      <c r="CW92" s="174"/>
      <c r="CX92" s="174"/>
      <c r="CY92" s="174"/>
      <c r="CZ92" s="174"/>
      <c r="DA92" s="174"/>
      <c r="DB92" s="174"/>
      <c r="DC92" s="174"/>
      <c r="DD92" s="174"/>
      <c r="DE92" s="174"/>
      <c r="DF92" s="174"/>
      <c r="DG92" s="174"/>
      <c r="DH92" s="174"/>
      <c r="DI92" s="174"/>
      <c r="DJ92" s="174"/>
      <c r="DK92" s="174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454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</row>
    <row r="93" spans="1:162" s="56" customFormat="1">
      <c r="A93" s="54"/>
      <c r="B93" s="55"/>
      <c r="C93" s="491" t="s">
        <v>3045</v>
      </c>
      <c r="D93" s="62">
        <v>40</v>
      </c>
      <c r="E93" s="62">
        <f t="shared" si="40"/>
        <v>120</v>
      </c>
      <c r="F93" s="62"/>
      <c r="G93" s="62"/>
      <c r="H93" s="62"/>
      <c r="I93" s="62"/>
      <c r="J93" s="62"/>
      <c r="K93" s="62"/>
      <c r="L93" s="62">
        <f t="shared" si="41"/>
        <v>40</v>
      </c>
      <c r="M93" s="62"/>
      <c r="N93" s="62"/>
      <c r="O93" s="62"/>
      <c r="P93" s="62"/>
      <c r="Q93" s="62"/>
      <c r="R93" s="173" t="s">
        <v>2989</v>
      </c>
      <c r="S93" s="174"/>
      <c r="T93" s="174"/>
      <c r="U93" s="174"/>
      <c r="V93" s="174">
        <v>2</v>
      </c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883"/>
      <c r="AH93" s="174"/>
      <c r="AI93" s="492"/>
      <c r="AJ93" s="905">
        <v>1</v>
      </c>
      <c r="AK93" s="919"/>
      <c r="AL93" s="174"/>
      <c r="AM93" s="174"/>
      <c r="AN93" s="174"/>
      <c r="AO93" s="928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4"/>
      <c r="BA93" s="174"/>
      <c r="BB93" s="174"/>
      <c r="BC93" s="174"/>
      <c r="BD93" s="174"/>
      <c r="BE93" s="174"/>
      <c r="BF93" s="174">
        <v>1</v>
      </c>
      <c r="BG93" s="174"/>
      <c r="BH93" s="174"/>
      <c r="BI93" s="174"/>
      <c r="BJ93" s="174"/>
      <c r="BK93" s="174"/>
      <c r="BL93" s="174"/>
      <c r="BM93" s="174"/>
      <c r="BN93" s="174"/>
      <c r="BO93" s="174"/>
      <c r="BP93" s="174"/>
      <c r="BQ93" s="174"/>
      <c r="BR93" s="174"/>
      <c r="BS93" s="174"/>
      <c r="BT93" s="174"/>
      <c r="BU93" s="174"/>
      <c r="BV93" s="174">
        <v>1</v>
      </c>
      <c r="BW93" s="174">
        <v>1</v>
      </c>
      <c r="BX93" s="174"/>
      <c r="BY93" s="174"/>
      <c r="BZ93" s="174"/>
      <c r="CA93" s="174"/>
      <c r="CB93" s="174"/>
      <c r="CC93" s="174"/>
      <c r="CD93" s="174"/>
      <c r="CE93" s="174">
        <v>5</v>
      </c>
      <c r="CF93" s="174">
        <v>1</v>
      </c>
      <c r="CG93" s="174">
        <f t="shared" si="42"/>
        <v>4</v>
      </c>
      <c r="CH93" s="174">
        <v>6</v>
      </c>
      <c r="CI93" s="174"/>
      <c r="CJ93" s="174"/>
      <c r="CK93" s="174"/>
      <c r="CL93" s="174"/>
      <c r="CM93" s="174"/>
      <c r="CN93" s="174"/>
      <c r="CO93" s="174"/>
      <c r="CP93" s="174"/>
      <c r="CQ93" s="174"/>
      <c r="CR93" s="174"/>
      <c r="CS93" s="174">
        <v>2</v>
      </c>
      <c r="CT93" s="174"/>
      <c r="CU93" s="174"/>
      <c r="CV93" s="174"/>
      <c r="CW93" s="174"/>
      <c r="CX93" s="174"/>
      <c r="CY93" s="174"/>
      <c r="CZ93" s="174"/>
      <c r="DA93" s="174"/>
      <c r="DB93" s="174"/>
      <c r="DC93" s="174"/>
      <c r="DD93" s="174"/>
      <c r="DE93" s="174"/>
      <c r="DF93" s="174"/>
      <c r="DG93" s="174"/>
      <c r="DH93" s="174"/>
      <c r="DI93" s="174"/>
      <c r="DJ93" s="174"/>
      <c r="DK93" s="174"/>
      <c r="DL93" s="62">
        <v>2</v>
      </c>
      <c r="DM93" s="62"/>
      <c r="DN93" s="62"/>
      <c r="DO93" s="62"/>
      <c r="DP93" s="62"/>
      <c r="DQ93" s="62"/>
      <c r="DR93" s="62"/>
      <c r="DS93" s="62">
        <v>1.5</v>
      </c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454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</row>
    <row r="94" spans="1:162" s="56" customFormat="1">
      <c r="A94" s="54"/>
      <c r="B94" s="55"/>
      <c r="C94" s="491" t="s">
        <v>3046</v>
      </c>
      <c r="D94" s="62">
        <v>40</v>
      </c>
      <c r="E94" s="62">
        <f t="shared" si="40"/>
        <v>120</v>
      </c>
      <c r="F94" s="62"/>
      <c r="G94" s="62"/>
      <c r="H94" s="62"/>
      <c r="I94" s="62"/>
      <c r="J94" s="62"/>
      <c r="K94" s="62"/>
      <c r="L94" s="62">
        <f t="shared" si="41"/>
        <v>40</v>
      </c>
      <c r="M94" s="62"/>
      <c r="N94" s="62"/>
      <c r="O94" s="62"/>
      <c r="P94" s="62"/>
      <c r="Q94" s="62"/>
      <c r="R94" s="173" t="s">
        <v>1903</v>
      </c>
      <c r="S94" s="174"/>
      <c r="T94" s="174"/>
      <c r="U94" s="174"/>
      <c r="V94" s="174">
        <v>2</v>
      </c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883"/>
      <c r="AH94" s="174"/>
      <c r="AI94" s="492"/>
      <c r="AJ94" s="905">
        <v>1</v>
      </c>
      <c r="AK94" s="919"/>
      <c r="AL94" s="174"/>
      <c r="AM94" s="174"/>
      <c r="AN94" s="174"/>
      <c r="AO94" s="928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4"/>
      <c r="BA94" s="174"/>
      <c r="BB94" s="174"/>
      <c r="BC94" s="174"/>
      <c r="BD94" s="174"/>
      <c r="BE94" s="174"/>
      <c r="BF94" s="174"/>
      <c r="BG94" s="174"/>
      <c r="BH94" s="174"/>
      <c r="BI94" s="174"/>
      <c r="BJ94" s="174"/>
      <c r="BK94" s="174"/>
      <c r="BL94" s="174"/>
      <c r="BM94" s="174"/>
      <c r="BN94" s="174">
        <v>1</v>
      </c>
      <c r="BO94" s="174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>
        <v>6</v>
      </c>
      <c r="CF94" s="174"/>
      <c r="CG94" s="174">
        <f t="shared" si="42"/>
        <v>6</v>
      </c>
      <c r="CH94" s="174"/>
      <c r="CI94" s="174"/>
      <c r="CJ94" s="174"/>
      <c r="CK94" s="174"/>
      <c r="CL94" s="174"/>
      <c r="CM94" s="174"/>
      <c r="CN94" s="174"/>
      <c r="CO94" s="174"/>
      <c r="CP94" s="174"/>
      <c r="CQ94" s="174"/>
      <c r="CR94" s="174">
        <v>1</v>
      </c>
      <c r="CS94" s="174"/>
      <c r="CT94" s="174"/>
      <c r="CU94" s="174"/>
      <c r="CV94" s="174"/>
      <c r="CW94" s="174"/>
      <c r="CX94" s="174"/>
      <c r="CY94" s="174"/>
      <c r="CZ94" s="174"/>
      <c r="DA94" s="174"/>
      <c r="DB94" s="174"/>
      <c r="DC94" s="174"/>
      <c r="DD94" s="174"/>
      <c r="DE94" s="174"/>
      <c r="DF94" s="174"/>
      <c r="DG94" s="174"/>
      <c r="DH94" s="174"/>
      <c r="DI94" s="174"/>
      <c r="DJ94" s="174"/>
      <c r="DK94" s="174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454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</row>
    <row r="95" spans="1:162" s="56" customFormat="1">
      <c r="A95" s="54"/>
      <c r="B95" s="55"/>
      <c r="C95" s="491" t="s">
        <v>3047</v>
      </c>
      <c r="D95" s="62">
        <v>30</v>
      </c>
      <c r="E95" s="62">
        <f t="shared" si="40"/>
        <v>90</v>
      </c>
      <c r="F95" s="62"/>
      <c r="G95" s="62"/>
      <c r="H95" s="62"/>
      <c r="I95" s="62"/>
      <c r="J95" s="62"/>
      <c r="K95" s="62"/>
      <c r="L95" s="62">
        <f t="shared" si="41"/>
        <v>30</v>
      </c>
      <c r="M95" s="62"/>
      <c r="N95" s="62"/>
      <c r="O95" s="62"/>
      <c r="P95" s="62"/>
      <c r="Q95" s="62"/>
      <c r="R95" s="173" t="s">
        <v>1903</v>
      </c>
      <c r="S95" s="174"/>
      <c r="T95" s="174"/>
      <c r="U95" s="174"/>
      <c r="V95" s="174">
        <v>2</v>
      </c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883"/>
      <c r="AH95" s="174"/>
      <c r="AI95" s="492"/>
      <c r="AJ95" s="905">
        <v>1</v>
      </c>
      <c r="AK95" s="919"/>
      <c r="AL95" s="174"/>
      <c r="AM95" s="174"/>
      <c r="AN95" s="174"/>
      <c r="AO95" s="928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>
        <v>1</v>
      </c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>
        <v>6</v>
      </c>
      <c r="CF95" s="174"/>
      <c r="CG95" s="174">
        <f t="shared" si="42"/>
        <v>6</v>
      </c>
      <c r="CH95" s="174">
        <v>3</v>
      </c>
      <c r="CI95" s="174"/>
      <c r="CJ95" s="174"/>
      <c r="CK95" s="174"/>
      <c r="CL95" s="174"/>
      <c r="CM95" s="174"/>
      <c r="CN95" s="174"/>
      <c r="CO95" s="174"/>
      <c r="CP95" s="174"/>
      <c r="CQ95" s="174"/>
      <c r="CR95" s="174">
        <v>1</v>
      </c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454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</row>
    <row r="96" spans="1:162" s="56" customFormat="1">
      <c r="A96" s="54"/>
      <c r="B96" s="55"/>
      <c r="C96" s="491" t="s">
        <v>3048</v>
      </c>
      <c r="D96" s="62">
        <v>30</v>
      </c>
      <c r="E96" s="62">
        <f t="shared" si="40"/>
        <v>90</v>
      </c>
      <c r="F96" s="62"/>
      <c r="G96" s="62"/>
      <c r="H96" s="62"/>
      <c r="I96" s="62"/>
      <c r="J96" s="62"/>
      <c r="K96" s="62"/>
      <c r="L96" s="62">
        <f t="shared" si="41"/>
        <v>30</v>
      </c>
      <c r="M96" s="62"/>
      <c r="N96" s="62"/>
      <c r="O96" s="62"/>
      <c r="P96" s="62"/>
      <c r="Q96" s="62"/>
      <c r="R96" s="173" t="s">
        <v>2990</v>
      </c>
      <c r="S96" s="174"/>
      <c r="T96" s="174"/>
      <c r="U96" s="174"/>
      <c r="V96" s="174">
        <v>2</v>
      </c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883"/>
      <c r="AH96" s="174"/>
      <c r="AI96" s="492"/>
      <c r="AJ96" s="905">
        <v>1</v>
      </c>
      <c r="AK96" s="919"/>
      <c r="AL96" s="174"/>
      <c r="AM96" s="174"/>
      <c r="AN96" s="174"/>
      <c r="AO96" s="928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/>
      <c r="BW96" s="174">
        <v>1</v>
      </c>
      <c r="BX96" s="174"/>
      <c r="BY96" s="174"/>
      <c r="BZ96" s="174"/>
      <c r="CA96" s="174"/>
      <c r="CB96" s="174"/>
      <c r="CC96" s="174"/>
      <c r="CD96" s="174"/>
      <c r="CE96" s="174"/>
      <c r="CF96" s="174"/>
      <c r="CG96" s="174">
        <f t="shared" si="42"/>
        <v>0</v>
      </c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>
        <v>1</v>
      </c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  <c r="DK96" s="174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454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</row>
    <row r="97" spans="1:162" s="56" customFormat="1">
      <c r="A97" s="54"/>
      <c r="B97" s="55"/>
      <c r="C97" s="491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173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883"/>
      <c r="AH97" s="174"/>
      <c r="AI97" s="492"/>
      <c r="AJ97" s="905"/>
      <c r="AK97" s="919"/>
      <c r="AL97" s="174"/>
      <c r="AM97" s="174"/>
      <c r="AN97" s="174"/>
      <c r="AO97" s="928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4"/>
      <c r="BA97" s="174"/>
      <c r="BB97" s="174"/>
      <c r="BC97" s="174"/>
      <c r="BD97" s="174"/>
      <c r="BE97" s="174"/>
      <c r="BF97" s="174"/>
      <c r="BG97" s="174"/>
      <c r="BH97" s="174"/>
      <c r="BI97" s="174"/>
      <c r="BJ97" s="174"/>
      <c r="BK97" s="174"/>
      <c r="BL97" s="174"/>
      <c r="BM97" s="174"/>
      <c r="BN97" s="174"/>
      <c r="BO97" s="174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  <c r="CG97" s="174">
        <f t="shared" si="42"/>
        <v>0</v>
      </c>
      <c r="CH97" s="174"/>
      <c r="CI97" s="174"/>
      <c r="CJ97" s="174"/>
      <c r="CK97" s="174"/>
      <c r="CL97" s="174"/>
      <c r="CM97" s="174"/>
      <c r="CN97" s="174"/>
      <c r="CO97" s="174"/>
      <c r="CP97" s="174"/>
      <c r="CQ97" s="174"/>
      <c r="CR97" s="174"/>
      <c r="CS97" s="174"/>
      <c r="CT97" s="174"/>
      <c r="CU97" s="174"/>
      <c r="CV97" s="174"/>
      <c r="CW97" s="174"/>
      <c r="CX97" s="174"/>
      <c r="CY97" s="174"/>
      <c r="CZ97" s="174"/>
      <c r="DA97" s="174"/>
      <c r="DB97" s="174"/>
      <c r="DC97" s="174"/>
      <c r="DD97" s="174"/>
      <c r="DE97" s="174"/>
      <c r="DF97" s="174"/>
      <c r="DG97" s="174"/>
      <c r="DH97" s="174"/>
      <c r="DI97" s="174"/>
      <c r="DJ97" s="174"/>
      <c r="DK97" s="174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454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</row>
    <row r="98" spans="1:162">
      <c r="A98" s="487">
        <f>MATCH(C98,$C$5:$C$361,0)</f>
        <v>94</v>
      </c>
      <c r="C98" s="14" t="s">
        <v>3011</v>
      </c>
      <c r="D98" s="14">
        <f t="shared" ref="D98:Q98" si="43">SUM(D83:D97)</f>
        <v>406.5</v>
      </c>
      <c r="E98" s="14">
        <f t="shared" si="43"/>
        <v>1219.5</v>
      </c>
      <c r="F98" s="14">
        <f t="shared" si="43"/>
        <v>0</v>
      </c>
      <c r="G98" s="14">
        <f t="shared" si="43"/>
        <v>0</v>
      </c>
      <c r="H98" s="14">
        <f t="shared" si="43"/>
        <v>0</v>
      </c>
      <c r="I98" s="14">
        <f t="shared" si="43"/>
        <v>0</v>
      </c>
      <c r="J98" s="14">
        <f t="shared" si="43"/>
        <v>0</v>
      </c>
      <c r="K98" s="14">
        <f t="shared" si="43"/>
        <v>0</v>
      </c>
      <c r="L98" s="14">
        <f t="shared" si="43"/>
        <v>406.5</v>
      </c>
      <c r="M98" s="14">
        <f t="shared" si="43"/>
        <v>0</v>
      </c>
      <c r="N98" s="14">
        <f t="shared" si="43"/>
        <v>0</v>
      </c>
      <c r="O98" s="14">
        <f t="shared" si="43"/>
        <v>0</v>
      </c>
      <c r="P98" s="14">
        <f t="shared" si="43"/>
        <v>0</v>
      </c>
      <c r="Q98" s="14">
        <f t="shared" si="43"/>
        <v>0</v>
      </c>
      <c r="R98" s="14"/>
      <c r="S98" s="175">
        <f t="shared" ref="S98:AX98" si="44">SUM(S83:S97)</f>
        <v>0</v>
      </c>
      <c r="T98" s="175">
        <f t="shared" si="44"/>
        <v>0</v>
      </c>
      <c r="U98" s="175">
        <f t="shared" si="44"/>
        <v>0</v>
      </c>
      <c r="V98" s="175">
        <f t="shared" si="44"/>
        <v>24</v>
      </c>
      <c r="W98" s="175">
        <f t="shared" si="44"/>
        <v>0</v>
      </c>
      <c r="X98" s="175">
        <f t="shared" si="44"/>
        <v>0</v>
      </c>
      <c r="Y98" s="175">
        <f t="shared" si="44"/>
        <v>0</v>
      </c>
      <c r="Z98" s="175">
        <f t="shared" si="44"/>
        <v>0</v>
      </c>
      <c r="AA98" s="175">
        <f t="shared" si="44"/>
        <v>0</v>
      </c>
      <c r="AB98" s="175">
        <f t="shared" si="44"/>
        <v>0</v>
      </c>
      <c r="AC98" s="175">
        <f t="shared" si="44"/>
        <v>0</v>
      </c>
      <c r="AD98" s="175">
        <f t="shared" si="44"/>
        <v>0</v>
      </c>
      <c r="AE98" s="175">
        <f t="shared" si="44"/>
        <v>0</v>
      </c>
      <c r="AF98" s="175">
        <f t="shared" si="44"/>
        <v>0</v>
      </c>
      <c r="AG98" s="884">
        <f t="shared" si="44"/>
        <v>2</v>
      </c>
      <c r="AH98" s="175">
        <f t="shared" si="44"/>
        <v>0</v>
      </c>
      <c r="AI98" s="178">
        <f t="shared" si="44"/>
        <v>0</v>
      </c>
      <c r="AJ98" s="906">
        <f t="shared" si="44"/>
        <v>11</v>
      </c>
      <c r="AK98" s="920">
        <f t="shared" si="44"/>
        <v>0</v>
      </c>
      <c r="AL98" s="175">
        <f t="shared" si="44"/>
        <v>0</v>
      </c>
      <c r="AM98" s="175">
        <f t="shared" si="44"/>
        <v>0</v>
      </c>
      <c r="AN98" s="175">
        <f t="shared" si="44"/>
        <v>0</v>
      </c>
      <c r="AO98" s="929">
        <f t="shared" si="44"/>
        <v>0</v>
      </c>
      <c r="AP98" s="175">
        <f t="shared" si="44"/>
        <v>0</v>
      </c>
      <c r="AQ98" s="175">
        <f t="shared" si="44"/>
        <v>0</v>
      </c>
      <c r="AR98" s="175">
        <f t="shared" si="44"/>
        <v>0</v>
      </c>
      <c r="AS98" s="175">
        <f t="shared" si="44"/>
        <v>0</v>
      </c>
      <c r="AT98" s="175">
        <f t="shared" si="44"/>
        <v>0</v>
      </c>
      <c r="AU98" s="175">
        <f t="shared" si="44"/>
        <v>0</v>
      </c>
      <c r="AV98" s="175">
        <f t="shared" si="44"/>
        <v>0</v>
      </c>
      <c r="AW98" s="175">
        <f t="shared" si="44"/>
        <v>0</v>
      </c>
      <c r="AX98" s="175">
        <f t="shared" si="44"/>
        <v>0</v>
      </c>
      <c r="AY98" s="175">
        <f t="shared" ref="AY98:CD98" si="45">SUM(AY83:AY97)</f>
        <v>0</v>
      </c>
      <c r="AZ98" s="175">
        <f t="shared" si="45"/>
        <v>0</v>
      </c>
      <c r="BA98" s="175">
        <f t="shared" si="45"/>
        <v>0</v>
      </c>
      <c r="BB98" s="175">
        <f t="shared" si="45"/>
        <v>0</v>
      </c>
      <c r="BC98" s="175">
        <f t="shared" si="45"/>
        <v>0</v>
      </c>
      <c r="BD98" s="175">
        <f t="shared" si="45"/>
        <v>0</v>
      </c>
      <c r="BE98" s="175">
        <f t="shared" si="45"/>
        <v>0</v>
      </c>
      <c r="BF98" s="175">
        <f t="shared" si="45"/>
        <v>2</v>
      </c>
      <c r="BG98" s="175">
        <f t="shared" si="45"/>
        <v>0</v>
      </c>
      <c r="BH98" s="175">
        <f t="shared" si="45"/>
        <v>0</v>
      </c>
      <c r="BI98" s="175">
        <f t="shared" si="45"/>
        <v>1</v>
      </c>
      <c r="BJ98" s="175">
        <f t="shared" si="45"/>
        <v>0</v>
      </c>
      <c r="BK98" s="175">
        <f t="shared" si="45"/>
        <v>0</v>
      </c>
      <c r="BL98" s="175">
        <f t="shared" si="45"/>
        <v>0</v>
      </c>
      <c r="BM98" s="175">
        <f t="shared" si="45"/>
        <v>2</v>
      </c>
      <c r="BN98" s="175">
        <f t="shared" si="45"/>
        <v>5</v>
      </c>
      <c r="BO98" s="175">
        <f t="shared" si="45"/>
        <v>0</v>
      </c>
      <c r="BP98" s="175">
        <f t="shared" si="45"/>
        <v>0</v>
      </c>
      <c r="BQ98" s="175">
        <f t="shared" si="45"/>
        <v>0</v>
      </c>
      <c r="BR98" s="175">
        <f t="shared" si="45"/>
        <v>0</v>
      </c>
      <c r="BS98" s="175">
        <f t="shared" si="45"/>
        <v>0</v>
      </c>
      <c r="BT98" s="175">
        <f t="shared" si="45"/>
        <v>0</v>
      </c>
      <c r="BU98" s="175">
        <f t="shared" si="45"/>
        <v>0</v>
      </c>
      <c r="BV98" s="175">
        <f t="shared" si="45"/>
        <v>4</v>
      </c>
      <c r="BW98" s="175">
        <f t="shared" si="45"/>
        <v>6</v>
      </c>
      <c r="BX98" s="175">
        <f t="shared" si="45"/>
        <v>0</v>
      </c>
      <c r="BY98" s="175">
        <f t="shared" si="45"/>
        <v>0</v>
      </c>
      <c r="BZ98" s="175">
        <f t="shared" si="45"/>
        <v>0</v>
      </c>
      <c r="CA98" s="175">
        <f t="shared" si="45"/>
        <v>1</v>
      </c>
      <c r="CB98" s="175">
        <f t="shared" si="45"/>
        <v>0</v>
      </c>
      <c r="CC98" s="175">
        <f t="shared" si="45"/>
        <v>0</v>
      </c>
      <c r="CD98" s="175">
        <f t="shared" si="45"/>
        <v>0</v>
      </c>
      <c r="CE98" s="175">
        <f t="shared" ref="CE98:DJ98" si="46">SUM(CE83:CE97)</f>
        <v>62</v>
      </c>
      <c r="CF98" s="175">
        <f t="shared" si="46"/>
        <v>10</v>
      </c>
      <c r="CG98" s="175">
        <f t="shared" si="46"/>
        <v>52</v>
      </c>
      <c r="CH98" s="175">
        <f t="shared" si="46"/>
        <v>36</v>
      </c>
      <c r="CI98" s="175">
        <f t="shared" si="46"/>
        <v>0</v>
      </c>
      <c r="CJ98" s="175">
        <f t="shared" si="46"/>
        <v>0</v>
      </c>
      <c r="CK98" s="175">
        <f t="shared" si="46"/>
        <v>0</v>
      </c>
      <c r="CL98" s="175">
        <f t="shared" si="46"/>
        <v>0</v>
      </c>
      <c r="CM98" s="175">
        <f t="shared" si="46"/>
        <v>0</v>
      </c>
      <c r="CN98" s="175">
        <f t="shared" si="46"/>
        <v>0</v>
      </c>
      <c r="CO98" s="175">
        <f t="shared" si="46"/>
        <v>0</v>
      </c>
      <c r="CP98" s="175">
        <f t="shared" si="46"/>
        <v>0</v>
      </c>
      <c r="CQ98" s="175">
        <f t="shared" si="46"/>
        <v>2</v>
      </c>
      <c r="CR98" s="175">
        <f t="shared" si="46"/>
        <v>5</v>
      </c>
      <c r="CS98" s="175">
        <f t="shared" si="46"/>
        <v>13</v>
      </c>
      <c r="CT98" s="175">
        <f t="shared" si="46"/>
        <v>0</v>
      </c>
      <c r="CU98" s="175">
        <f t="shared" si="46"/>
        <v>0</v>
      </c>
      <c r="CV98" s="175">
        <f t="shared" si="46"/>
        <v>0</v>
      </c>
      <c r="CW98" s="175">
        <f t="shared" si="46"/>
        <v>0</v>
      </c>
      <c r="CX98" s="175">
        <f t="shared" si="46"/>
        <v>6</v>
      </c>
      <c r="CY98" s="175">
        <f t="shared" si="46"/>
        <v>3</v>
      </c>
      <c r="CZ98" s="175">
        <f t="shared" si="46"/>
        <v>3</v>
      </c>
      <c r="DA98" s="175">
        <f t="shared" si="46"/>
        <v>0</v>
      </c>
      <c r="DB98" s="175">
        <f t="shared" si="46"/>
        <v>2</v>
      </c>
      <c r="DC98" s="175">
        <f t="shared" si="46"/>
        <v>0</v>
      </c>
      <c r="DD98" s="175">
        <f t="shared" si="46"/>
        <v>0</v>
      </c>
      <c r="DE98" s="175">
        <f t="shared" si="46"/>
        <v>0</v>
      </c>
      <c r="DF98" s="175">
        <f t="shared" si="46"/>
        <v>0</v>
      </c>
      <c r="DG98" s="175">
        <f t="shared" si="46"/>
        <v>0</v>
      </c>
      <c r="DH98" s="175">
        <f t="shared" si="46"/>
        <v>0</v>
      </c>
      <c r="DI98" s="175">
        <f t="shared" si="46"/>
        <v>3</v>
      </c>
      <c r="DJ98" s="175">
        <f t="shared" si="46"/>
        <v>0</v>
      </c>
      <c r="DK98" s="175">
        <f t="shared" ref="DK98:ED98" si="47">SUM(DK83:DK97)</f>
        <v>3</v>
      </c>
      <c r="DL98" s="14">
        <f t="shared" si="47"/>
        <v>7</v>
      </c>
      <c r="DM98" s="14">
        <f t="shared" si="47"/>
        <v>0</v>
      </c>
      <c r="DN98" s="14">
        <f t="shared" si="47"/>
        <v>0</v>
      </c>
      <c r="DO98" s="14">
        <f t="shared" si="47"/>
        <v>0</v>
      </c>
      <c r="DP98" s="14">
        <f t="shared" si="47"/>
        <v>0</v>
      </c>
      <c r="DQ98" s="14">
        <f t="shared" si="47"/>
        <v>0</v>
      </c>
      <c r="DR98" s="14">
        <f t="shared" si="47"/>
        <v>0</v>
      </c>
      <c r="DS98" s="14">
        <f t="shared" si="47"/>
        <v>4.5</v>
      </c>
      <c r="DT98" s="14">
        <f t="shared" si="47"/>
        <v>13.5</v>
      </c>
      <c r="DU98" s="14">
        <f t="shared" si="47"/>
        <v>0</v>
      </c>
      <c r="DV98" s="14">
        <f t="shared" si="47"/>
        <v>0</v>
      </c>
      <c r="DW98" s="14">
        <f t="shared" si="47"/>
        <v>0</v>
      </c>
      <c r="DX98" s="14">
        <f t="shared" si="47"/>
        <v>0</v>
      </c>
      <c r="DY98" s="14">
        <f t="shared" si="47"/>
        <v>0</v>
      </c>
      <c r="DZ98" s="14">
        <f t="shared" si="47"/>
        <v>0</v>
      </c>
      <c r="EA98" s="14">
        <f t="shared" si="47"/>
        <v>0</v>
      </c>
      <c r="EB98" s="14">
        <f t="shared" si="47"/>
        <v>0</v>
      </c>
      <c r="EC98" s="14">
        <f t="shared" si="47"/>
        <v>0</v>
      </c>
      <c r="ED98" s="14">
        <f t="shared" si="47"/>
        <v>0</v>
      </c>
      <c r="EE98" s="508"/>
      <c r="EF98" s="14">
        <f t="shared" ref="EF98:FE98" si="48">SUM(EF83:EF97)</f>
        <v>0</v>
      </c>
      <c r="EG98" s="14">
        <f t="shared" si="48"/>
        <v>0</v>
      </c>
      <c r="EH98" s="14">
        <f t="shared" si="48"/>
        <v>0</v>
      </c>
      <c r="EI98" s="14">
        <f t="shared" si="48"/>
        <v>0</v>
      </c>
      <c r="EJ98" s="14">
        <f t="shared" si="48"/>
        <v>0</v>
      </c>
      <c r="EK98" s="14">
        <f t="shared" si="48"/>
        <v>0</v>
      </c>
      <c r="EL98" s="14">
        <f t="shared" si="48"/>
        <v>0</v>
      </c>
      <c r="EM98" s="14">
        <f t="shared" si="48"/>
        <v>0</v>
      </c>
      <c r="EN98" s="14">
        <f t="shared" si="48"/>
        <v>0</v>
      </c>
      <c r="EO98" s="14">
        <f t="shared" si="48"/>
        <v>0</v>
      </c>
      <c r="EP98" s="14">
        <f t="shared" si="48"/>
        <v>0</v>
      </c>
      <c r="EQ98" s="14">
        <f t="shared" si="48"/>
        <v>0</v>
      </c>
      <c r="ER98" s="14">
        <f t="shared" si="48"/>
        <v>0</v>
      </c>
      <c r="ES98" s="14">
        <f t="shared" si="48"/>
        <v>0</v>
      </c>
      <c r="ET98" s="14">
        <f t="shared" si="48"/>
        <v>0</v>
      </c>
      <c r="EU98" s="14">
        <f t="shared" si="48"/>
        <v>0</v>
      </c>
      <c r="EV98" s="14">
        <f t="shared" si="48"/>
        <v>0</v>
      </c>
      <c r="EW98" s="14">
        <f t="shared" si="48"/>
        <v>0</v>
      </c>
      <c r="EX98" s="14">
        <f t="shared" si="48"/>
        <v>0</v>
      </c>
      <c r="EY98" s="14">
        <f t="shared" si="48"/>
        <v>0</v>
      </c>
      <c r="EZ98" s="14">
        <f t="shared" si="48"/>
        <v>0</v>
      </c>
      <c r="FA98" s="14">
        <f t="shared" si="48"/>
        <v>0</v>
      </c>
      <c r="FB98" s="14">
        <f t="shared" si="48"/>
        <v>0</v>
      </c>
      <c r="FC98" s="14">
        <f t="shared" si="48"/>
        <v>0</v>
      </c>
      <c r="FD98" s="14">
        <f t="shared" si="48"/>
        <v>0</v>
      </c>
      <c r="FE98" s="14">
        <f t="shared" si="48"/>
        <v>0</v>
      </c>
      <c r="FF98" s="14"/>
    </row>
    <row r="99" spans="1:162">
      <c r="A99" s="54"/>
      <c r="B99" s="55" t="s">
        <v>3014</v>
      </c>
      <c r="C99" s="11" t="s">
        <v>3597</v>
      </c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885"/>
      <c r="AH99" s="176"/>
      <c r="AI99" s="897"/>
      <c r="AJ99" s="907"/>
      <c r="AK99" s="921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6"/>
      <c r="BE99" s="176"/>
      <c r="BF99" s="176"/>
      <c r="BG99" s="176"/>
      <c r="BH99" s="176"/>
      <c r="BI99" s="176"/>
      <c r="BJ99" s="176"/>
      <c r="BK99" s="176"/>
      <c r="BL99" s="176"/>
      <c r="BM99" s="176"/>
      <c r="BN99" s="176"/>
      <c r="BO99" s="176"/>
      <c r="BP99" s="176"/>
      <c r="BQ99" s="176"/>
      <c r="BR99" s="176"/>
      <c r="BS99" s="176"/>
      <c r="BT99" s="176"/>
      <c r="BU99" s="176"/>
      <c r="BV99" s="176"/>
      <c r="BW99" s="176"/>
      <c r="BX99" s="176"/>
      <c r="BY99" s="176"/>
      <c r="BZ99" s="176"/>
      <c r="CA99" s="176"/>
      <c r="CB99" s="176"/>
      <c r="CC99" s="176"/>
      <c r="CD99" s="176"/>
      <c r="CE99" s="176"/>
      <c r="CF99" s="176"/>
      <c r="CG99" s="176"/>
      <c r="CH99" s="176"/>
      <c r="CI99" s="176"/>
      <c r="CJ99" s="176"/>
      <c r="CK99" s="176"/>
      <c r="CL99" s="176"/>
      <c r="CM99" s="176"/>
      <c r="CN99" s="176"/>
      <c r="CO99" s="176"/>
      <c r="CP99" s="176"/>
      <c r="CQ99" s="176"/>
      <c r="CR99" s="176"/>
      <c r="CS99" s="176"/>
      <c r="CT99" s="176"/>
      <c r="CU99" s="176"/>
      <c r="CV99" s="176"/>
      <c r="CW99" s="176"/>
      <c r="CX99" s="176"/>
      <c r="CY99" s="176"/>
      <c r="CZ99" s="176"/>
      <c r="DA99" s="176"/>
      <c r="DB99" s="176"/>
      <c r="DC99" s="176"/>
      <c r="DD99" s="176"/>
      <c r="DE99" s="176"/>
      <c r="DF99" s="176"/>
      <c r="DG99" s="176"/>
      <c r="DH99" s="176"/>
      <c r="DI99" s="176"/>
      <c r="DJ99" s="176"/>
      <c r="DK99" s="176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503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3"/>
    </row>
    <row r="100" spans="1:162" s="56" customFormat="1">
      <c r="A100" s="54"/>
      <c r="B100" s="55"/>
      <c r="C100" s="491" t="s">
        <v>3786</v>
      </c>
      <c r="D100" s="62"/>
      <c r="E100" s="62">
        <f>D100*3</f>
        <v>0</v>
      </c>
      <c r="F100" s="62"/>
      <c r="G100" s="62"/>
      <c r="H100" s="62"/>
      <c r="I100" s="62"/>
      <c r="J100" s="62"/>
      <c r="K100" s="62"/>
      <c r="L100" s="62">
        <f>D100</f>
        <v>0</v>
      </c>
      <c r="M100" s="62"/>
      <c r="N100" s="62"/>
      <c r="O100" s="62"/>
      <c r="P100" s="62"/>
      <c r="Q100" s="62"/>
      <c r="R100" s="173" t="s">
        <v>3005</v>
      </c>
      <c r="S100" s="174"/>
      <c r="T100" s="174"/>
      <c r="U100" s="174"/>
      <c r="V100" s="174">
        <v>2</v>
      </c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883"/>
      <c r="AH100" s="174"/>
      <c r="AI100" s="492"/>
      <c r="AJ100" s="905">
        <v>1</v>
      </c>
      <c r="AK100" s="919"/>
      <c r="AL100" s="174"/>
      <c r="AM100" s="174"/>
      <c r="AN100" s="174"/>
      <c r="AO100" s="928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4"/>
      <c r="BA100" s="174"/>
      <c r="BB100" s="174"/>
      <c r="BC100" s="174"/>
      <c r="BD100" s="174"/>
      <c r="BE100" s="174"/>
      <c r="BF100" s="174"/>
      <c r="BG100" s="174"/>
      <c r="BH100" s="174"/>
      <c r="BI100" s="174"/>
      <c r="BJ100" s="174"/>
      <c r="BK100" s="174"/>
      <c r="BL100" s="174"/>
      <c r="BM100" s="174">
        <v>1</v>
      </c>
      <c r="BN100" s="174"/>
      <c r="BO100" s="174"/>
      <c r="BP100" s="174"/>
      <c r="BQ100" s="174"/>
      <c r="BR100" s="174"/>
      <c r="BS100" s="174"/>
      <c r="BT100" s="174"/>
      <c r="BU100" s="174"/>
      <c r="BV100" s="174"/>
      <c r="BW100" s="174">
        <v>1</v>
      </c>
      <c r="BX100" s="174"/>
      <c r="BY100" s="174"/>
      <c r="BZ100" s="174"/>
      <c r="CA100" s="174"/>
      <c r="CB100" s="174"/>
      <c r="CC100" s="174"/>
      <c r="CD100" s="174"/>
      <c r="CE100" s="174">
        <v>6</v>
      </c>
      <c r="CF100" s="174">
        <v>1</v>
      </c>
      <c r="CG100" s="174">
        <v>2</v>
      </c>
      <c r="CH100" s="174">
        <v>3</v>
      </c>
      <c r="CI100" s="174"/>
      <c r="CJ100" s="174"/>
      <c r="CK100" s="174"/>
      <c r="CL100" s="174"/>
      <c r="CM100" s="174"/>
      <c r="CN100" s="174"/>
      <c r="CO100" s="174"/>
      <c r="CP100" s="174"/>
      <c r="CQ100" s="174"/>
      <c r="CR100" s="174">
        <v>1</v>
      </c>
      <c r="CS100" s="174">
        <v>1</v>
      </c>
      <c r="CT100" s="174"/>
      <c r="CU100" s="174"/>
      <c r="CV100" s="174"/>
      <c r="CW100" s="174"/>
      <c r="CX100" s="174">
        <v>3</v>
      </c>
      <c r="CY100" s="174">
        <v>3</v>
      </c>
      <c r="CZ100" s="174">
        <v>3</v>
      </c>
      <c r="DA100" s="174"/>
      <c r="DB100" s="174">
        <v>2</v>
      </c>
      <c r="DC100" s="174"/>
      <c r="DD100" s="174"/>
      <c r="DE100" s="174"/>
      <c r="DF100" s="174"/>
      <c r="DG100" s="174"/>
      <c r="DH100" s="174"/>
      <c r="DI100" s="174"/>
      <c r="DJ100" s="174"/>
      <c r="DK100" s="174"/>
      <c r="DL100" s="62">
        <v>1.5</v>
      </c>
      <c r="DM100" s="62"/>
      <c r="DN100" s="62"/>
      <c r="DO100" s="62"/>
      <c r="DP100" s="62"/>
      <c r="DQ100" s="62"/>
      <c r="DR100" s="62"/>
      <c r="DS100" s="62">
        <v>1.5</v>
      </c>
      <c r="DT100" s="62">
        <v>3</v>
      </c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454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</row>
    <row r="101" spans="1:162" s="56" customFormat="1">
      <c r="A101" s="54"/>
      <c r="B101" s="55"/>
      <c r="C101" s="491" t="s">
        <v>3006</v>
      </c>
      <c r="D101" s="62">
        <v>20</v>
      </c>
      <c r="E101" s="62">
        <f t="shared" ref="E101:E115" si="49">D101*3</f>
        <v>60</v>
      </c>
      <c r="F101" s="62"/>
      <c r="G101" s="62"/>
      <c r="H101" s="62"/>
      <c r="I101" s="62"/>
      <c r="J101" s="62"/>
      <c r="K101" s="62"/>
      <c r="L101" s="62">
        <f t="shared" ref="L101:L114" si="50">D101</f>
        <v>20</v>
      </c>
      <c r="M101" s="62"/>
      <c r="N101" s="62"/>
      <c r="O101" s="62"/>
      <c r="P101" s="62"/>
      <c r="Q101" s="62"/>
      <c r="R101" s="173" t="s">
        <v>2989</v>
      </c>
      <c r="S101" s="174"/>
      <c r="T101" s="174"/>
      <c r="U101" s="174"/>
      <c r="V101" s="174">
        <v>2</v>
      </c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883"/>
      <c r="AH101" s="174"/>
      <c r="AI101" s="492"/>
      <c r="AJ101" s="905">
        <v>1</v>
      </c>
      <c r="AK101" s="919"/>
      <c r="AL101" s="174"/>
      <c r="AM101" s="174"/>
      <c r="AN101" s="174"/>
      <c r="AO101" s="928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4"/>
      <c r="BA101" s="174"/>
      <c r="BB101" s="174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/>
      <c r="BQ101" s="174"/>
      <c r="BR101" s="174"/>
      <c r="BS101" s="174"/>
      <c r="BT101" s="174"/>
      <c r="BU101" s="174"/>
      <c r="BV101" s="174">
        <v>1</v>
      </c>
      <c r="BW101" s="174">
        <v>1</v>
      </c>
      <c r="BX101" s="174"/>
      <c r="BY101" s="174"/>
      <c r="BZ101" s="174"/>
      <c r="CA101" s="174"/>
      <c r="CB101" s="174"/>
      <c r="CC101" s="174"/>
      <c r="CD101" s="174"/>
      <c r="CE101" s="174">
        <v>5</v>
      </c>
      <c r="CF101" s="174">
        <v>1</v>
      </c>
      <c r="CG101" s="716">
        <f t="shared" ref="CG101:CG113" si="51">CE101-CF101</f>
        <v>4</v>
      </c>
      <c r="CH101" s="174">
        <v>6</v>
      </c>
      <c r="CI101" s="174"/>
      <c r="CJ101" s="174"/>
      <c r="CK101" s="174"/>
      <c r="CL101" s="174"/>
      <c r="CM101" s="174"/>
      <c r="CN101" s="174"/>
      <c r="CO101" s="174"/>
      <c r="CP101" s="174"/>
      <c r="CQ101" s="174"/>
      <c r="CR101" s="174"/>
      <c r="CS101" s="174">
        <v>2</v>
      </c>
      <c r="CT101" s="174"/>
      <c r="CU101" s="174"/>
      <c r="CV101" s="174"/>
      <c r="CW101" s="174"/>
      <c r="CX101" s="174"/>
      <c r="CY101" s="174"/>
      <c r="CZ101" s="174"/>
      <c r="DA101" s="174"/>
      <c r="DB101" s="174"/>
      <c r="DC101" s="174"/>
      <c r="DD101" s="174"/>
      <c r="DE101" s="174"/>
      <c r="DF101" s="174"/>
      <c r="DG101" s="174"/>
      <c r="DH101" s="174"/>
      <c r="DI101" s="174"/>
      <c r="DJ101" s="174"/>
      <c r="DK101" s="174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454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</row>
    <row r="102" spans="1:162" s="56" customFormat="1">
      <c r="A102" s="54"/>
      <c r="B102" s="55"/>
      <c r="C102" s="491" t="s">
        <v>2991</v>
      </c>
      <c r="D102" s="62">
        <v>40</v>
      </c>
      <c r="E102" s="62">
        <f t="shared" si="49"/>
        <v>120</v>
      </c>
      <c r="F102" s="62"/>
      <c r="G102" s="62"/>
      <c r="H102" s="62"/>
      <c r="I102" s="62"/>
      <c r="J102" s="62"/>
      <c r="K102" s="62"/>
      <c r="L102" s="62">
        <f t="shared" si="50"/>
        <v>40</v>
      </c>
      <c r="M102" s="62"/>
      <c r="N102" s="62"/>
      <c r="O102" s="62"/>
      <c r="P102" s="62"/>
      <c r="Q102" s="62"/>
      <c r="R102" s="173" t="s">
        <v>2989</v>
      </c>
      <c r="S102" s="174"/>
      <c r="T102" s="174"/>
      <c r="U102" s="174"/>
      <c r="V102" s="174">
        <v>2</v>
      </c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883"/>
      <c r="AH102" s="174"/>
      <c r="AI102" s="492"/>
      <c r="AJ102" s="905">
        <v>1</v>
      </c>
      <c r="AK102" s="919"/>
      <c r="AL102" s="174"/>
      <c r="AM102" s="174"/>
      <c r="AN102" s="174"/>
      <c r="AO102" s="928"/>
      <c r="AP102" s="174"/>
      <c r="AQ102" s="174"/>
      <c r="AR102" s="174"/>
      <c r="AS102" s="174"/>
      <c r="AT102" s="174"/>
      <c r="AU102" s="174"/>
      <c r="AV102" s="174"/>
      <c r="AW102" s="174"/>
      <c r="AX102" s="174"/>
      <c r="AY102" s="174"/>
      <c r="AZ102" s="174"/>
      <c r="BA102" s="174"/>
      <c r="BB102" s="174"/>
      <c r="BC102" s="174"/>
      <c r="BD102" s="174"/>
      <c r="BE102" s="174"/>
      <c r="BF102" s="174"/>
      <c r="BG102" s="174"/>
      <c r="BH102" s="174"/>
      <c r="BI102" s="174"/>
      <c r="BJ102" s="174"/>
      <c r="BK102" s="174"/>
      <c r="BL102" s="174"/>
      <c r="BM102" s="174"/>
      <c r="BN102" s="174"/>
      <c r="BO102" s="174"/>
      <c r="BP102" s="174"/>
      <c r="BQ102" s="174"/>
      <c r="BR102" s="174"/>
      <c r="BS102" s="174"/>
      <c r="BT102" s="174"/>
      <c r="BU102" s="174"/>
      <c r="BV102" s="174"/>
      <c r="BW102" s="174">
        <v>1</v>
      </c>
      <c r="BX102" s="174"/>
      <c r="BY102" s="174"/>
      <c r="BZ102" s="174"/>
      <c r="CA102" s="174"/>
      <c r="CB102" s="174">
        <v>1</v>
      </c>
      <c r="CC102" s="174"/>
      <c r="CD102" s="174"/>
      <c r="CE102" s="174"/>
      <c r="CF102" s="174"/>
      <c r="CG102" s="716">
        <f t="shared" si="51"/>
        <v>0</v>
      </c>
      <c r="CH102" s="174">
        <v>6</v>
      </c>
      <c r="CI102" s="174"/>
      <c r="CJ102" s="174"/>
      <c r="CK102" s="174"/>
      <c r="CL102" s="174"/>
      <c r="CM102" s="174"/>
      <c r="CN102" s="174"/>
      <c r="CO102" s="174"/>
      <c r="CP102" s="174"/>
      <c r="CQ102" s="174"/>
      <c r="CR102" s="174"/>
      <c r="CS102" s="174">
        <v>2</v>
      </c>
      <c r="CT102" s="174"/>
      <c r="CU102" s="174"/>
      <c r="CV102" s="174"/>
      <c r="CW102" s="174"/>
      <c r="CX102" s="174"/>
      <c r="CY102" s="174"/>
      <c r="CZ102" s="174"/>
      <c r="DA102" s="174"/>
      <c r="DB102" s="174"/>
      <c r="DC102" s="174"/>
      <c r="DD102" s="174"/>
      <c r="DE102" s="174"/>
      <c r="DF102" s="174"/>
      <c r="DG102" s="174"/>
      <c r="DH102" s="174"/>
      <c r="DI102" s="174">
        <v>3</v>
      </c>
      <c r="DJ102" s="174"/>
      <c r="DK102" s="174"/>
      <c r="DL102" s="62">
        <v>3</v>
      </c>
      <c r="DM102" s="62"/>
      <c r="DN102" s="62"/>
      <c r="DO102" s="62"/>
      <c r="DP102" s="62"/>
      <c r="DQ102" s="62"/>
      <c r="DR102" s="62"/>
      <c r="DS102" s="62">
        <v>3</v>
      </c>
      <c r="DT102" s="62">
        <v>6</v>
      </c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454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</row>
    <row r="103" spans="1:162" s="56" customFormat="1">
      <c r="A103" s="54"/>
      <c r="B103" s="55"/>
      <c r="C103" s="491" t="s">
        <v>2992</v>
      </c>
      <c r="D103" s="62">
        <v>45</v>
      </c>
      <c r="E103" s="62">
        <f t="shared" si="49"/>
        <v>135</v>
      </c>
      <c r="F103" s="62"/>
      <c r="G103" s="62"/>
      <c r="H103" s="62"/>
      <c r="I103" s="62"/>
      <c r="J103" s="62"/>
      <c r="K103" s="62"/>
      <c r="L103" s="62">
        <f t="shared" si="50"/>
        <v>45</v>
      </c>
      <c r="M103" s="62"/>
      <c r="N103" s="62"/>
      <c r="O103" s="62"/>
      <c r="P103" s="62"/>
      <c r="Q103" s="62"/>
      <c r="R103" s="173" t="s">
        <v>1903</v>
      </c>
      <c r="S103" s="174"/>
      <c r="T103" s="174"/>
      <c r="U103" s="174"/>
      <c r="V103" s="174">
        <v>2</v>
      </c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883"/>
      <c r="AH103" s="174"/>
      <c r="AI103" s="492"/>
      <c r="AJ103" s="905">
        <v>1</v>
      </c>
      <c r="AK103" s="919"/>
      <c r="AL103" s="174"/>
      <c r="AM103" s="174"/>
      <c r="AN103" s="174"/>
      <c r="AO103" s="928"/>
      <c r="AP103" s="174"/>
      <c r="AQ103" s="174"/>
      <c r="AR103" s="174"/>
      <c r="AS103" s="174"/>
      <c r="AT103" s="174"/>
      <c r="AU103" s="174"/>
      <c r="AV103" s="174"/>
      <c r="AW103" s="174"/>
      <c r="AX103" s="174"/>
      <c r="AY103" s="174"/>
      <c r="AZ103" s="174"/>
      <c r="BA103" s="174"/>
      <c r="BB103" s="174"/>
      <c r="BC103" s="174"/>
      <c r="BD103" s="174"/>
      <c r="BE103" s="174"/>
      <c r="BF103" s="174"/>
      <c r="BG103" s="174"/>
      <c r="BH103" s="174"/>
      <c r="BI103" s="174"/>
      <c r="BJ103" s="174"/>
      <c r="BK103" s="174"/>
      <c r="BL103" s="174"/>
      <c r="BM103" s="174"/>
      <c r="BN103" s="174">
        <v>1</v>
      </c>
      <c r="BO103" s="174"/>
      <c r="BP103" s="174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>
        <v>6</v>
      </c>
      <c r="CF103" s="174"/>
      <c r="CG103" s="716">
        <f t="shared" si="51"/>
        <v>6</v>
      </c>
      <c r="CH103" s="174"/>
      <c r="CI103" s="174"/>
      <c r="CJ103" s="174"/>
      <c r="CK103" s="174"/>
      <c r="CL103" s="174"/>
      <c r="CM103" s="174"/>
      <c r="CN103" s="174"/>
      <c r="CO103" s="174"/>
      <c r="CP103" s="174"/>
      <c r="CQ103" s="174"/>
      <c r="CR103" s="174">
        <v>1</v>
      </c>
      <c r="CS103" s="174"/>
      <c r="CT103" s="174"/>
      <c r="CU103" s="174"/>
      <c r="CV103" s="174"/>
      <c r="CW103" s="174"/>
      <c r="CX103" s="174">
        <v>3</v>
      </c>
      <c r="CY103" s="174">
        <v>3</v>
      </c>
      <c r="CZ103" s="174"/>
      <c r="DA103" s="174"/>
      <c r="DB103" s="174"/>
      <c r="DC103" s="174"/>
      <c r="DD103" s="174"/>
      <c r="DE103" s="174"/>
      <c r="DF103" s="174"/>
      <c r="DG103" s="174"/>
      <c r="DH103" s="174"/>
      <c r="DI103" s="174"/>
      <c r="DJ103" s="174"/>
      <c r="DK103" s="174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454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</row>
    <row r="104" spans="1:162" s="56" customFormat="1">
      <c r="A104" s="54"/>
      <c r="B104" s="55"/>
      <c r="C104" s="491" t="s">
        <v>2993</v>
      </c>
      <c r="D104" s="62">
        <v>45</v>
      </c>
      <c r="E104" s="62">
        <f t="shared" si="49"/>
        <v>135</v>
      </c>
      <c r="F104" s="62"/>
      <c r="G104" s="62"/>
      <c r="H104" s="62"/>
      <c r="I104" s="62"/>
      <c r="J104" s="62"/>
      <c r="K104" s="62"/>
      <c r="L104" s="62">
        <f t="shared" si="50"/>
        <v>45</v>
      </c>
      <c r="M104" s="62"/>
      <c r="N104" s="62"/>
      <c r="O104" s="62"/>
      <c r="P104" s="62"/>
      <c r="Q104" s="62"/>
      <c r="R104" s="173" t="s">
        <v>1903</v>
      </c>
      <c r="S104" s="174"/>
      <c r="T104" s="174"/>
      <c r="U104" s="174"/>
      <c r="V104" s="174">
        <v>2</v>
      </c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883"/>
      <c r="AH104" s="174"/>
      <c r="AI104" s="492"/>
      <c r="AJ104" s="905">
        <v>1</v>
      </c>
      <c r="AK104" s="919"/>
      <c r="AL104" s="174"/>
      <c r="AM104" s="174"/>
      <c r="AN104" s="174"/>
      <c r="AO104" s="928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174"/>
      <c r="BN104" s="174">
        <v>1</v>
      </c>
      <c r="BO104" s="174"/>
      <c r="BP104" s="174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>
        <v>6</v>
      </c>
      <c r="CF104" s="174"/>
      <c r="CG104" s="716">
        <f t="shared" si="51"/>
        <v>6</v>
      </c>
      <c r="CH104" s="174"/>
      <c r="CI104" s="174"/>
      <c r="CJ104" s="174"/>
      <c r="CK104" s="174"/>
      <c r="CL104" s="174"/>
      <c r="CM104" s="174"/>
      <c r="CN104" s="174"/>
      <c r="CO104" s="174"/>
      <c r="CP104" s="174"/>
      <c r="CQ104" s="174"/>
      <c r="CR104" s="174">
        <v>1</v>
      </c>
      <c r="CS104" s="174"/>
      <c r="CT104" s="174"/>
      <c r="CU104" s="174"/>
      <c r="CV104" s="174"/>
      <c r="CW104" s="174"/>
      <c r="CX104" s="174"/>
      <c r="CY104" s="174"/>
      <c r="CZ104" s="174"/>
      <c r="DA104" s="174"/>
      <c r="DB104" s="174"/>
      <c r="DC104" s="174"/>
      <c r="DD104" s="174"/>
      <c r="DE104" s="174"/>
      <c r="DF104" s="174"/>
      <c r="DG104" s="174"/>
      <c r="DH104" s="174"/>
      <c r="DI104" s="174"/>
      <c r="DJ104" s="174"/>
      <c r="DK104" s="174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454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</row>
    <row r="105" spans="1:162" s="56" customFormat="1">
      <c r="A105" s="54"/>
      <c r="B105" s="55"/>
      <c r="C105" s="491" t="s">
        <v>2994</v>
      </c>
      <c r="D105" s="62">
        <v>45</v>
      </c>
      <c r="E105" s="62">
        <f t="shared" si="49"/>
        <v>135</v>
      </c>
      <c r="F105" s="62"/>
      <c r="G105" s="62"/>
      <c r="H105" s="62"/>
      <c r="I105" s="62"/>
      <c r="J105" s="62"/>
      <c r="K105" s="62"/>
      <c r="L105" s="62">
        <f t="shared" si="50"/>
        <v>45</v>
      </c>
      <c r="M105" s="62"/>
      <c r="N105" s="62"/>
      <c r="O105" s="62"/>
      <c r="P105" s="62"/>
      <c r="Q105" s="62"/>
      <c r="R105" s="173" t="s">
        <v>1903</v>
      </c>
      <c r="S105" s="174"/>
      <c r="T105" s="174"/>
      <c r="U105" s="174"/>
      <c r="V105" s="174">
        <v>2</v>
      </c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883"/>
      <c r="AH105" s="174"/>
      <c r="AI105" s="492"/>
      <c r="AJ105" s="905">
        <v>1</v>
      </c>
      <c r="AK105" s="919"/>
      <c r="AL105" s="174"/>
      <c r="AM105" s="174"/>
      <c r="AN105" s="174"/>
      <c r="AO105" s="928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4"/>
      <c r="BA105" s="174"/>
      <c r="BB105" s="174"/>
      <c r="BC105" s="174"/>
      <c r="BD105" s="174"/>
      <c r="BE105" s="174"/>
      <c r="BF105" s="174"/>
      <c r="BG105" s="174"/>
      <c r="BH105" s="174"/>
      <c r="BI105" s="174"/>
      <c r="BJ105" s="174"/>
      <c r="BK105" s="174"/>
      <c r="BL105" s="174"/>
      <c r="BM105" s="174"/>
      <c r="BN105" s="174">
        <v>1</v>
      </c>
      <c r="BO105" s="174"/>
      <c r="BP105" s="174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>
        <v>6</v>
      </c>
      <c r="CF105" s="174"/>
      <c r="CG105" s="716">
        <f t="shared" si="51"/>
        <v>6</v>
      </c>
      <c r="CH105" s="174"/>
      <c r="CI105" s="174"/>
      <c r="CJ105" s="174"/>
      <c r="CK105" s="174"/>
      <c r="CL105" s="174"/>
      <c r="CM105" s="174"/>
      <c r="CN105" s="174"/>
      <c r="CO105" s="174"/>
      <c r="CP105" s="174"/>
      <c r="CQ105" s="174"/>
      <c r="CR105" s="174">
        <v>1</v>
      </c>
      <c r="CS105" s="174"/>
      <c r="CT105" s="174"/>
      <c r="CU105" s="174"/>
      <c r="CV105" s="174"/>
      <c r="CW105" s="174"/>
      <c r="CX105" s="174"/>
      <c r="CY105" s="174"/>
      <c r="CZ105" s="174"/>
      <c r="DA105" s="174"/>
      <c r="DB105" s="174"/>
      <c r="DC105" s="174"/>
      <c r="DD105" s="174"/>
      <c r="DE105" s="174"/>
      <c r="DF105" s="174"/>
      <c r="DG105" s="174"/>
      <c r="DH105" s="174"/>
      <c r="DI105" s="174"/>
      <c r="DJ105" s="174"/>
      <c r="DK105" s="174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454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</row>
    <row r="106" spans="1:162" s="56" customFormat="1">
      <c r="A106" s="54"/>
      <c r="B106" s="55"/>
      <c r="C106" s="491" t="s">
        <v>2995</v>
      </c>
      <c r="D106" s="62">
        <v>40</v>
      </c>
      <c r="E106" s="62">
        <f t="shared" si="49"/>
        <v>120</v>
      </c>
      <c r="F106" s="62"/>
      <c r="G106" s="62"/>
      <c r="H106" s="62"/>
      <c r="I106" s="62"/>
      <c r="J106" s="62"/>
      <c r="K106" s="62"/>
      <c r="L106" s="62">
        <f t="shared" si="50"/>
        <v>40</v>
      </c>
      <c r="M106" s="62"/>
      <c r="N106" s="62"/>
      <c r="O106" s="62"/>
      <c r="P106" s="62"/>
      <c r="Q106" s="62"/>
      <c r="R106" s="173" t="s">
        <v>1903</v>
      </c>
      <c r="S106" s="174"/>
      <c r="T106" s="174"/>
      <c r="U106" s="174"/>
      <c r="V106" s="174">
        <v>1</v>
      </c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883">
        <v>1</v>
      </c>
      <c r="AH106" s="174"/>
      <c r="AI106" s="492"/>
      <c r="AJ106" s="905"/>
      <c r="AK106" s="919"/>
      <c r="AL106" s="174"/>
      <c r="AM106" s="174"/>
      <c r="AN106" s="174"/>
      <c r="AO106" s="928"/>
      <c r="AP106" s="174"/>
      <c r="AQ106" s="174"/>
      <c r="AR106" s="174"/>
      <c r="AS106" s="174"/>
      <c r="AT106" s="174">
        <v>1</v>
      </c>
      <c r="AU106" s="174"/>
      <c r="AV106" s="174"/>
      <c r="AW106" s="174"/>
      <c r="AX106" s="174"/>
      <c r="AY106" s="174"/>
      <c r="AZ106" s="174"/>
      <c r="BA106" s="174">
        <v>1</v>
      </c>
      <c r="BB106" s="174"/>
      <c r="BC106" s="174"/>
      <c r="BD106" s="174"/>
      <c r="BE106" s="174"/>
      <c r="BF106" s="174">
        <v>1</v>
      </c>
      <c r="BG106" s="174"/>
      <c r="BH106" s="174"/>
      <c r="BI106" s="174"/>
      <c r="BJ106" s="174"/>
      <c r="BK106" s="174"/>
      <c r="BL106" s="174"/>
      <c r="BM106" s="174"/>
      <c r="BN106" s="174">
        <v>1</v>
      </c>
      <c r="BO106" s="174"/>
      <c r="BP106" s="174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>
        <v>6</v>
      </c>
      <c r="CF106" s="174"/>
      <c r="CG106" s="716">
        <f t="shared" si="51"/>
        <v>6</v>
      </c>
      <c r="CH106" s="174"/>
      <c r="CI106" s="174"/>
      <c r="CJ106" s="174"/>
      <c r="CK106" s="174"/>
      <c r="CL106" s="174"/>
      <c r="CM106" s="174"/>
      <c r="CN106" s="174"/>
      <c r="CO106" s="174"/>
      <c r="CP106" s="174"/>
      <c r="CQ106" s="174">
        <v>1</v>
      </c>
      <c r="CR106" s="174"/>
      <c r="CS106" s="174"/>
      <c r="CT106" s="174"/>
      <c r="CU106" s="174"/>
      <c r="CV106" s="174"/>
      <c r="CW106" s="174"/>
      <c r="CX106" s="174"/>
      <c r="CY106" s="174"/>
      <c r="CZ106" s="174"/>
      <c r="DA106" s="174"/>
      <c r="DB106" s="174"/>
      <c r="DC106" s="174"/>
      <c r="DD106" s="174"/>
      <c r="DE106" s="174"/>
      <c r="DF106" s="174"/>
      <c r="DG106" s="174"/>
      <c r="DH106" s="174"/>
      <c r="DI106" s="174"/>
      <c r="DJ106" s="174"/>
      <c r="DK106" s="174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454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</row>
    <row r="107" spans="1:162" s="56" customFormat="1">
      <c r="A107" s="54"/>
      <c r="B107" s="55"/>
      <c r="C107" s="491" t="s">
        <v>2996</v>
      </c>
      <c r="D107" s="62">
        <v>40</v>
      </c>
      <c r="E107" s="62">
        <f t="shared" si="49"/>
        <v>120</v>
      </c>
      <c r="F107" s="62"/>
      <c r="G107" s="62"/>
      <c r="H107" s="62"/>
      <c r="I107" s="62"/>
      <c r="J107" s="62"/>
      <c r="K107" s="62"/>
      <c r="L107" s="62">
        <f t="shared" si="50"/>
        <v>40</v>
      </c>
      <c r="M107" s="62"/>
      <c r="N107" s="62"/>
      <c r="O107" s="62"/>
      <c r="P107" s="62"/>
      <c r="Q107" s="62"/>
      <c r="R107" s="173" t="s">
        <v>1903</v>
      </c>
      <c r="S107" s="174"/>
      <c r="T107" s="174"/>
      <c r="U107" s="174"/>
      <c r="V107" s="174">
        <v>2</v>
      </c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883"/>
      <c r="AH107" s="174"/>
      <c r="AI107" s="492"/>
      <c r="AJ107" s="905">
        <v>1</v>
      </c>
      <c r="AK107" s="919"/>
      <c r="AL107" s="174"/>
      <c r="AM107" s="174"/>
      <c r="AN107" s="174"/>
      <c r="AO107" s="928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4"/>
      <c r="BE107" s="174"/>
      <c r="BF107" s="174"/>
      <c r="BG107" s="174"/>
      <c r="BH107" s="174"/>
      <c r="BI107" s="174">
        <v>1</v>
      </c>
      <c r="BJ107" s="174"/>
      <c r="BK107" s="174"/>
      <c r="BL107" s="174"/>
      <c r="BM107" s="174"/>
      <c r="BN107" s="174">
        <v>1</v>
      </c>
      <c r="BO107" s="174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>
        <v>1</v>
      </c>
      <c r="CB107" s="174"/>
      <c r="CC107" s="174"/>
      <c r="CD107" s="174"/>
      <c r="CE107" s="174">
        <v>6</v>
      </c>
      <c r="CF107" s="174"/>
      <c r="CG107" s="716">
        <f t="shared" si="51"/>
        <v>6</v>
      </c>
      <c r="CH107" s="174"/>
      <c r="CI107" s="174"/>
      <c r="CJ107" s="174"/>
      <c r="CK107" s="174"/>
      <c r="CL107" s="174"/>
      <c r="CM107" s="174"/>
      <c r="CN107" s="174"/>
      <c r="CO107" s="174"/>
      <c r="CP107" s="174"/>
      <c r="CQ107" s="174"/>
      <c r="CR107" s="174">
        <v>1</v>
      </c>
      <c r="CS107" s="174"/>
      <c r="CT107" s="174"/>
      <c r="CU107" s="174"/>
      <c r="CV107" s="174"/>
      <c r="CW107" s="174"/>
      <c r="CX107" s="174">
        <v>3</v>
      </c>
      <c r="CY107" s="174">
        <v>3</v>
      </c>
      <c r="CZ107" s="174">
        <v>3</v>
      </c>
      <c r="DA107" s="174"/>
      <c r="DB107" s="174"/>
      <c r="DC107" s="174"/>
      <c r="DD107" s="174"/>
      <c r="DE107" s="174"/>
      <c r="DF107" s="174"/>
      <c r="DG107" s="174"/>
      <c r="DH107" s="174"/>
      <c r="DI107" s="174"/>
      <c r="DJ107" s="174"/>
      <c r="DK107" s="174">
        <v>3</v>
      </c>
      <c r="DL107" s="62"/>
      <c r="DM107" s="62"/>
      <c r="DN107" s="62"/>
      <c r="DO107" s="62"/>
      <c r="DP107" s="62"/>
      <c r="DQ107" s="62"/>
      <c r="DR107" s="62"/>
      <c r="DS107" s="62"/>
      <c r="DT107" s="62">
        <v>4.5</v>
      </c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454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</row>
    <row r="108" spans="1:162" s="56" customFormat="1">
      <c r="A108" s="54"/>
      <c r="B108" s="55"/>
      <c r="C108" s="491" t="s">
        <v>2997</v>
      </c>
      <c r="D108" s="62">
        <v>35</v>
      </c>
      <c r="E108" s="62">
        <f t="shared" si="49"/>
        <v>105</v>
      </c>
      <c r="F108" s="62"/>
      <c r="G108" s="62"/>
      <c r="H108" s="62"/>
      <c r="I108" s="62"/>
      <c r="J108" s="62"/>
      <c r="K108" s="62"/>
      <c r="L108" s="62">
        <f t="shared" si="50"/>
        <v>35</v>
      </c>
      <c r="M108" s="62"/>
      <c r="N108" s="62"/>
      <c r="O108" s="62"/>
      <c r="P108" s="62"/>
      <c r="Q108" s="62"/>
      <c r="R108" s="173" t="s">
        <v>1903</v>
      </c>
      <c r="S108" s="174"/>
      <c r="T108" s="174"/>
      <c r="U108" s="174"/>
      <c r="V108" s="174">
        <v>2</v>
      </c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883"/>
      <c r="AH108" s="174"/>
      <c r="AI108" s="492"/>
      <c r="AJ108" s="905">
        <v>1</v>
      </c>
      <c r="AK108" s="919"/>
      <c r="AL108" s="174"/>
      <c r="AM108" s="174"/>
      <c r="AN108" s="174"/>
      <c r="AO108" s="928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>
        <v>1</v>
      </c>
      <c r="BO108" s="174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>
        <v>6</v>
      </c>
      <c r="CF108" s="174"/>
      <c r="CG108" s="716">
        <f t="shared" si="51"/>
        <v>6</v>
      </c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>
        <v>1</v>
      </c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  <c r="DE108" s="174"/>
      <c r="DF108" s="174"/>
      <c r="DG108" s="174"/>
      <c r="DH108" s="174"/>
      <c r="DI108" s="174"/>
      <c r="DJ108" s="174"/>
      <c r="DK108" s="174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454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</row>
    <row r="109" spans="1:162" s="56" customFormat="1">
      <c r="A109" s="54"/>
      <c r="B109" s="55"/>
      <c r="C109" s="491" t="s">
        <v>2998</v>
      </c>
      <c r="D109" s="62">
        <v>35</v>
      </c>
      <c r="E109" s="62">
        <f t="shared" si="49"/>
        <v>105</v>
      </c>
      <c r="F109" s="62"/>
      <c r="G109" s="62"/>
      <c r="H109" s="62"/>
      <c r="I109" s="62"/>
      <c r="J109" s="62"/>
      <c r="K109" s="62"/>
      <c r="L109" s="62">
        <f t="shared" si="50"/>
        <v>35</v>
      </c>
      <c r="M109" s="62"/>
      <c r="N109" s="62"/>
      <c r="O109" s="62"/>
      <c r="P109" s="62"/>
      <c r="Q109" s="62"/>
      <c r="R109" s="173" t="s">
        <v>2989</v>
      </c>
      <c r="S109" s="174"/>
      <c r="T109" s="174"/>
      <c r="U109" s="174"/>
      <c r="V109" s="174">
        <v>2</v>
      </c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883"/>
      <c r="AH109" s="174"/>
      <c r="AI109" s="492"/>
      <c r="AJ109" s="905">
        <v>1</v>
      </c>
      <c r="AK109" s="919"/>
      <c r="AL109" s="174"/>
      <c r="AM109" s="174"/>
      <c r="AN109" s="174"/>
      <c r="AO109" s="928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/>
      <c r="BO109" s="174"/>
      <c r="BP109" s="174"/>
      <c r="BQ109" s="174"/>
      <c r="BR109" s="174"/>
      <c r="BS109" s="174"/>
      <c r="BT109" s="174"/>
      <c r="BU109" s="174"/>
      <c r="BV109" s="174">
        <v>1</v>
      </c>
      <c r="BW109" s="174">
        <v>1</v>
      </c>
      <c r="BX109" s="174"/>
      <c r="BY109" s="174"/>
      <c r="BZ109" s="174"/>
      <c r="CA109" s="174"/>
      <c r="CB109" s="174"/>
      <c r="CC109" s="174"/>
      <c r="CD109" s="174"/>
      <c r="CE109" s="174">
        <v>5</v>
      </c>
      <c r="CF109" s="174">
        <v>1</v>
      </c>
      <c r="CG109" s="716">
        <f t="shared" si="51"/>
        <v>4</v>
      </c>
      <c r="CH109" s="174">
        <v>6</v>
      </c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/>
      <c r="CS109" s="174">
        <v>2</v>
      </c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  <c r="DE109" s="174"/>
      <c r="DF109" s="174"/>
      <c r="DG109" s="174"/>
      <c r="DH109" s="174"/>
      <c r="DI109" s="174"/>
      <c r="DJ109" s="174"/>
      <c r="DK109" s="174"/>
      <c r="DL109" s="62">
        <v>2</v>
      </c>
      <c r="DM109" s="62"/>
      <c r="DN109" s="62"/>
      <c r="DO109" s="62"/>
      <c r="DP109" s="62"/>
      <c r="DQ109" s="62"/>
      <c r="DR109" s="62"/>
      <c r="DS109" s="62">
        <v>1.5</v>
      </c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454"/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</row>
    <row r="110" spans="1:162" s="56" customFormat="1">
      <c r="A110" s="54"/>
      <c r="B110" s="720"/>
      <c r="C110" s="491" t="s">
        <v>2999</v>
      </c>
      <c r="D110" s="454">
        <v>40</v>
      </c>
      <c r="E110" s="62">
        <f t="shared" si="49"/>
        <v>120</v>
      </c>
      <c r="F110" s="62"/>
      <c r="G110" s="62"/>
      <c r="H110" s="62"/>
      <c r="I110" s="62"/>
      <c r="J110" s="62"/>
      <c r="K110" s="62"/>
      <c r="L110" s="62">
        <f t="shared" si="50"/>
        <v>40</v>
      </c>
      <c r="M110" s="454"/>
      <c r="N110" s="454"/>
      <c r="O110" s="454"/>
      <c r="P110" s="454"/>
      <c r="Q110" s="454"/>
      <c r="R110" s="715" t="s">
        <v>1631</v>
      </c>
      <c r="S110" s="716"/>
      <c r="T110" s="716"/>
      <c r="U110" s="716"/>
      <c r="V110" s="716">
        <v>1</v>
      </c>
      <c r="W110" s="716"/>
      <c r="X110" s="716"/>
      <c r="Y110" s="716"/>
      <c r="Z110" s="716"/>
      <c r="AA110" s="716"/>
      <c r="AB110" s="716"/>
      <c r="AC110" s="716"/>
      <c r="AD110" s="716"/>
      <c r="AE110" s="716"/>
      <c r="AF110" s="716"/>
      <c r="AG110" s="886">
        <v>1</v>
      </c>
      <c r="AH110" s="716"/>
      <c r="AI110" s="898"/>
      <c r="AJ110" s="908"/>
      <c r="AK110" s="922"/>
      <c r="AL110" s="716"/>
      <c r="AM110" s="716"/>
      <c r="AN110" s="716"/>
      <c r="AO110" s="930"/>
      <c r="AP110" s="716"/>
      <c r="AQ110" s="716"/>
      <c r="AR110" s="716"/>
      <c r="AS110" s="716"/>
      <c r="AT110" s="716"/>
      <c r="AU110" s="716"/>
      <c r="AV110" s="716"/>
      <c r="AW110" s="716"/>
      <c r="AX110" s="716"/>
      <c r="AY110" s="716"/>
      <c r="AZ110" s="716"/>
      <c r="BA110" s="716"/>
      <c r="BB110" s="716"/>
      <c r="BC110" s="716"/>
      <c r="BD110" s="716"/>
      <c r="BE110" s="716"/>
      <c r="BF110" s="716"/>
      <c r="BG110" s="716"/>
      <c r="BH110" s="716"/>
      <c r="BI110" s="716"/>
      <c r="BJ110" s="716"/>
      <c r="BK110" s="716"/>
      <c r="BL110" s="716"/>
      <c r="BM110" s="716">
        <v>1</v>
      </c>
      <c r="BN110" s="716"/>
      <c r="BO110" s="716"/>
      <c r="BP110" s="716"/>
      <c r="BQ110" s="716"/>
      <c r="BR110" s="716"/>
      <c r="BS110" s="716"/>
      <c r="BT110" s="716"/>
      <c r="BU110" s="716"/>
      <c r="BV110" s="716"/>
      <c r="BW110" s="716"/>
      <c r="BX110" s="716"/>
      <c r="BY110" s="716"/>
      <c r="BZ110" s="716"/>
      <c r="CA110" s="716"/>
      <c r="CB110" s="716"/>
      <c r="CC110" s="716"/>
      <c r="CD110" s="716"/>
      <c r="CE110" s="716">
        <v>3</v>
      </c>
      <c r="CF110" s="716">
        <v>3</v>
      </c>
      <c r="CG110" s="716">
        <f t="shared" si="51"/>
        <v>0</v>
      </c>
      <c r="CH110" s="716"/>
      <c r="CI110" s="716"/>
      <c r="CJ110" s="716"/>
      <c r="CK110" s="716"/>
      <c r="CL110" s="716"/>
      <c r="CM110" s="716"/>
      <c r="CN110" s="716"/>
      <c r="CO110" s="716"/>
      <c r="CP110" s="716"/>
      <c r="CQ110" s="716">
        <v>1</v>
      </c>
      <c r="CR110" s="716"/>
      <c r="CS110" s="716"/>
      <c r="CT110" s="716"/>
      <c r="CU110" s="716"/>
      <c r="CV110" s="716"/>
      <c r="CW110" s="716"/>
      <c r="CX110" s="716"/>
      <c r="CY110" s="716"/>
      <c r="CZ110" s="716"/>
      <c r="DA110" s="716"/>
      <c r="DB110" s="716"/>
      <c r="DC110" s="716"/>
      <c r="DD110" s="716"/>
      <c r="DE110" s="716"/>
      <c r="DF110" s="716"/>
      <c r="DG110" s="716"/>
      <c r="DH110" s="716"/>
      <c r="DI110" s="716"/>
      <c r="DJ110" s="716"/>
      <c r="DK110" s="716"/>
      <c r="DL110" s="454"/>
      <c r="DM110" s="454"/>
      <c r="DN110" s="454"/>
      <c r="DO110" s="454"/>
      <c r="DP110" s="454"/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/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</row>
    <row r="111" spans="1:162" s="56" customFormat="1">
      <c r="A111" s="54"/>
      <c r="B111" s="720"/>
      <c r="C111" s="491" t="s">
        <v>3000</v>
      </c>
      <c r="D111" s="454">
        <v>30</v>
      </c>
      <c r="E111" s="62">
        <f t="shared" si="49"/>
        <v>90</v>
      </c>
      <c r="F111" s="62"/>
      <c r="G111" s="62"/>
      <c r="H111" s="62"/>
      <c r="I111" s="62"/>
      <c r="J111" s="62"/>
      <c r="K111" s="62"/>
      <c r="L111" s="62">
        <f t="shared" si="50"/>
        <v>30</v>
      </c>
      <c r="M111" s="454"/>
      <c r="N111" s="454"/>
      <c r="O111" s="454"/>
      <c r="P111" s="454"/>
      <c r="Q111" s="454"/>
      <c r="R111" s="715" t="s">
        <v>1903</v>
      </c>
      <c r="S111" s="716"/>
      <c r="T111" s="716"/>
      <c r="U111" s="716"/>
      <c r="V111" s="716">
        <v>2</v>
      </c>
      <c r="W111" s="716"/>
      <c r="X111" s="716"/>
      <c r="Y111" s="716"/>
      <c r="Z111" s="716"/>
      <c r="AA111" s="716"/>
      <c r="AB111" s="716"/>
      <c r="AC111" s="716"/>
      <c r="AD111" s="716"/>
      <c r="AE111" s="716"/>
      <c r="AF111" s="716"/>
      <c r="AG111" s="886"/>
      <c r="AH111" s="716"/>
      <c r="AI111" s="898"/>
      <c r="AJ111" s="908">
        <v>1</v>
      </c>
      <c r="AK111" s="922"/>
      <c r="AL111" s="716"/>
      <c r="AM111" s="716"/>
      <c r="AN111" s="716"/>
      <c r="AO111" s="930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>
        <v>1</v>
      </c>
      <c r="BG111" s="716"/>
      <c r="BH111" s="716"/>
      <c r="BI111" s="716"/>
      <c r="BJ111" s="716"/>
      <c r="BK111" s="716"/>
      <c r="BL111" s="716"/>
      <c r="BM111" s="716"/>
      <c r="BN111" s="716">
        <v>1</v>
      </c>
      <c r="BO111" s="716"/>
      <c r="BP111" s="716"/>
      <c r="BQ111" s="716"/>
      <c r="BR111" s="716"/>
      <c r="BS111" s="716"/>
      <c r="BT111" s="716"/>
      <c r="BU111" s="716"/>
      <c r="BV111" s="716"/>
      <c r="BW111" s="716"/>
      <c r="BX111" s="716"/>
      <c r="BY111" s="716"/>
      <c r="BZ111" s="716"/>
      <c r="CA111" s="716"/>
      <c r="CB111" s="716"/>
      <c r="CC111" s="716"/>
      <c r="CD111" s="716"/>
      <c r="CE111" s="716">
        <v>6</v>
      </c>
      <c r="CF111" s="716"/>
      <c r="CG111" s="716">
        <f t="shared" si="51"/>
        <v>6</v>
      </c>
      <c r="CH111" s="716"/>
      <c r="CI111" s="716"/>
      <c r="CJ111" s="716"/>
      <c r="CK111" s="716"/>
      <c r="CL111" s="716"/>
      <c r="CM111" s="716"/>
      <c r="CN111" s="716"/>
      <c r="CO111" s="716"/>
      <c r="CP111" s="716"/>
      <c r="CQ111" s="716"/>
      <c r="CR111" s="716">
        <v>1</v>
      </c>
      <c r="CS111" s="716"/>
      <c r="CT111" s="716"/>
      <c r="CU111" s="716"/>
      <c r="CV111" s="716"/>
      <c r="CW111" s="716"/>
      <c r="CX111" s="716"/>
      <c r="CY111" s="716"/>
      <c r="CZ111" s="716"/>
      <c r="DA111" s="716"/>
      <c r="DB111" s="716"/>
      <c r="DC111" s="716"/>
      <c r="DD111" s="716"/>
      <c r="DE111" s="716"/>
      <c r="DF111" s="716"/>
      <c r="DG111" s="716"/>
      <c r="DH111" s="716"/>
      <c r="DI111" s="716"/>
      <c r="DJ111" s="716"/>
      <c r="DK111" s="716"/>
      <c r="DL111" s="454"/>
      <c r="DM111" s="454"/>
      <c r="DN111" s="454"/>
      <c r="DO111" s="454"/>
      <c r="DP111" s="454"/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/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</row>
    <row r="112" spans="1:162" s="56" customFormat="1">
      <c r="A112" s="54"/>
      <c r="B112" s="720"/>
      <c r="C112" s="491" t="s">
        <v>3001</v>
      </c>
      <c r="D112" s="454">
        <v>35</v>
      </c>
      <c r="E112" s="62">
        <f t="shared" si="49"/>
        <v>105</v>
      </c>
      <c r="F112" s="62"/>
      <c r="G112" s="62"/>
      <c r="H112" s="62"/>
      <c r="I112" s="62"/>
      <c r="J112" s="62"/>
      <c r="K112" s="62"/>
      <c r="L112" s="62">
        <f t="shared" si="50"/>
        <v>35</v>
      </c>
      <c r="M112" s="454"/>
      <c r="N112" s="454"/>
      <c r="O112" s="454"/>
      <c r="P112" s="454"/>
      <c r="Q112" s="454"/>
      <c r="R112" s="715" t="s">
        <v>1903</v>
      </c>
      <c r="S112" s="716"/>
      <c r="T112" s="716"/>
      <c r="U112" s="716"/>
      <c r="V112" s="716">
        <v>2</v>
      </c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886"/>
      <c r="AH112" s="716"/>
      <c r="AI112" s="898"/>
      <c r="AJ112" s="908">
        <v>1</v>
      </c>
      <c r="AK112" s="922"/>
      <c r="AL112" s="716"/>
      <c r="AM112" s="716"/>
      <c r="AN112" s="716"/>
      <c r="AO112" s="930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6"/>
      <c r="BL112" s="716"/>
      <c r="BM112" s="716"/>
      <c r="BN112" s="716">
        <v>1</v>
      </c>
      <c r="BO112" s="716"/>
      <c r="BP112" s="716"/>
      <c r="BQ112" s="716"/>
      <c r="BR112" s="716"/>
      <c r="BS112" s="716"/>
      <c r="BT112" s="716"/>
      <c r="BU112" s="716"/>
      <c r="BV112" s="716"/>
      <c r="BW112" s="716"/>
      <c r="BX112" s="716"/>
      <c r="BY112" s="716"/>
      <c r="BZ112" s="716"/>
      <c r="CA112" s="716"/>
      <c r="CB112" s="716"/>
      <c r="CC112" s="716"/>
      <c r="CD112" s="716"/>
      <c r="CE112" s="716">
        <v>6</v>
      </c>
      <c r="CF112" s="716"/>
      <c r="CG112" s="716">
        <f t="shared" si="51"/>
        <v>6</v>
      </c>
      <c r="CH112" s="716"/>
      <c r="CI112" s="716"/>
      <c r="CJ112" s="716"/>
      <c r="CK112" s="716"/>
      <c r="CL112" s="716"/>
      <c r="CM112" s="716"/>
      <c r="CN112" s="716"/>
      <c r="CO112" s="716"/>
      <c r="CP112" s="716"/>
      <c r="CQ112" s="716"/>
      <c r="CR112" s="716">
        <v>1</v>
      </c>
      <c r="CS112" s="716"/>
      <c r="CT112" s="716"/>
      <c r="CU112" s="716"/>
      <c r="CV112" s="716"/>
      <c r="CW112" s="716"/>
      <c r="CX112" s="716"/>
      <c r="CY112" s="716"/>
      <c r="CZ112" s="716"/>
      <c r="DA112" s="716"/>
      <c r="DB112" s="716"/>
      <c r="DC112" s="716"/>
      <c r="DD112" s="716"/>
      <c r="DE112" s="716"/>
      <c r="DF112" s="716"/>
      <c r="DG112" s="716"/>
      <c r="DH112" s="716"/>
      <c r="DI112" s="716"/>
      <c r="DJ112" s="716"/>
      <c r="DK112" s="716"/>
      <c r="DL112" s="454"/>
      <c r="DM112" s="454"/>
      <c r="DN112" s="454"/>
      <c r="DO112" s="454"/>
      <c r="DP112" s="454"/>
      <c r="DQ112" s="454"/>
      <c r="DR112" s="454"/>
      <c r="DS112" s="454"/>
      <c r="DT112" s="454"/>
      <c r="DU112" s="454"/>
      <c r="DV112" s="454"/>
      <c r="DW112" s="454"/>
      <c r="DX112" s="454"/>
      <c r="DY112" s="454"/>
      <c r="DZ112" s="454"/>
      <c r="EA112" s="454"/>
      <c r="EB112" s="454"/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</row>
    <row r="113" spans="1:162" s="56" customFormat="1">
      <c r="A113" s="54"/>
      <c r="B113" s="720"/>
      <c r="C113" s="491" t="s">
        <v>3002</v>
      </c>
      <c r="D113" s="454">
        <v>30</v>
      </c>
      <c r="E113" s="62">
        <f t="shared" si="49"/>
        <v>90</v>
      </c>
      <c r="F113" s="62"/>
      <c r="G113" s="62"/>
      <c r="H113" s="62"/>
      <c r="I113" s="62"/>
      <c r="J113" s="62"/>
      <c r="K113" s="62"/>
      <c r="L113" s="62">
        <f t="shared" si="50"/>
        <v>30</v>
      </c>
      <c r="M113" s="454"/>
      <c r="N113" s="454"/>
      <c r="O113" s="454"/>
      <c r="P113" s="454"/>
      <c r="Q113" s="454"/>
      <c r="R113" s="715" t="s">
        <v>1631</v>
      </c>
      <c r="S113" s="716"/>
      <c r="T113" s="716"/>
      <c r="U113" s="716"/>
      <c r="V113" s="716">
        <v>1</v>
      </c>
      <c r="W113" s="716"/>
      <c r="X113" s="716"/>
      <c r="Y113" s="716"/>
      <c r="Z113" s="716"/>
      <c r="AA113" s="716"/>
      <c r="AB113" s="716"/>
      <c r="AC113" s="716"/>
      <c r="AD113" s="716"/>
      <c r="AE113" s="716"/>
      <c r="AF113" s="716"/>
      <c r="AG113" s="886">
        <v>1</v>
      </c>
      <c r="AH113" s="716"/>
      <c r="AI113" s="898"/>
      <c r="AJ113" s="908"/>
      <c r="AK113" s="922"/>
      <c r="AL113" s="716"/>
      <c r="AM113" s="716"/>
      <c r="AN113" s="716"/>
      <c r="AO113" s="930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6"/>
      <c r="BL113" s="716"/>
      <c r="BM113" s="716">
        <v>1</v>
      </c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  <c r="BX113" s="716"/>
      <c r="BY113" s="716"/>
      <c r="BZ113" s="716"/>
      <c r="CA113" s="716"/>
      <c r="CB113" s="716"/>
      <c r="CC113" s="716"/>
      <c r="CD113" s="716"/>
      <c r="CE113" s="716">
        <v>3</v>
      </c>
      <c r="CF113" s="716">
        <v>3</v>
      </c>
      <c r="CG113" s="716">
        <f t="shared" si="51"/>
        <v>0</v>
      </c>
      <c r="CH113" s="716"/>
      <c r="CI113" s="716"/>
      <c r="CJ113" s="716"/>
      <c r="CK113" s="716"/>
      <c r="CL113" s="716"/>
      <c r="CM113" s="716"/>
      <c r="CN113" s="716"/>
      <c r="CO113" s="716"/>
      <c r="CP113" s="716"/>
      <c r="CQ113" s="716">
        <v>1</v>
      </c>
      <c r="CR113" s="716"/>
      <c r="CS113" s="716"/>
      <c r="CT113" s="716"/>
      <c r="CU113" s="716"/>
      <c r="CV113" s="716"/>
      <c r="CW113" s="716"/>
      <c r="CX113" s="716"/>
      <c r="CY113" s="716"/>
      <c r="CZ113" s="716"/>
      <c r="DA113" s="716"/>
      <c r="DB113" s="716"/>
      <c r="DC113" s="716"/>
      <c r="DD113" s="716"/>
      <c r="DE113" s="716"/>
      <c r="DF113" s="716"/>
      <c r="DG113" s="716"/>
      <c r="DH113" s="716"/>
      <c r="DI113" s="716"/>
      <c r="DJ113" s="716"/>
      <c r="DK113" s="716"/>
      <c r="DL113" s="454"/>
      <c r="DM113" s="454"/>
      <c r="DN113" s="454"/>
      <c r="DO113" s="454"/>
      <c r="DP113" s="454"/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/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</row>
    <row r="114" spans="1:162" s="56" customFormat="1">
      <c r="A114" s="54"/>
      <c r="B114" s="720"/>
      <c r="C114" s="491" t="s">
        <v>3003</v>
      </c>
      <c r="D114" s="454">
        <v>30</v>
      </c>
      <c r="E114" s="62">
        <f t="shared" si="49"/>
        <v>90</v>
      </c>
      <c r="F114" s="62"/>
      <c r="G114" s="62"/>
      <c r="H114" s="62"/>
      <c r="I114" s="62"/>
      <c r="J114" s="62"/>
      <c r="K114" s="62"/>
      <c r="L114" s="62">
        <f t="shared" si="50"/>
        <v>30</v>
      </c>
      <c r="M114" s="454"/>
      <c r="N114" s="454"/>
      <c r="O114" s="454"/>
      <c r="P114" s="454"/>
      <c r="Q114" s="454"/>
      <c r="R114" s="715" t="s">
        <v>2990</v>
      </c>
      <c r="S114" s="716"/>
      <c r="T114" s="716"/>
      <c r="U114" s="716"/>
      <c r="V114" s="716">
        <v>2</v>
      </c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886"/>
      <c r="AH114" s="716"/>
      <c r="AI114" s="898"/>
      <c r="AJ114" s="908">
        <v>1</v>
      </c>
      <c r="AK114" s="922"/>
      <c r="AL114" s="716"/>
      <c r="AM114" s="716"/>
      <c r="AN114" s="716"/>
      <c r="AO114" s="930"/>
      <c r="AP114" s="716"/>
      <c r="AQ114" s="716"/>
      <c r="AR114" s="716"/>
      <c r="AS114" s="716"/>
      <c r="AT114" s="716"/>
      <c r="AU114" s="716"/>
      <c r="AV114" s="716"/>
      <c r="AW114" s="716"/>
      <c r="AX114" s="716"/>
      <c r="AY114" s="716"/>
      <c r="AZ114" s="716"/>
      <c r="BA114" s="716"/>
      <c r="BB114" s="716"/>
      <c r="BC114" s="716"/>
      <c r="BD114" s="716"/>
      <c r="BE114" s="716"/>
      <c r="BF114" s="716"/>
      <c r="BG114" s="716"/>
      <c r="BH114" s="716"/>
      <c r="BI114" s="716"/>
      <c r="BJ114" s="716"/>
      <c r="BK114" s="716"/>
      <c r="BL114" s="716"/>
      <c r="BM114" s="716"/>
      <c r="BN114" s="716"/>
      <c r="BO114" s="716"/>
      <c r="BP114" s="716"/>
      <c r="BQ114" s="716"/>
      <c r="BR114" s="716"/>
      <c r="BS114" s="716"/>
      <c r="BT114" s="716"/>
      <c r="BU114" s="716"/>
      <c r="BV114" s="716"/>
      <c r="BW114" s="716">
        <v>1</v>
      </c>
      <c r="BX114" s="716"/>
      <c r="BY114" s="716"/>
      <c r="BZ114" s="716"/>
      <c r="CA114" s="716"/>
      <c r="CB114" s="716"/>
      <c r="CC114" s="716"/>
      <c r="CD114" s="716"/>
      <c r="CE114" s="716"/>
      <c r="CF114" s="716"/>
      <c r="CG114" s="716">
        <f>CE114-CF114</f>
        <v>0</v>
      </c>
      <c r="CH114" s="716">
        <v>3</v>
      </c>
      <c r="CI114" s="716"/>
      <c r="CJ114" s="716"/>
      <c r="CK114" s="716"/>
      <c r="CL114" s="716"/>
      <c r="CM114" s="716"/>
      <c r="CN114" s="716"/>
      <c r="CO114" s="716"/>
      <c r="CP114" s="716"/>
      <c r="CQ114" s="716"/>
      <c r="CR114" s="716"/>
      <c r="CS114" s="716">
        <v>1</v>
      </c>
      <c r="CT114" s="716"/>
      <c r="CU114" s="716"/>
      <c r="CV114" s="716"/>
      <c r="CW114" s="716"/>
      <c r="CX114" s="716"/>
      <c r="CY114" s="716"/>
      <c r="CZ114" s="716"/>
      <c r="DA114" s="716"/>
      <c r="DB114" s="716"/>
      <c r="DC114" s="716"/>
      <c r="DD114" s="716"/>
      <c r="DE114" s="716"/>
      <c r="DF114" s="716"/>
      <c r="DG114" s="716"/>
      <c r="DH114" s="716"/>
      <c r="DI114" s="716"/>
      <c r="DJ114" s="716"/>
      <c r="DK114" s="716"/>
      <c r="DL114" s="454"/>
      <c r="DM114" s="454"/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/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</row>
    <row r="115" spans="1:162" s="56" customFormat="1">
      <c r="A115" s="54"/>
      <c r="B115" s="55"/>
      <c r="C115" s="491"/>
      <c r="D115" s="62"/>
      <c r="E115" s="62">
        <f t="shared" si="49"/>
        <v>0</v>
      </c>
      <c r="F115" s="62"/>
      <c r="G115" s="62"/>
      <c r="H115" s="62"/>
      <c r="I115" s="62"/>
      <c r="J115" s="62"/>
      <c r="K115" s="62"/>
      <c r="L115" s="62">
        <f>D115</f>
        <v>0</v>
      </c>
      <c r="M115" s="62"/>
      <c r="N115" s="62"/>
      <c r="O115" s="62"/>
      <c r="P115" s="62"/>
      <c r="Q115" s="62"/>
      <c r="R115" s="173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883"/>
      <c r="AH115" s="174"/>
      <c r="AI115" s="492"/>
      <c r="AJ115" s="905"/>
      <c r="AK115" s="919"/>
      <c r="AL115" s="174"/>
      <c r="AM115" s="174"/>
      <c r="AN115" s="174"/>
      <c r="AO115" s="928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4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  <c r="BP115" s="174"/>
      <c r="BQ115" s="174"/>
      <c r="BR115" s="174"/>
      <c r="BS115" s="174"/>
      <c r="BT115" s="174"/>
      <c r="BU115" s="174"/>
      <c r="BV115" s="174"/>
      <c r="BW115" s="174"/>
      <c r="BX115" s="174"/>
      <c r="BY115" s="174"/>
      <c r="BZ115" s="174"/>
      <c r="CA115" s="174"/>
      <c r="CB115" s="174"/>
      <c r="CC115" s="174"/>
      <c r="CD115" s="174"/>
      <c r="CE115" s="174"/>
      <c r="CF115" s="174"/>
      <c r="CG115" s="174"/>
      <c r="CH115" s="174"/>
      <c r="CI115" s="174"/>
      <c r="CJ115" s="174"/>
      <c r="CK115" s="174"/>
      <c r="CL115" s="174"/>
      <c r="CM115" s="174"/>
      <c r="CN115" s="174"/>
      <c r="CO115" s="174"/>
      <c r="CP115" s="174"/>
      <c r="CQ115" s="174"/>
      <c r="CR115" s="174"/>
      <c r="CS115" s="174"/>
      <c r="CT115" s="174"/>
      <c r="CU115" s="174"/>
      <c r="CV115" s="174"/>
      <c r="CW115" s="174"/>
      <c r="CX115" s="174"/>
      <c r="CY115" s="174"/>
      <c r="CZ115" s="174"/>
      <c r="DA115" s="174"/>
      <c r="DB115" s="174"/>
      <c r="DC115" s="174"/>
      <c r="DD115" s="174"/>
      <c r="DE115" s="174"/>
      <c r="DF115" s="174"/>
      <c r="DG115" s="174"/>
      <c r="DH115" s="174"/>
      <c r="DI115" s="174"/>
      <c r="DJ115" s="174"/>
      <c r="DK115" s="174"/>
      <c r="DL115" s="62"/>
      <c r="DM115" s="62"/>
      <c r="DN115" s="62"/>
      <c r="DO115" s="62"/>
      <c r="DP115" s="62"/>
      <c r="DQ115" s="62"/>
      <c r="DR115" s="62"/>
      <c r="DS115" s="62"/>
      <c r="DT115" s="62"/>
      <c r="DU115" s="62"/>
      <c r="DV115" s="62"/>
      <c r="DW115" s="62"/>
      <c r="DX115" s="62"/>
      <c r="DY115" s="62"/>
      <c r="DZ115" s="62"/>
      <c r="EA115" s="62"/>
      <c r="EB115" s="62"/>
      <c r="EC115" s="62"/>
      <c r="ED115" s="62"/>
      <c r="EE115" s="454"/>
      <c r="EF115" s="62"/>
      <c r="EG115" s="62"/>
      <c r="EH115" s="62"/>
      <c r="EI115" s="62"/>
      <c r="EJ115" s="62"/>
      <c r="EK115" s="62"/>
      <c r="EL115" s="62"/>
      <c r="EM115" s="62"/>
      <c r="EN115" s="62"/>
      <c r="EO115" s="62"/>
      <c r="EP115" s="62"/>
      <c r="EQ115" s="62"/>
      <c r="ER115" s="62"/>
      <c r="ES115" s="62"/>
      <c r="ET115" s="62"/>
      <c r="EU115" s="62"/>
      <c r="EV115" s="62"/>
      <c r="EW115" s="62"/>
      <c r="EX115" s="62"/>
      <c r="EY115" s="62"/>
      <c r="EZ115" s="62"/>
      <c r="FA115" s="62"/>
      <c r="FB115" s="62"/>
      <c r="FC115" s="62"/>
      <c r="FD115" s="62"/>
      <c r="FE115" s="62"/>
      <c r="FF115" s="62"/>
    </row>
    <row r="116" spans="1:162">
      <c r="A116" s="487">
        <f>MATCH(C116,$C$5:$C$361,0)</f>
        <v>112</v>
      </c>
      <c r="C116" s="14" t="s">
        <v>3015</v>
      </c>
      <c r="D116" s="14">
        <f t="shared" ref="D116:Q116" si="52">SUM(D100:D115)</f>
        <v>510</v>
      </c>
      <c r="E116" s="14">
        <f t="shared" si="52"/>
        <v>1530</v>
      </c>
      <c r="F116" s="14">
        <f t="shared" si="52"/>
        <v>0</v>
      </c>
      <c r="G116" s="14">
        <f t="shared" si="52"/>
        <v>0</v>
      </c>
      <c r="H116" s="14">
        <f t="shared" si="52"/>
        <v>0</v>
      </c>
      <c r="I116" s="14">
        <f t="shared" si="52"/>
        <v>0</v>
      </c>
      <c r="J116" s="14">
        <f t="shared" si="52"/>
        <v>0</v>
      </c>
      <c r="K116" s="14">
        <f t="shared" si="52"/>
        <v>0</v>
      </c>
      <c r="L116" s="14">
        <f t="shared" si="52"/>
        <v>510</v>
      </c>
      <c r="M116" s="14">
        <f t="shared" si="52"/>
        <v>0</v>
      </c>
      <c r="N116" s="14">
        <f t="shared" si="52"/>
        <v>0</v>
      </c>
      <c r="O116" s="14">
        <f t="shared" si="52"/>
        <v>0</v>
      </c>
      <c r="P116" s="14">
        <f t="shared" si="52"/>
        <v>0</v>
      </c>
      <c r="Q116" s="14">
        <f t="shared" si="52"/>
        <v>0</v>
      </c>
      <c r="R116" s="14"/>
      <c r="S116" s="175">
        <f t="shared" ref="S116:AX116" si="53">SUM(S100:S115)</f>
        <v>0</v>
      </c>
      <c r="T116" s="175">
        <f t="shared" si="53"/>
        <v>0</v>
      </c>
      <c r="U116" s="175">
        <f t="shared" si="53"/>
        <v>0</v>
      </c>
      <c r="V116" s="175">
        <f t="shared" si="53"/>
        <v>27</v>
      </c>
      <c r="W116" s="175">
        <f t="shared" si="53"/>
        <v>0</v>
      </c>
      <c r="X116" s="175">
        <f t="shared" si="53"/>
        <v>0</v>
      </c>
      <c r="Y116" s="175">
        <f t="shared" si="53"/>
        <v>0</v>
      </c>
      <c r="Z116" s="175">
        <f t="shared" si="53"/>
        <v>0</v>
      </c>
      <c r="AA116" s="175">
        <f t="shared" si="53"/>
        <v>0</v>
      </c>
      <c r="AB116" s="175">
        <f t="shared" si="53"/>
        <v>0</v>
      </c>
      <c r="AC116" s="175">
        <f t="shared" si="53"/>
        <v>0</v>
      </c>
      <c r="AD116" s="175">
        <f t="shared" si="53"/>
        <v>0</v>
      </c>
      <c r="AE116" s="175">
        <f t="shared" si="53"/>
        <v>0</v>
      </c>
      <c r="AF116" s="175">
        <f t="shared" si="53"/>
        <v>0</v>
      </c>
      <c r="AG116" s="884">
        <f t="shared" si="53"/>
        <v>3</v>
      </c>
      <c r="AH116" s="175">
        <f t="shared" si="53"/>
        <v>0</v>
      </c>
      <c r="AI116" s="178">
        <f t="shared" si="53"/>
        <v>0</v>
      </c>
      <c r="AJ116" s="906">
        <f t="shared" si="53"/>
        <v>12</v>
      </c>
      <c r="AK116" s="920">
        <f t="shared" si="53"/>
        <v>0</v>
      </c>
      <c r="AL116" s="175">
        <f t="shared" si="53"/>
        <v>0</v>
      </c>
      <c r="AM116" s="175">
        <f t="shared" si="53"/>
        <v>0</v>
      </c>
      <c r="AN116" s="175">
        <f t="shared" si="53"/>
        <v>0</v>
      </c>
      <c r="AO116" s="929">
        <f t="shared" si="53"/>
        <v>0</v>
      </c>
      <c r="AP116" s="175">
        <f t="shared" si="53"/>
        <v>0</v>
      </c>
      <c r="AQ116" s="175">
        <f t="shared" si="53"/>
        <v>0</v>
      </c>
      <c r="AR116" s="175">
        <f t="shared" si="53"/>
        <v>0</v>
      </c>
      <c r="AS116" s="175">
        <f t="shared" si="53"/>
        <v>0</v>
      </c>
      <c r="AT116" s="175">
        <f t="shared" si="53"/>
        <v>1</v>
      </c>
      <c r="AU116" s="175">
        <f t="shared" si="53"/>
        <v>0</v>
      </c>
      <c r="AV116" s="175">
        <f t="shared" si="53"/>
        <v>0</v>
      </c>
      <c r="AW116" s="175">
        <f t="shared" si="53"/>
        <v>0</v>
      </c>
      <c r="AX116" s="175">
        <f t="shared" si="53"/>
        <v>0</v>
      </c>
      <c r="AY116" s="175">
        <f t="shared" ref="AY116:CD116" si="54">SUM(AY100:AY115)</f>
        <v>0</v>
      </c>
      <c r="AZ116" s="175">
        <f t="shared" si="54"/>
        <v>0</v>
      </c>
      <c r="BA116" s="175">
        <f t="shared" si="54"/>
        <v>1</v>
      </c>
      <c r="BB116" s="175">
        <f t="shared" si="54"/>
        <v>0</v>
      </c>
      <c r="BC116" s="175">
        <f t="shared" si="54"/>
        <v>0</v>
      </c>
      <c r="BD116" s="175">
        <f t="shared" si="54"/>
        <v>0</v>
      </c>
      <c r="BE116" s="175">
        <f t="shared" si="54"/>
        <v>0</v>
      </c>
      <c r="BF116" s="175">
        <f t="shared" si="54"/>
        <v>2</v>
      </c>
      <c r="BG116" s="175">
        <f t="shared" si="54"/>
        <v>0</v>
      </c>
      <c r="BH116" s="175">
        <f t="shared" si="54"/>
        <v>0</v>
      </c>
      <c r="BI116" s="175">
        <f t="shared" si="54"/>
        <v>1</v>
      </c>
      <c r="BJ116" s="175">
        <f t="shared" si="54"/>
        <v>0</v>
      </c>
      <c r="BK116" s="175">
        <f t="shared" si="54"/>
        <v>0</v>
      </c>
      <c r="BL116" s="175">
        <f t="shared" si="54"/>
        <v>0</v>
      </c>
      <c r="BM116" s="175">
        <f t="shared" si="54"/>
        <v>3</v>
      </c>
      <c r="BN116" s="175">
        <f t="shared" si="54"/>
        <v>8</v>
      </c>
      <c r="BO116" s="175">
        <f t="shared" si="54"/>
        <v>0</v>
      </c>
      <c r="BP116" s="175">
        <f t="shared" si="54"/>
        <v>0</v>
      </c>
      <c r="BQ116" s="175">
        <f t="shared" si="54"/>
        <v>0</v>
      </c>
      <c r="BR116" s="175">
        <f t="shared" si="54"/>
        <v>0</v>
      </c>
      <c r="BS116" s="175">
        <f t="shared" si="54"/>
        <v>0</v>
      </c>
      <c r="BT116" s="175">
        <f t="shared" si="54"/>
        <v>0</v>
      </c>
      <c r="BU116" s="175">
        <f t="shared" si="54"/>
        <v>0</v>
      </c>
      <c r="BV116" s="175">
        <f t="shared" si="54"/>
        <v>2</v>
      </c>
      <c r="BW116" s="175">
        <f t="shared" si="54"/>
        <v>5</v>
      </c>
      <c r="BX116" s="175">
        <f t="shared" si="54"/>
        <v>0</v>
      </c>
      <c r="BY116" s="175">
        <f t="shared" si="54"/>
        <v>0</v>
      </c>
      <c r="BZ116" s="175">
        <f t="shared" si="54"/>
        <v>0</v>
      </c>
      <c r="CA116" s="175">
        <f t="shared" si="54"/>
        <v>1</v>
      </c>
      <c r="CB116" s="175">
        <f t="shared" si="54"/>
        <v>1</v>
      </c>
      <c r="CC116" s="175">
        <f t="shared" si="54"/>
        <v>0</v>
      </c>
      <c r="CD116" s="175">
        <f t="shared" si="54"/>
        <v>0</v>
      </c>
      <c r="CE116" s="175">
        <f t="shared" ref="CE116:DJ116" si="55">SUM(CE100:CE115)</f>
        <v>70</v>
      </c>
      <c r="CF116" s="175">
        <f t="shared" si="55"/>
        <v>9</v>
      </c>
      <c r="CG116" s="175">
        <f t="shared" si="55"/>
        <v>58</v>
      </c>
      <c r="CH116" s="175">
        <f t="shared" si="55"/>
        <v>24</v>
      </c>
      <c r="CI116" s="175">
        <f t="shared" si="55"/>
        <v>0</v>
      </c>
      <c r="CJ116" s="175">
        <f t="shared" si="55"/>
        <v>0</v>
      </c>
      <c r="CK116" s="175">
        <f t="shared" si="55"/>
        <v>0</v>
      </c>
      <c r="CL116" s="175">
        <f t="shared" si="55"/>
        <v>0</v>
      </c>
      <c r="CM116" s="175">
        <f t="shared" si="55"/>
        <v>0</v>
      </c>
      <c r="CN116" s="175">
        <f t="shared" si="55"/>
        <v>0</v>
      </c>
      <c r="CO116" s="175">
        <f t="shared" si="55"/>
        <v>0</v>
      </c>
      <c r="CP116" s="175">
        <f t="shared" si="55"/>
        <v>0</v>
      </c>
      <c r="CQ116" s="175">
        <f t="shared" si="55"/>
        <v>3</v>
      </c>
      <c r="CR116" s="175">
        <f t="shared" si="55"/>
        <v>8</v>
      </c>
      <c r="CS116" s="175">
        <f t="shared" si="55"/>
        <v>8</v>
      </c>
      <c r="CT116" s="175">
        <f t="shared" si="55"/>
        <v>0</v>
      </c>
      <c r="CU116" s="175">
        <f t="shared" si="55"/>
        <v>0</v>
      </c>
      <c r="CV116" s="175">
        <f t="shared" si="55"/>
        <v>0</v>
      </c>
      <c r="CW116" s="175">
        <f t="shared" si="55"/>
        <v>0</v>
      </c>
      <c r="CX116" s="175">
        <f t="shared" si="55"/>
        <v>9</v>
      </c>
      <c r="CY116" s="175">
        <f t="shared" si="55"/>
        <v>9</v>
      </c>
      <c r="CZ116" s="175">
        <f t="shared" si="55"/>
        <v>6</v>
      </c>
      <c r="DA116" s="175">
        <f t="shared" si="55"/>
        <v>0</v>
      </c>
      <c r="DB116" s="175">
        <f t="shared" si="55"/>
        <v>2</v>
      </c>
      <c r="DC116" s="175">
        <f t="shared" si="55"/>
        <v>0</v>
      </c>
      <c r="DD116" s="175">
        <f t="shared" si="55"/>
        <v>0</v>
      </c>
      <c r="DE116" s="175">
        <f t="shared" si="55"/>
        <v>0</v>
      </c>
      <c r="DF116" s="175">
        <f t="shared" si="55"/>
        <v>0</v>
      </c>
      <c r="DG116" s="175">
        <f t="shared" si="55"/>
        <v>0</v>
      </c>
      <c r="DH116" s="175">
        <f t="shared" si="55"/>
        <v>0</v>
      </c>
      <c r="DI116" s="175">
        <f t="shared" si="55"/>
        <v>3</v>
      </c>
      <c r="DJ116" s="175">
        <f t="shared" si="55"/>
        <v>0</v>
      </c>
      <c r="DK116" s="175">
        <f t="shared" ref="DK116:ED116" si="56">SUM(DK100:DK115)</f>
        <v>3</v>
      </c>
      <c r="DL116" s="14">
        <f t="shared" si="56"/>
        <v>6.5</v>
      </c>
      <c r="DM116" s="14">
        <f t="shared" si="56"/>
        <v>0</v>
      </c>
      <c r="DN116" s="14">
        <f t="shared" si="56"/>
        <v>0</v>
      </c>
      <c r="DO116" s="14">
        <f t="shared" si="56"/>
        <v>0</v>
      </c>
      <c r="DP116" s="14">
        <f t="shared" si="56"/>
        <v>0</v>
      </c>
      <c r="DQ116" s="14">
        <f t="shared" si="56"/>
        <v>0</v>
      </c>
      <c r="DR116" s="14">
        <f t="shared" si="56"/>
        <v>0</v>
      </c>
      <c r="DS116" s="14">
        <f t="shared" si="56"/>
        <v>6</v>
      </c>
      <c r="DT116" s="14">
        <f t="shared" si="56"/>
        <v>13.5</v>
      </c>
      <c r="DU116" s="14">
        <f t="shared" si="56"/>
        <v>0</v>
      </c>
      <c r="DV116" s="14">
        <f t="shared" si="56"/>
        <v>0</v>
      </c>
      <c r="DW116" s="14">
        <f t="shared" si="56"/>
        <v>0</v>
      </c>
      <c r="DX116" s="14">
        <f t="shared" si="56"/>
        <v>0</v>
      </c>
      <c r="DY116" s="14">
        <f t="shared" si="56"/>
        <v>0</v>
      </c>
      <c r="DZ116" s="14">
        <f t="shared" si="56"/>
        <v>0</v>
      </c>
      <c r="EA116" s="14">
        <f t="shared" si="56"/>
        <v>0</v>
      </c>
      <c r="EB116" s="14">
        <f t="shared" si="56"/>
        <v>0</v>
      </c>
      <c r="EC116" s="14">
        <f t="shared" si="56"/>
        <v>0</v>
      </c>
      <c r="ED116" s="14">
        <f t="shared" si="56"/>
        <v>0</v>
      </c>
      <c r="EE116" s="508"/>
      <c r="EF116" s="14">
        <f t="shared" ref="EF116:FE116" si="57">SUM(EF100:EF115)</f>
        <v>0</v>
      </c>
      <c r="EG116" s="14">
        <f t="shared" si="57"/>
        <v>0</v>
      </c>
      <c r="EH116" s="14">
        <f t="shared" si="57"/>
        <v>0</v>
      </c>
      <c r="EI116" s="14">
        <f t="shared" si="57"/>
        <v>0</v>
      </c>
      <c r="EJ116" s="14">
        <f t="shared" si="57"/>
        <v>0</v>
      </c>
      <c r="EK116" s="14">
        <f t="shared" si="57"/>
        <v>0</v>
      </c>
      <c r="EL116" s="14">
        <f t="shared" si="57"/>
        <v>0</v>
      </c>
      <c r="EM116" s="14">
        <f t="shared" si="57"/>
        <v>0</v>
      </c>
      <c r="EN116" s="14">
        <f t="shared" si="57"/>
        <v>0</v>
      </c>
      <c r="EO116" s="14">
        <f t="shared" si="57"/>
        <v>0</v>
      </c>
      <c r="EP116" s="14">
        <f t="shared" si="57"/>
        <v>0</v>
      </c>
      <c r="EQ116" s="14">
        <f t="shared" si="57"/>
        <v>0</v>
      </c>
      <c r="ER116" s="14">
        <f t="shared" si="57"/>
        <v>0</v>
      </c>
      <c r="ES116" s="14">
        <f t="shared" si="57"/>
        <v>0</v>
      </c>
      <c r="ET116" s="14">
        <f t="shared" si="57"/>
        <v>0</v>
      </c>
      <c r="EU116" s="14">
        <f t="shared" si="57"/>
        <v>0</v>
      </c>
      <c r="EV116" s="14">
        <f t="shared" si="57"/>
        <v>0</v>
      </c>
      <c r="EW116" s="14">
        <f t="shared" si="57"/>
        <v>0</v>
      </c>
      <c r="EX116" s="14">
        <f t="shared" si="57"/>
        <v>0</v>
      </c>
      <c r="EY116" s="14">
        <f t="shared" si="57"/>
        <v>0</v>
      </c>
      <c r="EZ116" s="14">
        <f t="shared" si="57"/>
        <v>0</v>
      </c>
      <c r="FA116" s="14">
        <f t="shared" si="57"/>
        <v>0</v>
      </c>
      <c r="FB116" s="14">
        <f t="shared" si="57"/>
        <v>0</v>
      </c>
      <c r="FC116" s="14">
        <f t="shared" si="57"/>
        <v>0</v>
      </c>
      <c r="FD116" s="14">
        <f t="shared" si="57"/>
        <v>0</v>
      </c>
      <c r="FE116" s="14">
        <f t="shared" si="57"/>
        <v>0</v>
      </c>
      <c r="FF116" s="14"/>
    </row>
    <row r="117" spans="1:162">
      <c r="A117" s="54"/>
      <c r="B117" s="55" t="s">
        <v>3057</v>
      </c>
      <c r="C117" s="11" t="s">
        <v>3598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885"/>
      <c r="AH117" s="176"/>
      <c r="AI117" s="897"/>
      <c r="AJ117" s="907"/>
      <c r="AK117" s="921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6"/>
      <c r="BE117" s="176"/>
      <c r="BF117" s="176"/>
      <c r="BG117" s="176"/>
      <c r="BH117" s="176"/>
      <c r="BI117" s="176"/>
      <c r="BJ117" s="176"/>
      <c r="BK117" s="176"/>
      <c r="BL117" s="176"/>
      <c r="BM117" s="176"/>
      <c r="BN117" s="176"/>
      <c r="BO117" s="176"/>
      <c r="BP117" s="176"/>
      <c r="BQ117" s="176"/>
      <c r="BR117" s="176"/>
      <c r="BS117" s="176"/>
      <c r="BT117" s="176"/>
      <c r="BU117" s="176"/>
      <c r="BV117" s="176"/>
      <c r="BW117" s="176"/>
      <c r="BX117" s="176"/>
      <c r="BY117" s="176"/>
      <c r="BZ117" s="176"/>
      <c r="CA117" s="176"/>
      <c r="CB117" s="176"/>
      <c r="CC117" s="176"/>
      <c r="CD117" s="176"/>
      <c r="CE117" s="176"/>
      <c r="CF117" s="176"/>
      <c r="CG117" s="176"/>
      <c r="CH117" s="176"/>
      <c r="CI117" s="176"/>
      <c r="CJ117" s="176"/>
      <c r="CK117" s="176"/>
      <c r="CL117" s="176"/>
      <c r="CM117" s="176"/>
      <c r="CN117" s="176"/>
      <c r="CO117" s="176"/>
      <c r="CP117" s="176"/>
      <c r="CQ117" s="176"/>
      <c r="CR117" s="176"/>
      <c r="CS117" s="176"/>
      <c r="CT117" s="176"/>
      <c r="CU117" s="176"/>
      <c r="CV117" s="176"/>
      <c r="CW117" s="176"/>
      <c r="CX117" s="176"/>
      <c r="CY117" s="176"/>
      <c r="CZ117" s="176"/>
      <c r="DA117" s="176"/>
      <c r="DB117" s="176"/>
      <c r="DC117" s="176"/>
      <c r="DD117" s="176"/>
      <c r="DE117" s="176"/>
      <c r="DF117" s="176"/>
      <c r="DG117" s="176"/>
      <c r="DH117" s="176"/>
      <c r="DI117" s="176"/>
      <c r="DJ117" s="176"/>
      <c r="DK117" s="176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503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3"/>
    </row>
    <row r="118" spans="1:162" s="56" customFormat="1">
      <c r="A118" s="54"/>
      <c r="B118" s="55"/>
      <c r="C118" s="491" t="s">
        <v>3787</v>
      </c>
      <c r="D118" s="62"/>
      <c r="E118" s="62">
        <f>D118*3</f>
        <v>0</v>
      </c>
      <c r="F118" s="62"/>
      <c r="G118" s="62"/>
      <c r="H118" s="62"/>
      <c r="I118" s="62"/>
      <c r="J118" s="62"/>
      <c r="K118" s="62"/>
      <c r="L118" s="62">
        <f>D118</f>
        <v>0</v>
      </c>
      <c r="M118" s="62"/>
      <c r="N118" s="62"/>
      <c r="O118" s="62"/>
      <c r="P118" s="62"/>
      <c r="Q118" s="62"/>
      <c r="R118" s="173" t="s">
        <v>3624</v>
      </c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883"/>
      <c r="AH118" s="174"/>
      <c r="AI118" s="492"/>
      <c r="AJ118" s="905"/>
      <c r="AK118" s="919"/>
      <c r="AL118" s="174"/>
      <c r="AM118" s="174"/>
      <c r="AN118" s="174"/>
      <c r="AO118" s="928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  <c r="AZ118" s="174"/>
      <c r="BA118" s="174"/>
      <c r="BB118" s="174"/>
      <c r="BC118" s="174"/>
      <c r="BD118" s="174"/>
      <c r="BE118" s="174"/>
      <c r="BF118" s="174"/>
      <c r="BG118" s="174"/>
      <c r="BH118" s="174"/>
      <c r="BI118" s="174"/>
      <c r="BJ118" s="174"/>
      <c r="BK118" s="174"/>
      <c r="BL118" s="174"/>
      <c r="BM118" s="174"/>
      <c r="BN118" s="174"/>
      <c r="BO118" s="174"/>
      <c r="BP118" s="174"/>
      <c r="BQ118" s="174"/>
      <c r="BR118" s="174"/>
      <c r="BS118" s="174"/>
      <c r="BT118" s="174"/>
      <c r="BU118" s="174"/>
      <c r="BV118" s="174"/>
      <c r="BW118" s="174">
        <v>1</v>
      </c>
      <c r="BX118" s="174"/>
      <c r="BY118" s="174"/>
      <c r="BZ118" s="174"/>
      <c r="CA118" s="174"/>
      <c r="CB118" s="174"/>
      <c r="CC118" s="174"/>
      <c r="CD118" s="174"/>
      <c r="CE118" s="174"/>
      <c r="CF118" s="174"/>
      <c r="CG118" s="174">
        <f t="shared" ref="CG118:CG136" si="58">CE118-CF118</f>
        <v>0</v>
      </c>
      <c r="CH118" s="174">
        <v>3</v>
      </c>
      <c r="CI118" s="174"/>
      <c r="CJ118" s="174"/>
      <c r="CK118" s="174"/>
      <c r="CL118" s="174"/>
      <c r="CM118" s="174"/>
      <c r="CN118" s="174"/>
      <c r="CO118" s="174"/>
      <c r="CP118" s="174"/>
      <c r="CQ118" s="174"/>
      <c r="CR118" s="174"/>
      <c r="CS118" s="174">
        <v>1</v>
      </c>
      <c r="CT118" s="174"/>
      <c r="CU118" s="174"/>
      <c r="CV118" s="174"/>
      <c r="CW118" s="174"/>
      <c r="CX118" s="174">
        <v>3</v>
      </c>
      <c r="CY118" s="174">
        <v>3</v>
      </c>
      <c r="CZ118" s="174">
        <v>3</v>
      </c>
      <c r="DA118" s="174"/>
      <c r="DB118" s="174">
        <v>2</v>
      </c>
      <c r="DC118" s="174"/>
      <c r="DD118" s="174"/>
      <c r="DE118" s="174"/>
      <c r="DF118" s="174"/>
      <c r="DG118" s="174"/>
      <c r="DH118" s="174"/>
      <c r="DI118" s="174"/>
      <c r="DJ118" s="174"/>
      <c r="DK118" s="174"/>
      <c r="DL118" s="62">
        <v>1.5</v>
      </c>
      <c r="DM118" s="62"/>
      <c r="DN118" s="62"/>
      <c r="DO118" s="62"/>
      <c r="DP118" s="62"/>
      <c r="DQ118" s="62"/>
      <c r="DR118" s="62"/>
      <c r="DS118" s="62">
        <v>1.5</v>
      </c>
      <c r="DT118" s="62">
        <v>3</v>
      </c>
      <c r="DU118" s="62"/>
      <c r="DV118" s="62"/>
      <c r="DW118" s="62"/>
      <c r="DX118" s="62"/>
      <c r="DY118" s="62"/>
      <c r="DZ118" s="62"/>
      <c r="EA118" s="62"/>
      <c r="EB118" s="62"/>
      <c r="EC118" s="62"/>
      <c r="ED118" s="62"/>
      <c r="EE118" s="454"/>
      <c r="EF118" s="62"/>
      <c r="EG118" s="62"/>
      <c r="EH118" s="62"/>
      <c r="EI118" s="62"/>
      <c r="EJ118" s="62"/>
      <c r="EK118" s="62"/>
      <c r="EL118" s="62"/>
      <c r="EM118" s="62"/>
      <c r="EN118" s="62"/>
      <c r="EO118" s="62"/>
      <c r="EP118" s="62"/>
      <c r="EQ118" s="62"/>
      <c r="ER118" s="62"/>
      <c r="ES118" s="62"/>
      <c r="ET118" s="62"/>
      <c r="EU118" s="62"/>
      <c r="EV118" s="62"/>
      <c r="EW118" s="62"/>
      <c r="EX118" s="62"/>
      <c r="EY118" s="62"/>
      <c r="EZ118" s="62"/>
      <c r="FA118" s="62"/>
      <c r="FB118" s="62"/>
      <c r="FC118" s="62"/>
      <c r="FD118" s="62"/>
      <c r="FE118" s="62"/>
      <c r="FF118" s="639"/>
    </row>
    <row r="119" spans="1:162" s="56" customFormat="1">
      <c r="A119" s="54"/>
      <c r="B119" s="55"/>
      <c r="C119" s="491" t="s">
        <v>3006</v>
      </c>
      <c r="D119" s="62">
        <v>29</v>
      </c>
      <c r="E119" s="62">
        <f t="shared" ref="E119:E137" si="59">D119*3</f>
        <v>87</v>
      </c>
      <c r="F119" s="62"/>
      <c r="G119" s="62"/>
      <c r="H119" s="62"/>
      <c r="I119" s="62"/>
      <c r="J119" s="62"/>
      <c r="K119" s="62"/>
      <c r="L119" s="62">
        <f t="shared" ref="L119:L137" si="60">D119</f>
        <v>29</v>
      </c>
      <c r="M119" s="62"/>
      <c r="N119" s="62"/>
      <c r="O119" s="62"/>
      <c r="P119" s="62"/>
      <c r="Q119" s="62"/>
      <c r="R119" s="173" t="s">
        <v>2989</v>
      </c>
      <c r="S119" s="174"/>
      <c r="T119" s="174"/>
      <c r="U119" s="174"/>
      <c r="V119" s="174">
        <v>2</v>
      </c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883"/>
      <c r="AH119" s="174"/>
      <c r="AI119" s="492"/>
      <c r="AJ119" s="905">
        <v>1</v>
      </c>
      <c r="AK119" s="919"/>
      <c r="AL119" s="174"/>
      <c r="AM119" s="174"/>
      <c r="AN119" s="174"/>
      <c r="AO119" s="928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>
        <v>1</v>
      </c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  <c r="BR119" s="174"/>
      <c r="BS119" s="174"/>
      <c r="BT119" s="174"/>
      <c r="BU119" s="174"/>
      <c r="BV119" s="174"/>
      <c r="BW119" s="174">
        <v>1</v>
      </c>
      <c r="BX119" s="174"/>
      <c r="BY119" s="174"/>
      <c r="BZ119" s="174"/>
      <c r="CA119" s="174"/>
      <c r="CB119" s="174">
        <v>1</v>
      </c>
      <c r="CC119" s="174"/>
      <c r="CD119" s="174"/>
      <c r="CE119" s="174"/>
      <c r="CF119" s="174"/>
      <c r="CG119" s="174">
        <f t="shared" si="58"/>
        <v>0</v>
      </c>
      <c r="CH119" s="174">
        <v>6</v>
      </c>
      <c r="CI119" s="174"/>
      <c r="CJ119" s="174"/>
      <c r="CK119" s="174"/>
      <c r="CL119" s="174"/>
      <c r="CM119" s="174"/>
      <c r="CN119" s="174"/>
      <c r="CO119" s="174"/>
      <c r="CP119" s="174"/>
      <c r="CQ119" s="174"/>
      <c r="CR119" s="174"/>
      <c r="CS119" s="174">
        <v>2</v>
      </c>
      <c r="CT119" s="174"/>
      <c r="CU119" s="174"/>
      <c r="CV119" s="174"/>
      <c r="CW119" s="174"/>
      <c r="CX119" s="174"/>
      <c r="CY119" s="174"/>
      <c r="CZ119" s="174"/>
      <c r="DA119" s="174"/>
      <c r="DB119" s="174"/>
      <c r="DC119" s="174"/>
      <c r="DD119" s="174"/>
      <c r="DE119" s="174"/>
      <c r="DF119" s="174"/>
      <c r="DG119" s="174"/>
      <c r="DH119" s="174"/>
      <c r="DI119" s="174">
        <v>3</v>
      </c>
      <c r="DJ119" s="174"/>
      <c r="DK119" s="174"/>
      <c r="DL119" s="62">
        <v>3</v>
      </c>
      <c r="DM119" s="62"/>
      <c r="DN119" s="62"/>
      <c r="DO119" s="62"/>
      <c r="DP119" s="62"/>
      <c r="DQ119" s="62"/>
      <c r="DR119" s="62"/>
      <c r="DS119" s="62">
        <v>3</v>
      </c>
      <c r="DT119" s="62">
        <v>6</v>
      </c>
      <c r="DU119" s="62"/>
      <c r="DV119" s="62"/>
      <c r="DW119" s="62"/>
      <c r="DX119" s="62"/>
      <c r="DY119" s="62"/>
      <c r="DZ119" s="62"/>
      <c r="EA119" s="62"/>
      <c r="EB119" s="62"/>
      <c r="EC119" s="62"/>
      <c r="ED119" s="62"/>
      <c r="EE119" s="454"/>
      <c r="EF119" s="62"/>
      <c r="EG119" s="62"/>
      <c r="EH119" s="62"/>
      <c r="EI119" s="62"/>
      <c r="EJ119" s="62"/>
      <c r="EK119" s="62"/>
      <c r="EL119" s="62"/>
      <c r="EM119" s="62"/>
      <c r="EN119" s="62"/>
      <c r="EO119" s="62"/>
      <c r="EP119" s="62"/>
      <c r="EQ119" s="62"/>
      <c r="ER119" s="62"/>
      <c r="ES119" s="62"/>
      <c r="ET119" s="62"/>
      <c r="EU119" s="62"/>
      <c r="EV119" s="62"/>
      <c r="EW119" s="62"/>
      <c r="EX119" s="62"/>
      <c r="EY119" s="62"/>
      <c r="EZ119" s="62"/>
      <c r="FA119" s="62"/>
      <c r="FB119" s="62"/>
      <c r="FC119" s="62"/>
      <c r="FD119" s="62"/>
      <c r="FE119" s="62"/>
      <c r="FF119" s="62"/>
    </row>
    <row r="120" spans="1:162" s="56" customFormat="1">
      <c r="A120" s="54"/>
      <c r="B120" s="55"/>
      <c r="C120" s="491" t="s">
        <v>2991</v>
      </c>
      <c r="D120" s="62">
        <v>42</v>
      </c>
      <c r="E120" s="62">
        <f t="shared" si="59"/>
        <v>126</v>
      </c>
      <c r="F120" s="62"/>
      <c r="G120" s="62"/>
      <c r="H120" s="62"/>
      <c r="I120" s="62"/>
      <c r="J120" s="62"/>
      <c r="K120" s="62"/>
      <c r="L120" s="62">
        <f t="shared" si="60"/>
        <v>42</v>
      </c>
      <c r="M120" s="62"/>
      <c r="N120" s="62"/>
      <c r="O120" s="62"/>
      <c r="P120" s="62"/>
      <c r="Q120" s="62"/>
      <c r="R120" s="173" t="s">
        <v>1631</v>
      </c>
      <c r="S120" s="174"/>
      <c r="T120" s="174"/>
      <c r="U120" s="174"/>
      <c r="V120" s="174">
        <v>1</v>
      </c>
      <c r="W120" s="174"/>
      <c r="X120" s="174"/>
      <c r="Y120" s="174"/>
      <c r="Z120" s="174"/>
      <c r="AA120" s="174"/>
      <c r="AB120" s="174"/>
      <c r="AC120" s="174"/>
      <c r="AD120" s="174">
        <v>1</v>
      </c>
      <c r="AE120" s="174"/>
      <c r="AF120" s="174"/>
      <c r="AG120" s="883"/>
      <c r="AH120" s="174"/>
      <c r="AI120" s="492"/>
      <c r="AJ120" s="905"/>
      <c r="AK120" s="919"/>
      <c r="AL120" s="174"/>
      <c r="AM120" s="174"/>
      <c r="AN120" s="174"/>
      <c r="AO120" s="928"/>
      <c r="AP120" s="174"/>
      <c r="AQ120" s="174"/>
      <c r="AR120" s="174"/>
      <c r="AS120" s="174"/>
      <c r="AT120" s="174"/>
      <c r="AU120" s="174"/>
      <c r="AV120" s="174"/>
      <c r="AW120" s="174"/>
      <c r="AX120" s="174"/>
      <c r="AY120" s="174"/>
      <c r="AZ120" s="174"/>
      <c r="BA120" s="174"/>
      <c r="BB120" s="174"/>
      <c r="BC120" s="174"/>
      <c r="BD120" s="174"/>
      <c r="BE120" s="174"/>
      <c r="BF120" s="174"/>
      <c r="BG120" s="174"/>
      <c r="BH120" s="174"/>
      <c r="BI120" s="174"/>
      <c r="BJ120" s="174"/>
      <c r="BK120" s="174"/>
      <c r="BL120" s="174"/>
      <c r="BM120" s="174"/>
      <c r="BN120" s="174"/>
      <c r="BO120" s="174"/>
      <c r="BP120" s="174"/>
      <c r="BQ120" s="174">
        <v>1</v>
      </c>
      <c r="BR120" s="174"/>
      <c r="BS120" s="174"/>
      <c r="BT120" s="174"/>
      <c r="BU120" s="174"/>
      <c r="BV120" s="174"/>
      <c r="BW120" s="174"/>
      <c r="BX120" s="174"/>
      <c r="BY120" s="174"/>
      <c r="BZ120" s="174"/>
      <c r="CA120" s="174"/>
      <c r="CB120" s="174"/>
      <c r="CC120" s="174"/>
      <c r="CD120" s="174"/>
      <c r="CE120" s="174">
        <v>3</v>
      </c>
      <c r="CF120" s="174">
        <v>3</v>
      </c>
      <c r="CG120" s="174">
        <f t="shared" si="58"/>
        <v>0</v>
      </c>
      <c r="CH120" s="174"/>
      <c r="CI120" s="174"/>
      <c r="CJ120" s="174"/>
      <c r="CK120" s="174"/>
      <c r="CL120" s="174"/>
      <c r="CM120" s="174"/>
      <c r="CN120" s="174"/>
      <c r="CO120" s="174"/>
      <c r="CP120" s="174"/>
      <c r="CQ120" s="174">
        <v>1</v>
      </c>
      <c r="CR120" s="174"/>
      <c r="CS120" s="174"/>
      <c r="CT120" s="174"/>
      <c r="CU120" s="174"/>
      <c r="CV120" s="174"/>
      <c r="CW120" s="174"/>
      <c r="CX120" s="174">
        <v>3</v>
      </c>
      <c r="CY120" s="174">
        <v>3</v>
      </c>
      <c r="CZ120" s="174"/>
      <c r="DA120" s="174"/>
      <c r="DB120" s="174"/>
      <c r="DC120" s="174"/>
      <c r="DD120" s="174"/>
      <c r="DE120" s="174"/>
      <c r="DF120" s="174"/>
      <c r="DG120" s="174"/>
      <c r="DH120" s="174"/>
      <c r="DI120" s="174"/>
      <c r="DJ120" s="174"/>
      <c r="DK120" s="174"/>
      <c r="DL120" s="62"/>
      <c r="DM120" s="62"/>
      <c r="DN120" s="62"/>
      <c r="DO120" s="62"/>
      <c r="DP120" s="62"/>
      <c r="DQ120" s="62"/>
      <c r="DR120" s="62"/>
      <c r="DS120" s="62"/>
      <c r="DT120" s="62"/>
      <c r="DU120" s="62"/>
      <c r="DV120" s="62"/>
      <c r="DW120" s="62"/>
      <c r="DX120" s="62"/>
      <c r="DY120" s="62"/>
      <c r="DZ120" s="62"/>
      <c r="EA120" s="62"/>
      <c r="EB120" s="62"/>
      <c r="EC120" s="62"/>
      <c r="ED120" s="62"/>
      <c r="EE120" s="454"/>
      <c r="EF120" s="62"/>
      <c r="EG120" s="62"/>
      <c r="EH120" s="62"/>
      <c r="EI120" s="62"/>
      <c r="EJ120" s="62"/>
      <c r="EK120" s="62"/>
      <c r="EL120" s="62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</row>
    <row r="121" spans="1:162" s="56" customFormat="1">
      <c r="A121" s="54"/>
      <c r="B121" s="55"/>
      <c r="C121" s="491" t="s">
        <v>2992</v>
      </c>
      <c r="D121" s="62">
        <v>39</v>
      </c>
      <c r="E121" s="62">
        <f t="shared" si="59"/>
        <v>117</v>
      </c>
      <c r="F121" s="62"/>
      <c r="G121" s="62"/>
      <c r="H121" s="62"/>
      <c r="I121" s="62"/>
      <c r="J121" s="62"/>
      <c r="K121" s="62"/>
      <c r="L121" s="62">
        <f t="shared" si="60"/>
        <v>39</v>
      </c>
      <c r="M121" s="62"/>
      <c r="N121" s="62"/>
      <c r="O121" s="62"/>
      <c r="P121" s="62"/>
      <c r="Q121" s="62"/>
      <c r="R121" s="173" t="s">
        <v>1631</v>
      </c>
      <c r="S121" s="174"/>
      <c r="T121" s="174"/>
      <c r="U121" s="174"/>
      <c r="V121" s="174">
        <v>1</v>
      </c>
      <c r="W121" s="174"/>
      <c r="X121" s="174"/>
      <c r="Y121" s="174"/>
      <c r="Z121" s="174"/>
      <c r="AA121" s="174"/>
      <c r="AB121" s="174"/>
      <c r="AC121" s="174"/>
      <c r="AD121" s="174">
        <v>1</v>
      </c>
      <c r="AE121" s="174"/>
      <c r="AF121" s="174"/>
      <c r="AG121" s="883"/>
      <c r="AH121" s="174"/>
      <c r="AI121" s="492"/>
      <c r="AJ121" s="905"/>
      <c r="AK121" s="919"/>
      <c r="AL121" s="174"/>
      <c r="AM121" s="174"/>
      <c r="AN121" s="174"/>
      <c r="AO121" s="928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>
        <v>1</v>
      </c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>
        <v>3</v>
      </c>
      <c r="CF121" s="174">
        <v>3</v>
      </c>
      <c r="CG121" s="174">
        <f t="shared" si="58"/>
        <v>0</v>
      </c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>
        <v>1</v>
      </c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62"/>
      <c r="DM121" s="62"/>
      <c r="DN121" s="62"/>
      <c r="DO121" s="62"/>
      <c r="DP121" s="62"/>
      <c r="DQ121" s="62"/>
      <c r="DR121" s="62"/>
      <c r="DS121" s="62"/>
      <c r="DT121" s="62"/>
      <c r="DU121" s="62"/>
      <c r="DV121" s="62"/>
      <c r="DW121" s="62"/>
      <c r="DX121" s="62"/>
      <c r="DY121" s="62"/>
      <c r="DZ121" s="62"/>
      <c r="EA121" s="62"/>
      <c r="EB121" s="62"/>
      <c r="EC121" s="62"/>
      <c r="ED121" s="62"/>
      <c r="EE121" s="454"/>
      <c r="EF121" s="62"/>
      <c r="EG121" s="62"/>
      <c r="EH121" s="62"/>
      <c r="EI121" s="62"/>
      <c r="EJ121" s="62"/>
      <c r="EK121" s="62"/>
      <c r="EL121" s="62"/>
      <c r="EM121" s="62"/>
      <c r="EN121" s="62"/>
      <c r="EO121" s="62"/>
      <c r="EP121" s="62"/>
      <c r="EQ121" s="62"/>
      <c r="ER121" s="62"/>
      <c r="ES121" s="62"/>
      <c r="ET121" s="62"/>
      <c r="EU121" s="62"/>
      <c r="EV121" s="62"/>
      <c r="EW121" s="62"/>
      <c r="EX121" s="62"/>
      <c r="EY121" s="62"/>
      <c r="EZ121" s="62"/>
      <c r="FA121" s="62"/>
      <c r="FB121" s="62"/>
      <c r="FC121" s="62"/>
      <c r="FD121" s="62"/>
      <c r="FE121" s="62"/>
      <c r="FF121" s="62"/>
    </row>
    <row r="122" spans="1:162" s="56" customFormat="1">
      <c r="A122" s="54"/>
      <c r="B122" s="55"/>
      <c r="C122" s="491" t="s">
        <v>2993</v>
      </c>
      <c r="D122" s="62">
        <v>31</v>
      </c>
      <c r="E122" s="62">
        <f t="shared" si="59"/>
        <v>93</v>
      </c>
      <c r="F122" s="62"/>
      <c r="G122" s="62"/>
      <c r="H122" s="62"/>
      <c r="I122" s="62"/>
      <c r="J122" s="62"/>
      <c r="K122" s="62"/>
      <c r="L122" s="62">
        <f t="shared" si="60"/>
        <v>31</v>
      </c>
      <c r="M122" s="62"/>
      <c r="N122" s="62"/>
      <c r="O122" s="62"/>
      <c r="P122" s="62"/>
      <c r="Q122" s="62"/>
      <c r="R122" s="173" t="s">
        <v>1631</v>
      </c>
      <c r="S122" s="174"/>
      <c r="T122" s="174"/>
      <c r="U122" s="174"/>
      <c r="V122" s="174">
        <v>1</v>
      </c>
      <c r="W122" s="174"/>
      <c r="X122" s="174"/>
      <c r="Y122" s="174"/>
      <c r="Z122" s="174"/>
      <c r="AA122" s="174"/>
      <c r="AB122" s="174"/>
      <c r="AC122" s="174"/>
      <c r="AD122" s="174">
        <v>1</v>
      </c>
      <c r="AE122" s="174"/>
      <c r="AF122" s="174"/>
      <c r="AG122" s="883"/>
      <c r="AH122" s="174"/>
      <c r="AI122" s="492"/>
      <c r="AJ122" s="905"/>
      <c r="AK122" s="919"/>
      <c r="AL122" s="174"/>
      <c r="AM122" s="174"/>
      <c r="AN122" s="174"/>
      <c r="AO122" s="928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>
        <v>1</v>
      </c>
      <c r="BR122" s="174"/>
      <c r="BS122" s="174"/>
      <c r="BT122" s="174"/>
      <c r="BU122" s="174"/>
      <c r="BV122" s="174"/>
      <c r="BW122" s="174"/>
      <c r="BX122" s="174"/>
      <c r="BY122" s="174"/>
      <c r="BZ122" s="174"/>
      <c r="CA122" s="174"/>
      <c r="CB122" s="174"/>
      <c r="CC122" s="174"/>
      <c r="CD122" s="174"/>
      <c r="CE122" s="174">
        <v>3</v>
      </c>
      <c r="CF122" s="174">
        <v>3</v>
      </c>
      <c r="CG122" s="174">
        <f t="shared" si="58"/>
        <v>0</v>
      </c>
      <c r="CH122" s="174"/>
      <c r="CI122" s="174"/>
      <c r="CJ122" s="174"/>
      <c r="CK122" s="174"/>
      <c r="CL122" s="174"/>
      <c r="CM122" s="174"/>
      <c r="CN122" s="174"/>
      <c r="CO122" s="174"/>
      <c r="CP122" s="174"/>
      <c r="CQ122" s="174">
        <v>1</v>
      </c>
      <c r="CR122" s="174"/>
      <c r="CS122" s="174"/>
      <c r="CT122" s="174"/>
      <c r="CU122" s="174"/>
      <c r="CV122" s="174"/>
      <c r="CW122" s="174"/>
      <c r="CX122" s="174"/>
      <c r="CY122" s="174"/>
      <c r="CZ122" s="174"/>
      <c r="DA122" s="174"/>
      <c r="DB122" s="174"/>
      <c r="DC122" s="174"/>
      <c r="DD122" s="174"/>
      <c r="DE122" s="174"/>
      <c r="DF122" s="174"/>
      <c r="DG122" s="174"/>
      <c r="DH122" s="174"/>
      <c r="DI122" s="174"/>
      <c r="DJ122" s="174"/>
      <c r="DK122" s="174"/>
      <c r="DL122" s="62"/>
      <c r="DM122" s="62"/>
      <c r="DN122" s="62"/>
      <c r="DO122" s="62"/>
      <c r="DP122" s="62"/>
      <c r="DQ122" s="62"/>
      <c r="DR122" s="62"/>
      <c r="DS122" s="62"/>
      <c r="DT122" s="62"/>
      <c r="DU122" s="62"/>
      <c r="DV122" s="62"/>
      <c r="DW122" s="62"/>
      <c r="DX122" s="62"/>
      <c r="DY122" s="62"/>
      <c r="DZ122" s="62"/>
      <c r="EA122" s="62"/>
      <c r="EB122" s="62"/>
      <c r="EC122" s="62"/>
      <c r="ED122" s="62"/>
      <c r="EE122" s="454"/>
      <c r="EF122" s="62"/>
      <c r="EG122" s="62"/>
      <c r="EH122" s="62"/>
      <c r="EI122" s="62"/>
      <c r="EJ122" s="62"/>
      <c r="EK122" s="62"/>
      <c r="EL122" s="62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2"/>
    </row>
    <row r="123" spans="1:162" s="56" customFormat="1">
      <c r="A123" s="54"/>
      <c r="B123" s="55"/>
      <c r="C123" s="491" t="s">
        <v>2994</v>
      </c>
      <c r="D123" s="62">
        <v>26.5</v>
      </c>
      <c r="E123" s="62">
        <f t="shared" si="59"/>
        <v>79.5</v>
      </c>
      <c r="F123" s="62"/>
      <c r="G123" s="62"/>
      <c r="H123" s="62"/>
      <c r="I123" s="62"/>
      <c r="J123" s="62"/>
      <c r="K123" s="62"/>
      <c r="L123" s="62">
        <f t="shared" si="60"/>
        <v>26.5</v>
      </c>
      <c r="M123" s="62"/>
      <c r="N123" s="62"/>
      <c r="O123" s="62"/>
      <c r="P123" s="62"/>
      <c r="Q123" s="62"/>
      <c r="R123" s="173" t="s">
        <v>2989</v>
      </c>
      <c r="S123" s="174"/>
      <c r="T123" s="174"/>
      <c r="U123" s="174"/>
      <c r="V123" s="174">
        <v>2</v>
      </c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883"/>
      <c r="AH123" s="174"/>
      <c r="AI123" s="492"/>
      <c r="AJ123" s="905">
        <v>1</v>
      </c>
      <c r="AK123" s="919"/>
      <c r="AL123" s="174"/>
      <c r="AM123" s="174"/>
      <c r="AN123" s="174"/>
      <c r="AO123" s="928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  <c r="AZ123" s="174"/>
      <c r="BA123" s="174"/>
      <c r="BB123" s="174"/>
      <c r="BC123" s="174"/>
      <c r="BD123" s="174"/>
      <c r="BE123" s="174"/>
      <c r="BF123" s="174"/>
      <c r="BG123" s="174"/>
      <c r="BH123" s="174"/>
      <c r="BI123" s="174"/>
      <c r="BJ123" s="174"/>
      <c r="BK123" s="174"/>
      <c r="BL123" s="174"/>
      <c r="BM123" s="174"/>
      <c r="BN123" s="174"/>
      <c r="BO123" s="174"/>
      <c r="BP123" s="174"/>
      <c r="BQ123" s="174"/>
      <c r="BR123" s="174"/>
      <c r="BS123" s="174"/>
      <c r="BT123" s="174"/>
      <c r="BU123" s="174"/>
      <c r="BV123" s="174">
        <v>1</v>
      </c>
      <c r="BW123" s="174">
        <v>1</v>
      </c>
      <c r="BX123" s="174"/>
      <c r="BY123" s="174"/>
      <c r="BZ123" s="174"/>
      <c r="CA123" s="174"/>
      <c r="CB123" s="174"/>
      <c r="CC123" s="174"/>
      <c r="CD123" s="174"/>
      <c r="CE123" s="174">
        <v>5</v>
      </c>
      <c r="CF123" s="174">
        <v>1</v>
      </c>
      <c r="CG123" s="174">
        <f t="shared" si="58"/>
        <v>4</v>
      </c>
      <c r="CH123" s="174">
        <v>6</v>
      </c>
      <c r="CI123" s="174"/>
      <c r="CJ123" s="174"/>
      <c r="CK123" s="174"/>
      <c r="CL123" s="174"/>
      <c r="CM123" s="174"/>
      <c r="CN123" s="174"/>
      <c r="CO123" s="174"/>
      <c r="CP123" s="174"/>
      <c r="CQ123" s="174"/>
      <c r="CR123" s="174"/>
      <c r="CS123" s="174">
        <v>2</v>
      </c>
      <c r="CT123" s="174"/>
      <c r="CU123" s="174"/>
      <c r="CV123" s="174"/>
      <c r="CW123" s="174"/>
      <c r="CX123" s="174"/>
      <c r="CY123" s="174"/>
      <c r="CZ123" s="174"/>
      <c r="DA123" s="174"/>
      <c r="DB123" s="174"/>
      <c r="DC123" s="174"/>
      <c r="DD123" s="174"/>
      <c r="DE123" s="174"/>
      <c r="DF123" s="174"/>
      <c r="DG123" s="174"/>
      <c r="DH123" s="174"/>
      <c r="DI123" s="174"/>
      <c r="DJ123" s="174"/>
      <c r="DK123" s="174"/>
      <c r="DL123" s="62">
        <v>2</v>
      </c>
      <c r="DM123" s="62"/>
      <c r="DN123" s="62"/>
      <c r="DO123" s="62"/>
      <c r="DP123" s="62"/>
      <c r="DQ123" s="62"/>
      <c r="DR123" s="62"/>
      <c r="DS123" s="62">
        <v>1.5</v>
      </c>
      <c r="DT123" s="62"/>
      <c r="DU123" s="62"/>
      <c r="DV123" s="62"/>
      <c r="DW123" s="62"/>
      <c r="DX123" s="62"/>
      <c r="DY123" s="62"/>
      <c r="DZ123" s="62"/>
      <c r="EA123" s="62"/>
      <c r="EB123" s="62"/>
      <c r="EC123" s="62"/>
      <c r="ED123" s="62"/>
      <c r="EE123" s="454"/>
      <c r="EF123" s="62"/>
      <c r="EG123" s="62"/>
      <c r="EH123" s="62"/>
      <c r="EI123" s="62"/>
      <c r="EJ123" s="62"/>
      <c r="EK123" s="62"/>
      <c r="EL123" s="62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</row>
    <row r="124" spans="1:162" s="56" customFormat="1">
      <c r="A124" s="54"/>
      <c r="B124" s="55"/>
      <c r="C124" s="491" t="s">
        <v>2995</v>
      </c>
      <c r="D124" s="62">
        <v>35</v>
      </c>
      <c r="E124" s="62">
        <f t="shared" si="59"/>
        <v>105</v>
      </c>
      <c r="F124" s="62"/>
      <c r="G124" s="62"/>
      <c r="H124" s="62"/>
      <c r="I124" s="62"/>
      <c r="J124" s="62"/>
      <c r="K124" s="62"/>
      <c r="L124" s="62">
        <f t="shared" si="60"/>
        <v>35</v>
      </c>
      <c r="M124" s="62"/>
      <c r="N124" s="62"/>
      <c r="O124" s="62"/>
      <c r="P124" s="62"/>
      <c r="Q124" s="62"/>
      <c r="R124" s="173" t="s">
        <v>1903</v>
      </c>
      <c r="S124" s="174"/>
      <c r="T124" s="174"/>
      <c r="U124" s="174"/>
      <c r="V124" s="174">
        <v>2</v>
      </c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883"/>
      <c r="AH124" s="174"/>
      <c r="AI124" s="492"/>
      <c r="AJ124" s="905">
        <v>1</v>
      </c>
      <c r="AK124" s="919"/>
      <c r="AL124" s="174"/>
      <c r="AM124" s="174"/>
      <c r="AN124" s="174"/>
      <c r="AO124" s="928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  <c r="AZ124" s="174"/>
      <c r="BA124" s="174"/>
      <c r="BB124" s="174"/>
      <c r="BC124" s="174"/>
      <c r="BD124" s="174"/>
      <c r="BE124" s="174"/>
      <c r="BF124" s="174">
        <v>1</v>
      </c>
      <c r="BG124" s="174"/>
      <c r="BH124" s="174"/>
      <c r="BI124" s="174"/>
      <c r="BJ124" s="174"/>
      <c r="BK124" s="174"/>
      <c r="BL124" s="174"/>
      <c r="BM124" s="174"/>
      <c r="BN124" s="174"/>
      <c r="BO124" s="174"/>
      <c r="BP124" s="174"/>
      <c r="BQ124" s="174"/>
      <c r="BR124" s="174">
        <v>1</v>
      </c>
      <c r="BS124" s="174"/>
      <c r="BT124" s="174"/>
      <c r="BU124" s="174"/>
      <c r="BV124" s="174"/>
      <c r="BW124" s="174"/>
      <c r="BX124" s="174"/>
      <c r="BY124" s="174"/>
      <c r="BZ124" s="174"/>
      <c r="CA124" s="174"/>
      <c r="CB124" s="174"/>
      <c r="CC124" s="174"/>
      <c r="CD124" s="174"/>
      <c r="CE124" s="174">
        <v>6</v>
      </c>
      <c r="CF124" s="174"/>
      <c r="CG124" s="174">
        <f t="shared" si="58"/>
        <v>6</v>
      </c>
      <c r="CH124" s="174"/>
      <c r="CI124" s="174"/>
      <c r="CJ124" s="174"/>
      <c r="CK124" s="174"/>
      <c r="CL124" s="174"/>
      <c r="CM124" s="174"/>
      <c r="CN124" s="174"/>
      <c r="CO124" s="174"/>
      <c r="CP124" s="174"/>
      <c r="CQ124" s="174"/>
      <c r="CR124" s="174">
        <v>1</v>
      </c>
      <c r="CS124" s="174"/>
      <c r="CT124" s="174"/>
      <c r="CU124" s="174"/>
      <c r="CV124" s="174"/>
      <c r="CW124" s="174"/>
      <c r="CX124" s="174"/>
      <c r="CY124" s="174"/>
      <c r="CZ124" s="174"/>
      <c r="DA124" s="174"/>
      <c r="DB124" s="174"/>
      <c r="DC124" s="174"/>
      <c r="DD124" s="174"/>
      <c r="DE124" s="174"/>
      <c r="DF124" s="174"/>
      <c r="DG124" s="174"/>
      <c r="DH124" s="174"/>
      <c r="DI124" s="174"/>
      <c r="DJ124" s="174"/>
      <c r="DK124" s="174"/>
      <c r="DL124" s="62"/>
      <c r="DM124" s="62"/>
      <c r="DN124" s="62"/>
      <c r="DO124" s="62"/>
      <c r="DP124" s="62"/>
      <c r="DQ124" s="62"/>
      <c r="DR124" s="62"/>
      <c r="DS124" s="62"/>
      <c r="DT124" s="62"/>
      <c r="DU124" s="62"/>
      <c r="DV124" s="62"/>
      <c r="DW124" s="62"/>
      <c r="DX124" s="62"/>
      <c r="DY124" s="62"/>
      <c r="DZ124" s="62"/>
      <c r="EA124" s="62"/>
      <c r="EB124" s="62"/>
      <c r="EC124" s="62"/>
      <c r="ED124" s="62"/>
      <c r="EE124" s="454"/>
      <c r="EF124" s="62"/>
      <c r="EG124" s="62"/>
      <c r="EH124" s="62"/>
      <c r="EI124" s="62"/>
      <c r="EJ124" s="62"/>
      <c r="EK124" s="62"/>
      <c r="EL124" s="62"/>
      <c r="EM124" s="62"/>
      <c r="EN124" s="62"/>
      <c r="EO124" s="62"/>
      <c r="EP124" s="62"/>
      <c r="EQ124" s="62"/>
      <c r="ER124" s="62"/>
      <c r="ES124" s="62"/>
      <c r="ET124" s="62"/>
      <c r="EU124" s="62"/>
      <c r="EV124" s="62"/>
      <c r="EW124" s="62"/>
      <c r="EX124" s="62"/>
      <c r="EY124" s="62"/>
      <c r="EZ124" s="62"/>
      <c r="FA124" s="62"/>
      <c r="FB124" s="62"/>
      <c r="FC124" s="62"/>
      <c r="FD124" s="62"/>
      <c r="FE124" s="62"/>
      <c r="FF124" s="62"/>
    </row>
    <row r="125" spans="1:162" s="56" customFormat="1">
      <c r="A125" s="54"/>
      <c r="B125" s="55"/>
      <c r="C125" s="491" t="s">
        <v>2996</v>
      </c>
      <c r="D125" s="62">
        <v>35</v>
      </c>
      <c r="E125" s="62">
        <f t="shared" si="59"/>
        <v>105</v>
      </c>
      <c r="F125" s="62"/>
      <c r="G125" s="62"/>
      <c r="H125" s="62"/>
      <c r="I125" s="62"/>
      <c r="J125" s="62"/>
      <c r="K125" s="62"/>
      <c r="L125" s="62">
        <f t="shared" si="60"/>
        <v>35</v>
      </c>
      <c r="M125" s="62"/>
      <c r="N125" s="62"/>
      <c r="O125" s="62"/>
      <c r="P125" s="62"/>
      <c r="Q125" s="62"/>
      <c r="R125" s="173" t="s">
        <v>1903</v>
      </c>
      <c r="S125" s="174"/>
      <c r="T125" s="174"/>
      <c r="U125" s="174"/>
      <c r="V125" s="174">
        <v>2</v>
      </c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883"/>
      <c r="AH125" s="174"/>
      <c r="AI125" s="492"/>
      <c r="AJ125" s="905">
        <v>1</v>
      </c>
      <c r="AK125" s="919"/>
      <c r="AL125" s="174"/>
      <c r="AM125" s="174"/>
      <c r="AN125" s="174"/>
      <c r="AO125" s="928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>
        <v>1</v>
      </c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>
        <v>6</v>
      </c>
      <c r="CF125" s="174"/>
      <c r="CG125" s="174">
        <f t="shared" si="58"/>
        <v>6</v>
      </c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>
        <v>1</v>
      </c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62"/>
      <c r="DM125" s="62"/>
      <c r="DN125" s="62"/>
      <c r="DO125" s="62"/>
      <c r="DP125" s="62"/>
      <c r="DQ125" s="62"/>
      <c r="DR125" s="62"/>
      <c r="DS125" s="62"/>
      <c r="DT125" s="62"/>
      <c r="DU125" s="62"/>
      <c r="DV125" s="62"/>
      <c r="DW125" s="62"/>
      <c r="DX125" s="62"/>
      <c r="DY125" s="62"/>
      <c r="DZ125" s="62"/>
      <c r="EA125" s="62"/>
      <c r="EB125" s="62"/>
      <c r="EC125" s="62"/>
      <c r="ED125" s="62"/>
      <c r="EE125" s="454"/>
      <c r="EF125" s="62"/>
      <c r="EG125" s="62"/>
      <c r="EH125" s="62"/>
      <c r="EI125" s="62"/>
      <c r="EJ125" s="62"/>
      <c r="EK125" s="62"/>
      <c r="EL125" s="62"/>
      <c r="EM125" s="62"/>
      <c r="EN125" s="62"/>
      <c r="EO125" s="62"/>
      <c r="EP125" s="62"/>
      <c r="EQ125" s="62"/>
      <c r="ER125" s="62"/>
      <c r="ES125" s="62"/>
      <c r="ET125" s="62"/>
      <c r="EU125" s="62"/>
      <c r="EV125" s="62"/>
      <c r="EW125" s="62"/>
      <c r="EX125" s="62"/>
      <c r="EY125" s="62"/>
      <c r="EZ125" s="62"/>
      <c r="FA125" s="62"/>
      <c r="FB125" s="62"/>
      <c r="FC125" s="62"/>
      <c r="FD125" s="62"/>
      <c r="FE125" s="62"/>
      <c r="FF125" s="62"/>
    </row>
    <row r="126" spans="1:162" s="56" customFormat="1">
      <c r="A126" s="54"/>
      <c r="B126" s="55"/>
      <c r="C126" s="491" t="s">
        <v>2997</v>
      </c>
      <c r="D126" s="62">
        <v>39</v>
      </c>
      <c r="E126" s="62">
        <f t="shared" si="59"/>
        <v>117</v>
      </c>
      <c r="F126" s="62"/>
      <c r="G126" s="62"/>
      <c r="H126" s="62"/>
      <c r="I126" s="62"/>
      <c r="J126" s="62"/>
      <c r="K126" s="62"/>
      <c r="L126" s="62">
        <f t="shared" si="60"/>
        <v>39</v>
      </c>
      <c r="M126" s="62"/>
      <c r="N126" s="62"/>
      <c r="O126" s="62"/>
      <c r="P126" s="62"/>
      <c r="Q126" s="62"/>
      <c r="R126" s="173" t="s">
        <v>1631</v>
      </c>
      <c r="S126" s="174"/>
      <c r="T126" s="174"/>
      <c r="U126" s="174"/>
      <c r="V126" s="174">
        <v>1</v>
      </c>
      <c r="W126" s="174"/>
      <c r="X126" s="174"/>
      <c r="Y126" s="174"/>
      <c r="Z126" s="174"/>
      <c r="AA126" s="174"/>
      <c r="AB126" s="174"/>
      <c r="AC126" s="174"/>
      <c r="AD126" s="174">
        <v>1</v>
      </c>
      <c r="AE126" s="174"/>
      <c r="AF126" s="174"/>
      <c r="AG126" s="883"/>
      <c r="AH126" s="174"/>
      <c r="AI126" s="492"/>
      <c r="AJ126" s="905"/>
      <c r="AK126" s="919"/>
      <c r="AL126" s="174"/>
      <c r="AM126" s="174"/>
      <c r="AN126" s="174"/>
      <c r="AO126" s="928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>
        <v>1</v>
      </c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>
        <v>3</v>
      </c>
      <c r="CF126" s="174">
        <v>3</v>
      </c>
      <c r="CG126" s="174">
        <f t="shared" si="58"/>
        <v>0</v>
      </c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>
        <v>1</v>
      </c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  <c r="DK126" s="174"/>
      <c r="DL126" s="62"/>
      <c r="DM126" s="62"/>
      <c r="DN126" s="62"/>
      <c r="DO126" s="62"/>
      <c r="DP126" s="62"/>
      <c r="DQ126" s="62"/>
      <c r="DR126" s="62"/>
      <c r="DS126" s="62"/>
      <c r="DT126" s="62"/>
      <c r="DU126" s="62"/>
      <c r="DV126" s="62"/>
      <c r="DW126" s="62"/>
      <c r="DX126" s="62"/>
      <c r="DY126" s="62"/>
      <c r="DZ126" s="62"/>
      <c r="EA126" s="62"/>
      <c r="EB126" s="62"/>
      <c r="EC126" s="62"/>
      <c r="ED126" s="62"/>
      <c r="EE126" s="454"/>
      <c r="EF126" s="62"/>
      <c r="EG126" s="62"/>
      <c r="EH126" s="62"/>
      <c r="EI126" s="62"/>
      <c r="EJ126" s="62"/>
      <c r="EK126" s="62"/>
      <c r="EL126" s="62"/>
      <c r="EM126" s="62"/>
      <c r="EN126" s="62"/>
      <c r="EO126" s="62"/>
      <c r="EP126" s="62"/>
      <c r="EQ126" s="62"/>
      <c r="ER126" s="62"/>
      <c r="ES126" s="62"/>
      <c r="ET126" s="62"/>
      <c r="EU126" s="62"/>
      <c r="EV126" s="62"/>
      <c r="EW126" s="62"/>
      <c r="EX126" s="62"/>
      <c r="EY126" s="62"/>
      <c r="EZ126" s="62"/>
      <c r="FA126" s="62"/>
      <c r="FB126" s="62"/>
      <c r="FC126" s="62"/>
      <c r="FD126" s="62"/>
      <c r="FE126" s="62"/>
      <c r="FF126" s="62"/>
    </row>
    <row r="127" spans="1:162" s="56" customFormat="1">
      <c r="A127" s="54"/>
      <c r="B127" s="55"/>
      <c r="C127" s="491" t="s">
        <v>2998</v>
      </c>
      <c r="D127" s="62">
        <v>37</v>
      </c>
      <c r="E127" s="62">
        <f t="shared" si="59"/>
        <v>111</v>
      </c>
      <c r="F127" s="62"/>
      <c r="G127" s="62"/>
      <c r="H127" s="62"/>
      <c r="I127" s="62"/>
      <c r="J127" s="62"/>
      <c r="K127" s="62"/>
      <c r="L127" s="62">
        <f t="shared" si="60"/>
        <v>37</v>
      </c>
      <c r="M127" s="62"/>
      <c r="N127" s="62"/>
      <c r="O127" s="62"/>
      <c r="P127" s="62"/>
      <c r="Q127" s="62"/>
      <c r="R127" s="173" t="s">
        <v>1903</v>
      </c>
      <c r="S127" s="174"/>
      <c r="T127" s="174"/>
      <c r="U127" s="174"/>
      <c r="V127" s="174">
        <v>2</v>
      </c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883"/>
      <c r="AH127" s="174"/>
      <c r="AI127" s="492"/>
      <c r="AJ127" s="905">
        <v>1</v>
      </c>
      <c r="AK127" s="919"/>
      <c r="AL127" s="174"/>
      <c r="AM127" s="174"/>
      <c r="AN127" s="174"/>
      <c r="AO127" s="928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  <c r="BR127" s="174">
        <v>1</v>
      </c>
      <c r="BS127" s="174"/>
      <c r="BT127" s="174"/>
      <c r="BU127" s="174"/>
      <c r="BV127" s="174"/>
      <c r="BW127" s="174"/>
      <c r="BX127" s="174"/>
      <c r="BY127" s="174"/>
      <c r="BZ127" s="174"/>
      <c r="CA127" s="174"/>
      <c r="CB127" s="174"/>
      <c r="CC127" s="174"/>
      <c r="CD127" s="174"/>
      <c r="CE127" s="174">
        <v>6</v>
      </c>
      <c r="CF127" s="174">
        <v>3</v>
      </c>
      <c r="CG127" s="174">
        <f t="shared" si="58"/>
        <v>3</v>
      </c>
      <c r="CH127" s="174"/>
      <c r="CI127" s="174"/>
      <c r="CJ127" s="174"/>
      <c r="CK127" s="174"/>
      <c r="CL127" s="174"/>
      <c r="CM127" s="174"/>
      <c r="CN127" s="174"/>
      <c r="CO127" s="174"/>
      <c r="CP127" s="174"/>
      <c r="CQ127" s="174"/>
      <c r="CR127" s="174">
        <v>1</v>
      </c>
      <c r="CS127" s="174"/>
      <c r="CT127" s="174"/>
      <c r="CU127" s="174"/>
      <c r="CV127" s="174"/>
      <c r="CW127" s="174"/>
      <c r="CX127" s="174"/>
      <c r="CY127" s="174"/>
      <c r="CZ127" s="174"/>
      <c r="DA127" s="174"/>
      <c r="DB127" s="174"/>
      <c r="DC127" s="174"/>
      <c r="DD127" s="174"/>
      <c r="DE127" s="174"/>
      <c r="DF127" s="174"/>
      <c r="DG127" s="174"/>
      <c r="DH127" s="174"/>
      <c r="DI127" s="174"/>
      <c r="DJ127" s="174"/>
      <c r="DK127" s="174"/>
      <c r="DL127" s="62"/>
      <c r="DM127" s="62"/>
      <c r="DN127" s="62"/>
      <c r="DO127" s="62"/>
      <c r="DP127" s="62"/>
      <c r="DQ127" s="62"/>
      <c r="DR127" s="62"/>
      <c r="DS127" s="62"/>
      <c r="DT127" s="62"/>
      <c r="DU127" s="62"/>
      <c r="DV127" s="62"/>
      <c r="DW127" s="62"/>
      <c r="DX127" s="62"/>
      <c r="DY127" s="62"/>
      <c r="DZ127" s="62"/>
      <c r="EA127" s="62"/>
      <c r="EB127" s="62"/>
      <c r="EC127" s="62"/>
      <c r="ED127" s="62"/>
      <c r="EE127" s="454"/>
      <c r="EF127" s="62"/>
      <c r="EG127" s="62"/>
      <c r="EH127" s="62"/>
      <c r="EI127" s="62"/>
      <c r="EJ127" s="62"/>
      <c r="EK127" s="62"/>
      <c r="EL127" s="62"/>
      <c r="EM127" s="62"/>
      <c r="EN127" s="62"/>
      <c r="EO127" s="62"/>
      <c r="EP127" s="62"/>
      <c r="EQ127" s="62"/>
      <c r="ER127" s="62"/>
      <c r="ES127" s="62"/>
      <c r="ET127" s="62"/>
      <c r="EU127" s="62"/>
      <c r="EV127" s="62"/>
      <c r="EW127" s="62"/>
      <c r="EX127" s="62"/>
      <c r="EY127" s="62"/>
      <c r="EZ127" s="62"/>
      <c r="FA127" s="62"/>
      <c r="FB127" s="62"/>
      <c r="FC127" s="62"/>
      <c r="FD127" s="62"/>
      <c r="FE127" s="62"/>
      <c r="FF127" s="62"/>
    </row>
    <row r="128" spans="1:162" s="56" customFormat="1">
      <c r="A128" s="54"/>
      <c r="B128" s="689"/>
      <c r="C128" s="491" t="s">
        <v>2999</v>
      </c>
      <c r="D128" s="62">
        <v>43</v>
      </c>
      <c r="E128" s="62">
        <f t="shared" si="59"/>
        <v>129</v>
      </c>
      <c r="F128" s="62"/>
      <c r="G128" s="62"/>
      <c r="H128" s="62"/>
      <c r="I128" s="62"/>
      <c r="J128" s="62"/>
      <c r="K128" s="62"/>
      <c r="L128" s="62">
        <f t="shared" si="60"/>
        <v>43</v>
      </c>
      <c r="M128" s="62"/>
      <c r="N128" s="62"/>
      <c r="O128" s="62"/>
      <c r="P128" s="62"/>
      <c r="Q128" s="62"/>
      <c r="R128" s="173" t="s">
        <v>2989</v>
      </c>
      <c r="S128" s="174"/>
      <c r="T128" s="174"/>
      <c r="U128" s="174"/>
      <c r="V128" s="174">
        <v>2</v>
      </c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883"/>
      <c r="AH128" s="174"/>
      <c r="AI128" s="492"/>
      <c r="AJ128" s="905">
        <v>1</v>
      </c>
      <c r="AK128" s="919"/>
      <c r="AL128" s="174"/>
      <c r="AM128" s="174"/>
      <c r="AN128" s="174"/>
      <c r="AO128" s="928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4"/>
      <c r="BE128" s="174"/>
      <c r="BF128" s="174"/>
      <c r="BG128" s="174"/>
      <c r="BH128" s="174"/>
      <c r="BI128" s="174">
        <v>1</v>
      </c>
      <c r="BJ128" s="174"/>
      <c r="BK128" s="174"/>
      <c r="BL128" s="174"/>
      <c r="BM128" s="174"/>
      <c r="BN128" s="174"/>
      <c r="BO128" s="174"/>
      <c r="BP128" s="174"/>
      <c r="BQ128" s="174"/>
      <c r="BR128" s="174"/>
      <c r="BS128" s="174"/>
      <c r="BT128" s="174"/>
      <c r="BU128" s="174"/>
      <c r="BV128" s="174"/>
      <c r="BW128" s="174">
        <v>1</v>
      </c>
      <c r="BX128" s="174"/>
      <c r="BY128" s="174"/>
      <c r="BZ128" s="174"/>
      <c r="CA128" s="174"/>
      <c r="CB128" s="174"/>
      <c r="CC128" s="174"/>
      <c r="CD128" s="174"/>
      <c r="CE128" s="174">
        <v>6</v>
      </c>
      <c r="CF128" s="174"/>
      <c r="CG128" s="174">
        <f t="shared" si="58"/>
        <v>6</v>
      </c>
      <c r="CH128" s="174">
        <v>6</v>
      </c>
      <c r="CI128" s="174"/>
      <c r="CJ128" s="174"/>
      <c r="CK128" s="174"/>
      <c r="CL128" s="174"/>
      <c r="CM128" s="174"/>
      <c r="CN128" s="174"/>
      <c r="CO128" s="174"/>
      <c r="CP128" s="174"/>
      <c r="CQ128" s="174"/>
      <c r="CR128" s="174"/>
      <c r="CS128" s="174">
        <v>2</v>
      </c>
      <c r="CT128" s="174"/>
      <c r="CU128" s="174"/>
      <c r="CV128" s="174"/>
      <c r="CW128" s="174"/>
      <c r="CX128" s="174"/>
      <c r="CY128" s="174"/>
      <c r="CZ128" s="174"/>
      <c r="DA128" s="174"/>
      <c r="DB128" s="174"/>
      <c r="DC128" s="174"/>
      <c r="DD128" s="174"/>
      <c r="DE128" s="174"/>
      <c r="DF128" s="174"/>
      <c r="DG128" s="174"/>
      <c r="DH128" s="174"/>
      <c r="DI128" s="174"/>
      <c r="DJ128" s="174"/>
      <c r="DK128" s="174"/>
      <c r="DL128" s="62">
        <v>1.5</v>
      </c>
      <c r="DM128" s="62"/>
      <c r="DN128" s="62"/>
      <c r="DO128" s="62"/>
      <c r="DP128" s="62"/>
      <c r="DQ128" s="62"/>
      <c r="DR128" s="62"/>
      <c r="DS128" s="62">
        <v>1.5</v>
      </c>
      <c r="DT128" s="62">
        <v>4.5</v>
      </c>
      <c r="DU128" s="62"/>
      <c r="DV128" s="62"/>
      <c r="DW128" s="62"/>
      <c r="DX128" s="62"/>
      <c r="DY128" s="62"/>
      <c r="DZ128" s="62"/>
      <c r="EA128" s="62"/>
      <c r="EB128" s="62"/>
      <c r="EC128" s="62"/>
      <c r="ED128" s="62"/>
      <c r="EE128" s="454"/>
      <c r="EF128" s="62"/>
      <c r="EG128" s="62"/>
      <c r="EH128" s="62"/>
      <c r="EI128" s="62"/>
      <c r="EJ128" s="62"/>
      <c r="EK128" s="62"/>
      <c r="EL128" s="62"/>
      <c r="EM128" s="62"/>
      <c r="EN128" s="62"/>
      <c r="EO128" s="62"/>
      <c r="EP128" s="62"/>
      <c r="EQ128" s="62"/>
      <c r="ER128" s="62"/>
      <c r="ES128" s="62"/>
      <c r="ET128" s="62"/>
      <c r="EU128" s="62"/>
      <c r="EV128" s="62"/>
      <c r="EW128" s="62"/>
      <c r="EX128" s="62"/>
      <c r="EY128" s="62"/>
      <c r="EZ128" s="62"/>
      <c r="FA128" s="62"/>
      <c r="FB128" s="62"/>
      <c r="FC128" s="62"/>
      <c r="FD128" s="62"/>
      <c r="FE128" s="62"/>
      <c r="FF128" s="62"/>
    </row>
    <row r="129" spans="1:162" s="56" customFormat="1">
      <c r="A129" s="54"/>
      <c r="B129" s="689"/>
      <c r="C129" s="491" t="s">
        <v>3000</v>
      </c>
      <c r="D129" s="62">
        <v>41</v>
      </c>
      <c r="E129" s="62">
        <f t="shared" si="59"/>
        <v>123</v>
      </c>
      <c r="F129" s="62"/>
      <c r="G129" s="62"/>
      <c r="H129" s="62"/>
      <c r="I129" s="62"/>
      <c r="J129" s="62"/>
      <c r="K129" s="62"/>
      <c r="L129" s="62">
        <f t="shared" si="60"/>
        <v>41</v>
      </c>
      <c r="M129" s="62"/>
      <c r="N129" s="62"/>
      <c r="O129" s="62"/>
      <c r="P129" s="62"/>
      <c r="Q129" s="62"/>
      <c r="R129" s="173" t="s">
        <v>1903</v>
      </c>
      <c r="S129" s="174"/>
      <c r="T129" s="174"/>
      <c r="U129" s="174"/>
      <c r="V129" s="174">
        <v>2</v>
      </c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883"/>
      <c r="AH129" s="174"/>
      <c r="AI129" s="492"/>
      <c r="AJ129" s="905">
        <v>1</v>
      </c>
      <c r="AK129" s="919"/>
      <c r="AL129" s="174"/>
      <c r="AM129" s="174"/>
      <c r="AN129" s="174"/>
      <c r="AO129" s="928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>
        <v>1</v>
      </c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>
        <v>1</v>
      </c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D129" s="174"/>
      <c r="CE129" s="174">
        <v>6</v>
      </c>
      <c r="CF129" s="174"/>
      <c r="CG129" s="174">
        <f t="shared" si="58"/>
        <v>6</v>
      </c>
      <c r="CH129" s="174"/>
      <c r="CI129" s="174"/>
      <c r="CJ129" s="174"/>
      <c r="CK129" s="174"/>
      <c r="CL129" s="174"/>
      <c r="CM129" s="174"/>
      <c r="CN129" s="174"/>
      <c r="CO129" s="174"/>
      <c r="CP129" s="174"/>
      <c r="CQ129" s="174"/>
      <c r="CR129" s="174">
        <v>1</v>
      </c>
      <c r="CS129" s="174"/>
      <c r="CT129" s="174"/>
      <c r="CU129" s="174"/>
      <c r="CV129" s="174"/>
      <c r="CW129" s="174"/>
      <c r="CX129" s="174"/>
      <c r="CY129" s="174"/>
      <c r="CZ129" s="174"/>
      <c r="DA129" s="174"/>
      <c r="DB129" s="174"/>
      <c r="DC129" s="174"/>
      <c r="DD129" s="174"/>
      <c r="DE129" s="174"/>
      <c r="DF129" s="174"/>
      <c r="DG129" s="174"/>
      <c r="DH129" s="174"/>
      <c r="DI129" s="174"/>
      <c r="DJ129" s="174"/>
      <c r="DK129" s="174"/>
      <c r="DL129" s="62"/>
      <c r="DM129" s="62"/>
      <c r="DN129" s="62"/>
      <c r="DO129" s="62"/>
      <c r="DP129" s="62"/>
      <c r="DQ129" s="62"/>
      <c r="DR129" s="62"/>
      <c r="DS129" s="62"/>
      <c r="DT129" s="62"/>
      <c r="DU129" s="62"/>
      <c r="DV129" s="62"/>
      <c r="DW129" s="62"/>
      <c r="DX129" s="62"/>
      <c r="DY129" s="62"/>
      <c r="DZ129" s="62"/>
      <c r="EA129" s="62"/>
      <c r="EB129" s="62"/>
      <c r="EC129" s="62"/>
      <c r="ED129" s="62"/>
      <c r="EE129" s="454"/>
      <c r="EF129" s="62"/>
      <c r="EG129" s="62"/>
      <c r="EH129" s="62"/>
      <c r="EI129" s="62"/>
      <c r="EJ129" s="62"/>
      <c r="EK129" s="62"/>
      <c r="EL129" s="62"/>
      <c r="EM129" s="62"/>
      <c r="EN129" s="62"/>
      <c r="EO129" s="62"/>
      <c r="EP129" s="62"/>
      <c r="EQ129" s="62"/>
      <c r="ER129" s="62"/>
      <c r="ES129" s="62"/>
      <c r="ET129" s="62"/>
      <c r="EU129" s="62"/>
      <c r="EV129" s="62"/>
      <c r="EW129" s="62"/>
      <c r="EX129" s="62"/>
      <c r="EY129" s="62"/>
      <c r="EZ129" s="62"/>
      <c r="FA129" s="62"/>
      <c r="FB129" s="62"/>
      <c r="FC129" s="62"/>
      <c r="FD129" s="62"/>
      <c r="FE129" s="62"/>
      <c r="FF129" s="62"/>
    </row>
    <row r="130" spans="1:162" s="56" customFormat="1">
      <c r="A130" s="54"/>
      <c r="B130" s="689"/>
      <c r="C130" s="491" t="s">
        <v>3001</v>
      </c>
      <c r="D130" s="62">
        <v>39.700000000000003</v>
      </c>
      <c r="E130" s="62">
        <f t="shared" si="59"/>
        <v>119.10000000000001</v>
      </c>
      <c r="F130" s="62"/>
      <c r="G130" s="62"/>
      <c r="H130" s="62"/>
      <c r="I130" s="62"/>
      <c r="J130" s="62"/>
      <c r="K130" s="62"/>
      <c r="L130" s="62">
        <f t="shared" si="60"/>
        <v>39.700000000000003</v>
      </c>
      <c r="M130" s="62"/>
      <c r="N130" s="62"/>
      <c r="O130" s="62"/>
      <c r="P130" s="62"/>
      <c r="Q130" s="62"/>
      <c r="R130" s="173" t="s">
        <v>1631</v>
      </c>
      <c r="S130" s="174"/>
      <c r="T130" s="174"/>
      <c r="U130" s="174"/>
      <c r="V130" s="174">
        <v>1</v>
      </c>
      <c r="W130" s="174"/>
      <c r="X130" s="174"/>
      <c r="Y130" s="174"/>
      <c r="Z130" s="174"/>
      <c r="AA130" s="174"/>
      <c r="AB130" s="174"/>
      <c r="AC130" s="174"/>
      <c r="AD130" s="174">
        <v>1</v>
      </c>
      <c r="AE130" s="174"/>
      <c r="AF130" s="174"/>
      <c r="AG130" s="883"/>
      <c r="AH130" s="174"/>
      <c r="AI130" s="492"/>
      <c r="AJ130" s="905"/>
      <c r="AK130" s="919"/>
      <c r="AL130" s="174"/>
      <c r="AM130" s="174"/>
      <c r="AN130" s="174"/>
      <c r="AO130" s="928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>
        <v>1</v>
      </c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>
        <v>3</v>
      </c>
      <c r="CF130" s="174">
        <v>3</v>
      </c>
      <c r="CG130" s="174">
        <f t="shared" si="58"/>
        <v>0</v>
      </c>
      <c r="CH130" s="174"/>
      <c r="CI130" s="174"/>
      <c r="CJ130" s="174"/>
      <c r="CK130" s="174"/>
      <c r="CL130" s="174"/>
      <c r="CM130" s="174"/>
      <c r="CN130" s="174"/>
      <c r="CO130" s="174"/>
      <c r="CP130" s="174"/>
      <c r="CQ130" s="174">
        <v>1</v>
      </c>
      <c r="CR130" s="174"/>
      <c r="CS130" s="174"/>
      <c r="CT130" s="174"/>
      <c r="CU130" s="174"/>
      <c r="CV130" s="174"/>
      <c r="CW130" s="174"/>
      <c r="CX130" s="174"/>
      <c r="CY130" s="174"/>
      <c r="CZ130" s="174"/>
      <c r="DA130" s="174"/>
      <c r="DB130" s="174"/>
      <c r="DC130" s="174"/>
      <c r="DD130" s="174"/>
      <c r="DE130" s="174"/>
      <c r="DF130" s="174"/>
      <c r="DG130" s="174"/>
      <c r="DH130" s="174"/>
      <c r="DI130" s="174"/>
      <c r="DJ130" s="174"/>
      <c r="DK130" s="174"/>
      <c r="DL130" s="62"/>
      <c r="DM130" s="62"/>
      <c r="DN130" s="62"/>
      <c r="DO130" s="62"/>
      <c r="DP130" s="62"/>
      <c r="DQ130" s="62"/>
      <c r="DR130" s="62"/>
      <c r="DS130" s="62"/>
      <c r="DT130" s="62"/>
      <c r="DU130" s="62"/>
      <c r="DV130" s="62"/>
      <c r="DW130" s="62"/>
      <c r="DX130" s="62"/>
      <c r="DY130" s="62"/>
      <c r="DZ130" s="62"/>
      <c r="EA130" s="62"/>
      <c r="EB130" s="62"/>
      <c r="EC130" s="62"/>
      <c r="ED130" s="62"/>
      <c r="EE130" s="454"/>
      <c r="EF130" s="62"/>
      <c r="EG130" s="62"/>
      <c r="EH130" s="62"/>
      <c r="EI130" s="62"/>
      <c r="EJ130" s="62"/>
      <c r="EK130" s="62"/>
      <c r="EL130" s="62"/>
      <c r="EM130" s="62"/>
      <c r="EN130" s="62"/>
      <c r="EO130" s="62"/>
      <c r="EP130" s="62"/>
      <c r="EQ130" s="62"/>
      <c r="ER130" s="62"/>
      <c r="ES130" s="62"/>
      <c r="ET130" s="62"/>
      <c r="EU130" s="62"/>
      <c r="EV130" s="62"/>
      <c r="EW130" s="62"/>
      <c r="EX130" s="62"/>
      <c r="EY130" s="62"/>
      <c r="EZ130" s="62"/>
      <c r="FA130" s="62"/>
      <c r="FB130" s="62"/>
      <c r="FC130" s="62"/>
      <c r="FD130" s="62"/>
      <c r="FE130" s="62"/>
      <c r="FF130" s="62"/>
    </row>
    <row r="131" spans="1:162" s="56" customFormat="1">
      <c r="A131" s="54"/>
      <c r="B131" s="689"/>
      <c r="C131" s="491" t="s">
        <v>3002</v>
      </c>
      <c r="D131" s="62">
        <v>38.6</v>
      </c>
      <c r="E131" s="62">
        <f t="shared" si="59"/>
        <v>115.80000000000001</v>
      </c>
      <c r="F131" s="62"/>
      <c r="G131" s="62"/>
      <c r="H131" s="62"/>
      <c r="I131" s="62"/>
      <c r="J131" s="62"/>
      <c r="K131" s="62"/>
      <c r="L131" s="62">
        <f t="shared" si="60"/>
        <v>38.6</v>
      </c>
      <c r="M131" s="62"/>
      <c r="N131" s="62"/>
      <c r="O131" s="62"/>
      <c r="P131" s="62"/>
      <c r="Q131" s="62"/>
      <c r="R131" s="173" t="s">
        <v>1631</v>
      </c>
      <c r="S131" s="174"/>
      <c r="T131" s="174"/>
      <c r="U131" s="174"/>
      <c r="V131" s="174">
        <v>1</v>
      </c>
      <c r="W131" s="174"/>
      <c r="X131" s="174"/>
      <c r="Y131" s="174"/>
      <c r="Z131" s="174"/>
      <c r="AA131" s="174"/>
      <c r="AB131" s="174"/>
      <c r="AC131" s="174"/>
      <c r="AD131" s="174">
        <v>1</v>
      </c>
      <c r="AE131" s="174"/>
      <c r="AF131" s="174"/>
      <c r="AG131" s="883"/>
      <c r="AH131" s="174"/>
      <c r="AI131" s="492"/>
      <c r="AJ131" s="905"/>
      <c r="AK131" s="919"/>
      <c r="AL131" s="174"/>
      <c r="AM131" s="174"/>
      <c r="AN131" s="174"/>
      <c r="AO131" s="928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>
        <v>1</v>
      </c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>
        <v>3</v>
      </c>
      <c r="CF131" s="174">
        <v>3</v>
      </c>
      <c r="CG131" s="174">
        <f t="shared" si="58"/>
        <v>0</v>
      </c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>
        <v>1</v>
      </c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62"/>
      <c r="DM131" s="62"/>
      <c r="DN131" s="62"/>
      <c r="DO131" s="62"/>
      <c r="DP131" s="62"/>
      <c r="DQ131" s="62"/>
      <c r="DR131" s="62"/>
      <c r="DS131" s="62"/>
      <c r="DT131" s="62"/>
      <c r="DU131" s="62"/>
      <c r="DV131" s="62"/>
      <c r="DW131" s="62"/>
      <c r="DX131" s="62"/>
      <c r="DY131" s="62"/>
      <c r="DZ131" s="62"/>
      <c r="EA131" s="62"/>
      <c r="EB131" s="62"/>
      <c r="EC131" s="62"/>
      <c r="ED131" s="62"/>
      <c r="EE131" s="454"/>
      <c r="EF131" s="62"/>
      <c r="EG131" s="62"/>
      <c r="EH131" s="62"/>
      <c r="EI131" s="62"/>
      <c r="EJ131" s="62"/>
      <c r="EK131" s="62"/>
      <c r="EL131" s="62"/>
      <c r="EM131" s="62"/>
      <c r="EN131" s="62"/>
      <c r="EO131" s="62"/>
      <c r="EP131" s="62"/>
      <c r="EQ131" s="62"/>
      <c r="ER131" s="62"/>
      <c r="ES131" s="62"/>
      <c r="ET131" s="62"/>
      <c r="EU131" s="62"/>
      <c r="EV131" s="62"/>
      <c r="EW131" s="62"/>
      <c r="EX131" s="62"/>
      <c r="EY131" s="62"/>
      <c r="EZ131" s="62"/>
      <c r="FA131" s="62"/>
      <c r="FB131" s="62"/>
      <c r="FC131" s="62"/>
      <c r="FD131" s="62"/>
      <c r="FE131" s="62"/>
      <c r="FF131" s="62"/>
    </row>
    <row r="132" spans="1:162" s="56" customFormat="1">
      <c r="A132" s="54"/>
      <c r="B132" s="689"/>
      <c r="C132" s="491" t="s">
        <v>3003</v>
      </c>
      <c r="D132" s="62">
        <v>39.799999999999997</v>
      </c>
      <c r="E132" s="62">
        <f t="shared" si="59"/>
        <v>119.39999999999999</v>
      </c>
      <c r="F132" s="62"/>
      <c r="G132" s="62"/>
      <c r="H132" s="62"/>
      <c r="I132" s="62"/>
      <c r="J132" s="62"/>
      <c r="K132" s="62"/>
      <c r="L132" s="62">
        <f t="shared" si="60"/>
        <v>39.799999999999997</v>
      </c>
      <c r="M132" s="62"/>
      <c r="N132" s="62"/>
      <c r="O132" s="62"/>
      <c r="P132" s="62"/>
      <c r="Q132" s="62"/>
      <c r="R132" s="173" t="s">
        <v>1631</v>
      </c>
      <c r="S132" s="174"/>
      <c r="T132" s="174"/>
      <c r="U132" s="174"/>
      <c r="V132" s="174">
        <v>1</v>
      </c>
      <c r="W132" s="174"/>
      <c r="X132" s="174"/>
      <c r="Y132" s="174"/>
      <c r="Z132" s="174"/>
      <c r="AA132" s="174"/>
      <c r="AB132" s="174"/>
      <c r="AC132" s="174"/>
      <c r="AD132" s="174">
        <v>1</v>
      </c>
      <c r="AE132" s="174"/>
      <c r="AF132" s="174"/>
      <c r="AG132" s="883"/>
      <c r="AH132" s="174"/>
      <c r="AI132" s="492"/>
      <c r="AJ132" s="905"/>
      <c r="AK132" s="919"/>
      <c r="AL132" s="174"/>
      <c r="AM132" s="174"/>
      <c r="AN132" s="174"/>
      <c r="AO132" s="928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>
        <v>1</v>
      </c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>
        <v>3</v>
      </c>
      <c r="CF132" s="174">
        <v>3</v>
      </c>
      <c r="CG132" s="174">
        <f t="shared" si="58"/>
        <v>0</v>
      </c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>
        <v>1</v>
      </c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62"/>
      <c r="DM132" s="62"/>
      <c r="DN132" s="62"/>
      <c r="DO132" s="62"/>
      <c r="DP132" s="62"/>
      <c r="DQ132" s="62"/>
      <c r="DR132" s="62"/>
      <c r="DS132" s="62"/>
      <c r="DT132" s="62"/>
      <c r="DU132" s="62"/>
      <c r="DV132" s="62"/>
      <c r="DW132" s="62"/>
      <c r="DX132" s="62"/>
      <c r="DY132" s="62"/>
      <c r="DZ132" s="62"/>
      <c r="EA132" s="62"/>
      <c r="EB132" s="62"/>
      <c r="EC132" s="62"/>
      <c r="ED132" s="62"/>
      <c r="EE132" s="454"/>
      <c r="EF132" s="62"/>
      <c r="EG132" s="62"/>
      <c r="EH132" s="62"/>
      <c r="EI132" s="62"/>
      <c r="EJ132" s="62"/>
      <c r="EK132" s="62"/>
      <c r="EL132" s="62"/>
      <c r="EM132" s="62"/>
      <c r="EN132" s="62"/>
      <c r="EO132" s="62"/>
      <c r="EP132" s="62"/>
      <c r="EQ132" s="62"/>
      <c r="ER132" s="62"/>
      <c r="ES132" s="62"/>
      <c r="ET132" s="62"/>
      <c r="EU132" s="62"/>
      <c r="EV132" s="62"/>
      <c r="EW132" s="62"/>
      <c r="EX132" s="62"/>
      <c r="EY132" s="62"/>
      <c r="EZ132" s="62"/>
      <c r="FA132" s="62"/>
      <c r="FB132" s="62"/>
      <c r="FC132" s="62"/>
      <c r="FD132" s="62"/>
      <c r="FE132" s="62"/>
      <c r="FF132" s="62"/>
    </row>
    <row r="133" spans="1:162" s="56" customFormat="1">
      <c r="A133" s="54"/>
      <c r="B133" s="689"/>
      <c r="C133" s="491" t="s">
        <v>3004</v>
      </c>
      <c r="D133" s="62">
        <v>38.5</v>
      </c>
      <c r="E133" s="62">
        <f t="shared" si="59"/>
        <v>115.5</v>
      </c>
      <c r="F133" s="62"/>
      <c r="G133" s="62"/>
      <c r="H133" s="62"/>
      <c r="I133" s="62"/>
      <c r="J133" s="62"/>
      <c r="K133" s="62"/>
      <c r="L133" s="62">
        <f t="shared" si="60"/>
        <v>38.5</v>
      </c>
      <c r="M133" s="62"/>
      <c r="N133" s="62"/>
      <c r="O133" s="62"/>
      <c r="P133" s="62"/>
      <c r="Q133" s="62"/>
      <c r="R133" s="173" t="s">
        <v>1631</v>
      </c>
      <c r="S133" s="174"/>
      <c r="T133" s="174"/>
      <c r="U133" s="174"/>
      <c r="V133" s="174">
        <v>1</v>
      </c>
      <c r="W133" s="174"/>
      <c r="X133" s="174"/>
      <c r="Y133" s="174"/>
      <c r="Z133" s="174"/>
      <c r="AA133" s="174"/>
      <c r="AB133" s="174"/>
      <c r="AC133" s="174"/>
      <c r="AD133" s="174">
        <v>1</v>
      </c>
      <c r="AE133" s="174"/>
      <c r="AF133" s="174"/>
      <c r="AG133" s="883"/>
      <c r="AH133" s="174"/>
      <c r="AI133" s="492"/>
      <c r="AJ133" s="905"/>
      <c r="AK133" s="919"/>
      <c r="AL133" s="174"/>
      <c r="AM133" s="174"/>
      <c r="AN133" s="174"/>
      <c r="AO133" s="928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>
        <v>1</v>
      </c>
      <c r="BR133" s="174"/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>
        <v>3</v>
      </c>
      <c r="CF133" s="174">
        <v>3</v>
      </c>
      <c r="CG133" s="174">
        <f t="shared" si="58"/>
        <v>0</v>
      </c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>
        <v>1</v>
      </c>
      <c r="CR133" s="174"/>
      <c r="CS133" s="174"/>
      <c r="CT133" s="174"/>
      <c r="CU133" s="174"/>
      <c r="CV133" s="174"/>
      <c r="CW133" s="174"/>
      <c r="CX133" s="174"/>
      <c r="CY133" s="174"/>
      <c r="CZ133" s="174"/>
      <c r="DA133" s="174"/>
      <c r="DB133" s="174"/>
      <c r="DC133" s="174"/>
      <c r="DD133" s="174"/>
      <c r="DE133" s="174"/>
      <c r="DF133" s="174"/>
      <c r="DG133" s="174"/>
      <c r="DH133" s="174"/>
      <c r="DI133" s="174"/>
      <c r="DJ133" s="174"/>
      <c r="DK133" s="174"/>
      <c r="DL133" s="62"/>
      <c r="DM133" s="62"/>
      <c r="DN133" s="62"/>
      <c r="DO133" s="62"/>
      <c r="DP133" s="62"/>
      <c r="DQ133" s="62"/>
      <c r="DR133" s="62"/>
      <c r="DS133" s="62"/>
      <c r="DT133" s="62"/>
      <c r="DU133" s="62"/>
      <c r="DV133" s="62"/>
      <c r="DW133" s="62"/>
      <c r="DX133" s="62"/>
      <c r="DY133" s="62"/>
      <c r="DZ133" s="62"/>
      <c r="EA133" s="62"/>
      <c r="EB133" s="62"/>
      <c r="EC133" s="62"/>
      <c r="ED133" s="62"/>
      <c r="EE133" s="454"/>
      <c r="EF133" s="62"/>
      <c r="EG133" s="62"/>
      <c r="EH133" s="62"/>
      <c r="EI133" s="62"/>
      <c r="EJ133" s="62"/>
      <c r="EK133" s="62"/>
      <c r="EL133" s="62"/>
      <c r="EM133" s="62"/>
      <c r="EN133" s="62"/>
      <c r="EO133" s="62"/>
      <c r="EP133" s="62"/>
      <c r="EQ133" s="62"/>
      <c r="ER133" s="62"/>
      <c r="ES133" s="62"/>
      <c r="ET133" s="62"/>
      <c r="EU133" s="62"/>
      <c r="EV133" s="62"/>
      <c r="EW133" s="62"/>
      <c r="EX133" s="62"/>
      <c r="EY133" s="62"/>
      <c r="EZ133" s="62"/>
      <c r="FA133" s="62"/>
      <c r="FB133" s="62"/>
      <c r="FC133" s="62"/>
      <c r="FD133" s="62"/>
      <c r="FE133" s="62"/>
      <c r="FF133" s="62"/>
    </row>
    <row r="134" spans="1:162" s="56" customFormat="1">
      <c r="A134" s="54"/>
      <c r="B134" s="689"/>
      <c r="C134" s="491" t="s">
        <v>3038</v>
      </c>
      <c r="D134" s="62">
        <v>40.9</v>
      </c>
      <c r="E134" s="62">
        <f t="shared" si="59"/>
        <v>122.69999999999999</v>
      </c>
      <c r="F134" s="62"/>
      <c r="G134" s="62"/>
      <c r="H134" s="62"/>
      <c r="I134" s="62"/>
      <c r="J134" s="62"/>
      <c r="K134" s="62"/>
      <c r="L134" s="62">
        <f t="shared" si="60"/>
        <v>40.9</v>
      </c>
      <c r="M134" s="62"/>
      <c r="N134" s="62"/>
      <c r="O134" s="62"/>
      <c r="P134" s="62"/>
      <c r="Q134" s="62"/>
      <c r="R134" s="173" t="s">
        <v>1903</v>
      </c>
      <c r="S134" s="174"/>
      <c r="T134" s="174"/>
      <c r="U134" s="174"/>
      <c r="V134" s="174">
        <v>2</v>
      </c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883"/>
      <c r="AH134" s="174"/>
      <c r="AI134" s="492"/>
      <c r="AJ134" s="905">
        <v>1</v>
      </c>
      <c r="AK134" s="919"/>
      <c r="AL134" s="174"/>
      <c r="AM134" s="174"/>
      <c r="AN134" s="174"/>
      <c r="AO134" s="928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4"/>
      <c r="BC134" s="174"/>
      <c r="BD134" s="174"/>
      <c r="BE134" s="174"/>
      <c r="BF134" s="174">
        <v>1</v>
      </c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/>
      <c r="BR134" s="174">
        <v>1</v>
      </c>
      <c r="BS134" s="174"/>
      <c r="BT134" s="174"/>
      <c r="BU134" s="174"/>
      <c r="BV134" s="174"/>
      <c r="BW134" s="174"/>
      <c r="BX134" s="174"/>
      <c r="BY134" s="174"/>
      <c r="BZ134" s="174"/>
      <c r="CA134" s="174"/>
      <c r="CB134" s="174"/>
      <c r="CC134" s="174"/>
      <c r="CD134" s="174"/>
      <c r="CE134" s="174">
        <v>6</v>
      </c>
      <c r="CF134" s="174"/>
      <c r="CG134" s="174">
        <f t="shared" si="58"/>
        <v>6</v>
      </c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/>
      <c r="CR134" s="174">
        <v>1</v>
      </c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74"/>
      <c r="DE134" s="174"/>
      <c r="DF134" s="174"/>
      <c r="DG134" s="174"/>
      <c r="DH134" s="174"/>
      <c r="DI134" s="174"/>
      <c r="DJ134" s="174"/>
      <c r="DK134" s="174"/>
      <c r="DL134" s="62"/>
      <c r="DM134" s="62"/>
      <c r="DN134" s="62"/>
      <c r="DO134" s="62"/>
      <c r="DP134" s="62"/>
      <c r="DQ134" s="62"/>
      <c r="DR134" s="62"/>
      <c r="DS134" s="62"/>
      <c r="DT134" s="62"/>
      <c r="DU134" s="62"/>
      <c r="DV134" s="62"/>
      <c r="DW134" s="62"/>
      <c r="DX134" s="62"/>
      <c r="DY134" s="62"/>
      <c r="DZ134" s="62"/>
      <c r="EA134" s="62"/>
      <c r="EB134" s="62"/>
      <c r="EC134" s="62"/>
      <c r="ED134" s="62"/>
      <c r="EE134" s="454"/>
      <c r="EF134" s="62"/>
      <c r="EG134" s="62"/>
      <c r="EH134" s="62"/>
      <c r="EI134" s="62"/>
      <c r="EJ134" s="62"/>
      <c r="EK134" s="62"/>
      <c r="EL134" s="62"/>
      <c r="EM134" s="62"/>
      <c r="EN134" s="62"/>
      <c r="EO134" s="62"/>
      <c r="EP134" s="62"/>
      <c r="EQ134" s="62"/>
      <c r="ER134" s="62"/>
      <c r="ES134" s="62"/>
      <c r="ET134" s="62"/>
      <c r="EU134" s="62"/>
      <c r="EV134" s="62"/>
      <c r="EW134" s="62"/>
      <c r="EX134" s="62"/>
      <c r="EY134" s="62"/>
      <c r="EZ134" s="62"/>
      <c r="FA134" s="62"/>
      <c r="FB134" s="62"/>
      <c r="FC134" s="62"/>
      <c r="FD134" s="62"/>
      <c r="FE134" s="62"/>
      <c r="FF134" s="62"/>
    </row>
    <row r="135" spans="1:162" s="56" customFormat="1">
      <c r="A135" s="54"/>
      <c r="B135" s="689"/>
      <c r="C135" s="491" t="s">
        <v>3039</v>
      </c>
      <c r="D135" s="62">
        <v>40</v>
      </c>
      <c r="E135" s="62">
        <f t="shared" si="59"/>
        <v>120</v>
      </c>
      <c r="F135" s="62"/>
      <c r="G135" s="62"/>
      <c r="H135" s="62"/>
      <c r="I135" s="62"/>
      <c r="J135" s="62"/>
      <c r="K135" s="62"/>
      <c r="L135" s="62">
        <f t="shared" si="60"/>
        <v>40</v>
      </c>
      <c r="M135" s="62"/>
      <c r="N135" s="62"/>
      <c r="O135" s="62"/>
      <c r="P135" s="62"/>
      <c r="Q135" s="62"/>
      <c r="R135" s="173" t="s">
        <v>1903</v>
      </c>
      <c r="S135" s="174"/>
      <c r="T135" s="174"/>
      <c r="U135" s="174"/>
      <c r="V135" s="174">
        <v>2</v>
      </c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883"/>
      <c r="AH135" s="174"/>
      <c r="AI135" s="492"/>
      <c r="AJ135" s="905">
        <v>1</v>
      </c>
      <c r="AK135" s="919"/>
      <c r="AL135" s="174"/>
      <c r="AM135" s="174"/>
      <c r="AN135" s="174"/>
      <c r="AO135" s="928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  <c r="BR135" s="174">
        <v>1</v>
      </c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>
        <v>6</v>
      </c>
      <c r="CF135" s="174"/>
      <c r="CG135" s="174">
        <f t="shared" si="58"/>
        <v>6</v>
      </c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/>
      <c r="CR135" s="174">
        <v>1</v>
      </c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74"/>
      <c r="DE135" s="174"/>
      <c r="DF135" s="174"/>
      <c r="DG135" s="174"/>
      <c r="DH135" s="174"/>
      <c r="DI135" s="174"/>
      <c r="DJ135" s="174"/>
      <c r="DK135" s="174"/>
      <c r="DL135" s="62"/>
      <c r="DM135" s="62"/>
      <c r="DN135" s="62"/>
      <c r="DO135" s="62"/>
      <c r="DP135" s="62"/>
      <c r="DQ135" s="62"/>
      <c r="DR135" s="62"/>
      <c r="DS135" s="62"/>
      <c r="DT135" s="62"/>
      <c r="DU135" s="62"/>
      <c r="DV135" s="62"/>
      <c r="DW135" s="62"/>
      <c r="DX135" s="62"/>
      <c r="DY135" s="62"/>
      <c r="DZ135" s="62"/>
      <c r="EA135" s="62"/>
      <c r="EB135" s="62"/>
      <c r="EC135" s="62"/>
      <c r="ED135" s="62"/>
      <c r="EE135" s="454"/>
      <c r="EF135" s="62"/>
      <c r="EG135" s="62"/>
      <c r="EH135" s="62"/>
      <c r="EI135" s="62"/>
      <c r="EJ135" s="62"/>
      <c r="EK135" s="62"/>
      <c r="EL135" s="62"/>
      <c r="EM135" s="62"/>
      <c r="EN135" s="62"/>
      <c r="EO135" s="62"/>
      <c r="EP135" s="62"/>
      <c r="EQ135" s="62"/>
      <c r="ER135" s="62"/>
      <c r="ES135" s="62"/>
      <c r="ET135" s="62"/>
      <c r="EU135" s="62"/>
      <c r="EV135" s="62"/>
      <c r="EW135" s="62"/>
      <c r="EX135" s="62"/>
      <c r="EY135" s="62"/>
      <c r="EZ135" s="62"/>
      <c r="FA135" s="62"/>
      <c r="FB135" s="62"/>
      <c r="FC135" s="62"/>
      <c r="FD135" s="62"/>
      <c r="FE135" s="62"/>
      <c r="FF135" s="62"/>
    </row>
    <row r="136" spans="1:162" s="56" customFormat="1">
      <c r="A136" s="54"/>
      <c r="B136" s="720"/>
      <c r="C136" s="491" t="s">
        <v>3040</v>
      </c>
      <c r="D136" s="454">
        <v>40</v>
      </c>
      <c r="E136" s="62">
        <f t="shared" si="59"/>
        <v>120</v>
      </c>
      <c r="F136" s="62"/>
      <c r="G136" s="62"/>
      <c r="H136" s="62"/>
      <c r="I136" s="62"/>
      <c r="J136" s="62"/>
      <c r="K136" s="62"/>
      <c r="L136" s="62">
        <f t="shared" si="60"/>
        <v>40</v>
      </c>
      <c r="M136" s="454"/>
      <c r="N136" s="454"/>
      <c r="O136" s="454"/>
      <c r="P136" s="454"/>
      <c r="Q136" s="454"/>
      <c r="R136" s="715" t="s">
        <v>1631</v>
      </c>
      <c r="S136" s="716"/>
      <c r="T136" s="716"/>
      <c r="U136" s="716"/>
      <c r="V136" s="716">
        <v>1</v>
      </c>
      <c r="W136" s="716"/>
      <c r="X136" s="716"/>
      <c r="Y136" s="716"/>
      <c r="Z136" s="716"/>
      <c r="AA136" s="716"/>
      <c r="AB136" s="716"/>
      <c r="AC136" s="716"/>
      <c r="AD136" s="716">
        <v>1</v>
      </c>
      <c r="AE136" s="716"/>
      <c r="AF136" s="716"/>
      <c r="AG136" s="886"/>
      <c r="AH136" s="716"/>
      <c r="AI136" s="898"/>
      <c r="AJ136" s="908"/>
      <c r="AK136" s="922"/>
      <c r="AL136" s="716"/>
      <c r="AM136" s="716"/>
      <c r="AN136" s="716"/>
      <c r="AO136" s="930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6"/>
      <c r="BL136" s="716"/>
      <c r="BM136" s="716"/>
      <c r="BN136" s="716"/>
      <c r="BO136" s="716"/>
      <c r="BP136" s="716"/>
      <c r="BQ136" s="716">
        <v>1</v>
      </c>
      <c r="BR136" s="716"/>
      <c r="BS136" s="716"/>
      <c r="BT136" s="716"/>
      <c r="BU136" s="716"/>
      <c r="BV136" s="716"/>
      <c r="BW136" s="716"/>
      <c r="BX136" s="716"/>
      <c r="BY136" s="716"/>
      <c r="BZ136" s="716"/>
      <c r="CA136" s="716"/>
      <c r="CB136" s="716"/>
      <c r="CC136" s="716"/>
      <c r="CD136" s="716"/>
      <c r="CE136" s="716">
        <v>3</v>
      </c>
      <c r="CF136" s="716">
        <v>3</v>
      </c>
      <c r="CG136" s="174">
        <f t="shared" si="58"/>
        <v>0</v>
      </c>
      <c r="CH136" s="716"/>
      <c r="CI136" s="716"/>
      <c r="CJ136" s="716"/>
      <c r="CK136" s="716"/>
      <c r="CL136" s="716"/>
      <c r="CM136" s="716"/>
      <c r="CN136" s="716"/>
      <c r="CO136" s="716"/>
      <c r="CP136" s="716"/>
      <c r="CQ136" s="716">
        <v>1</v>
      </c>
      <c r="CR136" s="716"/>
      <c r="CS136" s="716"/>
      <c r="CT136" s="716"/>
      <c r="CU136" s="716"/>
      <c r="CV136" s="716"/>
      <c r="CW136" s="716"/>
      <c r="CX136" s="716"/>
      <c r="CY136" s="716"/>
      <c r="CZ136" s="716"/>
      <c r="DA136" s="716"/>
      <c r="DB136" s="716"/>
      <c r="DC136" s="716"/>
      <c r="DD136" s="716"/>
      <c r="DE136" s="716"/>
      <c r="DF136" s="716"/>
      <c r="DG136" s="716"/>
      <c r="DH136" s="716"/>
      <c r="DI136" s="716"/>
      <c r="DJ136" s="716"/>
      <c r="DK136" s="716"/>
      <c r="DL136" s="454"/>
      <c r="DM136" s="454"/>
      <c r="DN136" s="454"/>
      <c r="DO136" s="454"/>
      <c r="DP136" s="454"/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/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</row>
    <row r="137" spans="1:162" s="56" customFormat="1">
      <c r="A137" s="54"/>
      <c r="B137" s="689"/>
      <c r="C137" s="491" t="s">
        <v>3041</v>
      </c>
      <c r="D137" s="62">
        <v>40</v>
      </c>
      <c r="E137" s="62">
        <f t="shared" si="59"/>
        <v>120</v>
      </c>
      <c r="F137" s="62"/>
      <c r="G137" s="62"/>
      <c r="H137" s="62"/>
      <c r="I137" s="62"/>
      <c r="J137" s="62"/>
      <c r="K137" s="62"/>
      <c r="L137" s="62">
        <f t="shared" si="60"/>
        <v>40</v>
      </c>
      <c r="M137" s="62"/>
      <c r="N137" s="62"/>
      <c r="O137" s="62"/>
      <c r="P137" s="62"/>
      <c r="Q137" s="62"/>
      <c r="R137" s="173" t="s">
        <v>2990</v>
      </c>
      <c r="S137" s="174"/>
      <c r="T137" s="174"/>
      <c r="U137" s="174"/>
      <c r="V137" s="174">
        <v>2</v>
      </c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883"/>
      <c r="AH137" s="174"/>
      <c r="AI137" s="492"/>
      <c r="AJ137" s="905">
        <v>1</v>
      </c>
      <c r="AK137" s="919"/>
      <c r="AL137" s="174"/>
      <c r="AM137" s="174"/>
      <c r="AN137" s="174"/>
      <c r="AO137" s="928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/>
      <c r="BR137" s="174"/>
      <c r="BS137" s="174"/>
      <c r="BT137" s="174"/>
      <c r="BU137" s="174"/>
      <c r="BV137" s="174"/>
      <c r="BW137" s="174">
        <v>1</v>
      </c>
      <c r="BX137" s="174"/>
      <c r="BY137" s="174"/>
      <c r="BZ137" s="174"/>
      <c r="CA137" s="174"/>
      <c r="CB137" s="174"/>
      <c r="CC137" s="174"/>
      <c r="CD137" s="174"/>
      <c r="CE137" s="174"/>
      <c r="CF137" s="174"/>
      <c r="CG137" s="174">
        <f>CE137-CF137</f>
        <v>0</v>
      </c>
      <c r="CH137" s="174">
        <v>3</v>
      </c>
      <c r="CI137" s="174"/>
      <c r="CJ137" s="174"/>
      <c r="CK137" s="174"/>
      <c r="CL137" s="174"/>
      <c r="CM137" s="174"/>
      <c r="CN137" s="174"/>
      <c r="CO137" s="174"/>
      <c r="CP137" s="174"/>
      <c r="CQ137" s="174"/>
      <c r="CR137" s="174"/>
      <c r="CS137" s="174">
        <v>1</v>
      </c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74"/>
      <c r="DE137" s="174"/>
      <c r="DF137" s="174"/>
      <c r="DG137" s="174"/>
      <c r="DH137" s="174"/>
      <c r="DI137" s="174"/>
      <c r="DJ137" s="174"/>
      <c r="DK137" s="174"/>
      <c r="DL137" s="62"/>
      <c r="DM137" s="62"/>
      <c r="DN137" s="62"/>
      <c r="DO137" s="62"/>
      <c r="DP137" s="62"/>
      <c r="DQ137" s="62"/>
      <c r="DR137" s="62"/>
      <c r="DS137" s="62"/>
      <c r="DT137" s="62"/>
      <c r="DU137" s="62"/>
      <c r="DV137" s="62"/>
      <c r="DW137" s="62"/>
      <c r="DX137" s="62"/>
      <c r="DY137" s="62"/>
      <c r="DZ137" s="62"/>
      <c r="EA137" s="62"/>
      <c r="EB137" s="62"/>
      <c r="EC137" s="62"/>
      <c r="ED137" s="62"/>
      <c r="EE137" s="454"/>
      <c r="EF137" s="62"/>
      <c r="EG137" s="62"/>
      <c r="EH137" s="62"/>
      <c r="EI137" s="62"/>
      <c r="EJ137" s="62"/>
      <c r="EK137" s="62"/>
      <c r="EL137" s="62"/>
      <c r="EM137" s="62"/>
      <c r="EN137" s="62"/>
      <c r="EO137" s="62"/>
      <c r="EP137" s="62"/>
      <c r="EQ137" s="62"/>
      <c r="ER137" s="62"/>
      <c r="ES137" s="62"/>
      <c r="ET137" s="62"/>
      <c r="EU137" s="62"/>
      <c r="EV137" s="62"/>
      <c r="EW137" s="62"/>
      <c r="EX137" s="62"/>
      <c r="EY137" s="62"/>
      <c r="EZ137" s="62"/>
      <c r="FA137" s="62"/>
      <c r="FB137" s="62"/>
      <c r="FC137" s="62"/>
      <c r="FD137" s="62"/>
      <c r="FE137" s="62"/>
      <c r="FF137" s="62"/>
    </row>
    <row r="138" spans="1:162" s="56" customFormat="1">
      <c r="A138" s="54"/>
      <c r="B138" s="55"/>
      <c r="C138" s="491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173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883"/>
      <c r="AH138" s="174"/>
      <c r="AI138" s="492"/>
      <c r="AJ138" s="905"/>
      <c r="AK138" s="919"/>
      <c r="AL138" s="174"/>
      <c r="AM138" s="174"/>
      <c r="AN138" s="174"/>
      <c r="AO138" s="928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/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/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D138" s="174"/>
      <c r="CE138" s="174"/>
      <c r="CF138" s="174"/>
      <c r="CG138" s="174"/>
      <c r="CH138" s="174"/>
      <c r="CI138" s="174"/>
      <c r="CJ138" s="174"/>
      <c r="CK138" s="174"/>
      <c r="CL138" s="174"/>
      <c r="CM138" s="174"/>
      <c r="CN138" s="174"/>
      <c r="CO138" s="174"/>
      <c r="CP138" s="174"/>
      <c r="CQ138" s="174"/>
      <c r="CR138" s="174"/>
      <c r="CS138" s="174"/>
      <c r="CT138" s="174"/>
      <c r="CU138" s="174"/>
      <c r="CV138" s="174"/>
      <c r="CW138" s="174"/>
      <c r="CX138" s="174"/>
      <c r="CY138" s="174"/>
      <c r="CZ138" s="174"/>
      <c r="DA138" s="174"/>
      <c r="DB138" s="174"/>
      <c r="DC138" s="174"/>
      <c r="DD138" s="174"/>
      <c r="DE138" s="174"/>
      <c r="DF138" s="174"/>
      <c r="DG138" s="174"/>
      <c r="DH138" s="174"/>
      <c r="DI138" s="174"/>
      <c r="DJ138" s="174"/>
      <c r="DK138" s="174"/>
      <c r="DL138" s="62"/>
      <c r="DM138" s="62"/>
      <c r="DN138" s="62"/>
      <c r="DO138" s="62"/>
      <c r="DP138" s="62"/>
      <c r="DQ138" s="62"/>
      <c r="DR138" s="62"/>
      <c r="DS138" s="62"/>
      <c r="DT138" s="62"/>
      <c r="DU138" s="62"/>
      <c r="DV138" s="62"/>
      <c r="DW138" s="62"/>
      <c r="DX138" s="62"/>
      <c r="DY138" s="62"/>
      <c r="DZ138" s="62"/>
      <c r="EA138" s="62"/>
      <c r="EB138" s="62"/>
      <c r="EC138" s="62"/>
      <c r="ED138" s="62"/>
      <c r="EE138" s="454"/>
      <c r="EF138" s="62"/>
      <c r="EG138" s="62"/>
      <c r="EH138" s="62"/>
      <c r="EI138" s="62"/>
      <c r="EJ138" s="62"/>
      <c r="EK138" s="62"/>
      <c r="EL138" s="62"/>
      <c r="EM138" s="62"/>
      <c r="EN138" s="62"/>
      <c r="EO138" s="62"/>
      <c r="EP138" s="62"/>
      <c r="EQ138" s="62"/>
      <c r="ER138" s="62"/>
      <c r="ES138" s="62"/>
      <c r="ET138" s="62"/>
      <c r="EU138" s="62"/>
      <c r="EV138" s="62"/>
      <c r="EW138" s="62"/>
      <c r="EX138" s="62"/>
      <c r="EY138" s="62"/>
      <c r="EZ138" s="62"/>
      <c r="FA138" s="62"/>
      <c r="FB138" s="62"/>
      <c r="FC138" s="62"/>
      <c r="FD138" s="62"/>
      <c r="FE138" s="62"/>
      <c r="FF138" s="62"/>
    </row>
    <row r="139" spans="1:162">
      <c r="A139" s="487">
        <f>MATCH(C139,$C$5:$C$361,0)</f>
        <v>135</v>
      </c>
      <c r="C139" s="14" t="s">
        <v>3016</v>
      </c>
      <c r="D139" s="14">
        <f t="shared" ref="D139:Q139" si="61">SUM(D118:D138)</f>
        <v>715</v>
      </c>
      <c r="E139" s="14">
        <f t="shared" si="61"/>
        <v>2145</v>
      </c>
      <c r="F139" s="14">
        <f t="shared" si="61"/>
        <v>0</v>
      </c>
      <c r="G139" s="14">
        <f t="shared" si="61"/>
        <v>0</v>
      </c>
      <c r="H139" s="14">
        <f t="shared" si="61"/>
        <v>0</v>
      </c>
      <c r="I139" s="14">
        <f t="shared" si="61"/>
        <v>0</v>
      </c>
      <c r="J139" s="14">
        <f t="shared" si="61"/>
        <v>0</v>
      </c>
      <c r="K139" s="14">
        <f t="shared" si="61"/>
        <v>0</v>
      </c>
      <c r="L139" s="14">
        <f t="shared" si="61"/>
        <v>715</v>
      </c>
      <c r="M139" s="14">
        <f t="shared" si="61"/>
        <v>0</v>
      </c>
      <c r="N139" s="14">
        <f t="shared" si="61"/>
        <v>0</v>
      </c>
      <c r="O139" s="14">
        <f t="shared" si="61"/>
        <v>0</v>
      </c>
      <c r="P139" s="14">
        <f t="shared" si="61"/>
        <v>0</v>
      </c>
      <c r="Q139" s="14">
        <f t="shared" si="61"/>
        <v>0</v>
      </c>
      <c r="R139" s="14"/>
      <c r="S139" s="175">
        <f t="shared" ref="S139:AY139" si="62">SUM(S118:S138)</f>
        <v>0</v>
      </c>
      <c r="T139" s="175">
        <f t="shared" si="62"/>
        <v>0</v>
      </c>
      <c r="U139" s="175">
        <f t="shared" si="62"/>
        <v>0</v>
      </c>
      <c r="V139" s="175">
        <f t="shared" si="62"/>
        <v>29</v>
      </c>
      <c r="W139" s="175">
        <f t="shared" si="62"/>
        <v>0</v>
      </c>
      <c r="X139" s="175">
        <f t="shared" si="62"/>
        <v>0</v>
      </c>
      <c r="Y139" s="175">
        <f t="shared" si="62"/>
        <v>0</v>
      </c>
      <c r="Z139" s="175">
        <f t="shared" si="62"/>
        <v>0</v>
      </c>
      <c r="AA139" s="175">
        <f t="shared" si="62"/>
        <v>0</v>
      </c>
      <c r="AB139" s="175">
        <f t="shared" si="62"/>
        <v>0</v>
      </c>
      <c r="AC139" s="175">
        <f t="shared" si="62"/>
        <v>0</v>
      </c>
      <c r="AD139" s="175">
        <f t="shared" si="62"/>
        <v>9</v>
      </c>
      <c r="AE139" s="175">
        <f t="shared" si="62"/>
        <v>0</v>
      </c>
      <c r="AF139" s="175">
        <f t="shared" si="62"/>
        <v>0</v>
      </c>
      <c r="AG139" s="884">
        <f>SUM(AG118:AG138)</f>
        <v>0</v>
      </c>
      <c r="AH139" s="175">
        <f t="shared" si="62"/>
        <v>0</v>
      </c>
      <c r="AI139" s="178">
        <f t="shared" si="62"/>
        <v>0</v>
      </c>
      <c r="AJ139" s="906">
        <f t="shared" si="62"/>
        <v>10</v>
      </c>
      <c r="AK139" s="920">
        <f t="shared" si="62"/>
        <v>0</v>
      </c>
      <c r="AL139" s="175">
        <f t="shared" si="62"/>
        <v>0</v>
      </c>
      <c r="AM139" s="175">
        <f t="shared" si="62"/>
        <v>0</v>
      </c>
      <c r="AN139" s="175">
        <f t="shared" si="62"/>
        <v>0</v>
      </c>
      <c r="AO139" s="929">
        <f t="shared" si="62"/>
        <v>0</v>
      </c>
      <c r="AP139" s="175">
        <f t="shared" si="62"/>
        <v>0</v>
      </c>
      <c r="AQ139" s="175">
        <f t="shared" si="62"/>
        <v>0</v>
      </c>
      <c r="AR139" s="175">
        <f t="shared" si="62"/>
        <v>0</v>
      </c>
      <c r="AS139" s="175">
        <f t="shared" si="62"/>
        <v>0</v>
      </c>
      <c r="AT139" s="175">
        <f t="shared" si="62"/>
        <v>0</v>
      </c>
      <c r="AU139" s="175">
        <f t="shared" si="62"/>
        <v>0</v>
      </c>
      <c r="AV139" s="175">
        <f t="shared" si="62"/>
        <v>0</v>
      </c>
      <c r="AW139" s="175">
        <f t="shared" si="62"/>
        <v>0</v>
      </c>
      <c r="AX139" s="175">
        <f t="shared" si="62"/>
        <v>0</v>
      </c>
      <c r="AY139" s="175">
        <f t="shared" si="62"/>
        <v>0</v>
      </c>
      <c r="AZ139" s="175">
        <f t="shared" ref="AZ139:CF139" si="63">SUM(AZ118:AZ138)</f>
        <v>0</v>
      </c>
      <c r="BA139" s="175">
        <f t="shared" si="63"/>
        <v>0</v>
      </c>
      <c r="BB139" s="175">
        <f t="shared" si="63"/>
        <v>0</v>
      </c>
      <c r="BC139" s="175">
        <f t="shared" si="63"/>
        <v>0</v>
      </c>
      <c r="BD139" s="175">
        <f t="shared" si="63"/>
        <v>0</v>
      </c>
      <c r="BE139" s="175">
        <f t="shared" si="63"/>
        <v>0</v>
      </c>
      <c r="BF139" s="175">
        <f t="shared" si="63"/>
        <v>4</v>
      </c>
      <c r="BG139" s="175">
        <f t="shared" si="63"/>
        <v>0</v>
      </c>
      <c r="BH139" s="175">
        <f t="shared" si="63"/>
        <v>0</v>
      </c>
      <c r="BI139" s="175">
        <f t="shared" si="63"/>
        <v>1</v>
      </c>
      <c r="BJ139" s="175">
        <f>SUM(BJ118:BJ138)</f>
        <v>0</v>
      </c>
      <c r="BK139" s="175">
        <f t="shared" si="63"/>
        <v>0</v>
      </c>
      <c r="BL139" s="175">
        <f t="shared" si="63"/>
        <v>0</v>
      </c>
      <c r="BM139" s="175">
        <f t="shared" si="63"/>
        <v>0</v>
      </c>
      <c r="BN139" s="175">
        <f t="shared" si="63"/>
        <v>0</v>
      </c>
      <c r="BO139" s="175">
        <f t="shared" si="63"/>
        <v>0</v>
      </c>
      <c r="BP139" s="175">
        <f t="shared" si="63"/>
        <v>0</v>
      </c>
      <c r="BQ139" s="175">
        <f t="shared" si="63"/>
        <v>9</v>
      </c>
      <c r="BR139" s="175">
        <f t="shared" si="63"/>
        <v>6</v>
      </c>
      <c r="BS139" s="175">
        <f t="shared" si="63"/>
        <v>0</v>
      </c>
      <c r="BT139" s="175">
        <f t="shared" si="63"/>
        <v>0</v>
      </c>
      <c r="BU139" s="175">
        <f t="shared" si="63"/>
        <v>0</v>
      </c>
      <c r="BV139" s="175">
        <f t="shared" si="63"/>
        <v>1</v>
      </c>
      <c r="BW139" s="175">
        <f t="shared" si="63"/>
        <v>5</v>
      </c>
      <c r="BX139" s="175">
        <f t="shared" si="63"/>
        <v>0</v>
      </c>
      <c r="BY139" s="175">
        <f t="shared" si="63"/>
        <v>0</v>
      </c>
      <c r="BZ139" s="175">
        <f t="shared" si="63"/>
        <v>0</v>
      </c>
      <c r="CA139" s="175">
        <f t="shared" si="63"/>
        <v>0</v>
      </c>
      <c r="CB139" s="175">
        <f t="shared" si="63"/>
        <v>1</v>
      </c>
      <c r="CC139" s="175">
        <f t="shared" si="63"/>
        <v>0</v>
      </c>
      <c r="CD139" s="175">
        <f t="shared" si="63"/>
        <v>0</v>
      </c>
      <c r="CE139" s="175">
        <f t="shared" si="63"/>
        <v>74</v>
      </c>
      <c r="CF139" s="175">
        <f t="shared" si="63"/>
        <v>31</v>
      </c>
      <c r="CG139" s="175">
        <f t="shared" ref="CG139:DL139" si="64">SUM(CG118:CG138)</f>
        <v>43</v>
      </c>
      <c r="CH139" s="175">
        <f t="shared" si="64"/>
        <v>24</v>
      </c>
      <c r="CI139" s="175">
        <f t="shared" si="64"/>
        <v>0</v>
      </c>
      <c r="CJ139" s="175">
        <f t="shared" si="64"/>
        <v>0</v>
      </c>
      <c r="CK139" s="175">
        <f t="shared" si="64"/>
        <v>0</v>
      </c>
      <c r="CL139" s="175">
        <f t="shared" si="64"/>
        <v>0</v>
      </c>
      <c r="CM139" s="175">
        <f t="shared" si="64"/>
        <v>0</v>
      </c>
      <c r="CN139" s="175">
        <f t="shared" si="64"/>
        <v>0</v>
      </c>
      <c r="CO139" s="175">
        <f t="shared" si="64"/>
        <v>0</v>
      </c>
      <c r="CP139" s="175">
        <f t="shared" si="64"/>
        <v>0</v>
      </c>
      <c r="CQ139" s="175">
        <f t="shared" si="64"/>
        <v>9</v>
      </c>
      <c r="CR139" s="175">
        <f t="shared" si="64"/>
        <v>6</v>
      </c>
      <c r="CS139" s="175">
        <f t="shared" si="64"/>
        <v>8</v>
      </c>
      <c r="CT139" s="175">
        <f t="shared" si="64"/>
        <v>0</v>
      </c>
      <c r="CU139" s="175">
        <f t="shared" si="64"/>
        <v>0</v>
      </c>
      <c r="CV139" s="175">
        <f t="shared" si="64"/>
        <v>0</v>
      </c>
      <c r="CW139" s="175">
        <f t="shared" si="64"/>
        <v>0</v>
      </c>
      <c r="CX139" s="175">
        <f t="shared" si="64"/>
        <v>6</v>
      </c>
      <c r="CY139" s="175">
        <f t="shared" si="64"/>
        <v>6</v>
      </c>
      <c r="CZ139" s="175">
        <f t="shared" si="64"/>
        <v>3</v>
      </c>
      <c r="DA139" s="175">
        <f t="shared" si="64"/>
        <v>0</v>
      </c>
      <c r="DB139" s="175">
        <f t="shared" si="64"/>
        <v>2</v>
      </c>
      <c r="DC139" s="175">
        <f t="shared" si="64"/>
        <v>0</v>
      </c>
      <c r="DD139" s="175">
        <f t="shared" si="64"/>
        <v>0</v>
      </c>
      <c r="DE139" s="175">
        <f t="shared" si="64"/>
        <v>0</v>
      </c>
      <c r="DF139" s="175">
        <f t="shared" si="64"/>
        <v>0</v>
      </c>
      <c r="DG139" s="175">
        <f t="shared" si="64"/>
        <v>0</v>
      </c>
      <c r="DH139" s="175">
        <f t="shared" si="64"/>
        <v>0</v>
      </c>
      <c r="DI139" s="175">
        <f t="shared" si="64"/>
        <v>3</v>
      </c>
      <c r="DJ139" s="175">
        <f t="shared" si="64"/>
        <v>0</v>
      </c>
      <c r="DK139" s="175">
        <f t="shared" si="64"/>
        <v>0</v>
      </c>
      <c r="DL139" s="14">
        <f t="shared" si="64"/>
        <v>8</v>
      </c>
      <c r="DM139" s="14">
        <f t="shared" ref="DM139:ES139" si="65">SUM(DM118:DM138)</f>
        <v>0</v>
      </c>
      <c r="DN139" s="14">
        <f t="shared" si="65"/>
        <v>0</v>
      </c>
      <c r="DO139" s="14">
        <f t="shared" si="65"/>
        <v>0</v>
      </c>
      <c r="DP139" s="14">
        <f t="shared" si="65"/>
        <v>0</v>
      </c>
      <c r="DQ139" s="14">
        <f t="shared" si="65"/>
        <v>0</v>
      </c>
      <c r="DR139" s="14">
        <f t="shared" si="65"/>
        <v>0</v>
      </c>
      <c r="DS139" s="14">
        <f t="shared" si="65"/>
        <v>7.5</v>
      </c>
      <c r="DT139" s="14">
        <f t="shared" si="65"/>
        <v>13.5</v>
      </c>
      <c r="DU139" s="14">
        <f t="shared" si="65"/>
        <v>0</v>
      </c>
      <c r="DV139" s="14">
        <f t="shared" si="65"/>
        <v>0</v>
      </c>
      <c r="DW139" s="14">
        <f t="shared" si="65"/>
        <v>0</v>
      </c>
      <c r="DX139" s="14">
        <f t="shared" si="65"/>
        <v>0</v>
      </c>
      <c r="DY139" s="14">
        <f t="shared" si="65"/>
        <v>0</v>
      </c>
      <c r="DZ139" s="14">
        <f t="shared" si="65"/>
        <v>0</v>
      </c>
      <c r="EA139" s="14">
        <f t="shared" si="65"/>
        <v>0</v>
      </c>
      <c r="EB139" s="14">
        <f t="shared" si="65"/>
        <v>0</v>
      </c>
      <c r="EC139" s="14">
        <f t="shared" si="65"/>
        <v>0</v>
      </c>
      <c r="ED139" s="14">
        <f t="shared" si="65"/>
        <v>0</v>
      </c>
      <c r="EE139" s="508"/>
      <c r="EF139" s="14">
        <f t="shared" si="65"/>
        <v>0</v>
      </c>
      <c r="EG139" s="14">
        <f t="shared" si="65"/>
        <v>0</v>
      </c>
      <c r="EH139" s="14">
        <f t="shared" si="65"/>
        <v>0</v>
      </c>
      <c r="EI139" s="14">
        <f t="shared" si="65"/>
        <v>0</v>
      </c>
      <c r="EJ139" s="14">
        <f t="shared" si="65"/>
        <v>0</v>
      </c>
      <c r="EK139" s="14">
        <f t="shared" si="65"/>
        <v>0</v>
      </c>
      <c r="EL139" s="14">
        <f t="shared" si="65"/>
        <v>0</v>
      </c>
      <c r="EM139" s="14">
        <f t="shared" si="65"/>
        <v>0</v>
      </c>
      <c r="EN139" s="14">
        <f t="shared" si="65"/>
        <v>0</v>
      </c>
      <c r="EO139" s="14">
        <f t="shared" si="65"/>
        <v>0</v>
      </c>
      <c r="EP139" s="14">
        <f t="shared" si="65"/>
        <v>0</v>
      </c>
      <c r="EQ139" s="14">
        <f t="shared" si="65"/>
        <v>0</v>
      </c>
      <c r="ER139" s="14">
        <f t="shared" si="65"/>
        <v>0</v>
      </c>
      <c r="ES139" s="14">
        <f t="shared" si="65"/>
        <v>0</v>
      </c>
      <c r="ET139" s="14">
        <f t="shared" ref="ET139:FE139" si="66">SUM(ET118:ET138)</f>
        <v>0</v>
      </c>
      <c r="EU139" s="14">
        <f t="shared" si="66"/>
        <v>0</v>
      </c>
      <c r="EV139" s="14">
        <f t="shared" si="66"/>
        <v>0</v>
      </c>
      <c r="EW139" s="14">
        <f t="shared" si="66"/>
        <v>0</v>
      </c>
      <c r="EX139" s="14">
        <f t="shared" si="66"/>
        <v>0</v>
      </c>
      <c r="EY139" s="14">
        <f t="shared" si="66"/>
        <v>0</v>
      </c>
      <c r="EZ139" s="14">
        <f t="shared" si="66"/>
        <v>0</v>
      </c>
      <c r="FA139" s="14">
        <f t="shared" si="66"/>
        <v>0</v>
      </c>
      <c r="FB139" s="14">
        <f t="shared" si="66"/>
        <v>0</v>
      </c>
      <c r="FC139" s="14">
        <f t="shared" si="66"/>
        <v>0</v>
      </c>
      <c r="FD139" s="14">
        <f t="shared" si="66"/>
        <v>0</v>
      </c>
      <c r="FE139" s="14">
        <f t="shared" si="66"/>
        <v>0</v>
      </c>
      <c r="FF139" s="14"/>
    </row>
    <row r="140" spans="1:162">
      <c r="A140" s="54"/>
      <c r="B140" s="55" t="s">
        <v>3058</v>
      </c>
      <c r="C140" s="11" t="s">
        <v>3889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885"/>
      <c r="AH140" s="176"/>
      <c r="AI140" s="897"/>
      <c r="AJ140" s="907"/>
      <c r="AK140" s="921"/>
      <c r="AL140" s="176"/>
      <c r="AM140" s="176"/>
      <c r="AN140" s="176"/>
      <c r="AO140" s="176"/>
      <c r="AP140" s="176"/>
      <c r="AQ140" s="176"/>
      <c r="AR140" s="176"/>
      <c r="AS140" s="176"/>
      <c r="AT140" s="176"/>
      <c r="AU140" s="176"/>
      <c r="AV140" s="176"/>
      <c r="AW140" s="176"/>
      <c r="AX140" s="176"/>
      <c r="AY140" s="176"/>
      <c r="AZ140" s="176"/>
      <c r="BA140" s="176"/>
      <c r="BB140" s="176"/>
      <c r="BC140" s="176"/>
      <c r="BD140" s="176"/>
      <c r="BE140" s="176"/>
      <c r="BF140" s="176"/>
      <c r="BG140" s="176"/>
      <c r="BH140" s="176"/>
      <c r="BI140" s="176"/>
      <c r="BJ140" s="176"/>
      <c r="BK140" s="176"/>
      <c r="BL140" s="176"/>
      <c r="BM140" s="176"/>
      <c r="BN140" s="176"/>
      <c r="BO140" s="176"/>
      <c r="BP140" s="176"/>
      <c r="BQ140" s="176"/>
      <c r="BR140" s="176"/>
      <c r="BS140" s="176"/>
      <c r="BT140" s="176"/>
      <c r="BU140" s="176"/>
      <c r="BV140" s="176"/>
      <c r="BW140" s="176"/>
      <c r="BX140" s="176"/>
      <c r="BY140" s="176"/>
      <c r="BZ140" s="176"/>
      <c r="CA140" s="176"/>
      <c r="CB140" s="176"/>
      <c r="CC140" s="176"/>
      <c r="CD140" s="176"/>
      <c r="CE140" s="176"/>
      <c r="CF140" s="176"/>
      <c r="CG140" s="176"/>
      <c r="CH140" s="176"/>
      <c r="CI140" s="176"/>
      <c r="CJ140" s="176"/>
      <c r="CK140" s="176"/>
      <c r="CL140" s="176"/>
      <c r="CM140" s="176"/>
      <c r="CN140" s="176"/>
      <c r="CO140" s="176"/>
      <c r="CP140" s="176"/>
      <c r="CQ140" s="176"/>
      <c r="CR140" s="176"/>
      <c r="CS140" s="176"/>
      <c r="CT140" s="176"/>
      <c r="CU140" s="176"/>
      <c r="CV140" s="176"/>
      <c r="CW140" s="176"/>
      <c r="CX140" s="176"/>
      <c r="CY140" s="176"/>
      <c r="CZ140" s="176"/>
      <c r="DA140" s="176"/>
      <c r="DB140" s="176"/>
      <c r="DC140" s="176"/>
      <c r="DD140" s="176"/>
      <c r="DE140" s="176"/>
      <c r="DF140" s="176"/>
      <c r="DG140" s="176"/>
      <c r="DH140" s="176"/>
      <c r="DI140" s="176"/>
      <c r="DJ140" s="176"/>
      <c r="DK140" s="176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503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3"/>
    </row>
    <row r="141" spans="1:162" s="56" customFormat="1">
      <c r="A141" s="54"/>
      <c r="B141" s="55"/>
      <c r="C141" s="491" t="s">
        <v>3788</v>
      </c>
      <c r="D141" s="62"/>
      <c r="E141" s="62">
        <f t="shared" ref="E141:E148" si="67">D141*3</f>
        <v>0</v>
      </c>
      <c r="F141" s="62"/>
      <c r="G141" s="62"/>
      <c r="H141" s="62"/>
      <c r="I141" s="62"/>
      <c r="J141" s="62"/>
      <c r="K141" s="62"/>
      <c r="L141" s="62">
        <f t="shared" ref="L141:L148" si="68">D141</f>
        <v>0</v>
      </c>
      <c r="M141" s="62"/>
      <c r="N141" s="62"/>
      <c r="O141" s="62"/>
      <c r="P141" s="62"/>
      <c r="Q141" s="62"/>
      <c r="R141" s="173" t="s">
        <v>3005</v>
      </c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883"/>
      <c r="AH141" s="174"/>
      <c r="AI141" s="492"/>
      <c r="AJ141" s="905"/>
      <c r="AK141" s="919"/>
      <c r="AL141" s="174"/>
      <c r="AM141" s="174"/>
      <c r="AN141" s="174"/>
      <c r="AO141" s="928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  <c r="BR141" s="174"/>
      <c r="BS141" s="174"/>
      <c r="BT141" s="174"/>
      <c r="BU141" s="174"/>
      <c r="BV141" s="174">
        <v>1</v>
      </c>
      <c r="BW141" s="174"/>
      <c r="BX141" s="174"/>
      <c r="BY141" s="174"/>
      <c r="BZ141" s="174"/>
      <c r="CA141" s="174"/>
      <c r="CB141" s="174"/>
      <c r="CC141" s="174"/>
      <c r="CD141" s="174"/>
      <c r="CE141" s="174">
        <v>6</v>
      </c>
      <c r="CF141" s="174"/>
      <c r="CG141" s="174">
        <v>6</v>
      </c>
      <c r="CH141" s="174">
        <v>3</v>
      </c>
      <c r="CI141" s="174"/>
      <c r="CJ141" s="174"/>
      <c r="CK141" s="174"/>
      <c r="CL141" s="174"/>
      <c r="CM141" s="174"/>
      <c r="CN141" s="174"/>
      <c r="CO141" s="174"/>
      <c r="CP141" s="174"/>
      <c r="CQ141" s="174"/>
      <c r="CR141" s="174"/>
      <c r="CS141" s="174">
        <v>1</v>
      </c>
      <c r="CT141" s="174"/>
      <c r="CU141" s="174"/>
      <c r="CV141" s="174"/>
      <c r="CW141" s="174"/>
      <c r="CX141" s="174">
        <v>3</v>
      </c>
      <c r="CY141" s="174">
        <v>3</v>
      </c>
      <c r="CZ141" s="174">
        <v>3</v>
      </c>
      <c r="DA141" s="174"/>
      <c r="DB141" s="174"/>
      <c r="DC141" s="174">
        <v>2</v>
      </c>
      <c r="DD141" s="174"/>
      <c r="DE141" s="174"/>
      <c r="DF141" s="174"/>
      <c r="DG141" s="174"/>
      <c r="DH141" s="174"/>
      <c r="DI141" s="174"/>
      <c r="DJ141" s="174"/>
      <c r="DK141" s="174"/>
      <c r="DL141" s="62">
        <v>1.5</v>
      </c>
      <c r="DM141" s="62"/>
      <c r="DN141" s="62"/>
      <c r="DO141" s="62"/>
      <c r="DP141" s="62"/>
      <c r="DQ141" s="62"/>
      <c r="DR141" s="62"/>
      <c r="DS141" s="62">
        <v>1.5</v>
      </c>
      <c r="DT141" s="62">
        <v>3</v>
      </c>
      <c r="DU141" s="62"/>
      <c r="DV141" s="62"/>
      <c r="DW141" s="62"/>
      <c r="DX141" s="62"/>
      <c r="DY141" s="62"/>
      <c r="DZ141" s="62"/>
      <c r="EA141" s="62"/>
      <c r="EB141" s="62"/>
      <c r="EC141" s="62"/>
      <c r="ED141" s="62"/>
      <c r="EE141" s="454"/>
      <c r="EF141" s="62"/>
      <c r="EG141" s="62"/>
      <c r="EH141" s="62"/>
      <c r="EI141" s="62"/>
      <c r="EJ141" s="62"/>
      <c r="EK141" s="62"/>
      <c r="EL141" s="62"/>
      <c r="EM141" s="62"/>
      <c r="EN141" s="62"/>
      <c r="EO141" s="62"/>
      <c r="EP141" s="62"/>
      <c r="EQ141" s="62"/>
      <c r="ER141" s="62"/>
      <c r="ES141" s="62"/>
      <c r="ET141" s="62"/>
      <c r="EU141" s="62"/>
      <c r="EV141" s="62"/>
      <c r="EW141" s="62"/>
      <c r="EX141" s="62"/>
      <c r="EY141" s="62"/>
      <c r="EZ141" s="62"/>
      <c r="FA141" s="62"/>
      <c r="FB141" s="62"/>
      <c r="FC141" s="62"/>
      <c r="FD141" s="62"/>
      <c r="FE141" s="62"/>
      <c r="FF141" s="62"/>
    </row>
    <row r="142" spans="1:162" s="56" customFormat="1">
      <c r="A142" s="54"/>
      <c r="B142" s="55"/>
      <c r="C142" s="491" t="s">
        <v>3006</v>
      </c>
      <c r="D142" s="62">
        <v>15</v>
      </c>
      <c r="E142" s="62">
        <f t="shared" si="67"/>
        <v>45</v>
      </c>
      <c r="F142" s="62"/>
      <c r="G142" s="62"/>
      <c r="H142" s="62"/>
      <c r="I142" s="62"/>
      <c r="J142" s="62"/>
      <c r="K142" s="62"/>
      <c r="L142" s="62">
        <f t="shared" si="68"/>
        <v>15</v>
      </c>
      <c r="M142" s="62"/>
      <c r="N142" s="62"/>
      <c r="O142" s="62"/>
      <c r="P142" s="62"/>
      <c r="Q142" s="62"/>
      <c r="R142" s="173" t="s">
        <v>2989</v>
      </c>
      <c r="S142" s="174"/>
      <c r="T142" s="174"/>
      <c r="U142" s="174"/>
      <c r="V142" s="174">
        <v>2</v>
      </c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883"/>
      <c r="AH142" s="174"/>
      <c r="AI142" s="492"/>
      <c r="AJ142" s="905">
        <v>1</v>
      </c>
      <c r="AK142" s="919"/>
      <c r="AL142" s="174"/>
      <c r="AM142" s="174"/>
      <c r="AN142" s="174"/>
      <c r="AO142" s="928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>
        <v>1</v>
      </c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>
        <v>1</v>
      </c>
      <c r="BX142" s="174"/>
      <c r="BY142" s="174"/>
      <c r="BZ142" s="174"/>
      <c r="CA142" s="174"/>
      <c r="CB142" s="174">
        <v>1</v>
      </c>
      <c r="CC142" s="174"/>
      <c r="CD142" s="174"/>
      <c r="CE142" s="174"/>
      <c r="CF142" s="174"/>
      <c r="CG142" s="174"/>
      <c r="CH142" s="174">
        <v>6</v>
      </c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>
        <v>2</v>
      </c>
      <c r="CT142" s="174"/>
      <c r="CU142" s="174"/>
      <c r="CV142" s="174"/>
      <c r="CW142" s="174"/>
      <c r="CX142" s="174">
        <v>3</v>
      </c>
      <c r="CY142" s="174">
        <v>3</v>
      </c>
      <c r="CZ142" s="174">
        <v>3</v>
      </c>
      <c r="DA142" s="174"/>
      <c r="DB142" s="174"/>
      <c r="DC142" s="174"/>
      <c r="DD142" s="174"/>
      <c r="DE142" s="174"/>
      <c r="DF142" s="174"/>
      <c r="DG142" s="174"/>
      <c r="DH142" s="174"/>
      <c r="DI142" s="174">
        <v>3</v>
      </c>
      <c r="DJ142" s="174"/>
      <c r="DK142" s="174">
        <v>3</v>
      </c>
      <c r="DL142" s="62">
        <v>3</v>
      </c>
      <c r="DM142" s="62"/>
      <c r="DN142" s="62"/>
      <c r="DO142" s="62"/>
      <c r="DP142" s="62"/>
      <c r="DQ142" s="62"/>
      <c r="DR142" s="62"/>
      <c r="DS142" s="62">
        <v>3</v>
      </c>
      <c r="DT142" s="62">
        <v>10.5</v>
      </c>
      <c r="DU142" s="62"/>
      <c r="DV142" s="62"/>
      <c r="DW142" s="62"/>
      <c r="DX142" s="62"/>
      <c r="DY142" s="62"/>
      <c r="DZ142" s="62"/>
      <c r="EA142" s="62"/>
      <c r="EB142" s="62"/>
      <c r="EC142" s="62"/>
      <c r="ED142" s="62"/>
      <c r="EE142" s="454"/>
      <c r="EF142" s="62"/>
      <c r="EG142" s="62"/>
      <c r="EH142" s="62"/>
      <c r="EI142" s="62"/>
      <c r="EJ142" s="62"/>
      <c r="EK142" s="62"/>
      <c r="EL142" s="62"/>
      <c r="EM142" s="62"/>
      <c r="EN142" s="62"/>
      <c r="EO142" s="62"/>
      <c r="EP142" s="62"/>
      <c r="EQ142" s="62"/>
      <c r="ER142" s="62"/>
      <c r="ES142" s="62"/>
      <c r="ET142" s="62"/>
      <c r="EU142" s="62"/>
      <c r="EV142" s="62"/>
      <c r="EW142" s="62"/>
      <c r="EX142" s="62"/>
      <c r="EY142" s="62"/>
      <c r="EZ142" s="62"/>
      <c r="FA142" s="62"/>
      <c r="FB142" s="62"/>
      <c r="FC142" s="62"/>
      <c r="FD142" s="62"/>
      <c r="FE142" s="62"/>
      <c r="FF142" s="62"/>
    </row>
    <row r="143" spans="1:162" s="56" customFormat="1">
      <c r="A143" s="54"/>
      <c r="B143" s="55"/>
      <c r="C143" s="491" t="s">
        <v>2991</v>
      </c>
      <c r="D143" s="62">
        <v>30</v>
      </c>
      <c r="E143" s="62">
        <f t="shared" si="67"/>
        <v>90</v>
      </c>
      <c r="F143" s="62"/>
      <c r="G143" s="62"/>
      <c r="H143" s="62"/>
      <c r="I143" s="62"/>
      <c r="J143" s="62"/>
      <c r="K143" s="62"/>
      <c r="L143" s="62">
        <f t="shared" si="68"/>
        <v>30</v>
      </c>
      <c r="M143" s="62"/>
      <c r="N143" s="62"/>
      <c r="O143" s="62"/>
      <c r="P143" s="62"/>
      <c r="Q143" s="62"/>
      <c r="R143" s="173" t="s">
        <v>1903</v>
      </c>
      <c r="S143" s="174"/>
      <c r="T143" s="174"/>
      <c r="U143" s="174"/>
      <c r="V143" s="174">
        <v>2</v>
      </c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883"/>
      <c r="AH143" s="174"/>
      <c r="AI143" s="492"/>
      <c r="AJ143" s="905">
        <v>1</v>
      </c>
      <c r="AK143" s="919"/>
      <c r="AL143" s="174"/>
      <c r="AM143" s="174"/>
      <c r="AN143" s="174"/>
      <c r="AO143" s="928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4"/>
      <c r="BC143" s="174"/>
      <c r="BD143" s="174"/>
      <c r="BE143" s="174"/>
      <c r="BF143" s="174">
        <v>1</v>
      </c>
      <c r="BG143" s="174"/>
      <c r="BH143" s="174"/>
      <c r="BI143" s="174"/>
      <c r="BJ143" s="174"/>
      <c r="BK143" s="174"/>
      <c r="BL143" s="174"/>
      <c r="BM143" s="174"/>
      <c r="BN143" s="174"/>
      <c r="BO143" s="174"/>
      <c r="BP143" s="174"/>
      <c r="BQ143" s="174"/>
      <c r="BR143" s="174">
        <v>1</v>
      </c>
      <c r="BS143" s="174"/>
      <c r="BT143" s="174"/>
      <c r="BU143" s="174"/>
      <c r="BV143" s="174"/>
      <c r="BW143" s="174"/>
      <c r="BX143" s="174"/>
      <c r="BY143" s="174"/>
      <c r="BZ143" s="174"/>
      <c r="CA143" s="174"/>
      <c r="CB143" s="174"/>
      <c r="CC143" s="174"/>
      <c r="CD143" s="174"/>
      <c r="CE143" s="174">
        <v>6</v>
      </c>
      <c r="CF143" s="174"/>
      <c r="CG143" s="174">
        <v>6</v>
      </c>
      <c r="CH143" s="174"/>
      <c r="CI143" s="174"/>
      <c r="CJ143" s="174"/>
      <c r="CK143" s="174"/>
      <c r="CL143" s="174"/>
      <c r="CM143" s="174"/>
      <c r="CN143" s="174"/>
      <c r="CO143" s="174"/>
      <c r="CP143" s="174"/>
      <c r="CQ143" s="174"/>
      <c r="CR143" s="174">
        <v>1</v>
      </c>
      <c r="CS143" s="174"/>
      <c r="CT143" s="174"/>
      <c r="CU143" s="174"/>
      <c r="CV143" s="174"/>
      <c r="CW143" s="174"/>
      <c r="CX143" s="174">
        <v>3</v>
      </c>
      <c r="CY143" s="174">
        <v>3</v>
      </c>
      <c r="CZ143" s="174"/>
      <c r="DA143" s="174"/>
      <c r="DB143" s="174"/>
      <c r="DC143" s="174"/>
      <c r="DD143" s="174"/>
      <c r="DE143" s="174"/>
      <c r="DF143" s="174"/>
      <c r="DG143" s="174"/>
      <c r="DH143" s="174"/>
      <c r="DI143" s="174"/>
      <c r="DJ143" s="174"/>
      <c r="DK143" s="174"/>
      <c r="DL143" s="62"/>
      <c r="DM143" s="62"/>
      <c r="DN143" s="62"/>
      <c r="DO143" s="62"/>
      <c r="DP143" s="62"/>
      <c r="DQ143" s="62"/>
      <c r="DR143" s="62"/>
      <c r="DS143" s="62"/>
      <c r="DT143" s="62"/>
      <c r="DU143" s="62"/>
      <c r="DV143" s="62"/>
      <c r="DW143" s="62"/>
      <c r="DX143" s="62"/>
      <c r="DY143" s="62"/>
      <c r="DZ143" s="62"/>
      <c r="EA143" s="62"/>
      <c r="EB143" s="62"/>
      <c r="EC143" s="62"/>
      <c r="ED143" s="62"/>
      <c r="EE143" s="454"/>
      <c r="EF143" s="62"/>
      <c r="EG143" s="62"/>
      <c r="EH143" s="62"/>
      <c r="EI143" s="62"/>
      <c r="EJ143" s="62"/>
      <c r="EK143" s="62"/>
      <c r="EL143" s="62"/>
      <c r="EM143" s="62"/>
      <c r="EN143" s="62"/>
      <c r="EO143" s="62"/>
      <c r="EP143" s="62"/>
      <c r="EQ143" s="62"/>
      <c r="ER143" s="62"/>
      <c r="ES143" s="62"/>
      <c r="ET143" s="62"/>
      <c r="EU143" s="62"/>
      <c r="EV143" s="62"/>
      <c r="EW143" s="62"/>
      <c r="EX143" s="62"/>
      <c r="EY143" s="62"/>
      <c r="EZ143" s="62"/>
      <c r="FA143" s="62"/>
      <c r="FB143" s="62"/>
      <c r="FC143" s="62"/>
      <c r="FD143" s="62"/>
      <c r="FE143" s="62"/>
      <c r="FF143" s="62"/>
    </row>
    <row r="144" spans="1:162" s="56" customFormat="1">
      <c r="A144" s="54"/>
      <c r="B144" s="55"/>
      <c r="C144" s="491" t="s">
        <v>2992</v>
      </c>
      <c r="D144" s="62">
        <v>35</v>
      </c>
      <c r="E144" s="62">
        <f t="shared" si="67"/>
        <v>105</v>
      </c>
      <c r="F144" s="62"/>
      <c r="G144" s="62"/>
      <c r="H144" s="62"/>
      <c r="I144" s="62"/>
      <c r="J144" s="62"/>
      <c r="K144" s="62"/>
      <c r="L144" s="62">
        <f t="shared" si="68"/>
        <v>35</v>
      </c>
      <c r="M144" s="62"/>
      <c r="N144" s="62"/>
      <c r="O144" s="62"/>
      <c r="P144" s="62"/>
      <c r="Q144" s="62"/>
      <c r="R144" s="173" t="s">
        <v>1631</v>
      </c>
      <c r="S144" s="174"/>
      <c r="T144" s="174"/>
      <c r="U144" s="174"/>
      <c r="V144" s="174">
        <v>1</v>
      </c>
      <c r="W144" s="174"/>
      <c r="X144" s="174"/>
      <c r="Y144" s="174"/>
      <c r="Z144" s="174"/>
      <c r="AA144" s="174"/>
      <c r="AB144" s="174"/>
      <c r="AC144" s="174"/>
      <c r="AD144" s="174">
        <v>1</v>
      </c>
      <c r="AE144" s="174"/>
      <c r="AF144" s="174"/>
      <c r="AG144" s="883"/>
      <c r="AH144" s="174"/>
      <c r="AI144" s="492"/>
      <c r="AJ144" s="905"/>
      <c r="AK144" s="919"/>
      <c r="AL144" s="174"/>
      <c r="AM144" s="174"/>
      <c r="AN144" s="174"/>
      <c r="AO144" s="928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>
        <v>1</v>
      </c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>
        <v>3</v>
      </c>
      <c r="CF144" s="174">
        <v>3</v>
      </c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>
        <v>1</v>
      </c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62"/>
      <c r="DM144" s="62"/>
      <c r="DN144" s="62"/>
      <c r="DO144" s="62"/>
      <c r="DP144" s="62"/>
      <c r="DQ144" s="62"/>
      <c r="DR144" s="62"/>
      <c r="DS144" s="62"/>
      <c r="DT144" s="62"/>
      <c r="DU144" s="62"/>
      <c r="DV144" s="62"/>
      <c r="DW144" s="62"/>
      <c r="DX144" s="62"/>
      <c r="DY144" s="62"/>
      <c r="DZ144" s="62"/>
      <c r="EA144" s="62"/>
      <c r="EB144" s="62"/>
      <c r="EC144" s="62"/>
      <c r="ED144" s="62"/>
      <c r="EE144" s="454"/>
      <c r="EF144" s="62"/>
      <c r="EG144" s="62"/>
      <c r="EH144" s="62"/>
      <c r="EI144" s="62"/>
      <c r="EJ144" s="62"/>
      <c r="EK144" s="62"/>
      <c r="EL144" s="62"/>
      <c r="EM144" s="62"/>
      <c r="EN144" s="62"/>
      <c r="EO144" s="62"/>
      <c r="EP144" s="62"/>
      <c r="EQ144" s="62"/>
      <c r="ER144" s="62"/>
      <c r="ES144" s="62"/>
      <c r="ET144" s="62"/>
      <c r="EU144" s="62"/>
      <c r="EV144" s="62"/>
      <c r="EW144" s="62"/>
      <c r="EX144" s="62"/>
      <c r="EY144" s="62"/>
      <c r="EZ144" s="62"/>
      <c r="FA144" s="62"/>
      <c r="FB144" s="62"/>
      <c r="FC144" s="62"/>
      <c r="FD144" s="62"/>
      <c r="FE144" s="62"/>
      <c r="FF144" s="62"/>
    </row>
    <row r="145" spans="1:162" s="56" customFormat="1">
      <c r="A145" s="54"/>
      <c r="B145" s="55"/>
      <c r="C145" s="491" t="s">
        <v>2993</v>
      </c>
      <c r="D145" s="62">
        <v>33</v>
      </c>
      <c r="E145" s="62">
        <f t="shared" si="67"/>
        <v>99</v>
      </c>
      <c r="F145" s="62"/>
      <c r="G145" s="62"/>
      <c r="H145" s="62"/>
      <c r="I145" s="62"/>
      <c r="J145" s="62"/>
      <c r="K145" s="62"/>
      <c r="L145" s="62">
        <f t="shared" si="68"/>
        <v>33</v>
      </c>
      <c r="M145" s="62"/>
      <c r="N145" s="62"/>
      <c r="O145" s="62"/>
      <c r="P145" s="62"/>
      <c r="Q145" s="62"/>
      <c r="R145" s="173" t="s">
        <v>1631</v>
      </c>
      <c r="S145" s="174"/>
      <c r="T145" s="174"/>
      <c r="U145" s="174"/>
      <c r="V145" s="174">
        <v>1</v>
      </c>
      <c r="W145" s="174"/>
      <c r="X145" s="174"/>
      <c r="Y145" s="174"/>
      <c r="Z145" s="174"/>
      <c r="AA145" s="174"/>
      <c r="AB145" s="174"/>
      <c r="AC145" s="174"/>
      <c r="AD145" s="174">
        <v>1</v>
      </c>
      <c r="AE145" s="174"/>
      <c r="AF145" s="174"/>
      <c r="AG145" s="883"/>
      <c r="AH145" s="174"/>
      <c r="AI145" s="492"/>
      <c r="AJ145" s="905"/>
      <c r="AK145" s="919"/>
      <c r="AL145" s="174"/>
      <c r="AM145" s="174"/>
      <c r="AN145" s="174"/>
      <c r="AO145" s="928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>
        <v>1</v>
      </c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>
        <v>3</v>
      </c>
      <c r="CF145" s="174">
        <v>3</v>
      </c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>
        <v>1</v>
      </c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  <c r="DK145" s="174"/>
      <c r="DL145" s="62"/>
      <c r="DM145" s="62"/>
      <c r="DN145" s="62"/>
      <c r="DO145" s="62"/>
      <c r="DP145" s="62"/>
      <c r="DQ145" s="62"/>
      <c r="DR145" s="62"/>
      <c r="DS145" s="62"/>
      <c r="DT145" s="62"/>
      <c r="DU145" s="62"/>
      <c r="DV145" s="62"/>
      <c r="DW145" s="62"/>
      <c r="DX145" s="62"/>
      <c r="DY145" s="62"/>
      <c r="DZ145" s="62"/>
      <c r="EA145" s="62"/>
      <c r="EB145" s="62"/>
      <c r="EC145" s="62"/>
      <c r="ED145" s="62"/>
      <c r="EE145" s="454"/>
      <c r="EF145" s="62"/>
      <c r="EG145" s="62"/>
      <c r="EH145" s="62"/>
      <c r="EI145" s="62"/>
      <c r="EJ145" s="62"/>
      <c r="EK145" s="62"/>
      <c r="EL145" s="62"/>
      <c r="EM145" s="62"/>
      <c r="EN145" s="62"/>
      <c r="EO145" s="62"/>
      <c r="EP145" s="62"/>
      <c r="EQ145" s="62"/>
      <c r="ER145" s="62"/>
      <c r="ES145" s="62"/>
      <c r="ET145" s="62"/>
      <c r="EU145" s="62"/>
      <c r="EV145" s="62"/>
      <c r="EW145" s="62"/>
      <c r="EX145" s="62"/>
      <c r="EY145" s="62"/>
      <c r="EZ145" s="62"/>
      <c r="FA145" s="62"/>
      <c r="FB145" s="62"/>
      <c r="FC145" s="62"/>
      <c r="FD145" s="62"/>
      <c r="FE145" s="62"/>
      <c r="FF145" s="62"/>
    </row>
    <row r="146" spans="1:162" s="56" customFormat="1">
      <c r="A146" s="54"/>
      <c r="B146" s="55"/>
      <c r="C146" s="491" t="s">
        <v>2994</v>
      </c>
      <c r="D146" s="62">
        <v>35</v>
      </c>
      <c r="E146" s="62">
        <f t="shared" si="67"/>
        <v>105</v>
      </c>
      <c r="F146" s="62"/>
      <c r="G146" s="62"/>
      <c r="H146" s="62"/>
      <c r="I146" s="62"/>
      <c r="J146" s="62"/>
      <c r="K146" s="62"/>
      <c r="L146" s="62">
        <f t="shared" si="68"/>
        <v>35</v>
      </c>
      <c r="M146" s="62"/>
      <c r="N146" s="62"/>
      <c r="O146" s="62"/>
      <c r="P146" s="62"/>
      <c r="Q146" s="62"/>
      <c r="R146" s="173" t="s">
        <v>1631</v>
      </c>
      <c r="S146" s="174"/>
      <c r="T146" s="174"/>
      <c r="U146" s="174"/>
      <c r="V146" s="174">
        <v>1</v>
      </c>
      <c r="W146" s="174"/>
      <c r="X146" s="174"/>
      <c r="Y146" s="174"/>
      <c r="Z146" s="174"/>
      <c r="AA146" s="174"/>
      <c r="AB146" s="174"/>
      <c r="AC146" s="174"/>
      <c r="AD146" s="174">
        <v>1</v>
      </c>
      <c r="AE146" s="174"/>
      <c r="AF146" s="174"/>
      <c r="AG146" s="883"/>
      <c r="AH146" s="174"/>
      <c r="AI146" s="492"/>
      <c r="AJ146" s="905"/>
      <c r="AK146" s="919"/>
      <c r="AL146" s="174"/>
      <c r="AM146" s="174"/>
      <c r="AN146" s="174"/>
      <c r="AO146" s="928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  <c r="BK146" s="174"/>
      <c r="BL146" s="174"/>
      <c r="BM146" s="174"/>
      <c r="BN146" s="174"/>
      <c r="BO146" s="174"/>
      <c r="BP146" s="174"/>
      <c r="BQ146" s="174">
        <v>1</v>
      </c>
      <c r="BR146" s="174"/>
      <c r="BS146" s="174"/>
      <c r="BT146" s="174"/>
      <c r="BU146" s="174"/>
      <c r="BV146" s="174"/>
      <c r="BW146" s="174"/>
      <c r="BX146" s="174"/>
      <c r="BY146" s="174"/>
      <c r="BZ146" s="174"/>
      <c r="CA146" s="174"/>
      <c r="CB146" s="174"/>
      <c r="CC146" s="174"/>
      <c r="CD146" s="174"/>
      <c r="CE146" s="174">
        <v>3</v>
      </c>
      <c r="CF146" s="174">
        <v>3</v>
      </c>
      <c r="CG146" s="174"/>
      <c r="CH146" s="174"/>
      <c r="CI146" s="174"/>
      <c r="CJ146" s="174"/>
      <c r="CK146" s="174"/>
      <c r="CL146" s="174"/>
      <c r="CM146" s="174"/>
      <c r="CN146" s="174"/>
      <c r="CO146" s="174"/>
      <c r="CP146" s="174"/>
      <c r="CQ146" s="174">
        <v>1</v>
      </c>
      <c r="CR146" s="174"/>
      <c r="CS146" s="174"/>
      <c r="CT146" s="174"/>
      <c r="CU146" s="174"/>
      <c r="CV146" s="174"/>
      <c r="CW146" s="174"/>
      <c r="CX146" s="174"/>
      <c r="CY146" s="174"/>
      <c r="CZ146" s="174"/>
      <c r="DA146" s="174"/>
      <c r="DB146" s="174"/>
      <c r="DC146" s="174"/>
      <c r="DD146" s="174"/>
      <c r="DE146" s="174"/>
      <c r="DF146" s="174"/>
      <c r="DG146" s="174"/>
      <c r="DH146" s="174"/>
      <c r="DI146" s="174"/>
      <c r="DJ146" s="174"/>
      <c r="DK146" s="174"/>
      <c r="DL146" s="62"/>
      <c r="DM146" s="62"/>
      <c r="DN146" s="62"/>
      <c r="DO146" s="62"/>
      <c r="DP146" s="62"/>
      <c r="DQ146" s="62"/>
      <c r="DR146" s="62"/>
      <c r="DS146" s="62"/>
      <c r="DT146" s="62"/>
      <c r="DU146" s="62"/>
      <c r="DV146" s="62"/>
      <c r="DW146" s="62"/>
      <c r="DX146" s="62"/>
      <c r="DY146" s="62"/>
      <c r="DZ146" s="62"/>
      <c r="EA146" s="62"/>
      <c r="EB146" s="62"/>
      <c r="EC146" s="62"/>
      <c r="ED146" s="62"/>
      <c r="EE146" s="454"/>
      <c r="EF146" s="62"/>
      <c r="EG146" s="62"/>
      <c r="EH146" s="62"/>
      <c r="EI146" s="62"/>
      <c r="EJ146" s="62"/>
      <c r="EK146" s="62"/>
      <c r="EL146" s="62"/>
      <c r="EM146" s="62"/>
      <c r="EN146" s="62"/>
      <c r="EO146" s="62"/>
      <c r="EP146" s="62"/>
      <c r="EQ146" s="62"/>
      <c r="ER146" s="62"/>
      <c r="ES146" s="62"/>
      <c r="ET146" s="62"/>
      <c r="EU146" s="62"/>
      <c r="EV146" s="62"/>
      <c r="EW146" s="62"/>
      <c r="EX146" s="62"/>
      <c r="EY146" s="62"/>
      <c r="EZ146" s="62"/>
      <c r="FA146" s="62"/>
      <c r="FB146" s="62"/>
      <c r="FC146" s="62"/>
      <c r="FD146" s="62"/>
      <c r="FE146" s="62"/>
      <c r="FF146" s="62"/>
    </row>
    <row r="147" spans="1:162" s="56" customFormat="1">
      <c r="A147" s="54"/>
      <c r="B147" s="55"/>
      <c r="C147" s="491" t="s">
        <v>2995</v>
      </c>
      <c r="D147" s="62">
        <v>30</v>
      </c>
      <c r="E147" s="62">
        <f t="shared" si="67"/>
        <v>90</v>
      </c>
      <c r="F147" s="62"/>
      <c r="G147" s="62"/>
      <c r="H147" s="62"/>
      <c r="I147" s="62"/>
      <c r="J147" s="62"/>
      <c r="K147" s="62"/>
      <c r="L147" s="62">
        <f t="shared" si="68"/>
        <v>30</v>
      </c>
      <c r="M147" s="62"/>
      <c r="N147" s="62"/>
      <c r="O147" s="62"/>
      <c r="P147" s="62"/>
      <c r="Q147" s="62"/>
      <c r="R147" s="173" t="s">
        <v>2990</v>
      </c>
      <c r="S147" s="174"/>
      <c r="T147" s="174"/>
      <c r="U147" s="174"/>
      <c r="V147" s="174">
        <v>2</v>
      </c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883"/>
      <c r="AH147" s="174"/>
      <c r="AI147" s="492"/>
      <c r="AJ147" s="905">
        <v>1</v>
      </c>
      <c r="AK147" s="919"/>
      <c r="AL147" s="174"/>
      <c r="AM147" s="174"/>
      <c r="AN147" s="174"/>
      <c r="AO147" s="928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/>
      <c r="BS147" s="174"/>
      <c r="BT147" s="174"/>
      <c r="BU147" s="174"/>
      <c r="BV147" s="174"/>
      <c r="BW147" s="174">
        <v>1</v>
      </c>
      <c r="BX147" s="174"/>
      <c r="BY147" s="174"/>
      <c r="BZ147" s="174"/>
      <c r="CA147" s="174"/>
      <c r="CB147" s="174"/>
      <c r="CC147" s="174"/>
      <c r="CD147" s="174"/>
      <c r="CE147" s="174"/>
      <c r="CF147" s="174"/>
      <c r="CG147" s="174"/>
      <c r="CH147" s="174">
        <v>3</v>
      </c>
      <c r="CI147" s="174"/>
      <c r="CJ147" s="174"/>
      <c r="CK147" s="174"/>
      <c r="CL147" s="174"/>
      <c r="CM147" s="174"/>
      <c r="CN147" s="174"/>
      <c r="CO147" s="174"/>
      <c r="CP147" s="174"/>
      <c r="CQ147" s="174"/>
      <c r="CR147" s="174"/>
      <c r="CS147" s="174">
        <v>1</v>
      </c>
      <c r="CT147" s="174"/>
      <c r="CU147" s="174"/>
      <c r="CV147" s="174"/>
      <c r="CW147" s="174"/>
      <c r="CX147" s="174"/>
      <c r="CY147" s="174"/>
      <c r="CZ147" s="174"/>
      <c r="DA147" s="174"/>
      <c r="DB147" s="174"/>
      <c r="DC147" s="174"/>
      <c r="DD147" s="174"/>
      <c r="DE147" s="174"/>
      <c r="DF147" s="174"/>
      <c r="DG147" s="174"/>
      <c r="DH147" s="174"/>
      <c r="DI147" s="174"/>
      <c r="DJ147" s="174"/>
      <c r="DK147" s="174"/>
      <c r="DL147" s="62"/>
      <c r="DM147" s="62"/>
      <c r="DN147" s="62"/>
      <c r="DO147" s="62"/>
      <c r="DP147" s="62"/>
      <c r="DQ147" s="62"/>
      <c r="DR147" s="62"/>
      <c r="DS147" s="62"/>
      <c r="DT147" s="62"/>
      <c r="DU147" s="62"/>
      <c r="DV147" s="62"/>
      <c r="DW147" s="62"/>
      <c r="DX147" s="62"/>
      <c r="DY147" s="62"/>
      <c r="DZ147" s="62"/>
      <c r="EA147" s="62"/>
      <c r="EB147" s="62"/>
      <c r="EC147" s="62"/>
      <c r="ED147" s="62"/>
      <c r="EE147" s="454"/>
      <c r="EF147" s="62"/>
      <c r="EG147" s="62"/>
      <c r="EH147" s="62"/>
      <c r="EI147" s="62"/>
      <c r="EJ147" s="62"/>
      <c r="EK147" s="62"/>
      <c r="EL147" s="62"/>
      <c r="EM147" s="62"/>
      <c r="EN147" s="62"/>
      <c r="EO147" s="62"/>
      <c r="EP147" s="62"/>
      <c r="EQ147" s="62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</row>
    <row r="148" spans="1:162" s="56" customFormat="1">
      <c r="A148" s="54"/>
      <c r="B148" s="55"/>
      <c r="C148" s="491"/>
      <c r="D148" s="62"/>
      <c r="E148" s="62">
        <f t="shared" si="67"/>
        <v>0</v>
      </c>
      <c r="F148" s="62"/>
      <c r="G148" s="62"/>
      <c r="H148" s="62"/>
      <c r="I148" s="62"/>
      <c r="J148" s="62"/>
      <c r="K148" s="62"/>
      <c r="L148" s="62">
        <f t="shared" si="68"/>
        <v>0</v>
      </c>
      <c r="M148" s="62"/>
      <c r="N148" s="62"/>
      <c r="O148" s="62"/>
      <c r="P148" s="62"/>
      <c r="Q148" s="62"/>
      <c r="R148" s="173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883"/>
      <c r="AH148" s="174"/>
      <c r="AI148" s="492"/>
      <c r="AJ148" s="905"/>
      <c r="AK148" s="919"/>
      <c r="AL148" s="174"/>
      <c r="AM148" s="174"/>
      <c r="AN148" s="174"/>
      <c r="AO148" s="928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/>
      <c r="BR148" s="174"/>
      <c r="BS148" s="174"/>
      <c r="BT148" s="174"/>
      <c r="BU148" s="174"/>
      <c r="BV148" s="174"/>
      <c r="BW148" s="174"/>
      <c r="BX148" s="174"/>
      <c r="BY148" s="174"/>
      <c r="BZ148" s="174"/>
      <c r="CA148" s="174"/>
      <c r="CB148" s="174"/>
      <c r="CC148" s="174"/>
      <c r="CD148" s="174"/>
      <c r="CE148" s="174"/>
      <c r="CF148" s="174"/>
      <c r="CG148" s="174"/>
      <c r="CH148" s="174"/>
      <c r="CI148" s="174"/>
      <c r="CJ148" s="174"/>
      <c r="CK148" s="174"/>
      <c r="CL148" s="174"/>
      <c r="CM148" s="174"/>
      <c r="CN148" s="174"/>
      <c r="CO148" s="174"/>
      <c r="CP148" s="174"/>
      <c r="CQ148" s="174"/>
      <c r="CR148" s="174"/>
      <c r="CS148" s="174"/>
      <c r="CT148" s="174"/>
      <c r="CU148" s="174"/>
      <c r="CV148" s="174"/>
      <c r="CW148" s="174"/>
      <c r="CX148" s="174"/>
      <c r="CY148" s="174"/>
      <c r="CZ148" s="174"/>
      <c r="DA148" s="174"/>
      <c r="DB148" s="174"/>
      <c r="DC148" s="174"/>
      <c r="DD148" s="174"/>
      <c r="DE148" s="174"/>
      <c r="DF148" s="174"/>
      <c r="DG148" s="174"/>
      <c r="DH148" s="174"/>
      <c r="DI148" s="174"/>
      <c r="DJ148" s="174"/>
      <c r="DK148" s="174"/>
      <c r="DL148" s="62"/>
      <c r="DM148" s="62"/>
      <c r="DN148" s="62"/>
      <c r="DO148" s="62"/>
      <c r="DP148" s="62"/>
      <c r="DQ148" s="62"/>
      <c r="DR148" s="62"/>
      <c r="DS148" s="62"/>
      <c r="DT148" s="62"/>
      <c r="DU148" s="62"/>
      <c r="DV148" s="62"/>
      <c r="DW148" s="62"/>
      <c r="DX148" s="62"/>
      <c r="DY148" s="62"/>
      <c r="DZ148" s="62"/>
      <c r="EA148" s="62"/>
      <c r="EB148" s="62"/>
      <c r="EC148" s="62"/>
      <c r="ED148" s="62"/>
      <c r="EE148" s="454"/>
      <c r="EF148" s="62"/>
      <c r="EG148" s="62"/>
      <c r="EH148" s="62"/>
      <c r="EI148" s="62"/>
      <c r="EJ148" s="62"/>
      <c r="EK148" s="62"/>
      <c r="EL148" s="62"/>
      <c r="EM148" s="62"/>
      <c r="EN148" s="62"/>
      <c r="EO148" s="62"/>
      <c r="EP148" s="62"/>
      <c r="EQ148" s="62"/>
      <c r="ER148" s="62"/>
      <c r="ES148" s="62"/>
      <c r="ET148" s="62"/>
      <c r="EU148" s="62"/>
      <c r="EV148" s="62"/>
      <c r="EW148" s="62"/>
      <c r="EX148" s="62"/>
      <c r="EY148" s="62"/>
      <c r="EZ148" s="62"/>
      <c r="FA148" s="62"/>
      <c r="FB148" s="62"/>
      <c r="FC148" s="62"/>
      <c r="FD148" s="62"/>
      <c r="FE148" s="62"/>
      <c r="FF148" s="62"/>
    </row>
    <row r="149" spans="1:162">
      <c r="A149" s="487">
        <f>MATCH(C149,$C$5:$C$361,0)</f>
        <v>145</v>
      </c>
      <c r="C149" s="14" t="s">
        <v>3017</v>
      </c>
      <c r="D149" s="14">
        <f t="shared" ref="D149:Q149" si="69">SUM(D141:D148)</f>
        <v>178</v>
      </c>
      <c r="E149" s="14">
        <f t="shared" si="69"/>
        <v>534</v>
      </c>
      <c r="F149" s="14">
        <f t="shared" si="69"/>
        <v>0</v>
      </c>
      <c r="G149" s="14">
        <f t="shared" si="69"/>
        <v>0</v>
      </c>
      <c r="H149" s="14">
        <f t="shared" si="69"/>
        <v>0</v>
      </c>
      <c r="I149" s="14">
        <f t="shared" si="69"/>
        <v>0</v>
      </c>
      <c r="J149" s="14">
        <f t="shared" si="69"/>
        <v>0</v>
      </c>
      <c r="K149" s="14">
        <f t="shared" si="69"/>
        <v>0</v>
      </c>
      <c r="L149" s="14">
        <f t="shared" si="69"/>
        <v>178</v>
      </c>
      <c r="M149" s="14">
        <f t="shared" si="69"/>
        <v>0</v>
      </c>
      <c r="N149" s="14">
        <f t="shared" si="69"/>
        <v>0</v>
      </c>
      <c r="O149" s="14">
        <f t="shared" si="69"/>
        <v>0</v>
      </c>
      <c r="P149" s="14">
        <f t="shared" si="69"/>
        <v>0</v>
      </c>
      <c r="Q149" s="14">
        <f t="shared" si="69"/>
        <v>0</v>
      </c>
      <c r="R149" s="14"/>
      <c r="S149" s="175">
        <f t="shared" ref="S149:AX149" si="70">SUM(S141:S148)</f>
        <v>0</v>
      </c>
      <c r="T149" s="175">
        <f t="shared" si="70"/>
        <v>0</v>
      </c>
      <c r="U149" s="175">
        <f t="shared" si="70"/>
        <v>0</v>
      </c>
      <c r="V149" s="175">
        <f t="shared" si="70"/>
        <v>9</v>
      </c>
      <c r="W149" s="175">
        <f t="shared" si="70"/>
        <v>0</v>
      </c>
      <c r="X149" s="175">
        <f t="shared" si="70"/>
        <v>0</v>
      </c>
      <c r="Y149" s="175">
        <f t="shared" si="70"/>
        <v>0</v>
      </c>
      <c r="Z149" s="175">
        <f t="shared" si="70"/>
        <v>0</v>
      </c>
      <c r="AA149" s="175">
        <f t="shared" si="70"/>
        <v>0</v>
      </c>
      <c r="AB149" s="175">
        <f t="shared" si="70"/>
        <v>0</v>
      </c>
      <c r="AC149" s="175">
        <f t="shared" si="70"/>
        <v>0</v>
      </c>
      <c r="AD149" s="175">
        <f t="shared" si="70"/>
        <v>3</v>
      </c>
      <c r="AE149" s="175">
        <f t="shared" si="70"/>
        <v>0</v>
      </c>
      <c r="AF149" s="175">
        <f t="shared" si="70"/>
        <v>0</v>
      </c>
      <c r="AG149" s="884">
        <f t="shared" si="70"/>
        <v>0</v>
      </c>
      <c r="AH149" s="175">
        <f t="shared" si="70"/>
        <v>0</v>
      </c>
      <c r="AI149" s="178">
        <f t="shared" si="70"/>
        <v>0</v>
      </c>
      <c r="AJ149" s="906">
        <f t="shared" si="70"/>
        <v>3</v>
      </c>
      <c r="AK149" s="920">
        <f t="shared" si="70"/>
        <v>0</v>
      </c>
      <c r="AL149" s="175">
        <f t="shared" si="70"/>
        <v>0</v>
      </c>
      <c r="AM149" s="175">
        <f t="shared" si="70"/>
        <v>0</v>
      </c>
      <c r="AN149" s="175">
        <f t="shared" si="70"/>
        <v>0</v>
      </c>
      <c r="AO149" s="929">
        <f t="shared" si="70"/>
        <v>0</v>
      </c>
      <c r="AP149" s="175">
        <f t="shared" si="70"/>
        <v>0</v>
      </c>
      <c r="AQ149" s="175">
        <f t="shared" si="70"/>
        <v>0</v>
      </c>
      <c r="AR149" s="175">
        <f t="shared" si="70"/>
        <v>0</v>
      </c>
      <c r="AS149" s="175">
        <f t="shared" si="70"/>
        <v>0</v>
      </c>
      <c r="AT149" s="175">
        <f t="shared" si="70"/>
        <v>0</v>
      </c>
      <c r="AU149" s="175">
        <f t="shared" si="70"/>
        <v>0</v>
      </c>
      <c r="AV149" s="175">
        <f t="shared" si="70"/>
        <v>0</v>
      </c>
      <c r="AW149" s="175">
        <f t="shared" si="70"/>
        <v>0</v>
      </c>
      <c r="AX149" s="175">
        <f t="shared" si="70"/>
        <v>0</v>
      </c>
      <c r="AY149" s="175">
        <f t="shared" ref="AY149:CD149" si="71">SUM(AY141:AY148)</f>
        <v>0</v>
      </c>
      <c r="AZ149" s="175">
        <f t="shared" si="71"/>
        <v>0</v>
      </c>
      <c r="BA149" s="175">
        <f t="shared" si="71"/>
        <v>0</v>
      </c>
      <c r="BB149" s="175">
        <f t="shared" si="71"/>
        <v>0</v>
      </c>
      <c r="BC149" s="175">
        <f t="shared" si="71"/>
        <v>0</v>
      </c>
      <c r="BD149" s="175">
        <f t="shared" si="71"/>
        <v>0</v>
      </c>
      <c r="BE149" s="175">
        <f t="shared" si="71"/>
        <v>0</v>
      </c>
      <c r="BF149" s="175">
        <f t="shared" si="71"/>
        <v>1</v>
      </c>
      <c r="BG149" s="175">
        <f t="shared" si="71"/>
        <v>0</v>
      </c>
      <c r="BH149" s="175">
        <f t="shared" si="71"/>
        <v>0</v>
      </c>
      <c r="BI149" s="175">
        <f t="shared" si="71"/>
        <v>1</v>
      </c>
      <c r="BJ149" s="175">
        <f t="shared" si="71"/>
        <v>0</v>
      </c>
      <c r="BK149" s="175">
        <f t="shared" si="71"/>
        <v>0</v>
      </c>
      <c r="BL149" s="175">
        <f t="shared" si="71"/>
        <v>0</v>
      </c>
      <c r="BM149" s="175">
        <f t="shared" si="71"/>
        <v>0</v>
      </c>
      <c r="BN149" s="175">
        <f t="shared" si="71"/>
        <v>0</v>
      </c>
      <c r="BO149" s="175">
        <f t="shared" si="71"/>
        <v>0</v>
      </c>
      <c r="BP149" s="175">
        <f t="shared" si="71"/>
        <v>0</v>
      </c>
      <c r="BQ149" s="175">
        <f t="shared" si="71"/>
        <v>3</v>
      </c>
      <c r="BR149" s="175">
        <f t="shared" si="71"/>
        <v>1</v>
      </c>
      <c r="BS149" s="175">
        <f t="shared" si="71"/>
        <v>0</v>
      </c>
      <c r="BT149" s="175">
        <f t="shared" si="71"/>
        <v>0</v>
      </c>
      <c r="BU149" s="175">
        <f t="shared" si="71"/>
        <v>0</v>
      </c>
      <c r="BV149" s="175">
        <f t="shared" si="71"/>
        <v>1</v>
      </c>
      <c r="BW149" s="175">
        <f t="shared" si="71"/>
        <v>2</v>
      </c>
      <c r="BX149" s="175">
        <f t="shared" si="71"/>
        <v>0</v>
      </c>
      <c r="BY149" s="175">
        <f t="shared" si="71"/>
        <v>0</v>
      </c>
      <c r="BZ149" s="175">
        <f t="shared" si="71"/>
        <v>0</v>
      </c>
      <c r="CA149" s="175">
        <f t="shared" si="71"/>
        <v>0</v>
      </c>
      <c r="CB149" s="175">
        <f t="shared" si="71"/>
        <v>1</v>
      </c>
      <c r="CC149" s="175">
        <f t="shared" si="71"/>
        <v>0</v>
      </c>
      <c r="CD149" s="175">
        <f t="shared" si="71"/>
        <v>0</v>
      </c>
      <c r="CE149" s="175">
        <f t="shared" ref="CE149:DJ149" si="72">SUM(CE141:CE148)</f>
        <v>21</v>
      </c>
      <c r="CF149" s="175">
        <f t="shared" si="72"/>
        <v>9</v>
      </c>
      <c r="CG149" s="175">
        <f t="shared" si="72"/>
        <v>12</v>
      </c>
      <c r="CH149" s="175">
        <f t="shared" si="72"/>
        <v>12</v>
      </c>
      <c r="CI149" s="175">
        <f t="shared" si="72"/>
        <v>0</v>
      </c>
      <c r="CJ149" s="175">
        <f t="shared" si="72"/>
        <v>0</v>
      </c>
      <c r="CK149" s="175">
        <f t="shared" si="72"/>
        <v>0</v>
      </c>
      <c r="CL149" s="175">
        <f t="shared" si="72"/>
        <v>0</v>
      </c>
      <c r="CM149" s="175">
        <f t="shared" si="72"/>
        <v>0</v>
      </c>
      <c r="CN149" s="175">
        <f t="shared" si="72"/>
        <v>0</v>
      </c>
      <c r="CO149" s="175">
        <f t="shared" si="72"/>
        <v>0</v>
      </c>
      <c r="CP149" s="175">
        <f t="shared" si="72"/>
        <v>0</v>
      </c>
      <c r="CQ149" s="175">
        <f t="shared" si="72"/>
        <v>3</v>
      </c>
      <c r="CR149" s="175">
        <f t="shared" si="72"/>
        <v>1</v>
      </c>
      <c r="CS149" s="175">
        <f t="shared" si="72"/>
        <v>4</v>
      </c>
      <c r="CT149" s="175">
        <f t="shared" si="72"/>
        <v>0</v>
      </c>
      <c r="CU149" s="175">
        <f t="shared" si="72"/>
        <v>0</v>
      </c>
      <c r="CV149" s="175">
        <f t="shared" si="72"/>
        <v>0</v>
      </c>
      <c r="CW149" s="175">
        <f t="shared" si="72"/>
        <v>0</v>
      </c>
      <c r="CX149" s="175">
        <f t="shared" si="72"/>
        <v>9</v>
      </c>
      <c r="CY149" s="175">
        <f t="shared" si="72"/>
        <v>9</v>
      </c>
      <c r="CZ149" s="175">
        <f t="shared" si="72"/>
        <v>6</v>
      </c>
      <c r="DA149" s="175">
        <f t="shared" si="72"/>
        <v>0</v>
      </c>
      <c r="DB149" s="175">
        <f t="shared" si="72"/>
        <v>0</v>
      </c>
      <c r="DC149" s="175">
        <f t="shared" si="72"/>
        <v>2</v>
      </c>
      <c r="DD149" s="175">
        <f t="shared" si="72"/>
        <v>0</v>
      </c>
      <c r="DE149" s="175">
        <f t="shared" si="72"/>
        <v>0</v>
      </c>
      <c r="DF149" s="175">
        <f t="shared" si="72"/>
        <v>0</v>
      </c>
      <c r="DG149" s="175">
        <f t="shared" si="72"/>
        <v>0</v>
      </c>
      <c r="DH149" s="175">
        <f t="shared" si="72"/>
        <v>0</v>
      </c>
      <c r="DI149" s="175">
        <f t="shared" si="72"/>
        <v>3</v>
      </c>
      <c r="DJ149" s="175">
        <f t="shared" si="72"/>
        <v>0</v>
      </c>
      <c r="DK149" s="175">
        <f t="shared" ref="DK149:ED149" si="73">SUM(DK141:DK148)</f>
        <v>3</v>
      </c>
      <c r="DL149" s="14">
        <f t="shared" si="73"/>
        <v>4.5</v>
      </c>
      <c r="DM149" s="14">
        <f t="shared" si="73"/>
        <v>0</v>
      </c>
      <c r="DN149" s="14">
        <f t="shared" si="73"/>
        <v>0</v>
      </c>
      <c r="DO149" s="14">
        <f t="shared" si="73"/>
        <v>0</v>
      </c>
      <c r="DP149" s="14">
        <f t="shared" si="73"/>
        <v>0</v>
      </c>
      <c r="DQ149" s="14">
        <f t="shared" si="73"/>
        <v>0</v>
      </c>
      <c r="DR149" s="14">
        <f t="shared" si="73"/>
        <v>0</v>
      </c>
      <c r="DS149" s="14">
        <f t="shared" si="73"/>
        <v>4.5</v>
      </c>
      <c r="DT149" s="14">
        <f t="shared" si="73"/>
        <v>13.5</v>
      </c>
      <c r="DU149" s="14">
        <f t="shared" si="73"/>
        <v>0</v>
      </c>
      <c r="DV149" s="14">
        <f t="shared" si="73"/>
        <v>0</v>
      </c>
      <c r="DW149" s="14">
        <f t="shared" si="73"/>
        <v>0</v>
      </c>
      <c r="DX149" s="14">
        <f t="shared" si="73"/>
        <v>0</v>
      </c>
      <c r="DY149" s="14">
        <f t="shared" si="73"/>
        <v>0</v>
      </c>
      <c r="DZ149" s="14">
        <f t="shared" si="73"/>
        <v>0</v>
      </c>
      <c r="EA149" s="14">
        <f t="shared" si="73"/>
        <v>0</v>
      </c>
      <c r="EB149" s="14">
        <f t="shared" si="73"/>
        <v>0</v>
      </c>
      <c r="EC149" s="14">
        <f t="shared" si="73"/>
        <v>0</v>
      </c>
      <c r="ED149" s="14">
        <f t="shared" si="73"/>
        <v>0</v>
      </c>
      <c r="EE149" s="508"/>
      <c r="EF149" s="14">
        <f t="shared" ref="EF149:FE149" si="74">SUM(EF141:EF148)</f>
        <v>0</v>
      </c>
      <c r="EG149" s="14">
        <f t="shared" si="74"/>
        <v>0</v>
      </c>
      <c r="EH149" s="14">
        <f t="shared" si="74"/>
        <v>0</v>
      </c>
      <c r="EI149" s="14">
        <f t="shared" si="74"/>
        <v>0</v>
      </c>
      <c r="EJ149" s="14">
        <f t="shared" si="74"/>
        <v>0</v>
      </c>
      <c r="EK149" s="14">
        <f t="shared" si="74"/>
        <v>0</v>
      </c>
      <c r="EL149" s="14">
        <f t="shared" si="74"/>
        <v>0</v>
      </c>
      <c r="EM149" s="14">
        <f t="shared" si="74"/>
        <v>0</v>
      </c>
      <c r="EN149" s="14">
        <f t="shared" si="74"/>
        <v>0</v>
      </c>
      <c r="EO149" s="14">
        <f t="shared" si="74"/>
        <v>0</v>
      </c>
      <c r="EP149" s="14">
        <f t="shared" si="74"/>
        <v>0</v>
      </c>
      <c r="EQ149" s="14">
        <f t="shared" si="74"/>
        <v>0</v>
      </c>
      <c r="ER149" s="14">
        <f t="shared" si="74"/>
        <v>0</v>
      </c>
      <c r="ES149" s="14">
        <f t="shared" si="74"/>
        <v>0</v>
      </c>
      <c r="ET149" s="14">
        <f t="shared" si="74"/>
        <v>0</v>
      </c>
      <c r="EU149" s="14">
        <f t="shared" si="74"/>
        <v>0</v>
      </c>
      <c r="EV149" s="14">
        <f t="shared" si="74"/>
        <v>0</v>
      </c>
      <c r="EW149" s="14">
        <f t="shared" si="74"/>
        <v>0</v>
      </c>
      <c r="EX149" s="14">
        <f t="shared" si="74"/>
        <v>0</v>
      </c>
      <c r="EY149" s="14">
        <f t="shared" si="74"/>
        <v>0</v>
      </c>
      <c r="EZ149" s="14">
        <f t="shared" si="74"/>
        <v>0</v>
      </c>
      <c r="FA149" s="14">
        <f t="shared" si="74"/>
        <v>0</v>
      </c>
      <c r="FB149" s="14">
        <f t="shared" si="74"/>
        <v>0</v>
      </c>
      <c r="FC149" s="14">
        <f t="shared" si="74"/>
        <v>0</v>
      </c>
      <c r="FD149" s="14">
        <f t="shared" si="74"/>
        <v>0</v>
      </c>
      <c r="FE149" s="14">
        <f t="shared" si="74"/>
        <v>0</v>
      </c>
      <c r="FF149" s="14"/>
    </row>
    <row r="150" spans="1:162">
      <c r="A150" s="54"/>
      <c r="B150" s="55" t="s">
        <v>3059</v>
      </c>
      <c r="C150" s="11" t="s">
        <v>3599</v>
      </c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885"/>
      <c r="AH150" s="176"/>
      <c r="AI150" s="897"/>
      <c r="AJ150" s="907"/>
      <c r="AK150" s="921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503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3"/>
    </row>
    <row r="151" spans="1:162" s="56" customFormat="1">
      <c r="A151" s="54"/>
      <c r="B151" s="55"/>
      <c r="C151" s="491" t="s">
        <v>3789</v>
      </c>
      <c r="D151" s="62"/>
      <c r="E151" s="62">
        <f t="shared" ref="E151:E158" si="75">D151*3</f>
        <v>0</v>
      </c>
      <c r="F151" s="62"/>
      <c r="G151" s="62"/>
      <c r="H151" s="62"/>
      <c r="I151" s="62"/>
      <c r="J151" s="62"/>
      <c r="K151" s="62"/>
      <c r="L151" s="62">
        <f t="shared" ref="L151:L158" si="76">D151</f>
        <v>0</v>
      </c>
      <c r="M151" s="62"/>
      <c r="N151" s="62"/>
      <c r="O151" s="62"/>
      <c r="P151" s="62"/>
      <c r="Q151" s="62"/>
      <c r="R151" s="173" t="s">
        <v>3005</v>
      </c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883"/>
      <c r="AH151" s="174"/>
      <c r="AI151" s="492"/>
      <c r="AJ151" s="905"/>
      <c r="AK151" s="919"/>
      <c r="AL151" s="174"/>
      <c r="AM151" s="174"/>
      <c r="AN151" s="174"/>
      <c r="AO151" s="928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4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  <c r="BR151" s="174"/>
      <c r="BS151" s="174"/>
      <c r="BT151" s="174"/>
      <c r="BU151" s="174"/>
      <c r="BV151" s="174">
        <v>1</v>
      </c>
      <c r="BW151" s="174"/>
      <c r="BX151" s="174"/>
      <c r="BY151" s="174"/>
      <c r="BZ151" s="174"/>
      <c r="CA151" s="174"/>
      <c r="CB151" s="174"/>
      <c r="CC151" s="174"/>
      <c r="CD151" s="174"/>
      <c r="CE151" s="174">
        <v>6</v>
      </c>
      <c r="CF151" s="174"/>
      <c r="CG151" s="174">
        <v>6</v>
      </c>
      <c r="CH151" s="174">
        <v>3</v>
      </c>
      <c r="CI151" s="174"/>
      <c r="CJ151" s="174"/>
      <c r="CK151" s="174"/>
      <c r="CL151" s="174"/>
      <c r="CM151" s="174"/>
      <c r="CN151" s="174"/>
      <c r="CO151" s="174"/>
      <c r="CP151" s="174"/>
      <c r="CQ151" s="174"/>
      <c r="CR151" s="174"/>
      <c r="CS151" s="174">
        <v>1</v>
      </c>
      <c r="CT151" s="174"/>
      <c r="CU151" s="174"/>
      <c r="CV151" s="174"/>
      <c r="CW151" s="174"/>
      <c r="CX151" s="174">
        <v>3</v>
      </c>
      <c r="CY151" s="174">
        <v>3</v>
      </c>
      <c r="CZ151" s="174">
        <v>3</v>
      </c>
      <c r="DA151" s="174"/>
      <c r="DB151" s="174"/>
      <c r="DC151" s="174">
        <v>2</v>
      </c>
      <c r="DD151" s="174"/>
      <c r="DE151" s="174"/>
      <c r="DF151" s="174"/>
      <c r="DG151" s="174"/>
      <c r="DH151" s="174"/>
      <c r="DI151" s="174"/>
      <c r="DJ151" s="174"/>
      <c r="DK151" s="174"/>
      <c r="DL151" s="62">
        <v>1.5</v>
      </c>
      <c r="DM151" s="62"/>
      <c r="DN151" s="62"/>
      <c r="DO151" s="62"/>
      <c r="DP151" s="62"/>
      <c r="DQ151" s="62"/>
      <c r="DR151" s="62"/>
      <c r="DS151" s="62">
        <v>1.5</v>
      </c>
      <c r="DT151" s="62">
        <v>3</v>
      </c>
      <c r="DU151" s="62"/>
      <c r="DV151" s="62"/>
      <c r="DW151" s="62"/>
      <c r="DX151" s="62"/>
      <c r="DY151" s="62"/>
      <c r="DZ151" s="62"/>
      <c r="EA151" s="62"/>
      <c r="EB151" s="62"/>
      <c r="EC151" s="62"/>
      <c r="ED151" s="62"/>
      <c r="EE151" s="454"/>
      <c r="EF151" s="62"/>
      <c r="EG151" s="62"/>
      <c r="EH151" s="62"/>
      <c r="EI151" s="62"/>
      <c r="EJ151" s="62"/>
      <c r="EK151" s="62"/>
      <c r="EL151" s="62"/>
      <c r="EM151" s="62"/>
      <c r="EN151" s="62"/>
      <c r="EO151" s="62"/>
      <c r="EP151" s="62"/>
      <c r="EQ151" s="62"/>
      <c r="ER151" s="62"/>
      <c r="ES151" s="62"/>
      <c r="ET151" s="62"/>
      <c r="EU151" s="62"/>
      <c r="EV151" s="62"/>
      <c r="EW151" s="62"/>
      <c r="EX151" s="62"/>
      <c r="EY151" s="62"/>
      <c r="EZ151" s="62"/>
      <c r="FA151" s="62"/>
      <c r="FB151" s="62"/>
      <c r="FC151" s="62"/>
      <c r="FD151" s="62"/>
      <c r="FE151" s="62"/>
      <c r="FF151" s="62"/>
    </row>
    <row r="152" spans="1:162" s="56" customFormat="1">
      <c r="A152" s="54"/>
      <c r="B152" s="55"/>
      <c r="C152" s="491" t="s">
        <v>3006</v>
      </c>
      <c r="D152" s="62">
        <v>15</v>
      </c>
      <c r="E152" s="62">
        <f t="shared" si="75"/>
        <v>45</v>
      </c>
      <c r="F152" s="62"/>
      <c r="G152" s="62"/>
      <c r="H152" s="62"/>
      <c r="I152" s="62"/>
      <c r="J152" s="62"/>
      <c r="K152" s="62"/>
      <c r="L152" s="62">
        <f t="shared" si="76"/>
        <v>15</v>
      </c>
      <c r="M152" s="62"/>
      <c r="N152" s="62"/>
      <c r="O152" s="62"/>
      <c r="P152" s="62"/>
      <c r="Q152" s="62"/>
      <c r="R152" s="173" t="s">
        <v>2989</v>
      </c>
      <c r="S152" s="174"/>
      <c r="T152" s="174"/>
      <c r="U152" s="174"/>
      <c r="V152" s="174">
        <v>2</v>
      </c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883"/>
      <c r="AH152" s="174"/>
      <c r="AI152" s="492"/>
      <c r="AJ152" s="905">
        <v>1</v>
      </c>
      <c r="AK152" s="919"/>
      <c r="AL152" s="174"/>
      <c r="AM152" s="174"/>
      <c r="AN152" s="174"/>
      <c r="AO152" s="928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  <c r="BD152" s="174"/>
      <c r="BE152" s="174"/>
      <c r="BF152" s="174"/>
      <c r="BG152" s="174"/>
      <c r="BH152" s="174"/>
      <c r="BI152" s="174">
        <v>1</v>
      </c>
      <c r="BJ152" s="174"/>
      <c r="BK152" s="174"/>
      <c r="BL152" s="174"/>
      <c r="BM152" s="174"/>
      <c r="BN152" s="174"/>
      <c r="BO152" s="174"/>
      <c r="BP152" s="174"/>
      <c r="BQ152" s="174"/>
      <c r="BR152" s="174"/>
      <c r="BS152" s="174"/>
      <c r="BT152" s="174"/>
      <c r="BU152" s="174"/>
      <c r="BV152" s="174"/>
      <c r="BW152" s="174">
        <v>1</v>
      </c>
      <c r="BX152" s="174"/>
      <c r="BY152" s="174"/>
      <c r="BZ152" s="174"/>
      <c r="CA152" s="174"/>
      <c r="CB152" s="174">
        <v>1</v>
      </c>
      <c r="CC152" s="174"/>
      <c r="CD152" s="174"/>
      <c r="CE152" s="174"/>
      <c r="CF152" s="174"/>
      <c r="CG152" s="174"/>
      <c r="CH152" s="174">
        <v>6</v>
      </c>
      <c r="CI152" s="174"/>
      <c r="CJ152" s="174"/>
      <c r="CK152" s="174"/>
      <c r="CL152" s="174"/>
      <c r="CM152" s="174"/>
      <c r="CN152" s="174"/>
      <c r="CO152" s="174"/>
      <c r="CP152" s="174"/>
      <c r="CQ152" s="174"/>
      <c r="CR152" s="174"/>
      <c r="CS152" s="174">
        <v>2</v>
      </c>
      <c r="CT152" s="174"/>
      <c r="CU152" s="174"/>
      <c r="CV152" s="174"/>
      <c r="CW152" s="174"/>
      <c r="CX152" s="174">
        <v>3</v>
      </c>
      <c r="CY152" s="174">
        <v>3</v>
      </c>
      <c r="CZ152" s="174">
        <v>3</v>
      </c>
      <c r="DA152" s="174"/>
      <c r="DB152" s="174"/>
      <c r="DC152" s="174"/>
      <c r="DD152" s="174"/>
      <c r="DE152" s="174"/>
      <c r="DF152" s="174"/>
      <c r="DG152" s="174"/>
      <c r="DH152" s="174"/>
      <c r="DI152" s="174">
        <v>3</v>
      </c>
      <c r="DJ152" s="174"/>
      <c r="DK152" s="174">
        <v>3</v>
      </c>
      <c r="DL152" s="62">
        <v>3</v>
      </c>
      <c r="DM152" s="62"/>
      <c r="DN152" s="62"/>
      <c r="DO152" s="62"/>
      <c r="DP152" s="62"/>
      <c r="DQ152" s="62"/>
      <c r="DR152" s="62"/>
      <c r="DS152" s="62">
        <v>3</v>
      </c>
      <c r="DT152" s="62">
        <f>6+4.5</f>
        <v>10.5</v>
      </c>
      <c r="DU152" s="62"/>
      <c r="DV152" s="62"/>
      <c r="DW152" s="62"/>
      <c r="DX152" s="62"/>
      <c r="DY152" s="62"/>
      <c r="DZ152" s="62"/>
      <c r="EA152" s="62"/>
      <c r="EB152" s="62"/>
      <c r="EC152" s="62"/>
      <c r="ED152" s="62"/>
      <c r="EE152" s="454"/>
      <c r="EF152" s="62"/>
      <c r="EG152" s="62"/>
      <c r="EH152" s="62"/>
      <c r="EI152" s="62"/>
      <c r="EJ152" s="62"/>
      <c r="EK152" s="62"/>
      <c r="EL152" s="62"/>
      <c r="EM152" s="62"/>
      <c r="EN152" s="62"/>
      <c r="EO152" s="62"/>
      <c r="EP152" s="62"/>
      <c r="EQ152" s="62"/>
      <c r="ER152" s="62"/>
      <c r="ES152" s="62"/>
      <c r="ET152" s="62"/>
      <c r="EU152" s="62"/>
      <c r="EV152" s="62"/>
      <c r="EW152" s="62"/>
      <c r="EX152" s="62"/>
      <c r="EY152" s="62"/>
      <c r="EZ152" s="62"/>
      <c r="FA152" s="62"/>
      <c r="FB152" s="62"/>
      <c r="FC152" s="62"/>
      <c r="FD152" s="62"/>
      <c r="FE152" s="62"/>
      <c r="FF152" s="62"/>
    </row>
    <row r="153" spans="1:162" s="56" customFormat="1">
      <c r="A153" s="54"/>
      <c r="B153" s="55"/>
      <c r="C153" s="491" t="s">
        <v>2991</v>
      </c>
      <c r="D153" s="62">
        <v>30</v>
      </c>
      <c r="E153" s="62">
        <f t="shared" si="75"/>
        <v>90</v>
      </c>
      <c r="F153" s="62"/>
      <c r="G153" s="62"/>
      <c r="H153" s="62"/>
      <c r="I153" s="62"/>
      <c r="J153" s="62"/>
      <c r="K153" s="62"/>
      <c r="L153" s="62">
        <f t="shared" si="76"/>
        <v>30</v>
      </c>
      <c r="M153" s="62"/>
      <c r="N153" s="62"/>
      <c r="O153" s="62"/>
      <c r="P153" s="62"/>
      <c r="Q153" s="62"/>
      <c r="R153" s="173" t="s">
        <v>1631</v>
      </c>
      <c r="S153" s="174"/>
      <c r="T153" s="174"/>
      <c r="U153" s="174"/>
      <c r="V153" s="174">
        <v>1</v>
      </c>
      <c r="W153" s="174"/>
      <c r="X153" s="174"/>
      <c r="Y153" s="174"/>
      <c r="Z153" s="174"/>
      <c r="AA153" s="174"/>
      <c r="AB153" s="174"/>
      <c r="AC153" s="174"/>
      <c r="AD153" s="174">
        <v>1</v>
      </c>
      <c r="AE153" s="174"/>
      <c r="AF153" s="174"/>
      <c r="AG153" s="883"/>
      <c r="AH153" s="174"/>
      <c r="AI153" s="492"/>
      <c r="AJ153" s="905"/>
      <c r="AK153" s="919"/>
      <c r="AL153" s="174"/>
      <c r="AM153" s="174"/>
      <c r="AN153" s="174"/>
      <c r="AO153" s="928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4"/>
      <c r="BC153" s="174"/>
      <c r="BD153" s="174"/>
      <c r="BE153" s="174"/>
      <c r="BF153" s="174">
        <v>1</v>
      </c>
      <c r="BG153" s="174"/>
      <c r="BH153" s="174"/>
      <c r="BI153" s="174"/>
      <c r="BJ153" s="174"/>
      <c r="BK153" s="174"/>
      <c r="BL153" s="174"/>
      <c r="BM153" s="174"/>
      <c r="BN153" s="174"/>
      <c r="BO153" s="174"/>
      <c r="BP153" s="174"/>
      <c r="BQ153" s="174">
        <v>1</v>
      </c>
      <c r="BR153" s="174"/>
      <c r="BS153" s="174"/>
      <c r="BT153" s="174"/>
      <c r="BU153" s="174"/>
      <c r="BV153" s="174"/>
      <c r="BW153" s="174"/>
      <c r="BX153" s="174"/>
      <c r="BY153" s="174"/>
      <c r="BZ153" s="174"/>
      <c r="CA153" s="174"/>
      <c r="CB153" s="174"/>
      <c r="CC153" s="174"/>
      <c r="CD153" s="174"/>
      <c r="CE153" s="174">
        <v>3</v>
      </c>
      <c r="CF153" s="174">
        <v>3</v>
      </c>
      <c r="CG153" s="174"/>
      <c r="CH153" s="174"/>
      <c r="CI153" s="174"/>
      <c r="CJ153" s="174"/>
      <c r="CK153" s="174"/>
      <c r="CL153" s="174"/>
      <c r="CM153" s="174"/>
      <c r="CN153" s="174"/>
      <c r="CO153" s="174"/>
      <c r="CP153" s="174"/>
      <c r="CQ153" s="174">
        <v>1</v>
      </c>
      <c r="CR153" s="174"/>
      <c r="CS153" s="174"/>
      <c r="CT153" s="174"/>
      <c r="CU153" s="174"/>
      <c r="CV153" s="174"/>
      <c r="CW153" s="174"/>
      <c r="CX153" s="174">
        <v>3</v>
      </c>
      <c r="CY153" s="174">
        <v>3</v>
      </c>
      <c r="CZ153" s="174"/>
      <c r="DA153" s="174"/>
      <c r="DB153" s="174"/>
      <c r="DC153" s="174"/>
      <c r="DD153" s="174"/>
      <c r="DE153" s="174"/>
      <c r="DF153" s="174"/>
      <c r="DG153" s="174"/>
      <c r="DH153" s="174"/>
      <c r="DI153" s="174"/>
      <c r="DJ153" s="174"/>
      <c r="DK153" s="174"/>
      <c r="DL153" s="62"/>
      <c r="DM153" s="62"/>
      <c r="DN153" s="62"/>
      <c r="DO153" s="62"/>
      <c r="DP153" s="62"/>
      <c r="DQ153" s="62"/>
      <c r="DR153" s="62"/>
      <c r="DS153" s="62"/>
      <c r="DT153" s="62"/>
      <c r="DU153" s="62"/>
      <c r="DV153" s="62"/>
      <c r="DW153" s="62"/>
      <c r="DX153" s="62"/>
      <c r="DY153" s="62"/>
      <c r="DZ153" s="62"/>
      <c r="EA153" s="62"/>
      <c r="EB153" s="62"/>
      <c r="EC153" s="62"/>
      <c r="ED153" s="62"/>
      <c r="EE153" s="454"/>
      <c r="EF153" s="62"/>
      <c r="EG153" s="62"/>
      <c r="EH153" s="62"/>
      <c r="EI153" s="62"/>
      <c r="EJ153" s="62"/>
      <c r="EK153" s="62"/>
      <c r="EL153" s="62"/>
      <c r="EM153" s="62"/>
      <c r="EN153" s="62"/>
      <c r="EO153" s="62"/>
      <c r="EP153" s="62"/>
      <c r="EQ153" s="62"/>
      <c r="ER153" s="62"/>
      <c r="ES153" s="62"/>
      <c r="ET153" s="62"/>
      <c r="EU153" s="62"/>
      <c r="EV153" s="62"/>
      <c r="EW153" s="62"/>
      <c r="EX153" s="62"/>
      <c r="EY153" s="62"/>
      <c r="EZ153" s="62"/>
      <c r="FA153" s="62"/>
      <c r="FB153" s="62"/>
      <c r="FC153" s="62"/>
      <c r="FD153" s="62"/>
      <c r="FE153" s="62"/>
      <c r="FF153" s="62"/>
    </row>
    <row r="154" spans="1:162" s="56" customFormat="1">
      <c r="A154" s="54"/>
      <c r="B154" s="55"/>
      <c r="C154" s="491" t="s">
        <v>2992</v>
      </c>
      <c r="D154" s="62">
        <v>35</v>
      </c>
      <c r="E154" s="62">
        <f t="shared" si="75"/>
        <v>105</v>
      </c>
      <c r="F154" s="62"/>
      <c r="G154" s="62"/>
      <c r="H154" s="62"/>
      <c r="I154" s="62"/>
      <c r="J154" s="62"/>
      <c r="K154" s="62"/>
      <c r="L154" s="62">
        <f t="shared" si="76"/>
        <v>35</v>
      </c>
      <c r="M154" s="62"/>
      <c r="N154" s="62"/>
      <c r="O154" s="62"/>
      <c r="P154" s="62"/>
      <c r="Q154" s="62"/>
      <c r="R154" s="173" t="s">
        <v>1631</v>
      </c>
      <c r="S154" s="174"/>
      <c r="T154" s="174"/>
      <c r="U154" s="174"/>
      <c r="V154" s="174">
        <v>1</v>
      </c>
      <c r="W154" s="174"/>
      <c r="X154" s="174"/>
      <c r="Y154" s="174"/>
      <c r="Z154" s="174"/>
      <c r="AA154" s="174"/>
      <c r="AB154" s="174"/>
      <c r="AC154" s="174"/>
      <c r="AD154" s="174">
        <v>1</v>
      </c>
      <c r="AE154" s="174"/>
      <c r="AF154" s="174"/>
      <c r="AG154" s="883"/>
      <c r="AH154" s="174"/>
      <c r="AI154" s="492"/>
      <c r="AJ154" s="905"/>
      <c r="AK154" s="919"/>
      <c r="AL154" s="174"/>
      <c r="AM154" s="174"/>
      <c r="AN154" s="174"/>
      <c r="AO154" s="928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4"/>
      <c r="BC154" s="174"/>
      <c r="BD154" s="174"/>
      <c r="BE154" s="174"/>
      <c r="BF154" s="174"/>
      <c r="BG154" s="174"/>
      <c r="BH154" s="174"/>
      <c r="BI154" s="174"/>
      <c r="BJ154" s="174"/>
      <c r="BK154" s="174"/>
      <c r="BL154" s="174"/>
      <c r="BM154" s="174"/>
      <c r="BN154" s="174"/>
      <c r="BO154" s="174"/>
      <c r="BP154" s="174"/>
      <c r="BQ154" s="174">
        <v>1</v>
      </c>
      <c r="BR154" s="174"/>
      <c r="BS154" s="174"/>
      <c r="BT154" s="174"/>
      <c r="BU154" s="174"/>
      <c r="BV154" s="174"/>
      <c r="BW154" s="174"/>
      <c r="BX154" s="174"/>
      <c r="BY154" s="174"/>
      <c r="BZ154" s="174"/>
      <c r="CA154" s="174"/>
      <c r="CB154" s="174"/>
      <c r="CC154" s="174"/>
      <c r="CD154" s="174"/>
      <c r="CE154" s="174">
        <v>3</v>
      </c>
      <c r="CF154" s="174">
        <v>3</v>
      </c>
      <c r="CG154" s="174"/>
      <c r="CH154" s="174"/>
      <c r="CI154" s="174"/>
      <c r="CJ154" s="174"/>
      <c r="CK154" s="174"/>
      <c r="CL154" s="174"/>
      <c r="CM154" s="174"/>
      <c r="CN154" s="174"/>
      <c r="CO154" s="174"/>
      <c r="CP154" s="174"/>
      <c r="CQ154" s="174">
        <v>1</v>
      </c>
      <c r="CR154" s="174"/>
      <c r="CS154" s="174"/>
      <c r="CT154" s="174"/>
      <c r="CU154" s="174"/>
      <c r="CV154" s="174"/>
      <c r="CW154" s="174"/>
      <c r="CX154" s="174"/>
      <c r="CY154" s="174"/>
      <c r="CZ154" s="174"/>
      <c r="DA154" s="174"/>
      <c r="DB154" s="174"/>
      <c r="DC154" s="174"/>
      <c r="DD154" s="174"/>
      <c r="DE154" s="174"/>
      <c r="DF154" s="174"/>
      <c r="DG154" s="174"/>
      <c r="DH154" s="174"/>
      <c r="DI154" s="174"/>
      <c r="DJ154" s="174"/>
      <c r="DK154" s="174"/>
      <c r="DL154" s="62"/>
      <c r="DM154" s="62"/>
      <c r="DN154" s="62"/>
      <c r="DO154" s="62"/>
      <c r="DP154" s="62"/>
      <c r="DQ154" s="62"/>
      <c r="DR154" s="62"/>
      <c r="DS154" s="62"/>
      <c r="DT154" s="62"/>
      <c r="DU154" s="62"/>
      <c r="DV154" s="62"/>
      <c r="DW154" s="62"/>
      <c r="DX154" s="62"/>
      <c r="DY154" s="62"/>
      <c r="DZ154" s="62"/>
      <c r="EA154" s="62"/>
      <c r="EB154" s="62"/>
      <c r="EC154" s="62"/>
      <c r="ED154" s="62"/>
      <c r="EE154" s="454"/>
      <c r="EF154" s="62"/>
      <c r="EG154" s="62"/>
      <c r="EH154" s="62"/>
      <c r="EI154" s="62"/>
      <c r="EJ154" s="62"/>
      <c r="EK154" s="62"/>
      <c r="EL154" s="62"/>
      <c r="EM154" s="62"/>
      <c r="EN154" s="62"/>
      <c r="EO154" s="62"/>
      <c r="EP154" s="62"/>
      <c r="EQ154" s="62"/>
      <c r="ER154" s="62"/>
      <c r="ES154" s="62"/>
      <c r="ET154" s="62"/>
      <c r="EU154" s="62"/>
      <c r="EV154" s="62"/>
      <c r="EW154" s="62"/>
      <c r="EX154" s="62"/>
      <c r="EY154" s="62"/>
      <c r="EZ154" s="62"/>
      <c r="FA154" s="62"/>
      <c r="FB154" s="62"/>
      <c r="FC154" s="62"/>
      <c r="FD154" s="62"/>
      <c r="FE154" s="62"/>
      <c r="FF154" s="62"/>
    </row>
    <row r="155" spans="1:162" s="56" customFormat="1">
      <c r="A155" s="54"/>
      <c r="B155" s="55"/>
      <c r="C155" s="491" t="s">
        <v>2993</v>
      </c>
      <c r="D155" s="62">
        <v>37</v>
      </c>
      <c r="E155" s="62">
        <f t="shared" si="75"/>
        <v>111</v>
      </c>
      <c r="F155" s="62"/>
      <c r="G155" s="62"/>
      <c r="H155" s="62"/>
      <c r="I155" s="62"/>
      <c r="J155" s="62"/>
      <c r="K155" s="62"/>
      <c r="L155" s="62">
        <f t="shared" si="76"/>
        <v>37</v>
      </c>
      <c r="M155" s="62"/>
      <c r="N155" s="62"/>
      <c r="O155" s="62"/>
      <c r="P155" s="62"/>
      <c r="Q155" s="62"/>
      <c r="R155" s="173" t="s">
        <v>1631</v>
      </c>
      <c r="S155" s="174"/>
      <c r="T155" s="174"/>
      <c r="U155" s="174"/>
      <c r="V155" s="174">
        <v>1</v>
      </c>
      <c r="W155" s="174"/>
      <c r="X155" s="174"/>
      <c r="Y155" s="174"/>
      <c r="Z155" s="174"/>
      <c r="AA155" s="174"/>
      <c r="AB155" s="174"/>
      <c r="AC155" s="174"/>
      <c r="AD155" s="174">
        <v>1</v>
      </c>
      <c r="AE155" s="174"/>
      <c r="AF155" s="174"/>
      <c r="AG155" s="883"/>
      <c r="AH155" s="174"/>
      <c r="AI155" s="492"/>
      <c r="AJ155" s="905"/>
      <c r="AK155" s="919"/>
      <c r="AL155" s="174"/>
      <c r="AM155" s="174"/>
      <c r="AN155" s="174"/>
      <c r="AO155" s="928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>
        <v>1</v>
      </c>
      <c r="BR155" s="174"/>
      <c r="BS155" s="174"/>
      <c r="BT155" s="174"/>
      <c r="BU155" s="174"/>
      <c r="BV155" s="174"/>
      <c r="BW155" s="174"/>
      <c r="BX155" s="174"/>
      <c r="BY155" s="174"/>
      <c r="BZ155" s="174"/>
      <c r="CA155" s="174"/>
      <c r="CB155" s="174"/>
      <c r="CC155" s="174"/>
      <c r="CD155" s="174"/>
      <c r="CE155" s="174">
        <v>3</v>
      </c>
      <c r="CF155" s="174">
        <v>3</v>
      </c>
      <c r="CG155" s="174"/>
      <c r="CH155" s="174"/>
      <c r="CI155" s="174"/>
      <c r="CJ155" s="174"/>
      <c r="CK155" s="174"/>
      <c r="CL155" s="174"/>
      <c r="CM155" s="174"/>
      <c r="CN155" s="174"/>
      <c r="CO155" s="174"/>
      <c r="CP155" s="174"/>
      <c r="CQ155" s="174">
        <v>1</v>
      </c>
      <c r="CR155" s="174"/>
      <c r="CS155" s="174"/>
      <c r="CT155" s="174"/>
      <c r="CU155" s="174"/>
      <c r="CV155" s="174"/>
      <c r="CW155" s="174"/>
      <c r="CX155" s="174"/>
      <c r="CY155" s="174"/>
      <c r="CZ155" s="174"/>
      <c r="DA155" s="174"/>
      <c r="DB155" s="174"/>
      <c r="DC155" s="174"/>
      <c r="DD155" s="174"/>
      <c r="DE155" s="174"/>
      <c r="DF155" s="174"/>
      <c r="DG155" s="174"/>
      <c r="DH155" s="174"/>
      <c r="DI155" s="174"/>
      <c r="DJ155" s="174"/>
      <c r="DK155" s="174"/>
      <c r="DL155" s="62"/>
      <c r="DM155" s="62"/>
      <c r="DN155" s="62"/>
      <c r="DO155" s="62"/>
      <c r="DP155" s="62"/>
      <c r="DQ155" s="62"/>
      <c r="DR155" s="62"/>
      <c r="DS155" s="62"/>
      <c r="DT155" s="62"/>
      <c r="DU155" s="62"/>
      <c r="DV155" s="62"/>
      <c r="DW155" s="62"/>
      <c r="DX155" s="62"/>
      <c r="DY155" s="62"/>
      <c r="DZ155" s="62"/>
      <c r="EA155" s="62"/>
      <c r="EB155" s="62"/>
      <c r="EC155" s="62"/>
      <c r="ED155" s="62"/>
      <c r="EE155" s="454"/>
      <c r="EF155" s="62"/>
      <c r="EG155" s="62"/>
      <c r="EH155" s="62"/>
      <c r="EI155" s="62"/>
      <c r="EJ155" s="62"/>
      <c r="EK155" s="62"/>
      <c r="EL155" s="62"/>
      <c r="EM155" s="62"/>
      <c r="EN155" s="62"/>
      <c r="EO155" s="62"/>
      <c r="EP155" s="62"/>
      <c r="EQ155" s="62"/>
      <c r="ER155" s="62"/>
      <c r="ES155" s="62"/>
      <c r="ET155" s="62"/>
      <c r="EU155" s="62"/>
      <c r="EV155" s="62"/>
      <c r="EW155" s="62"/>
      <c r="EX155" s="62"/>
      <c r="EY155" s="62"/>
      <c r="EZ155" s="62"/>
      <c r="FA155" s="62"/>
      <c r="FB155" s="62"/>
      <c r="FC155" s="62"/>
      <c r="FD155" s="62"/>
      <c r="FE155" s="62"/>
      <c r="FF155" s="62"/>
    </row>
    <row r="156" spans="1:162" s="56" customFormat="1">
      <c r="A156" s="54"/>
      <c r="B156" s="55"/>
      <c r="C156" s="491" t="s">
        <v>2994</v>
      </c>
      <c r="D156" s="62">
        <v>40</v>
      </c>
      <c r="E156" s="62">
        <f t="shared" si="75"/>
        <v>120</v>
      </c>
      <c r="F156" s="62"/>
      <c r="G156" s="62"/>
      <c r="H156" s="62"/>
      <c r="I156" s="62"/>
      <c r="J156" s="62"/>
      <c r="K156" s="62"/>
      <c r="L156" s="62">
        <f t="shared" si="76"/>
        <v>40</v>
      </c>
      <c r="M156" s="62"/>
      <c r="N156" s="62"/>
      <c r="O156" s="62"/>
      <c r="P156" s="62"/>
      <c r="Q156" s="62"/>
      <c r="R156" s="173" t="s">
        <v>1631</v>
      </c>
      <c r="S156" s="174"/>
      <c r="T156" s="174"/>
      <c r="U156" s="174"/>
      <c r="V156" s="174">
        <v>1</v>
      </c>
      <c r="W156" s="174"/>
      <c r="X156" s="174"/>
      <c r="Y156" s="174"/>
      <c r="Z156" s="174"/>
      <c r="AA156" s="174"/>
      <c r="AB156" s="174"/>
      <c r="AC156" s="174"/>
      <c r="AD156" s="174">
        <v>1</v>
      </c>
      <c r="AE156" s="174"/>
      <c r="AF156" s="174"/>
      <c r="AG156" s="883"/>
      <c r="AH156" s="174"/>
      <c r="AI156" s="492"/>
      <c r="AJ156" s="905"/>
      <c r="AK156" s="919"/>
      <c r="AL156" s="174"/>
      <c r="AM156" s="174"/>
      <c r="AN156" s="174"/>
      <c r="AO156" s="928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  <c r="BL156" s="174"/>
      <c r="BM156" s="174"/>
      <c r="BN156" s="174"/>
      <c r="BO156" s="174"/>
      <c r="BP156" s="174"/>
      <c r="BQ156" s="174">
        <v>1</v>
      </c>
      <c r="BR156" s="174"/>
      <c r="BS156" s="174"/>
      <c r="BT156" s="174"/>
      <c r="BU156" s="174"/>
      <c r="BV156" s="174"/>
      <c r="BW156" s="174"/>
      <c r="BX156" s="174"/>
      <c r="BY156" s="174"/>
      <c r="BZ156" s="174"/>
      <c r="CA156" s="174"/>
      <c r="CB156" s="174"/>
      <c r="CC156" s="174"/>
      <c r="CD156" s="174"/>
      <c r="CE156" s="174">
        <v>3</v>
      </c>
      <c r="CF156" s="174">
        <v>3</v>
      </c>
      <c r="CG156" s="174"/>
      <c r="CH156" s="174"/>
      <c r="CI156" s="174"/>
      <c r="CJ156" s="174"/>
      <c r="CK156" s="174"/>
      <c r="CL156" s="174"/>
      <c r="CM156" s="174"/>
      <c r="CN156" s="174"/>
      <c r="CO156" s="174"/>
      <c r="CP156" s="174"/>
      <c r="CQ156" s="174">
        <v>1</v>
      </c>
      <c r="CR156" s="174"/>
      <c r="CS156" s="174"/>
      <c r="CT156" s="174"/>
      <c r="CU156" s="174"/>
      <c r="CV156" s="174"/>
      <c r="CW156" s="174"/>
      <c r="CX156" s="174"/>
      <c r="CY156" s="174"/>
      <c r="CZ156" s="174"/>
      <c r="DA156" s="174"/>
      <c r="DB156" s="174"/>
      <c r="DC156" s="174"/>
      <c r="DD156" s="174"/>
      <c r="DE156" s="174"/>
      <c r="DF156" s="174"/>
      <c r="DG156" s="174"/>
      <c r="DH156" s="174"/>
      <c r="DI156" s="174"/>
      <c r="DJ156" s="174"/>
      <c r="DK156" s="174"/>
      <c r="DL156" s="62"/>
      <c r="DM156" s="62"/>
      <c r="DN156" s="62"/>
      <c r="DO156" s="62"/>
      <c r="DP156" s="62"/>
      <c r="DQ156" s="62"/>
      <c r="DR156" s="62"/>
      <c r="DS156" s="62"/>
      <c r="DT156" s="62"/>
      <c r="DU156" s="62"/>
      <c r="DV156" s="62"/>
      <c r="DW156" s="62"/>
      <c r="DX156" s="62"/>
      <c r="DY156" s="62"/>
      <c r="DZ156" s="62"/>
      <c r="EA156" s="62"/>
      <c r="EB156" s="62"/>
      <c r="EC156" s="62"/>
      <c r="ED156" s="62"/>
      <c r="EE156" s="454"/>
      <c r="EF156" s="62"/>
      <c r="EG156" s="62"/>
      <c r="EH156" s="62"/>
      <c r="EI156" s="62"/>
      <c r="EJ156" s="62"/>
      <c r="EK156" s="62"/>
      <c r="EL156" s="62"/>
      <c r="EM156" s="62"/>
      <c r="EN156" s="62"/>
      <c r="EO156" s="62"/>
      <c r="EP156" s="62"/>
      <c r="EQ156" s="62"/>
      <c r="ER156" s="62"/>
      <c r="ES156" s="62"/>
      <c r="ET156" s="62"/>
      <c r="EU156" s="62"/>
      <c r="EV156" s="62"/>
      <c r="EW156" s="62"/>
      <c r="EX156" s="62"/>
      <c r="EY156" s="62"/>
      <c r="EZ156" s="62"/>
      <c r="FA156" s="62"/>
      <c r="FB156" s="62"/>
      <c r="FC156" s="62"/>
      <c r="FD156" s="62"/>
      <c r="FE156" s="62"/>
      <c r="FF156" s="62"/>
    </row>
    <row r="157" spans="1:162" s="56" customFormat="1">
      <c r="A157" s="54"/>
      <c r="B157" s="55"/>
      <c r="C157" s="491" t="s">
        <v>2995</v>
      </c>
      <c r="D157" s="62">
        <v>40</v>
      </c>
      <c r="E157" s="62">
        <f t="shared" si="75"/>
        <v>120</v>
      </c>
      <c r="F157" s="62"/>
      <c r="G157" s="62"/>
      <c r="H157" s="62"/>
      <c r="I157" s="62"/>
      <c r="J157" s="62"/>
      <c r="K157" s="62"/>
      <c r="L157" s="62">
        <f t="shared" si="76"/>
        <v>40</v>
      </c>
      <c r="M157" s="62"/>
      <c r="N157" s="62"/>
      <c r="O157" s="62"/>
      <c r="P157" s="62"/>
      <c r="Q157" s="62"/>
      <c r="R157" s="173" t="s">
        <v>2990</v>
      </c>
      <c r="S157" s="174"/>
      <c r="T157" s="174"/>
      <c r="U157" s="174"/>
      <c r="V157" s="174">
        <v>2</v>
      </c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883"/>
      <c r="AH157" s="174"/>
      <c r="AI157" s="492"/>
      <c r="AJ157" s="905">
        <v>1</v>
      </c>
      <c r="AK157" s="919"/>
      <c r="AL157" s="174"/>
      <c r="AM157" s="174"/>
      <c r="AN157" s="174"/>
      <c r="AO157" s="928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/>
      <c r="BR157" s="174"/>
      <c r="BS157" s="174"/>
      <c r="BT157" s="174"/>
      <c r="BU157" s="174"/>
      <c r="BV157" s="174"/>
      <c r="BW157" s="174">
        <v>1</v>
      </c>
      <c r="BX157" s="174"/>
      <c r="BY157" s="174"/>
      <c r="BZ157" s="174"/>
      <c r="CA157" s="174"/>
      <c r="CB157" s="174"/>
      <c r="CC157" s="174"/>
      <c r="CD157" s="174"/>
      <c r="CE157" s="174"/>
      <c r="CF157" s="174"/>
      <c r="CG157" s="174"/>
      <c r="CH157" s="174">
        <v>3</v>
      </c>
      <c r="CI157" s="174"/>
      <c r="CJ157" s="174"/>
      <c r="CK157" s="174"/>
      <c r="CL157" s="174"/>
      <c r="CM157" s="174"/>
      <c r="CN157" s="174"/>
      <c r="CO157" s="174"/>
      <c r="CP157" s="174"/>
      <c r="CQ157" s="174"/>
      <c r="CR157" s="174"/>
      <c r="CS157" s="174">
        <v>1</v>
      </c>
      <c r="CT157" s="174"/>
      <c r="CU157" s="174"/>
      <c r="CV157" s="174"/>
      <c r="CW157" s="174"/>
      <c r="CX157" s="174"/>
      <c r="CY157" s="174"/>
      <c r="CZ157" s="174"/>
      <c r="DA157" s="174"/>
      <c r="DB157" s="174"/>
      <c r="DC157" s="174"/>
      <c r="DD157" s="174"/>
      <c r="DE157" s="174"/>
      <c r="DF157" s="174"/>
      <c r="DG157" s="174"/>
      <c r="DH157" s="174"/>
      <c r="DI157" s="174"/>
      <c r="DJ157" s="174"/>
      <c r="DK157" s="174"/>
      <c r="DL157" s="62"/>
      <c r="DM157" s="62"/>
      <c r="DN157" s="62"/>
      <c r="DO157" s="62"/>
      <c r="DP157" s="62"/>
      <c r="DQ157" s="62"/>
      <c r="DR157" s="62"/>
      <c r="DS157" s="62"/>
      <c r="DT157" s="62"/>
      <c r="DU157" s="62"/>
      <c r="DV157" s="62"/>
      <c r="DW157" s="62"/>
      <c r="DX157" s="62"/>
      <c r="DY157" s="62"/>
      <c r="DZ157" s="62"/>
      <c r="EA157" s="62"/>
      <c r="EB157" s="62"/>
      <c r="EC157" s="62"/>
      <c r="ED157" s="62"/>
      <c r="EE157" s="454"/>
      <c r="EF157" s="62"/>
      <c r="EG157" s="62"/>
      <c r="EH157" s="62"/>
      <c r="EI157" s="62"/>
      <c r="EJ157" s="62"/>
      <c r="EK157" s="62"/>
      <c r="EL157" s="62"/>
      <c r="EM157" s="62"/>
      <c r="EN157" s="62"/>
      <c r="EO157" s="62"/>
      <c r="EP157" s="62"/>
      <c r="EQ157" s="62"/>
      <c r="ER157" s="62"/>
      <c r="ES157" s="62"/>
      <c r="ET157" s="62"/>
      <c r="EU157" s="62"/>
      <c r="EV157" s="62"/>
      <c r="EW157" s="62"/>
      <c r="EX157" s="62"/>
      <c r="EY157" s="62"/>
      <c r="EZ157" s="62"/>
      <c r="FA157" s="62"/>
      <c r="FB157" s="62"/>
      <c r="FC157" s="62"/>
      <c r="FD157" s="62"/>
      <c r="FE157" s="62"/>
      <c r="FF157" s="62"/>
    </row>
    <row r="158" spans="1:162" s="56" customFormat="1">
      <c r="A158" s="54"/>
      <c r="B158" s="55"/>
      <c r="C158" s="491"/>
      <c r="D158" s="62"/>
      <c r="E158" s="62">
        <f t="shared" si="75"/>
        <v>0</v>
      </c>
      <c r="F158" s="62"/>
      <c r="G158" s="62"/>
      <c r="H158" s="62"/>
      <c r="I158" s="62"/>
      <c r="J158" s="62"/>
      <c r="K158" s="62"/>
      <c r="L158" s="62">
        <f t="shared" si="76"/>
        <v>0</v>
      </c>
      <c r="M158" s="62"/>
      <c r="N158" s="62"/>
      <c r="O158" s="62"/>
      <c r="P158" s="62"/>
      <c r="Q158" s="62"/>
      <c r="R158" s="173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883"/>
      <c r="AH158" s="174"/>
      <c r="AI158" s="492"/>
      <c r="AJ158" s="905"/>
      <c r="AK158" s="919"/>
      <c r="AL158" s="174"/>
      <c r="AM158" s="174"/>
      <c r="AN158" s="174"/>
      <c r="AO158" s="928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  <c r="AZ158" s="174"/>
      <c r="BA158" s="174"/>
      <c r="BB158" s="174"/>
      <c r="BC158" s="174"/>
      <c r="BD158" s="174"/>
      <c r="BE158" s="174"/>
      <c r="BF158" s="174"/>
      <c r="BG158" s="174"/>
      <c r="BH158" s="174"/>
      <c r="BI158" s="174"/>
      <c r="BJ158" s="174"/>
      <c r="BK158" s="174"/>
      <c r="BL158" s="174"/>
      <c r="BM158" s="174"/>
      <c r="BN158" s="174"/>
      <c r="BO158" s="174"/>
      <c r="BP158" s="174"/>
      <c r="BQ158" s="174"/>
      <c r="BR158" s="174"/>
      <c r="BS158" s="174"/>
      <c r="BT158" s="174"/>
      <c r="BU158" s="174"/>
      <c r="BV158" s="174"/>
      <c r="BW158" s="174"/>
      <c r="BX158" s="174"/>
      <c r="BY158" s="174"/>
      <c r="BZ158" s="174"/>
      <c r="CA158" s="174"/>
      <c r="CB158" s="174"/>
      <c r="CC158" s="174"/>
      <c r="CD158" s="174"/>
      <c r="CE158" s="174"/>
      <c r="CF158" s="174"/>
      <c r="CG158" s="174"/>
      <c r="CH158" s="174"/>
      <c r="CI158" s="174"/>
      <c r="CJ158" s="174"/>
      <c r="CK158" s="174"/>
      <c r="CL158" s="174"/>
      <c r="CM158" s="174"/>
      <c r="CN158" s="174"/>
      <c r="CO158" s="174"/>
      <c r="CP158" s="174"/>
      <c r="CQ158" s="174"/>
      <c r="CR158" s="174"/>
      <c r="CS158" s="174"/>
      <c r="CT158" s="174"/>
      <c r="CU158" s="174"/>
      <c r="CV158" s="174"/>
      <c r="CW158" s="174"/>
      <c r="CX158" s="174"/>
      <c r="CY158" s="174"/>
      <c r="CZ158" s="174"/>
      <c r="DA158" s="174"/>
      <c r="DB158" s="174"/>
      <c r="DC158" s="174"/>
      <c r="DD158" s="174"/>
      <c r="DE158" s="174"/>
      <c r="DF158" s="174"/>
      <c r="DG158" s="174"/>
      <c r="DH158" s="174"/>
      <c r="DI158" s="174"/>
      <c r="DJ158" s="174"/>
      <c r="DK158" s="174"/>
      <c r="DL158" s="62"/>
      <c r="DM158" s="62"/>
      <c r="DN158" s="62"/>
      <c r="DO158" s="62"/>
      <c r="DP158" s="62"/>
      <c r="DQ158" s="62"/>
      <c r="DR158" s="62"/>
      <c r="DS158" s="62"/>
      <c r="DT158" s="62"/>
      <c r="DU158" s="62"/>
      <c r="DV158" s="62"/>
      <c r="DW158" s="62"/>
      <c r="DX158" s="62"/>
      <c r="DY158" s="62"/>
      <c r="DZ158" s="62"/>
      <c r="EA158" s="62"/>
      <c r="EB158" s="62"/>
      <c r="EC158" s="62"/>
      <c r="ED158" s="62"/>
      <c r="EE158" s="454"/>
      <c r="EF158" s="62"/>
      <c r="EG158" s="62"/>
      <c r="EH158" s="62"/>
      <c r="EI158" s="62"/>
      <c r="EJ158" s="62"/>
      <c r="EK158" s="62"/>
      <c r="EL158" s="62"/>
      <c r="EM158" s="62"/>
      <c r="EN158" s="62"/>
      <c r="EO158" s="62"/>
      <c r="EP158" s="62"/>
      <c r="EQ158" s="62"/>
      <c r="ER158" s="62"/>
      <c r="ES158" s="62"/>
      <c r="ET158" s="62"/>
      <c r="EU158" s="62"/>
      <c r="EV158" s="62"/>
      <c r="EW158" s="62"/>
      <c r="EX158" s="62"/>
      <c r="EY158" s="62"/>
      <c r="EZ158" s="62"/>
      <c r="FA158" s="62"/>
      <c r="FB158" s="62"/>
      <c r="FC158" s="62"/>
      <c r="FD158" s="62"/>
      <c r="FE158" s="62"/>
      <c r="FF158" s="62"/>
    </row>
    <row r="159" spans="1:162">
      <c r="A159" s="487">
        <f>MATCH(C159,$C$5:$C$361,0)</f>
        <v>155</v>
      </c>
      <c r="C159" s="14" t="s">
        <v>3018</v>
      </c>
      <c r="D159" s="14">
        <f t="shared" ref="D159:Q159" si="77">SUM(D151:D158)</f>
        <v>197</v>
      </c>
      <c r="E159" s="14">
        <f t="shared" si="77"/>
        <v>591</v>
      </c>
      <c r="F159" s="14">
        <f t="shared" si="77"/>
        <v>0</v>
      </c>
      <c r="G159" s="14">
        <f t="shared" si="77"/>
        <v>0</v>
      </c>
      <c r="H159" s="14">
        <f t="shared" si="77"/>
        <v>0</v>
      </c>
      <c r="I159" s="14">
        <f t="shared" si="77"/>
        <v>0</v>
      </c>
      <c r="J159" s="14">
        <f t="shared" si="77"/>
        <v>0</v>
      </c>
      <c r="K159" s="14">
        <f t="shared" si="77"/>
        <v>0</v>
      </c>
      <c r="L159" s="14">
        <f t="shared" si="77"/>
        <v>197</v>
      </c>
      <c r="M159" s="14">
        <f t="shared" si="77"/>
        <v>0</v>
      </c>
      <c r="N159" s="14">
        <f t="shared" si="77"/>
        <v>0</v>
      </c>
      <c r="O159" s="14">
        <f t="shared" si="77"/>
        <v>0</v>
      </c>
      <c r="P159" s="14">
        <f t="shared" si="77"/>
        <v>0</v>
      </c>
      <c r="Q159" s="14">
        <f t="shared" si="77"/>
        <v>0</v>
      </c>
      <c r="R159" s="14"/>
      <c r="S159" s="175">
        <f t="shared" ref="S159:AX159" si="78">SUM(S151:S158)</f>
        <v>0</v>
      </c>
      <c r="T159" s="175">
        <f t="shared" si="78"/>
        <v>0</v>
      </c>
      <c r="U159" s="175">
        <f t="shared" si="78"/>
        <v>0</v>
      </c>
      <c r="V159" s="175">
        <f t="shared" si="78"/>
        <v>8</v>
      </c>
      <c r="W159" s="175">
        <f t="shared" si="78"/>
        <v>0</v>
      </c>
      <c r="X159" s="175">
        <f t="shared" si="78"/>
        <v>0</v>
      </c>
      <c r="Y159" s="175">
        <f t="shared" si="78"/>
        <v>0</v>
      </c>
      <c r="Z159" s="175">
        <f t="shared" si="78"/>
        <v>0</v>
      </c>
      <c r="AA159" s="175">
        <f t="shared" si="78"/>
        <v>0</v>
      </c>
      <c r="AB159" s="175">
        <f t="shared" si="78"/>
        <v>0</v>
      </c>
      <c r="AC159" s="175">
        <f t="shared" si="78"/>
        <v>0</v>
      </c>
      <c r="AD159" s="175">
        <f t="shared" si="78"/>
        <v>4</v>
      </c>
      <c r="AE159" s="175">
        <f t="shared" si="78"/>
        <v>0</v>
      </c>
      <c r="AF159" s="175">
        <f t="shared" si="78"/>
        <v>0</v>
      </c>
      <c r="AG159" s="884">
        <f t="shared" si="78"/>
        <v>0</v>
      </c>
      <c r="AH159" s="175">
        <f t="shared" si="78"/>
        <v>0</v>
      </c>
      <c r="AI159" s="178">
        <f t="shared" si="78"/>
        <v>0</v>
      </c>
      <c r="AJ159" s="906">
        <f t="shared" si="78"/>
        <v>2</v>
      </c>
      <c r="AK159" s="920">
        <f t="shared" si="78"/>
        <v>0</v>
      </c>
      <c r="AL159" s="175">
        <f t="shared" si="78"/>
        <v>0</v>
      </c>
      <c r="AM159" s="175">
        <f t="shared" si="78"/>
        <v>0</v>
      </c>
      <c r="AN159" s="175">
        <f t="shared" si="78"/>
        <v>0</v>
      </c>
      <c r="AO159" s="929">
        <f t="shared" si="78"/>
        <v>0</v>
      </c>
      <c r="AP159" s="175">
        <f t="shared" si="78"/>
        <v>0</v>
      </c>
      <c r="AQ159" s="175">
        <f t="shared" si="78"/>
        <v>0</v>
      </c>
      <c r="AR159" s="175">
        <f t="shared" si="78"/>
        <v>0</v>
      </c>
      <c r="AS159" s="175">
        <f t="shared" si="78"/>
        <v>0</v>
      </c>
      <c r="AT159" s="175">
        <f t="shared" si="78"/>
        <v>0</v>
      </c>
      <c r="AU159" s="175">
        <f t="shared" si="78"/>
        <v>0</v>
      </c>
      <c r="AV159" s="175">
        <f t="shared" si="78"/>
        <v>0</v>
      </c>
      <c r="AW159" s="175">
        <f t="shared" si="78"/>
        <v>0</v>
      </c>
      <c r="AX159" s="175">
        <f t="shared" si="78"/>
        <v>0</v>
      </c>
      <c r="AY159" s="175">
        <f t="shared" ref="AY159:CD159" si="79">SUM(AY151:AY158)</f>
        <v>0</v>
      </c>
      <c r="AZ159" s="175">
        <f t="shared" si="79"/>
        <v>0</v>
      </c>
      <c r="BA159" s="175">
        <f t="shared" si="79"/>
        <v>0</v>
      </c>
      <c r="BB159" s="175">
        <f t="shared" si="79"/>
        <v>0</v>
      </c>
      <c r="BC159" s="175">
        <f t="shared" si="79"/>
        <v>0</v>
      </c>
      <c r="BD159" s="175">
        <f t="shared" si="79"/>
        <v>0</v>
      </c>
      <c r="BE159" s="175">
        <f t="shared" si="79"/>
        <v>0</v>
      </c>
      <c r="BF159" s="175">
        <f t="shared" si="79"/>
        <v>1</v>
      </c>
      <c r="BG159" s="175">
        <f t="shared" si="79"/>
        <v>0</v>
      </c>
      <c r="BH159" s="175">
        <f t="shared" si="79"/>
        <v>0</v>
      </c>
      <c r="BI159" s="175">
        <f t="shared" si="79"/>
        <v>1</v>
      </c>
      <c r="BJ159" s="175">
        <f t="shared" si="79"/>
        <v>0</v>
      </c>
      <c r="BK159" s="175">
        <f t="shared" si="79"/>
        <v>0</v>
      </c>
      <c r="BL159" s="175">
        <f t="shared" si="79"/>
        <v>0</v>
      </c>
      <c r="BM159" s="175">
        <f t="shared" si="79"/>
        <v>0</v>
      </c>
      <c r="BN159" s="175">
        <f t="shared" si="79"/>
        <v>0</v>
      </c>
      <c r="BO159" s="175">
        <f t="shared" si="79"/>
        <v>0</v>
      </c>
      <c r="BP159" s="175">
        <f t="shared" si="79"/>
        <v>0</v>
      </c>
      <c r="BQ159" s="175">
        <f t="shared" si="79"/>
        <v>4</v>
      </c>
      <c r="BR159" s="175">
        <f t="shared" si="79"/>
        <v>0</v>
      </c>
      <c r="BS159" s="175">
        <f t="shared" si="79"/>
        <v>0</v>
      </c>
      <c r="BT159" s="175">
        <f t="shared" si="79"/>
        <v>0</v>
      </c>
      <c r="BU159" s="175">
        <f t="shared" si="79"/>
        <v>0</v>
      </c>
      <c r="BV159" s="175">
        <f t="shared" si="79"/>
        <v>1</v>
      </c>
      <c r="BW159" s="175">
        <f t="shared" si="79"/>
        <v>2</v>
      </c>
      <c r="BX159" s="175">
        <f t="shared" si="79"/>
        <v>0</v>
      </c>
      <c r="BY159" s="175">
        <f t="shared" si="79"/>
        <v>0</v>
      </c>
      <c r="BZ159" s="175">
        <f t="shared" si="79"/>
        <v>0</v>
      </c>
      <c r="CA159" s="175">
        <f t="shared" si="79"/>
        <v>0</v>
      </c>
      <c r="CB159" s="175">
        <f t="shared" si="79"/>
        <v>1</v>
      </c>
      <c r="CC159" s="175">
        <f t="shared" si="79"/>
        <v>0</v>
      </c>
      <c r="CD159" s="175">
        <f t="shared" si="79"/>
        <v>0</v>
      </c>
      <c r="CE159" s="175">
        <f t="shared" ref="CE159:DJ159" si="80">SUM(CE151:CE158)</f>
        <v>18</v>
      </c>
      <c r="CF159" s="175">
        <f t="shared" si="80"/>
        <v>12</v>
      </c>
      <c r="CG159" s="175">
        <f t="shared" si="80"/>
        <v>6</v>
      </c>
      <c r="CH159" s="175">
        <f t="shared" si="80"/>
        <v>12</v>
      </c>
      <c r="CI159" s="175">
        <f t="shared" si="80"/>
        <v>0</v>
      </c>
      <c r="CJ159" s="175">
        <f t="shared" si="80"/>
        <v>0</v>
      </c>
      <c r="CK159" s="175">
        <f t="shared" si="80"/>
        <v>0</v>
      </c>
      <c r="CL159" s="175">
        <f t="shared" si="80"/>
        <v>0</v>
      </c>
      <c r="CM159" s="175">
        <f t="shared" si="80"/>
        <v>0</v>
      </c>
      <c r="CN159" s="175">
        <f t="shared" si="80"/>
        <v>0</v>
      </c>
      <c r="CO159" s="175">
        <f t="shared" si="80"/>
        <v>0</v>
      </c>
      <c r="CP159" s="175">
        <f t="shared" si="80"/>
        <v>0</v>
      </c>
      <c r="CQ159" s="175">
        <f t="shared" si="80"/>
        <v>4</v>
      </c>
      <c r="CR159" s="175">
        <f t="shared" si="80"/>
        <v>0</v>
      </c>
      <c r="CS159" s="175">
        <f t="shared" si="80"/>
        <v>4</v>
      </c>
      <c r="CT159" s="175">
        <f t="shared" si="80"/>
        <v>0</v>
      </c>
      <c r="CU159" s="175">
        <f t="shared" si="80"/>
        <v>0</v>
      </c>
      <c r="CV159" s="175">
        <f t="shared" si="80"/>
        <v>0</v>
      </c>
      <c r="CW159" s="175">
        <f t="shared" si="80"/>
        <v>0</v>
      </c>
      <c r="CX159" s="175">
        <f t="shared" si="80"/>
        <v>9</v>
      </c>
      <c r="CY159" s="175">
        <f t="shared" si="80"/>
        <v>9</v>
      </c>
      <c r="CZ159" s="175">
        <f t="shared" si="80"/>
        <v>6</v>
      </c>
      <c r="DA159" s="175">
        <f t="shared" si="80"/>
        <v>0</v>
      </c>
      <c r="DB159" s="175">
        <f t="shared" si="80"/>
        <v>0</v>
      </c>
      <c r="DC159" s="175">
        <f t="shared" si="80"/>
        <v>2</v>
      </c>
      <c r="DD159" s="175">
        <f t="shared" si="80"/>
        <v>0</v>
      </c>
      <c r="DE159" s="175">
        <f t="shared" si="80"/>
        <v>0</v>
      </c>
      <c r="DF159" s="175">
        <f t="shared" si="80"/>
        <v>0</v>
      </c>
      <c r="DG159" s="175">
        <f t="shared" si="80"/>
        <v>0</v>
      </c>
      <c r="DH159" s="175">
        <f t="shared" si="80"/>
        <v>0</v>
      </c>
      <c r="DI159" s="175">
        <f t="shared" si="80"/>
        <v>3</v>
      </c>
      <c r="DJ159" s="175">
        <f t="shared" si="80"/>
        <v>0</v>
      </c>
      <c r="DK159" s="175">
        <f t="shared" ref="DK159:ED159" si="81">SUM(DK151:DK158)</f>
        <v>3</v>
      </c>
      <c r="DL159" s="14">
        <f t="shared" si="81"/>
        <v>4.5</v>
      </c>
      <c r="DM159" s="14">
        <f t="shared" si="81"/>
        <v>0</v>
      </c>
      <c r="DN159" s="14">
        <f t="shared" si="81"/>
        <v>0</v>
      </c>
      <c r="DO159" s="14">
        <f t="shared" si="81"/>
        <v>0</v>
      </c>
      <c r="DP159" s="14">
        <f t="shared" si="81"/>
        <v>0</v>
      </c>
      <c r="DQ159" s="14">
        <f t="shared" si="81"/>
        <v>0</v>
      </c>
      <c r="DR159" s="14">
        <f t="shared" si="81"/>
        <v>0</v>
      </c>
      <c r="DS159" s="14">
        <f t="shared" si="81"/>
        <v>4.5</v>
      </c>
      <c r="DT159" s="14">
        <f t="shared" si="81"/>
        <v>13.5</v>
      </c>
      <c r="DU159" s="14">
        <f t="shared" si="81"/>
        <v>0</v>
      </c>
      <c r="DV159" s="14">
        <f t="shared" si="81"/>
        <v>0</v>
      </c>
      <c r="DW159" s="14">
        <f t="shared" si="81"/>
        <v>0</v>
      </c>
      <c r="DX159" s="14">
        <f t="shared" si="81"/>
        <v>0</v>
      </c>
      <c r="DY159" s="14">
        <f t="shared" si="81"/>
        <v>0</v>
      </c>
      <c r="DZ159" s="14">
        <f t="shared" si="81"/>
        <v>0</v>
      </c>
      <c r="EA159" s="14">
        <f t="shared" si="81"/>
        <v>0</v>
      </c>
      <c r="EB159" s="14">
        <f t="shared" si="81"/>
        <v>0</v>
      </c>
      <c r="EC159" s="14">
        <f t="shared" si="81"/>
        <v>0</v>
      </c>
      <c r="ED159" s="14">
        <f t="shared" si="81"/>
        <v>0</v>
      </c>
      <c r="EE159" s="508"/>
      <c r="EF159" s="14">
        <f t="shared" ref="EF159:FE159" si="82">SUM(EF151:EF158)</f>
        <v>0</v>
      </c>
      <c r="EG159" s="14">
        <f t="shared" si="82"/>
        <v>0</v>
      </c>
      <c r="EH159" s="14">
        <f t="shared" si="82"/>
        <v>0</v>
      </c>
      <c r="EI159" s="14">
        <f t="shared" si="82"/>
        <v>0</v>
      </c>
      <c r="EJ159" s="14">
        <f t="shared" si="82"/>
        <v>0</v>
      </c>
      <c r="EK159" s="14">
        <f t="shared" si="82"/>
        <v>0</v>
      </c>
      <c r="EL159" s="14">
        <f t="shared" si="82"/>
        <v>0</v>
      </c>
      <c r="EM159" s="14">
        <f t="shared" si="82"/>
        <v>0</v>
      </c>
      <c r="EN159" s="14">
        <f t="shared" si="82"/>
        <v>0</v>
      </c>
      <c r="EO159" s="14">
        <f t="shared" si="82"/>
        <v>0</v>
      </c>
      <c r="EP159" s="14">
        <f t="shared" si="82"/>
        <v>0</v>
      </c>
      <c r="EQ159" s="14">
        <f t="shared" si="82"/>
        <v>0</v>
      </c>
      <c r="ER159" s="14">
        <f t="shared" si="82"/>
        <v>0</v>
      </c>
      <c r="ES159" s="14">
        <f t="shared" si="82"/>
        <v>0</v>
      </c>
      <c r="ET159" s="14">
        <f t="shared" si="82"/>
        <v>0</v>
      </c>
      <c r="EU159" s="14">
        <f t="shared" si="82"/>
        <v>0</v>
      </c>
      <c r="EV159" s="14">
        <f t="shared" si="82"/>
        <v>0</v>
      </c>
      <c r="EW159" s="14">
        <f t="shared" si="82"/>
        <v>0</v>
      </c>
      <c r="EX159" s="14">
        <f t="shared" si="82"/>
        <v>0</v>
      </c>
      <c r="EY159" s="14">
        <f t="shared" si="82"/>
        <v>0</v>
      </c>
      <c r="EZ159" s="14">
        <f t="shared" si="82"/>
        <v>0</v>
      </c>
      <c r="FA159" s="14">
        <f t="shared" si="82"/>
        <v>0</v>
      </c>
      <c r="FB159" s="14">
        <f t="shared" si="82"/>
        <v>0</v>
      </c>
      <c r="FC159" s="14">
        <f t="shared" si="82"/>
        <v>0</v>
      </c>
      <c r="FD159" s="14">
        <f t="shared" si="82"/>
        <v>0</v>
      </c>
      <c r="FE159" s="14">
        <f t="shared" si="82"/>
        <v>0</v>
      </c>
      <c r="FF159" s="14"/>
    </row>
    <row r="160" spans="1:162">
      <c r="A160" s="54"/>
      <c r="B160" s="55" t="s">
        <v>3060</v>
      </c>
      <c r="C160" s="11" t="s">
        <v>3600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885"/>
      <c r="AH160" s="176"/>
      <c r="AI160" s="897"/>
      <c r="AJ160" s="907"/>
      <c r="AK160" s="921"/>
      <c r="AL160" s="176"/>
      <c r="AM160" s="176"/>
      <c r="AN160" s="176"/>
      <c r="AO160" s="176"/>
      <c r="AP160" s="176"/>
      <c r="AQ160" s="176"/>
      <c r="AR160" s="176"/>
      <c r="AS160" s="176"/>
      <c r="AT160" s="176"/>
      <c r="AU160" s="176"/>
      <c r="AV160" s="176"/>
      <c r="AW160" s="176"/>
      <c r="AX160" s="176"/>
      <c r="AY160" s="176"/>
      <c r="AZ160" s="176"/>
      <c r="BA160" s="176"/>
      <c r="BB160" s="176"/>
      <c r="BC160" s="176"/>
      <c r="BD160" s="176"/>
      <c r="BE160" s="176"/>
      <c r="BF160" s="176"/>
      <c r="BG160" s="176"/>
      <c r="BH160" s="176"/>
      <c r="BI160" s="176"/>
      <c r="BJ160" s="176"/>
      <c r="BK160" s="176"/>
      <c r="BL160" s="176"/>
      <c r="BM160" s="176"/>
      <c r="BN160" s="176"/>
      <c r="BO160" s="176"/>
      <c r="BP160" s="176"/>
      <c r="BQ160" s="176"/>
      <c r="BR160" s="176"/>
      <c r="BS160" s="176"/>
      <c r="BT160" s="176"/>
      <c r="BU160" s="176"/>
      <c r="BV160" s="176"/>
      <c r="BW160" s="176"/>
      <c r="BX160" s="176"/>
      <c r="BY160" s="176"/>
      <c r="BZ160" s="176"/>
      <c r="CA160" s="176"/>
      <c r="CB160" s="176"/>
      <c r="CC160" s="176"/>
      <c r="CD160" s="176"/>
      <c r="CE160" s="176"/>
      <c r="CF160" s="176"/>
      <c r="CG160" s="176"/>
      <c r="CH160" s="176"/>
      <c r="CI160" s="176"/>
      <c r="CJ160" s="176"/>
      <c r="CK160" s="176"/>
      <c r="CL160" s="176"/>
      <c r="CM160" s="176"/>
      <c r="CN160" s="176"/>
      <c r="CO160" s="176"/>
      <c r="CP160" s="176"/>
      <c r="CQ160" s="176"/>
      <c r="CR160" s="176"/>
      <c r="CS160" s="176"/>
      <c r="CT160" s="176"/>
      <c r="CU160" s="176"/>
      <c r="CV160" s="176"/>
      <c r="CW160" s="176"/>
      <c r="CX160" s="176"/>
      <c r="CY160" s="176"/>
      <c r="CZ160" s="176"/>
      <c r="DA160" s="176"/>
      <c r="DB160" s="176"/>
      <c r="DC160" s="176"/>
      <c r="DD160" s="176"/>
      <c r="DE160" s="176"/>
      <c r="DF160" s="176"/>
      <c r="DG160" s="176"/>
      <c r="DH160" s="176"/>
      <c r="DI160" s="176"/>
      <c r="DJ160" s="176"/>
      <c r="DK160" s="176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503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3"/>
    </row>
    <row r="161" spans="1:162" s="56" customFormat="1">
      <c r="A161" s="54"/>
      <c r="B161" s="55"/>
      <c r="C161" s="491" t="s">
        <v>3790</v>
      </c>
      <c r="D161" s="62"/>
      <c r="E161" s="62">
        <f>D161*3</f>
        <v>0</v>
      </c>
      <c r="F161" s="62"/>
      <c r="G161" s="62"/>
      <c r="H161" s="62"/>
      <c r="I161" s="62"/>
      <c r="J161" s="62"/>
      <c r="K161" s="62"/>
      <c r="L161" s="62">
        <f>D161</f>
        <v>0</v>
      </c>
      <c r="M161" s="62"/>
      <c r="N161" s="62"/>
      <c r="O161" s="62"/>
      <c r="P161" s="62"/>
      <c r="Q161" s="62"/>
      <c r="R161" s="173" t="s">
        <v>3005</v>
      </c>
      <c r="S161" s="174"/>
      <c r="T161" s="174"/>
      <c r="U161" s="174"/>
      <c r="V161" s="174">
        <v>2</v>
      </c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883"/>
      <c r="AH161" s="174"/>
      <c r="AI161" s="492"/>
      <c r="AJ161" s="905"/>
      <c r="AK161" s="919">
        <v>1</v>
      </c>
      <c r="AL161" s="174"/>
      <c r="AM161" s="174"/>
      <c r="AN161" s="174"/>
      <c r="AO161" s="928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  <c r="AZ161" s="174"/>
      <c r="BA161" s="174"/>
      <c r="BB161" s="174"/>
      <c r="BC161" s="174"/>
      <c r="BD161" s="174"/>
      <c r="BE161" s="174"/>
      <c r="BF161" s="174"/>
      <c r="BG161" s="174"/>
      <c r="BH161" s="174"/>
      <c r="BI161" s="174"/>
      <c r="BJ161" s="174"/>
      <c r="BK161" s="174">
        <v>1</v>
      </c>
      <c r="BL161" s="174"/>
      <c r="BM161" s="174"/>
      <c r="BN161" s="174"/>
      <c r="BO161" s="174"/>
      <c r="BP161" s="174"/>
      <c r="BQ161" s="174"/>
      <c r="BR161" s="174"/>
      <c r="BS161" s="174"/>
      <c r="BT161" s="174"/>
      <c r="BU161" s="174"/>
      <c r="BV161" s="174"/>
      <c r="BW161" s="174">
        <v>1</v>
      </c>
      <c r="BX161" s="174"/>
      <c r="BY161" s="174"/>
      <c r="BZ161" s="174"/>
      <c r="CA161" s="174"/>
      <c r="CB161" s="174"/>
      <c r="CC161" s="174">
        <v>1</v>
      </c>
      <c r="CD161" s="174"/>
      <c r="CE161" s="174">
        <v>5</v>
      </c>
      <c r="CF161" s="174">
        <v>4</v>
      </c>
      <c r="CG161" s="174">
        <v>2</v>
      </c>
      <c r="CH161" s="174">
        <v>3</v>
      </c>
      <c r="CI161" s="174"/>
      <c r="CJ161" s="174"/>
      <c r="CK161" s="174"/>
      <c r="CL161" s="174"/>
      <c r="CM161" s="174"/>
      <c r="CN161" s="174"/>
      <c r="CO161" s="174"/>
      <c r="CP161" s="174"/>
      <c r="CQ161" s="174"/>
      <c r="CR161" s="174">
        <v>1</v>
      </c>
      <c r="CS161" s="174">
        <v>1</v>
      </c>
      <c r="CT161" s="174"/>
      <c r="CU161" s="174"/>
      <c r="CV161" s="174"/>
      <c r="CW161" s="174"/>
      <c r="CX161" s="174">
        <v>3</v>
      </c>
      <c r="CY161" s="174">
        <v>3</v>
      </c>
      <c r="CZ161" s="174">
        <v>3</v>
      </c>
      <c r="DA161" s="174"/>
      <c r="DB161" s="174"/>
      <c r="DC161" s="174"/>
      <c r="DD161" s="174">
        <v>2</v>
      </c>
      <c r="DE161" s="174"/>
      <c r="DF161" s="174"/>
      <c r="DG161" s="174"/>
      <c r="DH161" s="174"/>
      <c r="DI161" s="174"/>
      <c r="DJ161" s="174"/>
      <c r="DK161" s="174"/>
      <c r="DL161" s="62">
        <v>1.5</v>
      </c>
      <c r="DM161" s="62"/>
      <c r="DN161" s="62"/>
      <c r="DO161" s="62"/>
      <c r="DP161" s="62"/>
      <c r="DQ161" s="62"/>
      <c r="DR161" s="62"/>
      <c r="DS161" s="62">
        <v>1.5</v>
      </c>
      <c r="DT161" s="62">
        <v>3</v>
      </c>
      <c r="DU161" s="62"/>
      <c r="DV161" s="62"/>
      <c r="DW161" s="62"/>
      <c r="DX161" s="62"/>
      <c r="DY161" s="62"/>
      <c r="DZ161" s="62"/>
      <c r="EA161" s="62"/>
      <c r="EB161" s="62"/>
      <c r="EC161" s="62"/>
      <c r="ED161" s="62"/>
      <c r="EE161" s="454"/>
      <c r="EF161" s="62"/>
      <c r="EG161" s="62"/>
      <c r="EH161" s="62"/>
      <c r="EI161" s="62"/>
      <c r="EJ161" s="62"/>
      <c r="EK161" s="62"/>
      <c r="EL161" s="62"/>
      <c r="EM161" s="62"/>
      <c r="EN161" s="62"/>
      <c r="EO161" s="62"/>
      <c r="EP161" s="62"/>
      <c r="EQ161" s="62"/>
      <c r="ER161" s="62"/>
      <c r="ES161" s="62"/>
      <c r="ET161" s="62"/>
      <c r="EU161" s="62"/>
      <c r="EV161" s="62"/>
      <c r="EW161" s="62"/>
      <c r="EX161" s="62"/>
      <c r="EY161" s="62"/>
      <c r="EZ161" s="62"/>
      <c r="FA161" s="62"/>
      <c r="FB161" s="62"/>
      <c r="FC161" s="62"/>
      <c r="FD161" s="62"/>
      <c r="FE161" s="62"/>
      <c r="FF161" s="62"/>
    </row>
    <row r="162" spans="1:162" s="56" customFormat="1">
      <c r="A162" s="54"/>
      <c r="B162" s="55"/>
      <c r="C162" s="491" t="s">
        <v>3006</v>
      </c>
      <c r="D162" s="62">
        <v>15</v>
      </c>
      <c r="E162" s="62">
        <f t="shared" ref="E162:E174" si="83">D162*3</f>
        <v>45</v>
      </c>
      <c r="F162" s="62"/>
      <c r="G162" s="62"/>
      <c r="H162" s="62"/>
      <c r="I162" s="62"/>
      <c r="J162" s="62"/>
      <c r="K162" s="62"/>
      <c r="L162" s="62">
        <f t="shared" ref="L162:L174" si="84">D162</f>
        <v>15</v>
      </c>
      <c r="M162" s="62"/>
      <c r="N162" s="62"/>
      <c r="O162" s="62"/>
      <c r="P162" s="62"/>
      <c r="Q162" s="62"/>
      <c r="R162" s="173" t="s">
        <v>2989</v>
      </c>
      <c r="S162" s="174"/>
      <c r="T162" s="174"/>
      <c r="U162" s="174"/>
      <c r="V162" s="174">
        <v>2</v>
      </c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883"/>
      <c r="AH162" s="174"/>
      <c r="AI162" s="492"/>
      <c r="AJ162" s="905"/>
      <c r="AK162" s="919">
        <v>1</v>
      </c>
      <c r="AL162" s="174"/>
      <c r="AM162" s="174"/>
      <c r="AN162" s="174"/>
      <c r="AO162" s="928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  <c r="AZ162" s="174"/>
      <c r="BA162" s="174"/>
      <c r="BB162" s="174"/>
      <c r="BC162" s="174"/>
      <c r="BD162" s="174"/>
      <c r="BE162" s="174"/>
      <c r="BF162" s="174">
        <v>1</v>
      </c>
      <c r="BG162" s="174"/>
      <c r="BH162" s="174"/>
      <c r="BI162" s="174"/>
      <c r="BJ162" s="174"/>
      <c r="BK162" s="174"/>
      <c r="BL162" s="174"/>
      <c r="BM162" s="174"/>
      <c r="BN162" s="174"/>
      <c r="BO162" s="174"/>
      <c r="BP162" s="174"/>
      <c r="BQ162" s="174"/>
      <c r="BR162" s="174"/>
      <c r="BS162" s="174"/>
      <c r="BT162" s="174"/>
      <c r="BU162" s="174"/>
      <c r="BV162" s="174"/>
      <c r="BW162" s="174">
        <v>1</v>
      </c>
      <c r="BX162" s="174"/>
      <c r="BY162" s="174"/>
      <c r="BZ162" s="174"/>
      <c r="CA162" s="174"/>
      <c r="CB162" s="174">
        <v>1</v>
      </c>
      <c r="CC162" s="174"/>
      <c r="CD162" s="174"/>
      <c r="CE162" s="174"/>
      <c r="CF162" s="174"/>
      <c r="CG162" s="174"/>
      <c r="CH162" s="174">
        <v>6</v>
      </c>
      <c r="CI162" s="174"/>
      <c r="CJ162" s="174"/>
      <c r="CK162" s="174"/>
      <c r="CL162" s="174"/>
      <c r="CM162" s="174"/>
      <c r="CN162" s="174"/>
      <c r="CO162" s="174"/>
      <c r="CP162" s="174"/>
      <c r="CQ162" s="174"/>
      <c r="CR162" s="174"/>
      <c r="CS162" s="174">
        <v>2</v>
      </c>
      <c r="CT162" s="174"/>
      <c r="CU162" s="174"/>
      <c r="CV162" s="174"/>
      <c r="CW162" s="174"/>
      <c r="CX162" s="174"/>
      <c r="CY162" s="174"/>
      <c r="CZ162" s="174"/>
      <c r="DA162" s="174"/>
      <c r="DB162" s="174"/>
      <c r="DC162" s="174"/>
      <c r="DD162" s="174"/>
      <c r="DE162" s="174"/>
      <c r="DF162" s="174"/>
      <c r="DG162" s="174"/>
      <c r="DH162" s="174"/>
      <c r="DI162" s="174">
        <v>3</v>
      </c>
      <c r="DJ162" s="174"/>
      <c r="DK162" s="174"/>
      <c r="DL162" s="62">
        <v>3</v>
      </c>
      <c r="DM162" s="62"/>
      <c r="DN162" s="62"/>
      <c r="DO162" s="62"/>
      <c r="DP162" s="62"/>
      <c r="DQ162" s="62"/>
      <c r="DR162" s="62"/>
      <c r="DS162" s="62">
        <v>3</v>
      </c>
      <c r="DT162" s="62">
        <v>6</v>
      </c>
      <c r="DU162" s="62"/>
      <c r="DV162" s="62"/>
      <c r="DW162" s="62"/>
      <c r="DX162" s="62"/>
      <c r="DY162" s="62"/>
      <c r="DZ162" s="62"/>
      <c r="EA162" s="62"/>
      <c r="EB162" s="62"/>
      <c r="EC162" s="62"/>
      <c r="ED162" s="62"/>
      <c r="EE162" s="454"/>
      <c r="EF162" s="62"/>
      <c r="EG162" s="62"/>
      <c r="EH162" s="62"/>
      <c r="EI162" s="62"/>
      <c r="EJ162" s="62"/>
      <c r="EK162" s="62"/>
      <c r="EL162" s="62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</row>
    <row r="163" spans="1:162" s="56" customFormat="1">
      <c r="A163" s="54"/>
      <c r="B163" s="55"/>
      <c r="C163" s="491" t="s">
        <v>2991</v>
      </c>
      <c r="D163" s="62">
        <v>43</v>
      </c>
      <c r="E163" s="62">
        <f t="shared" si="83"/>
        <v>129</v>
      </c>
      <c r="F163" s="62"/>
      <c r="G163" s="62"/>
      <c r="H163" s="62"/>
      <c r="I163" s="62"/>
      <c r="J163" s="62"/>
      <c r="K163" s="62"/>
      <c r="L163" s="62">
        <f t="shared" si="84"/>
        <v>43</v>
      </c>
      <c r="M163" s="62"/>
      <c r="N163" s="62"/>
      <c r="O163" s="62"/>
      <c r="P163" s="62"/>
      <c r="Q163" s="62"/>
      <c r="R163" s="173" t="s">
        <v>1903</v>
      </c>
      <c r="S163" s="174"/>
      <c r="T163" s="174"/>
      <c r="U163" s="174"/>
      <c r="V163" s="174">
        <v>2</v>
      </c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883"/>
      <c r="AH163" s="174"/>
      <c r="AI163" s="492"/>
      <c r="AJ163" s="905"/>
      <c r="AK163" s="919">
        <v>1</v>
      </c>
      <c r="AL163" s="174"/>
      <c r="AM163" s="174"/>
      <c r="AN163" s="174"/>
      <c r="AO163" s="928"/>
      <c r="AP163" s="174"/>
      <c r="AQ163" s="174"/>
      <c r="AR163" s="174"/>
      <c r="AS163" s="174"/>
      <c r="AT163" s="174"/>
      <c r="AU163" s="174"/>
      <c r="AV163" s="174"/>
      <c r="AW163" s="174"/>
      <c r="AX163" s="174"/>
      <c r="AY163" s="174"/>
      <c r="AZ163" s="174"/>
      <c r="BA163" s="174"/>
      <c r="BB163" s="174"/>
      <c r="BC163" s="174"/>
      <c r="BD163" s="174"/>
      <c r="BE163" s="174"/>
      <c r="BF163" s="174"/>
      <c r="BG163" s="174"/>
      <c r="BH163" s="174"/>
      <c r="BI163" s="174"/>
      <c r="BJ163" s="174"/>
      <c r="BK163" s="174"/>
      <c r="BL163" s="174"/>
      <c r="BM163" s="174"/>
      <c r="BN163" s="174"/>
      <c r="BO163" s="174"/>
      <c r="BP163" s="174"/>
      <c r="BQ163" s="174"/>
      <c r="BR163" s="174">
        <v>1</v>
      </c>
      <c r="BS163" s="174"/>
      <c r="BT163" s="174"/>
      <c r="BU163" s="174"/>
      <c r="BV163" s="174"/>
      <c r="BW163" s="174"/>
      <c r="BX163" s="174"/>
      <c r="BY163" s="174"/>
      <c r="BZ163" s="174"/>
      <c r="CA163" s="174"/>
      <c r="CB163" s="174"/>
      <c r="CC163" s="174"/>
      <c r="CD163" s="174"/>
      <c r="CE163" s="174">
        <v>6</v>
      </c>
      <c r="CF163" s="174"/>
      <c r="CG163" s="174">
        <v>6</v>
      </c>
      <c r="CH163" s="174"/>
      <c r="CI163" s="174"/>
      <c r="CJ163" s="174"/>
      <c r="CK163" s="174"/>
      <c r="CL163" s="174"/>
      <c r="CM163" s="174"/>
      <c r="CN163" s="174"/>
      <c r="CO163" s="174"/>
      <c r="CP163" s="174"/>
      <c r="CQ163" s="174"/>
      <c r="CR163" s="174">
        <v>1</v>
      </c>
      <c r="CS163" s="174"/>
      <c r="CT163" s="174"/>
      <c r="CU163" s="174"/>
      <c r="CV163" s="174"/>
      <c r="CW163" s="174"/>
      <c r="CX163" s="174">
        <v>3</v>
      </c>
      <c r="CY163" s="174">
        <v>3</v>
      </c>
      <c r="CZ163" s="174"/>
      <c r="DA163" s="174"/>
      <c r="DB163" s="174"/>
      <c r="DC163" s="174"/>
      <c r="DD163" s="174"/>
      <c r="DE163" s="174"/>
      <c r="DF163" s="174"/>
      <c r="DG163" s="174"/>
      <c r="DH163" s="174"/>
      <c r="DI163" s="174"/>
      <c r="DJ163" s="174"/>
      <c r="DK163" s="174"/>
      <c r="DL163" s="62"/>
      <c r="DM163" s="62"/>
      <c r="DN163" s="62"/>
      <c r="DO163" s="62"/>
      <c r="DP163" s="62"/>
      <c r="DQ163" s="62"/>
      <c r="DR163" s="62"/>
      <c r="DS163" s="62"/>
      <c r="DT163" s="62"/>
      <c r="DU163" s="62"/>
      <c r="DV163" s="62"/>
      <c r="DW163" s="62"/>
      <c r="DX163" s="62"/>
      <c r="DY163" s="62"/>
      <c r="DZ163" s="62"/>
      <c r="EA163" s="62"/>
      <c r="EB163" s="62"/>
      <c r="EC163" s="62"/>
      <c r="ED163" s="62"/>
      <c r="EE163" s="454"/>
      <c r="EF163" s="62"/>
      <c r="EG163" s="62"/>
      <c r="EH163" s="62"/>
      <c r="EI163" s="62"/>
      <c r="EJ163" s="62"/>
      <c r="EK163" s="62"/>
      <c r="EL163" s="62"/>
      <c r="EM163" s="62"/>
      <c r="EN163" s="62"/>
      <c r="EO163" s="62"/>
      <c r="EP163" s="62"/>
      <c r="EQ163" s="62"/>
      <c r="ER163" s="62"/>
      <c r="ES163" s="62"/>
      <c r="ET163" s="62"/>
      <c r="EU163" s="62"/>
      <c r="EV163" s="62"/>
      <c r="EW163" s="62"/>
      <c r="EX163" s="62"/>
      <c r="EY163" s="62"/>
      <c r="EZ163" s="62"/>
      <c r="FA163" s="62"/>
      <c r="FB163" s="62"/>
      <c r="FC163" s="62"/>
      <c r="FD163" s="62"/>
      <c r="FE163" s="62"/>
      <c r="FF163" s="62"/>
    </row>
    <row r="164" spans="1:162" s="56" customFormat="1">
      <c r="A164" s="54"/>
      <c r="B164" s="689"/>
      <c r="C164" s="491" t="s">
        <v>2992</v>
      </c>
      <c r="D164" s="62">
        <v>40</v>
      </c>
      <c r="E164" s="62">
        <f t="shared" si="83"/>
        <v>120</v>
      </c>
      <c r="F164" s="62"/>
      <c r="G164" s="62"/>
      <c r="H164" s="62"/>
      <c r="I164" s="62"/>
      <c r="J164" s="62"/>
      <c r="K164" s="62"/>
      <c r="L164" s="62">
        <f t="shared" si="84"/>
        <v>40</v>
      </c>
      <c r="M164" s="62"/>
      <c r="N164" s="62"/>
      <c r="O164" s="62"/>
      <c r="P164" s="62"/>
      <c r="Q164" s="62"/>
      <c r="R164" s="173" t="s">
        <v>1903</v>
      </c>
      <c r="S164" s="174"/>
      <c r="T164" s="174"/>
      <c r="U164" s="174"/>
      <c r="V164" s="174">
        <v>2</v>
      </c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883"/>
      <c r="AH164" s="174"/>
      <c r="AI164" s="492"/>
      <c r="AJ164" s="905"/>
      <c r="AK164" s="919">
        <v>1</v>
      </c>
      <c r="AL164" s="174"/>
      <c r="AM164" s="174"/>
      <c r="AN164" s="174"/>
      <c r="AO164" s="928"/>
      <c r="AP164" s="174"/>
      <c r="AQ164" s="174"/>
      <c r="AR164" s="174"/>
      <c r="AS164" s="174"/>
      <c r="AT164" s="174"/>
      <c r="AU164" s="174"/>
      <c r="AV164" s="174"/>
      <c r="AW164" s="174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/>
      <c r="BI164" s="174"/>
      <c r="BJ164" s="174"/>
      <c r="BK164" s="174"/>
      <c r="BL164" s="174"/>
      <c r="BM164" s="174"/>
      <c r="BN164" s="174"/>
      <c r="BO164" s="174"/>
      <c r="BP164" s="174"/>
      <c r="BQ164" s="174"/>
      <c r="BR164" s="174">
        <v>1</v>
      </c>
      <c r="BS164" s="174"/>
      <c r="BT164" s="174"/>
      <c r="BU164" s="174"/>
      <c r="BV164" s="174"/>
      <c r="BW164" s="174"/>
      <c r="BX164" s="174"/>
      <c r="BY164" s="174"/>
      <c r="BZ164" s="174"/>
      <c r="CA164" s="174"/>
      <c r="CB164" s="174"/>
      <c r="CC164" s="174"/>
      <c r="CD164" s="174"/>
      <c r="CE164" s="174">
        <v>6</v>
      </c>
      <c r="CF164" s="174"/>
      <c r="CG164" s="174">
        <v>6</v>
      </c>
      <c r="CH164" s="174"/>
      <c r="CI164" s="174"/>
      <c r="CJ164" s="174"/>
      <c r="CK164" s="174"/>
      <c r="CL164" s="174"/>
      <c r="CM164" s="174"/>
      <c r="CN164" s="174"/>
      <c r="CO164" s="174"/>
      <c r="CP164" s="174"/>
      <c r="CQ164" s="174"/>
      <c r="CR164" s="174">
        <v>1</v>
      </c>
      <c r="CS164" s="174"/>
      <c r="CT164" s="174"/>
      <c r="CU164" s="174"/>
      <c r="CV164" s="174"/>
      <c r="CW164" s="174"/>
      <c r="CX164" s="174"/>
      <c r="CY164" s="174"/>
      <c r="CZ164" s="174"/>
      <c r="DA164" s="174"/>
      <c r="DB164" s="174"/>
      <c r="DC164" s="174"/>
      <c r="DD164" s="174"/>
      <c r="DE164" s="174"/>
      <c r="DF164" s="174"/>
      <c r="DG164" s="174"/>
      <c r="DH164" s="174"/>
      <c r="DI164" s="174"/>
      <c r="DJ164" s="174"/>
      <c r="DK164" s="174"/>
      <c r="DL164" s="62"/>
      <c r="DM164" s="62"/>
      <c r="DN164" s="62"/>
      <c r="DO164" s="62"/>
      <c r="DP164" s="62"/>
      <c r="DQ164" s="62"/>
      <c r="DR164" s="62"/>
      <c r="DS164" s="62"/>
      <c r="DT164" s="62"/>
      <c r="DU164" s="62"/>
      <c r="DV164" s="62"/>
      <c r="DW164" s="62"/>
      <c r="DX164" s="62"/>
      <c r="DY164" s="62"/>
      <c r="DZ164" s="62"/>
      <c r="EA164" s="62"/>
      <c r="EB164" s="62"/>
      <c r="EC164" s="62"/>
      <c r="ED164" s="62"/>
      <c r="EE164" s="454"/>
      <c r="EF164" s="62"/>
      <c r="EG164" s="62"/>
      <c r="EH164" s="62"/>
      <c r="EI164" s="62"/>
      <c r="EJ164" s="62"/>
      <c r="EK164" s="62"/>
      <c r="EL164" s="62"/>
      <c r="EM164" s="62"/>
      <c r="EN164" s="62"/>
      <c r="EO164" s="62"/>
      <c r="EP164" s="62"/>
      <c r="EQ164" s="62"/>
      <c r="ER164" s="62"/>
      <c r="ES164" s="62"/>
      <c r="ET164" s="62"/>
      <c r="EU164" s="62"/>
      <c r="EV164" s="62"/>
      <c r="EW164" s="62"/>
      <c r="EX164" s="62"/>
      <c r="EY164" s="62"/>
      <c r="EZ164" s="62"/>
      <c r="FA164" s="62"/>
      <c r="FB164" s="62"/>
      <c r="FC164" s="62"/>
      <c r="FD164" s="62"/>
      <c r="FE164" s="62"/>
      <c r="FF164" s="62"/>
    </row>
    <row r="165" spans="1:162" s="56" customFormat="1">
      <c r="A165" s="54"/>
      <c r="B165" s="689"/>
      <c r="C165" s="491" t="s">
        <v>2993</v>
      </c>
      <c r="D165" s="62">
        <v>40</v>
      </c>
      <c r="E165" s="62">
        <f t="shared" si="83"/>
        <v>120</v>
      </c>
      <c r="F165" s="62"/>
      <c r="G165" s="62"/>
      <c r="H165" s="62"/>
      <c r="I165" s="62"/>
      <c r="J165" s="62"/>
      <c r="K165" s="62"/>
      <c r="L165" s="62">
        <f t="shared" si="84"/>
        <v>40</v>
      </c>
      <c r="M165" s="62"/>
      <c r="N165" s="62"/>
      <c r="O165" s="62"/>
      <c r="P165" s="62"/>
      <c r="Q165" s="62"/>
      <c r="R165" s="173" t="s">
        <v>1903</v>
      </c>
      <c r="S165" s="174"/>
      <c r="T165" s="174"/>
      <c r="U165" s="174"/>
      <c r="V165" s="174">
        <v>2</v>
      </c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883"/>
      <c r="AH165" s="174"/>
      <c r="AI165" s="492"/>
      <c r="AJ165" s="905"/>
      <c r="AK165" s="919">
        <v>1</v>
      </c>
      <c r="AL165" s="174"/>
      <c r="AM165" s="174"/>
      <c r="AN165" s="174"/>
      <c r="AO165" s="928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  <c r="AZ165" s="174"/>
      <c r="BA165" s="174"/>
      <c r="BB165" s="174"/>
      <c r="BC165" s="174"/>
      <c r="BD165" s="174"/>
      <c r="BE165" s="174"/>
      <c r="BF165" s="174"/>
      <c r="BG165" s="174"/>
      <c r="BH165" s="174"/>
      <c r="BI165" s="174">
        <v>1</v>
      </c>
      <c r="BJ165" s="174"/>
      <c r="BK165" s="174"/>
      <c r="BL165" s="174"/>
      <c r="BM165" s="174"/>
      <c r="BN165" s="174"/>
      <c r="BO165" s="174"/>
      <c r="BP165" s="174"/>
      <c r="BQ165" s="174"/>
      <c r="BR165" s="174">
        <v>1</v>
      </c>
      <c r="BS165" s="174"/>
      <c r="BT165" s="174"/>
      <c r="BU165" s="174"/>
      <c r="BV165" s="174"/>
      <c r="BW165" s="174"/>
      <c r="BX165" s="174"/>
      <c r="BY165" s="174"/>
      <c r="BZ165" s="174"/>
      <c r="CA165" s="174">
        <v>1</v>
      </c>
      <c r="CB165" s="174"/>
      <c r="CC165" s="174"/>
      <c r="CD165" s="174"/>
      <c r="CE165" s="174">
        <v>6</v>
      </c>
      <c r="CF165" s="174"/>
      <c r="CG165" s="174">
        <v>6</v>
      </c>
      <c r="CH165" s="174"/>
      <c r="CI165" s="174"/>
      <c r="CJ165" s="174"/>
      <c r="CK165" s="174"/>
      <c r="CL165" s="174"/>
      <c r="CM165" s="174"/>
      <c r="CN165" s="174"/>
      <c r="CO165" s="174"/>
      <c r="CP165" s="174"/>
      <c r="CQ165" s="174"/>
      <c r="CR165" s="174">
        <v>1</v>
      </c>
      <c r="CS165" s="174"/>
      <c r="CT165" s="174"/>
      <c r="CU165" s="174"/>
      <c r="CV165" s="174"/>
      <c r="CW165" s="174"/>
      <c r="CX165" s="174"/>
      <c r="CY165" s="174"/>
      <c r="CZ165" s="174"/>
      <c r="DA165" s="174"/>
      <c r="DB165" s="174"/>
      <c r="DC165" s="174"/>
      <c r="DD165" s="174"/>
      <c r="DE165" s="174"/>
      <c r="DF165" s="174"/>
      <c r="DG165" s="174"/>
      <c r="DH165" s="174"/>
      <c r="DI165" s="174"/>
      <c r="DJ165" s="174"/>
      <c r="DK165" s="174">
        <v>3</v>
      </c>
      <c r="DL165" s="62"/>
      <c r="DM165" s="62"/>
      <c r="DN165" s="62"/>
      <c r="DO165" s="62"/>
      <c r="DP165" s="62"/>
      <c r="DQ165" s="62"/>
      <c r="DR165" s="62"/>
      <c r="DS165" s="62"/>
      <c r="DT165" s="62">
        <v>4.5</v>
      </c>
      <c r="DU165" s="62"/>
      <c r="DV165" s="62"/>
      <c r="DW165" s="62"/>
      <c r="DX165" s="62"/>
      <c r="DY165" s="62"/>
      <c r="DZ165" s="62"/>
      <c r="EA165" s="62"/>
      <c r="EB165" s="62"/>
      <c r="EC165" s="62"/>
      <c r="ED165" s="62"/>
      <c r="EE165" s="454"/>
      <c r="EF165" s="62"/>
      <c r="EG165" s="62"/>
      <c r="EH165" s="62"/>
      <c r="EI165" s="62"/>
      <c r="EJ165" s="62"/>
      <c r="EK165" s="62"/>
      <c r="EL165" s="62"/>
      <c r="EM165" s="62"/>
      <c r="EN165" s="62"/>
      <c r="EO165" s="62"/>
      <c r="EP165" s="62"/>
      <c r="EQ165" s="62"/>
      <c r="ER165" s="62"/>
      <c r="ES165" s="62"/>
      <c r="ET165" s="62"/>
      <c r="EU165" s="62"/>
      <c r="EV165" s="62"/>
      <c r="EW165" s="62"/>
      <c r="EX165" s="62"/>
      <c r="EY165" s="62"/>
      <c r="EZ165" s="62"/>
      <c r="FA165" s="62"/>
      <c r="FB165" s="62"/>
      <c r="FC165" s="62"/>
      <c r="FD165" s="62"/>
      <c r="FE165" s="62"/>
      <c r="FF165" s="62"/>
    </row>
    <row r="166" spans="1:162" s="56" customFormat="1">
      <c r="A166" s="54"/>
      <c r="B166" s="689"/>
      <c r="C166" s="491" t="s">
        <v>2994</v>
      </c>
      <c r="D166" s="62">
        <v>40</v>
      </c>
      <c r="E166" s="62">
        <f t="shared" si="83"/>
        <v>120</v>
      </c>
      <c r="F166" s="62"/>
      <c r="G166" s="62"/>
      <c r="H166" s="62"/>
      <c r="I166" s="62"/>
      <c r="J166" s="62"/>
      <c r="K166" s="62"/>
      <c r="L166" s="62">
        <f t="shared" si="84"/>
        <v>40</v>
      </c>
      <c r="M166" s="62"/>
      <c r="N166" s="62"/>
      <c r="O166" s="62"/>
      <c r="P166" s="62"/>
      <c r="Q166" s="62"/>
      <c r="R166" s="173" t="s">
        <v>1631</v>
      </c>
      <c r="S166" s="174"/>
      <c r="T166" s="174"/>
      <c r="U166" s="174"/>
      <c r="V166" s="174">
        <v>1</v>
      </c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>
        <v>1</v>
      </c>
      <c r="AG166" s="883"/>
      <c r="AH166" s="174"/>
      <c r="AI166" s="492"/>
      <c r="AJ166" s="905"/>
      <c r="AK166" s="919"/>
      <c r="AL166" s="174"/>
      <c r="AM166" s="174"/>
      <c r="AN166" s="174"/>
      <c r="AO166" s="928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>
        <v>1</v>
      </c>
      <c r="BG166" s="174"/>
      <c r="BH166" s="174"/>
      <c r="BI166" s="174"/>
      <c r="BJ166" s="174"/>
      <c r="BK166" s="174"/>
      <c r="BL166" s="174"/>
      <c r="BM166" s="174"/>
      <c r="BN166" s="174"/>
      <c r="BO166" s="174"/>
      <c r="BP166" s="174"/>
      <c r="BQ166" s="174">
        <v>1</v>
      </c>
      <c r="BR166" s="174"/>
      <c r="BS166" s="174"/>
      <c r="BT166" s="174"/>
      <c r="BU166" s="174"/>
      <c r="BV166" s="174"/>
      <c r="BW166" s="174"/>
      <c r="BX166" s="174"/>
      <c r="BY166" s="174"/>
      <c r="BZ166" s="174"/>
      <c r="CA166" s="174"/>
      <c r="CB166" s="174"/>
      <c r="CC166" s="174"/>
      <c r="CD166" s="174"/>
      <c r="CE166" s="174">
        <v>3</v>
      </c>
      <c r="CF166" s="174">
        <v>3</v>
      </c>
      <c r="CG166" s="174"/>
      <c r="CH166" s="174"/>
      <c r="CI166" s="174"/>
      <c r="CJ166" s="174"/>
      <c r="CK166" s="174"/>
      <c r="CL166" s="174"/>
      <c r="CM166" s="174"/>
      <c r="CN166" s="174"/>
      <c r="CO166" s="174"/>
      <c r="CP166" s="174"/>
      <c r="CQ166" s="174">
        <v>1</v>
      </c>
      <c r="CR166" s="174"/>
      <c r="CS166" s="174"/>
      <c r="CT166" s="174"/>
      <c r="CU166" s="174"/>
      <c r="CV166" s="174"/>
      <c r="CW166" s="174"/>
      <c r="CX166" s="174"/>
      <c r="CY166" s="174"/>
      <c r="CZ166" s="174"/>
      <c r="DA166" s="174"/>
      <c r="DB166" s="174"/>
      <c r="DC166" s="174"/>
      <c r="DD166" s="174"/>
      <c r="DE166" s="174"/>
      <c r="DF166" s="174"/>
      <c r="DG166" s="174"/>
      <c r="DH166" s="174"/>
      <c r="DI166" s="174"/>
      <c r="DJ166" s="174"/>
      <c r="DK166" s="174"/>
      <c r="DL166" s="62"/>
      <c r="DM166" s="62"/>
      <c r="DN166" s="62"/>
      <c r="DO166" s="62"/>
      <c r="DP166" s="62"/>
      <c r="DQ166" s="62"/>
      <c r="DR166" s="62"/>
      <c r="DS166" s="62"/>
      <c r="DT166" s="62"/>
      <c r="DU166" s="62"/>
      <c r="DV166" s="62"/>
      <c r="DW166" s="62"/>
      <c r="DX166" s="62"/>
      <c r="DY166" s="62"/>
      <c r="DZ166" s="62"/>
      <c r="EA166" s="62"/>
      <c r="EB166" s="62"/>
      <c r="EC166" s="62"/>
      <c r="ED166" s="62"/>
      <c r="EE166" s="454"/>
      <c r="EF166" s="62"/>
      <c r="EG166" s="62"/>
      <c r="EH166" s="62"/>
      <c r="EI166" s="62"/>
      <c r="EJ166" s="62"/>
      <c r="EK166" s="62"/>
      <c r="EL166" s="62"/>
      <c r="EM166" s="62"/>
      <c r="EN166" s="62"/>
      <c r="EO166" s="62"/>
      <c r="EP166" s="62"/>
      <c r="EQ166" s="62"/>
      <c r="ER166" s="62"/>
      <c r="ES166" s="62"/>
      <c r="ET166" s="62"/>
      <c r="EU166" s="62"/>
      <c r="EV166" s="62"/>
      <c r="EW166" s="62"/>
      <c r="EX166" s="62"/>
      <c r="EY166" s="62"/>
      <c r="EZ166" s="62"/>
      <c r="FA166" s="62"/>
      <c r="FB166" s="62"/>
      <c r="FC166" s="62"/>
      <c r="FD166" s="62"/>
      <c r="FE166" s="62"/>
      <c r="FF166" s="62"/>
    </row>
    <row r="167" spans="1:162" s="56" customFormat="1">
      <c r="A167" s="54"/>
      <c r="B167" s="689"/>
      <c r="C167" s="491" t="s">
        <v>2995</v>
      </c>
      <c r="D167" s="62">
        <v>40</v>
      </c>
      <c r="E167" s="62">
        <f t="shared" si="83"/>
        <v>120</v>
      </c>
      <c r="F167" s="62"/>
      <c r="G167" s="62"/>
      <c r="H167" s="62"/>
      <c r="I167" s="62"/>
      <c r="J167" s="62"/>
      <c r="K167" s="62"/>
      <c r="L167" s="62">
        <f t="shared" si="84"/>
        <v>40</v>
      </c>
      <c r="M167" s="62"/>
      <c r="N167" s="62"/>
      <c r="O167" s="62"/>
      <c r="P167" s="62"/>
      <c r="Q167" s="62"/>
      <c r="R167" s="173" t="s">
        <v>1631</v>
      </c>
      <c r="S167" s="174"/>
      <c r="T167" s="174"/>
      <c r="U167" s="174"/>
      <c r="V167" s="174">
        <v>1</v>
      </c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>
        <v>1</v>
      </c>
      <c r="AG167" s="883"/>
      <c r="AH167" s="174"/>
      <c r="AI167" s="492"/>
      <c r="AJ167" s="905"/>
      <c r="AK167" s="919"/>
      <c r="AL167" s="174"/>
      <c r="AM167" s="174"/>
      <c r="AN167" s="174"/>
      <c r="AO167" s="928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  <c r="AZ167" s="174"/>
      <c r="BA167" s="174"/>
      <c r="BB167" s="174"/>
      <c r="BC167" s="174"/>
      <c r="BD167" s="174"/>
      <c r="BE167" s="174"/>
      <c r="BF167" s="174"/>
      <c r="BG167" s="174"/>
      <c r="BH167" s="174"/>
      <c r="BI167" s="174"/>
      <c r="BJ167" s="174"/>
      <c r="BK167" s="174"/>
      <c r="BL167" s="174"/>
      <c r="BM167" s="174"/>
      <c r="BN167" s="174"/>
      <c r="BO167" s="174"/>
      <c r="BP167" s="174"/>
      <c r="BQ167" s="174">
        <v>1</v>
      </c>
      <c r="BR167" s="174"/>
      <c r="BS167" s="174"/>
      <c r="BT167" s="174"/>
      <c r="BU167" s="174"/>
      <c r="BV167" s="174"/>
      <c r="BW167" s="174"/>
      <c r="BX167" s="174"/>
      <c r="BY167" s="174"/>
      <c r="BZ167" s="174"/>
      <c r="CA167" s="174"/>
      <c r="CB167" s="174"/>
      <c r="CC167" s="174"/>
      <c r="CD167" s="174"/>
      <c r="CE167" s="174">
        <v>3</v>
      </c>
      <c r="CF167" s="174">
        <v>3</v>
      </c>
      <c r="CG167" s="174"/>
      <c r="CH167" s="174"/>
      <c r="CI167" s="174"/>
      <c r="CJ167" s="174"/>
      <c r="CK167" s="174"/>
      <c r="CL167" s="174"/>
      <c r="CM167" s="174"/>
      <c r="CN167" s="174"/>
      <c r="CO167" s="174"/>
      <c r="CP167" s="174"/>
      <c r="CQ167" s="174">
        <v>1</v>
      </c>
      <c r="CR167" s="174"/>
      <c r="CS167" s="174"/>
      <c r="CT167" s="174"/>
      <c r="CU167" s="174"/>
      <c r="CV167" s="174"/>
      <c r="CW167" s="174"/>
      <c r="CX167" s="174"/>
      <c r="CY167" s="174"/>
      <c r="CZ167" s="174"/>
      <c r="DA167" s="174"/>
      <c r="DB167" s="174"/>
      <c r="DC167" s="174"/>
      <c r="DD167" s="174"/>
      <c r="DE167" s="174"/>
      <c r="DF167" s="174"/>
      <c r="DG167" s="174"/>
      <c r="DH167" s="174"/>
      <c r="DI167" s="174"/>
      <c r="DJ167" s="174"/>
      <c r="DK167" s="174"/>
      <c r="DL167" s="62"/>
      <c r="DM167" s="62"/>
      <c r="DN167" s="62"/>
      <c r="DO167" s="62"/>
      <c r="DP167" s="62"/>
      <c r="DQ167" s="62"/>
      <c r="DR167" s="62"/>
      <c r="DS167" s="62"/>
      <c r="DT167" s="62"/>
      <c r="DU167" s="62"/>
      <c r="DV167" s="62"/>
      <c r="DW167" s="62"/>
      <c r="DX167" s="62"/>
      <c r="DY167" s="62"/>
      <c r="DZ167" s="62"/>
      <c r="EA167" s="62"/>
      <c r="EB167" s="62"/>
      <c r="EC167" s="62"/>
      <c r="ED167" s="62"/>
      <c r="EE167" s="454"/>
      <c r="EF167" s="62"/>
      <c r="EG167" s="62"/>
      <c r="EH167" s="62"/>
      <c r="EI167" s="62"/>
      <c r="EJ167" s="62"/>
      <c r="EK167" s="62"/>
      <c r="EL167" s="62"/>
      <c r="EM167" s="62"/>
      <c r="EN167" s="62"/>
      <c r="EO167" s="62"/>
      <c r="EP167" s="62"/>
      <c r="EQ167" s="62"/>
      <c r="ER167" s="62"/>
      <c r="ES167" s="62"/>
      <c r="ET167" s="62"/>
      <c r="EU167" s="62"/>
      <c r="EV167" s="62"/>
      <c r="EW167" s="62"/>
      <c r="EX167" s="62"/>
      <c r="EY167" s="62"/>
      <c r="EZ167" s="62"/>
      <c r="FA167" s="62"/>
      <c r="FB167" s="62"/>
      <c r="FC167" s="62"/>
      <c r="FD167" s="62"/>
      <c r="FE167" s="62"/>
      <c r="FF167" s="62"/>
    </row>
    <row r="168" spans="1:162" s="56" customFormat="1">
      <c r="A168" s="54"/>
      <c r="B168" s="689"/>
      <c r="C168" s="491" t="s">
        <v>2996</v>
      </c>
      <c r="D168" s="62">
        <v>41</v>
      </c>
      <c r="E168" s="62">
        <f t="shared" si="83"/>
        <v>123</v>
      </c>
      <c r="F168" s="62"/>
      <c r="G168" s="62"/>
      <c r="H168" s="62"/>
      <c r="I168" s="62"/>
      <c r="J168" s="62"/>
      <c r="K168" s="62"/>
      <c r="L168" s="62">
        <f t="shared" si="84"/>
        <v>41</v>
      </c>
      <c r="M168" s="62"/>
      <c r="N168" s="62"/>
      <c r="O168" s="62"/>
      <c r="P168" s="62"/>
      <c r="Q168" s="62"/>
      <c r="R168" s="173" t="s">
        <v>1631</v>
      </c>
      <c r="S168" s="174"/>
      <c r="T168" s="174"/>
      <c r="U168" s="174"/>
      <c r="V168" s="174">
        <v>1</v>
      </c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>
        <v>1</v>
      </c>
      <c r="AG168" s="883"/>
      <c r="AH168" s="174"/>
      <c r="AI168" s="492"/>
      <c r="AJ168" s="905"/>
      <c r="AK168" s="919"/>
      <c r="AL168" s="174"/>
      <c r="AM168" s="174"/>
      <c r="AN168" s="174"/>
      <c r="AO168" s="928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  <c r="AZ168" s="174"/>
      <c r="BA168" s="174"/>
      <c r="BB168" s="174"/>
      <c r="BC168" s="174"/>
      <c r="BD168" s="174"/>
      <c r="BE168" s="174"/>
      <c r="BF168" s="174"/>
      <c r="BG168" s="174"/>
      <c r="BH168" s="174"/>
      <c r="BI168" s="174"/>
      <c r="BJ168" s="174"/>
      <c r="BK168" s="174"/>
      <c r="BL168" s="174"/>
      <c r="BM168" s="174"/>
      <c r="BN168" s="174"/>
      <c r="BO168" s="174"/>
      <c r="BP168" s="174"/>
      <c r="BQ168" s="174">
        <v>1</v>
      </c>
      <c r="BR168" s="174"/>
      <c r="BS168" s="174"/>
      <c r="BT168" s="174"/>
      <c r="BU168" s="174"/>
      <c r="BV168" s="174"/>
      <c r="BW168" s="174"/>
      <c r="BX168" s="174"/>
      <c r="BY168" s="174"/>
      <c r="BZ168" s="174"/>
      <c r="CA168" s="174"/>
      <c r="CB168" s="174"/>
      <c r="CC168" s="174"/>
      <c r="CD168" s="174"/>
      <c r="CE168" s="174">
        <v>3</v>
      </c>
      <c r="CF168" s="174">
        <v>3</v>
      </c>
      <c r="CG168" s="174"/>
      <c r="CH168" s="174"/>
      <c r="CI168" s="174"/>
      <c r="CJ168" s="174"/>
      <c r="CK168" s="174"/>
      <c r="CL168" s="174"/>
      <c r="CM168" s="174"/>
      <c r="CN168" s="174"/>
      <c r="CO168" s="174"/>
      <c r="CP168" s="174"/>
      <c r="CQ168" s="174">
        <v>1</v>
      </c>
      <c r="CR168" s="174"/>
      <c r="CS168" s="174"/>
      <c r="CT168" s="174"/>
      <c r="CU168" s="174"/>
      <c r="CV168" s="174"/>
      <c r="CW168" s="174"/>
      <c r="CX168" s="174"/>
      <c r="CY168" s="174"/>
      <c r="CZ168" s="174"/>
      <c r="DA168" s="174"/>
      <c r="DB168" s="174"/>
      <c r="DC168" s="174"/>
      <c r="DD168" s="174"/>
      <c r="DE168" s="174"/>
      <c r="DF168" s="174"/>
      <c r="DG168" s="174"/>
      <c r="DH168" s="174"/>
      <c r="DI168" s="174"/>
      <c r="DJ168" s="174"/>
      <c r="DK168" s="174"/>
      <c r="DL168" s="62">
        <v>1</v>
      </c>
      <c r="DM168" s="62"/>
      <c r="DN168" s="62"/>
      <c r="DO168" s="62"/>
      <c r="DP168" s="62"/>
      <c r="DQ168" s="62"/>
      <c r="DR168" s="62"/>
      <c r="DS168" s="62">
        <v>1</v>
      </c>
      <c r="DT168" s="62"/>
      <c r="DU168" s="62"/>
      <c r="DV168" s="62"/>
      <c r="DW168" s="62"/>
      <c r="DX168" s="62"/>
      <c r="DY168" s="62"/>
      <c r="DZ168" s="62"/>
      <c r="EA168" s="62"/>
      <c r="EB168" s="62"/>
      <c r="EC168" s="62"/>
      <c r="ED168" s="62"/>
      <c r="EE168" s="454"/>
      <c r="EF168" s="62"/>
      <c r="EG168" s="62"/>
      <c r="EH168" s="62"/>
      <c r="EI168" s="62"/>
      <c r="EJ168" s="62"/>
      <c r="EK168" s="62"/>
      <c r="EL168" s="62"/>
      <c r="EM168" s="62"/>
      <c r="EN168" s="62"/>
      <c r="EO168" s="62"/>
      <c r="EP168" s="62"/>
      <c r="EQ168" s="62"/>
      <c r="ER168" s="62"/>
      <c r="ES168" s="62"/>
      <c r="ET168" s="62"/>
      <c r="EU168" s="62"/>
      <c r="EV168" s="62"/>
      <c r="EW168" s="62"/>
      <c r="EX168" s="62"/>
      <c r="EY168" s="62"/>
      <c r="EZ168" s="62"/>
      <c r="FA168" s="62"/>
      <c r="FB168" s="62"/>
      <c r="FC168" s="62"/>
      <c r="FD168" s="62"/>
      <c r="FE168" s="62"/>
      <c r="FF168" s="62"/>
    </row>
    <row r="169" spans="1:162" s="56" customFormat="1">
      <c r="A169" s="54"/>
      <c r="B169" s="689"/>
      <c r="C169" s="491" t="s">
        <v>2997</v>
      </c>
      <c r="D169" s="62">
        <v>43</v>
      </c>
      <c r="E169" s="62">
        <f t="shared" si="83"/>
        <v>129</v>
      </c>
      <c r="F169" s="62"/>
      <c r="G169" s="62"/>
      <c r="H169" s="62"/>
      <c r="I169" s="62"/>
      <c r="J169" s="62"/>
      <c r="K169" s="62"/>
      <c r="L169" s="62">
        <f t="shared" si="84"/>
        <v>43</v>
      </c>
      <c r="M169" s="62"/>
      <c r="N169" s="62"/>
      <c r="O169" s="62"/>
      <c r="P169" s="62"/>
      <c r="Q169" s="62"/>
      <c r="R169" s="173" t="s">
        <v>1631</v>
      </c>
      <c r="S169" s="174"/>
      <c r="T169" s="174"/>
      <c r="U169" s="174"/>
      <c r="V169" s="174">
        <v>1</v>
      </c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>
        <v>1</v>
      </c>
      <c r="AG169" s="883"/>
      <c r="AH169" s="174"/>
      <c r="AI169" s="492"/>
      <c r="AJ169" s="905"/>
      <c r="AK169" s="919"/>
      <c r="AL169" s="174"/>
      <c r="AM169" s="174"/>
      <c r="AN169" s="174"/>
      <c r="AO169" s="928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  <c r="AZ169" s="174"/>
      <c r="BA169" s="174"/>
      <c r="BB169" s="174"/>
      <c r="BC169" s="174"/>
      <c r="BD169" s="174"/>
      <c r="BE169" s="174"/>
      <c r="BF169" s="174"/>
      <c r="BG169" s="174"/>
      <c r="BH169" s="174"/>
      <c r="BI169" s="174"/>
      <c r="BJ169" s="174"/>
      <c r="BK169" s="174"/>
      <c r="BL169" s="174"/>
      <c r="BM169" s="174"/>
      <c r="BN169" s="174"/>
      <c r="BO169" s="174"/>
      <c r="BP169" s="174"/>
      <c r="BQ169" s="174">
        <v>1</v>
      </c>
      <c r="BR169" s="174"/>
      <c r="BS169" s="174"/>
      <c r="BT169" s="174"/>
      <c r="BU169" s="174"/>
      <c r="BV169" s="174"/>
      <c r="BW169" s="174"/>
      <c r="BX169" s="174"/>
      <c r="BY169" s="174"/>
      <c r="BZ169" s="174"/>
      <c r="CA169" s="174"/>
      <c r="CB169" s="174"/>
      <c r="CC169" s="174"/>
      <c r="CD169" s="174"/>
      <c r="CE169" s="174">
        <v>3</v>
      </c>
      <c r="CF169" s="174">
        <v>3</v>
      </c>
      <c r="CG169" s="174"/>
      <c r="CH169" s="174"/>
      <c r="CI169" s="174"/>
      <c r="CJ169" s="174"/>
      <c r="CK169" s="174"/>
      <c r="CL169" s="174"/>
      <c r="CM169" s="174"/>
      <c r="CN169" s="174"/>
      <c r="CO169" s="174"/>
      <c r="CP169" s="174"/>
      <c r="CQ169" s="174">
        <v>1</v>
      </c>
      <c r="CR169" s="174"/>
      <c r="CS169" s="174"/>
      <c r="CT169" s="174"/>
      <c r="CU169" s="174"/>
      <c r="CV169" s="174"/>
      <c r="CW169" s="174"/>
      <c r="CX169" s="174"/>
      <c r="CY169" s="174"/>
      <c r="CZ169" s="174"/>
      <c r="DA169" s="174"/>
      <c r="DB169" s="174"/>
      <c r="DC169" s="174"/>
      <c r="DD169" s="174"/>
      <c r="DE169" s="174"/>
      <c r="DF169" s="174"/>
      <c r="DG169" s="174"/>
      <c r="DH169" s="174"/>
      <c r="DI169" s="174"/>
      <c r="DJ169" s="174"/>
      <c r="DK169" s="174"/>
      <c r="DL169" s="62"/>
      <c r="DM169" s="62"/>
      <c r="DN169" s="62"/>
      <c r="DO169" s="62"/>
      <c r="DP169" s="62"/>
      <c r="DQ169" s="62"/>
      <c r="DR169" s="62"/>
      <c r="DS169" s="62"/>
      <c r="DT169" s="62"/>
      <c r="DU169" s="62"/>
      <c r="DV169" s="62"/>
      <c r="DW169" s="62"/>
      <c r="DX169" s="62"/>
      <c r="DY169" s="62"/>
      <c r="DZ169" s="62"/>
      <c r="EA169" s="62"/>
      <c r="EB169" s="62"/>
      <c r="EC169" s="62"/>
      <c r="ED169" s="62"/>
      <c r="EE169" s="454"/>
      <c r="EF169" s="62"/>
      <c r="EG169" s="62"/>
      <c r="EH169" s="62"/>
      <c r="EI169" s="62"/>
      <c r="EJ169" s="62"/>
      <c r="EK169" s="62"/>
      <c r="EL169" s="62"/>
      <c r="EM169" s="62"/>
      <c r="EN169" s="62"/>
      <c r="EO169" s="62"/>
      <c r="EP169" s="62"/>
      <c r="EQ169" s="62"/>
      <c r="ER169" s="62"/>
      <c r="ES169" s="62"/>
      <c r="ET169" s="62"/>
      <c r="EU169" s="62"/>
      <c r="EV169" s="62"/>
      <c r="EW169" s="62"/>
      <c r="EX169" s="62"/>
      <c r="EY169" s="62"/>
      <c r="EZ169" s="62"/>
      <c r="FA169" s="62"/>
      <c r="FB169" s="62"/>
      <c r="FC169" s="62"/>
      <c r="FD169" s="62"/>
      <c r="FE169" s="62"/>
      <c r="FF169" s="62"/>
    </row>
    <row r="170" spans="1:162" s="56" customFormat="1">
      <c r="A170" s="54"/>
      <c r="B170" s="689"/>
      <c r="C170" s="491" t="s">
        <v>2998</v>
      </c>
      <c r="D170" s="62">
        <v>39</v>
      </c>
      <c r="E170" s="62">
        <f t="shared" si="83"/>
        <v>117</v>
      </c>
      <c r="F170" s="62"/>
      <c r="G170" s="62"/>
      <c r="H170" s="62"/>
      <c r="I170" s="62"/>
      <c r="J170" s="62"/>
      <c r="K170" s="62"/>
      <c r="L170" s="62">
        <f t="shared" si="84"/>
        <v>39</v>
      </c>
      <c r="M170" s="62"/>
      <c r="N170" s="62"/>
      <c r="O170" s="62"/>
      <c r="P170" s="62"/>
      <c r="Q170" s="62"/>
      <c r="R170" s="173" t="s">
        <v>1631</v>
      </c>
      <c r="S170" s="174"/>
      <c r="T170" s="174"/>
      <c r="U170" s="174"/>
      <c r="V170" s="174">
        <v>1</v>
      </c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>
        <v>1</v>
      </c>
      <c r="AG170" s="883"/>
      <c r="AH170" s="174"/>
      <c r="AI170" s="492"/>
      <c r="AJ170" s="905"/>
      <c r="AK170" s="919"/>
      <c r="AL170" s="174"/>
      <c r="AM170" s="174"/>
      <c r="AN170" s="174"/>
      <c r="AO170" s="928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  <c r="AZ170" s="174"/>
      <c r="BA170" s="174"/>
      <c r="BB170" s="174"/>
      <c r="BC170" s="174"/>
      <c r="BD170" s="174"/>
      <c r="BE170" s="174"/>
      <c r="BF170" s="174">
        <v>1</v>
      </c>
      <c r="BG170" s="174"/>
      <c r="BH170" s="174"/>
      <c r="BI170" s="174"/>
      <c r="BJ170" s="174"/>
      <c r="BK170" s="174"/>
      <c r="BL170" s="174"/>
      <c r="BM170" s="174"/>
      <c r="BN170" s="174"/>
      <c r="BO170" s="174"/>
      <c r="BP170" s="174"/>
      <c r="BQ170" s="174">
        <v>1</v>
      </c>
      <c r="BR170" s="174"/>
      <c r="BS170" s="174"/>
      <c r="BT170" s="174"/>
      <c r="BU170" s="174"/>
      <c r="BV170" s="174"/>
      <c r="BW170" s="174"/>
      <c r="BX170" s="174"/>
      <c r="BY170" s="174"/>
      <c r="BZ170" s="174"/>
      <c r="CA170" s="174"/>
      <c r="CB170" s="174"/>
      <c r="CC170" s="174"/>
      <c r="CD170" s="174"/>
      <c r="CE170" s="174">
        <v>3</v>
      </c>
      <c r="CF170" s="174">
        <v>3</v>
      </c>
      <c r="CG170" s="174"/>
      <c r="CH170" s="174"/>
      <c r="CI170" s="174"/>
      <c r="CJ170" s="174"/>
      <c r="CK170" s="174"/>
      <c r="CL170" s="174"/>
      <c r="CM170" s="174"/>
      <c r="CN170" s="174"/>
      <c r="CO170" s="174"/>
      <c r="CP170" s="174"/>
      <c r="CQ170" s="174">
        <v>1</v>
      </c>
      <c r="CR170" s="174"/>
      <c r="CS170" s="174"/>
      <c r="CT170" s="174"/>
      <c r="CU170" s="174"/>
      <c r="CV170" s="174"/>
      <c r="CW170" s="174"/>
      <c r="CX170" s="174"/>
      <c r="CY170" s="174"/>
      <c r="CZ170" s="174"/>
      <c r="DA170" s="174"/>
      <c r="DB170" s="174"/>
      <c r="DC170" s="174"/>
      <c r="DD170" s="174"/>
      <c r="DE170" s="174"/>
      <c r="DF170" s="174"/>
      <c r="DG170" s="174"/>
      <c r="DH170" s="174"/>
      <c r="DI170" s="174"/>
      <c r="DJ170" s="174"/>
      <c r="DK170" s="174"/>
      <c r="DL170" s="62"/>
      <c r="DM170" s="62"/>
      <c r="DN170" s="62"/>
      <c r="DO170" s="62"/>
      <c r="DP170" s="62"/>
      <c r="DQ170" s="62"/>
      <c r="DR170" s="62"/>
      <c r="DS170" s="62"/>
      <c r="DT170" s="62"/>
      <c r="DU170" s="62"/>
      <c r="DV170" s="62"/>
      <c r="DW170" s="62"/>
      <c r="DX170" s="62"/>
      <c r="DY170" s="62"/>
      <c r="DZ170" s="62"/>
      <c r="EA170" s="62"/>
      <c r="EB170" s="62"/>
      <c r="EC170" s="62"/>
      <c r="ED170" s="62"/>
      <c r="EE170" s="454"/>
      <c r="EF170" s="62"/>
      <c r="EG170" s="62"/>
      <c r="EH170" s="62"/>
      <c r="EI170" s="62"/>
      <c r="EJ170" s="62"/>
      <c r="EK170" s="62"/>
      <c r="EL170" s="62"/>
      <c r="EM170" s="62"/>
      <c r="EN170" s="62"/>
      <c r="EO170" s="62"/>
      <c r="EP170" s="62"/>
      <c r="EQ170" s="62"/>
      <c r="ER170" s="62"/>
      <c r="ES170" s="62"/>
      <c r="ET170" s="62"/>
      <c r="EU170" s="62"/>
      <c r="EV170" s="62"/>
      <c r="EW170" s="62"/>
      <c r="EX170" s="62"/>
      <c r="EY170" s="62"/>
      <c r="EZ170" s="62"/>
      <c r="FA170" s="62"/>
      <c r="FB170" s="62"/>
      <c r="FC170" s="62"/>
      <c r="FD170" s="62"/>
      <c r="FE170" s="62"/>
      <c r="FF170" s="62"/>
    </row>
    <row r="171" spans="1:162" s="56" customFormat="1">
      <c r="A171" s="54"/>
      <c r="B171" s="689"/>
      <c r="C171" s="491" t="s">
        <v>2999</v>
      </c>
      <c r="D171" s="62">
        <v>38</v>
      </c>
      <c r="E171" s="62">
        <f t="shared" si="83"/>
        <v>114</v>
      </c>
      <c r="F171" s="62"/>
      <c r="G171" s="62"/>
      <c r="H171" s="62"/>
      <c r="I171" s="62"/>
      <c r="J171" s="62"/>
      <c r="K171" s="62"/>
      <c r="L171" s="62">
        <f t="shared" si="84"/>
        <v>38</v>
      </c>
      <c r="M171" s="62"/>
      <c r="N171" s="62"/>
      <c r="O171" s="62"/>
      <c r="P171" s="62"/>
      <c r="Q171" s="62"/>
      <c r="R171" s="173" t="s">
        <v>1903</v>
      </c>
      <c r="S171" s="174"/>
      <c r="T171" s="174"/>
      <c r="U171" s="174"/>
      <c r="V171" s="174">
        <v>2</v>
      </c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883"/>
      <c r="AH171" s="174"/>
      <c r="AI171" s="492"/>
      <c r="AJ171" s="905"/>
      <c r="AK171" s="919">
        <v>1</v>
      </c>
      <c r="AL171" s="174"/>
      <c r="AM171" s="174"/>
      <c r="AN171" s="174"/>
      <c r="AO171" s="928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  <c r="AZ171" s="174"/>
      <c r="BA171" s="174"/>
      <c r="BB171" s="174"/>
      <c r="BC171" s="174"/>
      <c r="BD171" s="174"/>
      <c r="BE171" s="174"/>
      <c r="BF171" s="174"/>
      <c r="BG171" s="174"/>
      <c r="BH171" s="174"/>
      <c r="BI171" s="174"/>
      <c r="BJ171" s="174"/>
      <c r="BK171" s="174"/>
      <c r="BL171" s="174"/>
      <c r="BM171" s="174"/>
      <c r="BN171" s="174"/>
      <c r="BO171" s="174"/>
      <c r="BP171" s="174"/>
      <c r="BQ171" s="174"/>
      <c r="BR171" s="174">
        <v>1</v>
      </c>
      <c r="BS171" s="174"/>
      <c r="BT171" s="174"/>
      <c r="BU171" s="174"/>
      <c r="BV171" s="174"/>
      <c r="BW171" s="174"/>
      <c r="BX171" s="174"/>
      <c r="BY171" s="174"/>
      <c r="BZ171" s="174"/>
      <c r="CA171" s="174"/>
      <c r="CB171" s="174"/>
      <c r="CC171" s="174"/>
      <c r="CD171" s="174"/>
      <c r="CE171" s="174">
        <v>6</v>
      </c>
      <c r="CF171" s="174"/>
      <c r="CG171" s="174">
        <v>6</v>
      </c>
      <c r="CH171" s="174"/>
      <c r="CI171" s="174"/>
      <c r="CJ171" s="174"/>
      <c r="CK171" s="174"/>
      <c r="CL171" s="174"/>
      <c r="CM171" s="174"/>
      <c r="CN171" s="174"/>
      <c r="CO171" s="174"/>
      <c r="CP171" s="174"/>
      <c r="CQ171" s="174"/>
      <c r="CR171" s="174">
        <v>1</v>
      </c>
      <c r="CS171" s="174"/>
      <c r="CT171" s="174"/>
      <c r="CU171" s="174"/>
      <c r="CV171" s="174"/>
      <c r="CW171" s="174"/>
      <c r="CX171" s="174"/>
      <c r="CY171" s="174"/>
      <c r="CZ171" s="174"/>
      <c r="DA171" s="174"/>
      <c r="DB171" s="174"/>
      <c r="DC171" s="174"/>
      <c r="DD171" s="174"/>
      <c r="DE171" s="174"/>
      <c r="DF171" s="174"/>
      <c r="DG171" s="174"/>
      <c r="DH171" s="174"/>
      <c r="DI171" s="174"/>
      <c r="DJ171" s="174"/>
      <c r="DK171" s="174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  <c r="DX171" s="62"/>
      <c r="DY171" s="62"/>
      <c r="DZ171" s="62"/>
      <c r="EA171" s="62"/>
      <c r="EB171" s="62"/>
      <c r="EC171" s="62"/>
      <c r="ED171" s="62"/>
      <c r="EE171" s="454"/>
      <c r="EF171" s="62"/>
      <c r="EG171" s="62"/>
      <c r="EH171" s="62"/>
      <c r="EI171" s="62"/>
      <c r="EJ171" s="62"/>
      <c r="EK171" s="62"/>
      <c r="EL171" s="62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</row>
    <row r="172" spans="1:162" s="56" customFormat="1">
      <c r="A172" s="54"/>
      <c r="B172" s="689"/>
      <c r="C172" s="491" t="s">
        <v>3000</v>
      </c>
      <c r="D172" s="62">
        <v>40</v>
      </c>
      <c r="E172" s="62">
        <f t="shared" si="83"/>
        <v>120</v>
      </c>
      <c r="F172" s="62"/>
      <c r="G172" s="62"/>
      <c r="H172" s="62"/>
      <c r="I172" s="62"/>
      <c r="J172" s="62"/>
      <c r="K172" s="62"/>
      <c r="L172" s="62">
        <f t="shared" si="84"/>
        <v>40</v>
      </c>
      <c r="M172" s="62"/>
      <c r="N172" s="62"/>
      <c r="O172" s="62"/>
      <c r="P172" s="62"/>
      <c r="Q172" s="62"/>
      <c r="R172" s="173" t="s">
        <v>1631</v>
      </c>
      <c r="S172" s="174"/>
      <c r="T172" s="174"/>
      <c r="U172" s="174"/>
      <c r="V172" s="174">
        <v>1</v>
      </c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>
        <v>1</v>
      </c>
      <c r="AG172" s="883"/>
      <c r="AH172" s="174"/>
      <c r="AI172" s="492"/>
      <c r="AJ172" s="905"/>
      <c r="AK172" s="919"/>
      <c r="AL172" s="174"/>
      <c r="AM172" s="174"/>
      <c r="AN172" s="174"/>
      <c r="AO172" s="928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74"/>
      <c r="BF172" s="174"/>
      <c r="BG172" s="174"/>
      <c r="BH172" s="174"/>
      <c r="BI172" s="174"/>
      <c r="BJ172" s="174"/>
      <c r="BK172" s="174"/>
      <c r="BL172" s="174"/>
      <c r="BM172" s="174"/>
      <c r="BN172" s="174"/>
      <c r="BO172" s="174"/>
      <c r="BP172" s="174"/>
      <c r="BQ172" s="174">
        <v>1</v>
      </c>
      <c r="BR172" s="174"/>
      <c r="BS172" s="174"/>
      <c r="BT172" s="174"/>
      <c r="BU172" s="174"/>
      <c r="BV172" s="174"/>
      <c r="BW172" s="174"/>
      <c r="BX172" s="174"/>
      <c r="BY172" s="174"/>
      <c r="BZ172" s="174"/>
      <c r="CA172" s="174"/>
      <c r="CB172" s="174"/>
      <c r="CC172" s="174"/>
      <c r="CD172" s="174"/>
      <c r="CE172" s="174">
        <v>3</v>
      </c>
      <c r="CF172" s="174">
        <v>3</v>
      </c>
      <c r="CG172" s="174"/>
      <c r="CH172" s="174"/>
      <c r="CI172" s="174"/>
      <c r="CJ172" s="174"/>
      <c r="CK172" s="174"/>
      <c r="CL172" s="174"/>
      <c r="CM172" s="174"/>
      <c r="CN172" s="174"/>
      <c r="CO172" s="174"/>
      <c r="CP172" s="174"/>
      <c r="CQ172" s="174">
        <v>1</v>
      </c>
      <c r="CR172" s="174"/>
      <c r="CS172" s="174"/>
      <c r="CT172" s="174"/>
      <c r="CU172" s="174"/>
      <c r="CV172" s="174"/>
      <c r="CW172" s="174"/>
      <c r="CX172" s="174"/>
      <c r="CY172" s="174"/>
      <c r="CZ172" s="174"/>
      <c r="DA172" s="174"/>
      <c r="DB172" s="174"/>
      <c r="DC172" s="174"/>
      <c r="DD172" s="174"/>
      <c r="DE172" s="174"/>
      <c r="DF172" s="174"/>
      <c r="DG172" s="174"/>
      <c r="DH172" s="174"/>
      <c r="DI172" s="174"/>
      <c r="DJ172" s="174"/>
      <c r="DK172" s="174"/>
      <c r="DL172" s="62"/>
      <c r="DM172" s="62"/>
      <c r="DN172" s="62"/>
      <c r="DO172" s="62"/>
      <c r="DP172" s="62"/>
      <c r="DQ172" s="62"/>
      <c r="DR172" s="62"/>
      <c r="DS172" s="62"/>
      <c r="DT172" s="62"/>
      <c r="DU172" s="62"/>
      <c r="DV172" s="62"/>
      <c r="DW172" s="62"/>
      <c r="DX172" s="62"/>
      <c r="DY172" s="62"/>
      <c r="DZ172" s="62"/>
      <c r="EA172" s="62"/>
      <c r="EB172" s="62"/>
      <c r="EC172" s="62"/>
      <c r="ED172" s="62"/>
      <c r="EE172" s="454"/>
      <c r="EF172" s="62"/>
      <c r="EG172" s="62"/>
      <c r="EH172" s="62"/>
      <c r="EI172" s="62"/>
      <c r="EJ172" s="62"/>
      <c r="EK172" s="62"/>
      <c r="EL172" s="62"/>
      <c r="EM172" s="62"/>
      <c r="EN172" s="62"/>
      <c r="EO172" s="62"/>
      <c r="EP172" s="62"/>
      <c r="EQ172" s="62"/>
      <c r="ER172" s="62"/>
      <c r="ES172" s="62"/>
      <c r="ET172" s="62"/>
      <c r="EU172" s="62"/>
      <c r="EV172" s="62"/>
      <c r="EW172" s="62"/>
      <c r="EX172" s="62"/>
      <c r="EY172" s="62"/>
      <c r="EZ172" s="62"/>
      <c r="FA172" s="62"/>
      <c r="FB172" s="62"/>
      <c r="FC172" s="62"/>
      <c r="FD172" s="62"/>
      <c r="FE172" s="62"/>
      <c r="FF172" s="62"/>
    </row>
    <row r="173" spans="1:162" s="56" customFormat="1">
      <c r="A173" s="54"/>
      <c r="B173" s="689"/>
      <c r="C173" s="491" t="s">
        <v>3001</v>
      </c>
      <c r="D173" s="62">
        <v>40</v>
      </c>
      <c r="E173" s="62">
        <f t="shared" si="83"/>
        <v>120</v>
      </c>
      <c r="F173" s="62"/>
      <c r="G173" s="62"/>
      <c r="H173" s="62"/>
      <c r="I173" s="62"/>
      <c r="J173" s="62"/>
      <c r="K173" s="62"/>
      <c r="L173" s="62">
        <f t="shared" si="84"/>
        <v>40</v>
      </c>
      <c r="M173" s="62"/>
      <c r="N173" s="62"/>
      <c r="O173" s="62"/>
      <c r="P173" s="62"/>
      <c r="Q173" s="62"/>
      <c r="R173" s="173" t="s">
        <v>2990</v>
      </c>
      <c r="S173" s="174"/>
      <c r="T173" s="174"/>
      <c r="U173" s="174"/>
      <c r="V173" s="174">
        <v>2</v>
      </c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883"/>
      <c r="AH173" s="174"/>
      <c r="AI173" s="492"/>
      <c r="AJ173" s="905"/>
      <c r="AK173" s="919">
        <v>1</v>
      </c>
      <c r="AL173" s="174"/>
      <c r="AM173" s="174"/>
      <c r="AN173" s="174"/>
      <c r="AO173" s="928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174"/>
      <c r="BO173" s="174"/>
      <c r="BP173" s="174"/>
      <c r="BQ173" s="174"/>
      <c r="BR173" s="174"/>
      <c r="BS173" s="174"/>
      <c r="BT173" s="174"/>
      <c r="BU173" s="174"/>
      <c r="BV173" s="174"/>
      <c r="BW173" s="174">
        <v>1</v>
      </c>
      <c r="BX173" s="174"/>
      <c r="BY173" s="174"/>
      <c r="BZ173" s="174"/>
      <c r="CA173" s="174"/>
      <c r="CB173" s="174"/>
      <c r="CC173" s="174"/>
      <c r="CD173" s="174"/>
      <c r="CE173" s="174"/>
      <c r="CF173" s="174"/>
      <c r="CG173" s="174"/>
      <c r="CH173" s="174">
        <v>3</v>
      </c>
      <c r="CI173" s="174"/>
      <c r="CJ173" s="174"/>
      <c r="CK173" s="174"/>
      <c r="CL173" s="174"/>
      <c r="CM173" s="174"/>
      <c r="CN173" s="174"/>
      <c r="CO173" s="174"/>
      <c r="CP173" s="174"/>
      <c r="CQ173" s="174"/>
      <c r="CR173" s="174"/>
      <c r="CS173" s="174">
        <v>1</v>
      </c>
      <c r="CT173" s="174"/>
      <c r="CU173" s="174"/>
      <c r="CV173" s="174"/>
      <c r="CW173" s="174"/>
      <c r="CX173" s="174"/>
      <c r="CY173" s="174"/>
      <c r="CZ173" s="174"/>
      <c r="DA173" s="174"/>
      <c r="DB173" s="174"/>
      <c r="DC173" s="174"/>
      <c r="DD173" s="174"/>
      <c r="DE173" s="174"/>
      <c r="DF173" s="174"/>
      <c r="DG173" s="174"/>
      <c r="DH173" s="174"/>
      <c r="DI173" s="174"/>
      <c r="DJ173" s="174"/>
      <c r="DK173" s="174"/>
      <c r="DL173" s="62"/>
      <c r="DM173" s="62"/>
      <c r="DN173" s="62"/>
      <c r="DO173" s="62"/>
      <c r="DP173" s="62"/>
      <c r="DQ173" s="62"/>
      <c r="DR173" s="62"/>
      <c r="DS173" s="62"/>
      <c r="DT173" s="62"/>
      <c r="DU173" s="62"/>
      <c r="DV173" s="62"/>
      <c r="DW173" s="62"/>
      <c r="DX173" s="62"/>
      <c r="DY173" s="62"/>
      <c r="DZ173" s="62"/>
      <c r="EA173" s="62"/>
      <c r="EB173" s="62"/>
      <c r="EC173" s="62"/>
      <c r="ED173" s="62"/>
      <c r="EE173" s="454"/>
      <c r="EF173" s="62"/>
      <c r="EG173" s="62"/>
      <c r="EH173" s="62"/>
      <c r="EI173" s="62"/>
      <c r="EJ173" s="62"/>
      <c r="EK173" s="62"/>
      <c r="EL173" s="62"/>
      <c r="EM173" s="62"/>
      <c r="EN173" s="62"/>
      <c r="EO173" s="62"/>
      <c r="EP173" s="62"/>
      <c r="EQ173" s="62"/>
      <c r="ER173" s="62"/>
      <c r="ES173" s="62"/>
      <c r="ET173" s="62"/>
      <c r="EU173" s="62"/>
      <c r="EV173" s="62"/>
      <c r="EW173" s="62"/>
      <c r="EX173" s="62"/>
      <c r="EY173" s="62"/>
      <c r="EZ173" s="62"/>
      <c r="FA173" s="62"/>
      <c r="FB173" s="62"/>
      <c r="FC173" s="62"/>
      <c r="FD173" s="62"/>
      <c r="FE173" s="62"/>
      <c r="FF173" s="62"/>
    </row>
    <row r="174" spans="1:162" s="56" customFormat="1">
      <c r="A174" s="54"/>
      <c r="B174" s="55"/>
      <c r="C174" s="491"/>
      <c r="D174" s="62"/>
      <c r="E174" s="62">
        <f t="shared" si="83"/>
        <v>0</v>
      </c>
      <c r="F174" s="62"/>
      <c r="G174" s="62"/>
      <c r="H174" s="62"/>
      <c r="I174" s="62"/>
      <c r="J174" s="62"/>
      <c r="K174" s="62"/>
      <c r="L174" s="62">
        <f t="shared" si="84"/>
        <v>0</v>
      </c>
      <c r="M174" s="62"/>
      <c r="N174" s="62"/>
      <c r="O174" s="62"/>
      <c r="P174" s="62"/>
      <c r="Q174" s="62"/>
      <c r="R174" s="173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883"/>
      <c r="AH174" s="174"/>
      <c r="AI174" s="492"/>
      <c r="AJ174" s="905"/>
      <c r="AK174" s="919"/>
      <c r="AL174" s="174"/>
      <c r="AM174" s="174"/>
      <c r="AN174" s="174"/>
      <c r="AO174" s="928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  <c r="AZ174" s="174"/>
      <c r="BA174" s="174"/>
      <c r="BB174" s="174"/>
      <c r="BC174" s="174"/>
      <c r="BD174" s="174"/>
      <c r="BE174" s="174"/>
      <c r="BF174" s="174"/>
      <c r="BG174" s="174"/>
      <c r="BH174" s="174"/>
      <c r="BI174" s="174"/>
      <c r="BJ174" s="174"/>
      <c r="BK174" s="174"/>
      <c r="BL174" s="174"/>
      <c r="BM174" s="174"/>
      <c r="BN174" s="174"/>
      <c r="BO174" s="174"/>
      <c r="BP174" s="174"/>
      <c r="BQ174" s="174"/>
      <c r="BR174" s="174"/>
      <c r="BS174" s="174"/>
      <c r="BT174" s="174"/>
      <c r="BU174" s="174"/>
      <c r="BV174" s="174"/>
      <c r="BW174" s="174"/>
      <c r="BX174" s="174"/>
      <c r="BY174" s="174"/>
      <c r="BZ174" s="174"/>
      <c r="CA174" s="174"/>
      <c r="CB174" s="174"/>
      <c r="CC174" s="174"/>
      <c r="CD174" s="174"/>
      <c r="CE174" s="174"/>
      <c r="CF174" s="174"/>
      <c r="CG174" s="174"/>
      <c r="CH174" s="174"/>
      <c r="CI174" s="174"/>
      <c r="CJ174" s="174"/>
      <c r="CK174" s="174"/>
      <c r="CL174" s="174"/>
      <c r="CM174" s="174"/>
      <c r="CN174" s="174"/>
      <c r="CO174" s="174"/>
      <c r="CP174" s="174"/>
      <c r="CQ174" s="174"/>
      <c r="CR174" s="174"/>
      <c r="CS174" s="174"/>
      <c r="CT174" s="174"/>
      <c r="CU174" s="174"/>
      <c r="CV174" s="174"/>
      <c r="CW174" s="174"/>
      <c r="CX174" s="174"/>
      <c r="CY174" s="174"/>
      <c r="CZ174" s="174"/>
      <c r="DA174" s="174"/>
      <c r="DB174" s="174"/>
      <c r="DC174" s="174"/>
      <c r="DD174" s="174"/>
      <c r="DE174" s="174"/>
      <c r="DF174" s="174"/>
      <c r="DG174" s="174"/>
      <c r="DH174" s="174"/>
      <c r="DI174" s="174"/>
      <c r="DJ174" s="174"/>
      <c r="DK174" s="174"/>
      <c r="DL174" s="62"/>
      <c r="DM174" s="62"/>
      <c r="DN174" s="62"/>
      <c r="DO174" s="62"/>
      <c r="DP174" s="62"/>
      <c r="DQ174" s="62"/>
      <c r="DR174" s="62"/>
      <c r="DS174" s="62"/>
      <c r="DT174" s="62"/>
      <c r="DU174" s="62"/>
      <c r="DV174" s="62"/>
      <c r="DW174" s="62"/>
      <c r="DX174" s="62"/>
      <c r="DY174" s="62"/>
      <c r="DZ174" s="62"/>
      <c r="EA174" s="62"/>
      <c r="EB174" s="62"/>
      <c r="EC174" s="62"/>
      <c r="ED174" s="62"/>
      <c r="EE174" s="454"/>
      <c r="EF174" s="62"/>
      <c r="EG174" s="62"/>
      <c r="EH174" s="62"/>
      <c r="EI174" s="62"/>
      <c r="EJ174" s="62"/>
      <c r="EK174" s="62"/>
      <c r="EL174" s="62"/>
      <c r="EM174" s="62"/>
      <c r="EN174" s="62"/>
      <c r="EO174" s="62"/>
      <c r="EP174" s="62"/>
      <c r="EQ174" s="62"/>
      <c r="ER174" s="62"/>
      <c r="ES174" s="62"/>
      <c r="ET174" s="62"/>
      <c r="EU174" s="62"/>
      <c r="EV174" s="62"/>
      <c r="EW174" s="62"/>
      <c r="EX174" s="62"/>
      <c r="EY174" s="62"/>
      <c r="EZ174" s="62"/>
      <c r="FA174" s="62"/>
      <c r="FB174" s="62"/>
      <c r="FC174" s="62"/>
      <c r="FD174" s="62"/>
      <c r="FE174" s="62"/>
      <c r="FF174" s="62"/>
    </row>
    <row r="175" spans="1:162">
      <c r="A175" s="487">
        <f>MATCH(C175,$C$5:$C$361,0)</f>
        <v>171</v>
      </c>
      <c r="C175" s="14" t="s">
        <v>3019</v>
      </c>
      <c r="D175" s="14">
        <f t="shared" ref="D175:Q175" si="85">SUM(D161:D174)</f>
        <v>459</v>
      </c>
      <c r="E175" s="14">
        <f t="shared" si="85"/>
        <v>1377</v>
      </c>
      <c r="F175" s="14">
        <f t="shared" si="85"/>
        <v>0</v>
      </c>
      <c r="G175" s="14">
        <f t="shared" si="85"/>
        <v>0</v>
      </c>
      <c r="H175" s="14">
        <f t="shared" si="85"/>
        <v>0</v>
      </c>
      <c r="I175" s="14">
        <f t="shared" si="85"/>
        <v>0</v>
      </c>
      <c r="J175" s="14">
        <f t="shared" si="85"/>
        <v>0</v>
      </c>
      <c r="K175" s="14">
        <f t="shared" si="85"/>
        <v>0</v>
      </c>
      <c r="L175" s="14">
        <f t="shared" si="85"/>
        <v>459</v>
      </c>
      <c r="M175" s="14">
        <f t="shared" si="85"/>
        <v>0</v>
      </c>
      <c r="N175" s="14">
        <f t="shared" si="85"/>
        <v>0</v>
      </c>
      <c r="O175" s="14">
        <f t="shared" si="85"/>
        <v>0</v>
      </c>
      <c r="P175" s="14">
        <f t="shared" si="85"/>
        <v>0</v>
      </c>
      <c r="Q175" s="14">
        <f t="shared" si="85"/>
        <v>0</v>
      </c>
      <c r="R175" s="14"/>
      <c r="S175" s="175">
        <f t="shared" ref="S175:AX175" si="86">SUM(S161:S174)</f>
        <v>0</v>
      </c>
      <c r="T175" s="175">
        <f t="shared" si="86"/>
        <v>0</v>
      </c>
      <c r="U175" s="175">
        <f t="shared" si="86"/>
        <v>0</v>
      </c>
      <c r="V175" s="175">
        <f t="shared" si="86"/>
        <v>20</v>
      </c>
      <c r="W175" s="175">
        <f t="shared" si="86"/>
        <v>0</v>
      </c>
      <c r="X175" s="175">
        <f t="shared" si="86"/>
        <v>0</v>
      </c>
      <c r="Y175" s="175">
        <f t="shared" si="86"/>
        <v>0</v>
      </c>
      <c r="Z175" s="175">
        <f t="shared" si="86"/>
        <v>0</v>
      </c>
      <c r="AA175" s="175">
        <f t="shared" si="86"/>
        <v>0</v>
      </c>
      <c r="AB175" s="175">
        <f t="shared" si="86"/>
        <v>0</v>
      </c>
      <c r="AC175" s="175">
        <f t="shared" si="86"/>
        <v>0</v>
      </c>
      <c r="AD175" s="175">
        <f t="shared" si="86"/>
        <v>0</v>
      </c>
      <c r="AE175" s="175">
        <f t="shared" si="86"/>
        <v>0</v>
      </c>
      <c r="AF175" s="175">
        <f t="shared" si="86"/>
        <v>6</v>
      </c>
      <c r="AG175" s="884">
        <f t="shared" si="86"/>
        <v>0</v>
      </c>
      <c r="AH175" s="175">
        <f t="shared" si="86"/>
        <v>0</v>
      </c>
      <c r="AI175" s="178">
        <f t="shared" si="86"/>
        <v>0</v>
      </c>
      <c r="AJ175" s="906">
        <f t="shared" si="86"/>
        <v>0</v>
      </c>
      <c r="AK175" s="920">
        <f t="shared" si="86"/>
        <v>7</v>
      </c>
      <c r="AL175" s="175">
        <f t="shared" si="86"/>
        <v>0</v>
      </c>
      <c r="AM175" s="175">
        <f t="shared" si="86"/>
        <v>0</v>
      </c>
      <c r="AN175" s="175">
        <f t="shared" si="86"/>
        <v>0</v>
      </c>
      <c r="AO175" s="929">
        <f t="shared" si="86"/>
        <v>0</v>
      </c>
      <c r="AP175" s="175">
        <f t="shared" si="86"/>
        <v>0</v>
      </c>
      <c r="AQ175" s="175">
        <f t="shared" si="86"/>
        <v>0</v>
      </c>
      <c r="AR175" s="175">
        <f t="shared" si="86"/>
        <v>0</v>
      </c>
      <c r="AS175" s="175">
        <f t="shared" si="86"/>
        <v>0</v>
      </c>
      <c r="AT175" s="175">
        <f t="shared" si="86"/>
        <v>0</v>
      </c>
      <c r="AU175" s="175">
        <f t="shared" si="86"/>
        <v>0</v>
      </c>
      <c r="AV175" s="175">
        <f t="shared" si="86"/>
        <v>0</v>
      </c>
      <c r="AW175" s="175">
        <f t="shared" si="86"/>
        <v>0</v>
      </c>
      <c r="AX175" s="175">
        <f t="shared" si="86"/>
        <v>0</v>
      </c>
      <c r="AY175" s="175">
        <f t="shared" ref="AY175:CD175" si="87">SUM(AY161:AY174)</f>
        <v>0</v>
      </c>
      <c r="AZ175" s="175">
        <f t="shared" si="87"/>
        <v>0</v>
      </c>
      <c r="BA175" s="175">
        <f t="shared" si="87"/>
        <v>0</v>
      </c>
      <c r="BB175" s="175">
        <f t="shared" si="87"/>
        <v>0</v>
      </c>
      <c r="BC175" s="175">
        <f t="shared" si="87"/>
        <v>0</v>
      </c>
      <c r="BD175" s="175">
        <f t="shared" si="87"/>
        <v>0</v>
      </c>
      <c r="BE175" s="175">
        <f t="shared" si="87"/>
        <v>0</v>
      </c>
      <c r="BF175" s="175">
        <f t="shared" si="87"/>
        <v>3</v>
      </c>
      <c r="BG175" s="175">
        <f t="shared" si="87"/>
        <v>0</v>
      </c>
      <c r="BH175" s="175">
        <f t="shared" si="87"/>
        <v>0</v>
      </c>
      <c r="BI175" s="175">
        <f t="shared" si="87"/>
        <v>1</v>
      </c>
      <c r="BJ175" s="175">
        <f t="shared" si="87"/>
        <v>0</v>
      </c>
      <c r="BK175" s="175">
        <f t="shared" si="87"/>
        <v>1</v>
      </c>
      <c r="BL175" s="175">
        <f t="shared" si="87"/>
        <v>0</v>
      </c>
      <c r="BM175" s="175">
        <f t="shared" si="87"/>
        <v>0</v>
      </c>
      <c r="BN175" s="175">
        <f t="shared" si="87"/>
        <v>0</v>
      </c>
      <c r="BO175" s="175">
        <f t="shared" si="87"/>
        <v>0</v>
      </c>
      <c r="BP175" s="175">
        <f t="shared" si="87"/>
        <v>0</v>
      </c>
      <c r="BQ175" s="175">
        <f t="shared" si="87"/>
        <v>6</v>
      </c>
      <c r="BR175" s="175">
        <f t="shared" si="87"/>
        <v>4</v>
      </c>
      <c r="BS175" s="175">
        <f t="shared" si="87"/>
        <v>0</v>
      </c>
      <c r="BT175" s="175">
        <f t="shared" si="87"/>
        <v>0</v>
      </c>
      <c r="BU175" s="175">
        <f t="shared" si="87"/>
        <v>0</v>
      </c>
      <c r="BV175" s="175">
        <f t="shared" si="87"/>
        <v>0</v>
      </c>
      <c r="BW175" s="175">
        <f t="shared" si="87"/>
        <v>3</v>
      </c>
      <c r="BX175" s="175">
        <f t="shared" si="87"/>
        <v>0</v>
      </c>
      <c r="BY175" s="175">
        <f t="shared" si="87"/>
        <v>0</v>
      </c>
      <c r="BZ175" s="175">
        <f t="shared" si="87"/>
        <v>0</v>
      </c>
      <c r="CA175" s="175">
        <f t="shared" si="87"/>
        <v>1</v>
      </c>
      <c r="CB175" s="175">
        <f t="shared" si="87"/>
        <v>1</v>
      </c>
      <c r="CC175" s="175">
        <f t="shared" si="87"/>
        <v>1</v>
      </c>
      <c r="CD175" s="175">
        <f t="shared" si="87"/>
        <v>0</v>
      </c>
      <c r="CE175" s="175">
        <f t="shared" ref="CE175:DJ175" si="88">SUM(CE161:CE174)</f>
        <v>47</v>
      </c>
      <c r="CF175" s="175">
        <f t="shared" si="88"/>
        <v>22</v>
      </c>
      <c r="CG175" s="175">
        <f t="shared" si="88"/>
        <v>26</v>
      </c>
      <c r="CH175" s="175">
        <f t="shared" si="88"/>
        <v>12</v>
      </c>
      <c r="CI175" s="175">
        <f t="shared" si="88"/>
        <v>0</v>
      </c>
      <c r="CJ175" s="175">
        <f t="shared" si="88"/>
        <v>0</v>
      </c>
      <c r="CK175" s="175">
        <f t="shared" si="88"/>
        <v>0</v>
      </c>
      <c r="CL175" s="175">
        <f t="shared" si="88"/>
        <v>0</v>
      </c>
      <c r="CM175" s="175">
        <f t="shared" si="88"/>
        <v>0</v>
      </c>
      <c r="CN175" s="175">
        <f t="shared" si="88"/>
        <v>0</v>
      </c>
      <c r="CO175" s="175">
        <f t="shared" si="88"/>
        <v>0</v>
      </c>
      <c r="CP175" s="175">
        <f t="shared" si="88"/>
        <v>0</v>
      </c>
      <c r="CQ175" s="175">
        <f t="shared" si="88"/>
        <v>6</v>
      </c>
      <c r="CR175" s="175">
        <f t="shared" si="88"/>
        <v>5</v>
      </c>
      <c r="CS175" s="175">
        <f t="shared" si="88"/>
        <v>4</v>
      </c>
      <c r="CT175" s="175">
        <f t="shared" si="88"/>
        <v>0</v>
      </c>
      <c r="CU175" s="175">
        <f t="shared" si="88"/>
        <v>0</v>
      </c>
      <c r="CV175" s="175">
        <f t="shared" si="88"/>
        <v>0</v>
      </c>
      <c r="CW175" s="175">
        <f t="shared" si="88"/>
        <v>0</v>
      </c>
      <c r="CX175" s="175">
        <f t="shared" si="88"/>
        <v>6</v>
      </c>
      <c r="CY175" s="175">
        <f t="shared" si="88"/>
        <v>6</v>
      </c>
      <c r="CZ175" s="175">
        <f t="shared" si="88"/>
        <v>3</v>
      </c>
      <c r="DA175" s="175">
        <f t="shared" si="88"/>
        <v>0</v>
      </c>
      <c r="DB175" s="175">
        <f t="shared" si="88"/>
        <v>0</v>
      </c>
      <c r="DC175" s="175">
        <f t="shared" si="88"/>
        <v>0</v>
      </c>
      <c r="DD175" s="175">
        <f t="shared" si="88"/>
        <v>2</v>
      </c>
      <c r="DE175" s="175">
        <f t="shared" si="88"/>
        <v>0</v>
      </c>
      <c r="DF175" s="175">
        <f t="shared" si="88"/>
        <v>0</v>
      </c>
      <c r="DG175" s="175">
        <f t="shared" si="88"/>
        <v>0</v>
      </c>
      <c r="DH175" s="175">
        <f t="shared" si="88"/>
        <v>0</v>
      </c>
      <c r="DI175" s="175">
        <f t="shared" si="88"/>
        <v>3</v>
      </c>
      <c r="DJ175" s="175">
        <f t="shared" si="88"/>
        <v>0</v>
      </c>
      <c r="DK175" s="175">
        <f t="shared" ref="DK175:ED175" si="89">SUM(DK161:DK174)</f>
        <v>3</v>
      </c>
      <c r="DL175" s="14">
        <f t="shared" si="89"/>
        <v>5.5</v>
      </c>
      <c r="DM175" s="14">
        <f t="shared" si="89"/>
        <v>0</v>
      </c>
      <c r="DN175" s="14">
        <f t="shared" si="89"/>
        <v>0</v>
      </c>
      <c r="DO175" s="14">
        <f t="shared" si="89"/>
        <v>0</v>
      </c>
      <c r="DP175" s="14">
        <f t="shared" si="89"/>
        <v>0</v>
      </c>
      <c r="DQ175" s="14">
        <f t="shared" si="89"/>
        <v>0</v>
      </c>
      <c r="DR175" s="14">
        <f t="shared" si="89"/>
        <v>0</v>
      </c>
      <c r="DS175" s="14">
        <f t="shared" si="89"/>
        <v>5.5</v>
      </c>
      <c r="DT175" s="14">
        <f t="shared" si="89"/>
        <v>13.5</v>
      </c>
      <c r="DU175" s="14">
        <f t="shared" si="89"/>
        <v>0</v>
      </c>
      <c r="DV175" s="14">
        <f t="shared" si="89"/>
        <v>0</v>
      </c>
      <c r="DW175" s="14">
        <f t="shared" si="89"/>
        <v>0</v>
      </c>
      <c r="DX175" s="14">
        <f t="shared" si="89"/>
        <v>0</v>
      </c>
      <c r="DY175" s="14">
        <f t="shared" si="89"/>
        <v>0</v>
      </c>
      <c r="DZ175" s="14">
        <f t="shared" si="89"/>
        <v>0</v>
      </c>
      <c r="EA175" s="14">
        <f t="shared" si="89"/>
        <v>0</v>
      </c>
      <c r="EB175" s="14">
        <f t="shared" si="89"/>
        <v>0</v>
      </c>
      <c r="EC175" s="14">
        <f t="shared" si="89"/>
        <v>0</v>
      </c>
      <c r="ED175" s="14">
        <f t="shared" si="89"/>
        <v>0</v>
      </c>
      <c r="EE175" s="508"/>
      <c r="EF175" s="14">
        <f t="shared" ref="EF175:FE175" si="90">SUM(EF161:EF174)</f>
        <v>0</v>
      </c>
      <c r="EG175" s="14">
        <f t="shared" si="90"/>
        <v>0</v>
      </c>
      <c r="EH175" s="14">
        <f t="shared" si="90"/>
        <v>0</v>
      </c>
      <c r="EI175" s="14">
        <f t="shared" si="90"/>
        <v>0</v>
      </c>
      <c r="EJ175" s="14">
        <f t="shared" si="90"/>
        <v>0</v>
      </c>
      <c r="EK175" s="14">
        <f t="shared" si="90"/>
        <v>0</v>
      </c>
      <c r="EL175" s="14">
        <f t="shared" si="90"/>
        <v>0</v>
      </c>
      <c r="EM175" s="14">
        <f t="shared" si="90"/>
        <v>0</v>
      </c>
      <c r="EN175" s="14">
        <f t="shared" si="90"/>
        <v>0</v>
      </c>
      <c r="EO175" s="14">
        <f t="shared" si="90"/>
        <v>0</v>
      </c>
      <c r="EP175" s="14">
        <f t="shared" si="90"/>
        <v>0</v>
      </c>
      <c r="EQ175" s="14">
        <f t="shared" si="90"/>
        <v>0</v>
      </c>
      <c r="ER175" s="14">
        <f t="shared" si="90"/>
        <v>0</v>
      </c>
      <c r="ES175" s="14">
        <f t="shared" si="90"/>
        <v>0</v>
      </c>
      <c r="ET175" s="14">
        <f t="shared" si="90"/>
        <v>0</v>
      </c>
      <c r="EU175" s="14">
        <f t="shared" si="90"/>
        <v>0</v>
      </c>
      <c r="EV175" s="14">
        <f t="shared" si="90"/>
        <v>0</v>
      </c>
      <c r="EW175" s="14">
        <f t="shared" si="90"/>
        <v>0</v>
      </c>
      <c r="EX175" s="14">
        <f t="shared" si="90"/>
        <v>0</v>
      </c>
      <c r="EY175" s="14">
        <f t="shared" si="90"/>
        <v>0</v>
      </c>
      <c r="EZ175" s="14">
        <f t="shared" si="90"/>
        <v>0</v>
      </c>
      <c r="FA175" s="14">
        <f t="shared" si="90"/>
        <v>0</v>
      </c>
      <c r="FB175" s="14">
        <f t="shared" si="90"/>
        <v>0</v>
      </c>
      <c r="FC175" s="14">
        <f t="shared" si="90"/>
        <v>0</v>
      </c>
      <c r="FD175" s="14">
        <f t="shared" si="90"/>
        <v>0</v>
      </c>
      <c r="FE175" s="14">
        <f t="shared" si="90"/>
        <v>0</v>
      </c>
      <c r="FF175" s="14"/>
    </row>
    <row r="176" spans="1:162">
      <c r="A176" s="54"/>
      <c r="B176" s="55" t="s">
        <v>3061</v>
      </c>
      <c r="C176" s="11" t="s">
        <v>3897</v>
      </c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885"/>
      <c r="AH176" s="176"/>
      <c r="AI176" s="897"/>
      <c r="AJ176" s="907"/>
      <c r="AK176" s="921"/>
      <c r="AL176" s="176"/>
      <c r="AM176" s="176"/>
      <c r="AN176" s="176"/>
      <c r="AO176" s="176"/>
      <c r="AP176" s="176"/>
      <c r="AQ176" s="176"/>
      <c r="AR176" s="176"/>
      <c r="AS176" s="176"/>
      <c r="AT176" s="176"/>
      <c r="AU176" s="176"/>
      <c r="AV176" s="176"/>
      <c r="AW176" s="176"/>
      <c r="AX176" s="176"/>
      <c r="AY176" s="176"/>
      <c r="AZ176" s="176"/>
      <c r="BA176" s="176"/>
      <c r="BB176" s="176"/>
      <c r="BC176" s="176"/>
      <c r="BD176" s="176"/>
      <c r="BE176" s="176"/>
      <c r="BF176" s="176"/>
      <c r="BG176" s="176"/>
      <c r="BH176" s="176"/>
      <c r="BI176" s="176"/>
      <c r="BJ176" s="176"/>
      <c r="BK176" s="176"/>
      <c r="BL176" s="176"/>
      <c r="BM176" s="176"/>
      <c r="BN176" s="176"/>
      <c r="BO176" s="176"/>
      <c r="BP176" s="176"/>
      <c r="BQ176" s="176"/>
      <c r="BR176" s="176"/>
      <c r="BS176" s="176"/>
      <c r="BT176" s="176"/>
      <c r="BU176" s="176"/>
      <c r="BV176" s="176"/>
      <c r="BW176" s="176"/>
      <c r="BX176" s="176"/>
      <c r="BY176" s="176"/>
      <c r="BZ176" s="176"/>
      <c r="CA176" s="176"/>
      <c r="CB176" s="176"/>
      <c r="CC176" s="176"/>
      <c r="CD176" s="176"/>
      <c r="CE176" s="176"/>
      <c r="CF176" s="176"/>
      <c r="CG176" s="176"/>
      <c r="CH176" s="176"/>
      <c r="CI176" s="176"/>
      <c r="CJ176" s="176"/>
      <c r="CK176" s="176"/>
      <c r="CL176" s="176"/>
      <c r="CM176" s="176"/>
      <c r="CN176" s="176"/>
      <c r="CO176" s="176"/>
      <c r="CP176" s="176"/>
      <c r="CQ176" s="176"/>
      <c r="CR176" s="176"/>
      <c r="CS176" s="176"/>
      <c r="CT176" s="176"/>
      <c r="CU176" s="176"/>
      <c r="CV176" s="176"/>
      <c r="CW176" s="176"/>
      <c r="CX176" s="176"/>
      <c r="CY176" s="176"/>
      <c r="CZ176" s="176"/>
      <c r="DA176" s="176"/>
      <c r="DB176" s="176"/>
      <c r="DC176" s="176"/>
      <c r="DD176" s="176"/>
      <c r="DE176" s="176"/>
      <c r="DF176" s="176"/>
      <c r="DG176" s="176"/>
      <c r="DH176" s="176"/>
      <c r="DI176" s="176"/>
      <c r="DJ176" s="176"/>
      <c r="DK176" s="176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503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3"/>
    </row>
    <row r="177" spans="1:162" s="56" customFormat="1">
      <c r="A177" s="54"/>
      <c r="B177" s="55"/>
      <c r="C177" s="491" t="s">
        <v>3724</v>
      </c>
      <c r="D177" s="62"/>
      <c r="E177" s="62">
        <f t="shared" ref="E177:E188" si="91">D177*3</f>
        <v>0</v>
      </c>
      <c r="F177" s="62"/>
      <c r="G177" s="62"/>
      <c r="H177" s="62"/>
      <c r="I177" s="62"/>
      <c r="J177" s="62"/>
      <c r="K177" s="62"/>
      <c r="L177" s="62">
        <f t="shared" ref="L177:L188" si="92">D177</f>
        <v>0</v>
      </c>
      <c r="M177" s="62"/>
      <c r="N177" s="62"/>
      <c r="O177" s="62"/>
      <c r="P177" s="62"/>
      <c r="Q177" s="62"/>
      <c r="R177" s="173" t="s">
        <v>3005</v>
      </c>
      <c r="S177" s="174"/>
      <c r="T177" s="174"/>
      <c r="U177" s="174"/>
      <c r="V177" s="174">
        <v>1</v>
      </c>
      <c r="W177" s="174"/>
      <c r="X177" s="174"/>
      <c r="Y177" s="174"/>
      <c r="Z177" s="174"/>
      <c r="AA177" s="174"/>
      <c r="AB177" s="174"/>
      <c r="AC177" s="174"/>
      <c r="AD177" s="174">
        <v>1</v>
      </c>
      <c r="AE177" s="174"/>
      <c r="AF177" s="174"/>
      <c r="AG177" s="883"/>
      <c r="AH177" s="174"/>
      <c r="AI177" s="492"/>
      <c r="AJ177" s="905"/>
      <c r="AK177" s="919"/>
      <c r="AL177" s="174"/>
      <c r="AM177" s="174"/>
      <c r="AN177" s="174"/>
      <c r="AO177" s="928"/>
      <c r="AP177" s="174"/>
      <c r="AQ177" s="174"/>
      <c r="AR177" s="174"/>
      <c r="AS177" s="174"/>
      <c r="AT177" s="174">
        <v>1</v>
      </c>
      <c r="AU177" s="174"/>
      <c r="AV177" s="174"/>
      <c r="AW177" s="174"/>
      <c r="AX177" s="174"/>
      <c r="AY177" s="174"/>
      <c r="AZ177" s="174"/>
      <c r="BA177" s="174">
        <v>1</v>
      </c>
      <c r="BB177" s="174"/>
      <c r="BC177" s="174"/>
      <c r="BD177" s="174"/>
      <c r="BE177" s="174"/>
      <c r="BF177" s="174"/>
      <c r="BG177" s="174"/>
      <c r="BH177" s="174"/>
      <c r="BI177" s="174"/>
      <c r="BJ177" s="174"/>
      <c r="BK177" s="174"/>
      <c r="BL177" s="174"/>
      <c r="BM177" s="174"/>
      <c r="BN177" s="174"/>
      <c r="BO177" s="174"/>
      <c r="BP177" s="174"/>
      <c r="BQ177" s="174">
        <v>1</v>
      </c>
      <c r="BR177" s="174"/>
      <c r="BS177" s="174"/>
      <c r="BT177" s="174"/>
      <c r="BU177" s="174"/>
      <c r="BV177" s="174">
        <v>1</v>
      </c>
      <c r="BW177" s="174"/>
      <c r="BX177" s="174"/>
      <c r="BY177" s="174"/>
      <c r="BZ177" s="174"/>
      <c r="CA177" s="174"/>
      <c r="CB177" s="174"/>
      <c r="CC177" s="174"/>
      <c r="CD177" s="174"/>
      <c r="CE177" s="174">
        <v>3</v>
      </c>
      <c r="CF177" s="174">
        <v>3</v>
      </c>
      <c r="CG177" s="174"/>
      <c r="CH177" s="174">
        <v>3</v>
      </c>
      <c r="CI177" s="174"/>
      <c r="CJ177" s="174"/>
      <c r="CK177" s="174"/>
      <c r="CL177" s="174"/>
      <c r="CM177" s="174"/>
      <c r="CN177" s="174"/>
      <c r="CO177" s="174"/>
      <c r="CP177" s="174"/>
      <c r="CQ177" s="174">
        <v>1</v>
      </c>
      <c r="CR177" s="174"/>
      <c r="CS177" s="174">
        <v>1</v>
      </c>
      <c r="CT177" s="174"/>
      <c r="CU177" s="174"/>
      <c r="CV177" s="174"/>
      <c r="CW177" s="174"/>
      <c r="CX177" s="174">
        <v>3</v>
      </c>
      <c r="CY177" s="174">
        <v>3</v>
      </c>
      <c r="CZ177" s="174">
        <v>3</v>
      </c>
      <c r="DA177" s="174"/>
      <c r="DB177" s="174"/>
      <c r="DC177" s="174"/>
      <c r="DD177" s="174">
        <v>2</v>
      </c>
      <c r="DE177" s="174"/>
      <c r="DF177" s="174"/>
      <c r="DG177" s="174"/>
      <c r="DH177" s="174"/>
      <c r="DI177" s="174"/>
      <c r="DJ177" s="174"/>
      <c r="DK177" s="174"/>
      <c r="DL177" s="62">
        <v>1.5</v>
      </c>
      <c r="DM177" s="62"/>
      <c r="DN177" s="62"/>
      <c r="DO177" s="62"/>
      <c r="DP177" s="62"/>
      <c r="DQ177" s="62"/>
      <c r="DR177" s="62"/>
      <c r="DS177" s="62">
        <v>1.5</v>
      </c>
      <c r="DT177" s="62">
        <v>3</v>
      </c>
      <c r="DU177" s="62"/>
      <c r="DV177" s="62"/>
      <c r="DW177" s="62"/>
      <c r="DX177" s="62"/>
      <c r="DY177" s="62"/>
      <c r="DZ177" s="62"/>
      <c r="EA177" s="62"/>
      <c r="EB177" s="62"/>
      <c r="EC177" s="62"/>
      <c r="ED177" s="62"/>
      <c r="EE177" s="454"/>
      <c r="EF177" s="62"/>
      <c r="EG177" s="62"/>
      <c r="EH177" s="62"/>
      <c r="EI177" s="62"/>
      <c r="EJ177" s="62"/>
      <c r="EK177" s="62"/>
      <c r="EL177" s="62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</row>
    <row r="178" spans="1:162" s="56" customFormat="1">
      <c r="A178" s="54"/>
      <c r="B178" s="689"/>
      <c r="C178" s="714" t="s">
        <v>3006</v>
      </c>
      <c r="D178" s="454">
        <v>25</v>
      </c>
      <c r="E178" s="62">
        <f t="shared" si="91"/>
        <v>75</v>
      </c>
      <c r="F178" s="62"/>
      <c r="G178" s="62"/>
      <c r="H178" s="62"/>
      <c r="I178" s="62"/>
      <c r="J178" s="62"/>
      <c r="K178" s="62"/>
      <c r="L178" s="62">
        <f t="shared" si="92"/>
        <v>25</v>
      </c>
      <c r="M178" s="454"/>
      <c r="N178" s="454"/>
      <c r="O178" s="454"/>
      <c r="P178" s="454"/>
      <c r="Q178" s="454"/>
      <c r="R178" s="715" t="s">
        <v>2989</v>
      </c>
      <c r="S178" s="716"/>
      <c r="T178" s="716"/>
      <c r="U178" s="716"/>
      <c r="V178" s="716">
        <v>2</v>
      </c>
      <c r="W178" s="716"/>
      <c r="X178" s="716"/>
      <c r="Y178" s="716"/>
      <c r="Z178" s="716"/>
      <c r="AA178" s="716"/>
      <c r="AB178" s="716"/>
      <c r="AC178" s="716"/>
      <c r="AD178" s="716"/>
      <c r="AE178" s="716"/>
      <c r="AF178" s="716"/>
      <c r="AG178" s="886"/>
      <c r="AH178" s="716"/>
      <c r="AI178" s="898"/>
      <c r="AJ178" s="908"/>
      <c r="AK178" s="922">
        <v>1</v>
      </c>
      <c r="AL178" s="716"/>
      <c r="AM178" s="716"/>
      <c r="AN178" s="716"/>
      <c r="AO178" s="930"/>
      <c r="AP178" s="716"/>
      <c r="AQ178" s="716"/>
      <c r="AR178" s="716"/>
      <c r="AS178" s="716"/>
      <c r="AT178" s="716"/>
      <c r="AU178" s="716"/>
      <c r="AV178" s="716"/>
      <c r="AW178" s="716"/>
      <c r="AX178" s="716"/>
      <c r="AY178" s="716"/>
      <c r="AZ178" s="716"/>
      <c r="BA178" s="716"/>
      <c r="BB178" s="716"/>
      <c r="BC178" s="716"/>
      <c r="BD178" s="716"/>
      <c r="BE178" s="716"/>
      <c r="BF178" s="716"/>
      <c r="BG178" s="716"/>
      <c r="BH178" s="716"/>
      <c r="BI178" s="716"/>
      <c r="BJ178" s="716"/>
      <c r="BK178" s="716"/>
      <c r="BL178" s="716"/>
      <c r="BM178" s="716"/>
      <c r="BN178" s="716"/>
      <c r="BO178" s="716"/>
      <c r="BP178" s="716"/>
      <c r="BQ178" s="716"/>
      <c r="BR178" s="716"/>
      <c r="BS178" s="716"/>
      <c r="BT178" s="716"/>
      <c r="BU178" s="716"/>
      <c r="BV178" s="716"/>
      <c r="BW178" s="716">
        <v>1</v>
      </c>
      <c r="BX178" s="716"/>
      <c r="BY178" s="716"/>
      <c r="BZ178" s="716"/>
      <c r="CA178" s="716"/>
      <c r="CB178" s="716">
        <v>1</v>
      </c>
      <c r="CC178" s="716"/>
      <c r="CD178" s="716"/>
      <c r="CE178" s="716"/>
      <c r="CF178" s="716"/>
      <c r="CG178" s="716"/>
      <c r="CH178" s="716">
        <v>6</v>
      </c>
      <c r="CI178" s="716"/>
      <c r="CJ178" s="716"/>
      <c r="CK178" s="716"/>
      <c r="CL178" s="716"/>
      <c r="CM178" s="716"/>
      <c r="CN178" s="716"/>
      <c r="CO178" s="716"/>
      <c r="CP178" s="716"/>
      <c r="CQ178" s="716"/>
      <c r="CR178" s="716"/>
      <c r="CS178" s="716">
        <v>2</v>
      </c>
      <c r="CT178" s="716"/>
      <c r="CU178" s="716"/>
      <c r="CV178" s="716"/>
      <c r="CW178" s="716"/>
      <c r="CX178" s="716"/>
      <c r="CY178" s="716"/>
      <c r="CZ178" s="716"/>
      <c r="DA178" s="716"/>
      <c r="DB178" s="716"/>
      <c r="DC178" s="716"/>
      <c r="DD178" s="716"/>
      <c r="DE178" s="716"/>
      <c r="DF178" s="716"/>
      <c r="DG178" s="716"/>
      <c r="DH178" s="716"/>
      <c r="DI178" s="716">
        <v>3</v>
      </c>
      <c r="DJ178" s="716"/>
      <c r="DK178" s="716"/>
      <c r="DL178" s="454">
        <v>3</v>
      </c>
      <c r="DM178" s="454"/>
      <c r="DN178" s="454"/>
      <c r="DO178" s="454"/>
      <c r="DP178" s="454"/>
      <c r="DQ178" s="454"/>
      <c r="DR178" s="454"/>
      <c r="DS178" s="454">
        <v>3</v>
      </c>
      <c r="DT178" s="454">
        <v>6</v>
      </c>
      <c r="DU178" s="454"/>
      <c r="DV178" s="454"/>
      <c r="DW178" s="454"/>
      <c r="DX178" s="454"/>
      <c r="DY178" s="454"/>
      <c r="DZ178" s="454"/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</row>
    <row r="179" spans="1:162" s="56" customFormat="1">
      <c r="A179" s="54"/>
      <c r="B179" s="689"/>
      <c r="C179" s="714" t="s">
        <v>2991</v>
      </c>
      <c r="D179" s="454">
        <v>30</v>
      </c>
      <c r="E179" s="62">
        <f t="shared" si="91"/>
        <v>90</v>
      </c>
      <c r="F179" s="62"/>
      <c r="G179" s="62"/>
      <c r="H179" s="62"/>
      <c r="I179" s="62"/>
      <c r="J179" s="62"/>
      <c r="K179" s="62"/>
      <c r="L179" s="62">
        <f t="shared" si="92"/>
        <v>30</v>
      </c>
      <c r="M179" s="454"/>
      <c r="N179" s="454"/>
      <c r="O179" s="454"/>
      <c r="P179" s="454"/>
      <c r="Q179" s="454"/>
      <c r="R179" s="715" t="s">
        <v>1903</v>
      </c>
      <c r="S179" s="716"/>
      <c r="T179" s="716"/>
      <c r="U179" s="716"/>
      <c r="V179" s="716">
        <v>2</v>
      </c>
      <c r="W179" s="716"/>
      <c r="X179" s="716"/>
      <c r="Y179" s="716"/>
      <c r="Z179" s="716"/>
      <c r="AA179" s="716"/>
      <c r="AB179" s="716"/>
      <c r="AC179" s="716"/>
      <c r="AD179" s="716"/>
      <c r="AE179" s="716"/>
      <c r="AF179" s="716"/>
      <c r="AG179" s="886"/>
      <c r="AH179" s="716"/>
      <c r="AI179" s="898"/>
      <c r="AJ179" s="908"/>
      <c r="AK179" s="922">
        <v>1</v>
      </c>
      <c r="AL179" s="716"/>
      <c r="AM179" s="716"/>
      <c r="AN179" s="716"/>
      <c r="AO179" s="930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>
        <v>1</v>
      </c>
      <c r="BG179" s="716"/>
      <c r="BH179" s="716"/>
      <c r="BI179" s="716"/>
      <c r="BJ179" s="716"/>
      <c r="BK179" s="716"/>
      <c r="BL179" s="716"/>
      <c r="BM179" s="716"/>
      <c r="BN179" s="716"/>
      <c r="BO179" s="716"/>
      <c r="BP179" s="716"/>
      <c r="BQ179" s="716"/>
      <c r="BR179" s="716">
        <v>1</v>
      </c>
      <c r="BS179" s="716"/>
      <c r="BT179" s="716"/>
      <c r="BU179" s="716"/>
      <c r="BV179" s="716"/>
      <c r="BW179" s="716"/>
      <c r="BX179" s="716"/>
      <c r="BY179" s="716"/>
      <c r="BZ179" s="716"/>
      <c r="CA179" s="716"/>
      <c r="CB179" s="716"/>
      <c r="CC179" s="716"/>
      <c r="CD179" s="716"/>
      <c r="CE179" s="716">
        <v>6</v>
      </c>
      <c r="CF179" s="716"/>
      <c r="CG179" s="716">
        <v>6</v>
      </c>
      <c r="CH179" s="716"/>
      <c r="CI179" s="716"/>
      <c r="CJ179" s="716"/>
      <c r="CK179" s="716"/>
      <c r="CL179" s="716"/>
      <c r="CM179" s="716"/>
      <c r="CN179" s="716"/>
      <c r="CO179" s="716"/>
      <c r="CP179" s="716"/>
      <c r="CQ179" s="716"/>
      <c r="CR179" s="716">
        <v>1</v>
      </c>
      <c r="CS179" s="716"/>
      <c r="CT179" s="716"/>
      <c r="CU179" s="716"/>
      <c r="CV179" s="716"/>
      <c r="CW179" s="716"/>
      <c r="CX179" s="716"/>
      <c r="CY179" s="716"/>
      <c r="CZ179" s="716"/>
      <c r="DA179" s="716"/>
      <c r="DB179" s="716"/>
      <c r="DC179" s="716"/>
      <c r="DD179" s="716"/>
      <c r="DE179" s="716"/>
      <c r="DF179" s="716"/>
      <c r="DG179" s="716"/>
      <c r="DH179" s="716"/>
      <c r="DI179" s="716"/>
      <c r="DJ179" s="716"/>
      <c r="DK179" s="716"/>
      <c r="DL179" s="454"/>
      <c r="DM179" s="454"/>
      <c r="DN179" s="454"/>
      <c r="DO179" s="454"/>
      <c r="DP179" s="454"/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/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</row>
    <row r="180" spans="1:162" s="56" customFormat="1">
      <c r="A180" s="54"/>
      <c r="B180" s="689"/>
      <c r="C180" s="714" t="s">
        <v>2992</v>
      </c>
      <c r="D180" s="454">
        <v>35</v>
      </c>
      <c r="E180" s="62">
        <f t="shared" si="91"/>
        <v>105</v>
      </c>
      <c r="F180" s="62"/>
      <c r="G180" s="62"/>
      <c r="H180" s="62"/>
      <c r="I180" s="62"/>
      <c r="J180" s="62"/>
      <c r="K180" s="62"/>
      <c r="L180" s="62">
        <f t="shared" si="92"/>
        <v>35</v>
      </c>
      <c r="M180" s="454"/>
      <c r="N180" s="454"/>
      <c r="O180" s="454"/>
      <c r="P180" s="454"/>
      <c r="Q180" s="454"/>
      <c r="R180" s="715" t="s">
        <v>1903</v>
      </c>
      <c r="S180" s="716"/>
      <c r="T180" s="716"/>
      <c r="U180" s="716"/>
      <c r="V180" s="716">
        <v>2</v>
      </c>
      <c r="W180" s="716"/>
      <c r="X180" s="716"/>
      <c r="Y180" s="716"/>
      <c r="Z180" s="716"/>
      <c r="AA180" s="716"/>
      <c r="AB180" s="716"/>
      <c r="AC180" s="716"/>
      <c r="AD180" s="716"/>
      <c r="AE180" s="716"/>
      <c r="AF180" s="716"/>
      <c r="AG180" s="886"/>
      <c r="AH180" s="716"/>
      <c r="AI180" s="898"/>
      <c r="AJ180" s="908"/>
      <c r="AK180" s="922">
        <v>1</v>
      </c>
      <c r="AL180" s="716"/>
      <c r="AM180" s="716"/>
      <c r="AN180" s="716"/>
      <c r="AO180" s="930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6"/>
      <c r="BL180" s="716"/>
      <c r="BM180" s="716"/>
      <c r="BN180" s="716"/>
      <c r="BO180" s="716"/>
      <c r="BP180" s="716"/>
      <c r="BQ180" s="716"/>
      <c r="BR180" s="716">
        <v>1</v>
      </c>
      <c r="BS180" s="716"/>
      <c r="BT180" s="716"/>
      <c r="BU180" s="716"/>
      <c r="BV180" s="716"/>
      <c r="BW180" s="716"/>
      <c r="BX180" s="716"/>
      <c r="BY180" s="716"/>
      <c r="BZ180" s="716"/>
      <c r="CA180" s="716"/>
      <c r="CB180" s="716"/>
      <c r="CC180" s="716"/>
      <c r="CD180" s="716"/>
      <c r="CE180" s="716">
        <v>6</v>
      </c>
      <c r="CF180" s="716"/>
      <c r="CG180" s="716">
        <v>6</v>
      </c>
      <c r="CH180" s="716"/>
      <c r="CI180" s="716"/>
      <c r="CJ180" s="716"/>
      <c r="CK180" s="716"/>
      <c r="CL180" s="716"/>
      <c r="CM180" s="716"/>
      <c r="CN180" s="716"/>
      <c r="CO180" s="716"/>
      <c r="CP180" s="716"/>
      <c r="CQ180" s="716"/>
      <c r="CR180" s="716">
        <v>1</v>
      </c>
      <c r="CS180" s="716"/>
      <c r="CT180" s="716"/>
      <c r="CU180" s="716"/>
      <c r="CV180" s="716"/>
      <c r="CW180" s="716"/>
      <c r="CX180" s="716"/>
      <c r="CY180" s="716"/>
      <c r="CZ180" s="716"/>
      <c r="DA180" s="716"/>
      <c r="DB180" s="716"/>
      <c r="DC180" s="716"/>
      <c r="DD180" s="716"/>
      <c r="DE180" s="716"/>
      <c r="DF180" s="716"/>
      <c r="DG180" s="716"/>
      <c r="DH180" s="716"/>
      <c r="DI180" s="716"/>
      <c r="DJ180" s="716"/>
      <c r="DK180" s="716"/>
      <c r="DL180" s="454"/>
      <c r="DM180" s="454"/>
      <c r="DN180" s="454"/>
      <c r="DO180" s="454"/>
      <c r="DP180" s="454"/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/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</row>
    <row r="181" spans="1:162" s="56" customFormat="1">
      <c r="A181" s="54"/>
      <c r="B181" s="689"/>
      <c r="C181" s="714" t="s">
        <v>2993</v>
      </c>
      <c r="D181" s="454">
        <v>37</v>
      </c>
      <c r="E181" s="62">
        <f t="shared" si="91"/>
        <v>111</v>
      </c>
      <c r="F181" s="62"/>
      <c r="G181" s="62"/>
      <c r="H181" s="62"/>
      <c r="I181" s="62"/>
      <c r="J181" s="62"/>
      <c r="K181" s="62"/>
      <c r="L181" s="62">
        <f t="shared" si="92"/>
        <v>37</v>
      </c>
      <c r="M181" s="454"/>
      <c r="N181" s="454"/>
      <c r="O181" s="454"/>
      <c r="P181" s="454"/>
      <c r="Q181" s="454"/>
      <c r="R181" s="715" t="s">
        <v>1631</v>
      </c>
      <c r="S181" s="716"/>
      <c r="T181" s="716"/>
      <c r="U181" s="716"/>
      <c r="V181" s="716">
        <v>1</v>
      </c>
      <c r="W181" s="716"/>
      <c r="X181" s="716"/>
      <c r="Y181" s="716"/>
      <c r="Z181" s="716"/>
      <c r="AA181" s="716"/>
      <c r="AB181" s="716"/>
      <c r="AC181" s="716"/>
      <c r="AD181" s="716"/>
      <c r="AE181" s="716"/>
      <c r="AF181" s="716">
        <v>1</v>
      </c>
      <c r="AG181" s="886"/>
      <c r="AH181" s="716"/>
      <c r="AI181" s="898"/>
      <c r="AJ181" s="908"/>
      <c r="AK181" s="922"/>
      <c r="AL181" s="716"/>
      <c r="AM181" s="716"/>
      <c r="AN181" s="716"/>
      <c r="AO181" s="930"/>
      <c r="AP181" s="716"/>
      <c r="AQ181" s="716"/>
      <c r="AR181" s="716"/>
      <c r="AS181" s="716"/>
      <c r="AT181" s="716"/>
      <c r="AU181" s="716"/>
      <c r="AV181" s="716"/>
      <c r="AW181" s="716"/>
      <c r="AX181" s="716"/>
      <c r="AY181" s="716"/>
      <c r="AZ181" s="716"/>
      <c r="BA181" s="716"/>
      <c r="BB181" s="716"/>
      <c r="BC181" s="716"/>
      <c r="BD181" s="716"/>
      <c r="BE181" s="716"/>
      <c r="BF181" s="716"/>
      <c r="BG181" s="716"/>
      <c r="BH181" s="716"/>
      <c r="BI181" s="716">
        <v>1</v>
      </c>
      <c r="BJ181" s="716"/>
      <c r="BK181" s="716"/>
      <c r="BL181" s="716"/>
      <c r="BM181" s="716"/>
      <c r="BN181" s="716"/>
      <c r="BO181" s="716"/>
      <c r="BP181" s="716"/>
      <c r="BQ181" s="716">
        <v>1</v>
      </c>
      <c r="BR181" s="716"/>
      <c r="BS181" s="716"/>
      <c r="BT181" s="716"/>
      <c r="BU181" s="716"/>
      <c r="BV181" s="716"/>
      <c r="BW181" s="716"/>
      <c r="BX181" s="716"/>
      <c r="BY181" s="716"/>
      <c r="BZ181" s="716"/>
      <c r="CA181" s="716">
        <v>1</v>
      </c>
      <c r="CB181" s="716"/>
      <c r="CC181" s="716"/>
      <c r="CD181" s="716"/>
      <c r="CE181" s="716">
        <v>3</v>
      </c>
      <c r="CF181" s="716">
        <v>3</v>
      </c>
      <c r="CG181" s="716"/>
      <c r="CH181" s="716"/>
      <c r="CI181" s="716"/>
      <c r="CJ181" s="716"/>
      <c r="CK181" s="716"/>
      <c r="CL181" s="716"/>
      <c r="CM181" s="716"/>
      <c r="CN181" s="716"/>
      <c r="CO181" s="716"/>
      <c r="CP181" s="716"/>
      <c r="CQ181" s="716">
        <v>1</v>
      </c>
      <c r="CR181" s="716"/>
      <c r="CS181" s="716"/>
      <c r="CT181" s="716"/>
      <c r="CU181" s="716"/>
      <c r="CV181" s="716"/>
      <c r="CW181" s="716"/>
      <c r="CX181" s="716">
        <v>3</v>
      </c>
      <c r="CY181" s="716">
        <v>3</v>
      </c>
      <c r="CZ181" s="716">
        <v>3</v>
      </c>
      <c r="DA181" s="716"/>
      <c r="DB181" s="716"/>
      <c r="DC181" s="716"/>
      <c r="DD181" s="716"/>
      <c r="DE181" s="716"/>
      <c r="DF181" s="716"/>
      <c r="DG181" s="716"/>
      <c r="DH181" s="716"/>
      <c r="DI181" s="716"/>
      <c r="DJ181" s="716"/>
      <c r="DK181" s="716">
        <v>3</v>
      </c>
      <c r="DL181" s="454"/>
      <c r="DM181" s="454"/>
      <c r="DN181" s="454"/>
      <c r="DO181" s="454"/>
      <c r="DP181" s="454"/>
      <c r="DQ181" s="454"/>
      <c r="DR181" s="454"/>
      <c r="DS181" s="454"/>
      <c r="DT181" s="454">
        <v>4.5</v>
      </c>
      <c r="DU181" s="454"/>
      <c r="DV181" s="454"/>
      <c r="DW181" s="454"/>
      <c r="DX181" s="454"/>
      <c r="DY181" s="454"/>
      <c r="DZ181" s="454"/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</row>
    <row r="182" spans="1:162" s="56" customFormat="1">
      <c r="A182" s="54"/>
      <c r="B182" s="689"/>
      <c r="C182" s="714" t="s">
        <v>2994</v>
      </c>
      <c r="D182" s="454">
        <v>37</v>
      </c>
      <c r="E182" s="62">
        <f t="shared" si="91"/>
        <v>111</v>
      </c>
      <c r="F182" s="62"/>
      <c r="G182" s="62"/>
      <c r="H182" s="62"/>
      <c r="I182" s="62"/>
      <c r="J182" s="62"/>
      <c r="K182" s="62"/>
      <c r="L182" s="62">
        <f t="shared" si="92"/>
        <v>37</v>
      </c>
      <c r="M182" s="454"/>
      <c r="N182" s="454"/>
      <c r="O182" s="454"/>
      <c r="P182" s="454"/>
      <c r="Q182" s="454"/>
      <c r="R182" s="715" t="s">
        <v>1631</v>
      </c>
      <c r="S182" s="716"/>
      <c r="T182" s="716"/>
      <c r="U182" s="716"/>
      <c r="V182" s="716">
        <v>1</v>
      </c>
      <c r="W182" s="716"/>
      <c r="X182" s="716"/>
      <c r="Y182" s="716"/>
      <c r="Z182" s="716"/>
      <c r="AA182" s="716"/>
      <c r="AB182" s="716"/>
      <c r="AC182" s="716"/>
      <c r="AD182" s="716"/>
      <c r="AE182" s="716"/>
      <c r="AF182" s="716">
        <v>1</v>
      </c>
      <c r="AG182" s="886"/>
      <c r="AH182" s="716"/>
      <c r="AI182" s="898"/>
      <c r="AJ182" s="908"/>
      <c r="AK182" s="922"/>
      <c r="AL182" s="716"/>
      <c r="AM182" s="716"/>
      <c r="AN182" s="716"/>
      <c r="AO182" s="930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6"/>
      <c r="BL182" s="716"/>
      <c r="BM182" s="716"/>
      <c r="BN182" s="716"/>
      <c r="BO182" s="716"/>
      <c r="BP182" s="716"/>
      <c r="BQ182" s="716">
        <v>1</v>
      </c>
      <c r="BR182" s="716"/>
      <c r="BS182" s="716"/>
      <c r="BT182" s="716"/>
      <c r="BU182" s="716"/>
      <c r="BV182" s="716"/>
      <c r="BW182" s="716"/>
      <c r="BX182" s="716"/>
      <c r="BY182" s="716"/>
      <c r="BZ182" s="716"/>
      <c r="CA182" s="716"/>
      <c r="CB182" s="716"/>
      <c r="CC182" s="716"/>
      <c r="CD182" s="716"/>
      <c r="CE182" s="716">
        <v>3</v>
      </c>
      <c r="CF182" s="716">
        <v>3</v>
      </c>
      <c r="CG182" s="716"/>
      <c r="CH182" s="716"/>
      <c r="CI182" s="716"/>
      <c r="CJ182" s="716"/>
      <c r="CK182" s="716"/>
      <c r="CL182" s="716"/>
      <c r="CM182" s="716"/>
      <c r="CN182" s="716"/>
      <c r="CO182" s="716"/>
      <c r="CP182" s="716"/>
      <c r="CQ182" s="716">
        <v>1</v>
      </c>
      <c r="CR182" s="716"/>
      <c r="CS182" s="716"/>
      <c r="CT182" s="716"/>
      <c r="CU182" s="716"/>
      <c r="CV182" s="716"/>
      <c r="CW182" s="716"/>
      <c r="CX182" s="716"/>
      <c r="CY182" s="716"/>
      <c r="CZ182" s="716"/>
      <c r="DA182" s="716"/>
      <c r="DB182" s="716"/>
      <c r="DC182" s="716"/>
      <c r="DD182" s="716"/>
      <c r="DE182" s="716"/>
      <c r="DF182" s="716"/>
      <c r="DG182" s="716"/>
      <c r="DH182" s="716"/>
      <c r="DI182" s="716"/>
      <c r="DJ182" s="716"/>
      <c r="DK182" s="716"/>
      <c r="DL182" s="454"/>
      <c r="DM182" s="454"/>
      <c r="DN182" s="454"/>
      <c r="DO182" s="454"/>
      <c r="DP182" s="454"/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/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</row>
    <row r="183" spans="1:162" s="56" customFormat="1">
      <c r="A183" s="54"/>
      <c r="B183" s="689"/>
      <c r="C183" s="714" t="s">
        <v>2995</v>
      </c>
      <c r="D183" s="454">
        <v>48</v>
      </c>
      <c r="E183" s="62">
        <f t="shared" si="91"/>
        <v>144</v>
      </c>
      <c r="F183" s="62"/>
      <c r="G183" s="62"/>
      <c r="H183" s="62"/>
      <c r="I183" s="62"/>
      <c r="J183" s="62"/>
      <c r="K183" s="62"/>
      <c r="L183" s="62">
        <f t="shared" si="92"/>
        <v>48</v>
      </c>
      <c r="M183" s="454"/>
      <c r="N183" s="454"/>
      <c r="O183" s="454"/>
      <c r="P183" s="454"/>
      <c r="Q183" s="454"/>
      <c r="R183" s="715" t="s">
        <v>1903</v>
      </c>
      <c r="S183" s="716"/>
      <c r="T183" s="716"/>
      <c r="U183" s="716"/>
      <c r="V183" s="716">
        <v>2</v>
      </c>
      <c r="W183" s="716"/>
      <c r="X183" s="716"/>
      <c r="Y183" s="716"/>
      <c r="Z183" s="716"/>
      <c r="AA183" s="716"/>
      <c r="AB183" s="716"/>
      <c r="AC183" s="716"/>
      <c r="AD183" s="716"/>
      <c r="AE183" s="716"/>
      <c r="AF183" s="716"/>
      <c r="AG183" s="886"/>
      <c r="AH183" s="716"/>
      <c r="AI183" s="898"/>
      <c r="AJ183" s="908"/>
      <c r="AK183" s="922">
        <v>1</v>
      </c>
      <c r="AL183" s="716"/>
      <c r="AM183" s="716"/>
      <c r="AN183" s="716"/>
      <c r="AO183" s="930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6"/>
      <c r="BL183" s="716"/>
      <c r="BM183" s="716"/>
      <c r="BN183" s="716"/>
      <c r="BO183" s="716"/>
      <c r="BP183" s="716"/>
      <c r="BQ183" s="716"/>
      <c r="BR183" s="716">
        <v>1</v>
      </c>
      <c r="BS183" s="716"/>
      <c r="BT183" s="716"/>
      <c r="BU183" s="716"/>
      <c r="BV183" s="716"/>
      <c r="BW183" s="716"/>
      <c r="BX183" s="716"/>
      <c r="BY183" s="716"/>
      <c r="BZ183" s="716"/>
      <c r="CA183" s="716"/>
      <c r="CB183" s="716"/>
      <c r="CC183" s="716"/>
      <c r="CD183" s="716"/>
      <c r="CE183" s="716">
        <v>6</v>
      </c>
      <c r="CF183" s="716"/>
      <c r="CG183" s="716">
        <v>6</v>
      </c>
      <c r="CH183" s="716"/>
      <c r="CI183" s="716"/>
      <c r="CJ183" s="716"/>
      <c r="CK183" s="716"/>
      <c r="CL183" s="716"/>
      <c r="CM183" s="716"/>
      <c r="CN183" s="716"/>
      <c r="CO183" s="716"/>
      <c r="CP183" s="716"/>
      <c r="CQ183" s="716"/>
      <c r="CR183" s="716">
        <v>1</v>
      </c>
      <c r="CS183" s="716"/>
      <c r="CT183" s="716"/>
      <c r="CU183" s="716"/>
      <c r="CV183" s="716"/>
      <c r="CW183" s="716"/>
      <c r="CX183" s="716"/>
      <c r="CY183" s="716"/>
      <c r="CZ183" s="716"/>
      <c r="DA183" s="716"/>
      <c r="DB183" s="716"/>
      <c r="DC183" s="716"/>
      <c r="DD183" s="716"/>
      <c r="DE183" s="716"/>
      <c r="DF183" s="716"/>
      <c r="DG183" s="716"/>
      <c r="DH183" s="716"/>
      <c r="DI183" s="716"/>
      <c r="DJ183" s="716"/>
      <c r="DK183" s="716"/>
      <c r="DL183" s="454">
        <v>1</v>
      </c>
      <c r="DM183" s="454"/>
      <c r="DN183" s="454"/>
      <c r="DO183" s="454"/>
      <c r="DP183" s="454"/>
      <c r="DQ183" s="454"/>
      <c r="DR183" s="454"/>
      <c r="DS183" s="454">
        <v>1</v>
      </c>
      <c r="DT183" s="454"/>
      <c r="DU183" s="454"/>
      <c r="DV183" s="454"/>
      <c r="DW183" s="454"/>
      <c r="DX183" s="454"/>
      <c r="DY183" s="454"/>
      <c r="DZ183" s="454"/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</row>
    <row r="184" spans="1:162" s="56" customFormat="1">
      <c r="A184" s="54"/>
      <c r="B184" s="689"/>
      <c r="C184" s="714" t="s">
        <v>2996</v>
      </c>
      <c r="D184" s="454">
        <v>40</v>
      </c>
      <c r="E184" s="62">
        <f t="shared" si="91"/>
        <v>120</v>
      </c>
      <c r="F184" s="62"/>
      <c r="G184" s="62"/>
      <c r="H184" s="62"/>
      <c r="I184" s="62"/>
      <c r="J184" s="62"/>
      <c r="K184" s="62"/>
      <c r="L184" s="62">
        <f t="shared" si="92"/>
        <v>40</v>
      </c>
      <c r="M184" s="454"/>
      <c r="N184" s="454"/>
      <c r="O184" s="454"/>
      <c r="P184" s="454"/>
      <c r="Q184" s="454"/>
      <c r="R184" s="715" t="s">
        <v>1903</v>
      </c>
      <c r="S184" s="716"/>
      <c r="T184" s="716"/>
      <c r="U184" s="716"/>
      <c r="V184" s="716">
        <v>2</v>
      </c>
      <c r="W184" s="716"/>
      <c r="X184" s="716"/>
      <c r="Y184" s="716"/>
      <c r="Z184" s="716"/>
      <c r="AA184" s="716"/>
      <c r="AB184" s="716"/>
      <c r="AC184" s="716"/>
      <c r="AD184" s="716"/>
      <c r="AE184" s="716"/>
      <c r="AF184" s="716"/>
      <c r="AG184" s="886"/>
      <c r="AH184" s="716"/>
      <c r="AI184" s="898"/>
      <c r="AJ184" s="908"/>
      <c r="AK184" s="922">
        <v>1</v>
      </c>
      <c r="AL184" s="716"/>
      <c r="AM184" s="716"/>
      <c r="AN184" s="716"/>
      <c r="AO184" s="930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>
        <v>1</v>
      </c>
      <c r="BG184" s="716"/>
      <c r="BH184" s="716"/>
      <c r="BI184" s="716"/>
      <c r="BJ184" s="716"/>
      <c r="BK184" s="716"/>
      <c r="BL184" s="716"/>
      <c r="BM184" s="716"/>
      <c r="BN184" s="716"/>
      <c r="BO184" s="716"/>
      <c r="BP184" s="716"/>
      <c r="BQ184" s="716"/>
      <c r="BR184" s="716">
        <v>1</v>
      </c>
      <c r="BS184" s="716"/>
      <c r="BT184" s="716"/>
      <c r="BU184" s="716"/>
      <c r="BV184" s="716"/>
      <c r="BW184" s="716"/>
      <c r="BX184" s="716"/>
      <c r="BY184" s="716"/>
      <c r="BZ184" s="716"/>
      <c r="CA184" s="716"/>
      <c r="CB184" s="716"/>
      <c r="CC184" s="716"/>
      <c r="CD184" s="716"/>
      <c r="CE184" s="716">
        <v>6</v>
      </c>
      <c r="CF184" s="716"/>
      <c r="CG184" s="716">
        <v>6</v>
      </c>
      <c r="CH184" s="716"/>
      <c r="CI184" s="716"/>
      <c r="CJ184" s="716"/>
      <c r="CK184" s="716"/>
      <c r="CL184" s="716"/>
      <c r="CM184" s="716"/>
      <c r="CN184" s="716"/>
      <c r="CO184" s="716"/>
      <c r="CP184" s="716"/>
      <c r="CQ184" s="716"/>
      <c r="CR184" s="716">
        <v>1</v>
      </c>
      <c r="CS184" s="716"/>
      <c r="CT184" s="716"/>
      <c r="CU184" s="716"/>
      <c r="CV184" s="716"/>
      <c r="CW184" s="716"/>
      <c r="CX184" s="716"/>
      <c r="CY184" s="716"/>
      <c r="CZ184" s="716"/>
      <c r="DA184" s="716"/>
      <c r="DB184" s="716"/>
      <c r="DC184" s="716"/>
      <c r="DD184" s="716"/>
      <c r="DE184" s="716"/>
      <c r="DF184" s="716"/>
      <c r="DG184" s="716"/>
      <c r="DH184" s="716"/>
      <c r="DI184" s="716"/>
      <c r="DJ184" s="716"/>
      <c r="DK184" s="716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</row>
    <row r="185" spans="1:162" s="56" customFormat="1">
      <c r="A185" s="54"/>
      <c r="B185" s="689"/>
      <c r="C185" s="714" t="s">
        <v>2997</v>
      </c>
      <c r="D185" s="454">
        <v>33</v>
      </c>
      <c r="E185" s="62">
        <f t="shared" si="91"/>
        <v>99</v>
      </c>
      <c r="F185" s="62"/>
      <c r="G185" s="62"/>
      <c r="H185" s="62"/>
      <c r="I185" s="62"/>
      <c r="J185" s="62"/>
      <c r="K185" s="62"/>
      <c r="L185" s="62">
        <f t="shared" si="92"/>
        <v>33</v>
      </c>
      <c r="M185" s="454"/>
      <c r="N185" s="454"/>
      <c r="O185" s="454"/>
      <c r="P185" s="454"/>
      <c r="Q185" s="454"/>
      <c r="R185" s="715" t="s">
        <v>1631</v>
      </c>
      <c r="S185" s="716"/>
      <c r="T185" s="716"/>
      <c r="U185" s="716"/>
      <c r="V185" s="716">
        <v>1</v>
      </c>
      <c r="W185" s="716"/>
      <c r="X185" s="716"/>
      <c r="Y185" s="716"/>
      <c r="Z185" s="716"/>
      <c r="AA185" s="716"/>
      <c r="AB185" s="716"/>
      <c r="AC185" s="716"/>
      <c r="AD185" s="716"/>
      <c r="AE185" s="716"/>
      <c r="AF185" s="716">
        <v>1</v>
      </c>
      <c r="AG185" s="886"/>
      <c r="AH185" s="716"/>
      <c r="AI185" s="898"/>
      <c r="AJ185" s="908"/>
      <c r="AK185" s="922"/>
      <c r="AL185" s="716"/>
      <c r="AM185" s="716"/>
      <c r="AN185" s="716"/>
      <c r="AO185" s="930"/>
      <c r="AP185" s="716"/>
      <c r="AQ185" s="716"/>
      <c r="AR185" s="716"/>
      <c r="AS185" s="716"/>
      <c r="AT185" s="716"/>
      <c r="AU185" s="716"/>
      <c r="AV185" s="716"/>
      <c r="AW185" s="716"/>
      <c r="AX185" s="716"/>
      <c r="AY185" s="716"/>
      <c r="AZ185" s="716"/>
      <c r="BA185" s="716"/>
      <c r="BB185" s="716"/>
      <c r="BC185" s="716"/>
      <c r="BD185" s="716"/>
      <c r="BE185" s="716"/>
      <c r="BF185" s="716"/>
      <c r="BG185" s="716"/>
      <c r="BH185" s="716"/>
      <c r="BI185" s="716"/>
      <c r="BJ185" s="716"/>
      <c r="BK185" s="716"/>
      <c r="BL185" s="716"/>
      <c r="BM185" s="716"/>
      <c r="BN185" s="716"/>
      <c r="BO185" s="716"/>
      <c r="BP185" s="716"/>
      <c r="BQ185" s="716">
        <v>1</v>
      </c>
      <c r="BR185" s="716"/>
      <c r="BS185" s="716"/>
      <c r="BT185" s="716"/>
      <c r="BU185" s="716"/>
      <c r="BV185" s="716"/>
      <c r="BW185" s="716"/>
      <c r="BX185" s="716"/>
      <c r="BY185" s="716"/>
      <c r="BZ185" s="716"/>
      <c r="CA185" s="716"/>
      <c r="CB185" s="716"/>
      <c r="CC185" s="716"/>
      <c r="CD185" s="716"/>
      <c r="CE185" s="716">
        <v>3</v>
      </c>
      <c r="CF185" s="716">
        <v>3</v>
      </c>
      <c r="CG185" s="716"/>
      <c r="CH185" s="716"/>
      <c r="CI185" s="716"/>
      <c r="CJ185" s="716"/>
      <c r="CK185" s="716"/>
      <c r="CL185" s="716"/>
      <c r="CM185" s="716"/>
      <c r="CN185" s="716"/>
      <c r="CO185" s="716"/>
      <c r="CP185" s="716"/>
      <c r="CQ185" s="716">
        <v>1</v>
      </c>
      <c r="CR185" s="716"/>
      <c r="CS185" s="716"/>
      <c r="CT185" s="716"/>
      <c r="CU185" s="716"/>
      <c r="CV185" s="716"/>
      <c r="CW185" s="716"/>
      <c r="CX185" s="716"/>
      <c r="CY185" s="716"/>
      <c r="CZ185" s="716"/>
      <c r="DA185" s="716"/>
      <c r="DB185" s="716"/>
      <c r="DC185" s="716"/>
      <c r="DD185" s="716"/>
      <c r="DE185" s="716"/>
      <c r="DF185" s="716"/>
      <c r="DG185" s="716"/>
      <c r="DH185" s="716"/>
      <c r="DI185" s="716"/>
      <c r="DJ185" s="716"/>
      <c r="DK185" s="716"/>
      <c r="DL185" s="454"/>
      <c r="DM185" s="454"/>
      <c r="DN185" s="454"/>
      <c r="DO185" s="454"/>
      <c r="DP185" s="454"/>
      <c r="DQ185" s="454"/>
      <c r="DR185" s="454"/>
      <c r="DS185" s="454"/>
      <c r="DT185" s="454"/>
      <c r="DU185" s="454"/>
      <c r="DV185" s="454"/>
      <c r="DW185" s="454"/>
      <c r="DX185" s="454"/>
      <c r="DY185" s="454"/>
      <c r="DZ185" s="454"/>
      <c r="EA185" s="454"/>
      <c r="EB185" s="454"/>
      <c r="EC185" s="454"/>
      <c r="ED185" s="454"/>
      <c r="EE185" s="454"/>
      <c r="EF185" s="454"/>
      <c r="EG185" s="454"/>
      <c r="EH185" s="454"/>
      <c r="EI185" s="454"/>
      <c r="EJ185" s="454"/>
      <c r="EK185" s="454"/>
      <c r="EL185" s="454"/>
      <c r="EM185" s="454"/>
      <c r="EN185" s="454"/>
      <c r="EO185" s="454"/>
      <c r="EP185" s="454"/>
      <c r="EQ185" s="454"/>
      <c r="ER185" s="454"/>
      <c r="ES185" s="454"/>
      <c r="ET185" s="454"/>
      <c r="EU185" s="454"/>
      <c r="EV185" s="454"/>
      <c r="EW185" s="454"/>
      <c r="EX185" s="454"/>
      <c r="EY185" s="454"/>
      <c r="EZ185" s="454"/>
      <c r="FA185" s="454"/>
      <c r="FB185" s="454"/>
      <c r="FC185" s="454"/>
      <c r="FD185" s="454"/>
      <c r="FE185" s="454"/>
      <c r="FF185" s="454"/>
    </row>
    <row r="186" spans="1:162" s="56" customFormat="1">
      <c r="A186" s="54"/>
      <c r="B186" s="689"/>
      <c r="C186" s="714" t="s">
        <v>2998</v>
      </c>
      <c r="D186" s="454">
        <v>34</v>
      </c>
      <c r="E186" s="62">
        <f t="shared" si="91"/>
        <v>102</v>
      </c>
      <c r="F186" s="62"/>
      <c r="G186" s="62"/>
      <c r="H186" s="62"/>
      <c r="I186" s="62"/>
      <c r="J186" s="62"/>
      <c r="K186" s="62"/>
      <c r="L186" s="62">
        <f t="shared" si="92"/>
        <v>34</v>
      </c>
      <c r="M186" s="454"/>
      <c r="N186" s="454"/>
      <c r="O186" s="454"/>
      <c r="P186" s="454"/>
      <c r="Q186" s="454"/>
      <c r="R186" s="715" t="s">
        <v>1903</v>
      </c>
      <c r="S186" s="716"/>
      <c r="T186" s="716"/>
      <c r="U186" s="716"/>
      <c r="V186" s="716">
        <v>2</v>
      </c>
      <c r="W186" s="716"/>
      <c r="X186" s="716"/>
      <c r="Y186" s="716"/>
      <c r="Z186" s="716"/>
      <c r="AA186" s="716"/>
      <c r="AB186" s="716"/>
      <c r="AC186" s="716"/>
      <c r="AD186" s="716"/>
      <c r="AE186" s="716"/>
      <c r="AF186" s="716"/>
      <c r="AG186" s="886"/>
      <c r="AH186" s="716"/>
      <c r="AI186" s="898"/>
      <c r="AJ186" s="908"/>
      <c r="AK186" s="922">
        <v>1</v>
      </c>
      <c r="AL186" s="716"/>
      <c r="AM186" s="716"/>
      <c r="AN186" s="716"/>
      <c r="AO186" s="930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6"/>
      <c r="BL186" s="716"/>
      <c r="BM186" s="716"/>
      <c r="BN186" s="716"/>
      <c r="BO186" s="716"/>
      <c r="BP186" s="716"/>
      <c r="BQ186" s="716"/>
      <c r="BR186" s="716">
        <v>1</v>
      </c>
      <c r="BS186" s="716"/>
      <c r="BT186" s="716"/>
      <c r="BU186" s="716"/>
      <c r="BV186" s="716"/>
      <c r="BW186" s="716"/>
      <c r="BX186" s="716"/>
      <c r="BY186" s="716"/>
      <c r="BZ186" s="716"/>
      <c r="CA186" s="716"/>
      <c r="CB186" s="716"/>
      <c r="CC186" s="716"/>
      <c r="CD186" s="716"/>
      <c r="CE186" s="716">
        <v>6</v>
      </c>
      <c r="CF186" s="716"/>
      <c r="CG186" s="716">
        <v>6</v>
      </c>
      <c r="CH186" s="716"/>
      <c r="CI186" s="716"/>
      <c r="CJ186" s="716"/>
      <c r="CK186" s="716"/>
      <c r="CL186" s="716"/>
      <c r="CM186" s="716"/>
      <c r="CN186" s="716"/>
      <c r="CO186" s="716"/>
      <c r="CP186" s="716"/>
      <c r="CQ186" s="716"/>
      <c r="CR186" s="716">
        <v>1</v>
      </c>
      <c r="CS186" s="716"/>
      <c r="CT186" s="716"/>
      <c r="CU186" s="716"/>
      <c r="CV186" s="716"/>
      <c r="CW186" s="716"/>
      <c r="CX186" s="716"/>
      <c r="CY186" s="716"/>
      <c r="CZ186" s="716"/>
      <c r="DA186" s="716"/>
      <c r="DB186" s="716"/>
      <c r="DC186" s="716"/>
      <c r="DD186" s="716"/>
      <c r="DE186" s="716"/>
      <c r="DF186" s="716"/>
      <c r="DG186" s="716"/>
      <c r="DH186" s="716"/>
      <c r="DI186" s="716"/>
      <c r="DJ186" s="716"/>
      <c r="DK186" s="716"/>
      <c r="DL186" s="454"/>
      <c r="DM186" s="454"/>
      <c r="DN186" s="454"/>
      <c r="DO186" s="454"/>
      <c r="DP186" s="454"/>
      <c r="DQ186" s="454"/>
      <c r="DR186" s="454"/>
      <c r="DS186" s="454"/>
      <c r="DT186" s="454"/>
      <c r="DU186" s="454"/>
      <c r="DV186" s="454"/>
      <c r="DW186" s="454"/>
      <c r="DX186" s="454"/>
      <c r="DY186" s="454"/>
      <c r="DZ186" s="454"/>
      <c r="EA186" s="454"/>
      <c r="EB186" s="454"/>
      <c r="EC186" s="454"/>
      <c r="ED186" s="454"/>
      <c r="EE186" s="454"/>
      <c r="EF186" s="454"/>
      <c r="EG186" s="454"/>
      <c r="EH186" s="454"/>
      <c r="EI186" s="454"/>
      <c r="EJ186" s="454"/>
      <c r="EK186" s="454"/>
      <c r="EL186" s="454"/>
      <c r="EM186" s="454"/>
      <c r="EN186" s="454"/>
      <c r="EO186" s="454"/>
      <c r="EP186" s="454"/>
      <c r="EQ186" s="454"/>
      <c r="ER186" s="454"/>
      <c r="ES186" s="454"/>
      <c r="ET186" s="454"/>
      <c r="EU186" s="454"/>
      <c r="EV186" s="454"/>
      <c r="EW186" s="454"/>
      <c r="EX186" s="454"/>
      <c r="EY186" s="454"/>
      <c r="EZ186" s="454"/>
      <c r="FA186" s="454"/>
      <c r="FB186" s="454"/>
      <c r="FC186" s="454"/>
      <c r="FD186" s="454"/>
      <c r="FE186" s="454"/>
      <c r="FF186" s="454"/>
    </row>
    <row r="187" spans="1:162" s="56" customFormat="1">
      <c r="A187" s="54"/>
      <c r="B187" s="689"/>
      <c r="C187" s="714" t="s">
        <v>2999</v>
      </c>
      <c r="D187" s="454">
        <v>35</v>
      </c>
      <c r="E187" s="62">
        <f t="shared" si="91"/>
        <v>105</v>
      </c>
      <c r="F187" s="62"/>
      <c r="G187" s="62"/>
      <c r="H187" s="62"/>
      <c r="I187" s="62"/>
      <c r="J187" s="62"/>
      <c r="K187" s="62"/>
      <c r="L187" s="62">
        <f t="shared" si="92"/>
        <v>35</v>
      </c>
      <c r="M187" s="454"/>
      <c r="N187" s="454"/>
      <c r="O187" s="454"/>
      <c r="P187" s="454"/>
      <c r="Q187" s="454"/>
      <c r="R187" s="715" t="s">
        <v>2990</v>
      </c>
      <c r="S187" s="716"/>
      <c r="T187" s="716"/>
      <c r="U187" s="716"/>
      <c r="V187" s="716">
        <v>2</v>
      </c>
      <c r="W187" s="716"/>
      <c r="X187" s="716"/>
      <c r="Y187" s="716"/>
      <c r="Z187" s="716"/>
      <c r="AA187" s="716"/>
      <c r="AB187" s="716"/>
      <c r="AC187" s="716"/>
      <c r="AD187" s="716"/>
      <c r="AE187" s="716"/>
      <c r="AF187" s="716"/>
      <c r="AG187" s="886"/>
      <c r="AH187" s="716"/>
      <c r="AI187" s="898"/>
      <c r="AJ187" s="908"/>
      <c r="AK187" s="922">
        <v>1</v>
      </c>
      <c r="AL187" s="716"/>
      <c r="AM187" s="716"/>
      <c r="AN187" s="716"/>
      <c r="AO187" s="930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6"/>
      <c r="BL187" s="716"/>
      <c r="BM187" s="716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>
        <v>1</v>
      </c>
      <c r="BX187" s="716"/>
      <c r="BY187" s="716"/>
      <c r="BZ187" s="716"/>
      <c r="CA187" s="716"/>
      <c r="CB187" s="716"/>
      <c r="CC187" s="716"/>
      <c r="CD187" s="716"/>
      <c r="CE187" s="716"/>
      <c r="CF187" s="716"/>
      <c r="CG187" s="716"/>
      <c r="CH187" s="716">
        <v>3</v>
      </c>
      <c r="CI187" s="716"/>
      <c r="CJ187" s="716"/>
      <c r="CK187" s="716"/>
      <c r="CL187" s="716"/>
      <c r="CM187" s="716"/>
      <c r="CN187" s="716"/>
      <c r="CO187" s="716"/>
      <c r="CP187" s="716"/>
      <c r="CQ187" s="716"/>
      <c r="CR187" s="716"/>
      <c r="CS187" s="716">
        <v>1</v>
      </c>
      <c r="CT187" s="716"/>
      <c r="CU187" s="716"/>
      <c r="CV187" s="716"/>
      <c r="CW187" s="716"/>
      <c r="CX187" s="716"/>
      <c r="CY187" s="716"/>
      <c r="CZ187" s="716"/>
      <c r="DA187" s="716"/>
      <c r="DB187" s="716"/>
      <c r="DC187" s="716"/>
      <c r="DD187" s="716"/>
      <c r="DE187" s="716"/>
      <c r="DF187" s="716"/>
      <c r="DG187" s="716"/>
      <c r="DH187" s="716"/>
      <c r="DI187" s="716"/>
      <c r="DJ187" s="716"/>
      <c r="DK187" s="716"/>
      <c r="DL187" s="454"/>
      <c r="DM187" s="454"/>
      <c r="DN187" s="454"/>
      <c r="DO187" s="454"/>
      <c r="DP187" s="454"/>
      <c r="DQ187" s="454"/>
      <c r="DR187" s="454"/>
      <c r="DS187" s="454"/>
      <c r="DT187" s="454"/>
      <c r="DU187" s="454"/>
      <c r="DV187" s="454"/>
      <c r="DW187" s="454"/>
      <c r="DX187" s="454"/>
      <c r="DY187" s="454"/>
      <c r="DZ187" s="454"/>
      <c r="EA187" s="454"/>
      <c r="EB187" s="454"/>
      <c r="EC187" s="454"/>
      <c r="ED187" s="454"/>
      <c r="EE187" s="454"/>
      <c r="EF187" s="454"/>
      <c r="EG187" s="454"/>
      <c r="EH187" s="454"/>
      <c r="EI187" s="454"/>
      <c r="EJ187" s="454"/>
      <c r="EK187" s="454"/>
      <c r="EL187" s="454"/>
      <c r="EM187" s="454"/>
      <c r="EN187" s="454"/>
      <c r="EO187" s="454"/>
      <c r="EP187" s="454"/>
      <c r="EQ187" s="454"/>
      <c r="ER187" s="454"/>
      <c r="ES187" s="454"/>
      <c r="ET187" s="454"/>
      <c r="EU187" s="454"/>
      <c r="EV187" s="454"/>
      <c r="EW187" s="454"/>
      <c r="EX187" s="454"/>
      <c r="EY187" s="454"/>
      <c r="EZ187" s="454"/>
      <c r="FA187" s="454"/>
      <c r="FB187" s="454"/>
      <c r="FC187" s="454"/>
      <c r="FD187" s="454"/>
      <c r="FE187" s="454"/>
      <c r="FF187" s="454"/>
    </row>
    <row r="188" spans="1:162" s="56" customFormat="1">
      <c r="A188" s="54"/>
      <c r="B188" s="55"/>
      <c r="C188" s="491"/>
      <c r="D188" s="62"/>
      <c r="E188" s="62">
        <f t="shared" si="91"/>
        <v>0</v>
      </c>
      <c r="F188" s="62"/>
      <c r="G188" s="62"/>
      <c r="H188" s="62"/>
      <c r="I188" s="62"/>
      <c r="J188" s="62"/>
      <c r="K188" s="62"/>
      <c r="L188" s="62">
        <f t="shared" si="92"/>
        <v>0</v>
      </c>
      <c r="M188" s="62"/>
      <c r="N188" s="62"/>
      <c r="O188" s="62"/>
      <c r="P188" s="62"/>
      <c r="Q188" s="62"/>
      <c r="R188" s="173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883"/>
      <c r="AH188" s="174"/>
      <c r="AI188" s="492"/>
      <c r="AJ188" s="905"/>
      <c r="AK188" s="919"/>
      <c r="AL188" s="174"/>
      <c r="AM188" s="174"/>
      <c r="AN188" s="174"/>
      <c r="AO188" s="928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62"/>
      <c r="DM188" s="62"/>
      <c r="DN188" s="62"/>
      <c r="DO188" s="62"/>
      <c r="DP188" s="62"/>
      <c r="DQ188" s="62"/>
      <c r="DR188" s="62"/>
      <c r="DS188" s="62"/>
      <c r="DT188" s="62"/>
      <c r="DU188" s="62"/>
      <c r="DV188" s="62"/>
      <c r="DW188" s="62"/>
      <c r="DX188" s="62"/>
      <c r="DY188" s="62"/>
      <c r="DZ188" s="62"/>
      <c r="EA188" s="62"/>
      <c r="EB188" s="62"/>
      <c r="EC188" s="62"/>
      <c r="ED188" s="62"/>
      <c r="EE188" s="454"/>
      <c r="EF188" s="62"/>
      <c r="EG188" s="62"/>
      <c r="EH188" s="62"/>
      <c r="EI188" s="62"/>
      <c r="EJ188" s="62"/>
      <c r="EK188" s="62"/>
      <c r="EL188" s="62"/>
      <c r="EM188" s="62"/>
      <c r="EN188" s="62"/>
      <c r="EO188" s="62"/>
      <c r="EP188" s="62"/>
      <c r="EQ188" s="62"/>
      <c r="ER188" s="62"/>
      <c r="ES188" s="62"/>
      <c r="ET188" s="62"/>
      <c r="EU188" s="62"/>
      <c r="EV188" s="62"/>
      <c r="EW188" s="62"/>
      <c r="EX188" s="62"/>
      <c r="EY188" s="62"/>
      <c r="EZ188" s="62"/>
      <c r="FA188" s="62"/>
      <c r="FB188" s="62"/>
      <c r="FC188" s="62"/>
      <c r="FD188" s="62"/>
      <c r="FE188" s="62"/>
      <c r="FF188" s="62"/>
    </row>
    <row r="189" spans="1:162">
      <c r="A189" s="487">
        <f>MATCH(C189,$C$5:$C$361,0)</f>
        <v>185</v>
      </c>
      <c r="C189" s="14" t="s">
        <v>3021</v>
      </c>
      <c r="D189" s="14">
        <f t="shared" ref="D189:Q189" si="93">SUM(D177:D188)</f>
        <v>354</v>
      </c>
      <c r="E189" s="14">
        <f t="shared" si="93"/>
        <v>1062</v>
      </c>
      <c r="F189" s="14">
        <f t="shared" si="93"/>
        <v>0</v>
      </c>
      <c r="G189" s="14">
        <f t="shared" si="93"/>
        <v>0</v>
      </c>
      <c r="H189" s="14">
        <f t="shared" si="93"/>
        <v>0</v>
      </c>
      <c r="I189" s="14">
        <f t="shared" si="93"/>
        <v>0</v>
      </c>
      <c r="J189" s="14">
        <f t="shared" si="93"/>
        <v>0</v>
      </c>
      <c r="K189" s="14">
        <f t="shared" si="93"/>
        <v>0</v>
      </c>
      <c r="L189" s="14">
        <f t="shared" si="93"/>
        <v>354</v>
      </c>
      <c r="M189" s="14">
        <f t="shared" si="93"/>
        <v>0</v>
      </c>
      <c r="N189" s="14">
        <f t="shared" si="93"/>
        <v>0</v>
      </c>
      <c r="O189" s="14">
        <f t="shared" si="93"/>
        <v>0</v>
      </c>
      <c r="P189" s="14">
        <f t="shared" si="93"/>
        <v>0</v>
      </c>
      <c r="Q189" s="14">
        <f t="shared" si="93"/>
        <v>0</v>
      </c>
      <c r="R189" s="14"/>
      <c r="S189" s="175">
        <f t="shared" ref="S189:AX189" si="94">SUM(S177:S188)</f>
        <v>0</v>
      </c>
      <c r="T189" s="175">
        <f t="shared" si="94"/>
        <v>0</v>
      </c>
      <c r="U189" s="175">
        <f t="shared" si="94"/>
        <v>0</v>
      </c>
      <c r="V189" s="175">
        <f t="shared" si="94"/>
        <v>18</v>
      </c>
      <c r="W189" s="175">
        <f t="shared" si="94"/>
        <v>0</v>
      </c>
      <c r="X189" s="175">
        <f t="shared" si="94"/>
        <v>0</v>
      </c>
      <c r="Y189" s="175">
        <f t="shared" si="94"/>
        <v>0</v>
      </c>
      <c r="Z189" s="175">
        <f t="shared" si="94"/>
        <v>0</v>
      </c>
      <c r="AA189" s="175">
        <f t="shared" si="94"/>
        <v>0</v>
      </c>
      <c r="AB189" s="175">
        <f t="shared" si="94"/>
        <v>0</v>
      </c>
      <c r="AC189" s="175">
        <f t="shared" si="94"/>
        <v>0</v>
      </c>
      <c r="AD189" s="175">
        <f t="shared" si="94"/>
        <v>1</v>
      </c>
      <c r="AE189" s="175">
        <f t="shared" si="94"/>
        <v>0</v>
      </c>
      <c r="AF189" s="175">
        <f t="shared" si="94"/>
        <v>3</v>
      </c>
      <c r="AG189" s="884">
        <f t="shared" si="94"/>
        <v>0</v>
      </c>
      <c r="AH189" s="175">
        <f t="shared" si="94"/>
        <v>0</v>
      </c>
      <c r="AI189" s="178">
        <f t="shared" si="94"/>
        <v>0</v>
      </c>
      <c r="AJ189" s="906">
        <f t="shared" si="94"/>
        <v>0</v>
      </c>
      <c r="AK189" s="920">
        <f t="shared" si="94"/>
        <v>7</v>
      </c>
      <c r="AL189" s="175">
        <f t="shared" si="94"/>
        <v>0</v>
      </c>
      <c r="AM189" s="175">
        <f t="shared" si="94"/>
        <v>0</v>
      </c>
      <c r="AN189" s="175">
        <f t="shared" si="94"/>
        <v>0</v>
      </c>
      <c r="AO189" s="929">
        <f t="shared" si="94"/>
        <v>0</v>
      </c>
      <c r="AP189" s="175">
        <f t="shared" si="94"/>
        <v>0</v>
      </c>
      <c r="AQ189" s="175">
        <f t="shared" si="94"/>
        <v>0</v>
      </c>
      <c r="AR189" s="175">
        <f t="shared" si="94"/>
        <v>0</v>
      </c>
      <c r="AS189" s="175">
        <f t="shared" si="94"/>
        <v>0</v>
      </c>
      <c r="AT189" s="175">
        <f t="shared" si="94"/>
        <v>1</v>
      </c>
      <c r="AU189" s="175">
        <f t="shared" si="94"/>
        <v>0</v>
      </c>
      <c r="AV189" s="175">
        <f t="shared" si="94"/>
        <v>0</v>
      </c>
      <c r="AW189" s="175">
        <f t="shared" si="94"/>
        <v>0</v>
      </c>
      <c r="AX189" s="175">
        <f t="shared" si="94"/>
        <v>0</v>
      </c>
      <c r="AY189" s="175">
        <f t="shared" ref="AY189:CD189" si="95">SUM(AY177:AY188)</f>
        <v>0</v>
      </c>
      <c r="AZ189" s="175">
        <f t="shared" si="95"/>
        <v>0</v>
      </c>
      <c r="BA189" s="175">
        <f t="shared" si="95"/>
        <v>1</v>
      </c>
      <c r="BB189" s="175">
        <f t="shared" si="95"/>
        <v>0</v>
      </c>
      <c r="BC189" s="175">
        <f t="shared" si="95"/>
        <v>0</v>
      </c>
      <c r="BD189" s="175">
        <f t="shared" si="95"/>
        <v>0</v>
      </c>
      <c r="BE189" s="175">
        <f t="shared" si="95"/>
        <v>0</v>
      </c>
      <c r="BF189" s="175">
        <f t="shared" si="95"/>
        <v>2</v>
      </c>
      <c r="BG189" s="175">
        <f t="shared" si="95"/>
        <v>0</v>
      </c>
      <c r="BH189" s="175">
        <f t="shared" si="95"/>
        <v>0</v>
      </c>
      <c r="BI189" s="175">
        <f t="shared" si="95"/>
        <v>1</v>
      </c>
      <c r="BJ189" s="175">
        <f t="shared" si="95"/>
        <v>0</v>
      </c>
      <c r="BK189" s="175">
        <f t="shared" si="95"/>
        <v>0</v>
      </c>
      <c r="BL189" s="175">
        <f t="shared" si="95"/>
        <v>0</v>
      </c>
      <c r="BM189" s="175">
        <f t="shared" si="95"/>
        <v>0</v>
      </c>
      <c r="BN189" s="175">
        <f t="shared" si="95"/>
        <v>0</v>
      </c>
      <c r="BO189" s="175">
        <f t="shared" si="95"/>
        <v>0</v>
      </c>
      <c r="BP189" s="175">
        <f t="shared" si="95"/>
        <v>0</v>
      </c>
      <c r="BQ189" s="175">
        <f t="shared" si="95"/>
        <v>4</v>
      </c>
      <c r="BR189" s="175">
        <f t="shared" si="95"/>
        <v>5</v>
      </c>
      <c r="BS189" s="175">
        <f t="shared" si="95"/>
        <v>0</v>
      </c>
      <c r="BT189" s="175">
        <f t="shared" si="95"/>
        <v>0</v>
      </c>
      <c r="BU189" s="175">
        <f t="shared" si="95"/>
        <v>0</v>
      </c>
      <c r="BV189" s="175">
        <f t="shared" si="95"/>
        <v>1</v>
      </c>
      <c r="BW189" s="175">
        <f t="shared" si="95"/>
        <v>2</v>
      </c>
      <c r="BX189" s="175">
        <f t="shared" si="95"/>
        <v>0</v>
      </c>
      <c r="BY189" s="175">
        <f t="shared" si="95"/>
        <v>0</v>
      </c>
      <c r="BZ189" s="175">
        <f t="shared" si="95"/>
        <v>0</v>
      </c>
      <c r="CA189" s="175">
        <f t="shared" si="95"/>
        <v>1</v>
      </c>
      <c r="CB189" s="175">
        <f t="shared" si="95"/>
        <v>1</v>
      </c>
      <c r="CC189" s="175">
        <f t="shared" si="95"/>
        <v>0</v>
      </c>
      <c r="CD189" s="175">
        <f t="shared" si="95"/>
        <v>0</v>
      </c>
      <c r="CE189" s="175">
        <f t="shared" ref="CE189:DJ189" si="96">SUM(CE177:CE188)</f>
        <v>42</v>
      </c>
      <c r="CF189" s="175">
        <f t="shared" si="96"/>
        <v>12</v>
      </c>
      <c r="CG189" s="175">
        <f t="shared" si="96"/>
        <v>30</v>
      </c>
      <c r="CH189" s="175">
        <f t="shared" si="96"/>
        <v>12</v>
      </c>
      <c r="CI189" s="175">
        <f t="shared" si="96"/>
        <v>0</v>
      </c>
      <c r="CJ189" s="175">
        <f t="shared" si="96"/>
        <v>0</v>
      </c>
      <c r="CK189" s="175">
        <f t="shared" si="96"/>
        <v>0</v>
      </c>
      <c r="CL189" s="175">
        <f t="shared" si="96"/>
        <v>0</v>
      </c>
      <c r="CM189" s="175">
        <f t="shared" si="96"/>
        <v>0</v>
      </c>
      <c r="CN189" s="175">
        <f t="shared" si="96"/>
        <v>0</v>
      </c>
      <c r="CO189" s="175">
        <f t="shared" si="96"/>
        <v>0</v>
      </c>
      <c r="CP189" s="175">
        <f t="shared" si="96"/>
        <v>0</v>
      </c>
      <c r="CQ189" s="175">
        <f t="shared" si="96"/>
        <v>4</v>
      </c>
      <c r="CR189" s="175">
        <f t="shared" si="96"/>
        <v>5</v>
      </c>
      <c r="CS189" s="175">
        <f t="shared" si="96"/>
        <v>4</v>
      </c>
      <c r="CT189" s="175">
        <f t="shared" si="96"/>
        <v>0</v>
      </c>
      <c r="CU189" s="175">
        <f t="shared" si="96"/>
        <v>0</v>
      </c>
      <c r="CV189" s="175">
        <f t="shared" si="96"/>
        <v>0</v>
      </c>
      <c r="CW189" s="175">
        <f t="shared" si="96"/>
        <v>0</v>
      </c>
      <c r="CX189" s="175">
        <f t="shared" si="96"/>
        <v>6</v>
      </c>
      <c r="CY189" s="175">
        <f t="shared" si="96"/>
        <v>6</v>
      </c>
      <c r="CZ189" s="175">
        <f t="shared" si="96"/>
        <v>6</v>
      </c>
      <c r="DA189" s="175">
        <f t="shared" si="96"/>
        <v>0</v>
      </c>
      <c r="DB189" s="175">
        <f t="shared" si="96"/>
        <v>0</v>
      </c>
      <c r="DC189" s="175">
        <f t="shared" si="96"/>
        <v>0</v>
      </c>
      <c r="DD189" s="175">
        <f t="shared" si="96"/>
        <v>2</v>
      </c>
      <c r="DE189" s="175">
        <f t="shared" si="96"/>
        <v>0</v>
      </c>
      <c r="DF189" s="175">
        <f t="shared" si="96"/>
        <v>0</v>
      </c>
      <c r="DG189" s="175">
        <f t="shared" si="96"/>
        <v>0</v>
      </c>
      <c r="DH189" s="175">
        <f t="shared" si="96"/>
        <v>0</v>
      </c>
      <c r="DI189" s="175">
        <f t="shared" si="96"/>
        <v>3</v>
      </c>
      <c r="DJ189" s="175">
        <f t="shared" si="96"/>
        <v>0</v>
      </c>
      <c r="DK189" s="175">
        <f t="shared" ref="DK189:ED189" si="97">SUM(DK177:DK188)</f>
        <v>3</v>
      </c>
      <c r="DL189" s="14">
        <f t="shared" si="97"/>
        <v>5.5</v>
      </c>
      <c r="DM189" s="14">
        <f t="shared" si="97"/>
        <v>0</v>
      </c>
      <c r="DN189" s="14">
        <f t="shared" si="97"/>
        <v>0</v>
      </c>
      <c r="DO189" s="14">
        <f t="shared" si="97"/>
        <v>0</v>
      </c>
      <c r="DP189" s="14">
        <f t="shared" si="97"/>
        <v>0</v>
      </c>
      <c r="DQ189" s="14">
        <f t="shared" si="97"/>
        <v>0</v>
      </c>
      <c r="DR189" s="14">
        <f t="shared" si="97"/>
        <v>0</v>
      </c>
      <c r="DS189" s="14">
        <f t="shared" si="97"/>
        <v>5.5</v>
      </c>
      <c r="DT189" s="14">
        <f t="shared" si="97"/>
        <v>13.5</v>
      </c>
      <c r="DU189" s="14">
        <f t="shared" si="97"/>
        <v>0</v>
      </c>
      <c r="DV189" s="14">
        <f t="shared" si="97"/>
        <v>0</v>
      </c>
      <c r="DW189" s="14">
        <f t="shared" si="97"/>
        <v>0</v>
      </c>
      <c r="DX189" s="14">
        <f t="shared" si="97"/>
        <v>0</v>
      </c>
      <c r="DY189" s="14">
        <f t="shared" si="97"/>
        <v>0</v>
      </c>
      <c r="DZ189" s="14">
        <f t="shared" si="97"/>
        <v>0</v>
      </c>
      <c r="EA189" s="14">
        <f t="shared" si="97"/>
        <v>0</v>
      </c>
      <c r="EB189" s="14">
        <f t="shared" si="97"/>
        <v>0</v>
      </c>
      <c r="EC189" s="14">
        <f t="shared" si="97"/>
        <v>0</v>
      </c>
      <c r="ED189" s="14">
        <f t="shared" si="97"/>
        <v>0</v>
      </c>
      <c r="EE189" s="508"/>
      <c r="EF189" s="14">
        <f t="shared" ref="EF189:FE189" si="98">SUM(EF177:EF188)</f>
        <v>0</v>
      </c>
      <c r="EG189" s="14">
        <f t="shared" si="98"/>
        <v>0</v>
      </c>
      <c r="EH189" s="14">
        <f t="shared" si="98"/>
        <v>0</v>
      </c>
      <c r="EI189" s="14">
        <f t="shared" si="98"/>
        <v>0</v>
      </c>
      <c r="EJ189" s="14">
        <f t="shared" si="98"/>
        <v>0</v>
      </c>
      <c r="EK189" s="14">
        <f t="shared" si="98"/>
        <v>0</v>
      </c>
      <c r="EL189" s="14">
        <f t="shared" si="98"/>
        <v>0</v>
      </c>
      <c r="EM189" s="14">
        <f t="shared" si="98"/>
        <v>0</v>
      </c>
      <c r="EN189" s="14">
        <f t="shared" si="98"/>
        <v>0</v>
      </c>
      <c r="EO189" s="14">
        <f t="shared" si="98"/>
        <v>0</v>
      </c>
      <c r="EP189" s="14">
        <f t="shared" si="98"/>
        <v>0</v>
      </c>
      <c r="EQ189" s="14">
        <f t="shared" si="98"/>
        <v>0</v>
      </c>
      <c r="ER189" s="14">
        <f t="shared" si="98"/>
        <v>0</v>
      </c>
      <c r="ES189" s="14">
        <f t="shared" si="98"/>
        <v>0</v>
      </c>
      <c r="ET189" s="14">
        <f t="shared" si="98"/>
        <v>0</v>
      </c>
      <c r="EU189" s="14">
        <f t="shared" si="98"/>
        <v>0</v>
      </c>
      <c r="EV189" s="14">
        <f t="shared" si="98"/>
        <v>0</v>
      </c>
      <c r="EW189" s="14">
        <f t="shared" si="98"/>
        <v>0</v>
      </c>
      <c r="EX189" s="14">
        <f t="shared" si="98"/>
        <v>0</v>
      </c>
      <c r="EY189" s="14">
        <f t="shared" si="98"/>
        <v>0</v>
      </c>
      <c r="EZ189" s="14">
        <f t="shared" si="98"/>
        <v>0</v>
      </c>
      <c r="FA189" s="14">
        <f t="shared" si="98"/>
        <v>0</v>
      </c>
      <c r="FB189" s="14">
        <f t="shared" si="98"/>
        <v>0</v>
      </c>
      <c r="FC189" s="14">
        <f t="shared" si="98"/>
        <v>0</v>
      </c>
      <c r="FD189" s="14">
        <f t="shared" si="98"/>
        <v>0</v>
      </c>
      <c r="FE189" s="14">
        <f t="shared" si="98"/>
        <v>0</v>
      </c>
      <c r="FF189" s="14"/>
    </row>
    <row r="190" spans="1:162">
      <c r="A190" s="54"/>
      <c r="B190" s="55" t="s">
        <v>3062</v>
      </c>
      <c r="C190" s="11" t="s">
        <v>3601</v>
      </c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885"/>
      <c r="AH190" s="176"/>
      <c r="AI190" s="897"/>
      <c r="AJ190" s="907"/>
      <c r="AK190" s="921"/>
      <c r="AL190" s="176"/>
      <c r="AM190" s="176"/>
      <c r="AN190" s="176"/>
      <c r="AO190" s="176"/>
      <c r="AP190" s="176"/>
      <c r="AQ190" s="176"/>
      <c r="AR190" s="176"/>
      <c r="AS190" s="176"/>
      <c r="AT190" s="176"/>
      <c r="AU190" s="176"/>
      <c r="AV190" s="176"/>
      <c r="AW190" s="176"/>
      <c r="AX190" s="176"/>
      <c r="AY190" s="176"/>
      <c r="AZ190" s="176"/>
      <c r="BA190" s="176"/>
      <c r="BB190" s="176"/>
      <c r="BC190" s="176"/>
      <c r="BD190" s="176"/>
      <c r="BE190" s="176"/>
      <c r="BF190" s="176"/>
      <c r="BG190" s="176"/>
      <c r="BH190" s="176"/>
      <c r="BI190" s="176"/>
      <c r="BJ190" s="176"/>
      <c r="BK190" s="176"/>
      <c r="BL190" s="176"/>
      <c r="BM190" s="176"/>
      <c r="BN190" s="176"/>
      <c r="BO190" s="176"/>
      <c r="BP190" s="176"/>
      <c r="BQ190" s="176"/>
      <c r="BR190" s="176"/>
      <c r="BS190" s="176"/>
      <c r="BT190" s="176"/>
      <c r="BU190" s="176"/>
      <c r="BV190" s="176"/>
      <c r="BW190" s="176"/>
      <c r="BX190" s="176"/>
      <c r="BY190" s="176"/>
      <c r="BZ190" s="176"/>
      <c r="CA190" s="176"/>
      <c r="CB190" s="176"/>
      <c r="CC190" s="176"/>
      <c r="CD190" s="176"/>
      <c r="CE190" s="176"/>
      <c r="CF190" s="176"/>
      <c r="CG190" s="176"/>
      <c r="CH190" s="176"/>
      <c r="CI190" s="176"/>
      <c r="CJ190" s="176"/>
      <c r="CK190" s="176"/>
      <c r="CL190" s="176"/>
      <c r="CM190" s="176"/>
      <c r="CN190" s="176"/>
      <c r="CO190" s="176"/>
      <c r="CP190" s="176"/>
      <c r="CQ190" s="176"/>
      <c r="CR190" s="176"/>
      <c r="CS190" s="176"/>
      <c r="CT190" s="176"/>
      <c r="CU190" s="176"/>
      <c r="CV190" s="176"/>
      <c r="CW190" s="176"/>
      <c r="CX190" s="176"/>
      <c r="CY190" s="176"/>
      <c r="CZ190" s="176"/>
      <c r="DA190" s="176"/>
      <c r="DB190" s="176"/>
      <c r="DC190" s="176"/>
      <c r="DD190" s="176"/>
      <c r="DE190" s="176"/>
      <c r="DF190" s="176"/>
      <c r="DG190" s="176"/>
      <c r="DH190" s="176"/>
      <c r="DI190" s="176"/>
      <c r="DJ190" s="176"/>
      <c r="DK190" s="176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503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3"/>
    </row>
    <row r="191" spans="1:162" s="56" customFormat="1">
      <c r="A191" s="54"/>
      <c r="B191" s="689"/>
      <c r="C191" s="491" t="s">
        <v>3731</v>
      </c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173" t="s">
        <v>3005</v>
      </c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883"/>
      <c r="AH191" s="174"/>
      <c r="AI191" s="492"/>
      <c r="AJ191" s="905"/>
      <c r="AK191" s="919"/>
      <c r="AL191" s="174"/>
      <c r="AM191" s="174"/>
      <c r="AN191" s="174"/>
      <c r="AO191" s="928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  <c r="AZ191" s="174"/>
      <c r="BA191" s="174"/>
      <c r="BB191" s="174"/>
      <c r="BC191" s="174"/>
      <c r="BD191" s="174"/>
      <c r="BE191" s="174"/>
      <c r="BF191" s="174"/>
      <c r="BG191" s="174"/>
      <c r="BH191" s="174"/>
      <c r="BI191" s="174"/>
      <c r="BJ191" s="174"/>
      <c r="BK191" s="174"/>
      <c r="BL191" s="174"/>
      <c r="BM191" s="174"/>
      <c r="BN191" s="174"/>
      <c r="BO191" s="174"/>
      <c r="BP191" s="174"/>
      <c r="BQ191" s="174"/>
      <c r="BR191" s="174"/>
      <c r="BS191" s="174"/>
      <c r="BT191" s="174"/>
      <c r="BU191" s="174"/>
      <c r="BV191" s="174">
        <v>1</v>
      </c>
      <c r="BW191" s="174"/>
      <c r="BX191" s="174"/>
      <c r="BY191" s="174">
        <v>1</v>
      </c>
      <c r="BZ191" s="174"/>
      <c r="CA191" s="174"/>
      <c r="CB191" s="174"/>
      <c r="CC191" s="174"/>
      <c r="CD191" s="174"/>
      <c r="CE191" s="462"/>
      <c r="CF191" s="174"/>
      <c r="CG191" s="174">
        <v>6</v>
      </c>
      <c r="CH191" s="174">
        <v>3</v>
      </c>
      <c r="CI191" s="174"/>
      <c r="CJ191" s="174"/>
      <c r="CK191" s="174"/>
      <c r="CL191" s="174"/>
      <c r="CM191" s="174"/>
      <c r="CN191" s="174"/>
      <c r="CO191" s="174"/>
      <c r="CP191" s="174"/>
      <c r="CQ191" s="174"/>
      <c r="CR191" s="174"/>
      <c r="CS191" s="174">
        <v>1</v>
      </c>
      <c r="CT191" s="174"/>
      <c r="CU191" s="174"/>
      <c r="CV191" s="174"/>
      <c r="CW191" s="174"/>
      <c r="CX191" s="174">
        <v>3</v>
      </c>
      <c r="CY191" s="174">
        <v>3</v>
      </c>
      <c r="CZ191" s="174">
        <v>3</v>
      </c>
      <c r="DA191" s="174"/>
      <c r="DB191" s="174"/>
      <c r="DC191" s="174"/>
      <c r="DD191" s="174">
        <v>2</v>
      </c>
      <c r="DE191" s="174"/>
      <c r="DF191" s="174"/>
      <c r="DG191" s="174"/>
      <c r="DH191" s="174"/>
      <c r="DI191" s="174">
        <v>3</v>
      </c>
      <c r="DJ191" s="174"/>
      <c r="DK191" s="174"/>
      <c r="DL191" s="62">
        <v>1.5</v>
      </c>
      <c r="DM191" s="62"/>
      <c r="DN191" s="62"/>
      <c r="DO191" s="62"/>
      <c r="DP191" s="62"/>
      <c r="DQ191" s="62"/>
      <c r="DR191" s="62"/>
      <c r="DS191" s="62">
        <v>1.5</v>
      </c>
      <c r="DT191" s="62">
        <f>1.5*3+3</f>
        <v>7.5</v>
      </c>
      <c r="DU191" s="62"/>
      <c r="DV191" s="62"/>
      <c r="DW191" s="62"/>
      <c r="DX191" s="62"/>
      <c r="DY191" s="62"/>
      <c r="DZ191" s="62"/>
      <c r="EA191" s="62"/>
      <c r="EB191" s="62"/>
      <c r="EC191" s="62"/>
      <c r="ED191" s="62"/>
      <c r="EE191" s="454"/>
      <c r="EF191" s="62"/>
      <c r="EG191" s="62"/>
      <c r="EH191" s="62"/>
      <c r="EI191" s="62"/>
      <c r="EJ191" s="62"/>
      <c r="EK191" s="62"/>
      <c r="EL191" s="62"/>
      <c r="EM191" s="62"/>
      <c r="EN191" s="62"/>
      <c r="EO191" s="62"/>
      <c r="EP191" s="62"/>
      <c r="EQ191" s="62"/>
      <c r="ER191" s="62"/>
      <c r="ES191" s="62"/>
      <c r="ET191" s="62"/>
      <c r="EU191" s="62"/>
      <c r="EV191" s="62"/>
      <c r="EW191" s="62"/>
      <c r="EX191" s="62"/>
      <c r="EY191" s="62"/>
      <c r="EZ191" s="62"/>
      <c r="FA191" s="62"/>
      <c r="FB191" s="62"/>
      <c r="FC191" s="62"/>
      <c r="FD191" s="62"/>
      <c r="FE191" s="62"/>
      <c r="FF191" s="62"/>
    </row>
    <row r="192" spans="1:162" s="56" customFormat="1">
      <c r="A192" s="54"/>
      <c r="B192" s="689"/>
      <c r="C192" s="714" t="s">
        <v>3006</v>
      </c>
      <c r="D192" s="454">
        <v>15</v>
      </c>
      <c r="E192" s="454">
        <f>D192*3</f>
        <v>45</v>
      </c>
      <c r="F192" s="454"/>
      <c r="G192" s="454"/>
      <c r="H192" s="454"/>
      <c r="I192" s="454"/>
      <c r="J192" s="454"/>
      <c r="K192" s="454"/>
      <c r="L192" s="454">
        <f>D192</f>
        <v>15</v>
      </c>
      <c r="M192" s="454"/>
      <c r="N192" s="454"/>
      <c r="O192" s="454"/>
      <c r="P192" s="454"/>
      <c r="Q192" s="454"/>
      <c r="R192" s="715" t="s">
        <v>2990</v>
      </c>
      <c r="S192" s="716"/>
      <c r="T192" s="716"/>
      <c r="U192" s="716"/>
      <c r="V192" s="716">
        <v>2</v>
      </c>
      <c r="W192" s="716"/>
      <c r="X192" s="716"/>
      <c r="Y192" s="716"/>
      <c r="Z192" s="716"/>
      <c r="AA192" s="716"/>
      <c r="AB192" s="716"/>
      <c r="AC192" s="716"/>
      <c r="AD192" s="716"/>
      <c r="AE192" s="716"/>
      <c r="AF192" s="716"/>
      <c r="AG192" s="886"/>
      <c r="AH192" s="716"/>
      <c r="AI192" s="898"/>
      <c r="AJ192" s="908">
        <v>1</v>
      </c>
      <c r="AK192" s="922"/>
      <c r="AL192" s="716"/>
      <c r="AM192" s="716"/>
      <c r="AN192" s="716"/>
      <c r="AO192" s="930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6"/>
      <c r="BL192" s="716"/>
      <c r="BM192" s="716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>
        <v>1</v>
      </c>
      <c r="BX192" s="716"/>
      <c r="BY192" s="716"/>
      <c r="BZ192" s="716"/>
      <c r="CA192" s="716"/>
      <c r="CB192" s="716"/>
      <c r="CC192" s="716"/>
      <c r="CD192" s="716"/>
      <c r="CE192" s="717"/>
      <c r="CF192" s="716"/>
      <c r="CG192" s="716"/>
      <c r="CH192" s="716">
        <v>3</v>
      </c>
      <c r="CI192" s="716"/>
      <c r="CJ192" s="716"/>
      <c r="CK192" s="716"/>
      <c r="CL192" s="716"/>
      <c r="CM192" s="716"/>
      <c r="CN192" s="716"/>
      <c r="CO192" s="716"/>
      <c r="CP192" s="716"/>
      <c r="CQ192" s="716"/>
      <c r="CR192" s="716"/>
      <c r="CS192" s="716">
        <v>1</v>
      </c>
      <c r="CT192" s="716"/>
      <c r="CU192" s="716"/>
      <c r="CV192" s="716"/>
      <c r="CW192" s="716"/>
      <c r="CX192" s="716"/>
      <c r="CY192" s="716"/>
      <c r="CZ192" s="716"/>
      <c r="DA192" s="716"/>
      <c r="DB192" s="716"/>
      <c r="DC192" s="716"/>
      <c r="DD192" s="716"/>
      <c r="DE192" s="716"/>
      <c r="DF192" s="716"/>
      <c r="DG192" s="716"/>
      <c r="DH192" s="716"/>
      <c r="DI192" s="716"/>
      <c r="DJ192" s="716"/>
      <c r="DK192" s="716"/>
      <c r="DL192" s="454"/>
      <c r="DM192" s="454"/>
      <c r="DN192" s="454"/>
      <c r="DO192" s="454"/>
      <c r="DP192" s="454"/>
      <c r="DQ192" s="454"/>
      <c r="DR192" s="454"/>
      <c r="DS192" s="454"/>
      <c r="DT192" s="454"/>
      <c r="DU192" s="454"/>
      <c r="DV192" s="454"/>
      <c r="DW192" s="454"/>
      <c r="DX192" s="454"/>
      <c r="DY192" s="454"/>
      <c r="DZ192" s="454"/>
      <c r="EA192" s="454"/>
      <c r="EB192" s="454"/>
      <c r="EC192" s="454"/>
      <c r="ED192" s="454"/>
      <c r="EE192" s="454"/>
      <c r="EF192" s="454"/>
      <c r="EG192" s="454"/>
      <c r="EH192" s="454"/>
      <c r="EI192" s="454"/>
      <c r="EJ192" s="454"/>
      <c r="EK192" s="454"/>
      <c r="EL192" s="454"/>
      <c r="EM192" s="454"/>
      <c r="EN192" s="454"/>
      <c r="EO192" s="454"/>
      <c r="EP192" s="454"/>
      <c r="EQ192" s="454"/>
      <c r="ER192" s="454"/>
      <c r="ES192" s="454"/>
      <c r="ET192" s="454"/>
      <c r="EU192" s="454"/>
      <c r="EV192" s="454"/>
      <c r="EW192" s="454"/>
      <c r="EX192" s="454"/>
      <c r="EY192" s="454"/>
      <c r="EZ192" s="454"/>
      <c r="FA192" s="454"/>
      <c r="FB192" s="454"/>
      <c r="FC192" s="454"/>
      <c r="FD192" s="454"/>
      <c r="FE192" s="454"/>
      <c r="FF192" s="454"/>
    </row>
    <row r="193" spans="1:162" s="56" customFormat="1" hidden="1">
      <c r="A193" s="54"/>
      <c r="B193" s="689"/>
      <c r="C193" s="714"/>
      <c r="D193" s="454"/>
      <c r="E193" s="454"/>
      <c r="F193" s="454"/>
      <c r="G193" s="454"/>
      <c r="H193" s="454"/>
      <c r="I193" s="454"/>
      <c r="J193" s="454"/>
      <c r="K193" s="454"/>
      <c r="L193" s="454"/>
      <c r="M193" s="454"/>
      <c r="N193" s="454"/>
      <c r="O193" s="454"/>
      <c r="P193" s="454"/>
      <c r="Q193" s="454"/>
      <c r="R193" s="715"/>
      <c r="S193" s="716"/>
      <c r="T193" s="716"/>
      <c r="U193" s="716"/>
      <c r="V193" s="716"/>
      <c r="W193" s="716"/>
      <c r="X193" s="716"/>
      <c r="Y193" s="716"/>
      <c r="Z193" s="716"/>
      <c r="AA193" s="716"/>
      <c r="AB193" s="716"/>
      <c r="AC193" s="716"/>
      <c r="AD193" s="716"/>
      <c r="AE193" s="716"/>
      <c r="AF193" s="716"/>
      <c r="AG193" s="886"/>
      <c r="AH193" s="716"/>
      <c r="AI193" s="898"/>
      <c r="AJ193" s="908"/>
      <c r="AK193" s="922"/>
      <c r="AL193" s="716"/>
      <c r="AM193" s="716"/>
      <c r="AN193" s="716"/>
      <c r="AO193" s="930"/>
      <c r="AP193" s="716"/>
      <c r="AQ193" s="716"/>
      <c r="AR193" s="716"/>
      <c r="AS193" s="716"/>
      <c r="AT193" s="716"/>
      <c r="AU193" s="716"/>
      <c r="AV193" s="716"/>
      <c r="AW193" s="716"/>
      <c r="AX193" s="716"/>
      <c r="AY193" s="716"/>
      <c r="AZ193" s="716"/>
      <c r="BA193" s="716"/>
      <c r="BB193" s="716"/>
      <c r="BC193" s="716"/>
      <c r="BD193" s="716"/>
      <c r="BE193" s="716"/>
      <c r="BF193" s="716"/>
      <c r="BG193" s="716"/>
      <c r="BH193" s="716"/>
      <c r="BI193" s="716"/>
      <c r="BJ193" s="716"/>
      <c r="BK193" s="716"/>
      <c r="BL193" s="716"/>
      <c r="BM193" s="716"/>
      <c r="BN193" s="716"/>
      <c r="BO193" s="716"/>
      <c r="BP193" s="716"/>
      <c r="BQ193" s="716"/>
      <c r="BR193" s="716"/>
      <c r="BS193" s="716"/>
      <c r="BT193" s="716"/>
      <c r="BU193" s="716"/>
      <c r="BV193" s="716"/>
      <c r="BW193" s="716"/>
      <c r="BX193" s="716"/>
      <c r="BY193" s="716"/>
      <c r="BZ193" s="716"/>
      <c r="CA193" s="716"/>
      <c r="CB193" s="716"/>
      <c r="CC193" s="716"/>
      <c r="CD193" s="716"/>
      <c r="CE193" s="717"/>
      <c r="CF193" s="716"/>
      <c r="CG193" s="716"/>
      <c r="CH193" s="716"/>
      <c r="CI193" s="716"/>
      <c r="CJ193" s="716"/>
      <c r="CK193" s="716"/>
      <c r="CL193" s="716"/>
      <c r="CM193" s="716"/>
      <c r="CN193" s="716"/>
      <c r="CO193" s="716"/>
      <c r="CP193" s="716"/>
      <c r="CQ193" s="716"/>
      <c r="CR193" s="716"/>
      <c r="CS193" s="716"/>
      <c r="CT193" s="716"/>
      <c r="CU193" s="716"/>
      <c r="CV193" s="716"/>
      <c r="CW193" s="716"/>
      <c r="CX193" s="716"/>
      <c r="CY193" s="716"/>
      <c r="CZ193" s="716"/>
      <c r="DA193" s="716"/>
      <c r="DB193" s="716"/>
      <c r="DC193" s="716"/>
      <c r="DD193" s="716"/>
      <c r="DE193" s="716"/>
      <c r="DF193" s="716"/>
      <c r="DG193" s="716"/>
      <c r="DH193" s="716"/>
      <c r="DI193" s="716"/>
      <c r="DJ193" s="716"/>
      <c r="DK193" s="716"/>
      <c r="DL193" s="454"/>
      <c r="DM193" s="454"/>
      <c r="DN193" s="454"/>
      <c r="DO193" s="454"/>
      <c r="DP193" s="454"/>
      <c r="DQ193" s="454"/>
      <c r="DR193" s="454"/>
      <c r="DS193" s="454"/>
      <c r="DT193" s="454"/>
      <c r="DU193" s="454"/>
      <c r="DV193" s="454"/>
      <c r="DW193" s="454"/>
      <c r="DX193" s="454"/>
      <c r="DY193" s="454"/>
      <c r="DZ193" s="454"/>
      <c r="EA193" s="454"/>
      <c r="EB193" s="454"/>
      <c r="EC193" s="454"/>
      <c r="ED193" s="454"/>
      <c r="EE193" s="454"/>
      <c r="EF193" s="454"/>
      <c r="EG193" s="454"/>
      <c r="EH193" s="454"/>
      <c r="EI193" s="454"/>
      <c r="EJ193" s="454"/>
      <c r="EK193" s="454"/>
      <c r="EL193" s="454"/>
      <c r="EM193" s="454"/>
      <c r="EN193" s="454"/>
      <c r="EO193" s="454"/>
      <c r="EP193" s="454"/>
      <c r="EQ193" s="454"/>
      <c r="ER193" s="454"/>
      <c r="ES193" s="454"/>
      <c r="ET193" s="454"/>
      <c r="EU193" s="454"/>
      <c r="EV193" s="454"/>
      <c r="EW193" s="454"/>
      <c r="EX193" s="454"/>
      <c r="EY193" s="454"/>
      <c r="EZ193" s="454"/>
      <c r="FA193" s="454"/>
      <c r="FB193" s="454"/>
      <c r="FC193" s="454"/>
      <c r="FD193" s="454"/>
      <c r="FE193" s="454"/>
      <c r="FF193" s="454"/>
    </row>
    <row r="194" spans="1:162" s="56" customFormat="1">
      <c r="A194" s="54"/>
      <c r="B194" s="55"/>
      <c r="C194" s="491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173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883"/>
      <c r="AH194" s="174"/>
      <c r="AI194" s="492"/>
      <c r="AJ194" s="905"/>
      <c r="AK194" s="919"/>
      <c r="AL194" s="174"/>
      <c r="AM194" s="174"/>
      <c r="AN194" s="174"/>
      <c r="AO194" s="928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  <c r="AZ194" s="174"/>
      <c r="BA194" s="174"/>
      <c r="BB194" s="174"/>
      <c r="BC194" s="174"/>
      <c r="BD194" s="174"/>
      <c r="BE194" s="174"/>
      <c r="BF194" s="174"/>
      <c r="BG194" s="174"/>
      <c r="BH194" s="174"/>
      <c r="BI194" s="174"/>
      <c r="BJ194" s="174"/>
      <c r="BK194" s="174"/>
      <c r="BL194" s="174"/>
      <c r="BM194" s="174"/>
      <c r="BN194" s="174"/>
      <c r="BO194" s="174"/>
      <c r="BP194" s="174"/>
      <c r="BQ194" s="174"/>
      <c r="BR194" s="174"/>
      <c r="BS194" s="174"/>
      <c r="BT194" s="174"/>
      <c r="BU194" s="174"/>
      <c r="BV194" s="174"/>
      <c r="BW194" s="174"/>
      <c r="BX194" s="174"/>
      <c r="BY194" s="174"/>
      <c r="BZ194" s="174"/>
      <c r="CA194" s="174"/>
      <c r="CB194" s="174"/>
      <c r="CC194" s="174"/>
      <c r="CD194" s="174"/>
      <c r="CE194" s="462"/>
      <c r="CF194" s="174"/>
      <c r="CG194" s="174"/>
      <c r="CH194" s="174"/>
      <c r="CI194" s="174"/>
      <c r="CJ194" s="174"/>
      <c r="CK194" s="174"/>
      <c r="CL194" s="174"/>
      <c r="CM194" s="174"/>
      <c r="CN194" s="174"/>
      <c r="CO194" s="174"/>
      <c r="CP194" s="174"/>
      <c r="CQ194" s="174"/>
      <c r="CR194" s="174"/>
      <c r="CS194" s="174"/>
      <c r="CT194" s="174"/>
      <c r="CU194" s="174"/>
      <c r="CV194" s="174"/>
      <c r="CW194" s="174"/>
      <c r="CX194" s="174"/>
      <c r="CY194" s="174"/>
      <c r="CZ194" s="174"/>
      <c r="DA194" s="174"/>
      <c r="DB194" s="174"/>
      <c r="DC194" s="174"/>
      <c r="DD194" s="174"/>
      <c r="DE194" s="174"/>
      <c r="DF194" s="174"/>
      <c r="DG194" s="174"/>
      <c r="DH194" s="174"/>
      <c r="DI194" s="174"/>
      <c r="DJ194" s="174"/>
      <c r="DK194" s="174"/>
      <c r="DL194" s="62"/>
      <c r="DM194" s="62"/>
      <c r="DN194" s="62"/>
      <c r="DO194" s="62"/>
      <c r="DP194" s="62"/>
      <c r="DQ194" s="62"/>
      <c r="DR194" s="62"/>
      <c r="DS194" s="62"/>
      <c r="DT194" s="62"/>
      <c r="DU194" s="62"/>
      <c r="DV194" s="62"/>
      <c r="DW194" s="62"/>
      <c r="DX194" s="62"/>
      <c r="DY194" s="62"/>
      <c r="DZ194" s="62"/>
      <c r="EA194" s="62"/>
      <c r="EB194" s="62"/>
      <c r="EC194" s="62"/>
      <c r="ED194" s="62"/>
      <c r="EE194" s="454"/>
      <c r="EF194" s="62"/>
      <c r="EG194" s="62"/>
      <c r="EH194" s="62"/>
      <c r="EI194" s="62"/>
      <c r="EJ194" s="62"/>
      <c r="EK194" s="62"/>
      <c r="EL194" s="62"/>
      <c r="EM194" s="62"/>
      <c r="EN194" s="62"/>
      <c r="EO194" s="62"/>
      <c r="EP194" s="62"/>
      <c r="EQ194" s="62"/>
      <c r="ER194" s="62"/>
      <c r="ES194" s="62"/>
      <c r="ET194" s="62"/>
      <c r="EU194" s="62"/>
      <c r="EV194" s="62"/>
      <c r="EW194" s="62"/>
      <c r="EX194" s="62"/>
      <c r="EY194" s="62"/>
      <c r="EZ194" s="62"/>
      <c r="FA194" s="62"/>
      <c r="FB194" s="62"/>
      <c r="FC194" s="62"/>
      <c r="FD194" s="62"/>
      <c r="FE194" s="62"/>
      <c r="FF194" s="62"/>
    </row>
    <row r="195" spans="1:162">
      <c r="A195" s="487">
        <f>MATCH(C195,$C$5:$C$361,0)</f>
        <v>191</v>
      </c>
      <c r="C195" s="14" t="s">
        <v>3024</v>
      </c>
      <c r="D195" s="14">
        <f>SUM(D191:D194)</f>
        <v>15</v>
      </c>
      <c r="E195" s="14">
        <f t="shared" ref="E195:O195" si="99">SUM(E191:E194)</f>
        <v>45</v>
      </c>
      <c r="F195" s="14">
        <f t="shared" si="99"/>
        <v>0</v>
      </c>
      <c r="G195" s="14">
        <f t="shared" si="99"/>
        <v>0</v>
      </c>
      <c r="H195" s="14">
        <f t="shared" si="99"/>
        <v>0</v>
      </c>
      <c r="I195" s="14">
        <f t="shared" si="99"/>
        <v>0</v>
      </c>
      <c r="J195" s="14">
        <f t="shared" si="99"/>
        <v>0</v>
      </c>
      <c r="K195" s="14">
        <f t="shared" si="99"/>
        <v>0</v>
      </c>
      <c r="L195" s="14">
        <f t="shared" si="99"/>
        <v>15</v>
      </c>
      <c r="M195" s="14">
        <f t="shared" si="99"/>
        <v>0</v>
      </c>
      <c r="N195" s="14">
        <f t="shared" si="99"/>
        <v>0</v>
      </c>
      <c r="O195" s="14">
        <f t="shared" si="99"/>
        <v>0</v>
      </c>
      <c r="P195" s="14">
        <f>SUM(P191:P194)</f>
        <v>0</v>
      </c>
      <c r="Q195" s="14">
        <f>SUM(Q191:Q194)</f>
        <v>0</v>
      </c>
      <c r="R195" s="14"/>
      <c r="S195" s="175">
        <f>SUM(S191:S194)</f>
        <v>0</v>
      </c>
      <c r="T195" s="175">
        <f t="shared" ref="T195:CE195" si="100">SUM(T191:T194)</f>
        <v>0</v>
      </c>
      <c r="U195" s="175">
        <f t="shared" si="100"/>
        <v>0</v>
      </c>
      <c r="V195" s="175">
        <f t="shared" si="100"/>
        <v>2</v>
      </c>
      <c r="W195" s="175">
        <f t="shared" si="100"/>
        <v>0</v>
      </c>
      <c r="X195" s="175">
        <f t="shared" si="100"/>
        <v>0</v>
      </c>
      <c r="Y195" s="175">
        <f t="shared" si="100"/>
        <v>0</v>
      </c>
      <c r="Z195" s="175">
        <f t="shared" si="100"/>
        <v>0</v>
      </c>
      <c r="AA195" s="175">
        <f t="shared" si="100"/>
        <v>0</v>
      </c>
      <c r="AB195" s="175">
        <f t="shared" si="100"/>
        <v>0</v>
      </c>
      <c r="AC195" s="175">
        <f t="shared" si="100"/>
        <v>0</v>
      </c>
      <c r="AD195" s="175">
        <f t="shared" si="100"/>
        <v>0</v>
      </c>
      <c r="AE195" s="175">
        <f t="shared" si="100"/>
        <v>0</v>
      </c>
      <c r="AF195" s="175">
        <f t="shared" si="100"/>
        <v>0</v>
      </c>
      <c r="AG195" s="884">
        <f t="shared" si="100"/>
        <v>0</v>
      </c>
      <c r="AH195" s="175">
        <f t="shared" si="100"/>
        <v>0</v>
      </c>
      <c r="AI195" s="178">
        <f t="shared" si="100"/>
        <v>0</v>
      </c>
      <c r="AJ195" s="906">
        <f t="shared" si="100"/>
        <v>1</v>
      </c>
      <c r="AK195" s="920">
        <f t="shared" si="100"/>
        <v>0</v>
      </c>
      <c r="AL195" s="175">
        <f t="shared" si="100"/>
        <v>0</v>
      </c>
      <c r="AM195" s="175">
        <f t="shared" si="100"/>
        <v>0</v>
      </c>
      <c r="AN195" s="175">
        <f t="shared" si="100"/>
        <v>0</v>
      </c>
      <c r="AO195" s="929">
        <f t="shared" si="100"/>
        <v>0</v>
      </c>
      <c r="AP195" s="175">
        <f t="shared" si="100"/>
        <v>0</v>
      </c>
      <c r="AQ195" s="175">
        <f t="shared" si="100"/>
        <v>0</v>
      </c>
      <c r="AR195" s="175">
        <f t="shared" si="100"/>
        <v>0</v>
      </c>
      <c r="AS195" s="175">
        <f t="shared" si="100"/>
        <v>0</v>
      </c>
      <c r="AT195" s="175">
        <f t="shared" si="100"/>
        <v>0</v>
      </c>
      <c r="AU195" s="175">
        <f t="shared" si="100"/>
        <v>0</v>
      </c>
      <c r="AV195" s="175">
        <f t="shared" si="100"/>
        <v>0</v>
      </c>
      <c r="AW195" s="175">
        <f t="shared" si="100"/>
        <v>0</v>
      </c>
      <c r="AX195" s="175">
        <f t="shared" si="100"/>
        <v>0</v>
      </c>
      <c r="AY195" s="175">
        <f t="shared" si="100"/>
        <v>0</v>
      </c>
      <c r="AZ195" s="175">
        <f t="shared" si="100"/>
        <v>0</v>
      </c>
      <c r="BA195" s="175">
        <f t="shared" si="100"/>
        <v>0</v>
      </c>
      <c r="BB195" s="175">
        <f t="shared" si="100"/>
        <v>0</v>
      </c>
      <c r="BC195" s="175">
        <f t="shared" si="100"/>
        <v>0</v>
      </c>
      <c r="BD195" s="175">
        <f t="shared" si="100"/>
        <v>0</v>
      </c>
      <c r="BE195" s="175">
        <f t="shared" si="100"/>
        <v>0</v>
      </c>
      <c r="BF195" s="175">
        <f t="shared" si="100"/>
        <v>0</v>
      </c>
      <c r="BG195" s="175">
        <f t="shared" si="100"/>
        <v>0</v>
      </c>
      <c r="BH195" s="175">
        <f t="shared" si="100"/>
        <v>0</v>
      </c>
      <c r="BI195" s="175">
        <f t="shared" si="100"/>
        <v>0</v>
      </c>
      <c r="BJ195" s="175">
        <f t="shared" si="100"/>
        <v>0</v>
      </c>
      <c r="BK195" s="175">
        <f t="shared" si="100"/>
        <v>0</v>
      </c>
      <c r="BL195" s="175">
        <f t="shared" si="100"/>
        <v>0</v>
      </c>
      <c r="BM195" s="175">
        <f t="shared" si="100"/>
        <v>0</v>
      </c>
      <c r="BN195" s="175">
        <f t="shared" si="100"/>
        <v>0</v>
      </c>
      <c r="BO195" s="175">
        <f t="shared" si="100"/>
        <v>0</v>
      </c>
      <c r="BP195" s="175">
        <f t="shared" si="100"/>
        <v>0</v>
      </c>
      <c r="BQ195" s="175">
        <f t="shared" si="100"/>
        <v>0</v>
      </c>
      <c r="BR195" s="175">
        <f t="shared" si="100"/>
        <v>0</v>
      </c>
      <c r="BS195" s="175">
        <f t="shared" si="100"/>
        <v>0</v>
      </c>
      <c r="BT195" s="175">
        <f t="shared" si="100"/>
        <v>0</v>
      </c>
      <c r="BU195" s="175">
        <f t="shared" si="100"/>
        <v>0</v>
      </c>
      <c r="BV195" s="175">
        <f t="shared" si="100"/>
        <v>1</v>
      </c>
      <c r="BW195" s="175">
        <f t="shared" si="100"/>
        <v>1</v>
      </c>
      <c r="BX195" s="175">
        <f t="shared" si="100"/>
        <v>0</v>
      </c>
      <c r="BY195" s="175">
        <f t="shared" si="100"/>
        <v>1</v>
      </c>
      <c r="BZ195" s="175">
        <f t="shared" si="100"/>
        <v>0</v>
      </c>
      <c r="CA195" s="175">
        <f t="shared" si="100"/>
        <v>0</v>
      </c>
      <c r="CB195" s="175">
        <f t="shared" si="100"/>
        <v>0</v>
      </c>
      <c r="CC195" s="175">
        <f t="shared" si="100"/>
        <v>0</v>
      </c>
      <c r="CD195" s="175">
        <f t="shared" si="100"/>
        <v>0</v>
      </c>
      <c r="CE195" s="175">
        <f t="shared" si="100"/>
        <v>0</v>
      </c>
      <c r="CF195" s="175">
        <f t="shared" ref="CF195:EQ195" si="101">SUM(CF191:CF194)</f>
        <v>0</v>
      </c>
      <c r="CG195" s="175">
        <f t="shared" si="101"/>
        <v>6</v>
      </c>
      <c r="CH195" s="175">
        <f t="shared" si="101"/>
        <v>6</v>
      </c>
      <c r="CI195" s="175">
        <f t="shared" si="101"/>
        <v>0</v>
      </c>
      <c r="CJ195" s="175">
        <f t="shared" si="101"/>
        <v>0</v>
      </c>
      <c r="CK195" s="175">
        <f t="shared" si="101"/>
        <v>0</v>
      </c>
      <c r="CL195" s="175">
        <f t="shared" si="101"/>
        <v>0</v>
      </c>
      <c r="CM195" s="175">
        <f t="shared" si="101"/>
        <v>0</v>
      </c>
      <c r="CN195" s="175">
        <f t="shared" si="101"/>
        <v>0</v>
      </c>
      <c r="CO195" s="175">
        <f t="shared" si="101"/>
        <v>0</v>
      </c>
      <c r="CP195" s="175">
        <f t="shared" si="101"/>
        <v>0</v>
      </c>
      <c r="CQ195" s="175">
        <f t="shared" si="101"/>
        <v>0</v>
      </c>
      <c r="CR195" s="175">
        <f t="shared" si="101"/>
        <v>0</v>
      </c>
      <c r="CS195" s="175">
        <f t="shared" si="101"/>
        <v>2</v>
      </c>
      <c r="CT195" s="175">
        <f t="shared" si="101"/>
        <v>0</v>
      </c>
      <c r="CU195" s="175">
        <f t="shared" si="101"/>
        <v>0</v>
      </c>
      <c r="CV195" s="175">
        <f t="shared" si="101"/>
        <v>0</v>
      </c>
      <c r="CW195" s="175">
        <f t="shared" si="101"/>
        <v>0</v>
      </c>
      <c r="CX195" s="175">
        <f t="shared" si="101"/>
        <v>3</v>
      </c>
      <c r="CY195" s="175">
        <f t="shared" si="101"/>
        <v>3</v>
      </c>
      <c r="CZ195" s="175">
        <f t="shared" si="101"/>
        <v>3</v>
      </c>
      <c r="DA195" s="175">
        <f t="shared" si="101"/>
        <v>0</v>
      </c>
      <c r="DB195" s="175">
        <f t="shared" si="101"/>
        <v>0</v>
      </c>
      <c r="DC195" s="175">
        <f t="shared" si="101"/>
        <v>0</v>
      </c>
      <c r="DD195" s="175">
        <f t="shared" si="101"/>
        <v>2</v>
      </c>
      <c r="DE195" s="175">
        <f t="shared" si="101"/>
        <v>0</v>
      </c>
      <c r="DF195" s="175">
        <f t="shared" si="101"/>
        <v>0</v>
      </c>
      <c r="DG195" s="175">
        <f t="shared" si="101"/>
        <v>0</v>
      </c>
      <c r="DH195" s="175">
        <f t="shared" si="101"/>
        <v>0</v>
      </c>
      <c r="DI195" s="175">
        <f t="shared" si="101"/>
        <v>3</v>
      </c>
      <c r="DJ195" s="175">
        <f t="shared" si="101"/>
        <v>0</v>
      </c>
      <c r="DK195" s="175">
        <f t="shared" si="101"/>
        <v>0</v>
      </c>
      <c r="DL195" s="175">
        <f t="shared" si="101"/>
        <v>1.5</v>
      </c>
      <c r="DM195" s="175">
        <f t="shared" si="101"/>
        <v>0</v>
      </c>
      <c r="DN195" s="175">
        <f t="shared" si="101"/>
        <v>0</v>
      </c>
      <c r="DO195" s="175">
        <f t="shared" si="101"/>
        <v>0</v>
      </c>
      <c r="DP195" s="175">
        <f t="shared" si="101"/>
        <v>0</v>
      </c>
      <c r="DQ195" s="175">
        <f t="shared" si="101"/>
        <v>0</v>
      </c>
      <c r="DR195" s="175">
        <f t="shared" si="101"/>
        <v>0</v>
      </c>
      <c r="DS195" s="175">
        <f t="shared" si="101"/>
        <v>1.5</v>
      </c>
      <c r="DT195" s="723">
        <f t="shared" si="101"/>
        <v>7.5</v>
      </c>
      <c r="DU195" s="175">
        <f t="shared" si="101"/>
        <v>0</v>
      </c>
      <c r="DV195" s="175">
        <f t="shared" si="101"/>
        <v>0</v>
      </c>
      <c r="DW195" s="175">
        <f t="shared" si="101"/>
        <v>0</v>
      </c>
      <c r="DX195" s="175">
        <f t="shared" si="101"/>
        <v>0</v>
      </c>
      <c r="DY195" s="175">
        <f t="shared" si="101"/>
        <v>0</v>
      </c>
      <c r="DZ195" s="175">
        <f t="shared" si="101"/>
        <v>0</v>
      </c>
      <c r="EA195" s="175">
        <f t="shared" si="101"/>
        <v>0</v>
      </c>
      <c r="EB195" s="175">
        <f t="shared" si="101"/>
        <v>0</v>
      </c>
      <c r="EC195" s="175">
        <f t="shared" si="101"/>
        <v>0</v>
      </c>
      <c r="ED195" s="175">
        <f t="shared" si="101"/>
        <v>0</v>
      </c>
      <c r="EE195" s="175">
        <f t="shared" si="101"/>
        <v>0</v>
      </c>
      <c r="EF195" s="175">
        <f t="shared" si="101"/>
        <v>0</v>
      </c>
      <c r="EG195" s="175">
        <f t="shared" si="101"/>
        <v>0</v>
      </c>
      <c r="EH195" s="175">
        <f t="shared" si="101"/>
        <v>0</v>
      </c>
      <c r="EI195" s="175">
        <f t="shared" si="101"/>
        <v>0</v>
      </c>
      <c r="EJ195" s="175">
        <f t="shared" si="101"/>
        <v>0</v>
      </c>
      <c r="EK195" s="175">
        <f t="shared" si="101"/>
        <v>0</v>
      </c>
      <c r="EL195" s="175">
        <f t="shared" si="101"/>
        <v>0</v>
      </c>
      <c r="EM195" s="175">
        <f t="shared" si="101"/>
        <v>0</v>
      </c>
      <c r="EN195" s="175">
        <f t="shared" si="101"/>
        <v>0</v>
      </c>
      <c r="EO195" s="175">
        <f t="shared" si="101"/>
        <v>0</v>
      </c>
      <c r="EP195" s="175">
        <f t="shared" si="101"/>
        <v>0</v>
      </c>
      <c r="EQ195" s="175">
        <f t="shared" si="101"/>
        <v>0</v>
      </c>
      <c r="ER195" s="175">
        <f t="shared" ref="ER195:FE195" si="102">SUM(ER191:ER194)</f>
        <v>0</v>
      </c>
      <c r="ES195" s="175">
        <f t="shared" si="102"/>
        <v>0</v>
      </c>
      <c r="ET195" s="175">
        <f t="shared" si="102"/>
        <v>0</v>
      </c>
      <c r="EU195" s="175">
        <f t="shared" si="102"/>
        <v>0</v>
      </c>
      <c r="EV195" s="175">
        <f t="shared" si="102"/>
        <v>0</v>
      </c>
      <c r="EW195" s="175">
        <f t="shared" si="102"/>
        <v>0</v>
      </c>
      <c r="EX195" s="175">
        <f t="shared" si="102"/>
        <v>0</v>
      </c>
      <c r="EY195" s="175">
        <f t="shared" si="102"/>
        <v>0</v>
      </c>
      <c r="EZ195" s="175">
        <f t="shared" si="102"/>
        <v>0</v>
      </c>
      <c r="FA195" s="175">
        <f t="shared" si="102"/>
        <v>0</v>
      </c>
      <c r="FB195" s="175">
        <f t="shared" si="102"/>
        <v>0</v>
      </c>
      <c r="FC195" s="175">
        <f t="shared" si="102"/>
        <v>0</v>
      </c>
      <c r="FD195" s="175">
        <f t="shared" si="102"/>
        <v>0</v>
      </c>
      <c r="FE195" s="175">
        <f t="shared" si="102"/>
        <v>0</v>
      </c>
      <c r="FF195" s="14"/>
    </row>
    <row r="196" spans="1:162">
      <c r="A196" s="54"/>
      <c r="B196" s="55" t="s">
        <v>3063</v>
      </c>
      <c r="C196" s="11" t="s">
        <v>3602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885"/>
      <c r="AH196" s="176"/>
      <c r="AI196" s="897"/>
      <c r="AJ196" s="907"/>
      <c r="AK196" s="921"/>
      <c r="AL196" s="176"/>
      <c r="AM196" s="176"/>
      <c r="AN196" s="176"/>
      <c r="AO196" s="176"/>
      <c r="AP196" s="176"/>
      <c r="AQ196" s="176"/>
      <c r="AR196" s="176"/>
      <c r="AS196" s="176"/>
      <c r="AT196" s="176"/>
      <c r="AU196" s="176"/>
      <c r="AV196" s="176"/>
      <c r="AW196" s="176"/>
      <c r="AX196" s="176"/>
      <c r="AY196" s="176"/>
      <c r="AZ196" s="176"/>
      <c r="BA196" s="176"/>
      <c r="BB196" s="176"/>
      <c r="BC196" s="176"/>
      <c r="BD196" s="176"/>
      <c r="BE196" s="176"/>
      <c r="BF196" s="176"/>
      <c r="BG196" s="176"/>
      <c r="BH196" s="176"/>
      <c r="BI196" s="176"/>
      <c r="BJ196" s="176"/>
      <c r="BK196" s="176"/>
      <c r="BL196" s="176"/>
      <c r="BM196" s="176"/>
      <c r="BN196" s="176"/>
      <c r="BO196" s="176"/>
      <c r="BP196" s="176"/>
      <c r="BQ196" s="176"/>
      <c r="BR196" s="176"/>
      <c r="BS196" s="176"/>
      <c r="BT196" s="176"/>
      <c r="BU196" s="176"/>
      <c r="BV196" s="176"/>
      <c r="BW196" s="176"/>
      <c r="BX196" s="176"/>
      <c r="BY196" s="176"/>
      <c r="BZ196" s="176"/>
      <c r="CA196" s="176"/>
      <c r="CB196" s="176"/>
      <c r="CC196" s="176"/>
      <c r="CD196" s="176"/>
      <c r="CE196" s="176"/>
      <c r="CF196" s="176"/>
      <c r="CG196" s="176"/>
      <c r="CH196" s="176"/>
      <c r="CI196" s="176"/>
      <c r="CJ196" s="176"/>
      <c r="CK196" s="176"/>
      <c r="CL196" s="176"/>
      <c r="CM196" s="176"/>
      <c r="CN196" s="176"/>
      <c r="CO196" s="176"/>
      <c r="CP196" s="176"/>
      <c r="CQ196" s="176"/>
      <c r="CR196" s="176"/>
      <c r="CS196" s="176"/>
      <c r="CT196" s="176"/>
      <c r="CU196" s="176"/>
      <c r="CV196" s="176"/>
      <c r="CW196" s="176"/>
      <c r="CX196" s="176"/>
      <c r="CY196" s="176"/>
      <c r="CZ196" s="176"/>
      <c r="DA196" s="176"/>
      <c r="DB196" s="176"/>
      <c r="DC196" s="176"/>
      <c r="DD196" s="176"/>
      <c r="DE196" s="176"/>
      <c r="DF196" s="176"/>
      <c r="DG196" s="176"/>
      <c r="DH196" s="176"/>
      <c r="DI196" s="176"/>
      <c r="DJ196" s="176"/>
      <c r="DK196" s="176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503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3"/>
    </row>
    <row r="197" spans="1:162" s="56" customFormat="1">
      <c r="A197" s="54"/>
      <c r="B197" s="55"/>
      <c r="C197" s="491" t="s">
        <v>3006</v>
      </c>
      <c r="D197" s="62"/>
      <c r="E197" s="62">
        <f>D197*3</f>
        <v>0</v>
      </c>
      <c r="F197" s="62"/>
      <c r="G197" s="62"/>
      <c r="H197" s="62"/>
      <c r="I197" s="62"/>
      <c r="J197" s="62"/>
      <c r="K197" s="62"/>
      <c r="L197" s="62">
        <f>D197</f>
        <v>0</v>
      </c>
      <c r="M197" s="62"/>
      <c r="N197" s="62"/>
      <c r="O197" s="62"/>
      <c r="P197" s="62"/>
      <c r="Q197" s="62"/>
      <c r="R197" s="173" t="s">
        <v>2990</v>
      </c>
      <c r="S197" s="174"/>
      <c r="T197" s="174"/>
      <c r="U197" s="174"/>
      <c r="V197" s="174">
        <v>2</v>
      </c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883"/>
      <c r="AH197" s="174"/>
      <c r="AI197" s="492"/>
      <c r="AJ197" s="905">
        <v>1</v>
      </c>
      <c r="AK197" s="919"/>
      <c r="AL197" s="174"/>
      <c r="AM197" s="174"/>
      <c r="AN197" s="174"/>
      <c r="AO197" s="928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  <c r="AZ197" s="174"/>
      <c r="BA197" s="174"/>
      <c r="BB197" s="174"/>
      <c r="BC197" s="174"/>
      <c r="BD197" s="174"/>
      <c r="BE197" s="174"/>
      <c r="BF197" s="174"/>
      <c r="BG197" s="174"/>
      <c r="BH197" s="174"/>
      <c r="BI197" s="174"/>
      <c r="BJ197" s="174"/>
      <c r="BK197" s="174"/>
      <c r="BL197" s="174"/>
      <c r="BM197" s="174"/>
      <c r="BN197" s="174"/>
      <c r="BO197" s="174"/>
      <c r="BP197" s="174"/>
      <c r="BQ197" s="174"/>
      <c r="BR197" s="174"/>
      <c r="BS197" s="174"/>
      <c r="BT197" s="174"/>
      <c r="BU197" s="174"/>
      <c r="BV197" s="174"/>
      <c r="BW197" s="174">
        <v>1</v>
      </c>
      <c r="BX197" s="174"/>
      <c r="BY197" s="174"/>
      <c r="BZ197" s="174"/>
      <c r="CA197" s="174"/>
      <c r="CB197" s="174"/>
      <c r="CC197" s="174"/>
      <c r="CD197" s="174"/>
      <c r="CE197" s="462"/>
      <c r="CF197" s="174"/>
      <c r="CG197" s="174">
        <f>CE197-CF197</f>
        <v>0</v>
      </c>
      <c r="CH197" s="174">
        <v>3</v>
      </c>
      <c r="CI197" s="174"/>
      <c r="CJ197" s="174"/>
      <c r="CK197" s="174"/>
      <c r="CL197" s="174"/>
      <c r="CM197" s="174"/>
      <c r="CN197" s="174"/>
      <c r="CO197" s="174"/>
      <c r="CP197" s="174"/>
      <c r="CQ197" s="174"/>
      <c r="CR197" s="174"/>
      <c r="CS197" s="174">
        <v>1</v>
      </c>
      <c r="CT197" s="174"/>
      <c r="CU197" s="174"/>
      <c r="CV197" s="174"/>
      <c r="CW197" s="174"/>
      <c r="CX197" s="174"/>
      <c r="CY197" s="174"/>
      <c r="CZ197" s="174"/>
      <c r="DA197" s="174"/>
      <c r="DB197" s="174"/>
      <c r="DC197" s="174">
        <v>2</v>
      </c>
      <c r="DD197" s="174"/>
      <c r="DE197" s="174"/>
      <c r="DF197" s="174"/>
      <c r="DG197" s="174"/>
      <c r="DH197" s="174"/>
      <c r="DI197" s="174"/>
      <c r="DJ197" s="174"/>
      <c r="DK197" s="174"/>
      <c r="DL197" s="62"/>
      <c r="DM197" s="62"/>
      <c r="DN197" s="62"/>
      <c r="DO197" s="62"/>
      <c r="DP197" s="62"/>
      <c r="DQ197" s="62"/>
      <c r="DR197" s="62"/>
      <c r="DS197" s="62"/>
      <c r="DT197" s="62"/>
      <c r="DU197" s="62"/>
      <c r="DV197" s="62"/>
      <c r="DW197" s="62"/>
      <c r="DX197" s="62"/>
      <c r="DY197" s="62"/>
      <c r="DZ197" s="62"/>
      <c r="EA197" s="62"/>
      <c r="EB197" s="62"/>
      <c r="EC197" s="62"/>
      <c r="ED197" s="62"/>
      <c r="EE197" s="454"/>
      <c r="EF197" s="62"/>
      <c r="EG197" s="62"/>
      <c r="EH197" s="62"/>
      <c r="EI197" s="62"/>
      <c r="EJ197" s="62"/>
      <c r="EK197" s="62"/>
      <c r="EL197" s="62"/>
      <c r="EM197" s="62"/>
      <c r="EN197" s="62"/>
      <c r="EO197" s="62"/>
      <c r="EP197" s="62"/>
      <c r="EQ197" s="62"/>
      <c r="ER197" s="62"/>
      <c r="ES197" s="62"/>
      <c r="ET197" s="62"/>
      <c r="EU197" s="62"/>
      <c r="EV197" s="62"/>
      <c r="EW197" s="62"/>
      <c r="EX197" s="62"/>
      <c r="EY197" s="62"/>
      <c r="EZ197" s="62"/>
      <c r="FA197" s="62"/>
      <c r="FB197" s="62"/>
      <c r="FC197" s="62"/>
      <c r="FD197" s="62"/>
      <c r="FE197" s="62"/>
      <c r="FF197" s="62"/>
    </row>
    <row r="198" spans="1:162" s="56" customFormat="1">
      <c r="A198" s="54"/>
      <c r="B198" s="689"/>
      <c r="C198" s="714" t="s">
        <v>3736</v>
      </c>
      <c r="D198" s="454">
        <v>7</v>
      </c>
      <c r="E198" s="62">
        <f t="shared" ref="E198:E229" si="103">D198*3</f>
        <v>21</v>
      </c>
      <c r="F198" s="62"/>
      <c r="G198" s="62"/>
      <c r="H198" s="62"/>
      <c r="I198" s="62"/>
      <c r="J198" s="62"/>
      <c r="K198" s="62"/>
      <c r="L198" s="62">
        <f t="shared" ref="L198:L229" si="104">D198</f>
        <v>7</v>
      </c>
      <c r="M198" s="454"/>
      <c r="N198" s="454"/>
      <c r="O198" s="454"/>
      <c r="P198" s="454"/>
      <c r="Q198" s="454"/>
      <c r="R198" s="715" t="s">
        <v>3718</v>
      </c>
      <c r="S198" s="716"/>
      <c r="T198" s="716"/>
      <c r="U198" s="716"/>
      <c r="V198" s="716"/>
      <c r="W198" s="716"/>
      <c r="X198" s="716"/>
      <c r="Y198" s="716"/>
      <c r="Z198" s="716"/>
      <c r="AA198" s="716"/>
      <c r="AB198" s="716"/>
      <c r="AC198" s="716"/>
      <c r="AD198" s="716"/>
      <c r="AE198" s="716"/>
      <c r="AF198" s="716"/>
      <c r="AG198" s="886"/>
      <c r="AH198" s="716"/>
      <c r="AI198" s="898"/>
      <c r="AJ198" s="908"/>
      <c r="AK198" s="922"/>
      <c r="AL198" s="716"/>
      <c r="AM198" s="716"/>
      <c r="AN198" s="716"/>
      <c r="AO198" s="930"/>
      <c r="AP198" s="716"/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/>
      <c r="BJ198" s="716"/>
      <c r="BK198" s="716"/>
      <c r="BL198" s="716"/>
      <c r="BM198" s="716"/>
      <c r="BN198" s="716"/>
      <c r="BO198" s="716"/>
      <c r="BP198" s="716"/>
      <c r="BQ198" s="716"/>
      <c r="BR198" s="716"/>
      <c r="BS198" s="716"/>
      <c r="BT198" s="716"/>
      <c r="BU198" s="716"/>
      <c r="BV198" s="716">
        <v>1</v>
      </c>
      <c r="BW198" s="716"/>
      <c r="BX198" s="716"/>
      <c r="BY198" s="716"/>
      <c r="BZ198" s="716"/>
      <c r="CA198" s="716"/>
      <c r="CB198" s="716"/>
      <c r="CC198" s="716"/>
      <c r="CD198" s="716"/>
      <c r="CE198" s="717">
        <v>8</v>
      </c>
      <c r="CF198" s="716">
        <v>1</v>
      </c>
      <c r="CG198" s="174">
        <f>CE198</f>
        <v>8</v>
      </c>
      <c r="CH198" s="716">
        <v>5</v>
      </c>
      <c r="CI198" s="716"/>
      <c r="CJ198" s="716"/>
      <c r="CK198" s="716"/>
      <c r="CL198" s="716"/>
      <c r="CM198" s="716"/>
      <c r="CN198" s="716"/>
      <c r="CO198" s="716"/>
      <c r="CP198" s="716"/>
      <c r="CQ198" s="716"/>
      <c r="CR198" s="716"/>
      <c r="CS198" s="716">
        <v>1</v>
      </c>
      <c r="CT198" s="716"/>
      <c r="CU198" s="716"/>
      <c r="CV198" s="716"/>
      <c r="CW198" s="716"/>
      <c r="CX198" s="716">
        <v>3</v>
      </c>
      <c r="CY198" s="716">
        <v>3</v>
      </c>
      <c r="CZ198" s="716">
        <v>3</v>
      </c>
      <c r="DA198" s="716"/>
      <c r="DB198" s="716">
        <v>2</v>
      </c>
      <c r="DC198" s="716"/>
      <c r="DD198" s="716"/>
      <c r="DE198" s="716"/>
      <c r="DF198" s="716"/>
      <c r="DG198" s="716"/>
      <c r="DH198" s="716"/>
      <c r="DI198" s="716"/>
      <c r="DJ198" s="716"/>
      <c r="DK198" s="716"/>
      <c r="DL198" s="454">
        <v>3</v>
      </c>
      <c r="DM198" s="454">
        <v>3</v>
      </c>
      <c r="DN198" s="454"/>
      <c r="DO198" s="454"/>
      <c r="DP198" s="454"/>
      <c r="DQ198" s="454"/>
      <c r="DR198" s="454"/>
      <c r="DS198" s="454">
        <v>1.5</v>
      </c>
      <c r="DT198" s="454">
        <v>3</v>
      </c>
      <c r="DU198" s="454"/>
      <c r="DV198" s="454"/>
      <c r="DW198" s="454"/>
      <c r="DX198" s="454"/>
      <c r="DY198" s="454"/>
      <c r="DZ198" s="454"/>
      <c r="EA198" s="454"/>
      <c r="EB198" s="454"/>
      <c r="EC198" s="454"/>
      <c r="ED198" s="454"/>
      <c r="EE198" s="454"/>
      <c r="EF198" s="454"/>
      <c r="EG198" s="454"/>
      <c r="EH198" s="454"/>
      <c r="EI198" s="454"/>
      <c r="EJ198" s="454"/>
      <c r="EK198" s="454"/>
      <c r="EL198" s="454"/>
      <c r="EM198" s="454"/>
      <c r="EN198" s="454"/>
      <c r="EO198" s="454"/>
      <c r="EP198" s="454"/>
      <c r="EQ198" s="454"/>
      <c r="ER198" s="454"/>
      <c r="ES198" s="454"/>
      <c r="ET198" s="454"/>
      <c r="EU198" s="454"/>
      <c r="EV198" s="454"/>
      <c r="EW198" s="454"/>
      <c r="EX198" s="454"/>
      <c r="EY198" s="454"/>
      <c r="EZ198" s="454"/>
      <c r="FA198" s="454"/>
      <c r="FB198" s="454"/>
      <c r="FC198" s="454"/>
      <c r="FD198" s="454"/>
      <c r="FE198" s="454"/>
      <c r="FF198" s="454"/>
    </row>
    <row r="199" spans="1:162" s="56" customFormat="1">
      <c r="A199" s="54"/>
      <c r="B199" s="689"/>
      <c r="C199" s="714" t="s">
        <v>3737</v>
      </c>
      <c r="D199" s="454">
        <v>38.6</v>
      </c>
      <c r="E199" s="62">
        <f t="shared" si="103"/>
        <v>115.80000000000001</v>
      </c>
      <c r="F199" s="62"/>
      <c r="G199" s="62"/>
      <c r="H199" s="62"/>
      <c r="I199" s="62"/>
      <c r="J199" s="62"/>
      <c r="K199" s="62"/>
      <c r="L199" s="62">
        <f t="shared" si="104"/>
        <v>38.6</v>
      </c>
      <c r="M199" s="454"/>
      <c r="N199" s="454"/>
      <c r="O199" s="454"/>
      <c r="P199" s="454"/>
      <c r="Q199" s="454"/>
      <c r="R199" s="715" t="s">
        <v>2989</v>
      </c>
      <c r="S199" s="716"/>
      <c r="T199" s="716"/>
      <c r="U199" s="716"/>
      <c r="V199" s="716">
        <v>2</v>
      </c>
      <c r="W199" s="716"/>
      <c r="X199" s="716"/>
      <c r="Y199" s="716"/>
      <c r="Z199" s="716"/>
      <c r="AA199" s="716"/>
      <c r="AB199" s="716"/>
      <c r="AC199" s="716"/>
      <c r="AD199" s="716"/>
      <c r="AE199" s="716"/>
      <c r="AF199" s="716"/>
      <c r="AG199" s="886"/>
      <c r="AH199" s="716"/>
      <c r="AI199" s="898"/>
      <c r="AJ199" s="908">
        <v>1</v>
      </c>
      <c r="AK199" s="922"/>
      <c r="AL199" s="716"/>
      <c r="AM199" s="716"/>
      <c r="AN199" s="716"/>
      <c r="AO199" s="930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6"/>
      <c r="BL199" s="716"/>
      <c r="BM199" s="716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>
        <v>1</v>
      </c>
      <c r="BX199" s="716"/>
      <c r="BY199" s="716"/>
      <c r="BZ199" s="716"/>
      <c r="CA199" s="716"/>
      <c r="CB199" s="716">
        <v>1</v>
      </c>
      <c r="CC199" s="716"/>
      <c r="CD199" s="716"/>
      <c r="CE199" s="717"/>
      <c r="CF199" s="716"/>
      <c r="CG199" s="174">
        <f t="shared" ref="CG199:CG230" si="105">CE199-CF199</f>
        <v>0</v>
      </c>
      <c r="CH199" s="716">
        <v>6</v>
      </c>
      <c r="CI199" s="716"/>
      <c r="CJ199" s="716"/>
      <c r="CK199" s="716"/>
      <c r="CL199" s="716"/>
      <c r="CM199" s="716"/>
      <c r="CN199" s="716"/>
      <c r="CO199" s="716"/>
      <c r="CP199" s="716"/>
      <c r="CQ199" s="716"/>
      <c r="CR199" s="716"/>
      <c r="CS199" s="716"/>
      <c r="CT199" s="716"/>
      <c r="CU199" s="716"/>
      <c r="CV199" s="716"/>
      <c r="CW199" s="716"/>
      <c r="CX199" s="716"/>
      <c r="CY199" s="716"/>
      <c r="CZ199" s="716"/>
      <c r="DA199" s="716"/>
      <c r="DB199" s="716"/>
      <c r="DC199" s="716"/>
      <c r="DD199" s="716"/>
      <c r="DE199" s="716"/>
      <c r="DF199" s="716"/>
      <c r="DG199" s="716"/>
      <c r="DH199" s="716"/>
      <c r="DI199" s="716">
        <v>3</v>
      </c>
      <c r="DJ199" s="716"/>
      <c r="DK199" s="716"/>
      <c r="DL199" s="454">
        <v>3</v>
      </c>
      <c r="DM199" s="454"/>
      <c r="DN199" s="454"/>
      <c r="DO199" s="454"/>
      <c r="DP199" s="454"/>
      <c r="DQ199" s="454"/>
      <c r="DR199" s="454"/>
      <c r="DS199" s="454">
        <v>3</v>
      </c>
      <c r="DT199" s="454">
        <v>6</v>
      </c>
      <c r="DU199" s="454"/>
      <c r="DV199" s="454"/>
      <c r="DW199" s="454"/>
      <c r="DX199" s="454"/>
      <c r="DY199" s="454"/>
      <c r="DZ199" s="454"/>
      <c r="EA199" s="454"/>
      <c r="EB199" s="454"/>
      <c r="EC199" s="454"/>
      <c r="ED199" s="454"/>
      <c r="EE199" s="454">
        <v>1</v>
      </c>
      <c r="EF199" s="454"/>
      <c r="EG199" s="454"/>
      <c r="EH199" s="454"/>
      <c r="EI199" s="454"/>
      <c r="EJ199" s="454"/>
      <c r="EK199" s="454"/>
      <c r="EL199" s="454"/>
      <c r="EM199" s="454"/>
      <c r="EN199" s="454"/>
      <c r="EO199" s="454"/>
      <c r="EP199" s="454"/>
      <c r="EQ199" s="454"/>
      <c r="ER199" s="454"/>
      <c r="ES199" s="454"/>
      <c r="ET199" s="454"/>
      <c r="EU199" s="454"/>
      <c r="EV199" s="454"/>
      <c r="EW199" s="454"/>
      <c r="EX199" s="454"/>
      <c r="EY199" s="454"/>
      <c r="EZ199" s="454"/>
      <c r="FA199" s="454"/>
      <c r="FB199" s="454"/>
      <c r="FC199" s="454"/>
      <c r="FD199" s="454"/>
      <c r="FE199" s="454"/>
      <c r="FF199" s="454"/>
    </row>
    <row r="200" spans="1:162" s="56" customFormat="1">
      <c r="A200" s="54"/>
      <c r="B200" s="720"/>
      <c r="C200" s="714" t="s">
        <v>3738</v>
      </c>
      <c r="D200" s="454">
        <v>41.9</v>
      </c>
      <c r="E200" s="62">
        <f t="shared" si="103"/>
        <v>125.69999999999999</v>
      </c>
      <c r="F200" s="62"/>
      <c r="G200" s="62"/>
      <c r="H200" s="62"/>
      <c r="I200" s="62"/>
      <c r="J200" s="62"/>
      <c r="K200" s="62"/>
      <c r="L200" s="62">
        <f t="shared" si="104"/>
        <v>41.9</v>
      </c>
      <c r="M200" s="454"/>
      <c r="N200" s="454"/>
      <c r="O200" s="454"/>
      <c r="P200" s="454"/>
      <c r="Q200" s="454"/>
      <c r="R200" s="715" t="s">
        <v>1631</v>
      </c>
      <c r="S200" s="716"/>
      <c r="T200" s="716"/>
      <c r="U200" s="716"/>
      <c r="V200" s="716"/>
      <c r="W200" s="716"/>
      <c r="X200" s="716"/>
      <c r="Y200" s="716"/>
      <c r="Z200" s="716"/>
      <c r="AA200" s="716"/>
      <c r="AB200" s="716"/>
      <c r="AC200" s="716"/>
      <c r="AD200" s="716"/>
      <c r="AE200" s="716"/>
      <c r="AF200" s="716"/>
      <c r="AG200" s="886"/>
      <c r="AH200" s="716"/>
      <c r="AI200" s="898"/>
      <c r="AJ200" s="908"/>
      <c r="AK200" s="922"/>
      <c r="AL200" s="716"/>
      <c r="AM200" s="716"/>
      <c r="AN200" s="716"/>
      <c r="AO200" s="930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6">
        <v>1</v>
      </c>
      <c r="BL200" s="716"/>
      <c r="BM200" s="716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  <c r="BX200" s="716"/>
      <c r="BY200" s="716"/>
      <c r="BZ200" s="716"/>
      <c r="CA200" s="716"/>
      <c r="CB200" s="716"/>
      <c r="CC200" s="716"/>
      <c r="CD200" s="716"/>
      <c r="CE200" s="717">
        <v>2</v>
      </c>
      <c r="CF200" s="716">
        <v>2</v>
      </c>
      <c r="CG200" s="174">
        <f t="shared" si="105"/>
        <v>0</v>
      </c>
      <c r="CH200" s="716"/>
      <c r="CI200" s="716"/>
      <c r="CJ200" s="716"/>
      <c r="CK200" s="716"/>
      <c r="CL200" s="716"/>
      <c r="CM200" s="716"/>
      <c r="CN200" s="716"/>
      <c r="CO200" s="716"/>
      <c r="CP200" s="716"/>
      <c r="CQ200" s="716"/>
      <c r="CR200" s="716"/>
      <c r="CS200" s="716"/>
      <c r="CT200" s="716"/>
      <c r="CU200" s="716"/>
      <c r="CV200" s="716"/>
      <c r="CW200" s="716"/>
      <c r="CX200" s="716">
        <v>3</v>
      </c>
      <c r="CY200" s="716">
        <v>3</v>
      </c>
      <c r="CZ200" s="716"/>
      <c r="DA200" s="716"/>
      <c r="DB200" s="716"/>
      <c r="DC200" s="716"/>
      <c r="DD200" s="716"/>
      <c r="DE200" s="716"/>
      <c r="DF200" s="716"/>
      <c r="DG200" s="716"/>
      <c r="DH200" s="716"/>
      <c r="DI200" s="716"/>
      <c r="DJ200" s="716"/>
      <c r="DK200" s="716"/>
      <c r="DL200" s="454"/>
      <c r="DM200" s="454"/>
      <c r="DN200" s="454"/>
      <c r="DO200" s="454"/>
      <c r="DP200" s="454"/>
      <c r="DQ200" s="454"/>
      <c r="DR200" s="454"/>
      <c r="DS200" s="454"/>
      <c r="DT200" s="454"/>
      <c r="DU200" s="454"/>
      <c r="DV200" s="454"/>
      <c r="DW200" s="454"/>
      <c r="DX200" s="454"/>
      <c r="DY200" s="454"/>
      <c r="DZ200" s="454"/>
      <c r="EA200" s="454"/>
      <c r="EB200" s="454"/>
      <c r="EC200" s="454"/>
      <c r="ED200" s="454"/>
      <c r="EE200" s="454"/>
      <c r="EF200" s="454"/>
      <c r="EG200" s="454"/>
      <c r="EH200" s="454"/>
      <c r="EI200" s="454"/>
      <c r="EJ200" s="454"/>
      <c r="EK200" s="454"/>
      <c r="EL200" s="454"/>
      <c r="EM200" s="454"/>
      <c r="EN200" s="454"/>
      <c r="EO200" s="454"/>
      <c r="EP200" s="454"/>
      <c r="EQ200" s="454"/>
      <c r="ER200" s="454"/>
      <c r="ES200" s="454"/>
      <c r="ET200" s="454"/>
      <c r="EU200" s="454"/>
      <c r="EV200" s="454"/>
      <c r="EW200" s="454"/>
      <c r="EX200" s="454"/>
      <c r="EY200" s="454"/>
      <c r="EZ200" s="454"/>
      <c r="FA200" s="454"/>
      <c r="FB200" s="454"/>
      <c r="FC200" s="454"/>
      <c r="FD200" s="454"/>
      <c r="FE200" s="454"/>
      <c r="FF200" s="454"/>
    </row>
    <row r="201" spans="1:162" s="56" customFormat="1">
      <c r="A201" s="54"/>
      <c r="B201" s="720"/>
      <c r="C201" s="714" t="s">
        <v>3739</v>
      </c>
      <c r="D201" s="454">
        <v>39.1</v>
      </c>
      <c r="E201" s="62">
        <f t="shared" si="103"/>
        <v>117.30000000000001</v>
      </c>
      <c r="F201" s="62"/>
      <c r="G201" s="62"/>
      <c r="H201" s="62"/>
      <c r="I201" s="62"/>
      <c r="J201" s="62"/>
      <c r="K201" s="62"/>
      <c r="L201" s="62">
        <f t="shared" si="104"/>
        <v>39.1</v>
      </c>
      <c r="M201" s="454"/>
      <c r="N201" s="454"/>
      <c r="O201" s="454"/>
      <c r="P201" s="454"/>
      <c r="Q201" s="454"/>
      <c r="R201" s="715" t="s">
        <v>1631</v>
      </c>
      <c r="S201" s="716"/>
      <c r="T201" s="716"/>
      <c r="U201" s="716"/>
      <c r="V201" s="716"/>
      <c r="W201" s="716"/>
      <c r="X201" s="716"/>
      <c r="Y201" s="716"/>
      <c r="Z201" s="716"/>
      <c r="AA201" s="716"/>
      <c r="AB201" s="716"/>
      <c r="AC201" s="716"/>
      <c r="AD201" s="716"/>
      <c r="AE201" s="716"/>
      <c r="AF201" s="716"/>
      <c r="AG201" s="886"/>
      <c r="AH201" s="716"/>
      <c r="AI201" s="898"/>
      <c r="AJ201" s="908"/>
      <c r="AK201" s="922"/>
      <c r="AL201" s="716"/>
      <c r="AM201" s="716"/>
      <c r="AN201" s="716"/>
      <c r="AO201" s="930"/>
      <c r="AP201" s="716"/>
      <c r="AQ201" s="716"/>
      <c r="AR201" s="716"/>
      <c r="AS201" s="716"/>
      <c r="AT201" s="716"/>
      <c r="AU201" s="716"/>
      <c r="AV201" s="716"/>
      <c r="AW201" s="716"/>
      <c r="AX201" s="716"/>
      <c r="AY201" s="716"/>
      <c r="AZ201" s="716"/>
      <c r="BA201" s="716"/>
      <c r="BB201" s="716"/>
      <c r="BC201" s="716"/>
      <c r="BD201" s="716"/>
      <c r="BE201" s="716"/>
      <c r="BF201" s="716"/>
      <c r="BG201" s="716"/>
      <c r="BH201" s="716"/>
      <c r="BI201" s="716"/>
      <c r="BJ201" s="716"/>
      <c r="BK201" s="716">
        <v>1</v>
      </c>
      <c r="BL201" s="716"/>
      <c r="BM201" s="716"/>
      <c r="BN201" s="716"/>
      <c r="BO201" s="716"/>
      <c r="BP201" s="716"/>
      <c r="BQ201" s="716"/>
      <c r="BR201" s="716"/>
      <c r="BS201" s="716"/>
      <c r="BT201" s="716"/>
      <c r="BU201" s="716"/>
      <c r="BV201" s="716"/>
      <c r="BW201" s="716"/>
      <c r="BX201" s="716"/>
      <c r="BY201" s="716"/>
      <c r="BZ201" s="716"/>
      <c r="CA201" s="716"/>
      <c r="CB201" s="716"/>
      <c r="CC201" s="716"/>
      <c r="CD201" s="716"/>
      <c r="CE201" s="717">
        <v>2</v>
      </c>
      <c r="CF201" s="716">
        <v>2</v>
      </c>
      <c r="CG201" s="174">
        <f t="shared" si="105"/>
        <v>0</v>
      </c>
      <c r="CH201" s="716"/>
      <c r="CI201" s="716"/>
      <c r="CJ201" s="716"/>
      <c r="CK201" s="716"/>
      <c r="CL201" s="716"/>
      <c r="CM201" s="716"/>
      <c r="CN201" s="716"/>
      <c r="CO201" s="716"/>
      <c r="CP201" s="716"/>
      <c r="CQ201" s="716"/>
      <c r="CR201" s="716"/>
      <c r="CS201" s="716"/>
      <c r="CT201" s="716"/>
      <c r="CU201" s="716"/>
      <c r="CV201" s="716"/>
      <c r="CW201" s="716"/>
      <c r="CX201" s="716"/>
      <c r="CY201" s="716"/>
      <c r="CZ201" s="716"/>
      <c r="DA201" s="716"/>
      <c r="DB201" s="716"/>
      <c r="DC201" s="716"/>
      <c r="DD201" s="716"/>
      <c r="DE201" s="716"/>
      <c r="DF201" s="716"/>
      <c r="DG201" s="716"/>
      <c r="DH201" s="716"/>
      <c r="DI201" s="716"/>
      <c r="DJ201" s="716"/>
      <c r="DK201" s="716"/>
      <c r="DL201" s="454"/>
      <c r="DM201" s="454"/>
      <c r="DN201" s="454"/>
      <c r="DO201" s="454"/>
      <c r="DP201" s="454"/>
      <c r="DQ201" s="454"/>
      <c r="DR201" s="454"/>
      <c r="DS201" s="454"/>
      <c r="DT201" s="454"/>
      <c r="DU201" s="454"/>
      <c r="DV201" s="454"/>
      <c r="DW201" s="454"/>
      <c r="DX201" s="454"/>
      <c r="DY201" s="454"/>
      <c r="DZ201" s="454"/>
      <c r="EA201" s="454"/>
      <c r="EB201" s="454"/>
      <c r="EC201" s="454"/>
      <c r="ED201" s="454"/>
      <c r="EE201" s="454"/>
      <c r="EF201" s="454"/>
      <c r="EG201" s="454"/>
      <c r="EH201" s="454"/>
      <c r="EI201" s="454"/>
      <c r="EJ201" s="454"/>
      <c r="EK201" s="454"/>
      <c r="EL201" s="454"/>
      <c r="EM201" s="454"/>
      <c r="EN201" s="454"/>
      <c r="EO201" s="454"/>
      <c r="EP201" s="454"/>
      <c r="EQ201" s="454"/>
      <c r="ER201" s="454"/>
      <c r="ES201" s="454"/>
      <c r="ET201" s="454"/>
      <c r="EU201" s="454"/>
      <c r="EV201" s="454"/>
      <c r="EW201" s="454"/>
      <c r="EX201" s="454"/>
      <c r="EY201" s="454"/>
      <c r="EZ201" s="454"/>
      <c r="FA201" s="454"/>
      <c r="FB201" s="454"/>
      <c r="FC201" s="454"/>
      <c r="FD201" s="454"/>
      <c r="FE201" s="454"/>
      <c r="FF201" s="454"/>
    </row>
    <row r="202" spans="1:162" s="56" customFormat="1">
      <c r="A202" s="54"/>
      <c r="B202" s="720"/>
      <c r="C202" s="714" t="s">
        <v>3740</v>
      </c>
      <c r="D202" s="454">
        <v>43.3</v>
      </c>
      <c r="E202" s="62">
        <f t="shared" si="103"/>
        <v>129.89999999999998</v>
      </c>
      <c r="F202" s="62"/>
      <c r="G202" s="62"/>
      <c r="H202" s="62"/>
      <c r="I202" s="62"/>
      <c r="J202" s="62"/>
      <c r="K202" s="62"/>
      <c r="L202" s="62">
        <f t="shared" si="104"/>
        <v>43.3</v>
      </c>
      <c r="M202" s="454"/>
      <c r="N202" s="454"/>
      <c r="O202" s="454"/>
      <c r="P202" s="454"/>
      <c r="Q202" s="454"/>
      <c r="R202" s="715" t="s">
        <v>1631</v>
      </c>
      <c r="S202" s="716"/>
      <c r="T202" s="716"/>
      <c r="U202" s="716"/>
      <c r="V202" s="716"/>
      <c r="W202" s="716"/>
      <c r="X202" s="716"/>
      <c r="Y202" s="716"/>
      <c r="Z202" s="716"/>
      <c r="AA202" s="716"/>
      <c r="AB202" s="716"/>
      <c r="AC202" s="716"/>
      <c r="AD202" s="716"/>
      <c r="AE202" s="716"/>
      <c r="AF202" s="716"/>
      <c r="AG202" s="886"/>
      <c r="AH202" s="716"/>
      <c r="AI202" s="898"/>
      <c r="AJ202" s="908"/>
      <c r="AK202" s="922"/>
      <c r="AL202" s="716"/>
      <c r="AM202" s="716"/>
      <c r="AN202" s="716"/>
      <c r="AO202" s="930"/>
      <c r="AP202" s="716"/>
      <c r="AQ202" s="716"/>
      <c r="AR202" s="716"/>
      <c r="AS202" s="716"/>
      <c r="AT202" s="716"/>
      <c r="AU202" s="716"/>
      <c r="AV202" s="716"/>
      <c r="AW202" s="716"/>
      <c r="AX202" s="716"/>
      <c r="AY202" s="716"/>
      <c r="AZ202" s="716"/>
      <c r="BA202" s="716"/>
      <c r="BB202" s="716"/>
      <c r="BC202" s="716"/>
      <c r="BD202" s="716"/>
      <c r="BE202" s="716"/>
      <c r="BF202" s="716"/>
      <c r="BG202" s="716"/>
      <c r="BH202" s="716"/>
      <c r="BI202" s="716"/>
      <c r="BJ202" s="716"/>
      <c r="BK202" s="716">
        <v>1</v>
      </c>
      <c r="BL202" s="716"/>
      <c r="BM202" s="716"/>
      <c r="BN202" s="716"/>
      <c r="BO202" s="716"/>
      <c r="BP202" s="716"/>
      <c r="BQ202" s="716"/>
      <c r="BR202" s="716"/>
      <c r="BS202" s="716"/>
      <c r="BT202" s="716"/>
      <c r="BU202" s="716"/>
      <c r="BV202" s="716"/>
      <c r="BW202" s="716"/>
      <c r="BX202" s="716"/>
      <c r="BY202" s="716"/>
      <c r="BZ202" s="716"/>
      <c r="CA202" s="716"/>
      <c r="CB202" s="716"/>
      <c r="CC202" s="716"/>
      <c r="CD202" s="716"/>
      <c r="CE202" s="717">
        <v>2</v>
      </c>
      <c r="CF202" s="716">
        <v>2</v>
      </c>
      <c r="CG202" s="174">
        <f t="shared" si="105"/>
        <v>0</v>
      </c>
      <c r="CH202" s="716"/>
      <c r="CI202" s="716"/>
      <c r="CJ202" s="716"/>
      <c r="CK202" s="716"/>
      <c r="CL202" s="716"/>
      <c r="CM202" s="716"/>
      <c r="CN202" s="716"/>
      <c r="CO202" s="716"/>
      <c r="CP202" s="716"/>
      <c r="CQ202" s="716"/>
      <c r="CR202" s="716"/>
      <c r="CS202" s="716"/>
      <c r="CT202" s="716"/>
      <c r="CU202" s="716"/>
      <c r="CV202" s="716"/>
      <c r="CW202" s="716"/>
      <c r="CX202" s="716"/>
      <c r="CY202" s="716"/>
      <c r="CZ202" s="716"/>
      <c r="DA202" s="716"/>
      <c r="DB202" s="716"/>
      <c r="DC202" s="716"/>
      <c r="DD202" s="716"/>
      <c r="DE202" s="716"/>
      <c r="DF202" s="716"/>
      <c r="DG202" s="716"/>
      <c r="DH202" s="716"/>
      <c r="DI202" s="716"/>
      <c r="DJ202" s="716"/>
      <c r="DK202" s="716"/>
      <c r="DL202" s="454"/>
      <c r="DM202" s="454"/>
      <c r="DN202" s="454"/>
      <c r="DO202" s="454"/>
      <c r="DP202" s="454"/>
      <c r="DQ202" s="454"/>
      <c r="DR202" s="454"/>
      <c r="DS202" s="454"/>
      <c r="DT202" s="454"/>
      <c r="DU202" s="454"/>
      <c r="DV202" s="454"/>
      <c r="DW202" s="454"/>
      <c r="DX202" s="454"/>
      <c r="DY202" s="454"/>
      <c r="DZ202" s="454"/>
      <c r="EA202" s="454"/>
      <c r="EB202" s="454"/>
      <c r="EC202" s="454"/>
      <c r="ED202" s="454"/>
      <c r="EE202" s="454"/>
      <c r="EF202" s="454"/>
      <c r="EG202" s="454"/>
      <c r="EH202" s="454"/>
      <c r="EI202" s="454"/>
      <c r="EJ202" s="454"/>
      <c r="EK202" s="454"/>
      <c r="EL202" s="454"/>
      <c r="EM202" s="454"/>
      <c r="EN202" s="454"/>
      <c r="EO202" s="454"/>
      <c r="EP202" s="454"/>
      <c r="EQ202" s="454"/>
      <c r="ER202" s="454"/>
      <c r="ES202" s="454"/>
      <c r="ET202" s="454"/>
      <c r="EU202" s="454"/>
      <c r="EV202" s="454"/>
      <c r="EW202" s="454"/>
      <c r="EX202" s="454"/>
      <c r="EY202" s="454"/>
      <c r="EZ202" s="454"/>
      <c r="FA202" s="454"/>
      <c r="FB202" s="454"/>
      <c r="FC202" s="454"/>
      <c r="FD202" s="454"/>
      <c r="FE202" s="454"/>
      <c r="FF202" s="454"/>
    </row>
    <row r="203" spans="1:162" s="56" customFormat="1">
      <c r="A203" s="54"/>
      <c r="B203" s="720"/>
      <c r="C203" s="714" t="s">
        <v>3741</v>
      </c>
      <c r="D203" s="454">
        <v>38.9</v>
      </c>
      <c r="E203" s="62">
        <f t="shared" si="103"/>
        <v>116.69999999999999</v>
      </c>
      <c r="F203" s="62"/>
      <c r="G203" s="62"/>
      <c r="H203" s="62"/>
      <c r="I203" s="62"/>
      <c r="J203" s="62"/>
      <c r="K203" s="62"/>
      <c r="L203" s="62">
        <f t="shared" si="104"/>
        <v>38.9</v>
      </c>
      <c r="M203" s="454"/>
      <c r="N203" s="454"/>
      <c r="O203" s="454"/>
      <c r="P203" s="454"/>
      <c r="Q203" s="454"/>
      <c r="R203" s="715" t="s">
        <v>1631</v>
      </c>
      <c r="S203" s="716"/>
      <c r="T203" s="716"/>
      <c r="U203" s="716"/>
      <c r="V203" s="716"/>
      <c r="W203" s="716"/>
      <c r="X203" s="716"/>
      <c r="Y203" s="716"/>
      <c r="Z203" s="716"/>
      <c r="AA203" s="716"/>
      <c r="AB203" s="716"/>
      <c r="AC203" s="716"/>
      <c r="AD203" s="716"/>
      <c r="AE203" s="716"/>
      <c r="AF203" s="716"/>
      <c r="AG203" s="886"/>
      <c r="AH203" s="716"/>
      <c r="AI203" s="898"/>
      <c r="AJ203" s="908"/>
      <c r="AK203" s="922"/>
      <c r="AL203" s="716"/>
      <c r="AM203" s="716"/>
      <c r="AN203" s="716"/>
      <c r="AO203" s="930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6">
        <v>1</v>
      </c>
      <c r="BL203" s="716"/>
      <c r="BM203" s="716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  <c r="BX203" s="716"/>
      <c r="BY203" s="716"/>
      <c r="BZ203" s="716"/>
      <c r="CA203" s="716"/>
      <c r="CB203" s="716"/>
      <c r="CC203" s="716"/>
      <c r="CD203" s="716"/>
      <c r="CE203" s="717">
        <v>2</v>
      </c>
      <c r="CF203" s="716">
        <v>2</v>
      </c>
      <c r="CG203" s="174">
        <f t="shared" si="105"/>
        <v>0</v>
      </c>
      <c r="CH203" s="716"/>
      <c r="CI203" s="716"/>
      <c r="CJ203" s="716"/>
      <c r="CK203" s="716"/>
      <c r="CL203" s="716"/>
      <c r="CM203" s="716"/>
      <c r="CN203" s="716"/>
      <c r="CO203" s="716"/>
      <c r="CP203" s="716"/>
      <c r="CQ203" s="716"/>
      <c r="CR203" s="716"/>
      <c r="CS203" s="716"/>
      <c r="CT203" s="716"/>
      <c r="CU203" s="716"/>
      <c r="CV203" s="716"/>
      <c r="CW203" s="716"/>
      <c r="CX203" s="716"/>
      <c r="CY203" s="716"/>
      <c r="CZ203" s="716"/>
      <c r="DA203" s="716"/>
      <c r="DB203" s="716"/>
      <c r="DC203" s="716"/>
      <c r="DD203" s="716"/>
      <c r="DE203" s="716"/>
      <c r="DF203" s="716"/>
      <c r="DG203" s="716"/>
      <c r="DH203" s="716"/>
      <c r="DI203" s="716"/>
      <c r="DJ203" s="716"/>
      <c r="DK203" s="716"/>
      <c r="DL203" s="454"/>
      <c r="DM203" s="454"/>
      <c r="DN203" s="454"/>
      <c r="DO203" s="454"/>
      <c r="DP203" s="454"/>
      <c r="DQ203" s="454"/>
      <c r="DR203" s="454"/>
      <c r="DS203" s="454"/>
      <c r="DT203" s="454"/>
      <c r="DU203" s="454"/>
      <c r="DV203" s="454"/>
      <c r="DW203" s="454"/>
      <c r="DX203" s="454"/>
      <c r="DY203" s="454"/>
      <c r="DZ203" s="454"/>
      <c r="EA203" s="454"/>
      <c r="EB203" s="454"/>
      <c r="EC203" s="454"/>
      <c r="ED203" s="454"/>
      <c r="EE203" s="454"/>
      <c r="EF203" s="454"/>
      <c r="EG203" s="454"/>
      <c r="EH203" s="454"/>
      <c r="EI203" s="454"/>
      <c r="EJ203" s="454"/>
      <c r="EK203" s="454"/>
      <c r="EL203" s="454"/>
      <c r="EM203" s="454"/>
      <c r="EN203" s="454"/>
      <c r="EO203" s="454"/>
      <c r="EP203" s="454"/>
      <c r="EQ203" s="454"/>
      <c r="ER203" s="454"/>
      <c r="ES203" s="454"/>
      <c r="ET203" s="454"/>
      <c r="EU203" s="454"/>
      <c r="EV203" s="454"/>
      <c r="EW203" s="454"/>
      <c r="EX203" s="454"/>
      <c r="EY203" s="454"/>
      <c r="EZ203" s="454"/>
      <c r="FA203" s="454"/>
      <c r="FB203" s="454"/>
      <c r="FC203" s="454"/>
      <c r="FD203" s="454"/>
      <c r="FE203" s="454"/>
      <c r="FF203" s="454"/>
    </row>
    <row r="204" spans="1:162" s="56" customFormat="1">
      <c r="A204" s="54"/>
      <c r="B204" s="720"/>
      <c r="C204" s="714" t="s">
        <v>3742</v>
      </c>
      <c r="D204" s="454">
        <v>39.299999999999997</v>
      </c>
      <c r="E204" s="62">
        <f t="shared" si="103"/>
        <v>117.89999999999999</v>
      </c>
      <c r="F204" s="62"/>
      <c r="G204" s="62"/>
      <c r="H204" s="62"/>
      <c r="I204" s="62"/>
      <c r="J204" s="62"/>
      <c r="K204" s="62"/>
      <c r="L204" s="62">
        <f t="shared" si="104"/>
        <v>39.299999999999997</v>
      </c>
      <c r="M204" s="454"/>
      <c r="N204" s="454"/>
      <c r="O204" s="454"/>
      <c r="P204" s="454"/>
      <c r="Q204" s="454"/>
      <c r="R204" s="715" t="s">
        <v>1631</v>
      </c>
      <c r="S204" s="716"/>
      <c r="T204" s="716"/>
      <c r="U204" s="716"/>
      <c r="V204" s="716"/>
      <c r="W204" s="716"/>
      <c r="X204" s="716"/>
      <c r="Y204" s="716"/>
      <c r="Z204" s="716"/>
      <c r="AA204" s="716"/>
      <c r="AB204" s="716"/>
      <c r="AC204" s="716"/>
      <c r="AD204" s="716"/>
      <c r="AE204" s="716"/>
      <c r="AF204" s="716"/>
      <c r="AG204" s="886"/>
      <c r="AH204" s="716"/>
      <c r="AI204" s="898"/>
      <c r="AJ204" s="908"/>
      <c r="AK204" s="922"/>
      <c r="AL204" s="716"/>
      <c r="AM204" s="716"/>
      <c r="AN204" s="716"/>
      <c r="AO204" s="930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6">
        <v>1</v>
      </c>
      <c r="BL204" s="716"/>
      <c r="BM204" s="716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  <c r="BX204" s="716"/>
      <c r="BY204" s="716"/>
      <c r="BZ204" s="716"/>
      <c r="CA204" s="716"/>
      <c r="CB204" s="716"/>
      <c r="CC204" s="716"/>
      <c r="CD204" s="716"/>
      <c r="CE204" s="717">
        <v>2</v>
      </c>
      <c r="CF204" s="716">
        <v>2</v>
      </c>
      <c r="CG204" s="174">
        <f t="shared" si="105"/>
        <v>0</v>
      </c>
      <c r="CH204" s="716"/>
      <c r="CI204" s="716"/>
      <c r="CJ204" s="716"/>
      <c r="CK204" s="716"/>
      <c r="CL204" s="716"/>
      <c r="CM204" s="716"/>
      <c r="CN204" s="716"/>
      <c r="CO204" s="716"/>
      <c r="CP204" s="716"/>
      <c r="CQ204" s="716"/>
      <c r="CR204" s="716"/>
      <c r="CS204" s="716"/>
      <c r="CT204" s="716"/>
      <c r="CU204" s="716"/>
      <c r="CV204" s="716"/>
      <c r="CW204" s="716"/>
      <c r="CX204" s="716"/>
      <c r="CY204" s="716"/>
      <c r="CZ204" s="716"/>
      <c r="DA204" s="716"/>
      <c r="DB204" s="716"/>
      <c r="DC204" s="716"/>
      <c r="DD204" s="716"/>
      <c r="DE204" s="716"/>
      <c r="DF204" s="716"/>
      <c r="DG204" s="716"/>
      <c r="DH204" s="716"/>
      <c r="DI204" s="716"/>
      <c r="DJ204" s="716"/>
      <c r="DK204" s="716"/>
      <c r="DL204" s="454"/>
      <c r="DM204" s="454"/>
      <c r="DN204" s="454"/>
      <c r="DO204" s="454"/>
      <c r="DP204" s="454"/>
      <c r="DQ204" s="454"/>
      <c r="DR204" s="454"/>
      <c r="DS204" s="454"/>
      <c r="DT204" s="454"/>
      <c r="DU204" s="454"/>
      <c r="DV204" s="454"/>
      <c r="DW204" s="454"/>
      <c r="DX204" s="454"/>
      <c r="DY204" s="454"/>
      <c r="DZ204" s="454"/>
      <c r="EA204" s="454"/>
      <c r="EB204" s="454"/>
      <c r="EC204" s="454"/>
      <c r="ED204" s="454"/>
      <c r="EE204" s="454"/>
      <c r="EF204" s="454"/>
      <c r="EG204" s="454"/>
      <c r="EH204" s="454"/>
      <c r="EI204" s="454"/>
      <c r="EJ204" s="454"/>
      <c r="EK204" s="454"/>
      <c r="EL204" s="454"/>
      <c r="EM204" s="454"/>
      <c r="EN204" s="454"/>
      <c r="EO204" s="454"/>
      <c r="EP204" s="454"/>
      <c r="EQ204" s="454"/>
      <c r="ER204" s="454"/>
      <c r="ES204" s="454"/>
      <c r="ET204" s="454"/>
      <c r="EU204" s="454"/>
      <c r="EV204" s="454"/>
      <c r="EW204" s="454"/>
      <c r="EX204" s="454"/>
      <c r="EY204" s="454"/>
      <c r="EZ204" s="454"/>
      <c r="FA204" s="454"/>
      <c r="FB204" s="454"/>
      <c r="FC204" s="454"/>
      <c r="FD204" s="454"/>
      <c r="FE204" s="454"/>
      <c r="FF204" s="454"/>
    </row>
    <row r="205" spans="1:162" s="56" customFormat="1">
      <c r="A205" s="54"/>
      <c r="B205" s="720"/>
      <c r="C205" s="714" t="s">
        <v>3743</v>
      </c>
      <c r="D205" s="454">
        <v>40.6</v>
      </c>
      <c r="E205" s="62">
        <f t="shared" si="103"/>
        <v>121.80000000000001</v>
      </c>
      <c r="F205" s="62"/>
      <c r="G205" s="62"/>
      <c r="H205" s="62"/>
      <c r="I205" s="62"/>
      <c r="J205" s="62"/>
      <c r="K205" s="62"/>
      <c r="L205" s="62">
        <f t="shared" si="104"/>
        <v>40.6</v>
      </c>
      <c r="M205" s="454"/>
      <c r="N205" s="454"/>
      <c r="O205" s="454"/>
      <c r="P205" s="454"/>
      <c r="Q205" s="454"/>
      <c r="R205" s="715" t="s">
        <v>2989</v>
      </c>
      <c r="S205" s="716">
        <v>2</v>
      </c>
      <c r="T205" s="716"/>
      <c r="U205" s="716"/>
      <c r="V205" s="716"/>
      <c r="W205" s="716"/>
      <c r="X205" s="716"/>
      <c r="Y205" s="716"/>
      <c r="Z205" s="716"/>
      <c r="AA205" s="716"/>
      <c r="AB205" s="716"/>
      <c r="AC205" s="716"/>
      <c r="AD205" s="716"/>
      <c r="AE205" s="716"/>
      <c r="AF205" s="716"/>
      <c r="AG205" s="886"/>
      <c r="AH205" s="716"/>
      <c r="AI205" s="898"/>
      <c r="AJ205" s="908">
        <v>1</v>
      </c>
      <c r="AK205" s="922"/>
      <c r="AL205" s="716"/>
      <c r="AM205" s="716"/>
      <c r="AN205" s="716"/>
      <c r="AO205" s="930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>
        <v>1</v>
      </c>
      <c r="BJ205" s="716"/>
      <c r="BK205" s="716"/>
      <c r="BL205" s="716"/>
      <c r="BM205" s="716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>
        <v>1</v>
      </c>
      <c r="BX205" s="716"/>
      <c r="BY205" s="716"/>
      <c r="BZ205" s="716"/>
      <c r="CA205" s="716"/>
      <c r="CB205" s="716"/>
      <c r="CC205" s="716"/>
      <c r="CD205" s="716"/>
      <c r="CE205" s="717">
        <v>6</v>
      </c>
      <c r="CF205" s="716"/>
      <c r="CG205" s="174">
        <f t="shared" si="105"/>
        <v>6</v>
      </c>
      <c r="CH205" s="716">
        <v>6</v>
      </c>
      <c r="CI205" s="716"/>
      <c r="CJ205" s="716"/>
      <c r="CK205" s="716"/>
      <c r="CL205" s="716"/>
      <c r="CM205" s="716"/>
      <c r="CN205" s="716"/>
      <c r="CO205" s="716"/>
      <c r="CP205" s="716"/>
      <c r="CQ205" s="716"/>
      <c r="CR205" s="716"/>
      <c r="CS205" s="716"/>
      <c r="CT205" s="716"/>
      <c r="CU205" s="716"/>
      <c r="CV205" s="716"/>
      <c r="CW205" s="716"/>
      <c r="CX205" s="716">
        <v>3</v>
      </c>
      <c r="CY205" s="716">
        <v>3</v>
      </c>
      <c r="CZ205" s="716">
        <v>3</v>
      </c>
      <c r="DA205" s="716"/>
      <c r="DB205" s="716"/>
      <c r="DC205" s="716"/>
      <c r="DD205" s="716"/>
      <c r="DE205" s="716"/>
      <c r="DF205" s="716"/>
      <c r="DG205" s="716"/>
      <c r="DH205" s="716"/>
      <c r="DI205" s="716"/>
      <c r="DJ205" s="716"/>
      <c r="DK205" s="716">
        <v>3</v>
      </c>
      <c r="DL205" s="454">
        <v>1.5</v>
      </c>
      <c r="DM205" s="454"/>
      <c r="DN205" s="454"/>
      <c r="DO205" s="454"/>
      <c r="DP205" s="454"/>
      <c r="DQ205" s="454"/>
      <c r="DR205" s="454"/>
      <c r="DS205" s="454">
        <v>1.5</v>
      </c>
      <c r="DT205" s="454">
        <v>4.5</v>
      </c>
      <c r="DU205" s="454"/>
      <c r="DV205" s="454"/>
      <c r="DW205" s="454"/>
      <c r="DX205" s="454"/>
      <c r="DY205" s="454"/>
      <c r="DZ205" s="454"/>
      <c r="EA205" s="454"/>
      <c r="EB205" s="454"/>
      <c r="EC205" s="454"/>
      <c r="ED205" s="454"/>
      <c r="EE205" s="454">
        <v>1</v>
      </c>
      <c r="EF205" s="454"/>
      <c r="EG205" s="454"/>
      <c r="EH205" s="454"/>
      <c r="EI205" s="454"/>
      <c r="EJ205" s="454"/>
      <c r="EK205" s="454"/>
      <c r="EL205" s="454"/>
      <c r="EM205" s="454"/>
      <c r="EN205" s="454"/>
      <c r="EO205" s="454"/>
      <c r="EP205" s="454"/>
      <c r="EQ205" s="454"/>
      <c r="ER205" s="454"/>
      <c r="ES205" s="454"/>
      <c r="ET205" s="454"/>
      <c r="EU205" s="454"/>
      <c r="EV205" s="454"/>
      <c r="EW205" s="454"/>
      <c r="EX205" s="454"/>
      <c r="EY205" s="454"/>
      <c r="EZ205" s="454"/>
      <c r="FA205" s="454"/>
      <c r="FB205" s="454"/>
      <c r="FC205" s="454"/>
      <c r="FD205" s="454"/>
      <c r="FE205" s="454"/>
      <c r="FF205" s="454"/>
    </row>
    <row r="206" spans="1:162" s="56" customFormat="1">
      <c r="A206" s="54"/>
      <c r="B206" s="720"/>
      <c r="C206" s="714" t="s">
        <v>3744</v>
      </c>
      <c r="D206" s="454">
        <v>39.6</v>
      </c>
      <c r="E206" s="62">
        <f t="shared" si="103"/>
        <v>118.80000000000001</v>
      </c>
      <c r="F206" s="62"/>
      <c r="G206" s="62"/>
      <c r="H206" s="62"/>
      <c r="I206" s="62"/>
      <c r="J206" s="62"/>
      <c r="K206" s="62"/>
      <c r="L206" s="62">
        <f t="shared" si="104"/>
        <v>39.6</v>
      </c>
      <c r="M206" s="454"/>
      <c r="N206" s="454"/>
      <c r="O206" s="454"/>
      <c r="P206" s="454"/>
      <c r="Q206" s="454"/>
      <c r="R206" s="715" t="s">
        <v>1631</v>
      </c>
      <c r="S206" s="716"/>
      <c r="T206" s="716"/>
      <c r="U206" s="716"/>
      <c r="V206" s="716"/>
      <c r="W206" s="716"/>
      <c r="X206" s="716"/>
      <c r="Y206" s="716"/>
      <c r="Z206" s="716"/>
      <c r="AA206" s="716"/>
      <c r="AB206" s="716"/>
      <c r="AC206" s="716"/>
      <c r="AD206" s="716"/>
      <c r="AE206" s="716"/>
      <c r="AF206" s="716"/>
      <c r="AG206" s="886"/>
      <c r="AH206" s="716"/>
      <c r="AI206" s="898"/>
      <c r="AJ206" s="908"/>
      <c r="AK206" s="922"/>
      <c r="AL206" s="716"/>
      <c r="AM206" s="716"/>
      <c r="AN206" s="716"/>
      <c r="AO206" s="930"/>
      <c r="AP206" s="716"/>
      <c r="AQ206" s="716"/>
      <c r="AR206" s="716"/>
      <c r="AS206" s="716"/>
      <c r="AT206" s="716"/>
      <c r="AU206" s="716"/>
      <c r="AV206" s="716"/>
      <c r="AW206" s="716"/>
      <c r="AX206" s="716"/>
      <c r="AY206" s="716"/>
      <c r="AZ206" s="716"/>
      <c r="BA206" s="716"/>
      <c r="BB206" s="716"/>
      <c r="BC206" s="716"/>
      <c r="BD206" s="716"/>
      <c r="BE206" s="716"/>
      <c r="BF206" s="716"/>
      <c r="BG206" s="716"/>
      <c r="BH206" s="716"/>
      <c r="BI206" s="716"/>
      <c r="BJ206" s="716"/>
      <c r="BK206" s="716">
        <v>1</v>
      </c>
      <c r="BL206" s="716"/>
      <c r="BM206" s="716"/>
      <c r="BN206" s="716"/>
      <c r="BO206" s="716"/>
      <c r="BP206" s="716"/>
      <c r="BQ206" s="716"/>
      <c r="BR206" s="716"/>
      <c r="BS206" s="716"/>
      <c r="BT206" s="716"/>
      <c r="BU206" s="716"/>
      <c r="BV206" s="716"/>
      <c r="BW206" s="716"/>
      <c r="BX206" s="716"/>
      <c r="BY206" s="716"/>
      <c r="BZ206" s="716"/>
      <c r="CA206" s="716"/>
      <c r="CB206" s="716"/>
      <c r="CC206" s="716"/>
      <c r="CD206" s="716"/>
      <c r="CE206" s="717">
        <v>2</v>
      </c>
      <c r="CF206" s="716">
        <v>2</v>
      </c>
      <c r="CG206" s="174">
        <f t="shared" si="105"/>
        <v>0</v>
      </c>
      <c r="CH206" s="716"/>
      <c r="CI206" s="716"/>
      <c r="CJ206" s="716"/>
      <c r="CK206" s="716"/>
      <c r="CL206" s="716"/>
      <c r="CM206" s="716"/>
      <c r="CN206" s="716"/>
      <c r="CO206" s="716"/>
      <c r="CP206" s="716"/>
      <c r="CQ206" s="716"/>
      <c r="CR206" s="716"/>
      <c r="CS206" s="716"/>
      <c r="CT206" s="716"/>
      <c r="CU206" s="716"/>
      <c r="CV206" s="716"/>
      <c r="CW206" s="716"/>
      <c r="CX206" s="716"/>
      <c r="CY206" s="716"/>
      <c r="CZ206" s="716"/>
      <c r="DA206" s="716"/>
      <c r="DB206" s="716"/>
      <c r="DC206" s="716"/>
      <c r="DD206" s="716"/>
      <c r="DE206" s="716"/>
      <c r="DF206" s="716"/>
      <c r="DG206" s="716"/>
      <c r="DH206" s="716"/>
      <c r="DI206" s="716"/>
      <c r="DJ206" s="716"/>
      <c r="DK206" s="716"/>
      <c r="DL206" s="454"/>
      <c r="DM206" s="454"/>
      <c r="DN206" s="454"/>
      <c r="DO206" s="454"/>
      <c r="DP206" s="454"/>
      <c r="DQ206" s="454"/>
      <c r="DR206" s="454"/>
      <c r="DS206" s="454"/>
      <c r="DT206" s="454"/>
      <c r="DU206" s="454"/>
      <c r="DV206" s="454"/>
      <c r="DW206" s="454"/>
      <c r="DX206" s="454"/>
      <c r="DY206" s="454"/>
      <c r="DZ206" s="454"/>
      <c r="EA206" s="454"/>
      <c r="EB206" s="454"/>
      <c r="EC206" s="454"/>
      <c r="ED206" s="454"/>
      <c r="EE206" s="454"/>
      <c r="EF206" s="454"/>
      <c r="EG206" s="454"/>
      <c r="EH206" s="454"/>
      <c r="EI206" s="454"/>
      <c r="EJ206" s="454"/>
      <c r="EK206" s="454"/>
      <c r="EL206" s="454"/>
      <c r="EM206" s="454"/>
      <c r="EN206" s="454"/>
      <c r="EO206" s="454"/>
      <c r="EP206" s="454"/>
      <c r="EQ206" s="454"/>
      <c r="ER206" s="454"/>
      <c r="ES206" s="454"/>
      <c r="ET206" s="454"/>
      <c r="EU206" s="454"/>
      <c r="EV206" s="454"/>
      <c r="EW206" s="454"/>
      <c r="EX206" s="454"/>
      <c r="EY206" s="454"/>
      <c r="EZ206" s="454"/>
      <c r="FA206" s="454"/>
      <c r="FB206" s="454"/>
      <c r="FC206" s="454"/>
      <c r="FD206" s="454"/>
      <c r="FE206" s="454"/>
      <c r="FF206" s="454"/>
    </row>
    <row r="207" spans="1:162" s="56" customFormat="1">
      <c r="A207" s="54"/>
      <c r="B207" s="720"/>
      <c r="C207" s="714" t="s">
        <v>3745</v>
      </c>
      <c r="D207" s="454">
        <v>44.8</v>
      </c>
      <c r="E207" s="62">
        <f t="shared" si="103"/>
        <v>134.39999999999998</v>
      </c>
      <c r="F207" s="62"/>
      <c r="G207" s="62"/>
      <c r="H207" s="62"/>
      <c r="I207" s="62"/>
      <c r="J207" s="62"/>
      <c r="K207" s="62"/>
      <c r="L207" s="62">
        <f t="shared" si="104"/>
        <v>44.8</v>
      </c>
      <c r="M207" s="454"/>
      <c r="N207" s="454"/>
      <c r="O207" s="454"/>
      <c r="P207" s="454"/>
      <c r="Q207" s="454"/>
      <c r="R207" s="715" t="s">
        <v>1631</v>
      </c>
      <c r="S207" s="716"/>
      <c r="T207" s="716"/>
      <c r="U207" s="716"/>
      <c r="V207" s="716"/>
      <c r="W207" s="716"/>
      <c r="X207" s="716"/>
      <c r="Y207" s="716"/>
      <c r="Z207" s="716"/>
      <c r="AA207" s="716"/>
      <c r="AB207" s="716"/>
      <c r="AC207" s="716"/>
      <c r="AD207" s="716"/>
      <c r="AE207" s="716"/>
      <c r="AF207" s="716"/>
      <c r="AG207" s="886"/>
      <c r="AH207" s="716"/>
      <c r="AI207" s="898"/>
      <c r="AJ207" s="908"/>
      <c r="AK207" s="922"/>
      <c r="AL207" s="716"/>
      <c r="AM207" s="716"/>
      <c r="AN207" s="716"/>
      <c r="AO207" s="930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6">
        <v>1</v>
      </c>
      <c r="BL207" s="716"/>
      <c r="BM207" s="716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  <c r="BX207" s="716"/>
      <c r="BY207" s="716"/>
      <c r="BZ207" s="716"/>
      <c r="CA207" s="716"/>
      <c r="CB207" s="716"/>
      <c r="CC207" s="716"/>
      <c r="CD207" s="716"/>
      <c r="CE207" s="717">
        <v>2</v>
      </c>
      <c r="CF207" s="716">
        <v>2</v>
      </c>
      <c r="CG207" s="174">
        <f t="shared" si="105"/>
        <v>0</v>
      </c>
      <c r="CH207" s="716"/>
      <c r="CI207" s="716"/>
      <c r="CJ207" s="716"/>
      <c r="CK207" s="716"/>
      <c r="CL207" s="716"/>
      <c r="CM207" s="716"/>
      <c r="CN207" s="716"/>
      <c r="CO207" s="716"/>
      <c r="CP207" s="716"/>
      <c r="CQ207" s="716"/>
      <c r="CR207" s="716"/>
      <c r="CS207" s="716"/>
      <c r="CT207" s="716"/>
      <c r="CU207" s="716"/>
      <c r="CV207" s="716"/>
      <c r="CW207" s="716"/>
      <c r="CX207" s="716"/>
      <c r="CY207" s="716"/>
      <c r="CZ207" s="716"/>
      <c r="DA207" s="716"/>
      <c r="DB207" s="716"/>
      <c r="DC207" s="716"/>
      <c r="DD207" s="716"/>
      <c r="DE207" s="716"/>
      <c r="DF207" s="716"/>
      <c r="DG207" s="716"/>
      <c r="DH207" s="716"/>
      <c r="DI207" s="716"/>
      <c r="DJ207" s="716"/>
      <c r="DK207" s="716"/>
      <c r="DL207" s="454"/>
      <c r="DM207" s="454"/>
      <c r="DN207" s="454"/>
      <c r="DO207" s="454"/>
      <c r="DP207" s="454"/>
      <c r="DQ207" s="454"/>
      <c r="DR207" s="454"/>
      <c r="DS207" s="454"/>
      <c r="DT207" s="454"/>
      <c r="DU207" s="454"/>
      <c r="DV207" s="454"/>
      <c r="DW207" s="454"/>
      <c r="DX207" s="454"/>
      <c r="DY207" s="454"/>
      <c r="DZ207" s="454"/>
      <c r="EA207" s="454"/>
      <c r="EB207" s="454"/>
      <c r="EC207" s="454"/>
      <c r="ED207" s="454"/>
      <c r="EE207" s="454"/>
      <c r="EF207" s="454"/>
      <c r="EG207" s="454"/>
      <c r="EH207" s="454"/>
      <c r="EI207" s="454"/>
      <c r="EJ207" s="454"/>
      <c r="EK207" s="454"/>
      <c r="EL207" s="454"/>
      <c r="EM207" s="454"/>
      <c r="EN207" s="454"/>
      <c r="EO207" s="454"/>
      <c r="EP207" s="454"/>
      <c r="EQ207" s="454"/>
      <c r="ER207" s="454"/>
      <c r="ES207" s="454"/>
      <c r="ET207" s="454"/>
      <c r="EU207" s="454"/>
      <c r="EV207" s="454"/>
      <c r="EW207" s="454"/>
      <c r="EX207" s="454"/>
      <c r="EY207" s="454"/>
      <c r="EZ207" s="454"/>
      <c r="FA207" s="454"/>
      <c r="FB207" s="454"/>
      <c r="FC207" s="454"/>
      <c r="FD207" s="454"/>
      <c r="FE207" s="454"/>
      <c r="FF207" s="454"/>
    </row>
    <row r="208" spans="1:162" s="56" customFormat="1">
      <c r="A208" s="54"/>
      <c r="B208" s="720"/>
      <c r="C208" s="714" t="s">
        <v>3746</v>
      </c>
      <c r="D208" s="454">
        <v>49.9</v>
      </c>
      <c r="E208" s="62">
        <f t="shared" si="103"/>
        <v>149.69999999999999</v>
      </c>
      <c r="F208" s="62"/>
      <c r="G208" s="62"/>
      <c r="H208" s="62"/>
      <c r="I208" s="62"/>
      <c r="J208" s="62"/>
      <c r="K208" s="62"/>
      <c r="L208" s="62">
        <f t="shared" si="104"/>
        <v>49.9</v>
      </c>
      <c r="M208" s="454"/>
      <c r="N208" s="454"/>
      <c r="O208" s="454"/>
      <c r="P208" s="454"/>
      <c r="Q208" s="454"/>
      <c r="R208" s="715" t="s">
        <v>1631</v>
      </c>
      <c r="S208" s="716"/>
      <c r="T208" s="716"/>
      <c r="U208" s="716"/>
      <c r="V208" s="716"/>
      <c r="W208" s="716"/>
      <c r="X208" s="716"/>
      <c r="Y208" s="716"/>
      <c r="Z208" s="716"/>
      <c r="AA208" s="716"/>
      <c r="AB208" s="716"/>
      <c r="AC208" s="716"/>
      <c r="AD208" s="716"/>
      <c r="AE208" s="716"/>
      <c r="AF208" s="716"/>
      <c r="AG208" s="886"/>
      <c r="AH208" s="716"/>
      <c r="AI208" s="898"/>
      <c r="AJ208" s="908"/>
      <c r="AK208" s="922"/>
      <c r="AL208" s="716"/>
      <c r="AM208" s="716"/>
      <c r="AN208" s="716"/>
      <c r="AO208" s="930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6">
        <v>1</v>
      </c>
      <c r="BL208" s="716"/>
      <c r="BM208" s="716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  <c r="BX208" s="716"/>
      <c r="BY208" s="716"/>
      <c r="BZ208" s="716"/>
      <c r="CA208" s="716"/>
      <c r="CB208" s="716"/>
      <c r="CC208" s="716"/>
      <c r="CD208" s="716"/>
      <c r="CE208" s="717">
        <v>2</v>
      </c>
      <c r="CF208" s="716">
        <v>2</v>
      </c>
      <c r="CG208" s="174">
        <f t="shared" si="105"/>
        <v>0</v>
      </c>
      <c r="CH208" s="716"/>
      <c r="CI208" s="716"/>
      <c r="CJ208" s="716"/>
      <c r="CK208" s="716"/>
      <c r="CL208" s="716"/>
      <c r="CM208" s="716"/>
      <c r="CN208" s="716"/>
      <c r="CO208" s="716"/>
      <c r="CP208" s="716"/>
      <c r="CQ208" s="716"/>
      <c r="CR208" s="716"/>
      <c r="CS208" s="716"/>
      <c r="CT208" s="716"/>
      <c r="CU208" s="716"/>
      <c r="CV208" s="716"/>
      <c r="CW208" s="716"/>
      <c r="CX208" s="716"/>
      <c r="CY208" s="716"/>
      <c r="CZ208" s="716"/>
      <c r="DA208" s="716"/>
      <c r="DB208" s="716"/>
      <c r="DC208" s="716"/>
      <c r="DD208" s="716"/>
      <c r="DE208" s="716"/>
      <c r="DF208" s="716"/>
      <c r="DG208" s="716"/>
      <c r="DH208" s="716"/>
      <c r="DI208" s="716"/>
      <c r="DJ208" s="716"/>
      <c r="DK208" s="716"/>
      <c r="DL208" s="454"/>
      <c r="DM208" s="454"/>
      <c r="DN208" s="454"/>
      <c r="DO208" s="454"/>
      <c r="DP208" s="454"/>
      <c r="DQ208" s="454"/>
      <c r="DR208" s="454"/>
      <c r="DS208" s="454"/>
      <c r="DT208" s="454"/>
      <c r="DU208" s="454"/>
      <c r="DV208" s="454"/>
      <c r="DW208" s="454"/>
      <c r="DX208" s="454"/>
      <c r="DY208" s="454"/>
      <c r="DZ208" s="454"/>
      <c r="EA208" s="454"/>
      <c r="EB208" s="454"/>
      <c r="EC208" s="454"/>
      <c r="ED208" s="454"/>
      <c r="EE208" s="454"/>
      <c r="EF208" s="454"/>
      <c r="EG208" s="454"/>
      <c r="EH208" s="454"/>
      <c r="EI208" s="454"/>
      <c r="EJ208" s="454"/>
      <c r="EK208" s="454"/>
      <c r="EL208" s="454"/>
      <c r="EM208" s="454"/>
      <c r="EN208" s="454"/>
      <c r="EO208" s="454"/>
      <c r="EP208" s="454"/>
      <c r="EQ208" s="454"/>
      <c r="ER208" s="454"/>
      <c r="ES208" s="454"/>
      <c r="ET208" s="454"/>
      <c r="EU208" s="454"/>
      <c r="EV208" s="454"/>
      <c r="EW208" s="454"/>
      <c r="EX208" s="454"/>
      <c r="EY208" s="454"/>
      <c r="EZ208" s="454"/>
      <c r="FA208" s="454"/>
      <c r="FB208" s="454"/>
      <c r="FC208" s="454"/>
      <c r="FD208" s="454"/>
      <c r="FE208" s="454"/>
      <c r="FF208" s="454"/>
    </row>
    <row r="209" spans="1:162" s="56" customFormat="1">
      <c r="A209" s="54"/>
      <c r="B209" s="720"/>
      <c r="C209" s="714" t="s">
        <v>3747</v>
      </c>
      <c r="D209" s="454">
        <v>32</v>
      </c>
      <c r="E209" s="62">
        <f t="shared" si="103"/>
        <v>96</v>
      </c>
      <c r="F209" s="62"/>
      <c r="G209" s="62"/>
      <c r="H209" s="62"/>
      <c r="I209" s="62"/>
      <c r="J209" s="62"/>
      <c r="K209" s="62"/>
      <c r="L209" s="62">
        <f t="shared" si="104"/>
        <v>32</v>
      </c>
      <c r="M209" s="454"/>
      <c r="N209" s="454"/>
      <c r="O209" s="454"/>
      <c r="P209" s="454"/>
      <c r="Q209" s="454"/>
      <c r="R209" s="715" t="s">
        <v>1631</v>
      </c>
      <c r="S209" s="716"/>
      <c r="T209" s="716"/>
      <c r="U209" s="716"/>
      <c r="V209" s="716"/>
      <c r="W209" s="716"/>
      <c r="X209" s="716"/>
      <c r="Y209" s="716"/>
      <c r="Z209" s="716"/>
      <c r="AA209" s="716"/>
      <c r="AB209" s="716"/>
      <c r="AC209" s="716"/>
      <c r="AD209" s="716"/>
      <c r="AE209" s="716"/>
      <c r="AF209" s="716"/>
      <c r="AG209" s="886"/>
      <c r="AH209" s="716"/>
      <c r="AI209" s="898"/>
      <c r="AJ209" s="908"/>
      <c r="AK209" s="922"/>
      <c r="AL209" s="716"/>
      <c r="AM209" s="716"/>
      <c r="AN209" s="716"/>
      <c r="AO209" s="930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6">
        <v>1</v>
      </c>
      <c r="BL209" s="716"/>
      <c r="BM209" s="716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  <c r="BX209" s="716"/>
      <c r="BY209" s="716"/>
      <c r="BZ209" s="716"/>
      <c r="CA209" s="716"/>
      <c r="CB209" s="716"/>
      <c r="CC209" s="716"/>
      <c r="CD209" s="716"/>
      <c r="CE209" s="717">
        <v>2</v>
      </c>
      <c r="CF209" s="716">
        <v>2</v>
      </c>
      <c r="CG209" s="174">
        <f t="shared" si="105"/>
        <v>0</v>
      </c>
      <c r="CH209" s="716"/>
      <c r="CI209" s="716"/>
      <c r="CJ209" s="716"/>
      <c r="CK209" s="716"/>
      <c r="CL209" s="716"/>
      <c r="CM209" s="716"/>
      <c r="CN209" s="716"/>
      <c r="CO209" s="716"/>
      <c r="CP209" s="716"/>
      <c r="CQ209" s="716"/>
      <c r="CR209" s="716"/>
      <c r="CS209" s="716"/>
      <c r="CT209" s="716"/>
      <c r="CU209" s="716"/>
      <c r="CV209" s="716"/>
      <c r="CW209" s="716"/>
      <c r="CX209" s="716"/>
      <c r="CY209" s="716"/>
      <c r="CZ209" s="716"/>
      <c r="DA209" s="716"/>
      <c r="DB209" s="716"/>
      <c r="DC209" s="716"/>
      <c r="DD209" s="716"/>
      <c r="DE209" s="716"/>
      <c r="DF209" s="716"/>
      <c r="DG209" s="716"/>
      <c r="DH209" s="716"/>
      <c r="DI209" s="716"/>
      <c r="DJ209" s="716"/>
      <c r="DK209" s="716"/>
      <c r="DL209" s="454"/>
      <c r="DM209" s="454"/>
      <c r="DN209" s="454"/>
      <c r="DO209" s="454"/>
      <c r="DP209" s="454"/>
      <c r="DQ209" s="454"/>
      <c r="DR209" s="454"/>
      <c r="DS209" s="454"/>
      <c r="DT209" s="454"/>
      <c r="DU209" s="454"/>
      <c r="DV209" s="454"/>
      <c r="DW209" s="454"/>
      <c r="DX209" s="454"/>
      <c r="DY209" s="454"/>
      <c r="DZ209" s="454"/>
      <c r="EA209" s="454"/>
      <c r="EB209" s="454"/>
      <c r="EC209" s="454"/>
      <c r="ED209" s="454"/>
      <c r="EE209" s="454"/>
      <c r="EF209" s="454"/>
      <c r="EG209" s="454"/>
      <c r="EH209" s="454"/>
      <c r="EI209" s="454"/>
      <c r="EJ209" s="454"/>
      <c r="EK209" s="454"/>
      <c r="EL209" s="454"/>
      <c r="EM209" s="454"/>
      <c r="EN209" s="454"/>
      <c r="EO209" s="454"/>
      <c r="EP209" s="454"/>
      <c r="EQ209" s="454"/>
      <c r="ER209" s="454"/>
      <c r="ES209" s="454"/>
      <c r="ET209" s="454"/>
      <c r="EU209" s="454"/>
      <c r="EV209" s="454"/>
      <c r="EW209" s="454"/>
      <c r="EX209" s="454"/>
      <c r="EY209" s="454"/>
      <c r="EZ209" s="454"/>
      <c r="FA209" s="454"/>
      <c r="FB209" s="454"/>
      <c r="FC209" s="454"/>
      <c r="FD209" s="454"/>
      <c r="FE209" s="454"/>
      <c r="FF209" s="454"/>
    </row>
    <row r="210" spans="1:162" s="56" customFormat="1">
      <c r="A210" s="54"/>
      <c r="B210" s="720"/>
      <c r="C210" s="714" t="s">
        <v>3748</v>
      </c>
      <c r="D210" s="454">
        <v>40.299999999999997</v>
      </c>
      <c r="E210" s="62">
        <f t="shared" si="103"/>
        <v>120.89999999999999</v>
      </c>
      <c r="F210" s="62"/>
      <c r="G210" s="62"/>
      <c r="H210" s="62"/>
      <c r="I210" s="62"/>
      <c r="J210" s="62"/>
      <c r="K210" s="62"/>
      <c r="L210" s="62">
        <f t="shared" si="104"/>
        <v>40.299999999999997</v>
      </c>
      <c r="M210" s="454"/>
      <c r="N210" s="454"/>
      <c r="O210" s="454"/>
      <c r="P210" s="454"/>
      <c r="Q210" s="454"/>
      <c r="R210" s="715" t="s">
        <v>1631</v>
      </c>
      <c r="S210" s="716"/>
      <c r="T210" s="716"/>
      <c r="U210" s="716"/>
      <c r="V210" s="716"/>
      <c r="W210" s="716"/>
      <c r="X210" s="716"/>
      <c r="Y210" s="716"/>
      <c r="Z210" s="716"/>
      <c r="AA210" s="716"/>
      <c r="AB210" s="716"/>
      <c r="AC210" s="716"/>
      <c r="AD210" s="716"/>
      <c r="AE210" s="716"/>
      <c r="AF210" s="716"/>
      <c r="AG210" s="886"/>
      <c r="AH210" s="716"/>
      <c r="AI210" s="898"/>
      <c r="AJ210" s="908"/>
      <c r="AK210" s="922"/>
      <c r="AL210" s="716"/>
      <c r="AM210" s="716"/>
      <c r="AN210" s="716"/>
      <c r="AO210" s="930"/>
      <c r="AP210" s="716"/>
      <c r="AQ210" s="716"/>
      <c r="AR210" s="716"/>
      <c r="AS210" s="716"/>
      <c r="AT210" s="716"/>
      <c r="AU210" s="716"/>
      <c r="AV210" s="716"/>
      <c r="AW210" s="716"/>
      <c r="AX210" s="716"/>
      <c r="AY210" s="716"/>
      <c r="AZ210" s="716"/>
      <c r="BA210" s="716"/>
      <c r="BB210" s="716"/>
      <c r="BC210" s="716"/>
      <c r="BD210" s="716"/>
      <c r="BE210" s="716"/>
      <c r="BF210" s="716"/>
      <c r="BG210" s="716"/>
      <c r="BH210" s="716"/>
      <c r="BI210" s="716"/>
      <c r="BJ210" s="716"/>
      <c r="BK210" s="716">
        <v>1</v>
      </c>
      <c r="BL210" s="716"/>
      <c r="BM210" s="716"/>
      <c r="BN210" s="716"/>
      <c r="BO210" s="716"/>
      <c r="BP210" s="716"/>
      <c r="BQ210" s="716"/>
      <c r="BR210" s="716"/>
      <c r="BS210" s="716"/>
      <c r="BT210" s="716"/>
      <c r="BU210" s="716"/>
      <c r="BV210" s="716"/>
      <c r="BW210" s="716"/>
      <c r="BX210" s="716"/>
      <c r="BY210" s="716"/>
      <c r="BZ210" s="716"/>
      <c r="CA210" s="716"/>
      <c r="CB210" s="716"/>
      <c r="CC210" s="716"/>
      <c r="CD210" s="716"/>
      <c r="CE210" s="717">
        <v>2</v>
      </c>
      <c r="CF210" s="716">
        <v>2</v>
      </c>
      <c r="CG210" s="174">
        <f t="shared" si="105"/>
        <v>0</v>
      </c>
      <c r="CH210" s="716"/>
      <c r="CI210" s="716"/>
      <c r="CJ210" s="716"/>
      <c r="CK210" s="716"/>
      <c r="CL210" s="716"/>
      <c r="CM210" s="716"/>
      <c r="CN210" s="716"/>
      <c r="CO210" s="716"/>
      <c r="CP210" s="716"/>
      <c r="CQ210" s="716"/>
      <c r="CR210" s="716"/>
      <c r="CS210" s="716"/>
      <c r="CT210" s="716"/>
      <c r="CU210" s="716"/>
      <c r="CV210" s="716"/>
      <c r="CW210" s="716"/>
      <c r="CX210" s="716"/>
      <c r="CY210" s="716"/>
      <c r="CZ210" s="716"/>
      <c r="DA210" s="716"/>
      <c r="DB210" s="716"/>
      <c r="DC210" s="716"/>
      <c r="DD210" s="716"/>
      <c r="DE210" s="716"/>
      <c r="DF210" s="716"/>
      <c r="DG210" s="716"/>
      <c r="DH210" s="716"/>
      <c r="DI210" s="716"/>
      <c r="DJ210" s="716"/>
      <c r="DK210" s="716"/>
      <c r="DL210" s="454"/>
      <c r="DM210" s="454"/>
      <c r="DN210" s="454"/>
      <c r="DO210" s="454"/>
      <c r="DP210" s="454"/>
      <c r="DQ210" s="454"/>
      <c r="DR210" s="454"/>
      <c r="DS210" s="454"/>
      <c r="DT210" s="454"/>
      <c r="DU210" s="454"/>
      <c r="DV210" s="454"/>
      <c r="DW210" s="454"/>
      <c r="DX210" s="454"/>
      <c r="DY210" s="454"/>
      <c r="DZ210" s="454"/>
      <c r="EA210" s="454"/>
      <c r="EB210" s="454"/>
      <c r="EC210" s="454"/>
      <c r="ED210" s="454"/>
      <c r="EE210" s="454"/>
      <c r="EF210" s="454"/>
      <c r="EG210" s="454"/>
      <c r="EH210" s="454"/>
      <c r="EI210" s="454"/>
      <c r="EJ210" s="454"/>
      <c r="EK210" s="454"/>
      <c r="EL210" s="454"/>
      <c r="EM210" s="454"/>
      <c r="EN210" s="454"/>
      <c r="EO210" s="454"/>
      <c r="EP210" s="454"/>
      <c r="EQ210" s="454"/>
      <c r="ER210" s="454"/>
      <c r="ES210" s="454"/>
      <c r="ET210" s="454"/>
      <c r="EU210" s="454"/>
      <c r="EV210" s="454"/>
      <c r="EW210" s="454"/>
      <c r="EX210" s="454"/>
      <c r="EY210" s="454"/>
      <c r="EZ210" s="454"/>
      <c r="FA210" s="454"/>
      <c r="FB210" s="454"/>
      <c r="FC210" s="454"/>
      <c r="FD210" s="454"/>
      <c r="FE210" s="454"/>
      <c r="FF210" s="454"/>
    </row>
    <row r="211" spans="1:162" s="56" customFormat="1">
      <c r="A211" s="54"/>
      <c r="B211" s="720"/>
      <c r="C211" s="714" t="s">
        <v>3749</v>
      </c>
      <c r="D211" s="454">
        <v>45.8</v>
      </c>
      <c r="E211" s="62">
        <f t="shared" si="103"/>
        <v>137.39999999999998</v>
      </c>
      <c r="F211" s="62"/>
      <c r="G211" s="62"/>
      <c r="H211" s="62"/>
      <c r="I211" s="62"/>
      <c r="J211" s="62"/>
      <c r="K211" s="62"/>
      <c r="L211" s="62">
        <f t="shared" si="104"/>
        <v>45.8</v>
      </c>
      <c r="M211" s="454"/>
      <c r="N211" s="454"/>
      <c r="O211" s="454"/>
      <c r="P211" s="454"/>
      <c r="Q211" s="454"/>
      <c r="R211" s="715" t="s">
        <v>1631</v>
      </c>
      <c r="S211" s="716"/>
      <c r="T211" s="716"/>
      <c r="U211" s="716"/>
      <c r="V211" s="716"/>
      <c r="W211" s="716"/>
      <c r="X211" s="716"/>
      <c r="Y211" s="716"/>
      <c r="Z211" s="716"/>
      <c r="AA211" s="716"/>
      <c r="AB211" s="716"/>
      <c r="AC211" s="716"/>
      <c r="AD211" s="716"/>
      <c r="AE211" s="716"/>
      <c r="AF211" s="716"/>
      <c r="AG211" s="886"/>
      <c r="AH211" s="716"/>
      <c r="AI211" s="898"/>
      <c r="AJ211" s="908"/>
      <c r="AK211" s="922"/>
      <c r="AL211" s="716"/>
      <c r="AM211" s="716"/>
      <c r="AN211" s="716"/>
      <c r="AO211" s="930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6">
        <v>1</v>
      </c>
      <c r="BL211" s="716"/>
      <c r="BM211" s="716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  <c r="BX211" s="716"/>
      <c r="BY211" s="716"/>
      <c r="BZ211" s="716"/>
      <c r="CA211" s="716"/>
      <c r="CB211" s="716"/>
      <c r="CC211" s="716"/>
      <c r="CD211" s="716"/>
      <c r="CE211" s="717">
        <v>2</v>
      </c>
      <c r="CF211" s="716">
        <v>2</v>
      </c>
      <c r="CG211" s="174">
        <f t="shared" si="105"/>
        <v>0</v>
      </c>
      <c r="CH211" s="716"/>
      <c r="CI211" s="716"/>
      <c r="CJ211" s="716"/>
      <c r="CK211" s="716"/>
      <c r="CL211" s="716"/>
      <c r="CM211" s="716"/>
      <c r="CN211" s="716"/>
      <c r="CO211" s="716"/>
      <c r="CP211" s="716"/>
      <c r="CQ211" s="716"/>
      <c r="CR211" s="716"/>
      <c r="CS211" s="716"/>
      <c r="CT211" s="716"/>
      <c r="CU211" s="716"/>
      <c r="CV211" s="716"/>
      <c r="CW211" s="716"/>
      <c r="CX211" s="716"/>
      <c r="CY211" s="716"/>
      <c r="CZ211" s="716"/>
      <c r="DA211" s="716"/>
      <c r="DB211" s="716"/>
      <c r="DC211" s="716"/>
      <c r="DD211" s="716"/>
      <c r="DE211" s="716"/>
      <c r="DF211" s="716"/>
      <c r="DG211" s="716"/>
      <c r="DH211" s="716"/>
      <c r="DI211" s="716"/>
      <c r="DJ211" s="716"/>
      <c r="DK211" s="716"/>
      <c r="DL211" s="454"/>
      <c r="DM211" s="454"/>
      <c r="DN211" s="454"/>
      <c r="DO211" s="454"/>
      <c r="DP211" s="454"/>
      <c r="DQ211" s="454"/>
      <c r="DR211" s="454"/>
      <c r="DS211" s="454"/>
      <c r="DT211" s="454"/>
      <c r="DU211" s="454"/>
      <c r="DV211" s="454"/>
      <c r="DW211" s="454"/>
      <c r="DX211" s="454"/>
      <c r="DY211" s="454"/>
      <c r="DZ211" s="454"/>
      <c r="EA211" s="454"/>
      <c r="EB211" s="454"/>
      <c r="EC211" s="454"/>
      <c r="ED211" s="454"/>
      <c r="EE211" s="454"/>
      <c r="EF211" s="454"/>
      <c r="EG211" s="454"/>
      <c r="EH211" s="454"/>
      <c r="EI211" s="454"/>
      <c r="EJ211" s="454"/>
      <c r="EK211" s="454"/>
      <c r="EL211" s="454"/>
      <c r="EM211" s="454"/>
      <c r="EN211" s="454"/>
      <c r="EO211" s="454"/>
      <c r="EP211" s="454"/>
      <c r="EQ211" s="454"/>
      <c r="ER211" s="454"/>
      <c r="ES211" s="454"/>
      <c r="ET211" s="454"/>
      <c r="EU211" s="454"/>
      <c r="EV211" s="454"/>
      <c r="EW211" s="454"/>
      <c r="EX211" s="454"/>
      <c r="EY211" s="454"/>
      <c r="EZ211" s="454"/>
      <c r="FA211" s="454"/>
      <c r="FB211" s="454"/>
      <c r="FC211" s="454"/>
      <c r="FD211" s="454"/>
      <c r="FE211" s="454"/>
      <c r="FF211" s="454"/>
    </row>
    <row r="212" spans="1:162" s="56" customFormat="1">
      <c r="A212" s="54"/>
      <c r="B212" s="720"/>
      <c r="C212" s="714" t="s">
        <v>3750</v>
      </c>
      <c r="D212" s="454">
        <v>44.7</v>
      </c>
      <c r="E212" s="62">
        <f t="shared" si="103"/>
        <v>134.10000000000002</v>
      </c>
      <c r="F212" s="62"/>
      <c r="G212" s="62"/>
      <c r="H212" s="62"/>
      <c r="I212" s="62"/>
      <c r="J212" s="62"/>
      <c r="K212" s="62"/>
      <c r="L212" s="62">
        <f t="shared" si="104"/>
        <v>44.7</v>
      </c>
      <c r="M212" s="454"/>
      <c r="N212" s="454"/>
      <c r="O212" s="454"/>
      <c r="P212" s="454"/>
      <c r="Q212" s="454"/>
      <c r="R212" s="715" t="s">
        <v>1631</v>
      </c>
      <c r="S212" s="716"/>
      <c r="T212" s="716"/>
      <c r="U212" s="716"/>
      <c r="V212" s="716"/>
      <c r="W212" s="716"/>
      <c r="X212" s="716"/>
      <c r="Y212" s="716"/>
      <c r="Z212" s="716"/>
      <c r="AA212" s="716"/>
      <c r="AB212" s="716"/>
      <c r="AC212" s="716"/>
      <c r="AD212" s="716"/>
      <c r="AE212" s="716"/>
      <c r="AF212" s="716"/>
      <c r="AG212" s="886"/>
      <c r="AH212" s="716"/>
      <c r="AI212" s="898"/>
      <c r="AJ212" s="908"/>
      <c r="AK212" s="922"/>
      <c r="AL212" s="716"/>
      <c r="AM212" s="716"/>
      <c r="AN212" s="716"/>
      <c r="AO212" s="930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6">
        <v>1</v>
      </c>
      <c r="BL212" s="716"/>
      <c r="BM212" s="716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  <c r="BX212" s="716"/>
      <c r="BY212" s="716"/>
      <c r="BZ212" s="716"/>
      <c r="CA212" s="716"/>
      <c r="CB212" s="716"/>
      <c r="CC212" s="716"/>
      <c r="CD212" s="716"/>
      <c r="CE212" s="717">
        <v>2</v>
      </c>
      <c r="CF212" s="716">
        <v>2</v>
      </c>
      <c r="CG212" s="174">
        <f t="shared" si="105"/>
        <v>0</v>
      </c>
      <c r="CH212" s="716"/>
      <c r="CI212" s="716"/>
      <c r="CJ212" s="716"/>
      <c r="CK212" s="716"/>
      <c r="CL212" s="716"/>
      <c r="CM212" s="716"/>
      <c r="CN212" s="716"/>
      <c r="CO212" s="716"/>
      <c r="CP212" s="716"/>
      <c r="CQ212" s="716"/>
      <c r="CR212" s="716"/>
      <c r="CS212" s="716"/>
      <c r="CT212" s="716"/>
      <c r="CU212" s="716"/>
      <c r="CV212" s="716"/>
      <c r="CW212" s="716"/>
      <c r="CX212" s="716"/>
      <c r="CY212" s="716"/>
      <c r="CZ212" s="716"/>
      <c r="DA212" s="716"/>
      <c r="DB212" s="716"/>
      <c r="DC212" s="716"/>
      <c r="DD212" s="716"/>
      <c r="DE212" s="716"/>
      <c r="DF212" s="716"/>
      <c r="DG212" s="716"/>
      <c r="DH212" s="716"/>
      <c r="DI212" s="716"/>
      <c r="DJ212" s="716"/>
      <c r="DK212" s="716"/>
      <c r="DL212" s="454"/>
      <c r="DM212" s="454"/>
      <c r="DN212" s="454"/>
      <c r="DO212" s="454"/>
      <c r="DP212" s="454"/>
      <c r="DQ212" s="454"/>
      <c r="DR212" s="454"/>
      <c r="DS212" s="454"/>
      <c r="DT212" s="454"/>
      <c r="DU212" s="454"/>
      <c r="DV212" s="454"/>
      <c r="DW212" s="454"/>
      <c r="DX212" s="454"/>
      <c r="DY212" s="454"/>
      <c r="DZ212" s="454"/>
      <c r="EA212" s="454"/>
      <c r="EB212" s="454"/>
      <c r="EC212" s="454"/>
      <c r="ED212" s="454"/>
      <c r="EE212" s="454"/>
      <c r="EF212" s="454"/>
      <c r="EG212" s="454"/>
      <c r="EH212" s="454"/>
      <c r="EI212" s="454"/>
      <c r="EJ212" s="454"/>
      <c r="EK212" s="454"/>
      <c r="EL212" s="454"/>
      <c r="EM212" s="454"/>
      <c r="EN212" s="454"/>
      <c r="EO212" s="454"/>
      <c r="EP212" s="454"/>
      <c r="EQ212" s="454"/>
      <c r="ER212" s="454"/>
      <c r="ES212" s="454"/>
      <c r="ET212" s="454"/>
      <c r="EU212" s="454"/>
      <c r="EV212" s="454"/>
      <c r="EW212" s="454"/>
      <c r="EX212" s="454"/>
      <c r="EY212" s="454"/>
      <c r="EZ212" s="454"/>
      <c r="FA212" s="454"/>
      <c r="FB212" s="454"/>
      <c r="FC212" s="454"/>
      <c r="FD212" s="454"/>
      <c r="FE212" s="454"/>
      <c r="FF212" s="454"/>
    </row>
    <row r="213" spans="1:162" s="56" customFormat="1">
      <c r="A213" s="54"/>
      <c r="B213" s="720"/>
      <c r="C213" s="714" t="s">
        <v>3751</v>
      </c>
      <c r="D213" s="454">
        <v>42.2</v>
      </c>
      <c r="E213" s="62">
        <f t="shared" si="103"/>
        <v>126.60000000000001</v>
      </c>
      <c r="F213" s="62"/>
      <c r="G213" s="62"/>
      <c r="H213" s="62"/>
      <c r="I213" s="62"/>
      <c r="J213" s="62"/>
      <c r="K213" s="62"/>
      <c r="L213" s="62">
        <f t="shared" si="104"/>
        <v>42.2</v>
      </c>
      <c r="M213" s="454"/>
      <c r="N213" s="454"/>
      <c r="O213" s="454"/>
      <c r="P213" s="454"/>
      <c r="Q213" s="454"/>
      <c r="R213" s="715" t="s">
        <v>1631</v>
      </c>
      <c r="S213" s="716"/>
      <c r="T213" s="716"/>
      <c r="U213" s="716"/>
      <c r="V213" s="716"/>
      <c r="W213" s="716"/>
      <c r="X213" s="716"/>
      <c r="Y213" s="716"/>
      <c r="Z213" s="716"/>
      <c r="AA213" s="716"/>
      <c r="AB213" s="716"/>
      <c r="AC213" s="716"/>
      <c r="AD213" s="716"/>
      <c r="AE213" s="716"/>
      <c r="AF213" s="716"/>
      <c r="AG213" s="886"/>
      <c r="AH213" s="716"/>
      <c r="AI213" s="898"/>
      <c r="AJ213" s="908"/>
      <c r="AK213" s="922"/>
      <c r="AL213" s="716"/>
      <c r="AM213" s="716"/>
      <c r="AN213" s="716"/>
      <c r="AO213" s="930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6">
        <v>1</v>
      </c>
      <c r="BL213" s="716"/>
      <c r="BM213" s="716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  <c r="BX213" s="716"/>
      <c r="BY213" s="716"/>
      <c r="BZ213" s="716"/>
      <c r="CA213" s="716"/>
      <c r="CB213" s="716"/>
      <c r="CC213" s="716"/>
      <c r="CD213" s="716"/>
      <c r="CE213" s="717">
        <v>2</v>
      </c>
      <c r="CF213" s="716">
        <v>2</v>
      </c>
      <c r="CG213" s="174">
        <f t="shared" si="105"/>
        <v>0</v>
      </c>
      <c r="CH213" s="716"/>
      <c r="CI213" s="716"/>
      <c r="CJ213" s="716"/>
      <c r="CK213" s="716"/>
      <c r="CL213" s="716"/>
      <c r="CM213" s="716"/>
      <c r="CN213" s="716"/>
      <c r="CO213" s="716"/>
      <c r="CP213" s="716"/>
      <c r="CQ213" s="716"/>
      <c r="CR213" s="716"/>
      <c r="CS213" s="716"/>
      <c r="CT213" s="716"/>
      <c r="CU213" s="716"/>
      <c r="CV213" s="716"/>
      <c r="CW213" s="716"/>
      <c r="CX213" s="716"/>
      <c r="CY213" s="716"/>
      <c r="CZ213" s="716"/>
      <c r="DA213" s="716"/>
      <c r="DB213" s="716"/>
      <c r="DC213" s="716"/>
      <c r="DD213" s="716"/>
      <c r="DE213" s="716"/>
      <c r="DF213" s="716"/>
      <c r="DG213" s="716"/>
      <c r="DH213" s="716"/>
      <c r="DI213" s="716"/>
      <c r="DJ213" s="716"/>
      <c r="DK213" s="716"/>
      <c r="DL213" s="454"/>
      <c r="DM213" s="454"/>
      <c r="DN213" s="454"/>
      <c r="DO213" s="454"/>
      <c r="DP213" s="454"/>
      <c r="DQ213" s="454"/>
      <c r="DR213" s="454"/>
      <c r="DS213" s="454"/>
      <c r="DT213" s="454"/>
      <c r="DU213" s="454"/>
      <c r="DV213" s="454"/>
      <c r="DW213" s="454"/>
      <c r="DX213" s="454"/>
      <c r="DY213" s="454"/>
      <c r="DZ213" s="454"/>
      <c r="EA213" s="454"/>
      <c r="EB213" s="454"/>
      <c r="EC213" s="454"/>
      <c r="ED213" s="454"/>
      <c r="EE213" s="454"/>
      <c r="EF213" s="454"/>
      <c r="EG213" s="454"/>
      <c r="EH213" s="454"/>
      <c r="EI213" s="454"/>
      <c r="EJ213" s="454"/>
      <c r="EK213" s="454"/>
      <c r="EL213" s="454"/>
      <c r="EM213" s="454"/>
      <c r="EN213" s="454"/>
      <c r="EO213" s="454"/>
      <c r="EP213" s="454"/>
      <c r="EQ213" s="454"/>
      <c r="ER213" s="454"/>
      <c r="ES213" s="454"/>
      <c r="ET213" s="454"/>
      <c r="EU213" s="454"/>
      <c r="EV213" s="454"/>
      <c r="EW213" s="454"/>
      <c r="EX213" s="454"/>
      <c r="EY213" s="454"/>
      <c r="EZ213" s="454"/>
      <c r="FA213" s="454"/>
      <c r="FB213" s="454"/>
      <c r="FC213" s="454"/>
      <c r="FD213" s="454"/>
      <c r="FE213" s="454"/>
      <c r="FF213" s="454"/>
    </row>
    <row r="214" spans="1:162" s="56" customFormat="1">
      <c r="A214" s="54"/>
      <c r="B214" s="720"/>
      <c r="C214" s="714" t="s">
        <v>3754</v>
      </c>
      <c r="D214" s="454">
        <v>38.299999999999997</v>
      </c>
      <c r="E214" s="62">
        <f t="shared" si="103"/>
        <v>114.89999999999999</v>
      </c>
      <c r="F214" s="62"/>
      <c r="G214" s="62"/>
      <c r="H214" s="62"/>
      <c r="I214" s="62"/>
      <c r="J214" s="62"/>
      <c r="K214" s="62"/>
      <c r="L214" s="62">
        <f t="shared" si="104"/>
        <v>38.299999999999997</v>
      </c>
      <c r="M214" s="454"/>
      <c r="N214" s="454"/>
      <c r="O214" s="454"/>
      <c r="P214" s="454"/>
      <c r="Q214" s="454"/>
      <c r="R214" s="715" t="s">
        <v>2989</v>
      </c>
      <c r="S214" s="716"/>
      <c r="T214" s="716"/>
      <c r="U214" s="716"/>
      <c r="V214" s="716"/>
      <c r="W214" s="716"/>
      <c r="X214" s="716"/>
      <c r="Y214" s="716"/>
      <c r="Z214" s="716"/>
      <c r="AA214" s="716"/>
      <c r="AB214" s="716"/>
      <c r="AC214" s="716"/>
      <c r="AD214" s="716"/>
      <c r="AE214" s="716"/>
      <c r="AF214" s="716"/>
      <c r="AG214" s="886"/>
      <c r="AH214" s="716"/>
      <c r="AI214" s="898"/>
      <c r="AJ214" s="908"/>
      <c r="AK214" s="922"/>
      <c r="AL214" s="716"/>
      <c r="AM214" s="716"/>
      <c r="AN214" s="716"/>
      <c r="AO214" s="930"/>
      <c r="AP214" s="716"/>
      <c r="AQ214" s="716"/>
      <c r="AR214" s="716"/>
      <c r="AS214" s="716"/>
      <c r="AT214" s="716"/>
      <c r="AU214" s="716"/>
      <c r="AV214" s="716"/>
      <c r="AW214" s="716"/>
      <c r="AX214" s="716"/>
      <c r="AY214" s="716"/>
      <c r="AZ214" s="716"/>
      <c r="BA214" s="716"/>
      <c r="BB214" s="716"/>
      <c r="BC214" s="716"/>
      <c r="BD214" s="716"/>
      <c r="BE214" s="716"/>
      <c r="BF214" s="716"/>
      <c r="BG214" s="716"/>
      <c r="BH214" s="716"/>
      <c r="BI214" s="716"/>
      <c r="BJ214" s="716"/>
      <c r="BK214" s="716"/>
      <c r="BL214" s="716"/>
      <c r="BM214" s="716"/>
      <c r="BN214" s="716"/>
      <c r="BO214" s="716"/>
      <c r="BP214" s="716"/>
      <c r="BQ214" s="716"/>
      <c r="BR214" s="716"/>
      <c r="BS214" s="716"/>
      <c r="BT214" s="716"/>
      <c r="BU214" s="716"/>
      <c r="BV214" s="716">
        <v>1</v>
      </c>
      <c r="BW214" s="716"/>
      <c r="BX214" s="716"/>
      <c r="BY214" s="716"/>
      <c r="BZ214" s="716"/>
      <c r="CA214" s="716"/>
      <c r="CB214" s="716"/>
      <c r="CC214" s="716"/>
      <c r="CD214" s="716"/>
      <c r="CE214" s="717">
        <v>6</v>
      </c>
      <c r="CF214" s="716"/>
      <c r="CG214" s="174">
        <f t="shared" si="105"/>
        <v>6</v>
      </c>
      <c r="CH214" s="716">
        <v>5</v>
      </c>
      <c r="CI214" s="716"/>
      <c r="CJ214" s="716"/>
      <c r="CK214" s="716"/>
      <c r="CL214" s="716"/>
      <c r="CM214" s="716"/>
      <c r="CN214" s="716"/>
      <c r="CO214" s="716"/>
      <c r="CP214" s="716"/>
      <c r="CQ214" s="716"/>
      <c r="CR214" s="716"/>
      <c r="CS214" s="716">
        <v>1</v>
      </c>
      <c r="CT214" s="716"/>
      <c r="CU214" s="716"/>
      <c r="CV214" s="716"/>
      <c r="CW214" s="716"/>
      <c r="CX214" s="716"/>
      <c r="CY214" s="716"/>
      <c r="CZ214" s="716"/>
      <c r="DA214" s="716"/>
      <c r="DB214" s="716">
        <v>2</v>
      </c>
      <c r="DC214" s="716"/>
      <c r="DD214" s="716"/>
      <c r="DE214" s="716"/>
      <c r="DF214" s="716"/>
      <c r="DG214" s="716"/>
      <c r="DH214" s="716"/>
      <c r="DI214" s="716"/>
      <c r="DJ214" s="716"/>
      <c r="DK214" s="716"/>
      <c r="DL214" s="454">
        <v>1.5</v>
      </c>
      <c r="DM214" s="454"/>
      <c r="DN214" s="454"/>
      <c r="DO214" s="454"/>
      <c r="DP214" s="454"/>
      <c r="DQ214" s="454"/>
      <c r="DR214" s="454"/>
      <c r="DS214" s="454">
        <v>1.5</v>
      </c>
      <c r="DT214" s="454"/>
      <c r="DU214" s="454"/>
      <c r="DV214" s="454"/>
      <c r="DW214" s="454"/>
      <c r="DX214" s="454"/>
      <c r="DY214" s="454"/>
      <c r="DZ214" s="454"/>
      <c r="EA214" s="454"/>
      <c r="EB214" s="454"/>
      <c r="EC214" s="454"/>
      <c r="ED214" s="454"/>
      <c r="EE214" s="454"/>
      <c r="EF214" s="454"/>
      <c r="EG214" s="454"/>
      <c r="EH214" s="454"/>
      <c r="EI214" s="454"/>
      <c r="EJ214" s="454"/>
      <c r="EK214" s="454"/>
      <c r="EL214" s="454"/>
      <c r="EM214" s="454"/>
      <c r="EN214" s="454"/>
      <c r="EO214" s="454"/>
      <c r="EP214" s="454"/>
      <c r="EQ214" s="454"/>
      <c r="ER214" s="454"/>
      <c r="ES214" s="454"/>
      <c r="ET214" s="454"/>
      <c r="EU214" s="454"/>
      <c r="EV214" s="454"/>
      <c r="EW214" s="454"/>
      <c r="EX214" s="454"/>
      <c r="EY214" s="454"/>
      <c r="EZ214" s="454"/>
      <c r="FA214" s="454"/>
      <c r="FB214" s="454"/>
      <c r="FC214" s="454"/>
      <c r="FD214" s="454"/>
      <c r="FE214" s="454"/>
      <c r="FF214" s="454"/>
    </row>
    <row r="215" spans="1:162" s="56" customFormat="1">
      <c r="A215" s="54"/>
      <c r="B215" s="720"/>
      <c r="C215" s="714" t="s">
        <v>3755</v>
      </c>
      <c r="D215" s="454">
        <v>40.5</v>
      </c>
      <c r="E215" s="62">
        <f t="shared" si="103"/>
        <v>121.5</v>
      </c>
      <c r="F215" s="62"/>
      <c r="G215" s="62"/>
      <c r="H215" s="62"/>
      <c r="I215" s="62"/>
      <c r="J215" s="62"/>
      <c r="K215" s="62"/>
      <c r="L215" s="62">
        <f t="shared" si="104"/>
        <v>40.5</v>
      </c>
      <c r="M215" s="454"/>
      <c r="N215" s="454"/>
      <c r="O215" s="454"/>
      <c r="P215" s="454"/>
      <c r="Q215" s="454"/>
      <c r="R215" s="715" t="s">
        <v>2989</v>
      </c>
      <c r="S215" s="716"/>
      <c r="T215" s="716"/>
      <c r="U215" s="716"/>
      <c r="V215" s="716">
        <v>2</v>
      </c>
      <c r="W215" s="716"/>
      <c r="X215" s="716"/>
      <c r="Y215" s="716"/>
      <c r="Z215" s="716"/>
      <c r="AA215" s="716"/>
      <c r="AB215" s="716"/>
      <c r="AC215" s="716"/>
      <c r="AD215" s="716"/>
      <c r="AE215" s="716"/>
      <c r="AF215" s="716"/>
      <c r="AG215" s="886"/>
      <c r="AH215" s="716"/>
      <c r="AI215" s="898"/>
      <c r="AJ215" s="908">
        <v>1</v>
      </c>
      <c r="AK215" s="922"/>
      <c r="AL215" s="716"/>
      <c r="AM215" s="716"/>
      <c r="AN215" s="716"/>
      <c r="AO215" s="930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6"/>
      <c r="BL215" s="716"/>
      <c r="BM215" s="716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>
        <v>1</v>
      </c>
      <c r="BX215" s="716"/>
      <c r="BY215" s="716"/>
      <c r="BZ215" s="716"/>
      <c r="CA215" s="716"/>
      <c r="CB215" s="716"/>
      <c r="CC215" s="716"/>
      <c r="CD215" s="716"/>
      <c r="CE215" s="717">
        <v>6</v>
      </c>
      <c r="CF215" s="716"/>
      <c r="CG215" s="174">
        <f t="shared" si="105"/>
        <v>6</v>
      </c>
      <c r="CH215" s="716">
        <v>6</v>
      </c>
      <c r="CI215" s="716"/>
      <c r="CJ215" s="716"/>
      <c r="CK215" s="716"/>
      <c r="CL215" s="716"/>
      <c r="CM215" s="716"/>
      <c r="CN215" s="716"/>
      <c r="CO215" s="716"/>
      <c r="CP215" s="716"/>
      <c r="CQ215" s="716"/>
      <c r="CR215" s="716"/>
      <c r="CS215" s="716">
        <v>2</v>
      </c>
      <c r="CT215" s="716"/>
      <c r="CU215" s="716"/>
      <c r="CV215" s="716"/>
      <c r="CW215" s="716"/>
      <c r="CX215" s="716"/>
      <c r="CY215" s="716"/>
      <c r="CZ215" s="716"/>
      <c r="DA215" s="716"/>
      <c r="DB215" s="716"/>
      <c r="DC215" s="716"/>
      <c r="DD215" s="716"/>
      <c r="DE215" s="716"/>
      <c r="DF215" s="716"/>
      <c r="DG215" s="716"/>
      <c r="DH215" s="716"/>
      <c r="DI215" s="716"/>
      <c r="DJ215" s="716"/>
      <c r="DK215" s="716"/>
      <c r="DL215" s="454"/>
      <c r="DM215" s="454"/>
      <c r="DN215" s="454"/>
      <c r="DO215" s="454"/>
      <c r="DP215" s="454"/>
      <c r="DQ215" s="454"/>
      <c r="DR215" s="454"/>
      <c r="DS215" s="454"/>
      <c r="DT215" s="454"/>
      <c r="DU215" s="454"/>
      <c r="DV215" s="454"/>
      <c r="DW215" s="454"/>
      <c r="DX215" s="454"/>
      <c r="DY215" s="454"/>
      <c r="DZ215" s="454"/>
      <c r="EA215" s="454"/>
      <c r="EB215" s="454"/>
      <c r="EC215" s="454"/>
      <c r="ED215" s="454"/>
      <c r="EE215" s="454"/>
      <c r="EF215" s="454"/>
      <c r="EG215" s="454"/>
      <c r="EH215" s="454"/>
      <c r="EI215" s="454"/>
      <c r="EJ215" s="454"/>
      <c r="EK215" s="454"/>
      <c r="EL215" s="454"/>
      <c r="EM215" s="454"/>
      <c r="EN215" s="454"/>
      <c r="EO215" s="454"/>
      <c r="EP215" s="454"/>
      <c r="EQ215" s="454"/>
      <c r="ER215" s="454"/>
      <c r="ES215" s="454"/>
      <c r="ET215" s="454"/>
      <c r="EU215" s="454"/>
      <c r="EV215" s="454"/>
      <c r="EW215" s="454"/>
      <c r="EX215" s="454"/>
      <c r="EY215" s="454"/>
      <c r="EZ215" s="454"/>
      <c r="FA215" s="454"/>
      <c r="FB215" s="454"/>
      <c r="FC215" s="454"/>
      <c r="FD215" s="454"/>
      <c r="FE215" s="454"/>
      <c r="FF215" s="454"/>
    </row>
    <row r="216" spans="1:162" s="56" customFormat="1">
      <c r="A216" s="54"/>
      <c r="B216" s="720"/>
      <c r="C216" s="714" t="s">
        <v>3756</v>
      </c>
      <c r="D216" s="454">
        <v>40</v>
      </c>
      <c r="E216" s="62">
        <f t="shared" si="103"/>
        <v>120</v>
      </c>
      <c r="F216" s="62"/>
      <c r="G216" s="62"/>
      <c r="H216" s="62"/>
      <c r="I216" s="62"/>
      <c r="J216" s="62"/>
      <c r="K216" s="62"/>
      <c r="L216" s="62">
        <f t="shared" si="104"/>
        <v>40</v>
      </c>
      <c r="M216" s="454"/>
      <c r="N216" s="454"/>
      <c r="O216" s="454"/>
      <c r="P216" s="454"/>
      <c r="Q216" s="454"/>
      <c r="R216" s="715" t="s">
        <v>1631</v>
      </c>
      <c r="S216" s="716"/>
      <c r="T216" s="716"/>
      <c r="U216" s="716"/>
      <c r="V216" s="716">
        <v>1</v>
      </c>
      <c r="W216" s="716"/>
      <c r="X216" s="716"/>
      <c r="Y216" s="716"/>
      <c r="Z216" s="716"/>
      <c r="AA216" s="716"/>
      <c r="AB216" s="716"/>
      <c r="AC216" s="716"/>
      <c r="AD216" s="716">
        <v>1</v>
      </c>
      <c r="AE216" s="716"/>
      <c r="AF216" s="716"/>
      <c r="AG216" s="886"/>
      <c r="AH216" s="716"/>
      <c r="AI216" s="898"/>
      <c r="AJ216" s="908"/>
      <c r="AK216" s="922"/>
      <c r="AL216" s="716"/>
      <c r="AM216" s="716"/>
      <c r="AN216" s="716"/>
      <c r="AO216" s="930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>
        <v>1</v>
      </c>
      <c r="BG216" s="716"/>
      <c r="BH216" s="716"/>
      <c r="BI216" s="716"/>
      <c r="BJ216" s="716"/>
      <c r="BK216" s="716">
        <v>1</v>
      </c>
      <c r="BL216" s="716"/>
      <c r="BM216" s="716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  <c r="BX216" s="716"/>
      <c r="BY216" s="716"/>
      <c r="BZ216" s="716"/>
      <c r="CA216" s="716"/>
      <c r="CB216" s="716"/>
      <c r="CC216" s="716"/>
      <c r="CD216" s="716">
        <v>1</v>
      </c>
      <c r="CE216" s="717">
        <v>2</v>
      </c>
      <c r="CF216" s="716">
        <v>2</v>
      </c>
      <c r="CG216" s="174">
        <f t="shared" si="105"/>
        <v>0</v>
      </c>
      <c r="CH216" s="716"/>
      <c r="CI216" s="716"/>
      <c r="CJ216" s="716"/>
      <c r="CK216" s="716"/>
      <c r="CL216" s="716"/>
      <c r="CM216" s="716"/>
      <c r="CN216" s="716"/>
      <c r="CO216" s="716"/>
      <c r="CP216" s="716"/>
      <c r="CQ216" s="716">
        <v>1</v>
      </c>
      <c r="CR216" s="716"/>
      <c r="CS216" s="716"/>
      <c r="CT216" s="716"/>
      <c r="CU216" s="716"/>
      <c r="CV216" s="716"/>
      <c r="CW216" s="716"/>
      <c r="CX216" s="716"/>
      <c r="CY216" s="716"/>
      <c r="CZ216" s="716"/>
      <c r="DA216" s="716"/>
      <c r="DB216" s="716"/>
      <c r="DC216" s="716"/>
      <c r="DD216" s="716"/>
      <c r="DE216" s="716"/>
      <c r="DF216" s="716"/>
      <c r="DG216" s="716"/>
      <c r="DH216" s="716"/>
      <c r="DI216" s="716"/>
      <c r="DJ216" s="716"/>
      <c r="DK216" s="716"/>
      <c r="DL216" s="454"/>
      <c r="DM216" s="454"/>
      <c r="DN216" s="454"/>
      <c r="DO216" s="454"/>
      <c r="DP216" s="454"/>
      <c r="DQ216" s="454"/>
      <c r="DR216" s="454"/>
      <c r="DS216" s="454"/>
      <c r="DT216" s="454"/>
      <c r="DU216" s="454"/>
      <c r="DV216" s="454"/>
      <c r="DW216" s="454"/>
      <c r="DX216" s="454"/>
      <c r="DY216" s="454"/>
      <c r="DZ216" s="454"/>
      <c r="EA216" s="454"/>
      <c r="EB216" s="454"/>
      <c r="EC216" s="454"/>
      <c r="ED216" s="454"/>
      <c r="EE216" s="454"/>
      <c r="EF216" s="454"/>
      <c r="EG216" s="454"/>
      <c r="EH216" s="454"/>
      <c r="EI216" s="454"/>
      <c r="EJ216" s="454"/>
      <c r="EK216" s="454"/>
      <c r="EL216" s="454"/>
      <c r="EM216" s="454"/>
      <c r="EN216" s="454"/>
      <c r="EO216" s="454"/>
      <c r="EP216" s="454"/>
      <c r="EQ216" s="454"/>
      <c r="ER216" s="454"/>
      <c r="ES216" s="454"/>
      <c r="ET216" s="454"/>
      <c r="EU216" s="454"/>
      <c r="EV216" s="454"/>
      <c r="EW216" s="454"/>
      <c r="EX216" s="454"/>
      <c r="EY216" s="454"/>
      <c r="EZ216" s="454"/>
      <c r="FA216" s="454"/>
      <c r="FB216" s="454"/>
      <c r="FC216" s="454"/>
      <c r="FD216" s="454"/>
      <c r="FE216" s="454"/>
      <c r="FF216" s="454"/>
    </row>
    <row r="217" spans="1:162" s="56" customFormat="1">
      <c r="A217" s="54"/>
      <c r="B217" s="720"/>
      <c r="C217" s="714" t="s">
        <v>3791</v>
      </c>
      <c r="D217" s="454">
        <v>40</v>
      </c>
      <c r="E217" s="62">
        <f t="shared" si="103"/>
        <v>120</v>
      </c>
      <c r="F217" s="62"/>
      <c r="G217" s="62"/>
      <c r="H217" s="62"/>
      <c r="I217" s="62"/>
      <c r="J217" s="62"/>
      <c r="K217" s="62"/>
      <c r="L217" s="62">
        <f t="shared" si="104"/>
        <v>40</v>
      </c>
      <c r="M217" s="454"/>
      <c r="N217" s="454"/>
      <c r="O217" s="454"/>
      <c r="P217" s="454"/>
      <c r="Q217" s="454"/>
      <c r="R217" s="715" t="s">
        <v>1631</v>
      </c>
      <c r="S217" s="716"/>
      <c r="T217" s="716"/>
      <c r="U217" s="716"/>
      <c r="V217" s="716">
        <v>1</v>
      </c>
      <c r="W217" s="716"/>
      <c r="X217" s="716"/>
      <c r="Y217" s="716"/>
      <c r="Z217" s="716"/>
      <c r="AA217" s="716"/>
      <c r="AB217" s="716"/>
      <c r="AC217" s="716"/>
      <c r="AD217" s="716">
        <v>1</v>
      </c>
      <c r="AE217" s="716"/>
      <c r="AF217" s="716"/>
      <c r="AG217" s="886"/>
      <c r="AH217" s="716"/>
      <c r="AI217" s="898"/>
      <c r="AJ217" s="908"/>
      <c r="AK217" s="922"/>
      <c r="AL217" s="716"/>
      <c r="AM217" s="716"/>
      <c r="AN217" s="716"/>
      <c r="AO217" s="930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6">
        <v>1</v>
      </c>
      <c r="BL217" s="716"/>
      <c r="BM217" s="716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  <c r="BX217" s="716"/>
      <c r="BY217" s="716"/>
      <c r="BZ217" s="716"/>
      <c r="CA217" s="716"/>
      <c r="CB217" s="716"/>
      <c r="CC217" s="716"/>
      <c r="CD217" s="716">
        <v>1</v>
      </c>
      <c r="CE217" s="717">
        <v>2</v>
      </c>
      <c r="CF217" s="716">
        <v>2</v>
      </c>
      <c r="CG217" s="174">
        <f t="shared" si="105"/>
        <v>0</v>
      </c>
      <c r="CH217" s="716"/>
      <c r="CI217" s="716"/>
      <c r="CJ217" s="716"/>
      <c r="CK217" s="716"/>
      <c r="CL217" s="716"/>
      <c r="CM217" s="716"/>
      <c r="CN217" s="716"/>
      <c r="CO217" s="716"/>
      <c r="CP217" s="716"/>
      <c r="CQ217" s="716">
        <v>1</v>
      </c>
      <c r="CR217" s="716"/>
      <c r="CS217" s="716"/>
      <c r="CT217" s="716"/>
      <c r="CU217" s="716"/>
      <c r="CV217" s="716"/>
      <c r="CW217" s="716"/>
      <c r="CX217" s="716"/>
      <c r="CY217" s="716"/>
      <c r="CZ217" s="716"/>
      <c r="DA217" s="716"/>
      <c r="DB217" s="716"/>
      <c r="DC217" s="716"/>
      <c r="DD217" s="716"/>
      <c r="DE217" s="716"/>
      <c r="DF217" s="716"/>
      <c r="DG217" s="716"/>
      <c r="DH217" s="716"/>
      <c r="DI217" s="716"/>
      <c r="DJ217" s="716"/>
      <c r="DK217" s="716"/>
      <c r="DL217" s="454"/>
      <c r="DM217" s="454"/>
      <c r="DN217" s="454"/>
      <c r="DO217" s="454"/>
      <c r="DP217" s="454"/>
      <c r="DQ217" s="454"/>
      <c r="DR217" s="454"/>
      <c r="DS217" s="454"/>
      <c r="DT217" s="454"/>
      <c r="DU217" s="454"/>
      <c r="DV217" s="454"/>
      <c r="DW217" s="454"/>
      <c r="DX217" s="454"/>
      <c r="DY217" s="454"/>
      <c r="DZ217" s="454"/>
      <c r="EA217" s="454"/>
      <c r="EB217" s="454"/>
      <c r="EC217" s="454"/>
      <c r="ED217" s="454"/>
      <c r="EE217" s="454"/>
      <c r="EF217" s="454"/>
      <c r="EG217" s="454"/>
      <c r="EH217" s="454"/>
      <c r="EI217" s="454"/>
      <c r="EJ217" s="454"/>
      <c r="EK217" s="454"/>
      <c r="EL217" s="454"/>
      <c r="EM217" s="454"/>
      <c r="EN217" s="454"/>
      <c r="EO217" s="454"/>
      <c r="EP217" s="454"/>
      <c r="EQ217" s="454"/>
      <c r="ER217" s="454"/>
      <c r="ES217" s="454"/>
      <c r="ET217" s="454"/>
      <c r="EU217" s="454"/>
      <c r="EV217" s="454"/>
      <c r="EW217" s="454"/>
      <c r="EX217" s="454"/>
      <c r="EY217" s="454"/>
      <c r="EZ217" s="454"/>
      <c r="FA217" s="454"/>
      <c r="FB217" s="454"/>
      <c r="FC217" s="454"/>
      <c r="FD217" s="454"/>
      <c r="FE217" s="454"/>
      <c r="FF217" s="454"/>
    </row>
    <row r="218" spans="1:162" s="56" customFormat="1">
      <c r="A218" s="54"/>
      <c r="B218" s="720"/>
      <c r="C218" s="714" t="s">
        <v>3792</v>
      </c>
      <c r="D218" s="454">
        <v>40</v>
      </c>
      <c r="E218" s="62">
        <f t="shared" si="103"/>
        <v>120</v>
      </c>
      <c r="F218" s="62"/>
      <c r="G218" s="62"/>
      <c r="H218" s="62"/>
      <c r="I218" s="62"/>
      <c r="J218" s="62"/>
      <c r="K218" s="62"/>
      <c r="L218" s="62">
        <f t="shared" si="104"/>
        <v>40</v>
      </c>
      <c r="M218" s="454"/>
      <c r="N218" s="454"/>
      <c r="O218" s="454"/>
      <c r="P218" s="454"/>
      <c r="Q218" s="454"/>
      <c r="R218" s="715" t="s">
        <v>1631</v>
      </c>
      <c r="S218" s="716"/>
      <c r="T218" s="716"/>
      <c r="U218" s="716"/>
      <c r="V218" s="716">
        <v>1</v>
      </c>
      <c r="W218" s="716"/>
      <c r="X218" s="716"/>
      <c r="Y218" s="716"/>
      <c r="Z218" s="716"/>
      <c r="AA218" s="716"/>
      <c r="AB218" s="716"/>
      <c r="AC218" s="716"/>
      <c r="AD218" s="716">
        <v>1</v>
      </c>
      <c r="AE218" s="716"/>
      <c r="AF218" s="716"/>
      <c r="AG218" s="886"/>
      <c r="AH218" s="716"/>
      <c r="AI218" s="898"/>
      <c r="AJ218" s="908"/>
      <c r="AK218" s="922"/>
      <c r="AL218" s="716"/>
      <c r="AM218" s="716"/>
      <c r="AN218" s="716"/>
      <c r="AO218" s="930"/>
      <c r="AP218" s="716"/>
      <c r="AQ218" s="716"/>
      <c r="AR218" s="716"/>
      <c r="AS218" s="716"/>
      <c r="AT218" s="716"/>
      <c r="AU218" s="716"/>
      <c r="AV218" s="716"/>
      <c r="AW218" s="716"/>
      <c r="AX218" s="716"/>
      <c r="AY218" s="716"/>
      <c r="AZ218" s="716"/>
      <c r="BA218" s="716"/>
      <c r="BB218" s="716"/>
      <c r="BC218" s="716"/>
      <c r="BD218" s="716"/>
      <c r="BE218" s="716"/>
      <c r="BF218" s="716"/>
      <c r="BG218" s="716"/>
      <c r="BH218" s="716"/>
      <c r="BI218" s="716"/>
      <c r="BJ218" s="716"/>
      <c r="BK218" s="716">
        <v>1</v>
      </c>
      <c r="BL218" s="716"/>
      <c r="BM218" s="716"/>
      <c r="BN218" s="716"/>
      <c r="BO218" s="716"/>
      <c r="BP218" s="716"/>
      <c r="BQ218" s="716"/>
      <c r="BR218" s="716"/>
      <c r="BS218" s="716"/>
      <c r="BT218" s="716"/>
      <c r="BU218" s="716"/>
      <c r="BV218" s="716"/>
      <c r="BW218" s="716"/>
      <c r="BX218" s="716"/>
      <c r="BY218" s="716"/>
      <c r="BZ218" s="716"/>
      <c r="CA218" s="716"/>
      <c r="CB218" s="716"/>
      <c r="CC218" s="716"/>
      <c r="CD218" s="716">
        <v>1</v>
      </c>
      <c r="CE218" s="717">
        <v>2</v>
      </c>
      <c r="CF218" s="716">
        <v>2</v>
      </c>
      <c r="CG218" s="174">
        <f t="shared" si="105"/>
        <v>0</v>
      </c>
      <c r="CH218" s="716"/>
      <c r="CI218" s="716"/>
      <c r="CJ218" s="716"/>
      <c r="CK218" s="716"/>
      <c r="CL218" s="716"/>
      <c r="CM218" s="716"/>
      <c r="CN218" s="716"/>
      <c r="CO218" s="716"/>
      <c r="CP218" s="716"/>
      <c r="CQ218" s="716">
        <v>1</v>
      </c>
      <c r="CR218" s="716"/>
      <c r="CS218" s="716"/>
      <c r="CT218" s="716"/>
      <c r="CU218" s="716"/>
      <c r="CV218" s="716"/>
      <c r="CW218" s="716"/>
      <c r="CX218" s="716"/>
      <c r="CY218" s="716"/>
      <c r="CZ218" s="716"/>
      <c r="DA218" s="716"/>
      <c r="DB218" s="716"/>
      <c r="DC218" s="716"/>
      <c r="DD218" s="716"/>
      <c r="DE218" s="716"/>
      <c r="DF218" s="716"/>
      <c r="DG218" s="716"/>
      <c r="DH218" s="716"/>
      <c r="DI218" s="716"/>
      <c r="DJ218" s="716"/>
      <c r="DK218" s="716"/>
      <c r="DL218" s="454"/>
      <c r="DM218" s="454"/>
      <c r="DN218" s="454"/>
      <c r="DO218" s="454"/>
      <c r="DP218" s="454"/>
      <c r="DQ218" s="454"/>
      <c r="DR218" s="454"/>
      <c r="DS218" s="454"/>
      <c r="DT218" s="454"/>
      <c r="DU218" s="454"/>
      <c r="DV218" s="454"/>
      <c r="DW218" s="454"/>
      <c r="DX218" s="454"/>
      <c r="DY218" s="454"/>
      <c r="DZ218" s="454"/>
      <c r="EA218" s="454"/>
      <c r="EB218" s="454"/>
      <c r="EC218" s="454"/>
      <c r="ED218" s="454"/>
      <c r="EE218" s="454"/>
      <c r="EF218" s="454"/>
      <c r="EG218" s="454"/>
      <c r="EH218" s="454"/>
      <c r="EI218" s="454"/>
      <c r="EJ218" s="454"/>
      <c r="EK218" s="454"/>
      <c r="EL218" s="454"/>
      <c r="EM218" s="454"/>
      <c r="EN218" s="454"/>
      <c r="EO218" s="454"/>
      <c r="EP218" s="454"/>
      <c r="EQ218" s="454"/>
      <c r="ER218" s="454"/>
      <c r="ES218" s="454"/>
      <c r="ET218" s="454"/>
      <c r="EU218" s="454"/>
      <c r="EV218" s="454"/>
      <c r="EW218" s="454"/>
      <c r="EX218" s="454"/>
      <c r="EY218" s="454"/>
      <c r="EZ218" s="454"/>
      <c r="FA218" s="454"/>
      <c r="FB218" s="454"/>
      <c r="FC218" s="454"/>
      <c r="FD218" s="454"/>
      <c r="FE218" s="454"/>
      <c r="FF218" s="454"/>
    </row>
    <row r="219" spans="1:162" s="56" customFormat="1">
      <c r="A219" s="54"/>
      <c r="B219" s="720"/>
      <c r="C219" s="714" t="s">
        <v>3793</v>
      </c>
      <c r="D219" s="454">
        <v>40</v>
      </c>
      <c r="E219" s="62">
        <f t="shared" si="103"/>
        <v>120</v>
      </c>
      <c r="F219" s="62"/>
      <c r="G219" s="62"/>
      <c r="H219" s="62"/>
      <c r="I219" s="62"/>
      <c r="J219" s="62"/>
      <c r="K219" s="62"/>
      <c r="L219" s="62">
        <f t="shared" si="104"/>
        <v>40</v>
      </c>
      <c r="M219" s="454"/>
      <c r="N219" s="454"/>
      <c r="O219" s="454"/>
      <c r="P219" s="454"/>
      <c r="Q219" s="454"/>
      <c r="R219" s="715" t="s">
        <v>1631</v>
      </c>
      <c r="S219" s="716"/>
      <c r="T219" s="716"/>
      <c r="U219" s="716"/>
      <c r="V219" s="716">
        <v>1</v>
      </c>
      <c r="W219" s="716"/>
      <c r="X219" s="716"/>
      <c r="Y219" s="716"/>
      <c r="Z219" s="716"/>
      <c r="AA219" s="716"/>
      <c r="AB219" s="716"/>
      <c r="AC219" s="716"/>
      <c r="AD219" s="716">
        <v>1</v>
      </c>
      <c r="AE219" s="716"/>
      <c r="AF219" s="716"/>
      <c r="AG219" s="886"/>
      <c r="AH219" s="716"/>
      <c r="AI219" s="898"/>
      <c r="AJ219" s="908"/>
      <c r="AK219" s="922"/>
      <c r="AL219" s="716"/>
      <c r="AM219" s="716"/>
      <c r="AN219" s="716"/>
      <c r="AO219" s="930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6">
        <v>1</v>
      </c>
      <c r="BL219" s="716"/>
      <c r="BM219" s="716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  <c r="BX219" s="716"/>
      <c r="BY219" s="716"/>
      <c r="BZ219" s="716"/>
      <c r="CA219" s="716"/>
      <c r="CB219" s="716"/>
      <c r="CC219" s="716"/>
      <c r="CD219" s="716">
        <v>1</v>
      </c>
      <c r="CE219" s="717">
        <v>2</v>
      </c>
      <c r="CF219" s="716">
        <v>2</v>
      </c>
      <c r="CG219" s="174">
        <f t="shared" si="105"/>
        <v>0</v>
      </c>
      <c r="CH219" s="716"/>
      <c r="CI219" s="716"/>
      <c r="CJ219" s="716"/>
      <c r="CK219" s="716"/>
      <c r="CL219" s="716"/>
      <c r="CM219" s="716"/>
      <c r="CN219" s="716"/>
      <c r="CO219" s="716"/>
      <c r="CP219" s="716"/>
      <c r="CQ219" s="716">
        <v>1</v>
      </c>
      <c r="CR219" s="716"/>
      <c r="CS219" s="716"/>
      <c r="CT219" s="716"/>
      <c r="CU219" s="716"/>
      <c r="CV219" s="716"/>
      <c r="CW219" s="716"/>
      <c r="CX219" s="716"/>
      <c r="CY219" s="716"/>
      <c r="CZ219" s="716"/>
      <c r="DA219" s="716"/>
      <c r="DB219" s="716"/>
      <c r="DC219" s="716"/>
      <c r="DD219" s="716"/>
      <c r="DE219" s="716"/>
      <c r="DF219" s="716"/>
      <c r="DG219" s="716"/>
      <c r="DH219" s="716"/>
      <c r="DI219" s="716"/>
      <c r="DJ219" s="716"/>
      <c r="DK219" s="716"/>
      <c r="DL219" s="454"/>
      <c r="DM219" s="454"/>
      <c r="DN219" s="454"/>
      <c r="DO219" s="454"/>
      <c r="DP219" s="454"/>
      <c r="DQ219" s="454"/>
      <c r="DR219" s="454"/>
      <c r="DS219" s="454"/>
      <c r="DT219" s="454"/>
      <c r="DU219" s="454"/>
      <c r="DV219" s="454"/>
      <c r="DW219" s="454"/>
      <c r="DX219" s="454"/>
      <c r="DY219" s="454"/>
      <c r="DZ219" s="454"/>
      <c r="EA219" s="454"/>
      <c r="EB219" s="454"/>
      <c r="EC219" s="454"/>
      <c r="ED219" s="454"/>
      <c r="EE219" s="454"/>
      <c r="EF219" s="454"/>
      <c r="EG219" s="454"/>
      <c r="EH219" s="454"/>
      <c r="EI219" s="454"/>
      <c r="EJ219" s="454"/>
      <c r="EK219" s="454"/>
      <c r="EL219" s="454"/>
      <c r="EM219" s="454"/>
      <c r="EN219" s="454"/>
      <c r="EO219" s="454"/>
      <c r="EP219" s="454"/>
      <c r="EQ219" s="454"/>
      <c r="ER219" s="454"/>
      <c r="ES219" s="454"/>
      <c r="ET219" s="454"/>
      <c r="EU219" s="454"/>
      <c r="EV219" s="454"/>
      <c r="EW219" s="454"/>
      <c r="EX219" s="454"/>
      <c r="EY219" s="454"/>
      <c r="EZ219" s="454"/>
      <c r="FA219" s="454"/>
      <c r="FB219" s="454"/>
      <c r="FC219" s="454"/>
      <c r="FD219" s="454"/>
      <c r="FE219" s="454"/>
      <c r="FF219" s="454"/>
    </row>
    <row r="220" spans="1:162" s="56" customFormat="1">
      <c r="A220" s="54"/>
      <c r="B220" s="720"/>
      <c r="C220" s="714" t="s">
        <v>3794</v>
      </c>
      <c r="D220" s="454">
        <v>40</v>
      </c>
      <c r="E220" s="62">
        <f t="shared" si="103"/>
        <v>120</v>
      </c>
      <c r="F220" s="62"/>
      <c r="G220" s="62"/>
      <c r="H220" s="62"/>
      <c r="I220" s="62"/>
      <c r="J220" s="62"/>
      <c r="K220" s="62"/>
      <c r="L220" s="62">
        <f t="shared" si="104"/>
        <v>40</v>
      </c>
      <c r="M220" s="454"/>
      <c r="N220" s="454"/>
      <c r="O220" s="454"/>
      <c r="P220" s="454"/>
      <c r="Q220" s="454"/>
      <c r="R220" s="715" t="s">
        <v>1631</v>
      </c>
      <c r="S220" s="716"/>
      <c r="T220" s="716"/>
      <c r="U220" s="716"/>
      <c r="V220" s="716">
        <v>1</v>
      </c>
      <c r="W220" s="716"/>
      <c r="X220" s="716"/>
      <c r="Y220" s="716"/>
      <c r="Z220" s="716"/>
      <c r="AA220" s="716"/>
      <c r="AB220" s="716"/>
      <c r="AC220" s="716"/>
      <c r="AD220" s="716">
        <v>1</v>
      </c>
      <c r="AE220" s="716"/>
      <c r="AF220" s="716"/>
      <c r="AG220" s="886"/>
      <c r="AH220" s="716"/>
      <c r="AI220" s="898"/>
      <c r="AJ220" s="908"/>
      <c r="AK220" s="922"/>
      <c r="AL220" s="716"/>
      <c r="AM220" s="716"/>
      <c r="AN220" s="716"/>
      <c r="AO220" s="930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6">
        <v>1</v>
      </c>
      <c r="BL220" s="716"/>
      <c r="BM220" s="716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  <c r="BX220" s="716"/>
      <c r="BY220" s="716"/>
      <c r="BZ220" s="716"/>
      <c r="CA220" s="716"/>
      <c r="CB220" s="716"/>
      <c r="CC220" s="716"/>
      <c r="CD220" s="716">
        <v>1</v>
      </c>
      <c r="CE220" s="717">
        <v>2</v>
      </c>
      <c r="CF220" s="716">
        <v>2</v>
      </c>
      <c r="CG220" s="174">
        <f t="shared" si="105"/>
        <v>0</v>
      </c>
      <c r="CH220" s="716"/>
      <c r="CI220" s="716"/>
      <c r="CJ220" s="716"/>
      <c r="CK220" s="716"/>
      <c r="CL220" s="716"/>
      <c r="CM220" s="716"/>
      <c r="CN220" s="716"/>
      <c r="CO220" s="716"/>
      <c r="CP220" s="716"/>
      <c r="CQ220" s="716">
        <v>1</v>
      </c>
      <c r="CR220" s="716"/>
      <c r="CS220" s="716"/>
      <c r="CT220" s="716"/>
      <c r="CU220" s="716"/>
      <c r="CV220" s="716"/>
      <c r="CW220" s="716"/>
      <c r="CX220" s="716"/>
      <c r="CY220" s="716"/>
      <c r="CZ220" s="716"/>
      <c r="DA220" s="716"/>
      <c r="DB220" s="716"/>
      <c r="DC220" s="716"/>
      <c r="DD220" s="716"/>
      <c r="DE220" s="716"/>
      <c r="DF220" s="716"/>
      <c r="DG220" s="716"/>
      <c r="DH220" s="716"/>
      <c r="DI220" s="716"/>
      <c r="DJ220" s="716"/>
      <c r="DK220" s="716"/>
      <c r="DL220" s="454"/>
      <c r="DM220" s="454"/>
      <c r="DN220" s="454"/>
      <c r="DO220" s="454"/>
      <c r="DP220" s="454"/>
      <c r="DQ220" s="454"/>
      <c r="DR220" s="454"/>
      <c r="DS220" s="454"/>
      <c r="DT220" s="454"/>
      <c r="DU220" s="454"/>
      <c r="DV220" s="454"/>
      <c r="DW220" s="454"/>
      <c r="DX220" s="454"/>
      <c r="DY220" s="454"/>
      <c r="DZ220" s="454"/>
      <c r="EA220" s="454"/>
      <c r="EB220" s="454"/>
      <c r="EC220" s="454"/>
      <c r="ED220" s="454"/>
      <c r="EE220" s="454"/>
      <c r="EF220" s="454"/>
      <c r="EG220" s="454"/>
      <c r="EH220" s="454"/>
      <c r="EI220" s="454"/>
      <c r="EJ220" s="454"/>
      <c r="EK220" s="454"/>
      <c r="EL220" s="454"/>
      <c r="EM220" s="454"/>
      <c r="EN220" s="454"/>
      <c r="EO220" s="454"/>
      <c r="EP220" s="454"/>
      <c r="EQ220" s="454"/>
      <c r="ER220" s="454"/>
      <c r="ES220" s="454"/>
      <c r="ET220" s="454"/>
      <c r="EU220" s="454"/>
      <c r="EV220" s="454"/>
      <c r="EW220" s="454"/>
      <c r="EX220" s="454"/>
      <c r="EY220" s="454"/>
      <c r="EZ220" s="454"/>
      <c r="FA220" s="454"/>
      <c r="FB220" s="454"/>
      <c r="FC220" s="454"/>
      <c r="FD220" s="454"/>
      <c r="FE220" s="454"/>
      <c r="FF220" s="454"/>
    </row>
    <row r="221" spans="1:162" s="56" customFormat="1">
      <c r="A221" s="54"/>
      <c r="B221" s="720"/>
      <c r="C221" s="714" t="s">
        <v>3795</v>
      </c>
      <c r="D221" s="454">
        <v>39</v>
      </c>
      <c r="E221" s="62">
        <f t="shared" si="103"/>
        <v>117</v>
      </c>
      <c r="F221" s="62"/>
      <c r="G221" s="62"/>
      <c r="H221" s="62"/>
      <c r="I221" s="62"/>
      <c r="J221" s="62"/>
      <c r="K221" s="62"/>
      <c r="L221" s="62">
        <f t="shared" si="104"/>
        <v>39</v>
      </c>
      <c r="M221" s="454"/>
      <c r="N221" s="454"/>
      <c r="O221" s="454"/>
      <c r="P221" s="454"/>
      <c r="Q221" s="454"/>
      <c r="R221" s="715" t="s">
        <v>2989</v>
      </c>
      <c r="S221" s="716"/>
      <c r="T221" s="716"/>
      <c r="U221" s="716"/>
      <c r="V221" s="716">
        <v>2</v>
      </c>
      <c r="W221" s="716"/>
      <c r="X221" s="716"/>
      <c r="Y221" s="716"/>
      <c r="Z221" s="716"/>
      <c r="AA221" s="716"/>
      <c r="AB221" s="716"/>
      <c r="AC221" s="716"/>
      <c r="AD221" s="716"/>
      <c r="AE221" s="716"/>
      <c r="AF221" s="716"/>
      <c r="AG221" s="886"/>
      <c r="AH221" s="716"/>
      <c r="AI221" s="898"/>
      <c r="AJ221" s="908">
        <v>1</v>
      </c>
      <c r="AK221" s="922"/>
      <c r="AL221" s="716"/>
      <c r="AM221" s="716"/>
      <c r="AN221" s="716"/>
      <c r="AO221" s="930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>
        <v>1</v>
      </c>
      <c r="BJ221" s="716"/>
      <c r="BK221" s="716"/>
      <c r="BL221" s="716"/>
      <c r="BM221" s="716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>
        <v>1</v>
      </c>
      <c r="BX221" s="716"/>
      <c r="BY221" s="716"/>
      <c r="BZ221" s="716"/>
      <c r="CA221" s="716"/>
      <c r="CB221" s="716">
        <v>1</v>
      </c>
      <c r="CC221" s="716"/>
      <c r="CD221" s="716"/>
      <c r="CE221" s="717"/>
      <c r="CF221" s="716"/>
      <c r="CG221" s="174">
        <f t="shared" si="105"/>
        <v>0</v>
      </c>
      <c r="CH221" s="716">
        <v>6</v>
      </c>
      <c r="CI221" s="716"/>
      <c r="CJ221" s="716"/>
      <c r="CK221" s="716"/>
      <c r="CL221" s="716"/>
      <c r="CM221" s="716"/>
      <c r="CN221" s="716"/>
      <c r="CO221" s="716"/>
      <c r="CP221" s="716"/>
      <c r="CQ221" s="716"/>
      <c r="CR221" s="716"/>
      <c r="CS221" s="716">
        <v>2</v>
      </c>
      <c r="CT221" s="716"/>
      <c r="CU221" s="716"/>
      <c r="CV221" s="716"/>
      <c r="CW221" s="716"/>
      <c r="CX221" s="716">
        <v>3</v>
      </c>
      <c r="CY221" s="716">
        <v>3</v>
      </c>
      <c r="CZ221" s="716">
        <v>3</v>
      </c>
      <c r="DA221" s="716"/>
      <c r="DB221" s="716"/>
      <c r="DC221" s="716"/>
      <c r="DD221" s="716"/>
      <c r="DE221" s="716"/>
      <c r="DF221" s="716"/>
      <c r="DG221" s="716"/>
      <c r="DH221" s="716"/>
      <c r="DI221" s="716"/>
      <c r="DJ221" s="716"/>
      <c r="DK221" s="716">
        <v>3</v>
      </c>
      <c r="DL221" s="454">
        <v>3</v>
      </c>
      <c r="DM221" s="454"/>
      <c r="DN221" s="454"/>
      <c r="DO221" s="454"/>
      <c r="DP221" s="454"/>
      <c r="DQ221" s="454"/>
      <c r="DR221" s="454"/>
      <c r="DS221" s="454">
        <v>3</v>
      </c>
      <c r="DT221" s="454">
        <f>4.5+6</f>
        <v>10.5</v>
      </c>
      <c r="DU221" s="454"/>
      <c r="DV221" s="454"/>
      <c r="DW221" s="454"/>
      <c r="DX221" s="454"/>
      <c r="DY221" s="454"/>
      <c r="DZ221" s="454"/>
      <c r="EA221" s="454"/>
      <c r="EB221" s="454"/>
      <c r="EC221" s="454"/>
      <c r="ED221" s="454"/>
      <c r="EE221" s="454"/>
      <c r="EF221" s="454"/>
      <c r="EG221" s="454"/>
      <c r="EH221" s="454"/>
      <c r="EI221" s="454"/>
      <c r="EJ221" s="454"/>
      <c r="EK221" s="454"/>
      <c r="EL221" s="454"/>
      <c r="EM221" s="454"/>
      <c r="EN221" s="454"/>
      <c r="EO221" s="454"/>
      <c r="EP221" s="454"/>
      <c r="EQ221" s="454"/>
      <c r="ER221" s="454"/>
      <c r="ES221" s="454"/>
      <c r="ET221" s="454"/>
      <c r="EU221" s="454"/>
      <c r="EV221" s="454"/>
      <c r="EW221" s="454"/>
      <c r="EX221" s="454"/>
      <c r="EY221" s="454"/>
      <c r="EZ221" s="454"/>
      <c r="FA221" s="454"/>
      <c r="FB221" s="454"/>
      <c r="FC221" s="454"/>
      <c r="FD221" s="454"/>
      <c r="FE221" s="454"/>
      <c r="FF221" s="454"/>
    </row>
    <row r="222" spans="1:162" s="56" customFormat="1">
      <c r="A222" s="54"/>
      <c r="B222" s="720"/>
      <c r="C222" s="714" t="s">
        <v>3796</v>
      </c>
      <c r="D222" s="454">
        <v>40</v>
      </c>
      <c r="E222" s="62">
        <f t="shared" si="103"/>
        <v>120</v>
      </c>
      <c r="F222" s="62"/>
      <c r="G222" s="62"/>
      <c r="H222" s="62"/>
      <c r="I222" s="62"/>
      <c r="J222" s="62"/>
      <c r="K222" s="62"/>
      <c r="L222" s="62">
        <f t="shared" si="104"/>
        <v>40</v>
      </c>
      <c r="M222" s="454"/>
      <c r="N222" s="454"/>
      <c r="O222" s="454"/>
      <c r="P222" s="454"/>
      <c r="Q222" s="454"/>
      <c r="R222" s="715" t="s">
        <v>2989</v>
      </c>
      <c r="S222" s="716"/>
      <c r="T222" s="716"/>
      <c r="U222" s="716"/>
      <c r="V222" s="716">
        <v>2</v>
      </c>
      <c r="W222" s="716"/>
      <c r="X222" s="716"/>
      <c r="Y222" s="716"/>
      <c r="Z222" s="716"/>
      <c r="AA222" s="716"/>
      <c r="AB222" s="716"/>
      <c r="AC222" s="716"/>
      <c r="AD222" s="716"/>
      <c r="AE222" s="716"/>
      <c r="AF222" s="716"/>
      <c r="AG222" s="886"/>
      <c r="AH222" s="716"/>
      <c r="AI222" s="898"/>
      <c r="AJ222" s="908">
        <v>1</v>
      </c>
      <c r="AK222" s="922"/>
      <c r="AL222" s="716"/>
      <c r="AM222" s="716"/>
      <c r="AN222" s="716"/>
      <c r="AO222" s="930"/>
      <c r="AP222" s="716"/>
      <c r="AQ222" s="716"/>
      <c r="AR222" s="716"/>
      <c r="AS222" s="716"/>
      <c r="AT222" s="716"/>
      <c r="AU222" s="716"/>
      <c r="AV222" s="716"/>
      <c r="AW222" s="716"/>
      <c r="AX222" s="716"/>
      <c r="AY222" s="716"/>
      <c r="AZ222" s="716"/>
      <c r="BA222" s="716"/>
      <c r="BB222" s="716"/>
      <c r="BC222" s="716"/>
      <c r="BD222" s="716"/>
      <c r="BE222" s="716"/>
      <c r="BF222" s="716">
        <v>1</v>
      </c>
      <c r="BG222" s="716"/>
      <c r="BH222" s="716"/>
      <c r="BI222" s="716"/>
      <c r="BJ222" s="716"/>
      <c r="BK222" s="716"/>
      <c r="BL222" s="716"/>
      <c r="BM222" s="716"/>
      <c r="BN222" s="716"/>
      <c r="BO222" s="716"/>
      <c r="BP222" s="716"/>
      <c r="BQ222" s="716"/>
      <c r="BR222" s="716"/>
      <c r="BS222" s="716"/>
      <c r="BT222" s="716"/>
      <c r="BU222" s="716"/>
      <c r="BV222" s="716"/>
      <c r="BW222" s="716">
        <v>1</v>
      </c>
      <c r="BX222" s="716"/>
      <c r="BY222" s="716"/>
      <c r="BZ222" s="716"/>
      <c r="CA222" s="716"/>
      <c r="CB222" s="716"/>
      <c r="CC222" s="716"/>
      <c r="CD222" s="716"/>
      <c r="CE222" s="717">
        <v>6</v>
      </c>
      <c r="CF222" s="716"/>
      <c r="CG222" s="174">
        <f t="shared" si="105"/>
        <v>6</v>
      </c>
      <c r="CH222" s="716">
        <v>6</v>
      </c>
      <c r="CI222" s="716"/>
      <c r="CJ222" s="716"/>
      <c r="CK222" s="716"/>
      <c r="CL222" s="716"/>
      <c r="CM222" s="716"/>
      <c r="CN222" s="716"/>
      <c r="CO222" s="716"/>
      <c r="CP222" s="716"/>
      <c r="CQ222" s="716"/>
      <c r="CR222" s="716"/>
      <c r="CS222" s="716">
        <v>2</v>
      </c>
      <c r="CT222" s="716"/>
      <c r="CU222" s="716"/>
      <c r="CV222" s="716"/>
      <c r="CW222" s="716"/>
      <c r="CX222" s="716">
        <v>3</v>
      </c>
      <c r="CY222" s="716">
        <v>3</v>
      </c>
      <c r="CZ222" s="716"/>
      <c r="DA222" s="716"/>
      <c r="DB222" s="716"/>
      <c r="DC222" s="716"/>
      <c r="DD222" s="716"/>
      <c r="DE222" s="716"/>
      <c r="DF222" s="716"/>
      <c r="DG222" s="716"/>
      <c r="DH222" s="716"/>
      <c r="DI222" s="716"/>
      <c r="DJ222" s="716"/>
      <c r="DK222" s="716"/>
      <c r="DL222" s="454"/>
      <c r="DM222" s="454"/>
      <c r="DN222" s="454"/>
      <c r="DO222" s="454"/>
      <c r="DP222" s="454"/>
      <c r="DQ222" s="454"/>
      <c r="DR222" s="454"/>
      <c r="DS222" s="454"/>
      <c r="DT222" s="454"/>
      <c r="DU222" s="454"/>
      <c r="DV222" s="454"/>
      <c r="DW222" s="454"/>
      <c r="DX222" s="454"/>
      <c r="DY222" s="454"/>
      <c r="DZ222" s="454"/>
      <c r="EA222" s="454"/>
      <c r="EB222" s="454"/>
      <c r="EC222" s="454"/>
      <c r="ED222" s="454"/>
      <c r="EE222" s="454"/>
      <c r="EF222" s="454"/>
      <c r="EG222" s="454"/>
      <c r="EH222" s="454"/>
      <c r="EI222" s="454"/>
      <c r="EJ222" s="454"/>
      <c r="EK222" s="454"/>
      <c r="EL222" s="454"/>
      <c r="EM222" s="454"/>
      <c r="EN222" s="454"/>
      <c r="EO222" s="454"/>
      <c r="EP222" s="454"/>
      <c r="EQ222" s="454"/>
      <c r="ER222" s="454"/>
      <c r="ES222" s="454"/>
      <c r="ET222" s="454"/>
      <c r="EU222" s="454"/>
      <c r="EV222" s="454"/>
      <c r="EW222" s="454"/>
      <c r="EX222" s="454"/>
      <c r="EY222" s="454"/>
      <c r="EZ222" s="454"/>
      <c r="FA222" s="454"/>
      <c r="FB222" s="454"/>
      <c r="FC222" s="454"/>
      <c r="FD222" s="454"/>
      <c r="FE222" s="454"/>
      <c r="FF222" s="454"/>
    </row>
    <row r="223" spans="1:162" s="56" customFormat="1">
      <c r="A223" s="54"/>
      <c r="B223" s="720"/>
      <c r="C223" s="714" t="s">
        <v>3797</v>
      </c>
      <c r="D223" s="454">
        <v>40</v>
      </c>
      <c r="E223" s="62">
        <f t="shared" si="103"/>
        <v>120</v>
      </c>
      <c r="F223" s="62"/>
      <c r="G223" s="62"/>
      <c r="H223" s="62"/>
      <c r="I223" s="62"/>
      <c r="J223" s="62"/>
      <c r="K223" s="62"/>
      <c r="L223" s="62">
        <f t="shared" si="104"/>
        <v>40</v>
      </c>
      <c r="M223" s="454"/>
      <c r="N223" s="454"/>
      <c r="O223" s="454"/>
      <c r="P223" s="454"/>
      <c r="Q223" s="454"/>
      <c r="R223" s="715" t="s">
        <v>1631</v>
      </c>
      <c r="S223" s="716"/>
      <c r="T223" s="716"/>
      <c r="U223" s="716"/>
      <c r="V223" s="716">
        <v>1</v>
      </c>
      <c r="W223" s="716"/>
      <c r="X223" s="716"/>
      <c r="Y223" s="716"/>
      <c r="Z223" s="716"/>
      <c r="AA223" s="716"/>
      <c r="AB223" s="716"/>
      <c r="AC223" s="716"/>
      <c r="AD223" s="716">
        <v>1</v>
      </c>
      <c r="AE223" s="716"/>
      <c r="AF223" s="716"/>
      <c r="AG223" s="886"/>
      <c r="AH223" s="716"/>
      <c r="AI223" s="898"/>
      <c r="AJ223" s="908"/>
      <c r="AK223" s="922"/>
      <c r="AL223" s="716"/>
      <c r="AM223" s="716"/>
      <c r="AN223" s="716"/>
      <c r="AO223" s="930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6">
        <v>1</v>
      </c>
      <c r="BL223" s="716"/>
      <c r="BM223" s="716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  <c r="BX223" s="716"/>
      <c r="BY223" s="716"/>
      <c r="BZ223" s="716"/>
      <c r="CA223" s="716"/>
      <c r="CB223" s="716"/>
      <c r="CC223" s="716"/>
      <c r="CD223" s="716">
        <v>1</v>
      </c>
      <c r="CE223" s="717">
        <v>2</v>
      </c>
      <c r="CF223" s="716">
        <v>2</v>
      </c>
      <c r="CG223" s="174">
        <f t="shared" si="105"/>
        <v>0</v>
      </c>
      <c r="CH223" s="716"/>
      <c r="CI223" s="716"/>
      <c r="CJ223" s="716"/>
      <c r="CK223" s="716"/>
      <c r="CL223" s="716"/>
      <c r="CM223" s="716"/>
      <c r="CN223" s="716"/>
      <c r="CO223" s="716"/>
      <c r="CP223" s="716"/>
      <c r="CQ223" s="716">
        <v>1</v>
      </c>
      <c r="CR223" s="716"/>
      <c r="CS223" s="716"/>
      <c r="CT223" s="716"/>
      <c r="CU223" s="716"/>
      <c r="CV223" s="716"/>
      <c r="CW223" s="716"/>
      <c r="CX223" s="716"/>
      <c r="CY223" s="716"/>
      <c r="CZ223" s="716"/>
      <c r="DA223" s="716"/>
      <c r="DB223" s="716"/>
      <c r="DC223" s="716"/>
      <c r="DD223" s="716"/>
      <c r="DE223" s="716"/>
      <c r="DF223" s="716"/>
      <c r="DG223" s="716"/>
      <c r="DH223" s="716"/>
      <c r="DI223" s="716"/>
      <c r="DJ223" s="716"/>
      <c r="DK223" s="716"/>
      <c r="DL223" s="454"/>
      <c r="DM223" s="454"/>
      <c r="DN223" s="454"/>
      <c r="DO223" s="454"/>
      <c r="DP223" s="454"/>
      <c r="DQ223" s="454"/>
      <c r="DR223" s="454"/>
      <c r="DS223" s="454"/>
      <c r="DT223" s="454"/>
      <c r="DU223" s="454"/>
      <c r="DV223" s="454"/>
      <c r="DW223" s="454"/>
      <c r="DX223" s="454"/>
      <c r="DY223" s="454"/>
      <c r="DZ223" s="454"/>
      <c r="EA223" s="454"/>
      <c r="EB223" s="454"/>
      <c r="EC223" s="454"/>
      <c r="ED223" s="454"/>
      <c r="EE223" s="454"/>
      <c r="EF223" s="454"/>
      <c r="EG223" s="454"/>
      <c r="EH223" s="454"/>
      <c r="EI223" s="454"/>
      <c r="EJ223" s="454"/>
      <c r="EK223" s="454"/>
      <c r="EL223" s="454"/>
      <c r="EM223" s="454"/>
      <c r="EN223" s="454"/>
      <c r="EO223" s="454"/>
      <c r="EP223" s="454"/>
      <c r="EQ223" s="454"/>
      <c r="ER223" s="454"/>
      <c r="ES223" s="454"/>
      <c r="ET223" s="454"/>
      <c r="EU223" s="454"/>
      <c r="EV223" s="454"/>
      <c r="EW223" s="454"/>
      <c r="EX223" s="454"/>
      <c r="EY223" s="454"/>
      <c r="EZ223" s="454"/>
      <c r="FA223" s="454"/>
      <c r="FB223" s="454"/>
      <c r="FC223" s="454"/>
      <c r="FD223" s="454"/>
      <c r="FE223" s="454"/>
      <c r="FF223" s="454"/>
    </row>
    <row r="224" spans="1:162" s="56" customFormat="1">
      <c r="A224" s="54"/>
      <c r="B224" s="720"/>
      <c r="C224" s="714" t="s">
        <v>3798</v>
      </c>
      <c r="D224" s="454">
        <v>40</v>
      </c>
      <c r="E224" s="62">
        <f t="shared" si="103"/>
        <v>120</v>
      </c>
      <c r="F224" s="62"/>
      <c r="G224" s="62"/>
      <c r="H224" s="62"/>
      <c r="I224" s="62"/>
      <c r="J224" s="62"/>
      <c r="K224" s="62"/>
      <c r="L224" s="62">
        <f t="shared" si="104"/>
        <v>40</v>
      </c>
      <c r="M224" s="454"/>
      <c r="N224" s="454"/>
      <c r="O224" s="454"/>
      <c r="P224" s="454"/>
      <c r="Q224" s="454"/>
      <c r="R224" s="715" t="s">
        <v>1631</v>
      </c>
      <c r="S224" s="716"/>
      <c r="T224" s="716"/>
      <c r="U224" s="716"/>
      <c r="V224" s="716">
        <v>1</v>
      </c>
      <c r="W224" s="716"/>
      <c r="X224" s="716"/>
      <c r="Y224" s="716"/>
      <c r="Z224" s="716"/>
      <c r="AA224" s="716"/>
      <c r="AB224" s="716"/>
      <c r="AC224" s="716"/>
      <c r="AD224" s="716">
        <v>1</v>
      </c>
      <c r="AE224" s="716"/>
      <c r="AF224" s="716"/>
      <c r="AG224" s="886"/>
      <c r="AH224" s="716"/>
      <c r="AI224" s="898"/>
      <c r="AJ224" s="908"/>
      <c r="AK224" s="922"/>
      <c r="AL224" s="716"/>
      <c r="AM224" s="716"/>
      <c r="AN224" s="716"/>
      <c r="AO224" s="930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6">
        <v>1</v>
      </c>
      <c r="BL224" s="716"/>
      <c r="BM224" s="716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  <c r="BX224" s="716"/>
      <c r="BY224" s="716"/>
      <c r="BZ224" s="716"/>
      <c r="CA224" s="716"/>
      <c r="CB224" s="716"/>
      <c r="CC224" s="716"/>
      <c r="CD224" s="716">
        <v>1</v>
      </c>
      <c r="CE224" s="717">
        <v>2</v>
      </c>
      <c r="CF224" s="716">
        <v>2</v>
      </c>
      <c r="CG224" s="174">
        <f t="shared" si="105"/>
        <v>0</v>
      </c>
      <c r="CH224" s="716"/>
      <c r="CI224" s="716"/>
      <c r="CJ224" s="716"/>
      <c r="CK224" s="716"/>
      <c r="CL224" s="716"/>
      <c r="CM224" s="716"/>
      <c r="CN224" s="716"/>
      <c r="CO224" s="716"/>
      <c r="CP224" s="716"/>
      <c r="CQ224" s="716">
        <v>1</v>
      </c>
      <c r="CR224" s="716"/>
      <c r="CS224" s="716"/>
      <c r="CT224" s="716"/>
      <c r="CU224" s="716"/>
      <c r="CV224" s="716"/>
      <c r="CW224" s="716"/>
      <c r="CX224" s="716"/>
      <c r="CY224" s="716"/>
      <c r="CZ224" s="716"/>
      <c r="DA224" s="716"/>
      <c r="DB224" s="716"/>
      <c r="DC224" s="716"/>
      <c r="DD224" s="716"/>
      <c r="DE224" s="716"/>
      <c r="DF224" s="716"/>
      <c r="DG224" s="716"/>
      <c r="DH224" s="716"/>
      <c r="DI224" s="716"/>
      <c r="DJ224" s="716"/>
      <c r="DK224" s="716"/>
      <c r="DL224" s="454"/>
      <c r="DM224" s="454"/>
      <c r="DN224" s="454"/>
      <c r="DO224" s="454"/>
      <c r="DP224" s="454"/>
      <c r="DQ224" s="454"/>
      <c r="DR224" s="454"/>
      <c r="DS224" s="454"/>
      <c r="DT224" s="454"/>
      <c r="DU224" s="454"/>
      <c r="DV224" s="454"/>
      <c r="DW224" s="454"/>
      <c r="DX224" s="454"/>
      <c r="DY224" s="454"/>
      <c r="DZ224" s="454"/>
      <c r="EA224" s="454"/>
      <c r="EB224" s="454"/>
      <c r="EC224" s="454"/>
      <c r="ED224" s="454"/>
      <c r="EE224" s="454"/>
      <c r="EF224" s="454"/>
      <c r="EG224" s="454"/>
      <c r="EH224" s="454"/>
      <c r="EI224" s="454"/>
      <c r="EJ224" s="454"/>
      <c r="EK224" s="454"/>
      <c r="EL224" s="454"/>
      <c r="EM224" s="454"/>
      <c r="EN224" s="454"/>
      <c r="EO224" s="454"/>
      <c r="EP224" s="454"/>
      <c r="EQ224" s="454"/>
      <c r="ER224" s="454"/>
      <c r="ES224" s="454"/>
      <c r="ET224" s="454"/>
      <c r="EU224" s="454"/>
      <c r="EV224" s="454"/>
      <c r="EW224" s="454"/>
      <c r="EX224" s="454"/>
      <c r="EY224" s="454"/>
      <c r="EZ224" s="454"/>
      <c r="FA224" s="454"/>
      <c r="FB224" s="454"/>
      <c r="FC224" s="454"/>
      <c r="FD224" s="454"/>
      <c r="FE224" s="454"/>
      <c r="FF224" s="454"/>
    </row>
    <row r="225" spans="1:162" s="56" customFormat="1">
      <c r="A225" s="54"/>
      <c r="B225" s="720"/>
      <c r="C225" s="714" t="s">
        <v>3799</v>
      </c>
      <c r="D225" s="454">
        <v>40</v>
      </c>
      <c r="E225" s="62">
        <f t="shared" si="103"/>
        <v>120</v>
      </c>
      <c r="F225" s="62"/>
      <c r="G225" s="62"/>
      <c r="H225" s="62"/>
      <c r="I225" s="62"/>
      <c r="J225" s="62"/>
      <c r="K225" s="62"/>
      <c r="L225" s="62">
        <f t="shared" si="104"/>
        <v>40</v>
      </c>
      <c r="M225" s="454"/>
      <c r="N225" s="454"/>
      <c r="O225" s="454"/>
      <c r="P225" s="454"/>
      <c r="Q225" s="454"/>
      <c r="R225" s="715" t="s">
        <v>2989</v>
      </c>
      <c r="S225" s="716"/>
      <c r="T225" s="716"/>
      <c r="U225" s="716"/>
      <c r="V225" s="716">
        <v>2</v>
      </c>
      <c r="W225" s="716"/>
      <c r="X225" s="716"/>
      <c r="Y225" s="716"/>
      <c r="Z225" s="716"/>
      <c r="AA225" s="716"/>
      <c r="AB225" s="716"/>
      <c r="AC225" s="716"/>
      <c r="AD225" s="716"/>
      <c r="AE225" s="716"/>
      <c r="AF225" s="716"/>
      <c r="AG225" s="886"/>
      <c r="AH225" s="716"/>
      <c r="AI225" s="898"/>
      <c r="AJ225" s="908">
        <v>1</v>
      </c>
      <c r="AK225" s="922"/>
      <c r="AL225" s="716"/>
      <c r="AM225" s="716"/>
      <c r="AN225" s="716"/>
      <c r="AO225" s="930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6"/>
      <c r="BL225" s="716"/>
      <c r="BM225" s="716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>
        <v>1</v>
      </c>
      <c r="BX225" s="716"/>
      <c r="BY225" s="716"/>
      <c r="BZ225" s="716"/>
      <c r="CA225" s="716"/>
      <c r="CB225" s="716"/>
      <c r="CC225" s="716"/>
      <c r="CD225" s="716"/>
      <c r="CE225" s="717">
        <v>6</v>
      </c>
      <c r="CF225" s="716"/>
      <c r="CG225" s="174">
        <f t="shared" si="105"/>
        <v>6</v>
      </c>
      <c r="CH225" s="716">
        <v>6</v>
      </c>
      <c r="CI225" s="716"/>
      <c r="CJ225" s="716"/>
      <c r="CK225" s="716"/>
      <c r="CL225" s="716"/>
      <c r="CM225" s="716"/>
      <c r="CN225" s="716"/>
      <c r="CO225" s="716"/>
      <c r="CP225" s="716"/>
      <c r="CQ225" s="716"/>
      <c r="CR225" s="716"/>
      <c r="CS225" s="716">
        <v>2</v>
      </c>
      <c r="CT225" s="716"/>
      <c r="CU225" s="716"/>
      <c r="CV225" s="716"/>
      <c r="CW225" s="716"/>
      <c r="CX225" s="716"/>
      <c r="CY225" s="716"/>
      <c r="CZ225" s="716"/>
      <c r="DA225" s="716"/>
      <c r="DB225" s="716"/>
      <c r="DC225" s="716"/>
      <c r="DD225" s="716"/>
      <c r="DE225" s="716"/>
      <c r="DF225" s="716"/>
      <c r="DG225" s="716"/>
      <c r="DH225" s="716"/>
      <c r="DI225" s="716"/>
      <c r="DJ225" s="716"/>
      <c r="DK225" s="716"/>
      <c r="DL225" s="454"/>
      <c r="DM225" s="454"/>
      <c r="DN225" s="454"/>
      <c r="DO225" s="454"/>
      <c r="DP225" s="454"/>
      <c r="DQ225" s="454"/>
      <c r="DR225" s="454"/>
      <c r="DS225" s="454"/>
      <c r="DT225" s="454"/>
      <c r="DU225" s="454"/>
      <c r="DV225" s="454"/>
      <c r="DW225" s="454"/>
      <c r="DX225" s="454"/>
      <c r="DY225" s="454"/>
      <c r="DZ225" s="454"/>
      <c r="EA225" s="454"/>
      <c r="EB225" s="454"/>
      <c r="EC225" s="454"/>
      <c r="ED225" s="454"/>
      <c r="EE225" s="454"/>
      <c r="EF225" s="454"/>
      <c r="EG225" s="454"/>
      <c r="EH225" s="454"/>
      <c r="EI225" s="454"/>
      <c r="EJ225" s="454"/>
      <c r="EK225" s="454"/>
      <c r="EL225" s="454"/>
      <c r="EM225" s="454"/>
      <c r="EN225" s="454"/>
      <c r="EO225" s="454"/>
      <c r="EP225" s="454"/>
      <c r="EQ225" s="454"/>
      <c r="ER225" s="454"/>
      <c r="ES225" s="454"/>
      <c r="ET225" s="454"/>
      <c r="EU225" s="454"/>
      <c r="EV225" s="454"/>
      <c r="EW225" s="454"/>
      <c r="EX225" s="454"/>
      <c r="EY225" s="454"/>
      <c r="EZ225" s="454"/>
      <c r="FA225" s="454"/>
      <c r="FB225" s="454"/>
      <c r="FC225" s="454"/>
      <c r="FD225" s="454"/>
      <c r="FE225" s="454"/>
      <c r="FF225" s="454"/>
    </row>
    <row r="226" spans="1:162" s="56" customFormat="1">
      <c r="A226" s="54"/>
      <c r="B226" s="720"/>
      <c r="C226" s="714" t="s">
        <v>3800</v>
      </c>
      <c r="D226" s="454">
        <v>40</v>
      </c>
      <c r="E226" s="62">
        <f t="shared" si="103"/>
        <v>120</v>
      </c>
      <c r="F226" s="62"/>
      <c r="G226" s="62"/>
      <c r="H226" s="62"/>
      <c r="I226" s="62"/>
      <c r="J226" s="62"/>
      <c r="K226" s="62"/>
      <c r="L226" s="62">
        <f t="shared" si="104"/>
        <v>40</v>
      </c>
      <c r="M226" s="454"/>
      <c r="N226" s="454"/>
      <c r="O226" s="454"/>
      <c r="P226" s="454"/>
      <c r="Q226" s="454"/>
      <c r="R226" s="715" t="s">
        <v>2989</v>
      </c>
      <c r="S226" s="716"/>
      <c r="T226" s="716"/>
      <c r="U226" s="716"/>
      <c r="V226" s="716">
        <v>2</v>
      </c>
      <c r="W226" s="716"/>
      <c r="X226" s="716"/>
      <c r="Y226" s="716"/>
      <c r="Z226" s="716"/>
      <c r="AA226" s="716"/>
      <c r="AB226" s="716"/>
      <c r="AC226" s="716"/>
      <c r="AD226" s="716"/>
      <c r="AE226" s="716"/>
      <c r="AF226" s="716"/>
      <c r="AG226" s="886"/>
      <c r="AH226" s="716"/>
      <c r="AI226" s="898"/>
      <c r="AJ226" s="908">
        <v>1</v>
      </c>
      <c r="AK226" s="922"/>
      <c r="AL226" s="716"/>
      <c r="AM226" s="716"/>
      <c r="AN226" s="716"/>
      <c r="AO226" s="930"/>
      <c r="AP226" s="716"/>
      <c r="AQ226" s="716"/>
      <c r="AR226" s="716"/>
      <c r="AS226" s="716"/>
      <c r="AT226" s="716"/>
      <c r="AU226" s="716"/>
      <c r="AV226" s="716"/>
      <c r="AW226" s="716"/>
      <c r="AX226" s="716"/>
      <c r="AY226" s="716"/>
      <c r="AZ226" s="716"/>
      <c r="BA226" s="716"/>
      <c r="BB226" s="716"/>
      <c r="BC226" s="716"/>
      <c r="BD226" s="716"/>
      <c r="BE226" s="716"/>
      <c r="BF226" s="716">
        <v>1</v>
      </c>
      <c r="BG226" s="716"/>
      <c r="BH226" s="716"/>
      <c r="BI226" s="716"/>
      <c r="BJ226" s="716"/>
      <c r="BK226" s="716"/>
      <c r="BL226" s="716"/>
      <c r="BM226" s="716"/>
      <c r="BN226" s="716"/>
      <c r="BO226" s="716"/>
      <c r="BP226" s="716"/>
      <c r="BQ226" s="716"/>
      <c r="BR226" s="716"/>
      <c r="BS226" s="716"/>
      <c r="BT226" s="716"/>
      <c r="BU226" s="716"/>
      <c r="BV226" s="716"/>
      <c r="BW226" s="716">
        <v>1</v>
      </c>
      <c r="BX226" s="716"/>
      <c r="BY226" s="716"/>
      <c r="BZ226" s="716"/>
      <c r="CA226" s="716"/>
      <c r="CB226" s="716"/>
      <c r="CC226" s="716"/>
      <c r="CD226" s="716"/>
      <c r="CE226" s="717">
        <v>6</v>
      </c>
      <c r="CF226" s="716"/>
      <c r="CG226" s="174">
        <f t="shared" si="105"/>
        <v>6</v>
      </c>
      <c r="CH226" s="716">
        <v>6</v>
      </c>
      <c r="CI226" s="716"/>
      <c r="CJ226" s="716"/>
      <c r="CK226" s="716"/>
      <c r="CL226" s="716"/>
      <c r="CM226" s="716"/>
      <c r="CN226" s="716"/>
      <c r="CO226" s="716"/>
      <c r="CP226" s="716"/>
      <c r="CQ226" s="716"/>
      <c r="CR226" s="716"/>
      <c r="CS226" s="716">
        <v>2</v>
      </c>
      <c r="CT226" s="716"/>
      <c r="CU226" s="716"/>
      <c r="CV226" s="716"/>
      <c r="CW226" s="716"/>
      <c r="CX226" s="716"/>
      <c r="CY226" s="716"/>
      <c r="CZ226" s="716"/>
      <c r="DA226" s="716"/>
      <c r="DB226" s="716"/>
      <c r="DC226" s="716"/>
      <c r="DD226" s="716"/>
      <c r="DE226" s="716"/>
      <c r="DF226" s="716"/>
      <c r="DG226" s="716"/>
      <c r="DH226" s="716"/>
      <c r="DI226" s="716"/>
      <c r="DJ226" s="716"/>
      <c r="DK226" s="716"/>
      <c r="DL226" s="454"/>
      <c r="DM226" s="454"/>
      <c r="DN226" s="454"/>
      <c r="DO226" s="454"/>
      <c r="DP226" s="454"/>
      <c r="DQ226" s="454"/>
      <c r="DR226" s="454"/>
      <c r="DS226" s="454"/>
      <c r="DT226" s="454"/>
      <c r="DU226" s="454"/>
      <c r="DV226" s="454"/>
      <c r="DW226" s="454"/>
      <c r="DX226" s="454"/>
      <c r="DY226" s="454"/>
      <c r="DZ226" s="454"/>
      <c r="EA226" s="454"/>
      <c r="EB226" s="454"/>
      <c r="EC226" s="454"/>
      <c r="ED226" s="454"/>
      <c r="EE226" s="454"/>
      <c r="EF226" s="454"/>
      <c r="EG226" s="454"/>
      <c r="EH226" s="454"/>
      <c r="EI226" s="454"/>
      <c r="EJ226" s="454"/>
      <c r="EK226" s="454"/>
      <c r="EL226" s="454"/>
      <c r="EM226" s="454"/>
      <c r="EN226" s="454"/>
      <c r="EO226" s="454"/>
      <c r="EP226" s="454"/>
      <c r="EQ226" s="454"/>
      <c r="ER226" s="454"/>
      <c r="ES226" s="454"/>
      <c r="ET226" s="454"/>
      <c r="EU226" s="454"/>
      <c r="EV226" s="454"/>
      <c r="EW226" s="454"/>
      <c r="EX226" s="454"/>
      <c r="EY226" s="454"/>
      <c r="EZ226" s="454"/>
      <c r="FA226" s="454"/>
      <c r="FB226" s="454"/>
      <c r="FC226" s="454"/>
      <c r="FD226" s="454"/>
      <c r="FE226" s="454"/>
      <c r="FF226" s="454"/>
    </row>
    <row r="227" spans="1:162" s="56" customFormat="1">
      <c r="A227" s="54"/>
      <c r="B227" s="720"/>
      <c r="C227" s="714" t="s">
        <v>3801</v>
      </c>
      <c r="D227" s="454">
        <v>40</v>
      </c>
      <c r="E227" s="62">
        <f t="shared" si="103"/>
        <v>120</v>
      </c>
      <c r="F227" s="62"/>
      <c r="G227" s="62"/>
      <c r="H227" s="62"/>
      <c r="I227" s="62"/>
      <c r="J227" s="62"/>
      <c r="K227" s="62"/>
      <c r="L227" s="62">
        <f t="shared" si="104"/>
        <v>40</v>
      </c>
      <c r="M227" s="454"/>
      <c r="N227" s="454"/>
      <c r="O227" s="454"/>
      <c r="P227" s="454"/>
      <c r="Q227" s="454"/>
      <c r="R227" s="715" t="s">
        <v>1631</v>
      </c>
      <c r="S227" s="716"/>
      <c r="T227" s="716"/>
      <c r="U227" s="716"/>
      <c r="V227" s="716">
        <v>1</v>
      </c>
      <c r="W227" s="716"/>
      <c r="X227" s="716"/>
      <c r="Y227" s="716"/>
      <c r="Z227" s="716"/>
      <c r="AA227" s="716"/>
      <c r="AB227" s="716"/>
      <c r="AC227" s="716"/>
      <c r="AD227" s="716">
        <v>1</v>
      </c>
      <c r="AE227" s="716"/>
      <c r="AF227" s="716"/>
      <c r="AG227" s="886"/>
      <c r="AH227" s="716"/>
      <c r="AI227" s="898"/>
      <c r="AJ227" s="908"/>
      <c r="AK227" s="922"/>
      <c r="AL227" s="716"/>
      <c r="AM227" s="716"/>
      <c r="AN227" s="716"/>
      <c r="AO227" s="930"/>
      <c r="AP227" s="716"/>
      <c r="AQ227" s="716"/>
      <c r="AR227" s="716"/>
      <c r="AS227" s="716"/>
      <c r="AT227" s="716"/>
      <c r="AU227" s="716"/>
      <c r="AV227" s="716"/>
      <c r="AW227" s="716"/>
      <c r="AX227" s="716"/>
      <c r="AY227" s="716"/>
      <c r="AZ227" s="716"/>
      <c r="BA227" s="716"/>
      <c r="BB227" s="716"/>
      <c r="BC227" s="716"/>
      <c r="BD227" s="716"/>
      <c r="BE227" s="716"/>
      <c r="BF227" s="716"/>
      <c r="BG227" s="716"/>
      <c r="BH227" s="716"/>
      <c r="BI227" s="716"/>
      <c r="BJ227" s="716"/>
      <c r="BK227" s="716">
        <v>1</v>
      </c>
      <c r="BL227" s="716"/>
      <c r="BM227" s="716"/>
      <c r="BN227" s="716"/>
      <c r="BO227" s="716"/>
      <c r="BP227" s="716"/>
      <c r="BQ227" s="716"/>
      <c r="BR227" s="716"/>
      <c r="BS227" s="716"/>
      <c r="BT227" s="716"/>
      <c r="BU227" s="716"/>
      <c r="BV227" s="716"/>
      <c r="BW227" s="716"/>
      <c r="BX227" s="716"/>
      <c r="BY227" s="716"/>
      <c r="BZ227" s="716"/>
      <c r="CA227" s="716"/>
      <c r="CB227" s="716"/>
      <c r="CC227" s="716"/>
      <c r="CD227" s="716">
        <v>1</v>
      </c>
      <c r="CE227" s="717">
        <v>2</v>
      </c>
      <c r="CF227" s="716">
        <v>2</v>
      </c>
      <c r="CG227" s="174">
        <f t="shared" si="105"/>
        <v>0</v>
      </c>
      <c r="CH227" s="716"/>
      <c r="CI227" s="716"/>
      <c r="CJ227" s="716"/>
      <c r="CK227" s="716"/>
      <c r="CL227" s="716"/>
      <c r="CM227" s="716"/>
      <c r="CN227" s="716"/>
      <c r="CO227" s="716"/>
      <c r="CP227" s="716"/>
      <c r="CQ227" s="716">
        <v>1</v>
      </c>
      <c r="CR227" s="716"/>
      <c r="CS227" s="716"/>
      <c r="CT227" s="716"/>
      <c r="CU227" s="716"/>
      <c r="CV227" s="716"/>
      <c r="CW227" s="716"/>
      <c r="CX227" s="716"/>
      <c r="CY227" s="716"/>
      <c r="CZ227" s="716"/>
      <c r="DA227" s="716"/>
      <c r="DB227" s="716"/>
      <c r="DC227" s="716"/>
      <c r="DD227" s="716"/>
      <c r="DE227" s="716"/>
      <c r="DF227" s="716"/>
      <c r="DG227" s="716"/>
      <c r="DH227" s="716"/>
      <c r="DI227" s="716"/>
      <c r="DJ227" s="716"/>
      <c r="DK227" s="716"/>
      <c r="DL227" s="454"/>
      <c r="DM227" s="454"/>
      <c r="DN227" s="454"/>
      <c r="DO227" s="454"/>
      <c r="DP227" s="454"/>
      <c r="DQ227" s="454"/>
      <c r="DR227" s="454"/>
      <c r="DS227" s="454"/>
      <c r="DT227" s="454"/>
      <c r="DU227" s="454"/>
      <c r="DV227" s="454"/>
      <c r="DW227" s="454"/>
      <c r="DX227" s="454"/>
      <c r="DY227" s="454"/>
      <c r="DZ227" s="454"/>
      <c r="EA227" s="454"/>
      <c r="EB227" s="454"/>
      <c r="EC227" s="454"/>
      <c r="ED227" s="454"/>
      <c r="EE227" s="454"/>
      <c r="EF227" s="454"/>
      <c r="EG227" s="454"/>
      <c r="EH227" s="454"/>
      <c r="EI227" s="454"/>
      <c r="EJ227" s="454"/>
      <c r="EK227" s="454"/>
      <c r="EL227" s="454"/>
      <c r="EM227" s="454"/>
      <c r="EN227" s="454"/>
      <c r="EO227" s="454"/>
      <c r="EP227" s="454"/>
      <c r="EQ227" s="454"/>
      <c r="ER227" s="454"/>
      <c r="ES227" s="454"/>
      <c r="ET227" s="454"/>
      <c r="EU227" s="454"/>
      <c r="EV227" s="454"/>
      <c r="EW227" s="454"/>
      <c r="EX227" s="454"/>
      <c r="EY227" s="454"/>
      <c r="EZ227" s="454"/>
      <c r="FA227" s="454"/>
      <c r="FB227" s="454"/>
      <c r="FC227" s="454"/>
      <c r="FD227" s="454"/>
      <c r="FE227" s="454"/>
      <c r="FF227" s="454"/>
    </row>
    <row r="228" spans="1:162" s="56" customFormat="1">
      <c r="A228" s="54"/>
      <c r="B228" s="720"/>
      <c r="C228" s="714" t="s">
        <v>3802</v>
      </c>
      <c r="D228" s="454">
        <v>40</v>
      </c>
      <c r="E228" s="62">
        <f t="shared" si="103"/>
        <v>120</v>
      </c>
      <c r="F228" s="62"/>
      <c r="G228" s="62"/>
      <c r="H228" s="62"/>
      <c r="I228" s="62"/>
      <c r="J228" s="62"/>
      <c r="K228" s="62"/>
      <c r="L228" s="62">
        <f t="shared" si="104"/>
        <v>40</v>
      </c>
      <c r="M228" s="454"/>
      <c r="N228" s="454"/>
      <c r="O228" s="454"/>
      <c r="P228" s="454"/>
      <c r="Q228" s="454"/>
      <c r="R228" s="715" t="s">
        <v>1631</v>
      </c>
      <c r="S228" s="716"/>
      <c r="T228" s="716"/>
      <c r="U228" s="716"/>
      <c r="V228" s="716">
        <v>1</v>
      </c>
      <c r="W228" s="716"/>
      <c r="X228" s="716"/>
      <c r="Y228" s="716"/>
      <c r="Z228" s="716"/>
      <c r="AA228" s="716"/>
      <c r="AB228" s="716"/>
      <c r="AC228" s="716"/>
      <c r="AD228" s="716">
        <v>1</v>
      </c>
      <c r="AE228" s="716"/>
      <c r="AF228" s="716"/>
      <c r="AG228" s="886"/>
      <c r="AH228" s="716"/>
      <c r="AI228" s="898"/>
      <c r="AJ228" s="908"/>
      <c r="AK228" s="922"/>
      <c r="AL228" s="716"/>
      <c r="AM228" s="716"/>
      <c r="AN228" s="716"/>
      <c r="AO228" s="930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6">
        <v>1</v>
      </c>
      <c r="BL228" s="716"/>
      <c r="BM228" s="716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  <c r="BX228" s="716"/>
      <c r="BY228" s="716"/>
      <c r="BZ228" s="716"/>
      <c r="CA228" s="716"/>
      <c r="CB228" s="716"/>
      <c r="CC228" s="716"/>
      <c r="CD228" s="716">
        <v>1</v>
      </c>
      <c r="CE228" s="717">
        <v>2</v>
      </c>
      <c r="CF228" s="716">
        <v>2</v>
      </c>
      <c r="CG228" s="174">
        <f t="shared" si="105"/>
        <v>0</v>
      </c>
      <c r="CH228" s="716"/>
      <c r="CI228" s="716"/>
      <c r="CJ228" s="716"/>
      <c r="CK228" s="716"/>
      <c r="CL228" s="716"/>
      <c r="CM228" s="716"/>
      <c r="CN228" s="716"/>
      <c r="CO228" s="716"/>
      <c r="CP228" s="716"/>
      <c r="CQ228" s="716">
        <v>1</v>
      </c>
      <c r="CR228" s="716"/>
      <c r="CS228" s="716"/>
      <c r="CT228" s="716"/>
      <c r="CU228" s="716"/>
      <c r="CV228" s="716"/>
      <c r="CW228" s="716"/>
      <c r="CX228" s="716"/>
      <c r="CY228" s="716"/>
      <c r="CZ228" s="716"/>
      <c r="DA228" s="716"/>
      <c r="DB228" s="716"/>
      <c r="DC228" s="716"/>
      <c r="DD228" s="716"/>
      <c r="DE228" s="716"/>
      <c r="DF228" s="716"/>
      <c r="DG228" s="716"/>
      <c r="DH228" s="716"/>
      <c r="DI228" s="716"/>
      <c r="DJ228" s="716"/>
      <c r="DK228" s="716"/>
      <c r="DL228" s="454"/>
      <c r="DM228" s="454"/>
      <c r="DN228" s="454"/>
      <c r="DO228" s="454"/>
      <c r="DP228" s="454"/>
      <c r="DQ228" s="454"/>
      <c r="DR228" s="454"/>
      <c r="DS228" s="454"/>
      <c r="DT228" s="454"/>
      <c r="DU228" s="454"/>
      <c r="DV228" s="454"/>
      <c r="DW228" s="454"/>
      <c r="DX228" s="454"/>
      <c r="DY228" s="454"/>
      <c r="DZ228" s="454"/>
      <c r="EA228" s="454"/>
      <c r="EB228" s="454"/>
      <c r="EC228" s="454"/>
      <c r="ED228" s="454"/>
      <c r="EE228" s="454"/>
      <c r="EF228" s="454"/>
      <c r="EG228" s="454"/>
      <c r="EH228" s="454"/>
      <c r="EI228" s="454"/>
      <c r="EJ228" s="454"/>
      <c r="EK228" s="454"/>
      <c r="EL228" s="454"/>
      <c r="EM228" s="454"/>
      <c r="EN228" s="454"/>
      <c r="EO228" s="454"/>
      <c r="EP228" s="454"/>
      <c r="EQ228" s="454"/>
      <c r="ER228" s="454"/>
      <c r="ES228" s="454"/>
      <c r="ET228" s="454"/>
      <c r="EU228" s="454"/>
      <c r="EV228" s="454"/>
      <c r="EW228" s="454"/>
      <c r="EX228" s="454"/>
      <c r="EY228" s="454"/>
      <c r="EZ228" s="454"/>
      <c r="FA228" s="454"/>
      <c r="FB228" s="454"/>
      <c r="FC228" s="454"/>
      <c r="FD228" s="454"/>
      <c r="FE228" s="454"/>
      <c r="FF228" s="454"/>
    </row>
    <row r="229" spans="1:162" s="56" customFormat="1">
      <c r="A229" s="54"/>
      <c r="B229" s="720"/>
      <c r="C229" s="714" t="s">
        <v>3803</v>
      </c>
      <c r="D229" s="454">
        <v>42</v>
      </c>
      <c r="E229" s="62">
        <f t="shared" si="103"/>
        <v>126</v>
      </c>
      <c r="F229" s="62"/>
      <c r="G229" s="62"/>
      <c r="H229" s="62"/>
      <c r="I229" s="62"/>
      <c r="J229" s="62"/>
      <c r="K229" s="62"/>
      <c r="L229" s="62">
        <f t="shared" si="104"/>
        <v>42</v>
      </c>
      <c r="M229" s="454"/>
      <c r="N229" s="454"/>
      <c r="O229" s="454"/>
      <c r="P229" s="454"/>
      <c r="Q229" s="454"/>
      <c r="R229" s="715" t="s">
        <v>2990</v>
      </c>
      <c r="S229" s="716"/>
      <c r="T229" s="716"/>
      <c r="U229" s="716"/>
      <c r="V229" s="716">
        <v>2</v>
      </c>
      <c r="W229" s="716"/>
      <c r="X229" s="716"/>
      <c r="Y229" s="716"/>
      <c r="Z229" s="716"/>
      <c r="AA229" s="716"/>
      <c r="AB229" s="716"/>
      <c r="AC229" s="716"/>
      <c r="AD229" s="716"/>
      <c r="AE229" s="716"/>
      <c r="AF229" s="716"/>
      <c r="AG229" s="886"/>
      <c r="AH229" s="716"/>
      <c r="AI229" s="898"/>
      <c r="AJ229" s="908">
        <v>1</v>
      </c>
      <c r="AK229" s="922"/>
      <c r="AL229" s="716"/>
      <c r="AM229" s="716"/>
      <c r="AN229" s="716"/>
      <c r="AO229" s="930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6"/>
      <c r="BL229" s="716"/>
      <c r="BM229" s="716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>
        <v>1</v>
      </c>
      <c r="BX229" s="716"/>
      <c r="BY229" s="716"/>
      <c r="BZ229" s="716"/>
      <c r="CA229" s="716"/>
      <c r="CB229" s="716"/>
      <c r="CC229" s="716"/>
      <c r="CD229" s="716"/>
      <c r="CE229" s="717"/>
      <c r="CF229" s="716"/>
      <c r="CG229" s="174">
        <f t="shared" si="105"/>
        <v>0</v>
      </c>
      <c r="CH229" s="716">
        <v>3</v>
      </c>
      <c r="CI229" s="716"/>
      <c r="CJ229" s="716"/>
      <c r="CK229" s="716"/>
      <c r="CL229" s="716"/>
      <c r="CM229" s="716"/>
      <c r="CN229" s="716"/>
      <c r="CO229" s="716"/>
      <c r="CP229" s="716"/>
      <c r="CQ229" s="716"/>
      <c r="CR229" s="716"/>
      <c r="CS229" s="716">
        <v>1</v>
      </c>
      <c r="CT229" s="716"/>
      <c r="CU229" s="716"/>
      <c r="CV229" s="716"/>
      <c r="CW229" s="716"/>
      <c r="CX229" s="716"/>
      <c r="CY229" s="716"/>
      <c r="CZ229" s="716"/>
      <c r="DA229" s="716"/>
      <c r="DB229" s="716"/>
      <c r="DC229" s="716"/>
      <c r="DD229" s="716"/>
      <c r="DE229" s="716"/>
      <c r="DF229" s="716"/>
      <c r="DG229" s="716"/>
      <c r="DH229" s="716"/>
      <c r="DI229" s="716"/>
      <c r="DJ229" s="716"/>
      <c r="DK229" s="716"/>
      <c r="DL229" s="454"/>
      <c r="DM229" s="454"/>
      <c r="DN229" s="454"/>
      <c r="DO229" s="454"/>
      <c r="DP229" s="454"/>
      <c r="DQ229" s="454"/>
      <c r="DR229" s="454"/>
      <c r="DS229" s="454"/>
      <c r="DT229" s="454"/>
      <c r="DU229" s="454"/>
      <c r="DV229" s="454"/>
      <c r="DW229" s="454"/>
      <c r="DX229" s="454"/>
      <c r="DY229" s="454"/>
      <c r="DZ229" s="454"/>
      <c r="EA229" s="454"/>
      <c r="EB229" s="454"/>
      <c r="EC229" s="454"/>
      <c r="ED229" s="454"/>
      <c r="EE229" s="454"/>
      <c r="EF229" s="454"/>
      <c r="EG229" s="454"/>
      <c r="EH229" s="454"/>
      <c r="EI229" s="454"/>
      <c r="EJ229" s="454"/>
      <c r="EK229" s="454"/>
      <c r="EL229" s="454"/>
      <c r="EM229" s="454"/>
      <c r="EN229" s="454"/>
      <c r="EO229" s="454"/>
      <c r="EP229" s="454"/>
      <c r="EQ229" s="454"/>
      <c r="ER229" s="454"/>
      <c r="ES229" s="454"/>
      <c r="ET229" s="454"/>
      <c r="EU229" s="454"/>
      <c r="EV229" s="454"/>
      <c r="EW229" s="454"/>
      <c r="EX229" s="454"/>
      <c r="EY229" s="454"/>
      <c r="EZ229" s="454"/>
      <c r="FA229" s="454"/>
      <c r="FB229" s="454"/>
      <c r="FC229" s="454"/>
      <c r="FD229" s="454"/>
      <c r="FE229" s="454"/>
      <c r="FF229" s="454"/>
    </row>
    <row r="230" spans="1:162" s="56" customFormat="1">
      <c r="A230" s="54"/>
      <c r="B230" s="689"/>
      <c r="C230" s="714"/>
      <c r="D230" s="454"/>
      <c r="E230" s="454"/>
      <c r="F230" s="454"/>
      <c r="G230" s="454"/>
      <c r="H230" s="454"/>
      <c r="I230" s="454"/>
      <c r="J230" s="454"/>
      <c r="K230" s="454"/>
      <c r="L230" s="454"/>
      <c r="M230" s="454"/>
      <c r="N230" s="454"/>
      <c r="O230" s="454"/>
      <c r="P230" s="454"/>
      <c r="Q230" s="454"/>
      <c r="R230" s="715"/>
      <c r="S230" s="716"/>
      <c r="T230" s="716"/>
      <c r="U230" s="716"/>
      <c r="V230" s="716"/>
      <c r="W230" s="716"/>
      <c r="X230" s="716"/>
      <c r="Y230" s="716"/>
      <c r="Z230" s="716"/>
      <c r="AA230" s="716"/>
      <c r="AB230" s="716"/>
      <c r="AC230" s="716"/>
      <c r="AD230" s="716"/>
      <c r="AE230" s="716"/>
      <c r="AF230" s="716"/>
      <c r="AG230" s="886"/>
      <c r="AH230" s="716"/>
      <c r="AI230" s="898"/>
      <c r="AJ230" s="908"/>
      <c r="AK230" s="922"/>
      <c r="AL230" s="716"/>
      <c r="AM230" s="716"/>
      <c r="AN230" s="716"/>
      <c r="AO230" s="930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6"/>
      <c r="BL230" s="716"/>
      <c r="BM230" s="716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/>
      <c r="BX230" s="716"/>
      <c r="BY230" s="716"/>
      <c r="BZ230" s="716"/>
      <c r="CA230" s="716"/>
      <c r="CB230" s="716"/>
      <c r="CC230" s="716"/>
      <c r="CD230" s="716"/>
      <c r="CE230" s="717"/>
      <c r="CF230" s="716"/>
      <c r="CG230" s="174">
        <f t="shared" si="105"/>
        <v>0</v>
      </c>
      <c r="CH230" s="716"/>
      <c r="CI230" s="716"/>
      <c r="CJ230" s="716"/>
      <c r="CK230" s="716"/>
      <c r="CL230" s="716"/>
      <c r="CM230" s="716"/>
      <c r="CN230" s="716"/>
      <c r="CO230" s="716"/>
      <c r="CP230" s="716"/>
      <c r="CQ230" s="716"/>
      <c r="CR230" s="716"/>
      <c r="CS230" s="716"/>
      <c r="CT230" s="716"/>
      <c r="CU230" s="716"/>
      <c r="CV230" s="716"/>
      <c r="CW230" s="716"/>
      <c r="CX230" s="716"/>
      <c r="CY230" s="716"/>
      <c r="CZ230" s="716"/>
      <c r="DA230" s="716"/>
      <c r="DB230" s="716"/>
      <c r="DC230" s="716"/>
      <c r="DD230" s="716"/>
      <c r="DE230" s="716"/>
      <c r="DF230" s="716"/>
      <c r="DG230" s="716"/>
      <c r="DH230" s="716"/>
      <c r="DI230" s="716"/>
      <c r="DJ230" s="716"/>
      <c r="DK230" s="716"/>
      <c r="DL230" s="454"/>
      <c r="DM230" s="454"/>
      <c r="DN230" s="454"/>
      <c r="DO230" s="454"/>
      <c r="DP230" s="454"/>
      <c r="DQ230" s="454"/>
      <c r="DR230" s="454"/>
      <c r="DS230" s="454"/>
      <c r="DT230" s="454"/>
      <c r="DU230" s="454"/>
      <c r="DV230" s="454"/>
      <c r="DW230" s="454"/>
      <c r="DX230" s="454"/>
      <c r="DY230" s="454"/>
      <c r="DZ230" s="454"/>
      <c r="EA230" s="454"/>
      <c r="EB230" s="454"/>
      <c r="EC230" s="454"/>
      <c r="ED230" s="454"/>
      <c r="EE230" s="454"/>
      <c r="EF230" s="454"/>
      <c r="EG230" s="454"/>
      <c r="EH230" s="454"/>
      <c r="EI230" s="454"/>
      <c r="EJ230" s="454"/>
      <c r="EK230" s="454"/>
      <c r="EL230" s="454"/>
      <c r="EM230" s="454"/>
      <c r="EN230" s="454"/>
      <c r="EO230" s="454"/>
      <c r="EP230" s="454"/>
      <c r="EQ230" s="454"/>
      <c r="ER230" s="454"/>
      <c r="ES230" s="454"/>
      <c r="ET230" s="454"/>
      <c r="EU230" s="454"/>
      <c r="EV230" s="454"/>
      <c r="EW230" s="454"/>
      <c r="EX230" s="454"/>
      <c r="EY230" s="454"/>
      <c r="EZ230" s="454"/>
      <c r="FA230" s="454"/>
      <c r="FB230" s="454"/>
      <c r="FC230" s="454"/>
      <c r="FD230" s="454"/>
      <c r="FE230" s="454"/>
      <c r="FF230" s="454"/>
    </row>
    <row r="231" spans="1:162">
      <c r="A231" s="487">
        <f>MATCH(C231,$C$5:$C$361,0)</f>
        <v>227</v>
      </c>
      <c r="C231" s="14" t="s">
        <v>3025</v>
      </c>
      <c r="D231" s="14">
        <f>SUM(D197:D230)</f>
        <v>1267.8000000000002</v>
      </c>
      <c r="E231" s="14">
        <f t="shared" ref="E231:Q231" si="106">SUM(E197:E230)</f>
        <v>3803.3999999999996</v>
      </c>
      <c r="F231" s="14">
        <f t="shared" si="106"/>
        <v>0</v>
      </c>
      <c r="G231" s="14">
        <f t="shared" si="106"/>
        <v>0</v>
      </c>
      <c r="H231" s="14">
        <f t="shared" si="106"/>
        <v>0</v>
      </c>
      <c r="I231" s="14">
        <f t="shared" si="106"/>
        <v>0</v>
      </c>
      <c r="J231" s="14">
        <f t="shared" si="106"/>
        <v>0</v>
      </c>
      <c r="K231" s="14">
        <f t="shared" si="106"/>
        <v>0</v>
      </c>
      <c r="L231" s="14">
        <f t="shared" si="106"/>
        <v>1267.8000000000002</v>
      </c>
      <c r="M231" s="14">
        <f t="shared" si="106"/>
        <v>0</v>
      </c>
      <c r="N231" s="14">
        <f t="shared" si="106"/>
        <v>0</v>
      </c>
      <c r="O231" s="14">
        <f t="shared" si="106"/>
        <v>0</v>
      </c>
      <c r="P231" s="14">
        <f t="shared" si="106"/>
        <v>0</v>
      </c>
      <c r="Q231" s="14">
        <f t="shared" si="106"/>
        <v>0</v>
      </c>
      <c r="R231" s="14"/>
      <c r="S231" s="14">
        <f t="shared" ref="S231:CD231" si="107">SUM(S197:S230)</f>
        <v>2</v>
      </c>
      <c r="T231" s="14">
        <f t="shared" si="107"/>
        <v>0</v>
      </c>
      <c r="U231" s="14">
        <f t="shared" si="107"/>
        <v>0</v>
      </c>
      <c r="V231" s="14">
        <f t="shared" si="107"/>
        <v>25</v>
      </c>
      <c r="W231" s="14">
        <f t="shared" si="107"/>
        <v>0</v>
      </c>
      <c r="X231" s="14">
        <f t="shared" si="107"/>
        <v>0</v>
      </c>
      <c r="Y231" s="14">
        <f t="shared" si="107"/>
        <v>0</v>
      </c>
      <c r="Z231" s="14">
        <f t="shared" si="107"/>
        <v>0</v>
      </c>
      <c r="AA231" s="14">
        <f t="shared" si="107"/>
        <v>0</v>
      </c>
      <c r="AB231" s="14">
        <f t="shared" si="107"/>
        <v>0</v>
      </c>
      <c r="AC231" s="14">
        <f t="shared" si="107"/>
        <v>0</v>
      </c>
      <c r="AD231" s="14">
        <f t="shared" si="107"/>
        <v>9</v>
      </c>
      <c r="AE231" s="14">
        <f t="shared" si="107"/>
        <v>0</v>
      </c>
      <c r="AF231" s="14">
        <f t="shared" si="107"/>
        <v>0</v>
      </c>
      <c r="AG231" s="887">
        <f t="shared" si="107"/>
        <v>0</v>
      </c>
      <c r="AH231" s="14">
        <f t="shared" si="107"/>
        <v>0</v>
      </c>
      <c r="AI231" s="16">
        <f t="shared" si="107"/>
        <v>0</v>
      </c>
      <c r="AJ231" s="909">
        <f t="shared" si="107"/>
        <v>9</v>
      </c>
      <c r="AK231" s="923">
        <f t="shared" si="107"/>
        <v>0</v>
      </c>
      <c r="AL231" s="14">
        <f t="shared" si="107"/>
        <v>0</v>
      </c>
      <c r="AM231" s="14">
        <f t="shared" si="107"/>
        <v>0</v>
      </c>
      <c r="AN231" s="14">
        <f t="shared" si="107"/>
        <v>0</v>
      </c>
      <c r="AO231" s="225">
        <f t="shared" si="107"/>
        <v>0</v>
      </c>
      <c r="AP231" s="14">
        <f t="shared" si="107"/>
        <v>0</v>
      </c>
      <c r="AQ231" s="14">
        <f t="shared" si="107"/>
        <v>0</v>
      </c>
      <c r="AR231" s="14">
        <f t="shared" si="107"/>
        <v>0</v>
      </c>
      <c r="AS231" s="14">
        <f t="shared" si="107"/>
        <v>0</v>
      </c>
      <c r="AT231" s="14">
        <f t="shared" si="107"/>
        <v>0</v>
      </c>
      <c r="AU231" s="14">
        <f t="shared" si="107"/>
        <v>0</v>
      </c>
      <c r="AV231" s="14">
        <f t="shared" si="107"/>
        <v>0</v>
      </c>
      <c r="AW231" s="14">
        <f t="shared" si="107"/>
        <v>0</v>
      </c>
      <c r="AX231" s="14">
        <f t="shared" si="107"/>
        <v>0</v>
      </c>
      <c r="AY231" s="14">
        <f t="shared" si="107"/>
        <v>0</v>
      </c>
      <c r="AZ231" s="14">
        <f t="shared" si="107"/>
        <v>0</v>
      </c>
      <c r="BA231" s="14">
        <f t="shared" si="107"/>
        <v>0</v>
      </c>
      <c r="BB231" s="14">
        <f t="shared" si="107"/>
        <v>0</v>
      </c>
      <c r="BC231" s="14">
        <f t="shared" si="107"/>
        <v>0</v>
      </c>
      <c r="BD231" s="14">
        <f t="shared" si="107"/>
        <v>0</v>
      </c>
      <c r="BE231" s="14">
        <f t="shared" si="107"/>
        <v>0</v>
      </c>
      <c r="BF231" s="14">
        <f t="shared" si="107"/>
        <v>3</v>
      </c>
      <c r="BG231" s="14">
        <f t="shared" si="107"/>
        <v>0</v>
      </c>
      <c r="BH231" s="14">
        <f t="shared" si="107"/>
        <v>0</v>
      </c>
      <c r="BI231" s="14">
        <f t="shared" si="107"/>
        <v>2</v>
      </c>
      <c r="BJ231" s="14">
        <f t="shared" si="107"/>
        <v>0</v>
      </c>
      <c r="BK231" s="14">
        <f t="shared" si="107"/>
        <v>22</v>
      </c>
      <c r="BL231" s="14">
        <f t="shared" si="107"/>
        <v>0</v>
      </c>
      <c r="BM231" s="14">
        <f t="shared" si="107"/>
        <v>0</v>
      </c>
      <c r="BN231" s="14">
        <f t="shared" si="107"/>
        <v>0</v>
      </c>
      <c r="BO231" s="14">
        <f t="shared" si="107"/>
        <v>0</v>
      </c>
      <c r="BP231" s="14">
        <f t="shared" si="107"/>
        <v>0</v>
      </c>
      <c r="BQ231" s="14">
        <f t="shared" si="107"/>
        <v>0</v>
      </c>
      <c r="BR231" s="14">
        <f t="shared" si="107"/>
        <v>0</v>
      </c>
      <c r="BS231" s="14">
        <f t="shared" si="107"/>
        <v>0</v>
      </c>
      <c r="BT231" s="14">
        <f t="shared" si="107"/>
        <v>0</v>
      </c>
      <c r="BU231" s="14">
        <f t="shared" si="107"/>
        <v>0</v>
      </c>
      <c r="BV231" s="14">
        <f t="shared" si="107"/>
        <v>2</v>
      </c>
      <c r="BW231" s="14">
        <f t="shared" si="107"/>
        <v>9</v>
      </c>
      <c r="BX231" s="14">
        <f t="shared" si="107"/>
        <v>0</v>
      </c>
      <c r="BY231" s="14">
        <f t="shared" si="107"/>
        <v>0</v>
      </c>
      <c r="BZ231" s="14">
        <f t="shared" si="107"/>
        <v>0</v>
      </c>
      <c r="CA231" s="14">
        <f t="shared" si="107"/>
        <v>0</v>
      </c>
      <c r="CB231" s="14">
        <f t="shared" si="107"/>
        <v>2</v>
      </c>
      <c r="CC231" s="14">
        <f t="shared" si="107"/>
        <v>0</v>
      </c>
      <c r="CD231" s="14">
        <f t="shared" si="107"/>
        <v>9</v>
      </c>
      <c r="CE231" s="14">
        <f t="shared" ref="CE231:EP231" si="108">SUM(CE197:CE230)</f>
        <v>88</v>
      </c>
      <c r="CF231" s="14">
        <f t="shared" si="108"/>
        <v>45</v>
      </c>
      <c r="CG231" s="14">
        <f t="shared" si="108"/>
        <v>44</v>
      </c>
      <c r="CH231" s="14">
        <f t="shared" si="108"/>
        <v>58</v>
      </c>
      <c r="CI231" s="14">
        <f t="shared" si="108"/>
        <v>0</v>
      </c>
      <c r="CJ231" s="14">
        <f t="shared" si="108"/>
        <v>0</v>
      </c>
      <c r="CK231" s="14">
        <f t="shared" si="108"/>
        <v>0</v>
      </c>
      <c r="CL231" s="14">
        <f t="shared" si="108"/>
        <v>0</v>
      </c>
      <c r="CM231" s="14">
        <f t="shared" si="108"/>
        <v>0</v>
      </c>
      <c r="CN231" s="14">
        <f t="shared" si="108"/>
        <v>0</v>
      </c>
      <c r="CO231" s="14">
        <f t="shared" si="108"/>
        <v>0</v>
      </c>
      <c r="CP231" s="14">
        <f t="shared" si="108"/>
        <v>0</v>
      </c>
      <c r="CQ231" s="14">
        <f t="shared" si="108"/>
        <v>9</v>
      </c>
      <c r="CR231" s="14">
        <f t="shared" si="108"/>
        <v>0</v>
      </c>
      <c r="CS231" s="14">
        <f t="shared" si="108"/>
        <v>14</v>
      </c>
      <c r="CT231" s="14">
        <f t="shared" si="108"/>
        <v>0</v>
      </c>
      <c r="CU231" s="14">
        <f t="shared" si="108"/>
        <v>0</v>
      </c>
      <c r="CV231" s="14">
        <f t="shared" si="108"/>
        <v>0</v>
      </c>
      <c r="CW231" s="14">
        <f t="shared" si="108"/>
        <v>0</v>
      </c>
      <c r="CX231" s="14">
        <f t="shared" si="108"/>
        <v>15</v>
      </c>
      <c r="CY231" s="14">
        <f t="shared" si="108"/>
        <v>15</v>
      </c>
      <c r="CZ231" s="14">
        <f t="shared" si="108"/>
        <v>9</v>
      </c>
      <c r="DA231" s="14">
        <f t="shared" si="108"/>
        <v>0</v>
      </c>
      <c r="DB231" s="14">
        <f t="shared" si="108"/>
        <v>4</v>
      </c>
      <c r="DC231" s="14">
        <f t="shared" si="108"/>
        <v>2</v>
      </c>
      <c r="DD231" s="14">
        <f t="shared" si="108"/>
        <v>0</v>
      </c>
      <c r="DE231" s="14">
        <f t="shared" si="108"/>
        <v>0</v>
      </c>
      <c r="DF231" s="14">
        <f t="shared" si="108"/>
        <v>0</v>
      </c>
      <c r="DG231" s="14">
        <f t="shared" si="108"/>
        <v>0</v>
      </c>
      <c r="DH231" s="14">
        <f t="shared" si="108"/>
        <v>0</v>
      </c>
      <c r="DI231" s="14">
        <f t="shared" si="108"/>
        <v>3</v>
      </c>
      <c r="DJ231" s="14">
        <f t="shared" si="108"/>
        <v>0</v>
      </c>
      <c r="DK231" s="14">
        <f t="shared" si="108"/>
        <v>6</v>
      </c>
      <c r="DL231" s="14">
        <f t="shared" si="108"/>
        <v>12</v>
      </c>
      <c r="DM231" s="14">
        <f t="shared" si="108"/>
        <v>3</v>
      </c>
      <c r="DN231" s="14">
        <f t="shared" si="108"/>
        <v>0</v>
      </c>
      <c r="DO231" s="14">
        <f t="shared" si="108"/>
        <v>0</v>
      </c>
      <c r="DP231" s="14">
        <f t="shared" si="108"/>
        <v>0</v>
      </c>
      <c r="DQ231" s="14">
        <f t="shared" si="108"/>
        <v>0</v>
      </c>
      <c r="DR231" s="14">
        <f t="shared" si="108"/>
        <v>0</v>
      </c>
      <c r="DS231" s="14">
        <f t="shared" si="108"/>
        <v>10.5</v>
      </c>
      <c r="DT231" s="14">
        <f t="shared" si="108"/>
        <v>24</v>
      </c>
      <c r="DU231" s="14">
        <f t="shared" si="108"/>
        <v>0</v>
      </c>
      <c r="DV231" s="14">
        <f t="shared" si="108"/>
        <v>0</v>
      </c>
      <c r="DW231" s="14">
        <f t="shared" si="108"/>
        <v>0</v>
      </c>
      <c r="DX231" s="14">
        <f t="shared" si="108"/>
        <v>0</v>
      </c>
      <c r="DY231" s="14">
        <f t="shared" si="108"/>
        <v>0</v>
      </c>
      <c r="DZ231" s="14">
        <f t="shared" si="108"/>
        <v>0</v>
      </c>
      <c r="EA231" s="14">
        <f t="shared" si="108"/>
        <v>0</v>
      </c>
      <c r="EB231" s="14">
        <f t="shared" si="108"/>
        <v>0</v>
      </c>
      <c r="EC231" s="14">
        <f t="shared" si="108"/>
        <v>0</v>
      </c>
      <c r="ED231" s="14">
        <f t="shared" si="108"/>
        <v>0</v>
      </c>
      <c r="EE231" s="14">
        <f t="shared" si="108"/>
        <v>2</v>
      </c>
      <c r="EF231" s="14">
        <f t="shared" si="108"/>
        <v>0</v>
      </c>
      <c r="EG231" s="14">
        <f t="shared" si="108"/>
        <v>0</v>
      </c>
      <c r="EH231" s="14">
        <f t="shared" si="108"/>
        <v>0</v>
      </c>
      <c r="EI231" s="14">
        <f t="shared" si="108"/>
        <v>0</v>
      </c>
      <c r="EJ231" s="14">
        <f t="shared" si="108"/>
        <v>0</v>
      </c>
      <c r="EK231" s="14">
        <f t="shared" si="108"/>
        <v>0</v>
      </c>
      <c r="EL231" s="14">
        <f t="shared" si="108"/>
        <v>0</v>
      </c>
      <c r="EM231" s="14">
        <f t="shared" si="108"/>
        <v>0</v>
      </c>
      <c r="EN231" s="14">
        <f t="shared" si="108"/>
        <v>0</v>
      </c>
      <c r="EO231" s="14">
        <f t="shared" si="108"/>
        <v>0</v>
      </c>
      <c r="EP231" s="14">
        <f t="shared" si="108"/>
        <v>0</v>
      </c>
      <c r="EQ231" s="14">
        <f t="shared" ref="EQ231:FD231" si="109">SUM(EQ197:EQ230)</f>
        <v>0</v>
      </c>
      <c r="ER231" s="14">
        <f t="shared" si="109"/>
        <v>0</v>
      </c>
      <c r="ES231" s="14">
        <f t="shared" si="109"/>
        <v>0</v>
      </c>
      <c r="ET231" s="14">
        <f t="shared" si="109"/>
        <v>0</v>
      </c>
      <c r="EU231" s="14">
        <f t="shared" si="109"/>
        <v>0</v>
      </c>
      <c r="EV231" s="14">
        <f t="shared" si="109"/>
        <v>0</v>
      </c>
      <c r="EW231" s="14">
        <f t="shared" si="109"/>
        <v>0</v>
      </c>
      <c r="EX231" s="14">
        <f t="shared" si="109"/>
        <v>0</v>
      </c>
      <c r="EY231" s="14">
        <f t="shared" si="109"/>
        <v>0</v>
      </c>
      <c r="EZ231" s="14">
        <f t="shared" si="109"/>
        <v>0</v>
      </c>
      <c r="FA231" s="14">
        <f t="shared" si="109"/>
        <v>0</v>
      </c>
      <c r="FB231" s="14">
        <f t="shared" si="109"/>
        <v>0</v>
      </c>
      <c r="FC231" s="14">
        <f t="shared" si="109"/>
        <v>0</v>
      </c>
      <c r="FD231" s="14">
        <f t="shared" si="109"/>
        <v>0</v>
      </c>
      <c r="FE231" s="14">
        <f>SUM(FE197:FE230)</f>
        <v>0</v>
      </c>
      <c r="FF231" s="14"/>
    </row>
    <row r="232" spans="1:162" s="193" customFormat="1">
      <c r="A232" s="557"/>
      <c r="B232" s="486" t="s">
        <v>3064</v>
      </c>
      <c r="C232" s="558" t="s">
        <v>3834</v>
      </c>
      <c r="D232" s="189"/>
      <c r="E232" s="189"/>
      <c r="F232" s="189"/>
      <c r="G232" s="189"/>
      <c r="H232" s="189"/>
      <c r="I232" s="189"/>
      <c r="J232" s="189"/>
      <c r="K232" s="189"/>
      <c r="L232" s="189"/>
      <c r="M232" s="189"/>
      <c r="N232" s="189"/>
      <c r="O232" s="189"/>
      <c r="P232" s="189"/>
      <c r="Q232" s="189"/>
      <c r="R232" s="189"/>
      <c r="S232" s="559"/>
      <c r="T232" s="559"/>
      <c r="U232" s="559"/>
      <c r="V232" s="559"/>
      <c r="W232" s="559"/>
      <c r="X232" s="559"/>
      <c r="Y232" s="559"/>
      <c r="Z232" s="559"/>
      <c r="AA232" s="559"/>
      <c r="AB232" s="559"/>
      <c r="AC232" s="559"/>
      <c r="AD232" s="559"/>
      <c r="AE232" s="559"/>
      <c r="AF232" s="559"/>
      <c r="AG232" s="888"/>
      <c r="AH232" s="559"/>
      <c r="AI232" s="899"/>
      <c r="AJ232" s="910"/>
      <c r="AK232" s="921"/>
      <c r="AL232" s="559"/>
      <c r="AM232" s="559"/>
      <c r="AN232" s="559"/>
      <c r="AO232" s="559"/>
      <c r="AP232" s="559"/>
      <c r="AQ232" s="559"/>
      <c r="AR232" s="559"/>
      <c r="AS232" s="559"/>
      <c r="AT232" s="559"/>
      <c r="AU232" s="559"/>
      <c r="AV232" s="559"/>
      <c r="AW232" s="559"/>
      <c r="AX232" s="559"/>
      <c r="AY232" s="559"/>
      <c r="AZ232" s="559"/>
      <c r="BA232" s="559"/>
      <c r="BB232" s="559"/>
      <c r="BC232" s="559"/>
      <c r="BD232" s="559"/>
      <c r="BE232" s="559"/>
      <c r="BF232" s="559"/>
      <c r="BG232" s="559"/>
      <c r="BH232" s="559"/>
      <c r="BI232" s="559"/>
      <c r="BJ232" s="559"/>
      <c r="BK232" s="559"/>
      <c r="BL232" s="559"/>
      <c r="BM232" s="559"/>
      <c r="BN232" s="559"/>
      <c r="BO232" s="559"/>
      <c r="BP232" s="559"/>
      <c r="BQ232" s="559"/>
      <c r="BR232" s="559"/>
      <c r="BS232" s="559"/>
      <c r="BT232" s="559"/>
      <c r="BU232" s="559"/>
      <c r="BV232" s="559"/>
      <c r="BW232" s="559"/>
      <c r="BX232" s="559"/>
      <c r="BY232" s="559"/>
      <c r="BZ232" s="559"/>
      <c r="CA232" s="559"/>
      <c r="CB232" s="559"/>
      <c r="CC232" s="559"/>
      <c r="CD232" s="559"/>
      <c r="CE232" s="559"/>
      <c r="CF232" s="559"/>
      <c r="CG232" s="559"/>
      <c r="CH232" s="559"/>
      <c r="CI232" s="559"/>
      <c r="CJ232" s="559"/>
      <c r="CK232" s="559"/>
      <c r="CL232" s="559"/>
      <c r="CM232" s="559"/>
      <c r="CN232" s="559"/>
      <c r="CO232" s="559"/>
      <c r="CP232" s="559"/>
      <c r="CQ232" s="559"/>
      <c r="CR232" s="559"/>
      <c r="CS232" s="559"/>
      <c r="CT232" s="559"/>
      <c r="CU232" s="559"/>
      <c r="CV232" s="559"/>
      <c r="CW232" s="559"/>
      <c r="CX232" s="559"/>
      <c r="CY232" s="559"/>
      <c r="CZ232" s="559"/>
      <c r="DA232" s="559"/>
      <c r="DB232" s="559"/>
      <c r="DC232" s="559"/>
      <c r="DD232" s="559"/>
      <c r="DE232" s="559"/>
      <c r="DF232" s="559"/>
      <c r="DG232" s="559"/>
      <c r="DH232" s="559"/>
      <c r="DI232" s="559"/>
      <c r="DJ232" s="559"/>
      <c r="DK232" s="559"/>
      <c r="DL232" s="189"/>
      <c r="DM232" s="189"/>
      <c r="DN232" s="189"/>
      <c r="DO232" s="189"/>
      <c r="DP232" s="189"/>
      <c r="DQ232" s="189"/>
      <c r="DR232" s="189"/>
      <c r="DS232" s="189"/>
      <c r="DT232" s="189"/>
      <c r="DU232" s="189"/>
      <c r="DV232" s="189"/>
      <c r="DW232" s="189"/>
      <c r="DX232" s="189"/>
      <c r="DY232" s="189"/>
      <c r="DZ232" s="189"/>
      <c r="EA232" s="189"/>
      <c r="EB232" s="189"/>
      <c r="EC232" s="189"/>
      <c r="ED232" s="189"/>
      <c r="EE232" s="687"/>
      <c r="EF232" s="189"/>
      <c r="EG232" s="189"/>
      <c r="EH232" s="189"/>
      <c r="EI232" s="189"/>
      <c r="EJ232" s="189"/>
      <c r="EK232" s="189"/>
      <c r="EL232" s="189"/>
      <c r="EM232" s="189"/>
      <c r="EN232" s="189"/>
      <c r="EO232" s="189"/>
      <c r="EP232" s="189"/>
      <c r="EQ232" s="189"/>
      <c r="ER232" s="189"/>
      <c r="ES232" s="189"/>
      <c r="ET232" s="189"/>
      <c r="EU232" s="189"/>
      <c r="EV232" s="189"/>
      <c r="EW232" s="189"/>
      <c r="EX232" s="189"/>
      <c r="EY232" s="189"/>
      <c r="EZ232" s="189"/>
      <c r="FA232" s="189"/>
      <c r="FB232" s="189"/>
      <c r="FC232" s="189"/>
      <c r="FD232" s="189"/>
      <c r="FE232" s="189"/>
      <c r="FF232" s="560"/>
    </row>
    <row r="233" spans="1:162" s="562" customFormat="1">
      <c r="A233" s="557"/>
      <c r="B233" s="486"/>
      <c r="C233" s="491" t="s">
        <v>3816</v>
      </c>
      <c r="D233" s="190"/>
      <c r="E233" s="190"/>
      <c r="F233" s="190"/>
      <c r="G233" s="190"/>
      <c r="H233" s="190"/>
      <c r="I233" s="190"/>
      <c r="J233" s="190"/>
      <c r="K233" s="190"/>
      <c r="L233" s="190"/>
      <c r="M233" s="190"/>
      <c r="N233" s="190"/>
      <c r="O233" s="190"/>
      <c r="P233" s="190"/>
      <c r="Q233" s="190"/>
      <c r="R233" s="561" t="s">
        <v>1631</v>
      </c>
      <c r="S233" s="179"/>
      <c r="T233" s="179"/>
      <c r="U233" s="179"/>
      <c r="V233" s="179">
        <v>1</v>
      </c>
      <c r="W233" s="179"/>
      <c r="X233" s="179"/>
      <c r="Y233" s="179"/>
      <c r="Z233" s="179"/>
      <c r="AA233" s="179"/>
      <c r="AB233" s="179"/>
      <c r="AC233" s="179"/>
      <c r="AD233" s="179">
        <v>1</v>
      </c>
      <c r="AE233" s="179"/>
      <c r="AF233" s="179"/>
      <c r="AG233" s="889"/>
      <c r="AH233" s="179"/>
      <c r="AI233" s="462"/>
      <c r="AJ233" s="911"/>
      <c r="AK233" s="919"/>
      <c r="AL233" s="179"/>
      <c r="AM233" s="179"/>
      <c r="AN233" s="179"/>
      <c r="AO233" s="931"/>
      <c r="AP233" s="179"/>
      <c r="AQ233" s="179"/>
      <c r="AR233" s="179"/>
      <c r="AS233" s="179"/>
      <c r="AT233" s="179"/>
      <c r="AU233" s="179"/>
      <c r="AV233" s="179"/>
      <c r="AW233" s="179"/>
      <c r="AX233" s="179"/>
      <c r="AY233" s="179"/>
      <c r="AZ233" s="179"/>
      <c r="BA233" s="179"/>
      <c r="BB233" s="179"/>
      <c r="BC233" s="179"/>
      <c r="BD233" s="179"/>
      <c r="BE233" s="179"/>
      <c r="BF233" s="179"/>
      <c r="BG233" s="179"/>
      <c r="BH233" s="179"/>
      <c r="BI233" s="179"/>
      <c r="BJ233" s="179"/>
      <c r="BK233" s="179"/>
      <c r="BL233" s="179"/>
      <c r="BM233" s="179">
        <v>1</v>
      </c>
      <c r="BN233" s="179"/>
      <c r="BO233" s="179"/>
      <c r="BP233" s="179"/>
      <c r="BQ233" s="179"/>
      <c r="BR233" s="179"/>
      <c r="BS233" s="179"/>
      <c r="BT233" s="179"/>
      <c r="BU233" s="179"/>
      <c r="BV233" s="179"/>
      <c r="BW233" s="179"/>
      <c r="BX233" s="179"/>
      <c r="BY233" s="179"/>
      <c r="BZ233" s="179"/>
      <c r="CA233" s="179"/>
      <c r="CB233" s="179"/>
      <c r="CC233" s="179"/>
      <c r="CD233" s="179"/>
      <c r="CE233" s="462"/>
      <c r="CF233" s="174"/>
      <c r="CG233" s="174"/>
      <c r="CH233" s="179"/>
      <c r="CI233" s="179"/>
      <c r="CJ233" s="179"/>
      <c r="CK233" s="179"/>
      <c r="CL233" s="179"/>
      <c r="CM233" s="179"/>
      <c r="CN233" s="179"/>
      <c r="CO233" s="179"/>
      <c r="CP233" s="179"/>
      <c r="CQ233" s="179">
        <v>1</v>
      </c>
      <c r="CR233" s="179"/>
      <c r="CS233" s="179"/>
      <c r="CT233" s="179"/>
      <c r="CU233" s="179"/>
      <c r="CV233" s="179"/>
      <c r="CW233" s="179"/>
      <c r="CX233" s="179"/>
      <c r="CY233" s="179"/>
      <c r="CZ233" s="179"/>
      <c r="DA233" s="179"/>
      <c r="DB233" s="179"/>
      <c r="DC233" s="179"/>
      <c r="DD233" s="179"/>
      <c r="DE233" s="179"/>
      <c r="DF233" s="179"/>
      <c r="DG233" s="179"/>
      <c r="DH233" s="179"/>
      <c r="DI233" s="179"/>
      <c r="DJ233" s="179"/>
      <c r="DK233" s="179"/>
      <c r="DL233" s="190"/>
      <c r="DM233" s="190"/>
      <c r="DN233" s="190"/>
      <c r="DO233" s="190"/>
      <c r="DP233" s="190"/>
      <c r="DQ233" s="190"/>
      <c r="DR233" s="190"/>
      <c r="DS233" s="190"/>
      <c r="DT233" s="190"/>
      <c r="DU233" s="190"/>
      <c r="DV233" s="190"/>
      <c r="DW233" s="190"/>
      <c r="DX233" s="190"/>
      <c r="DY233" s="190"/>
      <c r="DZ233" s="190"/>
      <c r="EA233" s="190"/>
      <c r="EB233" s="190"/>
      <c r="EC233" s="190"/>
      <c r="ED233" s="190"/>
      <c r="EE233" s="516"/>
      <c r="EF233" s="190"/>
      <c r="EG233" s="190"/>
      <c r="EH233" s="190"/>
      <c r="EI233" s="190"/>
      <c r="EJ233" s="190"/>
      <c r="EK233" s="190"/>
      <c r="EL233" s="190"/>
      <c r="EM233" s="190"/>
      <c r="EN233" s="190"/>
      <c r="EO233" s="190"/>
      <c r="EP233" s="190"/>
      <c r="EQ233" s="190"/>
      <c r="ER233" s="190"/>
      <c r="ES233" s="190"/>
      <c r="ET233" s="190"/>
      <c r="EU233" s="190"/>
      <c r="EV233" s="190"/>
      <c r="EW233" s="190"/>
      <c r="EX233" s="190"/>
      <c r="EY233" s="190"/>
      <c r="EZ233" s="190"/>
      <c r="FA233" s="190"/>
      <c r="FB233" s="190"/>
      <c r="FC233" s="190"/>
      <c r="FD233" s="190"/>
      <c r="FE233" s="190"/>
      <c r="FF233" s="190"/>
    </row>
    <row r="234" spans="1:162" s="562" customFormat="1" hidden="1">
      <c r="A234" s="557"/>
      <c r="B234" s="486"/>
      <c r="C234" s="714"/>
      <c r="D234" s="516"/>
      <c r="E234" s="516"/>
      <c r="F234" s="516"/>
      <c r="G234" s="516"/>
      <c r="H234" s="516"/>
      <c r="I234" s="516"/>
      <c r="J234" s="516"/>
      <c r="K234" s="516"/>
      <c r="L234" s="516"/>
      <c r="M234" s="516"/>
      <c r="N234" s="516"/>
      <c r="O234" s="516"/>
      <c r="P234" s="516"/>
      <c r="Q234" s="516"/>
      <c r="R234" s="718"/>
      <c r="S234" s="719"/>
      <c r="T234" s="719"/>
      <c r="U234" s="719"/>
      <c r="V234" s="719"/>
      <c r="W234" s="719"/>
      <c r="X234" s="719"/>
      <c r="Y234" s="719"/>
      <c r="Z234" s="719"/>
      <c r="AA234" s="719"/>
      <c r="AB234" s="719"/>
      <c r="AC234" s="719"/>
      <c r="AD234" s="719"/>
      <c r="AE234" s="719"/>
      <c r="AF234" s="719"/>
      <c r="AG234" s="890"/>
      <c r="AH234" s="719"/>
      <c r="AI234" s="717"/>
      <c r="AJ234" s="912"/>
      <c r="AK234" s="922"/>
      <c r="AL234" s="719"/>
      <c r="AM234" s="719"/>
      <c r="AN234" s="719"/>
      <c r="AO234" s="932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9"/>
      <c r="BL234" s="719"/>
      <c r="BM234" s="719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  <c r="BX234" s="719"/>
      <c r="BY234" s="719"/>
      <c r="BZ234" s="719"/>
      <c r="CA234" s="719"/>
      <c r="CB234" s="719"/>
      <c r="CC234" s="719"/>
      <c r="CD234" s="719"/>
      <c r="CE234" s="717"/>
      <c r="CF234" s="716"/>
      <c r="CG234" s="716"/>
      <c r="CH234" s="719"/>
      <c r="CI234" s="719"/>
      <c r="CJ234" s="719"/>
      <c r="CK234" s="719"/>
      <c r="CL234" s="719"/>
      <c r="CM234" s="719"/>
      <c r="CN234" s="719"/>
      <c r="CO234" s="719"/>
      <c r="CP234" s="719"/>
      <c r="CQ234" s="719"/>
      <c r="CR234" s="719"/>
      <c r="CS234" s="719"/>
      <c r="CT234" s="719"/>
      <c r="CU234" s="719"/>
      <c r="CV234" s="719"/>
      <c r="CW234" s="719"/>
      <c r="CX234" s="719"/>
      <c r="CY234" s="719"/>
      <c r="CZ234" s="719"/>
      <c r="DA234" s="719"/>
      <c r="DB234" s="719"/>
      <c r="DC234" s="719"/>
      <c r="DD234" s="719"/>
      <c r="DE234" s="719"/>
      <c r="DF234" s="719"/>
      <c r="DG234" s="719"/>
      <c r="DH234" s="719"/>
      <c r="DI234" s="719"/>
      <c r="DJ234" s="719"/>
      <c r="DK234" s="719"/>
      <c r="DL234" s="516"/>
      <c r="DM234" s="516"/>
      <c r="DN234" s="516"/>
      <c r="DO234" s="516"/>
      <c r="DP234" s="516"/>
      <c r="DQ234" s="516"/>
      <c r="DR234" s="516"/>
      <c r="DS234" s="516"/>
      <c r="DT234" s="516"/>
      <c r="DU234" s="516"/>
      <c r="DV234" s="516"/>
      <c r="DW234" s="516"/>
      <c r="DX234" s="516"/>
      <c r="DY234" s="516"/>
      <c r="DZ234" s="516"/>
      <c r="EA234" s="516"/>
      <c r="EB234" s="516"/>
      <c r="EC234" s="516"/>
      <c r="ED234" s="516"/>
      <c r="EE234" s="516"/>
      <c r="EF234" s="516"/>
      <c r="EG234" s="516"/>
      <c r="EH234" s="516"/>
      <c r="EI234" s="516"/>
      <c r="EJ234" s="516"/>
      <c r="EK234" s="516"/>
      <c r="EL234" s="516"/>
      <c r="EM234" s="516"/>
      <c r="EN234" s="516"/>
      <c r="EO234" s="516"/>
      <c r="EP234" s="516"/>
      <c r="EQ234" s="516"/>
      <c r="ER234" s="516"/>
      <c r="ES234" s="516"/>
      <c r="ET234" s="516"/>
      <c r="EU234" s="516"/>
      <c r="EV234" s="516"/>
      <c r="EW234" s="516"/>
      <c r="EX234" s="516"/>
      <c r="EY234" s="516"/>
      <c r="EZ234" s="516"/>
      <c r="FA234" s="516"/>
      <c r="FB234" s="516"/>
      <c r="FC234" s="516"/>
      <c r="FD234" s="516"/>
      <c r="FE234" s="516"/>
      <c r="FF234" s="516"/>
    </row>
    <row r="235" spans="1:162" s="562" customFormat="1" hidden="1">
      <c r="A235" s="557"/>
      <c r="B235" s="486"/>
      <c r="C235" s="714"/>
      <c r="D235" s="516"/>
      <c r="E235" s="516"/>
      <c r="F235" s="516"/>
      <c r="G235" s="516"/>
      <c r="H235" s="516"/>
      <c r="I235" s="516"/>
      <c r="J235" s="516"/>
      <c r="K235" s="516"/>
      <c r="L235" s="516"/>
      <c r="M235" s="516"/>
      <c r="N235" s="516"/>
      <c r="O235" s="516"/>
      <c r="P235" s="516"/>
      <c r="Q235" s="516"/>
      <c r="R235" s="718"/>
      <c r="S235" s="719"/>
      <c r="T235" s="719"/>
      <c r="U235" s="719"/>
      <c r="V235" s="719"/>
      <c r="W235" s="719"/>
      <c r="X235" s="719"/>
      <c r="Y235" s="719"/>
      <c r="Z235" s="719"/>
      <c r="AA235" s="719"/>
      <c r="AB235" s="719"/>
      <c r="AC235" s="719"/>
      <c r="AD235" s="719"/>
      <c r="AE235" s="719"/>
      <c r="AF235" s="719"/>
      <c r="AG235" s="890"/>
      <c r="AH235" s="719"/>
      <c r="AI235" s="717"/>
      <c r="AJ235" s="912"/>
      <c r="AK235" s="922"/>
      <c r="AL235" s="719"/>
      <c r="AM235" s="719"/>
      <c r="AN235" s="719"/>
      <c r="AO235" s="932"/>
      <c r="AP235" s="719"/>
      <c r="AQ235" s="719"/>
      <c r="AR235" s="719"/>
      <c r="AS235" s="719"/>
      <c r="AT235" s="719"/>
      <c r="AU235" s="719"/>
      <c r="AV235" s="719"/>
      <c r="AW235" s="719"/>
      <c r="AX235" s="719"/>
      <c r="AY235" s="719"/>
      <c r="AZ235" s="719"/>
      <c r="BA235" s="719"/>
      <c r="BB235" s="719"/>
      <c r="BC235" s="719"/>
      <c r="BD235" s="719"/>
      <c r="BE235" s="719"/>
      <c r="BF235" s="719"/>
      <c r="BG235" s="719"/>
      <c r="BH235" s="719"/>
      <c r="BI235" s="719"/>
      <c r="BJ235" s="719"/>
      <c r="BK235" s="719"/>
      <c r="BL235" s="719"/>
      <c r="BM235" s="719"/>
      <c r="BN235" s="719"/>
      <c r="BO235" s="719"/>
      <c r="BP235" s="719"/>
      <c r="BQ235" s="719"/>
      <c r="BR235" s="719"/>
      <c r="BS235" s="719"/>
      <c r="BT235" s="719"/>
      <c r="BU235" s="719"/>
      <c r="BV235" s="719"/>
      <c r="BW235" s="719"/>
      <c r="BX235" s="719"/>
      <c r="BY235" s="719"/>
      <c r="BZ235" s="719"/>
      <c r="CA235" s="719"/>
      <c r="CB235" s="719"/>
      <c r="CC235" s="719"/>
      <c r="CD235" s="719"/>
      <c r="CE235" s="717"/>
      <c r="CF235" s="716"/>
      <c r="CG235" s="716"/>
      <c r="CH235" s="719"/>
      <c r="CI235" s="719"/>
      <c r="CJ235" s="719"/>
      <c r="CK235" s="719"/>
      <c r="CL235" s="719"/>
      <c r="CM235" s="719"/>
      <c r="CN235" s="719"/>
      <c r="CO235" s="719"/>
      <c r="CP235" s="719"/>
      <c r="CQ235" s="719"/>
      <c r="CR235" s="719"/>
      <c r="CS235" s="719"/>
      <c r="CT235" s="719"/>
      <c r="CU235" s="719"/>
      <c r="CV235" s="719"/>
      <c r="CW235" s="719"/>
      <c r="CX235" s="719"/>
      <c r="CY235" s="719"/>
      <c r="CZ235" s="719"/>
      <c r="DA235" s="719"/>
      <c r="DB235" s="719"/>
      <c r="DC235" s="719"/>
      <c r="DD235" s="719"/>
      <c r="DE235" s="719"/>
      <c r="DF235" s="719"/>
      <c r="DG235" s="719"/>
      <c r="DH235" s="719"/>
      <c r="DI235" s="719"/>
      <c r="DJ235" s="719"/>
      <c r="DK235" s="719"/>
      <c r="DL235" s="516"/>
      <c r="DM235" s="516"/>
      <c r="DN235" s="516"/>
      <c r="DO235" s="516"/>
      <c r="DP235" s="516"/>
      <c r="DQ235" s="516"/>
      <c r="DR235" s="516"/>
      <c r="DS235" s="516"/>
      <c r="DT235" s="516"/>
      <c r="DU235" s="516"/>
      <c r="DV235" s="516"/>
      <c r="DW235" s="516"/>
      <c r="DX235" s="516"/>
      <c r="DY235" s="516"/>
      <c r="DZ235" s="516"/>
      <c r="EA235" s="516"/>
      <c r="EB235" s="516"/>
      <c r="EC235" s="516"/>
      <c r="ED235" s="516"/>
      <c r="EE235" s="516"/>
      <c r="EF235" s="516"/>
      <c r="EG235" s="516"/>
      <c r="EH235" s="516"/>
      <c r="EI235" s="516"/>
      <c r="EJ235" s="516"/>
      <c r="EK235" s="516"/>
      <c r="EL235" s="516"/>
      <c r="EM235" s="516"/>
      <c r="EN235" s="516"/>
      <c r="EO235" s="516"/>
      <c r="EP235" s="516"/>
      <c r="EQ235" s="516"/>
      <c r="ER235" s="516"/>
      <c r="ES235" s="516"/>
      <c r="ET235" s="516"/>
      <c r="EU235" s="516"/>
      <c r="EV235" s="516"/>
      <c r="EW235" s="516"/>
      <c r="EX235" s="516"/>
      <c r="EY235" s="516"/>
      <c r="EZ235" s="516"/>
      <c r="FA235" s="516"/>
      <c r="FB235" s="516"/>
      <c r="FC235" s="516"/>
      <c r="FD235" s="516"/>
      <c r="FE235" s="516"/>
      <c r="FF235" s="516"/>
    </row>
    <row r="236" spans="1:162" s="562" customFormat="1">
      <c r="A236" s="557"/>
      <c r="B236" s="486"/>
      <c r="C236" s="714"/>
      <c r="D236" s="516"/>
      <c r="E236" s="516"/>
      <c r="F236" s="516"/>
      <c r="G236" s="516"/>
      <c r="H236" s="516"/>
      <c r="I236" s="516"/>
      <c r="J236" s="516"/>
      <c r="K236" s="516"/>
      <c r="L236" s="516"/>
      <c r="M236" s="516"/>
      <c r="N236" s="516"/>
      <c r="O236" s="516"/>
      <c r="P236" s="516"/>
      <c r="Q236" s="516"/>
      <c r="R236" s="718"/>
      <c r="S236" s="719"/>
      <c r="T236" s="719"/>
      <c r="U236" s="719"/>
      <c r="V236" s="719"/>
      <c r="W236" s="719"/>
      <c r="X236" s="719"/>
      <c r="Y236" s="719"/>
      <c r="Z236" s="719"/>
      <c r="AA236" s="719"/>
      <c r="AB236" s="719"/>
      <c r="AC236" s="719"/>
      <c r="AD236" s="719"/>
      <c r="AE236" s="719"/>
      <c r="AF236" s="719"/>
      <c r="AG236" s="890"/>
      <c r="AH236" s="719"/>
      <c r="AI236" s="717"/>
      <c r="AJ236" s="912"/>
      <c r="AK236" s="922"/>
      <c r="AL236" s="719"/>
      <c r="AM236" s="719"/>
      <c r="AN236" s="719"/>
      <c r="AO236" s="932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9"/>
      <c r="BL236" s="719"/>
      <c r="BM236" s="719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  <c r="BX236" s="719"/>
      <c r="BY236" s="719"/>
      <c r="BZ236" s="719"/>
      <c r="CA236" s="719"/>
      <c r="CB236" s="719"/>
      <c r="CC236" s="719"/>
      <c r="CD236" s="719"/>
      <c r="CE236" s="717"/>
      <c r="CF236" s="716"/>
      <c r="CG236" s="716"/>
      <c r="CH236" s="719"/>
      <c r="CI236" s="719"/>
      <c r="CJ236" s="719"/>
      <c r="CK236" s="719"/>
      <c r="CL236" s="719"/>
      <c r="CM236" s="719"/>
      <c r="CN236" s="719"/>
      <c r="CO236" s="719"/>
      <c r="CP236" s="719"/>
      <c r="CQ236" s="719"/>
      <c r="CR236" s="719"/>
      <c r="CS236" s="719"/>
      <c r="CT236" s="719"/>
      <c r="CU236" s="719"/>
      <c r="CV236" s="719"/>
      <c r="CW236" s="719"/>
      <c r="CX236" s="719"/>
      <c r="CY236" s="719"/>
      <c r="CZ236" s="719"/>
      <c r="DA236" s="719"/>
      <c r="DB236" s="719"/>
      <c r="DC236" s="719"/>
      <c r="DD236" s="719"/>
      <c r="DE236" s="719"/>
      <c r="DF236" s="719"/>
      <c r="DG236" s="719"/>
      <c r="DH236" s="719"/>
      <c r="DI236" s="719"/>
      <c r="DJ236" s="719"/>
      <c r="DK236" s="719"/>
      <c r="DL236" s="516"/>
      <c r="DM236" s="516"/>
      <c r="DN236" s="516"/>
      <c r="DO236" s="516"/>
      <c r="DP236" s="516"/>
      <c r="DQ236" s="516"/>
      <c r="DR236" s="516"/>
      <c r="DS236" s="516"/>
      <c r="DT236" s="516"/>
      <c r="DU236" s="516"/>
      <c r="DV236" s="516"/>
      <c r="DW236" s="516"/>
      <c r="DX236" s="516"/>
      <c r="DY236" s="516"/>
      <c r="DZ236" s="516"/>
      <c r="EA236" s="516"/>
      <c r="EB236" s="516"/>
      <c r="EC236" s="516"/>
      <c r="ED236" s="516"/>
      <c r="EE236" s="516"/>
      <c r="EF236" s="516"/>
      <c r="EG236" s="516"/>
      <c r="EH236" s="516"/>
      <c r="EI236" s="516"/>
      <c r="EJ236" s="516"/>
      <c r="EK236" s="516"/>
      <c r="EL236" s="516"/>
      <c r="EM236" s="516"/>
      <c r="EN236" s="516"/>
      <c r="EO236" s="516"/>
      <c r="EP236" s="516"/>
      <c r="EQ236" s="516"/>
      <c r="ER236" s="516"/>
      <c r="ES236" s="516"/>
      <c r="ET236" s="516"/>
      <c r="EU236" s="516"/>
      <c r="EV236" s="516"/>
      <c r="EW236" s="516"/>
      <c r="EX236" s="516"/>
      <c r="EY236" s="516"/>
      <c r="EZ236" s="516"/>
      <c r="FA236" s="516"/>
      <c r="FB236" s="516"/>
      <c r="FC236" s="516"/>
      <c r="FD236" s="516"/>
      <c r="FE236" s="516"/>
      <c r="FF236" s="516"/>
    </row>
    <row r="237" spans="1:162" s="193" customFormat="1">
      <c r="A237" s="487">
        <f>MATCH(C237,$C$5:$C$361,0)</f>
        <v>233</v>
      </c>
      <c r="B237" s="486"/>
      <c r="C237" s="191" t="s">
        <v>3026</v>
      </c>
      <c r="D237" s="191">
        <f>SUM(D233:D236)</f>
        <v>0</v>
      </c>
      <c r="E237" s="191">
        <f t="shared" ref="E237:Q237" si="110">SUM(E233:E236)</f>
        <v>0</v>
      </c>
      <c r="F237" s="191">
        <f t="shared" si="110"/>
        <v>0</v>
      </c>
      <c r="G237" s="191">
        <f t="shared" si="110"/>
        <v>0</v>
      </c>
      <c r="H237" s="191">
        <f t="shared" si="110"/>
        <v>0</v>
      </c>
      <c r="I237" s="191">
        <f t="shared" si="110"/>
        <v>0</v>
      </c>
      <c r="J237" s="191">
        <f t="shared" si="110"/>
        <v>0</v>
      </c>
      <c r="K237" s="191">
        <f t="shared" si="110"/>
        <v>0</v>
      </c>
      <c r="L237" s="191">
        <f t="shared" si="110"/>
        <v>0</v>
      </c>
      <c r="M237" s="191">
        <f t="shared" si="110"/>
        <v>0</v>
      </c>
      <c r="N237" s="191">
        <f t="shared" si="110"/>
        <v>0</v>
      </c>
      <c r="O237" s="191">
        <f t="shared" si="110"/>
        <v>0</v>
      </c>
      <c r="P237" s="191">
        <f t="shared" si="110"/>
        <v>0</v>
      </c>
      <c r="Q237" s="191">
        <f t="shared" si="110"/>
        <v>0</v>
      </c>
      <c r="R237" s="191"/>
      <c r="S237" s="191">
        <f t="shared" ref="S237:CD237" si="111">SUM(S233:S236)</f>
        <v>0</v>
      </c>
      <c r="T237" s="191">
        <f t="shared" si="111"/>
        <v>0</v>
      </c>
      <c r="U237" s="191">
        <f t="shared" si="111"/>
        <v>0</v>
      </c>
      <c r="V237" s="191">
        <f t="shared" si="111"/>
        <v>1</v>
      </c>
      <c r="W237" s="191">
        <f t="shared" si="111"/>
        <v>0</v>
      </c>
      <c r="X237" s="191">
        <f t="shared" si="111"/>
        <v>0</v>
      </c>
      <c r="Y237" s="191">
        <f t="shared" si="111"/>
        <v>0</v>
      </c>
      <c r="Z237" s="191">
        <f t="shared" si="111"/>
        <v>0</v>
      </c>
      <c r="AA237" s="191">
        <f t="shared" si="111"/>
        <v>0</v>
      </c>
      <c r="AB237" s="191">
        <f t="shared" si="111"/>
        <v>0</v>
      </c>
      <c r="AC237" s="191">
        <f t="shared" si="111"/>
        <v>0</v>
      </c>
      <c r="AD237" s="191">
        <f t="shared" si="111"/>
        <v>1</v>
      </c>
      <c r="AE237" s="191">
        <f t="shared" si="111"/>
        <v>0</v>
      </c>
      <c r="AF237" s="191">
        <f t="shared" si="111"/>
        <v>0</v>
      </c>
      <c r="AG237" s="891">
        <f t="shared" si="111"/>
        <v>0</v>
      </c>
      <c r="AH237" s="191">
        <f t="shared" si="111"/>
        <v>0</v>
      </c>
      <c r="AI237" s="192">
        <f t="shared" si="111"/>
        <v>0</v>
      </c>
      <c r="AJ237" s="913">
        <f t="shared" si="111"/>
        <v>0</v>
      </c>
      <c r="AK237" s="923">
        <f t="shared" si="111"/>
        <v>0</v>
      </c>
      <c r="AL237" s="191">
        <f t="shared" si="111"/>
        <v>0</v>
      </c>
      <c r="AM237" s="191">
        <f t="shared" si="111"/>
        <v>0</v>
      </c>
      <c r="AN237" s="191">
        <f t="shared" si="111"/>
        <v>0</v>
      </c>
      <c r="AO237" s="933">
        <f t="shared" si="111"/>
        <v>0</v>
      </c>
      <c r="AP237" s="191">
        <f t="shared" si="111"/>
        <v>0</v>
      </c>
      <c r="AQ237" s="191">
        <f t="shared" si="111"/>
        <v>0</v>
      </c>
      <c r="AR237" s="191">
        <f t="shared" si="111"/>
        <v>0</v>
      </c>
      <c r="AS237" s="191">
        <f t="shared" si="111"/>
        <v>0</v>
      </c>
      <c r="AT237" s="191">
        <f t="shared" si="111"/>
        <v>0</v>
      </c>
      <c r="AU237" s="191">
        <f t="shared" si="111"/>
        <v>0</v>
      </c>
      <c r="AV237" s="191">
        <f t="shared" si="111"/>
        <v>0</v>
      </c>
      <c r="AW237" s="191">
        <f t="shared" si="111"/>
        <v>0</v>
      </c>
      <c r="AX237" s="191">
        <f t="shared" si="111"/>
        <v>0</v>
      </c>
      <c r="AY237" s="191">
        <f t="shared" si="111"/>
        <v>0</v>
      </c>
      <c r="AZ237" s="191">
        <f t="shared" si="111"/>
        <v>0</v>
      </c>
      <c r="BA237" s="191">
        <f t="shared" si="111"/>
        <v>0</v>
      </c>
      <c r="BB237" s="191">
        <f t="shared" si="111"/>
        <v>0</v>
      </c>
      <c r="BC237" s="191">
        <f t="shared" si="111"/>
        <v>0</v>
      </c>
      <c r="BD237" s="191">
        <f t="shared" si="111"/>
        <v>0</v>
      </c>
      <c r="BE237" s="191">
        <f t="shared" si="111"/>
        <v>0</v>
      </c>
      <c r="BF237" s="191">
        <f t="shared" si="111"/>
        <v>0</v>
      </c>
      <c r="BG237" s="191">
        <f t="shared" si="111"/>
        <v>0</v>
      </c>
      <c r="BH237" s="191">
        <f t="shared" si="111"/>
        <v>0</v>
      </c>
      <c r="BI237" s="191">
        <f t="shared" si="111"/>
        <v>0</v>
      </c>
      <c r="BJ237" s="191">
        <f t="shared" si="111"/>
        <v>0</v>
      </c>
      <c r="BK237" s="191">
        <f t="shared" si="111"/>
        <v>0</v>
      </c>
      <c r="BL237" s="191">
        <f t="shared" si="111"/>
        <v>0</v>
      </c>
      <c r="BM237" s="191">
        <f t="shared" si="111"/>
        <v>1</v>
      </c>
      <c r="BN237" s="191">
        <f t="shared" si="111"/>
        <v>0</v>
      </c>
      <c r="BO237" s="191">
        <f t="shared" si="111"/>
        <v>0</v>
      </c>
      <c r="BP237" s="191">
        <f t="shared" si="111"/>
        <v>0</v>
      </c>
      <c r="BQ237" s="191">
        <f t="shared" si="111"/>
        <v>0</v>
      </c>
      <c r="BR237" s="191">
        <f t="shared" si="111"/>
        <v>0</v>
      </c>
      <c r="BS237" s="191">
        <f t="shared" si="111"/>
        <v>0</v>
      </c>
      <c r="BT237" s="191">
        <f t="shared" si="111"/>
        <v>0</v>
      </c>
      <c r="BU237" s="191">
        <f t="shared" si="111"/>
        <v>0</v>
      </c>
      <c r="BV237" s="191">
        <f t="shared" si="111"/>
        <v>0</v>
      </c>
      <c r="BW237" s="191">
        <f t="shared" si="111"/>
        <v>0</v>
      </c>
      <c r="BX237" s="191">
        <f t="shared" si="111"/>
        <v>0</v>
      </c>
      <c r="BY237" s="191">
        <f t="shared" si="111"/>
        <v>0</v>
      </c>
      <c r="BZ237" s="191">
        <f t="shared" si="111"/>
        <v>0</v>
      </c>
      <c r="CA237" s="191">
        <f t="shared" si="111"/>
        <v>0</v>
      </c>
      <c r="CB237" s="191">
        <f t="shared" si="111"/>
        <v>0</v>
      </c>
      <c r="CC237" s="191">
        <f t="shared" si="111"/>
        <v>0</v>
      </c>
      <c r="CD237" s="191">
        <f t="shared" si="111"/>
        <v>0</v>
      </c>
      <c r="CE237" s="191">
        <f t="shared" ref="CE237:EP237" si="112">SUM(CE233:CE236)</f>
        <v>0</v>
      </c>
      <c r="CF237" s="191">
        <f t="shared" si="112"/>
        <v>0</v>
      </c>
      <c r="CG237" s="191">
        <f t="shared" si="112"/>
        <v>0</v>
      </c>
      <c r="CH237" s="191">
        <f t="shared" si="112"/>
        <v>0</v>
      </c>
      <c r="CI237" s="191">
        <f t="shared" si="112"/>
        <v>0</v>
      </c>
      <c r="CJ237" s="191">
        <f t="shared" si="112"/>
        <v>0</v>
      </c>
      <c r="CK237" s="191">
        <f t="shared" si="112"/>
        <v>0</v>
      </c>
      <c r="CL237" s="191">
        <f t="shared" si="112"/>
        <v>0</v>
      </c>
      <c r="CM237" s="191">
        <f t="shared" si="112"/>
        <v>0</v>
      </c>
      <c r="CN237" s="191">
        <f t="shared" si="112"/>
        <v>0</v>
      </c>
      <c r="CO237" s="191">
        <f t="shared" si="112"/>
        <v>0</v>
      </c>
      <c r="CP237" s="191">
        <f t="shared" si="112"/>
        <v>0</v>
      </c>
      <c r="CQ237" s="191">
        <f t="shared" si="112"/>
        <v>1</v>
      </c>
      <c r="CR237" s="191">
        <f t="shared" si="112"/>
        <v>0</v>
      </c>
      <c r="CS237" s="191">
        <f t="shared" si="112"/>
        <v>0</v>
      </c>
      <c r="CT237" s="191">
        <f t="shared" si="112"/>
        <v>0</v>
      </c>
      <c r="CU237" s="191">
        <f t="shared" si="112"/>
        <v>0</v>
      </c>
      <c r="CV237" s="191">
        <f t="shared" si="112"/>
        <v>0</v>
      </c>
      <c r="CW237" s="191">
        <f t="shared" si="112"/>
        <v>0</v>
      </c>
      <c r="CX237" s="191">
        <f t="shared" si="112"/>
        <v>0</v>
      </c>
      <c r="CY237" s="191">
        <f t="shared" si="112"/>
        <v>0</v>
      </c>
      <c r="CZ237" s="191">
        <f t="shared" si="112"/>
        <v>0</v>
      </c>
      <c r="DA237" s="191">
        <f t="shared" si="112"/>
        <v>0</v>
      </c>
      <c r="DB237" s="191">
        <f t="shared" si="112"/>
        <v>0</v>
      </c>
      <c r="DC237" s="191">
        <f t="shared" si="112"/>
        <v>0</v>
      </c>
      <c r="DD237" s="191">
        <f t="shared" si="112"/>
        <v>0</v>
      </c>
      <c r="DE237" s="191">
        <f t="shared" si="112"/>
        <v>0</v>
      </c>
      <c r="DF237" s="191">
        <f t="shared" si="112"/>
        <v>0</v>
      </c>
      <c r="DG237" s="191">
        <f t="shared" si="112"/>
        <v>0</v>
      </c>
      <c r="DH237" s="191">
        <f t="shared" si="112"/>
        <v>0</v>
      </c>
      <c r="DI237" s="191">
        <f t="shared" si="112"/>
        <v>0</v>
      </c>
      <c r="DJ237" s="191">
        <f t="shared" si="112"/>
        <v>0</v>
      </c>
      <c r="DK237" s="191">
        <f t="shared" si="112"/>
        <v>0</v>
      </c>
      <c r="DL237" s="191">
        <f t="shared" si="112"/>
        <v>0</v>
      </c>
      <c r="DM237" s="191">
        <f t="shared" si="112"/>
        <v>0</v>
      </c>
      <c r="DN237" s="191">
        <f t="shared" si="112"/>
        <v>0</v>
      </c>
      <c r="DO237" s="191">
        <f t="shared" si="112"/>
        <v>0</v>
      </c>
      <c r="DP237" s="191">
        <f t="shared" si="112"/>
        <v>0</v>
      </c>
      <c r="DQ237" s="191">
        <f t="shared" si="112"/>
        <v>0</v>
      </c>
      <c r="DR237" s="191">
        <f t="shared" si="112"/>
        <v>0</v>
      </c>
      <c r="DS237" s="191">
        <f t="shared" si="112"/>
        <v>0</v>
      </c>
      <c r="DT237" s="191">
        <f t="shared" si="112"/>
        <v>0</v>
      </c>
      <c r="DU237" s="191">
        <f t="shared" si="112"/>
        <v>0</v>
      </c>
      <c r="DV237" s="191">
        <f t="shared" si="112"/>
        <v>0</v>
      </c>
      <c r="DW237" s="191">
        <f t="shared" si="112"/>
        <v>0</v>
      </c>
      <c r="DX237" s="191">
        <f t="shared" si="112"/>
        <v>0</v>
      </c>
      <c r="DY237" s="191">
        <f t="shared" si="112"/>
        <v>0</v>
      </c>
      <c r="DZ237" s="191">
        <f t="shared" si="112"/>
        <v>0</v>
      </c>
      <c r="EA237" s="191">
        <f t="shared" si="112"/>
        <v>0</v>
      </c>
      <c r="EB237" s="191">
        <f t="shared" si="112"/>
        <v>0</v>
      </c>
      <c r="EC237" s="191">
        <f t="shared" si="112"/>
        <v>0</v>
      </c>
      <c r="ED237" s="191">
        <f t="shared" si="112"/>
        <v>0</v>
      </c>
      <c r="EE237" s="191">
        <f t="shared" si="112"/>
        <v>0</v>
      </c>
      <c r="EF237" s="191">
        <f t="shared" si="112"/>
        <v>0</v>
      </c>
      <c r="EG237" s="191">
        <f t="shared" si="112"/>
        <v>0</v>
      </c>
      <c r="EH237" s="191">
        <f t="shared" si="112"/>
        <v>0</v>
      </c>
      <c r="EI237" s="191">
        <f t="shared" si="112"/>
        <v>0</v>
      </c>
      <c r="EJ237" s="191">
        <f t="shared" si="112"/>
        <v>0</v>
      </c>
      <c r="EK237" s="191">
        <f t="shared" si="112"/>
        <v>0</v>
      </c>
      <c r="EL237" s="191">
        <f t="shared" si="112"/>
        <v>0</v>
      </c>
      <c r="EM237" s="191">
        <f t="shared" si="112"/>
        <v>0</v>
      </c>
      <c r="EN237" s="191">
        <f t="shared" si="112"/>
        <v>0</v>
      </c>
      <c r="EO237" s="191">
        <f t="shared" si="112"/>
        <v>0</v>
      </c>
      <c r="EP237" s="191">
        <f t="shared" si="112"/>
        <v>0</v>
      </c>
      <c r="EQ237" s="191">
        <f t="shared" ref="EQ237:FD237" si="113">SUM(EQ233:EQ236)</f>
        <v>0</v>
      </c>
      <c r="ER237" s="191">
        <f t="shared" si="113"/>
        <v>0</v>
      </c>
      <c r="ES237" s="191">
        <f t="shared" si="113"/>
        <v>0</v>
      </c>
      <c r="ET237" s="191">
        <f t="shared" si="113"/>
        <v>0</v>
      </c>
      <c r="EU237" s="191">
        <f t="shared" si="113"/>
        <v>0</v>
      </c>
      <c r="EV237" s="191">
        <f t="shared" si="113"/>
        <v>0</v>
      </c>
      <c r="EW237" s="191">
        <f t="shared" si="113"/>
        <v>0</v>
      </c>
      <c r="EX237" s="191">
        <f t="shared" si="113"/>
        <v>0</v>
      </c>
      <c r="EY237" s="191">
        <f t="shared" si="113"/>
        <v>0</v>
      </c>
      <c r="EZ237" s="191">
        <f t="shared" si="113"/>
        <v>0</v>
      </c>
      <c r="FA237" s="191">
        <f t="shared" si="113"/>
        <v>0</v>
      </c>
      <c r="FB237" s="191">
        <f t="shared" si="113"/>
        <v>0</v>
      </c>
      <c r="FC237" s="191">
        <f t="shared" si="113"/>
        <v>0</v>
      </c>
      <c r="FD237" s="191">
        <f t="shared" si="113"/>
        <v>0</v>
      </c>
      <c r="FE237" s="191">
        <f>SUM(FE233:FE236)</f>
        <v>0</v>
      </c>
      <c r="FF237" s="191"/>
    </row>
    <row r="238" spans="1:162">
      <c r="A238" s="54"/>
      <c r="B238" s="55" t="s">
        <v>3065</v>
      </c>
      <c r="C238" s="11" t="s">
        <v>3835</v>
      </c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885"/>
      <c r="AH238" s="176"/>
      <c r="AI238" s="897"/>
      <c r="AJ238" s="907"/>
      <c r="AK238" s="921"/>
      <c r="AL238" s="176"/>
      <c r="AM238" s="176"/>
      <c r="AN238" s="176"/>
      <c r="AO238" s="176"/>
      <c r="AP238" s="176"/>
      <c r="AQ238" s="176"/>
      <c r="AR238" s="176"/>
      <c r="AS238" s="176"/>
      <c r="AT238" s="176"/>
      <c r="AU238" s="176"/>
      <c r="AV238" s="176"/>
      <c r="AW238" s="176"/>
      <c r="AX238" s="176"/>
      <c r="AY238" s="176"/>
      <c r="AZ238" s="176"/>
      <c r="BA238" s="176"/>
      <c r="BB238" s="176"/>
      <c r="BC238" s="176"/>
      <c r="BD238" s="176"/>
      <c r="BE238" s="176"/>
      <c r="BF238" s="176"/>
      <c r="BG238" s="176"/>
      <c r="BH238" s="176"/>
      <c r="BI238" s="176"/>
      <c r="BJ238" s="176"/>
      <c r="BK238" s="176"/>
      <c r="BL238" s="176"/>
      <c r="BM238" s="176"/>
      <c r="BN238" s="176"/>
      <c r="BO238" s="176"/>
      <c r="BP238" s="176"/>
      <c r="BQ238" s="176"/>
      <c r="BR238" s="176"/>
      <c r="BS238" s="176"/>
      <c r="BT238" s="176"/>
      <c r="BU238" s="176"/>
      <c r="BV238" s="176"/>
      <c r="BW238" s="176"/>
      <c r="BX238" s="176"/>
      <c r="BY238" s="176"/>
      <c r="BZ238" s="176"/>
      <c r="CA238" s="176"/>
      <c r="CB238" s="176"/>
      <c r="CC238" s="176"/>
      <c r="CD238" s="176"/>
      <c r="CE238" s="176"/>
      <c r="CF238" s="176"/>
      <c r="CG238" s="176"/>
      <c r="CH238" s="176"/>
      <c r="CI238" s="176"/>
      <c r="CJ238" s="176"/>
      <c r="CK238" s="176"/>
      <c r="CL238" s="176"/>
      <c r="CM238" s="176"/>
      <c r="CN238" s="176"/>
      <c r="CO238" s="176"/>
      <c r="CP238" s="176"/>
      <c r="CQ238" s="176"/>
      <c r="CR238" s="176"/>
      <c r="CS238" s="176"/>
      <c r="CT238" s="176"/>
      <c r="CU238" s="176"/>
      <c r="CV238" s="176"/>
      <c r="CW238" s="176"/>
      <c r="CX238" s="176"/>
      <c r="CY238" s="176"/>
      <c r="CZ238" s="176"/>
      <c r="DA238" s="176"/>
      <c r="DB238" s="176"/>
      <c r="DC238" s="176"/>
      <c r="DD238" s="176"/>
      <c r="DE238" s="176"/>
      <c r="DF238" s="176"/>
      <c r="DG238" s="176"/>
      <c r="DH238" s="176"/>
      <c r="DI238" s="176"/>
      <c r="DJ238" s="176"/>
      <c r="DK238" s="176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503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3"/>
    </row>
    <row r="239" spans="1:162" s="56" customFormat="1">
      <c r="A239" s="54"/>
      <c r="B239" s="55"/>
      <c r="C239" s="491" t="s">
        <v>3810</v>
      </c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173" t="s">
        <v>1631</v>
      </c>
      <c r="S239" s="174"/>
      <c r="T239" s="174"/>
      <c r="U239" s="174"/>
      <c r="V239" s="174">
        <v>1</v>
      </c>
      <c r="W239" s="174"/>
      <c r="X239" s="174"/>
      <c r="Y239" s="174"/>
      <c r="Z239" s="174"/>
      <c r="AA239" s="174"/>
      <c r="AB239" s="174"/>
      <c r="AC239" s="174"/>
      <c r="AD239" s="174">
        <v>1</v>
      </c>
      <c r="AE239" s="174"/>
      <c r="AF239" s="174"/>
      <c r="AG239" s="883"/>
      <c r="AH239" s="174"/>
      <c r="AI239" s="492"/>
      <c r="AJ239" s="905"/>
      <c r="AK239" s="919"/>
      <c r="AL239" s="174"/>
      <c r="AM239" s="174"/>
      <c r="AN239" s="174"/>
      <c r="AO239" s="928"/>
      <c r="AP239" s="174"/>
      <c r="AQ239" s="174"/>
      <c r="AR239" s="174"/>
      <c r="AS239" s="174"/>
      <c r="AT239" s="174"/>
      <c r="AU239" s="174"/>
      <c r="AV239" s="174"/>
      <c r="AW239" s="174"/>
      <c r="AX239" s="174"/>
      <c r="AY239" s="174"/>
      <c r="AZ239" s="174"/>
      <c r="BA239" s="174"/>
      <c r="BB239" s="174"/>
      <c r="BC239" s="174"/>
      <c r="BD239" s="174"/>
      <c r="BE239" s="174"/>
      <c r="BF239" s="174"/>
      <c r="BG239" s="174"/>
      <c r="BH239" s="174"/>
      <c r="BI239" s="174"/>
      <c r="BJ239" s="174"/>
      <c r="BK239" s="174"/>
      <c r="BL239" s="174"/>
      <c r="BM239" s="174">
        <v>1</v>
      </c>
      <c r="BN239" s="174"/>
      <c r="BO239" s="174"/>
      <c r="BP239" s="174"/>
      <c r="BQ239" s="174"/>
      <c r="BR239" s="174"/>
      <c r="BS239" s="174"/>
      <c r="BT239" s="174"/>
      <c r="BU239" s="174"/>
      <c r="BV239" s="174"/>
      <c r="BW239" s="174"/>
      <c r="BX239" s="174"/>
      <c r="BY239" s="174"/>
      <c r="BZ239" s="174"/>
      <c r="CA239" s="174"/>
      <c r="CB239" s="174"/>
      <c r="CC239" s="174"/>
      <c r="CD239" s="174"/>
      <c r="CE239" s="174"/>
      <c r="CF239" s="174"/>
      <c r="CG239" s="174"/>
      <c r="CH239" s="174"/>
      <c r="CI239" s="174"/>
      <c r="CJ239" s="174"/>
      <c r="CK239" s="174"/>
      <c r="CL239" s="174"/>
      <c r="CM239" s="174"/>
      <c r="CN239" s="174"/>
      <c r="CO239" s="174"/>
      <c r="CP239" s="174"/>
      <c r="CQ239" s="174">
        <v>1</v>
      </c>
      <c r="CR239" s="174"/>
      <c r="CS239" s="174"/>
      <c r="CT239" s="174"/>
      <c r="CU239" s="174"/>
      <c r="CV239" s="174"/>
      <c r="CW239" s="174"/>
      <c r="CX239" s="174"/>
      <c r="CY239" s="174"/>
      <c r="CZ239" s="174"/>
      <c r="DA239" s="174"/>
      <c r="DB239" s="174"/>
      <c r="DC239" s="174"/>
      <c r="DD239" s="174"/>
      <c r="DE239" s="174"/>
      <c r="DF239" s="174"/>
      <c r="DG239" s="174"/>
      <c r="DH239" s="174"/>
      <c r="DI239" s="174"/>
      <c r="DJ239" s="174"/>
      <c r="DK239" s="174"/>
      <c r="DL239" s="62"/>
      <c r="DM239" s="62"/>
      <c r="DN239" s="62"/>
      <c r="DO239" s="62"/>
      <c r="DP239" s="62"/>
      <c r="DQ239" s="62"/>
      <c r="DR239" s="62"/>
      <c r="DS239" s="62"/>
      <c r="DT239" s="62"/>
      <c r="DU239" s="62"/>
      <c r="DV239" s="62"/>
      <c r="DW239" s="62"/>
      <c r="DX239" s="62"/>
      <c r="DY239" s="62"/>
      <c r="DZ239" s="62"/>
      <c r="EA239" s="62"/>
      <c r="EB239" s="62"/>
      <c r="EC239" s="62"/>
      <c r="ED239" s="62"/>
      <c r="EE239" s="454"/>
      <c r="EF239" s="62"/>
      <c r="EG239" s="62"/>
      <c r="EH239" s="62"/>
      <c r="EI239" s="62"/>
      <c r="EJ239" s="62"/>
      <c r="EK239" s="62"/>
      <c r="EL239" s="62"/>
      <c r="EM239" s="62"/>
      <c r="EN239" s="62"/>
      <c r="EO239" s="62"/>
      <c r="EP239" s="62"/>
      <c r="EQ239" s="62"/>
      <c r="ER239" s="62"/>
      <c r="ES239" s="62"/>
      <c r="ET239" s="62"/>
      <c r="EU239" s="62"/>
      <c r="EV239" s="62"/>
      <c r="EW239" s="62"/>
      <c r="EX239" s="62"/>
      <c r="EY239" s="62"/>
      <c r="EZ239" s="62"/>
      <c r="FA239" s="62"/>
      <c r="FB239" s="62"/>
      <c r="FC239" s="62"/>
      <c r="FD239" s="62"/>
      <c r="FE239" s="62"/>
      <c r="FF239" s="62"/>
    </row>
    <row r="240" spans="1:162" s="56" customFormat="1">
      <c r="A240" s="54"/>
      <c r="B240" s="689"/>
      <c r="C240" s="714" t="s">
        <v>3670</v>
      </c>
      <c r="D240" s="454"/>
      <c r="E240" s="454"/>
      <c r="F240" s="454"/>
      <c r="G240" s="454"/>
      <c r="H240" s="454"/>
      <c r="I240" s="454"/>
      <c r="J240" s="454"/>
      <c r="K240" s="454"/>
      <c r="L240" s="454"/>
      <c r="M240" s="454"/>
      <c r="N240" s="454"/>
      <c r="O240" s="454"/>
      <c r="P240" s="454"/>
      <c r="Q240" s="454"/>
      <c r="R240" s="715" t="s">
        <v>3005</v>
      </c>
      <c r="S240" s="716"/>
      <c r="T240" s="716"/>
      <c r="U240" s="716"/>
      <c r="V240" s="716">
        <v>2</v>
      </c>
      <c r="W240" s="716"/>
      <c r="X240" s="716"/>
      <c r="Y240" s="716"/>
      <c r="Z240" s="716"/>
      <c r="AA240" s="716"/>
      <c r="AB240" s="716"/>
      <c r="AC240" s="716"/>
      <c r="AD240" s="716"/>
      <c r="AE240" s="716"/>
      <c r="AF240" s="716"/>
      <c r="AG240" s="886"/>
      <c r="AH240" s="716"/>
      <c r="AI240" s="898"/>
      <c r="AJ240" s="908">
        <v>1</v>
      </c>
      <c r="AK240" s="922"/>
      <c r="AL240" s="716"/>
      <c r="AM240" s="716"/>
      <c r="AN240" s="716"/>
      <c r="AO240" s="930"/>
      <c r="AP240" s="716"/>
      <c r="AQ240" s="716"/>
      <c r="AR240" s="716"/>
      <c r="AS240" s="716"/>
      <c r="AT240" s="716"/>
      <c r="AU240" s="716"/>
      <c r="AV240" s="716"/>
      <c r="AW240" s="716"/>
      <c r="AX240" s="716"/>
      <c r="AY240" s="716"/>
      <c r="AZ240" s="716"/>
      <c r="BA240" s="716"/>
      <c r="BB240" s="716"/>
      <c r="BC240" s="716"/>
      <c r="BD240" s="716"/>
      <c r="BE240" s="716"/>
      <c r="BF240" s="716"/>
      <c r="BG240" s="716"/>
      <c r="BH240" s="716"/>
      <c r="BI240" s="716"/>
      <c r="BJ240" s="716"/>
      <c r="BK240" s="716"/>
      <c r="BL240" s="716"/>
      <c r="BM240" s="716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>
        <v>1</v>
      </c>
      <c r="BX240" s="716"/>
      <c r="BY240" s="716"/>
      <c r="BZ240" s="716"/>
      <c r="CA240" s="716"/>
      <c r="CB240" s="716"/>
      <c r="CC240" s="716"/>
      <c r="CD240" s="716"/>
      <c r="CE240" s="716">
        <v>1</v>
      </c>
      <c r="CF240" s="716">
        <v>4</v>
      </c>
      <c r="CG240" s="716"/>
      <c r="CH240" s="716">
        <v>3</v>
      </c>
      <c r="CI240" s="716"/>
      <c r="CJ240" s="716"/>
      <c r="CK240" s="716"/>
      <c r="CL240" s="716"/>
      <c r="CM240" s="716"/>
      <c r="CN240" s="716"/>
      <c r="CO240" s="716"/>
      <c r="CP240" s="716"/>
      <c r="CQ240" s="716"/>
      <c r="CR240" s="716">
        <v>1</v>
      </c>
      <c r="CS240" s="716">
        <v>1</v>
      </c>
      <c r="CT240" s="716"/>
      <c r="CU240" s="716"/>
      <c r="CV240" s="716"/>
      <c r="CW240" s="716"/>
      <c r="CX240" s="716"/>
      <c r="CY240" s="716"/>
      <c r="CZ240" s="716"/>
      <c r="DA240" s="716"/>
      <c r="DB240" s="716"/>
      <c r="DC240" s="716"/>
      <c r="DD240" s="716">
        <v>2</v>
      </c>
      <c r="DE240" s="716"/>
      <c r="DF240" s="716"/>
      <c r="DG240" s="716"/>
      <c r="DH240" s="716"/>
      <c r="DI240" s="716">
        <v>3</v>
      </c>
      <c r="DJ240" s="716"/>
      <c r="DK240" s="716"/>
      <c r="DL240" s="454">
        <v>1.5</v>
      </c>
      <c r="DM240" s="454"/>
      <c r="DN240" s="454"/>
      <c r="DO240" s="454"/>
      <c r="DP240" s="454"/>
      <c r="DQ240" s="454"/>
      <c r="DR240" s="454"/>
      <c r="DS240" s="454">
        <v>1.5</v>
      </c>
      <c r="DT240" s="454">
        <f>2+1.5+1.5+1+1+1</f>
        <v>8</v>
      </c>
      <c r="DU240" s="454"/>
      <c r="DV240" s="454"/>
      <c r="DW240" s="454"/>
      <c r="DX240" s="454"/>
      <c r="DY240" s="454"/>
      <c r="DZ240" s="454"/>
      <c r="EA240" s="454"/>
      <c r="EB240" s="454"/>
      <c r="EC240" s="454"/>
      <c r="ED240" s="454"/>
      <c r="EE240" s="454"/>
      <c r="EF240" s="454">
        <v>1</v>
      </c>
      <c r="EG240" s="454"/>
      <c r="EH240" s="454"/>
      <c r="EI240" s="454"/>
      <c r="EJ240" s="454"/>
      <c r="EK240" s="454"/>
      <c r="EL240" s="454"/>
      <c r="EM240" s="454"/>
      <c r="EN240" s="454"/>
      <c r="EO240" s="454"/>
      <c r="EP240" s="454"/>
      <c r="EQ240" s="454"/>
      <c r="ER240" s="454"/>
      <c r="ES240" s="454"/>
      <c r="ET240" s="454"/>
      <c r="EU240" s="454"/>
      <c r="EV240" s="454"/>
      <c r="EW240" s="454"/>
      <c r="EX240" s="454"/>
      <c r="EY240" s="454"/>
      <c r="EZ240" s="454"/>
      <c r="FA240" s="454"/>
      <c r="FB240" s="454"/>
      <c r="FC240" s="454"/>
      <c r="FD240" s="454"/>
      <c r="FE240" s="454"/>
      <c r="FF240" s="454"/>
    </row>
    <row r="241" spans="1:162" s="56" customFormat="1">
      <c r="A241" s="54"/>
      <c r="B241" s="689"/>
      <c r="C241" s="714" t="s">
        <v>3006</v>
      </c>
      <c r="D241" s="454">
        <v>35</v>
      </c>
      <c r="E241" s="454">
        <f>D241*3</f>
        <v>105</v>
      </c>
      <c r="F241" s="454"/>
      <c r="G241" s="454"/>
      <c r="H241" s="454"/>
      <c r="I241" s="454"/>
      <c r="J241" s="454"/>
      <c r="K241" s="454"/>
      <c r="L241" s="454">
        <f>D241</f>
        <v>35</v>
      </c>
      <c r="M241" s="454"/>
      <c r="N241" s="454"/>
      <c r="O241" s="454"/>
      <c r="P241" s="454"/>
      <c r="Q241" s="454"/>
      <c r="R241" s="715" t="s">
        <v>2990</v>
      </c>
      <c r="S241" s="716"/>
      <c r="T241" s="716"/>
      <c r="U241" s="716"/>
      <c r="V241" s="716">
        <v>2</v>
      </c>
      <c r="W241" s="716"/>
      <c r="X241" s="716"/>
      <c r="Y241" s="716"/>
      <c r="Z241" s="716"/>
      <c r="AA241" s="716"/>
      <c r="AB241" s="716"/>
      <c r="AC241" s="716"/>
      <c r="AD241" s="716"/>
      <c r="AE241" s="716"/>
      <c r="AF241" s="716"/>
      <c r="AG241" s="886"/>
      <c r="AH241" s="716"/>
      <c r="AI241" s="898"/>
      <c r="AJ241" s="908">
        <v>1</v>
      </c>
      <c r="AK241" s="922"/>
      <c r="AL241" s="716"/>
      <c r="AM241" s="716"/>
      <c r="AN241" s="716"/>
      <c r="AO241" s="930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6"/>
      <c r="BL241" s="716"/>
      <c r="BM241" s="716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>
        <v>1</v>
      </c>
      <c r="BX241" s="716"/>
      <c r="BY241" s="716"/>
      <c r="BZ241" s="716"/>
      <c r="CA241" s="716"/>
      <c r="CB241" s="716"/>
      <c r="CC241" s="716"/>
      <c r="CD241" s="716"/>
      <c r="CE241" s="716"/>
      <c r="CF241" s="716"/>
      <c r="CG241" s="716"/>
      <c r="CH241" s="716">
        <v>3</v>
      </c>
      <c r="CI241" s="716"/>
      <c r="CJ241" s="716"/>
      <c r="CK241" s="716"/>
      <c r="CL241" s="716"/>
      <c r="CM241" s="716"/>
      <c r="CN241" s="716"/>
      <c r="CO241" s="716"/>
      <c r="CP241" s="716"/>
      <c r="CQ241" s="716"/>
      <c r="CR241" s="716"/>
      <c r="CS241" s="716">
        <v>1</v>
      </c>
      <c r="CT241" s="716"/>
      <c r="CU241" s="716"/>
      <c r="CV241" s="716"/>
      <c r="CW241" s="716"/>
      <c r="CX241" s="716"/>
      <c r="CY241" s="716"/>
      <c r="CZ241" s="716"/>
      <c r="DA241" s="716"/>
      <c r="DB241" s="716"/>
      <c r="DC241" s="716"/>
      <c r="DD241" s="716"/>
      <c r="DE241" s="716"/>
      <c r="DF241" s="716"/>
      <c r="DG241" s="716"/>
      <c r="DH241" s="716"/>
      <c r="DI241" s="716"/>
      <c r="DJ241" s="716"/>
      <c r="DK241" s="716"/>
      <c r="DL241" s="454"/>
      <c r="DM241" s="454"/>
      <c r="DN241" s="454"/>
      <c r="DO241" s="454"/>
      <c r="DP241" s="454"/>
      <c r="DQ241" s="454"/>
      <c r="DR241" s="454"/>
      <c r="DS241" s="454"/>
      <c r="DT241" s="454"/>
      <c r="DU241" s="454"/>
      <c r="DV241" s="454"/>
      <c r="DW241" s="454"/>
      <c r="DX241" s="454"/>
      <c r="DY241" s="454"/>
      <c r="DZ241" s="454"/>
      <c r="EA241" s="454"/>
      <c r="EB241" s="454"/>
      <c r="EC241" s="454"/>
      <c r="ED241" s="454"/>
      <c r="EE241" s="454"/>
      <c r="EF241" s="454"/>
      <c r="EG241" s="454"/>
      <c r="EH241" s="454"/>
      <c r="EI241" s="454"/>
      <c r="EJ241" s="454"/>
      <c r="EK241" s="454"/>
      <c r="EL241" s="454"/>
      <c r="EM241" s="454"/>
      <c r="EN241" s="454"/>
      <c r="EO241" s="454"/>
      <c r="EP241" s="454"/>
      <c r="EQ241" s="454"/>
      <c r="ER241" s="454"/>
      <c r="ES241" s="454"/>
      <c r="ET241" s="454"/>
      <c r="EU241" s="454"/>
      <c r="EV241" s="454"/>
      <c r="EW241" s="454"/>
      <c r="EX241" s="454"/>
      <c r="EY241" s="454"/>
      <c r="EZ241" s="454"/>
      <c r="FA241" s="454"/>
      <c r="FB241" s="454"/>
      <c r="FC241" s="454"/>
      <c r="FD241" s="454"/>
      <c r="FE241" s="454"/>
      <c r="FF241" s="454"/>
    </row>
    <row r="242" spans="1:162" s="56" customFormat="1">
      <c r="A242" s="54"/>
      <c r="B242" s="689"/>
      <c r="C242" s="714"/>
      <c r="D242" s="454"/>
      <c r="E242" s="454"/>
      <c r="F242" s="454"/>
      <c r="G242" s="454"/>
      <c r="H242" s="454"/>
      <c r="I242" s="454"/>
      <c r="J242" s="454"/>
      <c r="K242" s="454"/>
      <c r="L242" s="454"/>
      <c r="M242" s="454"/>
      <c r="N242" s="454"/>
      <c r="O242" s="454"/>
      <c r="P242" s="454"/>
      <c r="Q242" s="454"/>
      <c r="R242" s="715"/>
      <c r="S242" s="716"/>
      <c r="T242" s="716"/>
      <c r="U242" s="716"/>
      <c r="V242" s="716"/>
      <c r="W242" s="716"/>
      <c r="X242" s="716"/>
      <c r="Y242" s="716"/>
      <c r="Z242" s="716"/>
      <c r="AA242" s="716"/>
      <c r="AB242" s="716"/>
      <c r="AC242" s="716"/>
      <c r="AD242" s="716"/>
      <c r="AE242" s="716"/>
      <c r="AF242" s="716"/>
      <c r="AG242" s="886"/>
      <c r="AH242" s="716"/>
      <c r="AI242" s="898"/>
      <c r="AJ242" s="908"/>
      <c r="AK242" s="922"/>
      <c r="AL242" s="716"/>
      <c r="AM242" s="716"/>
      <c r="AN242" s="716"/>
      <c r="AO242" s="930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6"/>
      <c r="BL242" s="716"/>
      <c r="BM242" s="716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  <c r="BX242" s="716"/>
      <c r="BY242" s="716"/>
      <c r="BZ242" s="716"/>
      <c r="CA242" s="716"/>
      <c r="CB242" s="716"/>
      <c r="CC242" s="716"/>
      <c r="CD242" s="716"/>
      <c r="CE242" s="716"/>
      <c r="CF242" s="716"/>
      <c r="CG242" s="716"/>
      <c r="CH242" s="716"/>
      <c r="CI242" s="716"/>
      <c r="CJ242" s="716"/>
      <c r="CK242" s="716"/>
      <c r="CL242" s="716"/>
      <c r="CM242" s="716"/>
      <c r="CN242" s="716"/>
      <c r="CO242" s="716"/>
      <c r="CP242" s="716"/>
      <c r="CQ242" s="716"/>
      <c r="CR242" s="716"/>
      <c r="CS242" s="716"/>
      <c r="CT242" s="716"/>
      <c r="CU242" s="716"/>
      <c r="CV242" s="716"/>
      <c r="CW242" s="716"/>
      <c r="CX242" s="716"/>
      <c r="CY242" s="716"/>
      <c r="CZ242" s="716"/>
      <c r="DA242" s="716"/>
      <c r="DB242" s="716"/>
      <c r="DC242" s="716"/>
      <c r="DD242" s="716"/>
      <c r="DE242" s="716"/>
      <c r="DF242" s="716"/>
      <c r="DG242" s="716"/>
      <c r="DH242" s="716"/>
      <c r="DI242" s="716"/>
      <c r="DJ242" s="716"/>
      <c r="DK242" s="716"/>
      <c r="DL242" s="454"/>
      <c r="DM242" s="454"/>
      <c r="DN242" s="454"/>
      <c r="DO242" s="454"/>
      <c r="DP242" s="454"/>
      <c r="DQ242" s="454"/>
      <c r="DR242" s="454"/>
      <c r="DS242" s="454"/>
      <c r="DT242" s="454"/>
      <c r="DU242" s="454"/>
      <c r="DV242" s="454"/>
      <c r="DW242" s="454"/>
      <c r="DX242" s="454"/>
      <c r="DY242" s="454"/>
      <c r="DZ242" s="454"/>
      <c r="EA242" s="454"/>
      <c r="EB242" s="454"/>
      <c r="EC242" s="454"/>
      <c r="ED242" s="454"/>
      <c r="EE242" s="454"/>
      <c r="EF242" s="454"/>
      <c r="EG242" s="454"/>
      <c r="EH242" s="454"/>
      <c r="EI242" s="454"/>
      <c r="EJ242" s="454"/>
      <c r="EK242" s="454"/>
      <c r="EL242" s="454"/>
      <c r="EM242" s="454"/>
      <c r="EN242" s="454"/>
      <c r="EO242" s="454"/>
      <c r="EP242" s="454"/>
      <c r="EQ242" s="454"/>
      <c r="ER242" s="454"/>
      <c r="ES242" s="454"/>
      <c r="ET242" s="454"/>
      <c r="EU242" s="454"/>
      <c r="EV242" s="454"/>
      <c r="EW242" s="454"/>
      <c r="EX242" s="454"/>
      <c r="EY242" s="454"/>
      <c r="EZ242" s="454"/>
      <c r="FA242" s="454"/>
      <c r="FB242" s="454"/>
      <c r="FC242" s="454"/>
      <c r="FD242" s="454"/>
      <c r="FE242" s="454"/>
      <c r="FF242" s="454"/>
    </row>
    <row r="243" spans="1:162">
      <c r="A243" s="487">
        <f>MATCH(C243,$C$5:$C$361,0)</f>
        <v>239</v>
      </c>
      <c r="C243" s="14" t="s">
        <v>3028</v>
      </c>
      <c r="D243" s="14">
        <f t="shared" ref="D243:Q243" si="114">SUM(D239:D242)</f>
        <v>35</v>
      </c>
      <c r="E243" s="14">
        <f t="shared" si="114"/>
        <v>105</v>
      </c>
      <c r="F243" s="14">
        <f t="shared" si="114"/>
        <v>0</v>
      </c>
      <c r="G243" s="14">
        <f t="shared" si="114"/>
        <v>0</v>
      </c>
      <c r="H243" s="14">
        <f t="shared" si="114"/>
        <v>0</v>
      </c>
      <c r="I243" s="14">
        <f t="shared" si="114"/>
        <v>0</v>
      </c>
      <c r="J243" s="14">
        <f t="shared" si="114"/>
        <v>0</v>
      </c>
      <c r="K243" s="14">
        <f t="shared" si="114"/>
        <v>0</v>
      </c>
      <c r="L243" s="14">
        <f t="shared" si="114"/>
        <v>35</v>
      </c>
      <c r="M243" s="14">
        <f t="shared" si="114"/>
        <v>0</v>
      </c>
      <c r="N243" s="14">
        <f t="shared" si="114"/>
        <v>0</v>
      </c>
      <c r="O243" s="14">
        <f t="shared" si="114"/>
        <v>0</v>
      </c>
      <c r="P243" s="14">
        <f t="shared" si="114"/>
        <v>0</v>
      </c>
      <c r="Q243" s="14">
        <f t="shared" si="114"/>
        <v>0</v>
      </c>
      <c r="R243" s="14"/>
      <c r="S243" s="175">
        <f t="shared" ref="S243:AX243" si="115">SUM(S239:S242)</f>
        <v>0</v>
      </c>
      <c r="T243" s="175">
        <f t="shared" si="115"/>
        <v>0</v>
      </c>
      <c r="U243" s="175">
        <f t="shared" si="115"/>
        <v>0</v>
      </c>
      <c r="V243" s="175">
        <f t="shared" si="115"/>
        <v>5</v>
      </c>
      <c r="W243" s="175">
        <f t="shared" si="115"/>
        <v>0</v>
      </c>
      <c r="X243" s="175">
        <f t="shared" si="115"/>
        <v>0</v>
      </c>
      <c r="Y243" s="175">
        <f t="shared" si="115"/>
        <v>0</v>
      </c>
      <c r="Z243" s="175">
        <f t="shared" si="115"/>
        <v>0</v>
      </c>
      <c r="AA243" s="175">
        <f t="shared" si="115"/>
        <v>0</v>
      </c>
      <c r="AB243" s="175">
        <f t="shared" si="115"/>
        <v>0</v>
      </c>
      <c r="AC243" s="175">
        <f t="shared" si="115"/>
        <v>0</v>
      </c>
      <c r="AD243" s="175">
        <f t="shared" si="115"/>
        <v>1</v>
      </c>
      <c r="AE243" s="175">
        <f t="shared" si="115"/>
        <v>0</v>
      </c>
      <c r="AF243" s="175">
        <f t="shared" si="115"/>
        <v>0</v>
      </c>
      <c r="AG243" s="884">
        <f t="shared" si="115"/>
        <v>0</v>
      </c>
      <c r="AH243" s="175">
        <f t="shared" si="115"/>
        <v>0</v>
      </c>
      <c r="AI243" s="178">
        <f t="shared" si="115"/>
        <v>0</v>
      </c>
      <c r="AJ243" s="906">
        <f t="shared" si="115"/>
        <v>2</v>
      </c>
      <c r="AK243" s="920">
        <f t="shared" si="115"/>
        <v>0</v>
      </c>
      <c r="AL243" s="175">
        <f t="shared" si="115"/>
        <v>0</v>
      </c>
      <c r="AM243" s="175">
        <f t="shared" si="115"/>
        <v>0</v>
      </c>
      <c r="AN243" s="175">
        <f t="shared" si="115"/>
        <v>0</v>
      </c>
      <c r="AO243" s="929">
        <f t="shared" si="115"/>
        <v>0</v>
      </c>
      <c r="AP243" s="175">
        <f t="shared" si="115"/>
        <v>0</v>
      </c>
      <c r="AQ243" s="175">
        <f t="shared" si="115"/>
        <v>0</v>
      </c>
      <c r="AR243" s="175">
        <f t="shared" si="115"/>
        <v>0</v>
      </c>
      <c r="AS243" s="175">
        <f t="shared" si="115"/>
        <v>0</v>
      </c>
      <c r="AT243" s="175">
        <f t="shared" si="115"/>
        <v>0</v>
      </c>
      <c r="AU243" s="175">
        <f t="shared" si="115"/>
        <v>0</v>
      </c>
      <c r="AV243" s="175">
        <f t="shared" si="115"/>
        <v>0</v>
      </c>
      <c r="AW243" s="175">
        <f t="shared" si="115"/>
        <v>0</v>
      </c>
      <c r="AX243" s="175">
        <f t="shared" si="115"/>
        <v>0</v>
      </c>
      <c r="AY243" s="175">
        <f t="shared" ref="AY243:CD243" si="116">SUM(AY239:AY242)</f>
        <v>0</v>
      </c>
      <c r="AZ243" s="175">
        <f t="shared" si="116"/>
        <v>0</v>
      </c>
      <c r="BA243" s="175">
        <f t="shared" si="116"/>
        <v>0</v>
      </c>
      <c r="BB243" s="175">
        <f t="shared" si="116"/>
        <v>0</v>
      </c>
      <c r="BC243" s="175">
        <f t="shared" si="116"/>
        <v>0</v>
      </c>
      <c r="BD243" s="175">
        <f t="shared" si="116"/>
        <v>0</v>
      </c>
      <c r="BE243" s="175">
        <f t="shared" si="116"/>
        <v>0</v>
      </c>
      <c r="BF243" s="175">
        <f t="shared" si="116"/>
        <v>0</v>
      </c>
      <c r="BG243" s="175">
        <f t="shared" si="116"/>
        <v>0</v>
      </c>
      <c r="BH243" s="175">
        <f t="shared" si="116"/>
        <v>0</v>
      </c>
      <c r="BI243" s="175">
        <f t="shared" si="116"/>
        <v>0</v>
      </c>
      <c r="BJ243" s="175">
        <f t="shared" si="116"/>
        <v>0</v>
      </c>
      <c r="BK243" s="175">
        <f t="shared" si="116"/>
        <v>0</v>
      </c>
      <c r="BL243" s="175">
        <f t="shared" si="116"/>
        <v>0</v>
      </c>
      <c r="BM243" s="175">
        <f t="shared" si="116"/>
        <v>1</v>
      </c>
      <c r="BN243" s="175">
        <f t="shared" si="116"/>
        <v>0</v>
      </c>
      <c r="BO243" s="175">
        <f t="shared" si="116"/>
        <v>0</v>
      </c>
      <c r="BP243" s="175">
        <f t="shared" si="116"/>
        <v>0</v>
      </c>
      <c r="BQ243" s="175">
        <f t="shared" si="116"/>
        <v>0</v>
      </c>
      <c r="BR243" s="175">
        <f t="shared" si="116"/>
        <v>0</v>
      </c>
      <c r="BS243" s="175">
        <f t="shared" si="116"/>
        <v>0</v>
      </c>
      <c r="BT243" s="175">
        <f t="shared" si="116"/>
        <v>0</v>
      </c>
      <c r="BU243" s="175">
        <f t="shared" si="116"/>
        <v>0</v>
      </c>
      <c r="BV243" s="175">
        <f t="shared" si="116"/>
        <v>0</v>
      </c>
      <c r="BW243" s="175">
        <f t="shared" si="116"/>
        <v>2</v>
      </c>
      <c r="BX243" s="175">
        <f t="shared" si="116"/>
        <v>0</v>
      </c>
      <c r="BY243" s="175">
        <f t="shared" si="116"/>
        <v>0</v>
      </c>
      <c r="BZ243" s="175">
        <f t="shared" si="116"/>
        <v>0</v>
      </c>
      <c r="CA243" s="175">
        <f t="shared" si="116"/>
        <v>0</v>
      </c>
      <c r="CB243" s="175">
        <f t="shared" si="116"/>
        <v>0</v>
      </c>
      <c r="CC243" s="175">
        <f t="shared" si="116"/>
        <v>0</v>
      </c>
      <c r="CD243" s="175">
        <f t="shared" si="116"/>
        <v>0</v>
      </c>
      <c r="CE243" s="175">
        <f t="shared" ref="CE243:DJ243" si="117">SUM(CE239:CE242)</f>
        <v>1</v>
      </c>
      <c r="CF243" s="175">
        <f t="shared" si="117"/>
        <v>4</v>
      </c>
      <c r="CG243" s="175">
        <f t="shared" si="117"/>
        <v>0</v>
      </c>
      <c r="CH243" s="175">
        <f t="shared" si="117"/>
        <v>6</v>
      </c>
      <c r="CI243" s="175">
        <f t="shared" si="117"/>
        <v>0</v>
      </c>
      <c r="CJ243" s="175">
        <f t="shared" si="117"/>
        <v>0</v>
      </c>
      <c r="CK243" s="175">
        <f t="shared" si="117"/>
        <v>0</v>
      </c>
      <c r="CL243" s="175">
        <f t="shared" si="117"/>
        <v>0</v>
      </c>
      <c r="CM243" s="175">
        <f t="shared" si="117"/>
        <v>0</v>
      </c>
      <c r="CN243" s="175">
        <f t="shared" si="117"/>
        <v>0</v>
      </c>
      <c r="CO243" s="175">
        <f t="shared" si="117"/>
        <v>0</v>
      </c>
      <c r="CP243" s="175">
        <f t="shared" si="117"/>
        <v>0</v>
      </c>
      <c r="CQ243" s="175">
        <f t="shared" si="117"/>
        <v>1</v>
      </c>
      <c r="CR243" s="175">
        <f t="shared" si="117"/>
        <v>1</v>
      </c>
      <c r="CS243" s="175">
        <f t="shared" si="117"/>
        <v>2</v>
      </c>
      <c r="CT243" s="175">
        <f t="shared" si="117"/>
        <v>0</v>
      </c>
      <c r="CU243" s="175">
        <f t="shared" si="117"/>
        <v>0</v>
      </c>
      <c r="CV243" s="175">
        <f t="shared" si="117"/>
        <v>0</v>
      </c>
      <c r="CW243" s="175">
        <f t="shared" si="117"/>
        <v>0</v>
      </c>
      <c r="CX243" s="175">
        <f t="shared" si="117"/>
        <v>0</v>
      </c>
      <c r="CY243" s="175">
        <f t="shared" si="117"/>
        <v>0</v>
      </c>
      <c r="CZ243" s="175">
        <f t="shared" si="117"/>
        <v>0</v>
      </c>
      <c r="DA243" s="175">
        <f t="shared" si="117"/>
        <v>0</v>
      </c>
      <c r="DB243" s="175">
        <f t="shared" si="117"/>
        <v>0</v>
      </c>
      <c r="DC243" s="175">
        <f t="shared" si="117"/>
        <v>0</v>
      </c>
      <c r="DD243" s="175">
        <f t="shared" si="117"/>
        <v>2</v>
      </c>
      <c r="DE243" s="175">
        <f t="shared" si="117"/>
        <v>0</v>
      </c>
      <c r="DF243" s="175">
        <f t="shared" si="117"/>
        <v>0</v>
      </c>
      <c r="DG243" s="175">
        <f t="shared" si="117"/>
        <v>0</v>
      </c>
      <c r="DH243" s="175">
        <f t="shared" si="117"/>
        <v>0</v>
      </c>
      <c r="DI243" s="175">
        <f t="shared" si="117"/>
        <v>3</v>
      </c>
      <c r="DJ243" s="175">
        <f t="shared" si="117"/>
        <v>0</v>
      </c>
      <c r="DK243" s="175">
        <f t="shared" ref="DK243:EP243" si="118">SUM(DK239:DK242)</f>
        <v>0</v>
      </c>
      <c r="DL243" s="175">
        <f t="shared" si="118"/>
        <v>1.5</v>
      </c>
      <c r="DM243" s="175">
        <f t="shared" si="118"/>
        <v>0</v>
      </c>
      <c r="DN243" s="175">
        <f t="shared" si="118"/>
        <v>0</v>
      </c>
      <c r="DO243" s="175">
        <f t="shared" si="118"/>
        <v>0</v>
      </c>
      <c r="DP243" s="175">
        <f t="shared" si="118"/>
        <v>0</v>
      </c>
      <c r="DQ243" s="175">
        <f t="shared" si="118"/>
        <v>0</v>
      </c>
      <c r="DR243" s="175">
        <f t="shared" si="118"/>
        <v>0</v>
      </c>
      <c r="DS243" s="175">
        <f t="shared" si="118"/>
        <v>1.5</v>
      </c>
      <c r="DT243" s="175">
        <f t="shared" si="118"/>
        <v>8</v>
      </c>
      <c r="DU243" s="175">
        <f t="shared" si="118"/>
        <v>0</v>
      </c>
      <c r="DV243" s="175">
        <f t="shared" si="118"/>
        <v>0</v>
      </c>
      <c r="DW243" s="175">
        <f t="shared" si="118"/>
        <v>0</v>
      </c>
      <c r="DX243" s="175">
        <f t="shared" si="118"/>
        <v>0</v>
      </c>
      <c r="DY243" s="175">
        <f t="shared" si="118"/>
        <v>0</v>
      </c>
      <c r="DZ243" s="175">
        <f t="shared" si="118"/>
        <v>0</v>
      </c>
      <c r="EA243" s="175">
        <f t="shared" si="118"/>
        <v>0</v>
      </c>
      <c r="EB243" s="175">
        <f t="shared" si="118"/>
        <v>0</v>
      </c>
      <c r="EC243" s="175">
        <f t="shared" si="118"/>
        <v>0</v>
      </c>
      <c r="ED243" s="175">
        <f t="shared" si="118"/>
        <v>0</v>
      </c>
      <c r="EE243" s="175">
        <f t="shared" si="118"/>
        <v>0</v>
      </c>
      <c r="EF243" s="175">
        <f t="shared" si="118"/>
        <v>1</v>
      </c>
      <c r="EG243" s="175">
        <f t="shared" si="118"/>
        <v>0</v>
      </c>
      <c r="EH243" s="175">
        <f t="shared" si="118"/>
        <v>0</v>
      </c>
      <c r="EI243" s="175">
        <f t="shared" si="118"/>
        <v>0</v>
      </c>
      <c r="EJ243" s="175">
        <f t="shared" si="118"/>
        <v>0</v>
      </c>
      <c r="EK243" s="175">
        <f t="shared" si="118"/>
        <v>0</v>
      </c>
      <c r="EL243" s="175">
        <f t="shared" si="118"/>
        <v>0</v>
      </c>
      <c r="EM243" s="175">
        <f t="shared" si="118"/>
        <v>0</v>
      </c>
      <c r="EN243" s="175">
        <f t="shared" si="118"/>
        <v>0</v>
      </c>
      <c r="EO243" s="175">
        <f t="shared" si="118"/>
        <v>0</v>
      </c>
      <c r="EP243" s="175">
        <f t="shared" si="118"/>
        <v>0</v>
      </c>
      <c r="EQ243" s="175">
        <f t="shared" ref="EQ243:FE243" si="119">SUM(EQ239:EQ242)</f>
        <v>0</v>
      </c>
      <c r="ER243" s="175">
        <f t="shared" si="119"/>
        <v>0</v>
      </c>
      <c r="ES243" s="175">
        <f t="shared" si="119"/>
        <v>0</v>
      </c>
      <c r="ET243" s="175">
        <f t="shared" si="119"/>
        <v>0</v>
      </c>
      <c r="EU243" s="175">
        <f t="shared" si="119"/>
        <v>0</v>
      </c>
      <c r="EV243" s="175">
        <f t="shared" si="119"/>
        <v>0</v>
      </c>
      <c r="EW243" s="175">
        <f t="shared" si="119"/>
        <v>0</v>
      </c>
      <c r="EX243" s="175">
        <f t="shared" si="119"/>
        <v>0</v>
      </c>
      <c r="EY243" s="175">
        <f t="shared" si="119"/>
        <v>0</v>
      </c>
      <c r="EZ243" s="175">
        <f t="shared" si="119"/>
        <v>0</v>
      </c>
      <c r="FA243" s="175">
        <f t="shared" si="119"/>
        <v>0</v>
      </c>
      <c r="FB243" s="175">
        <f t="shared" si="119"/>
        <v>0</v>
      </c>
      <c r="FC243" s="175">
        <f t="shared" si="119"/>
        <v>0</v>
      </c>
      <c r="FD243" s="175">
        <f t="shared" si="119"/>
        <v>0</v>
      </c>
      <c r="FE243" s="175">
        <f t="shared" si="119"/>
        <v>0</v>
      </c>
      <c r="FF243" s="14"/>
    </row>
    <row r="244" spans="1:162" hidden="1">
      <c r="A244" s="54"/>
      <c r="B244" s="55" t="s">
        <v>3066</v>
      </c>
      <c r="C244" s="11" t="s">
        <v>3447</v>
      </c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885"/>
      <c r="AH244" s="176"/>
      <c r="AI244" s="897"/>
      <c r="AJ244" s="907"/>
      <c r="AK244" s="921"/>
      <c r="AL244" s="176"/>
      <c r="AM244" s="176"/>
      <c r="AN244" s="176"/>
      <c r="AO244" s="176"/>
      <c r="AP244" s="176"/>
      <c r="AQ244" s="176"/>
      <c r="AR244" s="176"/>
      <c r="AS244" s="176"/>
      <c r="AT244" s="176"/>
      <c r="AU244" s="176"/>
      <c r="AV244" s="176"/>
      <c r="AW244" s="176"/>
      <c r="AX244" s="176"/>
      <c r="AY244" s="176"/>
      <c r="AZ244" s="176"/>
      <c r="BA244" s="176"/>
      <c r="BB244" s="176"/>
      <c r="BC244" s="176"/>
      <c r="BD244" s="176"/>
      <c r="BE244" s="176"/>
      <c r="BF244" s="176"/>
      <c r="BG244" s="176"/>
      <c r="BH244" s="176"/>
      <c r="BI244" s="176"/>
      <c r="BJ244" s="176"/>
      <c r="BK244" s="176"/>
      <c r="BL244" s="176"/>
      <c r="BM244" s="176"/>
      <c r="BN244" s="176"/>
      <c r="BO244" s="176"/>
      <c r="BP244" s="176"/>
      <c r="BQ244" s="176"/>
      <c r="BR244" s="176"/>
      <c r="BS244" s="176"/>
      <c r="BT244" s="176"/>
      <c r="BU244" s="176"/>
      <c r="BV244" s="176"/>
      <c r="BW244" s="176"/>
      <c r="BX244" s="176"/>
      <c r="BY244" s="176"/>
      <c r="BZ244" s="176"/>
      <c r="CA244" s="176"/>
      <c r="CB244" s="176"/>
      <c r="CC244" s="176"/>
      <c r="CD244" s="176"/>
      <c r="CE244" s="176"/>
      <c r="CF244" s="176"/>
      <c r="CG244" s="176"/>
      <c r="CH244" s="176"/>
      <c r="CI244" s="176"/>
      <c r="CJ244" s="176"/>
      <c r="CK244" s="176"/>
      <c r="CL244" s="176"/>
      <c r="CM244" s="176"/>
      <c r="CN244" s="176"/>
      <c r="CO244" s="176"/>
      <c r="CP244" s="176"/>
      <c r="CQ244" s="176"/>
      <c r="CR244" s="176"/>
      <c r="CS244" s="176"/>
      <c r="CT244" s="176"/>
      <c r="CU244" s="176"/>
      <c r="CV244" s="176"/>
      <c r="CW244" s="176"/>
      <c r="CX244" s="176"/>
      <c r="CY244" s="176"/>
      <c r="CZ244" s="176"/>
      <c r="DA244" s="176"/>
      <c r="DB244" s="176"/>
      <c r="DC244" s="176"/>
      <c r="DD244" s="176"/>
      <c r="DE244" s="176"/>
      <c r="DF244" s="176"/>
      <c r="DG244" s="176"/>
      <c r="DH244" s="176"/>
      <c r="DI244" s="176"/>
      <c r="DJ244" s="176"/>
      <c r="DK244" s="176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503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3"/>
    </row>
    <row r="245" spans="1:162" s="56" customFormat="1" hidden="1">
      <c r="A245" s="54"/>
      <c r="B245" s="55"/>
      <c r="C245" s="491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173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883"/>
      <c r="AH245" s="174"/>
      <c r="AI245" s="492"/>
      <c r="AJ245" s="905"/>
      <c r="AK245" s="919"/>
      <c r="AL245" s="174"/>
      <c r="AM245" s="174"/>
      <c r="AN245" s="174"/>
      <c r="AO245" s="928"/>
      <c r="AP245" s="174"/>
      <c r="AQ245" s="174"/>
      <c r="AR245" s="174"/>
      <c r="AS245" s="174"/>
      <c r="AT245" s="174"/>
      <c r="AU245" s="174"/>
      <c r="AV245" s="174"/>
      <c r="AW245" s="174"/>
      <c r="AX245" s="174"/>
      <c r="AY245" s="174"/>
      <c r="AZ245" s="174"/>
      <c r="BA245" s="174"/>
      <c r="BB245" s="174"/>
      <c r="BC245" s="174"/>
      <c r="BD245" s="174"/>
      <c r="BE245" s="174"/>
      <c r="BF245" s="174"/>
      <c r="BG245" s="174"/>
      <c r="BH245" s="174"/>
      <c r="BI245" s="174"/>
      <c r="BJ245" s="174"/>
      <c r="BK245" s="174"/>
      <c r="BL245" s="174"/>
      <c r="BM245" s="174"/>
      <c r="BN245" s="174"/>
      <c r="BO245" s="174"/>
      <c r="BP245" s="174"/>
      <c r="BQ245" s="174"/>
      <c r="BR245" s="174"/>
      <c r="BS245" s="174"/>
      <c r="BT245" s="174"/>
      <c r="BU245" s="174"/>
      <c r="BV245" s="174"/>
      <c r="BW245" s="174"/>
      <c r="BX245" s="174"/>
      <c r="BY245" s="174"/>
      <c r="BZ245" s="174"/>
      <c r="CA245" s="174"/>
      <c r="CB245" s="174"/>
      <c r="CC245" s="174"/>
      <c r="CD245" s="174"/>
      <c r="CE245" s="174"/>
      <c r="CF245" s="174"/>
      <c r="CG245" s="174"/>
      <c r="CH245" s="174"/>
      <c r="CI245" s="174"/>
      <c r="CJ245" s="174"/>
      <c r="CK245" s="174"/>
      <c r="CL245" s="174"/>
      <c r="CM245" s="174"/>
      <c r="CN245" s="174"/>
      <c r="CO245" s="174"/>
      <c r="CP245" s="174"/>
      <c r="CQ245" s="174"/>
      <c r="CR245" s="174"/>
      <c r="CS245" s="174"/>
      <c r="CT245" s="174"/>
      <c r="CU245" s="174"/>
      <c r="CV245" s="174"/>
      <c r="CW245" s="174"/>
      <c r="CX245" s="174"/>
      <c r="CY245" s="174"/>
      <c r="CZ245" s="174"/>
      <c r="DA245" s="174"/>
      <c r="DB245" s="174"/>
      <c r="DC245" s="174"/>
      <c r="DD245" s="174"/>
      <c r="DE245" s="174"/>
      <c r="DF245" s="174"/>
      <c r="DG245" s="174"/>
      <c r="DH245" s="174"/>
      <c r="DI245" s="174"/>
      <c r="DJ245" s="174"/>
      <c r="DK245" s="174"/>
      <c r="DL245" s="62"/>
      <c r="DM245" s="62"/>
      <c r="DN245" s="62"/>
      <c r="DO245" s="62"/>
      <c r="DP245" s="62"/>
      <c r="DQ245" s="62"/>
      <c r="DR245" s="62"/>
      <c r="DS245" s="62"/>
      <c r="DT245" s="62"/>
      <c r="DU245" s="62"/>
      <c r="DV245" s="62"/>
      <c r="DW245" s="62"/>
      <c r="DX245" s="62"/>
      <c r="DY245" s="62"/>
      <c r="DZ245" s="62"/>
      <c r="EA245" s="62"/>
      <c r="EB245" s="62"/>
      <c r="EC245" s="62"/>
      <c r="ED245" s="62"/>
      <c r="EE245" s="454"/>
      <c r="EF245" s="62"/>
      <c r="EG245" s="62"/>
      <c r="EH245" s="62"/>
      <c r="EI245" s="62"/>
      <c r="EJ245" s="62"/>
      <c r="EK245" s="62"/>
      <c r="EL245" s="62"/>
      <c r="EM245" s="62"/>
      <c r="EN245" s="62"/>
      <c r="EO245" s="62"/>
      <c r="EP245" s="62"/>
      <c r="EQ245" s="62"/>
      <c r="ER245" s="62"/>
      <c r="ES245" s="62"/>
      <c r="ET245" s="62"/>
      <c r="EU245" s="62"/>
      <c r="EV245" s="62"/>
      <c r="EW245" s="62"/>
      <c r="EX245" s="62"/>
      <c r="EY245" s="62"/>
      <c r="EZ245" s="62"/>
      <c r="FA245" s="62"/>
      <c r="FB245" s="62"/>
      <c r="FC245" s="62"/>
      <c r="FD245" s="62"/>
      <c r="FE245" s="62"/>
      <c r="FF245" s="62"/>
    </row>
    <row r="246" spans="1:162" s="56" customFormat="1" hidden="1">
      <c r="A246" s="54"/>
      <c r="B246" s="55"/>
      <c r="C246" s="491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173"/>
      <c r="S246" s="174"/>
      <c r="T246" s="174"/>
      <c r="U246" s="174"/>
      <c r="V246" s="174"/>
      <c r="W246" s="174"/>
      <c r="X246" s="174"/>
      <c r="Y246" s="174"/>
      <c r="Z246" s="174"/>
      <c r="AA246" s="174"/>
      <c r="AB246" s="174"/>
      <c r="AC246" s="174"/>
      <c r="AD246" s="174"/>
      <c r="AE246" s="174"/>
      <c r="AF246" s="174"/>
      <c r="AG246" s="883"/>
      <c r="AH246" s="174"/>
      <c r="AI246" s="492"/>
      <c r="AJ246" s="905"/>
      <c r="AK246" s="919"/>
      <c r="AL246" s="174"/>
      <c r="AM246" s="174"/>
      <c r="AN246" s="174"/>
      <c r="AO246" s="928"/>
      <c r="AP246" s="174"/>
      <c r="AQ246" s="174"/>
      <c r="AR246" s="174"/>
      <c r="AS246" s="174"/>
      <c r="AT246" s="174"/>
      <c r="AU246" s="174"/>
      <c r="AV246" s="174"/>
      <c r="AW246" s="174"/>
      <c r="AX246" s="174"/>
      <c r="AY246" s="174"/>
      <c r="AZ246" s="174"/>
      <c r="BA246" s="174"/>
      <c r="BB246" s="174"/>
      <c r="BC246" s="174"/>
      <c r="BD246" s="174"/>
      <c r="BE246" s="174"/>
      <c r="BF246" s="174"/>
      <c r="BG246" s="174"/>
      <c r="BH246" s="174"/>
      <c r="BI246" s="174"/>
      <c r="BJ246" s="174"/>
      <c r="BK246" s="174"/>
      <c r="BL246" s="174"/>
      <c r="BM246" s="174"/>
      <c r="BN246" s="174"/>
      <c r="BO246" s="174"/>
      <c r="BP246" s="174"/>
      <c r="BQ246" s="174"/>
      <c r="BR246" s="174"/>
      <c r="BS246" s="174"/>
      <c r="BT246" s="174"/>
      <c r="BU246" s="174"/>
      <c r="BV246" s="174"/>
      <c r="BW246" s="174"/>
      <c r="BX246" s="174"/>
      <c r="BY246" s="174"/>
      <c r="BZ246" s="174"/>
      <c r="CA246" s="174"/>
      <c r="CB246" s="174"/>
      <c r="CC246" s="174"/>
      <c r="CD246" s="174"/>
      <c r="CE246" s="174"/>
      <c r="CF246" s="174"/>
      <c r="CG246" s="174"/>
      <c r="CH246" s="174"/>
      <c r="CI246" s="174"/>
      <c r="CJ246" s="174"/>
      <c r="CK246" s="174"/>
      <c r="CL246" s="174"/>
      <c r="CM246" s="174"/>
      <c r="CN246" s="174"/>
      <c r="CO246" s="174"/>
      <c r="CP246" s="174"/>
      <c r="CQ246" s="174"/>
      <c r="CR246" s="174"/>
      <c r="CS246" s="174"/>
      <c r="CT246" s="174"/>
      <c r="CU246" s="174"/>
      <c r="CV246" s="174"/>
      <c r="CW246" s="174"/>
      <c r="CX246" s="174"/>
      <c r="CY246" s="174"/>
      <c r="CZ246" s="174"/>
      <c r="DA246" s="174"/>
      <c r="DB246" s="174"/>
      <c r="DC246" s="174"/>
      <c r="DD246" s="174"/>
      <c r="DE246" s="174"/>
      <c r="DF246" s="174"/>
      <c r="DG246" s="174"/>
      <c r="DH246" s="174"/>
      <c r="DI246" s="174"/>
      <c r="DJ246" s="174"/>
      <c r="DK246" s="174"/>
      <c r="DL246" s="62"/>
      <c r="DM246" s="62"/>
      <c r="DN246" s="62"/>
      <c r="DO246" s="62"/>
      <c r="DP246" s="62"/>
      <c r="DQ246" s="62"/>
      <c r="DR246" s="62"/>
      <c r="DS246" s="62"/>
      <c r="DT246" s="62"/>
      <c r="DU246" s="62"/>
      <c r="DV246" s="62"/>
      <c r="DW246" s="62"/>
      <c r="DX246" s="62"/>
      <c r="DY246" s="62"/>
      <c r="DZ246" s="62"/>
      <c r="EA246" s="62"/>
      <c r="EB246" s="62"/>
      <c r="EC246" s="62"/>
      <c r="ED246" s="62"/>
      <c r="EE246" s="454"/>
      <c r="EF246" s="62"/>
      <c r="EG246" s="62"/>
      <c r="EH246" s="62"/>
      <c r="EI246" s="62"/>
      <c r="EJ246" s="62"/>
      <c r="EK246" s="62"/>
      <c r="EL246" s="62"/>
      <c r="EM246" s="62"/>
      <c r="EN246" s="62"/>
      <c r="EO246" s="62"/>
      <c r="EP246" s="62"/>
      <c r="EQ246" s="62"/>
      <c r="ER246" s="62"/>
      <c r="ES246" s="62"/>
      <c r="ET246" s="62"/>
      <c r="EU246" s="62"/>
      <c r="EV246" s="62"/>
      <c r="EW246" s="62"/>
      <c r="EX246" s="62"/>
      <c r="EY246" s="62"/>
      <c r="EZ246" s="62"/>
      <c r="FA246" s="62"/>
      <c r="FB246" s="62"/>
      <c r="FC246" s="62"/>
      <c r="FD246" s="62"/>
      <c r="FE246" s="62"/>
      <c r="FF246" s="62"/>
    </row>
    <row r="247" spans="1:162" s="56" customFormat="1" hidden="1">
      <c r="A247" s="54"/>
      <c r="B247" s="55"/>
      <c r="C247" s="491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173"/>
      <c r="S247" s="174"/>
      <c r="T247" s="174"/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/>
      <c r="AF247" s="174"/>
      <c r="AG247" s="883"/>
      <c r="AH247" s="174"/>
      <c r="AI247" s="492"/>
      <c r="AJ247" s="905"/>
      <c r="AK247" s="919"/>
      <c r="AL247" s="174"/>
      <c r="AM247" s="174"/>
      <c r="AN247" s="174"/>
      <c r="AO247" s="928"/>
      <c r="AP247" s="174"/>
      <c r="AQ247" s="174"/>
      <c r="AR247" s="174"/>
      <c r="AS247" s="174"/>
      <c r="AT247" s="174"/>
      <c r="AU247" s="174"/>
      <c r="AV247" s="174"/>
      <c r="AW247" s="174"/>
      <c r="AX247" s="174"/>
      <c r="AY247" s="174"/>
      <c r="AZ247" s="174"/>
      <c r="BA247" s="174"/>
      <c r="BB247" s="174"/>
      <c r="BC247" s="174"/>
      <c r="BD247" s="174"/>
      <c r="BE247" s="174"/>
      <c r="BF247" s="174"/>
      <c r="BG247" s="174"/>
      <c r="BH247" s="174"/>
      <c r="BI247" s="174"/>
      <c r="BJ247" s="174"/>
      <c r="BK247" s="174"/>
      <c r="BL247" s="174"/>
      <c r="BM247" s="174"/>
      <c r="BN247" s="174"/>
      <c r="BO247" s="174"/>
      <c r="BP247" s="174"/>
      <c r="BQ247" s="174"/>
      <c r="BR247" s="174"/>
      <c r="BS247" s="174"/>
      <c r="BT247" s="174"/>
      <c r="BU247" s="174"/>
      <c r="BV247" s="174"/>
      <c r="BW247" s="174"/>
      <c r="BX247" s="174"/>
      <c r="BY247" s="174"/>
      <c r="BZ247" s="174"/>
      <c r="CA247" s="174"/>
      <c r="CB247" s="174"/>
      <c r="CC247" s="174"/>
      <c r="CD247" s="174"/>
      <c r="CE247" s="174"/>
      <c r="CF247" s="174"/>
      <c r="CG247" s="174"/>
      <c r="CH247" s="174"/>
      <c r="CI247" s="174"/>
      <c r="CJ247" s="174"/>
      <c r="CK247" s="174"/>
      <c r="CL247" s="174"/>
      <c r="CM247" s="174"/>
      <c r="CN247" s="174"/>
      <c r="CO247" s="174"/>
      <c r="CP247" s="174"/>
      <c r="CQ247" s="174"/>
      <c r="CR247" s="174"/>
      <c r="CS247" s="174"/>
      <c r="CT247" s="174"/>
      <c r="CU247" s="174"/>
      <c r="CV247" s="174"/>
      <c r="CW247" s="174"/>
      <c r="CX247" s="174"/>
      <c r="CY247" s="174"/>
      <c r="CZ247" s="174"/>
      <c r="DA247" s="174"/>
      <c r="DB247" s="174"/>
      <c r="DC247" s="174"/>
      <c r="DD247" s="174"/>
      <c r="DE247" s="174"/>
      <c r="DF247" s="174"/>
      <c r="DG247" s="174"/>
      <c r="DH247" s="174"/>
      <c r="DI247" s="174"/>
      <c r="DJ247" s="174"/>
      <c r="DK247" s="174"/>
      <c r="DL247" s="62"/>
      <c r="DM247" s="62"/>
      <c r="DN247" s="62"/>
      <c r="DO247" s="62"/>
      <c r="DP247" s="62"/>
      <c r="DQ247" s="62"/>
      <c r="DR247" s="62"/>
      <c r="DS247" s="62"/>
      <c r="DT247" s="62"/>
      <c r="DU247" s="62"/>
      <c r="DV247" s="62"/>
      <c r="DW247" s="62"/>
      <c r="DX247" s="62"/>
      <c r="DY247" s="62"/>
      <c r="DZ247" s="62"/>
      <c r="EA247" s="62"/>
      <c r="EB247" s="62"/>
      <c r="EC247" s="62"/>
      <c r="ED247" s="62"/>
      <c r="EE247" s="454"/>
      <c r="EF247" s="62"/>
      <c r="EG247" s="62"/>
      <c r="EH247" s="62"/>
      <c r="EI247" s="62"/>
      <c r="EJ247" s="62"/>
      <c r="EK247" s="62"/>
      <c r="EL247" s="62"/>
      <c r="EM247" s="62"/>
      <c r="EN247" s="62"/>
      <c r="EO247" s="62"/>
      <c r="EP247" s="62"/>
      <c r="EQ247" s="62"/>
      <c r="ER247" s="62"/>
      <c r="ES247" s="62"/>
      <c r="ET247" s="62"/>
      <c r="EU247" s="62"/>
      <c r="EV247" s="62"/>
      <c r="EW247" s="62"/>
      <c r="EX247" s="62"/>
      <c r="EY247" s="62"/>
      <c r="EZ247" s="62"/>
      <c r="FA247" s="62"/>
      <c r="FB247" s="62"/>
      <c r="FC247" s="62"/>
      <c r="FD247" s="62"/>
      <c r="FE247" s="62"/>
      <c r="FF247" s="62"/>
    </row>
    <row r="248" spans="1:162" s="56" customFormat="1" hidden="1">
      <c r="A248" s="54"/>
      <c r="B248" s="55"/>
      <c r="C248" s="491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173"/>
      <c r="S248" s="174"/>
      <c r="T248" s="174"/>
      <c r="U248" s="174"/>
      <c r="V248" s="174"/>
      <c r="W248" s="174"/>
      <c r="X248" s="174"/>
      <c r="Y248" s="174"/>
      <c r="Z248" s="174"/>
      <c r="AA248" s="174"/>
      <c r="AB248" s="174"/>
      <c r="AC248" s="174"/>
      <c r="AD248" s="174"/>
      <c r="AE248" s="174"/>
      <c r="AF248" s="174"/>
      <c r="AG248" s="883"/>
      <c r="AH248" s="174"/>
      <c r="AI248" s="492"/>
      <c r="AJ248" s="905"/>
      <c r="AK248" s="919"/>
      <c r="AL248" s="174"/>
      <c r="AM248" s="174"/>
      <c r="AN248" s="174"/>
      <c r="AO248" s="928"/>
      <c r="AP248" s="174"/>
      <c r="AQ248" s="174"/>
      <c r="AR248" s="174"/>
      <c r="AS248" s="174"/>
      <c r="AT248" s="174"/>
      <c r="AU248" s="174"/>
      <c r="AV248" s="174"/>
      <c r="AW248" s="174"/>
      <c r="AX248" s="174"/>
      <c r="AY248" s="174"/>
      <c r="AZ248" s="174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  <c r="BK248" s="174"/>
      <c r="BL248" s="174"/>
      <c r="BM248" s="174"/>
      <c r="BN248" s="174"/>
      <c r="BO248" s="174"/>
      <c r="BP248" s="174"/>
      <c r="BQ248" s="174"/>
      <c r="BR248" s="174"/>
      <c r="BS248" s="174"/>
      <c r="BT248" s="174"/>
      <c r="BU248" s="174"/>
      <c r="BV248" s="174"/>
      <c r="BW248" s="174"/>
      <c r="BX248" s="174"/>
      <c r="BY248" s="174"/>
      <c r="BZ248" s="174"/>
      <c r="CA248" s="174"/>
      <c r="CB248" s="174"/>
      <c r="CC248" s="174"/>
      <c r="CD248" s="174"/>
      <c r="CE248" s="174"/>
      <c r="CF248" s="174"/>
      <c r="CG248" s="174"/>
      <c r="CH248" s="174"/>
      <c r="CI248" s="174"/>
      <c r="CJ248" s="174"/>
      <c r="CK248" s="174"/>
      <c r="CL248" s="174"/>
      <c r="CM248" s="174"/>
      <c r="CN248" s="174"/>
      <c r="CO248" s="174"/>
      <c r="CP248" s="174"/>
      <c r="CQ248" s="174"/>
      <c r="CR248" s="174"/>
      <c r="CS248" s="174"/>
      <c r="CT248" s="174"/>
      <c r="CU248" s="174"/>
      <c r="CV248" s="174"/>
      <c r="CW248" s="174"/>
      <c r="CX248" s="174"/>
      <c r="CY248" s="174"/>
      <c r="CZ248" s="174"/>
      <c r="DA248" s="174"/>
      <c r="DB248" s="174"/>
      <c r="DC248" s="174"/>
      <c r="DD248" s="174"/>
      <c r="DE248" s="174"/>
      <c r="DF248" s="174"/>
      <c r="DG248" s="174"/>
      <c r="DH248" s="174"/>
      <c r="DI248" s="174"/>
      <c r="DJ248" s="174"/>
      <c r="DK248" s="174"/>
      <c r="DL248" s="62"/>
      <c r="DM248" s="62"/>
      <c r="DN248" s="62"/>
      <c r="DO248" s="62"/>
      <c r="DP248" s="62"/>
      <c r="DQ248" s="62"/>
      <c r="DR248" s="62"/>
      <c r="DS248" s="62"/>
      <c r="DT248" s="62"/>
      <c r="DU248" s="62"/>
      <c r="DV248" s="62"/>
      <c r="DW248" s="62"/>
      <c r="DX248" s="62"/>
      <c r="DY248" s="62"/>
      <c r="DZ248" s="62"/>
      <c r="EA248" s="62"/>
      <c r="EB248" s="62"/>
      <c r="EC248" s="62"/>
      <c r="ED248" s="62"/>
      <c r="EE248" s="454"/>
      <c r="EF248" s="62"/>
      <c r="EG248" s="62"/>
      <c r="EH248" s="62"/>
      <c r="EI248" s="62"/>
      <c r="EJ248" s="62"/>
      <c r="EK248" s="62"/>
      <c r="EL248" s="62"/>
      <c r="EM248" s="62"/>
      <c r="EN248" s="62"/>
      <c r="EO248" s="62"/>
      <c r="EP248" s="62"/>
      <c r="EQ248" s="62"/>
      <c r="ER248" s="62"/>
      <c r="ES248" s="62"/>
      <c r="ET248" s="62"/>
      <c r="EU248" s="62"/>
      <c r="EV248" s="62"/>
      <c r="EW248" s="62"/>
      <c r="EX248" s="62"/>
      <c r="EY248" s="62"/>
      <c r="EZ248" s="62"/>
      <c r="FA248" s="62"/>
      <c r="FB248" s="62"/>
      <c r="FC248" s="62"/>
      <c r="FD248" s="62"/>
      <c r="FE248" s="62"/>
      <c r="FF248" s="62"/>
    </row>
    <row r="249" spans="1:162" hidden="1">
      <c r="A249" s="487">
        <f>MATCH(C249,$C$5:$C$361,0)</f>
        <v>245</v>
      </c>
      <c r="C249" s="14" t="s">
        <v>3030</v>
      </c>
      <c r="D249" s="14">
        <f t="shared" ref="D249:Q249" si="120">SUM(D245:D248)</f>
        <v>0</v>
      </c>
      <c r="E249" s="14">
        <f t="shared" si="120"/>
        <v>0</v>
      </c>
      <c r="F249" s="14">
        <f t="shared" si="120"/>
        <v>0</v>
      </c>
      <c r="G249" s="14">
        <f t="shared" si="120"/>
        <v>0</v>
      </c>
      <c r="H249" s="14">
        <f t="shared" si="120"/>
        <v>0</v>
      </c>
      <c r="I249" s="14">
        <f t="shared" si="120"/>
        <v>0</v>
      </c>
      <c r="J249" s="14">
        <f t="shared" si="120"/>
        <v>0</v>
      </c>
      <c r="K249" s="14">
        <f t="shared" si="120"/>
        <v>0</v>
      </c>
      <c r="L249" s="14">
        <f t="shared" si="120"/>
        <v>0</v>
      </c>
      <c r="M249" s="14">
        <f t="shared" si="120"/>
        <v>0</v>
      </c>
      <c r="N249" s="14">
        <f t="shared" si="120"/>
        <v>0</v>
      </c>
      <c r="O249" s="14">
        <f t="shared" si="120"/>
        <v>0</v>
      </c>
      <c r="P249" s="14">
        <f t="shared" si="120"/>
        <v>0</v>
      </c>
      <c r="Q249" s="14">
        <f t="shared" si="120"/>
        <v>0</v>
      </c>
      <c r="R249" s="14"/>
      <c r="S249" s="175">
        <f t="shared" ref="S249:AY249" si="121">SUM(S245:S248)</f>
        <v>0</v>
      </c>
      <c r="T249" s="175">
        <f t="shared" si="121"/>
        <v>0</v>
      </c>
      <c r="U249" s="175">
        <f t="shared" si="121"/>
        <v>0</v>
      </c>
      <c r="V249" s="175">
        <f t="shared" si="121"/>
        <v>0</v>
      </c>
      <c r="W249" s="175">
        <f t="shared" si="121"/>
        <v>0</v>
      </c>
      <c r="X249" s="175">
        <f t="shared" si="121"/>
        <v>0</v>
      </c>
      <c r="Y249" s="175">
        <f t="shared" si="121"/>
        <v>0</v>
      </c>
      <c r="Z249" s="175">
        <f t="shared" si="121"/>
        <v>0</v>
      </c>
      <c r="AA249" s="175">
        <f t="shared" si="121"/>
        <v>0</v>
      </c>
      <c r="AB249" s="175">
        <f t="shared" si="121"/>
        <v>0</v>
      </c>
      <c r="AC249" s="175">
        <f t="shared" si="121"/>
        <v>0</v>
      </c>
      <c r="AD249" s="175">
        <f t="shared" si="121"/>
        <v>0</v>
      </c>
      <c r="AE249" s="175">
        <f t="shared" si="121"/>
        <v>0</v>
      </c>
      <c r="AF249" s="175">
        <f t="shared" si="121"/>
        <v>0</v>
      </c>
      <c r="AG249" s="884">
        <f>SUM(AG245:AG248)</f>
        <v>0</v>
      </c>
      <c r="AH249" s="175">
        <f t="shared" si="121"/>
        <v>0</v>
      </c>
      <c r="AI249" s="178">
        <f t="shared" si="121"/>
        <v>0</v>
      </c>
      <c r="AJ249" s="906">
        <f t="shared" si="121"/>
        <v>0</v>
      </c>
      <c r="AK249" s="920">
        <f t="shared" si="121"/>
        <v>0</v>
      </c>
      <c r="AL249" s="175">
        <f t="shared" si="121"/>
        <v>0</v>
      </c>
      <c r="AM249" s="175">
        <f t="shared" si="121"/>
        <v>0</v>
      </c>
      <c r="AN249" s="175">
        <f t="shared" si="121"/>
        <v>0</v>
      </c>
      <c r="AO249" s="929">
        <f t="shared" si="121"/>
        <v>0</v>
      </c>
      <c r="AP249" s="175">
        <f t="shared" si="121"/>
        <v>0</v>
      </c>
      <c r="AQ249" s="175">
        <f t="shared" si="121"/>
        <v>0</v>
      </c>
      <c r="AR249" s="175">
        <f t="shared" si="121"/>
        <v>0</v>
      </c>
      <c r="AS249" s="175">
        <f t="shared" si="121"/>
        <v>0</v>
      </c>
      <c r="AT249" s="175">
        <f t="shared" si="121"/>
        <v>0</v>
      </c>
      <c r="AU249" s="175">
        <f t="shared" si="121"/>
        <v>0</v>
      </c>
      <c r="AV249" s="175">
        <f t="shared" si="121"/>
        <v>0</v>
      </c>
      <c r="AW249" s="175">
        <f t="shared" si="121"/>
        <v>0</v>
      </c>
      <c r="AX249" s="175">
        <f t="shared" si="121"/>
        <v>0</v>
      </c>
      <c r="AY249" s="175">
        <f t="shared" si="121"/>
        <v>0</v>
      </c>
      <c r="AZ249" s="175">
        <f t="shared" ref="AZ249:CF249" si="122">SUM(AZ245:AZ248)</f>
        <v>0</v>
      </c>
      <c r="BA249" s="175">
        <f t="shared" si="122"/>
        <v>0</v>
      </c>
      <c r="BB249" s="175">
        <f t="shared" si="122"/>
        <v>0</v>
      </c>
      <c r="BC249" s="175">
        <f t="shared" si="122"/>
        <v>0</v>
      </c>
      <c r="BD249" s="175">
        <f t="shared" si="122"/>
        <v>0</v>
      </c>
      <c r="BE249" s="175">
        <f t="shared" si="122"/>
        <v>0</v>
      </c>
      <c r="BF249" s="175">
        <f t="shared" si="122"/>
        <v>0</v>
      </c>
      <c r="BG249" s="175">
        <f t="shared" si="122"/>
        <v>0</v>
      </c>
      <c r="BH249" s="175">
        <f t="shared" si="122"/>
        <v>0</v>
      </c>
      <c r="BI249" s="175">
        <f t="shared" si="122"/>
        <v>0</v>
      </c>
      <c r="BJ249" s="175">
        <f>SUM(BJ245:BJ248)</f>
        <v>0</v>
      </c>
      <c r="BK249" s="175">
        <f t="shared" si="122"/>
        <v>0</v>
      </c>
      <c r="BL249" s="175">
        <f t="shared" si="122"/>
        <v>0</v>
      </c>
      <c r="BM249" s="175">
        <f t="shared" si="122"/>
        <v>0</v>
      </c>
      <c r="BN249" s="175">
        <f t="shared" si="122"/>
        <v>0</v>
      </c>
      <c r="BO249" s="175">
        <f t="shared" si="122"/>
        <v>0</v>
      </c>
      <c r="BP249" s="175">
        <f t="shared" si="122"/>
        <v>0</v>
      </c>
      <c r="BQ249" s="175">
        <f t="shared" si="122"/>
        <v>0</v>
      </c>
      <c r="BR249" s="175">
        <f t="shared" si="122"/>
        <v>0</v>
      </c>
      <c r="BS249" s="175">
        <f t="shared" si="122"/>
        <v>0</v>
      </c>
      <c r="BT249" s="175">
        <f t="shared" si="122"/>
        <v>0</v>
      </c>
      <c r="BU249" s="175">
        <f t="shared" si="122"/>
        <v>0</v>
      </c>
      <c r="BV249" s="175">
        <f t="shared" si="122"/>
        <v>0</v>
      </c>
      <c r="BW249" s="175">
        <f t="shared" si="122"/>
        <v>0</v>
      </c>
      <c r="BX249" s="175">
        <f t="shared" si="122"/>
        <v>0</v>
      </c>
      <c r="BY249" s="175">
        <f t="shared" si="122"/>
        <v>0</v>
      </c>
      <c r="BZ249" s="175">
        <f t="shared" si="122"/>
        <v>0</v>
      </c>
      <c r="CA249" s="175">
        <f t="shared" si="122"/>
        <v>0</v>
      </c>
      <c r="CB249" s="175">
        <f t="shared" si="122"/>
        <v>0</v>
      </c>
      <c r="CC249" s="175">
        <f t="shared" si="122"/>
        <v>0</v>
      </c>
      <c r="CD249" s="175">
        <f t="shared" si="122"/>
        <v>0</v>
      </c>
      <c r="CE249" s="175">
        <f t="shared" si="122"/>
        <v>0</v>
      </c>
      <c r="CF249" s="175">
        <f t="shared" si="122"/>
        <v>0</v>
      </c>
      <c r="CG249" s="175">
        <f t="shared" ref="CG249:DL249" si="123">SUM(CG245:CG248)</f>
        <v>0</v>
      </c>
      <c r="CH249" s="175">
        <f t="shared" si="123"/>
        <v>0</v>
      </c>
      <c r="CI249" s="175">
        <f t="shared" si="123"/>
        <v>0</v>
      </c>
      <c r="CJ249" s="175">
        <f t="shared" si="123"/>
        <v>0</v>
      </c>
      <c r="CK249" s="175">
        <f t="shared" si="123"/>
        <v>0</v>
      </c>
      <c r="CL249" s="175">
        <f t="shared" si="123"/>
        <v>0</v>
      </c>
      <c r="CM249" s="175">
        <f t="shared" si="123"/>
        <v>0</v>
      </c>
      <c r="CN249" s="175">
        <f t="shared" si="123"/>
        <v>0</v>
      </c>
      <c r="CO249" s="175">
        <f t="shared" si="123"/>
        <v>0</v>
      </c>
      <c r="CP249" s="175">
        <f t="shared" si="123"/>
        <v>0</v>
      </c>
      <c r="CQ249" s="175">
        <f t="shared" si="123"/>
        <v>0</v>
      </c>
      <c r="CR249" s="175">
        <f t="shared" si="123"/>
        <v>0</v>
      </c>
      <c r="CS249" s="175">
        <f t="shared" si="123"/>
        <v>0</v>
      </c>
      <c r="CT249" s="175">
        <f t="shared" si="123"/>
        <v>0</v>
      </c>
      <c r="CU249" s="175">
        <f t="shared" si="123"/>
        <v>0</v>
      </c>
      <c r="CV249" s="175">
        <f t="shared" si="123"/>
        <v>0</v>
      </c>
      <c r="CW249" s="175">
        <f t="shared" si="123"/>
        <v>0</v>
      </c>
      <c r="CX249" s="175">
        <f t="shared" si="123"/>
        <v>0</v>
      </c>
      <c r="CY249" s="175">
        <f t="shared" si="123"/>
        <v>0</v>
      </c>
      <c r="CZ249" s="175">
        <f t="shared" si="123"/>
        <v>0</v>
      </c>
      <c r="DA249" s="175">
        <f t="shared" si="123"/>
        <v>0</v>
      </c>
      <c r="DB249" s="175">
        <f t="shared" si="123"/>
        <v>0</v>
      </c>
      <c r="DC249" s="175">
        <f t="shared" si="123"/>
        <v>0</v>
      </c>
      <c r="DD249" s="175">
        <f t="shared" si="123"/>
        <v>0</v>
      </c>
      <c r="DE249" s="175">
        <f t="shared" si="123"/>
        <v>0</v>
      </c>
      <c r="DF249" s="175">
        <f t="shared" si="123"/>
        <v>0</v>
      </c>
      <c r="DG249" s="175">
        <f t="shared" si="123"/>
        <v>0</v>
      </c>
      <c r="DH249" s="175">
        <f t="shared" si="123"/>
        <v>0</v>
      </c>
      <c r="DI249" s="175">
        <f t="shared" si="123"/>
        <v>0</v>
      </c>
      <c r="DJ249" s="175">
        <f t="shared" si="123"/>
        <v>0</v>
      </c>
      <c r="DK249" s="175">
        <f t="shared" si="123"/>
        <v>0</v>
      </c>
      <c r="DL249" s="14">
        <f t="shared" si="123"/>
        <v>0</v>
      </c>
      <c r="DM249" s="14">
        <f t="shared" ref="DM249:ES249" si="124">SUM(DM245:DM248)</f>
        <v>0</v>
      </c>
      <c r="DN249" s="14">
        <f t="shared" si="124"/>
        <v>0</v>
      </c>
      <c r="DO249" s="14">
        <f t="shared" si="124"/>
        <v>0</v>
      </c>
      <c r="DP249" s="14">
        <f t="shared" si="124"/>
        <v>0</v>
      </c>
      <c r="DQ249" s="14">
        <f t="shared" si="124"/>
        <v>0</v>
      </c>
      <c r="DR249" s="14">
        <f t="shared" si="124"/>
        <v>0</v>
      </c>
      <c r="DS249" s="14">
        <f t="shared" si="124"/>
        <v>0</v>
      </c>
      <c r="DT249" s="14">
        <f t="shared" si="124"/>
        <v>0</v>
      </c>
      <c r="DU249" s="14">
        <f t="shared" si="124"/>
        <v>0</v>
      </c>
      <c r="DV249" s="14">
        <f t="shared" si="124"/>
        <v>0</v>
      </c>
      <c r="DW249" s="14">
        <f t="shared" si="124"/>
        <v>0</v>
      </c>
      <c r="DX249" s="14">
        <f t="shared" si="124"/>
        <v>0</v>
      </c>
      <c r="DY249" s="14">
        <f t="shared" si="124"/>
        <v>0</v>
      </c>
      <c r="DZ249" s="14">
        <f t="shared" si="124"/>
        <v>0</v>
      </c>
      <c r="EA249" s="14">
        <f t="shared" si="124"/>
        <v>0</v>
      </c>
      <c r="EB249" s="14">
        <f t="shared" si="124"/>
        <v>0</v>
      </c>
      <c r="EC249" s="14">
        <f t="shared" si="124"/>
        <v>0</v>
      </c>
      <c r="ED249" s="14">
        <f t="shared" si="124"/>
        <v>0</v>
      </c>
      <c r="EE249" s="508"/>
      <c r="EF249" s="14">
        <f t="shared" si="124"/>
        <v>0</v>
      </c>
      <c r="EG249" s="14">
        <f t="shared" si="124"/>
        <v>0</v>
      </c>
      <c r="EH249" s="14">
        <f t="shared" si="124"/>
        <v>0</v>
      </c>
      <c r="EI249" s="14">
        <f t="shared" si="124"/>
        <v>0</v>
      </c>
      <c r="EJ249" s="14">
        <f t="shared" si="124"/>
        <v>0</v>
      </c>
      <c r="EK249" s="14">
        <f t="shared" si="124"/>
        <v>0</v>
      </c>
      <c r="EL249" s="14">
        <f t="shared" si="124"/>
        <v>0</v>
      </c>
      <c r="EM249" s="14">
        <f t="shared" si="124"/>
        <v>0</v>
      </c>
      <c r="EN249" s="14">
        <f t="shared" si="124"/>
        <v>0</v>
      </c>
      <c r="EO249" s="14">
        <f t="shared" si="124"/>
        <v>0</v>
      </c>
      <c r="EP249" s="14">
        <f t="shared" si="124"/>
        <v>0</v>
      </c>
      <c r="EQ249" s="14">
        <f t="shared" si="124"/>
        <v>0</v>
      </c>
      <c r="ER249" s="14">
        <f t="shared" si="124"/>
        <v>0</v>
      </c>
      <c r="ES249" s="14">
        <f t="shared" si="124"/>
        <v>0</v>
      </c>
      <c r="ET249" s="14">
        <f t="shared" ref="ET249:FE249" si="125">SUM(ET245:ET248)</f>
        <v>0</v>
      </c>
      <c r="EU249" s="14">
        <f t="shared" si="125"/>
        <v>0</v>
      </c>
      <c r="EV249" s="14">
        <f t="shared" si="125"/>
        <v>0</v>
      </c>
      <c r="EW249" s="14">
        <f t="shared" si="125"/>
        <v>0</v>
      </c>
      <c r="EX249" s="14">
        <f t="shared" si="125"/>
        <v>0</v>
      </c>
      <c r="EY249" s="14">
        <f t="shared" si="125"/>
        <v>0</v>
      </c>
      <c r="EZ249" s="14">
        <f t="shared" si="125"/>
        <v>0</v>
      </c>
      <c r="FA249" s="14">
        <f t="shared" si="125"/>
        <v>0</v>
      </c>
      <c r="FB249" s="14">
        <f t="shared" si="125"/>
        <v>0</v>
      </c>
      <c r="FC249" s="14">
        <f t="shared" si="125"/>
        <v>0</v>
      </c>
      <c r="FD249" s="14">
        <f t="shared" si="125"/>
        <v>0</v>
      </c>
      <c r="FE249" s="14">
        <f t="shared" si="125"/>
        <v>0</v>
      </c>
      <c r="FF249" s="14"/>
    </row>
    <row r="250" spans="1:162" hidden="1">
      <c r="A250" s="54"/>
      <c r="B250" s="55" t="s">
        <v>3067</v>
      </c>
      <c r="C250" s="11" t="s">
        <v>3448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885"/>
      <c r="AH250" s="176"/>
      <c r="AI250" s="897"/>
      <c r="AJ250" s="907"/>
      <c r="AK250" s="921"/>
      <c r="AL250" s="176"/>
      <c r="AM250" s="176"/>
      <c r="AN250" s="176"/>
      <c r="AO250" s="176"/>
      <c r="AP250" s="176"/>
      <c r="AQ250" s="176"/>
      <c r="AR250" s="176"/>
      <c r="AS250" s="176"/>
      <c r="AT250" s="176"/>
      <c r="AU250" s="176"/>
      <c r="AV250" s="176"/>
      <c r="AW250" s="176"/>
      <c r="AX250" s="176"/>
      <c r="AY250" s="176"/>
      <c r="AZ250" s="176"/>
      <c r="BA250" s="176"/>
      <c r="BB250" s="176"/>
      <c r="BC250" s="176"/>
      <c r="BD250" s="176"/>
      <c r="BE250" s="176"/>
      <c r="BF250" s="176"/>
      <c r="BG250" s="176"/>
      <c r="BH250" s="176"/>
      <c r="BI250" s="176"/>
      <c r="BJ250" s="176"/>
      <c r="BK250" s="176"/>
      <c r="BL250" s="176"/>
      <c r="BM250" s="176"/>
      <c r="BN250" s="176"/>
      <c r="BO250" s="176"/>
      <c r="BP250" s="176"/>
      <c r="BQ250" s="176"/>
      <c r="BR250" s="176"/>
      <c r="BS250" s="176"/>
      <c r="BT250" s="176"/>
      <c r="BU250" s="176"/>
      <c r="BV250" s="176"/>
      <c r="BW250" s="176"/>
      <c r="BX250" s="176"/>
      <c r="BY250" s="176"/>
      <c r="BZ250" s="176"/>
      <c r="CA250" s="176"/>
      <c r="CB250" s="176"/>
      <c r="CC250" s="176"/>
      <c r="CD250" s="176"/>
      <c r="CE250" s="176"/>
      <c r="CF250" s="176"/>
      <c r="CG250" s="176"/>
      <c r="CH250" s="176"/>
      <c r="CI250" s="176"/>
      <c r="CJ250" s="176"/>
      <c r="CK250" s="176"/>
      <c r="CL250" s="176"/>
      <c r="CM250" s="176"/>
      <c r="CN250" s="176"/>
      <c r="CO250" s="176"/>
      <c r="CP250" s="176"/>
      <c r="CQ250" s="176"/>
      <c r="CR250" s="176"/>
      <c r="CS250" s="176"/>
      <c r="CT250" s="176"/>
      <c r="CU250" s="176"/>
      <c r="CV250" s="176"/>
      <c r="CW250" s="176"/>
      <c r="CX250" s="176"/>
      <c r="CY250" s="176"/>
      <c r="CZ250" s="176"/>
      <c r="DA250" s="176"/>
      <c r="DB250" s="176"/>
      <c r="DC250" s="176"/>
      <c r="DD250" s="176"/>
      <c r="DE250" s="176"/>
      <c r="DF250" s="176"/>
      <c r="DG250" s="176"/>
      <c r="DH250" s="176"/>
      <c r="DI250" s="176"/>
      <c r="DJ250" s="176"/>
      <c r="DK250" s="176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503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3"/>
    </row>
    <row r="251" spans="1:162" s="56" customFormat="1" hidden="1">
      <c r="A251" s="54"/>
      <c r="B251" s="55"/>
      <c r="C251" s="491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173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883"/>
      <c r="AH251" s="174"/>
      <c r="AI251" s="492"/>
      <c r="AJ251" s="905"/>
      <c r="AK251" s="919"/>
      <c r="AL251" s="174"/>
      <c r="AM251" s="174"/>
      <c r="AN251" s="174"/>
      <c r="AO251" s="928"/>
      <c r="AP251" s="174"/>
      <c r="AQ251" s="174"/>
      <c r="AR251" s="174"/>
      <c r="AS251" s="174"/>
      <c r="AT251" s="174"/>
      <c r="AU251" s="174"/>
      <c r="AV251" s="174"/>
      <c r="AW251" s="174"/>
      <c r="AX251" s="174"/>
      <c r="AY251" s="174"/>
      <c r="AZ251" s="174"/>
      <c r="BA251" s="174"/>
      <c r="BB251" s="174"/>
      <c r="BC251" s="174"/>
      <c r="BD251" s="174"/>
      <c r="BE251" s="174"/>
      <c r="BF251" s="174"/>
      <c r="BG251" s="174"/>
      <c r="BH251" s="174"/>
      <c r="BI251" s="174"/>
      <c r="BJ251" s="174"/>
      <c r="BK251" s="174"/>
      <c r="BL251" s="174"/>
      <c r="BM251" s="174"/>
      <c r="BN251" s="174"/>
      <c r="BO251" s="174"/>
      <c r="BP251" s="174"/>
      <c r="BQ251" s="174"/>
      <c r="BR251" s="174"/>
      <c r="BS251" s="174"/>
      <c r="BT251" s="174"/>
      <c r="BU251" s="174"/>
      <c r="BV251" s="174"/>
      <c r="BW251" s="174"/>
      <c r="BX251" s="174"/>
      <c r="BY251" s="174"/>
      <c r="BZ251" s="174"/>
      <c r="CA251" s="174"/>
      <c r="CB251" s="174"/>
      <c r="CC251" s="174"/>
      <c r="CD251" s="174"/>
      <c r="CE251" s="174"/>
      <c r="CF251" s="174"/>
      <c r="CG251" s="174"/>
      <c r="CH251" s="174"/>
      <c r="CI251" s="174"/>
      <c r="CJ251" s="174"/>
      <c r="CK251" s="174"/>
      <c r="CL251" s="174"/>
      <c r="CM251" s="174"/>
      <c r="CN251" s="174"/>
      <c r="CO251" s="174"/>
      <c r="CP251" s="174"/>
      <c r="CQ251" s="174"/>
      <c r="CR251" s="174"/>
      <c r="CS251" s="174"/>
      <c r="CT251" s="174"/>
      <c r="CU251" s="174"/>
      <c r="CV251" s="174"/>
      <c r="CW251" s="174"/>
      <c r="CX251" s="174"/>
      <c r="CY251" s="174"/>
      <c r="CZ251" s="174"/>
      <c r="DA251" s="174"/>
      <c r="DB251" s="174"/>
      <c r="DC251" s="174"/>
      <c r="DD251" s="174"/>
      <c r="DE251" s="174"/>
      <c r="DF251" s="174"/>
      <c r="DG251" s="174"/>
      <c r="DH251" s="174"/>
      <c r="DI251" s="174"/>
      <c r="DJ251" s="174"/>
      <c r="DK251" s="174"/>
      <c r="DL251" s="62"/>
      <c r="DM251" s="62"/>
      <c r="DN251" s="62"/>
      <c r="DO251" s="62"/>
      <c r="DP251" s="62"/>
      <c r="DQ251" s="62"/>
      <c r="DR251" s="62"/>
      <c r="DS251" s="62"/>
      <c r="DT251" s="62"/>
      <c r="DU251" s="62"/>
      <c r="DV251" s="62"/>
      <c r="DW251" s="62"/>
      <c r="DX251" s="62"/>
      <c r="DY251" s="62"/>
      <c r="DZ251" s="62"/>
      <c r="EA251" s="62"/>
      <c r="EB251" s="62"/>
      <c r="EC251" s="62"/>
      <c r="ED251" s="62"/>
      <c r="EE251" s="454"/>
      <c r="EF251" s="62"/>
      <c r="EG251" s="62"/>
      <c r="EH251" s="62"/>
      <c r="EI251" s="62"/>
      <c r="EJ251" s="62"/>
      <c r="EK251" s="62"/>
      <c r="EL251" s="62"/>
      <c r="EM251" s="62"/>
      <c r="EN251" s="62"/>
      <c r="EO251" s="62"/>
      <c r="EP251" s="62"/>
      <c r="EQ251" s="62"/>
      <c r="ER251" s="62"/>
      <c r="ES251" s="62"/>
      <c r="ET251" s="62"/>
      <c r="EU251" s="62"/>
      <c r="EV251" s="62"/>
      <c r="EW251" s="62"/>
      <c r="EX251" s="62"/>
      <c r="EY251" s="62"/>
      <c r="EZ251" s="62"/>
      <c r="FA251" s="62"/>
      <c r="FB251" s="62"/>
      <c r="FC251" s="62"/>
      <c r="FD251" s="62"/>
      <c r="FE251" s="62"/>
      <c r="FF251" s="62"/>
    </row>
    <row r="252" spans="1:162" s="56" customFormat="1" hidden="1">
      <c r="A252" s="54"/>
      <c r="B252" s="55"/>
      <c r="C252" s="491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173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883"/>
      <c r="AH252" s="174"/>
      <c r="AI252" s="492"/>
      <c r="AJ252" s="905"/>
      <c r="AK252" s="919"/>
      <c r="AL252" s="174"/>
      <c r="AM252" s="174"/>
      <c r="AN252" s="174"/>
      <c r="AO252" s="928"/>
      <c r="AP252" s="174"/>
      <c r="AQ252" s="174"/>
      <c r="AR252" s="174"/>
      <c r="AS252" s="174"/>
      <c r="AT252" s="174"/>
      <c r="AU252" s="174"/>
      <c r="AV252" s="174"/>
      <c r="AW252" s="174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174"/>
      <c r="BN252" s="174"/>
      <c r="BO252" s="174"/>
      <c r="BP252" s="174"/>
      <c r="BQ252" s="174"/>
      <c r="BR252" s="174"/>
      <c r="BS252" s="174"/>
      <c r="BT252" s="174"/>
      <c r="BU252" s="174"/>
      <c r="BV252" s="174"/>
      <c r="BW252" s="174"/>
      <c r="BX252" s="174"/>
      <c r="BY252" s="174"/>
      <c r="BZ252" s="174"/>
      <c r="CA252" s="174"/>
      <c r="CB252" s="174"/>
      <c r="CC252" s="174"/>
      <c r="CD252" s="174"/>
      <c r="CE252" s="174"/>
      <c r="CF252" s="174"/>
      <c r="CG252" s="174"/>
      <c r="CH252" s="174"/>
      <c r="CI252" s="174"/>
      <c r="CJ252" s="174"/>
      <c r="CK252" s="174"/>
      <c r="CL252" s="174"/>
      <c r="CM252" s="174"/>
      <c r="CN252" s="174"/>
      <c r="CO252" s="174"/>
      <c r="CP252" s="174"/>
      <c r="CQ252" s="174"/>
      <c r="CR252" s="174"/>
      <c r="CS252" s="174"/>
      <c r="CT252" s="174"/>
      <c r="CU252" s="174"/>
      <c r="CV252" s="174"/>
      <c r="CW252" s="174"/>
      <c r="CX252" s="174"/>
      <c r="CY252" s="174"/>
      <c r="CZ252" s="174"/>
      <c r="DA252" s="174"/>
      <c r="DB252" s="174"/>
      <c r="DC252" s="174"/>
      <c r="DD252" s="174"/>
      <c r="DE252" s="174"/>
      <c r="DF252" s="174"/>
      <c r="DG252" s="174"/>
      <c r="DH252" s="174"/>
      <c r="DI252" s="174"/>
      <c r="DJ252" s="174"/>
      <c r="DK252" s="174"/>
      <c r="DL252" s="62"/>
      <c r="DM252" s="62"/>
      <c r="DN252" s="62"/>
      <c r="DO252" s="62"/>
      <c r="DP252" s="62"/>
      <c r="DQ252" s="62"/>
      <c r="DR252" s="62"/>
      <c r="DS252" s="62"/>
      <c r="DT252" s="62"/>
      <c r="DU252" s="62"/>
      <c r="DV252" s="62"/>
      <c r="DW252" s="62"/>
      <c r="DX252" s="62"/>
      <c r="DY252" s="62"/>
      <c r="DZ252" s="62"/>
      <c r="EA252" s="62"/>
      <c r="EB252" s="62"/>
      <c r="EC252" s="62"/>
      <c r="ED252" s="62"/>
      <c r="EE252" s="454"/>
      <c r="EF252" s="62"/>
      <c r="EG252" s="62"/>
      <c r="EH252" s="62"/>
      <c r="EI252" s="62"/>
      <c r="EJ252" s="62"/>
      <c r="EK252" s="62"/>
      <c r="EL252" s="62"/>
      <c r="EM252" s="62"/>
      <c r="EN252" s="62"/>
      <c r="EO252" s="62"/>
      <c r="EP252" s="62"/>
      <c r="EQ252" s="62"/>
      <c r="ER252" s="62"/>
      <c r="ES252" s="62"/>
      <c r="ET252" s="62"/>
      <c r="EU252" s="62"/>
      <c r="EV252" s="62"/>
      <c r="EW252" s="62"/>
      <c r="EX252" s="62"/>
      <c r="EY252" s="62"/>
      <c r="EZ252" s="62"/>
      <c r="FA252" s="62"/>
      <c r="FB252" s="62"/>
      <c r="FC252" s="62"/>
      <c r="FD252" s="62"/>
      <c r="FE252" s="62"/>
      <c r="FF252" s="62"/>
    </row>
    <row r="253" spans="1:162" s="56" customFormat="1" hidden="1">
      <c r="A253" s="54"/>
      <c r="B253" s="55"/>
      <c r="C253" s="491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173"/>
      <c r="S253" s="174"/>
      <c r="T253" s="174"/>
      <c r="U253" s="174"/>
      <c r="V253" s="174"/>
      <c r="W253" s="174"/>
      <c r="X253" s="174"/>
      <c r="Y253" s="174"/>
      <c r="Z253" s="174"/>
      <c r="AA253" s="174"/>
      <c r="AB253" s="174"/>
      <c r="AC253" s="174"/>
      <c r="AD253" s="174"/>
      <c r="AE253" s="174"/>
      <c r="AF253" s="174"/>
      <c r="AG253" s="883"/>
      <c r="AH253" s="174"/>
      <c r="AI253" s="492"/>
      <c r="AJ253" s="905"/>
      <c r="AK253" s="919"/>
      <c r="AL253" s="174"/>
      <c r="AM253" s="174"/>
      <c r="AN253" s="174"/>
      <c r="AO253" s="928"/>
      <c r="AP253" s="174"/>
      <c r="AQ253" s="174"/>
      <c r="AR253" s="174"/>
      <c r="AS253" s="174"/>
      <c r="AT253" s="174"/>
      <c r="AU253" s="174"/>
      <c r="AV253" s="174"/>
      <c r="AW253" s="174"/>
      <c r="AX253" s="174"/>
      <c r="AY253" s="174"/>
      <c r="AZ253" s="174"/>
      <c r="BA253" s="174"/>
      <c r="BB253" s="174"/>
      <c r="BC253" s="174"/>
      <c r="BD253" s="174"/>
      <c r="BE253" s="174"/>
      <c r="BF253" s="174"/>
      <c r="BG253" s="174"/>
      <c r="BH253" s="174"/>
      <c r="BI253" s="174"/>
      <c r="BJ253" s="174"/>
      <c r="BK253" s="174"/>
      <c r="BL253" s="174"/>
      <c r="BM253" s="174"/>
      <c r="BN253" s="174"/>
      <c r="BO253" s="174"/>
      <c r="BP253" s="174"/>
      <c r="BQ253" s="174"/>
      <c r="BR253" s="174"/>
      <c r="BS253" s="174"/>
      <c r="BT253" s="174"/>
      <c r="BU253" s="174"/>
      <c r="BV253" s="174"/>
      <c r="BW253" s="174"/>
      <c r="BX253" s="174"/>
      <c r="BY253" s="174"/>
      <c r="BZ253" s="174"/>
      <c r="CA253" s="174"/>
      <c r="CB253" s="174"/>
      <c r="CC253" s="174"/>
      <c r="CD253" s="174"/>
      <c r="CE253" s="174"/>
      <c r="CF253" s="174"/>
      <c r="CG253" s="174"/>
      <c r="CH253" s="174"/>
      <c r="CI253" s="174"/>
      <c r="CJ253" s="174"/>
      <c r="CK253" s="174"/>
      <c r="CL253" s="174"/>
      <c r="CM253" s="174"/>
      <c r="CN253" s="174"/>
      <c r="CO253" s="174"/>
      <c r="CP253" s="174"/>
      <c r="CQ253" s="174"/>
      <c r="CR253" s="174"/>
      <c r="CS253" s="174"/>
      <c r="CT253" s="174"/>
      <c r="CU253" s="174"/>
      <c r="CV253" s="174"/>
      <c r="CW253" s="174"/>
      <c r="CX253" s="174"/>
      <c r="CY253" s="174"/>
      <c r="CZ253" s="174"/>
      <c r="DA253" s="174"/>
      <c r="DB253" s="174"/>
      <c r="DC253" s="174"/>
      <c r="DD253" s="174"/>
      <c r="DE253" s="174"/>
      <c r="DF253" s="174"/>
      <c r="DG253" s="174"/>
      <c r="DH253" s="174"/>
      <c r="DI253" s="174"/>
      <c r="DJ253" s="174"/>
      <c r="DK253" s="174"/>
      <c r="DL253" s="62"/>
      <c r="DM253" s="62"/>
      <c r="DN253" s="62"/>
      <c r="DO253" s="62"/>
      <c r="DP253" s="62"/>
      <c r="DQ253" s="62"/>
      <c r="DR253" s="62"/>
      <c r="DS253" s="62"/>
      <c r="DT253" s="62"/>
      <c r="DU253" s="62"/>
      <c r="DV253" s="62"/>
      <c r="DW253" s="62"/>
      <c r="DX253" s="62"/>
      <c r="DY253" s="62"/>
      <c r="DZ253" s="62"/>
      <c r="EA253" s="62"/>
      <c r="EB253" s="62"/>
      <c r="EC253" s="62"/>
      <c r="ED253" s="62"/>
      <c r="EE253" s="454"/>
      <c r="EF253" s="62"/>
      <c r="EG253" s="62"/>
      <c r="EH253" s="62"/>
      <c r="EI253" s="62"/>
      <c r="EJ253" s="62"/>
      <c r="EK253" s="62"/>
      <c r="EL253" s="62"/>
      <c r="EM253" s="62"/>
      <c r="EN253" s="62"/>
      <c r="EO253" s="62"/>
      <c r="EP253" s="62"/>
      <c r="EQ253" s="62"/>
      <c r="ER253" s="62"/>
      <c r="ES253" s="62"/>
      <c r="ET253" s="62"/>
      <c r="EU253" s="62"/>
      <c r="EV253" s="62"/>
      <c r="EW253" s="62"/>
      <c r="EX253" s="62"/>
      <c r="EY253" s="62"/>
      <c r="EZ253" s="62"/>
      <c r="FA253" s="62"/>
      <c r="FB253" s="62"/>
      <c r="FC253" s="62"/>
      <c r="FD253" s="62"/>
      <c r="FE253" s="62"/>
      <c r="FF253" s="62"/>
    </row>
    <row r="254" spans="1:162" hidden="1">
      <c r="A254" s="487">
        <f>MATCH(C254,$C$5:$C$361,0)</f>
        <v>250</v>
      </c>
      <c r="C254" s="14" t="s">
        <v>3031</v>
      </c>
      <c r="D254" s="14">
        <f t="shared" ref="D254:Q254" si="126">SUM(D251:D253)</f>
        <v>0</v>
      </c>
      <c r="E254" s="14">
        <f t="shared" si="126"/>
        <v>0</v>
      </c>
      <c r="F254" s="14">
        <f t="shared" si="126"/>
        <v>0</v>
      </c>
      <c r="G254" s="14">
        <f t="shared" si="126"/>
        <v>0</v>
      </c>
      <c r="H254" s="14">
        <f t="shared" si="126"/>
        <v>0</v>
      </c>
      <c r="I254" s="14">
        <f t="shared" si="126"/>
        <v>0</v>
      </c>
      <c r="J254" s="14">
        <f t="shared" si="126"/>
        <v>0</v>
      </c>
      <c r="K254" s="14">
        <f t="shared" si="126"/>
        <v>0</v>
      </c>
      <c r="L254" s="14">
        <f t="shared" si="126"/>
        <v>0</v>
      </c>
      <c r="M254" s="14">
        <f t="shared" si="126"/>
        <v>0</v>
      </c>
      <c r="N254" s="14">
        <f t="shared" si="126"/>
        <v>0</v>
      </c>
      <c r="O254" s="14">
        <f t="shared" si="126"/>
        <v>0</v>
      </c>
      <c r="P254" s="14">
        <f t="shared" si="126"/>
        <v>0</v>
      </c>
      <c r="Q254" s="14">
        <f t="shared" si="126"/>
        <v>0</v>
      </c>
      <c r="R254" s="14"/>
      <c r="S254" s="175">
        <f t="shared" ref="S254:AY254" si="127">SUM(S251:S253)</f>
        <v>0</v>
      </c>
      <c r="T254" s="175">
        <f t="shared" si="127"/>
        <v>0</v>
      </c>
      <c r="U254" s="175">
        <f t="shared" si="127"/>
        <v>0</v>
      </c>
      <c r="V254" s="175">
        <f t="shared" si="127"/>
        <v>0</v>
      </c>
      <c r="W254" s="175">
        <f t="shared" si="127"/>
        <v>0</v>
      </c>
      <c r="X254" s="175">
        <f t="shared" si="127"/>
        <v>0</v>
      </c>
      <c r="Y254" s="175">
        <f t="shared" si="127"/>
        <v>0</v>
      </c>
      <c r="Z254" s="175">
        <f t="shared" si="127"/>
        <v>0</v>
      </c>
      <c r="AA254" s="175">
        <f t="shared" si="127"/>
        <v>0</v>
      </c>
      <c r="AB254" s="175">
        <f t="shared" si="127"/>
        <v>0</v>
      </c>
      <c r="AC254" s="175">
        <f t="shared" si="127"/>
        <v>0</v>
      </c>
      <c r="AD254" s="175">
        <f t="shared" si="127"/>
        <v>0</v>
      </c>
      <c r="AE254" s="175">
        <f t="shared" si="127"/>
        <v>0</v>
      </c>
      <c r="AF254" s="175">
        <f t="shared" si="127"/>
        <v>0</v>
      </c>
      <c r="AG254" s="884">
        <f>SUM(AG251:AG253)</f>
        <v>0</v>
      </c>
      <c r="AH254" s="175">
        <f t="shared" si="127"/>
        <v>0</v>
      </c>
      <c r="AI254" s="178">
        <f t="shared" si="127"/>
        <v>0</v>
      </c>
      <c r="AJ254" s="906">
        <f t="shared" si="127"/>
        <v>0</v>
      </c>
      <c r="AK254" s="920">
        <f t="shared" si="127"/>
        <v>0</v>
      </c>
      <c r="AL254" s="175">
        <f t="shared" si="127"/>
        <v>0</v>
      </c>
      <c r="AM254" s="175">
        <f t="shared" si="127"/>
        <v>0</v>
      </c>
      <c r="AN254" s="175">
        <f t="shared" si="127"/>
        <v>0</v>
      </c>
      <c r="AO254" s="929">
        <f t="shared" si="127"/>
        <v>0</v>
      </c>
      <c r="AP254" s="175">
        <f t="shared" si="127"/>
        <v>0</v>
      </c>
      <c r="AQ254" s="175">
        <f t="shared" si="127"/>
        <v>0</v>
      </c>
      <c r="AR254" s="175">
        <f t="shared" si="127"/>
        <v>0</v>
      </c>
      <c r="AS254" s="175">
        <f t="shared" si="127"/>
        <v>0</v>
      </c>
      <c r="AT254" s="175">
        <f t="shared" si="127"/>
        <v>0</v>
      </c>
      <c r="AU254" s="175">
        <f t="shared" si="127"/>
        <v>0</v>
      </c>
      <c r="AV254" s="175">
        <f t="shared" si="127"/>
        <v>0</v>
      </c>
      <c r="AW254" s="175">
        <f t="shared" si="127"/>
        <v>0</v>
      </c>
      <c r="AX254" s="175">
        <f t="shared" si="127"/>
        <v>0</v>
      </c>
      <c r="AY254" s="175">
        <f t="shared" si="127"/>
        <v>0</v>
      </c>
      <c r="AZ254" s="175">
        <f t="shared" ref="AZ254:CF254" si="128">SUM(AZ251:AZ253)</f>
        <v>0</v>
      </c>
      <c r="BA254" s="175">
        <f t="shared" si="128"/>
        <v>0</v>
      </c>
      <c r="BB254" s="175">
        <f t="shared" si="128"/>
        <v>0</v>
      </c>
      <c r="BC254" s="175">
        <f t="shared" si="128"/>
        <v>0</v>
      </c>
      <c r="BD254" s="175">
        <f t="shared" si="128"/>
        <v>0</v>
      </c>
      <c r="BE254" s="175">
        <f t="shared" si="128"/>
        <v>0</v>
      </c>
      <c r="BF254" s="175">
        <f t="shared" si="128"/>
        <v>0</v>
      </c>
      <c r="BG254" s="175">
        <f t="shared" si="128"/>
        <v>0</v>
      </c>
      <c r="BH254" s="175">
        <f t="shared" si="128"/>
        <v>0</v>
      </c>
      <c r="BI254" s="175">
        <f t="shared" si="128"/>
        <v>0</v>
      </c>
      <c r="BJ254" s="175">
        <f>SUM(BJ251:BJ253)</f>
        <v>0</v>
      </c>
      <c r="BK254" s="175">
        <f t="shared" si="128"/>
        <v>0</v>
      </c>
      <c r="BL254" s="175">
        <f t="shared" si="128"/>
        <v>0</v>
      </c>
      <c r="BM254" s="175">
        <f t="shared" si="128"/>
        <v>0</v>
      </c>
      <c r="BN254" s="175">
        <f t="shared" si="128"/>
        <v>0</v>
      </c>
      <c r="BO254" s="175">
        <f t="shared" si="128"/>
        <v>0</v>
      </c>
      <c r="BP254" s="175">
        <f t="shared" si="128"/>
        <v>0</v>
      </c>
      <c r="BQ254" s="175">
        <f t="shared" si="128"/>
        <v>0</v>
      </c>
      <c r="BR254" s="175">
        <f t="shared" si="128"/>
        <v>0</v>
      </c>
      <c r="BS254" s="175">
        <f t="shared" si="128"/>
        <v>0</v>
      </c>
      <c r="BT254" s="175">
        <f t="shared" si="128"/>
        <v>0</v>
      </c>
      <c r="BU254" s="175">
        <f t="shared" si="128"/>
        <v>0</v>
      </c>
      <c r="BV254" s="175">
        <f t="shared" si="128"/>
        <v>0</v>
      </c>
      <c r="BW254" s="175">
        <f t="shared" si="128"/>
        <v>0</v>
      </c>
      <c r="BX254" s="175">
        <f t="shared" si="128"/>
        <v>0</v>
      </c>
      <c r="BY254" s="175">
        <f t="shared" si="128"/>
        <v>0</v>
      </c>
      <c r="BZ254" s="175">
        <f t="shared" si="128"/>
        <v>0</v>
      </c>
      <c r="CA254" s="175">
        <f t="shared" si="128"/>
        <v>0</v>
      </c>
      <c r="CB254" s="175">
        <f t="shared" si="128"/>
        <v>0</v>
      </c>
      <c r="CC254" s="175">
        <f t="shared" si="128"/>
        <v>0</v>
      </c>
      <c r="CD254" s="175">
        <f t="shared" si="128"/>
        <v>0</v>
      </c>
      <c r="CE254" s="175">
        <f t="shared" si="128"/>
        <v>0</v>
      </c>
      <c r="CF254" s="175">
        <f t="shared" si="128"/>
        <v>0</v>
      </c>
      <c r="CG254" s="175">
        <f t="shared" ref="CG254:DL254" si="129">SUM(CG251:CG253)</f>
        <v>0</v>
      </c>
      <c r="CH254" s="175">
        <f t="shared" si="129"/>
        <v>0</v>
      </c>
      <c r="CI254" s="175">
        <f t="shared" si="129"/>
        <v>0</v>
      </c>
      <c r="CJ254" s="175">
        <f t="shared" si="129"/>
        <v>0</v>
      </c>
      <c r="CK254" s="175">
        <f t="shared" si="129"/>
        <v>0</v>
      </c>
      <c r="CL254" s="175">
        <f t="shared" si="129"/>
        <v>0</v>
      </c>
      <c r="CM254" s="175">
        <f t="shared" si="129"/>
        <v>0</v>
      </c>
      <c r="CN254" s="175">
        <f t="shared" si="129"/>
        <v>0</v>
      </c>
      <c r="CO254" s="175">
        <f t="shared" si="129"/>
        <v>0</v>
      </c>
      <c r="CP254" s="175">
        <f t="shared" si="129"/>
        <v>0</v>
      </c>
      <c r="CQ254" s="175">
        <f t="shared" si="129"/>
        <v>0</v>
      </c>
      <c r="CR254" s="175">
        <f t="shared" si="129"/>
        <v>0</v>
      </c>
      <c r="CS254" s="175">
        <f t="shared" si="129"/>
        <v>0</v>
      </c>
      <c r="CT254" s="175">
        <f t="shared" si="129"/>
        <v>0</v>
      </c>
      <c r="CU254" s="175">
        <f t="shared" si="129"/>
        <v>0</v>
      </c>
      <c r="CV254" s="175">
        <f t="shared" si="129"/>
        <v>0</v>
      </c>
      <c r="CW254" s="175">
        <f t="shared" si="129"/>
        <v>0</v>
      </c>
      <c r="CX254" s="175">
        <f t="shared" si="129"/>
        <v>0</v>
      </c>
      <c r="CY254" s="175">
        <f t="shared" si="129"/>
        <v>0</v>
      </c>
      <c r="CZ254" s="175">
        <f t="shared" si="129"/>
        <v>0</v>
      </c>
      <c r="DA254" s="175">
        <f t="shared" si="129"/>
        <v>0</v>
      </c>
      <c r="DB254" s="175">
        <f t="shared" si="129"/>
        <v>0</v>
      </c>
      <c r="DC254" s="175">
        <f t="shared" si="129"/>
        <v>0</v>
      </c>
      <c r="DD254" s="175">
        <f t="shared" si="129"/>
        <v>0</v>
      </c>
      <c r="DE254" s="175">
        <f t="shared" si="129"/>
        <v>0</v>
      </c>
      <c r="DF254" s="175">
        <f t="shared" si="129"/>
        <v>0</v>
      </c>
      <c r="DG254" s="175">
        <f t="shared" si="129"/>
        <v>0</v>
      </c>
      <c r="DH254" s="175">
        <f t="shared" si="129"/>
        <v>0</v>
      </c>
      <c r="DI254" s="175">
        <f t="shared" si="129"/>
        <v>0</v>
      </c>
      <c r="DJ254" s="175">
        <f t="shared" si="129"/>
        <v>0</v>
      </c>
      <c r="DK254" s="175">
        <f t="shared" si="129"/>
        <v>0</v>
      </c>
      <c r="DL254" s="14">
        <f t="shared" si="129"/>
        <v>0</v>
      </c>
      <c r="DM254" s="14">
        <f t="shared" ref="DM254:ES254" si="130">SUM(DM251:DM253)</f>
        <v>0</v>
      </c>
      <c r="DN254" s="14">
        <f t="shared" si="130"/>
        <v>0</v>
      </c>
      <c r="DO254" s="14">
        <f t="shared" si="130"/>
        <v>0</v>
      </c>
      <c r="DP254" s="14">
        <f t="shared" si="130"/>
        <v>0</v>
      </c>
      <c r="DQ254" s="14">
        <f t="shared" si="130"/>
        <v>0</v>
      </c>
      <c r="DR254" s="14">
        <f t="shared" si="130"/>
        <v>0</v>
      </c>
      <c r="DS254" s="14">
        <f t="shared" si="130"/>
        <v>0</v>
      </c>
      <c r="DT254" s="14">
        <f t="shared" si="130"/>
        <v>0</v>
      </c>
      <c r="DU254" s="14">
        <f t="shared" si="130"/>
        <v>0</v>
      </c>
      <c r="DV254" s="14">
        <f t="shared" si="130"/>
        <v>0</v>
      </c>
      <c r="DW254" s="14">
        <f t="shared" si="130"/>
        <v>0</v>
      </c>
      <c r="DX254" s="14">
        <f t="shared" si="130"/>
        <v>0</v>
      </c>
      <c r="DY254" s="14">
        <f t="shared" si="130"/>
        <v>0</v>
      </c>
      <c r="DZ254" s="14">
        <f t="shared" si="130"/>
        <v>0</v>
      </c>
      <c r="EA254" s="14">
        <f t="shared" si="130"/>
        <v>0</v>
      </c>
      <c r="EB254" s="14">
        <f t="shared" si="130"/>
        <v>0</v>
      </c>
      <c r="EC254" s="14">
        <f t="shared" si="130"/>
        <v>0</v>
      </c>
      <c r="ED254" s="14">
        <f t="shared" si="130"/>
        <v>0</v>
      </c>
      <c r="EE254" s="508"/>
      <c r="EF254" s="14">
        <f t="shared" si="130"/>
        <v>0</v>
      </c>
      <c r="EG254" s="14">
        <f t="shared" si="130"/>
        <v>0</v>
      </c>
      <c r="EH254" s="14">
        <f t="shared" si="130"/>
        <v>0</v>
      </c>
      <c r="EI254" s="14">
        <f t="shared" si="130"/>
        <v>0</v>
      </c>
      <c r="EJ254" s="14">
        <f t="shared" si="130"/>
        <v>0</v>
      </c>
      <c r="EK254" s="14">
        <f t="shared" si="130"/>
        <v>0</v>
      </c>
      <c r="EL254" s="14">
        <f t="shared" si="130"/>
        <v>0</v>
      </c>
      <c r="EM254" s="14">
        <f t="shared" si="130"/>
        <v>0</v>
      </c>
      <c r="EN254" s="14">
        <f t="shared" si="130"/>
        <v>0</v>
      </c>
      <c r="EO254" s="14">
        <f t="shared" si="130"/>
        <v>0</v>
      </c>
      <c r="EP254" s="14">
        <f t="shared" si="130"/>
        <v>0</v>
      </c>
      <c r="EQ254" s="14">
        <f t="shared" si="130"/>
        <v>0</v>
      </c>
      <c r="ER254" s="14">
        <f t="shared" si="130"/>
        <v>0</v>
      </c>
      <c r="ES254" s="14">
        <f t="shared" si="130"/>
        <v>0</v>
      </c>
      <c r="ET254" s="14">
        <f t="shared" ref="ET254:FE254" si="131">SUM(ET251:ET253)</f>
        <v>0</v>
      </c>
      <c r="EU254" s="14">
        <f t="shared" si="131"/>
        <v>0</v>
      </c>
      <c r="EV254" s="14">
        <f t="shared" si="131"/>
        <v>0</v>
      </c>
      <c r="EW254" s="14">
        <f t="shared" si="131"/>
        <v>0</v>
      </c>
      <c r="EX254" s="14">
        <f t="shared" si="131"/>
        <v>0</v>
      </c>
      <c r="EY254" s="14">
        <f t="shared" si="131"/>
        <v>0</v>
      </c>
      <c r="EZ254" s="14">
        <f t="shared" si="131"/>
        <v>0</v>
      </c>
      <c r="FA254" s="14">
        <f t="shared" si="131"/>
        <v>0</v>
      </c>
      <c r="FB254" s="14">
        <f t="shared" si="131"/>
        <v>0</v>
      </c>
      <c r="FC254" s="14">
        <f t="shared" si="131"/>
        <v>0</v>
      </c>
      <c r="FD254" s="14">
        <f t="shared" si="131"/>
        <v>0</v>
      </c>
      <c r="FE254" s="14">
        <f t="shared" si="131"/>
        <v>0</v>
      </c>
      <c r="FF254" s="14"/>
    </row>
    <row r="255" spans="1:162" hidden="1">
      <c r="A255" s="54"/>
      <c r="B255" s="55" t="s">
        <v>3068</v>
      </c>
      <c r="C255" s="11" t="s">
        <v>3449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885"/>
      <c r="AH255" s="176"/>
      <c r="AI255" s="897"/>
      <c r="AJ255" s="907"/>
      <c r="AK255" s="921"/>
      <c r="AL255" s="176"/>
      <c r="AM255" s="176"/>
      <c r="AN255" s="176"/>
      <c r="AO255" s="176"/>
      <c r="AP255" s="176"/>
      <c r="AQ255" s="176"/>
      <c r="AR255" s="176"/>
      <c r="AS255" s="176"/>
      <c r="AT255" s="176"/>
      <c r="AU255" s="176"/>
      <c r="AV255" s="176"/>
      <c r="AW255" s="176"/>
      <c r="AX255" s="176"/>
      <c r="AY255" s="176"/>
      <c r="AZ255" s="176"/>
      <c r="BA255" s="176"/>
      <c r="BB255" s="176"/>
      <c r="BC255" s="176"/>
      <c r="BD255" s="176"/>
      <c r="BE255" s="176"/>
      <c r="BF255" s="176"/>
      <c r="BG255" s="176"/>
      <c r="BH255" s="176"/>
      <c r="BI255" s="176"/>
      <c r="BJ255" s="176"/>
      <c r="BK255" s="176"/>
      <c r="BL255" s="176"/>
      <c r="BM255" s="176"/>
      <c r="BN255" s="176"/>
      <c r="BO255" s="176"/>
      <c r="BP255" s="176"/>
      <c r="BQ255" s="176"/>
      <c r="BR255" s="176"/>
      <c r="BS255" s="176"/>
      <c r="BT255" s="176"/>
      <c r="BU255" s="176"/>
      <c r="BV255" s="176"/>
      <c r="BW255" s="176"/>
      <c r="BX255" s="176"/>
      <c r="BY255" s="176"/>
      <c r="BZ255" s="176"/>
      <c r="CA255" s="176"/>
      <c r="CB255" s="176"/>
      <c r="CC255" s="176"/>
      <c r="CD255" s="176"/>
      <c r="CE255" s="176"/>
      <c r="CF255" s="176"/>
      <c r="CG255" s="176"/>
      <c r="CH255" s="176"/>
      <c r="CI255" s="176"/>
      <c r="CJ255" s="176"/>
      <c r="CK255" s="176"/>
      <c r="CL255" s="176"/>
      <c r="CM255" s="176"/>
      <c r="CN255" s="176"/>
      <c r="CO255" s="176"/>
      <c r="CP255" s="176"/>
      <c r="CQ255" s="176"/>
      <c r="CR255" s="176"/>
      <c r="CS255" s="176"/>
      <c r="CT255" s="176"/>
      <c r="CU255" s="176"/>
      <c r="CV255" s="176"/>
      <c r="CW255" s="176"/>
      <c r="CX255" s="176"/>
      <c r="CY255" s="176"/>
      <c r="CZ255" s="176"/>
      <c r="DA255" s="176"/>
      <c r="DB255" s="176"/>
      <c r="DC255" s="176"/>
      <c r="DD255" s="176"/>
      <c r="DE255" s="176"/>
      <c r="DF255" s="176"/>
      <c r="DG255" s="176"/>
      <c r="DH255" s="176"/>
      <c r="DI255" s="176"/>
      <c r="DJ255" s="176"/>
      <c r="DK255" s="176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503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3"/>
    </row>
    <row r="256" spans="1:162" s="56" customFormat="1" hidden="1">
      <c r="A256" s="54"/>
      <c r="B256" s="55"/>
      <c r="C256" s="491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173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883"/>
      <c r="AH256" s="174"/>
      <c r="AI256" s="492"/>
      <c r="AJ256" s="905"/>
      <c r="AK256" s="919"/>
      <c r="AL256" s="174"/>
      <c r="AM256" s="174"/>
      <c r="AN256" s="174"/>
      <c r="AO256" s="928"/>
      <c r="AP256" s="174"/>
      <c r="AQ256" s="174"/>
      <c r="AR256" s="174"/>
      <c r="AS256" s="174"/>
      <c r="AT256" s="174"/>
      <c r="AU256" s="174"/>
      <c r="AV256" s="174"/>
      <c r="AW256" s="174"/>
      <c r="AX256" s="174"/>
      <c r="AY256" s="174"/>
      <c r="AZ256" s="174"/>
      <c r="BA256" s="174"/>
      <c r="BB256" s="174"/>
      <c r="BC256" s="174"/>
      <c r="BD256" s="174"/>
      <c r="BE256" s="174"/>
      <c r="BF256" s="174"/>
      <c r="BG256" s="174"/>
      <c r="BH256" s="174"/>
      <c r="BI256" s="174"/>
      <c r="BJ256" s="174"/>
      <c r="BK256" s="174"/>
      <c r="BL256" s="174"/>
      <c r="BM256" s="174"/>
      <c r="BN256" s="174"/>
      <c r="BO256" s="174"/>
      <c r="BP256" s="174"/>
      <c r="BQ256" s="174"/>
      <c r="BR256" s="174"/>
      <c r="BS256" s="174"/>
      <c r="BT256" s="174"/>
      <c r="BU256" s="174"/>
      <c r="BV256" s="174"/>
      <c r="BW256" s="174"/>
      <c r="BX256" s="174"/>
      <c r="BY256" s="174"/>
      <c r="BZ256" s="174"/>
      <c r="CA256" s="174"/>
      <c r="CB256" s="174"/>
      <c r="CC256" s="174"/>
      <c r="CD256" s="174"/>
      <c r="CE256" s="174"/>
      <c r="CF256" s="174"/>
      <c r="CG256" s="174"/>
      <c r="CH256" s="174"/>
      <c r="CI256" s="174"/>
      <c r="CJ256" s="174"/>
      <c r="CK256" s="174"/>
      <c r="CL256" s="174"/>
      <c r="CM256" s="174"/>
      <c r="CN256" s="174"/>
      <c r="CO256" s="174"/>
      <c r="CP256" s="174"/>
      <c r="CQ256" s="174"/>
      <c r="CR256" s="174"/>
      <c r="CS256" s="174"/>
      <c r="CT256" s="174"/>
      <c r="CU256" s="174"/>
      <c r="CV256" s="174"/>
      <c r="CW256" s="174"/>
      <c r="CX256" s="174"/>
      <c r="CY256" s="174"/>
      <c r="CZ256" s="174"/>
      <c r="DA256" s="174"/>
      <c r="DB256" s="174"/>
      <c r="DC256" s="174"/>
      <c r="DD256" s="174"/>
      <c r="DE256" s="174"/>
      <c r="DF256" s="174"/>
      <c r="DG256" s="174"/>
      <c r="DH256" s="174"/>
      <c r="DI256" s="174"/>
      <c r="DJ256" s="174"/>
      <c r="DK256" s="174"/>
      <c r="DL256" s="62"/>
      <c r="DM256" s="62"/>
      <c r="DN256" s="62"/>
      <c r="DO256" s="62"/>
      <c r="DP256" s="62"/>
      <c r="DQ256" s="62"/>
      <c r="DR256" s="62"/>
      <c r="DS256" s="62"/>
      <c r="DT256" s="62"/>
      <c r="DU256" s="62"/>
      <c r="DV256" s="62"/>
      <c r="DW256" s="62"/>
      <c r="DX256" s="62"/>
      <c r="DY256" s="62"/>
      <c r="DZ256" s="62"/>
      <c r="EA256" s="62"/>
      <c r="EB256" s="62"/>
      <c r="EC256" s="62"/>
      <c r="ED256" s="62"/>
      <c r="EE256" s="454"/>
      <c r="EF256" s="62"/>
      <c r="EG256" s="62"/>
      <c r="EH256" s="62"/>
      <c r="EI256" s="62"/>
      <c r="EJ256" s="62"/>
      <c r="EK256" s="62"/>
      <c r="EL256" s="62"/>
      <c r="EM256" s="62"/>
      <c r="EN256" s="62"/>
      <c r="EO256" s="62"/>
      <c r="EP256" s="62"/>
      <c r="EQ256" s="62"/>
      <c r="ER256" s="62"/>
      <c r="ES256" s="62"/>
      <c r="ET256" s="62"/>
      <c r="EU256" s="62"/>
      <c r="EV256" s="62"/>
      <c r="EW256" s="62"/>
      <c r="EX256" s="62"/>
      <c r="EY256" s="62"/>
      <c r="EZ256" s="62"/>
      <c r="FA256" s="62"/>
      <c r="FB256" s="62"/>
      <c r="FC256" s="62"/>
      <c r="FD256" s="62"/>
      <c r="FE256" s="62"/>
      <c r="FF256" s="62"/>
    </row>
    <row r="257" spans="1:162" s="56" customFormat="1" hidden="1">
      <c r="A257" s="54"/>
      <c r="B257" s="55"/>
      <c r="C257" s="491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173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883"/>
      <c r="AH257" s="174"/>
      <c r="AI257" s="492"/>
      <c r="AJ257" s="905"/>
      <c r="AK257" s="919"/>
      <c r="AL257" s="174"/>
      <c r="AM257" s="174"/>
      <c r="AN257" s="174"/>
      <c r="AO257" s="928"/>
      <c r="AP257" s="174"/>
      <c r="AQ257" s="174"/>
      <c r="AR257" s="174"/>
      <c r="AS257" s="174"/>
      <c r="AT257" s="174"/>
      <c r="AU257" s="174"/>
      <c r="AV257" s="174"/>
      <c r="AW257" s="174"/>
      <c r="AX257" s="174"/>
      <c r="AY257" s="174"/>
      <c r="AZ257" s="174"/>
      <c r="BA257" s="174"/>
      <c r="BB257" s="174"/>
      <c r="BC257" s="174"/>
      <c r="BD257" s="174"/>
      <c r="BE257" s="174"/>
      <c r="BF257" s="174"/>
      <c r="BG257" s="174"/>
      <c r="BH257" s="174"/>
      <c r="BI257" s="174"/>
      <c r="BJ257" s="174"/>
      <c r="BK257" s="174"/>
      <c r="BL257" s="174"/>
      <c r="BM257" s="174"/>
      <c r="BN257" s="174"/>
      <c r="BO257" s="174"/>
      <c r="BP257" s="174"/>
      <c r="BQ257" s="174"/>
      <c r="BR257" s="174"/>
      <c r="BS257" s="174"/>
      <c r="BT257" s="174"/>
      <c r="BU257" s="174"/>
      <c r="BV257" s="174"/>
      <c r="BW257" s="174"/>
      <c r="BX257" s="174"/>
      <c r="BY257" s="174"/>
      <c r="BZ257" s="174"/>
      <c r="CA257" s="174"/>
      <c r="CB257" s="174"/>
      <c r="CC257" s="174"/>
      <c r="CD257" s="174"/>
      <c r="CE257" s="174"/>
      <c r="CF257" s="174"/>
      <c r="CG257" s="174"/>
      <c r="CH257" s="174"/>
      <c r="CI257" s="174"/>
      <c r="CJ257" s="174"/>
      <c r="CK257" s="174"/>
      <c r="CL257" s="174"/>
      <c r="CM257" s="174"/>
      <c r="CN257" s="174"/>
      <c r="CO257" s="174"/>
      <c r="CP257" s="174"/>
      <c r="CQ257" s="174"/>
      <c r="CR257" s="174"/>
      <c r="CS257" s="174"/>
      <c r="CT257" s="174"/>
      <c r="CU257" s="174"/>
      <c r="CV257" s="174"/>
      <c r="CW257" s="174"/>
      <c r="CX257" s="174"/>
      <c r="CY257" s="174"/>
      <c r="CZ257" s="174"/>
      <c r="DA257" s="174"/>
      <c r="DB257" s="174"/>
      <c r="DC257" s="174"/>
      <c r="DD257" s="174"/>
      <c r="DE257" s="174"/>
      <c r="DF257" s="174"/>
      <c r="DG257" s="174"/>
      <c r="DH257" s="174"/>
      <c r="DI257" s="174"/>
      <c r="DJ257" s="174"/>
      <c r="DK257" s="174"/>
      <c r="DL257" s="62"/>
      <c r="DM257" s="62"/>
      <c r="DN257" s="62"/>
      <c r="DO257" s="62"/>
      <c r="DP257" s="62"/>
      <c r="DQ257" s="62"/>
      <c r="DR257" s="62"/>
      <c r="DS257" s="62"/>
      <c r="DT257" s="62"/>
      <c r="DU257" s="62"/>
      <c r="DV257" s="62"/>
      <c r="DW257" s="62"/>
      <c r="DX257" s="62"/>
      <c r="DY257" s="62"/>
      <c r="DZ257" s="62"/>
      <c r="EA257" s="62"/>
      <c r="EB257" s="62"/>
      <c r="EC257" s="62"/>
      <c r="ED257" s="62"/>
      <c r="EE257" s="454"/>
      <c r="EF257" s="62"/>
      <c r="EG257" s="62"/>
      <c r="EH257" s="62"/>
      <c r="EI257" s="62"/>
      <c r="EJ257" s="62"/>
      <c r="EK257" s="62"/>
      <c r="EL257" s="62"/>
      <c r="EM257" s="62"/>
      <c r="EN257" s="62"/>
      <c r="EO257" s="62"/>
      <c r="EP257" s="62"/>
      <c r="EQ257" s="62"/>
      <c r="ER257" s="62"/>
      <c r="ES257" s="62"/>
      <c r="ET257" s="62"/>
      <c r="EU257" s="62"/>
      <c r="EV257" s="62"/>
      <c r="EW257" s="62"/>
      <c r="EX257" s="62"/>
      <c r="EY257" s="62"/>
      <c r="EZ257" s="62"/>
      <c r="FA257" s="62"/>
      <c r="FB257" s="62"/>
      <c r="FC257" s="62"/>
      <c r="FD257" s="62"/>
      <c r="FE257" s="62"/>
      <c r="FF257" s="62"/>
    </row>
    <row r="258" spans="1:162" s="56" customFormat="1" hidden="1">
      <c r="A258" s="54"/>
      <c r="B258" s="55"/>
      <c r="C258" s="491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173"/>
      <c r="S258" s="174"/>
      <c r="T258" s="174"/>
      <c r="U258" s="174"/>
      <c r="V258" s="174"/>
      <c r="W258" s="174"/>
      <c r="X258" s="174"/>
      <c r="Y258" s="174"/>
      <c r="Z258" s="174"/>
      <c r="AA258" s="174"/>
      <c r="AB258" s="174"/>
      <c r="AC258" s="174"/>
      <c r="AD258" s="174"/>
      <c r="AE258" s="174"/>
      <c r="AF258" s="174"/>
      <c r="AG258" s="883"/>
      <c r="AH258" s="174"/>
      <c r="AI258" s="492"/>
      <c r="AJ258" s="905"/>
      <c r="AK258" s="919"/>
      <c r="AL258" s="174"/>
      <c r="AM258" s="174"/>
      <c r="AN258" s="174"/>
      <c r="AO258" s="928"/>
      <c r="AP258" s="174"/>
      <c r="AQ258" s="174"/>
      <c r="AR258" s="174"/>
      <c r="AS258" s="174"/>
      <c r="AT258" s="174"/>
      <c r="AU258" s="174"/>
      <c r="AV258" s="174"/>
      <c r="AW258" s="174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174"/>
      <c r="BJ258" s="174"/>
      <c r="BK258" s="174"/>
      <c r="BL258" s="174"/>
      <c r="BM258" s="174"/>
      <c r="BN258" s="174"/>
      <c r="BO258" s="174"/>
      <c r="BP258" s="174"/>
      <c r="BQ258" s="174"/>
      <c r="BR258" s="174"/>
      <c r="BS258" s="174"/>
      <c r="BT258" s="174"/>
      <c r="BU258" s="174"/>
      <c r="BV258" s="174"/>
      <c r="BW258" s="174"/>
      <c r="BX258" s="174"/>
      <c r="BY258" s="174"/>
      <c r="BZ258" s="174"/>
      <c r="CA258" s="174"/>
      <c r="CB258" s="174"/>
      <c r="CC258" s="174"/>
      <c r="CD258" s="174"/>
      <c r="CE258" s="174"/>
      <c r="CF258" s="174"/>
      <c r="CG258" s="174"/>
      <c r="CH258" s="174"/>
      <c r="CI258" s="174"/>
      <c r="CJ258" s="174"/>
      <c r="CK258" s="174"/>
      <c r="CL258" s="174"/>
      <c r="CM258" s="174"/>
      <c r="CN258" s="174"/>
      <c r="CO258" s="174"/>
      <c r="CP258" s="174"/>
      <c r="CQ258" s="174"/>
      <c r="CR258" s="174"/>
      <c r="CS258" s="174"/>
      <c r="CT258" s="174"/>
      <c r="CU258" s="174"/>
      <c r="CV258" s="174"/>
      <c r="CW258" s="174"/>
      <c r="CX258" s="174"/>
      <c r="CY258" s="174"/>
      <c r="CZ258" s="174"/>
      <c r="DA258" s="174"/>
      <c r="DB258" s="174"/>
      <c r="DC258" s="174"/>
      <c r="DD258" s="174"/>
      <c r="DE258" s="174"/>
      <c r="DF258" s="174"/>
      <c r="DG258" s="174"/>
      <c r="DH258" s="174"/>
      <c r="DI258" s="174"/>
      <c r="DJ258" s="174"/>
      <c r="DK258" s="174"/>
      <c r="DL258" s="62"/>
      <c r="DM258" s="62"/>
      <c r="DN258" s="62"/>
      <c r="DO258" s="62"/>
      <c r="DP258" s="62"/>
      <c r="DQ258" s="62"/>
      <c r="DR258" s="62"/>
      <c r="DS258" s="62"/>
      <c r="DT258" s="62"/>
      <c r="DU258" s="62"/>
      <c r="DV258" s="62"/>
      <c r="DW258" s="62"/>
      <c r="DX258" s="62"/>
      <c r="DY258" s="62"/>
      <c r="DZ258" s="62"/>
      <c r="EA258" s="62"/>
      <c r="EB258" s="62"/>
      <c r="EC258" s="62"/>
      <c r="ED258" s="62"/>
      <c r="EE258" s="454"/>
      <c r="EF258" s="62"/>
      <c r="EG258" s="62"/>
      <c r="EH258" s="62"/>
      <c r="EI258" s="62"/>
      <c r="EJ258" s="62"/>
      <c r="EK258" s="62"/>
      <c r="EL258" s="62"/>
      <c r="EM258" s="62"/>
      <c r="EN258" s="62"/>
      <c r="EO258" s="62"/>
      <c r="EP258" s="62"/>
      <c r="EQ258" s="62"/>
      <c r="ER258" s="62"/>
      <c r="ES258" s="62"/>
      <c r="ET258" s="62"/>
      <c r="EU258" s="62"/>
      <c r="EV258" s="62"/>
      <c r="EW258" s="62"/>
      <c r="EX258" s="62"/>
      <c r="EY258" s="62"/>
      <c r="EZ258" s="62"/>
      <c r="FA258" s="62"/>
      <c r="FB258" s="62"/>
      <c r="FC258" s="62"/>
      <c r="FD258" s="62"/>
      <c r="FE258" s="62"/>
      <c r="FF258" s="62"/>
    </row>
    <row r="259" spans="1:162" s="56" customFormat="1" hidden="1">
      <c r="A259" s="54"/>
      <c r="B259" s="55"/>
      <c r="C259" s="491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173"/>
      <c r="S259" s="174"/>
      <c r="T259" s="174"/>
      <c r="U259" s="174"/>
      <c r="V259" s="174"/>
      <c r="W259" s="174"/>
      <c r="X259" s="174"/>
      <c r="Y259" s="174"/>
      <c r="Z259" s="174"/>
      <c r="AA259" s="174"/>
      <c r="AB259" s="174"/>
      <c r="AC259" s="174"/>
      <c r="AD259" s="174"/>
      <c r="AE259" s="174"/>
      <c r="AF259" s="174"/>
      <c r="AG259" s="883"/>
      <c r="AH259" s="174"/>
      <c r="AI259" s="492"/>
      <c r="AJ259" s="905"/>
      <c r="AK259" s="919"/>
      <c r="AL259" s="174"/>
      <c r="AM259" s="174"/>
      <c r="AN259" s="174"/>
      <c r="AO259" s="928"/>
      <c r="AP259" s="174"/>
      <c r="AQ259" s="174"/>
      <c r="AR259" s="174"/>
      <c r="AS259" s="174"/>
      <c r="AT259" s="174"/>
      <c r="AU259" s="174"/>
      <c r="AV259" s="174"/>
      <c r="AW259" s="174"/>
      <c r="AX259" s="174"/>
      <c r="AY259" s="174"/>
      <c r="AZ259" s="174"/>
      <c r="BA259" s="174"/>
      <c r="BB259" s="174"/>
      <c r="BC259" s="174"/>
      <c r="BD259" s="174"/>
      <c r="BE259" s="174"/>
      <c r="BF259" s="174"/>
      <c r="BG259" s="174"/>
      <c r="BH259" s="174"/>
      <c r="BI259" s="174"/>
      <c r="BJ259" s="174"/>
      <c r="BK259" s="174"/>
      <c r="BL259" s="174"/>
      <c r="BM259" s="174"/>
      <c r="BN259" s="174"/>
      <c r="BO259" s="174"/>
      <c r="BP259" s="174"/>
      <c r="BQ259" s="174"/>
      <c r="BR259" s="174"/>
      <c r="BS259" s="174"/>
      <c r="BT259" s="174"/>
      <c r="BU259" s="174"/>
      <c r="BV259" s="174"/>
      <c r="BW259" s="174"/>
      <c r="BX259" s="174"/>
      <c r="BY259" s="174"/>
      <c r="BZ259" s="174"/>
      <c r="CA259" s="174"/>
      <c r="CB259" s="174"/>
      <c r="CC259" s="174"/>
      <c r="CD259" s="174"/>
      <c r="CE259" s="174"/>
      <c r="CF259" s="174"/>
      <c r="CG259" s="174"/>
      <c r="CH259" s="174"/>
      <c r="CI259" s="174"/>
      <c r="CJ259" s="174"/>
      <c r="CK259" s="174"/>
      <c r="CL259" s="174"/>
      <c r="CM259" s="174"/>
      <c r="CN259" s="174"/>
      <c r="CO259" s="174"/>
      <c r="CP259" s="174"/>
      <c r="CQ259" s="174"/>
      <c r="CR259" s="174"/>
      <c r="CS259" s="174"/>
      <c r="CT259" s="174"/>
      <c r="CU259" s="174"/>
      <c r="CV259" s="174"/>
      <c r="CW259" s="174"/>
      <c r="CX259" s="174"/>
      <c r="CY259" s="174"/>
      <c r="CZ259" s="174"/>
      <c r="DA259" s="174"/>
      <c r="DB259" s="174"/>
      <c r="DC259" s="174"/>
      <c r="DD259" s="174"/>
      <c r="DE259" s="174"/>
      <c r="DF259" s="174"/>
      <c r="DG259" s="174"/>
      <c r="DH259" s="174"/>
      <c r="DI259" s="174"/>
      <c r="DJ259" s="174"/>
      <c r="DK259" s="174"/>
      <c r="DL259" s="62"/>
      <c r="DM259" s="62"/>
      <c r="DN259" s="62"/>
      <c r="DO259" s="62"/>
      <c r="DP259" s="62"/>
      <c r="DQ259" s="62"/>
      <c r="DR259" s="62"/>
      <c r="DS259" s="62"/>
      <c r="DT259" s="62"/>
      <c r="DU259" s="62"/>
      <c r="DV259" s="62"/>
      <c r="DW259" s="62"/>
      <c r="DX259" s="62"/>
      <c r="DY259" s="62"/>
      <c r="DZ259" s="62"/>
      <c r="EA259" s="62"/>
      <c r="EB259" s="62"/>
      <c r="EC259" s="62"/>
      <c r="ED259" s="62"/>
      <c r="EE259" s="454"/>
      <c r="EF259" s="62"/>
      <c r="EG259" s="62"/>
      <c r="EH259" s="62"/>
      <c r="EI259" s="62"/>
      <c r="EJ259" s="62"/>
      <c r="EK259" s="62"/>
      <c r="EL259" s="62"/>
      <c r="EM259" s="62"/>
      <c r="EN259" s="62"/>
      <c r="EO259" s="62"/>
      <c r="EP259" s="62"/>
      <c r="EQ259" s="62"/>
      <c r="ER259" s="62"/>
      <c r="ES259" s="62"/>
      <c r="ET259" s="62"/>
      <c r="EU259" s="62"/>
      <c r="EV259" s="62"/>
      <c r="EW259" s="62"/>
      <c r="EX259" s="62"/>
      <c r="EY259" s="62"/>
      <c r="EZ259" s="62"/>
      <c r="FA259" s="62"/>
      <c r="FB259" s="62"/>
      <c r="FC259" s="62"/>
      <c r="FD259" s="62"/>
      <c r="FE259" s="62"/>
      <c r="FF259" s="62"/>
    </row>
    <row r="260" spans="1:162" s="56" customFormat="1" hidden="1">
      <c r="A260" s="54"/>
      <c r="B260" s="55"/>
      <c r="C260" s="491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173"/>
      <c r="S260" s="174"/>
      <c r="T260" s="174"/>
      <c r="U260" s="174"/>
      <c r="V260" s="174"/>
      <c r="W260" s="174"/>
      <c r="X260" s="174"/>
      <c r="Y260" s="174"/>
      <c r="Z260" s="174"/>
      <c r="AA260" s="174"/>
      <c r="AB260" s="174"/>
      <c r="AC260" s="174"/>
      <c r="AD260" s="174"/>
      <c r="AE260" s="174"/>
      <c r="AF260" s="174"/>
      <c r="AG260" s="883"/>
      <c r="AH260" s="174"/>
      <c r="AI260" s="492"/>
      <c r="AJ260" s="905"/>
      <c r="AK260" s="919"/>
      <c r="AL260" s="174"/>
      <c r="AM260" s="174"/>
      <c r="AN260" s="174"/>
      <c r="AO260" s="928"/>
      <c r="AP260" s="174"/>
      <c r="AQ260" s="174"/>
      <c r="AR260" s="174"/>
      <c r="AS260" s="174"/>
      <c r="AT260" s="174"/>
      <c r="AU260" s="174"/>
      <c r="AV260" s="174"/>
      <c r="AW260" s="174"/>
      <c r="AX260" s="174"/>
      <c r="AY260" s="174"/>
      <c r="AZ260" s="174"/>
      <c r="BA260" s="174"/>
      <c r="BB260" s="174"/>
      <c r="BC260" s="174"/>
      <c r="BD260" s="174"/>
      <c r="BE260" s="174"/>
      <c r="BF260" s="174"/>
      <c r="BG260" s="174"/>
      <c r="BH260" s="174"/>
      <c r="BI260" s="174"/>
      <c r="BJ260" s="174"/>
      <c r="BK260" s="174"/>
      <c r="BL260" s="174"/>
      <c r="BM260" s="174"/>
      <c r="BN260" s="174"/>
      <c r="BO260" s="174"/>
      <c r="BP260" s="174"/>
      <c r="BQ260" s="174"/>
      <c r="BR260" s="174"/>
      <c r="BS260" s="174"/>
      <c r="BT260" s="174"/>
      <c r="BU260" s="174"/>
      <c r="BV260" s="174"/>
      <c r="BW260" s="174"/>
      <c r="BX260" s="174"/>
      <c r="BY260" s="174"/>
      <c r="BZ260" s="174"/>
      <c r="CA260" s="174"/>
      <c r="CB260" s="174"/>
      <c r="CC260" s="174"/>
      <c r="CD260" s="174"/>
      <c r="CE260" s="174"/>
      <c r="CF260" s="174"/>
      <c r="CG260" s="174"/>
      <c r="CH260" s="174"/>
      <c r="CI260" s="174"/>
      <c r="CJ260" s="174"/>
      <c r="CK260" s="174"/>
      <c r="CL260" s="174"/>
      <c r="CM260" s="174"/>
      <c r="CN260" s="174"/>
      <c r="CO260" s="174"/>
      <c r="CP260" s="174"/>
      <c r="CQ260" s="174"/>
      <c r="CR260" s="174"/>
      <c r="CS260" s="174"/>
      <c r="CT260" s="174"/>
      <c r="CU260" s="174"/>
      <c r="CV260" s="174"/>
      <c r="CW260" s="174"/>
      <c r="CX260" s="174"/>
      <c r="CY260" s="174"/>
      <c r="CZ260" s="174"/>
      <c r="DA260" s="174"/>
      <c r="DB260" s="174"/>
      <c r="DC260" s="174"/>
      <c r="DD260" s="174"/>
      <c r="DE260" s="174"/>
      <c r="DF260" s="174"/>
      <c r="DG260" s="174"/>
      <c r="DH260" s="174"/>
      <c r="DI260" s="174"/>
      <c r="DJ260" s="174"/>
      <c r="DK260" s="174"/>
      <c r="DL260" s="62"/>
      <c r="DM260" s="62"/>
      <c r="DN260" s="62"/>
      <c r="DO260" s="62"/>
      <c r="DP260" s="62"/>
      <c r="DQ260" s="62"/>
      <c r="DR260" s="62"/>
      <c r="DS260" s="62"/>
      <c r="DT260" s="62"/>
      <c r="DU260" s="62"/>
      <c r="DV260" s="62"/>
      <c r="DW260" s="62"/>
      <c r="DX260" s="62"/>
      <c r="DY260" s="62"/>
      <c r="DZ260" s="62"/>
      <c r="EA260" s="62"/>
      <c r="EB260" s="62"/>
      <c r="EC260" s="62"/>
      <c r="ED260" s="62"/>
      <c r="EE260" s="454"/>
      <c r="EF260" s="62"/>
      <c r="EG260" s="62"/>
      <c r="EH260" s="62"/>
      <c r="EI260" s="62"/>
      <c r="EJ260" s="62"/>
      <c r="EK260" s="62"/>
      <c r="EL260" s="62"/>
      <c r="EM260" s="62"/>
      <c r="EN260" s="62"/>
      <c r="EO260" s="62"/>
      <c r="EP260" s="62"/>
      <c r="EQ260" s="62"/>
      <c r="ER260" s="62"/>
      <c r="ES260" s="62"/>
      <c r="ET260" s="62"/>
      <c r="EU260" s="62"/>
      <c r="EV260" s="62"/>
      <c r="EW260" s="62"/>
      <c r="EX260" s="62"/>
      <c r="EY260" s="62"/>
      <c r="EZ260" s="62"/>
      <c r="FA260" s="62"/>
      <c r="FB260" s="62"/>
      <c r="FC260" s="62"/>
      <c r="FD260" s="62"/>
      <c r="FE260" s="62"/>
      <c r="FF260" s="62"/>
    </row>
    <row r="261" spans="1:162" s="56" customFormat="1" hidden="1">
      <c r="A261" s="54"/>
      <c r="B261" s="55"/>
      <c r="C261" s="491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173"/>
      <c r="S261" s="174"/>
      <c r="T261" s="174"/>
      <c r="U261" s="174"/>
      <c r="V261" s="174"/>
      <c r="W261" s="174"/>
      <c r="X261" s="174"/>
      <c r="Y261" s="174"/>
      <c r="Z261" s="174"/>
      <c r="AA261" s="174"/>
      <c r="AB261" s="174"/>
      <c r="AC261" s="174"/>
      <c r="AD261" s="174"/>
      <c r="AE261" s="174"/>
      <c r="AF261" s="174"/>
      <c r="AG261" s="883"/>
      <c r="AH261" s="174"/>
      <c r="AI261" s="492"/>
      <c r="AJ261" s="905"/>
      <c r="AK261" s="919"/>
      <c r="AL261" s="174"/>
      <c r="AM261" s="174"/>
      <c r="AN261" s="174"/>
      <c r="AO261" s="928"/>
      <c r="AP261" s="174"/>
      <c r="AQ261" s="174"/>
      <c r="AR261" s="174"/>
      <c r="AS261" s="174"/>
      <c r="AT261" s="174"/>
      <c r="AU261" s="174"/>
      <c r="AV261" s="174"/>
      <c r="AW261" s="174"/>
      <c r="AX261" s="174"/>
      <c r="AY261" s="174"/>
      <c r="AZ261" s="174"/>
      <c r="BA261" s="174"/>
      <c r="BB261" s="174"/>
      <c r="BC261" s="174"/>
      <c r="BD261" s="174"/>
      <c r="BE261" s="174"/>
      <c r="BF261" s="174"/>
      <c r="BG261" s="174"/>
      <c r="BH261" s="174"/>
      <c r="BI261" s="174"/>
      <c r="BJ261" s="174"/>
      <c r="BK261" s="174"/>
      <c r="BL261" s="174"/>
      <c r="BM261" s="174"/>
      <c r="BN261" s="174"/>
      <c r="BO261" s="174"/>
      <c r="BP261" s="174"/>
      <c r="BQ261" s="174"/>
      <c r="BR261" s="174"/>
      <c r="BS261" s="174"/>
      <c r="BT261" s="174"/>
      <c r="BU261" s="174"/>
      <c r="BV261" s="174"/>
      <c r="BW261" s="174"/>
      <c r="BX261" s="174"/>
      <c r="BY261" s="174"/>
      <c r="BZ261" s="174"/>
      <c r="CA261" s="174"/>
      <c r="CB261" s="174"/>
      <c r="CC261" s="174"/>
      <c r="CD261" s="174"/>
      <c r="CE261" s="174"/>
      <c r="CF261" s="174"/>
      <c r="CG261" s="174"/>
      <c r="CH261" s="174"/>
      <c r="CI261" s="174"/>
      <c r="CJ261" s="174"/>
      <c r="CK261" s="174"/>
      <c r="CL261" s="174"/>
      <c r="CM261" s="174"/>
      <c r="CN261" s="174"/>
      <c r="CO261" s="174"/>
      <c r="CP261" s="174"/>
      <c r="CQ261" s="174"/>
      <c r="CR261" s="174"/>
      <c r="CS261" s="174"/>
      <c r="CT261" s="174"/>
      <c r="CU261" s="174"/>
      <c r="CV261" s="174"/>
      <c r="CW261" s="174"/>
      <c r="CX261" s="174"/>
      <c r="CY261" s="174"/>
      <c r="CZ261" s="174"/>
      <c r="DA261" s="174"/>
      <c r="DB261" s="174"/>
      <c r="DC261" s="174"/>
      <c r="DD261" s="174"/>
      <c r="DE261" s="174"/>
      <c r="DF261" s="174"/>
      <c r="DG261" s="174"/>
      <c r="DH261" s="174"/>
      <c r="DI261" s="174"/>
      <c r="DJ261" s="174"/>
      <c r="DK261" s="174"/>
      <c r="DL261" s="62"/>
      <c r="DM261" s="62"/>
      <c r="DN261" s="62"/>
      <c r="DO261" s="62"/>
      <c r="DP261" s="62"/>
      <c r="DQ261" s="62"/>
      <c r="DR261" s="62"/>
      <c r="DS261" s="62"/>
      <c r="DT261" s="62"/>
      <c r="DU261" s="62"/>
      <c r="DV261" s="62"/>
      <c r="DW261" s="62"/>
      <c r="DX261" s="62"/>
      <c r="DY261" s="62"/>
      <c r="DZ261" s="62"/>
      <c r="EA261" s="62"/>
      <c r="EB261" s="62"/>
      <c r="EC261" s="62"/>
      <c r="ED261" s="62"/>
      <c r="EE261" s="454"/>
      <c r="EF261" s="62"/>
      <c r="EG261" s="62"/>
      <c r="EH261" s="62"/>
      <c r="EI261" s="62"/>
      <c r="EJ261" s="62"/>
      <c r="EK261" s="62"/>
      <c r="EL261" s="62"/>
      <c r="EM261" s="62"/>
      <c r="EN261" s="62"/>
      <c r="EO261" s="62"/>
      <c r="EP261" s="62"/>
      <c r="EQ261" s="62"/>
      <c r="ER261" s="62"/>
      <c r="ES261" s="62"/>
      <c r="ET261" s="62"/>
      <c r="EU261" s="62"/>
      <c r="EV261" s="62"/>
      <c r="EW261" s="62"/>
      <c r="EX261" s="62"/>
      <c r="EY261" s="62"/>
      <c r="EZ261" s="62"/>
      <c r="FA261" s="62"/>
      <c r="FB261" s="62"/>
      <c r="FC261" s="62"/>
      <c r="FD261" s="62"/>
      <c r="FE261" s="62"/>
      <c r="FF261" s="62"/>
    </row>
    <row r="262" spans="1:162" s="56" customFormat="1" hidden="1">
      <c r="A262" s="54"/>
      <c r="B262" s="55"/>
      <c r="C262" s="491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173"/>
      <c r="S262" s="174"/>
      <c r="T262" s="174"/>
      <c r="U262" s="174"/>
      <c r="V262" s="174"/>
      <c r="W262" s="174"/>
      <c r="X262" s="174"/>
      <c r="Y262" s="174"/>
      <c r="Z262" s="174"/>
      <c r="AA262" s="174"/>
      <c r="AB262" s="174"/>
      <c r="AC262" s="174"/>
      <c r="AD262" s="174"/>
      <c r="AE262" s="174"/>
      <c r="AF262" s="174"/>
      <c r="AG262" s="883"/>
      <c r="AH262" s="174"/>
      <c r="AI262" s="492"/>
      <c r="AJ262" s="905"/>
      <c r="AK262" s="919"/>
      <c r="AL262" s="174"/>
      <c r="AM262" s="174"/>
      <c r="AN262" s="174"/>
      <c r="AO262" s="928"/>
      <c r="AP262" s="174"/>
      <c r="AQ262" s="174"/>
      <c r="AR262" s="174"/>
      <c r="AS262" s="174"/>
      <c r="AT262" s="174"/>
      <c r="AU262" s="174"/>
      <c r="AV262" s="174"/>
      <c r="AW262" s="174"/>
      <c r="AX262" s="174"/>
      <c r="AY262" s="174"/>
      <c r="AZ262" s="174"/>
      <c r="BA262" s="174"/>
      <c r="BB262" s="174"/>
      <c r="BC262" s="174"/>
      <c r="BD262" s="174"/>
      <c r="BE262" s="174"/>
      <c r="BF262" s="174"/>
      <c r="BG262" s="174"/>
      <c r="BH262" s="174"/>
      <c r="BI262" s="174"/>
      <c r="BJ262" s="174"/>
      <c r="BK262" s="174"/>
      <c r="BL262" s="174"/>
      <c r="BM262" s="174"/>
      <c r="BN262" s="174"/>
      <c r="BO262" s="174"/>
      <c r="BP262" s="174"/>
      <c r="BQ262" s="174"/>
      <c r="BR262" s="174"/>
      <c r="BS262" s="174"/>
      <c r="BT262" s="174"/>
      <c r="BU262" s="174"/>
      <c r="BV262" s="174"/>
      <c r="BW262" s="174"/>
      <c r="BX262" s="174"/>
      <c r="BY262" s="174"/>
      <c r="BZ262" s="174"/>
      <c r="CA262" s="174"/>
      <c r="CB262" s="174"/>
      <c r="CC262" s="174"/>
      <c r="CD262" s="174"/>
      <c r="CE262" s="174"/>
      <c r="CF262" s="174"/>
      <c r="CG262" s="174"/>
      <c r="CH262" s="174"/>
      <c r="CI262" s="174"/>
      <c r="CJ262" s="174"/>
      <c r="CK262" s="174"/>
      <c r="CL262" s="174"/>
      <c r="CM262" s="174"/>
      <c r="CN262" s="174"/>
      <c r="CO262" s="174"/>
      <c r="CP262" s="174"/>
      <c r="CQ262" s="174"/>
      <c r="CR262" s="174"/>
      <c r="CS262" s="174"/>
      <c r="CT262" s="174"/>
      <c r="CU262" s="174"/>
      <c r="CV262" s="174"/>
      <c r="CW262" s="174"/>
      <c r="CX262" s="174"/>
      <c r="CY262" s="174"/>
      <c r="CZ262" s="174"/>
      <c r="DA262" s="174"/>
      <c r="DB262" s="174"/>
      <c r="DC262" s="174"/>
      <c r="DD262" s="174"/>
      <c r="DE262" s="174"/>
      <c r="DF262" s="174"/>
      <c r="DG262" s="174"/>
      <c r="DH262" s="174"/>
      <c r="DI262" s="174"/>
      <c r="DJ262" s="174"/>
      <c r="DK262" s="174"/>
      <c r="DL262" s="62"/>
      <c r="DM262" s="62"/>
      <c r="DN262" s="62"/>
      <c r="DO262" s="62"/>
      <c r="DP262" s="62"/>
      <c r="DQ262" s="62"/>
      <c r="DR262" s="62"/>
      <c r="DS262" s="62"/>
      <c r="DT262" s="62"/>
      <c r="DU262" s="62"/>
      <c r="DV262" s="62"/>
      <c r="DW262" s="62"/>
      <c r="DX262" s="62"/>
      <c r="DY262" s="62"/>
      <c r="DZ262" s="62"/>
      <c r="EA262" s="62"/>
      <c r="EB262" s="62"/>
      <c r="EC262" s="62"/>
      <c r="ED262" s="62"/>
      <c r="EE262" s="454"/>
      <c r="EF262" s="62"/>
      <c r="EG262" s="62"/>
      <c r="EH262" s="62"/>
      <c r="EI262" s="62"/>
      <c r="EJ262" s="62"/>
      <c r="EK262" s="62"/>
      <c r="EL262" s="62"/>
      <c r="EM262" s="62"/>
      <c r="EN262" s="62"/>
      <c r="EO262" s="62"/>
      <c r="EP262" s="62"/>
      <c r="EQ262" s="62"/>
      <c r="ER262" s="62"/>
      <c r="ES262" s="62"/>
      <c r="ET262" s="62"/>
      <c r="EU262" s="62"/>
      <c r="EV262" s="62"/>
      <c r="EW262" s="62"/>
      <c r="EX262" s="62"/>
      <c r="EY262" s="62"/>
      <c r="EZ262" s="62"/>
      <c r="FA262" s="62"/>
      <c r="FB262" s="62"/>
      <c r="FC262" s="62"/>
      <c r="FD262" s="62"/>
      <c r="FE262" s="62"/>
      <c r="FF262" s="62"/>
    </row>
    <row r="263" spans="1:162" s="56" customFormat="1" hidden="1">
      <c r="A263" s="54"/>
      <c r="B263" s="55"/>
      <c r="C263" s="491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173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883"/>
      <c r="AH263" s="174"/>
      <c r="AI263" s="492"/>
      <c r="AJ263" s="905"/>
      <c r="AK263" s="919"/>
      <c r="AL263" s="174"/>
      <c r="AM263" s="174"/>
      <c r="AN263" s="174"/>
      <c r="AO263" s="928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174"/>
      <c r="BJ263" s="174"/>
      <c r="BK263" s="174"/>
      <c r="BL263" s="174"/>
      <c r="BM263" s="174"/>
      <c r="BN263" s="174"/>
      <c r="BO263" s="174"/>
      <c r="BP263" s="174"/>
      <c r="BQ263" s="174"/>
      <c r="BR263" s="174"/>
      <c r="BS263" s="174"/>
      <c r="BT263" s="174"/>
      <c r="BU263" s="174"/>
      <c r="BV263" s="174"/>
      <c r="BW263" s="174"/>
      <c r="BX263" s="174"/>
      <c r="BY263" s="174"/>
      <c r="BZ263" s="174"/>
      <c r="CA263" s="174"/>
      <c r="CB263" s="174"/>
      <c r="CC263" s="174"/>
      <c r="CD263" s="174"/>
      <c r="CE263" s="174"/>
      <c r="CF263" s="174"/>
      <c r="CG263" s="174"/>
      <c r="CH263" s="174"/>
      <c r="CI263" s="174"/>
      <c r="CJ263" s="174"/>
      <c r="CK263" s="174"/>
      <c r="CL263" s="174"/>
      <c r="CM263" s="174"/>
      <c r="CN263" s="174"/>
      <c r="CO263" s="174"/>
      <c r="CP263" s="174"/>
      <c r="CQ263" s="174"/>
      <c r="CR263" s="174"/>
      <c r="CS263" s="174"/>
      <c r="CT263" s="174"/>
      <c r="CU263" s="174"/>
      <c r="CV263" s="174"/>
      <c r="CW263" s="174"/>
      <c r="CX263" s="174"/>
      <c r="CY263" s="174"/>
      <c r="CZ263" s="174"/>
      <c r="DA263" s="174"/>
      <c r="DB263" s="174"/>
      <c r="DC263" s="174"/>
      <c r="DD263" s="174"/>
      <c r="DE263" s="174"/>
      <c r="DF263" s="174"/>
      <c r="DG263" s="174"/>
      <c r="DH263" s="174"/>
      <c r="DI263" s="174"/>
      <c r="DJ263" s="174"/>
      <c r="DK263" s="174"/>
      <c r="DL263" s="62"/>
      <c r="DM263" s="62"/>
      <c r="DN263" s="62"/>
      <c r="DO263" s="62"/>
      <c r="DP263" s="62"/>
      <c r="DQ263" s="62"/>
      <c r="DR263" s="62"/>
      <c r="DS263" s="62"/>
      <c r="DT263" s="62"/>
      <c r="DU263" s="62"/>
      <c r="DV263" s="62"/>
      <c r="DW263" s="62"/>
      <c r="DX263" s="62"/>
      <c r="DY263" s="62"/>
      <c r="DZ263" s="62"/>
      <c r="EA263" s="62"/>
      <c r="EB263" s="62"/>
      <c r="EC263" s="62"/>
      <c r="ED263" s="62"/>
      <c r="EE263" s="454"/>
      <c r="EF263" s="62"/>
      <c r="EG263" s="62"/>
      <c r="EH263" s="62"/>
      <c r="EI263" s="62"/>
      <c r="EJ263" s="62"/>
      <c r="EK263" s="62"/>
      <c r="EL263" s="62"/>
      <c r="EM263" s="62"/>
      <c r="EN263" s="62"/>
      <c r="EO263" s="62"/>
      <c r="EP263" s="62"/>
      <c r="EQ263" s="62"/>
      <c r="ER263" s="62"/>
      <c r="ES263" s="62"/>
      <c r="ET263" s="62"/>
      <c r="EU263" s="62"/>
      <c r="EV263" s="62"/>
      <c r="EW263" s="62"/>
      <c r="EX263" s="62"/>
      <c r="EY263" s="62"/>
      <c r="EZ263" s="62"/>
      <c r="FA263" s="62"/>
      <c r="FB263" s="62"/>
      <c r="FC263" s="62"/>
      <c r="FD263" s="62"/>
      <c r="FE263" s="62"/>
      <c r="FF263" s="62"/>
    </row>
    <row r="264" spans="1:162" s="56" customFormat="1" hidden="1">
      <c r="A264" s="54"/>
      <c r="B264" s="55"/>
      <c r="C264" s="491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173"/>
      <c r="S264" s="174"/>
      <c r="T264" s="174"/>
      <c r="U264" s="174"/>
      <c r="V264" s="174"/>
      <c r="W264" s="174"/>
      <c r="X264" s="174"/>
      <c r="Y264" s="174"/>
      <c r="Z264" s="174"/>
      <c r="AA264" s="174"/>
      <c r="AB264" s="174"/>
      <c r="AC264" s="174"/>
      <c r="AD264" s="174"/>
      <c r="AE264" s="174"/>
      <c r="AF264" s="174"/>
      <c r="AG264" s="883"/>
      <c r="AH264" s="174"/>
      <c r="AI264" s="492"/>
      <c r="AJ264" s="905"/>
      <c r="AK264" s="919"/>
      <c r="AL264" s="174"/>
      <c r="AM264" s="174"/>
      <c r="AN264" s="174"/>
      <c r="AO264" s="928"/>
      <c r="AP264" s="174"/>
      <c r="AQ264" s="174"/>
      <c r="AR264" s="174"/>
      <c r="AS264" s="174"/>
      <c r="AT264" s="174"/>
      <c r="AU264" s="174"/>
      <c r="AV264" s="174"/>
      <c r="AW264" s="174"/>
      <c r="AX264" s="174"/>
      <c r="AY264" s="174"/>
      <c r="AZ264" s="174"/>
      <c r="BA264" s="174"/>
      <c r="BB264" s="174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/>
      <c r="BN264" s="174"/>
      <c r="BO264" s="174"/>
      <c r="BP264" s="174"/>
      <c r="BQ264" s="174"/>
      <c r="BR264" s="174"/>
      <c r="BS264" s="174"/>
      <c r="BT264" s="174"/>
      <c r="BU264" s="174"/>
      <c r="BV264" s="174"/>
      <c r="BW264" s="174"/>
      <c r="BX264" s="174"/>
      <c r="BY264" s="174"/>
      <c r="BZ264" s="174"/>
      <c r="CA264" s="174"/>
      <c r="CB264" s="174"/>
      <c r="CC264" s="174"/>
      <c r="CD264" s="174"/>
      <c r="CE264" s="174"/>
      <c r="CF264" s="174"/>
      <c r="CG264" s="174"/>
      <c r="CH264" s="174"/>
      <c r="CI264" s="174"/>
      <c r="CJ264" s="174"/>
      <c r="CK264" s="174"/>
      <c r="CL264" s="174"/>
      <c r="CM264" s="174"/>
      <c r="CN264" s="174"/>
      <c r="CO264" s="174"/>
      <c r="CP264" s="174"/>
      <c r="CQ264" s="174"/>
      <c r="CR264" s="174"/>
      <c r="CS264" s="174"/>
      <c r="CT264" s="174"/>
      <c r="CU264" s="174"/>
      <c r="CV264" s="174"/>
      <c r="CW264" s="174"/>
      <c r="CX264" s="174"/>
      <c r="CY264" s="174"/>
      <c r="CZ264" s="174"/>
      <c r="DA264" s="174"/>
      <c r="DB264" s="174"/>
      <c r="DC264" s="174"/>
      <c r="DD264" s="174"/>
      <c r="DE264" s="174"/>
      <c r="DF264" s="174"/>
      <c r="DG264" s="174"/>
      <c r="DH264" s="174"/>
      <c r="DI264" s="174"/>
      <c r="DJ264" s="174"/>
      <c r="DK264" s="174"/>
      <c r="DL264" s="62"/>
      <c r="DM264" s="62"/>
      <c r="DN264" s="62"/>
      <c r="DO264" s="62"/>
      <c r="DP264" s="62"/>
      <c r="DQ264" s="62"/>
      <c r="DR264" s="62"/>
      <c r="DS264" s="62"/>
      <c r="DT264" s="62"/>
      <c r="DU264" s="62"/>
      <c r="DV264" s="62"/>
      <c r="DW264" s="62"/>
      <c r="DX264" s="62"/>
      <c r="DY264" s="62"/>
      <c r="DZ264" s="62"/>
      <c r="EA264" s="62"/>
      <c r="EB264" s="62"/>
      <c r="EC264" s="62"/>
      <c r="ED264" s="62"/>
      <c r="EE264" s="454"/>
      <c r="EF264" s="62"/>
      <c r="EG264" s="62"/>
      <c r="EH264" s="62"/>
      <c r="EI264" s="62"/>
      <c r="EJ264" s="62"/>
      <c r="EK264" s="62"/>
      <c r="EL264" s="62"/>
      <c r="EM264" s="62"/>
      <c r="EN264" s="62"/>
      <c r="EO264" s="62"/>
      <c r="EP264" s="62"/>
      <c r="EQ264" s="62"/>
      <c r="ER264" s="62"/>
      <c r="ES264" s="62"/>
      <c r="ET264" s="62"/>
      <c r="EU264" s="62"/>
      <c r="EV264" s="62"/>
      <c r="EW264" s="62"/>
      <c r="EX264" s="62"/>
      <c r="EY264" s="62"/>
      <c r="EZ264" s="62"/>
      <c r="FA264" s="62"/>
      <c r="FB264" s="62"/>
      <c r="FC264" s="62"/>
      <c r="FD264" s="62"/>
      <c r="FE264" s="62"/>
      <c r="FF264" s="62"/>
    </row>
    <row r="265" spans="1:162" s="56" customFormat="1" hidden="1">
      <c r="A265" s="54"/>
      <c r="B265" s="55"/>
      <c r="C265" s="491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173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883"/>
      <c r="AH265" s="174"/>
      <c r="AI265" s="492"/>
      <c r="AJ265" s="905"/>
      <c r="AK265" s="919"/>
      <c r="AL265" s="174"/>
      <c r="AM265" s="174"/>
      <c r="AN265" s="174"/>
      <c r="AO265" s="928"/>
      <c r="AP265" s="174"/>
      <c r="AQ265" s="174"/>
      <c r="AR265" s="174"/>
      <c r="AS265" s="174"/>
      <c r="AT265" s="174"/>
      <c r="AU265" s="174"/>
      <c r="AV265" s="174"/>
      <c r="AW265" s="174"/>
      <c r="AX265" s="174"/>
      <c r="AY265" s="174"/>
      <c r="AZ265" s="174"/>
      <c r="BA265" s="174"/>
      <c r="BB265" s="174"/>
      <c r="BC265" s="174"/>
      <c r="BD265" s="174"/>
      <c r="BE265" s="174"/>
      <c r="BF265" s="174"/>
      <c r="BG265" s="174"/>
      <c r="BH265" s="174"/>
      <c r="BI265" s="174"/>
      <c r="BJ265" s="174"/>
      <c r="BK265" s="174"/>
      <c r="BL265" s="174"/>
      <c r="BM265" s="174"/>
      <c r="BN265" s="174"/>
      <c r="BO265" s="174"/>
      <c r="BP265" s="174"/>
      <c r="BQ265" s="174"/>
      <c r="BR265" s="174"/>
      <c r="BS265" s="174"/>
      <c r="BT265" s="174"/>
      <c r="BU265" s="174"/>
      <c r="BV265" s="174"/>
      <c r="BW265" s="174"/>
      <c r="BX265" s="174"/>
      <c r="BY265" s="174"/>
      <c r="BZ265" s="174"/>
      <c r="CA265" s="174"/>
      <c r="CB265" s="174"/>
      <c r="CC265" s="174"/>
      <c r="CD265" s="174"/>
      <c r="CE265" s="174"/>
      <c r="CF265" s="174"/>
      <c r="CG265" s="174"/>
      <c r="CH265" s="174"/>
      <c r="CI265" s="174"/>
      <c r="CJ265" s="174"/>
      <c r="CK265" s="174"/>
      <c r="CL265" s="174"/>
      <c r="CM265" s="174"/>
      <c r="CN265" s="174"/>
      <c r="CO265" s="174"/>
      <c r="CP265" s="174"/>
      <c r="CQ265" s="174"/>
      <c r="CR265" s="174"/>
      <c r="CS265" s="174"/>
      <c r="CT265" s="174"/>
      <c r="CU265" s="174"/>
      <c r="CV265" s="174"/>
      <c r="CW265" s="174"/>
      <c r="CX265" s="174"/>
      <c r="CY265" s="174"/>
      <c r="CZ265" s="174"/>
      <c r="DA265" s="174"/>
      <c r="DB265" s="174"/>
      <c r="DC265" s="174"/>
      <c r="DD265" s="174"/>
      <c r="DE265" s="174"/>
      <c r="DF265" s="174"/>
      <c r="DG265" s="174"/>
      <c r="DH265" s="174"/>
      <c r="DI265" s="174"/>
      <c r="DJ265" s="174"/>
      <c r="DK265" s="174"/>
      <c r="DL265" s="62"/>
      <c r="DM265" s="62"/>
      <c r="DN265" s="62"/>
      <c r="DO265" s="62"/>
      <c r="DP265" s="62"/>
      <c r="DQ265" s="62"/>
      <c r="DR265" s="62"/>
      <c r="DS265" s="62"/>
      <c r="DT265" s="62"/>
      <c r="DU265" s="62"/>
      <c r="DV265" s="62"/>
      <c r="DW265" s="62"/>
      <c r="DX265" s="62"/>
      <c r="DY265" s="62"/>
      <c r="DZ265" s="62"/>
      <c r="EA265" s="62"/>
      <c r="EB265" s="62"/>
      <c r="EC265" s="62"/>
      <c r="ED265" s="62"/>
      <c r="EE265" s="454"/>
      <c r="EF265" s="62"/>
      <c r="EG265" s="62"/>
      <c r="EH265" s="62"/>
      <c r="EI265" s="62"/>
      <c r="EJ265" s="62"/>
      <c r="EK265" s="62"/>
      <c r="EL265" s="62"/>
      <c r="EM265" s="62"/>
      <c r="EN265" s="62"/>
      <c r="EO265" s="62"/>
      <c r="EP265" s="62"/>
      <c r="EQ265" s="62"/>
      <c r="ER265" s="62"/>
      <c r="ES265" s="62"/>
      <c r="ET265" s="62"/>
      <c r="EU265" s="62"/>
      <c r="EV265" s="62"/>
      <c r="EW265" s="62"/>
      <c r="EX265" s="62"/>
      <c r="EY265" s="62"/>
      <c r="EZ265" s="62"/>
      <c r="FA265" s="62"/>
      <c r="FB265" s="62"/>
      <c r="FC265" s="62"/>
      <c r="FD265" s="62"/>
      <c r="FE265" s="62"/>
      <c r="FF265" s="62"/>
    </row>
    <row r="266" spans="1:162" s="56" customFormat="1" hidden="1">
      <c r="A266" s="54"/>
      <c r="B266" s="55"/>
      <c r="C266" s="491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173"/>
      <c r="S266" s="174"/>
      <c r="T266" s="174"/>
      <c r="U266" s="174"/>
      <c r="V266" s="174"/>
      <c r="W266" s="174"/>
      <c r="X266" s="174"/>
      <c r="Y266" s="174"/>
      <c r="Z266" s="174"/>
      <c r="AA266" s="174"/>
      <c r="AB266" s="174"/>
      <c r="AC266" s="174"/>
      <c r="AD266" s="174"/>
      <c r="AE266" s="174"/>
      <c r="AF266" s="174"/>
      <c r="AG266" s="883"/>
      <c r="AH266" s="174"/>
      <c r="AI266" s="492"/>
      <c r="AJ266" s="905"/>
      <c r="AK266" s="919"/>
      <c r="AL266" s="174"/>
      <c r="AM266" s="174"/>
      <c r="AN266" s="174"/>
      <c r="AO266" s="928"/>
      <c r="AP266" s="174"/>
      <c r="AQ266" s="174"/>
      <c r="AR266" s="174"/>
      <c r="AS266" s="174"/>
      <c r="AT266" s="174"/>
      <c r="AU266" s="174"/>
      <c r="AV266" s="174"/>
      <c r="AW266" s="174"/>
      <c r="AX266" s="174"/>
      <c r="AY266" s="174"/>
      <c r="AZ266" s="174"/>
      <c r="BA266" s="174"/>
      <c r="BB266" s="174"/>
      <c r="BC266" s="174"/>
      <c r="BD266" s="174"/>
      <c r="BE266" s="174"/>
      <c r="BF266" s="174"/>
      <c r="BG266" s="174"/>
      <c r="BH266" s="174"/>
      <c r="BI266" s="174"/>
      <c r="BJ266" s="174"/>
      <c r="BK266" s="174"/>
      <c r="BL266" s="174"/>
      <c r="BM266" s="174"/>
      <c r="BN266" s="174"/>
      <c r="BO266" s="174"/>
      <c r="BP266" s="174"/>
      <c r="BQ266" s="174"/>
      <c r="BR266" s="174"/>
      <c r="BS266" s="174"/>
      <c r="BT266" s="174"/>
      <c r="BU266" s="174"/>
      <c r="BV266" s="174"/>
      <c r="BW266" s="174"/>
      <c r="BX266" s="174"/>
      <c r="BY266" s="174"/>
      <c r="BZ266" s="174"/>
      <c r="CA266" s="174"/>
      <c r="CB266" s="174"/>
      <c r="CC266" s="174"/>
      <c r="CD266" s="174"/>
      <c r="CE266" s="174"/>
      <c r="CF266" s="174"/>
      <c r="CG266" s="174"/>
      <c r="CH266" s="174"/>
      <c r="CI266" s="174"/>
      <c r="CJ266" s="174"/>
      <c r="CK266" s="174"/>
      <c r="CL266" s="174"/>
      <c r="CM266" s="174"/>
      <c r="CN266" s="174"/>
      <c r="CO266" s="174"/>
      <c r="CP266" s="174"/>
      <c r="CQ266" s="174"/>
      <c r="CR266" s="174"/>
      <c r="CS266" s="174"/>
      <c r="CT266" s="174"/>
      <c r="CU266" s="174"/>
      <c r="CV266" s="174"/>
      <c r="CW266" s="174"/>
      <c r="CX266" s="174"/>
      <c r="CY266" s="174"/>
      <c r="CZ266" s="174"/>
      <c r="DA266" s="174"/>
      <c r="DB266" s="174"/>
      <c r="DC266" s="174"/>
      <c r="DD266" s="174"/>
      <c r="DE266" s="174"/>
      <c r="DF266" s="174"/>
      <c r="DG266" s="174"/>
      <c r="DH266" s="174"/>
      <c r="DI266" s="174"/>
      <c r="DJ266" s="174"/>
      <c r="DK266" s="174"/>
      <c r="DL266" s="62"/>
      <c r="DM266" s="62"/>
      <c r="DN266" s="62"/>
      <c r="DO266" s="62"/>
      <c r="DP266" s="62"/>
      <c r="DQ266" s="62"/>
      <c r="DR266" s="62"/>
      <c r="DS266" s="62"/>
      <c r="DT266" s="62"/>
      <c r="DU266" s="62"/>
      <c r="DV266" s="62"/>
      <c r="DW266" s="62"/>
      <c r="DX266" s="62"/>
      <c r="DY266" s="62"/>
      <c r="DZ266" s="62"/>
      <c r="EA266" s="62"/>
      <c r="EB266" s="62"/>
      <c r="EC266" s="62"/>
      <c r="ED266" s="62"/>
      <c r="EE266" s="454"/>
      <c r="EF266" s="62"/>
      <c r="EG266" s="62"/>
      <c r="EH266" s="62"/>
      <c r="EI266" s="62"/>
      <c r="EJ266" s="62"/>
      <c r="EK266" s="62"/>
      <c r="EL266" s="62"/>
      <c r="EM266" s="62"/>
      <c r="EN266" s="62"/>
      <c r="EO266" s="62"/>
      <c r="EP266" s="62"/>
      <c r="EQ266" s="62"/>
      <c r="ER266" s="62"/>
      <c r="ES266" s="62"/>
      <c r="ET266" s="62"/>
      <c r="EU266" s="62"/>
      <c r="EV266" s="62"/>
      <c r="EW266" s="62"/>
      <c r="EX266" s="62"/>
      <c r="EY266" s="62"/>
      <c r="EZ266" s="62"/>
      <c r="FA266" s="62"/>
      <c r="FB266" s="62"/>
      <c r="FC266" s="62"/>
      <c r="FD266" s="62"/>
      <c r="FE266" s="62"/>
      <c r="FF266" s="62"/>
    </row>
    <row r="267" spans="1:162" hidden="1">
      <c r="A267" s="487">
        <f>MATCH(C267,$C$5:$C$361,0)</f>
        <v>263</v>
      </c>
      <c r="C267" s="14" t="s">
        <v>3032</v>
      </c>
      <c r="D267" s="14">
        <f t="shared" ref="D267:Q267" si="132">SUM(D256:D266)</f>
        <v>0</v>
      </c>
      <c r="E267" s="14">
        <f t="shared" si="132"/>
        <v>0</v>
      </c>
      <c r="F267" s="14">
        <f t="shared" si="132"/>
        <v>0</v>
      </c>
      <c r="G267" s="14">
        <f t="shared" si="132"/>
        <v>0</v>
      </c>
      <c r="H267" s="14">
        <f t="shared" si="132"/>
        <v>0</v>
      </c>
      <c r="I267" s="14">
        <f t="shared" si="132"/>
        <v>0</v>
      </c>
      <c r="J267" s="14">
        <f t="shared" si="132"/>
        <v>0</v>
      </c>
      <c r="K267" s="14">
        <f t="shared" si="132"/>
        <v>0</v>
      </c>
      <c r="L267" s="14">
        <f t="shared" si="132"/>
        <v>0</v>
      </c>
      <c r="M267" s="14">
        <f t="shared" si="132"/>
        <v>0</v>
      </c>
      <c r="N267" s="14">
        <f t="shared" si="132"/>
        <v>0</v>
      </c>
      <c r="O267" s="14">
        <f t="shared" si="132"/>
        <v>0</v>
      </c>
      <c r="P267" s="14">
        <f t="shared" si="132"/>
        <v>0</v>
      </c>
      <c r="Q267" s="14">
        <f t="shared" si="132"/>
        <v>0</v>
      </c>
      <c r="R267" s="14"/>
      <c r="S267" s="175">
        <f t="shared" ref="S267:AY267" si="133">SUM(S256:S266)</f>
        <v>0</v>
      </c>
      <c r="T267" s="175">
        <f t="shared" si="133"/>
        <v>0</v>
      </c>
      <c r="U267" s="175">
        <f t="shared" si="133"/>
        <v>0</v>
      </c>
      <c r="V267" s="175">
        <f t="shared" si="133"/>
        <v>0</v>
      </c>
      <c r="W267" s="175">
        <f t="shared" si="133"/>
        <v>0</v>
      </c>
      <c r="X267" s="175">
        <f t="shared" si="133"/>
        <v>0</v>
      </c>
      <c r="Y267" s="175">
        <f t="shared" si="133"/>
        <v>0</v>
      </c>
      <c r="Z267" s="175">
        <f t="shared" si="133"/>
        <v>0</v>
      </c>
      <c r="AA267" s="175">
        <f t="shared" si="133"/>
        <v>0</v>
      </c>
      <c r="AB267" s="175">
        <f t="shared" si="133"/>
        <v>0</v>
      </c>
      <c r="AC267" s="175">
        <f t="shared" si="133"/>
        <v>0</v>
      </c>
      <c r="AD267" s="175">
        <f t="shared" si="133"/>
        <v>0</v>
      </c>
      <c r="AE267" s="175">
        <f t="shared" si="133"/>
        <v>0</v>
      </c>
      <c r="AF267" s="175">
        <f t="shared" si="133"/>
        <v>0</v>
      </c>
      <c r="AG267" s="884">
        <f>SUM(AG256:AG266)</f>
        <v>0</v>
      </c>
      <c r="AH267" s="175">
        <f t="shared" si="133"/>
        <v>0</v>
      </c>
      <c r="AI267" s="178">
        <f t="shared" si="133"/>
        <v>0</v>
      </c>
      <c r="AJ267" s="906">
        <f t="shared" si="133"/>
        <v>0</v>
      </c>
      <c r="AK267" s="920">
        <f t="shared" si="133"/>
        <v>0</v>
      </c>
      <c r="AL267" s="175">
        <f t="shared" si="133"/>
        <v>0</v>
      </c>
      <c r="AM267" s="175">
        <f t="shared" si="133"/>
        <v>0</v>
      </c>
      <c r="AN267" s="175">
        <f t="shared" si="133"/>
        <v>0</v>
      </c>
      <c r="AO267" s="929">
        <f t="shared" si="133"/>
        <v>0</v>
      </c>
      <c r="AP267" s="175">
        <f t="shared" si="133"/>
        <v>0</v>
      </c>
      <c r="AQ267" s="175">
        <f t="shared" si="133"/>
        <v>0</v>
      </c>
      <c r="AR267" s="175">
        <f t="shared" si="133"/>
        <v>0</v>
      </c>
      <c r="AS267" s="175">
        <f t="shared" si="133"/>
        <v>0</v>
      </c>
      <c r="AT267" s="175">
        <f t="shared" si="133"/>
        <v>0</v>
      </c>
      <c r="AU267" s="175">
        <f t="shared" si="133"/>
        <v>0</v>
      </c>
      <c r="AV267" s="175">
        <f t="shared" si="133"/>
        <v>0</v>
      </c>
      <c r="AW267" s="175">
        <f t="shared" si="133"/>
        <v>0</v>
      </c>
      <c r="AX267" s="175">
        <f t="shared" si="133"/>
        <v>0</v>
      </c>
      <c r="AY267" s="175">
        <f t="shared" si="133"/>
        <v>0</v>
      </c>
      <c r="AZ267" s="175">
        <f t="shared" ref="AZ267:CH267" si="134">SUM(AZ256:AZ266)</f>
        <v>0</v>
      </c>
      <c r="BA267" s="175">
        <f t="shared" si="134"/>
        <v>0</v>
      </c>
      <c r="BB267" s="175">
        <f t="shared" si="134"/>
        <v>0</v>
      </c>
      <c r="BC267" s="175">
        <f t="shared" si="134"/>
        <v>0</v>
      </c>
      <c r="BD267" s="175">
        <f t="shared" si="134"/>
        <v>0</v>
      </c>
      <c r="BE267" s="175">
        <f t="shared" si="134"/>
        <v>0</v>
      </c>
      <c r="BF267" s="175">
        <f t="shared" si="134"/>
        <v>0</v>
      </c>
      <c r="BG267" s="175">
        <f t="shared" si="134"/>
        <v>0</v>
      </c>
      <c r="BH267" s="175">
        <f t="shared" si="134"/>
        <v>0</v>
      </c>
      <c r="BI267" s="175">
        <f t="shared" si="134"/>
        <v>0</v>
      </c>
      <c r="BJ267" s="175">
        <f>SUM(BJ256:BJ266)</f>
        <v>0</v>
      </c>
      <c r="BK267" s="175">
        <f t="shared" si="134"/>
        <v>0</v>
      </c>
      <c r="BL267" s="175">
        <f t="shared" si="134"/>
        <v>0</v>
      </c>
      <c r="BM267" s="175">
        <f t="shared" si="134"/>
        <v>0</v>
      </c>
      <c r="BN267" s="175">
        <f t="shared" si="134"/>
        <v>0</v>
      </c>
      <c r="BO267" s="175">
        <f t="shared" si="134"/>
        <v>0</v>
      </c>
      <c r="BP267" s="175">
        <f t="shared" si="134"/>
        <v>0</v>
      </c>
      <c r="BQ267" s="175">
        <f t="shared" si="134"/>
        <v>0</v>
      </c>
      <c r="BR267" s="175">
        <f t="shared" si="134"/>
        <v>0</v>
      </c>
      <c r="BS267" s="175">
        <f t="shared" si="134"/>
        <v>0</v>
      </c>
      <c r="BT267" s="175">
        <f t="shared" si="134"/>
        <v>0</v>
      </c>
      <c r="BU267" s="175">
        <f t="shared" si="134"/>
        <v>0</v>
      </c>
      <c r="BV267" s="175">
        <f t="shared" si="134"/>
        <v>0</v>
      </c>
      <c r="BW267" s="175">
        <f t="shared" si="134"/>
        <v>0</v>
      </c>
      <c r="BX267" s="175">
        <f t="shared" si="134"/>
        <v>0</v>
      </c>
      <c r="BY267" s="175">
        <f t="shared" si="134"/>
        <v>0</v>
      </c>
      <c r="BZ267" s="175">
        <f t="shared" si="134"/>
        <v>0</v>
      </c>
      <c r="CA267" s="175">
        <f t="shared" si="134"/>
        <v>0</v>
      </c>
      <c r="CB267" s="175">
        <f t="shared" si="134"/>
        <v>0</v>
      </c>
      <c r="CC267" s="175">
        <f t="shared" si="134"/>
        <v>0</v>
      </c>
      <c r="CD267" s="175">
        <f t="shared" si="134"/>
        <v>0</v>
      </c>
      <c r="CE267" s="175">
        <f t="shared" si="134"/>
        <v>0</v>
      </c>
      <c r="CF267" s="175">
        <f>SUM(CF256:CF266)</f>
        <v>0</v>
      </c>
      <c r="CG267" s="175">
        <f>SUM(CG256:CG266)</f>
        <v>0</v>
      </c>
      <c r="CH267" s="175">
        <f t="shared" si="134"/>
        <v>0</v>
      </c>
      <c r="CI267" s="175">
        <f t="shared" ref="CI267:DN267" si="135">SUM(CI256:CI266)</f>
        <v>0</v>
      </c>
      <c r="CJ267" s="175">
        <f t="shared" si="135"/>
        <v>0</v>
      </c>
      <c r="CK267" s="175">
        <f t="shared" si="135"/>
        <v>0</v>
      </c>
      <c r="CL267" s="175">
        <f t="shared" si="135"/>
        <v>0</v>
      </c>
      <c r="CM267" s="175">
        <f t="shared" si="135"/>
        <v>0</v>
      </c>
      <c r="CN267" s="175">
        <f t="shared" si="135"/>
        <v>0</v>
      </c>
      <c r="CO267" s="175">
        <f t="shared" si="135"/>
        <v>0</v>
      </c>
      <c r="CP267" s="175">
        <f t="shared" si="135"/>
        <v>0</v>
      </c>
      <c r="CQ267" s="175">
        <f t="shared" si="135"/>
        <v>0</v>
      </c>
      <c r="CR267" s="175">
        <f t="shared" si="135"/>
        <v>0</v>
      </c>
      <c r="CS267" s="175">
        <f t="shared" si="135"/>
        <v>0</v>
      </c>
      <c r="CT267" s="175">
        <f t="shared" si="135"/>
        <v>0</v>
      </c>
      <c r="CU267" s="175">
        <f t="shared" si="135"/>
        <v>0</v>
      </c>
      <c r="CV267" s="175">
        <f t="shared" si="135"/>
        <v>0</v>
      </c>
      <c r="CW267" s="175">
        <f t="shared" si="135"/>
        <v>0</v>
      </c>
      <c r="CX267" s="175">
        <f t="shared" si="135"/>
        <v>0</v>
      </c>
      <c r="CY267" s="175">
        <f t="shared" si="135"/>
        <v>0</v>
      </c>
      <c r="CZ267" s="175">
        <f t="shared" si="135"/>
        <v>0</v>
      </c>
      <c r="DA267" s="175">
        <f t="shared" si="135"/>
        <v>0</v>
      </c>
      <c r="DB267" s="175">
        <f t="shared" si="135"/>
        <v>0</v>
      </c>
      <c r="DC267" s="175">
        <f t="shared" si="135"/>
        <v>0</v>
      </c>
      <c r="DD267" s="175">
        <f t="shared" si="135"/>
        <v>0</v>
      </c>
      <c r="DE267" s="175">
        <f t="shared" si="135"/>
        <v>0</v>
      </c>
      <c r="DF267" s="175">
        <f t="shared" si="135"/>
        <v>0</v>
      </c>
      <c r="DG267" s="175">
        <f t="shared" si="135"/>
        <v>0</v>
      </c>
      <c r="DH267" s="175">
        <f t="shared" si="135"/>
        <v>0</v>
      </c>
      <c r="DI267" s="175">
        <f t="shared" si="135"/>
        <v>0</v>
      </c>
      <c r="DJ267" s="175">
        <f t="shared" si="135"/>
        <v>0</v>
      </c>
      <c r="DK267" s="175">
        <f t="shared" si="135"/>
        <v>0</v>
      </c>
      <c r="DL267" s="14">
        <f t="shared" si="135"/>
        <v>0</v>
      </c>
      <c r="DM267" s="14">
        <f t="shared" si="135"/>
        <v>0</v>
      </c>
      <c r="DN267" s="14">
        <f t="shared" si="135"/>
        <v>0</v>
      </c>
      <c r="DO267" s="14">
        <f t="shared" ref="DO267:FE267" si="136">SUM(DO256:DO266)</f>
        <v>0</v>
      </c>
      <c r="DP267" s="14">
        <f t="shared" si="136"/>
        <v>0</v>
      </c>
      <c r="DQ267" s="14">
        <f t="shared" si="136"/>
        <v>0</v>
      </c>
      <c r="DR267" s="14">
        <f t="shared" si="136"/>
        <v>0</v>
      </c>
      <c r="DS267" s="14">
        <f t="shared" si="136"/>
        <v>0</v>
      </c>
      <c r="DT267" s="14">
        <f t="shared" si="136"/>
        <v>0</v>
      </c>
      <c r="DU267" s="14">
        <f t="shared" si="136"/>
        <v>0</v>
      </c>
      <c r="DV267" s="14">
        <f>SUM(DV256:DV266)</f>
        <v>0</v>
      </c>
      <c r="DW267" s="14">
        <f>SUM(DW256:DW266)</f>
        <v>0</v>
      </c>
      <c r="DX267" s="14">
        <f t="shared" si="136"/>
        <v>0</v>
      </c>
      <c r="DY267" s="14">
        <f t="shared" si="136"/>
        <v>0</v>
      </c>
      <c r="DZ267" s="14">
        <f t="shared" si="136"/>
        <v>0</v>
      </c>
      <c r="EA267" s="14">
        <f>SUM(EA256:EA266)</f>
        <v>0</v>
      </c>
      <c r="EB267" s="14">
        <f t="shared" si="136"/>
        <v>0</v>
      </c>
      <c r="EC267" s="14">
        <f t="shared" si="136"/>
        <v>0</v>
      </c>
      <c r="ED267" s="14">
        <f t="shared" si="136"/>
        <v>0</v>
      </c>
      <c r="EE267" s="508"/>
      <c r="EF267" s="14">
        <f t="shared" si="136"/>
        <v>0</v>
      </c>
      <c r="EG267" s="14">
        <f>SUM(EG256:EG266)</f>
        <v>0</v>
      </c>
      <c r="EH267" s="14">
        <f>SUM(EH256:EH266)</f>
        <v>0</v>
      </c>
      <c r="EI267" s="14">
        <f>SUM(EI256:EI266)</f>
        <v>0</v>
      </c>
      <c r="EJ267" s="14">
        <f t="shared" si="136"/>
        <v>0</v>
      </c>
      <c r="EK267" s="14">
        <f t="shared" si="136"/>
        <v>0</v>
      </c>
      <c r="EL267" s="14">
        <f t="shared" si="136"/>
        <v>0</v>
      </c>
      <c r="EM267" s="14">
        <f t="shared" si="136"/>
        <v>0</v>
      </c>
      <c r="EN267" s="14">
        <f>SUM(EN256:EN266)</f>
        <v>0</v>
      </c>
      <c r="EO267" s="14">
        <f t="shared" si="136"/>
        <v>0</v>
      </c>
      <c r="EP267" s="14">
        <f t="shared" si="136"/>
        <v>0</v>
      </c>
      <c r="EQ267" s="14">
        <f>SUM(EQ256:EQ266)</f>
        <v>0</v>
      </c>
      <c r="ER267" s="14">
        <f>SUM(ER256:ER266)</f>
        <v>0</v>
      </c>
      <c r="ES267" s="14">
        <f t="shared" si="136"/>
        <v>0</v>
      </c>
      <c r="ET267" s="14">
        <f t="shared" si="136"/>
        <v>0</v>
      </c>
      <c r="EU267" s="14">
        <f t="shared" si="136"/>
        <v>0</v>
      </c>
      <c r="EV267" s="14">
        <f t="shared" si="136"/>
        <v>0</v>
      </c>
      <c r="EW267" s="14">
        <f t="shared" si="136"/>
        <v>0</v>
      </c>
      <c r="EX267" s="14">
        <f>SUM(EX256:EX266)</f>
        <v>0</v>
      </c>
      <c r="EY267" s="14">
        <f t="shared" si="136"/>
        <v>0</v>
      </c>
      <c r="EZ267" s="14">
        <f t="shared" si="136"/>
        <v>0</v>
      </c>
      <c r="FA267" s="14">
        <f t="shared" si="136"/>
        <v>0</v>
      </c>
      <c r="FB267" s="14">
        <f t="shared" si="136"/>
        <v>0</v>
      </c>
      <c r="FC267" s="14">
        <f>SUM(FC256:FC266)</f>
        <v>0</v>
      </c>
      <c r="FD267" s="14">
        <f>SUM(FD256:FD266)</f>
        <v>0</v>
      </c>
      <c r="FE267" s="14">
        <f t="shared" si="136"/>
        <v>0</v>
      </c>
      <c r="FF267" s="14"/>
    </row>
    <row r="268" spans="1:162" hidden="1">
      <c r="A268" s="54"/>
      <c r="B268" s="55" t="s">
        <v>3069</v>
      </c>
      <c r="C268" s="11" t="s">
        <v>3450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885"/>
      <c r="AH268" s="176"/>
      <c r="AI268" s="897"/>
      <c r="AJ268" s="907"/>
      <c r="AK268" s="921"/>
      <c r="AL268" s="176"/>
      <c r="AM268" s="176"/>
      <c r="AN268" s="176"/>
      <c r="AO268" s="176"/>
      <c r="AP268" s="176"/>
      <c r="AQ268" s="176"/>
      <c r="AR268" s="176"/>
      <c r="AS268" s="176"/>
      <c r="AT268" s="176"/>
      <c r="AU268" s="176"/>
      <c r="AV268" s="176"/>
      <c r="AW268" s="176"/>
      <c r="AX268" s="176"/>
      <c r="AY268" s="176"/>
      <c r="AZ268" s="176"/>
      <c r="BA268" s="176"/>
      <c r="BB268" s="176"/>
      <c r="BC268" s="176"/>
      <c r="BD268" s="176"/>
      <c r="BE268" s="176"/>
      <c r="BF268" s="176"/>
      <c r="BG268" s="176"/>
      <c r="BH268" s="176"/>
      <c r="BI268" s="176"/>
      <c r="BJ268" s="176"/>
      <c r="BK268" s="176"/>
      <c r="BL268" s="176"/>
      <c r="BM268" s="176"/>
      <c r="BN268" s="176"/>
      <c r="BO268" s="176"/>
      <c r="BP268" s="176"/>
      <c r="BQ268" s="176"/>
      <c r="BR268" s="176"/>
      <c r="BS268" s="176"/>
      <c r="BT268" s="176"/>
      <c r="BU268" s="176"/>
      <c r="BV268" s="176"/>
      <c r="BW268" s="176"/>
      <c r="BX268" s="176"/>
      <c r="BY268" s="176"/>
      <c r="BZ268" s="176"/>
      <c r="CA268" s="176"/>
      <c r="CB268" s="176"/>
      <c r="CC268" s="176"/>
      <c r="CD268" s="176"/>
      <c r="CE268" s="176"/>
      <c r="CF268" s="176"/>
      <c r="CG268" s="176"/>
      <c r="CH268" s="176"/>
      <c r="CI268" s="176"/>
      <c r="CJ268" s="176"/>
      <c r="CK268" s="176"/>
      <c r="CL268" s="176"/>
      <c r="CM268" s="176"/>
      <c r="CN268" s="176"/>
      <c r="CO268" s="176"/>
      <c r="CP268" s="176"/>
      <c r="CQ268" s="176"/>
      <c r="CR268" s="176"/>
      <c r="CS268" s="176"/>
      <c r="CT268" s="176"/>
      <c r="CU268" s="176"/>
      <c r="CV268" s="176"/>
      <c r="CW268" s="176"/>
      <c r="CX268" s="176"/>
      <c r="CY268" s="176"/>
      <c r="CZ268" s="176"/>
      <c r="DA268" s="176"/>
      <c r="DB268" s="176"/>
      <c r="DC268" s="176"/>
      <c r="DD268" s="176"/>
      <c r="DE268" s="176"/>
      <c r="DF268" s="176"/>
      <c r="DG268" s="176"/>
      <c r="DH268" s="176"/>
      <c r="DI268" s="176"/>
      <c r="DJ268" s="176"/>
      <c r="DK268" s="176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503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3"/>
    </row>
    <row r="269" spans="1:162" s="56" customFormat="1" hidden="1">
      <c r="A269" s="54"/>
      <c r="B269" s="55"/>
      <c r="C269" s="491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173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883"/>
      <c r="AH269" s="174"/>
      <c r="AI269" s="492"/>
      <c r="AJ269" s="905"/>
      <c r="AK269" s="919"/>
      <c r="AL269" s="174"/>
      <c r="AM269" s="174"/>
      <c r="AN269" s="174"/>
      <c r="AO269" s="928"/>
      <c r="AP269" s="174"/>
      <c r="AQ269" s="174"/>
      <c r="AR269" s="174"/>
      <c r="AS269" s="174"/>
      <c r="AT269" s="174"/>
      <c r="AU269" s="174"/>
      <c r="AV269" s="174"/>
      <c r="AW269" s="174"/>
      <c r="AX269" s="174"/>
      <c r="AY269" s="174"/>
      <c r="AZ269" s="174"/>
      <c r="BA269" s="174"/>
      <c r="BB269" s="174"/>
      <c r="BC269" s="174"/>
      <c r="BD269" s="174"/>
      <c r="BE269" s="174"/>
      <c r="BF269" s="174"/>
      <c r="BG269" s="174"/>
      <c r="BH269" s="174"/>
      <c r="BI269" s="174"/>
      <c r="BJ269" s="174"/>
      <c r="BK269" s="174"/>
      <c r="BL269" s="174"/>
      <c r="BM269" s="174"/>
      <c r="BN269" s="174"/>
      <c r="BO269" s="174"/>
      <c r="BP269" s="174"/>
      <c r="BQ269" s="174"/>
      <c r="BR269" s="174"/>
      <c r="BS269" s="174"/>
      <c r="BT269" s="174"/>
      <c r="BU269" s="174"/>
      <c r="BV269" s="174"/>
      <c r="BW269" s="174"/>
      <c r="BX269" s="174"/>
      <c r="BY269" s="174"/>
      <c r="BZ269" s="174"/>
      <c r="CA269" s="174"/>
      <c r="CB269" s="174"/>
      <c r="CC269" s="174"/>
      <c r="CD269" s="174"/>
      <c r="CE269" s="174"/>
      <c r="CF269" s="174"/>
      <c r="CG269" s="174"/>
      <c r="CH269" s="174"/>
      <c r="CI269" s="174"/>
      <c r="CJ269" s="174"/>
      <c r="CK269" s="174"/>
      <c r="CL269" s="174"/>
      <c r="CM269" s="174"/>
      <c r="CN269" s="174"/>
      <c r="CO269" s="174"/>
      <c r="CP269" s="174"/>
      <c r="CQ269" s="174"/>
      <c r="CR269" s="174"/>
      <c r="CS269" s="174"/>
      <c r="CT269" s="174"/>
      <c r="CU269" s="174"/>
      <c r="CV269" s="174"/>
      <c r="CW269" s="174"/>
      <c r="CX269" s="174"/>
      <c r="CY269" s="174"/>
      <c r="CZ269" s="174"/>
      <c r="DA269" s="174"/>
      <c r="DB269" s="174"/>
      <c r="DC269" s="174"/>
      <c r="DD269" s="174"/>
      <c r="DE269" s="174"/>
      <c r="DF269" s="174"/>
      <c r="DG269" s="174"/>
      <c r="DH269" s="174"/>
      <c r="DI269" s="174"/>
      <c r="DJ269" s="174"/>
      <c r="DK269" s="174"/>
      <c r="DL269" s="62"/>
      <c r="DM269" s="62"/>
      <c r="DN269" s="62"/>
      <c r="DO269" s="62"/>
      <c r="DP269" s="62"/>
      <c r="DQ269" s="62"/>
      <c r="DR269" s="62"/>
      <c r="DS269" s="62"/>
      <c r="DT269" s="62"/>
      <c r="DU269" s="62"/>
      <c r="DV269" s="62"/>
      <c r="DW269" s="62"/>
      <c r="DX269" s="62"/>
      <c r="DY269" s="62"/>
      <c r="DZ269" s="62"/>
      <c r="EA269" s="62"/>
      <c r="EB269" s="62"/>
      <c r="EC269" s="62"/>
      <c r="ED269" s="62"/>
      <c r="EE269" s="454"/>
      <c r="EF269" s="62"/>
      <c r="EG269" s="62"/>
      <c r="EH269" s="62"/>
      <c r="EI269" s="62"/>
      <c r="EJ269" s="62"/>
      <c r="EK269" s="62"/>
      <c r="EL269" s="62"/>
      <c r="EM269" s="62"/>
      <c r="EN269" s="62"/>
      <c r="EO269" s="62"/>
      <c r="EP269" s="62"/>
      <c r="EQ269" s="62"/>
      <c r="ER269" s="62"/>
      <c r="ES269" s="62"/>
      <c r="ET269" s="62"/>
      <c r="EU269" s="62"/>
      <c r="EV269" s="62"/>
      <c r="EW269" s="62"/>
      <c r="EX269" s="62"/>
      <c r="EY269" s="62"/>
      <c r="EZ269" s="62"/>
      <c r="FA269" s="62"/>
      <c r="FB269" s="62"/>
      <c r="FC269" s="62"/>
      <c r="FD269" s="62"/>
      <c r="FE269" s="62"/>
      <c r="FF269" s="62"/>
    </row>
    <row r="270" spans="1:162" s="56" customFormat="1" hidden="1">
      <c r="A270" s="54"/>
      <c r="B270" s="55"/>
      <c r="C270" s="491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173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883"/>
      <c r="AH270" s="174"/>
      <c r="AI270" s="492"/>
      <c r="AJ270" s="905"/>
      <c r="AK270" s="919"/>
      <c r="AL270" s="174"/>
      <c r="AM270" s="174"/>
      <c r="AN270" s="174"/>
      <c r="AO270" s="928"/>
      <c r="AP270" s="174"/>
      <c r="AQ270" s="174"/>
      <c r="AR270" s="174"/>
      <c r="AS270" s="174"/>
      <c r="AT270" s="174"/>
      <c r="AU270" s="174"/>
      <c r="AV270" s="174"/>
      <c r="AW270" s="174"/>
      <c r="AX270" s="174"/>
      <c r="AY270" s="174"/>
      <c r="AZ270" s="174"/>
      <c r="BA270" s="174"/>
      <c r="BB270" s="174"/>
      <c r="BC270" s="174"/>
      <c r="BD270" s="174"/>
      <c r="BE270" s="174"/>
      <c r="BF270" s="174"/>
      <c r="BG270" s="174"/>
      <c r="BH270" s="174"/>
      <c r="BI270" s="174"/>
      <c r="BJ270" s="174"/>
      <c r="BK270" s="174"/>
      <c r="BL270" s="174"/>
      <c r="BM270" s="174"/>
      <c r="BN270" s="174"/>
      <c r="BO270" s="174"/>
      <c r="BP270" s="174"/>
      <c r="BQ270" s="174"/>
      <c r="BR270" s="174"/>
      <c r="BS270" s="174"/>
      <c r="BT270" s="174"/>
      <c r="BU270" s="174"/>
      <c r="BV270" s="174"/>
      <c r="BW270" s="174"/>
      <c r="BX270" s="174"/>
      <c r="BY270" s="174"/>
      <c r="BZ270" s="174"/>
      <c r="CA270" s="174"/>
      <c r="CB270" s="174"/>
      <c r="CC270" s="174"/>
      <c r="CD270" s="174"/>
      <c r="CE270" s="174"/>
      <c r="CF270" s="174"/>
      <c r="CG270" s="174"/>
      <c r="CH270" s="174"/>
      <c r="CI270" s="174"/>
      <c r="CJ270" s="174"/>
      <c r="CK270" s="174"/>
      <c r="CL270" s="174"/>
      <c r="CM270" s="174"/>
      <c r="CN270" s="174"/>
      <c r="CO270" s="174"/>
      <c r="CP270" s="174"/>
      <c r="CQ270" s="174"/>
      <c r="CR270" s="174"/>
      <c r="CS270" s="174"/>
      <c r="CT270" s="174"/>
      <c r="CU270" s="174"/>
      <c r="CV270" s="174"/>
      <c r="CW270" s="174"/>
      <c r="CX270" s="174"/>
      <c r="CY270" s="174"/>
      <c r="CZ270" s="174"/>
      <c r="DA270" s="174"/>
      <c r="DB270" s="174"/>
      <c r="DC270" s="174"/>
      <c r="DD270" s="174"/>
      <c r="DE270" s="174"/>
      <c r="DF270" s="174"/>
      <c r="DG270" s="174"/>
      <c r="DH270" s="174"/>
      <c r="DI270" s="174"/>
      <c r="DJ270" s="174"/>
      <c r="DK270" s="174"/>
      <c r="DL270" s="62"/>
      <c r="DM270" s="62"/>
      <c r="DN270" s="62"/>
      <c r="DO270" s="62"/>
      <c r="DP270" s="62"/>
      <c r="DQ270" s="62"/>
      <c r="DR270" s="62"/>
      <c r="DS270" s="62"/>
      <c r="DT270" s="62"/>
      <c r="DU270" s="62"/>
      <c r="DV270" s="62"/>
      <c r="DW270" s="62"/>
      <c r="DX270" s="62"/>
      <c r="DY270" s="62"/>
      <c r="DZ270" s="62"/>
      <c r="EA270" s="62"/>
      <c r="EB270" s="62"/>
      <c r="EC270" s="62"/>
      <c r="ED270" s="62"/>
      <c r="EE270" s="454"/>
      <c r="EF270" s="62"/>
      <c r="EG270" s="62"/>
      <c r="EH270" s="62"/>
      <c r="EI270" s="62"/>
      <c r="EJ270" s="62"/>
      <c r="EK270" s="62"/>
      <c r="EL270" s="62"/>
      <c r="EM270" s="62"/>
      <c r="EN270" s="62"/>
      <c r="EO270" s="62"/>
      <c r="EP270" s="62"/>
      <c r="EQ270" s="62"/>
      <c r="ER270" s="62"/>
      <c r="ES270" s="62"/>
      <c r="ET270" s="62"/>
      <c r="EU270" s="62"/>
      <c r="EV270" s="62"/>
      <c r="EW270" s="62"/>
      <c r="EX270" s="62"/>
      <c r="EY270" s="62"/>
      <c r="EZ270" s="62"/>
      <c r="FA270" s="62"/>
      <c r="FB270" s="62"/>
      <c r="FC270" s="62"/>
      <c r="FD270" s="62"/>
      <c r="FE270" s="62"/>
      <c r="FF270" s="62"/>
    </row>
    <row r="271" spans="1:162" s="56" customFormat="1" hidden="1">
      <c r="A271" s="54"/>
      <c r="B271" s="55"/>
      <c r="C271" s="491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173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883"/>
      <c r="AH271" s="174"/>
      <c r="AI271" s="492"/>
      <c r="AJ271" s="905"/>
      <c r="AK271" s="919"/>
      <c r="AL271" s="174"/>
      <c r="AM271" s="174"/>
      <c r="AN271" s="174"/>
      <c r="AO271" s="928"/>
      <c r="AP271" s="174"/>
      <c r="AQ271" s="174"/>
      <c r="AR271" s="174"/>
      <c r="AS271" s="174"/>
      <c r="AT271" s="174"/>
      <c r="AU271" s="174"/>
      <c r="AV271" s="174"/>
      <c r="AW271" s="174"/>
      <c r="AX271" s="174"/>
      <c r="AY271" s="174"/>
      <c r="AZ271" s="174"/>
      <c r="BA271" s="174"/>
      <c r="BB271" s="174"/>
      <c r="BC271" s="174"/>
      <c r="BD271" s="174"/>
      <c r="BE271" s="174"/>
      <c r="BF271" s="174"/>
      <c r="BG271" s="174"/>
      <c r="BH271" s="174"/>
      <c r="BI271" s="174"/>
      <c r="BJ271" s="174"/>
      <c r="BK271" s="174"/>
      <c r="BL271" s="174"/>
      <c r="BM271" s="174"/>
      <c r="BN271" s="174"/>
      <c r="BO271" s="174"/>
      <c r="BP271" s="174"/>
      <c r="BQ271" s="174"/>
      <c r="BR271" s="174"/>
      <c r="BS271" s="174"/>
      <c r="BT271" s="174"/>
      <c r="BU271" s="174"/>
      <c r="BV271" s="174"/>
      <c r="BW271" s="174"/>
      <c r="BX271" s="174"/>
      <c r="BY271" s="174"/>
      <c r="BZ271" s="174"/>
      <c r="CA271" s="174"/>
      <c r="CB271" s="174"/>
      <c r="CC271" s="174"/>
      <c r="CD271" s="174"/>
      <c r="CE271" s="174"/>
      <c r="CF271" s="174"/>
      <c r="CG271" s="174"/>
      <c r="CH271" s="174"/>
      <c r="CI271" s="174"/>
      <c r="CJ271" s="174"/>
      <c r="CK271" s="174"/>
      <c r="CL271" s="174"/>
      <c r="CM271" s="174"/>
      <c r="CN271" s="174"/>
      <c r="CO271" s="174"/>
      <c r="CP271" s="174"/>
      <c r="CQ271" s="174"/>
      <c r="CR271" s="174"/>
      <c r="CS271" s="174"/>
      <c r="CT271" s="174"/>
      <c r="CU271" s="174"/>
      <c r="CV271" s="174"/>
      <c r="CW271" s="174"/>
      <c r="CX271" s="174"/>
      <c r="CY271" s="174"/>
      <c r="CZ271" s="174"/>
      <c r="DA271" s="174"/>
      <c r="DB271" s="174"/>
      <c r="DC271" s="174"/>
      <c r="DD271" s="174"/>
      <c r="DE271" s="174"/>
      <c r="DF271" s="174"/>
      <c r="DG271" s="174"/>
      <c r="DH271" s="174"/>
      <c r="DI271" s="174"/>
      <c r="DJ271" s="174"/>
      <c r="DK271" s="174"/>
      <c r="DL271" s="62"/>
      <c r="DM271" s="62"/>
      <c r="DN271" s="62"/>
      <c r="DO271" s="62"/>
      <c r="DP271" s="62"/>
      <c r="DQ271" s="62"/>
      <c r="DR271" s="62"/>
      <c r="DS271" s="62"/>
      <c r="DT271" s="62"/>
      <c r="DU271" s="62"/>
      <c r="DV271" s="62"/>
      <c r="DW271" s="62"/>
      <c r="DX271" s="62"/>
      <c r="DY271" s="62"/>
      <c r="DZ271" s="62"/>
      <c r="EA271" s="62"/>
      <c r="EB271" s="62"/>
      <c r="EC271" s="62"/>
      <c r="ED271" s="62"/>
      <c r="EE271" s="454"/>
      <c r="EF271" s="62"/>
      <c r="EG271" s="62"/>
      <c r="EH271" s="62"/>
      <c r="EI271" s="62"/>
      <c r="EJ271" s="62"/>
      <c r="EK271" s="62"/>
      <c r="EL271" s="62"/>
      <c r="EM271" s="62"/>
      <c r="EN271" s="62"/>
      <c r="EO271" s="62"/>
      <c r="EP271" s="62"/>
      <c r="EQ271" s="62"/>
      <c r="ER271" s="62"/>
      <c r="ES271" s="62"/>
      <c r="ET271" s="62"/>
      <c r="EU271" s="62"/>
      <c r="EV271" s="62"/>
      <c r="EW271" s="62"/>
      <c r="EX271" s="62"/>
      <c r="EY271" s="62"/>
      <c r="EZ271" s="62"/>
      <c r="FA271" s="62"/>
      <c r="FB271" s="62"/>
      <c r="FC271" s="62"/>
      <c r="FD271" s="62"/>
      <c r="FE271" s="62"/>
      <c r="FF271" s="62"/>
    </row>
    <row r="272" spans="1:162" s="56" customFormat="1" hidden="1">
      <c r="A272" s="54"/>
      <c r="B272" s="55"/>
      <c r="C272" s="491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173"/>
      <c r="S272" s="174"/>
      <c r="T272" s="174"/>
      <c r="U272" s="174"/>
      <c r="V272" s="174"/>
      <c r="W272" s="174"/>
      <c r="X272" s="174"/>
      <c r="Y272" s="174"/>
      <c r="Z272" s="174"/>
      <c r="AA272" s="174"/>
      <c r="AB272" s="174"/>
      <c r="AC272" s="174"/>
      <c r="AD272" s="174"/>
      <c r="AE272" s="174"/>
      <c r="AF272" s="174"/>
      <c r="AG272" s="883"/>
      <c r="AH272" s="174"/>
      <c r="AI272" s="492"/>
      <c r="AJ272" s="905"/>
      <c r="AK272" s="919"/>
      <c r="AL272" s="174"/>
      <c r="AM272" s="174"/>
      <c r="AN272" s="174"/>
      <c r="AO272" s="928"/>
      <c r="AP272" s="174"/>
      <c r="AQ272" s="17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/>
      <c r="BI272" s="174"/>
      <c r="BJ272" s="174"/>
      <c r="BK272" s="174"/>
      <c r="BL272" s="174"/>
      <c r="BM272" s="174"/>
      <c r="BN272" s="174"/>
      <c r="BO272" s="174"/>
      <c r="BP272" s="174"/>
      <c r="BQ272" s="174"/>
      <c r="BR272" s="174"/>
      <c r="BS272" s="174"/>
      <c r="BT272" s="174"/>
      <c r="BU272" s="174"/>
      <c r="BV272" s="174"/>
      <c r="BW272" s="174"/>
      <c r="BX272" s="174"/>
      <c r="BY272" s="174"/>
      <c r="BZ272" s="174"/>
      <c r="CA272" s="174"/>
      <c r="CB272" s="174"/>
      <c r="CC272" s="174"/>
      <c r="CD272" s="174"/>
      <c r="CE272" s="174"/>
      <c r="CF272" s="174"/>
      <c r="CG272" s="174"/>
      <c r="CH272" s="174"/>
      <c r="CI272" s="174"/>
      <c r="CJ272" s="174"/>
      <c r="CK272" s="174"/>
      <c r="CL272" s="174"/>
      <c r="CM272" s="174"/>
      <c r="CN272" s="174"/>
      <c r="CO272" s="174"/>
      <c r="CP272" s="174"/>
      <c r="CQ272" s="174"/>
      <c r="CR272" s="174"/>
      <c r="CS272" s="174"/>
      <c r="CT272" s="174"/>
      <c r="CU272" s="174"/>
      <c r="CV272" s="174"/>
      <c r="CW272" s="174"/>
      <c r="CX272" s="174"/>
      <c r="CY272" s="174"/>
      <c r="CZ272" s="174"/>
      <c r="DA272" s="174"/>
      <c r="DB272" s="174"/>
      <c r="DC272" s="174"/>
      <c r="DD272" s="174"/>
      <c r="DE272" s="174"/>
      <c r="DF272" s="174"/>
      <c r="DG272" s="174"/>
      <c r="DH272" s="174"/>
      <c r="DI272" s="174"/>
      <c r="DJ272" s="174"/>
      <c r="DK272" s="174"/>
      <c r="DL272" s="62"/>
      <c r="DM272" s="62"/>
      <c r="DN272" s="62"/>
      <c r="DO272" s="62"/>
      <c r="DP272" s="62"/>
      <c r="DQ272" s="62"/>
      <c r="DR272" s="62"/>
      <c r="DS272" s="62"/>
      <c r="DT272" s="62"/>
      <c r="DU272" s="62"/>
      <c r="DV272" s="62"/>
      <c r="DW272" s="62"/>
      <c r="DX272" s="62"/>
      <c r="DY272" s="62"/>
      <c r="DZ272" s="62"/>
      <c r="EA272" s="62"/>
      <c r="EB272" s="62"/>
      <c r="EC272" s="62"/>
      <c r="ED272" s="62"/>
      <c r="EE272" s="454"/>
      <c r="EF272" s="62"/>
      <c r="EG272" s="62"/>
      <c r="EH272" s="62"/>
      <c r="EI272" s="62"/>
      <c r="EJ272" s="62"/>
      <c r="EK272" s="62"/>
      <c r="EL272" s="62"/>
      <c r="EM272" s="62"/>
      <c r="EN272" s="62"/>
      <c r="EO272" s="62"/>
      <c r="EP272" s="62"/>
      <c r="EQ272" s="62"/>
      <c r="ER272" s="62"/>
      <c r="ES272" s="62"/>
      <c r="ET272" s="62"/>
      <c r="EU272" s="62"/>
      <c r="EV272" s="62"/>
      <c r="EW272" s="62"/>
      <c r="EX272" s="62"/>
      <c r="EY272" s="62"/>
      <c r="EZ272" s="62"/>
      <c r="FA272" s="62"/>
      <c r="FB272" s="62"/>
      <c r="FC272" s="62"/>
      <c r="FD272" s="62"/>
      <c r="FE272" s="62"/>
      <c r="FF272" s="62"/>
    </row>
    <row r="273" spans="1:162" s="56" customFormat="1" hidden="1">
      <c r="A273" s="54"/>
      <c r="B273" s="55"/>
      <c r="C273" s="491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173"/>
      <c r="S273" s="174"/>
      <c r="T273" s="174"/>
      <c r="U273" s="174"/>
      <c r="V273" s="174"/>
      <c r="W273" s="174"/>
      <c r="X273" s="174"/>
      <c r="Y273" s="174"/>
      <c r="Z273" s="174"/>
      <c r="AA273" s="174"/>
      <c r="AB273" s="174"/>
      <c r="AC273" s="174"/>
      <c r="AD273" s="174"/>
      <c r="AE273" s="174"/>
      <c r="AF273" s="174"/>
      <c r="AG273" s="883"/>
      <c r="AH273" s="174"/>
      <c r="AI273" s="492"/>
      <c r="AJ273" s="905"/>
      <c r="AK273" s="919"/>
      <c r="AL273" s="174"/>
      <c r="AM273" s="174"/>
      <c r="AN273" s="174"/>
      <c r="AO273" s="928"/>
      <c r="AP273" s="174"/>
      <c r="AQ273" s="174"/>
      <c r="AR273" s="174"/>
      <c r="AS273" s="174"/>
      <c r="AT273" s="174"/>
      <c r="AU273" s="174"/>
      <c r="AV273" s="174"/>
      <c r="AW273" s="174"/>
      <c r="AX273" s="174"/>
      <c r="AY273" s="174"/>
      <c r="AZ273" s="174"/>
      <c r="BA273" s="174"/>
      <c r="BB273" s="174"/>
      <c r="BC273" s="174"/>
      <c r="BD273" s="174"/>
      <c r="BE273" s="174"/>
      <c r="BF273" s="174"/>
      <c r="BG273" s="174"/>
      <c r="BH273" s="174"/>
      <c r="BI273" s="174"/>
      <c r="BJ273" s="174"/>
      <c r="BK273" s="174"/>
      <c r="BL273" s="174"/>
      <c r="BM273" s="174"/>
      <c r="BN273" s="174"/>
      <c r="BO273" s="174"/>
      <c r="BP273" s="174"/>
      <c r="BQ273" s="174"/>
      <c r="BR273" s="174"/>
      <c r="BS273" s="174"/>
      <c r="BT273" s="174"/>
      <c r="BU273" s="174"/>
      <c r="BV273" s="174"/>
      <c r="BW273" s="174"/>
      <c r="BX273" s="174"/>
      <c r="BY273" s="174"/>
      <c r="BZ273" s="174"/>
      <c r="CA273" s="174"/>
      <c r="CB273" s="174"/>
      <c r="CC273" s="174"/>
      <c r="CD273" s="174"/>
      <c r="CE273" s="174"/>
      <c r="CF273" s="174"/>
      <c r="CG273" s="174"/>
      <c r="CH273" s="174"/>
      <c r="CI273" s="174"/>
      <c r="CJ273" s="174"/>
      <c r="CK273" s="174"/>
      <c r="CL273" s="174"/>
      <c r="CM273" s="174"/>
      <c r="CN273" s="174"/>
      <c r="CO273" s="174"/>
      <c r="CP273" s="174"/>
      <c r="CQ273" s="174"/>
      <c r="CR273" s="174"/>
      <c r="CS273" s="174"/>
      <c r="CT273" s="174"/>
      <c r="CU273" s="174"/>
      <c r="CV273" s="174"/>
      <c r="CW273" s="174"/>
      <c r="CX273" s="174"/>
      <c r="CY273" s="174"/>
      <c r="CZ273" s="174"/>
      <c r="DA273" s="174"/>
      <c r="DB273" s="174"/>
      <c r="DC273" s="174"/>
      <c r="DD273" s="174"/>
      <c r="DE273" s="174"/>
      <c r="DF273" s="174"/>
      <c r="DG273" s="174"/>
      <c r="DH273" s="174"/>
      <c r="DI273" s="174"/>
      <c r="DJ273" s="174"/>
      <c r="DK273" s="174"/>
      <c r="DL273" s="62"/>
      <c r="DM273" s="62"/>
      <c r="DN273" s="62"/>
      <c r="DO273" s="62"/>
      <c r="DP273" s="62"/>
      <c r="DQ273" s="62"/>
      <c r="DR273" s="62"/>
      <c r="DS273" s="62"/>
      <c r="DT273" s="62"/>
      <c r="DU273" s="62"/>
      <c r="DV273" s="62"/>
      <c r="DW273" s="62"/>
      <c r="DX273" s="62"/>
      <c r="DY273" s="62"/>
      <c r="DZ273" s="62"/>
      <c r="EA273" s="62"/>
      <c r="EB273" s="62"/>
      <c r="EC273" s="62"/>
      <c r="ED273" s="62"/>
      <c r="EE273" s="454"/>
      <c r="EF273" s="62"/>
      <c r="EG273" s="62"/>
      <c r="EH273" s="62"/>
      <c r="EI273" s="62"/>
      <c r="EJ273" s="62"/>
      <c r="EK273" s="62"/>
      <c r="EL273" s="62"/>
      <c r="EM273" s="62"/>
      <c r="EN273" s="62"/>
      <c r="EO273" s="62"/>
      <c r="EP273" s="62"/>
      <c r="EQ273" s="62"/>
      <c r="ER273" s="62"/>
      <c r="ES273" s="62"/>
      <c r="ET273" s="62"/>
      <c r="EU273" s="62"/>
      <c r="EV273" s="62"/>
      <c r="EW273" s="62"/>
      <c r="EX273" s="62"/>
      <c r="EY273" s="62"/>
      <c r="EZ273" s="62"/>
      <c r="FA273" s="62"/>
      <c r="FB273" s="62"/>
      <c r="FC273" s="62"/>
      <c r="FD273" s="62"/>
      <c r="FE273" s="62"/>
      <c r="FF273" s="62"/>
    </row>
    <row r="274" spans="1:162" s="56" customFormat="1" hidden="1">
      <c r="A274" s="54"/>
      <c r="B274" s="55"/>
      <c r="C274" s="491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173"/>
      <c r="S274" s="174"/>
      <c r="T274" s="174"/>
      <c r="U274" s="174"/>
      <c r="V274" s="174"/>
      <c r="W274" s="174"/>
      <c r="X274" s="174"/>
      <c r="Y274" s="174"/>
      <c r="Z274" s="174"/>
      <c r="AA274" s="174"/>
      <c r="AB274" s="174"/>
      <c r="AC274" s="174"/>
      <c r="AD274" s="174"/>
      <c r="AE274" s="174"/>
      <c r="AF274" s="174"/>
      <c r="AG274" s="883"/>
      <c r="AH274" s="174"/>
      <c r="AI274" s="492"/>
      <c r="AJ274" s="905"/>
      <c r="AK274" s="919"/>
      <c r="AL274" s="174"/>
      <c r="AM274" s="174"/>
      <c r="AN274" s="174"/>
      <c r="AO274" s="928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/>
      <c r="BG274" s="174"/>
      <c r="BH274" s="174"/>
      <c r="BI274" s="174"/>
      <c r="BJ274" s="174"/>
      <c r="BK274" s="174"/>
      <c r="BL274" s="174"/>
      <c r="BM274" s="174"/>
      <c r="BN274" s="174"/>
      <c r="BO274" s="174"/>
      <c r="BP274" s="174"/>
      <c r="BQ274" s="174"/>
      <c r="BR274" s="174"/>
      <c r="BS274" s="174"/>
      <c r="BT274" s="174"/>
      <c r="BU274" s="174"/>
      <c r="BV274" s="174"/>
      <c r="BW274" s="174"/>
      <c r="BX274" s="174"/>
      <c r="BY274" s="174"/>
      <c r="BZ274" s="174"/>
      <c r="CA274" s="174"/>
      <c r="CB274" s="174"/>
      <c r="CC274" s="174"/>
      <c r="CD274" s="174"/>
      <c r="CE274" s="174"/>
      <c r="CF274" s="174"/>
      <c r="CG274" s="174"/>
      <c r="CH274" s="174"/>
      <c r="CI274" s="174"/>
      <c r="CJ274" s="174"/>
      <c r="CK274" s="174"/>
      <c r="CL274" s="174"/>
      <c r="CM274" s="174"/>
      <c r="CN274" s="174"/>
      <c r="CO274" s="174"/>
      <c r="CP274" s="174"/>
      <c r="CQ274" s="174"/>
      <c r="CR274" s="174"/>
      <c r="CS274" s="174"/>
      <c r="CT274" s="174"/>
      <c r="CU274" s="174"/>
      <c r="CV274" s="174"/>
      <c r="CW274" s="174"/>
      <c r="CX274" s="174"/>
      <c r="CY274" s="174"/>
      <c r="CZ274" s="174"/>
      <c r="DA274" s="174"/>
      <c r="DB274" s="174"/>
      <c r="DC274" s="174"/>
      <c r="DD274" s="174"/>
      <c r="DE274" s="174"/>
      <c r="DF274" s="174"/>
      <c r="DG274" s="174"/>
      <c r="DH274" s="174"/>
      <c r="DI274" s="174"/>
      <c r="DJ274" s="174"/>
      <c r="DK274" s="174"/>
      <c r="DL274" s="62"/>
      <c r="DM274" s="62"/>
      <c r="DN274" s="62"/>
      <c r="DO274" s="62"/>
      <c r="DP274" s="62"/>
      <c r="DQ274" s="62"/>
      <c r="DR274" s="62"/>
      <c r="DS274" s="62"/>
      <c r="DT274" s="62"/>
      <c r="DU274" s="62"/>
      <c r="DV274" s="62"/>
      <c r="DW274" s="62"/>
      <c r="DX274" s="62"/>
      <c r="DY274" s="62"/>
      <c r="DZ274" s="62"/>
      <c r="EA274" s="62"/>
      <c r="EB274" s="62"/>
      <c r="EC274" s="62"/>
      <c r="ED274" s="62"/>
      <c r="EE274" s="454"/>
      <c r="EF274" s="62"/>
      <c r="EG274" s="62"/>
      <c r="EH274" s="62"/>
      <c r="EI274" s="62"/>
      <c r="EJ274" s="62"/>
      <c r="EK274" s="62"/>
      <c r="EL274" s="62"/>
      <c r="EM274" s="62"/>
      <c r="EN274" s="62"/>
      <c r="EO274" s="62"/>
      <c r="EP274" s="62"/>
      <c r="EQ274" s="62"/>
      <c r="ER274" s="62"/>
      <c r="ES274" s="62"/>
      <c r="ET274" s="62"/>
      <c r="EU274" s="62"/>
      <c r="EV274" s="62"/>
      <c r="EW274" s="62"/>
      <c r="EX274" s="62"/>
      <c r="EY274" s="62"/>
      <c r="EZ274" s="62"/>
      <c r="FA274" s="62"/>
      <c r="FB274" s="62"/>
      <c r="FC274" s="62"/>
      <c r="FD274" s="62"/>
      <c r="FE274" s="62"/>
      <c r="FF274" s="62"/>
    </row>
    <row r="275" spans="1:162" s="56" customFormat="1" hidden="1">
      <c r="A275" s="54"/>
      <c r="B275" s="55"/>
      <c r="C275" s="491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173"/>
      <c r="S275" s="174"/>
      <c r="T275" s="174"/>
      <c r="U275" s="174"/>
      <c r="V275" s="174"/>
      <c r="W275" s="174"/>
      <c r="X275" s="174"/>
      <c r="Y275" s="174"/>
      <c r="Z275" s="174"/>
      <c r="AA275" s="174"/>
      <c r="AB275" s="174"/>
      <c r="AC275" s="174"/>
      <c r="AD275" s="174"/>
      <c r="AE275" s="174"/>
      <c r="AF275" s="174"/>
      <c r="AG275" s="883"/>
      <c r="AH275" s="174"/>
      <c r="AI275" s="492"/>
      <c r="AJ275" s="905"/>
      <c r="AK275" s="919"/>
      <c r="AL275" s="174"/>
      <c r="AM275" s="174"/>
      <c r="AN275" s="174"/>
      <c r="AO275" s="928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/>
      <c r="BG275" s="174"/>
      <c r="BH275" s="174"/>
      <c r="BI275" s="174"/>
      <c r="BJ275" s="174"/>
      <c r="BK275" s="174"/>
      <c r="BL275" s="174"/>
      <c r="BM275" s="174"/>
      <c r="BN275" s="174"/>
      <c r="BO275" s="174"/>
      <c r="BP275" s="174"/>
      <c r="BQ275" s="174"/>
      <c r="BR275" s="174"/>
      <c r="BS275" s="174"/>
      <c r="BT275" s="174"/>
      <c r="BU275" s="174"/>
      <c r="BV275" s="174"/>
      <c r="BW275" s="174"/>
      <c r="BX275" s="174"/>
      <c r="BY275" s="174"/>
      <c r="BZ275" s="174"/>
      <c r="CA275" s="174"/>
      <c r="CB275" s="174"/>
      <c r="CC275" s="174"/>
      <c r="CD275" s="174"/>
      <c r="CE275" s="174"/>
      <c r="CF275" s="174"/>
      <c r="CG275" s="174"/>
      <c r="CH275" s="174"/>
      <c r="CI275" s="174"/>
      <c r="CJ275" s="174"/>
      <c r="CK275" s="174"/>
      <c r="CL275" s="174"/>
      <c r="CM275" s="174"/>
      <c r="CN275" s="174"/>
      <c r="CO275" s="174"/>
      <c r="CP275" s="174"/>
      <c r="CQ275" s="174"/>
      <c r="CR275" s="174"/>
      <c r="CS275" s="174"/>
      <c r="CT275" s="174"/>
      <c r="CU275" s="174"/>
      <c r="CV275" s="174"/>
      <c r="CW275" s="174"/>
      <c r="CX275" s="174"/>
      <c r="CY275" s="174"/>
      <c r="CZ275" s="174"/>
      <c r="DA275" s="174"/>
      <c r="DB275" s="174"/>
      <c r="DC275" s="174"/>
      <c r="DD275" s="174"/>
      <c r="DE275" s="174"/>
      <c r="DF275" s="174"/>
      <c r="DG275" s="174"/>
      <c r="DH275" s="174"/>
      <c r="DI275" s="174"/>
      <c r="DJ275" s="174"/>
      <c r="DK275" s="174"/>
      <c r="DL275" s="62"/>
      <c r="DM275" s="62"/>
      <c r="DN275" s="62"/>
      <c r="DO275" s="62"/>
      <c r="DP275" s="62"/>
      <c r="DQ275" s="62"/>
      <c r="DR275" s="62"/>
      <c r="DS275" s="62"/>
      <c r="DT275" s="62"/>
      <c r="DU275" s="62"/>
      <c r="DV275" s="62"/>
      <c r="DW275" s="62"/>
      <c r="DX275" s="62"/>
      <c r="DY275" s="62"/>
      <c r="DZ275" s="62"/>
      <c r="EA275" s="62"/>
      <c r="EB275" s="62"/>
      <c r="EC275" s="62"/>
      <c r="ED275" s="62"/>
      <c r="EE275" s="454"/>
      <c r="EF275" s="62"/>
      <c r="EG275" s="62"/>
      <c r="EH275" s="62"/>
      <c r="EI275" s="62"/>
      <c r="EJ275" s="62"/>
      <c r="EK275" s="62"/>
      <c r="EL275" s="62"/>
      <c r="EM275" s="62"/>
      <c r="EN275" s="62"/>
      <c r="EO275" s="62"/>
      <c r="EP275" s="62"/>
      <c r="EQ275" s="62"/>
      <c r="ER275" s="62"/>
      <c r="ES275" s="62"/>
      <c r="ET275" s="62"/>
      <c r="EU275" s="62"/>
      <c r="EV275" s="62"/>
      <c r="EW275" s="62"/>
      <c r="EX275" s="62"/>
      <c r="EY275" s="62"/>
      <c r="EZ275" s="62"/>
      <c r="FA275" s="62"/>
      <c r="FB275" s="62"/>
      <c r="FC275" s="62"/>
      <c r="FD275" s="62"/>
      <c r="FE275" s="62"/>
      <c r="FF275" s="62"/>
    </row>
    <row r="276" spans="1:162" s="56" customFormat="1" hidden="1">
      <c r="A276" s="54"/>
      <c r="B276" s="55"/>
      <c r="C276" s="491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173"/>
      <c r="S276" s="174"/>
      <c r="T276" s="174"/>
      <c r="U276" s="174"/>
      <c r="V276" s="174"/>
      <c r="W276" s="174"/>
      <c r="X276" s="174"/>
      <c r="Y276" s="174"/>
      <c r="Z276" s="174"/>
      <c r="AA276" s="174"/>
      <c r="AB276" s="174"/>
      <c r="AC276" s="174"/>
      <c r="AD276" s="174"/>
      <c r="AE276" s="174"/>
      <c r="AF276" s="174"/>
      <c r="AG276" s="883"/>
      <c r="AH276" s="174"/>
      <c r="AI276" s="492"/>
      <c r="AJ276" s="905"/>
      <c r="AK276" s="919"/>
      <c r="AL276" s="174"/>
      <c r="AM276" s="174"/>
      <c r="AN276" s="174"/>
      <c r="AO276" s="928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/>
      <c r="BI276" s="174"/>
      <c r="BJ276" s="174"/>
      <c r="BK276" s="174"/>
      <c r="BL276" s="174"/>
      <c r="BM276" s="174"/>
      <c r="BN276" s="174"/>
      <c r="BO276" s="174"/>
      <c r="BP276" s="174"/>
      <c r="BQ276" s="174"/>
      <c r="BR276" s="174"/>
      <c r="BS276" s="174"/>
      <c r="BT276" s="174"/>
      <c r="BU276" s="174"/>
      <c r="BV276" s="174"/>
      <c r="BW276" s="174"/>
      <c r="BX276" s="174"/>
      <c r="BY276" s="174"/>
      <c r="BZ276" s="174"/>
      <c r="CA276" s="174"/>
      <c r="CB276" s="174"/>
      <c r="CC276" s="174"/>
      <c r="CD276" s="174"/>
      <c r="CE276" s="174"/>
      <c r="CF276" s="174"/>
      <c r="CG276" s="174"/>
      <c r="CH276" s="174"/>
      <c r="CI276" s="174"/>
      <c r="CJ276" s="174"/>
      <c r="CK276" s="174"/>
      <c r="CL276" s="174"/>
      <c r="CM276" s="174"/>
      <c r="CN276" s="174"/>
      <c r="CO276" s="174"/>
      <c r="CP276" s="174"/>
      <c r="CQ276" s="174"/>
      <c r="CR276" s="174"/>
      <c r="CS276" s="174"/>
      <c r="CT276" s="174"/>
      <c r="CU276" s="174"/>
      <c r="CV276" s="174"/>
      <c r="CW276" s="174"/>
      <c r="CX276" s="174"/>
      <c r="CY276" s="174"/>
      <c r="CZ276" s="174"/>
      <c r="DA276" s="174"/>
      <c r="DB276" s="174"/>
      <c r="DC276" s="174"/>
      <c r="DD276" s="174"/>
      <c r="DE276" s="174"/>
      <c r="DF276" s="174"/>
      <c r="DG276" s="174"/>
      <c r="DH276" s="174"/>
      <c r="DI276" s="174"/>
      <c r="DJ276" s="174"/>
      <c r="DK276" s="174"/>
      <c r="DL276" s="62"/>
      <c r="DM276" s="62"/>
      <c r="DN276" s="62"/>
      <c r="DO276" s="62"/>
      <c r="DP276" s="62"/>
      <c r="DQ276" s="62"/>
      <c r="DR276" s="62"/>
      <c r="DS276" s="62"/>
      <c r="DT276" s="62"/>
      <c r="DU276" s="62"/>
      <c r="DV276" s="62"/>
      <c r="DW276" s="62"/>
      <c r="DX276" s="62"/>
      <c r="DY276" s="62"/>
      <c r="DZ276" s="62"/>
      <c r="EA276" s="62"/>
      <c r="EB276" s="62"/>
      <c r="EC276" s="62"/>
      <c r="ED276" s="62"/>
      <c r="EE276" s="454"/>
      <c r="EF276" s="62"/>
      <c r="EG276" s="62"/>
      <c r="EH276" s="62"/>
      <c r="EI276" s="62"/>
      <c r="EJ276" s="62"/>
      <c r="EK276" s="62"/>
      <c r="EL276" s="62"/>
      <c r="EM276" s="62"/>
      <c r="EN276" s="62"/>
      <c r="EO276" s="62"/>
      <c r="EP276" s="62"/>
      <c r="EQ276" s="62"/>
      <c r="ER276" s="62"/>
      <c r="ES276" s="62"/>
      <c r="ET276" s="62"/>
      <c r="EU276" s="62"/>
      <c r="EV276" s="62"/>
      <c r="EW276" s="62"/>
      <c r="EX276" s="62"/>
      <c r="EY276" s="62"/>
      <c r="EZ276" s="62"/>
      <c r="FA276" s="62"/>
      <c r="FB276" s="62"/>
      <c r="FC276" s="62"/>
      <c r="FD276" s="62"/>
      <c r="FE276" s="62"/>
      <c r="FF276" s="62"/>
    </row>
    <row r="277" spans="1:162" s="56" customFormat="1" hidden="1">
      <c r="A277" s="54"/>
      <c r="B277" s="55"/>
      <c r="C277" s="491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173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883"/>
      <c r="AH277" s="174"/>
      <c r="AI277" s="492"/>
      <c r="AJ277" s="905"/>
      <c r="AK277" s="919"/>
      <c r="AL277" s="174"/>
      <c r="AM277" s="174"/>
      <c r="AN277" s="174"/>
      <c r="AO277" s="928"/>
      <c r="AP277" s="174"/>
      <c r="AQ277" s="174"/>
      <c r="AR277" s="174"/>
      <c r="AS277" s="174"/>
      <c r="AT277" s="174"/>
      <c r="AU277" s="174"/>
      <c r="AV277" s="174"/>
      <c r="AW277" s="174"/>
      <c r="AX277" s="174"/>
      <c r="AY277" s="174"/>
      <c r="AZ277" s="174"/>
      <c r="BA277" s="174"/>
      <c r="BB277" s="174"/>
      <c r="BC277" s="174"/>
      <c r="BD277" s="174"/>
      <c r="BE277" s="174"/>
      <c r="BF277" s="174"/>
      <c r="BG277" s="174"/>
      <c r="BH277" s="174"/>
      <c r="BI277" s="174"/>
      <c r="BJ277" s="174"/>
      <c r="BK277" s="174"/>
      <c r="BL277" s="174"/>
      <c r="BM277" s="174"/>
      <c r="BN277" s="174"/>
      <c r="BO277" s="174"/>
      <c r="BP277" s="174"/>
      <c r="BQ277" s="174"/>
      <c r="BR277" s="174"/>
      <c r="BS277" s="174"/>
      <c r="BT277" s="174"/>
      <c r="BU277" s="174"/>
      <c r="BV277" s="174"/>
      <c r="BW277" s="174"/>
      <c r="BX277" s="174"/>
      <c r="BY277" s="174"/>
      <c r="BZ277" s="174"/>
      <c r="CA277" s="174"/>
      <c r="CB277" s="174"/>
      <c r="CC277" s="174"/>
      <c r="CD277" s="174"/>
      <c r="CE277" s="174"/>
      <c r="CF277" s="174"/>
      <c r="CG277" s="174"/>
      <c r="CH277" s="174"/>
      <c r="CI277" s="174"/>
      <c r="CJ277" s="174"/>
      <c r="CK277" s="174"/>
      <c r="CL277" s="174"/>
      <c r="CM277" s="174"/>
      <c r="CN277" s="174"/>
      <c r="CO277" s="174"/>
      <c r="CP277" s="174"/>
      <c r="CQ277" s="174"/>
      <c r="CR277" s="174"/>
      <c r="CS277" s="174"/>
      <c r="CT277" s="174"/>
      <c r="CU277" s="174"/>
      <c r="CV277" s="174"/>
      <c r="CW277" s="174"/>
      <c r="CX277" s="174"/>
      <c r="CY277" s="174"/>
      <c r="CZ277" s="174"/>
      <c r="DA277" s="174"/>
      <c r="DB277" s="174"/>
      <c r="DC277" s="174"/>
      <c r="DD277" s="174"/>
      <c r="DE277" s="174"/>
      <c r="DF277" s="174"/>
      <c r="DG277" s="174"/>
      <c r="DH277" s="174"/>
      <c r="DI277" s="174"/>
      <c r="DJ277" s="174"/>
      <c r="DK277" s="174"/>
      <c r="DL277" s="62"/>
      <c r="DM277" s="62"/>
      <c r="DN277" s="62"/>
      <c r="DO277" s="62"/>
      <c r="DP277" s="62"/>
      <c r="DQ277" s="62"/>
      <c r="DR277" s="62"/>
      <c r="DS277" s="62"/>
      <c r="DT277" s="62"/>
      <c r="DU277" s="62"/>
      <c r="DV277" s="62"/>
      <c r="DW277" s="62"/>
      <c r="DX277" s="62"/>
      <c r="DY277" s="62"/>
      <c r="DZ277" s="62"/>
      <c r="EA277" s="62"/>
      <c r="EB277" s="62"/>
      <c r="EC277" s="62"/>
      <c r="ED277" s="62"/>
      <c r="EE277" s="454"/>
      <c r="EF277" s="62"/>
      <c r="EG277" s="62"/>
      <c r="EH277" s="62"/>
      <c r="EI277" s="62"/>
      <c r="EJ277" s="62"/>
      <c r="EK277" s="62"/>
      <c r="EL277" s="62"/>
      <c r="EM277" s="62"/>
      <c r="EN277" s="62"/>
      <c r="EO277" s="62"/>
      <c r="EP277" s="62"/>
      <c r="EQ277" s="62"/>
      <c r="ER277" s="62"/>
      <c r="ES277" s="62"/>
      <c r="ET277" s="62"/>
      <c r="EU277" s="62"/>
      <c r="EV277" s="62"/>
      <c r="EW277" s="62"/>
      <c r="EX277" s="62"/>
      <c r="EY277" s="62"/>
      <c r="EZ277" s="62"/>
      <c r="FA277" s="62"/>
      <c r="FB277" s="62"/>
      <c r="FC277" s="62"/>
      <c r="FD277" s="62"/>
      <c r="FE277" s="62"/>
      <c r="FF277" s="62"/>
    </row>
    <row r="278" spans="1:162" s="56" customFormat="1" hidden="1">
      <c r="A278" s="54"/>
      <c r="B278" s="55"/>
      <c r="C278" s="491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173"/>
      <c r="S278" s="174"/>
      <c r="T278" s="174"/>
      <c r="U278" s="174"/>
      <c r="V278" s="174"/>
      <c r="W278" s="174"/>
      <c r="X278" s="174"/>
      <c r="Y278" s="174"/>
      <c r="Z278" s="174"/>
      <c r="AA278" s="174"/>
      <c r="AB278" s="174"/>
      <c r="AC278" s="174"/>
      <c r="AD278" s="174"/>
      <c r="AE278" s="174"/>
      <c r="AF278" s="174"/>
      <c r="AG278" s="883"/>
      <c r="AH278" s="174"/>
      <c r="AI278" s="492"/>
      <c r="AJ278" s="905"/>
      <c r="AK278" s="919"/>
      <c r="AL278" s="174"/>
      <c r="AM278" s="174"/>
      <c r="AN278" s="174"/>
      <c r="AO278" s="928"/>
      <c r="AP278" s="174"/>
      <c r="AQ278" s="174"/>
      <c r="AR278" s="174"/>
      <c r="AS278" s="174"/>
      <c r="AT278" s="174"/>
      <c r="AU278" s="174"/>
      <c r="AV278" s="174"/>
      <c r="AW278" s="174"/>
      <c r="AX278" s="174"/>
      <c r="AY278" s="174"/>
      <c r="AZ278" s="174"/>
      <c r="BA278" s="174"/>
      <c r="BB278" s="174"/>
      <c r="BC278" s="174"/>
      <c r="BD278" s="174"/>
      <c r="BE278" s="174"/>
      <c r="BF278" s="174"/>
      <c r="BG278" s="174"/>
      <c r="BH278" s="174"/>
      <c r="BI278" s="174"/>
      <c r="BJ278" s="174"/>
      <c r="BK278" s="174"/>
      <c r="BL278" s="174"/>
      <c r="BM278" s="174"/>
      <c r="BN278" s="174"/>
      <c r="BO278" s="174"/>
      <c r="BP278" s="174"/>
      <c r="BQ278" s="174"/>
      <c r="BR278" s="174"/>
      <c r="BS278" s="174"/>
      <c r="BT278" s="174"/>
      <c r="BU278" s="174"/>
      <c r="BV278" s="174"/>
      <c r="BW278" s="174"/>
      <c r="BX278" s="174"/>
      <c r="BY278" s="174"/>
      <c r="BZ278" s="174"/>
      <c r="CA278" s="174"/>
      <c r="CB278" s="174"/>
      <c r="CC278" s="174"/>
      <c r="CD278" s="174"/>
      <c r="CE278" s="174"/>
      <c r="CF278" s="174"/>
      <c r="CG278" s="174"/>
      <c r="CH278" s="174"/>
      <c r="CI278" s="174"/>
      <c r="CJ278" s="174"/>
      <c r="CK278" s="174"/>
      <c r="CL278" s="174"/>
      <c r="CM278" s="174"/>
      <c r="CN278" s="174"/>
      <c r="CO278" s="174"/>
      <c r="CP278" s="174"/>
      <c r="CQ278" s="174"/>
      <c r="CR278" s="174"/>
      <c r="CS278" s="174"/>
      <c r="CT278" s="174"/>
      <c r="CU278" s="174"/>
      <c r="CV278" s="174"/>
      <c r="CW278" s="174"/>
      <c r="CX278" s="174"/>
      <c r="CY278" s="174"/>
      <c r="CZ278" s="174"/>
      <c r="DA278" s="174"/>
      <c r="DB278" s="174"/>
      <c r="DC278" s="174"/>
      <c r="DD278" s="174"/>
      <c r="DE278" s="174"/>
      <c r="DF278" s="174"/>
      <c r="DG278" s="174"/>
      <c r="DH278" s="174"/>
      <c r="DI278" s="174"/>
      <c r="DJ278" s="174"/>
      <c r="DK278" s="174"/>
      <c r="DL278" s="62"/>
      <c r="DM278" s="62"/>
      <c r="DN278" s="62"/>
      <c r="DO278" s="62"/>
      <c r="DP278" s="62"/>
      <c r="DQ278" s="62"/>
      <c r="DR278" s="62"/>
      <c r="DS278" s="62"/>
      <c r="DT278" s="62"/>
      <c r="DU278" s="62"/>
      <c r="DV278" s="62"/>
      <c r="DW278" s="62"/>
      <c r="DX278" s="62"/>
      <c r="DY278" s="62"/>
      <c r="DZ278" s="62"/>
      <c r="EA278" s="62"/>
      <c r="EB278" s="62"/>
      <c r="EC278" s="62"/>
      <c r="ED278" s="62"/>
      <c r="EE278" s="454"/>
      <c r="EF278" s="62"/>
      <c r="EG278" s="62"/>
      <c r="EH278" s="62"/>
      <c r="EI278" s="62"/>
      <c r="EJ278" s="62"/>
      <c r="EK278" s="62"/>
      <c r="EL278" s="62"/>
      <c r="EM278" s="62"/>
      <c r="EN278" s="62"/>
      <c r="EO278" s="62"/>
      <c r="EP278" s="62"/>
      <c r="EQ278" s="62"/>
      <c r="ER278" s="62"/>
      <c r="ES278" s="62"/>
      <c r="ET278" s="62"/>
      <c r="EU278" s="62"/>
      <c r="EV278" s="62"/>
      <c r="EW278" s="62"/>
      <c r="EX278" s="62"/>
      <c r="EY278" s="62"/>
      <c r="EZ278" s="62"/>
      <c r="FA278" s="62"/>
      <c r="FB278" s="62"/>
      <c r="FC278" s="62"/>
      <c r="FD278" s="62"/>
      <c r="FE278" s="62"/>
      <c r="FF278" s="62"/>
    </row>
    <row r="279" spans="1:162" hidden="1">
      <c r="A279" s="487">
        <f>MATCH(C279,$C$5:$C$361,0)</f>
        <v>275</v>
      </c>
      <c r="C279" s="14" t="s">
        <v>3033</v>
      </c>
      <c r="D279" s="14">
        <f t="shared" ref="D279:Q279" si="137">SUM(D269:D278)</f>
        <v>0</v>
      </c>
      <c r="E279" s="14">
        <f t="shared" si="137"/>
        <v>0</v>
      </c>
      <c r="F279" s="14">
        <f t="shared" si="137"/>
        <v>0</v>
      </c>
      <c r="G279" s="14">
        <f t="shared" si="137"/>
        <v>0</v>
      </c>
      <c r="H279" s="14">
        <f t="shared" si="137"/>
        <v>0</v>
      </c>
      <c r="I279" s="14">
        <f t="shared" si="137"/>
        <v>0</v>
      </c>
      <c r="J279" s="14">
        <f t="shared" si="137"/>
        <v>0</v>
      </c>
      <c r="K279" s="14">
        <f t="shared" si="137"/>
        <v>0</v>
      </c>
      <c r="L279" s="14">
        <f t="shared" si="137"/>
        <v>0</v>
      </c>
      <c r="M279" s="14">
        <f t="shared" si="137"/>
        <v>0</v>
      </c>
      <c r="N279" s="14">
        <f t="shared" si="137"/>
        <v>0</v>
      </c>
      <c r="O279" s="14">
        <f t="shared" si="137"/>
        <v>0</v>
      </c>
      <c r="P279" s="14">
        <f t="shared" si="137"/>
        <v>0</v>
      </c>
      <c r="Q279" s="14">
        <f t="shared" si="137"/>
        <v>0</v>
      </c>
      <c r="R279" s="14"/>
      <c r="S279" s="175">
        <f t="shared" ref="S279:AY279" si="138">SUM(S269:S278)</f>
        <v>0</v>
      </c>
      <c r="T279" s="175">
        <f t="shared" si="138"/>
        <v>0</v>
      </c>
      <c r="U279" s="175">
        <f t="shared" si="138"/>
        <v>0</v>
      </c>
      <c r="V279" s="175">
        <f t="shared" si="138"/>
        <v>0</v>
      </c>
      <c r="W279" s="175">
        <f t="shared" si="138"/>
        <v>0</v>
      </c>
      <c r="X279" s="175">
        <f t="shared" si="138"/>
        <v>0</v>
      </c>
      <c r="Y279" s="175">
        <f t="shared" si="138"/>
        <v>0</v>
      </c>
      <c r="Z279" s="175">
        <f t="shared" si="138"/>
        <v>0</v>
      </c>
      <c r="AA279" s="175">
        <f t="shared" si="138"/>
        <v>0</v>
      </c>
      <c r="AB279" s="175">
        <f t="shared" si="138"/>
        <v>0</v>
      </c>
      <c r="AC279" s="175">
        <f t="shared" si="138"/>
        <v>0</v>
      </c>
      <c r="AD279" s="175">
        <f t="shared" si="138"/>
        <v>0</v>
      </c>
      <c r="AE279" s="175">
        <f t="shared" si="138"/>
        <v>0</v>
      </c>
      <c r="AF279" s="175">
        <f t="shared" si="138"/>
        <v>0</v>
      </c>
      <c r="AG279" s="884">
        <f>SUM(AG269:AG278)</f>
        <v>0</v>
      </c>
      <c r="AH279" s="175">
        <f t="shared" si="138"/>
        <v>0</v>
      </c>
      <c r="AI279" s="178">
        <f t="shared" si="138"/>
        <v>0</v>
      </c>
      <c r="AJ279" s="906">
        <f t="shared" si="138"/>
        <v>0</v>
      </c>
      <c r="AK279" s="920">
        <f t="shared" si="138"/>
        <v>0</v>
      </c>
      <c r="AL279" s="175">
        <f t="shared" si="138"/>
        <v>0</v>
      </c>
      <c r="AM279" s="175">
        <f t="shared" si="138"/>
        <v>0</v>
      </c>
      <c r="AN279" s="175">
        <f t="shared" si="138"/>
        <v>0</v>
      </c>
      <c r="AO279" s="929">
        <f t="shared" si="138"/>
        <v>0</v>
      </c>
      <c r="AP279" s="175">
        <f t="shared" si="138"/>
        <v>0</v>
      </c>
      <c r="AQ279" s="175">
        <f t="shared" si="138"/>
        <v>0</v>
      </c>
      <c r="AR279" s="175">
        <f t="shared" si="138"/>
        <v>0</v>
      </c>
      <c r="AS279" s="175">
        <f t="shared" si="138"/>
        <v>0</v>
      </c>
      <c r="AT279" s="175">
        <f t="shared" si="138"/>
        <v>0</v>
      </c>
      <c r="AU279" s="175">
        <f t="shared" si="138"/>
        <v>0</v>
      </c>
      <c r="AV279" s="175">
        <f t="shared" si="138"/>
        <v>0</v>
      </c>
      <c r="AW279" s="175">
        <f t="shared" si="138"/>
        <v>0</v>
      </c>
      <c r="AX279" s="175">
        <f t="shared" si="138"/>
        <v>0</v>
      </c>
      <c r="AY279" s="175">
        <f t="shared" si="138"/>
        <v>0</v>
      </c>
      <c r="AZ279" s="175">
        <f t="shared" ref="AZ279:CH279" si="139">SUM(AZ269:AZ278)</f>
        <v>0</v>
      </c>
      <c r="BA279" s="175">
        <f t="shared" si="139"/>
        <v>0</v>
      </c>
      <c r="BB279" s="175">
        <f t="shared" si="139"/>
        <v>0</v>
      </c>
      <c r="BC279" s="175">
        <f t="shared" si="139"/>
        <v>0</v>
      </c>
      <c r="BD279" s="175">
        <f t="shared" si="139"/>
        <v>0</v>
      </c>
      <c r="BE279" s="175">
        <f t="shared" si="139"/>
        <v>0</v>
      </c>
      <c r="BF279" s="175">
        <f t="shared" si="139"/>
        <v>0</v>
      </c>
      <c r="BG279" s="175">
        <f t="shared" si="139"/>
        <v>0</v>
      </c>
      <c r="BH279" s="175">
        <f t="shared" si="139"/>
        <v>0</v>
      </c>
      <c r="BI279" s="175">
        <f t="shared" si="139"/>
        <v>0</v>
      </c>
      <c r="BJ279" s="175">
        <f>SUM(BJ269:BJ278)</f>
        <v>0</v>
      </c>
      <c r="BK279" s="175">
        <f t="shared" si="139"/>
        <v>0</v>
      </c>
      <c r="BL279" s="175">
        <f t="shared" si="139"/>
        <v>0</v>
      </c>
      <c r="BM279" s="175">
        <f t="shared" si="139"/>
        <v>0</v>
      </c>
      <c r="BN279" s="175">
        <f t="shared" si="139"/>
        <v>0</v>
      </c>
      <c r="BO279" s="175">
        <f t="shared" si="139"/>
        <v>0</v>
      </c>
      <c r="BP279" s="175">
        <f t="shared" si="139"/>
        <v>0</v>
      </c>
      <c r="BQ279" s="175">
        <f t="shared" si="139"/>
        <v>0</v>
      </c>
      <c r="BR279" s="175">
        <f t="shared" si="139"/>
        <v>0</v>
      </c>
      <c r="BS279" s="175">
        <f t="shared" si="139"/>
        <v>0</v>
      </c>
      <c r="BT279" s="175">
        <f t="shared" si="139"/>
        <v>0</v>
      </c>
      <c r="BU279" s="175">
        <f t="shared" si="139"/>
        <v>0</v>
      </c>
      <c r="BV279" s="175">
        <f t="shared" si="139"/>
        <v>0</v>
      </c>
      <c r="BW279" s="175">
        <f t="shared" si="139"/>
        <v>0</v>
      </c>
      <c r="BX279" s="175">
        <f t="shared" si="139"/>
        <v>0</v>
      </c>
      <c r="BY279" s="175">
        <f t="shared" si="139"/>
        <v>0</v>
      </c>
      <c r="BZ279" s="175">
        <f t="shared" si="139"/>
        <v>0</v>
      </c>
      <c r="CA279" s="175">
        <f t="shared" si="139"/>
        <v>0</v>
      </c>
      <c r="CB279" s="175">
        <f t="shared" si="139"/>
        <v>0</v>
      </c>
      <c r="CC279" s="175">
        <f t="shared" si="139"/>
        <v>0</v>
      </c>
      <c r="CD279" s="175">
        <f t="shared" si="139"/>
        <v>0</v>
      </c>
      <c r="CE279" s="175">
        <f t="shared" si="139"/>
        <v>0</v>
      </c>
      <c r="CF279" s="175">
        <f>SUM(CF269:CF278)</f>
        <v>0</v>
      </c>
      <c r="CG279" s="175">
        <f>SUM(CG269:CG278)</f>
        <v>0</v>
      </c>
      <c r="CH279" s="175">
        <f t="shared" si="139"/>
        <v>0</v>
      </c>
      <c r="CI279" s="175">
        <f t="shared" ref="CI279:DN279" si="140">SUM(CI269:CI278)</f>
        <v>0</v>
      </c>
      <c r="CJ279" s="175">
        <f t="shared" si="140"/>
        <v>0</v>
      </c>
      <c r="CK279" s="175">
        <f t="shared" si="140"/>
        <v>0</v>
      </c>
      <c r="CL279" s="175">
        <f t="shared" si="140"/>
        <v>0</v>
      </c>
      <c r="CM279" s="175">
        <f t="shared" si="140"/>
        <v>0</v>
      </c>
      <c r="CN279" s="175">
        <f t="shared" si="140"/>
        <v>0</v>
      </c>
      <c r="CO279" s="175">
        <f t="shared" si="140"/>
        <v>0</v>
      </c>
      <c r="CP279" s="175">
        <f t="shared" si="140"/>
        <v>0</v>
      </c>
      <c r="CQ279" s="175">
        <f t="shared" si="140"/>
        <v>0</v>
      </c>
      <c r="CR279" s="175">
        <f t="shared" si="140"/>
        <v>0</v>
      </c>
      <c r="CS279" s="175">
        <f t="shared" si="140"/>
        <v>0</v>
      </c>
      <c r="CT279" s="175">
        <f t="shared" si="140"/>
        <v>0</v>
      </c>
      <c r="CU279" s="175">
        <f t="shared" si="140"/>
        <v>0</v>
      </c>
      <c r="CV279" s="175">
        <f t="shared" si="140"/>
        <v>0</v>
      </c>
      <c r="CW279" s="175">
        <f t="shared" si="140"/>
        <v>0</v>
      </c>
      <c r="CX279" s="175">
        <f t="shared" si="140"/>
        <v>0</v>
      </c>
      <c r="CY279" s="175">
        <f t="shared" si="140"/>
        <v>0</v>
      </c>
      <c r="CZ279" s="175">
        <f t="shared" si="140"/>
        <v>0</v>
      </c>
      <c r="DA279" s="175">
        <f t="shared" si="140"/>
        <v>0</v>
      </c>
      <c r="DB279" s="175">
        <f t="shared" si="140"/>
        <v>0</v>
      </c>
      <c r="DC279" s="175">
        <f t="shared" si="140"/>
        <v>0</v>
      </c>
      <c r="DD279" s="175">
        <f t="shared" si="140"/>
        <v>0</v>
      </c>
      <c r="DE279" s="175">
        <f t="shared" si="140"/>
        <v>0</v>
      </c>
      <c r="DF279" s="175">
        <f t="shared" si="140"/>
        <v>0</v>
      </c>
      <c r="DG279" s="175">
        <f t="shared" si="140"/>
        <v>0</v>
      </c>
      <c r="DH279" s="175">
        <f t="shared" si="140"/>
        <v>0</v>
      </c>
      <c r="DI279" s="175">
        <f t="shared" si="140"/>
        <v>0</v>
      </c>
      <c r="DJ279" s="175">
        <f t="shared" si="140"/>
        <v>0</v>
      </c>
      <c r="DK279" s="175">
        <f t="shared" si="140"/>
        <v>0</v>
      </c>
      <c r="DL279" s="14">
        <f t="shared" si="140"/>
        <v>0</v>
      </c>
      <c r="DM279" s="14">
        <f t="shared" si="140"/>
        <v>0</v>
      </c>
      <c r="DN279" s="14">
        <f t="shared" si="140"/>
        <v>0</v>
      </c>
      <c r="DO279" s="14">
        <f t="shared" ref="DO279:FE279" si="141">SUM(DO269:DO278)</f>
        <v>0</v>
      </c>
      <c r="DP279" s="14">
        <f t="shared" si="141"/>
        <v>0</v>
      </c>
      <c r="DQ279" s="14">
        <f t="shared" si="141"/>
        <v>0</v>
      </c>
      <c r="DR279" s="14">
        <f t="shared" si="141"/>
        <v>0</v>
      </c>
      <c r="DS279" s="14">
        <f t="shared" si="141"/>
        <v>0</v>
      </c>
      <c r="DT279" s="14">
        <f t="shared" si="141"/>
        <v>0</v>
      </c>
      <c r="DU279" s="14">
        <f t="shared" si="141"/>
        <v>0</v>
      </c>
      <c r="DV279" s="14">
        <f>SUM(DV269:DV278)</f>
        <v>0</v>
      </c>
      <c r="DW279" s="14">
        <f>SUM(DW269:DW278)</f>
        <v>0</v>
      </c>
      <c r="DX279" s="14">
        <f t="shared" si="141"/>
        <v>0</v>
      </c>
      <c r="DY279" s="14">
        <f t="shared" si="141"/>
        <v>0</v>
      </c>
      <c r="DZ279" s="14">
        <f t="shared" si="141"/>
        <v>0</v>
      </c>
      <c r="EA279" s="14">
        <f>SUM(EA269:EA278)</f>
        <v>0</v>
      </c>
      <c r="EB279" s="14">
        <f t="shared" si="141"/>
        <v>0</v>
      </c>
      <c r="EC279" s="14">
        <f t="shared" si="141"/>
        <v>0</v>
      </c>
      <c r="ED279" s="14">
        <f t="shared" si="141"/>
        <v>0</v>
      </c>
      <c r="EE279" s="508"/>
      <c r="EF279" s="14">
        <f t="shared" si="141"/>
        <v>0</v>
      </c>
      <c r="EG279" s="14">
        <f>SUM(EG269:EG278)</f>
        <v>0</v>
      </c>
      <c r="EH279" s="14">
        <f>SUM(EH269:EH278)</f>
        <v>0</v>
      </c>
      <c r="EI279" s="14">
        <f>SUM(EI269:EI278)</f>
        <v>0</v>
      </c>
      <c r="EJ279" s="14">
        <f t="shared" si="141"/>
        <v>0</v>
      </c>
      <c r="EK279" s="14">
        <f t="shared" si="141"/>
        <v>0</v>
      </c>
      <c r="EL279" s="14">
        <f t="shared" si="141"/>
        <v>0</v>
      </c>
      <c r="EM279" s="14">
        <f t="shared" si="141"/>
        <v>0</v>
      </c>
      <c r="EN279" s="14">
        <f>SUM(EN269:EN278)</f>
        <v>0</v>
      </c>
      <c r="EO279" s="14">
        <f t="shared" si="141"/>
        <v>0</v>
      </c>
      <c r="EP279" s="14">
        <f t="shared" si="141"/>
        <v>0</v>
      </c>
      <c r="EQ279" s="14">
        <f>SUM(EQ269:EQ278)</f>
        <v>0</v>
      </c>
      <c r="ER279" s="14">
        <f>SUM(ER269:ER278)</f>
        <v>0</v>
      </c>
      <c r="ES279" s="14">
        <f t="shared" si="141"/>
        <v>0</v>
      </c>
      <c r="ET279" s="14">
        <f t="shared" si="141"/>
        <v>0</v>
      </c>
      <c r="EU279" s="14">
        <f t="shared" si="141"/>
        <v>0</v>
      </c>
      <c r="EV279" s="14">
        <f t="shared" si="141"/>
        <v>0</v>
      </c>
      <c r="EW279" s="14">
        <f t="shared" si="141"/>
        <v>0</v>
      </c>
      <c r="EX279" s="14">
        <f>SUM(EX269:EX278)</f>
        <v>0</v>
      </c>
      <c r="EY279" s="14">
        <f t="shared" si="141"/>
        <v>0</v>
      </c>
      <c r="EZ279" s="14">
        <f t="shared" si="141"/>
        <v>0</v>
      </c>
      <c r="FA279" s="14">
        <f t="shared" si="141"/>
        <v>0</v>
      </c>
      <c r="FB279" s="14">
        <f t="shared" si="141"/>
        <v>0</v>
      </c>
      <c r="FC279" s="14">
        <f>SUM(FC269:FC278)</f>
        <v>0</v>
      </c>
      <c r="FD279" s="14">
        <f>SUM(FD269:FD278)</f>
        <v>0</v>
      </c>
      <c r="FE279" s="14">
        <f t="shared" si="141"/>
        <v>0</v>
      </c>
      <c r="FF279" s="14"/>
    </row>
    <row r="280" spans="1:162" hidden="1">
      <c r="A280" s="54"/>
      <c r="B280" s="55" t="s">
        <v>3070</v>
      </c>
      <c r="C280" s="11" t="s">
        <v>3546</v>
      </c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885"/>
      <c r="AH280" s="176"/>
      <c r="AI280" s="897"/>
      <c r="AJ280" s="907"/>
      <c r="AK280" s="921"/>
      <c r="AL280" s="176"/>
      <c r="AM280" s="176"/>
      <c r="AN280" s="176"/>
      <c r="AO280" s="176"/>
      <c r="AP280" s="176"/>
      <c r="AQ280" s="176"/>
      <c r="AR280" s="176"/>
      <c r="AS280" s="176"/>
      <c r="AT280" s="176"/>
      <c r="AU280" s="176"/>
      <c r="AV280" s="176"/>
      <c r="AW280" s="176"/>
      <c r="AX280" s="176"/>
      <c r="AY280" s="176"/>
      <c r="AZ280" s="176"/>
      <c r="BA280" s="176"/>
      <c r="BB280" s="176"/>
      <c r="BC280" s="176"/>
      <c r="BD280" s="176"/>
      <c r="BE280" s="176"/>
      <c r="BF280" s="176"/>
      <c r="BG280" s="176"/>
      <c r="BH280" s="176"/>
      <c r="BI280" s="176"/>
      <c r="BJ280" s="176"/>
      <c r="BK280" s="176"/>
      <c r="BL280" s="176"/>
      <c r="BM280" s="176"/>
      <c r="BN280" s="176"/>
      <c r="BO280" s="176"/>
      <c r="BP280" s="176"/>
      <c r="BQ280" s="176"/>
      <c r="BR280" s="176"/>
      <c r="BS280" s="176"/>
      <c r="BT280" s="176"/>
      <c r="BU280" s="176"/>
      <c r="BV280" s="176"/>
      <c r="BW280" s="176"/>
      <c r="BX280" s="176"/>
      <c r="BY280" s="176"/>
      <c r="BZ280" s="176"/>
      <c r="CA280" s="176"/>
      <c r="CB280" s="176"/>
      <c r="CC280" s="176"/>
      <c r="CD280" s="176"/>
      <c r="CE280" s="176"/>
      <c r="CF280" s="176"/>
      <c r="CG280" s="176"/>
      <c r="CH280" s="176"/>
      <c r="CI280" s="176"/>
      <c r="CJ280" s="176"/>
      <c r="CK280" s="176"/>
      <c r="CL280" s="176"/>
      <c r="CM280" s="176"/>
      <c r="CN280" s="176"/>
      <c r="CO280" s="176"/>
      <c r="CP280" s="176"/>
      <c r="CQ280" s="176"/>
      <c r="CR280" s="176"/>
      <c r="CS280" s="176"/>
      <c r="CT280" s="176"/>
      <c r="CU280" s="176"/>
      <c r="CV280" s="176"/>
      <c r="CW280" s="176"/>
      <c r="CX280" s="176"/>
      <c r="CY280" s="176"/>
      <c r="CZ280" s="176"/>
      <c r="DA280" s="176"/>
      <c r="DB280" s="176"/>
      <c r="DC280" s="176"/>
      <c r="DD280" s="176"/>
      <c r="DE280" s="176"/>
      <c r="DF280" s="176"/>
      <c r="DG280" s="176"/>
      <c r="DH280" s="176"/>
      <c r="DI280" s="176"/>
      <c r="DJ280" s="176"/>
      <c r="DK280" s="176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503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3"/>
    </row>
    <row r="281" spans="1:162" s="56" customFormat="1" hidden="1">
      <c r="A281" s="54"/>
      <c r="B281" s="55"/>
      <c r="C281" s="491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173"/>
      <c r="S281" s="174"/>
      <c r="T281" s="174"/>
      <c r="U281" s="174"/>
      <c r="V281" s="174"/>
      <c r="W281" s="174"/>
      <c r="X281" s="174"/>
      <c r="Y281" s="174"/>
      <c r="Z281" s="174"/>
      <c r="AA281" s="174"/>
      <c r="AB281" s="174"/>
      <c r="AC281" s="174"/>
      <c r="AD281" s="174"/>
      <c r="AE281" s="174"/>
      <c r="AF281" s="174"/>
      <c r="AG281" s="883"/>
      <c r="AH281" s="174"/>
      <c r="AI281" s="492"/>
      <c r="AJ281" s="905"/>
      <c r="AK281" s="919"/>
      <c r="AL281" s="174"/>
      <c r="AM281" s="174"/>
      <c r="AN281" s="174"/>
      <c r="AO281" s="928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/>
      <c r="BL281" s="174"/>
      <c r="BM281" s="174"/>
      <c r="BN281" s="174"/>
      <c r="BO281" s="174"/>
      <c r="BP281" s="174"/>
      <c r="BQ281" s="174"/>
      <c r="BR281" s="174"/>
      <c r="BS281" s="174"/>
      <c r="BT281" s="174"/>
      <c r="BU281" s="174"/>
      <c r="BV281" s="174"/>
      <c r="BW281" s="174"/>
      <c r="BX281" s="174"/>
      <c r="BY281" s="174"/>
      <c r="BZ281" s="174"/>
      <c r="CA281" s="174"/>
      <c r="CB281" s="174"/>
      <c r="CC281" s="174"/>
      <c r="CD281" s="174"/>
      <c r="CE281" s="174"/>
      <c r="CF281" s="174"/>
      <c r="CG281" s="174"/>
      <c r="CH281" s="174"/>
      <c r="CI281" s="174"/>
      <c r="CJ281" s="174"/>
      <c r="CK281" s="174"/>
      <c r="CL281" s="174"/>
      <c r="CM281" s="174"/>
      <c r="CN281" s="174"/>
      <c r="CO281" s="174"/>
      <c r="CP281" s="174"/>
      <c r="CQ281" s="174"/>
      <c r="CR281" s="174"/>
      <c r="CS281" s="174"/>
      <c r="CT281" s="174"/>
      <c r="CU281" s="174"/>
      <c r="CV281" s="174"/>
      <c r="CW281" s="174"/>
      <c r="CX281" s="174"/>
      <c r="CY281" s="174"/>
      <c r="CZ281" s="174"/>
      <c r="DA281" s="174"/>
      <c r="DB281" s="174"/>
      <c r="DC281" s="174"/>
      <c r="DD281" s="174"/>
      <c r="DE281" s="174"/>
      <c r="DF281" s="174"/>
      <c r="DG281" s="174"/>
      <c r="DH281" s="174"/>
      <c r="DI281" s="174"/>
      <c r="DJ281" s="174"/>
      <c r="DK281" s="174"/>
      <c r="DL281" s="62"/>
      <c r="DM281" s="62"/>
      <c r="DN281" s="62"/>
      <c r="DO281" s="62"/>
      <c r="DP281" s="62"/>
      <c r="DQ281" s="62"/>
      <c r="DR281" s="62"/>
      <c r="DS281" s="62"/>
      <c r="DT281" s="62"/>
      <c r="DU281" s="62"/>
      <c r="DV281" s="62"/>
      <c r="DW281" s="62"/>
      <c r="DX281" s="62"/>
      <c r="DY281" s="62"/>
      <c r="DZ281" s="62"/>
      <c r="EA281" s="62"/>
      <c r="EB281" s="62"/>
      <c r="EC281" s="62"/>
      <c r="ED281" s="62"/>
      <c r="EE281" s="454"/>
      <c r="EF281" s="62"/>
      <c r="EG281" s="62"/>
      <c r="EH281" s="62"/>
      <c r="EI281" s="62"/>
      <c r="EJ281" s="62"/>
      <c r="EK281" s="62"/>
      <c r="EL281" s="62"/>
      <c r="EM281" s="62"/>
      <c r="EN281" s="62"/>
      <c r="EO281" s="62"/>
      <c r="EP281" s="62"/>
      <c r="EQ281" s="62"/>
      <c r="ER281" s="62"/>
      <c r="ES281" s="62"/>
      <c r="ET281" s="62"/>
      <c r="EU281" s="62"/>
      <c r="EV281" s="62"/>
      <c r="EW281" s="62"/>
      <c r="EX281" s="62"/>
      <c r="EY281" s="62"/>
      <c r="EZ281" s="62"/>
      <c r="FA281" s="62"/>
      <c r="FB281" s="62"/>
      <c r="FC281" s="62"/>
      <c r="FD281" s="62"/>
      <c r="FE281" s="62"/>
      <c r="FF281" s="62"/>
    </row>
    <row r="282" spans="1:162" s="56" customFormat="1" hidden="1">
      <c r="A282" s="54"/>
      <c r="B282" s="55"/>
      <c r="C282" s="491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173"/>
      <c r="S282" s="174"/>
      <c r="T282" s="174"/>
      <c r="U282" s="174"/>
      <c r="V282" s="174"/>
      <c r="W282" s="174"/>
      <c r="X282" s="174"/>
      <c r="Y282" s="174"/>
      <c r="Z282" s="174"/>
      <c r="AA282" s="174"/>
      <c r="AB282" s="174"/>
      <c r="AC282" s="174"/>
      <c r="AD282" s="174"/>
      <c r="AE282" s="174"/>
      <c r="AF282" s="174"/>
      <c r="AG282" s="883"/>
      <c r="AH282" s="174"/>
      <c r="AI282" s="492"/>
      <c r="AJ282" s="905"/>
      <c r="AK282" s="919"/>
      <c r="AL282" s="174"/>
      <c r="AM282" s="174"/>
      <c r="AN282" s="174"/>
      <c r="AO282" s="928"/>
      <c r="AP282" s="174"/>
      <c r="AQ282" s="174"/>
      <c r="AR282" s="174"/>
      <c r="AS282" s="174"/>
      <c r="AT282" s="174"/>
      <c r="AU282" s="174"/>
      <c r="AV282" s="174"/>
      <c r="AW282" s="174"/>
      <c r="AX282" s="174"/>
      <c r="AY282" s="174"/>
      <c r="AZ282" s="174"/>
      <c r="BA282" s="174"/>
      <c r="BB282" s="174"/>
      <c r="BC282" s="174"/>
      <c r="BD282" s="174"/>
      <c r="BE282" s="174"/>
      <c r="BF282" s="174"/>
      <c r="BG282" s="174"/>
      <c r="BH282" s="174"/>
      <c r="BI282" s="174"/>
      <c r="BJ282" s="174"/>
      <c r="BK282" s="174"/>
      <c r="BL282" s="174"/>
      <c r="BM282" s="174"/>
      <c r="BN282" s="174"/>
      <c r="BO282" s="174"/>
      <c r="BP282" s="174"/>
      <c r="BQ282" s="174"/>
      <c r="BR282" s="174"/>
      <c r="BS282" s="174"/>
      <c r="BT282" s="174"/>
      <c r="BU282" s="174"/>
      <c r="BV282" s="174"/>
      <c r="BW282" s="174"/>
      <c r="BX282" s="174"/>
      <c r="BY282" s="174"/>
      <c r="BZ282" s="174"/>
      <c r="CA282" s="174"/>
      <c r="CB282" s="174"/>
      <c r="CC282" s="174"/>
      <c r="CD282" s="174"/>
      <c r="CE282" s="174"/>
      <c r="CF282" s="174"/>
      <c r="CG282" s="174"/>
      <c r="CH282" s="174"/>
      <c r="CI282" s="174"/>
      <c r="CJ282" s="174"/>
      <c r="CK282" s="174"/>
      <c r="CL282" s="174"/>
      <c r="CM282" s="174"/>
      <c r="CN282" s="174"/>
      <c r="CO282" s="174"/>
      <c r="CP282" s="174"/>
      <c r="CQ282" s="174"/>
      <c r="CR282" s="174"/>
      <c r="CS282" s="174"/>
      <c r="CT282" s="174"/>
      <c r="CU282" s="174"/>
      <c r="CV282" s="174"/>
      <c r="CW282" s="174"/>
      <c r="CX282" s="174"/>
      <c r="CY282" s="174"/>
      <c r="CZ282" s="174"/>
      <c r="DA282" s="174"/>
      <c r="DB282" s="174"/>
      <c r="DC282" s="174"/>
      <c r="DD282" s="174"/>
      <c r="DE282" s="174"/>
      <c r="DF282" s="174"/>
      <c r="DG282" s="174"/>
      <c r="DH282" s="174"/>
      <c r="DI282" s="174"/>
      <c r="DJ282" s="174"/>
      <c r="DK282" s="174"/>
      <c r="DL282" s="62"/>
      <c r="DM282" s="62"/>
      <c r="DN282" s="62"/>
      <c r="DO282" s="62"/>
      <c r="DP282" s="62"/>
      <c r="DQ282" s="62"/>
      <c r="DR282" s="62"/>
      <c r="DS282" s="62"/>
      <c r="DT282" s="62"/>
      <c r="DU282" s="62"/>
      <c r="DV282" s="62"/>
      <c r="DW282" s="62"/>
      <c r="DX282" s="62"/>
      <c r="DY282" s="62"/>
      <c r="DZ282" s="62"/>
      <c r="EA282" s="62"/>
      <c r="EB282" s="62"/>
      <c r="EC282" s="62"/>
      <c r="ED282" s="62"/>
      <c r="EE282" s="454"/>
      <c r="EF282" s="62"/>
      <c r="EG282" s="62"/>
      <c r="EH282" s="62"/>
      <c r="EI282" s="62"/>
      <c r="EJ282" s="62"/>
      <c r="EK282" s="62"/>
      <c r="EL282" s="62"/>
      <c r="EM282" s="62"/>
      <c r="EN282" s="62"/>
      <c r="EO282" s="62"/>
      <c r="EP282" s="62"/>
      <c r="EQ282" s="62"/>
      <c r="ER282" s="62"/>
      <c r="ES282" s="62"/>
      <c r="ET282" s="62"/>
      <c r="EU282" s="62"/>
      <c r="EV282" s="62"/>
      <c r="EW282" s="62"/>
      <c r="EX282" s="62"/>
      <c r="EY282" s="62"/>
      <c r="EZ282" s="62"/>
      <c r="FA282" s="62"/>
      <c r="FB282" s="62"/>
      <c r="FC282" s="62"/>
      <c r="FD282" s="62"/>
      <c r="FE282" s="62"/>
      <c r="FF282" s="62"/>
    </row>
    <row r="283" spans="1:162" hidden="1">
      <c r="A283" s="487">
        <f>MATCH(C283,$C$5:$C$361,0)</f>
        <v>279</v>
      </c>
      <c r="C283" s="14" t="s">
        <v>3034</v>
      </c>
      <c r="D283" s="14">
        <f t="shared" ref="D283:Q283" si="142">SUM(D281:D282)</f>
        <v>0</v>
      </c>
      <c r="E283" s="14">
        <f t="shared" si="142"/>
        <v>0</v>
      </c>
      <c r="F283" s="14">
        <f t="shared" si="142"/>
        <v>0</v>
      </c>
      <c r="G283" s="14">
        <f t="shared" si="142"/>
        <v>0</v>
      </c>
      <c r="H283" s="14">
        <f t="shared" si="142"/>
        <v>0</v>
      </c>
      <c r="I283" s="14">
        <f t="shared" si="142"/>
        <v>0</v>
      </c>
      <c r="J283" s="14">
        <f t="shared" si="142"/>
        <v>0</v>
      </c>
      <c r="K283" s="14">
        <f t="shared" si="142"/>
        <v>0</v>
      </c>
      <c r="L283" s="14">
        <f t="shared" si="142"/>
        <v>0</v>
      </c>
      <c r="M283" s="14">
        <f t="shared" si="142"/>
        <v>0</v>
      </c>
      <c r="N283" s="14">
        <f t="shared" si="142"/>
        <v>0</v>
      </c>
      <c r="O283" s="14">
        <f t="shared" si="142"/>
        <v>0</v>
      </c>
      <c r="P283" s="14">
        <f t="shared" si="142"/>
        <v>0</v>
      </c>
      <c r="Q283" s="14">
        <f t="shared" si="142"/>
        <v>0</v>
      </c>
      <c r="R283" s="14"/>
      <c r="S283" s="175">
        <f t="shared" ref="S283:AY283" si="143">SUM(S281:S282)</f>
        <v>0</v>
      </c>
      <c r="T283" s="175">
        <f t="shared" si="143"/>
        <v>0</v>
      </c>
      <c r="U283" s="175">
        <f t="shared" si="143"/>
        <v>0</v>
      </c>
      <c r="V283" s="175">
        <f t="shared" si="143"/>
        <v>0</v>
      </c>
      <c r="W283" s="175">
        <f t="shared" si="143"/>
        <v>0</v>
      </c>
      <c r="X283" s="175">
        <f t="shared" si="143"/>
        <v>0</v>
      </c>
      <c r="Y283" s="175">
        <f t="shared" si="143"/>
        <v>0</v>
      </c>
      <c r="Z283" s="175">
        <f t="shared" si="143"/>
        <v>0</v>
      </c>
      <c r="AA283" s="175">
        <f t="shared" si="143"/>
        <v>0</v>
      </c>
      <c r="AB283" s="175">
        <f t="shared" si="143"/>
        <v>0</v>
      </c>
      <c r="AC283" s="175">
        <f t="shared" si="143"/>
        <v>0</v>
      </c>
      <c r="AD283" s="175">
        <f t="shared" si="143"/>
        <v>0</v>
      </c>
      <c r="AE283" s="175">
        <f t="shared" si="143"/>
        <v>0</v>
      </c>
      <c r="AF283" s="175">
        <f t="shared" si="143"/>
        <v>0</v>
      </c>
      <c r="AG283" s="884">
        <f>SUM(AG281:AG282)</f>
        <v>0</v>
      </c>
      <c r="AH283" s="175">
        <f t="shared" si="143"/>
        <v>0</v>
      </c>
      <c r="AI283" s="178">
        <f t="shared" si="143"/>
        <v>0</v>
      </c>
      <c r="AJ283" s="906">
        <f t="shared" si="143"/>
        <v>0</v>
      </c>
      <c r="AK283" s="920">
        <f t="shared" si="143"/>
        <v>0</v>
      </c>
      <c r="AL283" s="175">
        <f t="shared" si="143"/>
        <v>0</v>
      </c>
      <c r="AM283" s="175">
        <f t="shared" si="143"/>
        <v>0</v>
      </c>
      <c r="AN283" s="175">
        <f t="shared" si="143"/>
        <v>0</v>
      </c>
      <c r="AO283" s="929">
        <f t="shared" si="143"/>
        <v>0</v>
      </c>
      <c r="AP283" s="175">
        <f t="shared" si="143"/>
        <v>0</v>
      </c>
      <c r="AQ283" s="175">
        <f t="shared" si="143"/>
        <v>0</v>
      </c>
      <c r="AR283" s="175">
        <f t="shared" si="143"/>
        <v>0</v>
      </c>
      <c r="AS283" s="175">
        <f t="shared" si="143"/>
        <v>0</v>
      </c>
      <c r="AT283" s="175">
        <f t="shared" si="143"/>
        <v>0</v>
      </c>
      <c r="AU283" s="175">
        <f t="shared" si="143"/>
        <v>0</v>
      </c>
      <c r="AV283" s="175">
        <f t="shared" si="143"/>
        <v>0</v>
      </c>
      <c r="AW283" s="175">
        <f t="shared" si="143"/>
        <v>0</v>
      </c>
      <c r="AX283" s="175">
        <f t="shared" si="143"/>
        <v>0</v>
      </c>
      <c r="AY283" s="175">
        <f t="shared" si="143"/>
        <v>0</v>
      </c>
      <c r="AZ283" s="175">
        <f t="shared" ref="AZ283:CF283" si="144">SUM(AZ281:AZ282)</f>
        <v>0</v>
      </c>
      <c r="BA283" s="175">
        <f t="shared" si="144"/>
        <v>0</v>
      </c>
      <c r="BB283" s="175">
        <f t="shared" si="144"/>
        <v>0</v>
      </c>
      <c r="BC283" s="175">
        <f t="shared" si="144"/>
        <v>0</v>
      </c>
      <c r="BD283" s="175">
        <f t="shared" si="144"/>
        <v>0</v>
      </c>
      <c r="BE283" s="175">
        <f t="shared" si="144"/>
        <v>0</v>
      </c>
      <c r="BF283" s="175">
        <f t="shared" si="144"/>
        <v>0</v>
      </c>
      <c r="BG283" s="175">
        <f t="shared" si="144"/>
        <v>0</v>
      </c>
      <c r="BH283" s="175">
        <f t="shared" si="144"/>
        <v>0</v>
      </c>
      <c r="BI283" s="175">
        <f t="shared" si="144"/>
        <v>0</v>
      </c>
      <c r="BJ283" s="175">
        <f>SUM(BJ281:BJ282)</f>
        <v>0</v>
      </c>
      <c r="BK283" s="175">
        <f t="shared" si="144"/>
        <v>0</v>
      </c>
      <c r="BL283" s="175">
        <f t="shared" si="144"/>
        <v>0</v>
      </c>
      <c r="BM283" s="175">
        <f t="shared" si="144"/>
        <v>0</v>
      </c>
      <c r="BN283" s="175">
        <f t="shared" si="144"/>
        <v>0</v>
      </c>
      <c r="BO283" s="175">
        <f t="shared" si="144"/>
        <v>0</v>
      </c>
      <c r="BP283" s="175">
        <f t="shared" si="144"/>
        <v>0</v>
      </c>
      <c r="BQ283" s="175">
        <f t="shared" si="144"/>
        <v>0</v>
      </c>
      <c r="BR283" s="175">
        <f t="shared" si="144"/>
        <v>0</v>
      </c>
      <c r="BS283" s="175">
        <f t="shared" si="144"/>
        <v>0</v>
      </c>
      <c r="BT283" s="175">
        <f t="shared" si="144"/>
        <v>0</v>
      </c>
      <c r="BU283" s="175">
        <f t="shared" si="144"/>
        <v>0</v>
      </c>
      <c r="BV283" s="175">
        <f t="shared" si="144"/>
        <v>0</v>
      </c>
      <c r="BW283" s="175">
        <f t="shared" si="144"/>
        <v>0</v>
      </c>
      <c r="BX283" s="175">
        <f t="shared" si="144"/>
        <v>0</v>
      </c>
      <c r="BY283" s="175">
        <f t="shared" si="144"/>
        <v>0</v>
      </c>
      <c r="BZ283" s="175">
        <f t="shared" si="144"/>
        <v>0</v>
      </c>
      <c r="CA283" s="175">
        <f t="shared" si="144"/>
        <v>0</v>
      </c>
      <c r="CB283" s="175">
        <f t="shared" si="144"/>
        <v>0</v>
      </c>
      <c r="CC283" s="175">
        <f t="shared" si="144"/>
        <v>0</v>
      </c>
      <c r="CD283" s="175">
        <f t="shared" si="144"/>
        <v>0</v>
      </c>
      <c r="CE283" s="175">
        <f t="shared" si="144"/>
        <v>0</v>
      </c>
      <c r="CF283" s="175">
        <f t="shared" si="144"/>
        <v>0</v>
      </c>
      <c r="CG283" s="175">
        <f t="shared" ref="CG283:DL283" si="145">SUM(CG281:CG282)</f>
        <v>0</v>
      </c>
      <c r="CH283" s="175">
        <f t="shared" si="145"/>
        <v>0</v>
      </c>
      <c r="CI283" s="175">
        <f t="shared" si="145"/>
        <v>0</v>
      </c>
      <c r="CJ283" s="175">
        <f t="shared" si="145"/>
        <v>0</v>
      </c>
      <c r="CK283" s="175">
        <f t="shared" si="145"/>
        <v>0</v>
      </c>
      <c r="CL283" s="175">
        <f t="shared" si="145"/>
        <v>0</v>
      </c>
      <c r="CM283" s="175">
        <f t="shared" si="145"/>
        <v>0</v>
      </c>
      <c r="CN283" s="175">
        <f t="shared" si="145"/>
        <v>0</v>
      </c>
      <c r="CO283" s="175">
        <f t="shared" si="145"/>
        <v>0</v>
      </c>
      <c r="CP283" s="175">
        <f t="shared" si="145"/>
        <v>0</v>
      </c>
      <c r="CQ283" s="175">
        <f t="shared" si="145"/>
        <v>0</v>
      </c>
      <c r="CR283" s="175">
        <f t="shared" si="145"/>
        <v>0</v>
      </c>
      <c r="CS283" s="175">
        <f t="shared" si="145"/>
        <v>0</v>
      </c>
      <c r="CT283" s="175">
        <f t="shared" si="145"/>
        <v>0</v>
      </c>
      <c r="CU283" s="175">
        <f t="shared" si="145"/>
        <v>0</v>
      </c>
      <c r="CV283" s="175">
        <f t="shared" si="145"/>
        <v>0</v>
      </c>
      <c r="CW283" s="175">
        <f t="shared" si="145"/>
        <v>0</v>
      </c>
      <c r="CX283" s="175">
        <f t="shared" si="145"/>
        <v>0</v>
      </c>
      <c r="CY283" s="175">
        <f t="shared" si="145"/>
        <v>0</v>
      </c>
      <c r="CZ283" s="175">
        <f t="shared" si="145"/>
        <v>0</v>
      </c>
      <c r="DA283" s="175">
        <f t="shared" si="145"/>
        <v>0</v>
      </c>
      <c r="DB283" s="175">
        <f t="shared" si="145"/>
        <v>0</v>
      </c>
      <c r="DC283" s="175">
        <f t="shared" si="145"/>
        <v>0</v>
      </c>
      <c r="DD283" s="175">
        <f t="shared" si="145"/>
        <v>0</v>
      </c>
      <c r="DE283" s="175">
        <f t="shared" si="145"/>
        <v>0</v>
      </c>
      <c r="DF283" s="175">
        <f t="shared" si="145"/>
        <v>0</v>
      </c>
      <c r="DG283" s="175">
        <f t="shared" si="145"/>
        <v>0</v>
      </c>
      <c r="DH283" s="175">
        <f t="shared" si="145"/>
        <v>0</v>
      </c>
      <c r="DI283" s="175">
        <f t="shared" si="145"/>
        <v>0</v>
      </c>
      <c r="DJ283" s="175">
        <f t="shared" si="145"/>
        <v>0</v>
      </c>
      <c r="DK283" s="175">
        <f t="shared" si="145"/>
        <v>0</v>
      </c>
      <c r="DL283" s="14">
        <f t="shared" si="145"/>
        <v>0</v>
      </c>
      <c r="DM283" s="14">
        <f t="shared" ref="DM283:ES283" si="146">SUM(DM281:DM282)</f>
        <v>0</v>
      </c>
      <c r="DN283" s="14">
        <f t="shared" si="146"/>
        <v>0</v>
      </c>
      <c r="DO283" s="14">
        <f t="shared" si="146"/>
        <v>0</v>
      </c>
      <c r="DP283" s="14">
        <f t="shared" si="146"/>
        <v>0</v>
      </c>
      <c r="DQ283" s="14">
        <f t="shared" si="146"/>
        <v>0</v>
      </c>
      <c r="DR283" s="14">
        <f t="shared" si="146"/>
        <v>0</v>
      </c>
      <c r="DS283" s="14">
        <f t="shared" si="146"/>
        <v>0</v>
      </c>
      <c r="DT283" s="14">
        <f t="shared" si="146"/>
        <v>0</v>
      </c>
      <c r="DU283" s="14">
        <f t="shared" si="146"/>
        <v>0</v>
      </c>
      <c r="DV283" s="14">
        <f t="shared" si="146"/>
        <v>0</v>
      </c>
      <c r="DW283" s="14">
        <f t="shared" si="146"/>
        <v>0</v>
      </c>
      <c r="DX283" s="14">
        <f t="shared" si="146"/>
        <v>0</v>
      </c>
      <c r="DY283" s="14">
        <f t="shared" si="146"/>
        <v>0</v>
      </c>
      <c r="DZ283" s="14">
        <f t="shared" si="146"/>
        <v>0</v>
      </c>
      <c r="EA283" s="14">
        <f t="shared" si="146"/>
        <v>0</v>
      </c>
      <c r="EB283" s="14">
        <f t="shared" si="146"/>
        <v>0</v>
      </c>
      <c r="EC283" s="14">
        <f t="shared" si="146"/>
        <v>0</v>
      </c>
      <c r="ED283" s="14">
        <f t="shared" si="146"/>
        <v>0</v>
      </c>
      <c r="EE283" s="508"/>
      <c r="EF283" s="14">
        <f t="shared" si="146"/>
        <v>0</v>
      </c>
      <c r="EG283" s="14">
        <f t="shared" si="146"/>
        <v>0</v>
      </c>
      <c r="EH283" s="14">
        <f t="shared" si="146"/>
        <v>0</v>
      </c>
      <c r="EI283" s="14">
        <f t="shared" si="146"/>
        <v>0</v>
      </c>
      <c r="EJ283" s="14">
        <f t="shared" si="146"/>
        <v>0</v>
      </c>
      <c r="EK283" s="14">
        <f t="shared" si="146"/>
        <v>0</v>
      </c>
      <c r="EL283" s="14">
        <f t="shared" si="146"/>
        <v>0</v>
      </c>
      <c r="EM283" s="14">
        <f t="shared" si="146"/>
        <v>0</v>
      </c>
      <c r="EN283" s="14">
        <f t="shared" si="146"/>
        <v>0</v>
      </c>
      <c r="EO283" s="14">
        <f t="shared" si="146"/>
        <v>0</v>
      </c>
      <c r="EP283" s="14">
        <f t="shared" si="146"/>
        <v>0</v>
      </c>
      <c r="EQ283" s="14">
        <f t="shared" si="146"/>
        <v>0</v>
      </c>
      <c r="ER283" s="14">
        <f t="shared" si="146"/>
        <v>0</v>
      </c>
      <c r="ES283" s="14">
        <f t="shared" si="146"/>
        <v>0</v>
      </c>
      <c r="ET283" s="14">
        <f t="shared" ref="ET283:FE283" si="147">SUM(ET281:ET282)</f>
        <v>0</v>
      </c>
      <c r="EU283" s="14">
        <f t="shared" si="147"/>
        <v>0</v>
      </c>
      <c r="EV283" s="14">
        <f t="shared" si="147"/>
        <v>0</v>
      </c>
      <c r="EW283" s="14">
        <f t="shared" si="147"/>
        <v>0</v>
      </c>
      <c r="EX283" s="14">
        <f t="shared" si="147"/>
        <v>0</v>
      </c>
      <c r="EY283" s="14">
        <f t="shared" si="147"/>
        <v>0</v>
      </c>
      <c r="EZ283" s="14">
        <f t="shared" si="147"/>
        <v>0</v>
      </c>
      <c r="FA283" s="14">
        <f t="shared" si="147"/>
        <v>0</v>
      </c>
      <c r="FB283" s="14">
        <f t="shared" si="147"/>
        <v>0</v>
      </c>
      <c r="FC283" s="14">
        <f t="shared" si="147"/>
        <v>0</v>
      </c>
      <c r="FD283" s="14">
        <f t="shared" si="147"/>
        <v>0</v>
      </c>
      <c r="FE283" s="14">
        <f t="shared" si="147"/>
        <v>0</v>
      </c>
      <c r="FF283" s="14"/>
    </row>
    <row r="284" spans="1:162" hidden="1">
      <c r="A284" s="54"/>
      <c r="B284" s="55" t="s">
        <v>3071</v>
      </c>
      <c r="C284" s="11" t="s">
        <v>3072</v>
      </c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885"/>
      <c r="AH284" s="176"/>
      <c r="AI284" s="897"/>
      <c r="AJ284" s="907"/>
      <c r="AK284" s="921"/>
      <c r="AL284" s="176"/>
      <c r="AM284" s="176"/>
      <c r="AN284" s="176"/>
      <c r="AO284" s="176"/>
      <c r="AP284" s="176"/>
      <c r="AQ284" s="176"/>
      <c r="AR284" s="176"/>
      <c r="AS284" s="176"/>
      <c r="AT284" s="176"/>
      <c r="AU284" s="176"/>
      <c r="AV284" s="176"/>
      <c r="AW284" s="176"/>
      <c r="AX284" s="176"/>
      <c r="AY284" s="176"/>
      <c r="AZ284" s="176"/>
      <c r="BA284" s="176"/>
      <c r="BB284" s="176"/>
      <c r="BC284" s="176"/>
      <c r="BD284" s="176"/>
      <c r="BE284" s="176"/>
      <c r="BF284" s="176"/>
      <c r="BG284" s="176"/>
      <c r="BH284" s="176"/>
      <c r="BI284" s="176"/>
      <c r="BJ284" s="176"/>
      <c r="BK284" s="176"/>
      <c r="BL284" s="176"/>
      <c r="BM284" s="176"/>
      <c r="BN284" s="176"/>
      <c r="BO284" s="176"/>
      <c r="BP284" s="176"/>
      <c r="BQ284" s="176"/>
      <c r="BR284" s="176"/>
      <c r="BS284" s="176"/>
      <c r="BT284" s="176"/>
      <c r="BU284" s="176"/>
      <c r="BV284" s="176"/>
      <c r="BW284" s="176"/>
      <c r="BX284" s="176"/>
      <c r="BY284" s="176"/>
      <c r="BZ284" s="176"/>
      <c r="CA284" s="176"/>
      <c r="CB284" s="176"/>
      <c r="CC284" s="176"/>
      <c r="CD284" s="176"/>
      <c r="CE284" s="176"/>
      <c r="CF284" s="176"/>
      <c r="CG284" s="176"/>
      <c r="CH284" s="176"/>
      <c r="CI284" s="176"/>
      <c r="CJ284" s="176"/>
      <c r="CK284" s="176"/>
      <c r="CL284" s="176"/>
      <c r="CM284" s="176"/>
      <c r="CN284" s="176"/>
      <c r="CO284" s="176"/>
      <c r="CP284" s="176"/>
      <c r="CQ284" s="176"/>
      <c r="CR284" s="176"/>
      <c r="CS284" s="176"/>
      <c r="CT284" s="176"/>
      <c r="CU284" s="176"/>
      <c r="CV284" s="176"/>
      <c r="CW284" s="176"/>
      <c r="CX284" s="176"/>
      <c r="CY284" s="176"/>
      <c r="CZ284" s="176"/>
      <c r="DA284" s="176"/>
      <c r="DB284" s="176"/>
      <c r="DC284" s="176"/>
      <c r="DD284" s="176"/>
      <c r="DE284" s="176"/>
      <c r="DF284" s="176"/>
      <c r="DG284" s="176"/>
      <c r="DH284" s="176"/>
      <c r="DI284" s="176"/>
      <c r="DJ284" s="176"/>
      <c r="DK284" s="176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503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3"/>
    </row>
    <row r="285" spans="1:162" s="56" customFormat="1" hidden="1">
      <c r="A285" s="54"/>
      <c r="B285" s="55"/>
      <c r="C285" s="491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173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883"/>
      <c r="AH285" s="174"/>
      <c r="AI285" s="492"/>
      <c r="AJ285" s="905"/>
      <c r="AK285" s="919"/>
      <c r="AL285" s="174"/>
      <c r="AM285" s="174"/>
      <c r="AN285" s="174"/>
      <c r="AO285" s="928"/>
      <c r="AP285" s="174"/>
      <c r="AQ285" s="174"/>
      <c r="AR285" s="174"/>
      <c r="AS285" s="174"/>
      <c r="AT285" s="174"/>
      <c r="AU285" s="174"/>
      <c r="AV285" s="174"/>
      <c r="AW285" s="174"/>
      <c r="AX285" s="174"/>
      <c r="AY285" s="174"/>
      <c r="AZ285" s="174"/>
      <c r="BA285" s="174"/>
      <c r="BB285" s="174"/>
      <c r="BC285" s="174"/>
      <c r="BD285" s="174"/>
      <c r="BE285" s="174"/>
      <c r="BF285" s="174"/>
      <c r="BG285" s="174"/>
      <c r="BH285" s="174"/>
      <c r="BI285" s="174"/>
      <c r="BJ285" s="174"/>
      <c r="BK285" s="174"/>
      <c r="BL285" s="174"/>
      <c r="BM285" s="174"/>
      <c r="BN285" s="174"/>
      <c r="BO285" s="174"/>
      <c r="BP285" s="174"/>
      <c r="BQ285" s="174"/>
      <c r="BR285" s="174"/>
      <c r="BS285" s="174"/>
      <c r="BT285" s="174"/>
      <c r="BU285" s="174"/>
      <c r="BV285" s="174"/>
      <c r="BW285" s="174"/>
      <c r="BX285" s="174"/>
      <c r="BY285" s="174"/>
      <c r="BZ285" s="174"/>
      <c r="CA285" s="174"/>
      <c r="CB285" s="174"/>
      <c r="CC285" s="174"/>
      <c r="CD285" s="174"/>
      <c r="CE285" s="174"/>
      <c r="CF285" s="174"/>
      <c r="CG285" s="174"/>
      <c r="CH285" s="174"/>
      <c r="CI285" s="174"/>
      <c r="CJ285" s="174"/>
      <c r="CK285" s="174"/>
      <c r="CL285" s="174"/>
      <c r="CM285" s="174"/>
      <c r="CN285" s="174"/>
      <c r="CO285" s="174"/>
      <c r="CP285" s="174"/>
      <c r="CQ285" s="174"/>
      <c r="CR285" s="174"/>
      <c r="CS285" s="174"/>
      <c r="CT285" s="174"/>
      <c r="CU285" s="174"/>
      <c r="CV285" s="174"/>
      <c r="CW285" s="174"/>
      <c r="CX285" s="174"/>
      <c r="CY285" s="174"/>
      <c r="CZ285" s="174"/>
      <c r="DA285" s="174"/>
      <c r="DB285" s="174"/>
      <c r="DC285" s="174"/>
      <c r="DD285" s="174"/>
      <c r="DE285" s="174"/>
      <c r="DF285" s="174"/>
      <c r="DG285" s="174"/>
      <c r="DH285" s="174"/>
      <c r="DI285" s="174"/>
      <c r="DJ285" s="174"/>
      <c r="DK285" s="174"/>
      <c r="DL285" s="62"/>
      <c r="DM285" s="62"/>
      <c r="DN285" s="62"/>
      <c r="DO285" s="62"/>
      <c r="DP285" s="62"/>
      <c r="DQ285" s="62"/>
      <c r="DR285" s="62"/>
      <c r="DS285" s="62"/>
      <c r="DT285" s="62"/>
      <c r="DU285" s="62"/>
      <c r="DV285" s="62"/>
      <c r="DW285" s="62"/>
      <c r="DX285" s="62"/>
      <c r="DY285" s="62"/>
      <c r="DZ285" s="62"/>
      <c r="EA285" s="62"/>
      <c r="EB285" s="62"/>
      <c r="EC285" s="62"/>
      <c r="ED285" s="62"/>
      <c r="EE285" s="454"/>
      <c r="EF285" s="62"/>
      <c r="EG285" s="62"/>
      <c r="EH285" s="62"/>
      <c r="EI285" s="62"/>
      <c r="EJ285" s="62"/>
      <c r="EK285" s="62"/>
      <c r="EL285" s="62"/>
      <c r="EM285" s="62"/>
      <c r="EN285" s="62"/>
      <c r="EO285" s="62"/>
      <c r="EP285" s="62"/>
      <c r="EQ285" s="62"/>
      <c r="ER285" s="62"/>
      <c r="ES285" s="62"/>
      <c r="ET285" s="62"/>
      <c r="EU285" s="62"/>
      <c r="EV285" s="62"/>
      <c r="EW285" s="62"/>
      <c r="EX285" s="62"/>
      <c r="EY285" s="62"/>
      <c r="EZ285" s="62"/>
      <c r="FA285" s="62"/>
      <c r="FB285" s="62"/>
      <c r="FC285" s="62"/>
      <c r="FD285" s="62"/>
      <c r="FE285" s="62"/>
      <c r="FF285" s="62"/>
    </row>
    <row r="286" spans="1:162" s="56" customFormat="1" hidden="1">
      <c r="A286" s="54"/>
      <c r="B286" s="55"/>
      <c r="C286" s="491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173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883"/>
      <c r="AH286" s="174"/>
      <c r="AI286" s="492"/>
      <c r="AJ286" s="905"/>
      <c r="AK286" s="919"/>
      <c r="AL286" s="174"/>
      <c r="AM286" s="174"/>
      <c r="AN286" s="174"/>
      <c r="AO286" s="928"/>
      <c r="AP286" s="174"/>
      <c r="AQ286" s="174"/>
      <c r="AR286" s="174"/>
      <c r="AS286" s="174"/>
      <c r="AT286" s="174"/>
      <c r="AU286" s="174"/>
      <c r="AV286" s="174"/>
      <c r="AW286" s="174"/>
      <c r="AX286" s="174"/>
      <c r="AY286" s="174"/>
      <c r="AZ286" s="174"/>
      <c r="BA286" s="174"/>
      <c r="BB286" s="174"/>
      <c r="BC286" s="174"/>
      <c r="BD286" s="174"/>
      <c r="BE286" s="174"/>
      <c r="BF286" s="174"/>
      <c r="BG286" s="174"/>
      <c r="BH286" s="174"/>
      <c r="BI286" s="174"/>
      <c r="BJ286" s="174"/>
      <c r="BK286" s="174"/>
      <c r="BL286" s="174"/>
      <c r="BM286" s="174"/>
      <c r="BN286" s="174"/>
      <c r="BO286" s="174"/>
      <c r="BP286" s="174"/>
      <c r="BQ286" s="174"/>
      <c r="BR286" s="174"/>
      <c r="BS286" s="174"/>
      <c r="BT286" s="174"/>
      <c r="BU286" s="174"/>
      <c r="BV286" s="174"/>
      <c r="BW286" s="174"/>
      <c r="BX286" s="174"/>
      <c r="BY286" s="174"/>
      <c r="BZ286" s="174"/>
      <c r="CA286" s="174"/>
      <c r="CB286" s="174"/>
      <c r="CC286" s="174"/>
      <c r="CD286" s="174"/>
      <c r="CE286" s="174"/>
      <c r="CF286" s="174"/>
      <c r="CG286" s="174"/>
      <c r="CH286" s="174"/>
      <c r="CI286" s="174"/>
      <c r="CJ286" s="174"/>
      <c r="CK286" s="174"/>
      <c r="CL286" s="174"/>
      <c r="CM286" s="174"/>
      <c r="CN286" s="174"/>
      <c r="CO286" s="174"/>
      <c r="CP286" s="174"/>
      <c r="CQ286" s="174"/>
      <c r="CR286" s="174"/>
      <c r="CS286" s="174"/>
      <c r="CT286" s="174"/>
      <c r="CU286" s="174"/>
      <c r="CV286" s="174"/>
      <c r="CW286" s="174"/>
      <c r="CX286" s="174"/>
      <c r="CY286" s="174"/>
      <c r="CZ286" s="174"/>
      <c r="DA286" s="174"/>
      <c r="DB286" s="174"/>
      <c r="DC286" s="174"/>
      <c r="DD286" s="174"/>
      <c r="DE286" s="174"/>
      <c r="DF286" s="174"/>
      <c r="DG286" s="174"/>
      <c r="DH286" s="174"/>
      <c r="DI286" s="174"/>
      <c r="DJ286" s="174"/>
      <c r="DK286" s="174"/>
      <c r="DL286" s="62"/>
      <c r="DM286" s="62"/>
      <c r="DN286" s="62"/>
      <c r="DO286" s="62"/>
      <c r="DP286" s="62"/>
      <c r="DQ286" s="62"/>
      <c r="DR286" s="62"/>
      <c r="DS286" s="62"/>
      <c r="DT286" s="62"/>
      <c r="DU286" s="62"/>
      <c r="DV286" s="62"/>
      <c r="DW286" s="62"/>
      <c r="DX286" s="62"/>
      <c r="DY286" s="62"/>
      <c r="DZ286" s="62"/>
      <c r="EA286" s="62"/>
      <c r="EB286" s="62"/>
      <c r="EC286" s="62"/>
      <c r="ED286" s="62"/>
      <c r="EE286" s="454"/>
      <c r="EF286" s="62"/>
      <c r="EG286" s="62"/>
      <c r="EH286" s="62"/>
      <c r="EI286" s="62"/>
      <c r="EJ286" s="62"/>
      <c r="EK286" s="62"/>
      <c r="EL286" s="62"/>
      <c r="EM286" s="62"/>
      <c r="EN286" s="62"/>
      <c r="EO286" s="62"/>
      <c r="EP286" s="62"/>
      <c r="EQ286" s="62"/>
      <c r="ER286" s="62"/>
      <c r="ES286" s="62"/>
      <c r="ET286" s="62"/>
      <c r="EU286" s="62"/>
      <c r="EV286" s="62"/>
      <c r="EW286" s="62"/>
      <c r="EX286" s="62"/>
      <c r="EY286" s="62"/>
      <c r="EZ286" s="62"/>
      <c r="FA286" s="62"/>
      <c r="FB286" s="62"/>
      <c r="FC286" s="62"/>
      <c r="FD286" s="62"/>
      <c r="FE286" s="62"/>
      <c r="FF286" s="62"/>
    </row>
    <row r="287" spans="1:162" s="56" customFormat="1" hidden="1">
      <c r="A287" s="54"/>
      <c r="B287" s="55"/>
      <c r="C287" s="491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173"/>
      <c r="S287" s="174"/>
      <c r="T287" s="174"/>
      <c r="U287" s="174"/>
      <c r="V287" s="174"/>
      <c r="W287" s="174"/>
      <c r="X287" s="174"/>
      <c r="Y287" s="174"/>
      <c r="Z287" s="174"/>
      <c r="AA287" s="174"/>
      <c r="AB287" s="174"/>
      <c r="AC287" s="174"/>
      <c r="AD287" s="174"/>
      <c r="AE287" s="174"/>
      <c r="AF287" s="174"/>
      <c r="AG287" s="883"/>
      <c r="AH287" s="174"/>
      <c r="AI287" s="492"/>
      <c r="AJ287" s="905"/>
      <c r="AK287" s="919"/>
      <c r="AL287" s="174"/>
      <c r="AM287" s="174"/>
      <c r="AN287" s="174"/>
      <c r="AO287" s="928"/>
      <c r="AP287" s="174"/>
      <c r="AQ287" s="174"/>
      <c r="AR287" s="174"/>
      <c r="AS287" s="174"/>
      <c r="AT287" s="174"/>
      <c r="AU287" s="174"/>
      <c r="AV287" s="174"/>
      <c r="AW287" s="174"/>
      <c r="AX287" s="174"/>
      <c r="AY287" s="174"/>
      <c r="AZ287" s="174"/>
      <c r="BA287" s="174"/>
      <c r="BB287" s="174"/>
      <c r="BC287" s="174"/>
      <c r="BD287" s="174"/>
      <c r="BE287" s="174"/>
      <c r="BF287" s="174"/>
      <c r="BG287" s="174"/>
      <c r="BH287" s="174"/>
      <c r="BI287" s="174"/>
      <c r="BJ287" s="174"/>
      <c r="BK287" s="174"/>
      <c r="BL287" s="174"/>
      <c r="BM287" s="174"/>
      <c r="BN287" s="174"/>
      <c r="BO287" s="174"/>
      <c r="BP287" s="174"/>
      <c r="BQ287" s="174"/>
      <c r="BR287" s="174"/>
      <c r="BS287" s="174"/>
      <c r="BT287" s="174"/>
      <c r="BU287" s="174"/>
      <c r="BV287" s="174"/>
      <c r="BW287" s="174"/>
      <c r="BX287" s="174"/>
      <c r="BY287" s="174"/>
      <c r="BZ287" s="174"/>
      <c r="CA287" s="174"/>
      <c r="CB287" s="174"/>
      <c r="CC287" s="174"/>
      <c r="CD287" s="174"/>
      <c r="CE287" s="174"/>
      <c r="CF287" s="174"/>
      <c r="CG287" s="174"/>
      <c r="CH287" s="174"/>
      <c r="CI287" s="174"/>
      <c r="CJ287" s="174"/>
      <c r="CK287" s="174"/>
      <c r="CL287" s="174"/>
      <c r="CM287" s="174"/>
      <c r="CN287" s="174"/>
      <c r="CO287" s="174"/>
      <c r="CP287" s="174"/>
      <c r="CQ287" s="174"/>
      <c r="CR287" s="174"/>
      <c r="CS287" s="174"/>
      <c r="CT287" s="174"/>
      <c r="CU287" s="174"/>
      <c r="CV287" s="174"/>
      <c r="CW287" s="174"/>
      <c r="CX287" s="174"/>
      <c r="CY287" s="174"/>
      <c r="CZ287" s="174"/>
      <c r="DA287" s="174"/>
      <c r="DB287" s="174"/>
      <c r="DC287" s="174"/>
      <c r="DD287" s="174"/>
      <c r="DE287" s="174"/>
      <c r="DF287" s="174"/>
      <c r="DG287" s="174"/>
      <c r="DH287" s="174"/>
      <c r="DI287" s="174"/>
      <c r="DJ287" s="174"/>
      <c r="DK287" s="174"/>
      <c r="DL287" s="62"/>
      <c r="DM287" s="62"/>
      <c r="DN287" s="62"/>
      <c r="DO287" s="62"/>
      <c r="DP287" s="62"/>
      <c r="DQ287" s="62"/>
      <c r="DR287" s="62"/>
      <c r="DS287" s="62"/>
      <c r="DT287" s="62"/>
      <c r="DU287" s="62"/>
      <c r="DV287" s="62"/>
      <c r="DW287" s="62"/>
      <c r="DX287" s="62"/>
      <c r="DY287" s="62"/>
      <c r="DZ287" s="62"/>
      <c r="EA287" s="62"/>
      <c r="EB287" s="62"/>
      <c r="EC287" s="62"/>
      <c r="ED287" s="62"/>
      <c r="EE287" s="454"/>
      <c r="EF287" s="62"/>
      <c r="EG287" s="62"/>
      <c r="EH287" s="62"/>
      <c r="EI287" s="62"/>
      <c r="EJ287" s="62"/>
      <c r="EK287" s="62"/>
      <c r="EL287" s="62"/>
      <c r="EM287" s="62"/>
      <c r="EN287" s="62"/>
      <c r="EO287" s="62"/>
      <c r="EP287" s="62"/>
      <c r="EQ287" s="62"/>
      <c r="ER287" s="62"/>
      <c r="ES287" s="62"/>
      <c r="ET287" s="62"/>
      <c r="EU287" s="62"/>
      <c r="EV287" s="62"/>
      <c r="EW287" s="62"/>
      <c r="EX287" s="62"/>
      <c r="EY287" s="62"/>
      <c r="EZ287" s="62"/>
      <c r="FA287" s="62"/>
      <c r="FB287" s="62"/>
      <c r="FC287" s="62"/>
      <c r="FD287" s="62"/>
      <c r="FE287" s="62"/>
      <c r="FF287" s="62"/>
    </row>
    <row r="288" spans="1:162" s="56" customFormat="1" hidden="1">
      <c r="A288" s="54"/>
      <c r="B288" s="55"/>
      <c r="C288" s="491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173"/>
      <c r="S288" s="174"/>
      <c r="T288" s="174"/>
      <c r="U288" s="174"/>
      <c r="V288" s="174"/>
      <c r="W288" s="174"/>
      <c r="X288" s="174"/>
      <c r="Y288" s="174"/>
      <c r="Z288" s="174"/>
      <c r="AA288" s="174"/>
      <c r="AB288" s="174"/>
      <c r="AC288" s="174"/>
      <c r="AD288" s="174"/>
      <c r="AE288" s="174"/>
      <c r="AF288" s="174"/>
      <c r="AG288" s="883"/>
      <c r="AH288" s="174"/>
      <c r="AI288" s="492"/>
      <c r="AJ288" s="905"/>
      <c r="AK288" s="919"/>
      <c r="AL288" s="174"/>
      <c r="AM288" s="174"/>
      <c r="AN288" s="174"/>
      <c r="AO288" s="928"/>
      <c r="AP288" s="174"/>
      <c r="AQ288" s="174"/>
      <c r="AR288" s="174"/>
      <c r="AS288" s="174"/>
      <c r="AT288" s="174"/>
      <c r="AU288" s="174"/>
      <c r="AV288" s="174"/>
      <c r="AW288" s="174"/>
      <c r="AX288" s="174"/>
      <c r="AY288" s="174"/>
      <c r="AZ288" s="174"/>
      <c r="BA288" s="174"/>
      <c r="BB288" s="174"/>
      <c r="BC288" s="174"/>
      <c r="BD288" s="174"/>
      <c r="BE288" s="174"/>
      <c r="BF288" s="174"/>
      <c r="BG288" s="174"/>
      <c r="BH288" s="174"/>
      <c r="BI288" s="174"/>
      <c r="BJ288" s="174"/>
      <c r="BK288" s="174"/>
      <c r="BL288" s="174"/>
      <c r="BM288" s="174"/>
      <c r="BN288" s="174"/>
      <c r="BO288" s="174"/>
      <c r="BP288" s="174"/>
      <c r="BQ288" s="174"/>
      <c r="BR288" s="174"/>
      <c r="BS288" s="174"/>
      <c r="BT288" s="174"/>
      <c r="BU288" s="174"/>
      <c r="BV288" s="174"/>
      <c r="BW288" s="174"/>
      <c r="BX288" s="174"/>
      <c r="BY288" s="174"/>
      <c r="BZ288" s="174"/>
      <c r="CA288" s="174"/>
      <c r="CB288" s="174"/>
      <c r="CC288" s="174"/>
      <c r="CD288" s="174"/>
      <c r="CE288" s="174"/>
      <c r="CF288" s="174"/>
      <c r="CG288" s="174"/>
      <c r="CH288" s="174"/>
      <c r="CI288" s="174"/>
      <c r="CJ288" s="174"/>
      <c r="CK288" s="174"/>
      <c r="CL288" s="174"/>
      <c r="CM288" s="174"/>
      <c r="CN288" s="174"/>
      <c r="CO288" s="174"/>
      <c r="CP288" s="174"/>
      <c r="CQ288" s="174"/>
      <c r="CR288" s="174"/>
      <c r="CS288" s="174"/>
      <c r="CT288" s="174"/>
      <c r="CU288" s="174"/>
      <c r="CV288" s="174"/>
      <c r="CW288" s="174"/>
      <c r="CX288" s="174"/>
      <c r="CY288" s="174"/>
      <c r="CZ288" s="174"/>
      <c r="DA288" s="174"/>
      <c r="DB288" s="174"/>
      <c r="DC288" s="174"/>
      <c r="DD288" s="174"/>
      <c r="DE288" s="174"/>
      <c r="DF288" s="174"/>
      <c r="DG288" s="174"/>
      <c r="DH288" s="174"/>
      <c r="DI288" s="174"/>
      <c r="DJ288" s="174"/>
      <c r="DK288" s="174"/>
      <c r="DL288" s="62"/>
      <c r="DM288" s="62"/>
      <c r="DN288" s="62"/>
      <c r="DO288" s="62"/>
      <c r="DP288" s="62"/>
      <c r="DQ288" s="62"/>
      <c r="DR288" s="62"/>
      <c r="DS288" s="62"/>
      <c r="DT288" s="62"/>
      <c r="DU288" s="62"/>
      <c r="DV288" s="62"/>
      <c r="DW288" s="62"/>
      <c r="DX288" s="62"/>
      <c r="DY288" s="62"/>
      <c r="DZ288" s="62"/>
      <c r="EA288" s="62"/>
      <c r="EB288" s="62"/>
      <c r="EC288" s="62"/>
      <c r="ED288" s="62"/>
      <c r="EE288" s="454"/>
      <c r="EF288" s="62"/>
      <c r="EG288" s="62"/>
      <c r="EH288" s="62"/>
      <c r="EI288" s="62"/>
      <c r="EJ288" s="62"/>
      <c r="EK288" s="62"/>
      <c r="EL288" s="62"/>
      <c r="EM288" s="62"/>
      <c r="EN288" s="62"/>
      <c r="EO288" s="62"/>
      <c r="EP288" s="62"/>
      <c r="EQ288" s="62"/>
      <c r="ER288" s="62"/>
      <c r="ES288" s="62"/>
      <c r="ET288" s="62"/>
      <c r="EU288" s="62"/>
      <c r="EV288" s="62"/>
      <c r="EW288" s="62"/>
      <c r="EX288" s="62"/>
      <c r="EY288" s="62"/>
      <c r="EZ288" s="62"/>
      <c r="FA288" s="62"/>
      <c r="FB288" s="62"/>
      <c r="FC288" s="62"/>
      <c r="FD288" s="62"/>
      <c r="FE288" s="62"/>
      <c r="FF288" s="62"/>
    </row>
    <row r="289" spans="1:162" s="56" customFormat="1" hidden="1">
      <c r="A289" s="54"/>
      <c r="B289" s="55"/>
      <c r="C289" s="491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173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883"/>
      <c r="AH289" s="174"/>
      <c r="AI289" s="492"/>
      <c r="AJ289" s="905"/>
      <c r="AK289" s="919"/>
      <c r="AL289" s="174"/>
      <c r="AM289" s="174"/>
      <c r="AN289" s="174"/>
      <c r="AO289" s="928"/>
      <c r="AP289" s="174"/>
      <c r="AQ289" s="174"/>
      <c r="AR289" s="174"/>
      <c r="AS289" s="174"/>
      <c r="AT289" s="174"/>
      <c r="AU289" s="174"/>
      <c r="AV289" s="174"/>
      <c r="AW289" s="174"/>
      <c r="AX289" s="174"/>
      <c r="AY289" s="174"/>
      <c r="AZ289" s="174"/>
      <c r="BA289" s="174"/>
      <c r="BB289" s="174"/>
      <c r="BC289" s="174"/>
      <c r="BD289" s="174"/>
      <c r="BE289" s="174"/>
      <c r="BF289" s="174"/>
      <c r="BG289" s="174"/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174"/>
      <c r="CF289" s="174"/>
      <c r="CG289" s="174"/>
      <c r="CH289" s="174"/>
      <c r="CI289" s="174"/>
      <c r="CJ289" s="174"/>
      <c r="CK289" s="174"/>
      <c r="CL289" s="174"/>
      <c r="CM289" s="174"/>
      <c r="CN289" s="174"/>
      <c r="CO289" s="174"/>
      <c r="CP289" s="174"/>
      <c r="CQ289" s="174"/>
      <c r="CR289" s="174"/>
      <c r="CS289" s="174"/>
      <c r="CT289" s="174"/>
      <c r="CU289" s="174"/>
      <c r="CV289" s="174"/>
      <c r="CW289" s="174"/>
      <c r="CX289" s="174"/>
      <c r="CY289" s="174"/>
      <c r="CZ289" s="174"/>
      <c r="DA289" s="174"/>
      <c r="DB289" s="174"/>
      <c r="DC289" s="174"/>
      <c r="DD289" s="174"/>
      <c r="DE289" s="174"/>
      <c r="DF289" s="174"/>
      <c r="DG289" s="174"/>
      <c r="DH289" s="174"/>
      <c r="DI289" s="174"/>
      <c r="DJ289" s="174"/>
      <c r="DK289" s="174"/>
      <c r="DL289" s="62"/>
      <c r="DM289" s="62"/>
      <c r="DN289" s="62"/>
      <c r="DO289" s="62"/>
      <c r="DP289" s="62"/>
      <c r="DQ289" s="62"/>
      <c r="DR289" s="62"/>
      <c r="DS289" s="62"/>
      <c r="DT289" s="62"/>
      <c r="DU289" s="62"/>
      <c r="DV289" s="62"/>
      <c r="DW289" s="62"/>
      <c r="DX289" s="62"/>
      <c r="DY289" s="62"/>
      <c r="DZ289" s="62"/>
      <c r="EA289" s="62"/>
      <c r="EB289" s="62"/>
      <c r="EC289" s="62"/>
      <c r="ED289" s="62"/>
      <c r="EE289" s="454"/>
      <c r="EF289" s="62"/>
      <c r="EG289" s="62"/>
      <c r="EH289" s="62"/>
      <c r="EI289" s="62"/>
      <c r="EJ289" s="62"/>
      <c r="EK289" s="62"/>
      <c r="EL289" s="62"/>
      <c r="EM289" s="62"/>
      <c r="EN289" s="62"/>
      <c r="EO289" s="62"/>
      <c r="EP289" s="62"/>
      <c r="EQ289" s="62"/>
      <c r="ER289" s="62"/>
      <c r="ES289" s="62"/>
      <c r="ET289" s="62"/>
      <c r="EU289" s="62"/>
      <c r="EV289" s="62"/>
      <c r="EW289" s="62"/>
      <c r="EX289" s="62"/>
      <c r="EY289" s="62"/>
      <c r="EZ289" s="62"/>
      <c r="FA289" s="62"/>
      <c r="FB289" s="62"/>
      <c r="FC289" s="62"/>
      <c r="FD289" s="62"/>
      <c r="FE289" s="62"/>
      <c r="FF289" s="62"/>
    </row>
    <row r="290" spans="1:162" s="56" customFormat="1" hidden="1">
      <c r="A290" s="54"/>
      <c r="B290" s="55"/>
      <c r="C290" s="491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173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883"/>
      <c r="AH290" s="174"/>
      <c r="AI290" s="492"/>
      <c r="AJ290" s="905"/>
      <c r="AK290" s="919"/>
      <c r="AL290" s="174"/>
      <c r="AM290" s="174"/>
      <c r="AN290" s="174"/>
      <c r="AO290" s="928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174"/>
      <c r="BN290" s="174"/>
      <c r="BO290" s="174"/>
      <c r="BP290" s="174"/>
      <c r="BQ290" s="174"/>
      <c r="BR290" s="174"/>
      <c r="BS290" s="174"/>
      <c r="BT290" s="174"/>
      <c r="BU290" s="174"/>
      <c r="BV290" s="174"/>
      <c r="BW290" s="174"/>
      <c r="BX290" s="174"/>
      <c r="BY290" s="174"/>
      <c r="BZ290" s="174"/>
      <c r="CA290" s="174"/>
      <c r="CB290" s="174"/>
      <c r="CC290" s="174"/>
      <c r="CD290" s="174"/>
      <c r="CE290" s="174"/>
      <c r="CF290" s="174"/>
      <c r="CG290" s="174"/>
      <c r="CH290" s="174"/>
      <c r="CI290" s="174"/>
      <c r="CJ290" s="174"/>
      <c r="CK290" s="174"/>
      <c r="CL290" s="174"/>
      <c r="CM290" s="174"/>
      <c r="CN290" s="174"/>
      <c r="CO290" s="174"/>
      <c r="CP290" s="174"/>
      <c r="CQ290" s="174"/>
      <c r="CR290" s="174"/>
      <c r="CS290" s="174"/>
      <c r="CT290" s="174"/>
      <c r="CU290" s="174"/>
      <c r="CV290" s="174"/>
      <c r="CW290" s="174"/>
      <c r="CX290" s="174"/>
      <c r="CY290" s="174"/>
      <c r="CZ290" s="174"/>
      <c r="DA290" s="174"/>
      <c r="DB290" s="174"/>
      <c r="DC290" s="174"/>
      <c r="DD290" s="174"/>
      <c r="DE290" s="174"/>
      <c r="DF290" s="174"/>
      <c r="DG290" s="174"/>
      <c r="DH290" s="174"/>
      <c r="DI290" s="174"/>
      <c r="DJ290" s="174"/>
      <c r="DK290" s="174"/>
      <c r="DL290" s="62"/>
      <c r="DM290" s="62"/>
      <c r="DN290" s="62"/>
      <c r="DO290" s="62"/>
      <c r="DP290" s="62"/>
      <c r="DQ290" s="62"/>
      <c r="DR290" s="62"/>
      <c r="DS290" s="62"/>
      <c r="DT290" s="62"/>
      <c r="DU290" s="62"/>
      <c r="DV290" s="62"/>
      <c r="DW290" s="62"/>
      <c r="DX290" s="62"/>
      <c r="DY290" s="62"/>
      <c r="DZ290" s="62"/>
      <c r="EA290" s="62"/>
      <c r="EB290" s="62"/>
      <c r="EC290" s="62"/>
      <c r="ED290" s="62"/>
      <c r="EE290" s="454"/>
      <c r="EF290" s="62"/>
      <c r="EG290" s="62"/>
      <c r="EH290" s="62"/>
      <c r="EI290" s="62"/>
      <c r="EJ290" s="62"/>
      <c r="EK290" s="62"/>
      <c r="EL290" s="62"/>
      <c r="EM290" s="62"/>
      <c r="EN290" s="62"/>
      <c r="EO290" s="62"/>
      <c r="EP290" s="62"/>
      <c r="EQ290" s="62"/>
      <c r="ER290" s="62"/>
      <c r="ES290" s="62"/>
      <c r="ET290" s="62"/>
      <c r="EU290" s="62"/>
      <c r="EV290" s="62"/>
      <c r="EW290" s="62"/>
      <c r="EX290" s="62"/>
      <c r="EY290" s="62"/>
      <c r="EZ290" s="62"/>
      <c r="FA290" s="62"/>
      <c r="FB290" s="62"/>
      <c r="FC290" s="62"/>
      <c r="FD290" s="62"/>
      <c r="FE290" s="62"/>
      <c r="FF290" s="62"/>
    </row>
    <row r="291" spans="1:162" s="56" customFormat="1" hidden="1">
      <c r="A291" s="54"/>
      <c r="B291" s="55"/>
      <c r="C291" s="491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173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883"/>
      <c r="AH291" s="174"/>
      <c r="AI291" s="492"/>
      <c r="AJ291" s="905"/>
      <c r="AK291" s="919"/>
      <c r="AL291" s="174"/>
      <c r="AM291" s="174"/>
      <c r="AN291" s="174"/>
      <c r="AO291" s="928"/>
      <c r="AP291" s="174"/>
      <c r="AQ291" s="174"/>
      <c r="AR291" s="174"/>
      <c r="AS291" s="174"/>
      <c r="AT291" s="174"/>
      <c r="AU291" s="174"/>
      <c r="AV291" s="174"/>
      <c r="AW291" s="174"/>
      <c r="AX291" s="174"/>
      <c r="AY291" s="174"/>
      <c r="AZ291" s="174"/>
      <c r="BA291" s="174"/>
      <c r="BB291" s="174"/>
      <c r="BC291" s="174"/>
      <c r="BD291" s="174"/>
      <c r="BE291" s="174"/>
      <c r="BF291" s="174"/>
      <c r="BG291" s="174"/>
      <c r="BH291" s="174"/>
      <c r="BI291" s="174"/>
      <c r="BJ291" s="174"/>
      <c r="BK291" s="174"/>
      <c r="BL291" s="174"/>
      <c r="BM291" s="174"/>
      <c r="BN291" s="174"/>
      <c r="BO291" s="174"/>
      <c r="BP291" s="174"/>
      <c r="BQ291" s="174"/>
      <c r="BR291" s="174"/>
      <c r="BS291" s="174"/>
      <c r="BT291" s="174"/>
      <c r="BU291" s="174"/>
      <c r="BV291" s="174"/>
      <c r="BW291" s="174"/>
      <c r="BX291" s="174"/>
      <c r="BY291" s="174"/>
      <c r="BZ291" s="174"/>
      <c r="CA291" s="174"/>
      <c r="CB291" s="174"/>
      <c r="CC291" s="174"/>
      <c r="CD291" s="174"/>
      <c r="CE291" s="174"/>
      <c r="CF291" s="174"/>
      <c r="CG291" s="174"/>
      <c r="CH291" s="174"/>
      <c r="CI291" s="174"/>
      <c r="CJ291" s="174"/>
      <c r="CK291" s="174"/>
      <c r="CL291" s="174"/>
      <c r="CM291" s="174"/>
      <c r="CN291" s="174"/>
      <c r="CO291" s="174"/>
      <c r="CP291" s="174"/>
      <c r="CQ291" s="174"/>
      <c r="CR291" s="174"/>
      <c r="CS291" s="174"/>
      <c r="CT291" s="174"/>
      <c r="CU291" s="174"/>
      <c r="CV291" s="174"/>
      <c r="CW291" s="174"/>
      <c r="CX291" s="174"/>
      <c r="CY291" s="174"/>
      <c r="CZ291" s="174"/>
      <c r="DA291" s="174"/>
      <c r="DB291" s="174"/>
      <c r="DC291" s="174"/>
      <c r="DD291" s="174"/>
      <c r="DE291" s="174"/>
      <c r="DF291" s="174"/>
      <c r="DG291" s="174"/>
      <c r="DH291" s="174"/>
      <c r="DI291" s="174"/>
      <c r="DJ291" s="174"/>
      <c r="DK291" s="174"/>
      <c r="DL291" s="62"/>
      <c r="DM291" s="62"/>
      <c r="DN291" s="62"/>
      <c r="DO291" s="62"/>
      <c r="DP291" s="62"/>
      <c r="DQ291" s="62"/>
      <c r="DR291" s="62"/>
      <c r="DS291" s="62"/>
      <c r="DT291" s="62"/>
      <c r="DU291" s="62"/>
      <c r="DV291" s="62"/>
      <c r="DW291" s="62"/>
      <c r="DX291" s="62"/>
      <c r="DY291" s="62"/>
      <c r="DZ291" s="62"/>
      <c r="EA291" s="62"/>
      <c r="EB291" s="62"/>
      <c r="EC291" s="62"/>
      <c r="ED291" s="62"/>
      <c r="EE291" s="454"/>
      <c r="EF291" s="62"/>
      <c r="EG291" s="62"/>
      <c r="EH291" s="62"/>
      <c r="EI291" s="62"/>
      <c r="EJ291" s="62"/>
      <c r="EK291" s="62"/>
      <c r="EL291" s="62"/>
      <c r="EM291" s="62"/>
      <c r="EN291" s="62"/>
      <c r="EO291" s="62"/>
      <c r="EP291" s="62"/>
      <c r="EQ291" s="62"/>
      <c r="ER291" s="62"/>
      <c r="ES291" s="62"/>
      <c r="ET291" s="62"/>
      <c r="EU291" s="62"/>
      <c r="EV291" s="62"/>
      <c r="EW291" s="62"/>
      <c r="EX291" s="62"/>
      <c r="EY291" s="62"/>
      <c r="EZ291" s="62"/>
      <c r="FA291" s="62"/>
      <c r="FB291" s="62"/>
      <c r="FC291" s="62"/>
      <c r="FD291" s="62"/>
      <c r="FE291" s="62"/>
      <c r="FF291" s="62"/>
    </row>
    <row r="292" spans="1:162" s="56" customFormat="1" hidden="1">
      <c r="A292" s="54"/>
      <c r="B292" s="55"/>
      <c r="C292" s="491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173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883"/>
      <c r="AH292" s="174"/>
      <c r="AI292" s="492"/>
      <c r="AJ292" s="905"/>
      <c r="AK292" s="919"/>
      <c r="AL292" s="174"/>
      <c r="AM292" s="174"/>
      <c r="AN292" s="174"/>
      <c r="AO292" s="928"/>
      <c r="AP292" s="174"/>
      <c r="AQ292" s="174"/>
      <c r="AR292" s="174"/>
      <c r="AS292" s="174"/>
      <c r="AT292" s="174"/>
      <c r="AU292" s="174"/>
      <c r="AV292" s="174"/>
      <c r="AW292" s="174"/>
      <c r="AX292" s="174"/>
      <c r="AY292" s="174"/>
      <c r="AZ292" s="174"/>
      <c r="BA292" s="174"/>
      <c r="BB292" s="174"/>
      <c r="BC292" s="174"/>
      <c r="BD292" s="174"/>
      <c r="BE292" s="174"/>
      <c r="BF292" s="174"/>
      <c r="BG292" s="174"/>
      <c r="BH292" s="174"/>
      <c r="BI292" s="174"/>
      <c r="BJ292" s="174"/>
      <c r="BK292" s="174"/>
      <c r="BL292" s="174"/>
      <c r="BM292" s="174"/>
      <c r="BN292" s="174"/>
      <c r="BO292" s="174"/>
      <c r="BP292" s="174"/>
      <c r="BQ292" s="174"/>
      <c r="BR292" s="174"/>
      <c r="BS292" s="174"/>
      <c r="BT292" s="174"/>
      <c r="BU292" s="174"/>
      <c r="BV292" s="174"/>
      <c r="BW292" s="174"/>
      <c r="BX292" s="174"/>
      <c r="BY292" s="174"/>
      <c r="BZ292" s="174"/>
      <c r="CA292" s="174"/>
      <c r="CB292" s="174"/>
      <c r="CC292" s="174"/>
      <c r="CD292" s="174"/>
      <c r="CE292" s="174"/>
      <c r="CF292" s="174"/>
      <c r="CG292" s="174"/>
      <c r="CH292" s="174"/>
      <c r="CI292" s="174"/>
      <c r="CJ292" s="174"/>
      <c r="CK292" s="174"/>
      <c r="CL292" s="174"/>
      <c r="CM292" s="174"/>
      <c r="CN292" s="174"/>
      <c r="CO292" s="174"/>
      <c r="CP292" s="174"/>
      <c r="CQ292" s="174"/>
      <c r="CR292" s="174"/>
      <c r="CS292" s="174"/>
      <c r="CT292" s="174"/>
      <c r="CU292" s="174"/>
      <c r="CV292" s="174"/>
      <c r="CW292" s="174"/>
      <c r="CX292" s="174"/>
      <c r="CY292" s="174"/>
      <c r="CZ292" s="174"/>
      <c r="DA292" s="174"/>
      <c r="DB292" s="174"/>
      <c r="DC292" s="174"/>
      <c r="DD292" s="174"/>
      <c r="DE292" s="174"/>
      <c r="DF292" s="174"/>
      <c r="DG292" s="174"/>
      <c r="DH292" s="174"/>
      <c r="DI292" s="174"/>
      <c r="DJ292" s="174"/>
      <c r="DK292" s="174"/>
      <c r="DL292" s="62"/>
      <c r="DM292" s="62"/>
      <c r="DN292" s="62"/>
      <c r="DO292" s="62"/>
      <c r="DP292" s="62"/>
      <c r="DQ292" s="62"/>
      <c r="DR292" s="62"/>
      <c r="DS292" s="62"/>
      <c r="DT292" s="62"/>
      <c r="DU292" s="62"/>
      <c r="DV292" s="62"/>
      <c r="DW292" s="62"/>
      <c r="DX292" s="62"/>
      <c r="DY292" s="62"/>
      <c r="DZ292" s="62"/>
      <c r="EA292" s="62"/>
      <c r="EB292" s="62"/>
      <c r="EC292" s="62"/>
      <c r="ED292" s="62"/>
      <c r="EE292" s="454"/>
      <c r="EF292" s="62"/>
      <c r="EG292" s="62"/>
      <c r="EH292" s="62"/>
      <c r="EI292" s="62"/>
      <c r="EJ292" s="62"/>
      <c r="EK292" s="62"/>
      <c r="EL292" s="62"/>
      <c r="EM292" s="62"/>
      <c r="EN292" s="62"/>
      <c r="EO292" s="62"/>
      <c r="EP292" s="62"/>
      <c r="EQ292" s="62"/>
      <c r="ER292" s="62"/>
      <c r="ES292" s="62"/>
      <c r="ET292" s="62"/>
      <c r="EU292" s="62"/>
      <c r="EV292" s="62"/>
      <c r="EW292" s="62"/>
      <c r="EX292" s="62"/>
      <c r="EY292" s="62"/>
      <c r="EZ292" s="62"/>
      <c r="FA292" s="62"/>
      <c r="FB292" s="62"/>
      <c r="FC292" s="62"/>
      <c r="FD292" s="62"/>
      <c r="FE292" s="62"/>
      <c r="FF292" s="62"/>
    </row>
    <row r="293" spans="1:162" s="56" customFormat="1" hidden="1">
      <c r="A293" s="54"/>
      <c r="B293" s="55"/>
      <c r="C293" s="491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173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883"/>
      <c r="AH293" s="174"/>
      <c r="AI293" s="492"/>
      <c r="AJ293" s="905"/>
      <c r="AK293" s="919"/>
      <c r="AL293" s="174"/>
      <c r="AM293" s="174"/>
      <c r="AN293" s="174"/>
      <c r="AO293" s="928"/>
      <c r="AP293" s="174"/>
      <c r="AQ293" s="174"/>
      <c r="AR293" s="174"/>
      <c r="AS293" s="174"/>
      <c r="AT293" s="174"/>
      <c r="AU293" s="174"/>
      <c r="AV293" s="174"/>
      <c r="AW293" s="174"/>
      <c r="AX293" s="174"/>
      <c r="AY293" s="174"/>
      <c r="AZ293" s="174"/>
      <c r="BA293" s="174"/>
      <c r="BB293" s="174"/>
      <c r="BC293" s="174"/>
      <c r="BD293" s="174"/>
      <c r="BE293" s="174"/>
      <c r="BF293" s="174"/>
      <c r="BG293" s="174"/>
      <c r="BH293" s="174"/>
      <c r="BI293" s="174"/>
      <c r="BJ293" s="174"/>
      <c r="BK293" s="174"/>
      <c r="BL293" s="174"/>
      <c r="BM293" s="174"/>
      <c r="BN293" s="174"/>
      <c r="BO293" s="174"/>
      <c r="BP293" s="174"/>
      <c r="BQ293" s="174"/>
      <c r="BR293" s="174"/>
      <c r="BS293" s="174"/>
      <c r="BT293" s="174"/>
      <c r="BU293" s="174"/>
      <c r="BV293" s="174"/>
      <c r="BW293" s="174"/>
      <c r="BX293" s="174"/>
      <c r="BY293" s="174"/>
      <c r="BZ293" s="174"/>
      <c r="CA293" s="174"/>
      <c r="CB293" s="174"/>
      <c r="CC293" s="174"/>
      <c r="CD293" s="174"/>
      <c r="CE293" s="174"/>
      <c r="CF293" s="174"/>
      <c r="CG293" s="174"/>
      <c r="CH293" s="174"/>
      <c r="CI293" s="174"/>
      <c r="CJ293" s="174"/>
      <c r="CK293" s="174"/>
      <c r="CL293" s="174"/>
      <c r="CM293" s="174"/>
      <c r="CN293" s="174"/>
      <c r="CO293" s="174"/>
      <c r="CP293" s="174"/>
      <c r="CQ293" s="174"/>
      <c r="CR293" s="174"/>
      <c r="CS293" s="174"/>
      <c r="CT293" s="174"/>
      <c r="CU293" s="174"/>
      <c r="CV293" s="174"/>
      <c r="CW293" s="174"/>
      <c r="CX293" s="174"/>
      <c r="CY293" s="174"/>
      <c r="CZ293" s="174"/>
      <c r="DA293" s="174"/>
      <c r="DB293" s="174"/>
      <c r="DC293" s="174"/>
      <c r="DD293" s="174"/>
      <c r="DE293" s="174"/>
      <c r="DF293" s="174"/>
      <c r="DG293" s="174"/>
      <c r="DH293" s="174"/>
      <c r="DI293" s="174"/>
      <c r="DJ293" s="174"/>
      <c r="DK293" s="174"/>
      <c r="DL293" s="62"/>
      <c r="DM293" s="62"/>
      <c r="DN293" s="62"/>
      <c r="DO293" s="62"/>
      <c r="DP293" s="62"/>
      <c r="DQ293" s="62"/>
      <c r="DR293" s="62"/>
      <c r="DS293" s="62"/>
      <c r="DT293" s="62"/>
      <c r="DU293" s="62"/>
      <c r="DV293" s="62"/>
      <c r="DW293" s="62"/>
      <c r="DX293" s="62"/>
      <c r="DY293" s="62"/>
      <c r="DZ293" s="62"/>
      <c r="EA293" s="62"/>
      <c r="EB293" s="62"/>
      <c r="EC293" s="62"/>
      <c r="ED293" s="62"/>
      <c r="EE293" s="454"/>
      <c r="EF293" s="62"/>
      <c r="EG293" s="62"/>
      <c r="EH293" s="62"/>
      <c r="EI293" s="62"/>
      <c r="EJ293" s="62"/>
      <c r="EK293" s="62"/>
      <c r="EL293" s="62"/>
      <c r="EM293" s="62"/>
      <c r="EN293" s="62"/>
      <c r="EO293" s="62"/>
      <c r="EP293" s="62"/>
      <c r="EQ293" s="62"/>
      <c r="ER293" s="62"/>
      <c r="ES293" s="62"/>
      <c r="ET293" s="62"/>
      <c r="EU293" s="62"/>
      <c r="EV293" s="62"/>
      <c r="EW293" s="62"/>
      <c r="EX293" s="62"/>
      <c r="EY293" s="62"/>
      <c r="EZ293" s="62"/>
      <c r="FA293" s="62"/>
      <c r="FB293" s="62"/>
      <c r="FC293" s="62"/>
      <c r="FD293" s="62"/>
      <c r="FE293" s="62"/>
      <c r="FF293" s="62"/>
    </row>
    <row r="294" spans="1:162" s="56" customFormat="1" hidden="1">
      <c r="A294" s="54"/>
      <c r="B294" s="55"/>
      <c r="C294" s="491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173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883"/>
      <c r="AH294" s="174"/>
      <c r="AI294" s="492"/>
      <c r="AJ294" s="905"/>
      <c r="AK294" s="919"/>
      <c r="AL294" s="174"/>
      <c r="AM294" s="174"/>
      <c r="AN294" s="174"/>
      <c r="AO294" s="928"/>
      <c r="AP294" s="174"/>
      <c r="AQ294" s="174"/>
      <c r="AR294" s="174"/>
      <c r="AS294" s="174"/>
      <c r="AT294" s="174"/>
      <c r="AU294" s="174"/>
      <c r="AV294" s="174"/>
      <c r="AW294" s="174"/>
      <c r="AX294" s="174"/>
      <c r="AY294" s="174"/>
      <c r="AZ294" s="174"/>
      <c r="BA294" s="174"/>
      <c r="BB294" s="174"/>
      <c r="BC294" s="174"/>
      <c r="BD294" s="174"/>
      <c r="BE294" s="174"/>
      <c r="BF294" s="174"/>
      <c r="BG294" s="174"/>
      <c r="BH294" s="174"/>
      <c r="BI294" s="174"/>
      <c r="BJ294" s="174"/>
      <c r="BK294" s="174"/>
      <c r="BL294" s="174"/>
      <c r="BM294" s="174"/>
      <c r="BN294" s="174"/>
      <c r="BO294" s="174"/>
      <c r="BP294" s="174"/>
      <c r="BQ294" s="174"/>
      <c r="BR294" s="174"/>
      <c r="BS294" s="174"/>
      <c r="BT294" s="174"/>
      <c r="BU294" s="174"/>
      <c r="BV294" s="174"/>
      <c r="BW294" s="174"/>
      <c r="BX294" s="174"/>
      <c r="BY294" s="174"/>
      <c r="BZ294" s="174"/>
      <c r="CA294" s="174"/>
      <c r="CB294" s="174"/>
      <c r="CC294" s="174"/>
      <c r="CD294" s="174"/>
      <c r="CE294" s="174"/>
      <c r="CF294" s="174"/>
      <c r="CG294" s="174"/>
      <c r="CH294" s="174"/>
      <c r="CI294" s="174"/>
      <c r="CJ294" s="174"/>
      <c r="CK294" s="174"/>
      <c r="CL294" s="174"/>
      <c r="CM294" s="174"/>
      <c r="CN294" s="174"/>
      <c r="CO294" s="174"/>
      <c r="CP294" s="174"/>
      <c r="CQ294" s="174"/>
      <c r="CR294" s="174"/>
      <c r="CS294" s="174"/>
      <c r="CT294" s="174"/>
      <c r="CU294" s="174"/>
      <c r="CV294" s="174"/>
      <c r="CW294" s="174"/>
      <c r="CX294" s="174"/>
      <c r="CY294" s="174"/>
      <c r="CZ294" s="174"/>
      <c r="DA294" s="174"/>
      <c r="DB294" s="174"/>
      <c r="DC294" s="174"/>
      <c r="DD294" s="174"/>
      <c r="DE294" s="174"/>
      <c r="DF294" s="174"/>
      <c r="DG294" s="174"/>
      <c r="DH294" s="174"/>
      <c r="DI294" s="174"/>
      <c r="DJ294" s="174"/>
      <c r="DK294" s="174"/>
      <c r="DL294" s="62"/>
      <c r="DM294" s="62"/>
      <c r="DN294" s="62"/>
      <c r="DO294" s="62"/>
      <c r="DP294" s="62"/>
      <c r="DQ294" s="62"/>
      <c r="DR294" s="62"/>
      <c r="DS294" s="62"/>
      <c r="DT294" s="62"/>
      <c r="DU294" s="62"/>
      <c r="DV294" s="62"/>
      <c r="DW294" s="62"/>
      <c r="DX294" s="62"/>
      <c r="DY294" s="62"/>
      <c r="DZ294" s="62"/>
      <c r="EA294" s="62"/>
      <c r="EB294" s="62"/>
      <c r="EC294" s="62"/>
      <c r="ED294" s="62"/>
      <c r="EE294" s="454"/>
      <c r="EF294" s="62"/>
      <c r="EG294" s="62"/>
      <c r="EH294" s="62"/>
      <c r="EI294" s="62"/>
      <c r="EJ294" s="62"/>
      <c r="EK294" s="62"/>
      <c r="EL294" s="62"/>
      <c r="EM294" s="62"/>
      <c r="EN294" s="62"/>
      <c r="EO294" s="62"/>
      <c r="EP294" s="62"/>
      <c r="EQ294" s="62"/>
      <c r="ER294" s="62"/>
      <c r="ES294" s="62"/>
      <c r="ET294" s="62"/>
      <c r="EU294" s="62"/>
      <c r="EV294" s="62"/>
      <c r="EW294" s="62"/>
      <c r="EX294" s="62"/>
      <c r="EY294" s="62"/>
      <c r="EZ294" s="62"/>
      <c r="FA294" s="62"/>
      <c r="FB294" s="62"/>
      <c r="FC294" s="62"/>
      <c r="FD294" s="62"/>
      <c r="FE294" s="62"/>
      <c r="FF294" s="62"/>
    </row>
    <row r="295" spans="1:162" hidden="1">
      <c r="A295" s="487">
        <f>MATCH(C295,$C$5:$C$361,0)</f>
        <v>291</v>
      </c>
      <c r="C295" s="14" t="s">
        <v>3035</v>
      </c>
      <c r="D295" s="14">
        <f t="shared" ref="D295:Q295" si="148">SUM(D285:D294)</f>
        <v>0</v>
      </c>
      <c r="E295" s="14">
        <f t="shared" si="148"/>
        <v>0</v>
      </c>
      <c r="F295" s="14">
        <f t="shared" si="148"/>
        <v>0</v>
      </c>
      <c r="G295" s="14">
        <f t="shared" si="148"/>
        <v>0</v>
      </c>
      <c r="H295" s="14">
        <f t="shared" si="148"/>
        <v>0</v>
      </c>
      <c r="I295" s="14">
        <f t="shared" si="148"/>
        <v>0</v>
      </c>
      <c r="J295" s="14">
        <f t="shared" si="148"/>
        <v>0</v>
      </c>
      <c r="K295" s="14">
        <f t="shared" si="148"/>
        <v>0</v>
      </c>
      <c r="L295" s="14">
        <f t="shared" si="148"/>
        <v>0</v>
      </c>
      <c r="M295" s="14">
        <f t="shared" si="148"/>
        <v>0</v>
      </c>
      <c r="N295" s="14">
        <f t="shared" si="148"/>
        <v>0</v>
      </c>
      <c r="O295" s="14">
        <f t="shared" si="148"/>
        <v>0</v>
      </c>
      <c r="P295" s="14">
        <f t="shared" si="148"/>
        <v>0</v>
      </c>
      <c r="Q295" s="14">
        <f t="shared" si="148"/>
        <v>0</v>
      </c>
      <c r="R295" s="14"/>
      <c r="S295" s="175">
        <f t="shared" ref="S295:AY295" si="149">SUM(S285:S294)</f>
        <v>0</v>
      </c>
      <c r="T295" s="175">
        <f t="shared" si="149"/>
        <v>0</v>
      </c>
      <c r="U295" s="175">
        <f t="shared" si="149"/>
        <v>0</v>
      </c>
      <c r="V295" s="175">
        <f t="shared" si="149"/>
        <v>0</v>
      </c>
      <c r="W295" s="175">
        <f t="shared" si="149"/>
        <v>0</v>
      </c>
      <c r="X295" s="175">
        <f t="shared" si="149"/>
        <v>0</v>
      </c>
      <c r="Y295" s="175">
        <f t="shared" si="149"/>
        <v>0</v>
      </c>
      <c r="Z295" s="175">
        <f t="shared" si="149"/>
        <v>0</v>
      </c>
      <c r="AA295" s="175">
        <f t="shared" si="149"/>
        <v>0</v>
      </c>
      <c r="AB295" s="175">
        <f t="shared" si="149"/>
        <v>0</v>
      </c>
      <c r="AC295" s="175">
        <f t="shared" si="149"/>
        <v>0</v>
      </c>
      <c r="AD295" s="175">
        <f t="shared" si="149"/>
        <v>0</v>
      </c>
      <c r="AE295" s="175">
        <f t="shared" si="149"/>
        <v>0</v>
      </c>
      <c r="AF295" s="175">
        <f t="shared" si="149"/>
        <v>0</v>
      </c>
      <c r="AG295" s="884">
        <f>SUM(AG285:AG294)</f>
        <v>0</v>
      </c>
      <c r="AH295" s="175">
        <f t="shared" si="149"/>
        <v>0</v>
      </c>
      <c r="AI295" s="178">
        <f t="shared" si="149"/>
        <v>0</v>
      </c>
      <c r="AJ295" s="906">
        <f t="shared" si="149"/>
        <v>0</v>
      </c>
      <c r="AK295" s="920">
        <f t="shared" si="149"/>
        <v>0</v>
      </c>
      <c r="AL295" s="175">
        <f t="shared" si="149"/>
        <v>0</v>
      </c>
      <c r="AM295" s="175">
        <f t="shared" si="149"/>
        <v>0</v>
      </c>
      <c r="AN295" s="175">
        <f t="shared" si="149"/>
        <v>0</v>
      </c>
      <c r="AO295" s="929">
        <f t="shared" si="149"/>
        <v>0</v>
      </c>
      <c r="AP295" s="175">
        <f t="shared" si="149"/>
        <v>0</v>
      </c>
      <c r="AQ295" s="175">
        <f t="shared" si="149"/>
        <v>0</v>
      </c>
      <c r="AR295" s="175">
        <f t="shared" si="149"/>
        <v>0</v>
      </c>
      <c r="AS295" s="175">
        <f t="shared" si="149"/>
        <v>0</v>
      </c>
      <c r="AT295" s="175">
        <f t="shared" si="149"/>
        <v>0</v>
      </c>
      <c r="AU295" s="175">
        <f t="shared" si="149"/>
        <v>0</v>
      </c>
      <c r="AV295" s="175">
        <f t="shared" si="149"/>
        <v>0</v>
      </c>
      <c r="AW295" s="175">
        <f t="shared" si="149"/>
        <v>0</v>
      </c>
      <c r="AX295" s="175">
        <f t="shared" si="149"/>
        <v>0</v>
      </c>
      <c r="AY295" s="175">
        <f t="shared" si="149"/>
        <v>0</v>
      </c>
      <c r="AZ295" s="175">
        <f t="shared" ref="AZ295:CH295" si="150">SUM(AZ285:AZ294)</f>
        <v>0</v>
      </c>
      <c r="BA295" s="175">
        <f t="shared" si="150"/>
        <v>0</v>
      </c>
      <c r="BB295" s="175">
        <f t="shared" si="150"/>
        <v>0</v>
      </c>
      <c r="BC295" s="175">
        <f t="shared" si="150"/>
        <v>0</v>
      </c>
      <c r="BD295" s="175">
        <f t="shared" si="150"/>
        <v>0</v>
      </c>
      <c r="BE295" s="175">
        <f t="shared" si="150"/>
        <v>0</v>
      </c>
      <c r="BF295" s="175">
        <f t="shared" si="150"/>
        <v>0</v>
      </c>
      <c r="BG295" s="175">
        <f t="shared" si="150"/>
        <v>0</v>
      </c>
      <c r="BH295" s="175">
        <f t="shared" si="150"/>
        <v>0</v>
      </c>
      <c r="BI295" s="175">
        <f t="shared" si="150"/>
        <v>0</v>
      </c>
      <c r="BJ295" s="175">
        <f>SUM(BJ285:BJ294)</f>
        <v>0</v>
      </c>
      <c r="BK295" s="175">
        <f t="shared" si="150"/>
        <v>0</v>
      </c>
      <c r="BL295" s="175">
        <f t="shared" si="150"/>
        <v>0</v>
      </c>
      <c r="BM295" s="175">
        <f t="shared" si="150"/>
        <v>0</v>
      </c>
      <c r="BN295" s="175">
        <f t="shared" si="150"/>
        <v>0</v>
      </c>
      <c r="BO295" s="175">
        <f t="shared" si="150"/>
        <v>0</v>
      </c>
      <c r="BP295" s="175">
        <f t="shared" si="150"/>
        <v>0</v>
      </c>
      <c r="BQ295" s="175">
        <f t="shared" si="150"/>
        <v>0</v>
      </c>
      <c r="BR295" s="175">
        <f t="shared" si="150"/>
        <v>0</v>
      </c>
      <c r="BS295" s="175">
        <f t="shared" si="150"/>
        <v>0</v>
      </c>
      <c r="BT295" s="175">
        <f t="shared" si="150"/>
        <v>0</v>
      </c>
      <c r="BU295" s="175">
        <f t="shared" si="150"/>
        <v>0</v>
      </c>
      <c r="BV295" s="175">
        <f t="shared" si="150"/>
        <v>0</v>
      </c>
      <c r="BW295" s="175">
        <f t="shared" si="150"/>
        <v>0</v>
      </c>
      <c r="BX295" s="175">
        <f t="shared" si="150"/>
        <v>0</v>
      </c>
      <c r="BY295" s="175">
        <f t="shared" si="150"/>
        <v>0</v>
      </c>
      <c r="BZ295" s="175">
        <f t="shared" si="150"/>
        <v>0</v>
      </c>
      <c r="CA295" s="175">
        <f t="shared" si="150"/>
        <v>0</v>
      </c>
      <c r="CB295" s="175">
        <f t="shared" si="150"/>
        <v>0</v>
      </c>
      <c r="CC295" s="175">
        <f t="shared" si="150"/>
        <v>0</v>
      </c>
      <c r="CD295" s="175">
        <f t="shared" si="150"/>
        <v>0</v>
      </c>
      <c r="CE295" s="175">
        <f t="shared" si="150"/>
        <v>0</v>
      </c>
      <c r="CF295" s="175">
        <f>SUM(CF285:CF294)</f>
        <v>0</v>
      </c>
      <c r="CG295" s="175">
        <f>SUM(CG285:CG294)</f>
        <v>0</v>
      </c>
      <c r="CH295" s="175">
        <f t="shared" si="150"/>
        <v>0</v>
      </c>
      <c r="CI295" s="175">
        <f t="shared" ref="CI295:DN295" si="151">SUM(CI285:CI294)</f>
        <v>0</v>
      </c>
      <c r="CJ295" s="175">
        <f t="shared" si="151"/>
        <v>0</v>
      </c>
      <c r="CK295" s="175">
        <f t="shared" si="151"/>
        <v>0</v>
      </c>
      <c r="CL295" s="175">
        <f t="shared" si="151"/>
        <v>0</v>
      </c>
      <c r="CM295" s="175">
        <f t="shared" si="151"/>
        <v>0</v>
      </c>
      <c r="CN295" s="175">
        <f t="shared" si="151"/>
        <v>0</v>
      </c>
      <c r="CO295" s="175">
        <f t="shared" si="151"/>
        <v>0</v>
      </c>
      <c r="CP295" s="175">
        <f t="shared" si="151"/>
        <v>0</v>
      </c>
      <c r="CQ295" s="175">
        <f t="shared" si="151"/>
        <v>0</v>
      </c>
      <c r="CR295" s="175">
        <f t="shared" si="151"/>
        <v>0</v>
      </c>
      <c r="CS295" s="175">
        <f t="shared" si="151"/>
        <v>0</v>
      </c>
      <c r="CT295" s="175">
        <f t="shared" si="151"/>
        <v>0</v>
      </c>
      <c r="CU295" s="175">
        <f t="shared" si="151"/>
        <v>0</v>
      </c>
      <c r="CV295" s="175">
        <f t="shared" si="151"/>
        <v>0</v>
      </c>
      <c r="CW295" s="175">
        <f t="shared" si="151"/>
        <v>0</v>
      </c>
      <c r="CX295" s="175">
        <f t="shared" si="151"/>
        <v>0</v>
      </c>
      <c r="CY295" s="175">
        <f t="shared" si="151"/>
        <v>0</v>
      </c>
      <c r="CZ295" s="175">
        <f t="shared" si="151"/>
        <v>0</v>
      </c>
      <c r="DA295" s="175">
        <f t="shared" si="151"/>
        <v>0</v>
      </c>
      <c r="DB295" s="175">
        <f t="shared" si="151"/>
        <v>0</v>
      </c>
      <c r="DC295" s="175">
        <f t="shared" si="151"/>
        <v>0</v>
      </c>
      <c r="DD295" s="175">
        <f t="shared" si="151"/>
        <v>0</v>
      </c>
      <c r="DE295" s="175">
        <f t="shared" si="151"/>
        <v>0</v>
      </c>
      <c r="DF295" s="175">
        <f t="shared" si="151"/>
        <v>0</v>
      </c>
      <c r="DG295" s="175">
        <f t="shared" si="151"/>
        <v>0</v>
      </c>
      <c r="DH295" s="175">
        <f t="shared" si="151"/>
        <v>0</v>
      </c>
      <c r="DI295" s="175">
        <f t="shared" si="151"/>
        <v>0</v>
      </c>
      <c r="DJ295" s="175">
        <f t="shared" si="151"/>
        <v>0</v>
      </c>
      <c r="DK295" s="175">
        <f t="shared" si="151"/>
        <v>0</v>
      </c>
      <c r="DL295" s="14">
        <f t="shared" si="151"/>
        <v>0</v>
      </c>
      <c r="DM295" s="14">
        <f t="shared" si="151"/>
        <v>0</v>
      </c>
      <c r="DN295" s="14">
        <f t="shared" si="151"/>
        <v>0</v>
      </c>
      <c r="DO295" s="14">
        <f t="shared" ref="DO295:FE295" si="152">SUM(DO285:DO294)</f>
        <v>0</v>
      </c>
      <c r="DP295" s="14">
        <f t="shared" si="152"/>
        <v>0</v>
      </c>
      <c r="DQ295" s="14">
        <f t="shared" si="152"/>
        <v>0</v>
      </c>
      <c r="DR295" s="14">
        <f t="shared" si="152"/>
        <v>0</v>
      </c>
      <c r="DS295" s="14">
        <f t="shared" si="152"/>
        <v>0</v>
      </c>
      <c r="DT295" s="14">
        <f t="shared" si="152"/>
        <v>0</v>
      </c>
      <c r="DU295" s="14">
        <f t="shared" si="152"/>
        <v>0</v>
      </c>
      <c r="DV295" s="14">
        <f>SUM(DV285:DV294)</f>
        <v>0</v>
      </c>
      <c r="DW295" s="14">
        <f>SUM(DW285:DW294)</f>
        <v>0</v>
      </c>
      <c r="DX295" s="14">
        <f t="shared" si="152"/>
        <v>0</v>
      </c>
      <c r="DY295" s="14">
        <f t="shared" si="152"/>
        <v>0</v>
      </c>
      <c r="DZ295" s="14">
        <f t="shared" si="152"/>
        <v>0</v>
      </c>
      <c r="EA295" s="14">
        <f>SUM(EA285:EA294)</f>
        <v>0</v>
      </c>
      <c r="EB295" s="14">
        <f t="shared" si="152"/>
        <v>0</v>
      </c>
      <c r="EC295" s="14">
        <f t="shared" si="152"/>
        <v>0</v>
      </c>
      <c r="ED295" s="14">
        <f t="shared" si="152"/>
        <v>0</v>
      </c>
      <c r="EE295" s="508"/>
      <c r="EF295" s="14">
        <f t="shared" si="152"/>
        <v>0</v>
      </c>
      <c r="EG295" s="14">
        <f>SUM(EG285:EG294)</f>
        <v>0</v>
      </c>
      <c r="EH295" s="14">
        <f>SUM(EH285:EH294)</f>
        <v>0</v>
      </c>
      <c r="EI295" s="14">
        <f>SUM(EI285:EI294)</f>
        <v>0</v>
      </c>
      <c r="EJ295" s="14">
        <f t="shared" si="152"/>
        <v>0</v>
      </c>
      <c r="EK295" s="14">
        <f t="shared" si="152"/>
        <v>0</v>
      </c>
      <c r="EL295" s="14">
        <f t="shared" si="152"/>
        <v>0</v>
      </c>
      <c r="EM295" s="14">
        <f t="shared" si="152"/>
        <v>0</v>
      </c>
      <c r="EN295" s="14">
        <f>SUM(EN285:EN294)</f>
        <v>0</v>
      </c>
      <c r="EO295" s="14">
        <f t="shared" si="152"/>
        <v>0</v>
      </c>
      <c r="EP295" s="14">
        <f t="shared" si="152"/>
        <v>0</v>
      </c>
      <c r="EQ295" s="14">
        <f>SUM(EQ285:EQ294)</f>
        <v>0</v>
      </c>
      <c r="ER295" s="14">
        <f>SUM(ER285:ER294)</f>
        <v>0</v>
      </c>
      <c r="ES295" s="14">
        <f t="shared" si="152"/>
        <v>0</v>
      </c>
      <c r="ET295" s="14">
        <f t="shared" si="152"/>
        <v>0</v>
      </c>
      <c r="EU295" s="14">
        <f t="shared" si="152"/>
        <v>0</v>
      </c>
      <c r="EV295" s="14">
        <f t="shared" si="152"/>
        <v>0</v>
      </c>
      <c r="EW295" s="14">
        <f t="shared" si="152"/>
        <v>0</v>
      </c>
      <c r="EX295" s="14">
        <f>SUM(EX285:EX294)</f>
        <v>0</v>
      </c>
      <c r="EY295" s="14">
        <f t="shared" si="152"/>
        <v>0</v>
      </c>
      <c r="EZ295" s="14">
        <f t="shared" si="152"/>
        <v>0</v>
      </c>
      <c r="FA295" s="14">
        <f t="shared" si="152"/>
        <v>0</v>
      </c>
      <c r="FB295" s="14">
        <f t="shared" si="152"/>
        <v>0</v>
      </c>
      <c r="FC295" s="14">
        <f>SUM(FC285:FC294)</f>
        <v>0</v>
      </c>
      <c r="FD295" s="14">
        <f>SUM(FD285:FD294)</f>
        <v>0</v>
      </c>
      <c r="FE295" s="14">
        <f t="shared" si="152"/>
        <v>0</v>
      </c>
      <c r="FF295" s="14"/>
    </row>
    <row r="296" spans="1:162" hidden="1">
      <c r="A296" s="54"/>
      <c r="B296" s="55" t="s">
        <v>3073</v>
      </c>
      <c r="C296" s="11" t="s">
        <v>3036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885"/>
      <c r="AH296" s="176"/>
      <c r="AI296" s="897"/>
      <c r="AJ296" s="907"/>
      <c r="AK296" s="921"/>
      <c r="AL296" s="176"/>
      <c r="AM296" s="176"/>
      <c r="AN296" s="176"/>
      <c r="AO296" s="176"/>
      <c r="AP296" s="176"/>
      <c r="AQ296" s="176"/>
      <c r="AR296" s="176"/>
      <c r="AS296" s="176"/>
      <c r="AT296" s="176"/>
      <c r="AU296" s="176"/>
      <c r="AV296" s="176"/>
      <c r="AW296" s="176"/>
      <c r="AX296" s="176"/>
      <c r="AY296" s="176"/>
      <c r="AZ296" s="176"/>
      <c r="BA296" s="176"/>
      <c r="BB296" s="176"/>
      <c r="BC296" s="176"/>
      <c r="BD296" s="176"/>
      <c r="BE296" s="176"/>
      <c r="BF296" s="176"/>
      <c r="BG296" s="176"/>
      <c r="BH296" s="176"/>
      <c r="BI296" s="176"/>
      <c r="BJ296" s="176"/>
      <c r="BK296" s="176"/>
      <c r="BL296" s="176"/>
      <c r="BM296" s="176"/>
      <c r="BN296" s="176"/>
      <c r="BO296" s="176"/>
      <c r="BP296" s="176"/>
      <c r="BQ296" s="176"/>
      <c r="BR296" s="176"/>
      <c r="BS296" s="176"/>
      <c r="BT296" s="176"/>
      <c r="BU296" s="176"/>
      <c r="BV296" s="176"/>
      <c r="BW296" s="176"/>
      <c r="BX296" s="176"/>
      <c r="BY296" s="176"/>
      <c r="BZ296" s="176"/>
      <c r="CA296" s="176"/>
      <c r="CB296" s="176"/>
      <c r="CC296" s="176"/>
      <c r="CD296" s="176"/>
      <c r="CE296" s="176"/>
      <c r="CF296" s="176"/>
      <c r="CG296" s="176"/>
      <c r="CH296" s="176"/>
      <c r="CI296" s="176"/>
      <c r="CJ296" s="176"/>
      <c r="CK296" s="176"/>
      <c r="CL296" s="176"/>
      <c r="CM296" s="176"/>
      <c r="CN296" s="176"/>
      <c r="CO296" s="176"/>
      <c r="CP296" s="176"/>
      <c r="CQ296" s="176"/>
      <c r="CR296" s="176"/>
      <c r="CS296" s="176"/>
      <c r="CT296" s="176"/>
      <c r="CU296" s="176"/>
      <c r="CV296" s="176"/>
      <c r="CW296" s="176"/>
      <c r="CX296" s="176"/>
      <c r="CY296" s="176"/>
      <c r="CZ296" s="176"/>
      <c r="DA296" s="176"/>
      <c r="DB296" s="176"/>
      <c r="DC296" s="176"/>
      <c r="DD296" s="176"/>
      <c r="DE296" s="176"/>
      <c r="DF296" s="176"/>
      <c r="DG296" s="176"/>
      <c r="DH296" s="176"/>
      <c r="DI296" s="176"/>
      <c r="DJ296" s="176"/>
      <c r="DK296" s="176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503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3"/>
    </row>
    <row r="297" spans="1:162" s="56" customFormat="1" hidden="1">
      <c r="A297" s="54"/>
      <c r="B297" s="55"/>
      <c r="C297" s="491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173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883"/>
      <c r="AH297" s="174"/>
      <c r="AI297" s="492"/>
      <c r="AJ297" s="905"/>
      <c r="AK297" s="919"/>
      <c r="AL297" s="174"/>
      <c r="AM297" s="174"/>
      <c r="AN297" s="174"/>
      <c r="AO297" s="928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4"/>
      <c r="BA297" s="174"/>
      <c r="BB297" s="174"/>
      <c r="BC297" s="174"/>
      <c r="BD297" s="174"/>
      <c r="BE297" s="174"/>
      <c r="BF297" s="174"/>
      <c r="BG297" s="174"/>
      <c r="BH297" s="174"/>
      <c r="BI297" s="174"/>
      <c r="BJ297" s="174"/>
      <c r="BK297" s="174"/>
      <c r="BL297" s="174"/>
      <c r="BM297" s="174"/>
      <c r="BN297" s="174"/>
      <c r="BO297" s="174"/>
      <c r="BP297" s="174"/>
      <c r="BQ297" s="174"/>
      <c r="BR297" s="174"/>
      <c r="BS297" s="174"/>
      <c r="BT297" s="174"/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/>
      <c r="CI297" s="174"/>
      <c r="CJ297" s="174"/>
      <c r="CK297" s="174"/>
      <c r="CL297" s="174"/>
      <c r="CM297" s="174"/>
      <c r="CN297" s="174"/>
      <c r="CO297" s="174"/>
      <c r="CP297" s="174"/>
      <c r="CQ297" s="174"/>
      <c r="CR297" s="174"/>
      <c r="CS297" s="174"/>
      <c r="CT297" s="174"/>
      <c r="CU297" s="174"/>
      <c r="CV297" s="174"/>
      <c r="CW297" s="174"/>
      <c r="CX297" s="174"/>
      <c r="CY297" s="174"/>
      <c r="CZ297" s="174"/>
      <c r="DA297" s="174"/>
      <c r="DB297" s="174"/>
      <c r="DC297" s="174"/>
      <c r="DD297" s="174"/>
      <c r="DE297" s="174"/>
      <c r="DF297" s="174"/>
      <c r="DG297" s="174"/>
      <c r="DH297" s="174"/>
      <c r="DI297" s="174"/>
      <c r="DJ297" s="174"/>
      <c r="DK297" s="174"/>
      <c r="DL297" s="62"/>
      <c r="DM297" s="62"/>
      <c r="DN297" s="62"/>
      <c r="DO297" s="62"/>
      <c r="DP297" s="62"/>
      <c r="DQ297" s="62"/>
      <c r="DR297" s="62"/>
      <c r="DS297" s="62"/>
      <c r="DT297" s="62"/>
      <c r="DU297" s="62"/>
      <c r="DV297" s="62"/>
      <c r="DW297" s="62"/>
      <c r="DX297" s="62"/>
      <c r="DY297" s="62"/>
      <c r="DZ297" s="62"/>
      <c r="EA297" s="62"/>
      <c r="EB297" s="62"/>
      <c r="EC297" s="62"/>
      <c r="ED297" s="62"/>
      <c r="EE297" s="454"/>
      <c r="EF297" s="62"/>
      <c r="EG297" s="62"/>
      <c r="EH297" s="62"/>
      <c r="EI297" s="62"/>
      <c r="EJ297" s="62"/>
      <c r="EK297" s="62"/>
      <c r="EL297" s="62"/>
      <c r="EM297" s="62"/>
      <c r="EN297" s="62"/>
      <c r="EO297" s="62"/>
      <c r="EP297" s="62"/>
      <c r="EQ297" s="62"/>
      <c r="ER297" s="62"/>
      <c r="ES297" s="62"/>
      <c r="ET297" s="62"/>
      <c r="EU297" s="62"/>
      <c r="EV297" s="62"/>
      <c r="EW297" s="62"/>
      <c r="EX297" s="62"/>
      <c r="EY297" s="62"/>
      <c r="EZ297" s="62"/>
      <c r="FA297" s="62"/>
      <c r="FB297" s="62"/>
      <c r="FC297" s="62"/>
      <c r="FD297" s="62"/>
      <c r="FE297" s="62"/>
      <c r="FF297" s="62"/>
    </row>
    <row r="298" spans="1:162" s="56" customFormat="1" hidden="1">
      <c r="A298" s="54"/>
      <c r="B298" s="55"/>
      <c r="C298" s="491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173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883"/>
      <c r="AH298" s="174"/>
      <c r="AI298" s="492"/>
      <c r="AJ298" s="905"/>
      <c r="AK298" s="919"/>
      <c r="AL298" s="174"/>
      <c r="AM298" s="174"/>
      <c r="AN298" s="174"/>
      <c r="AO298" s="928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174"/>
      <c r="BK298" s="174"/>
      <c r="BL298" s="174"/>
      <c r="BM298" s="174"/>
      <c r="BN298" s="174"/>
      <c r="BO298" s="174"/>
      <c r="BP298" s="174"/>
      <c r="BQ298" s="174"/>
      <c r="BR298" s="174"/>
      <c r="BS298" s="174"/>
      <c r="BT298" s="174"/>
      <c r="BU298" s="174"/>
      <c r="BV298" s="174"/>
      <c r="BW298" s="174"/>
      <c r="BX298" s="174"/>
      <c r="BY298" s="174"/>
      <c r="BZ298" s="174"/>
      <c r="CA298" s="174"/>
      <c r="CB298" s="174"/>
      <c r="CC298" s="174"/>
      <c r="CD298" s="174"/>
      <c r="CE298" s="174"/>
      <c r="CF298" s="492"/>
      <c r="CG298" s="174"/>
      <c r="CH298" s="174"/>
      <c r="CI298" s="174"/>
      <c r="CJ298" s="174"/>
      <c r="CK298" s="174"/>
      <c r="CL298" s="174"/>
      <c r="CM298" s="174"/>
      <c r="CN298" s="174"/>
      <c r="CO298" s="174"/>
      <c r="CP298" s="174"/>
      <c r="CQ298" s="174"/>
      <c r="CR298" s="174"/>
      <c r="CS298" s="174"/>
      <c r="CT298" s="174"/>
      <c r="CU298" s="174"/>
      <c r="CV298" s="174"/>
      <c r="CW298" s="174"/>
      <c r="CX298" s="174"/>
      <c r="CY298" s="174"/>
      <c r="CZ298" s="174"/>
      <c r="DA298" s="174"/>
      <c r="DB298" s="174"/>
      <c r="DC298" s="174"/>
      <c r="DD298" s="174"/>
      <c r="DE298" s="174"/>
      <c r="DF298" s="174"/>
      <c r="DG298" s="174"/>
      <c r="DH298" s="174"/>
      <c r="DI298" s="174"/>
      <c r="DJ298" s="174"/>
      <c r="DK298" s="174"/>
      <c r="DL298" s="62"/>
      <c r="DM298" s="62"/>
      <c r="DN298" s="62"/>
      <c r="DO298" s="62"/>
      <c r="DP298" s="62"/>
      <c r="DQ298" s="62"/>
      <c r="DR298" s="62"/>
      <c r="DS298" s="62"/>
      <c r="DT298" s="62"/>
      <c r="DU298" s="62"/>
      <c r="DV298" s="62"/>
      <c r="DW298" s="62"/>
      <c r="DX298" s="62"/>
      <c r="DY298" s="62"/>
      <c r="DZ298" s="62"/>
      <c r="EA298" s="62"/>
      <c r="EB298" s="62"/>
      <c r="EC298" s="62"/>
      <c r="ED298" s="62"/>
      <c r="EE298" s="454"/>
      <c r="EF298" s="62"/>
      <c r="EG298" s="62"/>
      <c r="EH298" s="62"/>
      <c r="EI298" s="62"/>
      <c r="EJ298" s="62"/>
      <c r="EK298" s="62"/>
      <c r="EL298" s="62"/>
      <c r="EM298" s="62"/>
      <c r="EN298" s="62"/>
      <c r="EO298" s="62"/>
      <c r="EP298" s="62"/>
      <c r="EQ298" s="62"/>
      <c r="ER298" s="62"/>
      <c r="ES298" s="62"/>
      <c r="ET298" s="62"/>
      <c r="EU298" s="62"/>
      <c r="EV298" s="62"/>
      <c r="EW298" s="62"/>
      <c r="EX298" s="62"/>
      <c r="EY298" s="62"/>
      <c r="EZ298" s="62"/>
      <c r="FA298" s="62"/>
      <c r="FB298" s="62"/>
      <c r="FC298" s="62"/>
      <c r="FD298" s="62"/>
      <c r="FE298" s="62"/>
      <c r="FF298" s="62"/>
    </row>
    <row r="299" spans="1:162" s="56" customFormat="1" hidden="1">
      <c r="A299" s="54"/>
      <c r="B299" s="55"/>
      <c r="C299" s="491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173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883"/>
      <c r="AH299" s="174"/>
      <c r="AI299" s="492"/>
      <c r="AJ299" s="905"/>
      <c r="AK299" s="919"/>
      <c r="AL299" s="174"/>
      <c r="AM299" s="174"/>
      <c r="AN299" s="174"/>
      <c r="AO299" s="928"/>
      <c r="AP299" s="174"/>
      <c r="AQ299" s="174"/>
      <c r="AR299" s="174"/>
      <c r="AS299" s="174"/>
      <c r="AT299" s="174"/>
      <c r="AU299" s="174"/>
      <c r="AV299" s="174"/>
      <c r="AW299" s="174"/>
      <c r="AX299" s="174"/>
      <c r="AY299" s="174"/>
      <c r="AZ299" s="174"/>
      <c r="BA299" s="174"/>
      <c r="BB299" s="174"/>
      <c r="BC299" s="174"/>
      <c r="BD299" s="174"/>
      <c r="BE299" s="174"/>
      <c r="BF299" s="174"/>
      <c r="BG299" s="174"/>
      <c r="BH299" s="174"/>
      <c r="BI299" s="174"/>
      <c r="BJ299" s="174"/>
      <c r="BK299" s="174"/>
      <c r="BL299" s="174"/>
      <c r="BM299" s="174"/>
      <c r="BN299" s="174"/>
      <c r="BO299" s="174"/>
      <c r="BP299" s="174"/>
      <c r="BQ299" s="174"/>
      <c r="BR299" s="174"/>
      <c r="BS299" s="174"/>
      <c r="BT299" s="174"/>
      <c r="BU299" s="174"/>
      <c r="BV299" s="174"/>
      <c r="BW299" s="174"/>
      <c r="BX299" s="174"/>
      <c r="BY299" s="174"/>
      <c r="BZ299" s="174"/>
      <c r="CA299" s="174"/>
      <c r="CB299" s="174"/>
      <c r="CC299" s="174"/>
      <c r="CD299" s="174"/>
      <c r="CE299" s="174"/>
      <c r="CF299" s="492"/>
      <c r="CG299" s="174"/>
      <c r="CH299" s="174"/>
      <c r="CI299" s="174"/>
      <c r="CJ299" s="174"/>
      <c r="CK299" s="174"/>
      <c r="CL299" s="174"/>
      <c r="CM299" s="174"/>
      <c r="CN299" s="174"/>
      <c r="CO299" s="174"/>
      <c r="CP299" s="174"/>
      <c r="CQ299" s="174"/>
      <c r="CR299" s="174"/>
      <c r="CS299" s="174"/>
      <c r="CT299" s="174"/>
      <c r="CU299" s="174"/>
      <c r="CV299" s="174"/>
      <c r="CW299" s="174"/>
      <c r="CX299" s="174"/>
      <c r="CY299" s="174"/>
      <c r="CZ299" s="174"/>
      <c r="DA299" s="174"/>
      <c r="DB299" s="174"/>
      <c r="DC299" s="174"/>
      <c r="DD299" s="174"/>
      <c r="DE299" s="174"/>
      <c r="DF299" s="174"/>
      <c r="DG299" s="174"/>
      <c r="DH299" s="174"/>
      <c r="DI299" s="174"/>
      <c r="DJ299" s="174"/>
      <c r="DK299" s="174"/>
      <c r="DL299" s="62"/>
      <c r="DM299" s="62"/>
      <c r="DN299" s="62"/>
      <c r="DO299" s="62"/>
      <c r="DP299" s="62"/>
      <c r="DQ299" s="62"/>
      <c r="DR299" s="62"/>
      <c r="DS299" s="62"/>
      <c r="DT299" s="62"/>
      <c r="DU299" s="62"/>
      <c r="DV299" s="62"/>
      <c r="DW299" s="62"/>
      <c r="DX299" s="62"/>
      <c r="DY299" s="62"/>
      <c r="DZ299" s="62"/>
      <c r="EA299" s="62"/>
      <c r="EB299" s="62"/>
      <c r="EC299" s="62"/>
      <c r="ED299" s="62"/>
      <c r="EE299" s="454"/>
      <c r="EF299" s="62"/>
      <c r="EG299" s="62"/>
      <c r="EH299" s="62"/>
      <c r="EI299" s="62"/>
      <c r="EJ299" s="62"/>
      <c r="EK299" s="62"/>
      <c r="EL299" s="62"/>
      <c r="EM299" s="62"/>
      <c r="EN299" s="62"/>
      <c r="EO299" s="62"/>
      <c r="EP299" s="62"/>
      <c r="EQ299" s="62"/>
      <c r="ER299" s="62"/>
      <c r="ES299" s="62"/>
      <c r="ET299" s="62"/>
      <c r="EU299" s="62"/>
      <c r="EV299" s="62"/>
      <c r="EW299" s="62"/>
      <c r="EX299" s="62"/>
      <c r="EY299" s="62"/>
      <c r="EZ299" s="62"/>
      <c r="FA299" s="62"/>
      <c r="FB299" s="62"/>
      <c r="FC299" s="62"/>
      <c r="FD299" s="62"/>
      <c r="FE299" s="62"/>
      <c r="FF299" s="62"/>
    </row>
    <row r="300" spans="1:162" s="56" customFormat="1" hidden="1">
      <c r="A300" s="54"/>
      <c r="B300" s="55"/>
      <c r="C300" s="491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173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883"/>
      <c r="AH300" s="174"/>
      <c r="AI300" s="492"/>
      <c r="AJ300" s="905"/>
      <c r="AK300" s="919"/>
      <c r="AL300" s="174"/>
      <c r="AM300" s="174"/>
      <c r="AN300" s="174"/>
      <c r="AO300" s="928"/>
      <c r="AP300" s="174"/>
      <c r="AQ300" s="174"/>
      <c r="AR300" s="174"/>
      <c r="AS300" s="174"/>
      <c r="AT300" s="174"/>
      <c r="AU300" s="174"/>
      <c r="AV300" s="174"/>
      <c r="AW300" s="174"/>
      <c r="AX300" s="174"/>
      <c r="AY300" s="174"/>
      <c r="AZ300" s="174"/>
      <c r="BA300" s="174"/>
      <c r="BB300" s="174"/>
      <c r="BC300" s="174"/>
      <c r="BD300" s="174"/>
      <c r="BE300" s="174"/>
      <c r="BF300" s="174"/>
      <c r="BG300" s="174"/>
      <c r="BH300" s="174"/>
      <c r="BI300" s="174"/>
      <c r="BJ300" s="174"/>
      <c r="BK300" s="174"/>
      <c r="BL300" s="174"/>
      <c r="BM300" s="174"/>
      <c r="BN300" s="174"/>
      <c r="BO300" s="174"/>
      <c r="BP300" s="174"/>
      <c r="BQ300" s="174"/>
      <c r="BR300" s="174"/>
      <c r="BS300" s="174"/>
      <c r="BT300" s="174"/>
      <c r="BU300" s="174"/>
      <c r="BV300" s="174"/>
      <c r="BW300" s="174"/>
      <c r="BX300" s="174"/>
      <c r="BY300" s="174"/>
      <c r="BZ300" s="174"/>
      <c r="CA300" s="174"/>
      <c r="CB300" s="174"/>
      <c r="CC300" s="174"/>
      <c r="CD300" s="174"/>
      <c r="CE300" s="174"/>
      <c r="CF300" s="174"/>
      <c r="CG300" s="174"/>
      <c r="CH300" s="174"/>
      <c r="CI300" s="174"/>
      <c r="CJ300" s="174"/>
      <c r="CK300" s="174"/>
      <c r="CL300" s="174"/>
      <c r="CM300" s="174"/>
      <c r="CN300" s="174"/>
      <c r="CO300" s="174"/>
      <c r="CP300" s="174"/>
      <c r="CQ300" s="174"/>
      <c r="CR300" s="174"/>
      <c r="CS300" s="174"/>
      <c r="CT300" s="174"/>
      <c r="CU300" s="174"/>
      <c r="CV300" s="174"/>
      <c r="CW300" s="174"/>
      <c r="CX300" s="174"/>
      <c r="CY300" s="174"/>
      <c r="CZ300" s="174"/>
      <c r="DA300" s="174"/>
      <c r="DB300" s="174"/>
      <c r="DC300" s="174"/>
      <c r="DD300" s="174"/>
      <c r="DE300" s="174"/>
      <c r="DF300" s="174"/>
      <c r="DG300" s="174"/>
      <c r="DH300" s="174"/>
      <c r="DI300" s="174"/>
      <c r="DJ300" s="174"/>
      <c r="DK300" s="174"/>
      <c r="DL300" s="62"/>
      <c r="DM300" s="62"/>
      <c r="DN300" s="62"/>
      <c r="DO300" s="62"/>
      <c r="DP300" s="62"/>
      <c r="DQ300" s="62"/>
      <c r="DR300" s="62"/>
      <c r="DS300" s="62"/>
      <c r="DT300" s="62"/>
      <c r="DU300" s="62"/>
      <c r="DV300" s="62"/>
      <c r="DW300" s="62"/>
      <c r="DX300" s="62"/>
      <c r="DY300" s="62"/>
      <c r="DZ300" s="62"/>
      <c r="EA300" s="62"/>
      <c r="EB300" s="62"/>
      <c r="EC300" s="62"/>
      <c r="ED300" s="62"/>
      <c r="EE300" s="454"/>
      <c r="EF300" s="62"/>
      <c r="EG300" s="62"/>
      <c r="EH300" s="62"/>
      <c r="EI300" s="62"/>
      <c r="EJ300" s="62"/>
      <c r="EK300" s="62"/>
      <c r="EL300" s="62"/>
      <c r="EM300" s="62"/>
      <c r="EN300" s="62"/>
      <c r="EO300" s="62"/>
      <c r="EP300" s="62"/>
      <c r="EQ300" s="62"/>
      <c r="ER300" s="62"/>
      <c r="ES300" s="62"/>
      <c r="ET300" s="62"/>
      <c r="EU300" s="62"/>
      <c r="EV300" s="62"/>
      <c r="EW300" s="62"/>
      <c r="EX300" s="62"/>
      <c r="EY300" s="62"/>
      <c r="EZ300" s="62"/>
      <c r="FA300" s="62"/>
      <c r="FB300" s="62"/>
      <c r="FC300" s="62"/>
      <c r="FD300" s="62"/>
      <c r="FE300" s="62"/>
      <c r="FF300" s="62"/>
    </row>
    <row r="301" spans="1:162" s="56" customFormat="1" hidden="1">
      <c r="A301" s="54"/>
      <c r="B301" s="55"/>
      <c r="C301" s="491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173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883"/>
      <c r="AH301" s="174"/>
      <c r="AI301" s="492"/>
      <c r="AJ301" s="905"/>
      <c r="AK301" s="919"/>
      <c r="AL301" s="174"/>
      <c r="AM301" s="174"/>
      <c r="AN301" s="174"/>
      <c r="AO301" s="928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4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  <c r="BM301" s="174"/>
      <c r="BN301" s="174"/>
      <c r="BO301" s="174"/>
      <c r="BP301" s="174"/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/>
      <c r="DE301" s="174"/>
      <c r="DF301" s="174"/>
      <c r="DG301" s="174"/>
      <c r="DH301" s="174"/>
      <c r="DI301" s="174"/>
      <c r="DJ301" s="174"/>
      <c r="DK301" s="174"/>
      <c r="DL301" s="62"/>
      <c r="DM301" s="62"/>
      <c r="DN301" s="62"/>
      <c r="DO301" s="62"/>
      <c r="DP301" s="62"/>
      <c r="DQ301" s="62"/>
      <c r="DR301" s="62"/>
      <c r="DS301" s="62"/>
      <c r="DT301" s="62"/>
      <c r="DU301" s="62"/>
      <c r="DV301" s="62"/>
      <c r="DW301" s="62"/>
      <c r="DX301" s="62"/>
      <c r="DY301" s="62"/>
      <c r="DZ301" s="62"/>
      <c r="EA301" s="62"/>
      <c r="EB301" s="62"/>
      <c r="EC301" s="62"/>
      <c r="ED301" s="62"/>
      <c r="EE301" s="454"/>
      <c r="EF301" s="62"/>
      <c r="EG301" s="62"/>
      <c r="EH301" s="62"/>
      <c r="EI301" s="62"/>
      <c r="EJ301" s="62"/>
      <c r="EK301" s="62"/>
      <c r="EL301" s="62"/>
      <c r="EM301" s="62"/>
      <c r="EN301" s="62"/>
      <c r="EO301" s="62"/>
      <c r="EP301" s="62"/>
      <c r="EQ301" s="62"/>
      <c r="ER301" s="62"/>
      <c r="ES301" s="62"/>
      <c r="ET301" s="62"/>
      <c r="EU301" s="62"/>
      <c r="EV301" s="62"/>
      <c r="EW301" s="62"/>
      <c r="EX301" s="62"/>
      <c r="EY301" s="62"/>
      <c r="EZ301" s="62"/>
      <c r="FA301" s="62"/>
      <c r="FB301" s="62"/>
      <c r="FC301" s="62"/>
      <c r="FD301" s="62"/>
      <c r="FE301" s="62"/>
      <c r="FF301" s="62"/>
    </row>
    <row r="302" spans="1:162" s="56" customFormat="1" hidden="1">
      <c r="A302" s="54"/>
      <c r="B302" s="55"/>
      <c r="C302" s="491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173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883"/>
      <c r="AH302" s="174"/>
      <c r="AI302" s="492"/>
      <c r="AJ302" s="905"/>
      <c r="AK302" s="919"/>
      <c r="AL302" s="174"/>
      <c r="AM302" s="174"/>
      <c r="AN302" s="174"/>
      <c r="AO302" s="928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174"/>
      <c r="BJ302" s="174"/>
      <c r="BK302" s="174"/>
      <c r="BL302" s="174"/>
      <c r="BM302" s="174"/>
      <c r="BN302" s="174"/>
      <c r="BO302" s="174"/>
      <c r="BP302" s="174"/>
      <c r="BQ302" s="174"/>
      <c r="BR302" s="174"/>
      <c r="BS302" s="174"/>
      <c r="BT302" s="174"/>
      <c r="BU302" s="174"/>
      <c r="BV302" s="174"/>
      <c r="BW302" s="174"/>
      <c r="BX302" s="174"/>
      <c r="BY302" s="174"/>
      <c r="BZ302" s="174"/>
      <c r="CA302" s="174"/>
      <c r="CB302" s="174"/>
      <c r="CC302" s="174"/>
      <c r="CD302" s="174"/>
      <c r="CE302" s="174"/>
      <c r="CF302" s="174"/>
      <c r="CG302" s="174"/>
      <c r="CH302" s="174"/>
      <c r="CI302" s="174"/>
      <c r="CJ302" s="174"/>
      <c r="CK302" s="174"/>
      <c r="CL302" s="174"/>
      <c r="CM302" s="174"/>
      <c r="CN302" s="174"/>
      <c r="CO302" s="174"/>
      <c r="CP302" s="174"/>
      <c r="CQ302" s="174"/>
      <c r="CR302" s="174"/>
      <c r="CS302" s="174"/>
      <c r="CT302" s="174"/>
      <c r="CU302" s="174"/>
      <c r="CV302" s="174"/>
      <c r="CW302" s="174"/>
      <c r="CX302" s="174"/>
      <c r="CY302" s="174"/>
      <c r="CZ302" s="174"/>
      <c r="DA302" s="174"/>
      <c r="DB302" s="174"/>
      <c r="DC302" s="174"/>
      <c r="DD302" s="174"/>
      <c r="DE302" s="174"/>
      <c r="DF302" s="174"/>
      <c r="DG302" s="174"/>
      <c r="DH302" s="174"/>
      <c r="DI302" s="174"/>
      <c r="DJ302" s="174"/>
      <c r="DK302" s="174"/>
      <c r="DL302" s="62"/>
      <c r="DM302" s="62"/>
      <c r="DN302" s="62"/>
      <c r="DO302" s="62"/>
      <c r="DP302" s="62"/>
      <c r="DQ302" s="62"/>
      <c r="DR302" s="62"/>
      <c r="DS302" s="62"/>
      <c r="DT302" s="62"/>
      <c r="DU302" s="62"/>
      <c r="DV302" s="62"/>
      <c r="DW302" s="62"/>
      <c r="DX302" s="62"/>
      <c r="DY302" s="62"/>
      <c r="DZ302" s="62"/>
      <c r="EA302" s="62"/>
      <c r="EB302" s="62"/>
      <c r="EC302" s="62"/>
      <c r="ED302" s="62"/>
      <c r="EE302" s="454"/>
      <c r="EF302" s="62"/>
      <c r="EG302" s="62"/>
      <c r="EH302" s="62"/>
      <c r="EI302" s="62"/>
      <c r="EJ302" s="62"/>
      <c r="EK302" s="62"/>
      <c r="EL302" s="62"/>
      <c r="EM302" s="62"/>
      <c r="EN302" s="62"/>
      <c r="EO302" s="62"/>
      <c r="EP302" s="62"/>
      <c r="EQ302" s="62"/>
      <c r="ER302" s="62"/>
      <c r="ES302" s="62"/>
      <c r="ET302" s="62"/>
      <c r="EU302" s="62"/>
      <c r="EV302" s="62"/>
      <c r="EW302" s="62"/>
      <c r="EX302" s="62"/>
      <c r="EY302" s="62"/>
      <c r="EZ302" s="62"/>
      <c r="FA302" s="62"/>
      <c r="FB302" s="62"/>
      <c r="FC302" s="62"/>
      <c r="FD302" s="62"/>
      <c r="FE302" s="62"/>
      <c r="FF302" s="62"/>
    </row>
    <row r="303" spans="1:162" s="56" customFormat="1" hidden="1">
      <c r="A303" s="54"/>
      <c r="B303" s="55"/>
      <c r="C303" s="491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173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883"/>
      <c r="AH303" s="174"/>
      <c r="AI303" s="492"/>
      <c r="AJ303" s="905"/>
      <c r="AK303" s="919"/>
      <c r="AL303" s="174"/>
      <c r="AM303" s="174"/>
      <c r="AN303" s="174"/>
      <c r="AO303" s="928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4"/>
      <c r="BA303" s="174"/>
      <c r="BB303" s="174"/>
      <c r="BC303" s="174"/>
      <c r="BD303" s="174"/>
      <c r="BE303" s="174"/>
      <c r="BF303" s="174"/>
      <c r="BG303" s="174"/>
      <c r="BH303" s="174"/>
      <c r="BI303" s="174"/>
      <c r="BJ303" s="174"/>
      <c r="BK303" s="174"/>
      <c r="BL303" s="174"/>
      <c r="BM303" s="174"/>
      <c r="BN303" s="174"/>
      <c r="BO303" s="174"/>
      <c r="BP303" s="174"/>
      <c r="BQ303" s="174"/>
      <c r="BR303" s="174"/>
      <c r="BS303" s="174"/>
      <c r="BT303" s="174"/>
      <c r="BU303" s="174"/>
      <c r="BV303" s="174"/>
      <c r="BW303" s="174"/>
      <c r="BX303" s="174"/>
      <c r="BY303" s="174"/>
      <c r="BZ303" s="174"/>
      <c r="CA303" s="174"/>
      <c r="CB303" s="174"/>
      <c r="CC303" s="174"/>
      <c r="CD303" s="174"/>
      <c r="CE303" s="174"/>
      <c r="CF303" s="174"/>
      <c r="CG303" s="174"/>
      <c r="CH303" s="174"/>
      <c r="CI303" s="174"/>
      <c r="CJ303" s="174"/>
      <c r="CK303" s="174"/>
      <c r="CL303" s="174"/>
      <c r="CM303" s="174"/>
      <c r="CN303" s="174"/>
      <c r="CO303" s="174"/>
      <c r="CP303" s="174"/>
      <c r="CQ303" s="174"/>
      <c r="CR303" s="174"/>
      <c r="CS303" s="174"/>
      <c r="CT303" s="174"/>
      <c r="CU303" s="174"/>
      <c r="CV303" s="174"/>
      <c r="CW303" s="174"/>
      <c r="CX303" s="174"/>
      <c r="CY303" s="174"/>
      <c r="CZ303" s="174"/>
      <c r="DA303" s="174"/>
      <c r="DB303" s="174"/>
      <c r="DC303" s="174"/>
      <c r="DD303" s="174"/>
      <c r="DE303" s="174"/>
      <c r="DF303" s="174"/>
      <c r="DG303" s="174"/>
      <c r="DH303" s="174"/>
      <c r="DI303" s="174"/>
      <c r="DJ303" s="174"/>
      <c r="DK303" s="174"/>
      <c r="DL303" s="62"/>
      <c r="DM303" s="62"/>
      <c r="DN303" s="62"/>
      <c r="DO303" s="62"/>
      <c r="DP303" s="62"/>
      <c r="DQ303" s="62"/>
      <c r="DR303" s="62"/>
      <c r="DS303" s="62"/>
      <c r="DT303" s="62"/>
      <c r="DU303" s="62"/>
      <c r="DV303" s="62"/>
      <c r="DW303" s="62"/>
      <c r="DX303" s="62"/>
      <c r="DY303" s="62"/>
      <c r="DZ303" s="62"/>
      <c r="EA303" s="62"/>
      <c r="EB303" s="62"/>
      <c r="EC303" s="62"/>
      <c r="ED303" s="62"/>
      <c r="EE303" s="454"/>
      <c r="EF303" s="62"/>
      <c r="EG303" s="62"/>
      <c r="EH303" s="62"/>
      <c r="EI303" s="62"/>
      <c r="EJ303" s="62"/>
      <c r="EK303" s="62"/>
      <c r="EL303" s="62"/>
      <c r="EM303" s="62"/>
      <c r="EN303" s="62"/>
      <c r="EO303" s="62"/>
      <c r="EP303" s="62"/>
      <c r="EQ303" s="62"/>
      <c r="ER303" s="62"/>
      <c r="ES303" s="62"/>
      <c r="ET303" s="62"/>
      <c r="EU303" s="62"/>
      <c r="EV303" s="62"/>
      <c r="EW303" s="62"/>
      <c r="EX303" s="62"/>
      <c r="EY303" s="62"/>
      <c r="EZ303" s="62"/>
      <c r="FA303" s="62"/>
      <c r="FB303" s="62"/>
      <c r="FC303" s="62"/>
      <c r="FD303" s="62"/>
      <c r="FE303" s="62"/>
      <c r="FF303" s="62"/>
    </row>
    <row r="304" spans="1:162" s="56" customFormat="1" hidden="1">
      <c r="A304" s="54"/>
      <c r="B304" s="55"/>
      <c r="C304" s="491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173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883"/>
      <c r="AH304" s="174"/>
      <c r="AI304" s="492"/>
      <c r="AJ304" s="905"/>
      <c r="AK304" s="919"/>
      <c r="AL304" s="174"/>
      <c r="AM304" s="174"/>
      <c r="AN304" s="174"/>
      <c r="AO304" s="928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  <c r="DE304" s="174"/>
      <c r="DF304" s="174"/>
      <c r="DG304" s="174"/>
      <c r="DH304" s="174"/>
      <c r="DI304" s="174"/>
      <c r="DJ304" s="174"/>
      <c r="DK304" s="174"/>
      <c r="DL304" s="62"/>
      <c r="DM304" s="62"/>
      <c r="DN304" s="62"/>
      <c r="DO304" s="62"/>
      <c r="DP304" s="62"/>
      <c r="DQ304" s="62"/>
      <c r="DR304" s="62"/>
      <c r="DS304" s="62"/>
      <c r="DT304" s="62"/>
      <c r="DU304" s="62"/>
      <c r="DV304" s="62"/>
      <c r="DW304" s="62"/>
      <c r="DX304" s="62"/>
      <c r="DY304" s="62"/>
      <c r="DZ304" s="62"/>
      <c r="EA304" s="62"/>
      <c r="EB304" s="62"/>
      <c r="EC304" s="62"/>
      <c r="ED304" s="62"/>
      <c r="EE304" s="454"/>
      <c r="EF304" s="62"/>
      <c r="EG304" s="62"/>
      <c r="EH304" s="62"/>
      <c r="EI304" s="62"/>
      <c r="EJ304" s="62"/>
      <c r="EK304" s="62"/>
      <c r="EL304" s="62"/>
      <c r="EM304" s="62"/>
      <c r="EN304" s="62"/>
      <c r="EO304" s="62"/>
      <c r="EP304" s="62"/>
      <c r="EQ304" s="62"/>
      <c r="ER304" s="62"/>
      <c r="ES304" s="62"/>
      <c r="ET304" s="62"/>
      <c r="EU304" s="62"/>
      <c r="EV304" s="62"/>
      <c r="EW304" s="62"/>
      <c r="EX304" s="62"/>
      <c r="EY304" s="62"/>
      <c r="EZ304" s="62"/>
      <c r="FA304" s="62"/>
      <c r="FB304" s="62"/>
      <c r="FC304" s="62"/>
      <c r="FD304" s="62"/>
      <c r="FE304" s="62"/>
      <c r="FF304" s="62"/>
    </row>
    <row r="305" spans="1:162" s="56" customFormat="1" hidden="1">
      <c r="A305" s="54"/>
      <c r="B305" s="55"/>
      <c r="C305" s="491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173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883"/>
      <c r="AH305" s="174"/>
      <c r="AI305" s="492"/>
      <c r="AJ305" s="905"/>
      <c r="AK305" s="919"/>
      <c r="AL305" s="174"/>
      <c r="AM305" s="174"/>
      <c r="AN305" s="174"/>
      <c r="AO305" s="928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174"/>
      <c r="BJ305" s="174"/>
      <c r="BK305" s="174"/>
      <c r="BL305" s="174"/>
      <c r="BM305" s="174"/>
      <c r="BN305" s="174"/>
      <c r="BO305" s="174"/>
      <c r="BP305" s="174"/>
      <c r="BQ305" s="174"/>
      <c r="BR305" s="174"/>
      <c r="BS305" s="174"/>
      <c r="BT305" s="174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CI305" s="174"/>
      <c r="CJ305" s="174"/>
      <c r="CK305" s="174"/>
      <c r="CL305" s="174"/>
      <c r="CM305" s="174"/>
      <c r="CN305" s="174"/>
      <c r="CO305" s="174"/>
      <c r="CP305" s="174"/>
      <c r="CQ305" s="174"/>
      <c r="CR305" s="174"/>
      <c r="CS305" s="174"/>
      <c r="CT305" s="174"/>
      <c r="CU305" s="174"/>
      <c r="CV305" s="174"/>
      <c r="CW305" s="174"/>
      <c r="CX305" s="174"/>
      <c r="CY305" s="174"/>
      <c r="CZ305" s="174"/>
      <c r="DA305" s="174"/>
      <c r="DB305" s="174"/>
      <c r="DC305" s="174"/>
      <c r="DD305" s="174"/>
      <c r="DE305" s="174"/>
      <c r="DF305" s="174"/>
      <c r="DG305" s="174"/>
      <c r="DH305" s="174"/>
      <c r="DI305" s="174"/>
      <c r="DJ305" s="174"/>
      <c r="DK305" s="174"/>
      <c r="DL305" s="62"/>
      <c r="DM305" s="62"/>
      <c r="DN305" s="62"/>
      <c r="DO305" s="62"/>
      <c r="DP305" s="62"/>
      <c r="DQ305" s="62"/>
      <c r="DR305" s="62"/>
      <c r="DS305" s="62"/>
      <c r="DT305" s="62"/>
      <c r="DU305" s="62"/>
      <c r="DV305" s="62"/>
      <c r="DW305" s="62"/>
      <c r="DX305" s="62"/>
      <c r="DY305" s="62"/>
      <c r="DZ305" s="62"/>
      <c r="EA305" s="62"/>
      <c r="EB305" s="62"/>
      <c r="EC305" s="62"/>
      <c r="ED305" s="62"/>
      <c r="EE305" s="454"/>
      <c r="EF305" s="62"/>
      <c r="EG305" s="62"/>
      <c r="EH305" s="62"/>
      <c r="EI305" s="62"/>
      <c r="EJ305" s="62"/>
      <c r="EK305" s="62"/>
      <c r="EL305" s="62"/>
      <c r="EM305" s="62"/>
      <c r="EN305" s="62"/>
      <c r="EO305" s="62"/>
      <c r="EP305" s="62"/>
      <c r="EQ305" s="62"/>
      <c r="ER305" s="62"/>
      <c r="ES305" s="62"/>
      <c r="ET305" s="62"/>
      <c r="EU305" s="62"/>
      <c r="EV305" s="62"/>
      <c r="EW305" s="62"/>
      <c r="EX305" s="62"/>
      <c r="EY305" s="62"/>
      <c r="EZ305" s="62"/>
      <c r="FA305" s="62"/>
      <c r="FB305" s="62"/>
      <c r="FC305" s="62"/>
      <c r="FD305" s="62"/>
      <c r="FE305" s="62"/>
      <c r="FF305" s="62"/>
    </row>
    <row r="306" spans="1:162" s="56" customFormat="1" hidden="1">
      <c r="A306" s="54"/>
      <c r="B306" s="55"/>
      <c r="C306" s="491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173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883"/>
      <c r="AH306" s="174"/>
      <c r="AI306" s="492"/>
      <c r="AJ306" s="905"/>
      <c r="AK306" s="919"/>
      <c r="AL306" s="174"/>
      <c r="AM306" s="174"/>
      <c r="AN306" s="174"/>
      <c r="AO306" s="928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/>
      <c r="BI306" s="174"/>
      <c r="BJ306" s="174"/>
      <c r="BK306" s="174"/>
      <c r="BL306" s="174"/>
      <c r="BM306" s="174"/>
      <c r="BN306" s="174"/>
      <c r="BO306" s="174"/>
      <c r="BP306" s="174"/>
      <c r="BQ306" s="174"/>
      <c r="BR306" s="174"/>
      <c r="BS306" s="174"/>
      <c r="BT306" s="174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CI306" s="174"/>
      <c r="CJ306" s="174"/>
      <c r="CK306" s="174"/>
      <c r="CL306" s="174"/>
      <c r="CM306" s="174"/>
      <c r="CN306" s="174"/>
      <c r="CO306" s="174"/>
      <c r="CP306" s="174"/>
      <c r="CQ306" s="174"/>
      <c r="CR306" s="174"/>
      <c r="CS306" s="174"/>
      <c r="CT306" s="174"/>
      <c r="CU306" s="174"/>
      <c r="CV306" s="174"/>
      <c r="CW306" s="174"/>
      <c r="CX306" s="174"/>
      <c r="CY306" s="174"/>
      <c r="CZ306" s="174"/>
      <c r="DA306" s="174"/>
      <c r="DB306" s="174"/>
      <c r="DC306" s="174"/>
      <c r="DD306" s="174"/>
      <c r="DE306" s="174"/>
      <c r="DF306" s="174"/>
      <c r="DG306" s="174"/>
      <c r="DH306" s="174"/>
      <c r="DI306" s="174"/>
      <c r="DJ306" s="174"/>
      <c r="DK306" s="174"/>
      <c r="DL306" s="62"/>
      <c r="DM306" s="62"/>
      <c r="DN306" s="62"/>
      <c r="DO306" s="62"/>
      <c r="DP306" s="62"/>
      <c r="DQ306" s="62"/>
      <c r="DR306" s="62"/>
      <c r="DS306" s="62"/>
      <c r="DT306" s="62"/>
      <c r="DU306" s="62"/>
      <c r="DV306" s="62"/>
      <c r="DW306" s="62"/>
      <c r="DX306" s="62"/>
      <c r="DY306" s="62"/>
      <c r="DZ306" s="62"/>
      <c r="EA306" s="62"/>
      <c r="EB306" s="62"/>
      <c r="EC306" s="62"/>
      <c r="ED306" s="62"/>
      <c r="EE306" s="454"/>
      <c r="EF306" s="62"/>
      <c r="EG306" s="62"/>
      <c r="EH306" s="62"/>
      <c r="EI306" s="62"/>
      <c r="EJ306" s="62"/>
      <c r="EK306" s="62"/>
      <c r="EL306" s="62"/>
      <c r="EM306" s="62"/>
      <c r="EN306" s="62"/>
      <c r="EO306" s="62"/>
      <c r="EP306" s="62"/>
      <c r="EQ306" s="62"/>
      <c r="ER306" s="62"/>
      <c r="ES306" s="62"/>
      <c r="ET306" s="62"/>
      <c r="EU306" s="62"/>
      <c r="EV306" s="62"/>
      <c r="EW306" s="62"/>
      <c r="EX306" s="62"/>
      <c r="EY306" s="62"/>
      <c r="EZ306" s="62"/>
      <c r="FA306" s="62"/>
      <c r="FB306" s="62"/>
      <c r="FC306" s="62"/>
      <c r="FD306" s="62"/>
      <c r="FE306" s="62"/>
      <c r="FF306" s="62"/>
    </row>
    <row r="307" spans="1:162" s="56" customFormat="1" hidden="1">
      <c r="A307" s="54"/>
      <c r="B307" s="55"/>
      <c r="C307" s="491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173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883"/>
      <c r="AH307" s="174"/>
      <c r="AI307" s="492"/>
      <c r="AJ307" s="905"/>
      <c r="AK307" s="919"/>
      <c r="AL307" s="174"/>
      <c r="AM307" s="174"/>
      <c r="AN307" s="174"/>
      <c r="AO307" s="928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/>
      <c r="BG307" s="174"/>
      <c r="BH307" s="174"/>
      <c r="BI307" s="174"/>
      <c r="BJ307" s="174"/>
      <c r="BK307" s="174"/>
      <c r="BL307" s="174"/>
      <c r="BM307" s="174"/>
      <c r="BN307" s="174"/>
      <c r="BO307" s="174"/>
      <c r="BP307" s="174"/>
      <c r="BQ307" s="174"/>
      <c r="BR307" s="174"/>
      <c r="BS307" s="174"/>
      <c r="BT307" s="174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CI307" s="174"/>
      <c r="CJ307" s="174"/>
      <c r="CK307" s="174"/>
      <c r="CL307" s="174"/>
      <c r="CM307" s="174"/>
      <c r="CN307" s="174"/>
      <c r="CO307" s="174"/>
      <c r="CP307" s="174"/>
      <c r="CQ307" s="174"/>
      <c r="CR307" s="174"/>
      <c r="CS307" s="174"/>
      <c r="CT307" s="174"/>
      <c r="CU307" s="174"/>
      <c r="CV307" s="174"/>
      <c r="CW307" s="174"/>
      <c r="CX307" s="174"/>
      <c r="CY307" s="174"/>
      <c r="CZ307" s="174"/>
      <c r="DA307" s="174"/>
      <c r="DB307" s="174"/>
      <c r="DC307" s="174"/>
      <c r="DD307" s="174"/>
      <c r="DE307" s="174"/>
      <c r="DF307" s="174"/>
      <c r="DG307" s="174"/>
      <c r="DH307" s="174"/>
      <c r="DI307" s="174"/>
      <c r="DJ307" s="174"/>
      <c r="DK307" s="174"/>
      <c r="DL307" s="62"/>
      <c r="DM307" s="62"/>
      <c r="DN307" s="62"/>
      <c r="DO307" s="62"/>
      <c r="DP307" s="62"/>
      <c r="DQ307" s="62"/>
      <c r="DR307" s="62"/>
      <c r="DS307" s="62"/>
      <c r="DT307" s="62"/>
      <c r="DU307" s="62"/>
      <c r="DV307" s="62"/>
      <c r="DW307" s="62"/>
      <c r="DX307" s="62"/>
      <c r="DY307" s="62"/>
      <c r="DZ307" s="62"/>
      <c r="EA307" s="62"/>
      <c r="EB307" s="62"/>
      <c r="EC307" s="62"/>
      <c r="ED307" s="62"/>
      <c r="EE307" s="454"/>
      <c r="EF307" s="62"/>
      <c r="EG307" s="62"/>
      <c r="EH307" s="62"/>
      <c r="EI307" s="62"/>
      <c r="EJ307" s="62"/>
      <c r="EK307" s="62"/>
      <c r="EL307" s="62"/>
      <c r="EM307" s="62"/>
      <c r="EN307" s="62"/>
      <c r="EO307" s="62"/>
      <c r="EP307" s="62"/>
      <c r="EQ307" s="62"/>
      <c r="ER307" s="62"/>
      <c r="ES307" s="62"/>
      <c r="ET307" s="62"/>
      <c r="EU307" s="62"/>
      <c r="EV307" s="62"/>
      <c r="EW307" s="62"/>
      <c r="EX307" s="62"/>
      <c r="EY307" s="62"/>
      <c r="EZ307" s="62"/>
      <c r="FA307" s="62"/>
      <c r="FB307" s="62"/>
      <c r="FC307" s="62"/>
      <c r="FD307" s="62"/>
      <c r="FE307" s="62"/>
      <c r="FF307" s="62"/>
    </row>
    <row r="308" spans="1:162" s="56" customFormat="1" hidden="1">
      <c r="A308" s="54"/>
      <c r="B308" s="55"/>
      <c r="C308" s="491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173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883"/>
      <c r="AH308" s="174"/>
      <c r="AI308" s="492"/>
      <c r="AJ308" s="905"/>
      <c r="AK308" s="919"/>
      <c r="AL308" s="174"/>
      <c r="AM308" s="174"/>
      <c r="AN308" s="174"/>
      <c r="AO308" s="928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174"/>
      <c r="BK308" s="174"/>
      <c r="BL308" s="174"/>
      <c r="BM308" s="174"/>
      <c r="BN308" s="174"/>
      <c r="BO308" s="174"/>
      <c r="BP308" s="174"/>
      <c r="BQ308" s="174"/>
      <c r="BR308" s="174"/>
      <c r="BS308" s="174"/>
      <c r="BT308" s="174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CI308" s="174"/>
      <c r="CJ308" s="174"/>
      <c r="CK308" s="174"/>
      <c r="CL308" s="174"/>
      <c r="CM308" s="174"/>
      <c r="CN308" s="174"/>
      <c r="CO308" s="174"/>
      <c r="CP308" s="174"/>
      <c r="CQ308" s="174"/>
      <c r="CR308" s="174"/>
      <c r="CS308" s="174"/>
      <c r="CT308" s="174"/>
      <c r="CU308" s="174"/>
      <c r="CV308" s="174"/>
      <c r="CW308" s="174"/>
      <c r="CX308" s="174"/>
      <c r="CY308" s="174"/>
      <c r="CZ308" s="174"/>
      <c r="DA308" s="174"/>
      <c r="DB308" s="174"/>
      <c r="DC308" s="174"/>
      <c r="DD308" s="174"/>
      <c r="DE308" s="174"/>
      <c r="DF308" s="174"/>
      <c r="DG308" s="174"/>
      <c r="DH308" s="174"/>
      <c r="DI308" s="174"/>
      <c r="DJ308" s="174"/>
      <c r="DK308" s="174"/>
      <c r="DL308" s="62"/>
      <c r="DM308" s="62"/>
      <c r="DN308" s="62"/>
      <c r="DO308" s="62"/>
      <c r="DP308" s="62"/>
      <c r="DQ308" s="62"/>
      <c r="DR308" s="62"/>
      <c r="DS308" s="62"/>
      <c r="DT308" s="62"/>
      <c r="DU308" s="62"/>
      <c r="DV308" s="62"/>
      <c r="DW308" s="62"/>
      <c r="DX308" s="62"/>
      <c r="DY308" s="62"/>
      <c r="DZ308" s="62"/>
      <c r="EA308" s="62"/>
      <c r="EB308" s="62"/>
      <c r="EC308" s="62"/>
      <c r="ED308" s="62"/>
      <c r="EE308" s="454"/>
      <c r="EF308" s="62"/>
      <c r="EG308" s="62"/>
      <c r="EH308" s="62"/>
      <c r="EI308" s="62"/>
      <c r="EJ308" s="62"/>
      <c r="EK308" s="62"/>
      <c r="EL308" s="62"/>
      <c r="EM308" s="62"/>
      <c r="EN308" s="62"/>
      <c r="EO308" s="62"/>
      <c r="EP308" s="62"/>
      <c r="EQ308" s="62"/>
      <c r="ER308" s="62"/>
      <c r="ES308" s="62"/>
      <c r="ET308" s="62"/>
      <c r="EU308" s="62"/>
      <c r="EV308" s="62"/>
      <c r="EW308" s="62"/>
      <c r="EX308" s="62"/>
      <c r="EY308" s="62"/>
      <c r="EZ308" s="62"/>
      <c r="FA308" s="62"/>
      <c r="FB308" s="62"/>
      <c r="FC308" s="62"/>
      <c r="FD308" s="62"/>
      <c r="FE308" s="62"/>
      <c r="FF308" s="62"/>
    </row>
    <row r="309" spans="1:162" s="56" customFormat="1" hidden="1">
      <c r="A309" s="54"/>
      <c r="B309" s="55"/>
      <c r="C309" s="491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173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883"/>
      <c r="AH309" s="174"/>
      <c r="AI309" s="492"/>
      <c r="AJ309" s="905"/>
      <c r="AK309" s="919"/>
      <c r="AL309" s="174"/>
      <c r="AM309" s="174"/>
      <c r="AN309" s="174"/>
      <c r="AO309" s="928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4"/>
      <c r="BA309" s="174"/>
      <c r="BB309" s="174"/>
      <c r="BC309" s="174"/>
      <c r="BD309" s="174"/>
      <c r="BE309" s="174"/>
      <c r="BF309" s="174"/>
      <c r="BG309" s="174"/>
      <c r="BH309" s="174"/>
      <c r="BI309" s="174"/>
      <c r="BJ309" s="174"/>
      <c r="BK309" s="174"/>
      <c r="BL309" s="174"/>
      <c r="BM309" s="174"/>
      <c r="BN309" s="174"/>
      <c r="BO309" s="174"/>
      <c r="BP309" s="174"/>
      <c r="BQ309" s="174"/>
      <c r="BR309" s="174"/>
      <c r="BS309" s="174"/>
      <c r="BT309" s="174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CI309" s="174"/>
      <c r="CJ309" s="174"/>
      <c r="CK309" s="174"/>
      <c r="CL309" s="174"/>
      <c r="CM309" s="174"/>
      <c r="CN309" s="174"/>
      <c r="CO309" s="174"/>
      <c r="CP309" s="174"/>
      <c r="CQ309" s="174"/>
      <c r="CR309" s="174"/>
      <c r="CS309" s="174"/>
      <c r="CT309" s="174"/>
      <c r="CU309" s="174"/>
      <c r="CV309" s="174"/>
      <c r="CW309" s="174"/>
      <c r="CX309" s="174"/>
      <c r="CY309" s="174"/>
      <c r="CZ309" s="174"/>
      <c r="DA309" s="174"/>
      <c r="DB309" s="174"/>
      <c r="DC309" s="174"/>
      <c r="DD309" s="174"/>
      <c r="DE309" s="174"/>
      <c r="DF309" s="174"/>
      <c r="DG309" s="174"/>
      <c r="DH309" s="174"/>
      <c r="DI309" s="174"/>
      <c r="DJ309" s="174"/>
      <c r="DK309" s="174"/>
      <c r="DL309" s="62"/>
      <c r="DM309" s="62"/>
      <c r="DN309" s="62"/>
      <c r="DO309" s="62"/>
      <c r="DP309" s="62"/>
      <c r="DQ309" s="62"/>
      <c r="DR309" s="62"/>
      <c r="DS309" s="62"/>
      <c r="DT309" s="62"/>
      <c r="DU309" s="62"/>
      <c r="DV309" s="62"/>
      <c r="DW309" s="62"/>
      <c r="DX309" s="62"/>
      <c r="DY309" s="62"/>
      <c r="DZ309" s="62"/>
      <c r="EA309" s="62"/>
      <c r="EB309" s="62"/>
      <c r="EC309" s="62"/>
      <c r="ED309" s="62"/>
      <c r="EE309" s="454"/>
      <c r="EF309" s="62"/>
      <c r="EG309" s="62"/>
      <c r="EH309" s="62"/>
      <c r="EI309" s="62"/>
      <c r="EJ309" s="62"/>
      <c r="EK309" s="62"/>
      <c r="EL309" s="62"/>
      <c r="EM309" s="62"/>
      <c r="EN309" s="62"/>
      <c r="EO309" s="62"/>
      <c r="EP309" s="62"/>
      <c r="EQ309" s="62"/>
      <c r="ER309" s="62"/>
      <c r="ES309" s="62"/>
      <c r="ET309" s="62"/>
      <c r="EU309" s="62"/>
      <c r="EV309" s="62"/>
      <c r="EW309" s="62"/>
      <c r="EX309" s="62"/>
      <c r="EY309" s="62"/>
      <c r="EZ309" s="62"/>
      <c r="FA309" s="62"/>
      <c r="FB309" s="62"/>
      <c r="FC309" s="62"/>
      <c r="FD309" s="62"/>
      <c r="FE309" s="62"/>
      <c r="FF309" s="62"/>
    </row>
    <row r="310" spans="1:162" hidden="1">
      <c r="A310" s="487">
        <f>MATCH(C310,$C$5:$C$361,0)</f>
        <v>306</v>
      </c>
      <c r="C310" s="14" t="s">
        <v>3037</v>
      </c>
      <c r="D310" s="14">
        <f t="shared" ref="D310:Q310" si="153">SUM(D297:D309)</f>
        <v>0</v>
      </c>
      <c r="E310" s="14">
        <f t="shared" si="153"/>
        <v>0</v>
      </c>
      <c r="F310" s="14">
        <f t="shared" si="153"/>
        <v>0</v>
      </c>
      <c r="G310" s="14">
        <f t="shared" si="153"/>
        <v>0</v>
      </c>
      <c r="H310" s="14">
        <f t="shared" si="153"/>
        <v>0</v>
      </c>
      <c r="I310" s="14">
        <f t="shared" si="153"/>
        <v>0</v>
      </c>
      <c r="J310" s="14">
        <f t="shared" si="153"/>
        <v>0</v>
      </c>
      <c r="K310" s="14">
        <f t="shared" si="153"/>
        <v>0</v>
      </c>
      <c r="L310" s="14">
        <f t="shared" si="153"/>
        <v>0</v>
      </c>
      <c r="M310" s="14">
        <f t="shared" si="153"/>
        <v>0</v>
      </c>
      <c r="N310" s="14">
        <f t="shared" si="153"/>
        <v>0</v>
      </c>
      <c r="O310" s="14">
        <f t="shared" si="153"/>
        <v>0</v>
      </c>
      <c r="P310" s="14">
        <f t="shared" si="153"/>
        <v>0</v>
      </c>
      <c r="Q310" s="14">
        <f t="shared" si="153"/>
        <v>0</v>
      </c>
      <c r="R310" s="14"/>
      <c r="S310" s="175">
        <f t="shared" ref="S310:AY310" si="154">SUM(S297:S309)</f>
        <v>0</v>
      </c>
      <c r="T310" s="175">
        <f t="shared" si="154"/>
        <v>0</v>
      </c>
      <c r="U310" s="175">
        <f t="shared" si="154"/>
        <v>0</v>
      </c>
      <c r="V310" s="175">
        <f t="shared" si="154"/>
        <v>0</v>
      </c>
      <c r="W310" s="175">
        <f t="shared" si="154"/>
        <v>0</v>
      </c>
      <c r="X310" s="175">
        <f t="shared" si="154"/>
        <v>0</v>
      </c>
      <c r="Y310" s="175">
        <f t="shared" si="154"/>
        <v>0</v>
      </c>
      <c r="Z310" s="175">
        <f t="shared" si="154"/>
        <v>0</v>
      </c>
      <c r="AA310" s="175">
        <f t="shared" si="154"/>
        <v>0</v>
      </c>
      <c r="AB310" s="175">
        <f t="shared" si="154"/>
        <v>0</v>
      </c>
      <c r="AC310" s="175">
        <f t="shared" si="154"/>
        <v>0</v>
      </c>
      <c r="AD310" s="175">
        <f t="shared" si="154"/>
        <v>0</v>
      </c>
      <c r="AE310" s="175">
        <f t="shared" si="154"/>
        <v>0</v>
      </c>
      <c r="AF310" s="175">
        <f t="shared" si="154"/>
        <v>0</v>
      </c>
      <c r="AG310" s="884">
        <f>SUM(AG297:AG309)</f>
        <v>0</v>
      </c>
      <c r="AH310" s="175">
        <f t="shared" si="154"/>
        <v>0</v>
      </c>
      <c r="AI310" s="178">
        <f t="shared" si="154"/>
        <v>0</v>
      </c>
      <c r="AJ310" s="906">
        <f t="shared" si="154"/>
        <v>0</v>
      </c>
      <c r="AK310" s="920">
        <f t="shared" si="154"/>
        <v>0</v>
      </c>
      <c r="AL310" s="175">
        <f t="shared" si="154"/>
        <v>0</v>
      </c>
      <c r="AM310" s="175">
        <f t="shared" si="154"/>
        <v>0</v>
      </c>
      <c r="AN310" s="175">
        <f t="shared" si="154"/>
        <v>0</v>
      </c>
      <c r="AO310" s="929">
        <f t="shared" si="154"/>
        <v>0</v>
      </c>
      <c r="AP310" s="175">
        <f t="shared" si="154"/>
        <v>0</v>
      </c>
      <c r="AQ310" s="175">
        <f t="shared" si="154"/>
        <v>0</v>
      </c>
      <c r="AR310" s="175">
        <f t="shared" si="154"/>
        <v>0</v>
      </c>
      <c r="AS310" s="175">
        <f t="shared" si="154"/>
        <v>0</v>
      </c>
      <c r="AT310" s="175">
        <f t="shared" si="154"/>
        <v>0</v>
      </c>
      <c r="AU310" s="175">
        <f t="shared" si="154"/>
        <v>0</v>
      </c>
      <c r="AV310" s="175">
        <f t="shared" si="154"/>
        <v>0</v>
      </c>
      <c r="AW310" s="175">
        <f t="shared" si="154"/>
        <v>0</v>
      </c>
      <c r="AX310" s="175">
        <f t="shared" si="154"/>
        <v>0</v>
      </c>
      <c r="AY310" s="175">
        <f t="shared" si="154"/>
        <v>0</v>
      </c>
      <c r="AZ310" s="175">
        <f t="shared" ref="AZ310:CH310" si="155">SUM(AZ297:AZ309)</f>
        <v>0</v>
      </c>
      <c r="BA310" s="175">
        <f t="shared" si="155"/>
        <v>0</v>
      </c>
      <c r="BB310" s="175">
        <f t="shared" si="155"/>
        <v>0</v>
      </c>
      <c r="BC310" s="175">
        <f t="shared" si="155"/>
        <v>0</v>
      </c>
      <c r="BD310" s="175">
        <f t="shared" si="155"/>
        <v>0</v>
      </c>
      <c r="BE310" s="175">
        <f t="shared" si="155"/>
        <v>0</v>
      </c>
      <c r="BF310" s="175">
        <f t="shared" si="155"/>
        <v>0</v>
      </c>
      <c r="BG310" s="175">
        <f t="shared" si="155"/>
        <v>0</v>
      </c>
      <c r="BH310" s="175">
        <f t="shared" si="155"/>
        <v>0</v>
      </c>
      <c r="BI310" s="175">
        <f t="shared" si="155"/>
        <v>0</v>
      </c>
      <c r="BJ310" s="175">
        <f>SUM(BJ297:BJ309)</f>
        <v>0</v>
      </c>
      <c r="BK310" s="175">
        <f t="shared" si="155"/>
        <v>0</v>
      </c>
      <c r="BL310" s="175">
        <f t="shared" si="155"/>
        <v>0</v>
      </c>
      <c r="BM310" s="175">
        <f t="shared" si="155"/>
        <v>0</v>
      </c>
      <c r="BN310" s="175">
        <f t="shared" si="155"/>
        <v>0</v>
      </c>
      <c r="BO310" s="175">
        <f t="shared" si="155"/>
        <v>0</v>
      </c>
      <c r="BP310" s="175">
        <f t="shared" si="155"/>
        <v>0</v>
      </c>
      <c r="BQ310" s="175">
        <f t="shared" si="155"/>
        <v>0</v>
      </c>
      <c r="BR310" s="175">
        <f t="shared" si="155"/>
        <v>0</v>
      </c>
      <c r="BS310" s="175">
        <f t="shared" si="155"/>
        <v>0</v>
      </c>
      <c r="BT310" s="175">
        <f t="shared" si="155"/>
        <v>0</v>
      </c>
      <c r="BU310" s="175">
        <f t="shared" si="155"/>
        <v>0</v>
      </c>
      <c r="BV310" s="175">
        <f t="shared" si="155"/>
        <v>0</v>
      </c>
      <c r="BW310" s="175">
        <f t="shared" si="155"/>
        <v>0</v>
      </c>
      <c r="BX310" s="175">
        <f t="shared" si="155"/>
        <v>0</v>
      </c>
      <c r="BY310" s="175">
        <f t="shared" si="155"/>
        <v>0</v>
      </c>
      <c r="BZ310" s="175">
        <f t="shared" si="155"/>
        <v>0</v>
      </c>
      <c r="CA310" s="175">
        <f t="shared" si="155"/>
        <v>0</v>
      </c>
      <c r="CB310" s="175">
        <f t="shared" si="155"/>
        <v>0</v>
      </c>
      <c r="CC310" s="175">
        <f t="shared" si="155"/>
        <v>0</v>
      </c>
      <c r="CD310" s="175">
        <f t="shared" si="155"/>
        <v>0</v>
      </c>
      <c r="CE310" s="175">
        <f t="shared" si="155"/>
        <v>0</v>
      </c>
      <c r="CF310" s="175">
        <f>SUM(CF297:CF309)</f>
        <v>0</v>
      </c>
      <c r="CG310" s="175">
        <f>SUM(CG297:CG309)</f>
        <v>0</v>
      </c>
      <c r="CH310" s="175">
        <f t="shared" si="155"/>
        <v>0</v>
      </c>
      <c r="CI310" s="175">
        <f t="shared" ref="CI310:DN310" si="156">SUM(CI297:CI309)</f>
        <v>0</v>
      </c>
      <c r="CJ310" s="175">
        <f t="shared" si="156"/>
        <v>0</v>
      </c>
      <c r="CK310" s="175">
        <f t="shared" si="156"/>
        <v>0</v>
      </c>
      <c r="CL310" s="175">
        <f t="shared" si="156"/>
        <v>0</v>
      </c>
      <c r="CM310" s="175">
        <f t="shared" si="156"/>
        <v>0</v>
      </c>
      <c r="CN310" s="175">
        <f t="shared" si="156"/>
        <v>0</v>
      </c>
      <c r="CO310" s="175">
        <f t="shared" si="156"/>
        <v>0</v>
      </c>
      <c r="CP310" s="175">
        <f t="shared" si="156"/>
        <v>0</v>
      </c>
      <c r="CQ310" s="175">
        <f t="shared" si="156"/>
        <v>0</v>
      </c>
      <c r="CR310" s="175">
        <f t="shared" si="156"/>
        <v>0</v>
      </c>
      <c r="CS310" s="175">
        <f t="shared" si="156"/>
        <v>0</v>
      </c>
      <c r="CT310" s="175">
        <f t="shared" si="156"/>
        <v>0</v>
      </c>
      <c r="CU310" s="175">
        <f t="shared" si="156"/>
        <v>0</v>
      </c>
      <c r="CV310" s="175">
        <f t="shared" si="156"/>
        <v>0</v>
      </c>
      <c r="CW310" s="175">
        <f t="shared" si="156"/>
        <v>0</v>
      </c>
      <c r="CX310" s="175">
        <f t="shared" si="156"/>
        <v>0</v>
      </c>
      <c r="CY310" s="175">
        <f t="shared" si="156"/>
        <v>0</v>
      </c>
      <c r="CZ310" s="175">
        <f t="shared" si="156"/>
        <v>0</v>
      </c>
      <c r="DA310" s="175">
        <f t="shared" si="156"/>
        <v>0</v>
      </c>
      <c r="DB310" s="175">
        <f t="shared" si="156"/>
        <v>0</v>
      </c>
      <c r="DC310" s="175">
        <f t="shared" si="156"/>
        <v>0</v>
      </c>
      <c r="DD310" s="175">
        <f t="shared" si="156"/>
        <v>0</v>
      </c>
      <c r="DE310" s="175">
        <f t="shared" si="156"/>
        <v>0</v>
      </c>
      <c r="DF310" s="175">
        <f t="shared" si="156"/>
        <v>0</v>
      </c>
      <c r="DG310" s="175">
        <f t="shared" si="156"/>
        <v>0</v>
      </c>
      <c r="DH310" s="175">
        <f t="shared" si="156"/>
        <v>0</v>
      </c>
      <c r="DI310" s="175">
        <f t="shared" si="156"/>
        <v>0</v>
      </c>
      <c r="DJ310" s="175">
        <f t="shared" si="156"/>
        <v>0</v>
      </c>
      <c r="DK310" s="175">
        <f t="shared" si="156"/>
        <v>0</v>
      </c>
      <c r="DL310" s="14">
        <f t="shared" si="156"/>
        <v>0</v>
      </c>
      <c r="DM310" s="14">
        <f t="shared" si="156"/>
        <v>0</v>
      </c>
      <c r="DN310" s="14">
        <f t="shared" si="156"/>
        <v>0</v>
      </c>
      <c r="DO310" s="14">
        <f t="shared" ref="DO310:FE310" si="157">SUM(DO297:DO309)</f>
        <v>0</v>
      </c>
      <c r="DP310" s="14">
        <f t="shared" si="157"/>
        <v>0</v>
      </c>
      <c r="DQ310" s="14">
        <f t="shared" si="157"/>
        <v>0</v>
      </c>
      <c r="DR310" s="14">
        <f t="shared" si="157"/>
        <v>0</v>
      </c>
      <c r="DS310" s="14">
        <f t="shared" si="157"/>
        <v>0</v>
      </c>
      <c r="DT310" s="14">
        <f t="shared" si="157"/>
        <v>0</v>
      </c>
      <c r="DU310" s="14">
        <f t="shared" si="157"/>
        <v>0</v>
      </c>
      <c r="DV310" s="14">
        <f>SUM(DV297:DV309)</f>
        <v>0</v>
      </c>
      <c r="DW310" s="14">
        <f>SUM(DW297:DW309)</f>
        <v>0</v>
      </c>
      <c r="DX310" s="14">
        <f t="shared" si="157"/>
        <v>0</v>
      </c>
      <c r="DY310" s="14">
        <f t="shared" si="157"/>
        <v>0</v>
      </c>
      <c r="DZ310" s="14">
        <f t="shared" si="157"/>
        <v>0</v>
      </c>
      <c r="EA310" s="14">
        <f>SUM(EA297:EA309)</f>
        <v>0</v>
      </c>
      <c r="EB310" s="14">
        <f t="shared" si="157"/>
        <v>0</v>
      </c>
      <c r="EC310" s="14">
        <f t="shared" si="157"/>
        <v>0</v>
      </c>
      <c r="ED310" s="14">
        <f t="shared" si="157"/>
        <v>0</v>
      </c>
      <c r="EE310" s="508"/>
      <c r="EF310" s="14">
        <f t="shared" si="157"/>
        <v>0</v>
      </c>
      <c r="EG310" s="14">
        <f>SUM(EG297:EG309)</f>
        <v>0</v>
      </c>
      <c r="EH310" s="14">
        <f>SUM(EH297:EH309)</f>
        <v>0</v>
      </c>
      <c r="EI310" s="14">
        <f>SUM(EI297:EI309)</f>
        <v>0</v>
      </c>
      <c r="EJ310" s="14">
        <f t="shared" si="157"/>
        <v>0</v>
      </c>
      <c r="EK310" s="14">
        <f t="shared" si="157"/>
        <v>0</v>
      </c>
      <c r="EL310" s="14">
        <f t="shared" si="157"/>
        <v>0</v>
      </c>
      <c r="EM310" s="14">
        <f t="shared" si="157"/>
        <v>0</v>
      </c>
      <c r="EN310" s="14">
        <f>SUM(EN297:EN309)</f>
        <v>0</v>
      </c>
      <c r="EO310" s="14">
        <f t="shared" si="157"/>
        <v>0</v>
      </c>
      <c r="EP310" s="14">
        <f t="shared" si="157"/>
        <v>0</v>
      </c>
      <c r="EQ310" s="14">
        <f>SUM(EQ297:EQ309)</f>
        <v>0</v>
      </c>
      <c r="ER310" s="14">
        <f>SUM(ER297:ER309)</f>
        <v>0</v>
      </c>
      <c r="ES310" s="14">
        <f t="shared" si="157"/>
        <v>0</v>
      </c>
      <c r="ET310" s="14">
        <f t="shared" si="157"/>
        <v>0</v>
      </c>
      <c r="EU310" s="14">
        <f t="shared" si="157"/>
        <v>0</v>
      </c>
      <c r="EV310" s="14">
        <f t="shared" si="157"/>
        <v>0</v>
      </c>
      <c r="EW310" s="14">
        <f t="shared" si="157"/>
        <v>0</v>
      </c>
      <c r="EX310" s="14">
        <f>SUM(EX297:EX309)</f>
        <v>0</v>
      </c>
      <c r="EY310" s="14">
        <f t="shared" si="157"/>
        <v>0</v>
      </c>
      <c r="EZ310" s="14">
        <f t="shared" si="157"/>
        <v>0</v>
      </c>
      <c r="FA310" s="14">
        <f t="shared" si="157"/>
        <v>0</v>
      </c>
      <c r="FB310" s="14">
        <f t="shared" si="157"/>
        <v>0</v>
      </c>
      <c r="FC310" s="14">
        <f>SUM(FC297:FC309)</f>
        <v>0</v>
      </c>
      <c r="FD310" s="14">
        <f>SUM(FD297:FD309)</f>
        <v>0</v>
      </c>
      <c r="FE310" s="14">
        <f t="shared" si="157"/>
        <v>0</v>
      </c>
      <c r="FF310" s="14"/>
    </row>
    <row r="311" spans="1:162" hidden="1">
      <c r="A311" s="54"/>
      <c r="B311" s="55" t="s">
        <v>3074</v>
      </c>
      <c r="C311" s="11" t="s">
        <v>3229</v>
      </c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885"/>
      <c r="AH311" s="176"/>
      <c r="AI311" s="897"/>
      <c r="AJ311" s="907"/>
      <c r="AK311" s="921"/>
      <c r="AL311" s="176"/>
      <c r="AM311" s="176"/>
      <c r="AN311" s="176"/>
      <c r="AO311" s="176"/>
      <c r="AP311" s="176"/>
      <c r="AQ311" s="176"/>
      <c r="AR311" s="176"/>
      <c r="AS311" s="176"/>
      <c r="AT311" s="176"/>
      <c r="AU311" s="176"/>
      <c r="AV311" s="176"/>
      <c r="AW311" s="176"/>
      <c r="AX311" s="176"/>
      <c r="AY311" s="176"/>
      <c r="AZ311" s="176"/>
      <c r="BA311" s="176"/>
      <c r="BB311" s="176"/>
      <c r="BC311" s="176"/>
      <c r="BD311" s="176"/>
      <c r="BE311" s="176"/>
      <c r="BF311" s="176"/>
      <c r="BG311" s="176"/>
      <c r="BH311" s="176"/>
      <c r="BI311" s="176"/>
      <c r="BJ311" s="176"/>
      <c r="BK311" s="176"/>
      <c r="BL311" s="176"/>
      <c r="BM311" s="176"/>
      <c r="BN311" s="176"/>
      <c r="BO311" s="176"/>
      <c r="BP311" s="176"/>
      <c r="BQ311" s="176"/>
      <c r="BR311" s="176"/>
      <c r="BS311" s="176"/>
      <c r="BT311" s="176"/>
      <c r="BU311" s="176"/>
      <c r="BV311" s="176"/>
      <c r="BW311" s="176"/>
      <c r="BX311" s="176"/>
      <c r="BY311" s="176"/>
      <c r="BZ311" s="176"/>
      <c r="CA311" s="176"/>
      <c r="CB311" s="176"/>
      <c r="CC311" s="176"/>
      <c r="CD311" s="176"/>
      <c r="CE311" s="176"/>
      <c r="CF311" s="176"/>
      <c r="CG311" s="176"/>
      <c r="CH311" s="176"/>
      <c r="CI311" s="176"/>
      <c r="CJ311" s="176"/>
      <c r="CK311" s="176"/>
      <c r="CL311" s="176"/>
      <c r="CM311" s="176"/>
      <c r="CN311" s="176"/>
      <c r="CO311" s="176"/>
      <c r="CP311" s="176"/>
      <c r="CQ311" s="176"/>
      <c r="CR311" s="176"/>
      <c r="CS311" s="176"/>
      <c r="CT311" s="176"/>
      <c r="CU311" s="176"/>
      <c r="CV311" s="176"/>
      <c r="CW311" s="176"/>
      <c r="CX311" s="176"/>
      <c r="CY311" s="176"/>
      <c r="CZ311" s="176"/>
      <c r="DA311" s="176"/>
      <c r="DB311" s="176"/>
      <c r="DC311" s="176"/>
      <c r="DD311" s="176"/>
      <c r="DE311" s="176"/>
      <c r="DF311" s="176"/>
      <c r="DG311" s="176"/>
      <c r="DH311" s="176"/>
      <c r="DI311" s="176"/>
      <c r="DJ311" s="176"/>
      <c r="DK311" s="176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503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3"/>
    </row>
    <row r="312" spans="1:162" s="56" customFormat="1" hidden="1">
      <c r="A312" s="54"/>
      <c r="B312" s="55"/>
      <c r="C312" s="491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173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883"/>
      <c r="AH312" s="174"/>
      <c r="AI312" s="492"/>
      <c r="AJ312" s="905"/>
      <c r="AK312" s="919"/>
      <c r="AL312" s="174"/>
      <c r="AM312" s="174"/>
      <c r="AN312" s="174"/>
      <c r="AO312" s="928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4"/>
      <c r="BA312" s="174"/>
      <c r="BB312" s="174"/>
      <c r="BC312" s="174"/>
      <c r="BD312" s="174"/>
      <c r="BE312" s="174"/>
      <c r="BF312" s="174"/>
      <c r="BG312" s="174"/>
      <c r="BH312" s="174"/>
      <c r="BI312" s="174"/>
      <c r="BJ312" s="174"/>
      <c r="BK312" s="174"/>
      <c r="BL312" s="174"/>
      <c r="BM312" s="174"/>
      <c r="BN312" s="174"/>
      <c r="BO312" s="174"/>
      <c r="BP312" s="174"/>
      <c r="BQ312" s="174"/>
      <c r="BR312" s="174"/>
      <c r="BS312" s="174"/>
      <c r="BT312" s="174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CI312" s="174"/>
      <c r="CJ312" s="174"/>
      <c r="CK312" s="174"/>
      <c r="CL312" s="174"/>
      <c r="CM312" s="174"/>
      <c r="CN312" s="174"/>
      <c r="CO312" s="174"/>
      <c r="CP312" s="174"/>
      <c r="CQ312" s="174"/>
      <c r="CR312" s="174"/>
      <c r="CS312" s="174"/>
      <c r="CT312" s="174"/>
      <c r="CU312" s="174"/>
      <c r="CV312" s="174"/>
      <c r="CW312" s="174"/>
      <c r="CX312" s="174"/>
      <c r="CY312" s="174"/>
      <c r="CZ312" s="174"/>
      <c r="DA312" s="174"/>
      <c r="DB312" s="174"/>
      <c r="DC312" s="174"/>
      <c r="DD312" s="174"/>
      <c r="DE312" s="174"/>
      <c r="DF312" s="174"/>
      <c r="DG312" s="174"/>
      <c r="DH312" s="174"/>
      <c r="DI312" s="174"/>
      <c r="DJ312" s="174"/>
      <c r="DK312" s="174"/>
      <c r="DL312" s="62"/>
      <c r="DM312" s="62"/>
      <c r="DN312" s="62"/>
      <c r="DO312" s="62"/>
      <c r="DP312" s="62"/>
      <c r="DQ312" s="62"/>
      <c r="DR312" s="62"/>
      <c r="DS312" s="62"/>
      <c r="DT312" s="62"/>
      <c r="DU312" s="62"/>
      <c r="DV312" s="62"/>
      <c r="DW312" s="62"/>
      <c r="DX312" s="62"/>
      <c r="DY312" s="62"/>
      <c r="DZ312" s="62"/>
      <c r="EA312" s="62"/>
      <c r="EB312" s="62"/>
      <c r="EC312" s="62"/>
      <c r="ED312" s="62"/>
      <c r="EE312" s="454"/>
      <c r="EF312" s="62"/>
      <c r="EG312" s="62"/>
      <c r="EH312" s="62"/>
      <c r="EI312" s="62"/>
      <c r="EJ312" s="62"/>
      <c r="EK312" s="62"/>
      <c r="EL312" s="62"/>
      <c r="EM312" s="62"/>
      <c r="EN312" s="62"/>
      <c r="EO312" s="62"/>
      <c r="EP312" s="62"/>
      <c r="EQ312" s="62"/>
      <c r="ER312" s="62"/>
      <c r="ES312" s="62"/>
      <c r="ET312" s="62"/>
      <c r="EU312" s="62"/>
      <c r="EV312" s="62"/>
      <c r="EW312" s="62"/>
      <c r="EX312" s="62"/>
      <c r="EY312" s="62"/>
      <c r="EZ312" s="62"/>
      <c r="FA312" s="62"/>
      <c r="FB312" s="62"/>
      <c r="FC312" s="62"/>
      <c r="FD312" s="62"/>
      <c r="FE312" s="62"/>
      <c r="FF312" s="62"/>
    </row>
    <row r="313" spans="1:162" s="56" customFormat="1" hidden="1">
      <c r="A313" s="54"/>
      <c r="B313" s="55"/>
      <c r="C313" s="491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173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883"/>
      <c r="AH313" s="174"/>
      <c r="AI313" s="492"/>
      <c r="AJ313" s="905"/>
      <c r="AK313" s="919"/>
      <c r="AL313" s="174"/>
      <c r="AM313" s="174"/>
      <c r="AN313" s="174"/>
      <c r="AO313" s="928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4"/>
      <c r="BA313" s="174"/>
      <c r="BB313" s="174"/>
      <c r="BC313" s="174"/>
      <c r="BD313" s="174"/>
      <c r="BE313" s="174"/>
      <c r="BF313" s="174"/>
      <c r="BG313" s="174"/>
      <c r="BH313" s="174"/>
      <c r="BI313" s="174"/>
      <c r="BJ313" s="174"/>
      <c r="BK313" s="174"/>
      <c r="BL313" s="174"/>
      <c r="BM313" s="174"/>
      <c r="BN313" s="174"/>
      <c r="BO313" s="174"/>
      <c r="BP313" s="174"/>
      <c r="BQ313" s="174"/>
      <c r="BR313" s="174"/>
      <c r="BS313" s="174"/>
      <c r="BT313" s="174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CI313" s="174"/>
      <c r="CJ313" s="174"/>
      <c r="CK313" s="174"/>
      <c r="CL313" s="174"/>
      <c r="CM313" s="174"/>
      <c r="CN313" s="174"/>
      <c r="CO313" s="174"/>
      <c r="CP313" s="174"/>
      <c r="CQ313" s="174"/>
      <c r="CR313" s="174"/>
      <c r="CS313" s="174"/>
      <c r="CT313" s="174"/>
      <c r="CU313" s="174"/>
      <c r="CV313" s="174"/>
      <c r="CW313" s="174"/>
      <c r="CX313" s="174"/>
      <c r="CY313" s="174"/>
      <c r="CZ313" s="174"/>
      <c r="DA313" s="174"/>
      <c r="DB313" s="174"/>
      <c r="DC313" s="174"/>
      <c r="DD313" s="174"/>
      <c r="DE313" s="174"/>
      <c r="DF313" s="174"/>
      <c r="DG313" s="174"/>
      <c r="DH313" s="174"/>
      <c r="DI313" s="174"/>
      <c r="DJ313" s="174"/>
      <c r="DK313" s="174"/>
      <c r="DL313" s="62"/>
      <c r="DM313" s="62"/>
      <c r="DN313" s="62"/>
      <c r="DO313" s="62"/>
      <c r="DP313" s="62"/>
      <c r="DQ313" s="62"/>
      <c r="DR313" s="62"/>
      <c r="DS313" s="62"/>
      <c r="DT313" s="62"/>
      <c r="DU313" s="62"/>
      <c r="DV313" s="62"/>
      <c r="DW313" s="62"/>
      <c r="DX313" s="62"/>
      <c r="DY313" s="62"/>
      <c r="DZ313" s="62"/>
      <c r="EA313" s="62"/>
      <c r="EB313" s="62"/>
      <c r="EC313" s="62"/>
      <c r="ED313" s="62"/>
      <c r="EE313" s="454"/>
      <c r="EF313" s="62"/>
      <c r="EG313" s="62"/>
      <c r="EH313" s="62"/>
      <c r="EI313" s="62"/>
      <c r="EJ313" s="62"/>
      <c r="EK313" s="62"/>
      <c r="EL313" s="62"/>
      <c r="EM313" s="62"/>
      <c r="EN313" s="62"/>
      <c r="EO313" s="62"/>
      <c r="EP313" s="62"/>
      <c r="EQ313" s="62"/>
      <c r="ER313" s="62"/>
      <c r="ES313" s="62"/>
      <c r="ET313" s="62"/>
      <c r="EU313" s="62"/>
      <c r="EV313" s="62"/>
      <c r="EW313" s="62"/>
      <c r="EX313" s="62"/>
      <c r="EY313" s="62"/>
      <c r="EZ313" s="62"/>
      <c r="FA313" s="62"/>
      <c r="FB313" s="62"/>
      <c r="FC313" s="62"/>
      <c r="FD313" s="62"/>
      <c r="FE313" s="62"/>
      <c r="FF313" s="62"/>
    </row>
    <row r="314" spans="1:162" s="56" customFormat="1" hidden="1">
      <c r="A314" s="54"/>
      <c r="B314" s="55"/>
      <c r="C314" s="491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173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883"/>
      <c r="AH314" s="174"/>
      <c r="AI314" s="492"/>
      <c r="AJ314" s="905"/>
      <c r="AK314" s="919"/>
      <c r="AL314" s="174"/>
      <c r="AM314" s="174"/>
      <c r="AN314" s="174"/>
      <c r="AO314" s="928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174"/>
      <c r="BJ314" s="174"/>
      <c r="BK314" s="174"/>
      <c r="BL314" s="174"/>
      <c r="BM314" s="174"/>
      <c r="BN314" s="174"/>
      <c r="BO314" s="174"/>
      <c r="BP314" s="174"/>
      <c r="BQ314" s="174"/>
      <c r="BR314" s="174"/>
      <c r="BS314" s="174"/>
      <c r="BT314" s="174"/>
      <c r="BU314" s="174"/>
      <c r="BV314" s="174"/>
      <c r="BW314" s="174"/>
      <c r="BX314" s="174"/>
      <c r="BY314" s="174"/>
      <c r="BZ314" s="174"/>
      <c r="CA314" s="174"/>
      <c r="CB314" s="174"/>
      <c r="CC314" s="174"/>
      <c r="CD314" s="174"/>
      <c r="CE314" s="174"/>
      <c r="CF314" s="174"/>
      <c r="CG314" s="174"/>
      <c r="CH314" s="174"/>
      <c r="CI314" s="174"/>
      <c r="CJ314" s="174"/>
      <c r="CK314" s="174"/>
      <c r="CL314" s="174"/>
      <c r="CM314" s="174"/>
      <c r="CN314" s="174"/>
      <c r="CO314" s="174"/>
      <c r="CP314" s="174"/>
      <c r="CQ314" s="174"/>
      <c r="CR314" s="174"/>
      <c r="CS314" s="174"/>
      <c r="CT314" s="174"/>
      <c r="CU314" s="174"/>
      <c r="CV314" s="174"/>
      <c r="CW314" s="174"/>
      <c r="CX314" s="174"/>
      <c r="CY314" s="174"/>
      <c r="CZ314" s="174"/>
      <c r="DA314" s="174"/>
      <c r="DB314" s="174"/>
      <c r="DC314" s="174"/>
      <c r="DD314" s="174"/>
      <c r="DE314" s="174"/>
      <c r="DF314" s="174"/>
      <c r="DG314" s="174"/>
      <c r="DH314" s="174"/>
      <c r="DI314" s="174"/>
      <c r="DJ314" s="174"/>
      <c r="DK314" s="174"/>
      <c r="DL314" s="62"/>
      <c r="DM314" s="62"/>
      <c r="DN314" s="62"/>
      <c r="DO314" s="62"/>
      <c r="DP314" s="62"/>
      <c r="DQ314" s="62"/>
      <c r="DR314" s="62"/>
      <c r="DS314" s="62"/>
      <c r="DT314" s="62"/>
      <c r="DU314" s="62"/>
      <c r="DV314" s="62"/>
      <c r="DW314" s="62"/>
      <c r="DX314" s="62"/>
      <c r="DY314" s="62"/>
      <c r="DZ314" s="62"/>
      <c r="EA314" s="62"/>
      <c r="EB314" s="62"/>
      <c r="EC314" s="62"/>
      <c r="ED314" s="62"/>
      <c r="EE314" s="454"/>
      <c r="EF314" s="62"/>
      <c r="EG314" s="62"/>
      <c r="EH314" s="62"/>
      <c r="EI314" s="62"/>
      <c r="EJ314" s="62"/>
      <c r="EK314" s="62"/>
      <c r="EL314" s="62"/>
      <c r="EM314" s="62"/>
      <c r="EN314" s="62"/>
      <c r="EO314" s="62"/>
      <c r="EP314" s="62"/>
      <c r="EQ314" s="62"/>
      <c r="ER314" s="62"/>
      <c r="ES314" s="62"/>
      <c r="ET314" s="62"/>
      <c r="EU314" s="62"/>
      <c r="EV314" s="62"/>
      <c r="EW314" s="62"/>
      <c r="EX314" s="62"/>
      <c r="EY314" s="62"/>
      <c r="EZ314" s="62"/>
      <c r="FA314" s="62"/>
      <c r="FB314" s="62"/>
      <c r="FC314" s="62"/>
      <c r="FD314" s="62"/>
      <c r="FE314" s="62"/>
      <c r="FF314" s="62"/>
    </row>
    <row r="315" spans="1:162" hidden="1">
      <c r="A315" s="487">
        <f>MATCH(C315,$C$5:$C$361,0)</f>
        <v>311</v>
      </c>
      <c r="C315" s="14" t="s">
        <v>3206</v>
      </c>
      <c r="D315" s="14">
        <f t="shared" ref="D315:Q315" si="158">SUM(D312:D314)</f>
        <v>0</v>
      </c>
      <c r="E315" s="14">
        <f t="shared" si="158"/>
        <v>0</v>
      </c>
      <c r="F315" s="14">
        <f t="shared" si="158"/>
        <v>0</v>
      </c>
      <c r="G315" s="14">
        <f t="shared" si="158"/>
        <v>0</v>
      </c>
      <c r="H315" s="14">
        <f t="shared" si="158"/>
        <v>0</v>
      </c>
      <c r="I315" s="14">
        <f t="shared" si="158"/>
        <v>0</v>
      </c>
      <c r="J315" s="14">
        <f t="shared" si="158"/>
        <v>0</v>
      </c>
      <c r="K315" s="14">
        <f t="shared" si="158"/>
        <v>0</v>
      </c>
      <c r="L315" s="14">
        <f t="shared" si="158"/>
        <v>0</v>
      </c>
      <c r="M315" s="14">
        <f t="shared" si="158"/>
        <v>0</v>
      </c>
      <c r="N315" s="14">
        <f t="shared" si="158"/>
        <v>0</v>
      </c>
      <c r="O315" s="14">
        <f t="shared" si="158"/>
        <v>0</v>
      </c>
      <c r="P315" s="14">
        <f t="shared" si="158"/>
        <v>0</v>
      </c>
      <c r="Q315" s="14">
        <f t="shared" si="158"/>
        <v>0</v>
      </c>
      <c r="R315" s="14"/>
      <c r="S315" s="175">
        <f t="shared" ref="S315:AY315" si="159">SUM(S312:S314)</f>
        <v>0</v>
      </c>
      <c r="T315" s="175">
        <f t="shared" si="159"/>
        <v>0</v>
      </c>
      <c r="U315" s="175">
        <f t="shared" si="159"/>
        <v>0</v>
      </c>
      <c r="V315" s="175">
        <f t="shared" si="159"/>
        <v>0</v>
      </c>
      <c r="W315" s="175">
        <f t="shared" si="159"/>
        <v>0</v>
      </c>
      <c r="X315" s="175">
        <f t="shared" si="159"/>
        <v>0</v>
      </c>
      <c r="Y315" s="175">
        <f t="shared" si="159"/>
        <v>0</v>
      </c>
      <c r="Z315" s="175">
        <f t="shared" si="159"/>
        <v>0</v>
      </c>
      <c r="AA315" s="175">
        <f t="shared" si="159"/>
        <v>0</v>
      </c>
      <c r="AB315" s="175">
        <f t="shared" si="159"/>
        <v>0</v>
      </c>
      <c r="AC315" s="175">
        <f t="shared" si="159"/>
        <v>0</v>
      </c>
      <c r="AD315" s="175">
        <f t="shared" si="159"/>
        <v>0</v>
      </c>
      <c r="AE315" s="175">
        <f t="shared" si="159"/>
        <v>0</v>
      </c>
      <c r="AF315" s="175">
        <f t="shared" si="159"/>
        <v>0</v>
      </c>
      <c r="AG315" s="884">
        <f>SUM(AG312:AG314)</f>
        <v>0</v>
      </c>
      <c r="AH315" s="175">
        <f t="shared" si="159"/>
        <v>0</v>
      </c>
      <c r="AI315" s="178">
        <f t="shared" si="159"/>
        <v>0</v>
      </c>
      <c r="AJ315" s="906">
        <f t="shared" si="159"/>
        <v>0</v>
      </c>
      <c r="AK315" s="920">
        <f t="shared" si="159"/>
        <v>0</v>
      </c>
      <c r="AL315" s="175">
        <f t="shared" si="159"/>
        <v>0</v>
      </c>
      <c r="AM315" s="175">
        <f t="shared" si="159"/>
        <v>0</v>
      </c>
      <c r="AN315" s="175">
        <f t="shared" si="159"/>
        <v>0</v>
      </c>
      <c r="AO315" s="929">
        <f t="shared" si="159"/>
        <v>0</v>
      </c>
      <c r="AP315" s="175">
        <f t="shared" si="159"/>
        <v>0</v>
      </c>
      <c r="AQ315" s="175">
        <f t="shared" si="159"/>
        <v>0</v>
      </c>
      <c r="AR315" s="175">
        <f t="shared" si="159"/>
        <v>0</v>
      </c>
      <c r="AS315" s="175">
        <f t="shared" si="159"/>
        <v>0</v>
      </c>
      <c r="AT315" s="175">
        <f t="shared" si="159"/>
        <v>0</v>
      </c>
      <c r="AU315" s="175">
        <f t="shared" si="159"/>
        <v>0</v>
      </c>
      <c r="AV315" s="175">
        <f t="shared" si="159"/>
        <v>0</v>
      </c>
      <c r="AW315" s="175">
        <f t="shared" si="159"/>
        <v>0</v>
      </c>
      <c r="AX315" s="175">
        <f t="shared" si="159"/>
        <v>0</v>
      </c>
      <c r="AY315" s="175">
        <f t="shared" si="159"/>
        <v>0</v>
      </c>
      <c r="AZ315" s="175">
        <f t="shared" ref="AZ315:CH315" si="160">SUM(AZ312:AZ314)</f>
        <v>0</v>
      </c>
      <c r="BA315" s="175">
        <f t="shared" si="160"/>
        <v>0</v>
      </c>
      <c r="BB315" s="175">
        <f t="shared" si="160"/>
        <v>0</v>
      </c>
      <c r="BC315" s="175">
        <f t="shared" si="160"/>
        <v>0</v>
      </c>
      <c r="BD315" s="175">
        <f t="shared" si="160"/>
        <v>0</v>
      </c>
      <c r="BE315" s="175">
        <f t="shared" si="160"/>
        <v>0</v>
      </c>
      <c r="BF315" s="175">
        <f t="shared" si="160"/>
        <v>0</v>
      </c>
      <c r="BG315" s="175">
        <f t="shared" si="160"/>
        <v>0</v>
      </c>
      <c r="BH315" s="175">
        <f t="shared" si="160"/>
        <v>0</v>
      </c>
      <c r="BI315" s="175">
        <f t="shared" si="160"/>
        <v>0</v>
      </c>
      <c r="BJ315" s="175">
        <f>SUM(BJ312:BJ314)</f>
        <v>0</v>
      </c>
      <c r="BK315" s="175">
        <f t="shared" si="160"/>
        <v>0</v>
      </c>
      <c r="BL315" s="175">
        <f t="shared" si="160"/>
        <v>0</v>
      </c>
      <c r="BM315" s="175">
        <f t="shared" si="160"/>
        <v>0</v>
      </c>
      <c r="BN315" s="175">
        <f t="shared" si="160"/>
        <v>0</v>
      </c>
      <c r="BO315" s="175">
        <f t="shared" si="160"/>
        <v>0</v>
      </c>
      <c r="BP315" s="175">
        <f t="shared" si="160"/>
        <v>0</v>
      </c>
      <c r="BQ315" s="175">
        <f t="shared" si="160"/>
        <v>0</v>
      </c>
      <c r="BR315" s="175">
        <f t="shared" si="160"/>
        <v>0</v>
      </c>
      <c r="BS315" s="175">
        <f t="shared" si="160"/>
        <v>0</v>
      </c>
      <c r="BT315" s="175">
        <f t="shared" si="160"/>
        <v>0</v>
      </c>
      <c r="BU315" s="175">
        <f t="shared" si="160"/>
        <v>0</v>
      </c>
      <c r="BV315" s="175">
        <f t="shared" si="160"/>
        <v>0</v>
      </c>
      <c r="BW315" s="175">
        <f t="shared" si="160"/>
        <v>0</v>
      </c>
      <c r="BX315" s="175">
        <f t="shared" si="160"/>
        <v>0</v>
      </c>
      <c r="BY315" s="175">
        <f t="shared" si="160"/>
        <v>0</v>
      </c>
      <c r="BZ315" s="175">
        <f t="shared" si="160"/>
        <v>0</v>
      </c>
      <c r="CA315" s="175">
        <f t="shared" si="160"/>
        <v>0</v>
      </c>
      <c r="CB315" s="175">
        <f t="shared" si="160"/>
        <v>0</v>
      </c>
      <c r="CC315" s="175">
        <f t="shared" si="160"/>
        <v>0</v>
      </c>
      <c r="CD315" s="175">
        <f t="shared" si="160"/>
        <v>0</v>
      </c>
      <c r="CE315" s="175">
        <f t="shared" si="160"/>
        <v>0</v>
      </c>
      <c r="CF315" s="175">
        <f>SUM(CF312:CF314)</f>
        <v>0</v>
      </c>
      <c r="CG315" s="175">
        <f>SUM(CG312:CG314)</f>
        <v>0</v>
      </c>
      <c r="CH315" s="175">
        <f t="shared" si="160"/>
        <v>0</v>
      </c>
      <c r="CI315" s="175">
        <f t="shared" ref="CI315:DN315" si="161">SUM(CI312:CI314)</f>
        <v>0</v>
      </c>
      <c r="CJ315" s="175">
        <f t="shared" si="161"/>
        <v>0</v>
      </c>
      <c r="CK315" s="175">
        <f t="shared" si="161"/>
        <v>0</v>
      </c>
      <c r="CL315" s="175">
        <f t="shared" si="161"/>
        <v>0</v>
      </c>
      <c r="CM315" s="175">
        <f t="shared" si="161"/>
        <v>0</v>
      </c>
      <c r="CN315" s="175">
        <f t="shared" si="161"/>
        <v>0</v>
      </c>
      <c r="CO315" s="175">
        <f t="shared" si="161"/>
        <v>0</v>
      </c>
      <c r="CP315" s="175">
        <f t="shared" si="161"/>
        <v>0</v>
      </c>
      <c r="CQ315" s="175">
        <f t="shared" si="161"/>
        <v>0</v>
      </c>
      <c r="CR315" s="175">
        <f t="shared" si="161"/>
        <v>0</v>
      </c>
      <c r="CS315" s="175">
        <f t="shared" si="161"/>
        <v>0</v>
      </c>
      <c r="CT315" s="175">
        <f t="shared" si="161"/>
        <v>0</v>
      </c>
      <c r="CU315" s="175">
        <f t="shared" si="161"/>
        <v>0</v>
      </c>
      <c r="CV315" s="175">
        <f t="shared" si="161"/>
        <v>0</v>
      </c>
      <c r="CW315" s="175">
        <f t="shared" si="161"/>
        <v>0</v>
      </c>
      <c r="CX315" s="175">
        <f t="shared" si="161"/>
        <v>0</v>
      </c>
      <c r="CY315" s="175">
        <f t="shared" si="161"/>
        <v>0</v>
      </c>
      <c r="CZ315" s="175">
        <f t="shared" si="161"/>
        <v>0</v>
      </c>
      <c r="DA315" s="175">
        <f t="shared" si="161"/>
        <v>0</v>
      </c>
      <c r="DB315" s="175">
        <f t="shared" si="161"/>
        <v>0</v>
      </c>
      <c r="DC315" s="175">
        <f t="shared" si="161"/>
        <v>0</v>
      </c>
      <c r="DD315" s="175">
        <f t="shared" si="161"/>
        <v>0</v>
      </c>
      <c r="DE315" s="175">
        <f t="shared" si="161"/>
        <v>0</v>
      </c>
      <c r="DF315" s="175">
        <f t="shared" si="161"/>
        <v>0</v>
      </c>
      <c r="DG315" s="175">
        <f t="shared" si="161"/>
        <v>0</v>
      </c>
      <c r="DH315" s="175">
        <f t="shared" si="161"/>
        <v>0</v>
      </c>
      <c r="DI315" s="175">
        <f t="shared" si="161"/>
        <v>0</v>
      </c>
      <c r="DJ315" s="175">
        <f t="shared" si="161"/>
        <v>0</v>
      </c>
      <c r="DK315" s="175">
        <f t="shared" si="161"/>
        <v>0</v>
      </c>
      <c r="DL315" s="14">
        <f t="shared" si="161"/>
        <v>0</v>
      </c>
      <c r="DM315" s="14">
        <f t="shared" si="161"/>
        <v>0</v>
      </c>
      <c r="DN315" s="14">
        <f t="shared" si="161"/>
        <v>0</v>
      </c>
      <c r="DO315" s="14">
        <f t="shared" ref="DO315:FE315" si="162">SUM(DO312:DO314)</f>
        <v>0</v>
      </c>
      <c r="DP315" s="14">
        <f t="shared" si="162"/>
        <v>0</v>
      </c>
      <c r="DQ315" s="14">
        <f t="shared" si="162"/>
        <v>0</v>
      </c>
      <c r="DR315" s="14">
        <f t="shared" si="162"/>
        <v>0</v>
      </c>
      <c r="DS315" s="14">
        <f t="shared" si="162"/>
        <v>0</v>
      </c>
      <c r="DT315" s="14">
        <f t="shared" si="162"/>
        <v>0</v>
      </c>
      <c r="DU315" s="14">
        <f t="shared" si="162"/>
        <v>0</v>
      </c>
      <c r="DV315" s="14">
        <f>SUM(DV312:DV314)</f>
        <v>0</v>
      </c>
      <c r="DW315" s="14">
        <f>SUM(DW312:DW314)</f>
        <v>0</v>
      </c>
      <c r="DX315" s="14">
        <f t="shared" si="162"/>
        <v>0</v>
      </c>
      <c r="DY315" s="14">
        <f t="shared" si="162"/>
        <v>0</v>
      </c>
      <c r="DZ315" s="14">
        <f t="shared" si="162"/>
        <v>0</v>
      </c>
      <c r="EA315" s="14">
        <f>SUM(EA312:EA314)</f>
        <v>0</v>
      </c>
      <c r="EB315" s="14">
        <f t="shared" si="162"/>
        <v>0</v>
      </c>
      <c r="EC315" s="14">
        <f t="shared" si="162"/>
        <v>0</v>
      </c>
      <c r="ED315" s="14">
        <f t="shared" si="162"/>
        <v>0</v>
      </c>
      <c r="EE315" s="508"/>
      <c r="EF315" s="14">
        <f t="shared" si="162"/>
        <v>0</v>
      </c>
      <c r="EG315" s="14">
        <f>SUM(EG312:EG314)</f>
        <v>0</v>
      </c>
      <c r="EH315" s="14">
        <f t="shared" si="162"/>
        <v>0</v>
      </c>
      <c r="EI315" s="14">
        <f t="shared" si="162"/>
        <v>0</v>
      </c>
      <c r="EJ315" s="14">
        <f t="shared" si="162"/>
        <v>0</v>
      </c>
      <c r="EK315" s="14">
        <f t="shared" si="162"/>
        <v>0</v>
      </c>
      <c r="EL315" s="14">
        <f t="shared" si="162"/>
        <v>0</v>
      </c>
      <c r="EM315" s="14">
        <f t="shared" si="162"/>
        <v>0</v>
      </c>
      <c r="EN315" s="14">
        <f>SUM(EN312:EN314)</f>
        <v>0</v>
      </c>
      <c r="EO315" s="14">
        <f t="shared" si="162"/>
        <v>0</v>
      </c>
      <c r="EP315" s="14">
        <f t="shared" si="162"/>
        <v>0</v>
      </c>
      <c r="EQ315" s="14">
        <f>SUM(EQ312:EQ314)</f>
        <v>0</v>
      </c>
      <c r="ER315" s="14">
        <f>SUM(ER312:ER314)</f>
        <v>0</v>
      </c>
      <c r="ES315" s="14">
        <f t="shared" si="162"/>
        <v>0</v>
      </c>
      <c r="ET315" s="14">
        <f t="shared" si="162"/>
        <v>0</v>
      </c>
      <c r="EU315" s="14">
        <f t="shared" si="162"/>
        <v>0</v>
      </c>
      <c r="EV315" s="14">
        <f t="shared" si="162"/>
        <v>0</v>
      </c>
      <c r="EW315" s="14">
        <f t="shared" si="162"/>
        <v>0</v>
      </c>
      <c r="EX315" s="14">
        <f>SUM(EX312:EX314)</f>
        <v>0</v>
      </c>
      <c r="EY315" s="14">
        <f t="shared" si="162"/>
        <v>0</v>
      </c>
      <c r="EZ315" s="14">
        <f t="shared" si="162"/>
        <v>0</v>
      </c>
      <c r="FA315" s="14">
        <f t="shared" si="162"/>
        <v>0</v>
      </c>
      <c r="FB315" s="14">
        <f t="shared" si="162"/>
        <v>0</v>
      </c>
      <c r="FC315" s="14">
        <f>SUM(FC312:FC314)</f>
        <v>0</v>
      </c>
      <c r="FD315" s="14">
        <f>SUM(FD312:FD314)</f>
        <v>0</v>
      </c>
      <c r="FE315" s="14">
        <f t="shared" si="162"/>
        <v>0</v>
      </c>
      <c r="FF315" s="14"/>
    </row>
    <row r="316" spans="1:162" hidden="1">
      <c r="A316" s="54"/>
      <c r="B316" s="55" t="s">
        <v>3207</v>
      </c>
      <c r="C316" s="11" t="s">
        <v>3287</v>
      </c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885"/>
      <c r="AH316" s="176"/>
      <c r="AI316" s="897"/>
      <c r="AJ316" s="907"/>
      <c r="AK316" s="921"/>
      <c r="AL316" s="176"/>
      <c r="AM316" s="176"/>
      <c r="AN316" s="176"/>
      <c r="AO316" s="176"/>
      <c r="AP316" s="176"/>
      <c r="AQ316" s="176"/>
      <c r="AR316" s="176"/>
      <c r="AS316" s="176"/>
      <c r="AT316" s="176"/>
      <c r="AU316" s="176"/>
      <c r="AV316" s="176"/>
      <c r="AW316" s="176"/>
      <c r="AX316" s="176"/>
      <c r="AY316" s="176"/>
      <c r="AZ316" s="176"/>
      <c r="BA316" s="176"/>
      <c r="BB316" s="176"/>
      <c r="BC316" s="176"/>
      <c r="BD316" s="176"/>
      <c r="BE316" s="176"/>
      <c r="BF316" s="176"/>
      <c r="BG316" s="176"/>
      <c r="BH316" s="176"/>
      <c r="BI316" s="176"/>
      <c r="BJ316" s="176"/>
      <c r="BK316" s="176"/>
      <c r="BL316" s="176"/>
      <c r="BM316" s="176"/>
      <c r="BN316" s="176"/>
      <c r="BO316" s="176"/>
      <c r="BP316" s="176"/>
      <c r="BQ316" s="176"/>
      <c r="BR316" s="176"/>
      <c r="BS316" s="176"/>
      <c r="BT316" s="176"/>
      <c r="BU316" s="176"/>
      <c r="BV316" s="176"/>
      <c r="BW316" s="176"/>
      <c r="BX316" s="176"/>
      <c r="BY316" s="176"/>
      <c r="BZ316" s="176"/>
      <c r="CA316" s="176"/>
      <c r="CB316" s="176"/>
      <c r="CC316" s="176"/>
      <c r="CD316" s="176"/>
      <c r="CE316" s="176"/>
      <c r="CF316" s="176"/>
      <c r="CG316" s="176"/>
      <c r="CH316" s="176"/>
      <c r="CI316" s="176"/>
      <c r="CJ316" s="176"/>
      <c r="CK316" s="176"/>
      <c r="CL316" s="176"/>
      <c r="CM316" s="176"/>
      <c r="CN316" s="176"/>
      <c r="CO316" s="176"/>
      <c r="CP316" s="176"/>
      <c r="CQ316" s="176"/>
      <c r="CR316" s="176"/>
      <c r="CS316" s="176"/>
      <c r="CT316" s="176"/>
      <c r="CU316" s="176"/>
      <c r="CV316" s="176"/>
      <c r="CW316" s="176"/>
      <c r="CX316" s="176"/>
      <c r="CY316" s="176"/>
      <c r="CZ316" s="176"/>
      <c r="DA316" s="176"/>
      <c r="DB316" s="176"/>
      <c r="DC316" s="176"/>
      <c r="DD316" s="176"/>
      <c r="DE316" s="176"/>
      <c r="DF316" s="176"/>
      <c r="DG316" s="176"/>
      <c r="DH316" s="176"/>
      <c r="DI316" s="176"/>
      <c r="DJ316" s="176"/>
      <c r="DK316" s="176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503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3"/>
    </row>
    <row r="317" spans="1:162" s="56" customFormat="1" hidden="1">
      <c r="A317" s="54"/>
      <c r="B317" s="55"/>
      <c r="C317" s="491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173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883"/>
      <c r="AH317" s="174"/>
      <c r="AI317" s="492"/>
      <c r="AJ317" s="905"/>
      <c r="AK317" s="919"/>
      <c r="AL317" s="174"/>
      <c r="AM317" s="174"/>
      <c r="AN317" s="174"/>
      <c r="AO317" s="928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4"/>
      <c r="BA317" s="174"/>
      <c r="BB317" s="174"/>
      <c r="BC317" s="174"/>
      <c r="BD317" s="174"/>
      <c r="BE317" s="174"/>
      <c r="BF317" s="174"/>
      <c r="BG317" s="174"/>
      <c r="BH317" s="174"/>
      <c r="BI317" s="174"/>
      <c r="BJ317" s="174"/>
      <c r="BK317" s="174"/>
      <c r="BL317" s="174"/>
      <c r="BM317" s="174"/>
      <c r="BN317" s="174"/>
      <c r="BO317" s="174"/>
      <c r="BP317" s="174"/>
      <c r="BQ317" s="174"/>
      <c r="BR317" s="174"/>
      <c r="BS317" s="174"/>
      <c r="BT317" s="174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CI317" s="174"/>
      <c r="CJ317" s="174"/>
      <c r="CK317" s="174"/>
      <c r="CL317" s="174"/>
      <c r="CM317" s="174"/>
      <c r="CN317" s="174"/>
      <c r="CO317" s="174"/>
      <c r="CP317" s="174"/>
      <c r="CQ317" s="174"/>
      <c r="CR317" s="174"/>
      <c r="CS317" s="174"/>
      <c r="CT317" s="174"/>
      <c r="CU317" s="174"/>
      <c r="CV317" s="174"/>
      <c r="CW317" s="174"/>
      <c r="CX317" s="174"/>
      <c r="CY317" s="174"/>
      <c r="CZ317" s="174"/>
      <c r="DA317" s="174"/>
      <c r="DB317" s="174"/>
      <c r="DC317" s="174"/>
      <c r="DD317" s="174"/>
      <c r="DE317" s="174"/>
      <c r="DF317" s="174"/>
      <c r="DG317" s="174"/>
      <c r="DH317" s="174"/>
      <c r="DI317" s="174"/>
      <c r="DJ317" s="174"/>
      <c r="DK317" s="174"/>
      <c r="DL317" s="62"/>
      <c r="DM317" s="62"/>
      <c r="DN317" s="62"/>
      <c r="DO317" s="62"/>
      <c r="DP317" s="62"/>
      <c r="DQ317" s="62"/>
      <c r="DR317" s="62"/>
      <c r="DS317" s="62"/>
      <c r="DT317" s="62"/>
      <c r="DU317" s="62"/>
      <c r="DV317" s="62"/>
      <c r="DW317" s="62"/>
      <c r="DX317" s="62"/>
      <c r="DY317" s="62"/>
      <c r="DZ317" s="62"/>
      <c r="EA317" s="62"/>
      <c r="EB317" s="62"/>
      <c r="EC317" s="62"/>
      <c r="ED317" s="62"/>
      <c r="EE317" s="454"/>
      <c r="EF317" s="62"/>
      <c r="EG317" s="62"/>
      <c r="EH317" s="62"/>
      <c r="EI317" s="62"/>
      <c r="EJ317" s="62"/>
      <c r="EK317" s="62"/>
      <c r="EL317" s="62"/>
      <c r="EM317" s="62"/>
      <c r="EN317" s="62"/>
      <c r="EO317" s="62"/>
      <c r="EP317" s="62"/>
      <c r="EQ317" s="62"/>
      <c r="ER317" s="62"/>
      <c r="ES317" s="62"/>
      <c r="ET317" s="62"/>
      <c r="EU317" s="62"/>
      <c r="EV317" s="62"/>
      <c r="EW317" s="62"/>
      <c r="EX317" s="62"/>
      <c r="EY317" s="62"/>
      <c r="EZ317" s="62"/>
      <c r="FA317" s="62"/>
      <c r="FB317" s="62"/>
      <c r="FC317" s="62"/>
      <c r="FD317" s="62"/>
      <c r="FE317" s="62"/>
      <c r="FF317" s="62"/>
    </row>
    <row r="318" spans="1:162" s="56" customFormat="1" hidden="1">
      <c r="A318" s="54"/>
      <c r="B318" s="55"/>
      <c r="C318" s="491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173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883"/>
      <c r="AH318" s="174"/>
      <c r="AI318" s="492"/>
      <c r="AJ318" s="905"/>
      <c r="AK318" s="919"/>
      <c r="AL318" s="174"/>
      <c r="AM318" s="174"/>
      <c r="AN318" s="174"/>
      <c r="AO318" s="928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4"/>
      <c r="BA318" s="174"/>
      <c r="BB318" s="174"/>
      <c r="BC318" s="174"/>
      <c r="BD318" s="174"/>
      <c r="BE318" s="174"/>
      <c r="BF318" s="174"/>
      <c r="BG318" s="174"/>
      <c r="BH318" s="174"/>
      <c r="BI318" s="174"/>
      <c r="BJ318" s="174"/>
      <c r="BK318" s="174"/>
      <c r="BL318" s="174"/>
      <c r="BM318" s="174"/>
      <c r="BN318" s="174"/>
      <c r="BO318" s="174"/>
      <c r="BP318" s="174"/>
      <c r="BQ318" s="174"/>
      <c r="BR318" s="174"/>
      <c r="BS318" s="174"/>
      <c r="BT318" s="174"/>
      <c r="BU318" s="174"/>
      <c r="BV318" s="174"/>
      <c r="BW318" s="174"/>
      <c r="BX318" s="174"/>
      <c r="BY318" s="174"/>
      <c r="BZ318" s="174"/>
      <c r="CA318" s="174"/>
      <c r="CB318" s="174"/>
      <c r="CC318" s="174"/>
      <c r="CD318" s="174"/>
      <c r="CE318" s="174"/>
      <c r="CF318" s="174"/>
      <c r="CG318" s="174"/>
      <c r="CH318" s="174"/>
      <c r="CI318" s="174"/>
      <c r="CJ318" s="174"/>
      <c r="CK318" s="174"/>
      <c r="CL318" s="174"/>
      <c r="CM318" s="174"/>
      <c r="CN318" s="174"/>
      <c r="CO318" s="174"/>
      <c r="CP318" s="174"/>
      <c r="CQ318" s="174"/>
      <c r="CR318" s="174"/>
      <c r="CS318" s="174"/>
      <c r="CT318" s="174"/>
      <c r="CU318" s="174"/>
      <c r="CV318" s="174"/>
      <c r="CW318" s="174"/>
      <c r="CX318" s="174"/>
      <c r="CY318" s="174"/>
      <c r="CZ318" s="174"/>
      <c r="DA318" s="174"/>
      <c r="DB318" s="174"/>
      <c r="DC318" s="174"/>
      <c r="DD318" s="174"/>
      <c r="DE318" s="174"/>
      <c r="DF318" s="174"/>
      <c r="DG318" s="174"/>
      <c r="DH318" s="174"/>
      <c r="DI318" s="174"/>
      <c r="DJ318" s="174"/>
      <c r="DK318" s="174"/>
      <c r="DL318" s="62"/>
      <c r="DM318" s="62"/>
      <c r="DN318" s="62"/>
      <c r="DO318" s="62"/>
      <c r="DP318" s="62"/>
      <c r="DQ318" s="62"/>
      <c r="DR318" s="62"/>
      <c r="DS318" s="62"/>
      <c r="DT318" s="62"/>
      <c r="DU318" s="62"/>
      <c r="DV318" s="62"/>
      <c r="DW318" s="62"/>
      <c r="DX318" s="62"/>
      <c r="DY318" s="62"/>
      <c r="DZ318" s="62"/>
      <c r="EA318" s="62"/>
      <c r="EB318" s="62"/>
      <c r="EC318" s="62"/>
      <c r="ED318" s="62"/>
      <c r="EE318" s="454"/>
      <c r="EF318" s="62"/>
      <c r="EG318" s="62"/>
      <c r="EH318" s="62"/>
      <c r="EI318" s="62"/>
      <c r="EJ318" s="62"/>
      <c r="EK318" s="62"/>
      <c r="EL318" s="62"/>
      <c r="EM318" s="62"/>
      <c r="EN318" s="62"/>
      <c r="EO318" s="62"/>
      <c r="EP318" s="62"/>
      <c r="EQ318" s="62"/>
      <c r="ER318" s="62"/>
      <c r="ES318" s="62"/>
      <c r="ET318" s="62"/>
      <c r="EU318" s="62"/>
      <c r="EV318" s="62"/>
      <c r="EW318" s="62"/>
      <c r="EX318" s="62"/>
      <c r="EY318" s="62"/>
      <c r="EZ318" s="62"/>
      <c r="FA318" s="62"/>
      <c r="FB318" s="62"/>
      <c r="FC318" s="62"/>
      <c r="FD318" s="62"/>
      <c r="FE318" s="62"/>
      <c r="FF318" s="62"/>
    </row>
    <row r="319" spans="1:162" s="56" customFormat="1" hidden="1">
      <c r="A319" s="54"/>
      <c r="B319" s="55"/>
      <c r="C319" s="491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173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883"/>
      <c r="AH319" s="174"/>
      <c r="AI319" s="492"/>
      <c r="AJ319" s="905"/>
      <c r="AK319" s="919"/>
      <c r="AL319" s="174"/>
      <c r="AM319" s="174"/>
      <c r="AN319" s="174"/>
      <c r="AO319" s="928"/>
      <c r="AP319" s="174"/>
      <c r="AQ319" s="174"/>
      <c r="AR319" s="174"/>
      <c r="AS319" s="174"/>
      <c r="AT319" s="174"/>
      <c r="AU319" s="174"/>
      <c r="AV319" s="174"/>
      <c r="AW319" s="174"/>
      <c r="AX319" s="174"/>
      <c r="AY319" s="174"/>
      <c r="AZ319" s="174"/>
      <c r="BA319" s="174"/>
      <c r="BB319" s="174"/>
      <c r="BC319" s="174"/>
      <c r="BD319" s="174"/>
      <c r="BE319" s="174"/>
      <c r="BF319" s="174"/>
      <c r="BG319" s="174"/>
      <c r="BH319" s="174"/>
      <c r="BI319" s="174"/>
      <c r="BJ319" s="174"/>
      <c r="BK319" s="174"/>
      <c r="BL319" s="174"/>
      <c r="BM319" s="174"/>
      <c r="BN319" s="174"/>
      <c r="BO319" s="174"/>
      <c r="BP319" s="174"/>
      <c r="BQ319" s="174"/>
      <c r="BR319" s="174"/>
      <c r="BS319" s="174"/>
      <c r="BT319" s="174"/>
      <c r="BU319" s="174"/>
      <c r="BV319" s="174"/>
      <c r="BW319" s="174"/>
      <c r="BX319" s="174"/>
      <c r="BY319" s="174"/>
      <c r="BZ319" s="174"/>
      <c r="CA319" s="174"/>
      <c r="CB319" s="174"/>
      <c r="CC319" s="174"/>
      <c r="CD319" s="174"/>
      <c r="CE319" s="174"/>
      <c r="CF319" s="174"/>
      <c r="CG319" s="174"/>
      <c r="CH319" s="174"/>
      <c r="CI319" s="174"/>
      <c r="CJ319" s="174"/>
      <c r="CK319" s="174"/>
      <c r="CL319" s="174"/>
      <c r="CM319" s="174"/>
      <c r="CN319" s="174"/>
      <c r="CO319" s="174"/>
      <c r="CP319" s="174"/>
      <c r="CQ319" s="174"/>
      <c r="CR319" s="174"/>
      <c r="CS319" s="174"/>
      <c r="CT319" s="174"/>
      <c r="CU319" s="174"/>
      <c r="CV319" s="174"/>
      <c r="CW319" s="174"/>
      <c r="CX319" s="174"/>
      <c r="CY319" s="174"/>
      <c r="CZ319" s="174"/>
      <c r="DA319" s="174"/>
      <c r="DB319" s="174"/>
      <c r="DC319" s="174"/>
      <c r="DD319" s="174"/>
      <c r="DE319" s="174"/>
      <c r="DF319" s="174"/>
      <c r="DG319" s="174"/>
      <c r="DH319" s="174"/>
      <c r="DI319" s="174"/>
      <c r="DJ319" s="174"/>
      <c r="DK319" s="174"/>
      <c r="DL319" s="62"/>
      <c r="DM319" s="62"/>
      <c r="DN319" s="62"/>
      <c r="DO319" s="62"/>
      <c r="DP319" s="62"/>
      <c r="DQ319" s="62"/>
      <c r="DR319" s="62"/>
      <c r="DS319" s="62"/>
      <c r="DT319" s="62"/>
      <c r="DU319" s="62"/>
      <c r="DV319" s="62"/>
      <c r="DW319" s="62"/>
      <c r="DX319" s="62"/>
      <c r="DY319" s="62"/>
      <c r="DZ319" s="62"/>
      <c r="EA319" s="62"/>
      <c r="EB319" s="62"/>
      <c r="EC319" s="62"/>
      <c r="ED319" s="62"/>
      <c r="EE319" s="454"/>
      <c r="EF319" s="62"/>
      <c r="EG319" s="62"/>
      <c r="EH319" s="62"/>
      <c r="EI319" s="62"/>
      <c r="EJ319" s="62"/>
      <c r="EK319" s="62"/>
      <c r="EL319" s="62"/>
      <c r="EM319" s="62"/>
      <c r="EN319" s="62"/>
      <c r="EO319" s="62"/>
      <c r="EP319" s="62"/>
      <c r="EQ319" s="62"/>
      <c r="ER319" s="62"/>
      <c r="ES319" s="62"/>
      <c r="ET319" s="62"/>
      <c r="EU319" s="62"/>
      <c r="EV319" s="62"/>
      <c r="EW319" s="62"/>
      <c r="EX319" s="62"/>
      <c r="EY319" s="62"/>
      <c r="EZ319" s="62"/>
      <c r="FA319" s="62"/>
      <c r="FB319" s="62"/>
      <c r="FC319" s="62"/>
      <c r="FD319" s="62"/>
      <c r="FE319" s="62"/>
      <c r="FF319" s="62"/>
    </row>
    <row r="320" spans="1:162" hidden="1">
      <c r="A320" s="487">
        <f>MATCH(C320,$C$5:$C$361,0)</f>
        <v>316</v>
      </c>
      <c r="C320" s="14" t="s">
        <v>3208</v>
      </c>
      <c r="D320" s="14">
        <f t="shared" ref="D320:Q320" si="163">SUM(D317:D319)</f>
        <v>0</v>
      </c>
      <c r="E320" s="14">
        <f t="shared" si="163"/>
        <v>0</v>
      </c>
      <c r="F320" s="14">
        <f t="shared" si="163"/>
        <v>0</v>
      </c>
      <c r="G320" s="14">
        <f t="shared" si="163"/>
        <v>0</v>
      </c>
      <c r="H320" s="14">
        <f t="shared" si="163"/>
        <v>0</v>
      </c>
      <c r="I320" s="14">
        <f t="shared" si="163"/>
        <v>0</v>
      </c>
      <c r="J320" s="14">
        <f t="shared" si="163"/>
        <v>0</v>
      </c>
      <c r="K320" s="14">
        <f t="shared" si="163"/>
        <v>0</v>
      </c>
      <c r="L320" s="14">
        <f t="shared" si="163"/>
        <v>0</v>
      </c>
      <c r="M320" s="14">
        <f t="shared" si="163"/>
        <v>0</v>
      </c>
      <c r="N320" s="14">
        <f t="shared" si="163"/>
        <v>0</v>
      </c>
      <c r="O320" s="14">
        <f t="shared" si="163"/>
        <v>0</v>
      </c>
      <c r="P320" s="14">
        <f t="shared" si="163"/>
        <v>0</v>
      </c>
      <c r="Q320" s="14">
        <f t="shared" si="163"/>
        <v>0</v>
      </c>
      <c r="R320" s="14"/>
      <c r="S320" s="175">
        <f t="shared" ref="S320:AY320" si="164">SUM(S317:S319)</f>
        <v>0</v>
      </c>
      <c r="T320" s="175">
        <f t="shared" si="164"/>
        <v>0</v>
      </c>
      <c r="U320" s="175">
        <f t="shared" si="164"/>
        <v>0</v>
      </c>
      <c r="V320" s="175">
        <f t="shared" si="164"/>
        <v>0</v>
      </c>
      <c r="W320" s="175">
        <f t="shared" si="164"/>
        <v>0</v>
      </c>
      <c r="X320" s="175">
        <f t="shared" si="164"/>
        <v>0</v>
      </c>
      <c r="Y320" s="175">
        <f t="shared" si="164"/>
        <v>0</v>
      </c>
      <c r="Z320" s="175">
        <f t="shared" si="164"/>
        <v>0</v>
      </c>
      <c r="AA320" s="175">
        <f t="shared" si="164"/>
        <v>0</v>
      </c>
      <c r="AB320" s="175">
        <f t="shared" si="164"/>
        <v>0</v>
      </c>
      <c r="AC320" s="175">
        <f t="shared" si="164"/>
        <v>0</v>
      </c>
      <c r="AD320" s="175">
        <f t="shared" si="164"/>
        <v>0</v>
      </c>
      <c r="AE320" s="175">
        <f t="shared" si="164"/>
        <v>0</v>
      </c>
      <c r="AF320" s="175">
        <f t="shared" si="164"/>
        <v>0</v>
      </c>
      <c r="AG320" s="884">
        <f>SUM(AG317:AG319)</f>
        <v>0</v>
      </c>
      <c r="AH320" s="175">
        <f t="shared" si="164"/>
        <v>0</v>
      </c>
      <c r="AI320" s="178">
        <f t="shared" si="164"/>
        <v>0</v>
      </c>
      <c r="AJ320" s="906">
        <f t="shared" si="164"/>
        <v>0</v>
      </c>
      <c r="AK320" s="920">
        <f t="shared" si="164"/>
        <v>0</v>
      </c>
      <c r="AL320" s="175">
        <f t="shared" si="164"/>
        <v>0</v>
      </c>
      <c r="AM320" s="175">
        <f t="shared" si="164"/>
        <v>0</v>
      </c>
      <c r="AN320" s="175">
        <f t="shared" si="164"/>
        <v>0</v>
      </c>
      <c r="AO320" s="929">
        <f t="shared" si="164"/>
        <v>0</v>
      </c>
      <c r="AP320" s="175">
        <f t="shared" si="164"/>
        <v>0</v>
      </c>
      <c r="AQ320" s="175">
        <f t="shared" si="164"/>
        <v>0</v>
      </c>
      <c r="AR320" s="175">
        <f t="shared" si="164"/>
        <v>0</v>
      </c>
      <c r="AS320" s="175">
        <f t="shared" si="164"/>
        <v>0</v>
      </c>
      <c r="AT320" s="175">
        <f t="shared" si="164"/>
        <v>0</v>
      </c>
      <c r="AU320" s="175">
        <f t="shared" si="164"/>
        <v>0</v>
      </c>
      <c r="AV320" s="175">
        <f t="shared" si="164"/>
        <v>0</v>
      </c>
      <c r="AW320" s="175">
        <f t="shared" si="164"/>
        <v>0</v>
      </c>
      <c r="AX320" s="175">
        <f t="shared" si="164"/>
        <v>0</v>
      </c>
      <c r="AY320" s="175">
        <f t="shared" si="164"/>
        <v>0</v>
      </c>
      <c r="AZ320" s="175">
        <f t="shared" ref="AZ320:CH320" si="165">SUM(AZ317:AZ319)</f>
        <v>0</v>
      </c>
      <c r="BA320" s="175">
        <f t="shared" si="165"/>
        <v>0</v>
      </c>
      <c r="BB320" s="175">
        <f t="shared" si="165"/>
        <v>0</v>
      </c>
      <c r="BC320" s="175">
        <f t="shared" si="165"/>
        <v>0</v>
      </c>
      <c r="BD320" s="175">
        <f t="shared" si="165"/>
        <v>0</v>
      </c>
      <c r="BE320" s="175">
        <f t="shared" si="165"/>
        <v>0</v>
      </c>
      <c r="BF320" s="175">
        <f t="shared" si="165"/>
        <v>0</v>
      </c>
      <c r="BG320" s="175">
        <f t="shared" si="165"/>
        <v>0</v>
      </c>
      <c r="BH320" s="175">
        <f t="shared" si="165"/>
        <v>0</v>
      </c>
      <c r="BI320" s="175">
        <f t="shared" si="165"/>
        <v>0</v>
      </c>
      <c r="BJ320" s="175">
        <f>SUM(BJ317:BJ319)</f>
        <v>0</v>
      </c>
      <c r="BK320" s="175">
        <f t="shared" si="165"/>
        <v>0</v>
      </c>
      <c r="BL320" s="175">
        <f t="shared" si="165"/>
        <v>0</v>
      </c>
      <c r="BM320" s="175">
        <f t="shared" si="165"/>
        <v>0</v>
      </c>
      <c r="BN320" s="175">
        <f t="shared" si="165"/>
        <v>0</v>
      </c>
      <c r="BO320" s="175">
        <f t="shared" si="165"/>
        <v>0</v>
      </c>
      <c r="BP320" s="175">
        <f t="shared" si="165"/>
        <v>0</v>
      </c>
      <c r="BQ320" s="175">
        <f t="shared" si="165"/>
        <v>0</v>
      </c>
      <c r="BR320" s="175">
        <f t="shared" si="165"/>
        <v>0</v>
      </c>
      <c r="BS320" s="175">
        <f t="shared" si="165"/>
        <v>0</v>
      </c>
      <c r="BT320" s="175">
        <f t="shared" si="165"/>
        <v>0</v>
      </c>
      <c r="BU320" s="175">
        <f t="shared" si="165"/>
        <v>0</v>
      </c>
      <c r="BV320" s="175">
        <f t="shared" si="165"/>
        <v>0</v>
      </c>
      <c r="BW320" s="175">
        <f t="shared" si="165"/>
        <v>0</v>
      </c>
      <c r="BX320" s="175">
        <f t="shared" si="165"/>
        <v>0</v>
      </c>
      <c r="BY320" s="175">
        <f t="shared" si="165"/>
        <v>0</v>
      </c>
      <c r="BZ320" s="175">
        <f t="shared" si="165"/>
        <v>0</v>
      </c>
      <c r="CA320" s="175">
        <f t="shared" si="165"/>
        <v>0</v>
      </c>
      <c r="CB320" s="175">
        <f t="shared" si="165"/>
        <v>0</v>
      </c>
      <c r="CC320" s="175">
        <f t="shared" si="165"/>
        <v>0</v>
      </c>
      <c r="CD320" s="175">
        <f t="shared" si="165"/>
        <v>0</v>
      </c>
      <c r="CE320" s="175">
        <f t="shared" si="165"/>
        <v>0</v>
      </c>
      <c r="CF320" s="175">
        <f>SUM(CF317:CF319)</f>
        <v>0</v>
      </c>
      <c r="CG320" s="175">
        <f>SUM(CG317:CG319)</f>
        <v>0</v>
      </c>
      <c r="CH320" s="175">
        <f t="shared" si="165"/>
        <v>0</v>
      </c>
      <c r="CI320" s="175">
        <f t="shared" ref="CI320:DN320" si="166">SUM(CI317:CI319)</f>
        <v>0</v>
      </c>
      <c r="CJ320" s="175">
        <f t="shared" si="166"/>
        <v>0</v>
      </c>
      <c r="CK320" s="175">
        <f t="shared" si="166"/>
        <v>0</v>
      </c>
      <c r="CL320" s="175">
        <f t="shared" si="166"/>
        <v>0</v>
      </c>
      <c r="CM320" s="175">
        <f t="shared" si="166"/>
        <v>0</v>
      </c>
      <c r="CN320" s="175">
        <f t="shared" si="166"/>
        <v>0</v>
      </c>
      <c r="CO320" s="175">
        <f t="shared" si="166"/>
        <v>0</v>
      </c>
      <c r="CP320" s="175">
        <f t="shared" si="166"/>
        <v>0</v>
      </c>
      <c r="CQ320" s="175">
        <f t="shared" si="166"/>
        <v>0</v>
      </c>
      <c r="CR320" s="175">
        <f t="shared" si="166"/>
        <v>0</v>
      </c>
      <c r="CS320" s="175">
        <f t="shared" si="166"/>
        <v>0</v>
      </c>
      <c r="CT320" s="175">
        <f t="shared" si="166"/>
        <v>0</v>
      </c>
      <c r="CU320" s="175">
        <f t="shared" si="166"/>
        <v>0</v>
      </c>
      <c r="CV320" s="175">
        <f t="shared" si="166"/>
        <v>0</v>
      </c>
      <c r="CW320" s="175">
        <f t="shared" si="166"/>
        <v>0</v>
      </c>
      <c r="CX320" s="175">
        <f t="shared" si="166"/>
        <v>0</v>
      </c>
      <c r="CY320" s="175">
        <f t="shared" si="166"/>
        <v>0</v>
      </c>
      <c r="CZ320" s="175">
        <f t="shared" si="166"/>
        <v>0</v>
      </c>
      <c r="DA320" s="175">
        <f t="shared" si="166"/>
        <v>0</v>
      </c>
      <c r="DB320" s="175">
        <f t="shared" si="166"/>
        <v>0</v>
      </c>
      <c r="DC320" s="175">
        <f t="shared" si="166"/>
        <v>0</v>
      </c>
      <c r="DD320" s="175">
        <f t="shared" si="166"/>
        <v>0</v>
      </c>
      <c r="DE320" s="175">
        <f t="shared" si="166"/>
        <v>0</v>
      </c>
      <c r="DF320" s="175">
        <f t="shared" si="166"/>
        <v>0</v>
      </c>
      <c r="DG320" s="175">
        <f t="shared" si="166"/>
        <v>0</v>
      </c>
      <c r="DH320" s="175">
        <f t="shared" si="166"/>
        <v>0</v>
      </c>
      <c r="DI320" s="175">
        <f t="shared" si="166"/>
        <v>0</v>
      </c>
      <c r="DJ320" s="175">
        <f t="shared" si="166"/>
        <v>0</v>
      </c>
      <c r="DK320" s="175">
        <f t="shared" si="166"/>
        <v>0</v>
      </c>
      <c r="DL320" s="14">
        <f t="shared" si="166"/>
        <v>0</v>
      </c>
      <c r="DM320" s="14">
        <f t="shared" si="166"/>
        <v>0</v>
      </c>
      <c r="DN320" s="14">
        <f t="shared" si="166"/>
        <v>0</v>
      </c>
      <c r="DO320" s="14">
        <f t="shared" ref="DO320:FE320" si="167">SUM(DO317:DO319)</f>
        <v>0</v>
      </c>
      <c r="DP320" s="14">
        <f t="shared" si="167"/>
        <v>0</v>
      </c>
      <c r="DQ320" s="14">
        <f t="shared" si="167"/>
        <v>0</v>
      </c>
      <c r="DR320" s="14">
        <f t="shared" si="167"/>
        <v>0</v>
      </c>
      <c r="DS320" s="14">
        <f t="shared" si="167"/>
        <v>0</v>
      </c>
      <c r="DT320" s="14">
        <f t="shared" si="167"/>
        <v>0</v>
      </c>
      <c r="DU320" s="14">
        <f t="shared" si="167"/>
        <v>0</v>
      </c>
      <c r="DV320" s="14">
        <f>SUM(DV317:DV319)</f>
        <v>0</v>
      </c>
      <c r="DW320" s="14">
        <f>SUM(DW317:DW319)</f>
        <v>0</v>
      </c>
      <c r="DX320" s="14">
        <f t="shared" si="167"/>
        <v>0</v>
      </c>
      <c r="DY320" s="14">
        <f t="shared" si="167"/>
        <v>0</v>
      </c>
      <c r="DZ320" s="14">
        <f t="shared" si="167"/>
        <v>0</v>
      </c>
      <c r="EA320" s="14">
        <f>SUM(EA317:EA319)</f>
        <v>0</v>
      </c>
      <c r="EB320" s="14">
        <f t="shared" si="167"/>
        <v>0</v>
      </c>
      <c r="EC320" s="14">
        <f t="shared" si="167"/>
        <v>0</v>
      </c>
      <c r="ED320" s="14">
        <f t="shared" si="167"/>
        <v>0</v>
      </c>
      <c r="EE320" s="508"/>
      <c r="EF320" s="14">
        <f t="shared" si="167"/>
        <v>0</v>
      </c>
      <c r="EG320" s="14">
        <f>SUM(EG317:EG319)</f>
        <v>0</v>
      </c>
      <c r="EH320" s="14">
        <f t="shared" si="167"/>
        <v>0</v>
      </c>
      <c r="EI320" s="14">
        <f t="shared" si="167"/>
        <v>0</v>
      </c>
      <c r="EJ320" s="14">
        <f t="shared" si="167"/>
        <v>0</v>
      </c>
      <c r="EK320" s="14">
        <f t="shared" si="167"/>
        <v>0</v>
      </c>
      <c r="EL320" s="14">
        <f t="shared" si="167"/>
        <v>0</v>
      </c>
      <c r="EM320" s="14">
        <f t="shared" si="167"/>
        <v>0</v>
      </c>
      <c r="EN320" s="14">
        <f>SUM(EN317:EN319)</f>
        <v>0</v>
      </c>
      <c r="EO320" s="14">
        <f t="shared" si="167"/>
        <v>0</v>
      </c>
      <c r="EP320" s="14">
        <f t="shared" si="167"/>
        <v>0</v>
      </c>
      <c r="EQ320" s="14">
        <f>SUM(EQ317:EQ319)</f>
        <v>0</v>
      </c>
      <c r="ER320" s="14">
        <f>SUM(ER317:ER319)</f>
        <v>0</v>
      </c>
      <c r="ES320" s="14">
        <f t="shared" si="167"/>
        <v>0</v>
      </c>
      <c r="ET320" s="14">
        <f t="shared" si="167"/>
        <v>0</v>
      </c>
      <c r="EU320" s="14">
        <f t="shared" si="167"/>
        <v>0</v>
      </c>
      <c r="EV320" s="14">
        <f t="shared" si="167"/>
        <v>0</v>
      </c>
      <c r="EW320" s="14">
        <f t="shared" si="167"/>
        <v>0</v>
      </c>
      <c r="EX320" s="14">
        <f>SUM(EX317:EX319)</f>
        <v>0</v>
      </c>
      <c r="EY320" s="14">
        <f t="shared" si="167"/>
        <v>0</v>
      </c>
      <c r="EZ320" s="14">
        <f t="shared" si="167"/>
        <v>0</v>
      </c>
      <c r="FA320" s="14">
        <f t="shared" si="167"/>
        <v>0</v>
      </c>
      <c r="FB320" s="14">
        <f t="shared" si="167"/>
        <v>0</v>
      </c>
      <c r="FC320" s="14">
        <f>SUM(FC317:FC319)</f>
        <v>0</v>
      </c>
      <c r="FD320" s="14">
        <f>SUM(FD317:FD319)</f>
        <v>0</v>
      </c>
      <c r="FE320" s="14">
        <f t="shared" si="167"/>
        <v>0</v>
      </c>
      <c r="FF320" s="14"/>
    </row>
    <row r="321" spans="1:162" hidden="1">
      <c r="A321" s="54"/>
      <c r="B321" s="55" t="s">
        <v>3209</v>
      </c>
      <c r="C321" s="11" t="s">
        <v>3231</v>
      </c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885"/>
      <c r="AH321" s="176"/>
      <c r="AI321" s="897"/>
      <c r="AJ321" s="907"/>
      <c r="AK321" s="921"/>
      <c r="AL321" s="176"/>
      <c r="AM321" s="176"/>
      <c r="AN321" s="176"/>
      <c r="AO321" s="176"/>
      <c r="AP321" s="176"/>
      <c r="AQ321" s="176"/>
      <c r="AR321" s="176"/>
      <c r="AS321" s="176"/>
      <c r="AT321" s="176"/>
      <c r="AU321" s="176"/>
      <c r="AV321" s="176"/>
      <c r="AW321" s="176"/>
      <c r="AX321" s="176"/>
      <c r="AY321" s="176"/>
      <c r="AZ321" s="176"/>
      <c r="BA321" s="176"/>
      <c r="BB321" s="176"/>
      <c r="BC321" s="176"/>
      <c r="BD321" s="176"/>
      <c r="BE321" s="176"/>
      <c r="BF321" s="176"/>
      <c r="BG321" s="176"/>
      <c r="BH321" s="176"/>
      <c r="BI321" s="176"/>
      <c r="BJ321" s="176"/>
      <c r="BK321" s="176"/>
      <c r="BL321" s="176"/>
      <c r="BM321" s="176"/>
      <c r="BN321" s="176"/>
      <c r="BO321" s="176"/>
      <c r="BP321" s="176"/>
      <c r="BQ321" s="176"/>
      <c r="BR321" s="176"/>
      <c r="BS321" s="176"/>
      <c r="BT321" s="176"/>
      <c r="BU321" s="176"/>
      <c r="BV321" s="176"/>
      <c r="BW321" s="176"/>
      <c r="BX321" s="176"/>
      <c r="BY321" s="176"/>
      <c r="BZ321" s="176"/>
      <c r="CA321" s="176"/>
      <c r="CB321" s="176"/>
      <c r="CC321" s="176"/>
      <c r="CD321" s="176"/>
      <c r="CE321" s="176"/>
      <c r="CF321" s="176"/>
      <c r="CG321" s="176"/>
      <c r="CH321" s="176"/>
      <c r="CI321" s="176"/>
      <c r="CJ321" s="176"/>
      <c r="CK321" s="176"/>
      <c r="CL321" s="176"/>
      <c r="CM321" s="176"/>
      <c r="CN321" s="176"/>
      <c r="CO321" s="176"/>
      <c r="CP321" s="176"/>
      <c r="CQ321" s="176"/>
      <c r="CR321" s="176"/>
      <c r="CS321" s="176"/>
      <c r="CT321" s="176"/>
      <c r="CU321" s="176"/>
      <c r="CV321" s="176"/>
      <c r="CW321" s="176"/>
      <c r="CX321" s="176"/>
      <c r="CY321" s="176"/>
      <c r="CZ321" s="176"/>
      <c r="DA321" s="176"/>
      <c r="DB321" s="176"/>
      <c r="DC321" s="176"/>
      <c r="DD321" s="176"/>
      <c r="DE321" s="176"/>
      <c r="DF321" s="176"/>
      <c r="DG321" s="176"/>
      <c r="DH321" s="176"/>
      <c r="DI321" s="176"/>
      <c r="DJ321" s="176"/>
      <c r="DK321" s="176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503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3"/>
    </row>
    <row r="322" spans="1:162" s="56" customFormat="1" hidden="1">
      <c r="A322" s="54"/>
      <c r="B322" s="55"/>
      <c r="C322" s="491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173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883"/>
      <c r="AH322" s="174"/>
      <c r="AI322" s="492"/>
      <c r="AJ322" s="905"/>
      <c r="AK322" s="919"/>
      <c r="AL322" s="174"/>
      <c r="AM322" s="174"/>
      <c r="AN322" s="174"/>
      <c r="AO322" s="928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4"/>
      <c r="BA322" s="174"/>
      <c r="BB322" s="174"/>
      <c r="BC322" s="174"/>
      <c r="BD322" s="174"/>
      <c r="BE322" s="174"/>
      <c r="BF322" s="174"/>
      <c r="BG322" s="174"/>
      <c r="BH322" s="174"/>
      <c r="BI322" s="174"/>
      <c r="BJ322" s="174"/>
      <c r="BK322" s="174"/>
      <c r="BL322" s="174"/>
      <c r="BM322" s="174"/>
      <c r="BN322" s="174"/>
      <c r="BO322" s="174"/>
      <c r="BP322" s="174"/>
      <c r="BQ322" s="174"/>
      <c r="BR322" s="174"/>
      <c r="BS322" s="174"/>
      <c r="BT322" s="174"/>
      <c r="BU322" s="174"/>
      <c r="BV322" s="174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  <c r="DE322" s="174"/>
      <c r="DF322" s="174"/>
      <c r="DG322" s="174"/>
      <c r="DH322" s="174"/>
      <c r="DI322" s="174"/>
      <c r="DJ322" s="174"/>
      <c r="DK322" s="174"/>
      <c r="DL322" s="62"/>
      <c r="DM322" s="62"/>
      <c r="DN322" s="62"/>
      <c r="DO322" s="62"/>
      <c r="DP322" s="62"/>
      <c r="DQ322" s="62"/>
      <c r="DR322" s="62"/>
      <c r="DS322" s="62"/>
      <c r="DT322" s="62"/>
      <c r="DU322" s="62"/>
      <c r="DV322" s="62"/>
      <c r="DW322" s="62"/>
      <c r="DX322" s="62"/>
      <c r="DY322" s="62"/>
      <c r="DZ322" s="62"/>
      <c r="EA322" s="62"/>
      <c r="EB322" s="62"/>
      <c r="EC322" s="62"/>
      <c r="ED322" s="62"/>
      <c r="EE322" s="454"/>
      <c r="EF322" s="62"/>
      <c r="EG322" s="62"/>
      <c r="EH322" s="62"/>
      <c r="EI322" s="62"/>
      <c r="EJ322" s="62"/>
      <c r="EK322" s="62"/>
      <c r="EL322" s="62"/>
      <c r="EM322" s="62"/>
      <c r="EN322" s="62"/>
      <c r="EO322" s="62"/>
      <c r="EP322" s="62"/>
      <c r="EQ322" s="62"/>
      <c r="ER322" s="62"/>
      <c r="ES322" s="62"/>
      <c r="ET322" s="62"/>
      <c r="EU322" s="62"/>
      <c r="EV322" s="62"/>
      <c r="EW322" s="62"/>
      <c r="EX322" s="62"/>
      <c r="EY322" s="62"/>
      <c r="EZ322" s="62"/>
      <c r="FA322" s="62"/>
      <c r="FB322" s="62"/>
      <c r="FC322" s="62"/>
      <c r="FD322" s="62"/>
      <c r="FE322" s="62"/>
      <c r="FF322" s="62"/>
    </row>
    <row r="323" spans="1:162" s="56" customFormat="1" hidden="1">
      <c r="A323" s="54"/>
      <c r="B323" s="55"/>
      <c r="C323" s="491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173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883"/>
      <c r="AH323" s="174"/>
      <c r="AI323" s="492"/>
      <c r="AJ323" s="905"/>
      <c r="AK323" s="919"/>
      <c r="AL323" s="174"/>
      <c r="AM323" s="174"/>
      <c r="AN323" s="174"/>
      <c r="AO323" s="928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4"/>
      <c r="BA323" s="174"/>
      <c r="BB323" s="174"/>
      <c r="BC323" s="174"/>
      <c r="BD323" s="174"/>
      <c r="BE323" s="174"/>
      <c r="BF323" s="174"/>
      <c r="BG323" s="174"/>
      <c r="BH323" s="174"/>
      <c r="BI323" s="174"/>
      <c r="BJ323" s="174"/>
      <c r="BK323" s="174"/>
      <c r="BL323" s="174"/>
      <c r="BM323" s="174"/>
      <c r="BN323" s="174"/>
      <c r="BO323" s="174"/>
      <c r="BP323" s="174"/>
      <c r="BQ323" s="174"/>
      <c r="BR323" s="174"/>
      <c r="BS323" s="174"/>
      <c r="BT323" s="174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  <c r="DE323" s="174"/>
      <c r="DF323" s="174"/>
      <c r="DG323" s="174"/>
      <c r="DH323" s="174"/>
      <c r="DI323" s="174"/>
      <c r="DJ323" s="174"/>
      <c r="DK323" s="174"/>
      <c r="DL323" s="62"/>
      <c r="DM323" s="62"/>
      <c r="DN323" s="62"/>
      <c r="DO323" s="62"/>
      <c r="DP323" s="62"/>
      <c r="DQ323" s="62"/>
      <c r="DR323" s="62"/>
      <c r="DS323" s="62"/>
      <c r="DT323" s="62"/>
      <c r="DU323" s="62"/>
      <c r="DV323" s="62"/>
      <c r="DW323" s="62"/>
      <c r="DX323" s="62"/>
      <c r="DY323" s="62"/>
      <c r="DZ323" s="62"/>
      <c r="EA323" s="62"/>
      <c r="EB323" s="62"/>
      <c r="EC323" s="62"/>
      <c r="ED323" s="62"/>
      <c r="EE323" s="454"/>
      <c r="EF323" s="62"/>
      <c r="EG323" s="62"/>
      <c r="EH323" s="62"/>
      <c r="EI323" s="62"/>
      <c r="EJ323" s="62"/>
      <c r="EK323" s="62"/>
      <c r="EL323" s="62"/>
      <c r="EM323" s="62"/>
      <c r="EN323" s="62"/>
      <c r="EO323" s="62"/>
      <c r="EP323" s="62"/>
      <c r="EQ323" s="62"/>
      <c r="ER323" s="62"/>
      <c r="ES323" s="62"/>
      <c r="ET323" s="62"/>
      <c r="EU323" s="62"/>
      <c r="EV323" s="62"/>
      <c r="EW323" s="62"/>
      <c r="EX323" s="62"/>
      <c r="EY323" s="62"/>
      <c r="EZ323" s="62"/>
      <c r="FA323" s="62"/>
      <c r="FB323" s="62"/>
      <c r="FC323" s="62"/>
      <c r="FD323" s="62"/>
      <c r="FE323" s="62"/>
      <c r="FF323" s="62"/>
    </row>
    <row r="324" spans="1:162" s="56" customFormat="1" hidden="1">
      <c r="A324" s="54"/>
      <c r="B324" s="55"/>
      <c r="C324" s="491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173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883"/>
      <c r="AH324" s="174"/>
      <c r="AI324" s="492"/>
      <c r="AJ324" s="905"/>
      <c r="AK324" s="919"/>
      <c r="AL324" s="174"/>
      <c r="AM324" s="174"/>
      <c r="AN324" s="174"/>
      <c r="AO324" s="928"/>
      <c r="AP324" s="174"/>
      <c r="AQ324" s="174"/>
      <c r="AR324" s="174"/>
      <c r="AS324" s="174"/>
      <c r="AT324" s="174"/>
      <c r="AU324" s="174"/>
      <c r="AV324" s="174"/>
      <c r="AW324" s="174"/>
      <c r="AX324" s="174"/>
      <c r="AY324" s="174"/>
      <c r="AZ324" s="174"/>
      <c r="BA324" s="174"/>
      <c r="BB324" s="174"/>
      <c r="BC324" s="174"/>
      <c r="BD324" s="174"/>
      <c r="BE324" s="174"/>
      <c r="BF324" s="174"/>
      <c r="BG324" s="174"/>
      <c r="BH324" s="174"/>
      <c r="BI324" s="174"/>
      <c r="BJ324" s="174"/>
      <c r="BK324" s="174"/>
      <c r="BL324" s="174"/>
      <c r="BM324" s="174"/>
      <c r="BN324" s="174"/>
      <c r="BO324" s="174"/>
      <c r="BP324" s="174"/>
      <c r="BQ324" s="174"/>
      <c r="BR324" s="174"/>
      <c r="BS324" s="174"/>
      <c r="BT324" s="174"/>
      <c r="BU324" s="174"/>
      <c r="BV324" s="174"/>
      <c r="BW324" s="174"/>
      <c r="BX324" s="174"/>
      <c r="BY324" s="174"/>
      <c r="BZ324" s="174"/>
      <c r="CA324" s="174"/>
      <c r="CB324" s="174"/>
      <c r="CC324" s="174"/>
      <c r="CD324" s="174"/>
      <c r="CE324" s="174"/>
      <c r="CF324" s="174"/>
      <c r="CG324" s="174"/>
      <c r="CH324" s="174"/>
      <c r="CI324" s="174"/>
      <c r="CJ324" s="174"/>
      <c r="CK324" s="174"/>
      <c r="CL324" s="174"/>
      <c r="CM324" s="174"/>
      <c r="CN324" s="174"/>
      <c r="CO324" s="174"/>
      <c r="CP324" s="174"/>
      <c r="CQ324" s="174"/>
      <c r="CR324" s="174"/>
      <c r="CS324" s="174"/>
      <c r="CT324" s="174"/>
      <c r="CU324" s="174"/>
      <c r="CV324" s="174"/>
      <c r="CW324" s="174"/>
      <c r="CX324" s="174"/>
      <c r="CY324" s="174"/>
      <c r="CZ324" s="174"/>
      <c r="DA324" s="174"/>
      <c r="DB324" s="174"/>
      <c r="DC324" s="174"/>
      <c r="DD324" s="174"/>
      <c r="DE324" s="174"/>
      <c r="DF324" s="174"/>
      <c r="DG324" s="174"/>
      <c r="DH324" s="174"/>
      <c r="DI324" s="174"/>
      <c r="DJ324" s="174"/>
      <c r="DK324" s="174"/>
      <c r="DL324" s="62"/>
      <c r="DM324" s="62"/>
      <c r="DN324" s="62"/>
      <c r="DO324" s="62"/>
      <c r="DP324" s="62"/>
      <c r="DQ324" s="62"/>
      <c r="DR324" s="62"/>
      <c r="DS324" s="62"/>
      <c r="DT324" s="62"/>
      <c r="DU324" s="62"/>
      <c r="DV324" s="62"/>
      <c r="DW324" s="62"/>
      <c r="DX324" s="62"/>
      <c r="DY324" s="62"/>
      <c r="DZ324" s="62"/>
      <c r="EA324" s="62"/>
      <c r="EB324" s="62"/>
      <c r="EC324" s="62"/>
      <c r="ED324" s="62"/>
      <c r="EE324" s="454"/>
      <c r="EF324" s="62"/>
      <c r="EG324" s="62"/>
      <c r="EH324" s="62"/>
      <c r="EI324" s="62"/>
      <c r="EJ324" s="62"/>
      <c r="EK324" s="62"/>
      <c r="EL324" s="62"/>
      <c r="EM324" s="62"/>
      <c r="EN324" s="62"/>
      <c r="EO324" s="62"/>
      <c r="EP324" s="62"/>
      <c r="EQ324" s="62"/>
      <c r="ER324" s="62"/>
      <c r="ES324" s="62"/>
      <c r="ET324" s="62"/>
      <c r="EU324" s="62"/>
      <c r="EV324" s="62"/>
      <c r="EW324" s="62"/>
      <c r="EX324" s="62"/>
      <c r="EY324" s="62"/>
      <c r="EZ324" s="62"/>
      <c r="FA324" s="62"/>
      <c r="FB324" s="62"/>
      <c r="FC324" s="62"/>
      <c r="FD324" s="62"/>
      <c r="FE324" s="62"/>
      <c r="FF324" s="62"/>
    </row>
    <row r="325" spans="1:162" hidden="1">
      <c r="A325" s="487">
        <f>MATCH(C325,$C$5:$C$361,0)</f>
        <v>321</v>
      </c>
      <c r="C325" s="14" t="s">
        <v>3210</v>
      </c>
      <c r="D325" s="14">
        <f t="shared" ref="D325:Q325" si="168">SUM(D322:D324)</f>
        <v>0</v>
      </c>
      <c r="E325" s="14">
        <f t="shared" si="168"/>
        <v>0</v>
      </c>
      <c r="F325" s="14">
        <f t="shared" si="168"/>
        <v>0</v>
      </c>
      <c r="G325" s="14">
        <f t="shared" si="168"/>
        <v>0</v>
      </c>
      <c r="H325" s="14">
        <f t="shared" si="168"/>
        <v>0</v>
      </c>
      <c r="I325" s="14">
        <f t="shared" si="168"/>
        <v>0</v>
      </c>
      <c r="J325" s="14">
        <f t="shared" si="168"/>
        <v>0</v>
      </c>
      <c r="K325" s="14">
        <f t="shared" si="168"/>
        <v>0</v>
      </c>
      <c r="L325" s="14">
        <f t="shared" si="168"/>
        <v>0</v>
      </c>
      <c r="M325" s="14">
        <f t="shared" si="168"/>
        <v>0</v>
      </c>
      <c r="N325" s="14">
        <f t="shared" si="168"/>
        <v>0</v>
      </c>
      <c r="O325" s="14">
        <f t="shared" si="168"/>
        <v>0</v>
      </c>
      <c r="P325" s="14">
        <f t="shared" si="168"/>
        <v>0</v>
      </c>
      <c r="Q325" s="14">
        <f t="shared" si="168"/>
        <v>0</v>
      </c>
      <c r="R325" s="14"/>
      <c r="S325" s="175">
        <f t="shared" ref="S325:AY325" si="169">SUM(S322:S324)</f>
        <v>0</v>
      </c>
      <c r="T325" s="175">
        <f t="shared" si="169"/>
        <v>0</v>
      </c>
      <c r="U325" s="175">
        <f t="shared" si="169"/>
        <v>0</v>
      </c>
      <c r="V325" s="175">
        <f t="shared" si="169"/>
        <v>0</v>
      </c>
      <c r="W325" s="175">
        <f t="shared" si="169"/>
        <v>0</v>
      </c>
      <c r="X325" s="175">
        <f t="shared" si="169"/>
        <v>0</v>
      </c>
      <c r="Y325" s="175">
        <f t="shared" si="169"/>
        <v>0</v>
      </c>
      <c r="Z325" s="175">
        <f t="shared" si="169"/>
        <v>0</v>
      </c>
      <c r="AA325" s="175">
        <f t="shared" si="169"/>
        <v>0</v>
      </c>
      <c r="AB325" s="175">
        <f t="shared" si="169"/>
        <v>0</v>
      </c>
      <c r="AC325" s="175">
        <f t="shared" si="169"/>
        <v>0</v>
      </c>
      <c r="AD325" s="175">
        <f t="shared" si="169"/>
        <v>0</v>
      </c>
      <c r="AE325" s="175">
        <f t="shared" si="169"/>
        <v>0</v>
      </c>
      <c r="AF325" s="175">
        <f t="shared" si="169"/>
        <v>0</v>
      </c>
      <c r="AG325" s="884">
        <f>SUM(AG322:AG324)</f>
        <v>0</v>
      </c>
      <c r="AH325" s="175">
        <f t="shared" si="169"/>
        <v>0</v>
      </c>
      <c r="AI325" s="178">
        <f t="shared" si="169"/>
        <v>0</v>
      </c>
      <c r="AJ325" s="906">
        <f t="shared" si="169"/>
        <v>0</v>
      </c>
      <c r="AK325" s="920">
        <f t="shared" si="169"/>
        <v>0</v>
      </c>
      <c r="AL325" s="175">
        <f t="shared" si="169"/>
        <v>0</v>
      </c>
      <c r="AM325" s="175">
        <f t="shared" si="169"/>
        <v>0</v>
      </c>
      <c r="AN325" s="175">
        <f t="shared" si="169"/>
        <v>0</v>
      </c>
      <c r="AO325" s="929">
        <f t="shared" si="169"/>
        <v>0</v>
      </c>
      <c r="AP325" s="175">
        <f t="shared" si="169"/>
        <v>0</v>
      </c>
      <c r="AQ325" s="175">
        <f t="shared" si="169"/>
        <v>0</v>
      </c>
      <c r="AR325" s="175">
        <f t="shared" si="169"/>
        <v>0</v>
      </c>
      <c r="AS325" s="175">
        <f t="shared" si="169"/>
        <v>0</v>
      </c>
      <c r="AT325" s="175">
        <f t="shared" si="169"/>
        <v>0</v>
      </c>
      <c r="AU325" s="175">
        <f t="shared" si="169"/>
        <v>0</v>
      </c>
      <c r="AV325" s="175">
        <f t="shared" si="169"/>
        <v>0</v>
      </c>
      <c r="AW325" s="175">
        <f t="shared" si="169"/>
        <v>0</v>
      </c>
      <c r="AX325" s="175">
        <f t="shared" si="169"/>
        <v>0</v>
      </c>
      <c r="AY325" s="175">
        <f t="shared" si="169"/>
        <v>0</v>
      </c>
      <c r="AZ325" s="175">
        <f t="shared" ref="AZ325:CH325" si="170">SUM(AZ322:AZ324)</f>
        <v>0</v>
      </c>
      <c r="BA325" s="175">
        <f t="shared" si="170"/>
        <v>0</v>
      </c>
      <c r="BB325" s="175">
        <f t="shared" si="170"/>
        <v>0</v>
      </c>
      <c r="BC325" s="175">
        <f t="shared" si="170"/>
        <v>0</v>
      </c>
      <c r="BD325" s="175">
        <f t="shared" si="170"/>
        <v>0</v>
      </c>
      <c r="BE325" s="175">
        <f t="shared" si="170"/>
        <v>0</v>
      </c>
      <c r="BF325" s="175">
        <f t="shared" si="170"/>
        <v>0</v>
      </c>
      <c r="BG325" s="175">
        <f t="shared" si="170"/>
        <v>0</v>
      </c>
      <c r="BH325" s="175">
        <f t="shared" si="170"/>
        <v>0</v>
      </c>
      <c r="BI325" s="175">
        <f t="shared" si="170"/>
        <v>0</v>
      </c>
      <c r="BJ325" s="175">
        <f>SUM(BJ322:BJ324)</f>
        <v>0</v>
      </c>
      <c r="BK325" s="175">
        <f t="shared" si="170"/>
        <v>0</v>
      </c>
      <c r="BL325" s="175">
        <f t="shared" si="170"/>
        <v>0</v>
      </c>
      <c r="BM325" s="175">
        <f t="shared" si="170"/>
        <v>0</v>
      </c>
      <c r="BN325" s="175">
        <f t="shared" si="170"/>
        <v>0</v>
      </c>
      <c r="BO325" s="175">
        <f t="shared" si="170"/>
        <v>0</v>
      </c>
      <c r="BP325" s="175">
        <f t="shared" si="170"/>
        <v>0</v>
      </c>
      <c r="BQ325" s="175">
        <f t="shared" si="170"/>
        <v>0</v>
      </c>
      <c r="BR325" s="175">
        <f t="shared" si="170"/>
        <v>0</v>
      </c>
      <c r="BS325" s="175">
        <f t="shared" si="170"/>
        <v>0</v>
      </c>
      <c r="BT325" s="175">
        <f t="shared" si="170"/>
        <v>0</v>
      </c>
      <c r="BU325" s="175">
        <f t="shared" si="170"/>
        <v>0</v>
      </c>
      <c r="BV325" s="175">
        <f t="shared" si="170"/>
        <v>0</v>
      </c>
      <c r="BW325" s="175">
        <f t="shared" si="170"/>
        <v>0</v>
      </c>
      <c r="BX325" s="175">
        <f t="shared" si="170"/>
        <v>0</v>
      </c>
      <c r="BY325" s="175">
        <f t="shared" si="170"/>
        <v>0</v>
      </c>
      <c r="BZ325" s="175">
        <f t="shared" si="170"/>
        <v>0</v>
      </c>
      <c r="CA325" s="175">
        <f t="shared" si="170"/>
        <v>0</v>
      </c>
      <c r="CB325" s="175">
        <f t="shared" si="170"/>
        <v>0</v>
      </c>
      <c r="CC325" s="175">
        <f t="shared" si="170"/>
        <v>0</v>
      </c>
      <c r="CD325" s="175">
        <f t="shared" si="170"/>
        <v>0</v>
      </c>
      <c r="CE325" s="175">
        <f t="shared" si="170"/>
        <v>0</v>
      </c>
      <c r="CF325" s="175">
        <f>SUM(CF322:CF324)</f>
        <v>0</v>
      </c>
      <c r="CG325" s="175">
        <f>SUM(CG322:CG324)</f>
        <v>0</v>
      </c>
      <c r="CH325" s="175">
        <f t="shared" si="170"/>
        <v>0</v>
      </c>
      <c r="CI325" s="175">
        <f t="shared" ref="CI325:DN325" si="171">SUM(CI322:CI324)</f>
        <v>0</v>
      </c>
      <c r="CJ325" s="175">
        <f t="shared" si="171"/>
        <v>0</v>
      </c>
      <c r="CK325" s="175">
        <f t="shared" si="171"/>
        <v>0</v>
      </c>
      <c r="CL325" s="175">
        <f t="shared" si="171"/>
        <v>0</v>
      </c>
      <c r="CM325" s="175">
        <f t="shared" si="171"/>
        <v>0</v>
      </c>
      <c r="CN325" s="175">
        <f t="shared" si="171"/>
        <v>0</v>
      </c>
      <c r="CO325" s="175">
        <f t="shared" si="171"/>
        <v>0</v>
      </c>
      <c r="CP325" s="175">
        <f t="shared" si="171"/>
        <v>0</v>
      </c>
      <c r="CQ325" s="175">
        <f t="shared" si="171"/>
        <v>0</v>
      </c>
      <c r="CR325" s="175">
        <f t="shared" si="171"/>
        <v>0</v>
      </c>
      <c r="CS325" s="175">
        <f t="shared" si="171"/>
        <v>0</v>
      </c>
      <c r="CT325" s="175">
        <f t="shared" si="171"/>
        <v>0</v>
      </c>
      <c r="CU325" s="175">
        <f t="shared" si="171"/>
        <v>0</v>
      </c>
      <c r="CV325" s="175">
        <f t="shared" si="171"/>
        <v>0</v>
      </c>
      <c r="CW325" s="175">
        <f t="shared" si="171"/>
        <v>0</v>
      </c>
      <c r="CX325" s="175">
        <f t="shared" si="171"/>
        <v>0</v>
      </c>
      <c r="CY325" s="175">
        <f t="shared" si="171"/>
        <v>0</v>
      </c>
      <c r="CZ325" s="175">
        <f t="shared" si="171"/>
        <v>0</v>
      </c>
      <c r="DA325" s="175">
        <f t="shared" si="171"/>
        <v>0</v>
      </c>
      <c r="DB325" s="175">
        <f t="shared" si="171"/>
        <v>0</v>
      </c>
      <c r="DC325" s="175">
        <f t="shared" si="171"/>
        <v>0</v>
      </c>
      <c r="DD325" s="175">
        <f t="shared" si="171"/>
        <v>0</v>
      </c>
      <c r="DE325" s="175">
        <f t="shared" si="171"/>
        <v>0</v>
      </c>
      <c r="DF325" s="175">
        <f t="shared" si="171"/>
        <v>0</v>
      </c>
      <c r="DG325" s="175">
        <f t="shared" si="171"/>
        <v>0</v>
      </c>
      <c r="DH325" s="175">
        <f t="shared" si="171"/>
        <v>0</v>
      </c>
      <c r="DI325" s="175">
        <f t="shared" si="171"/>
        <v>0</v>
      </c>
      <c r="DJ325" s="175">
        <f t="shared" si="171"/>
        <v>0</v>
      </c>
      <c r="DK325" s="175">
        <f t="shared" si="171"/>
        <v>0</v>
      </c>
      <c r="DL325" s="14">
        <f t="shared" si="171"/>
        <v>0</v>
      </c>
      <c r="DM325" s="14">
        <f t="shared" si="171"/>
        <v>0</v>
      </c>
      <c r="DN325" s="14">
        <f t="shared" si="171"/>
        <v>0</v>
      </c>
      <c r="DO325" s="14">
        <f t="shared" ref="DO325:FE325" si="172">SUM(DO322:DO324)</f>
        <v>0</v>
      </c>
      <c r="DP325" s="14">
        <f t="shared" si="172"/>
        <v>0</v>
      </c>
      <c r="DQ325" s="14">
        <f t="shared" si="172"/>
        <v>0</v>
      </c>
      <c r="DR325" s="14">
        <f t="shared" si="172"/>
        <v>0</v>
      </c>
      <c r="DS325" s="14">
        <f t="shared" si="172"/>
        <v>0</v>
      </c>
      <c r="DT325" s="14">
        <f t="shared" si="172"/>
        <v>0</v>
      </c>
      <c r="DU325" s="14">
        <f t="shared" si="172"/>
        <v>0</v>
      </c>
      <c r="DV325" s="14">
        <f>SUM(DV322:DV324)</f>
        <v>0</v>
      </c>
      <c r="DW325" s="14">
        <f>SUM(DW322:DW324)</f>
        <v>0</v>
      </c>
      <c r="DX325" s="14">
        <f t="shared" si="172"/>
        <v>0</v>
      </c>
      <c r="DY325" s="14">
        <f t="shared" si="172"/>
        <v>0</v>
      </c>
      <c r="DZ325" s="14">
        <f t="shared" si="172"/>
        <v>0</v>
      </c>
      <c r="EA325" s="14">
        <f>SUM(EA322:EA324)</f>
        <v>0</v>
      </c>
      <c r="EB325" s="14">
        <f t="shared" si="172"/>
        <v>0</v>
      </c>
      <c r="EC325" s="14">
        <f t="shared" si="172"/>
        <v>0</v>
      </c>
      <c r="ED325" s="14">
        <f t="shared" si="172"/>
        <v>0</v>
      </c>
      <c r="EE325" s="508"/>
      <c r="EF325" s="14">
        <f t="shared" si="172"/>
        <v>0</v>
      </c>
      <c r="EG325" s="14">
        <f>SUM(EG322:EG324)</f>
        <v>0</v>
      </c>
      <c r="EH325" s="14">
        <f t="shared" si="172"/>
        <v>0</v>
      </c>
      <c r="EI325" s="14">
        <f t="shared" si="172"/>
        <v>0</v>
      </c>
      <c r="EJ325" s="14">
        <f t="shared" si="172"/>
        <v>0</v>
      </c>
      <c r="EK325" s="14">
        <f t="shared" si="172"/>
        <v>0</v>
      </c>
      <c r="EL325" s="14">
        <f t="shared" si="172"/>
        <v>0</v>
      </c>
      <c r="EM325" s="14">
        <f t="shared" si="172"/>
        <v>0</v>
      </c>
      <c r="EN325" s="14">
        <f>SUM(EN322:EN324)</f>
        <v>0</v>
      </c>
      <c r="EO325" s="14">
        <f t="shared" si="172"/>
        <v>0</v>
      </c>
      <c r="EP325" s="14">
        <f t="shared" si="172"/>
        <v>0</v>
      </c>
      <c r="EQ325" s="14">
        <f>SUM(EQ322:EQ324)</f>
        <v>0</v>
      </c>
      <c r="ER325" s="14">
        <f>SUM(ER322:ER324)</f>
        <v>0</v>
      </c>
      <c r="ES325" s="14">
        <f t="shared" si="172"/>
        <v>0</v>
      </c>
      <c r="ET325" s="14">
        <f t="shared" si="172"/>
        <v>0</v>
      </c>
      <c r="EU325" s="14">
        <f t="shared" si="172"/>
        <v>0</v>
      </c>
      <c r="EV325" s="14">
        <f t="shared" si="172"/>
        <v>0</v>
      </c>
      <c r="EW325" s="14">
        <f t="shared" si="172"/>
        <v>0</v>
      </c>
      <c r="EX325" s="14">
        <f>SUM(EX322:EX324)</f>
        <v>0</v>
      </c>
      <c r="EY325" s="14">
        <f t="shared" si="172"/>
        <v>0</v>
      </c>
      <c r="EZ325" s="14">
        <f t="shared" si="172"/>
        <v>0</v>
      </c>
      <c r="FA325" s="14">
        <f t="shared" si="172"/>
        <v>0</v>
      </c>
      <c r="FB325" s="14">
        <f t="shared" si="172"/>
        <v>0</v>
      </c>
      <c r="FC325" s="14">
        <f>SUM(FC322:FC324)</f>
        <v>0</v>
      </c>
      <c r="FD325" s="14">
        <f>SUM(FD322:FD324)</f>
        <v>0</v>
      </c>
      <c r="FE325" s="14">
        <f t="shared" si="172"/>
        <v>0</v>
      </c>
      <c r="FF325" s="14"/>
    </row>
    <row r="326" spans="1:162" hidden="1">
      <c r="A326" s="54"/>
      <c r="B326" s="55" t="s">
        <v>3211</v>
      </c>
      <c r="C326" s="1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885"/>
      <c r="AH326" s="176"/>
      <c r="AI326" s="897"/>
      <c r="AJ326" s="907"/>
      <c r="AK326" s="921"/>
      <c r="AL326" s="176"/>
      <c r="AM326" s="176"/>
      <c r="AN326" s="176"/>
      <c r="AO326" s="176"/>
      <c r="AP326" s="176"/>
      <c r="AQ326" s="176"/>
      <c r="AR326" s="176"/>
      <c r="AS326" s="176"/>
      <c r="AT326" s="176"/>
      <c r="AU326" s="176"/>
      <c r="AV326" s="176"/>
      <c r="AW326" s="176"/>
      <c r="AX326" s="176"/>
      <c r="AY326" s="176"/>
      <c r="AZ326" s="176"/>
      <c r="BA326" s="176"/>
      <c r="BB326" s="176"/>
      <c r="BC326" s="176"/>
      <c r="BD326" s="176"/>
      <c r="BE326" s="176"/>
      <c r="BF326" s="176"/>
      <c r="BG326" s="176"/>
      <c r="BH326" s="176"/>
      <c r="BI326" s="176"/>
      <c r="BJ326" s="176"/>
      <c r="BK326" s="176"/>
      <c r="BL326" s="176"/>
      <c r="BM326" s="176"/>
      <c r="BN326" s="176"/>
      <c r="BO326" s="176"/>
      <c r="BP326" s="176"/>
      <c r="BQ326" s="176"/>
      <c r="BR326" s="176"/>
      <c r="BS326" s="176"/>
      <c r="BT326" s="176"/>
      <c r="BU326" s="176"/>
      <c r="BV326" s="176"/>
      <c r="BW326" s="176"/>
      <c r="BX326" s="176"/>
      <c r="BY326" s="176"/>
      <c r="BZ326" s="176"/>
      <c r="CA326" s="176"/>
      <c r="CB326" s="176"/>
      <c r="CC326" s="176"/>
      <c r="CD326" s="176"/>
      <c r="CE326" s="176"/>
      <c r="CF326" s="176"/>
      <c r="CG326" s="176"/>
      <c r="CH326" s="176"/>
      <c r="CI326" s="176"/>
      <c r="CJ326" s="176"/>
      <c r="CK326" s="176"/>
      <c r="CL326" s="176"/>
      <c r="CM326" s="176"/>
      <c r="CN326" s="176"/>
      <c r="CO326" s="176"/>
      <c r="CP326" s="176"/>
      <c r="CQ326" s="176"/>
      <c r="CR326" s="176"/>
      <c r="CS326" s="176"/>
      <c r="CT326" s="176"/>
      <c r="CU326" s="176"/>
      <c r="CV326" s="176"/>
      <c r="CW326" s="176"/>
      <c r="CX326" s="176"/>
      <c r="CY326" s="176"/>
      <c r="CZ326" s="176"/>
      <c r="DA326" s="176"/>
      <c r="DB326" s="176"/>
      <c r="DC326" s="176"/>
      <c r="DD326" s="176"/>
      <c r="DE326" s="176"/>
      <c r="DF326" s="176"/>
      <c r="DG326" s="176"/>
      <c r="DH326" s="176"/>
      <c r="DI326" s="176"/>
      <c r="DJ326" s="176"/>
      <c r="DK326" s="176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503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3"/>
    </row>
    <row r="327" spans="1:162" s="56" customFormat="1" hidden="1">
      <c r="A327" s="54"/>
      <c r="B327" s="55"/>
      <c r="C327" s="490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173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883"/>
      <c r="AH327" s="174"/>
      <c r="AI327" s="492"/>
      <c r="AJ327" s="905"/>
      <c r="AK327" s="919"/>
      <c r="AL327" s="174"/>
      <c r="AM327" s="174"/>
      <c r="AN327" s="174"/>
      <c r="AO327" s="928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4"/>
      <c r="BA327" s="174"/>
      <c r="BB327" s="174"/>
      <c r="BC327" s="174"/>
      <c r="BD327" s="174"/>
      <c r="BE327" s="174"/>
      <c r="BF327" s="174"/>
      <c r="BG327" s="174"/>
      <c r="BH327" s="174"/>
      <c r="BI327" s="174"/>
      <c r="BJ327" s="174"/>
      <c r="BK327" s="174"/>
      <c r="BL327" s="174"/>
      <c r="BM327" s="174"/>
      <c r="BN327" s="174"/>
      <c r="BO327" s="174"/>
      <c r="BP327" s="174"/>
      <c r="BQ327" s="174"/>
      <c r="BR327" s="174"/>
      <c r="BS327" s="174"/>
      <c r="BT327" s="174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  <c r="DE327" s="174"/>
      <c r="DF327" s="174"/>
      <c r="DG327" s="174"/>
      <c r="DH327" s="174"/>
      <c r="DI327" s="174"/>
      <c r="DJ327" s="174"/>
      <c r="DK327" s="174"/>
      <c r="DL327" s="62"/>
      <c r="DM327" s="62"/>
      <c r="DN327" s="62"/>
      <c r="DO327" s="62"/>
      <c r="DP327" s="62"/>
      <c r="DQ327" s="62"/>
      <c r="DR327" s="62"/>
      <c r="DS327" s="62"/>
      <c r="DT327" s="62"/>
      <c r="DU327" s="62"/>
      <c r="DV327" s="62"/>
      <c r="DW327" s="62"/>
      <c r="DX327" s="62"/>
      <c r="DY327" s="62"/>
      <c r="DZ327" s="62"/>
      <c r="EA327" s="62"/>
      <c r="EB327" s="62"/>
      <c r="EC327" s="62"/>
      <c r="ED327" s="62"/>
      <c r="EE327" s="454"/>
      <c r="EF327" s="62"/>
      <c r="EG327" s="62"/>
      <c r="EH327" s="62"/>
      <c r="EI327" s="62"/>
      <c r="EJ327" s="62"/>
      <c r="EK327" s="62"/>
      <c r="EL327" s="62"/>
      <c r="EM327" s="62"/>
      <c r="EN327" s="62"/>
      <c r="EO327" s="62"/>
      <c r="EP327" s="62"/>
      <c r="EQ327" s="62"/>
      <c r="ER327" s="62"/>
      <c r="ES327" s="62"/>
      <c r="ET327" s="62"/>
      <c r="EU327" s="62"/>
      <c r="EV327" s="62"/>
      <c r="EW327" s="62"/>
      <c r="EX327" s="62"/>
      <c r="EY327" s="62"/>
      <c r="EZ327" s="62"/>
      <c r="FA327" s="62"/>
      <c r="FB327" s="62"/>
      <c r="FC327" s="62"/>
      <c r="FD327" s="62"/>
      <c r="FE327" s="62"/>
      <c r="FF327" s="62"/>
    </row>
    <row r="328" spans="1:162" s="56" customFormat="1" hidden="1">
      <c r="A328" s="54"/>
      <c r="B328" s="55"/>
      <c r="C328" s="491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173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883"/>
      <c r="AH328" s="174"/>
      <c r="AI328" s="492"/>
      <c r="AJ328" s="905"/>
      <c r="AK328" s="919"/>
      <c r="AL328" s="174"/>
      <c r="AM328" s="174"/>
      <c r="AN328" s="174"/>
      <c r="AO328" s="928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4"/>
      <c r="BA328" s="174"/>
      <c r="BB328" s="174"/>
      <c r="BC328" s="174"/>
      <c r="BD328" s="174"/>
      <c r="BE328" s="174"/>
      <c r="BF328" s="174"/>
      <c r="BG328" s="174"/>
      <c r="BH328" s="174"/>
      <c r="BI328" s="174"/>
      <c r="BJ328" s="174"/>
      <c r="BK328" s="174"/>
      <c r="BL328" s="174"/>
      <c r="BM328" s="174"/>
      <c r="BN328" s="174"/>
      <c r="BO328" s="174"/>
      <c r="BP328" s="174"/>
      <c r="BQ328" s="174"/>
      <c r="BR328" s="174"/>
      <c r="BS328" s="174"/>
      <c r="BT328" s="174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  <c r="DE328" s="174"/>
      <c r="DF328" s="174"/>
      <c r="DG328" s="174"/>
      <c r="DH328" s="174"/>
      <c r="DI328" s="174"/>
      <c r="DJ328" s="174"/>
      <c r="DK328" s="174"/>
      <c r="DL328" s="62"/>
      <c r="DM328" s="62"/>
      <c r="DN328" s="62"/>
      <c r="DO328" s="62"/>
      <c r="DP328" s="62"/>
      <c r="DQ328" s="62"/>
      <c r="DR328" s="62"/>
      <c r="DS328" s="62"/>
      <c r="DT328" s="62"/>
      <c r="DU328" s="62"/>
      <c r="DV328" s="62"/>
      <c r="DW328" s="62"/>
      <c r="DX328" s="62"/>
      <c r="DY328" s="62"/>
      <c r="DZ328" s="62"/>
      <c r="EA328" s="62"/>
      <c r="EB328" s="62"/>
      <c r="EC328" s="62"/>
      <c r="ED328" s="62"/>
      <c r="EE328" s="454"/>
      <c r="EF328" s="62"/>
      <c r="EG328" s="62"/>
      <c r="EH328" s="62"/>
      <c r="EI328" s="62"/>
      <c r="EJ328" s="62"/>
      <c r="EK328" s="62"/>
      <c r="EL328" s="62"/>
      <c r="EM328" s="62"/>
      <c r="EN328" s="62"/>
      <c r="EO328" s="62"/>
      <c r="EP328" s="62"/>
      <c r="EQ328" s="62"/>
      <c r="ER328" s="62"/>
      <c r="ES328" s="62"/>
      <c r="ET328" s="62"/>
      <c r="EU328" s="62"/>
      <c r="EV328" s="62"/>
      <c r="EW328" s="62"/>
      <c r="EX328" s="62"/>
      <c r="EY328" s="62"/>
      <c r="EZ328" s="62"/>
      <c r="FA328" s="62"/>
      <c r="FB328" s="62"/>
      <c r="FC328" s="62"/>
      <c r="FD328" s="62"/>
      <c r="FE328" s="62"/>
      <c r="FF328" s="62"/>
    </row>
    <row r="329" spans="1:162" s="56" customFormat="1" hidden="1">
      <c r="A329" s="54"/>
      <c r="B329" s="55"/>
      <c r="C329" s="491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173"/>
      <c r="S329" s="174"/>
      <c r="T329" s="179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883"/>
      <c r="AH329" s="174"/>
      <c r="AI329" s="492"/>
      <c r="AJ329" s="905"/>
      <c r="AK329" s="919"/>
      <c r="AL329" s="174"/>
      <c r="AM329" s="174"/>
      <c r="AN329" s="174"/>
      <c r="AO329" s="928"/>
      <c r="AP329" s="174"/>
      <c r="AQ329" s="174"/>
      <c r="AR329" s="174"/>
      <c r="AS329" s="174"/>
      <c r="AT329" s="174"/>
      <c r="AU329" s="174"/>
      <c r="AV329" s="174"/>
      <c r="AW329" s="174"/>
      <c r="AX329" s="174"/>
      <c r="AY329" s="174"/>
      <c r="AZ329" s="174"/>
      <c r="BA329" s="174"/>
      <c r="BB329" s="174"/>
      <c r="BC329" s="174"/>
      <c r="BD329" s="174"/>
      <c r="BE329" s="174"/>
      <c r="BF329" s="174"/>
      <c r="BG329" s="174"/>
      <c r="BH329" s="174"/>
      <c r="BI329" s="174"/>
      <c r="BJ329" s="174"/>
      <c r="BK329" s="174"/>
      <c r="BL329" s="174"/>
      <c r="BM329" s="174"/>
      <c r="BN329" s="174"/>
      <c r="BO329" s="174"/>
      <c r="BP329" s="174"/>
      <c r="BQ329" s="174"/>
      <c r="BR329" s="174"/>
      <c r="BS329" s="174"/>
      <c r="BT329" s="174"/>
      <c r="BU329" s="174"/>
      <c r="BV329" s="174"/>
      <c r="BW329" s="174"/>
      <c r="BX329" s="174"/>
      <c r="BY329" s="174"/>
      <c r="BZ329" s="174"/>
      <c r="CA329" s="174"/>
      <c r="CB329" s="174"/>
      <c r="CC329" s="174"/>
      <c r="CD329" s="174"/>
      <c r="CE329" s="174"/>
      <c r="CF329" s="174"/>
      <c r="CG329" s="174"/>
      <c r="CH329" s="174"/>
      <c r="CI329" s="174"/>
      <c r="CJ329" s="174"/>
      <c r="CK329" s="174"/>
      <c r="CL329" s="174"/>
      <c r="CM329" s="174"/>
      <c r="CN329" s="174"/>
      <c r="CO329" s="174"/>
      <c r="CP329" s="174"/>
      <c r="CQ329" s="174"/>
      <c r="CR329" s="174"/>
      <c r="CS329" s="174"/>
      <c r="CT329" s="174"/>
      <c r="CU329" s="174"/>
      <c r="CV329" s="174"/>
      <c r="CW329" s="174"/>
      <c r="CX329" s="174"/>
      <c r="CY329" s="174"/>
      <c r="CZ329" s="174"/>
      <c r="DA329" s="174"/>
      <c r="DB329" s="174"/>
      <c r="DC329" s="174"/>
      <c r="DD329" s="174"/>
      <c r="DE329" s="174"/>
      <c r="DF329" s="174"/>
      <c r="DG329" s="174"/>
      <c r="DH329" s="174"/>
      <c r="DI329" s="174"/>
      <c r="DJ329" s="174"/>
      <c r="DK329" s="174"/>
      <c r="DL329" s="62"/>
      <c r="DM329" s="62"/>
      <c r="DN329" s="62"/>
      <c r="DO329" s="62"/>
      <c r="DP329" s="62"/>
      <c r="DQ329" s="62"/>
      <c r="DR329" s="62"/>
      <c r="DS329" s="62"/>
      <c r="DT329" s="62"/>
      <c r="DU329" s="62"/>
      <c r="DV329" s="62"/>
      <c r="DW329" s="62"/>
      <c r="DX329" s="62"/>
      <c r="DY329" s="62"/>
      <c r="DZ329" s="62"/>
      <c r="EA329" s="62"/>
      <c r="EB329" s="62"/>
      <c r="EC329" s="62"/>
      <c r="ED329" s="62"/>
      <c r="EE329" s="454"/>
      <c r="EF329" s="62"/>
      <c r="EG329" s="62"/>
      <c r="EH329" s="62"/>
      <c r="EI329" s="62"/>
      <c r="EJ329" s="62"/>
      <c r="EK329" s="62"/>
      <c r="EL329" s="62"/>
      <c r="EM329" s="62"/>
      <c r="EN329" s="62"/>
      <c r="EO329" s="62"/>
      <c r="EP329" s="62"/>
      <c r="EQ329" s="62"/>
      <c r="ER329" s="62"/>
      <c r="ES329" s="62"/>
      <c r="ET329" s="62"/>
      <c r="EU329" s="62"/>
      <c r="EV329" s="62"/>
      <c r="EW329" s="62"/>
      <c r="EX329" s="62"/>
      <c r="EY329" s="62"/>
      <c r="EZ329" s="62"/>
      <c r="FA329" s="62"/>
      <c r="FB329" s="62"/>
      <c r="FC329" s="62"/>
      <c r="FD329" s="62"/>
      <c r="FE329" s="62"/>
      <c r="FF329" s="62"/>
    </row>
    <row r="330" spans="1:162" s="56" customFormat="1" hidden="1">
      <c r="A330" s="54"/>
      <c r="B330" s="55"/>
      <c r="C330" s="491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173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883"/>
      <c r="AH330" s="174"/>
      <c r="AI330" s="492"/>
      <c r="AJ330" s="905"/>
      <c r="AK330" s="919"/>
      <c r="AL330" s="174"/>
      <c r="AM330" s="174"/>
      <c r="AN330" s="174"/>
      <c r="AO330" s="928"/>
      <c r="AP330" s="174"/>
      <c r="AQ330" s="174"/>
      <c r="AR330" s="174"/>
      <c r="AS330" s="174"/>
      <c r="AT330" s="174"/>
      <c r="AU330" s="174"/>
      <c r="AV330" s="174"/>
      <c r="AW330" s="174"/>
      <c r="AX330" s="174"/>
      <c r="AY330" s="174"/>
      <c r="AZ330" s="174"/>
      <c r="BA330" s="174"/>
      <c r="BB330" s="174"/>
      <c r="BC330" s="174"/>
      <c r="BD330" s="174"/>
      <c r="BE330" s="174"/>
      <c r="BF330" s="174"/>
      <c r="BG330" s="174"/>
      <c r="BH330" s="174"/>
      <c r="BI330" s="174"/>
      <c r="BJ330" s="174"/>
      <c r="BK330" s="174"/>
      <c r="BL330" s="174"/>
      <c r="BM330" s="174"/>
      <c r="BN330" s="174"/>
      <c r="BO330" s="174"/>
      <c r="BP330" s="174"/>
      <c r="BQ330" s="174"/>
      <c r="BR330" s="174"/>
      <c r="BS330" s="174"/>
      <c r="BT330" s="174"/>
      <c r="BU330" s="174"/>
      <c r="BV330" s="174"/>
      <c r="BW330" s="174"/>
      <c r="BX330" s="174"/>
      <c r="BY330" s="174"/>
      <c r="BZ330" s="174"/>
      <c r="CA330" s="174"/>
      <c r="CB330" s="174"/>
      <c r="CC330" s="174"/>
      <c r="CD330" s="174"/>
      <c r="CE330" s="174"/>
      <c r="CF330" s="174"/>
      <c r="CG330" s="174"/>
      <c r="CH330" s="174"/>
      <c r="CI330" s="174"/>
      <c r="CJ330" s="174"/>
      <c r="CK330" s="174"/>
      <c r="CL330" s="174"/>
      <c r="CM330" s="174"/>
      <c r="CN330" s="174"/>
      <c r="CO330" s="174"/>
      <c r="CP330" s="174"/>
      <c r="CQ330" s="174"/>
      <c r="CR330" s="174"/>
      <c r="CS330" s="174"/>
      <c r="CT330" s="174"/>
      <c r="CU330" s="174"/>
      <c r="CV330" s="174"/>
      <c r="CW330" s="174"/>
      <c r="CX330" s="174"/>
      <c r="CY330" s="174"/>
      <c r="CZ330" s="174"/>
      <c r="DA330" s="174"/>
      <c r="DB330" s="174"/>
      <c r="DC330" s="174"/>
      <c r="DD330" s="174"/>
      <c r="DE330" s="174"/>
      <c r="DF330" s="174"/>
      <c r="DG330" s="174"/>
      <c r="DH330" s="174"/>
      <c r="DI330" s="174"/>
      <c r="DJ330" s="174"/>
      <c r="DK330" s="174"/>
      <c r="DL330" s="62"/>
      <c r="DM330" s="62"/>
      <c r="DN330" s="62"/>
      <c r="DO330" s="62"/>
      <c r="DP330" s="62"/>
      <c r="DQ330" s="62"/>
      <c r="DR330" s="62"/>
      <c r="DS330" s="62"/>
      <c r="DT330" s="62"/>
      <c r="DU330" s="62"/>
      <c r="DV330" s="62"/>
      <c r="DW330" s="62"/>
      <c r="DX330" s="62"/>
      <c r="DY330" s="62"/>
      <c r="DZ330" s="62"/>
      <c r="EA330" s="62"/>
      <c r="EB330" s="62"/>
      <c r="EC330" s="62"/>
      <c r="ED330" s="62"/>
      <c r="EE330" s="454"/>
      <c r="EF330" s="62"/>
      <c r="EG330" s="62"/>
      <c r="EH330" s="62"/>
      <c r="EI330" s="62"/>
      <c r="EJ330" s="62"/>
      <c r="EK330" s="62"/>
      <c r="EL330" s="62"/>
      <c r="EM330" s="62"/>
      <c r="EN330" s="62"/>
      <c r="EO330" s="62"/>
      <c r="EP330" s="62"/>
      <c r="EQ330" s="62"/>
      <c r="ER330" s="62"/>
      <c r="ES330" s="62"/>
      <c r="ET330" s="62"/>
      <c r="EU330" s="62"/>
      <c r="EV330" s="62"/>
      <c r="EW330" s="62"/>
      <c r="EX330" s="62"/>
      <c r="EY330" s="62"/>
      <c r="EZ330" s="62"/>
      <c r="FA330" s="62"/>
      <c r="FB330" s="62"/>
      <c r="FC330" s="62"/>
      <c r="FD330" s="62"/>
      <c r="FE330" s="62"/>
      <c r="FF330" s="62"/>
    </row>
    <row r="331" spans="1:162" s="56" customFormat="1" hidden="1">
      <c r="A331" s="54"/>
      <c r="B331" s="55"/>
      <c r="C331" s="491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173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883"/>
      <c r="AH331" s="174"/>
      <c r="AI331" s="492"/>
      <c r="AJ331" s="905"/>
      <c r="AK331" s="919"/>
      <c r="AL331" s="174"/>
      <c r="AM331" s="174"/>
      <c r="AN331" s="174"/>
      <c r="AO331" s="928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4"/>
      <c r="BA331" s="174"/>
      <c r="BB331" s="174"/>
      <c r="BC331" s="174"/>
      <c r="BD331" s="174"/>
      <c r="BE331" s="174"/>
      <c r="BF331" s="174"/>
      <c r="BG331" s="174"/>
      <c r="BH331" s="174"/>
      <c r="BI331" s="174"/>
      <c r="BJ331" s="174"/>
      <c r="BK331" s="174"/>
      <c r="BL331" s="174"/>
      <c r="BM331" s="174"/>
      <c r="BN331" s="174"/>
      <c r="BO331" s="174"/>
      <c r="BP331" s="174"/>
      <c r="BQ331" s="174"/>
      <c r="BR331" s="174"/>
      <c r="BS331" s="174"/>
      <c r="BT331" s="174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  <c r="DE331" s="174"/>
      <c r="DF331" s="174"/>
      <c r="DG331" s="174"/>
      <c r="DH331" s="174"/>
      <c r="DI331" s="174"/>
      <c r="DJ331" s="174"/>
      <c r="DK331" s="174"/>
      <c r="DL331" s="62"/>
      <c r="DM331" s="62"/>
      <c r="DN331" s="62"/>
      <c r="DO331" s="62"/>
      <c r="DP331" s="62"/>
      <c r="DQ331" s="62"/>
      <c r="DR331" s="62"/>
      <c r="DS331" s="62"/>
      <c r="DT331" s="62"/>
      <c r="DU331" s="62"/>
      <c r="DV331" s="62"/>
      <c r="DW331" s="62"/>
      <c r="DX331" s="62"/>
      <c r="DY331" s="62"/>
      <c r="DZ331" s="62"/>
      <c r="EA331" s="62"/>
      <c r="EB331" s="62"/>
      <c r="EC331" s="62"/>
      <c r="ED331" s="62"/>
      <c r="EE331" s="454"/>
      <c r="EF331" s="62"/>
      <c r="EG331" s="62"/>
      <c r="EH331" s="62"/>
      <c r="EI331" s="62"/>
      <c r="EJ331" s="62"/>
      <c r="EK331" s="62"/>
      <c r="EL331" s="62"/>
      <c r="EM331" s="62"/>
      <c r="EN331" s="62"/>
      <c r="EO331" s="62"/>
      <c r="EP331" s="62"/>
      <c r="EQ331" s="62"/>
      <c r="ER331" s="62"/>
      <c r="ES331" s="62"/>
      <c r="ET331" s="62"/>
      <c r="EU331" s="62"/>
      <c r="EV331" s="62"/>
      <c r="EW331" s="62"/>
      <c r="EX331" s="62"/>
      <c r="EY331" s="62"/>
      <c r="EZ331" s="62"/>
      <c r="FA331" s="62"/>
      <c r="FB331" s="62"/>
      <c r="FC331" s="62"/>
      <c r="FD331" s="62"/>
      <c r="FE331" s="62"/>
      <c r="FF331" s="62"/>
    </row>
    <row r="332" spans="1:162" s="56" customFormat="1" hidden="1">
      <c r="A332" s="54"/>
      <c r="B332" s="55"/>
      <c r="C332" s="491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173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883"/>
      <c r="AH332" s="174"/>
      <c r="AI332" s="492"/>
      <c r="AJ332" s="905"/>
      <c r="AK332" s="919"/>
      <c r="AL332" s="174"/>
      <c r="AM332" s="174"/>
      <c r="AN332" s="174"/>
      <c r="AO332" s="928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4"/>
      <c r="BA332" s="174"/>
      <c r="BB332" s="174"/>
      <c r="BC332" s="174"/>
      <c r="BD332" s="174"/>
      <c r="BE332" s="174"/>
      <c r="BF332" s="174"/>
      <c r="BG332" s="174"/>
      <c r="BH332" s="174"/>
      <c r="BI332" s="174"/>
      <c r="BJ332" s="174"/>
      <c r="BK332" s="174"/>
      <c r="BL332" s="174"/>
      <c r="BM332" s="174"/>
      <c r="BN332" s="174"/>
      <c r="BO332" s="174"/>
      <c r="BP332" s="174"/>
      <c r="BQ332" s="174"/>
      <c r="BR332" s="174"/>
      <c r="BS332" s="174"/>
      <c r="BT332" s="174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  <c r="DE332" s="174"/>
      <c r="DF332" s="174"/>
      <c r="DG332" s="174"/>
      <c r="DH332" s="174"/>
      <c r="DI332" s="174"/>
      <c r="DJ332" s="174"/>
      <c r="DK332" s="174"/>
      <c r="DL332" s="62"/>
      <c r="DM332" s="62"/>
      <c r="DN332" s="62"/>
      <c r="DO332" s="62"/>
      <c r="DP332" s="62"/>
      <c r="DQ332" s="62"/>
      <c r="DR332" s="62"/>
      <c r="DS332" s="62"/>
      <c r="DT332" s="62"/>
      <c r="DU332" s="62"/>
      <c r="DV332" s="62"/>
      <c r="DW332" s="62"/>
      <c r="DX332" s="62"/>
      <c r="DY332" s="62"/>
      <c r="DZ332" s="62"/>
      <c r="EA332" s="62"/>
      <c r="EB332" s="62"/>
      <c r="EC332" s="62"/>
      <c r="ED332" s="62"/>
      <c r="EE332" s="454"/>
      <c r="EF332" s="62"/>
      <c r="EG332" s="62"/>
      <c r="EH332" s="62"/>
      <c r="EI332" s="62"/>
      <c r="EJ332" s="62"/>
      <c r="EK332" s="62"/>
      <c r="EL332" s="62"/>
      <c r="EM332" s="62"/>
      <c r="EN332" s="62"/>
      <c r="EO332" s="62"/>
      <c r="EP332" s="62"/>
      <c r="EQ332" s="62"/>
      <c r="ER332" s="62"/>
      <c r="ES332" s="62"/>
      <c r="ET332" s="62"/>
      <c r="EU332" s="62"/>
      <c r="EV332" s="62"/>
      <c r="EW332" s="62"/>
      <c r="EX332" s="62"/>
      <c r="EY332" s="62"/>
      <c r="EZ332" s="62"/>
      <c r="FA332" s="62"/>
      <c r="FB332" s="62"/>
      <c r="FC332" s="62"/>
      <c r="FD332" s="62"/>
      <c r="FE332" s="62"/>
      <c r="FF332" s="62"/>
    </row>
    <row r="333" spans="1:162" s="56" customFormat="1" hidden="1">
      <c r="A333" s="54"/>
      <c r="B333" s="55"/>
      <c r="C333" s="491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173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883"/>
      <c r="AH333" s="174"/>
      <c r="AI333" s="492"/>
      <c r="AJ333" s="905"/>
      <c r="AK333" s="919"/>
      <c r="AL333" s="174"/>
      <c r="AM333" s="174"/>
      <c r="AN333" s="174"/>
      <c r="AO333" s="928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4"/>
      <c r="BA333" s="174"/>
      <c r="BB333" s="174"/>
      <c r="BC333" s="174"/>
      <c r="BD333" s="174"/>
      <c r="BE333" s="174"/>
      <c r="BF333" s="174"/>
      <c r="BG333" s="174"/>
      <c r="BH333" s="174"/>
      <c r="BI333" s="174"/>
      <c r="BJ333" s="174"/>
      <c r="BK333" s="174"/>
      <c r="BL333" s="174"/>
      <c r="BM333" s="174"/>
      <c r="BN333" s="174"/>
      <c r="BO333" s="174"/>
      <c r="BP333" s="174"/>
      <c r="BQ333" s="174"/>
      <c r="BR333" s="174"/>
      <c r="BS333" s="174"/>
      <c r="BT333" s="174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  <c r="DE333" s="174"/>
      <c r="DF333" s="174"/>
      <c r="DG333" s="174"/>
      <c r="DH333" s="174"/>
      <c r="DI333" s="174"/>
      <c r="DJ333" s="174"/>
      <c r="DK333" s="174"/>
      <c r="DL333" s="62"/>
      <c r="DM333" s="62"/>
      <c r="DN333" s="62"/>
      <c r="DO333" s="62"/>
      <c r="DP333" s="62"/>
      <c r="DQ333" s="62"/>
      <c r="DR333" s="62"/>
      <c r="DS333" s="62"/>
      <c r="DT333" s="62"/>
      <c r="DU333" s="62"/>
      <c r="DV333" s="62"/>
      <c r="DW333" s="62"/>
      <c r="DX333" s="62"/>
      <c r="DY333" s="62"/>
      <c r="DZ333" s="62"/>
      <c r="EA333" s="62"/>
      <c r="EB333" s="62"/>
      <c r="EC333" s="62"/>
      <c r="ED333" s="62"/>
      <c r="EE333" s="454"/>
      <c r="EF333" s="62"/>
      <c r="EG333" s="62"/>
      <c r="EH333" s="62"/>
      <c r="EI333" s="62"/>
      <c r="EJ333" s="62"/>
      <c r="EK333" s="62"/>
      <c r="EL333" s="62"/>
      <c r="EM333" s="62"/>
      <c r="EN333" s="62"/>
      <c r="EO333" s="62"/>
      <c r="EP333" s="62"/>
      <c r="EQ333" s="62"/>
      <c r="ER333" s="62"/>
      <c r="ES333" s="62"/>
      <c r="ET333" s="62"/>
      <c r="EU333" s="62"/>
      <c r="EV333" s="62"/>
      <c r="EW333" s="62"/>
      <c r="EX333" s="62"/>
      <c r="EY333" s="62"/>
      <c r="EZ333" s="62"/>
      <c r="FA333" s="62"/>
      <c r="FB333" s="62"/>
      <c r="FC333" s="62"/>
      <c r="FD333" s="62"/>
      <c r="FE333" s="62"/>
      <c r="FF333" s="62"/>
    </row>
    <row r="334" spans="1:162" s="56" customFormat="1" hidden="1">
      <c r="A334" s="54"/>
      <c r="B334" s="55"/>
      <c r="C334" s="491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173"/>
      <c r="S334" s="174"/>
      <c r="T334" s="179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883"/>
      <c r="AH334" s="174"/>
      <c r="AI334" s="492"/>
      <c r="AJ334" s="905"/>
      <c r="AK334" s="919"/>
      <c r="AL334" s="174"/>
      <c r="AM334" s="174"/>
      <c r="AN334" s="174"/>
      <c r="AO334" s="928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4"/>
      <c r="BA334" s="174"/>
      <c r="BB334" s="174"/>
      <c r="BC334" s="174"/>
      <c r="BD334" s="174"/>
      <c r="BE334" s="174"/>
      <c r="BF334" s="174"/>
      <c r="BG334" s="174"/>
      <c r="BH334" s="174"/>
      <c r="BI334" s="174"/>
      <c r="BJ334" s="174"/>
      <c r="BK334" s="174"/>
      <c r="BL334" s="174"/>
      <c r="BM334" s="174"/>
      <c r="BN334" s="174"/>
      <c r="BO334" s="174"/>
      <c r="BP334" s="174"/>
      <c r="BQ334" s="174"/>
      <c r="BR334" s="174"/>
      <c r="BS334" s="174"/>
      <c r="BT334" s="174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  <c r="DE334" s="174"/>
      <c r="DF334" s="174"/>
      <c r="DG334" s="174"/>
      <c r="DH334" s="174"/>
      <c r="DI334" s="174"/>
      <c r="DJ334" s="174"/>
      <c r="DK334" s="174"/>
      <c r="DL334" s="62"/>
      <c r="DM334" s="62"/>
      <c r="DN334" s="62"/>
      <c r="DO334" s="62"/>
      <c r="DP334" s="62"/>
      <c r="DQ334" s="62"/>
      <c r="DR334" s="62"/>
      <c r="DS334" s="62"/>
      <c r="DT334" s="62"/>
      <c r="DU334" s="62"/>
      <c r="DV334" s="62"/>
      <c r="DW334" s="62"/>
      <c r="DX334" s="62"/>
      <c r="DY334" s="62"/>
      <c r="DZ334" s="62"/>
      <c r="EA334" s="62"/>
      <c r="EB334" s="62"/>
      <c r="EC334" s="62"/>
      <c r="ED334" s="62"/>
      <c r="EE334" s="454"/>
      <c r="EF334" s="62"/>
      <c r="EG334" s="62"/>
      <c r="EH334" s="62"/>
      <c r="EI334" s="62"/>
      <c r="EJ334" s="62"/>
      <c r="EK334" s="62"/>
      <c r="EL334" s="62"/>
      <c r="EM334" s="62"/>
      <c r="EN334" s="62"/>
      <c r="EO334" s="62"/>
      <c r="EP334" s="62"/>
      <c r="EQ334" s="62"/>
      <c r="ER334" s="62"/>
      <c r="ES334" s="62"/>
      <c r="ET334" s="62"/>
      <c r="EU334" s="62"/>
      <c r="EV334" s="62"/>
      <c r="EW334" s="62"/>
      <c r="EX334" s="62"/>
      <c r="EY334" s="62"/>
      <c r="EZ334" s="62"/>
      <c r="FA334" s="62"/>
      <c r="FB334" s="62"/>
      <c r="FC334" s="62"/>
      <c r="FD334" s="62"/>
      <c r="FE334" s="62"/>
      <c r="FF334" s="62"/>
    </row>
    <row r="335" spans="1:162" s="56" customFormat="1" hidden="1">
      <c r="A335" s="54"/>
      <c r="B335" s="55"/>
      <c r="C335" s="491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173"/>
      <c r="S335" s="174"/>
      <c r="T335" s="179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883"/>
      <c r="AH335" s="174"/>
      <c r="AI335" s="492"/>
      <c r="AJ335" s="905"/>
      <c r="AK335" s="919"/>
      <c r="AL335" s="174"/>
      <c r="AM335" s="174"/>
      <c r="AN335" s="174"/>
      <c r="AO335" s="928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4"/>
      <c r="BA335" s="174"/>
      <c r="BB335" s="174"/>
      <c r="BC335" s="174"/>
      <c r="BD335" s="174"/>
      <c r="BE335" s="174"/>
      <c r="BF335" s="174"/>
      <c r="BG335" s="174"/>
      <c r="BH335" s="174"/>
      <c r="BI335" s="174"/>
      <c r="BJ335" s="174"/>
      <c r="BK335" s="174"/>
      <c r="BL335" s="174"/>
      <c r="BM335" s="174"/>
      <c r="BN335" s="174"/>
      <c r="BO335" s="174"/>
      <c r="BP335" s="174"/>
      <c r="BQ335" s="174"/>
      <c r="BR335" s="174"/>
      <c r="BS335" s="174"/>
      <c r="BT335" s="174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  <c r="DE335" s="174"/>
      <c r="DF335" s="174"/>
      <c r="DG335" s="174"/>
      <c r="DH335" s="174"/>
      <c r="DI335" s="174"/>
      <c r="DJ335" s="174"/>
      <c r="DK335" s="174"/>
      <c r="DL335" s="62"/>
      <c r="DM335" s="62"/>
      <c r="DN335" s="62"/>
      <c r="DO335" s="62"/>
      <c r="DP335" s="62"/>
      <c r="DQ335" s="62"/>
      <c r="DR335" s="62"/>
      <c r="DS335" s="62"/>
      <c r="DT335" s="62"/>
      <c r="DU335" s="62"/>
      <c r="DV335" s="62"/>
      <c r="DW335" s="62"/>
      <c r="DX335" s="62"/>
      <c r="DY335" s="62"/>
      <c r="DZ335" s="62"/>
      <c r="EA335" s="62"/>
      <c r="EB335" s="62"/>
      <c r="EC335" s="62"/>
      <c r="ED335" s="62"/>
      <c r="EE335" s="454"/>
      <c r="EF335" s="62"/>
      <c r="EG335" s="62"/>
      <c r="EH335" s="62"/>
      <c r="EI335" s="62"/>
      <c r="EJ335" s="62"/>
      <c r="EK335" s="62"/>
      <c r="EL335" s="62"/>
      <c r="EM335" s="62"/>
      <c r="EN335" s="62"/>
      <c r="EO335" s="62"/>
      <c r="EP335" s="62"/>
      <c r="EQ335" s="62"/>
      <c r="ER335" s="62"/>
      <c r="ES335" s="62"/>
      <c r="ET335" s="62"/>
      <c r="EU335" s="62"/>
      <c r="EV335" s="62"/>
      <c r="EW335" s="62"/>
      <c r="EX335" s="62"/>
      <c r="EY335" s="62"/>
      <c r="EZ335" s="62"/>
      <c r="FA335" s="62"/>
      <c r="FB335" s="62"/>
      <c r="FC335" s="62"/>
      <c r="FD335" s="62"/>
      <c r="FE335" s="62"/>
      <c r="FF335" s="62"/>
    </row>
    <row r="336" spans="1:162" s="56" customFormat="1" hidden="1">
      <c r="A336" s="54"/>
      <c r="B336" s="55"/>
      <c r="C336" s="491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173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883"/>
      <c r="AH336" s="174"/>
      <c r="AI336" s="492"/>
      <c r="AJ336" s="905"/>
      <c r="AK336" s="919"/>
      <c r="AL336" s="174"/>
      <c r="AM336" s="174"/>
      <c r="AN336" s="174"/>
      <c r="AO336" s="928"/>
      <c r="AP336" s="174"/>
      <c r="AQ336" s="174"/>
      <c r="AR336" s="174"/>
      <c r="AS336" s="174"/>
      <c r="AT336" s="174"/>
      <c r="AU336" s="174"/>
      <c r="AV336" s="174"/>
      <c r="AW336" s="174"/>
      <c r="AX336" s="174"/>
      <c r="AY336" s="174"/>
      <c r="AZ336" s="174"/>
      <c r="BA336" s="174"/>
      <c r="BB336" s="174"/>
      <c r="BC336" s="174"/>
      <c r="BD336" s="174"/>
      <c r="BE336" s="174"/>
      <c r="BF336" s="174"/>
      <c r="BG336" s="174"/>
      <c r="BH336" s="174"/>
      <c r="BI336" s="174"/>
      <c r="BJ336" s="174"/>
      <c r="BK336" s="174"/>
      <c r="BL336" s="174"/>
      <c r="BM336" s="174"/>
      <c r="BN336" s="174"/>
      <c r="BO336" s="174"/>
      <c r="BP336" s="174"/>
      <c r="BQ336" s="174"/>
      <c r="BR336" s="174"/>
      <c r="BS336" s="174"/>
      <c r="BT336" s="174"/>
      <c r="BU336" s="174"/>
      <c r="BV336" s="174"/>
      <c r="BW336" s="174"/>
      <c r="BX336" s="174"/>
      <c r="BY336" s="174"/>
      <c r="BZ336" s="174"/>
      <c r="CA336" s="174"/>
      <c r="CB336" s="174"/>
      <c r="CC336" s="174"/>
      <c r="CD336" s="174"/>
      <c r="CE336" s="174"/>
      <c r="CF336" s="174"/>
      <c r="CG336" s="174"/>
      <c r="CH336" s="174"/>
      <c r="CI336" s="174"/>
      <c r="CJ336" s="174"/>
      <c r="CK336" s="174"/>
      <c r="CL336" s="174"/>
      <c r="CM336" s="174"/>
      <c r="CN336" s="174"/>
      <c r="CO336" s="174"/>
      <c r="CP336" s="174"/>
      <c r="CQ336" s="174"/>
      <c r="CR336" s="174"/>
      <c r="CS336" s="174"/>
      <c r="CT336" s="174"/>
      <c r="CU336" s="174"/>
      <c r="CV336" s="174"/>
      <c r="CW336" s="174"/>
      <c r="CX336" s="174"/>
      <c r="CY336" s="174"/>
      <c r="CZ336" s="174"/>
      <c r="DA336" s="174"/>
      <c r="DB336" s="174"/>
      <c r="DC336" s="174"/>
      <c r="DD336" s="174"/>
      <c r="DE336" s="174"/>
      <c r="DF336" s="174"/>
      <c r="DG336" s="174"/>
      <c r="DH336" s="174"/>
      <c r="DI336" s="174"/>
      <c r="DJ336" s="174"/>
      <c r="DK336" s="174"/>
      <c r="DL336" s="62"/>
      <c r="DM336" s="62"/>
      <c r="DN336" s="62"/>
      <c r="DO336" s="62"/>
      <c r="DP336" s="62"/>
      <c r="DQ336" s="62"/>
      <c r="DR336" s="62"/>
      <c r="DS336" s="62"/>
      <c r="DT336" s="62"/>
      <c r="DU336" s="62"/>
      <c r="DV336" s="62"/>
      <c r="DW336" s="62"/>
      <c r="DX336" s="62"/>
      <c r="DY336" s="62"/>
      <c r="DZ336" s="62"/>
      <c r="EA336" s="62"/>
      <c r="EB336" s="62"/>
      <c r="EC336" s="62"/>
      <c r="ED336" s="62"/>
      <c r="EE336" s="454"/>
      <c r="EF336" s="62"/>
      <c r="EG336" s="62"/>
      <c r="EH336" s="62"/>
      <c r="EI336" s="62"/>
      <c r="EJ336" s="62"/>
      <c r="EK336" s="62"/>
      <c r="EL336" s="62"/>
      <c r="EM336" s="62"/>
      <c r="EN336" s="62"/>
      <c r="EO336" s="62"/>
      <c r="EP336" s="62"/>
      <c r="EQ336" s="62"/>
      <c r="ER336" s="62"/>
      <c r="ES336" s="62"/>
      <c r="ET336" s="62"/>
      <c r="EU336" s="62"/>
      <c r="EV336" s="62"/>
      <c r="EW336" s="62"/>
      <c r="EX336" s="62"/>
      <c r="EY336" s="62"/>
      <c r="EZ336" s="62"/>
      <c r="FA336" s="62"/>
      <c r="FB336" s="62"/>
      <c r="FC336" s="62"/>
      <c r="FD336" s="62"/>
      <c r="FE336" s="62"/>
      <c r="FF336" s="62"/>
    </row>
    <row r="337" spans="1:162" s="56" customFormat="1" hidden="1">
      <c r="A337" s="54"/>
      <c r="B337" s="55"/>
      <c r="C337" s="491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173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883"/>
      <c r="AH337" s="174"/>
      <c r="AI337" s="492"/>
      <c r="AJ337" s="905"/>
      <c r="AK337" s="919"/>
      <c r="AL337" s="174"/>
      <c r="AM337" s="174"/>
      <c r="AN337" s="174"/>
      <c r="AO337" s="928"/>
      <c r="AP337" s="174"/>
      <c r="AQ337" s="174"/>
      <c r="AR337" s="174"/>
      <c r="AS337" s="174"/>
      <c r="AT337" s="174"/>
      <c r="AU337" s="174"/>
      <c r="AV337" s="174"/>
      <c r="AW337" s="174"/>
      <c r="AX337" s="174"/>
      <c r="AY337" s="174"/>
      <c r="AZ337" s="174"/>
      <c r="BA337" s="174"/>
      <c r="BB337" s="174"/>
      <c r="BC337" s="174"/>
      <c r="BD337" s="174"/>
      <c r="BE337" s="174"/>
      <c r="BF337" s="174"/>
      <c r="BG337" s="174"/>
      <c r="BH337" s="174"/>
      <c r="BI337" s="174"/>
      <c r="BJ337" s="174"/>
      <c r="BK337" s="174"/>
      <c r="BL337" s="174"/>
      <c r="BM337" s="174"/>
      <c r="BN337" s="174"/>
      <c r="BO337" s="174"/>
      <c r="BP337" s="174"/>
      <c r="BQ337" s="174"/>
      <c r="BR337" s="174"/>
      <c r="BS337" s="174"/>
      <c r="BT337" s="174"/>
      <c r="BU337" s="174"/>
      <c r="BV337" s="174"/>
      <c r="BW337" s="174"/>
      <c r="BX337" s="174"/>
      <c r="BY337" s="174"/>
      <c r="BZ337" s="174"/>
      <c r="CA337" s="174"/>
      <c r="CB337" s="174"/>
      <c r="CC337" s="174"/>
      <c r="CD337" s="174"/>
      <c r="CE337" s="174"/>
      <c r="CF337" s="174"/>
      <c r="CG337" s="174"/>
      <c r="CH337" s="174"/>
      <c r="CI337" s="174"/>
      <c r="CJ337" s="174"/>
      <c r="CK337" s="174"/>
      <c r="CL337" s="174"/>
      <c r="CM337" s="174"/>
      <c r="CN337" s="174"/>
      <c r="CO337" s="174"/>
      <c r="CP337" s="174"/>
      <c r="CQ337" s="174"/>
      <c r="CR337" s="174"/>
      <c r="CS337" s="174"/>
      <c r="CT337" s="174"/>
      <c r="CU337" s="174"/>
      <c r="CV337" s="174"/>
      <c r="CW337" s="174"/>
      <c r="CX337" s="174"/>
      <c r="CY337" s="174"/>
      <c r="CZ337" s="174"/>
      <c r="DA337" s="174"/>
      <c r="DB337" s="174"/>
      <c r="DC337" s="174"/>
      <c r="DD337" s="174"/>
      <c r="DE337" s="174"/>
      <c r="DF337" s="174"/>
      <c r="DG337" s="174"/>
      <c r="DH337" s="174"/>
      <c r="DI337" s="174"/>
      <c r="DJ337" s="174"/>
      <c r="DK337" s="174"/>
      <c r="DL337" s="62"/>
      <c r="DM337" s="62"/>
      <c r="DN337" s="62"/>
      <c r="DO337" s="62"/>
      <c r="DP337" s="62"/>
      <c r="DQ337" s="62"/>
      <c r="DR337" s="62"/>
      <c r="DS337" s="62"/>
      <c r="DT337" s="62"/>
      <c r="DU337" s="62"/>
      <c r="DV337" s="62"/>
      <c r="DW337" s="62"/>
      <c r="DX337" s="62"/>
      <c r="DY337" s="62"/>
      <c r="DZ337" s="62"/>
      <c r="EA337" s="62"/>
      <c r="EB337" s="62"/>
      <c r="EC337" s="62"/>
      <c r="ED337" s="62"/>
      <c r="EE337" s="454"/>
      <c r="EF337" s="62"/>
      <c r="EG337" s="62"/>
      <c r="EH337" s="62"/>
      <c r="EI337" s="62"/>
      <c r="EJ337" s="62"/>
      <c r="EK337" s="62"/>
      <c r="EL337" s="62"/>
      <c r="EM337" s="62"/>
      <c r="EN337" s="62"/>
      <c r="EO337" s="62"/>
      <c r="EP337" s="62"/>
      <c r="EQ337" s="62"/>
      <c r="ER337" s="62"/>
      <c r="ES337" s="62"/>
      <c r="ET337" s="62"/>
      <c r="EU337" s="62"/>
      <c r="EV337" s="62"/>
      <c r="EW337" s="62"/>
      <c r="EX337" s="62"/>
      <c r="EY337" s="62"/>
      <c r="EZ337" s="62"/>
      <c r="FA337" s="62"/>
      <c r="FB337" s="62"/>
      <c r="FC337" s="62"/>
      <c r="FD337" s="62"/>
      <c r="FE337" s="62"/>
      <c r="FF337" s="62"/>
    </row>
    <row r="338" spans="1:162" s="56" customFormat="1" hidden="1">
      <c r="A338" s="54"/>
      <c r="B338" s="55"/>
      <c r="C338" s="491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173"/>
      <c r="S338" s="174"/>
      <c r="T338" s="174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883"/>
      <c r="AH338" s="174"/>
      <c r="AI338" s="492"/>
      <c r="AJ338" s="905"/>
      <c r="AK338" s="919"/>
      <c r="AL338" s="174"/>
      <c r="AM338" s="174"/>
      <c r="AN338" s="174"/>
      <c r="AO338" s="928"/>
      <c r="AP338" s="174"/>
      <c r="AQ338" s="174"/>
      <c r="AR338" s="174"/>
      <c r="AS338" s="174"/>
      <c r="AT338" s="174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174"/>
      <c r="BJ338" s="174"/>
      <c r="BK338" s="174"/>
      <c r="BL338" s="174"/>
      <c r="BM338" s="174"/>
      <c r="BN338" s="174"/>
      <c r="BO338" s="174"/>
      <c r="BP338" s="174"/>
      <c r="BQ338" s="174"/>
      <c r="BR338" s="174"/>
      <c r="BS338" s="174"/>
      <c r="BT338" s="174"/>
      <c r="BU338" s="174"/>
      <c r="BV338" s="174"/>
      <c r="BW338" s="174"/>
      <c r="BX338" s="174"/>
      <c r="BY338" s="174"/>
      <c r="BZ338" s="174"/>
      <c r="CA338" s="174"/>
      <c r="CB338" s="174"/>
      <c r="CC338" s="174"/>
      <c r="CD338" s="174"/>
      <c r="CE338" s="174"/>
      <c r="CF338" s="174"/>
      <c r="CG338" s="174"/>
      <c r="CH338" s="174"/>
      <c r="CI338" s="174"/>
      <c r="CJ338" s="174"/>
      <c r="CK338" s="174"/>
      <c r="CL338" s="174"/>
      <c r="CM338" s="174"/>
      <c r="CN338" s="174"/>
      <c r="CO338" s="174"/>
      <c r="CP338" s="174"/>
      <c r="CQ338" s="174"/>
      <c r="CR338" s="174"/>
      <c r="CS338" s="174"/>
      <c r="CT338" s="174"/>
      <c r="CU338" s="174"/>
      <c r="CV338" s="174"/>
      <c r="CW338" s="174"/>
      <c r="CX338" s="174"/>
      <c r="CY338" s="174"/>
      <c r="CZ338" s="174"/>
      <c r="DA338" s="174"/>
      <c r="DB338" s="174"/>
      <c r="DC338" s="174"/>
      <c r="DD338" s="174"/>
      <c r="DE338" s="174"/>
      <c r="DF338" s="174"/>
      <c r="DG338" s="174"/>
      <c r="DH338" s="174"/>
      <c r="DI338" s="174"/>
      <c r="DJ338" s="174"/>
      <c r="DK338" s="174"/>
      <c r="DL338" s="62"/>
      <c r="DM338" s="62"/>
      <c r="DN338" s="62"/>
      <c r="DO338" s="62"/>
      <c r="DP338" s="62"/>
      <c r="DQ338" s="62"/>
      <c r="DR338" s="62"/>
      <c r="DS338" s="62"/>
      <c r="DT338" s="62"/>
      <c r="DU338" s="62"/>
      <c r="DV338" s="62"/>
      <c r="DW338" s="62"/>
      <c r="DX338" s="62"/>
      <c r="DY338" s="62"/>
      <c r="DZ338" s="62"/>
      <c r="EA338" s="62"/>
      <c r="EB338" s="62"/>
      <c r="EC338" s="62"/>
      <c r="ED338" s="62"/>
      <c r="EE338" s="454"/>
      <c r="EF338" s="62"/>
      <c r="EG338" s="62"/>
      <c r="EH338" s="62"/>
      <c r="EI338" s="62"/>
      <c r="EJ338" s="62"/>
      <c r="EK338" s="62"/>
      <c r="EL338" s="62"/>
      <c r="EM338" s="62"/>
      <c r="EN338" s="62"/>
      <c r="EO338" s="62"/>
      <c r="EP338" s="62"/>
      <c r="EQ338" s="62"/>
      <c r="ER338" s="62"/>
      <c r="ES338" s="62"/>
      <c r="ET338" s="62"/>
      <c r="EU338" s="62"/>
      <c r="EV338" s="62"/>
      <c r="EW338" s="62"/>
      <c r="EX338" s="62"/>
      <c r="EY338" s="62"/>
      <c r="EZ338" s="62"/>
      <c r="FA338" s="62"/>
      <c r="FB338" s="62"/>
      <c r="FC338" s="62"/>
      <c r="FD338" s="62"/>
      <c r="FE338" s="62"/>
      <c r="FF338" s="62"/>
    </row>
    <row r="339" spans="1:162" s="56" customFormat="1" hidden="1">
      <c r="A339" s="54"/>
      <c r="B339" s="55"/>
      <c r="C339" s="491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173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883"/>
      <c r="AH339" s="174"/>
      <c r="AI339" s="492"/>
      <c r="AJ339" s="905"/>
      <c r="AK339" s="919"/>
      <c r="AL339" s="174"/>
      <c r="AM339" s="174"/>
      <c r="AN339" s="174"/>
      <c r="AO339" s="928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/>
      <c r="BH339" s="174"/>
      <c r="BI339" s="174"/>
      <c r="BJ339" s="174"/>
      <c r="BK339" s="174"/>
      <c r="BL339" s="174"/>
      <c r="BM339" s="174"/>
      <c r="BN339" s="174"/>
      <c r="BO339" s="174"/>
      <c r="BP339" s="174"/>
      <c r="BQ339" s="174"/>
      <c r="BR339" s="174"/>
      <c r="BS339" s="174"/>
      <c r="BT339" s="174"/>
      <c r="BU339" s="174"/>
      <c r="BV339" s="174"/>
      <c r="BW339" s="174"/>
      <c r="BX339" s="174"/>
      <c r="BY339" s="174"/>
      <c r="BZ339" s="174"/>
      <c r="CA339" s="174"/>
      <c r="CB339" s="174"/>
      <c r="CC339" s="174"/>
      <c r="CD339" s="174"/>
      <c r="CE339" s="174"/>
      <c r="CF339" s="174"/>
      <c r="CG339" s="174"/>
      <c r="CH339" s="174"/>
      <c r="CI339" s="174"/>
      <c r="CJ339" s="174"/>
      <c r="CK339" s="174"/>
      <c r="CL339" s="174"/>
      <c r="CM339" s="174"/>
      <c r="CN339" s="174"/>
      <c r="CO339" s="174"/>
      <c r="CP339" s="174"/>
      <c r="CQ339" s="174"/>
      <c r="CR339" s="174"/>
      <c r="CS339" s="174"/>
      <c r="CT339" s="174"/>
      <c r="CU339" s="174"/>
      <c r="CV339" s="174"/>
      <c r="CW339" s="174"/>
      <c r="CX339" s="174"/>
      <c r="CY339" s="174"/>
      <c r="CZ339" s="174"/>
      <c r="DA339" s="174"/>
      <c r="DB339" s="174"/>
      <c r="DC339" s="174"/>
      <c r="DD339" s="174"/>
      <c r="DE339" s="174"/>
      <c r="DF339" s="174"/>
      <c r="DG339" s="174"/>
      <c r="DH339" s="174"/>
      <c r="DI339" s="174"/>
      <c r="DJ339" s="174"/>
      <c r="DK339" s="174"/>
      <c r="DL339" s="62"/>
      <c r="DM339" s="62"/>
      <c r="DN339" s="62"/>
      <c r="DO339" s="62"/>
      <c r="DP339" s="62"/>
      <c r="DQ339" s="62"/>
      <c r="DR339" s="62"/>
      <c r="DS339" s="62"/>
      <c r="DT339" s="62"/>
      <c r="DU339" s="62"/>
      <c r="DV339" s="62"/>
      <c r="DW339" s="62"/>
      <c r="DX339" s="62"/>
      <c r="DY339" s="62"/>
      <c r="DZ339" s="62"/>
      <c r="EA339" s="62"/>
      <c r="EB339" s="62"/>
      <c r="EC339" s="62"/>
      <c r="ED339" s="62"/>
      <c r="EE339" s="454"/>
      <c r="EF339" s="62"/>
      <c r="EG339" s="62"/>
      <c r="EH339" s="62"/>
      <c r="EI339" s="62"/>
      <c r="EJ339" s="62"/>
      <c r="EK339" s="62"/>
      <c r="EL339" s="62"/>
      <c r="EM339" s="62"/>
      <c r="EN339" s="62"/>
      <c r="EO339" s="62"/>
      <c r="EP339" s="62"/>
      <c r="EQ339" s="62"/>
      <c r="ER339" s="62"/>
      <c r="ES339" s="62"/>
      <c r="ET339" s="62"/>
      <c r="EU339" s="62"/>
      <c r="EV339" s="62"/>
      <c r="EW339" s="62"/>
      <c r="EX339" s="62"/>
      <c r="EY339" s="62"/>
      <c r="EZ339" s="62"/>
      <c r="FA339" s="62"/>
      <c r="FB339" s="62"/>
      <c r="FC339" s="62"/>
      <c r="FD339" s="62"/>
      <c r="FE339" s="62"/>
      <c r="FF339" s="62"/>
    </row>
    <row r="340" spans="1:162" s="56" customFormat="1" hidden="1">
      <c r="A340" s="54"/>
      <c r="B340" s="55"/>
      <c r="C340" s="491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173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883"/>
      <c r="AH340" s="174"/>
      <c r="AI340" s="492"/>
      <c r="AJ340" s="905"/>
      <c r="AK340" s="919"/>
      <c r="AL340" s="174"/>
      <c r="AM340" s="174"/>
      <c r="AN340" s="174"/>
      <c r="AO340" s="928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174"/>
      <c r="BJ340" s="174"/>
      <c r="BK340" s="174"/>
      <c r="BL340" s="174"/>
      <c r="BM340" s="174"/>
      <c r="BN340" s="174"/>
      <c r="BO340" s="174"/>
      <c r="BP340" s="174"/>
      <c r="BQ340" s="174"/>
      <c r="BR340" s="174"/>
      <c r="BS340" s="174"/>
      <c r="BT340" s="174"/>
      <c r="BU340" s="174"/>
      <c r="BV340" s="174"/>
      <c r="BW340" s="174"/>
      <c r="BX340" s="174"/>
      <c r="BY340" s="174"/>
      <c r="BZ340" s="174"/>
      <c r="CA340" s="174"/>
      <c r="CB340" s="174"/>
      <c r="CC340" s="174"/>
      <c r="CD340" s="174"/>
      <c r="CE340" s="174"/>
      <c r="CF340" s="174"/>
      <c r="CG340" s="174"/>
      <c r="CH340" s="174"/>
      <c r="CI340" s="174"/>
      <c r="CJ340" s="174"/>
      <c r="CK340" s="174"/>
      <c r="CL340" s="174"/>
      <c r="CM340" s="174"/>
      <c r="CN340" s="174"/>
      <c r="CO340" s="174"/>
      <c r="CP340" s="174"/>
      <c r="CQ340" s="174"/>
      <c r="CR340" s="174"/>
      <c r="CS340" s="174"/>
      <c r="CT340" s="174"/>
      <c r="CU340" s="174"/>
      <c r="CV340" s="174"/>
      <c r="CW340" s="174"/>
      <c r="CX340" s="174"/>
      <c r="CY340" s="174"/>
      <c r="CZ340" s="174"/>
      <c r="DA340" s="174"/>
      <c r="DB340" s="174"/>
      <c r="DC340" s="174"/>
      <c r="DD340" s="174"/>
      <c r="DE340" s="174"/>
      <c r="DF340" s="174"/>
      <c r="DG340" s="174"/>
      <c r="DH340" s="174"/>
      <c r="DI340" s="174"/>
      <c r="DJ340" s="174"/>
      <c r="DK340" s="174"/>
      <c r="DL340" s="62"/>
      <c r="DM340" s="62"/>
      <c r="DN340" s="62"/>
      <c r="DO340" s="62"/>
      <c r="DP340" s="62"/>
      <c r="DQ340" s="62"/>
      <c r="DR340" s="62"/>
      <c r="DS340" s="62"/>
      <c r="DT340" s="62"/>
      <c r="DU340" s="62"/>
      <c r="DV340" s="62"/>
      <c r="DW340" s="62"/>
      <c r="DX340" s="62"/>
      <c r="DY340" s="62"/>
      <c r="DZ340" s="62"/>
      <c r="EA340" s="62"/>
      <c r="EB340" s="62"/>
      <c r="EC340" s="62"/>
      <c r="ED340" s="62"/>
      <c r="EE340" s="454"/>
      <c r="EF340" s="62"/>
      <c r="EG340" s="62"/>
      <c r="EH340" s="62"/>
      <c r="EI340" s="62"/>
      <c r="EJ340" s="62"/>
      <c r="EK340" s="62"/>
      <c r="EL340" s="62"/>
      <c r="EM340" s="62"/>
      <c r="EN340" s="62"/>
      <c r="EO340" s="62"/>
      <c r="EP340" s="62"/>
      <c r="EQ340" s="62"/>
      <c r="ER340" s="62"/>
      <c r="ES340" s="62"/>
      <c r="ET340" s="62"/>
      <c r="EU340" s="62"/>
      <c r="EV340" s="62"/>
      <c r="EW340" s="62"/>
      <c r="EX340" s="62"/>
      <c r="EY340" s="62"/>
      <c r="EZ340" s="62"/>
      <c r="FA340" s="62"/>
      <c r="FB340" s="62"/>
      <c r="FC340" s="62"/>
      <c r="FD340" s="62"/>
      <c r="FE340" s="62"/>
      <c r="FF340" s="62"/>
    </row>
    <row r="341" spans="1:162" s="56" customFormat="1" hidden="1">
      <c r="A341" s="54"/>
      <c r="B341" s="55"/>
      <c r="C341" s="491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173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883"/>
      <c r="AH341" s="174"/>
      <c r="AI341" s="492"/>
      <c r="AJ341" s="905"/>
      <c r="AK341" s="919"/>
      <c r="AL341" s="174"/>
      <c r="AM341" s="174"/>
      <c r="AN341" s="174"/>
      <c r="AO341" s="928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4"/>
      <c r="BA341" s="174"/>
      <c r="BB341" s="174"/>
      <c r="BC341" s="174"/>
      <c r="BD341" s="174"/>
      <c r="BE341" s="174"/>
      <c r="BF341" s="174"/>
      <c r="BG341" s="174"/>
      <c r="BH341" s="174"/>
      <c r="BI341" s="174"/>
      <c r="BJ341" s="174"/>
      <c r="BK341" s="174"/>
      <c r="BL341" s="174"/>
      <c r="BM341" s="174"/>
      <c r="BN341" s="174"/>
      <c r="BO341" s="174"/>
      <c r="BP341" s="174"/>
      <c r="BQ341" s="174"/>
      <c r="BR341" s="174"/>
      <c r="BS341" s="174"/>
      <c r="BT341" s="174"/>
      <c r="BU341" s="174"/>
      <c r="BV341" s="174"/>
      <c r="BW341" s="174"/>
      <c r="BX341" s="174"/>
      <c r="BY341" s="174"/>
      <c r="BZ341" s="174"/>
      <c r="CA341" s="174"/>
      <c r="CB341" s="174"/>
      <c r="CC341" s="174"/>
      <c r="CD341" s="174"/>
      <c r="CE341" s="174"/>
      <c r="CF341" s="174"/>
      <c r="CG341" s="174"/>
      <c r="CH341" s="174"/>
      <c r="CI341" s="174"/>
      <c r="CJ341" s="174"/>
      <c r="CK341" s="174"/>
      <c r="CL341" s="174"/>
      <c r="CM341" s="174"/>
      <c r="CN341" s="174"/>
      <c r="CO341" s="174"/>
      <c r="CP341" s="174"/>
      <c r="CQ341" s="174"/>
      <c r="CR341" s="174"/>
      <c r="CS341" s="174"/>
      <c r="CT341" s="174"/>
      <c r="CU341" s="174"/>
      <c r="CV341" s="174"/>
      <c r="CW341" s="174"/>
      <c r="CX341" s="174"/>
      <c r="CY341" s="174"/>
      <c r="CZ341" s="174"/>
      <c r="DA341" s="174"/>
      <c r="DB341" s="174"/>
      <c r="DC341" s="174"/>
      <c r="DD341" s="174"/>
      <c r="DE341" s="174"/>
      <c r="DF341" s="174"/>
      <c r="DG341" s="174"/>
      <c r="DH341" s="174"/>
      <c r="DI341" s="174"/>
      <c r="DJ341" s="174"/>
      <c r="DK341" s="174"/>
      <c r="DL341" s="62"/>
      <c r="DM341" s="62"/>
      <c r="DN341" s="62"/>
      <c r="DO341" s="62"/>
      <c r="DP341" s="62"/>
      <c r="DQ341" s="62"/>
      <c r="DR341" s="62"/>
      <c r="DS341" s="62"/>
      <c r="DT341" s="62"/>
      <c r="DU341" s="62"/>
      <c r="DV341" s="62"/>
      <c r="DW341" s="62"/>
      <c r="DX341" s="62"/>
      <c r="DY341" s="62"/>
      <c r="DZ341" s="62"/>
      <c r="EA341" s="62"/>
      <c r="EB341" s="62"/>
      <c r="EC341" s="62"/>
      <c r="ED341" s="62"/>
      <c r="EE341" s="454"/>
      <c r="EF341" s="62"/>
      <c r="EG341" s="62"/>
      <c r="EH341" s="62"/>
      <c r="EI341" s="62"/>
      <c r="EJ341" s="62"/>
      <c r="EK341" s="62"/>
      <c r="EL341" s="62"/>
      <c r="EM341" s="62"/>
      <c r="EN341" s="62"/>
      <c r="EO341" s="62"/>
      <c r="EP341" s="62"/>
      <c r="EQ341" s="62"/>
      <c r="ER341" s="62"/>
      <c r="ES341" s="62"/>
      <c r="ET341" s="62"/>
      <c r="EU341" s="62"/>
      <c r="EV341" s="62"/>
      <c r="EW341" s="62"/>
      <c r="EX341" s="62"/>
      <c r="EY341" s="62"/>
      <c r="EZ341" s="62"/>
      <c r="FA341" s="62"/>
      <c r="FB341" s="62"/>
      <c r="FC341" s="62"/>
      <c r="FD341" s="62"/>
      <c r="FE341" s="62"/>
      <c r="FF341" s="62"/>
    </row>
    <row r="342" spans="1:162" s="56" customFormat="1" hidden="1">
      <c r="A342" s="54"/>
      <c r="B342" s="55"/>
      <c r="C342" s="491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173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883"/>
      <c r="AH342" s="174"/>
      <c r="AI342" s="492"/>
      <c r="AJ342" s="905"/>
      <c r="AK342" s="919"/>
      <c r="AL342" s="174"/>
      <c r="AM342" s="174"/>
      <c r="AN342" s="174"/>
      <c r="AO342" s="928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4"/>
      <c r="BA342" s="174"/>
      <c r="BB342" s="174"/>
      <c r="BC342" s="174"/>
      <c r="BD342" s="174"/>
      <c r="BE342" s="174"/>
      <c r="BF342" s="174"/>
      <c r="BG342" s="174"/>
      <c r="BH342" s="174"/>
      <c r="BI342" s="174"/>
      <c r="BJ342" s="174"/>
      <c r="BK342" s="174"/>
      <c r="BL342" s="174"/>
      <c r="BM342" s="174"/>
      <c r="BN342" s="174"/>
      <c r="BO342" s="174"/>
      <c r="BP342" s="174"/>
      <c r="BQ342" s="174"/>
      <c r="BR342" s="174"/>
      <c r="BS342" s="174"/>
      <c r="BT342" s="174"/>
      <c r="BU342" s="174"/>
      <c r="BV342" s="174"/>
      <c r="BW342" s="174"/>
      <c r="BX342" s="174"/>
      <c r="BY342" s="174"/>
      <c r="BZ342" s="174"/>
      <c r="CA342" s="174"/>
      <c r="CB342" s="174"/>
      <c r="CC342" s="174"/>
      <c r="CD342" s="174"/>
      <c r="CE342" s="174"/>
      <c r="CF342" s="174"/>
      <c r="CG342" s="174"/>
      <c r="CH342" s="174"/>
      <c r="CI342" s="174"/>
      <c r="CJ342" s="174"/>
      <c r="CK342" s="174"/>
      <c r="CL342" s="174"/>
      <c r="CM342" s="174"/>
      <c r="CN342" s="174"/>
      <c r="CO342" s="174"/>
      <c r="CP342" s="174"/>
      <c r="CQ342" s="174"/>
      <c r="CR342" s="174"/>
      <c r="CS342" s="174"/>
      <c r="CT342" s="174"/>
      <c r="CU342" s="174"/>
      <c r="CV342" s="174"/>
      <c r="CW342" s="174"/>
      <c r="CX342" s="174"/>
      <c r="CY342" s="174"/>
      <c r="CZ342" s="174"/>
      <c r="DA342" s="174"/>
      <c r="DB342" s="174"/>
      <c r="DC342" s="174"/>
      <c r="DD342" s="174"/>
      <c r="DE342" s="174"/>
      <c r="DF342" s="174"/>
      <c r="DG342" s="174"/>
      <c r="DH342" s="174"/>
      <c r="DI342" s="174"/>
      <c r="DJ342" s="174"/>
      <c r="DK342" s="174"/>
      <c r="DL342" s="62"/>
      <c r="DM342" s="62"/>
      <c r="DN342" s="62"/>
      <c r="DO342" s="62"/>
      <c r="DP342" s="62"/>
      <c r="DQ342" s="62"/>
      <c r="DR342" s="62"/>
      <c r="DS342" s="62"/>
      <c r="DT342" s="62"/>
      <c r="DU342" s="62"/>
      <c r="DV342" s="62"/>
      <c r="DW342" s="62"/>
      <c r="DX342" s="62"/>
      <c r="DY342" s="62"/>
      <c r="DZ342" s="62"/>
      <c r="EA342" s="62"/>
      <c r="EB342" s="62"/>
      <c r="EC342" s="62"/>
      <c r="ED342" s="62"/>
      <c r="EE342" s="454"/>
      <c r="EF342" s="62"/>
      <c r="EG342" s="62"/>
      <c r="EH342" s="62"/>
      <c r="EI342" s="62"/>
      <c r="EJ342" s="62"/>
      <c r="EK342" s="62"/>
      <c r="EL342" s="62"/>
      <c r="EM342" s="62"/>
      <c r="EN342" s="62"/>
      <c r="EO342" s="62"/>
      <c r="EP342" s="62"/>
      <c r="EQ342" s="62"/>
      <c r="ER342" s="62"/>
      <c r="ES342" s="62"/>
      <c r="ET342" s="62"/>
      <c r="EU342" s="62"/>
      <c r="EV342" s="62"/>
      <c r="EW342" s="62"/>
      <c r="EX342" s="62"/>
      <c r="EY342" s="62"/>
      <c r="EZ342" s="62"/>
      <c r="FA342" s="62"/>
      <c r="FB342" s="62"/>
      <c r="FC342" s="62"/>
      <c r="FD342" s="62"/>
      <c r="FE342" s="62"/>
      <c r="FF342" s="62"/>
    </row>
    <row r="343" spans="1:162" s="56" customFormat="1" hidden="1">
      <c r="A343" s="54"/>
      <c r="B343" s="55"/>
      <c r="C343" s="491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173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883"/>
      <c r="AH343" s="174"/>
      <c r="AI343" s="492"/>
      <c r="AJ343" s="905"/>
      <c r="AK343" s="919"/>
      <c r="AL343" s="174"/>
      <c r="AM343" s="174"/>
      <c r="AN343" s="174"/>
      <c r="AO343" s="928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4"/>
      <c r="BA343" s="174"/>
      <c r="BB343" s="174"/>
      <c r="BC343" s="174"/>
      <c r="BD343" s="174"/>
      <c r="BE343" s="174"/>
      <c r="BF343" s="174"/>
      <c r="BG343" s="174"/>
      <c r="BH343" s="174"/>
      <c r="BI343" s="174"/>
      <c r="BJ343" s="174"/>
      <c r="BK343" s="174"/>
      <c r="BL343" s="174"/>
      <c r="BM343" s="174"/>
      <c r="BN343" s="174"/>
      <c r="BO343" s="174"/>
      <c r="BP343" s="174"/>
      <c r="BQ343" s="174"/>
      <c r="BR343" s="174"/>
      <c r="BS343" s="174"/>
      <c r="BT343" s="174"/>
      <c r="BU343" s="174"/>
      <c r="BV343" s="174"/>
      <c r="BW343" s="174"/>
      <c r="BX343" s="174"/>
      <c r="BY343" s="174"/>
      <c r="BZ343" s="174"/>
      <c r="CA343" s="174"/>
      <c r="CB343" s="174"/>
      <c r="CC343" s="174"/>
      <c r="CD343" s="174"/>
      <c r="CE343" s="174"/>
      <c r="CF343" s="174"/>
      <c r="CG343" s="174"/>
      <c r="CH343" s="174"/>
      <c r="CI343" s="174"/>
      <c r="CJ343" s="174"/>
      <c r="CK343" s="174"/>
      <c r="CL343" s="174"/>
      <c r="CM343" s="174"/>
      <c r="CN343" s="174"/>
      <c r="CO343" s="174"/>
      <c r="CP343" s="174"/>
      <c r="CQ343" s="174"/>
      <c r="CR343" s="174"/>
      <c r="CS343" s="174"/>
      <c r="CT343" s="174"/>
      <c r="CU343" s="174"/>
      <c r="CV343" s="174"/>
      <c r="CW343" s="174"/>
      <c r="CX343" s="174"/>
      <c r="CY343" s="174"/>
      <c r="CZ343" s="174"/>
      <c r="DA343" s="174"/>
      <c r="DB343" s="174"/>
      <c r="DC343" s="174"/>
      <c r="DD343" s="174"/>
      <c r="DE343" s="174"/>
      <c r="DF343" s="174"/>
      <c r="DG343" s="174"/>
      <c r="DH343" s="174"/>
      <c r="DI343" s="174"/>
      <c r="DJ343" s="174"/>
      <c r="DK343" s="174"/>
      <c r="DL343" s="62"/>
      <c r="DM343" s="62"/>
      <c r="DN343" s="62"/>
      <c r="DO343" s="62"/>
      <c r="DP343" s="62"/>
      <c r="DQ343" s="62"/>
      <c r="DR343" s="62"/>
      <c r="DS343" s="62"/>
      <c r="DT343" s="62"/>
      <c r="DU343" s="62"/>
      <c r="DV343" s="62"/>
      <c r="DW343" s="62"/>
      <c r="DX343" s="62"/>
      <c r="DY343" s="62"/>
      <c r="DZ343" s="62"/>
      <c r="EA343" s="62"/>
      <c r="EB343" s="62"/>
      <c r="EC343" s="62"/>
      <c r="ED343" s="62"/>
      <c r="EE343" s="454"/>
      <c r="EF343" s="62"/>
      <c r="EG343" s="62"/>
      <c r="EH343" s="62"/>
      <c r="EI343" s="62"/>
      <c r="EJ343" s="62"/>
      <c r="EK343" s="62"/>
      <c r="EL343" s="62"/>
      <c r="EM343" s="62"/>
      <c r="EN343" s="62"/>
      <c r="EO343" s="62"/>
      <c r="EP343" s="62"/>
      <c r="EQ343" s="62"/>
      <c r="ER343" s="62"/>
      <c r="ES343" s="62"/>
      <c r="ET343" s="62"/>
      <c r="EU343" s="62"/>
      <c r="EV343" s="62"/>
      <c r="EW343" s="62"/>
      <c r="EX343" s="62"/>
      <c r="EY343" s="62"/>
      <c r="EZ343" s="62"/>
      <c r="FA343" s="62"/>
      <c r="FB343" s="62"/>
      <c r="FC343" s="62"/>
      <c r="FD343" s="62"/>
      <c r="FE343" s="62"/>
      <c r="FF343" s="62"/>
    </row>
    <row r="344" spans="1:162" s="56" customFormat="1" hidden="1">
      <c r="A344" s="54"/>
      <c r="B344" s="55"/>
      <c r="C344" s="491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173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883"/>
      <c r="AH344" s="174"/>
      <c r="AI344" s="492"/>
      <c r="AJ344" s="905"/>
      <c r="AK344" s="919"/>
      <c r="AL344" s="174"/>
      <c r="AM344" s="174"/>
      <c r="AN344" s="174"/>
      <c r="AO344" s="928"/>
      <c r="AP344" s="174"/>
      <c r="AQ344" s="174"/>
      <c r="AR344" s="174"/>
      <c r="AS344" s="174"/>
      <c r="AT344" s="174"/>
      <c r="AU344" s="174"/>
      <c r="AV344" s="174"/>
      <c r="AW344" s="174"/>
      <c r="AX344" s="174"/>
      <c r="AY344" s="174"/>
      <c r="AZ344" s="174"/>
      <c r="BA344" s="174"/>
      <c r="BB344" s="174"/>
      <c r="BC344" s="174"/>
      <c r="BD344" s="174"/>
      <c r="BE344" s="174"/>
      <c r="BF344" s="174"/>
      <c r="BG344" s="174"/>
      <c r="BH344" s="174"/>
      <c r="BI344" s="174"/>
      <c r="BJ344" s="174"/>
      <c r="BK344" s="174"/>
      <c r="BL344" s="174"/>
      <c r="BM344" s="174"/>
      <c r="BN344" s="174"/>
      <c r="BO344" s="174"/>
      <c r="BP344" s="174"/>
      <c r="BQ344" s="174"/>
      <c r="BR344" s="174"/>
      <c r="BS344" s="174"/>
      <c r="BT344" s="174"/>
      <c r="BU344" s="174"/>
      <c r="BV344" s="174"/>
      <c r="BW344" s="174"/>
      <c r="BX344" s="174"/>
      <c r="BY344" s="174"/>
      <c r="BZ344" s="174"/>
      <c r="CA344" s="174"/>
      <c r="CB344" s="174"/>
      <c r="CC344" s="174"/>
      <c r="CD344" s="174"/>
      <c r="CE344" s="174"/>
      <c r="CF344" s="174"/>
      <c r="CG344" s="174"/>
      <c r="CH344" s="174"/>
      <c r="CI344" s="174"/>
      <c r="CJ344" s="174"/>
      <c r="CK344" s="174"/>
      <c r="CL344" s="174"/>
      <c r="CM344" s="174"/>
      <c r="CN344" s="174"/>
      <c r="CO344" s="174"/>
      <c r="CP344" s="174"/>
      <c r="CQ344" s="174"/>
      <c r="CR344" s="174"/>
      <c r="CS344" s="174"/>
      <c r="CT344" s="174"/>
      <c r="CU344" s="174"/>
      <c r="CV344" s="174"/>
      <c r="CW344" s="174"/>
      <c r="CX344" s="174"/>
      <c r="CY344" s="174"/>
      <c r="CZ344" s="174"/>
      <c r="DA344" s="174"/>
      <c r="DB344" s="174"/>
      <c r="DC344" s="174"/>
      <c r="DD344" s="174"/>
      <c r="DE344" s="174"/>
      <c r="DF344" s="174"/>
      <c r="DG344" s="174"/>
      <c r="DH344" s="174"/>
      <c r="DI344" s="174"/>
      <c r="DJ344" s="174"/>
      <c r="DK344" s="174"/>
      <c r="DL344" s="62"/>
      <c r="DM344" s="62"/>
      <c r="DN344" s="62"/>
      <c r="DO344" s="62"/>
      <c r="DP344" s="62"/>
      <c r="DQ344" s="62"/>
      <c r="DR344" s="62"/>
      <c r="DS344" s="62"/>
      <c r="DT344" s="62"/>
      <c r="DU344" s="62"/>
      <c r="DV344" s="62"/>
      <c r="DW344" s="62"/>
      <c r="DX344" s="62"/>
      <c r="DY344" s="62"/>
      <c r="DZ344" s="62"/>
      <c r="EA344" s="62"/>
      <c r="EB344" s="62"/>
      <c r="EC344" s="62"/>
      <c r="ED344" s="62"/>
      <c r="EE344" s="454"/>
      <c r="EF344" s="62"/>
      <c r="EG344" s="62"/>
      <c r="EH344" s="62"/>
      <c r="EI344" s="62"/>
      <c r="EJ344" s="62"/>
      <c r="EK344" s="62"/>
      <c r="EL344" s="62"/>
      <c r="EM344" s="62"/>
      <c r="EN344" s="62"/>
      <c r="EO344" s="62"/>
      <c r="EP344" s="62"/>
      <c r="EQ344" s="62"/>
      <c r="ER344" s="62"/>
      <c r="ES344" s="62"/>
      <c r="ET344" s="62"/>
      <c r="EU344" s="62"/>
      <c r="EV344" s="62"/>
      <c r="EW344" s="62"/>
      <c r="EX344" s="62"/>
      <c r="EY344" s="62"/>
      <c r="EZ344" s="62"/>
      <c r="FA344" s="62"/>
      <c r="FB344" s="62"/>
      <c r="FC344" s="62"/>
      <c r="FD344" s="62"/>
      <c r="FE344" s="62"/>
      <c r="FF344" s="62"/>
    </row>
    <row r="345" spans="1:162" s="56" customFormat="1" hidden="1">
      <c r="A345" s="54"/>
      <c r="B345" s="55"/>
      <c r="C345" s="491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173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883"/>
      <c r="AH345" s="174"/>
      <c r="AI345" s="492"/>
      <c r="AJ345" s="905"/>
      <c r="AK345" s="919"/>
      <c r="AL345" s="174"/>
      <c r="AM345" s="174"/>
      <c r="AN345" s="174"/>
      <c r="AO345" s="928"/>
      <c r="AP345" s="174"/>
      <c r="AQ345" s="174"/>
      <c r="AR345" s="174"/>
      <c r="AS345" s="174"/>
      <c r="AT345" s="174"/>
      <c r="AU345" s="174"/>
      <c r="AV345" s="174"/>
      <c r="AW345" s="174"/>
      <c r="AX345" s="174"/>
      <c r="AY345" s="174"/>
      <c r="AZ345" s="174"/>
      <c r="BA345" s="174"/>
      <c r="BB345" s="174"/>
      <c r="BC345" s="174"/>
      <c r="BD345" s="174"/>
      <c r="BE345" s="174"/>
      <c r="BF345" s="174"/>
      <c r="BG345" s="174"/>
      <c r="BH345" s="174"/>
      <c r="BI345" s="174"/>
      <c r="BJ345" s="174"/>
      <c r="BK345" s="174"/>
      <c r="BL345" s="174"/>
      <c r="BM345" s="174"/>
      <c r="BN345" s="174"/>
      <c r="BO345" s="174"/>
      <c r="BP345" s="174"/>
      <c r="BQ345" s="174"/>
      <c r="BR345" s="174"/>
      <c r="BS345" s="174"/>
      <c r="BT345" s="174"/>
      <c r="BU345" s="174"/>
      <c r="BV345" s="174"/>
      <c r="BW345" s="174"/>
      <c r="BX345" s="174"/>
      <c r="BY345" s="174"/>
      <c r="BZ345" s="174"/>
      <c r="CA345" s="174"/>
      <c r="CB345" s="174"/>
      <c r="CC345" s="174"/>
      <c r="CD345" s="174"/>
      <c r="CE345" s="174"/>
      <c r="CF345" s="174"/>
      <c r="CG345" s="174"/>
      <c r="CH345" s="174"/>
      <c r="CI345" s="174"/>
      <c r="CJ345" s="174"/>
      <c r="CK345" s="174"/>
      <c r="CL345" s="174"/>
      <c r="CM345" s="174"/>
      <c r="CN345" s="174"/>
      <c r="CO345" s="174"/>
      <c r="CP345" s="174"/>
      <c r="CQ345" s="174"/>
      <c r="CR345" s="174"/>
      <c r="CS345" s="174"/>
      <c r="CT345" s="174"/>
      <c r="CU345" s="174"/>
      <c r="CV345" s="174"/>
      <c r="CW345" s="174"/>
      <c r="CX345" s="174"/>
      <c r="CY345" s="174"/>
      <c r="CZ345" s="174"/>
      <c r="DA345" s="174"/>
      <c r="DB345" s="174"/>
      <c r="DC345" s="174"/>
      <c r="DD345" s="174"/>
      <c r="DE345" s="174"/>
      <c r="DF345" s="174"/>
      <c r="DG345" s="174"/>
      <c r="DH345" s="174"/>
      <c r="DI345" s="174"/>
      <c r="DJ345" s="174"/>
      <c r="DK345" s="174"/>
      <c r="DL345" s="62"/>
      <c r="DM345" s="62"/>
      <c r="DN345" s="62"/>
      <c r="DO345" s="62"/>
      <c r="DP345" s="62"/>
      <c r="DQ345" s="62"/>
      <c r="DR345" s="62"/>
      <c r="DS345" s="62"/>
      <c r="DT345" s="62"/>
      <c r="DU345" s="62"/>
      <c r="DV345" s="62"/>
      <c r="DW345" s="62"/>
      <c r="DX345" s="62"/>
      <c r="DY345" s="62"/>
      <c r="DZ345" s="62"/>
      <c r="EA345" s="62"/>
      <c r="EB345" s="62"/>
      <c r="EC345" s="62"/>
      <c r="ED345" s="62"/>
      <c r="EE345" s="454"/>
      <c r="EF345" s="62"/>
      <c r="EG345" s="62"/>
      <c r="EH345" s="62"/>
      <c r="EI345" s="62"/>
      <c r="EJ345" s="62"/>
      <c r="EK345" s="62"/>
      <c r="EL345" s="62"/>
      <c r="EM345" s="62"/>
      <c r="EN345" s="62"/>
      <c r="EO345" s="62"/>
      <c r="EP345" s="62"/>
      <c r="EQ345" s="62"/>
      <c r="ER345" s="62"/>
      <c r="ES345" s="62"/>
      <c r="ET345" s="62"/>
      <c r="EU345" s="62"/>
      <c r="EV345" s="62"/>
      <c r="EW345" s="62"/>
      <c r="EX345" s="62"/>
      <c r="EY345" s="62"/>
      <c r="EZ345" s="62"/>
      <c r="FA345" s="62"/>
      <c r="FB345" s="62"/>
      <c r="FC345" s="62"/>
      <c r="FD345" s="62"/>
      <c r="FE345" s="62"/>
      <c r="FF345" s="62"/>
    </row>
    <row r="346" spans="1:162" s="56" customFormat="1" hidden="1">
      <c r="A346" s="54"/>
      <c r="B346" s="55"/>
      <c r="C346" s="491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173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883"/>
      <c r="AH346" s="174"/>
      <c r="AI346" s="492"/>
      <c r="AJ346" s="905"/>
      <c r="AK346" s="919"/>
      <c r="AL346" s="174"/>
      <c r="AM346" s="174"/>
      <c r="AN346" s="174"/>
      <c r="AO346" s="928"/>
      <c r="AP346" s="174"/>
      <c r="AQ346" s="174"/>
      <c r="AR346" s="174"/>
      <c r="AS346" s="174"/>
      <c r="AT346" s="174"/>
      <c r="AU346" s="174"/>
      <c r="AV346" s="174"/>
      <c r="AW346" s="174"/>
      <c r="AX346" s="174"/>
      <c r="AY346" s="174"/>
      <c r="AZ346" s="174"/>
      <c r="BA346" s="174"/>
      <c r="BB346" s="174"/>
      <c r="BC346" s="174"/>
      <c r="BD346" s="174"/>
      <c r="BE346" s="174"/>
      <c r="BF346" s="174"/>
      <c r="BG346" s="174"/>
      <c r="BH346" s="174"/>
      <c r="BI346" s="174"/>
      <c r="BJ346" s="174"/>
      <c r="BK346" s="174"/>
      <c r="BL346" s="174"/>
      <c r="BM346" s="174"/>
      <c r="BN346" s="174"/>
      <c r="BO346" s="174"/>
      <c r="BP346" s="174"/>
      <c r="BQ346" s="174"/>
      <c r="BR346" s="174"/>
      <c r="BS346" s="174"/>
      <c r="BT346" s="174"/>
      <c r="BU346" s="174"/>
      <c r="BV346" s="174"/>
      <c r="BW346" s="174"/>
      <c r="BX346" s="174"/>
      <c r="BY346" s="174"/>
      <c r="BZ346" s="174"/>
      <c r="CA346" s="174"/>
      <c r="CB346" s="174"/>
      <c r="CC346" s="174"/>
      <c r="CD346" s="174"/>
      <c r="CE346" s="174"/>
      <c r="CF346" s="174"/>
      <c r="CG346" s="174"/>
      <c r="CH346" s="174"/>
      <c r="CI346" s="174"/>
      <c r="CJ346" s="174"/>
      <c r="CK346" s="174"/>
      <c r="CL346" s="174"/>
      <c r="CM346" s="174"/>
      <c r="CN346" s="174"/>
      <c r="CO346" s="174"/>
      <c r="CP346" s="174"/>
      <c r="CQ346" s="174"/>
      <c r="CR346" s="174"/>
      <c r="CS346" s="174"/>
      <c r="CT346" s="174"/>
      <c r="CU346" s="174"/>
      <c r="CV346" s="174"/>
      <c r="CW346" s="174"/>
      <c r="CX346" s="174"/>
      <c r="CY346" s="174"/>
      <c r="CZ346" s="174"/>
      <c r="DA346" s="174"/>
      <c r="DB346" s="174"/>
      <c r="DC346" s="174"/>
      <c r="DD346" s="174"/>
      <c r="DE346" s="174"/>
      <c r="DF346" s="174"/>
      <c r="DG346" s="174"/>
      <c r="DH346" s="174"/>
      <c r="DI346" s="174"/>
      <c r="DJ346" s="174"/>
      <c r="DK346" s="174"/>
      <c r="DL346" s="62"/>
      <c r="DM346" s="62"/>
      <c r="DN346" s="62"/>
      <c r="DO346" s="62"/>
      <c r="DP346" s="62"/>
      <c r="DQ346" s="62"/>
      <c r="DR346" s="62"/>
      <c r="DS346" s="62"/>
      <c r="DT346" s="62"/>
      <c r="DU346" s="62"/>
      <c r="DV346" s="62"/>
      <c r="DW346" s="62"/>
      <c r="DX346" s="62"/>
      <c r="DY346" s="62"/>
      <c r="DZ346" s="62"/>
      <c r="EA346" s="62"/>
      <c r="EB346" s="62"/>
      <c r="EC346" s="62"/>
      <c r="ED346" s="62"/>
      <c r="EE346" s="454"/>
      <c r="EF346" s="62"/>
      <c r="EG346" s="62"/>
      <c r="EH346" s="62"/>
      <c r="EI346" s="62"/>
      <c r="EJ346" s="62"/>
      <c r="EK346" s="62"/>
      <c r="EL346" s="62"/>
      <c r="EM346" s="62"/>
      <c r="EN346" s="62"/>
      <c r="EO346" s="62"/>
      <c r="EP346" s="62"/>
      <c r="EQ346" s="62"/>
      <c r="ER346" s="62"/>
      <c r="ES346" s="62"/>
      <c r="ET346" s="62"/>
      <c r="EU346" s="62"/>
      <c r="EV346" s="62"/>
      <c r="EW346" s="62"/>
      <c r="EX346" s="62"/>
      <c r="EY346" s="62"/>
      <c r="EZ346" s="62"/>
      <c r="FA346" s="62"/>
      <c r="FB346" s="62"/>
      <c r="FC346" s="62"/>
      <c r="FD346" s="62"/>
      <c r="FE346" s="62"/>
      <c r="FF346" s="62"/>
    </row>
    <row r="347" spans="1:162" s="56" customFormat="1" hidden="1">
      <c r="A347" s="54"/>
      <c r="B347" s="55"/>
      <c r="C347" s="491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173"/>
      <c r="S347" s="179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883"/>
      <c r="AH347" s="174"/>
      <c r="AI347" s="492"/>
      <c r="AJ347" s="905"/>
      <c r="AK347" s="919"/>
      <c r="AL347" s="174"/>
      <c r="AM347" s="174"/>
      <c r="AN347" s="174"/>
      <c r="AO347" s="928"/>
      <c r="AP347" s="174"/>
      <c r="AQ347" s="174"/>
      <c r="AR347" s="174"/>
      <c r="AS347" s="174"/>
      <c r="AT347" s="174"/>
      <c r="AU347" s="174"/>
      <c r="AV347" s="174"/>
      <c r="AW347" s="174"/>
      <c r="AX347" s="174"/>
      <c r="AY347" s="174"/>
      <c r="AZ347" s="174"/>
      <c r="BA347" s="174"/>
      <c r="BB347" s="174"/>
      <c r="BC347" s="174"/>
      <c r="BD347" s="174"/>
      <c r="BE347" s="174"/>
      <c r="BF347" s="174"/>
      <c r="BG347" s="174"/>
      <c r="BH347" s="174"/>
      <c r="BI347" s="174"/>
      <c r="BJ347" s="174"/>
      <c r="BK347" s="174"/>
      <c r="BL347" s="174"/>
      <c r="BM347" s="174"/>
      <c r="BN347" s="174"/>
      <c r="BO347" s="174"/>
      <c r="BP347" s="174"/>
      <c r="BQ347" s="174"/>
      <c r="BR347" s="174"/>
      <c r="BS347" s="174"/>
      <c r="BT347" s="174"/>
      <c r="BU347" s="174"/>
      <c r="BV347" s="174"/>
      <c r="BW347" s="174"/>
      <c r="BX347" s="174"/>
      <c r="BY347" s="174"/>
      <c r="BZ347" s="174"/>
      <c r="CA347" s="174"/>
      <c r="CB347" s="174"/>
      <c r="CC347" s="174"/>
      <c r="CD347" s="174"/>
      <c r="CE347" s="174"/>
      <c r="CF347" s="174"/>
      <c r="CG347" s="174"/>
      <c r="CH347" s="174"/>
      <c r="CI347" s="174"/>
      <c r="CJ347" s="174"/>
      <c r="CK347" s="174"/>
      <c r="CL347" s="174"/>
      <c r="CM347" s="174"/>
      <c r="CN347" s="174"/>
      <c r="CO347" s="174"/>
      <c r="CP347" s="174"/>
      <c r="CQ347" s="174"/>
      <c r="CR347" s="174"/>
      <c r="CS347" s="174"/>
      <c r="CT347" s="174"/>
      <c r="CU347" s="174"/>
      <c r="CV347" s="174"/>
      <c r="CW347" s="174"/>
      <c r="CX347" s="174"/>
      <c r="CY347" s="174"/>
      <c r="CZ347" s="174"/>
      <c r="DA347" s="174"/>
      <c r="DB347" s="174"/>
      <c r="DC347" s="174"/>
      <c r="DD347" s="174"/>
      <c r="DE347" s="174"/>
      <c r="DF347" s="174"/>
      <c r="DG347" s="174"/>
      <c r="DH347" s="174"/>
      <c r="DI347" s="174"/>
      <c r="DJ347" s="174"/>
      <c r="DK347" s="174"/>
      <c r="DL347" s="62"/>
      <c r="DM347" s="62"/>
      <c r="DN347" s="62"/>
      <c r="DO347" s="62"/>
      <c r="DP347" s="62"/>
      <c r="DQ347" s="62"/>
      <c r="DR347" s="62"/>
      <c r="DS347" s="62"/>
      <c r="DT347" s="62"/>
      <c r="DU347" s="62"/>
      <c r="DV347" s="62"/>
      <c r="DW347" s="62"/>
      <c r="DX347" s="62"/>
      <c r="DY347" s="62"/>
      <c r="DZ347" s="62"/>
      <c r="EA347" s="62"/>
      <c r="EB347" s="62"/>
      <c r="EC347" s="62"/>
      <c r="ED347" s="62"/>
      <c r="EE347" s="454"/>
      <c r="EF347" s="62"/>
      <c r="EG347" s="62"/>
      <c r="EH347" s="62"/>
      <c r="EI347" s="62"/>
      <c r="EJ347" s="62"/>
      <c r="EK347" s="62"/>
      <c r="EL347" s="62"/>
      <c r="EM347" s="62"/>
      <c r="EN347" s="62"/>
      <c r="EO347" s="62"/>
      <c r="EP347" s="62"/>
      <c r="EQ347" s="62"/>
      <c r="ER347" s="62"/>
      <c r="ES347" s="62"/>
      <c r="ET347" s="62"/>
      <c r="EU347" s="62"/>
      <c r="EV347" s="62"/>
      <c r="EW347" s="62"/>
      <c r="EX347" s="62"/>
      <c r="EY347" s="62"/>
      <c r="EZ347" s="62"/>
      <c r="FA347" s="62"/>
      <c r="FB347" s="62"/>
      <c r="FC347" s="62"/>
      <c r="FD347" s="62"/>
      <c r="FE347" s="62"/>
      <c r="FF347" s="62"/>
    </row>
    <row r="348" spans="1:162" s="56" customFormat="1" hidden="1">
      <c r="A348" s="54"/>
      <c r="B348" s="55"/>
      <c r="C348" s="490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173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883"/>
      <c r="AH348" s="174"/>
      <c r="AI348" s="492"/>
      <c r="AJ348" s="905"/>
      <c r="AK348" s="919"/>
      <c r="AL348" s="174"/>
      <c r="AM348" s="174"/>
      <c r="AN348" s="174"/>
      <c r="AO348" s="928"/>
      <c r="AP348" s="174"/>
      <c r="AQ348" s="174"/>
      <c r="AR348" s="174"/>
      <c r="AS348" s="174"/>
      <c r="AT348" s="174"/>
      <c r="AU348" s="174"/>
      <c r="AV348" s="174"/>
      <c r="AW348" s="174"/>
      <c r="AX348" s="174"/>
      <c r="AY348" s="174"/>
      <c r="AZ348" s="174"/>
      <c r="BA348" s="174"/>
      <c r="BB348" s="174"/>
      <c r="BC348" s="174"/>
      <c r="BD348" s="174"/>
      <c r="BE348" s="174"/>
      <c r="BF348" s="174"/>
      <c r="BG348" s="174"/>
      <c r="BH348" s="174"/>
      <c r="BI348" s="174"/>
      <c r="BJ348" s="174"/>
      <c r="BK348" s="174"/>
      <c r="BL348" s="174"/>
      <c r="BM348" s="174"/>
      <c r="BN348" s="174"/>
      <c r="BO348" s="174"/>
      <c r="BP348" s="174"/>
      <c r="BQ348" s="174"/>
      <c r="BR348" s="174"/>
      <c r="BS348" s="174"/>
      <c r="BT348" s="174"/>
      <c r="BU348" s="174"/>
      <c r="BV348" s="174"/>
      <c r="BW348" s="174"/>
      <c r="BX348" s="174"/>
      <c r="BY348" s="174"/>
      <c r="BZ348" s="174"/>
      <c r="CA348" s="174"/>
      <c r="CB348" s="174"/>
      <c r="CC348" s="174"/>
      <c r="CD348" s="174"/>
      <c r="CE348" s="174"/>
      <c r="CF348" s="174"/>
      <c r="CG348" s="174"/>
      <c r="CH348" s="174"/>
      <c r="CI348" s="174"/>
      <c r="CJ348" s="174"/>
      <c r="CK348" s="174"/>
      <c r="CL348" s="174"/>
      <c r="CM348" s="174"/>
      <c r="CN348" s="174"/>
      <c r="CO348" s="174"/>
      <c r="CP348" s="174"/>
      <c r="CQ348" s="174"/>
      <c r="CR348" s="174"/>
      <c r="CS348" s="174"/>
      <c r="CT348" s="174"/>
      <c r="CU348" s="174"/>
      <c r="CV348" s="174"/>
      <c r="CW348" s="174"/>
      <c r="CX348" s="174"/>
      <c r="CY348" s="174"/>
      <c r="CZ348" s="174"/>
      <c r="DA348" s="174"/>
      <c r="DB348" s="174"/>
      <c r="DC348" s="174"/>
      <c r="DD348" s="174"/>
      <c r="DE348" s="174"/>
      <c r="DF348" s="174"/>
      <c r="DG348" s="174"/>
      <c r="DH348" s="174"/>
      <c r="DI348" s="174"/>
      <c r="DJ348" s="174"/>
      <c r="DK348" s="174"/>
      <c r="DL348" s="62"/>
      <c r="DM348" s="62"/>
      <c r="DN348" s="62"/>
      <c r="DO348" s="62"/>
      <c r="DP348" s="62"/>
      <c r="DQ348" s="62"/>
      <c r="DR348" s="62"/>
      <c r="DS348" s="62"/>
      <c r="DT348" s="62"/>
      <c r="DU348" s="62"/>
      <c r="DV348" s="62"/>
      <c r="DW348" s="62"/>
      <c r="DX348" s="62"/>
      <c r="DY348" s="62"/>
      <c r="DZ348" s="62"/>
      <c r="EA348" s="62"/>
      <c r="EB348" s="62"/>
      <c r="EC348" s="62"/>
      <c r="ED348" s="62"/>
      <c r="EE348" s="454"/>
      <c r="EF348" s="62"/>
      <c r="EG348" s="62"/>
      <c r="EH348" s="62"/>
      <c r="EI348" s="62"/>
      <c r="EJ348" s="62"/>
      <c r="EK348" s="62"/>
      <c r="EL348" s="62"/>
      <c r="EM348" s="62"/>
      <c r="EN348" s="62"/>
      <c r="EO348" s="62"/>
      <c r="EP348" s="62"/>
      <c r="EQ348" s="62"/>
      <c r="ER348" s="62"/>
      <c r="ES348" s="62"/>
      <c r="ET348" s="62"/>
      <c r="EU348" s="62"/>
      <c r="EV348" s="62"/>
      <c r="EW348" s="62"/>
      <c r="EX348" s="62"/>
      <c r="EY348" s="62"/>
      <c r="EZ348" s="62"/>
      <c r="FA348" s="62"/>
      <c r="FB348" s="62"/>
      <c r="FC348" s="62"/>
      <c r="FD348" s="62"/>
      <c r="FE348" s="62"/>
      <c r="FF348" s="62"/>
    </row>
    <row r="349" spans="1:162" s="56" customFormat="1" hidden="1">
      <c r="A349" s="54"/>
      <c r="B349" s="55"/>
      <c r="C349" s="490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173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883"/>
      <c r="AH349" s="174"/>
      <c r="AI349" s="492"/>
      <c r="AJ349" s="905"/>
      <c r="AK349" s="919"/>
      <c r="AL349" s="174"/>
      <c r="AM349" s="174"/>
      <c r="AN349" s="174"/>
      <c r="AO349" s="928"/>
      <c r="AP349" s="174"/>
      <c r="AQ349" s="174"/>
      <c r="AR349" s="174"/>
      <c r="AS349" s="174"/>
      <c r="AT349" s="174"/>
      <c r="AU349" s="174"/>
      <c r="AV349" s="174"/>
      <c r="AW349" s="174"/>
      <c r="AX349" s="174"/>
      <c r="AY349" s="174"/>
      <c r="AZ349" s="174"/>
      <c r="BA349" s="174"/>
      <c r="BB349" s="174"/>
      <c r="BC349" s="174"/>
      <c r="BD349" s="174"/>
      <c r="BE349" s="174"/>
      <c r="BF349" s="174"/>
      <c r="BG349" s="174"/>
      <c r="BH349" s="174"/>
      <c r="BI349" s="174"/>
      <c r="BJ349" s="174"/>
      <c r="BK349" s="174"/>
      <c r="BL349" s="174"/>
      <c r="BM349" s="174"/>
      <c r="BN349" s="174"/>
      <c r="BO349" s="174"/>
      <c r="BP349" s="174"/>
      <c r="BQ349" s="174"/>
      <c r="BR349" s="174"/>
      <c r="BS349" s="174"/>
      <c r="BT349" s="174"/>
      <c r="BU349" s="174"/>
      <c r="BV349" s="174"/>
      <c r="BW349" s="174"/>
      <c r="BX349" s="174"/>
      <c r="BY349" s="174"/>
      <c r="BZ349" s="174"/>
      <c r="CA349" s="174"/>
      <c r="CB349" s="174"/>
      <c r="CC349" s="174"/>
      <c r="CD349" s="174"/>
      <c r="CE349" s="174"/>
      <c r="CF349" s="174"/>
      <c r="CG349" s="174"/>
      <c r="CH349" s="174"/>
      <c r="CI349" s="174"/>
      <c r="CJ349" s="174"/>
      <c r="CK349" s="174"/>
      <c r="CL349" s="174"/>
      <c r="CM349" s="174"/>
      <c r="CN349" s="174"/>
      <c r="CO349" s="174"/>
      <c r="CP349" s="174"/>
      <c r="CQ349" s="174"/>
      <c r="CR349" s="174"/>
      <c r="CS349" s="174"/>
      <c r="CT349" s="174"/>
      <c r="CU349" s="174"/>
      <c r="CV349" s="174"/>
      <c r="CW349" s="174"/>
      <c r="CX349" s="174"/>
      <c r="CY349" s="174"/>
      <c r="CZ349" s="174"/>
      <c r="DA349" s="174"/>
      <c r="DB349" s="174"/>
      <c r="DC349" s="174"/>
      <c r="DD349" s="174"/>
      <c r="DE349" s="174"/>
      <c r="DF349" s="174"/>
      <c r="DG349" s="174"/>
      <c r="DH349" s="174"/>
      <c r="DI349" s="174"/>
      <c r="DJ349" s="174"/>
      <c r="DK349" s="174"/>
      <c r="DL349" s="62"/>
      <c r="DM349" s="62"/>
      <c r="DN349" s="62"/>
      <c r="DO349" s="62"/>
      <c r="DP349" s="62"/>
      <c r="DQ349" s="62"/>
      <c r="DR349" s="62"/>
      <c r="DS349" s="62"/>
      <c r="DT349" s="62"/>
      <c r="DU349" s="62"/>
      <c r="DV349" s="62"/>
      <c r="DW349" s="62"/>
      <c r="DX349" s="62"/>
      <c r="DY349" s="62"/>
      <c r="DZ349" s="62"/>
      <c r="EA349" s="62"/>
      <c r="EB349" s="62"/>
      <c r="EC349" s="62"/>
      <c r="ED349" s="62"/>
      <c r="EE349" s="454"/>
      <c r="EF349" s="62"/>
      <c r="EG349" s="62"/>
      <c r="EH349" s="62"/>
      <c r="EI349" s="62"/>
      <c r="EJ349" s="62"/>
      <c r="EK349" s="62"/>
      <c r="EL349" s="62"/>
      <c r="EM349" s="62"/>
      <c r="EN349" s="62"/>
      <c r="EO349" s="62"/>
      <c r="EP349" s="62"/>
      <c r="EQ349" s="62"/>
      <c r="ER349" s="62"/>
      <c r="ES349" s="62"/>
      <c r="ET349" s="62"/>
      <c r="EU349" s="62"/>
      <c r="EV349" s="62"/>
      <c r="EW349" s="62"/>
      <c r="EX349" s="62"/>
      <c r="EY349" s="62"/>
      <c r="EZ349" s="62"/>
      <c r="FA349" s="62"/>
      <c r="FB349" s="62"/>
      <c r="FC349" s="62"/>
      <c r="FD349" s="62"/>
      <c r="FE349" s="62"/>
      <c r="FF349" s="62"/>
    </row>
    <row r="350" spans="1:162" s="56" customFormat="1" hidden="1">
      <c r="A350" s="54"/>
      <c r="B350" s="55"/>
      <c r="C350" s="490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173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883"/>
      <c r="AH350" s="174"/>
      <c r="AI350" s="492"/>
      <c r="AJ350" s="905"/>
      <c r="AK350" s="919"/>
      <c r="AL350" s="174"/>
      <c r="AM350" s="174"/>
      <c r="AN350" s="174"/>
      <c r="AO350" s="928"/>
      <c r="AP350" s="174"/>
      <c r="AQ350" s="174"/>
      <c r="AR350" s="174"/>
      <c r="AS350" s="174"/>
      <c r="AT350" s="174"/>
      <c r="AU350" s="174"/>
      <c r="AV350" s="174"/>
      <c r="AW350" s="174"/>
      <c r="AX350" s="174"/>
      <c r="AY350" s="174"/>
      <c r="AZ350" s="174"/>
      <c r="BA350" s="174"/>
      <c r="BB350" s="174"/>
      <c r="BC350" s="174"/>
      <c r="BD350" s="174"/>
      <c r="BE350" s="174"/>
      <c r="BF350" s="174"/>
      <c r="BG350" s="174"/>
      <c r="BH350" s="174"/>
      <c r="BI350" s="174"/>
      <c r="BJ350" s="174"/>
      <c r="BK350" s="174"/>
      <c r="BL350" s="174"/>
      <c r="BM350" s="174"/>
      <c r="BN350" s="174"/>
      <c r="BO350" s="174"/>
      <c r="BP350" s="174"/>
      <c r="BQ350" s="174"/>
      <c r="BR350" s="174"/>
      <c r="BS350" s="174"/>
      <c r="BT350" s="174"/>
      <c r="BU350" s="174"/>
      <c r="BV350" s="174"/>
      <c r="BW350" s="174"/>
      <c r="BX350" s="174"/>
      <c r="BY350" s="174"/>
      <c r="BZ350" s="174"/>
      <c r="CA350" s="174"/>
      <c r="CB350" s="174"/>
      <c r="CC350" s="174"/>
      <c r="CD350" s="174"/>
      <c r="CE350" s="174"/>
      <c r="CF350" s="174"/>
      <c r="CG350" s="174"/>
      <c r="CH350" s="174"/>
      <c r="CI350" s="174"/>
      <c r="CJ350" s="174"/>
      <c r="CK350" s="174"/>
      <c r="CL350" s="174"/>
      <c r="CM350" s="174"/>
      <c r="CN350" s="174"/>
      <c r="CO350" s="174"/>
      <c r="CP350" s="174"/>
      <c r="CQ350" s="174"/>
      <c r="CR350" s="174"/>
      <c r="CS350" s="174"/>
      <c r="CT350" s="174"/>
      <c r="CU350" s="174"/>
      <c r="CV350" s="174"/>
      <c r="CW350" s="174"/>
      <c r="CX350" s="174"/>
      <c r="CY350" s="174"/>
      <c r="CZ350" s="174"/>
      <c r="DA350" s="174"/>
      <c r="DB350" s="174"/>
      <c r="DC350" s="174"/>
      <c r="DD350" s="174"/>
      <c r="DE350" s="174"/>
      <c r="DF350" s="174"/>
      <c r="DG350" s="174"/>
      <c r="DH350" s="174"/>
      <c r="DI350" s="174"/>
      <c r="DJ350" s="174"/>
      <c r="DK350" s="174"/>
      <c r="DL350" s="62"/>
      <c r="DM350" s="62"/>
      <c r="DN350" s="62"/>
      <c r="DO350" s="62"/>
      <c r="DP350" s="62"/>
      <c r="DQ350" s="62"/>
      <c r="DR350" s="62"/>
      <c r="DS350" s="62"/>
      <c r="DT350" s="62"/>
      <c r="DU350" s="62"/>
      <c r="DV350" s="62"/>
      <c r="DW350" s="62"/>
      <c r="DX350" s="62"/>
      <c r="DY350" s="62"/>
      <c r="DZ350" s="62"/>
      <c r="EA350" s="62"/>
      <c r="EB350" s="62"/>
      <c r="EC350" s="62"/>
      <c r="ED350" s="62"/>
      <c r="EE350" s="454"/>
      <c r="EF350" s="62"/>
      <c r="EG350" s="62"/>
      <c r="EH350" s="62"/>
      <c r="EI350" s="62"/>
      <c r="EJ350" s="62"/>
      <c r="EK350" s="62"/>
      <c r="EL350" s="62"/>
      <c r="EM350" s="62"/>
      <c r="EN350" s="62"/>
      <c r="EO350" s="62"/>
      <c r="EP350" s="62"/>
      <c r="EQ350" s="62"/>
      <c r="ER350" s="62"/>
      <c r="ES350" s="62"/>
      <c r="ET350" s="62"/>
      <c r="EU350" s="62"/>
      <c r="EV350" s="62"/>
      <c r="EW350" s="62"/>
      <c r="EX350" s="62"/>
      <c r="EY350" s="62"/>
      <c r="EZ350" s="62"/>
      <c r="FA350" s="62"/>
      <c r="FB350" s="62"/>
      <c r="FC350" s="62"/>
      <c r="FD350" s="62"/>
      <c r="FE350" s="62"/>
      <c r="FF350" s="62"/>
    </row>
    <row r="351" spans="1:162" s="56" customFormat="1" hidden="1">
      <c r="A351" s="54"/>
      <c r="B351" s="55"/>
      <c r="C351" s="490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173"/>
      <c r="S351" s="174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883"/>
      <c r="AH351" s="174"/>
      <c r="AI351" s="492"/>
      <c r="AJ351" s="905"/>
      <c r="AK351" s="919"/>
      <c r="AL351" s="174"/>
      <c r="AM351" s="174"/>
      <c r="AN351" s="174"/>
      <c r="AO351" s="928"/>
      <c r="AP351" s="174"/>
      <c r="AQ351" s="174"/>
      <c r="AR351" s="174"/>
      <c r="AS351" s="174"/>
      <c r="AT351" s="174"/>
      <c r="AU351" s="174"/>
      <c r="AV351" s="174"/>
      <c r="AW351" s="174"/>
      <c r="AX351" s="174"/>
      <c r="AY351" s="174"/>
      <c r="AZ351" s="174"/>
      <c r="BA351" s="174"/>
      <c r="BB351" s="174"/>
      <c r="BC351" s="174"/>
      <c r="BD351" s="174"/>
      <c r="BE351" s="174"/>
      <c r="BF351" s="174"/>
      <c r="BG351" s="174"/>
      <c r="BH351" s="174"/>
      <c r="BI351" s="174"/>
      <c r="BJ351" s="174"/>
      <c r="BK351" s="174"/>
      <c r="BL351" s="174"/>
      <c r="BM351" s="174"/>
      <c r="BN351" s="174"/>
      <c r="BO351" s="174"/>
      <c r="BP351" s="174"/>
      <c r="BQ351" s="174"/>
      <c r="BR351" s="174"/>
      <c r="BS351" s="174"/>
      <c r="BT351" s="174"/>
      <c r="BU351" s="174"/>
      <c r="BV351" s="174"/>
      <c r="BW351" s="174"/>
      <c r="BX351" s="174"/>
      <c r="BY351" s="174"/>
      <c r="BZ351" s="174"/>
      <c r="CA351" s="174"/>
      <c r="CB351" s="174"/>
      <c r="CC351" s="174"/>
      <c r="CD351" s="174"/>
      <c r="CE351" s="174"/>
      <c r="CF351" s="174"/>
      <c r="CG351" s="174"/>
      <c r="CH351" s="174"/>
      <c r="CI351" s="174"/>
      <c r="CJ351" s="174"/>
      <c r="CK351" s="174"/>
      <c r="CL351" s="174"/>
      <c r="CM351" s="174"/>
      <c r="CN351" s="174"/>
      <c r="CO351" s="174"/>
      <c r="CP351" s="174"/>
      <c r="CQ351" s="174"/>
      <c r="CR351" s="174"/>
      <c r="CS351" s="174"/>
      <c r="CT351" s="174"/>
      <c r="CU351" s="174"/>
      <c r="CV351" s="174"/>
      <c r="CW351" s="174"/>
      <c r="CX351" s="174"/>
      <c r="CY351" s="174"/>
      <c r="CZ351" s="174"/>
      <c r="DA351" s="174"/>
      <c r="DB351" s="174"/>
      <c r="DC351" s="174"/>
      <c r="DD351" s="174"/>
      <c r="DE351" s="174"/>
      <c r="DF351" s="174"/>
      <c r="DG351" s="174"/>
      <c r="DH351" s="174"/>
      <c r="DI351" s="174"/>
      <c r="DJ351" s="174"/>
      <c r="DK351" s="174"/>
      <c r="DL351" s="62"/>
      <c r="DM351" s="62"/>
      <c r="DN351" s="62"/>
      <c r="DO351" s="62"/>
      <c r="DP351" s="62"/>
      <c r="DQ351" s="62"/>
      <c r="DR351" s="62"/>
      <c r="DS351" s="62"/>
      <c r="DT351" s="62"/>
      <c r="DU351" s="62"/>
      <c r="DV351" s="62"/>
      <c r="DW351" s="62"/>
      <c r="DX351" s="62"/>
      <c r="DY351" s="62"/>
      <c r="DZ351" s="62"/>
      <c r="EA351" s="62"/>
      <c r="EB351" s="62"/>
      <c r="EC351" s="62"/>
      <c r="ED351" s="62"/>
      <c r="EE351" s="454"/>
      <c r="EF351" s="62"/>
      <c r="EG351" s="62"/>
      <c r="EH351" s="62"/>
      <c r="EI351" s="62"/>
      <c r="EJ351" s="62"/>
      <c r="EK351" s="62"/>
      <c r="EL351" s="62"/>
      <c r="EM351" s="62"/>
      <c r="EN351" s="62"/>
      <c r="EO351" s="62"/>
      <c r="EP351" s="62"/>
      <c r="EQ351" s="62"/>
      <c r="ER351" s="62"/>
      <c r="ES351" s="62"/>
      <c r="ET351" s="62"/>
      <c r="EU351" s="62"/>
      <c r="EV351" s="62"/>
      <c r="EW351" s="62"/>
      <c r="EX351" s="62"/>
      <c r="EY351" s="62"/>
      <c r="EZ351" s="62"/>
      <c r="FA351" s="62"/>
      <c r="FB351" s="62"/>
      <c r="FC351" s="62"/>
      <c r="FD351" s="62"/>
      <c r="FE351" s="62"/>
      <c r="FF351" s="62"/>
    </row>
    <row r="352" spans="1:162" s="56" customFormat="1" hidden="1">
      <c r="A352" s="54"/>
      <c r="B352" s="55"/>
      <c r="C352" s="490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173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883"/>
      <c r="AH352" s="174"/>
      <c r="AI352" s="492"/>
      <c r="AJ352" s="905"/>
      <c r="AK352" s="919"/>
      <c r="AL352" s="174"/>
      <c r="AM352" s="174"/>
      <c r="AN352" s="174"/>
      <c r="AO352" s="928"/>
      <c r="AP352" s="174"/>
      <c r="AQ352" s="174"/>
      <c r="AR352" s="174"/>
      <c r="AS352" s="174"/>
      <c r="AT352" s="174"/>
      <c r="AU352" s="174"/>
      <c r="AV352" s="174"/>
      <c r="AW352" s="174"/>
      <c r="AX352" s="174"/>
      <c r="AY352" s="174"/>
      <c r="AZ352" s="174"/>
      <c r="BA352" s="174"/>
      <c r="BB352" s="174"/>
      <c r="BC352" s="174"/>
      <c r="BD352" s="174"/>
      <c r="BE352" s="174"/>
      <c r="BF352" s="174"/>
      <c r="BG352" s="174"/>
      <c r="BH352" s="174"/>
      <c r="BI352" s="174"/>
      <c r="BJ352" s="174"/>
      <c r="BK352" s="174"/>
      <c r="BL352" s="174"/>
      <c r="BM352" s="174"/>
      <c r="BN352" s="174"/>
      <c r="BO352" s="174"/>
      <c r="BP352" s="174"/>
      <c r="BQ352" s="174"/>
      <c r="BR352" s="174"/>
      <c r="BS352" s="174"/>
      <c r="BT352" s="174"/>
      <c r="BU352" s="174"/>
      <c r="BV352" s="174"/>
      <c r="BW352" s="174"/>
      <c r="BX352" s="174"/>
      <c r="BY352" s="174"/>
      <c r="BZ352" s="174"/>
      <c r="CA352" s="174"/>
      <c r="CB352" s="174"/>
      <c r="CC352" s="174"/>
      <c r="CD352" s="174"/>
      <c r="CE352" s="174"/>
      <c r="CF352" s="174"/>
      <c r="CG352" s="174"/>
      <c r="CH352" s="174"/>
      <c r="CI352" s="174"/>
      <c r="CJ352" s="174"/>
      <c r="CK352" s="174"/>
      <c r="CL352" s="174"/>
      <c r="CM352" s="174"/>
      <c r="CN352" s="174"/>
      <c r="CO352" s="174"/>
      <c r="CP352" s="174"/>
      <c r="CQ352" s="174"/>
      <c r="CR352" s="174"/>
      <c r="CS352" s="174"/>
      <c r="CT352" s="174"/>
      <c r="CU352" s="174"/>
      <c r="CV352" s="174"/>
      <c r="CW352" s="174"/>
      <c r="CX352" s="174"/>
      <c r="CY352" s="174"/>
      <c r="CZ352" s="174"/>
      <c r="DA352" s="174"/>
      <c r="DB352" s="174"/>
      <c r="DC352" s="174"/>
      <c r="DD352" s="174"/>
      <c r="DE352" s="174"/>
      <c r="DF352" s="174"/>
      <c r="DG352" s="174"/>
      <c r="DH352" s="174"/>
      <c r="DI352" s="174"/>
      <c r="DJ352" s="174"/>
      <c r="DK352" s="174"/>
      <c r="DL352" s="62"/>
      <c r="DM352" s="62"/>
      <c r="DN352" s="62"/>
      <c r="DO352" s="62"/>
      <c r="DP352" s="62"/>
      <c r="DQ352" s="62"/>
      <c r="DR352" s="62"/>
      <c r="DS352" s="62"/>
      <c r="DT352" s="62"/>
      <c r="DU352" s="62"/>
      <c r="DV352" s="62"/>
      <c r="DW352" s="62"/>
      <c r="DX352" s="62"/>
      <c r="DY352" s="62"/>
      <c r="DZ352" s="62"/>
      <c r="EA352" s="62"/>
      <c r="EB352" s="62"/>
      <c r="EC352" s="62"/>
      <c r="ED352" s="62"/>
      <c r="EE352" s="454"/>
      <c r="EF352" s="62"/>
      <c r="EG352" s="62"/>
      <c r="EH352" s="62"/>
      <c r="EI352" s="62"/>
      <c r="EJ352" s="62"/>
      <c r="EK352" s="62"/>
      <c r="EL352" s="62"/>
      <c r="EM352" s="62"/>
      <c r="EN352" s="62"/>
      <c r="EO352" s="62"/>
      <c r="EP352" s="62"/>
      <c r="EQ352" s="62"/>
      <c r="ER352" s="62"/>
      <c r="ES352" s="62"/>
      <c r="ET352" s="62"/>
      <c r="EU352" s="62"/>
      <c r="EV352" s="62"/>
      <c r="EW352" s="62"/>
      <c r="EX352" s="62"/>
      <c r="EY352" s="62"/>
      <c r="EZ352" s="62"/>
      <c r="FA352" s="62"/>
      <c r="FB352" s="62"/>
      <c r="FC352" s="62"/>
      <c r="FD352" s="62"/>
      <c r="FE352" s="62"/>
      <c r="FF352" s="62"/>
    </row>
    <row r="353" spans="1:162" s="56" customFormat="1" hidden="1">
      <c r="A353" s="54"/>
      <c r="B353" s="55"/>
      <c r="C353" s="490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173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883"/>
      <c r="AH353" s="174"/>
      <c r="AI353" s="492"/>
      <c r="AJ353" s="905"/>
      <c r="AK353" s="919"/>
      <c r="AL353" s="174"/>
      <c r="AM353" s="174"/>
      <c r="AN353" s="174"/>
      <c r="AO353" s="928"/>
      <c r="AP353" s="174"/>
      <c r="AQ353" s="174"/>
      <c r="AR353" s="174"/>
      <c r="AS353" s="174"/>
      <c r="AT353" s="174"/>
      <c r="AU353" s="174"/>
      <c r="AV353" s="174"/>
      <c r="AW353" s="174"/>
      <c r="AX353" s="174"/>
      <c r="AY353" s="174"/>
      <c r="AZ353" s="174"/>
      <c r="BA353" s="174"/>
      <c r="BB353" s="174"/>
      <c r="BC353" s="174"/>
      <c r="BD353" s="174"/>
      <c r="BE353" s="174"/>
      <c r="BF353" s="174"/>
      <c r="BG353" s="174"/>
      <c r="BH353" s="174"/>
      <c r="BI353" s="174"/>
      <c r="BJ353" s="174"/>
      <c r="BK353" s="174"/>
      <c r="BL353" s="174"/>
      <c r="BM353" s="174"/>
      <c r="BN353" s="174"/>
      <c r="BO353" s="174"/>
      <c r="BP353" s="174"/>
      <c r="BQ353" s="174"/>
      <c r="BR353" s="174"/>
      <c r="BS353" s="174"/>
      <c r="BT353" s="174"/>
      <c r="BU353" s="174"/>
      <c r="BV353" s="174"/>
      <c r="BW353" s="174"/>
      <c r="BX353" s="174"/>
      <c r="BY353" s="174"/>
      <c r="BZ353" s="174"/>
      <c r="CA353" s="174"/>
      <c r="CB353" s="174"/>
      <c r="CC353" s="174"/>
      <c r="CD353" s="174"/>
      <c r="CE353" s="174"/>
      <c r="CF353" s="174"/>
      <c r="CG353" s="174"/>
      <c r="CH353" s="174"/>
      <c r="CI353" s="174"/>
      <c r="CJ353" s="174"/>
      <c r="CK353" s="174"/>
      <c r="CL353" s="174"/>
      <c r="CM353" s="174"/>
      <c r="CN353" s="174"/>
      <c r="CO353" s="174"/>
      <c r="CP353" s="174"/>
      <c r="CQ353" s="174"/>
      <c r="CR353" s="174"/>
      <c r="CS353" s="174"/>
      <c r="CT353" s="174"/>
      <c r="CU353" s="174"/>
      <c r="CV353" s="174"/>
      <c r="CW353" s="174"/>
      <c r="CX353" s="174"/>
      <c r="CY353" s="174"/>
      <c r="CZ353" s="174"/>
      <c r="DA353" s="174"/>
      <c r="DB353" s="174"/>
      <c r="DC353" s="174"/>
      <c r="DD353" s="174"/>
      <c r="DE353" s="174"/>
      <c r="DF353" s="174"/>
      <c r="DG353" s="174"/>
      <c r="DH353" s="174"/>
      <c r="DI353" s="174"/>
      <c r="DJ353" s="174"/>
      <c r="DK353" s="174"/>
      <c r="DL353" s="62"/>
      <c r="DM353" s="62"/>
      <c r="DN353" s="62"/>
      <c r="DO353" s="62"/>
      <c r="DP353" s="62"/>
      <c r="DQ353" s="62"/>
      <c r="DR353" s="62"/>
      <c r="DS353" s="62"/>
      <c r="DT353" s="62"/>
      <c r="DU353" s="62"/>
      <c r="DV353" s="62"/>
      <c r="DW353" s="62"/>
      <c r="DX353" s="62"/>
      <c r="DY353" s="62"/>
      <c r="DZ353" s="62"/>
      <c r="EA353" s="62"/>
      <c r="EB353" s="62"/>
      <c r="EC353" s="62"/>
      <c r="ED353" s="62"/>
      <c r="EE353" s="454"/>
      <c r="EF353" s="62"/>
      <c r="EG353" s="62"/>
      <c r="EH353" s="62"/>
      <c r="EI353" s="62"/>
      <c r="EJ353" s="62"/>
      <c r="EK353" s="62"/>
      <c r="EL353" s="62"/>
      <c r="EM353" s="62"/>
      <c r="EN353" s="62"/>
      <c r="EO353" s="62"/>
      <c r="EP353" s="62"/>
      <c r="EQ353" s="62"/>
      <c r="ER353" s="62"/>
      <c r="ES353" s="62"/>
      <c r="ET353" s="62"/>
      <c r="EU353" s="62"/>
      <c r="EV353" s="62"/>
      <c r="EW353" s="62"/>
      <c r="EX353" s="62"/>
      <c r="EY353" s="62"/>
      <c r="EZ353" s="62"/>
      <c r="FA353" s="62"/>
      <c r="FB353" s="62"/>
      <c r="FC353" s="62"/>
      <c r="FD353" s="62"/>
      <c r="FE353" s="62"/>
      <c r="FF353" s="62"/>
    </row>
    <row r="354" spans="1:162" s="56" customFormat="1" hidden="1">
      <c r="A354" s="54"/>
      <c r="B354" s="55"/>
      <c r="C354" s="490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173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883"/>
      <c r="AH354" s="174"/>
      <c r="AI354" s="492"/>
      <c r="AJ354" s="905"/>
      <c r="AK354" s="919"/>
      <c r="AL354" s="174"/>
      <c r="AM354" s="174"/>
      <c r="AN354" s="174"/>
      <c r="AO354" s="928"/>
      <c r="AP354" s="174"/>
      <c r="AQ354" s="174"/>
      <c r="AR354" s="174"/>
      <c r="AS354" s="174"/>
      <c r="AT354" s="174"/>
      <c r="AU354" s="174"/>
      <c r="AV354" s="174"/>
      <c r="AW354" s="174"/>
      <c r="AX354" s="174"/>
      <c r="AY354" s="174"/>
      <c r="AZ354" s="174"/>
      <c r="BA354" s="174"/>
      <c r="BB354" s="174"/>
      <c r="BC354" s="174"/>
      <c r="BD354" s="174"/>
      <c r="BE354" s="174"/>
      <c r="BF354" s="174"/>
      <c r="BG354" s="174"/>
      <c r="BH354" s="174"/>
      <c r="BI354" s="174"/>
      <c r="BJ354" s="174"/>
      <c r="BK354" s="174"/>
      <c r="BL354" s="174"/>
      <c r="BM354" s="174"/>
      <c r="BN354" s="174"/>
      <c r="BO354" s="174"/>
      <c r="BP354" s="174"/>
      <c r="BQ354" s="174"/>
      <c r="BR354" s="174"/>
      <c r="BS354" s="174"/>
      <c r="BT354" s="174"/>
      <c r="BU354" s="174"/>
      <c r="BV354" s="174"/>
      <c r="BW354" s="174"/>
      <c r="BX354" s="174"/>
      <c r="BY354" s="174"/>
      <c r="BZ354" s="174"/>
      <c r="CA354" s="174"/>
      <c r="CB354" s="174"/>
      <c r="CC354" s="174"/>
      <c r="CD354" s="174"/>
      <c r="CE354" s="174"/>
      <c r="CF354" s="174"/>
      <c r="CG354" s="174"/>
      <c r="CH354" s="174"/>
      <c r="CI354" s="174"/>
      <c r="CJ354" s="174"/>
      <c r="CK354" s="174"/>
      <c r="CL354" s="174"/>
      <c r="CM354" s="174"/>
      <c r="CN354" s="174"/>
      <c r="CO354" s="174"/>
      <c r="CP354" s="174"/>
      <c r="CQ354" s="174"/>
      <c r="CR354" s="174"/>
      <c r="CS354" s="174"/>
      <c r="CT354" s="174"/>
      <c r="CU354" s="174"/>
      <c r="CV354" s="174"/>
      <c r="CW354" s="174"/>
      <c r="CX354" s="174"/>
      <c r="CY354" s="174"/>
      <c r="CZ354" s="174"/>
      <c r="DA354" s="174"/>
      <c r="DB354" s="174"/>
      <c r="DC354" s="174"/>
      <c r="DD354" s="174"/>
      <c r="DE354" s="174"/>
      <c r="DF354" s="174"/>
      <c r="DG354" s="174"/>
      <c r="DH354" s="174"/>
      <c r="DI354" s="174"/>
      <c r="DJ354" s="174"/>
      <c r="DK354" s="174"/>
      <c r="DL354" s="62"/>
      <c r="DM354" s="62"/>
      <c r="DN354" s="62"/>
      <c r="DO354" s="62"/>
      <c r="DP354" s="62"/>
      <c r="DQ354" s="62"/>
      <c r="DR354" s="62"/>
      <c r="DS354" s="62"/>
      <c r="DT354" s="62"/>
      <c r="DU354" s="62"/>
      <c r="DV354" s="62"/>
      <c r="DW354" s="62"/>
      <c r="DX354" s="62"/>
      <c r="DY354" s="62"/>
      <c r="DZ354" s="62"/>
      <c r="EA354" s="62"/>
      <c r="EB354" s="62"/>
      <c r="EC354" s="62"/>
      <c r="ED354" s="62"/>
      <c r="EE354" s="454"/>
      <c r="EF354" s="62"/>
      <c r="EG354" s="62"/>
      <c r="EH354" s="62"/>
      <c r="EI354" s="62"/>
      <c r="EJ354" s="62"/>
      <c r="EK354" s="62"/>
      <c r="EL354" s="62"/>
      <c r="EM354" s="62"/>
      <c r="EN354" s="62"/>
      <c r="EO354" s="62"/>
      <c r="EP354" s="62"/>
      <c r="EQ354" s="62"/>
      <c r="ER354" s="62"/>
      <c r="ES354" s="62"/>
      <c r="ET354" s="62"/>
      <c r="EU354" s="62"/>
      <c r="EV354" s="62"/>
      <c r="EW354" s="62"/>
      <c r="EX354" s="62"/>
      <c r="EY354" s="62"/>
      <c r="EZ354" s="62"/>
      <c r="FA354" s="62"/>
      <c r="FB354" s="62"/>
      <c r="FC354" s="62"/>
      <c r="FD354" s="62"/>
      <c r="FE354" s="62"/>
      <c r="FF354" s="62"/>
    </row>
    <row r="355" spans="1:162" s="56" customFormat="1" hidden="1">
      <c r="A355" s="54"/>
      <c r="B355" s="55"/>
      <c r="C355" s="490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173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883"/>
      <c r="AH355" s="174"/>
      <c r="AI355" s="492"/>
      <c r="AJ355" s="905"/>
      <c r="AK355" s="919"/>
      <c r="AL355" s="174"/>
      <c r="AM355" s="174"/>
      <c r="AN355" s="174"/>
      <c r="AO355" s="928"/>
      <c r="AP355" s="174"/>
      <c r="AQ355" s="174"/>
      <c r="AR355" s="174"/>
      <c r="AS355" s="174"/>
      <c r="AT355" s="174"/>
      <c r="AU355" s="174"/>
      <c r="AV355" s="174"/>
      <c r="AW355" s="174"/>
      <c r="AX355" s="174"/>
      <c r="AY355" s="174"/>
      <c r="AZ355" s="174"/>
      <c r="BA355" s="174"/>
      <c r="BB355" s="174"/>
      <c r="BC355" s="174"/>
      <c r="BD355" s="174"/>
      <c r="BE355" s="174"/>
      <c r="BF355" s="174"/>
      <c r="BG355" s="174"/>
      <c r="BH355" s="174"/>
      <c r="BI355" s="174"/>
      <c r="BJ355" s="174"/>
      <c r="BK355" s="174"/>
      <c r="BL355" s="174"/>
      <c r="BM355" s="174"/>
      <c r="BN355" s="174"/>
      <c r="BO355" s="174"/>
      <c r="BP355" s="174"/>
      <c r="BQ355" s="174"/>
      <c r="BR355" s="174"/>
      <c r="BS355" s="174"/>
      <c r="BT355" s="174"/>
      <c r="BU355" s="174"/>
      <c r="BV355" s="174"/>
      <c r="BW355" s="174"/>
      <c r="BX355" s="174"/>
      <c r="BY355" s="174"/>
      <c r="BZ355" s="174"/>
      <c r="CA355" s="174"/>
      <c r="CB355" s="174"/>
      <c r="CC355" s="174"/>
      <c r="CD355" s="174"/>
      <c r="CE355" s="174"/>
      <c r="CF355" s="174"/>
      <c r="CG355" s="174"/>
      <c r="CH355" s="174"/>
      <c r="CI355" s="174"/>
      <c r="CJ355" s="174"/>
      <c r="CK355" s="174"/>
      <c r="CL355" s="174"/>
      <c r="CM355" s="174"/>
      <c r="CN355" s="174"/>
      <c r="CO355" s="174"/>
      <c r="CP355" s="174"/>
      <c r="CQ355" s="174"/>
      <c r="CR355" s="174"/>
      <c r="CS355" s="174"/>
      <c r="CT355" s="174"/>
      <c r="CU355" s="174"/>
      <c r="CV355" s="174"/>
      <c r="CW355" s="174"/>
      <c r="CX355" s="174"/>
      <c r="CY355" s="174"/>
      <c r="CZ355" s="174"/>
      <c r="DA355" s="174"/>
      <c r="DB355" s="174"/>
      <c r="DC355" s="174"/>
      <c r="DD355" s="174"/>
      <c r="DE355" s="174"/>
      <c r="DF355" s="174"/>
      <c r="DG355" s="174"/>
      <c r="DH355" s="174"/>
      <c r="DI355" s="174"/>
      <c r="DJ355" s="174"/>
      <c r="DK355" s="174"/>
      <c r="DL355" s="62"/>
      <c r="DM355" s="62"/>
      <c r="DN355" s="62"/>
      <c r="DO355" s="62"/>
      <c r="DP355" s="62"/>
      <c r="DQ355" s="62"/>
      <c r="DR355" s="62"/>
      <c r="DS355" s="62"/>
      <c r="DT355" s="62"/>
      <c r="DU355" s="62"/>
      <c r="DV355" s="62"/>
      <c r="DW355" s="62"/>
      <c r="DX355" s="62"/>
      <c r="DY355" s="62"/>
      <c r="DZ355" s="62"/>
      <c r="EA355" s="62"/>
      <c r="EB355" s="62"/>
      <c r="EC355" s="62"/>
      <c r="ED355" s="62"/>
      <c r="EE355" s="454"/>
      <c r="EF355" s="62"/>
      <c r="EG355" s="62"/>
      <c r="EH355" s="62"/>
      <c r="EI355" s="62"/>
      <c r="EJ355" s="62"/>
      <c r="EK355" s="62"/>
      <c r="EL355" s="62"/>
      <c r="EM355" s="62"/>
      <c r="EN355" s="62"/>
      <c r="EO355" s="62"/>
      <c r="EP355" s="62"/>
      <c r="EQ355" s="62"/>
      <c r="ER355" s="62"/>
      <c r="ES355" s="62"/>
      <c r="ET355" s="62"/>
      <c r="EU355" s="62"/>
      <c r="EV355" s="62"/>
      <c r="EW355" s="62"/>
      <c r="EX355" s="62"/>
      <c r="EY355" s="62"/>
      <c r="EZ355" s="62"/>
      <c r="FA355" s="62"/>
      <c r="FB355" s="62"/>
      <c r="FC355" s="62"/>
      <c r="FD355" s="62"/>
      <c r="FE355" s="62"/>
      <c r="FF355" s="62"/>
    </row>
    <row r="356" spans="1:162" s="56" customFormat="1" hidden="1">
      <c r="A356" s="54"/>
      <c r="B356" s="55"/>
      <c r="C356" s="490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173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883"/>
      <c r="AH356" s="174"/>
      <c r="AI356" s="492"/>
      <c r="AJ356" s="905"/>
      <c r="AK356" s="919"/>
      <c r="AL356" s="174"/>
      <c r="AM356" s="174"/>
      <c r="AN356" s="174"/>
      <c r="AO356" s="928"/>
      <c r="AP356" s="174"/>
      <c r="AQ356" s="174"/>
      <c r="AR356" s="174"/>
      <c r="AS356" s="174"/>
      <c r="AT356" s="174"/>
      <c r="AU356" s="174"/>
      <c r="AV356" s="174"/>
      <c r="AW356" s="174"/>
      <c r="AX356" s="174"/>
      <c r="AY356" s="174"/>
      <c r="AZ356" s="174"/>
      <c r="BA356" s="174"/>
      <c r="BB356" s="174"/>
      <c r="BC356" s="174"/>
      <c r="BD356" s="174"/>
      <c r="BE356" s="174"/>
      <c r="BF356" s="174"/>
      <c r="BG356" s="174"/>
      <c r="BH356" s="174"/>
      <c r="BI356" s="174"/>
      <c r="BJ356" s="174"/>
      <c r="BK356" s="174"/>
      <c r="BL356" s="174"/>
      <c r="BM356" s="174"/>
      <c r="BN356" s="174"/>
      <c r="BO356" s="174"/>
      <c r="BP356" s="174"/>
      <c r="BQ356" s="174"/>
      <c r="BR356" s="174"/>
      <c r="BS356" s="174"/>
      <c r="BT356" s="174"/>
      <c r="BU356" s="174"/>
      <c r="BV356" s="174"/>
      <c r="BW356" s="174"/>
      <c r="BX356" s="174"/>
      <c r="BY356" s="174"/>
      <c r="BZ356" s="174"/>
      <c r="CA356" s="174"/>
      <c r="CB356" s="174"/>
      <c r="CC356" s="174"/>
      <c r="CD356" s="174"/>
      <c r="CE356" s="174"/>
      <c r="CF356" s="174"/>
      <c r="CG356" s="174"/>
      <c r="CH356" s="174"/>
      <c r="CI356" s="174"/>
      <c r="CJ356" s="174"/>
      <c r="CK356" s="174"/>
      <c r="CL356" s="174"/>
      <c r="CM356" s="174"/>
      <c r="CN356" s="174"/>
      <c r="CO356" s="174"/>
      <c r="CP356" s="174"/>
      <c r="CQ356" s="174"/>
      <c r="CR356" s="174"/>
      <c r="CS356" s="174"/>
      <c r="CT356" s="174"/>
      <c r="CU356" s="174"/>
      <c r="CV356" s="174"/>
      <c r="CW356" s="174"/>
      <c r="CX356" s="174"/>
      <c r="CY356" s="174"/>
      <c r="CZ356" s="174"/>
      <c r="DA356" s="174"/>
      <c r="DB356" s="174"/>
      <c r="DC356" s="174"/>
      <c r="DD356" s="174"/>
      <c r="DE356" s="174"/>
      <c r="DF356" s="174"/>
      <c r="DG356" s="174"/>
      <c r="DH356" s="174"/>
      <c r="DI356" s="174"/>
      <c r="DJ356" s="174"/>
      <c r="DK356" s="174"/>
      <c r="DL356" s="62"/>
      <c r="DM356" s="62"/>
      <c r="DN356" s="62"/>
      <c r="DO356" s="62"/>
      <c r="DP356" s="62"/>
      <c r="DQ356" s="62"/>
      <c r="DR356" s="62"/>
      <c r="DS356" s="62"/>
      <c r="DT356" s="62"/>
      <c r="DU356" s="62"/>
      <c r="DV356" s="62"/>
      <c r="DW356" s="62"/>
      <c r="DX356" s="62"/>
      <c r="DY356" s="62"/>
      <c r="DZ356" s="62"/>
      <c r="EA356" s="62"/>
      <c r="EB356" s="62"/>
      <c r="EC356" s="62"/>
      <c r="ED356" s="62"/>
      <c r="EE356" s="454"/>
      <c r="EF356" s="62"/>
      <c r="EG356" s="62"/>
      <c r="EH356" s="62"/>
      <c r="EI356" s="62"/>
      <c r="EJ356" s="62"/>
      <c r="EK356" s="62"/>
      <c r="EL356" s="62"/>
      <c r="EM356" s="62"/>
      <c r="EN356" s="62"/>
      <c r="EO356" s="62"/>
      <c r="EP356" s="62"/>
      <c r="EQ356" s="62"/>
      <c r="ER356" s="62"/>
      <c r="ES356" s="62"/>
      <c r="ET356" s="62"/>
      <c r="EU356" s="62"/>
      <c r="EV356" s="62"/>
      <c r="EW356" s="62"/>
      <c r="EX356" s="62"/>
      <c r="EY356" s="62"/>
      <c r="EZ356" s="62"/>
      <c r="FA356" s="62"/>
      <c r="FB356" s="62"/>
      <c r="FC356" s="62"/>
      <c r="FD356" s="62"/>
      <c r="FE356" s="62"/>
      <c r="FF356" s="62"/>
    </row>
    <row r="357" spans="1:162" s="56" customFormat="1" hidden="1">
      <c r="A357" s="54"/>
      <c r="B357" s="55"/>
      <c r="C357" s="490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173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883"/>
      <c r="AH357" s="174"/>
      <c r="AI357" s="492"/>
      <c r="AJ357" s="905"/>
      <c r="AK357" s="919"/>
      <c r="AL357" s="174"/>
      <c r="AM357" s="174"/>
      <c r="AN357" s="174"/>
      <c r="AO357" s="928"/>
      <c r="AP357" s="174"/>
      <c r="AQ357" s="174"/>
      <c r="AR357" s="174"/>
      <c r="AS357" s="174"/>
      <c r="AT357" s="174"/>
      <c r="AU357" s="174"/>
      <c r="AV357" s="174"/>
      <c r="AW357" s="174"/>
      <c r="AX357" s="174"/>
      <c r="AY357" s="174"/>
      <c r="AZ357" s="174"/>
      <c r="BA357" s="174"/>
      <c r="BB357" s="174"/>
      <c r="BC357" s="174"/>
      <c r="BD357" s="174"/>
      <c r="BE357" s="174"/>
      <c r="BF357" s="174"/>
      <c r="BG357" s="174"/>
      <c r="BH357" s="174"/>
      <c r="BI357" s="174"/>
      <c r="BJ357" s="174"/>
      <c r="BK357" s="174"/>
      <c r="BL357" s="174"/>
      <c r="BM357" s="174"/>
      <c r="BN357" s="174"/>
      <c r="BO357" s="174"/>
      <c r="BP357" s="174"/>
      <c r="BQ357" s="174"/>
      <c r="BR357" s="174"/>
      <c r="BS357" s="174"/>
      <c r="BT357" s="174"/>
      <c r="BU357" s="174"/>
      <c r="BV357" s="174"/>
      <c r="BW357" s="174"/>
      <c r="BX357" s="174"/>
      <c r="BY357" s="174"/>
      <c r="BZ357" s="174"/>
      <c r="CA357" s="174"/>
      <c r="CB357" s="174"/>
      <c r="CC357" s="174"/>
      <c r="CD357" s="174"/>
      <c r="CE357" s="174"/>
      <c r="CF357" s="174"/>
      <c r="CG357" s="174"/>
      <c r="CH357" s="174"/>
      <c r="CI357" s="174"/>
      <c r="CJ357" s="174"/>
      <c r="CK357" s="174"/>
      <c r="CL357" s="174"/>
      <c r="CM357" s="174"/>
      <c r="CN357" s="174"/>
      <c r="CO357" s="174"/>
      <c r="CP357" s="174"/>
      <c r="CQ357" s="174"/>
      <c r="CR357" s="174"/>
      <c r="CS357" s="174"/>
      <c r="CT357" s="174"/>
      <c r="CU357" s="174"/>
      <c r="CV357" s="174"/>
      <c r="CW357" s="174"/>
      <c r="CX357" s="174"/>
      <c r="CY357" s="174"/>
      <c r="CZ357" s="174"/>
      <c r="DA357" s="174"/>
      <c r="DB357" s="174"/>
      <c r="DC357" s="174"/>
      <c r="DD357" s="174"/>
      <c r="DE357" s="174"/>
      <c r="DF357" s="174"/>
      <c r="DG357" s="174"/>
      <c r="DH357" s="174"/>
      <c r="DI357" s="174"/>
      <c r="DJ357" s="174"/>
      <c r="DK357" s="174"/>
      <c r="DL357" s="62"/>
      <c r="DM357" s="62"/>
      <c r="DN357" s="62"/>
      <c r="DO357" s="62"/>
      <c r="DP357" s="62"/>
      <c r="DQ357" s="62"/>
      <c r="DR357" s="62"/>
      <c r="DS357" s="62"/>
      <c r="DT357" s="62"/>
      <c r="DU357" s="62"/>
      <c r="DV357" s="62"/>
      <c r="DW357" s="62"/>
      <c r="DX357" s="62"/>
      <c r="DY357" s="62"/>
      <c r="DZ357" s="62"/>
      <c r="EA357" s="62"/>
      <c r="EB357" s="62"/>
      <c r="EC357" s="62"/>
      <c r="ED357" s="62"/>
      <c r="EE357" s="454"/>
      <c r="EF357" s="62"/>
      <c r="EG357" s="62"/>
      <c r="EH357" s="62"/>
      <c r="EI357" s="62"/>
      <c r="EJ357" s="62"/>
      <c r="EK357" s="62"/>
      <c r="EL357" s="62"/>
      <c r="EM357" s="62"/>
      <c r="EN357" s="62"/>
      <c r="EO357" s="62"/>
      <c r="EP357" s="62"/>
      <c r="EQ357" s="62"/>
      <c r="ER357" s="62"/>
      <c r="ES357" s="62"/>
      <c r="ET357" s="62"/>
      <c r="EU357" s="62"/>
      <c r="EV357" s="62"/>
      <c r="EW357" s="62"/>
      <c r="EX357" s="62"/>
      <c r="EY357" s="62"/>
      <c r="EZ357" s="62"/>
      <c r="FA357" s="62"/>
      <c r="FB357" s="62"/>
      <c r="FC357" s="62"/>
      <c r="FD357" s="62"/>
      <c r="FE357" s="62"/>
      <c r="FF357" s="62"/>
    </row>
    <row r="358" spans="1:162" s="56" customFormat="1" hidden="1">
      <c r="A358" s="54"/>
      <c r="B358" s="55"/>
      <c r="C358" s="490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173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883"/>
      <c r="AH358" s="174"/>
      <c r="AI358" s="492"/>
      <c r="AJ358" s="905"/>
      <c r="AK358" s="919"/>
      <c r="AL358" s="174"/>
      <c r="AM358" s="174"/>
      <c r="AN358" s="174"/>
      <c r="AO358" s="928"/>
      <c r="AP358" s="174"/>
      <c r="AQ358" s="174"/>
      <c r="AR358" s="174"/>
      <c r="AS358" s="174"/>
      <c r="AT358" s="174"/>
      <c r="AU358" s="174"/>
      <c r="AV358" s="174"/>
      <c r="AW358" s="174"/>
      <c r="AX358" s="174"/>
      <c r="AY358" s="174"/>
      <c r="AZ358" s="174"/>
      <c r="BA358" s="174"/>
      <c r="BB358" s="174"/>
      <c r="BC358" s="174"/>
      <c r="BD358" s="174"/>
      <c r="BE358" s="174"/>
      <c r="BF358" s="174"/>
      <c r="BG358" s="174"/>
      <c r="BH358" s="174"/>
      <c r="BI358" s="174"/>
      <c r="BJ358" s="174"/>
      <c r="BK358" s="174"/>
      <c r="BL358" s="174"/>
      <c r="BM358" s="174"/>
      <c r="BN358" s="174"/>
      <c r="BO358" s="174"/>
      <c r="BP358" s="174"/>
      <c r="BQ358" s="174"/>
      <c r="BR358" s="174"/>
      <c r="BS358" s="174"/>
      <c r="BT358" s="174"/>
      <c r="BU358" s="174"/>
      <c r="BV358" s="174"/>
      <c r="BW358" s="174"/>
      <c r="BX358" s="174"/>
      <c r="BY358" s="174"/>
      <c r="BZ358" s="174"/>
      <c r="CA358" s="174"/>
      <c r="CB358" s="174"/>
      <c r="CC358" s="174"/>
      <c r="CD358" s="174"/>
      <c r="CE358" s="174"/>
      <c r="CF358" s="174"/>
      <c r="CG358" s="174"/>
      <c r="CH358" s="174"/>
      <c r="CI358" s="174"/>
      <c r="CJ358" s="174"/>
      <c r="CK358" s="174"/>
      <c r="CL358" s="174"/>
      <c r="CM358" s="174"/>
      <c r="CN358" s="174"/>
      <c r="CO358" s="174"/>
      <c r="CP358" s="174"/>
      <c r="CQ358" s="174"/>
      <c r="CR358" s="174"/>
      <c r="CS358" s="174"/>
      <c r="CT358" s="174"/>
      <c r="CU358" s="174"/>
      <c r="CV358" s="174"/>
      <c r="CW358" s="174"/>
      <c r="CX358" s="174"/>
      <c r="CY358" s="174"/>
      <c r="CZ358" s="174"/>
      <c r="DA358" s="174"/>
      <c r="DB358" s="174"/>
      <c r="DC358" s="174"/>
      <c r="DD358" s="174"/>
      <c r="DE358" s="174"/>
      <c r="DF358" s="174"/>
      <c r="DG358" s="174"/>
      <c r="DH358" s="174"/>
      <c r="DI358" s="174"/>
      <c r="DJ358" s="174"/>
      <c r="DK358" s="174"/>
      <c r="DL358" s="62"/>
      <c r="DM358" s="62"/>
      <c r="DN358" s="62"/>
      <c r="DO358" s="62"/>
      <c r="DP358" s="62"/>
      <c r="DQ358" s="62"/>
      <c r="DR358" s="62"/>
      <c r="DS358" s="62"/>
      <c r="DT358" s="62"/>
      <c r="DU358" s="62"/>
      <c r="DV358" s="62"/>
      <c r="DW358" s="62"/>
      <c r="DX358" s="62"/>
      <c r="DY358" s="62"/>
      <c r="DZ358" s="62"/>
      <c r="EA358" s="62"/>
      <c r="EB358" s="62"/>
      <c r="EC358" s="62"/>
      <c r="ED358" s="62"/>
      <c r="EE358" s="454"/>
      <c r="EF358" s="62"/>
      <c r="EG358" s="62"/>
      <c r="EH358" s="62"/>
      <c r="EI358" s="62"/>
      <c r="EJ358" s="62"/>
      <c r="EK358" s="62"/>
      <c r="EL358" s="62"/>
      <c r="EM358" s="62"/>
      <c r="EN358" s="62"/>
      <c r="EO358" s="62"/>
      <c r="EP358" s="62"/>
      <c r="EQ358" s="62"/>
      <c r="ER358" s="62"/>
      <c r="ES358" s="62"/>
      <c r="ET358" s="62"/>
      <c r="EU358" s="62"/>
      <c r="EV358" s="62"/>
      <c r="EW358" s="62"/>
      <c r="EX358" s="62"/>
      <c r="EY358" s="62"/>
      <c r="EZ358" s="62"/>
      <c r="FA358" s="62"/>
      <c r="FB358" s="62"/>
      <c r="FC358" s="62"/>
      <c r="FD358" s="62"/>
      <c r="FE358" s="62"/>
      <c r="FF358" s="62"/>
    </row>
    <row r="359" spans="1:162" hidden="1">
      <c r="A359" s="487">
        <f>MATCH(C359,$C$5:$C$361,0)</f>
        <v>355</v>
      </c>
      <c r="C359" s="14" t="s">
        <v>3212</v>
      </c>
      <c r="D359" s="14">
        <f>SUM(D327:D358)</f>
        <v>0</v>
      </c>
      <c r="E359" s="14">
        <f t="shared" ref="E359:CZ359" si="173">SUM(E327:E358)</f>
        <v>0</v>
      </c>
      <c r="F359" s="14">
        <f t="shared" si="173"/>
        <v>0</v>
      </c>
      <c r="G359" s="14">
        <f t="shared" si="173"/>
        <v>0</v>
      </c>
      <c r="H359" s="14">
        <f t="shared" si="173"/>
        <v>0</v>
      </c>
      <c r="I359" s="14">
        <f>SUM(I327:I358)</f>
        <v>0</v>
      </c>
      <c r="J359" s="14">
        <f t="shared" si="173"/>
        <v>0</v>
      </c>
      <c r="K359" s="14">
        <f>SUM(K327:K358)</f>
        <v>0</v>
      </c>
      <c r="L359" s="14">
        <f t="shared" si="173"/>
        <v>0</v>
      </c>
      <c r="M359" s="14">
        <f t="shared" si="173"/>
        <v>0</v>
      </c>
      <c r="N359" s="14">
        <f t="shared" si="173"/>
        <v>0</v>
      </c>
      <c r="O359" s="14">
        <f t="shared" si="173"/>
        <v>0</v>
      </c>
      <c r="P359" s="14">
        <f t="shared" si="173"/>
        <v>0</v>
      </c>
      <c r="Q359" s="14">
        <f t="shared" si="173"/>
        <v>0</v>
      </c>
      <c r="R359" s="14"/>
      <c r="S359" s="175">
        <f t="shared" si="173"/>
        <v>0</v>
      </c>
      <c r="T359" s="175">
        <f>SUM(T327:T358)</f>
        <v>0</v>
      </c>
      <c r="U359" s="175">
        <f t="shared" si="173"/>
        <v>0</v>
      </c>
      <c r="V359" s="175">
        <f t="shared" si="173"/>
        <v>0</v>
      </c>
      <c r="W359" s="175">
        <f t="shared" si="173"/>
        <v>0</v>
      </c>
      <c r="X359" s="175">
        <f t="shared" si="173"/>
        <v>0</v>
      </c>
      <c r="Y359" s="175">
        <f t="shared" si="173"/>
        <v>0</v>
      </c>
      <c r="Z359" s="175">
        <f t="shared" si="173"/>
        <v>0</v>
      </c>
      <c r="AA359" s="175">
        <f t="shared" si="173"/>
        <v>0</v>
      </c>
      <c r="AB359" s="175">
        <f t="shared" si="173"/>
        <v>0</v>
      </c>
      <c r="AC359" s="175">
        <f t="shared" si="173"/>
        <v>0</v>
      </c>
      <c r="AD359" s="175">
        <f t="shared" si="173"/>
        <v>0</v>
      </c>
      <c r="AE359" s="175">
        <f t="shared" si="173"/>
        <v>0</v>
      </c>
      <c r="AF359" s="175">
        <f t="shared" si="173"/>
        <v>0</v>
      </c>
      <c r="AG359" s="884">
        <f>SUM(AG327:AG358)</f>
        <v>0</v>
      </c>
      <c r="AH359" s="175">
        <f t="shared" si="173"/>
        <v>0</v>
      </c>
      <c r="AI359" s="178">
        <f>SUM(AI327:AI358)</f>
        <v>0</v>
      </c>
      <c r="AJ359" s="906">
        <f t="shared" si="173"/>
        <v>0</v>
      </c>
      <c r="AK359" s="920">
        <f>SUM(AK327:AK358)</f>
        <v>0</v>
      </c>
      <c r="AL359" s="175">
        <f t="shared" si="173"/>
        <v>0</v>
      </c>
      <c r="AM359" s="175">
        <f t="shared" si="173"/>
        <v>0</v>
      </c>
      <c r="AN359" s="175">
        <f t="shared" si="173"/>
        <v>0</v>
      </c>
      <c r="AO359" s="929">
        <f t="shared" si="173"/>
        <v>0</v>
      </c>
      <c r="AP359" s="175">
        <f>SUM(AP327:AP358)</f>
        <v>0</v>
      </c>
      <c r="AQ359" s="175">
        <f>SUM(AQ327:AQ358)</f>
        <v>0</v>
      </c>
      <c r="AR359" s="175">
        <f t="shared" si="173"/>
        <v>0</v>
      </c>
      <c r="AS359" s="175">
        <f t="shared" si="173"/>
        <v>0</v>
      </c>
      <c r="AT359" s="175">
        <f t="shared" si="173"/>
        <v>0</v>
      </c>
      <c r="AU359" s="175">
        <f t="shared" si="173"/>
        <v>0</v>
      </c>
      <c r="AV359" s="175">
        <f t="shared" si="173"/>
        <v>0</v>
      </c>
      <c r="AW359" s="175">
        <f t="shared" si="173"/>
        <v>0</v>
      </c>
      <c r="AX359" s="175">
        <f t="shared" si="173"/>
        <v>0</v>
      </c>
      <c r="AY359" s="175">
        <f>SUM(AY327:AY358)</f>
        <v>0</v>
      </c>
      <c r="AZ359" s="175">
        <f>SUM(AZ327:AZ358)</f>
        <v>0</v>
      </c>
      <c r="BA359" s="175">
        <f t="shared" si="173"/>
        <v>0</v>
      </c>
      <c r="BB359" s="175">
        <f t="shared" si="173"/>
        <v>0</v>
      </c>
      <c r="BC359" s="175">
        <f t="shared" ref="BC359:BJ359" si="174">SUM(BC327:BC358)</f>
        <v>0</v>
      </c>
      <c r="BD359" s="175">
        <f t="shared" si="174"/>
        <v>0</v>
      </c>
      <c r="BE359" s="175">
        <f t="shared" si="174"/>
        <v>0</v>
      </c>
      <c r="BF359" s="175">
        <f t="shared" si="174"/>
        <v>0</v>
      </c>
      <c r="BG359" s="175">
        <f t="shared" si="174"/>
        <v>0</v>
      </c>
      <c r="BH359" s="175">
        <f t="shared" si="174"/>
        <v>0</v>
      </c>
      <c r="BI359" s="175">
        <f t="shared" si="174"/>
        <v>0</v>
      </c>
      <c r="BJ359" s="175">
        <f t="shared" si="174"/>
        <v>0</v>
      </c>
      <c r="BK359" s="175">
        <f t="shared" ref="BK359:BR359" si="175">SUM(BK327:BK358)</f>
        <v>0</v>
      </c>
      <c r="BL359" s="175">
        <f t="shared" si="175"/>
        <v>0</v>
      </c>
      <c r="BM359" s="175">
        <f t="shared" si="175"/>
        <v>0</v>
      </c>
      <c r="BN359" s="175">
        <f t="shared" si="175"/>
        <v>0</v>
      </c>
      <c r="BO359" s="175">
        <f t="shared" si="175"/>
        <v>0</v>
      </c>
      <c r="BP359" s="175">
        <f t="shared" si="175"/>
        <v>0</v>
      </c>
      <c r="BQ359" s="175">
        <f t="shared" si="175"/>
        <v>0</v>
      </c>
      <c r="BR359" s="175">
        <f t="shared" si="175"/>
        <v>0</v>
      </c>
      <c r="BS359" s="175">
        <f>SUM(BS327:BS358)</f>
        <v>0</v>
      </c>
      <c r="BT359" s="175">
        <f>SUM(BT327:BT358)</f>
        <v>0</v>
      </c>
      <c r="BU359" s="175">
        <f t="shared" si="173"/>
        <v>0</v>
      </c>
      <c r="BV359" s="175">
        <f t="shared" si="173"/>
        <v>0</v>
      </c>
      <c r="BW359" s="175">
        <f t="shared" si="173"/>
        <v>0</v>
      </c>
      <c r="BX359" s="175">
        <f>SUM(BX327:BX358)</f>
        <v>0</v>
      </c>
      <c r="BY359" s="175">
        <f>SUM(BY327:BY358)</f>
        <v>0</v>
      </c>
      <c r="BZ359" s="175">
        <f>SUM(BZ327:BZ358)</f>
        <v>0</v>
      </c>
      <c r="CA359" s="175">
        <f>SUM(CA327:CA358)</f>
        <v>0</v>
      </c>
      <c r="CB359" s="175">
        <f>SUM(CB327:CB358)</f>
        <v>0</v>
      </c>
      <c r="CC359" s="175">
        <f t="shared" si="173"/>
        <v>0</v>
      </c>
      <c r="CD359" s="175">
        <f t="shared" si="173"/>
        <v>0</v>
      </c>
      <c r="CE359" s="175">
        <f t="shared" si="173"/>
        <v>0</v>
      </c>
      <c r="CF359" s="175">
        <f>SUM(CF327:CF358)</f>
        <v>0</v>
      </c>
      <c r="CG359" s="175">
        <f>SUM(CG327:CG358)</f>
        <v>0</v>
      </c>
      <c r="CH359" s="175">
        <f t="shared" si="173"/>
        <v>0</v>
      </c>
      <c r="CI359" s="175">
        <f t="shared" ref="CI359:CN359" si="176">SUM(CI327:CI358)</f>
        <v>0</v>
      </c>
      <c r="CJ359" s="175">
        <f t="shared" si="176"/>
        <v>0</v>
      </c>
      <c r="CK359" s="175">
        <f t="shared" si="176"/>
        <v>0</v>
      </c>
      <c r="CL359" s="175">
        <f t="shared" si="176"/>
        <v>0</v>
      </c>
      <c r="CM359" s="175">
        <f t="shared" si="176"/>
        <v>0</v>
      </c>
      <c r="CN359" s="175">
        <f t="shared" si="176"/>
        <v>0</v>
      </c>
      <c r="CO359" s="175">
        <f t="shared" si="173"/>
        <v>0</v>
      </c>
      <c r="CP359" s="175">
        <f>SUM(CP327:CP358)</f>
        <v>0</v>
      </c>
      <c r="CQ359" s="175">
        <f t="shared" si="173"/>
        <v>0</v>
      </c>
      <c r="CR359" s="175">
        <f t="shared" si="173"/>
        <v>0</v>
      </c>
      <c r="CS359" s="175">
        <f t="shared" si="173"/>
        <v>0</v>
      </c>
      <c r="CT359" s="175">
        <f t="shared" si="173"/>
        <v>0</v>
      </c>
      <c r="CU359" s="175">
        <f>SUM(CU327:CU358)</f>
        <v>0</v>
      </c>
      <c r="CV359" s="175">
        <f>SUM(CV327:CV358)</f>
        <v>0</v>
      </c>
      <c r="CW359" s="175">
        <f t="shared" si="173"/>
        <v>0</v>
      </c>
      <c r="CX359" s="175">
        <f t="shared" si="173"/>
        <v>0</v>
      </c>
      <c r="CY359" s="175">
        <f t="shared" si="173"/>
        <v>0</v>
      </c>
      <c r="CZ359" s="175">
        <f t="shared" si="173"/>
        <v>0</v>
      </c>
      <c r="DA359" s="175">
        <f t="shared" ref="DA359:FE359" si="177">SUM(DA327:DA358)</f>
        <v>0</v>
      </c>
      <c r="DB359" s="175">
        <f t="shared" si="177"/>
        <v>0</v>
      </c>
      <c r="DC359" s="175">
        <f t="shared" si="177"/>
        <v>0</v>
      </c>
      <c r="DD359" s="175">
        <f t="shared" si="177"/>
        <v>0</v>
      </c>
      <c r="DE359" s="175">
        <f t="shared" si="177"/>
        <v>0</v>
      </c>
      <c r="DF359" s="175">
        <f t="shared" si="177"/>
        <v>0</v>
      </c>
      <c r="DG359" s="175">
        <f t="shared" si="177"/>
        <v>0</v>
      </c>
      <c r="DH359" s="175">
        <f t="shared" si="177"/>
        <v>0</v>
      </c>
      <c r="DI359" s="175">
        <f t="shared" si="177"/>
        <v>0</v>
      </c>
      <c r="DJ359" s="175">
        <f t="shared" si="177"/>
        <v>0</v>
      </c>
      <c r="DK359" s="175">
        <f t="shared" si="177"/>
        <v>0</v>
      </c>
      <c r="DL359" s="14">
        <f t="shared" si="177"/>
        <v>0</v>
      </c>
      <c r="DM359" s="14">
        <f t="shared" si="177"/>
        <v>0</v>
      </c>
      <c r="DN359" s="14">
        <f>SUM(DN327:DN358)</f>
        <v>0</v>
      </c>
      <c r="DO359" s="14">
        <f>SUM(DO327:DO358)</f>
        <v>0</v>
      </c>
      <c r="DP359" s="14">
        <f>SUM(DP327:DP358)</f>
        <v>0</v>
      </c>
      <c r="DQ359" s="14">
        <f>SUM(DQ327:DQ358)</f>
        <v>0</v>
      </c>
      <c r="DR359" s="14">
        <f>SUM(DR327:DR358)</f>
        <v>0</v>
      </c>
      <c r="DS359" s="14">
        <f t="shared" si="177"/>
        <v>0</v>
      </c>
      <c r="DT359" s="14">
        <f t="shared" si="177"/>
        <v>0</v>
      </c>
      <c r="DU359" s="14">
        <f t="shared" si="177"/>
        <v>0</v>
      </c>
      <c r="DV359" s="14">
        <f>SUM(DV327:DV358)</f>
        <v>0</v>
      </c>
      <c r="DW359" s="14">
        <f>SUM(DW327:DW358)</f>
        <v>0</v>
      </c>
      <c r="DX359" s="14">
        <f t="shared" si="177"/>
        <v>0</v>
      </c>
      <c r="DY359" s="14">
        <f t="shared" si="177"/>
        <v>0</v>
      </c>
      <c r="DZ359" s="14">
        <f t="shared" si="177"/>
        <v>0</v>
      </c>
      <c r="EA359" s="14">
        <f>SUM(EA327:EA358)</f>
        <v>0</v>
      </c>
      <c r="EB359" s="14">
        <f t="shared" si="177"/>
        <v>0</v>
      </c>
      <c r="EC359" s="14">
        <f t="shared" si="177"/>
        <v>0</v>
      </c>
      <c r="ED359" s="14">
        <f>SUM(ED327:ED358)</f>
        <v>0</v>
      </c>
      <c r="EE359" s="508"/>
      <c r="EF359" s="14">
        <f t="shared" si="177"/>
        <v>0</v>
      </c>
      <c r="EG359" s="14">
        <f>SUM(EG327:EG358)</f>
        <v>0</v>
      </c>
      <c r="EH359" s="14">
        <f>SUM(EH327:EH358)</f>
        <v>0</v>
      </c>
      <c r="EI359" s="14">
        <f>SUM(EI327:EI358)</f>
        <v>0</v>
      </c>
      <c r="EJ359" s="14">
        <f t="shared" si="177"/>
        <v>0</v>
      </c>
      <c r="EK359" s="14">
        <f t="shared" si="177"/>
        <v>0</v>
      </c>
      <c r="EL359" s="14">
        <f>SUM(EL327:EL358)</f>
        <v>0</v>
      </c>
      <c r="EM359" s="14">
        <f t="shared" si="177"/>
        <v>0</v>
      </c>
      <c r="EN359" s="14">
        <f>SUM(EN327:EN358)</f>
        <v>0</v>
      </c>
      <c r="EO359" s="14">
        <f t="shared" si="177"/>
        <v>0</v>
      </c>
      <c r="EP359" s="14">
        <f t="shared" si="177"/>
        <v>0</v>
      </c>
      <c r="EQ359" s="14">
        <f>SUM(EQ327:EQ358)</f>
        <v>0</v>
      </c>
      <c r="ER359" s="14">
        <f>SUM(ER327:ER358)</f>
        <v>0</v>
      </c>
      <c r="ES359" s="14">
        <f>SUM(ES327:ES358)</f>
        <v>0</v>
      </c>
      <c r="ET359" s="14">
        <f t="shared" si="177"/>
        <v>0</v>
      </c>
      <c r="EU359" s="14">
        <f t="shared" si="177"/>
        <v>0</v>
      </c>
      <c r="EV359" s="14">
        <f t="shared" si="177"/>
        <v>0</v>
      </c>
      <c r="EW359" s="14">
        <f t="shared" si="177"/>
        <v>0</v>
      </c>
      <c r="EX359" s="14">
        <f>SUM(EX327:EX358)</f>
        <v>0</v>
      </c>
      <c r="EY359" s="14">
        <f t="shared" si="177"/>
        <v>0</v>
      </c>
      <c r="EZ359" s="14">
        <f>SUM(EZ327:EZ358)</f>
        <v>0</v>
      </c>
      <c r="FA359" s="14">
        <f t="shared" si="177"/>
        <v>0</v>
      </c>
      <c r="FB359" s="14">
        <f t="shared" si="177"/>
        <v>0</v>
      </c>
      <c r="FC359" s="14">
        <f>SUM(FC327:FC358)</f>
        <v>0</v>
      </c>
      <c r="FD359" s="14">
        <f>SUM(FD327:FD358)</f>
        <v>0</v>
      </c>
      <c r="FE359" s="440">
        <f t="shared" si="177"/>
        <v>0</v>
      </c>
      <c r="FF359" s="14"/>
    </row>
    <row r="360" spans="1:162">
      <c r="A360" s="54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892"/>
      <c r="AH360" s="177"/>
      <c r="AI360" s="900"/>
      <c r="AJ360" s="914"/>
      <c r="AK360" s="924"/>
      <c r="AL360" s="177"/>
      <c r="AM360" s="177"/>
      <c r="AN360" s="177"/>
      <c r="AO360" s="934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77"/>
      <c r="CF360" s="177"/>
      <c r="CG360" s="177"/>
      <c r="CH360" s="177"/>
      <c r="CI360" s="177"/>
      <c r="CJ360" s="177"/>
      <c r="CK360" s="177"/>
      <c r="CL360" s="177"/>
      <c r="CM360" s="177"/>
      <c r="CN360" s="177"/>
      <c r="CO360" s="177"/>
      <c r="CP360" s="177"/>
      <c r="CQ360" s="177"/>
      <c r="CR360" s="177"/>
      <c r="CS360" s="177"/>
      <c r="CT360" s="177"/>
      <c r="CU360" s="177"/>
      <c r="CV360" s="177"/>
      <c r="CW360" s="177"/>
      <c r="CX360" s="177"/>
      <c r="CY360" s="177"/>
      <c r="CZ360" s="177"/>
      <c r="DA360" s="177"/>
      <c r="DB360" s="177"/>
      <c r="DC360" s="177"/>
      <c r="DD360" s="177"/>
      <c r="DE360" s="177"/>
      <c r="DF360" s="177"/>
      <c r="DG360" s="177"/>
      <c r="DH360" s="177"/>
      <c r="DI360" s="177"/>
      <c r="DJ360" s="177"/>
      <c r="DK360" s="177"/>
    </row>
    <row r="361" spans="1:162">
      <c r="A361" s="487">
        <f>MATCH(C361,$C$5:$C$361,0)</f>
        <v>357</v>
      </c>
      <c r="C361" s="16" t="s">
        <v>1512</v>
      </c>
      <c r="D361" s="494">
        <f t="shared" ref="D361:L361" si="178">SUM(D7:D359)/2</f>
        <v>6338.7999999999993</v>
      </c>
      <c r="E361" s="494">
        <f t="shared" si="178"/>
        <v>14613.400000000001</v>
      </c>
      <c r="F361" s="494">
        <f t="shared" si="178"/>
        <v>0</v>
      </c>
      <c r="G361" s="494">
        <f t="shared" si="178"/>
        <v>0</v>
      </c>
      <c r="H361" s="494">
        <f t="shared" si="178"/>
        <v>0</v>
      </c>
      <c r="I361" s="494">
        <f t="shared" si="178"/>
        <v>0</v>
      </c>
      <c r="J361" s="494">
        <f t="shared" si="178"/>
        <v>0</v>
      </c>
      <c r="K361" s="494">
        <f t="shared" si="178"/>
        <v>0</v>
      </c>
      <c r="L361" s="494">
        <f t="shared" si="178"/>
        <v>6338.7999999999993</v>
      </c>
      <c r="M361" s="16">
        <f>M26+M189+M359</f>
        <v>0</v>
      </c>
      <c r="N361" s="16">
        <f>N26+N189+N359</f>
        <v>0</v>
      </c>
      <c r="O361" s="16">
        <f>O26+O189+O359</f>
        <v>0</v>
      </c>
      <c r="P361" s="16">
        <f>P26+P189+P359</f>
        <v>0</v>
      </c>
      <c r="Q361" s="16">
        <f>Q26+Q189+Q359</f>
        <v>0</v>
      </c>
      <c r="R361" s="16"/>
      <c r="S361" s="178">
        <f t="shared" ref="S361:AX361" si="179">SUM(S7:S359)/2</f>
        <v>2</v>
      </c>
      <c r="T361" s="178">
        <f t="shared" si="179"/>
        <v>0</v>
      </c>
      <c r="U361" s="178">
        <f t="shared" si="179"/>
        <v>0</v>
      </c>
      <c r="V361" s="178">
        <f t="shared" si="179"/>
        <v>245</v>
      </c>
      <c r="W361" s="178">
        <f t="shared" si="179"/>
        <v>0</v>
      </c>
      <c r="X361" s="178">
        <f t="shared" si="179"/>
        <v>9</v>
      </c>
      <c r="Y361" s="178">
        <f t="shared" si="179"/>
        <v>0</v>
      </c>
      <c r="Z361" s="178">
        <f t="shared" si="179"/>
        <v>0</v>
      </c>
      <c r="AA361" s="178">
        <f t="shared" si="179"/>
        <v>0</v>
      </c>
      <c r="AB361" s="178">
        <f t="shared" si="179"/>
        <v>0</v>
      </c>
      <c r="AC361" s="178">
        <f t="shared" si="179"/>
        <v>0</v>
      </c>
      <c r="AD361" s="178">
        <f t="shared" si="179"/>
        <v>57</v>
      </c>
      <c r="AE361" s="178">
        <f t="shared" si="179"/>
        <v>0</v>
      </c>
      <c r="AF361" s="178">
        <f t="shared" si="179"/>
        <v>11</v>
      </c>
      <c r="AG361" s="884">
        <f t="shared" si="179"/>
        <v>6</v>
      </c>
      <c r="AH361" s="178">
        <f t="shared" si="179"/>
        <v>0</v>
      </c>
      <c r="AI361" s="178">
        <f t="shared" si="179"/>
        <v>1</v>
      </c>
      <c r="AJ361" s="906">
        <f t="shared" si="179"/>
        <v>71</v>
      </c>
      <c r="AK361" s="920">
        <f t="shared" si="179"/>
        <v>15</v>
      </c>
      <c r="AL361" s="178">
        <f t="shared" si="179"/>
        <v>1</v>
      </c>
      <c r="AM361" s="178">
        <f t="shared" si="179"/>
        <v>0</v>
      </c>
      <c r="AN361" s="178">
        <f t="shared" si="179"/>
        <v>0</v>
      </c>
      <c r="AO361" s="929">
        <f t="shared" si="179"/>
        <v>4</v>
      </c>
      <c r="AP361" s="178">
        <f t="shared" si="179"/>
        <v>0</v>
      </c>
      <c r="AQ361" s="178">
        <f t="shared" si="179"/>
        <v>0</v>
      </c>
      <c r="AR361" s="178">
        <f t="shared" si="179"/>
        <v>0</v>
      </c>
      <c r="AS361" s="178">
        <f t="shared" si="179"/>
        <v>0</v>
      </c>
      <c r="AT361" s="178">
        <f t="shared" si="179"/>
        <v>5</v>
      </c>
      <c r="AU361" s="178">
        <f t="shared" si="179"/>
        <v>0</v>
      </c>
      <c r="AV361" s="178">
        <f t="shared" si="179"/>
        <v>0</v>
      </c>
      <c r="AW361" s="178">
        <f t="shared" si="179"/>
        <v>0</v>
      </c>
      <c r="AX361" s="178">
        <f t="shared" si="179"/>
        <v>0</v>
      </c>
      <c r="AY361" s="178">
        <f t="shared" ref="AY361:CD361" si="180">SUM(AY7:AY359)/2</f>
        <v>0</v>
      </c>
      <c r="AZ361" s="178">
        <f t="shared" si="180"/>
        <v>0</v>
      </c>
      <c r="BA361" s="178">
        <f t="shared" si="180"/>
        <v>3</v>
      </c>
      <c r="BB361" s="178">
        <f t="shared" si="180"/>
        <v>0</v>
      </c>
      <c r="BC361" s="178">
        <f t="shared" si="180"/>
        <v>2</v>
      </c>
      <c r="BD361" s="178">
        <f t="shared" si="180"/>
        <v>0</v>
      </c>
      <c r="BE361" s="178">
        <f t="shared" si="180"/>
        <v>0</v>
      </c>
      <c r="BF361" s="178">
        <f t="shared" si="180"/>
        <v>27</v>
      </c>
      <c r="BG361" s="178">
        <f t="shared" si="180"/>
        <v>0</v>
      </c>
      <c r="BH361" s="178">
        <f t="shared" si="180"/>
        <v>0</v>
      </c>
      <c r="BI361" s="178">
        <f t="shared" si="180"/>
        <v>9</v>
      </c>
      <c r="BJ361" s="178">
        <f t="shared" si="180"/>
        <v>3</v>
      </c>
      <c r="BK361" s="178">
        <f t="shared" si="180"/>
        <v>24</v>
      </c>
      <c r="BL361" s="178">
        <f t="shared" si="180"/>
        <v>0</v>
      </c>
      <c r="BM361" s="178">
        <f t="shared" si="180"/>
        <v>7</v>
      </c>
      <c r="BN361" s="178">
        <f t="shared" si="180"/>
        <v>13</v>
      </c>
      <c r="BO361" s="178">
        <f t="shared" si="180"/>
        <v>0</v>
      </c>
      <c r="BP361" s="178">
        <f t="shared" si="180"/>
        <v>0</v>
      </c>
      <c r="BQ361" s="178">
        <f t="shared" si="180"/>
        <v>26</v>
      </c>
      <c r="BR361" s="178">
        <f t="shared" si="180"/>
        <v>16</v>
      </c>
      <c r="BS361" s="178">
        <f t="shared" si="180"/>
        <v>0</v>
      </c>
      <c r="BT361" s="178">
        <f t="shared" si="180"/>
        <v>0</v>
      </c>
      <c r="BU361" s="178">
        <f t="shared" si="180"/>
        <v>0</v>
      </c>
      <c r="BV361" s="178">
        <f t="shared" si="180"/>
        <v>13</v>
      </c>
      <c r="BW361" s="178">
        <f t="shared" si="180"/>
        <v>37</v>
      </c>
      <c r="BX361" s="178">
        <f t="shared" si="180"/>
        <v>0</v>
      </c>
      <c r="BY361" s="178">
        <f t="shared" si="180"/>
        <v>1</v>
      </c>
      <c r="BZ361" s="178">
        <f t="shared" si="180"/>
        <v>7</v>
      </c>
      <c r="CA361" s="178">
        <f t="shared" si="180"/>
        <v>4</v>
      </c>
      <c r="CB361" s="178">
        <f t="shared" si="180"/>
        <v>8</v>
      </c>
      <c r="CC361" s="178">
        <f t="shared" si="180"/>
        <v>39</v>
      </c>
      <c r="CD361" s="178">
        <f t="shared" si="180"/>
        <v>27</v>
      </c>
      <c r="CE361" s="178">
        <f t="shared" ref="CE361:DK361" si="181">SUM(CE7:CE359)/2</f>
        <v>425</v>
      </c>
      <c r="CF361" s="178">
        <f t="shared" si="181"/>
        <v>194</v>
      </c>
      <c r="CG361" s="178">
        <f t="shared" si="181"/>
        <v>313</v>
      </c>
      <c r="CH361" s="178">
        <f t="shared" si="181"/>
        <v>202</v>
      </c>
      <c r="CI361" s="178">
        <f t="shared" si="181"/>
        <v>0</v>
      </c>
      <c r="CJ361" s="178">
        <f t="shared" si="181"/>
        <v>0</v>
      </c>
      <c r="CK361" s="178">
        <f t="shared" si="181"/>
        <v>0</v>
      </c>
      <c r="CL361" s="178">
        <f t="shared" si="181"/>
        <v>0</v>
      </c>
      <c r="CM361" s="178">
        <f t="shared" si="181"/>
        <v>0</v>
      </c>
      <c r="CN361" s="178">
        <f t="shared" si="181"/>
        <v>0</v>
      </c>
      <c r="CO361" s="178">
        <f t="shared" si="181"/>
        <v>30</v>
      </c>
      <c r="CP361" s="178">
        <f t="shared" si="181"/>
        <v>0</v>
      </c>
      <c r="CQ361" s="178">
        <f t="shared" si="181"/>
        <v>74</v>
      </c>
      <c r="CR361" s="178">
        <f t="shared" si="181"/>
        <v>44</v>
      </c>
      <c r="CS361" s="178">
        <f t="shared" si="181"/>
        <v>93</v>
      </c>
      <c r="CT361" s="178">
        <f t="shared" si="181"/>
        <v>0</v>
      </c>
      <c r="CU361" s="178">
        <f t="shared" si="181"/>
        <v>0</v>
      </c>
      <c r="CV361" s="178">
        <f t="shared" si="181"/>
        <v>0</v>
      </c>
      <c r="CW361" s="178">
        <f t="shared" si="181"/>
        <v>0</v>
      </c>
      <c r="CX361" s="178">
        <f t="shared" si="181"/>
        <v>77</v>
      </c>
      <c r="CY361" s="178">
        <f t="shared" si="181"/>
        <v>74</v>
      </c>
      <c r="CZ361" s="178">
        <f t="shared" si="181"/>
        <v>49</v>
      </c>
      <c r="DA361" s="178">
        <f t="shared" si="181"/>
        <v>0</v>
      </c>
      <c r="DB361" s="178">
        <f t="shared" si="181"/>
        <v>18</v>
      </c>
      <c r="DC361" s="178">
        <f t="shared" si="181"/>
        <v>6</v>
      </c>
      <c r="DD361" s="178">
        <f t="shared" si="181"/>
        <v>8</v>
      </c>
      <c r="DE361" s="178">
        <f t="shared" si="181"/>
        <v>0</v>
      </c>
      <c r="DF361" s="178">
        <f t="shared" si="181"/>
        <v>0</v>
      </c>
      <c r="DG361" s="178">
        <f t="shared" si="181"/>
        <v>0</v>
      </c>
      <c r="DH361" s="178">
        <f t="shared" si="181"/>
        <v>0</v>
      </c>
      <c r="DI361" s="178">
        <f t="shared" si="181"/>
        <v>34</v>
      </c>
      <c r="DJ361" s="178">
        <f t="shared" si="181"/>
        <v>0</v>
      </c>
      <c r="DK361" s="178">
        <f t="shared" si="181"/>
        <v>27</v>
      </c>
      <c r="DL361" s="493">
        <f t="shared" ref="DL361:DT361" si="182">SUM(DL8:DL359)/2</f>
        <v>66</v>
      </c>
      <c r="DM361" s="493">
        <f t="shared" si="182"/>
        <v>3</v>
      </c>
      <c r="DN361" s="493">
        <f t="shared" si="182"/>
        <v>0</v>
      </c>
      <c r="DO361" s="493">
        <f t="shared" si="182"/>
        <v>0</v>
      </c>
      <c r="DP361" s="493">
        <f t="shared" si="182"/>
        <v>0</v>
      </c>
      <c r="DQ361" s="493">
        <f t="shared" si="182"/>
        <v>0</v>
      </c>
      <c r="DR361" s="493">
        <f t="shared" si="182"/>
        <v>0</v>
      </c>
      <c r="DS361" s="493">
        <f t="shared" si="182"/>
        <v>58</v>
      </c>
      <c r="DT361" s="493">
        <f t="shared" si="182"/>
        <v>148</v>
      </c>
      <c r="DU361" s="16">
        <f>DU26+DU189+DU359</f>
        <v>0</v>
      </c>
      <c r="DV361" s="493">
        <f>SUM(DV8:DV359)/2</f>
        <v>0</v>
      </c>
      <c r="DW361" s="16">
        <f>DW26+DW189+DW359</f>
        <v>0</v>
      </c>
      <c r="DX361" s="178">
        <f t="shared" ref="DX361:ED361" si="183">SUM(DX7:DX359)/2</f>
        <v>0</v>
      </c>
      <c r="DY361" s="178">
        <f t="shared" si="183"/>
        <v>0</v>
      </c>
      <c r="DZ361" s="178">
        <f t="shared" si="183"/>
        <v>0</v>
      </c>
      <c r="EA361" s="178">
        <f t="shared" si="183"/>
        <v>0</v>
      </c>
      <c r="EB361" s="178">
        <f t="shared" si="183"/>
        <v>0</v>
      </c>
      <c r="EC361" s="178">
        <f t="shared" si="183"/>
        <v>0</v>
      </c>
      <c r="ED361" s="178">
        <f t="shared" si="183"/>
        <v>0</v>
      </c>
      <c r="EE361" s="178">
        <f t="shared" ref="EE361:FE361" si="184">SUM(EE7:EE359)/2</f>
        <v>2</v>
      </c>
      <c r="EF361" s="178">
        <f t="shared" si="184"/>
        <v>1</v>
      </c>
      <c r="EG361" s="178">
        <f t="shared" si="184"/>
        <v>0</v>
      </c>
      <c r="EH361" s="178">
        <f t="shared" si="184"/>
        <v>0</v>
      </c>
      <c r="EI361" s="178">
        <f t="shared" si="184"/>
        <v>0</v>
      </c>
      <c r="EJ361" s="178">
        <f t="shared" si="184"/>
        <v>0</v>
      </c>
      <c r="EK361" s="178">
        <f t="shared" si="184"/>
        <v>0</v>
      </c>
      <c r="EL361" s="178">
        <f t="shared" si="184"/>
        <v>0</v>
      </c>
      <c r="EM361" s="178">
        <f t="shared" si="184"/>
        <v>0</v>
      </c>
      <c r="EN361" s="178">
        <f t="shared" si="184"/>
        <v>0</v>
      </c>
      <c r="EO361" s="178">
        <f t="shared" si="184"/>
        <v>0</v>
      </c>
      <c r="EP361" s="178">
        <f t="shared" si="184"/>
        <v>0</v>
      </c>
      <c r="EQ361" s="178">
        <f t="shared" si="184"/>
        <v>0</v>
      </c>
      <c r="ER361" s="178">
        <f t="shared" si="184"/>
        <v>0</v>
      </c>
      <c r="ES361" s="178">
        <f t="shared" si="184"/>
        <v>0</v>
      </c>
      <c r="ET361" s="178">
        <f t="shared" si="184"/>
        <v>0</v>
      </c>
      <c r="EU361" s="178">
        <f t="shared" si="184"/>
        <v>0</v>
      </c>
      <c r="EV361" s="178">
        <f t="shared" si="184"/>
        <v>0</v>
      </c>
      <c r="EW361" s="178">
        <f t="shared" si="184"/>
        <v>0</v>
      </c>
      <c r="EX361" s="178">
        <f t="shared" si="184"/>
        <v>0</v>
      </c>
      <c r="EY361" s="178">
        <f t="shared" si="184"/>
        <v>0</v>
      </c>
      <c r="EZ361" s="178">
        <f t="shared" si="184"/>
        <v>0</v>
      </c>
      <c r="FA361" s="178">
        <f t="shared" si="184"/>
        <v>0</v>
      </c>
      <c r="FB361" s="178">
        <f t="shared" si="184"/>
        <v>0</v>
      </c>
      <c r="FC361" s="178">
        <f t="shared" si="184"/>
        <v>0</v>
      </c>
      <c r="FD361" s="178">
        <f t="shared" si="184"/>
        <v>0</v>
      </c>
      <c r="FE361" s="178">
        <f t="shared" si="184"/>
        <v>0</v>
      </c>
      <c r="FF361" s="16"/>
    </row>
    <row r="363" spans="1:162">
      <c r="C363" s="4" t="s">
        <v>3982</v>
      </c>
      <c r="D363" s="4">
        <f>D26+D52+D73+D81</f>
        <v>2201.5</v>
      </c>
      <c r="V363" s="177">
        <f>AD361+AE361+AF361+AG361+AH361+AI361+AJ361*2+AK361*2</f>
        <v>247</v>
      </c>
      <c r="AJ363" s="914"/>
    </row>
    <row r="364" spans="1:162">
      <c r="C364" s="4" t="s">
        <v>3981</v>
      </c>
      <c r="D364" s="4">
        <f>D98+D116+D139+D149+D159+D175+D189+D195+D231+D243-D365</f>
        <v>3478</v>
      </c>
      <c r="V364" s="177"/>
    </row>
    <row r="365" spans="1:162">
      <c r="C365" s="4" t="s">
        <v>1630</v>
      </c>
      <c r="D365" s="4">
        <f>SUM(D199:D214)</f>
        <v>659.30000000000007</v>
      </c>
      <c r="V365" s="177"/>
    </row>
    <row r="366" spans="1:162">
      <c r="V366" s="193"/>
    </row>
    <row r="367" spans="1:162">
      <c r="V367" s="193"/>
    </row>
    <row r="368" spans="1:162">
      <c r="V368" s="193"/>
    </row>
  </sheetData>
  <printOptions horizontalCentered="1"/>
  <pageMargins left="0.5" right="0.25" top="0.5" bottom="0.5" header="0.31496062992126" footer="0.31496062992126"/>
  <pageSetup paperSize="8" scale="45" orientation="landscape" blackAndWhite="1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C76"/>
  <sheetViews>
    <sheetView view="pageBreakPreview" topLeftCell="A13" zoomScaleNormal="100" zoomScaleSheetLayoutView="100" workbookViewId="0">
      <selection activeCell="BO5" sqref="BO5"/>
    </sheetView>
  </sheetViews>
  <sheetFormatPr defaultColWidth="9.109375" defaultRowHeight="15.6"/>
  <cols>
    <col min="1" max="1" width="9.109375" style="56"/>
    <col min="2" max="2" width="12.44140625" style="56" customWidth="1"/>
    <col min="3" max="3" width="9.109375" style="4"/>
    <col min="4" max="5" width="9.44140625" style="4" bestFit="1" customWidth="1"/>
    <col min="6" max="6" width="9.44140625" style="4" hidden="1" customWidth="1"/>
    <col min="7" max="7" width="9.44140625" style="4" bestFit="1" customWidth="1"/>
    <col min="8" max="9" width="9.44140625" style="4" hidden="1" customWidth="1"/>
    <col min="10" max="10" width="9.44140625" style="4" bestFit="1" customWidth="1"/>
    <col min="11" max="11" width="4.33203125" style="4" customWidth="1"/>
    <col min="12" max="12" width="4.33203125" style="4" hidden="1" customWidth="1"/>
    <col min="13" max="13" width="4.33203125" style="4" customWidth="1"/>
    <col min="14" max="20" width="4.33203125" style="4" hidden="1" customWidth="1"/>
    <col min="21" max="21" width="4.33203125" style="4" customWidth="1"/>
    <col min="22" max="22" width="4.33203125" style="4" hidden="1" customWidth="1"/>
    <col min="23" max="23" width="4.33203125" style="4" customWidth="1"/>
    <col min="24" max="24" width="4.33203125" style="4" hidden="1" customWidth="1"/>
    <col min="25" max="25" width="4.33203125" style="4" customWidth="1"/>
    <col min="26" max="26" width="4.33203125" style="4" hidden="1" customWidth="1"/>
    <col min="27" max="27" width="4.33203125" style="4" customWidth="1"/>
    <col min="28" max="33" width="4.33203125" style="4" hidden="1" customWidth="1"/>
    <col min="34" max="35" width="4.33203125" style="4" customWidth="1"/>
    <col min="36" max="38" width="4.33203125" style="4" hidden="1" customWidth="1"/>
    <col min="39" max="42" width="4.33203125" style="4" customWidth="1"/>
    <col min="43" max="43" width="4.33203125" style="4" hidden="1" customWidth="1"/>
    <col min="44" max="44" width="4.33203125" style="4" customWidth="1"/>
    <col min="45" max="49" width="4.33203125" style="4" hidden="1" customWidth="1"/>
    <col min="50" max="52" width="4.33203125" style="4" customWidth="1"/>
    <col min="53" max="55" width="4.33203125" style="4" hidden="1" customWidth="1"/>
    <col min="56" max="59" width="4.33203125" style="4" customWidth="1"/>
    <col min="60" max="61" width="4.33203125" style="193" hidden="1" customWidth="1"/>
    <col min="62" max="62" width="4.33203125" style="4" hidden="1" customWidth="1"/>
    <col min="63" max="65" width="4.33203125" style="4" customWidth="1"/>
    <col min="66" max="66" width="4.33203125" style="4" hidden="1" customWidth="1"/>
    <col min="67" max="67" width="4.33203125" style="4" customWidth="1"/>
    <col min="68" max="68" width="4.33203125" style="4" hidden="1" customWidth="1"/>
    <col min="69" max="69" width="4.33203125" style="4" customWidth="1"/>
    <col min="70" max="72" width="4.33203125" style="4" hidden="1" customWidth="1"/>
    <col min="73" max="73" width="4.33203125" style="4" customWidth="1"/>
    <col min="74" max="75" width="4.33203125" style="4" hidden="1" customWidth="1"/>
    <col min="76" max="76" width="4.33203125" style="4" customWidth="1"/>
    <col min="77" max="77" width="4.33203125" style="4" hidden="1" customWidth="1"/>
    <col min="78" max="79" width="4.33203125" style="4" customWidth="1"/>
    <col min="80" max="80" width="4.33203125" style="4" hidden="1" customWidth="1"/>
    <col min="81" max="81" width="9.44140625" style="4" bestFit="1" customWidth="1"/>
    <col min="82" max="16384" width="9.109375" style="4"/>
  </cols>
  <sheetData>
    <row r="1" spans="1:81">
      <c r="C1" s="59" t="s">
        <v>2749</v>
      </c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8"/>
      <c r="BI1" s="188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</row>
    <row r="2" spans="1:81">
      <c r="C2" s="59" t="str">
        <f>"CÔNG TRÌNH: "&amp;'SO LIEU'!C5</f>
        <v>CÔNG TRÌNH: CẢI TẠO LƯỚI ĐIỆN TRUNG HẠ THẾ VÀ TBA HUYỆN CẨM MỸ NĂM 2020</v>
      </c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8"/>
      <c r="BI2" s="188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</row>
    <row r="4" spans="1:81" s="185" customFormat="1" ht="64.8">
      <c r="A4" s="55">
        <v>1</v>
      </c>
      <c r="B4" s="55"/>
      <c r="C4" s="184"/>
      <c r="D4" s="184"/>
      <c r="E4" s="7" t="s">
        <v>1363</v>
      </c>
      <c r="F4" s="7" t="s">
        <v>1364</v>
      </c>
      <c r="G4" s="7" t="s">
        <v>177</v>
      </c>
      <c r="H4" s="7" t="s">
        <v>179</v>
      </c>
      <c r="I4" s="7" t="s">
        <v>1388</v>
      </c>
      <c r="J4" s="7"/>
      <c r="K4" s="7" t="s">
        <v>1477</v>
      </c>
      <c r="L4" s="7" t="s">
        <v>1478</v>
      </c>
      <c r="M4" s="7" t="s">
        <v>1479</v>
      </c>
      <c r="N4" s="7" t="s">
        <v>1479</v>
      </c>
      <c r="O4" s="7" t="s">
        <v>1480</v>
      </c>
      <c r="P4" s="7" t="s">
        <v>1481</v>
      </c>
      <c r="Q4" s="7" t="s">
        <v>1400</v>
      </c>
      <c r="R4" s="7" t="s">
        <v>1401</v>
      </c>
      <c r="S4" s="7" t="s">
        <v>1482</v>
      </c>
      <c r="T4" s="7" t="s">
        <v>1483</v>
      </c>
      <c r="U4" s="7" t="s">
        <v>558</v>
      </c>
      <c r="V4" s="7" t="s">
        <v>1402</v>
      </c>
      <c r="W4" s="7" t="s">
        <v>1484</v>
      </c>
      <c r="X4" s="7" t="s">
        <v>1485</v>
      </c>
      <c r="Y4" s="7" t="s">
        <v>2596</v>
      </c>
      <c r="Z4" s="7" t="s">
        <v>1486</v>
      </c>
      <c r="AA4" s="7" t="s">
        <v>2595</v>
      </c>
      <c r="AB4" s="7" t="s">
        <v>1448</v>
      </c>
      <c r="AC4" s="7" t="s">
        <v>1427</v>
      </c>
      <c r="AD4" s="7" t="s">
        <v>1487</v>
      </c>
      <c r="AE4" s="7" t="s">
        <v>1488</v>
      </c>
      <c r="AF4" s="7" t="s">
        <v>1471</v>
      </c>
      <c r="AG4" s="7" t="s">
        <v>1472</v>
      </c>
      <c r="AH4" s="7" t="s">
        <v>1473</v>
      </c>
      <c r="AI4" s="7" t="s">
        <v>1474</v>
      </c>
      <c r="AJ4" s="7" t="s">
        <v>1475</v>
      </c>
      <c r="AK4" s="7" t="s">
        <v>1476</v>
      </c>
      <c r="AL4" s="7" t="s">
        <v>1489</v>
      </c>
      <c r="AM4" s="7" t="s">
        <v>1392</v>
      </c>
      <c r="AN4" s="7" t="s">
        <v>1393</v>
      </c>
      <c r="AO4" s="7" t="s">
        <v>2592</v>
      </c>
      <c r="AP4" s="7" t="s">
        <v>2593</v>
      </c>
      <c r="AQ4" s="7" t="s">
        <v>1559</v>
      </c>
      <c r="AR4" s="7" t="s">
        <v>1766</v>
      </c>
      <c r="AS4" s="7" t="s">
        <v>1560</v>
      </c>
      <c r="AT4" s="7" t="s">
        <v>1563</v>
      </c>
      <c r="AU4" s="7" t="s">
        <v>1564</v>
      </c>
      <c r="AV4" s="7" t="s">
        <v>1495</v>
      </c>
      <c r="AW4" s="7" t="s">
        <v>1496</v>
      </c>
      <c r="AX4" s="7" t="s">
        <v>1675</v>
      </c>
      <c r="AY4" s="7" t="s">
        <v>1501</v>
      </c>
      <c r="AZ4" s="7" t="s">
        <v>1502</v>
      </c>
      <c r="BA4" s="7" t="s">
        <v>404</v>
      </c>
      <c r="BB4" s="7" t="s">
        <v>1803</v>
      </c>
      <c r="BC4" s="7" t="s">
        <v>1804</v>
      </c>
      <c r="BD4" s="7" t="s">
        <v>1810</v>
      </c>
      <c r="BE4" s="7" t="s">
        <v>1811</v>
      </c>
      <c r="BF4" s="7" t="s">
        <v>1503</v>
      </c>
      <c r="BG4" s="7" t="s">
        <v>1504</v>
      </c>
      <c r="BH4" s="466" t="s">
        <v>1505</v>
      </c>
      <c r="BI4" s="466" t="s">
        <v>1506</v>
      </c>
      <c r="BJ4" s="7" t="s">
        <v>1509</v>
      </c>
      <c r="BK4" s="7" t="s">
        <v>1507</v>
      </c>
      <c r="BL4" s="7" t="s">
        <v>1511</v>
      </c>
      <c r="BM4" s="7" t="s">
        <v>1508</v>
      </c>
      <c r="BN4" s="7" t="s">
        <v>1510</v>
      </c>
      <c r="BO4" s="7" t="s">
        <v>345</v>
      </c>
      <c r="BP4" s="7" t="s">
        <v>347</v>
      </c>
      <c r="BQ4" s="7" t="s">
        <v>323</v>
      </c>
      <c r="BR4" s="7" t="s">
        <v>325</v>
      </c>
      <c r="BS4" s="7" t="s">
        <v>327</v>
      </c>
      <c r="BT4" s="7" t="s">
        <v>329</v>
      </c>
      <c r="BU4" s="7" t="s">
        <v>1444</v>
      </c>
      <c r="BV4" s="7" t="s">
        <v>1443</v>
      </c>
      <c r="BW4" s="7" t="s">
        <v>943</v>
      </c>
      <c r="BX4" s="7" t="s">
        <v>388</v>
      </c>
      <c r="BY4" s="7" t="s">
        <v>389</v>
      </c>
      <c r="BZ4" s="7" t="s">
        <v>396</v>
      </c>
      <c r="CA4" s="7" t="s">
        <v>1468</v>
      </c>
      <c r="CB4" s="7" t="s">
        <v>1469</v>
      </c>
      <c r="CC4" s="7" t="s">
        <v>1398</v>
      </c>
    </row>
    <row r="5" spans="1:81" s="5" customFormat="1" ht="152.4">
      <c r="A5" s="57">
        <v>2</v>
      </c>
      <c r="B5" s="57" t="s">
        <v>1763</v>
      </c>
      <c r="C5" s="15" t="s">
        <v>1418</v>
      </c>
      <c r="D5" s="15" t="s">
        <v>1419</v>
      </c>
      <c r="E5" s="15" t="s">
        <v>1420</v>
      </c>
      <c r="F5" s="15" t="s">
        <v>2019</v>
      </c>
      <c r="G5" s="15" t="s">
        <v>1421</v>
      </c>
      <c r="H5" s="15" t="s">
        <v>1470</v>
      </c>
      <c r="I5" s="15" t="s">
        <v>1388</v>
      </c>
      <c r="J5" s="15" t="s">
        <v>1422</v>
      </c>
      <c r="K5" s="15" t="s">
        <v>1513</v>
      </c>
      <c r="L5" s="15" t="s">
        <v>1457</v>
      </c>
      <c r="M5" s="15" t="s">
        <v>1514</v>
      </c>
      <c r="N5" s="15" t="s">
        <v>1515</v>
      </c>
      <c r="O5" s="15" t="s">
        <v>1516</v>
      </c>
      <c r="P5" s="15" t="s">
        <v>1517</v>
      </c>
      <c r="Q5" s="15" t="s">
        <v>1518</v>
      </c>
      <c r="R5" s="15" t="s">
        <v>1519</v>
      </c>
      <c r="S5" s="15" t="s">
        <v>1520</v>
      </c>
      <c r="T5" s="15" t="s">
        <v>1521</v>
      </c>
      <c r="U5" s="15" t="s">
        <v>1522</v>
      </c>
      <c r="V5" s="15" t="s">
        <v>1523</v>
      </c>
      <c r="W5" s="15" t="s">
        <v>1524</v>
      </c>
      <c r="X5" s="15" t="s">
        <v>1525</v>
      </c>
      <c r="Y5" s="15" t="s">
        <v>2598</v>
      </c>
      <c r="Z5" s="15" t="s">
        <v>1526</v>
      </c>
      <c r="AA5" s="15" t="s">
        <v>2599</v>
      </c>
      <c r="AB5" s="15" t="s">
        <v>1527</v>
      </c>
      <c r="AC5" s="15" t="s">
        <v>1528</v>
      </c>
      <c r="AD5" s="15" t="s">
        <v>1529</v>
      </c>
      <c r="AE5" s="15" t="s">
        <v>1530</v>
      </c>
      <c r="AF5" s="15" t="s">
        <v>1532</v>
      </c>
      <c r="AG5" s="15" t="s">
        <v>1531</v>
      </c>
      <c r="AH5" s="15" t="s">
        <v>1533</v>
      </c>
      <c r="AI5" s="15" t="s">
        <v>1534</v>
      </c>
      <c r="AJ5" s="15" t="s">
        <v>1535</v>
      </c>
      <c r="AK5" s="15" t="s">
        <v>1536</v>
      </c>
      <c r="AL5" s="15" t="s">
        <v>1537</v>
      </c>
      <c r="AM5" s="15" t="s">
        <v>1538</v>
      </c>
      <c r="AN5" s="15" t="s">
        <v>1539</v>
      </c>
      <c r="AO5" s="15" t="s">
        <v>2590</v>
      </c>
      <c r="AP5" s="15" t="s">
        <v>2591</v>
      </c>
      <c r="AQ5" s="15" t="s">
        <v>1394</v>
      </c>
      <c r="AR5" s="15" t="s">
        <v>1423</v>
      </c>
      <c r="AS5" s="15" t="s">
        <v>1424</v>
      </c>
      <c r="AT5" s="15" t="s">
        <v>1561</v>
      </c>
      <c r="AU5" s="15" t="s">
        <v>1562</v>
      </c>
      <c r="AV5" s="15" t="s">
        <v>1545</v>
      </c>
      <c r="AW5" s="15" t="s">
        <v>1546</v>
      </c>
      <c r="AX5" s="15" t="s">
        <v>1565</v>
      </c>
      <c r="AY5" s="15" t="s">
        <v>1549</v>
      </c>
      <c r="AZ5" s="15" t="s">
        <v>1550</v>
      </c>
      <c r="BA5" s="15" t="s">
        <v>1551</v>
      </c>
      <c r="BB5" s="15" t="s">
        <v>1796</v>
      </c>
      <c r="BC5" s="15" t="s">
        <v>1797</v>
      </c>
      <c r="BD5" s="15" t="s">
        <v>1812</v>
      </c>
      <c r="BE5" s="15" t="s">
        <v>1813</v>
      </c>
      <c r="BF5" s="15" t="s">
        <v>1552</v>
      </c>
      <c r="BG5" s="15" t="s">
        <v>1553</v>
      </c>
      <c r="BH5" s="283" t="s">
        <v>1554</v>
      </c>
      <c r="BI5" s="283" t="s">
        <v>1555</v>
      </c>
      <c r="BJ5" s="15" t="s">
        <v>1464</v>
      </c>
      <c r="BK5" s="15" t="s">
        <v>1425</v>
      </c>
      <c r="BL5" s="15" t="s">
        <v>1451</v>
      </c>
      <c r="BM5" s="15" t="s">
        <v>1434</v>
      </c>
      <c r="BN5" s="15" t="s">
        <v>1435</v>
      </c>
      <c r="BO5" s="15" t="s">
        <v>1792</v>
      </c>
      <c r="BP5" s="15" t="s">
        <v>1793</v>
      </c>
      <c r="BQ5" s="15" t="s">
        <v>1436</v>
      </c>
      <c r="BR5" s="15" t="s">
        <v>1437</v>
      </c>
      <c r="BS5" s="15" t="s">
        <v>1438</v>
      </c>
      <c r="BT5" s="15" t="s">
        <v>1439</v>
      </c>
      <c r="BU5" s="15" t="s">
        <v>1444</v>
      </c>
      <c r="BV5" s="15" t="s">
        <v>1443</v>
      </c>
      <c r="BW5" s="15" t="s">
        <v>945</v>
      </c>
      <c r="BX5" s="15" t="s">
        <v>1445</v>
      </c>
      <c r="BY5" s="15" t="s">
        <v>1446</v>
      </c>
      <c r="BZ5" s="15" t="s">
        <v>1426</v>
      </c>
      <c r="CA5" s="15" t="s">
        <v>1447</v>
      </c>
      <c r="CB5" s="15" t="s">
        <v>1450</v>
      </c>
      <c r="CC5" s="15" t="s">
        <v>1398</v>
      </c>
    </row>
    <row r="6" spans="1:81">
      <c r="B6" s="56" t="s">
        <v>1744</v>
      </c>
      <c r="C6" s="11" t="s">
        <v>2404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89"/>
      <c r="BI6" s="189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3"/>
    </row>
    <row r="7" spans="1:81">
      <c r="C7" s="172"/>
      <c r="D7" s="62"/>
      <c r="E7" s="62"/>
      <c r="F7" s="62"/>
      <c r="G7" s="62"/>
      <c r="H7" s="62"/>
      <c r="I7" s="62"/>
      <c r="J7" s="187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190"/>
      <c r="BI7" s="190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10"/>
    </row>
    <row r="8" spans="1:81">
      <c r="C8" s="172"/>
      <c r="D8" s="62"/>
      <c r="E8" s="62"/>
      <c r="F8" s="62"/>
      <c r="G8" s="62"/>
      <c r="H8" s="62"/>
      <c r="I8" s="62"/>
      <c r="J8" s="187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190"/>
      <c r="BI8" s="190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10"/>
    </row>
    <row r="9" spans="1:81">
      <c r="C9" s="172"/>
      <c r="D9" s="62"/>
      <c r="E9" s="62"/>
      <c r="F9" s="62"/>
      <c r="G9" s="62"/>
      <c r="H9" s="62"/>
      <c r="I9" s="62"/>
      <c r="J9" s="187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190"/>
      <c r="BI9" s="190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10"/>
    </row>
    <row r="10" spans="1:81">
      <c r="C10" s="172"/>
      <c r="D10" s="62"/>
      <c r="E10" s="62"/>
      <c r="F10" s="62"/>
      <c r="G10" s="62"/>
      <c r="H10" s="62"/>
      <c r="I10" s="62"/>
      <c r="J10" s="187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190"/>
      <c r="BI10" s="190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10"/>
    </row>
    <row r="11" spans="1:81">
      <c r="C11" s="172"/>
      <c r="D11" s="62"/>
      <c r="E11" s="62"/>
      <c r="F11" s="62"/>
      <c r="G11" s="62"/>
      <c r="H11" s="62"/>
      <c r="I11" s="62"/>
      <c r="J11" s="187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190"/>
      <c r="BI11" s="190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10"/>
    </row>
    <row r="12" spans="1:81">
      <c r="C12" s="172"/>
      <c r="D12" s="62"/>
      <c r="E12" s="62"/>
      <c r="F12" s="62"/>
      <c r="G12" s="62"/>
      <c r="H12" s="62"/>
      <c r="I12" s="62"/>
      <c r="J12" s="187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190"/>
      <c r="BI12" s="190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10"/>
    </row>
    <row r="13" spans="1:81">
      <c r="C13" s="172"/>
      <c r="D13" s="62"/>
      <c r="E13" s="62"/>
      <c r="F13" s="62"/>
      <c r="G13" s="62"/>
      <c r="H13" s="62"/>
      <c r="I13" s="62"/>
      <c r="J13" s="187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190"/>
      <c r="BI13" s="190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10"/>
    </row>
    <row r="14" spans="1:81">
      <c r="C14" s="172"/>
      <c r="D14" s="62"/>
      <c r="E14" s="62"/>
      <c r="F14" s="62"/>
      <c r="G14" s="62"/>
      <c r="H14" s="62"/>
      <c r="I14" s="62"/>
      <c r="J14" s="187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190"/>
      <c r="BI14" s="190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10"/>
    </row>
    <row r="15" spans="1:81">
      <c r="C15" s="172"/>
      <c r="D15" s="62"/>
      <c r="E15" s="62"/>
      <c r="F15" s="62"/>
      <c r="G15" s="62"/>
      <c r="H15" s="62"/>
      <c r="I15" s="62"/>
      <c r="J15" s="187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190"/>
      <c r="BI15" s="190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10"/>
    </row>
    <row r="16" spans="1:81">
      <c r="C16" s="172"/>
      <c r="D16" s="62"/>
      <c r="E16" s="62"/>
      <c r="F16" s="62"/>
      <c r="G16" s="62"/>
      <c r="H16" s="62"/>
      <c r="I16" s="62"/>
      <c r="J16" s="187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190"/>
      <c r="BI16" s="190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10"/>
    </row>
    <row r="17" spans="1:81">
      <c r="C17" s="172"/>
      <c r="D17" s="62"/>
      <c r="E17" s="62"/>
      <c r="F17" s="62"/>
      <c r="G17" s="62"/>
      <c r="H17" s="62"/>
      <c r="I17" s="62"/>
      <c r="J17" s="187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190"/>
      <c r="BI17" s="190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10"/>
    </row>
    <row r="18" spans="1:81">
      <c r="C18" s="172"/>
      <c r="D18" s="62"/>
      <c r="E18" s="62"/>
      <c r="F18" s="62"/>
      <c r="G18" s="62"/>
      <c r="H18" s="62"/>
      <c r="I18" s="62"/>
      <c r="J18" s="187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190"/>
      <c r="BI18" s="190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10"/>
    </row>
    <row r="19" spans="1:81">
      <c r="C19" s="172"/>
      <c r="D19" s="62"/>
      <c r="E19" s="62"/>
      <c r="F19" s="62"/>
      <c r="G19" s="62"/>
      <c r="H19" s="62"/>
      <c r="I19" s="62"/>
      <c r="J19" s="18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190"/>
      <c r="BI19" s="190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10"/>
    </row>
    <row r="20" spans="1:81">
      <c r="C20" s="172"/>
      <c r="D20" s="62"/>
      <c r="E20" s="62"/>
      <c r="F20" s="62"/>
      <c r="G20" s="62"/>
      <c r="H20" s="62"/>
      <c r="I20" s="62"/>
      <c r="J20" s="18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190"/>
      <c r="BI20" s="190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10"/>
    </row>
    <row r="21" spans="1:81">
      <c r="C21" s="172"/>
      <c r="D21" s="62"/>
      <c r="E21" s="62"/>
      <c r="F21" s="62"/>
      <c r="G21" s="62"/>
      <c r="H21" s="62"/>
      <c r="I21" s="62"/>
      <c r="J21" s="187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190"/>
      <c r="BI21" s="190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10"/>
    </row>
    <row r="22" spans="1:81">
      <c r="C22" s="172"/>
      <c r="D22" s="62"/>
      <c r="E22" s="62"/>
      <c r="F22" s="62"/>
      <c r="G22" s="62"/>
      <c r="H22" s="62"/>
      <c r="I22" s="62"/>
      <c r="J22" s="187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190"/>
      <c r="BI22" s="190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10"/>
    </row>
    <row r="23" spans="1:81">
      <c r="C23" s="172"/>
      <c r="D23" s="62"/>
      <c r="E23" s="62"/>
      <c r="F23" s="62"/>
      <c r="G23" s="62"/>
      <c r="H23" s="62"/>
      <c r="I23" s="62"/>
      <c r="J23" s="187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190"/>
      <c r="BI23" s="190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10"/>
    </row>
    <row r="24" spans="1:81">
      <c r="C24" s="172"/>
      <c r="D24" s="62"/>
      <c r="E24" s="62"/>
      <c r="F24" s="62"/>
      <c r="G24" s="62"/>
      <c r="H24" s="62"/>
      <c r="I24" s="62"/>
      <c r="J24" s="187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190"/>
      <c r="BI24" s="190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10"/>
    </row>
    <row r="25" spans="1:81">
      <c r="C25" s="172"/>
      <c r="D25" s="62"/>
      <c r="E25" s="62"/>
      <c r="F25" s="62"/>
      <c r="G25" s="62"/>
      <c r="H25" s="62"/>
      <c r="I25" s="62"/>
      <c r="J25" s="187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190"/>
      <c r="BI25" s="190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10"/>
    </row>
    <row r="26" spans="1:81">
      <c r="C26" s="172"/>
      <c r="D26" s="62"/>
      <c r="E26" s="62"/>
      <c r="F26" s="62"/>
      <c r="G26" s="62"/>
      <c r="H26" s="62"/>
      <c r="I26" s="62"/>
      <c r="J26" s="187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190"/>
      <c r="BI26" s="190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10"/>
    </row>
    <row r="27" spans="1:81">
      <c r="C27" s="172"/>
      <c r="D27" s="62"/>
      <c r="E27" s="62"/>
      <c r="F27" s="62"/>
      <c r="G27" s="62"/>
      <c r="H27" s="62"/>
      <c r="I27" s="62"/>
      <c r="J27" s="187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190"/>
      <c r="BI27" s="190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10"/>
    </row>
    <row r="28" spans="1:81">
      <c r="C28" s="172"/>
      <c r="D28" s="62"/>
      <c r="E28" s="62"/>
      <c r="F28" s="62"/>
      <c r="G28" s="62"/>
      <c r="H28" s="62"/>
      <c r="I28" s="62"/>
      <c r="J28" s="187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190"/>
      <c r="BI28" s="190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10"/>
    </row>
    <row r="29" spans="1:81">
      <c r="C29" s="172"/>
      <c r="D29" s="62"/>
      <c r="E29" s="62"/>
      <c r="F29" s="62"/>
      <c r="G29" s="62"/>
      <c r="H29" s="62"/>
      <c r="I29" s="62"/>
      <c r="J29" s="187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190"/>
      <c r="BI29" s="190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10"/>
    </row>
    <row r="30" spans="1:81">
      <c r="C30" s="172"/>
      <c r="D30" s="62"/>
      <c r="E30" s="62"/>
      <c r="F30" s="62"/>
      <c r="G30" s="62"/>
      <c r="H30" s="62"/>
      <c r="I30" s="62"/>
      <c r="J30" s="187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190"/>
      <c r="BI30" s="190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10"/>
    </row>
    <row r="31" spans="1:81">
      <c r="A31" s="486">
        <f>MATCH(C31,$C$4:$C$76,0)</f>
        <v>28</v>
      </c>
      <c r="C31" s="14" t="s">
        <v>1428</v>
      </c>
      <c r="D31" s="14">
        <f>SUM(D7:D30)</f>
        <v>0</v>
      </c>
      <c r="E31" s="14">
        <f t="shared" ref="E31:CA31" si="0">SUM(E7:E30)</f>
        <v>0</v>
      </c>
      <c r="F31" s="14">
        <f>SUM(F7:F30)</f>
        <v>0</v>
      </c>
      <c r="G31" s="14">
        <f t="shared" si="0"/>
        <v>0</v>
      </c>
      <c r="H31" s="14">
        <f>SUM(H7:H30)</f>
        <v>0</v>
      </c>
      <c r="I31" s="14">
        <f t="shared" si="0"/>
        <v>0</v>
      </c>
      <c r="J31" s="14"/>
      <c r="K31" s="14">
        <f t="shared" si="0"/>
        <v>0</v>
      </c>
      <c r="L31" s="14">
        <f t="shared" si="0"/>
        <v>0</v>
      </c>
      <c r="M31" s="14">
        <f t="shared" si="0"/>
        <v>0</v>
      </c>
      <c r="N31" s="14">
        <f t="shared" si="0"/>
        <v>0</v>
      </c>
      <c r="O31" s="14">
        <f t="shared" si="0"/>
        <v>0</v>
      </c>
      <c r="P31" s="14">
        <f t="shared" si="0"/>
        <v>0</v>
      </c>
      <c r="Q31" s="14">
        <f t="shared" si="0"/>
        <v>0</v>
      </c>
      <c r="R31" s="14">
        <f t="shared" si="0"/>
        <v>0</v>
      </c>
      <c r="S31" s="14">
        <f t="shared" si="0"/>
        <v>0</v>
      </c>
      <c r="T31" s="14">
        <f t="shared" si="0"/>
        <v>0</v>
      </c>
      <c r="U31" s="14">
        <f t="shared" si="0"/>
        <v>0</v>
      </c>
      <c r="V31" s="14">
        <f t="shared" si="0"/>
        <v>0</v>
      </c>
      <c r="W31" s="14">
        <f t="shared" si="0"/>
        <v>0</v>
      </c>
      <c r="X31" s="14">
        <f t="shared" si="0"/>
        <v>0</v>
      </c>
      <c r="Y31" s="14">
        <f>SUM(Y7:Y30)</f>
        <v>0</v>
      </c>
      <c r="Z31" s="14">
        <f t="shared" si="0"/>
        <v>0</v>
      </c>
      <c r="AA31" s="14">
        <f>SUM(AA7:AA30)</f>
        <v>0</v>
      </c>
      <c r="AB31" s="14">
        <f t="shared" si="0"/>
        <v>0</v>
      </c>
      <c r="AC31" s="14">
        <f t="shared" si="0"/>
        <v>0</v>
      </c>
      <c r="AD31" s="14">
        <f t="shared" si="0"/>
        <v>0</v>
      </c>
      <c r="AE31" s="14">
        <f t="shared" si="0"/>
        <v>0</v>
      </c>
      <c r="AF31" s="14">
        <f t="shared" si="0"/>
        <v>0</v>
      </c>
      <c r="AG31" s="14">
        <f t="shared" si="0"/>
        <v>0</v>
      </c>
      <c r="AH31" s="14">
        <f t="shared" si="0"/>
        <v>0</v>
      </c>
      <c r="AI31" s="14">
        <f t="shared" si="0"/>
        <v>0</v>
      </c>
      <c r="AJ31" s="14">
        <f t="shared" si="0"/>
        <v>0</v>
      </c>
      <c r="AK31" s="14">
        <f t="shared" si="0"/>
        <v>0</v>
      </c>
      <c r="AL31" s="14">
        <f t="shared" si="0"/>
        <v>0</v>
      </c>
      <c r="AM31" s="14">
        <f t="shared" si="0"/>
        <v>0</v>
      </c>
      <c r="AN31" s="14">
        <f t="shared" si="0"/>
        <v>0</v>
      </c>
      <c r="AO31" s="14">
        <f>SUM(AO7:AO30)</f>
        <v>0</v>
      </c>
      <c r="AP31" s="14">
        <f>SUM(AP7:AP30)</f>
        <v>0</v>
      </c>
      <c r="AQ31" s="14">
        <f t="shared" si="0"/>
        <v>0</v>
      </c>
      <c r="AR31" s="14">
        <f t="shared" si="0"/>
        <v>0</v>
      </c>
      <c r="AS31" s="14">
        <f t="shared" si="0"/>
        <v>0</v>
      </c>
      <c r="AT31" s="14">
        <f>SUM(AT7:AT30)</f>
        <v>0</v>
      </c>
      <c r="AU31" s="14">
        <f>SUM(AU7:AU30)</f>
        <v>0</v>
      </c>
      <c r="AV31" s="14">
        <f t="shared" si="0"/>
        <v>0</v>
      </c>
      <c r="AW31" s="14">
        <f t="shared" si="0"/>
        <v>0</v>
      </c>
      <c r="AX31" s="14">
        <f>SUM(AX7:AX30)</f>
        <v>0</v>
      </c>
      <c r="AY31" s="14">
        <f t="shared" si="0"/>
        <v>0</v>
      </c>
      <c r="AZ31" s="14">
        <f t="shared" si="0"/>
        <v>0</v>
      </c>
      <c r="BA31" s="14">
        <f t="shared" si="0"/>
        <v>0</v>
      </c>
      <c r="BB31" s="14">
        <f t="shared" si="0"/>
        <v>0</v>
      </c>
      <c r="BC31" s="14">
        <f>SUM(BC7:BC30)</f>
        <v>0</v>
      </c>
      <c r="BD31" s="14">
        <f t="shared" si="0"/>
        <v>0</v>
      </c>
      <c r="BE31" s="14">
        <f>SUM(BE7:BE30)</f>
        <v>0</v>
      </c>
      <c r="BF31" s="14">
        <f t="shared" si="0"/>
        <v>0</v>
      </c>
      <c r="BG31" s="14">
        <f t="shared" si="0"/>
        <v>0</v>
      </c>
      <c r="BH31" s="191">
        <f t="shared" si="0"/>
        <v>0</v>
      </c>
      <c r="BI31" s="191">
        <f t="shared" si="0"/>
        <v>0</v>
      </c>
      <c r="BJ31" s="14">
        <f t="shared" si="0"/>
        <v>0</v>
      </c>
      <c r="BK31" s="14">
        <f t="shared" si="0"/>
        <v>0</v>
      </c>
      <c r="BL31" s="14">
        <f t="shared" si="0"/>
        <v>0</v>
      </c>
      <c r="BM31" s="14">
        <f t="shared" si="0"/>
        <v>0</v>
      </c>
      <c r="BN31" s="14">
        <f t="shared" si="0"/>
        <v>0</v>
      </c>
      <c r="BO31" s="14">
        <f t="shared" si="0"/>
        <v>0</v>
      </c>
      <c r="BP31" s="14">
        <f t="shared" si="0"/>
        <v>0</v>
      </c>
      <c r="BQ31" s="14">
        <f>SUM(BQ7:BQ30)</f>
        <v>0</v>
      </c>
      <c r="BR31" s="14">
        <f>SUM(BR7:BR30)</f>
        <v>0</v>
      </c>
      <c r="BS31" s="14">
        <f t="shared" si="0"/>
        <v>0</v>
      </c>
      <c r="BT31" s="14">
        <f t="shared" si="0"/>
        <v>0</v>
      </c>
      <c r="BU31" s="14">
        <f t="shared" si="0"/>
        <v>0</v>
      </c>
      <c r="BV31" s="14">
        <f t="shared" si="0"/>
        <v>0</v>
      </c>
      <c r="BW31" s="14">
        <f t="shared" si="0"/>
        <v>0</v>
      </c>
      <c r="BX31" s="14">
        <f t="shared" si="0"/>
        <v>0</v>
      </c>
      <c r="BY31" s="14">
        <f t="shared" si="0"/>
        <v>0</v>
      </c>
      <c r="BZ31" s="14">
        <f t="shared" si="0"/>
        <v>0</v>
      </c>
      <c r="CA31" s="14">
        <f t="shared" si="0"/>
        <v>0</v>
      </c>
      <c r="CB31" s="14">
        <f>SUM(CB7:CB30)</f>
        <v>0</v>
      </c>
      <c r="CC31" s="14"/>
    </row>
    <row r="32" spans="1:81">
      <c r="B32" s="56" t="s">
        <v>2582</v>
      </c>
      <c r="C32" s="11" t="s">
        <v>2405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89"/>
      <c r="BI32" s="189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3"/>
    </row>
    <row r="33" spans="3:81">
      <c r="C33" s="180"/>
      <c r="D33" s="62"/>
      <c r="E33" s="62"/>
      <c r="F33" s="62"/>
      <c r="G33" s="62"/>
      <c r="H33" s="62"/>
      <c r="I33" s="62"/>
      <c r="J33" s="187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190"/>
      <c r="BI33" s="190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10"/>
    </row>
    <row r="34" spans="3:81">
      <c r="C34" s="180"/>
      <c r="D34" s="62"/>
      <c r="E34" s="62"/>
      <c r="F34" s="62"/>
      <c r="G34" s="62"/>
      <c r="H34" s="62"/>
      <c r="I34" s="62"/>
      <c r="J34" s="187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190"/>
      <c r="BI34" s="190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10"/>
    </row>
    <row r="35" spans="3:81">
      <c r="C35" s="180"/>
      <c r="D35" s="62"/>
      <c r="E35" s="62"/>
      <c r="F35" s="62"/>
      <c r="G35" s="62"/>
      <c r="H35" s="62"/>
      <c r="I35" s="62"/>
      <c r="J35" s="187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190"/>
      <c r="BI35" s="190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10"/>
    </row>
    <row r="36" spans="3:81">
      <c r="C36" s="180"/>
      <c r="D36" s="62"/>
      <c r="E36" s="62"/>
      <c r="F36" s="62"/>
      <c r="G36" s="62"/>
      <c r="H36" s="62"/>
      <c r="I36" s="62"/>
      <c r="J36" s="187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190"/>
      <c r="BI36" s="190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10"/>
    </row>
    <row r="37" spans="3:81">
      <c r="C37" s="180"/>
      <c r="D37" s="62"/>
      <c r="E37" s="62"/>
      <c r="F37" s="62"/>
      <c r="G37" s="62"/>
      <c r="H37" s="62"/>
      <c r="I37" s="62"/>
      <c r="J37" s="187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190"/>
      <c r="BI37" s="190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10"/>
    </row>
    <row r="38" spans="3:81">
      <c r="C38" s="180"/>
      <c r="D38" s="62"/>
      <c r="E38" s="62"/>
      <c r="F38" s="62"/>
      <c r="G38" s="62"/>
      <c r="H38" s="62"/>
      <c r="I38" s="62"/>
      <c r="J38" s="187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190"/>
      <c r="BI38" s="190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10"/>
    </row>
    <row r="39" spans="3:81">
      <c r="C39" s="180"/>
      <c r="D39" s="62"/>
      <c r="E39" s="62"/>
      <c r="F39" s="62"/>
      <c r="G39" s="62"/>
      <c r="H39" s="62"/>
      <c r="I39" s="62"/>
      <c r="J39" s="18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190"/>
      <c r="BI39" s="190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10"/>
    </row>
    <row r="40" spans="3:81">
      <c r="C40" s="180"/>
      <c r="D40" s="62"/>
      <c r="E40" s="62"/>
      <c r="F40" s="62"/>
      <c r="G40" s="62"/>
      <c r="H40" s="62"/>
      <c r="I40" s="62"/>
      <c r="J40" s="187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190"/>
      <c r="BI40" s="190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10"/>
    </row>
    <row r="41" spans="3:81">
      <c r="C41" s="180"/>
      <c r="D41" s="62"/>
      <c r="E41" s="62"/>
      <c r="F41" s="62"/>
      <c r="G41" s="62"/>
      <c r="H41" s="62"/>
      <c r="I41" s="62"/>
      <c r="J41" s="187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190"/>
      <c r="BI41" s="190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10"/>
    </row>
    <row r="42" spans="3:81">
      <c r="C42" s="180"/>
      <c r="D42" s="62"/>
      <c r="E42" s="62"/>
      <c r="F42" s="62"/>
      <c r="G42" s="62"/>
      <c r="H42" s="62"/>
      <c r="I42" s="62"/>
      <c r="J42" s="187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190"/>
      <c r="BI42" s="190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10"/>
    </row>
    <row r="43" spans="3:81">
      <c r="C43" s="180"/>
      <c r="D43" s="62"/>
      <c r="E43" s="62"/>
      <c r="F43" s="62"/>
      <c r="G43" s="62"/>
      <c r="H43" s="62"/>
      <c r="I43" s="62"/>
      <c r="J43" s="187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190"/>
      <c r="BI43" s="190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10"/>
    </row>
    <row r="44" spans="3:81">
      <c r="C44" s="180"/>
      <c r="D44" s="62"/>
      <c r="E44" s="62"/>
      <c r="F44" s="62"/>
      <c r="G44" s="62"/>
      <c r="H44" s="62"/>
      <c r="I44" s="62"/>
      <c r="J44" s="187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190"/>
      <c r="BI44" s="190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10"/>
    </row>
    <row r="45" spans="3:81">
      <c r="C45" s="180"/>
      <c r="D45" s="62"/>
      <c r="E45" s="62"/>
      <c r="F45" s="62"/>
      <c r="G45" s="62"/>
      <c r="H45" s="62"/>
      <c r="I45" s="62"/>
      <c r="J45" s="187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190"/>
      <c r="BI45" s="190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10"/>
    </row>
    <row r="46" spans="3:81">
      <c r="C46" s="180"/>
      <c r="D46" s="62"/>
      <c r="E46" s="62"/>
      <c r="F46" s="62"/>
      <c r="G46" s="62"/>
      <c r="H46" s="62"/>
      <c r="I46" s="62"/>
      <c r="J46" s="187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190"/>
      <c r="BI46" s="190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10"/>
    </row>
    <row r="47" spans="3:81">
      <c r="C47" s="180"/>
      <c r="D47" s="62"/>
      <c r="E47" s="62"/>
      <c r="F47" s="62"/>
      <c r="G47" s="62"/>
      <c r="H47" s="62"/>
      <c r="I47" s="62"/>
      <c r="J47" s="187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190"/>
      <c r="BI47" s="190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10"/>
    </row>
    <row r="48" spans="3:81">
      <c r="C48" s="180"/>
      <c r="D48" s="62"/>
      <c r="E48" s="62"/>
      <c r="F48" s="62"/>
      <c r="G48" s="62"/>
      <c r="H48" s="62"/>
      <c r="I48" s="62"/>
      <c r="J48" s="187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190"/>
      <c r="BI48" s="190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10"/>
    </row>
    <row r="49" spans="1:81">
      <c r="C49" s="180"/>
      <c r="D49" s="62"/>
      <c r="E49" s="62"/>
      <c r="F49" s="62"/>
      <c r="G49" s="62"/>
      <c r="H49" s="62"/>
      <c r="I49" s="62"/>
      <c r="J49" s="187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190"/>
      <c r="BI49" s="190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10"/>
    </row>
    <row r="50" spans="1:81">
      <c r="C50" s="180"/>
      <c r="D50" s="62"/>
      <c r="E50" s="62"/>
      <c r="F50" s="62"/>
      <c r="G50" s="62"/>
      <c r="H50" s="62"/>
      <c r="I50" s="62"/>
      <c r="J50" s="187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190"/>
      <c r="BI50" s="190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10"/>
    </row>
    <row r="51" spans="1:81" hidden="1">
      <c r="C51" s="180"/>
      <c r="D51" s="62"/>
      <c r="E51" s="62"/>
      <c r="F51" s="62"/>
      <c r="G51" s="62"/>
      <c r="H51" s="62"/>
      <c r="I51" s="62"/>
      <c r="J51" s="187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190"/>
      <c r="BI51" s="190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10"/>
    </row>
    <row r="52" spans="1:81" hidden="1">
      <c r="C52" s="180"/>
      <c r="D52" s="62"/>
      <c r="E52" s="62"/>
      <c r="F52" s="62"/>
      <c r="G52" s="62"/>
      <c r="H52" s="62"/>
      <c r="I52" s="62"/>
      <c r="J52" s="187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190"/>
      <c r="BI52" s="190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10"/>
    </row>
    <row r="53" spans="1:81" hidden="1">
      <c r="C53" s="180"/>
      <c r="D53" s="62"/>
      <c r="E53" s="62"/>
      <c r="F53" s="62"/>
      <c r="G53" s="62"/>
      <c r="H53" s="62"/>
      <c r="I53" s="62"/>
      <c r="J53" s="187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190"/>
      <c r="BI53" s="190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10"/>
    </row>
    <row r="54" spans="1:81">
      <c r="C54" s="172"/>
      <c r="D54" s="62"/>
      <c r="E54" s="62"/>
      <c r="F54" s="62"/>
      <c r="G54" s="62"/>
      <c r="H54" s="62"/>
      <c r="I54" s="62"/>
      <c r="J54" s="187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190"/>
      <c r="BI54" s="190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10"/>
    </row>
    <row r="55" spans="1:81">
      <c r="A55" s="486">
        <f>MATCH(C55,$C$4:$C$76,0)</f>
        <v>52</v>
      </c>
      <c r="C55" s="14" t="s">
        <v>1429</v>
      </c>
      <c r="D55" s="14">
        <f t="shared" ref="D55:BZ55" si="1">SUM(D33:D54)</f>
        <v>0</v>
      </c>
      <c r="E55" s="14">
        <f t="shared" si="1"/>
        <v>0</v>
      </c>
      <c r="F55" s="14">
        <f>SUM(F33:F54)</f>
        <v>0</v>
      </c>
      <c r="G55" s="14">
        <f t="shared" si="1"/>
        <v>0</v>
      </c>
      <c r="H55" s="14">
        <f>SUM(H33:H54)</f>
        <v>0</v>
      </c>
      <c r="I55" s="14">
        <f t="shared" si="1"/>
        <v>0</v>
      </c>
      <c r="J55" s="14"/>
      <c r="K55" s="14">
        <f t="shared" si="1"/>
        <v>0</v>
      </c>
      <c r="L55" s="14">
        <f t="shared" si="1"/>
        <v>0</v>
      </c>
      <c r="M55" s="14">
        <f t="shared" si="1"/>
        <v>0</v>
      </c>
      <c r="N55" s="14">
        <f t="shared" si="1"/>
        <v>0</v>
      </c>
      <c r="O55" s="14">
        <f t="shared" si="1"/>
        <v>0</v>
      </c>
      <c r="P55" s="14">
        <f t="shared" si="1"/>
        <v>0</v>
      </c>
      <c r="Q55" s="14">
        <f t="shared" si="1"/>
        <v>0</v>
      </c>
      <c r="R55" s="14">
        <f t="shared" si="1"/>
        <v>0</v>
      </c>
      <c r="S55" s="14">
        <f t="shared" si="1"/>
        <v>0</v>
      </c>
      <c r="T55" s="14">
        <f t="shared" si="1"/>
        <v>0</v>
      </c>
      <c r="U55" s="14">
        <f t="shared" si="1"/>
        <v>0</v>
      </c>
      <c r="V55" s="14">
        <f t="shared" si="1"/>
        <v>0</v>
      </c>
      <c r="W55" s="14">
        <f t="shared" si="1"/>
        <v>0</v>
      </c>
      <c r="X55" s="14">
        <f t="shared" si="1"/>
        <v>0</v>
      </c>
      <c r="Y55" s="14">
        <f>SUM(Y33:Y54)</f>
        <v>0</v>
      </c>
      <c r="Z55" s="14">
        <f t="shared" si="1"/>
        <v>0</v>
      </c>
      <c r="AA55" s="14">
        <f>SUM(AA33:AA54)</f>
        <v>0</v>
      </c>
      <c r="AB55" s="14">
        <f t="shared" si="1"/>
        <v>0</v>
      </c>
      <c r="AC55" s="14">
        <f t="shared" si="1"/>
        <v>0</v>
      </c>
      <c r="AD55" s="14">
        <f t="shared" si="1"/>
        <v>0</v>
      </c>
      <c r="AE55" s="14">
        <f t="shared" si="1"/>
        <v>0</v>
      </c>
      <c r="AF55" s="14">
        <f t="shared" si="1"/>
        <v>0</v>
      </c>
      <c r="AG55" s="14">
        <f t="shared" si="1"/>
        <v>0</v>
      </c>
      <c r="AH55" s="14">
        <f t="shared" si="1"/>
        <v>0</v>
      </c>
      <c r="AI55" s="14">
        <f t="shared" si="1"/>
        <v>0</v>
      </c>
      <c r="AJ55" s="14">
        <f t="shared" si="1"/>
        <v>0</v>
      </c>
      <c r="AK55" s="14">
        <f t="shared" si="1"/>
        <v>0</v>
      </c>
      <c r="AL55" s="14">
        <f t="shared" si="1"/>
        <v>0</v>
      </c>
      <c r="AM55" s="14">
        <f t="shared" si="1"/>
        <v>0</v>
      </c>
      <c r="AN55" s="14">
        <f t="shared" si="1"/>
        <v>0</v>
      </c>
      <c r="AO55" s="14">
        <f>SUM(AO33:AO54)</f>
        <v>0</v>
      </c>
      <c r="AP55" s="14">
        <f>SUM(AP33:AP54)</f>
        <v>0</v>
      </c>
      <c r="AQ55" s="14">
        <f t="shared" si="1"/>
        <v>0</v>
      </c>
      <c r="AR55" s="14">
        <f t="shared" si="1"/>
        <v>0</v>
      </c>
      <c r="AS55" s="14">
        <f t="shared" si="1"/>
        <v>0</v>
      </c>
      <c r="AT55" s="14">
        <f>SUM(AT33:AT54)</f>
        <v>0</v>
      </c>
      <c r="AU55" s="14">
        <f>SUM(AU33:AU54)</f>
        <v>0</v>
      </c>
      <c r="AV55" s="14">
        <f t="shared" si="1"/>
        <v>0</v>
      </c>
      <c r="AW55" s="14">
        <f t="shared" si="1"/>
        <v>0</v>
      </c>
      <c r="AX55" s="14">
        <f>SUM(AX33:AX54)</f>
        <v>0</v>
      </c>
      <c r="AY55" s="14">
        <f t="shared" si="1"/>
        <v>0</v>
      </c>
      <c r="AZ55" s="14">
        <f t="shared" si="1"/>
        <v>0</v>
      </c>
      <c r="BA55" s="14">
        <f t="shared" si="1"/>
        <v>0</v>
      </c>
      <c r="BB55" s="14">
        <f t="shared" si="1"/>
        <v>0</v>
      </c>
      <c r="BC55" s="14">
        <f>SUM(BC33:BC54)</f>
        <v>0</v>
      </c>
      <c r="BD55" s="14">
        <f t="shared" si="1"/>
        <v>0</v>
      </c>
      <c r="BE55" s="14">
        <f>SUM(BE33:BE54)</f>
        <v>0</v>
      </c>
      <c r="BF55" s="14">
        <f t="shared" si="1"/>
        <v>0</v>
      </c>
      <c r="BG55" s="14">
        <f t="shared" si="1"/>
        <v>0</v>
      </c>
      <c r="BH55" s="191">
        <f t="shared" si="1"/>
        <v>0</v>
      </c>
      <c r="BI55" s="191">
        <f t="shared" si="1"/>
        <v>0</v>
      </c>
      <c r="BJ55" s="14">
        <f t="shared" si="1"/>
        <v>0</v>
      </c>
      <c r="BK55" s="14">
        <f t="shared" si="1"/>
        <v>0</v>
      </c>
      <c r="BL55" s="14">
        <f t="shared" si="1"/>
        <v>0</v>
      </c>
      <c r="BM55" s="14">
        <f t="shared" si="1"/>
        <v>0</v>
      </c>
      <c r="BN55" s="14">
        <f t="shared" si="1"/>
        <v>0</v>
      </c>
      <c r="BO55" s="14">
        <f t="shared" si="1"/>
        <v>0</v>
      </c>
      <c r="BP55" s="14">
        <f t="shared" si="1"/>
        <v>0</v>
      </c>
      <c r="BQ55" s="14">
        <f>SUM(BQ33:BQ54)</f>
        <v>0</v>
      </c>
      <c r="BR55" s="14">
        <f>SUM(BR33:BR54)</f>
        <v>0</v>
      </c>
      <c r="BS55" s="14">
        <f t="shared" si="1"/>
        <v>0</v>
      </c>
      <c r="BT55" s="14">
        <f t="shared" si="1"/>
        <v>0</v>
      </c>
      <c r="BU55" s="14">
        <f t="shared" si="1"/>
        <v>0</v>
      </c>
      <c r="BV55" s="14">
        <f t="shared" si="1"/>
        <v>0</v>
      </c>
      <c r="BW55" s="14">
        <f t="shared" si="1"/>
        <v>0</v>
      </c>
      <c r="BX55" s="14">
        <f t="shared" si="1"/>
        <v>0</v>
      </c>
      <c r="BY55" s="14">
        <f t="shared" si="1"/>
        <v>0</v>
      </c>
      <c r="BZ55" s="14">
        <f t="shared" si="1"/>
        <v>0</v>
      </c>
      <c r="CA55" s="14">
        <f>SUM(CA33:CA54)</f>
        <v>0</v>
      </c>
      <c r="CB55" s="14">
        <f>SUM(CB33:CB54)</f>
        <v>0</v>
      </c>
      <c r="CC55" s="14"/>
    </row>
    <row r="56" spans="1:81">
      <c r="B56" s="56" t="s">
        <v>2583</v>
      </c>
      <c r="C56" s="11" t="s">
        <v>2406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89"/>
      <c r="BI56" s="189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3"/>
    </row>
    <row r="57" spans="1:81">
      <c r="C57" s="172"/>
      <c r="D57" s="62"/>
      <c r="E57" s="62"/>
      <c r="F57" s="62"/>
      <c r="G57" s="62"/>
      <c r="H57" s="62"/>
      <c r="I57" s="62"/>
      <c r="J57" s="187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190"/>
      <c r="BI57" s="190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10"/>
    </row>
    <row r="58" spans="1:81">
      <c r="C58" s="172"/>
      <c r="D58" s="62"/>
      <c r="E58" s="62"/>
      <c r="F58" s="62"/>
      <c r="G58" s="62"/>
      <c r="H58" s="62"/>
      <c r="I58" s="62"/>
      <c r="J58" s="187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190"/>
      <c r="BI58" s="190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10"/>
    </row>
    <row r="59" spans="1:81">
      <c r="C59" s="172"/>
      <c r="D59" s="62"/>
      <c r="E59" s="62"/>
      <c r="F59" s="62"/>
      <c r="G59" s="62"/>
      <c r="H59" s="62"/>
      <c r="I59" s="62"/>
      <c r="J59" s="187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190"/>
      <c r="BI59" s="190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10"/>
    </row>
    <row r="60" spans="1:81">
      <c r="C60" s="172"/>
      <c r="D60" s="62"/>
      <c r="E60" s="62"/>
      <c r="F60" s="62"/>
      <c r="G60" s="62"/>
      <c r="H60" s="62"/>
      <c r="I60" s="62"/>
      <c r="J60" s="187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190"/>
      <c r="BI60" s="190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10"/>
    </row>
    <row r="61" spans="1:81">
      <c r="C61" s="172"/>
      <c r="D61" s="62"/>
      <c r="E61" s="62"/>
      <c r="F61" s="62"/>
      <c r="G61" s="62"/>
      <c r="H61" s="62"/>
      <c r="I61" s="62"/>
      <c r="J61" s="187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190"/>
      <c r="BI61" s="190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10"/>
    </row>
    <row r="62" spans="1:81">
      <c r="C62" s="172"/>
      <c r="D62" s="62"/>
      <c r="E62" s="62"/>
      <c r="F62" s="62"/>
      <c r="G62" s="62"/>
      <c r="H62" s="62"/>
      <c r="I62" s="62"/>
      <c r="J62" s="187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190"/>
      <c r="BI62" s="190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10"/>
    </row>
    <row r="63" spans="1:81">
      <c r="C63" s="172"/>
      <c r="D63" s="62"/>
      <c r="E63" s="62"/>
      <c r="F63" s="62"/>
      <c r="G63" s="62"/>
      <c r="H63" s="62"/>
      <c r="I63" s="62"/>
      <c r="J63" s="187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190"/>
      <c r="BI63" s="190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10"/>
    </row>
    <row r="64" spans="1:81">
      <c r="C64" s="172"/>
      <c r="D64" s="62"/>
      <c r="E64" s="62"/>
      <c r="F64" s="62"/>
      <c r="G64" s="62"/>
      <c r="H64" s="62"/>
      <c r="I64" s="62"/>
      <c r="J64" s="187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190"/>
      <c r="BI64" s="190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10"/>
    </row>
    <row r="65" spans="1:81">
      <c r="C65" s="172"/>
      <c r="D65" s="62"/>
      <c r="E65" s="62"/>
      <c r="F65" s="62"/>
      <c r="G65" s="62"/>
      <c r="H65" s="62"/>
      <c r="I65" s="62"/>
      <c r="J65" s="187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190"/>
      <c r="BI65" s="190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10"/>
    </row>
    <row r="66" spans="1:81">
      <c r="C66" s="172"/>
      <c r="D66" s="62"/>
      <c r="E66" s="62"/>
      <c r="F66" s="62"/>
      <c r="G66" s="62"/>
      <c r="H66" s="62"/>
      <c r="I66" s="62"/>
      <c r="J66" s="187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190"/>
      <c r="BI66" s="190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10"/>
    </row>
    <row r="67" spans="1:81">
      <c r="C67" s="172"/>
      <c r="D67" s="62"/>
      <c r="E67" s="62"/>
      <c r="F67" s="62"/>
      <c r="G67" s="62"/>
      <c r="H67" s="62"/>
      <c r="I67" s="62"/>
      <c r="J67" s="187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190"/>
      <c r="BI67" s="190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10"/>
    </row>
    <row r="68" spans="1:81">
      <c r="C68" s="172"/>
      <c r="D68" s="62"/>
      <c r="E68" s="62"/>
      <c r="F68" s="62"/>
      <c r="G68" s="62"/>
      <c r="H68" s="62"/>
      <c r="I68" s="62"/>
      <c r="J68" s="187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190"/>
      <c r="BI68" s="190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10"/>
    </row>
    <row r="69" spans="1:81">
      <c r="C69" s="172"/>
      <c r="D69" s="62"/>
      <c r="E69" s="62"/>
      <c r="F69" s="62"/>
      <c r="G69" s="62"/>
      <c r="H69" s="62"/>
      <c r="I69" s="62"/>
      <c r="J69" s="187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190"/>
      <c r="BI69" s="190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10"/>
    </row>
    <row r="70" spans="1:81">
      <c r="C70" s="172"/>
      <c r="D70" s="62"/>
      <c r="E70" s="62"/>
      <c r="F70" s="62"/>
      <c r="G70" s="62"/>
      <c r="H70" s="62"/>
      <c r="I70" s="62"/>
      <c r="J70" s="187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190"/>
      <c r="BI70" s="190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10"/>
    </row>
    <row r="71" spans="1:81">
      <c r="C71" s="172"/>
      <c r="D71" s="62"/>
      <c r="E71" s="62"/>
      <c r="F71" s="62"/>
      <c r="G71" s="62"/>
      <c r="H71" s="62"/>
      <c r="I71" s="62"/>
      <c r="J71" s="187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190"/>
      <c r="BI71" s="190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10"/>
    </row>
    <row r="72" spans="1:81">
      <c r="C72" s="172"/>
      <c r="D72" s="62"/>
      <c r="E72" s="62"/>
      <c r="F72" s="62"/>
      <c r="G72" s="62"/>
      <c r="H72" s="62"/>
      <c r="I72" s="62"/>
      <c r="J72" s="187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190"/>
      <c r="BI72" s="190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10"/>
    </row>
    <row r="73" spans="1:81">
      <c r="C73" s="172"/>
      <c r="D73" s="62"/>
      <c r="E73" s="62"/>
      <c r="F73" s="62"/>
      <c r="G73" s="62"/>
      <c r="H73" s="62"/>
      <c r="I73" s="62"/>
      <c r="J73" s="187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190"/>
      <c r="BI73" s="190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10"/>
    </row>
    <row r="74" spans="1:81">
      <c r="A74" s="486">
        <f>MATCH(C74,$C$4:$C$76,0)</f>
        <v>71</v>
      </c>
      <c r="C74" s="14" t="s">
        <v>1430</v>
      </c>
      <c r="D74" s="14">
        <f>SUM(D57:D73)</f>
        <v>0</v>
      </c>
      <c r="E74" s="14">
        <f t="shared" ref="E74:CA74" si="2">SUM(E57:E73)</f>
        <v>0</v>
      </c>
      <c r="F74" s="14">
        <f>SUM(F57:F73)</f>
        <v>0</v>
      </c>
      <c r="G74" s="14">
        <f t="shared" si="2"/>
        <v>0</v>
      </c>
      <c r="H74" s="14">
        <f>SUM(H57:H73)</f>
        <v>0</v>
      </c>
      <c r="I74" s="14">
        <f t="shared" si="2"/>
        <v>0</v>
      </c>
      <c r="J74" s="14"/>
      <c r="K74" s="14">
        <f t="shared" si="2"/>
        <v>0</v>
      </c>
      <c r="L74" s="14">
        <f t="shared" si="2"/>
        <v>0</v>
      </c>
      <c r="M74" s="14">
        <f t="shared" si="2"/>
        <v>0</v>
      </c>
      <c r="N74" s="14">
        <f t="shared" si="2"/>
        <v>0</v>
      </c>
      <c r="O74" s="14">
        <f t="shared" si="2"/>
        <v>0</v>
      </c>
      <c r="P74" s="14">
        <f t="shared" si="2"/>
        <v>0</v>
      </c>
      <c r="Q74" s="14">
        <f t="shared" si="2"/>
        <v>0</v>
      </c>
      <c r="R74" s="14">
        <f t="shared" si="2"/>
        <v>0</v>
      </c>
      <c r="S74" s="14">
        <f t="shared" si="2"/>
        <v>0</v>
      </c>
      <c r="T74" s="14">
        <f t="shared" si="2"/>
        <v>0</v>
      </c>
      <c r="U74" s="14">
        <f t="shared" si="2"/>
        <v>0</v>
      </c>
      <c r="V74" s="14">
        <f t="shared" si="2"/>
        <v>0</v>
      </c>
      <c r="W74" s="14">
        <f t="shared" si="2"/>
        <v>0</v>
      </c>
      <c r="X74" s="14">
        <f t="shared" si="2"/>
        <v>0</v>
      </c>
      <c r="Y74" s="14">
        <f>SUM(Y57:Y73)</f>
        <v>0</v>
      </c>
      <c r="Z74" s="14">
        <f t="shared" si="2"/>
        <v>0</v>
      </c>
      <c r="AA74" s="14">
        <f>SUM(AA57:AA73)</f>
        <v>0</v>
      </c>
      <c r="AB74" s="14">
        <f t="shared" si="2"/>
        <v>0</v>
      </c>
      <c r="AC74" s="14">
        <f t="shared" si="2"/>
        <v>0</v>
      </c>
      <c r="AD74" s="14">
        <f t="shared" si="2"/>
        <v>0</v>
      </c>
      <c r="AE74" s="14">
        <f t="shared" si="2"/>
        <v>0</v>
      </c>
      <c r="AF74" s="14">
        <f t="shared" si="2"/>
        <v>0</v>
      </c>
      <c r="AG74" s="14">
        <f t="shared" si="2"/>
        <v>0</v>
      </c>
      <c r="AH74" s="14">
        <f t="shared" si="2"/>
        <v>0</v>
      </c>
      <c r="AI74" s="14">
        <f t="shared" si="2"/>
        <v>0</v>
      </c>
      <c r="AJ74" s="14">
        <f t="shared" si="2"/>
        <v>0</v>
      </c>
      <c r="AK74" s="14">
        <f t="shared" si="2"/>
        <v>0</v>
      </c>
      <c r="AL74" s="14">
        <f t="shared" si="2"/>
        <v>0</v>
      </c>
      <c r="AM74" s="14">
        <f t="shared" si="2"/>
        <v>0</v>
      </c>
      <c r="AN74" s="14">
        <f t="shared" si="2"/>
        <v>0</v>
      </c>
      <c r="AO74" s="14">
        <f>SUM(AO57:AO73)</f>
        <v>0</v>
      </c>
      <c r="AP74" s="14">
        <f>SUM(AP57:AP73)</f>
        <v>0</v>
      </c>
      <c r="AQ74" s="14">
        <f t="shared" si="2"/>
        <v>0</v>
      </c>
      <c r="AR74" s="14">
        <f t="shared" si="2"/>
        <v>0</v>
      </c>
      <c r="AS74" s="14">
        <f t="shared" si="2"/>
        <v>0</v>
      </c>
      <c r="AT74" s="14">
        <f>SUM(AT57:AT73)</f>
        <v>0</v>
      </c>
      <c r="AU74" s="14">
        <f>SUM(AU57:AU73)</f>
        <v>0</v>
      </c>
      <c r="AV74" s="14">
        <f t="shared" si="2"/>
        <v>0</v>
      </c>
      <c r="AW74" s="14">
        <f t="shared" si="2"/>
        <v>0</v>
      </c>
      <c r="AX74" s="14">
        <f>SUM(AX57:AX73)</f>
        <v>0</v>
      </c>
      <c r="AY74" s="14">
        <f t="shared" si="2"/>
        <v>0</v>
      </c>
      <c r="AZ74" s="14">
        <f t="shared" si="2"/>
        <v>0</v>
      </c>
      <c r="BA74" s="14">
        <f t="shared" si="2"/>
        <v>0</v>
      </c>
      <c r="BB74" s="14">
        <f t="shared" si="2"/>
        <v>0</v>
      </c>
      <c r="BC74" s="14">
        <f>SUM(BC57:BC73)</f>
        <v>0</v>
      </c>
      <c r="BD74" s="14">
        <f t="shared" si="2"/>
        <v>0</v>
      </c>
      <c r="BE74" s="14">
        <f>SUM(BE57:BE73)</f>
        <v>0</v>
      </c>
      <c r="BF74" s="14">
        <f t="shared" si="2"/>
        <v>0</v>
      </c>
      <c r="BG74" s="14">
        <f t="shared" si="2"/>
        <v>0</v>
      </c>
      <c r="BH74" s="191">
        <f t="shared" si="2"/>
        <v>0</v>
      </c>
      <c r="BI74" s="191">
        <f t="shared" si="2"/>
        <v>0</v>
      </c>
      <c r="BJ74" s="14">
        <f t="shared" si="2"/>
        <v>0</v>
      </c>
      <c r="BK74" s="14">
        <f t="shared" si="2"/>
        <v>0</v>
      </c>
      <c r="BL74" s="14">
        <f t="shared" si="2"/>
        <v>0</v>
      </c>
      <c r="BM74" s="14">
        <f t="shared" si="2"/>
        <v>0</v>
      </c>
      <c r="BN74" s="14">
        <f t="shared" si="2"/>
        <v>0</v>
      </c>
      <c r="BO74" s="14">
        <f t="shared" si="2"/>
        <v>0</v>
      </c>
      <c r="BP74" s="14">
        <f t="shared" si="2"/>
        <v>0</v>
      </c>
      <c r="BQ74" s="14">
        <f>SUM(BQ57:BQ73)</f>
        <v>0</v>
      </c>
      <c r="BR74" s="14">
        <f>SUM(BR57:BR73)</f>
        <v>0</v>
      </c>
      <c r="BS74" s="14">
        <f t="shared" si="2"/>
        <v>0</v>
      </c>
      <c r="BT74" s="14">
        <f t="shared" si="2"/>
        <v>0</v>
      </c>
      <c r="BU74" s="14">
        <f t="shared" si="2"/>
        <v>0</v>
      </c>
      <c r="BV74" s="14">
        <f t="shared" si="2"/>
        <v>0</v>
      </c>
      <c r="BW74" s="14">
        <f t="shared" si="2"/>
        <v>0</v>
      </c>
      <c r="BX74" s="14">
        <f t="shared" si="2"/>
        <v>0</v>
      </c>
      <c r="BY74" s="14">
        <f t="shared" si="2"/>
        <v>0</v>
      </c>
      <c r="BZ74" s="14">
        <f t="shared" si="2"/>
        <v>0</v>
      </c>
      <c r="CA74" s="14">
        <f t="shared" si="2"/>
        <v>0</v>
      </c>
      <c r="CB74" s="14">
        <f>SUM(CB57:CB73)</f>
        <v>0</v>
      </c>
      <c r="CC74" s="14"/>
    </row>
    <row r="75" spans="1:81"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86"/>
      <c r="BI75" s="186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 spans="1:81">
      <c r="A76" s="486">
        <f>MATCH(C76,$C$4:$C$76,0)</f>
        <v>73</v>
      </c>
      <c r="C76" s="16" t="s">
        <v>1431</v>
      </c>
      <c r="D76" s="16">
        <f>D31+D55+D74</f>
        <v>0</v>
      </c>
      <c r="E76" s="16">
        <f t="shared" ref="E76:CA76" si="3">E31+E55+E74</f>
        <v>0</v>
      </c>
      <c r="F76" s="16">
        <f>F31+F55+F74</f>
        <v>0</v>
      </c>
      <c r="G76" s="16">
        <f t="shared" si="3"/>
        <v>0</v>
      </c>
      <c r="H76" s="16">
        <f>H31+H55+H74</f>
        <v>0</v>
      </c>
      <c r="I76" s="16">
        <f t="shared" si="3"/>
        <v>0</v>
      </c>
      <c r="J76" s="16"/>
      <c r="K76" s="16">
        <f t="shared" si="3"/>
        <v>0</v>
      </c>
      <c r="L76" s="16">
        <f t="shared" si="3"/>
        <v>0</v>
      </c>
      <c r="M76" s="16">
        <f t="shared" si="3"/>
        <v>0</v>
      </c>
      <c r="N76" s="16">
        <f t="shared" si="3"/>
        <v>0</v>
      </c>
      <c r="O76" s="16">
        <f t="shared" si="3"/>
        <v>0</v>
      </c>
      <c r="P76" s="16">
        <f t="shared" si="3"/>
        <v>0</v>
      </c>
      <c r="Q76" s="16">
        <f t="shared" si="3"/>
        <v>0</v>
      </c>
      <c r="R76" s="16">
        <f t="shared" si="3"/>
        <v>0</v>
      </c>
      <c r="S76" s="16">
        <f t="shared" si="3"/>
        <v>0</v>
      </c>
      <c r="T76" s="16">
        <f t="shared" si="3"/>
        <v>0</v>
      </c>
      <c r="U76" s="16">
        <f t="shared" si="3"/>
        <v>0</v>
      </c>
      <c r="V76" s="16">
        <f t="shared" si="3"/>
        <v>0</v>
      </c>
      <c r="W76" s="16">
        <f t="shared" si="3"/>
        <v>0</v>
      </c>
      <c r="X76" s="16">
        <f t="shared" si="3"/>
        <v>0</v>
      </c>
      <c r="Y76" s="16">
        <f>Y31+Y55+Y74</f>
        <v>0</v>
      </c>
      <c r="Z76" s="16">
        <f t="shared" si="3"/>
        <v>0</v>
      </c>
      <c r="AA76" s="16">
        <f>AA31+AA55+AA74</f>
        <v>0</v>
      </c>
      <c r="AB76" s="16">
        <f t="shared" si="3"/>
        <v>0</v>
      </c>
      <c r="AC76" s="16">
        <f t="shared" si="3"/>
        <v>0</v>
      </c>
      <c r="AD76" s="16">
        <f t="shared" si="3"/>
        <v>0</v>
      </c>
      <c r="AE76" s="16">
        <f t="shared" si="3"/>
        <v>0</v>
      </c>
      <c r="AF76" s="16">
        <f t="shared" si="3"/>
        <v>0</v>
      </c>
      <c r="AG76" s="16">
        <f t="shared" si="3"/>
        <v>0</v>
      </c>
      <c r="AH76" s="16">
        <f t="shared" si="3"/>
        <v>0</v>
      </c>
      <c r="AI76" s="16">
        <f t="shared" si="3"/>
        <v>0</v>
      </c>
      <c r="AJ76" s="16">
        <f t="shared" si="3"/>
        <v>0</v>
      </c>
      <c r="AK76" s="16">
        <f t="shared" si="3"/>
        <v>0</v>
      </c>
      <c r="AL76" s="16">
        <f t="shared" si="3"/>
        <v>0</v>
      </c>
      <c r="AM76" s="16">
        <f t="shared" si="3"/>
        <v>0</v>
      </c>
      <c r="AN76" s="16">
        <f t="shared" si="3"/>
        <v>0</v>
      </c>
      <c r="AO76" s="16">
        <f>AO31+AO55+AO74</f>
        <v>0</v>
      </c>
      <c r="AP76" s="16">
        <f>AP31+AP55+AP74</f>
        <v>0</v>
      </c>
      <c r="AQ76" s="16">
        <f t="shared" si="3"/>
        <v>0</v>
      </c>
      <c r="AR76" s="16">
        <f t="shared" si="3"/>
        <v>0</v>
      </c>
      <c r="AS76" s="16">
        <f t="shared" si="3"/>
        <v>0</v>
      </c>
      <c r="AT76" s="16">
        <f>AT31+AT55+AT74</f>
        <v>0</v>
      </c>
      <c r="AU76" s="16">
        <f>AU31+AU55+AU74</f>
        <v>0</v>
      </c>
      <c r="AV76" s="16">
        <f t="shared" si="3"/>
        <v>0</v>
      </c>
      <c r="AW76" s="16">
        <f t="shared" si="3"/>
        <v>0</v>
      </c>
      <c r="AX76" s="16">
        <f>AX31+AX55+AX74</f>
        <v>0</v>
      </c>
      <c r="AY76" s="16">
        <f t="shared" si="3"/>
        <v>0</v>
      </c>
      <c r="AZ76" s="16">
        <f t="shared" si="3"/>
        <v>0</v>
      </c>
      <c r="BA76" s="16">
        <f t="shared" si="3"/>
        <v>0</v>
      </c>
      <c r="BB76" s="16">
        <f t="shared" si="3"/>
        <v>0</v>
      </c>
      <c r="BC76" s="16">
        <f>BC31+BC55+BC74</f>
        <v>0</v>
      </c>
      <c r="BD76" s="16">
        <f t="shared" si="3"/>
        <v>0</v>
      </c>
      <c r="BE76" s="16">
        <f>BE31+BE55+BE74</f>
        <v>0</v>
      </c>
      <c r="BF76" s="16">
        <f t="shared" si="3"/>
        <v>0</v>
      </c>
      <c r="BG76" s="16">
        <f t="shared" si="3"/>
        <v>0</v>
      </c>
      <c r="BH76" s="192">
        <f t="shared" si="3"/>
        <v>0</v>
      </c>
      <c r="BI76" s="192">
        <f t="shared" si="3"/>
        <v>0</v>
      </c>
      <c r="BJ76" s="16">
        <f t="shared" si="3"/>
        <v>0</v>
      </c>
      <c r="BK76" s="16">
        <f t="shared" si="3"/>
        <v>0</v>
      </c>
      <c r="BL76" s="16">
        <f t="shared" si="3"/>
        <v>0</v>
      </c>
      <c r="BM76" s="16">
        <f t="shared" si="3"/>
        <v>0</v>
      </c>
      <c r="BN76" s="16">
        <f t="shared" si="3"/>
        <v>0</v>
      </c>
      <c r="BO76" s="16">
        <f t="shared" si="3"/>
        <v>0</v>
      </c>
      <c r="BP76" s="16">
        <f t="shared" si="3"/>
        <v>0</v>
      </c>
      <c r="BQ76" s="16">
        <f>BQ31+BQ55+BQ74</f>
        <v>0</v>
      </c>
      <c r="BR76" s="16">
        <f>BR31+BR55+BR74</f>
        <v>0</v>
      </c>
      <c r="BS76" s="16">
        <f t="shared" si="3"/>
        <v>0</v>
      </c>
      <c r="BT76" s="16">
        <f t="shared" si="3"/>
        <v>0</v>
      </c>
      <c r="BU76" s="16">
        <f t="shared" si="3"/>
        <v>0</v>
      </c>
      <c r="BV76" s="16">
        <f t="shared" si="3"/>
        <v>0</v>
      </c>
      <c r="BW76" s="16">
        <f t="shared" si="3"/>
        <v>0</v>
      </c>
      <c r="BX76" s="16">
        <f t="shared" si="3"/>
        <v>0</v>
      </c>
      <c r="BY76" s="16">
        <f t="shared" si="3"/>
        <v>0</v>
      </c>
      <c r="BZ76" s="16">
        <f t="shared" si="3"/>
        <v>0</v>
      </c>
      <c r="CA76" s="16">
        <f t="shared" si="3"/>
        <v>0</v>
      </c>
      <c r="CB76" s="16">
        <f>CB31+CB55+CB74</f>
        <v>0</v>
      </c>
      <c r="CC76" s="16"/>
    </row>
  </sheetData>
  <printOptions horizontalCentered="1"/>
  <pageMargins left="0.19685039370078741" right="0.19685039370078741" top="0.78740157480314965" bottom="0.19685039370078741" header="0.31496062992125984" footer="0.31496062992125984"/>
  <pageSetup paperSize="8" scale="97" orientation="landscape" blackAndWhite="1" r:id="rId1"/>
  <rowBreaks count="1" manualBreakCount="1">
    <brk id="31" min="2" max="80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/>
  <dimension ref="B3:H96"/>
  <sheetViews>
    <sheetView view="pageBreakPreview" topLeftCell="A43" zoomScaleNormal="100" zoomScaleSheetLayoutView="100" workbookViewId="0">
      <selection activeCell="B3" sqref="B3"/>
    </sheetView>
  </sheetViews>
  <sheetFormatPr defaultColWidth="9.109375" defaultRowHeight="15.6"/>
  <cols>
    <col min="1" max="1" width="9.109375" style="4"/>
    <col min="2" max="2" width="7.6640625" style="56" customWidth="1"/>
    <col min="3" max="3" width="43.33203125" style="4" customWidth="1"/>
    <col min="4" max="4" width="8" style="56" customWidth="1"/>
    <col min="5" max="5" width="13.44140625" style="4" customWidth="1"/>
    <col min="6" max="6" width="12" style="4" customWidth="1"/>
    <col min="7" max="16384" width="9.109375" style="4"/>
  </cols>
  <sheetData>
    <row r="3" spans="2:7" s="18" customFormat="1">
      <c r="B3" s="59" t="s">
        <v>2745</v>
      </c>
      <c r="C3" s="59"/>
      <c r="D3" s="59"/>
      <c r="E3" s="59"/>
      <c r="F3" s="59"/>
    </row>
    <row r="5" spans="2:7" s="452" customFormat="1" ht="31.2">
      <c r="B5" s="453" t="s">
        <v>1763</v>
      </c>
      <c r="C5" s="453" t="s">
        <v>2734</v>
      </c>
      <c r="D5" s="453" t="s">
        <v>1747</v>
      </c>
      <c r="E5" s="453" t="s">
        <v>1748</v>
      </c>
      <c r="F5" s="453" t="s">
        <v>1398</v>
      </c>
    </row>
    <row r="6" spans="2:7" hidden="1">
      <c r="B6" s="454">
        <f>IF(E6&lt;&gt;0,1,)</f>
        <v>0</v>
      </c>
      <c r="C6" s="290" t="s">
        <v>1457</v>
      </c>
      <c r="D6" s="454" t="s">
        <v>276</v>
      </c>
      <c r="E6" s="454">
        <f>PP3P!DX361</f>
        <v>0</v>
      </c>
      <c r="F6" s="454"/>
      <c r="G6" s="56">
        <f t="shared" ref="G6:G13" si="0">IF(E6&lt;&gt;0,1,)</f>
        <v>0</v>
      </c>
    </row>
    <row r="7" spans="2:7">
      <c r="B7" s="454">
        <f t="shared" ref="B7:B90" si="1">IF(E7&lt;&gt;0,B6+1,B6)</f>
        <v>1</v>
      </c>
      <c r="C7" s="290" t="s">
        <v>3548</v>
      </c>
      <c r="D7" s="454" t="s">
        <v>276</v>
      </c>
      <c r="E7" s="454">
        <f>BKTL!CP507-BKTL!CT507</f>
        <v>22</v>
      </c>
      <c r="F7" s="454"/>
      <c r="G7" s="56">
        <f t="shared" si="0"/>
        <v>1</v>
      </c>
    </row>
    <row r="8" spans="2:7">
      <c r="B8" s="454">
        <f t="shared" si="1"/>
        <v>2</v>
      </c>
      <c r="C8" s="290" t="s">
        <v>1586</v>
      </c>
      <c r="D8" s="454" t="s">
        <v>276</v>
      </c>
      <c r="E8" s="454">
        <f>BKTL!CQ507-BKTL!CU507</f>
        <v>8</v>
      </c>
      <c r="F8" s="454"/>
      <c r="G8" s="56">
        <f t="shared" si="0"/>
        <v>1</v>
      </c>
    </row>
    <row r="9" spans="2:7">
      <c r="B9" s="454">
        <f t="shared" si="1"/>
        <v>3</v>
      </c>
      <c r="C9" s="290" t="s">
        <v>2737</v>
      </c>
      <c r="D9" s="454" t="s">
        <v>143</v>
      </c>
      <c r="E9" s="456">
        <f>ROUND((BKTL!DV507+BKTL!DW507+PP3P!DX361+PP3P!DZ361)*11*0.315,1)</f>
        <v>62.4</v>
      </c>
      <c r="F9" s="454"/>
      <c r="G9" s="56">
        <f t="shared" si="0"/>
        <v>1</v>
      </c>
    </row>
    <row r="10" spans="2:7">
      <c r="B10" s="454">
        <f t="shared" si="1"/>
        <v>4</v>
      </c>
      <c r="C10" s="290" t="s">
        <v>1381</v>
      </c>
      <c r="D10" s="454" t="s">
        <v>11</v>
      </c>
      <c r="E10" s="454">
        <f>BKTL!DV507+BKTL!DW507+PP3P!DX361+PP3P!DZ361</f>
        <v>18</v>
      </c>
      <c r="F10" s="454"/>
      <c r="G10" s="56">
        <f t="shared" si="0"/>
        <v>1</v>
      </c>
    </row>
    <row r="11" spans="2:7">
      <c r="B11" s="454">
        <f t="shared" si="1"/>
        <v>5</v>
      </c>
      <c r="C11" s="290" t="s">
        <v>2738</v>
      </c>
      <c r="D11" s="454" t="s">
        <v>11</v>
      </c>
      <c r="E11" s="454">
        <f>(PP3P!DX361+PP3P!DZ361+PP3P!DZ361+BKTL!DV507+BKTL!DW507)*4</f>
        <v>72</v>
      </c>
      <c r="F11" s="454"/>
      <c r="G11" s="56">
        <f t="shared" si="0"/>
        <v>1</v>
      </c>
    </row>
    <row r="12" spans="2:7" hidden="1">
      <c r="B12" s="454">
        <f t="shared" si="1"/>
        <v>5</v>
      </c>
      <c r="C12" s="290" t="s">
        <v>2735</v>
      </c>
      <c r="D12" s="454" t="s">
        <v>11</v>
      </c>
      <c r="E12" s="454">
        <f>PP3P!EA361</f>
        <v>0</v>
      </c>
      <c r="F12" s="454"/>
      <c r="G12" s="56">
        <f t="shared" si="0"/>
        <v>0</v>
      </c>
    </row>
    <row r="13" spans="2:7" hidden="1">
      <c r="B13" s="454">
        <f t="shared" si="1"/>
        <v>5</v>
      </c>
      <c r="C13" s="290" t="s">
        <v>2736</v>
      </c>
      <c r="D13" s="454" t="s">
        <v>11</v>
      </c>
      <c r="E13" s="454">
        <f>E12</f>
        <v>0</v>
      </c>
      <c r="F13" s="454"/>
      <c r="G13" s="56">
        <f t="shared" si="0"/>
        <v>0</v>
      </c>
    </row>
    <row r="14" spans="2:7">
      <c r="B14" s="454">
        <f t="shared" si="1"/>
        <v>6</v>
      </c>
      <c r="C14" s="290" t="str">
        <f>PPHT!DG6</f>
        <v>Cáp nhôm trần A35mm2</v>
      </c>
      <c r="D14" s="454" t="s">
        <v>146</v>
      </c>
      <c r="E14" s="517">
        <f>BKTL!CV507</f>
        <v>1207.4999999999998</v>
      </c>
      <c r="F14" s="454"/>
      <c r="G14" s="56">
        <f t="shared" ref="G14:G19" si="2">IF(E14&lt;&gt;0,1,)</f>
        <v>1</v>
      </c>
    </row>
    <row r="15" spans="2:7">
      <c r="B15" s="454">
        <f t="shared" si="1"/>
        <v>7</v>
      </c>
      <c r="C15" s="290" t="str">
        <f>PPHT!DH6</f>
        <v>Cáp nhôm trần A50mm2</v>
      </c>
      <c r="D15" s="454" t="s">
        <v>146</v>
      </c>
      <c r="E15" s="517">
        <f>BKTL!CW507</f>
        <v>8018.4999999999991</v>
      </c>
      <c r="F15" s="454"/>
      <c r="G15" s="56">
        <f t="shared" si="2"/>
        <v>1</v>
      </c>
    </row>
    <row r="16" spans="2:7" hidden="1">
      <c r="B16" s="454">
        <f t="shared" si="1"/>
        <v>7</v>
      </c>
      <c r="C16" s="290" t="str">
        <f>PPHT!DI6</f>
        <v>Cáp nhôm lõi thép AC50mm2</v>
      </c>
      <c r="D16" s="454" t="s">
        <v>146</v>
      </c>
      <c r="E16" s="517">
        <f>BKTL!CY507</f>
        <v>0</v>
      </c>
      <c r="F16" s="454"/>
      <c r="G16" s="56">
        <f t="shared" si="2"/>
        <v>0</v>
      </c>
    </row>
    <row r="17" spans="2:7">
      <c r="B17" s="454">
        <f t="shared" si="1"/>
        <v>8</v>
      </c>
      <c r="C17" s="290" t="str">
        <f>PPHT!DJ6</f>
        <v>Cáp nhôm bọc AV50mm2</v>
      </c>
      <c r="D17" s="454" t="s">
        <v>146</v>
      </c>
      <c r="E17" s="517">
        <f>BKTL!CZ507</f>
        <v>2414.9999999999995</v>
      </c>
      <c r="F17" s="454"/>
      <c r="G17" s="56">
        <f t="shared" si="2"/>
        <v>1</v>
      </c>
    </row>
    <row r="18" spans="2:7">
      <c r="B18" s="454">
        <f t="shared" si="1"/>
        <v>9</v>
      </c>
      <c r="C18" s="290" t="str">
        <f>PPHT!DK6</f>
        <v>Cáp nhôm bọc AV70mm2</v>
      </c>
      <c r="D18" s="454" t="s">
        <v>146</v>
      </c>
      <c r="E18" s="517">
        <f>BKTL!DA507</f>
        <v>19426.999999999993</v>
      </c>
      <c r="F18" s="454"/>
      <c r="G18" s="56">
        <f t="shared" si="2"/>
        <v>1</v>
      </c>
    </row>
    <row r="19" spans="2:7">
      <c r="B19" s="454">
        <f t="shared" si="1"/>
        <v>10</v>
      </c>
      <c r="C19" s="290" t="str">
        <f>PPHT!DL6</f>
        <v>Cáp nhôm bọc AV95mm2</v>
      </c>
      <c r="D19" s="454" t="s">
        <v>146</v>
      </c>
      <c r="E19" s="517">
        <f>BKTL!DB507</f>
        <v>5005.8</v>
      </c>
      <c r="F19" s="454"/>
      <c r="G19" s="56">
        <f t="shared" si="2"/>
        <v>1</v>
      </c>
    </row>
    <row r="20" spans="2:7" hidden="1">
      <c r="B20" s="454">
        <f t="shared" si="1"/>
        <v>10</v>
      </c>
      <c r="C20" s="290" t="str">
        <f>PPHT!DM6</f>
        <v>Cáp nhôm ABC 3x50mm2</v>
      </c>
      <c r="D20" s="454" t="s">
        <v>146</v>
      </c>
      <c r="E20" s="517"/>
      <c r="F20" s="454"/>
      <c r="G20" s="56">
        <f>IF(E20&lt;&gt;0,1,)</f>
        <v>0</v>
      </c>
    </row>
    <row r="21" spans="2:7">
      <c r="B21" s="454">
        <f t="shared" si="1"/>
        <v>11</v>
      </c>
      <c r="C21" s="290" t="str">
        <f>PPHT!DN6</f>
        <v>Cáp nhôm ABC 3x70mm2</v>
      </c>
      <c r="D21" s="454" t="s">
        <v>146</v>
      </c>
      <c r="E21" s="517">
        <f>BKTL!DD507</f>
        <v>466.4</v>
      </c>
      <c r="F21" s="454"/>
      <c r="G21" s="56">
        <f>IF(E21&lt;&gt;0,1,)</f>
        <v>1</v>
      </c>
    </row>
    <row r="22" spans="2:7" hidden="1">
      <c r="B22" s="454">
        <f t="shared" si="1"/>
        <v>11</v>
      </c>
      <c r="C22" s="290" t="str">
        <f>PPHT!DR6</f>
        <v>Cáp nhôm ABC 4x95mm2</v>
      </c>
      <c r="D22" s="454" t="s">
        <v>146</v>
      </c>
      <c r="E22" s="517"/>
      <c r="F22" s="454"/>
      <c r="G22" s="56">
        <f t="shared" ref="G22:G31" si="3">IF(E22&lt;&gt;0,1,)</f>
        <v>0</v>
      </c>
    </row>
    <row r="23" spans="2:7" hidden="1">
      <c r="B23" s="454">
        <f t="shared" si="1"/>
        <v>11</v>
      </c>
      <c r="C23" s="290" t="str">
        <f>PPHT!DS6</f>
        <v>Rack 1 (Uclevis)</v>
      </c>
      <c r="D23" s="454" t="s">
        <v>11</v>
      </c>
      <c r="E23" s="454">
        <f>BKTL!DI507</f>
        <v>0</v>
      </c>
      <c r="F23" s="454"/>
      <c r="G23" s="56">
        <f t="shared" si="3"/>
        <v>0</v>
      </c>
    </row>
    <row r="24" spans="2:7">
      <c r="B24" s="454">
        <f t="shared" si="1"/>
        <v>12</v>
      </c>
      <c r="C24" s="290" t="str">
        <f>PPHT!DU6</f>
        <v>Rack 3</v>
      </c>
      <c r="D24" s="454" t="s">
        <v>11</v>
      </c>
      <c r="E24" s="454">
        <f>BKTL!DK507</f>
        <v>190</v>
      </c>
      <c r="F24" s="454"/>
      <c r="G24" s="56">
        <f t="shared" si="3"/>
        <v>1</v>
      </c>
    </row>
    <row r="25" spans="2:7">
      <c r="B25" s="454">
        <f t="shared" si="1"/>
        <v>13</v>
      </c>
      <c r="C25" s="290" t="str">
        <f>PPHT!DV6</f>
        <v>Rack 4</v>
      </c>
      <c r="D25" s="454" t="s">
        <v>11</v>
      </c>
      <c r="E25" s="454">
        <f>BKTL!DL507</f>
        <v>146</v>
      </c>
      <c r="F25" s="454"/>
      <c r="G25" s="56">
        <f t="shared" si="3"/>
        <v>1</v>
      </c>
    </row>
    <row r="26" spans="2:7">
      <c r="B26" s="454">
        <f t="shared" si="1"/>
        <v>14</v>
      </c>
      <c r="C26" s="290" t="str">
        <f>PPHT!DW6</f>
        <v>Sứ ống chỉ</v>
      </c>
      <c r="D26" s="454" t="s">
        <v>11</v>
      </c>
      <c r="E26" s="454">
        <f>BKTL!DM507</f>
        <v>1150</v>
      </c>
      <c r="F26" s="454"/>
      <c r="G26" s="56">
        <f t="shared" si="3"/>
        <v>1</v>
      </c>
    </row>
    <row r="27" spans="2:7">
      <c r="B27" s="454">
        <f t="shared" si="1"/>
        <v>15</v>
      </c>
      <c r="C27" s="290" t="str">
        <f>PPHT!DX6</f>
        <v>Hộp domino</v>
      </c>
      <c r="D27" s="454" t="s">
        <v>11</v>
      </c>
      <c r="E27" s="454">
        <f>BKTL!DN507</f>
        <v>263</v>
      </c>
      <c r="F27" s="454"/>
      <c r="G27" s="56">
        <f t="shared" si="3"/>
        <v>1</v>
      </c>
    </row>
    <row r="28" spans="2:7">
      <c r="B28" s="454">
        <f t="shared" si="1"/>
        <v>16</v>
      </c>
      <c r="C28" s="290" t="str">
        <f>PPHT!DY6</f>
        <v>Cáp CV25mm2 (sợi)</v>
      </c>
      <c r="D28" s="454" t="s">
        <v>3352</v>
      </c>
      <c r="E28" s="454">
        <f>BKTL!DO507</f>
        <v>780</v>
      </c>
      <c r="F28" s="454"/>
      <c r="G28" s="56">
        <f t="shared" si="3"/>
        <v>1</v>
      </c>
    </row>
    <row r="29" spans="2:7">
      <c r="B29" s="454">
        <f t="shared" si="1"/>
        <v>17</v>
      </c>
      <c r="C29" s="290" t="str">
        <f>PPHT!DZ6</f>
        <v>Ghíp IPC các loại</v>
      </c>
      <c r="D29" s="454" t="s">
        <v>11</v>
      </c>
      <c r="E29" s="454">
        <f>BKTL!DP507</f>
        <v>653</v>
      </c>
      <c r="F29" s="454"/>
      <c r="G29" s="56">
        <f t="shared" si="3"/>
        <v>1</v>
      </c>
    </row>
    <row r="30" spans="2:7">
      <c r="B30" s="454">
        <f t="shared" si="1"/>
        <v>18</v>
      </c>
      <c r="C30" s="290" t="str">
        <f>PPHT!EA6</f>
        <v>Kẹp treo cáp ABC các loại</v>
      </c>
      <c r="D30" s="454" t="s">
        <v>11</v>
      </c>
      <c r="E30" s="454">
        <f>BKTL!DQ507</f>
        <v>28</v>
      </c>
      <c r="F30" s="454"/>
      <c r="G30" s="56">
        <f t="shared" si="3"/>
        <v>1</v>
      </c>
    </row>
    <row r="31" spans="2:7">
      <c r="B31" s="454">
        <f t="shared" si="1"/>
        <v>19</v>
      </c>
      <c r="C31" s="290" t="str">
        <f>PPHT!EB6</f>
        <v>Kẹp dừng cáp ABC các loại</v>
      </c>
      <c r="D31" s="454" t="s">
        <v>11</v>
      </c>
      <c r="E31" s="454">
        <f>BKTL!DR507</f>
        <v>16</v>
      </c>
      <c r="F31" s="454"/>
      <c r="G31" s="56">
        <f t="shared" si="3"/>
        <v>1</v>
      </c>
    </row>
    <row r="32" spans="2:7">
      <c r="B32" s="454">
        <f t="shared" si="1"/>
        <v>20</v>
      </c>
      <c r="C32" s="290" t="str">
        <f>PPHT!EC6</f>
        <v>Kẹp quai</v>
      </c>
      <c r="D32" s="454" t="s">
        <v>11</v>
      </c>
      <c r="E32" s="454">
        <f>BKTL!DS507+'BKTL Tram'!AG21-'BKTL Tram'!AG39</f>
        <v>68</v>
      </c>
      <c r="F32" s="454"/>
      <c r="G32" s="56">
        <f t="shared" ref="G32:G52" si="4">IF(E32&lt;&gt;0,1,)</f>
        <v>1</v>
      </c>
    </row>
    <row r="33" spans="2:7">
      <c r="B33" s="454">
        <f t="shared" si="1"/>
        <v>21</v>
      </c>
      <c r="C33" s="290" t="str">
        <f>PPHT!ED6</f>
        <v>Kẹp nhôm 2 rãnh các loại</v>
      </c>
      <c r="D33" s="454" t="s">
        <v>11</v>
      </c>
      <c r="E33" s="454">
        <f>BKTL!DT507</f>
        <v>53</v>
      </c>
      <c r="F33" s="454"/>
      <c r="G33" s="56">
        <f t="shared" si="4"/>
        <v>1</v>
      </c>
    </row>
    <row r="34" spans="2:7">
      <c r="B34" s="454">
        <f t="shared" si="1"/>
        <v>22</v>
      </c>
      <c r="C34" s="290" t="str">
        <f>PPHT!EE6</f>
        <v>Kẹp Ubolt các loại</v>
      </c>
      <c r="D34" s="454" t="s">
        <v>11</v>
      </c>
      <c r="E34" s="454">
        <f>BKTL!DU507</f>
        <v>628</v>
      </c>
      <c r="F34" s="454"/>
      <c r="G34" s="56">
        <f t="shared" si="4"/>
        <v>1</v>
      </c>
    </row>
    <row r="35" spans="2:7">
      <c r="B35" s="454">
        <f t="shared" si="1"/>
        <v>23</v>
      </c>
      <c r="C35" s="290" t="str">
        <f>PPHT!EJ6</f>
        <v>Boulon D16x200</v>
      </c>
      <c r="D35" s="454" t="s">
        <v>11</v>
      </c>
      <c r="E35" s="454">
        <f>BKTL!DZ507</f>
        <v>158</v>
      </c>
      <c r="F35" s="454"/>
      <c r="G35" s="56">
        <f t="shared" si="4"/>
        <v>1</v>
      </c>
    </row>
    <row r="36" spans="2:7">
      <c r="B36" s="454">
        <f t="shared" si="1"/>
        <v>24</v>
      </c>
      <c r="C36" s="290" t="str">
        <f>PPHT!EK6</f>
        <v>Boulon D16x250</v>
      </c>
      <c r="D36" s="454" t="s">
        <v>11</v>
      </c>
      <c r="E36" s="454">
        <f>BKTL!EA507+E40*2</f>
        <v>348</v>
      </c>
      <c r="F36" s="454"/>
      <c r="G36" s="56">
        <f t="shared" si="4"/>
        <v>1</v>
      </c>
    </row>
    <row r="37" spans="2:7">
      <c r="B37" s="454">
        <f t="shared" si="1"/>
        <v>25</v>
      </c>
      <c r="C37" s="290" t="str">
        <f>PPHT!EL6</f>
        <v>Boulon D16x300</v>
      </c>
      <c r="D37" s="454" t="s">
        <v>11</v>
      </c>
      <c r="E37" s="454">
        <f>BKTL!EB507+(SUM('BKTL Tram'!D21:G21)-'BKTL Tram'!F19-'BKTL Tram'!E17)*2</f>
        <v>129</v>
      </c>
      <c r="F37" s="454"/>
      <c r="G37" s="56">
        <f t="shared" si="4"/>
        <v>1</v>
      </c>
    </row>
    <row r="38" spans="2:7">
      <c r="B38" s="454">
        <f t="shared" si="1"/>
        <v>26</v>
      </c>
      <c r="C38" s="290" t="str">
        <f>PPHT!EM6</f>
        <v>Boulon D16x350</v>
      </c>
      <c r="D38" s="454" t="s">
        <v>11</v>
      </c>
      <c r="E38" s="454">
        <v>1</v>
      </c>
      <c r="F38" s="454"/>
      <c r="G38" s="56">
        <f t="shared" si="4"/>
        <v>1</v>
      </c>
    </row>
    <row r="39" spans="2:7">
      <c r="B39" s="454">
        <f t="shared" si="1"/>
        <v>27</v>
      </c>
      <c r="C39" s="290" t="str">
        <f>PPHT!EN6</f>
        <v>Boulon móc D16x250</v>
      </c>
      <c r="D39" s="454" t="s">
        <v>11</v>
      </c>
      <c r="E39" s="454">
        <f>BKTL!ED507</f>
        <v>23</v>
      </c>
      <c r="F39" s="454"/>
      <c r="G39" s="56">
        <f t="shared" si="4"/>
        <v>1</v>
      </c>
    </row>
    <row r="40" spans="2:7">
      <c r="B40" s="454">
        <f t="shared" si="1"/>
        <v>28</v>
      </c>
      <c r="C40" s="290" t="str">
        <f>PPHT!EP6</f>
        <v>Giá T bắt FCO</v>
      </c>
      <c r="D40" s="454" t="s">
        <v>11</v>
      </c>
      <c r="E40" s="454">
        <f>BKTL!EE507+'BKTL Tram'!AB21-'BKTL Tram'!AB39</f>
        <v>8</v>
      </c>
      <c r="F40" s="454"/>
      <c r="G40" s="56">
        <f t="shared" si="4"/>
        <v>1</v>
      </c>
    </row>
    <row r="41" spans="2:7" hidden="1">
      <c r="B41" s="454">
        <f t="shared" si="1"/>
        <v>28</v>
      </c>
      <c r="C41" s="290" t="str">
        <f>PPHT!ER6</f>
        <v>Bass LI</v>
      </c>
      <c r="D41" s="454" t="s">
        <v>24</v>
      </c>
      <c r="E41" s="454"/>
      <c r="F41" s="454"/>
      <c r="G41" s="56">
        <f t="shared" si="4"/>
        <v>0</v>
      </c>
    </row>
    <row r="42" spans="2:7" hidden="1">
      <c r="B42" s="454">
        <f t="shared" si="1"/>
        <v>28</v>
      </c>
      <c r="C42" s="290" t="str">
        <f>PPHT!ES6</f>
        <v>Bass LL</v>
      </c>
      <c r="D42" s="454" t="s">
        <v>24</v>
      </c>
      <c r="E42" s="454">
        <f>PP3P!ER361+'BKTL Tram'!AF21-'BKTL Tram'!AF39</f>
        <v>0</v>
      </c>
      <c r="F42" s="454"/>
      <c r="G42" s="56">
        <f t="shared" si="4"/>
        <v>0</v>
      </c>
    </row>
    <row r="43" spans="2:7">
      <c r="B43" s="454">
        <f t="shared" si="1"/>
        <v>29</v>
      </c>
      <c r="C43" s="290" t="s">
        <v>3120</v>
      </c>
      <c r="D43" s="454" t="s">
        <v>24</v>
      </c>
      <c r="E43" s="454">
        <f>'BKTL Tram'!AE21-'BKTL Tram'!AE39</f>
        <v>4</v>
      </c>
      <c r="F43" s="454"/>
      <c r="G43" s="56">
        <f>IF(E43&lt;&gt;0,1,)</f>
        <v>1</v>
      </c>
    </row>
    <row r="44" spans="2:7">
      <c r="B44" s="454">
        <f t="shared" si="1"/>
        <v>30</v>
      </c>
      <c r="C44" s="290" t="str">
        <f>PPHT!ET6</f>
        <v>Thùng trạm treo</v>
      </c>
      <c r="D44" s="454" t="s">
        <v>11</v>
      </c>
      <c r="E44" s="454">
        <f>'BKTL Tram'!J21-'BKTL Tram'!J39</f>
        <v>5</v>
      </c>
      <c r="F44" s="454"/>
      <c r="G44" s="56">
        <f t="shared" si="4"/>
        <v>1</v>
      </c>
    </row>
    <row r="45" spans="2:7">
      <c r="B45" s="454">
        <f t="shared" si="1"/>
        <v>31</v>
      </c>
      <c r="C45" s="290" t="str">
        <f>PPHT!EU6</f>
        <v>Ống PVC D90 (mét)</v>
      </c>
      <c r="D45" s="454" t="s">
        <v>146</v>
      </c>
      <c r="E45" s="454">
        <f>'BKTL Tram'!N21-'BKTL Tram'!N39</f>
        <v>63</v>
      </c>
      <c r="F45" s="454"/>
      <c r="G45" s="56">
        <f t="shared" si="4"/>
        <v>1</v>
      </c>
    </row>
    <row r="46" spans="2:7">
      <c r="B46" s="454">
        <f t="shared" si="1"/>
        <v>32</v>
      </c>
      <c r="C46" s="290" t="str">
        <f>PPHT!EV6</f>
        <v>Co vuông PVC D90</v>
      </c>
      <c r="D46" s="454" t="s">
        <v>11</v>
      </c>
      <c r="E46" s="454">
        <f>'BKTL Tram'!Q21-'BKTL Tram'!Q39</f>
        <v>33</v>
      </c>
      <c r="F46" s="454"/>
      <c r="G46" s="56">
        <f t="shared" si="4"/>
        <v>1</v>
      </c>
    </row>
    <row r="47" spans="2:7">
      <c r="B47" s="454">
        <f t="shared" si="1"/>
        <v>33</v>
      </c>
      <c r="C47" s="290" t="str">
        <f>PPHT!EW6</f>
        <v>Co lơi PCV D90</v>
      </c>
      <c r="D47" s="454" t="s">
        <v>11</v>
      </c>
      <c r="E47" s="454">
        <f>'BKTL Tram'!R21-'BKTL Tram'!R39</f>
        <v>7</v>
      </c>
      <c r="F47" s="454"/>
      <c r="G47" s="56">
        <f t="shared" si="4"/>
        <v>1</v>
      </c>
    </row>
    <row r="48" spans="2:7">
      <c r="B48" s="454">
        <f t="shared" si="1"/>
        <v>34</v>
      </c>
      <c r="C48" s="290" t="str">
        <f>PPHT!EX6</f>
        <v>Khâu ven răng trong D90</v>
      </c>
      <c r="D48" s="454" t="s">
        <v>11</v>
      </c>
      <c r="E48" s="454">
        <v>6</v>
      </c>
      <c r="F48" s="454"/>
      <c r="G48" s="56">
        <f t="shared" si="4"/>
        <v>1</v>
      </c>
    </row>
    <row r="49" spans="2:8">
      <c r="B49" s="454">
        <f t="shared" si="1"/>
        <v>35</v>
      </c>
      <c r="C49" s="290" t="str">
        <f>PPHT!EY6</f>
        <v>Khâu ven răng ngoài D90</v>
      </c>
      <c r="D49" s="454" t="s">
        <v>11</v>
      </c>
      <c r="E49" s="454">
        <f>E48</f>
        <v>6</v>
      </c>
      <c r="F49" s="454"/>
      <c r="G49" s="56">
        <f t="shared" si="4"/>
        <v>1</v>
      </c>
    </row>
    <row r="50" spans="2:8">
      <c r="B50" s="454">
        <f t="shared" si="1"/>
        <v>36</v>
      </c>
      <c r="C50" s="290" t="str">
        <f>PPHT!EZ6</f>
        <v>Ống PVC D114</v>
      </c>
      <c r="D50" s="454" t="s">
        <v>146</v>
      </c>
      <c r="E50" s="454">
        <f>'BKTL Tram'!M21-'BKTL Tram'!M39</f>
        <v>7.5</v>
      </c>
      <c r="F50" s="454"/>
      <c r="G50" s="56">
        <f t="shared" si="4"/>
        <v>1</v>
      </c>
    </row>
    <row r="51" spans="2:8">
      <c r="B51" s="454">
        <f t="shared" si="1"/>
        <v>37</v>
      </c>
      <c r="C51" s="290" t="str">
        <f>PPHT!FA6</f>
        <v>Co vuông PVC D114</v>
      </c>
      <c r="D51" s="454" t="s">
        <v>11</v>
      </c>
      <c r="E51" s="454">
        <f>'BKTL Tram'!O21-'BKTL Tram'!O39</f>
        <v>3</v>
      </c>
      <c r="F51" s="454"/>
      <c r="G51" s="56">
        <f t="shared" si="4"/>
        <v>1</v>
      </c>
    </row>
    <row r="52" spans="2:8">
      <c r="B52" s="454">
        <f t="shared" si="1"/>
        <v>38</v>
      </c>
      <c r="C52" s="290" t="str">
        <f>PPHT!FB6</f>
        <v>Co lơi PCV D114</v>
      </c>
      <c r="D52" s="454" t="s">
        <v>11</v>
      </c>
      <c r="E52" s="454">
        <f>'BKTL Tram'!P21-'BKTL Tram'!P39</f>
        <v>1</v>
      </c>
      <c r="F52" s="454"/>
      <c r="G52" s="56">
        <f t="shared" si="4"/>
        <v>1</v>
      </c>
    </row>
    <row r="53" spans="2:8" hidden="1">
      <c r="B53" s="454">
        <f t="shared" si="1"/>
        <v>38</v>
      </c>
      <c r="C53" s="290" t="str">
        <f>PPHT!FC6</f>
        <v>Khâu ven răng trong D114</v>
      </c>
      <c r="D53" s="454" t="s">
        <v>11</v>
      </c>
      <c r="E53" s="454"/>
      <c r="F53" s="454"/>
      <c r="G53" s="56">
        <f t="shared" ref="G53:G71" si="5">IF(E53&lt;&gt;0,1,)</f>
        <v>0</v>
      </c>
    </row>
    <row r="54" spans="2:8" hidden="1">
      <c r="B54" s="454">
        <f t="shared" si="1"/>
        <v>38</v>
      </c>
      <c r="C54" s="290" t="str">
        <f>PPHT!FD6</f>
        <v>Khâu ven răng ngoài D114</v>
      </c>
      <c r="D54" s="454" t="s">
        <v>11</v>
      </c>
      <c r="E54" s="454"/>
      <c r="F54" s="454"/>
      <c r="G54" s="56">
        <f t="shared" si="5"/>
        <v>0</v>
      </c>
    </row>
    <row r="55" spans="2:8">
      <c r="B55" s="454">
        <f t="shared" si="1"/>
        <v>39</v>
      </c>
      <c r="C55" s="290" t="str">
        <f>PPHT!FE6</f>
        <v>Collier kẹp ống PVC D90</v>
      </c>
      <c r="D55" s="454" t="s">
        <v>24</v>
      </c>
      <c r="E55" s="454">
        <f>'BKTL Tram'!L21-'BKTL Tram'!L39</f>
        <v>30</v>
      </c>
      <c r="F55" s="454"/>
      <c r="G55" s="56">
        <f t="shared" si="5"/>
        <v>1</v>
      </c>
    </row>
    <row r="56" spans="2:8">
      <c r="B56" s="454">
        <f t="shared" si="1"/>
        <v>40</v>
      </c>
      <c r="C56" s="290" t="str">
        <f>PPHT!FF6</f>
        <v>Collier kẹp ống PVC D114</v>
      </c>
      <c r="D56" s="454" t="s">
        <v>24</v>
      </c>
      <c r="E56" s="454">
        <f>'BKTL Tram'!K21-'BKTL Tram'!K39</f>
        <v>4</v>
      </c>
      <c r="F56" s="454"/>
      <c r="G56" s="56">
        <f t="shared" si="5"/>
        <v>1</v>
      </c>
    </row>
    <row r="57" spans="2:8">
      <c r="B57" s="454">
        <f t="shared" si="1"/>
        <v>41</v>
      </c>
      <c r="C57" s="290" t="str">
        <f>PPHT!FG6</f>
        <v>Cáp đồng trần M25mm2 (mét)</v>
      </c>
      <c r="D57" s="454" t="s">
        <v>146</v>
      </c>
      <c r="E57" s="454">
        <f>5*10</f>
        <v>50</v>
      </c>
      <c r="F57" s="454"/>
      <c r="G57" s="56">
        <f t="shared" si="5"/>
        <v>1</v>
      </c>
      <c r="H57" s="4" t="s">
        <v>3590</v>
      </c>
    </row>
    <row r="58" spans="2:8" hidden="1">
      <c r="B58" s="454">
        <f t="shared" si="1"/>
        <v>41</v>
      </c>
      <c r="C58" s="290" t="str">
        <f>PP3P!EH6</f>
        <v>Bộ đà cân 1,66m</v>
      </c>
      <c r="D58" s="454" t="s">
        <v>24</v>
      </c>
      <c r="E58" s="454">
        <f>PP3P!EH361</f>
        <v>0</v>
      </c>
      <c r="F58" s="454"/>
      <c r="G58" s="56">
        <f t="shared" si="5"/>
        <v>0</v>
      </c>
    </row>
    <row r="59" spans="2:8" hidden="1">
      <c r="B59" s="454">
        <f t="shared" si="1"/>
        <v>41</v>
      </c>
      <c r="C59" s="290" t="str">
        <f>PP3P!ES6</f>
        <v>Ty sứ đứng (không bọc chì)</v>
      </c>
      <c r="D59" s="454" t="s">
        <v>11</v>
      </c>
      <c r="E59" s="454">
        <f>PP3P!ES361</f>
        <v>0</v>
      </c>
      <c r="F59" s="454"/>
      <c r="G59" s="56">
        <f t="shared" si="5"/>
        <v>0</v>
      </c>
    </row>
    <row r="60" spans="2:8" hidden="1">
      <c r="B60" s="454">
        <f t="shared" si="1"/>
        <v>41</v>
      </c>
      <c r="C60" s="290" t="str">
        <f>PP3P!ET6</f>
        <v>Ty sứ đỉnh thẳng 630</v>
      </c>
      <c r="D60" s="454" t="s">
        <v>11</v>
      </c>
      <c r="E60" s="454">
        <f>PP3P!ET361</f>
        <v>0</v>
      </c>
      <c r="F60" s="454"/>
      <c r="G60" s="56">
        <f t="shared" si="5"/>
        <v>0</v>
      </c>
    </row>
    <row r="61" spans="2:8" hidden="1">
      <c r="B61" s="454">
        <f t="shared" si="1"/>
        <v>41</v>
      </c>
      <c r="C61" s="290" t="str">
        <f>PP3P!EU6</f>
        <v>Sứ đứng (không bọc chì)</v>
      </c>
      <c r="D61" s="454" t="s">
        <v>11</v>
      </c>
      <c r="E61" s="454">
        <f>PP3P!EU361</f>
        <v>0</v>
      </c>
      <c r="F61" s="454"/>
      <c r="G61" s="56">
        <f t="shared" si="5"/>
        <v>0</v>
      </c>
    </row>
    <row r="62" spans="2:8" hidden="1">
      <c r="B62" s="454">
        <f t="shared" si="1"/>
        <v>41</v>
      </c>
      <c r="C62" s="290" t="s">
        <v>2744</v>
      </c>
      <c r="D62" s="454" t="s">
        <v>11</v>
      </c>
      <c r="E62" s="454"/>
      <c r="F62" s="454"/>
      <c r="G62" s="56">
        <f t="shared" si="5"/>
        <v>0</v>
      </c>
    </row>
    <row r="63" spans="2:8" hidden="1">
      <c r="B63" s="454">
        <f t="shared" si="1"/>
        <v>41</v>
      </c>
      <c r="C63" s="290" t="s">
        <v>3346</v>
      </c>
      <c r="D63" s="454" t="s">
        <v>11</v>
      </c>
      <c r="E63" s="454"/>
      <c r="F63" s="454"/>
      <c r="G63" s="56">
        <f t="shared" si="5"/>
        <v>0</v>
      </c>
    </row>
    <row r="64" spans="2:8">
      <c r="B64" s="454">
        <f t="shared" si="1"/>
        <v>42</v>
      </c>
      <c r="C64" s="290" t="s">
        <v>1447</v>
      </c>
      <c r="D64" s="454" t="s">
        <v>146</v>
      </c>
      <c r="E64" s="454">
        <f>'BKTL Tram'!Z21-'BKTL Tram'!Z39</f>
        <v>19</v>
      </c>
      <c r="F64" s="454"/>
      <c r="G64" s="56">
        <f t="shared" si="5"/>
        <v>1</v>
      </c>
    </row>
    <row r="65" spans="2:7">
      <c r="B65" s="454">
        <f t="shared" si="1"/>
        <v>43</v>
      </c>
      <c r="C65" s="290" t="s">
        <v>3474</v>
      </c>
      <c r="D65" s="454" t="s">
        <v>146</v>
      </c>
      <c r="E65" s="454">
        <f>'BKTL Tram'!T21-'BKTL Tram'!T39</f>
        <v>57</v>
      </c>
      <c r="F65" s="454"/>
      <c r="G65" s="56">
        <f t="shared" si="5"/>
        <v>1</v>
      </c>
    </row>
    <row r="66" spans="2:7">
      <c r="B66" s="454">
        <f t="shared" si="1"/>
        <v>44</v>
      </c>
      <c r="C66" s="290" t="s">
        <v>3475</v>
      </c>
      <c r="D66" s="454" t="s">
        <v>146</v>
      </c>
      <c r="E66" s="454">
        <f>'BKTL Tram'!U21-'BKTL Tram'!U39</f>
        <v>60</v>
      </c>
      <c r="F66" s="454"/>
      <c r="G66" s="56">
        <f t="shared" si="5"/>
        <v>1</v>
      </c>
    </row>
    <row r="67" spans="2:7">
      <c r="B67" s="454">
        <f t="shared" si="1"/>
        <v>45</v>
      </c>
      <c r="C67" s="290" t="s">
        <v>3476</v>
      </c>
      <c r="D67" s="454" t="s">
        <v>146</v>
      </c>
      <c r="E67" s="454">
        <f>'BKTL Tram'!V21-'BKTL Tram'!V39</f>
        <v>23.5</v>
      </c>
      <c r="F67" s="454"/>
      <c r="G67" s="56">
        <f t="shared" si="5"/>
        <v>1</v>
      </c>
    </row>
    <row r="68" spans="2:7" hidden="1">
      <c r="B68" s="454">
        <f t="shared" si="1"/>
        <v>45</v>
      </c>
      <c r="C68" s="290" t="s">
        <v>3477</v>
      </c>
      <c r="D68" s="454" t="s">
        <v>146</v>
      </c>
      <c r="E68" s="454">
        <f>'BKTL Tram'!W21-'BKTL Tram'!W39</f>
        <v>0</v>
      </c>
      <c r="F68" s="454"/>
      <c r="G68" s="56">
        <f t="shared" si="5"/>
        <v>0</v>
      </c>
    </row>
    <row r="69" spans="2:7">
      <c r="B69" s="454">
        <f t="shared" si="1"/>
        <v>46</v>
      </c>
      <c r="C69" s="290" t="s">
        <v>3591</v>
      </c>
      <c r="D69" s="454" t="s">
        <v>146</v>
      </c>
      <c r="E69" s="454">
        <f>'BKTL Tram'!X21-'BKTL Tram'!X39</f>
        <v>8.5</v>
      </c>
      <c r="F69" s="454"/>
      <c r="G69" s="56">
        <f t="shared" si="5"/>
        <v>1</v>
      </c>
    </row>
    <row r="70" spans="2:7" hidden="1">
      <c r="B70" s="454">
        <f t="shared" si="1"/>
        <v>46</v>
      </c>
      <c r="C70" s="290" t="s">
        <v>3479</v>
      </c>
      <c r="D70" s="454" t="s">
        <v>146</v>
      </c>
      <c r="E70" s="454"/>
      <c r="F70" s="454"/>
      <c r="G70" s="56">
        <f t="shared" si="5"/>
        <v>0</v>
      </c>
    </row>
    <row r="71" spans="2:7" hidden="1">
      <c r="B71" s="454">
        <f t="shared" si="1"/>
        <v>46</v>
      </c>
      <c r="C71" s="290"/>
      <c r="D71" s="454" t="s">
        <v>11</v>
      </c>
      <c r="E71" s="454">
        <f>PP3P!EP405</f>
        <v>0</v>
      </c>
      <c r="F71" s="454"/>
      <c r="G71" s="56">
        <f t="shared" si="5"/>
        <v>0</v>
      </c>
    </row>
    <row r="72" spans="2:7" hidden="1">
      <c r="B72" s="454">
        <f t="shared" si="1"/>
        <v>46</v>
      </c>
      <c r="C72" s="290"/>
      <c r="D72" s="454" t="s">
        <v>24</v>
      </c>
      <c r="E72" s="454">
        <f>PP3P!ED411</f>
        <v>0</v>
      </c>
      <c r="F72" s="454"/>
      <c r="G72" s="56">
        <f t="shared" ref="G72:G96" si="6">IF(E72&lt;&gt;0,1,)</f>
        <v>0</v>
      </c>
    </row>
    <row r="73" spans="2:7" hidden="1">
      <c r="B73" s="454">
        <f t="shared" si="1"/>
        <v>46</v>
      </c>
      <c r="C73" s="290" t="s">
        <v>1460</v>
      </c>
      <c r="D73" s="454" t="s">
        <v>11</v>
      </c>
      <c r="E73" s="454">
        <f>PP3P!EM359</f>
        <v>0</v>
      </c>
      <c r="F73" s="454"/>
      <c r="G73" s="56">
        <f t="shared" si="6"/>
        <v>0</v>
      </c>
    </row>
    <row r="74" spans="2:7" hidden="1">
      <c r="B74" s="454">
        <f t="shared" si="1"/>
        <v>46</v>
      </c>
      <c r="C74" s="290" t="s">
        <v>1461</v>
      </c>
      <c r="D74" s="454" t="s">
        <v>11</v>
      </c>
      <c r="E74" s="454">
        <f>PP3P!EO359</f>
        <v>0</v>
      </c>
      <c r="F74" s="454"/>
      <c r="G74" s="56">
        <f t="shared" si="6"/>
        <v>0</v>
      </c>
    </row>
    <row r="75" spans="2:7" hidden="1">
      <c r="B75" s="454">
        <f t="shared" si="1"/>
        <v>46</v>
      </c>
      <c r="C75" s="290" t="s">
        <v>1462</v>
      </c>
      <c r="D75" s="454" t="s">
        <v>11</v>
      </c>
      <c r="E75" s="454">
        <f>PP3P!EP359</f>
        <v>0</v>
      </c>
      <c r="F75" s="454"/>
      <c r="G75" s="56">
        <f t="shared" si="6"/>
        <v>0</v>
      </c>
    </row>
    <row r="76" spans="2:7" hidden="1">
      <c r="B76" s="454">
        <f t="shared" si="1"/>
        <v>46</v>
      </c>
      <c r="C76" s="290" t="s">
        <v>2739</v>
      </c>
      <c r="D76" s="454" t="s">
        <v>11</v>
      </c>
      <c r="E76" s="454">
        <f>PP3P!EI359</f>
        <v>0</v>
      </c>
      <c r="F76" s="454"/>
      <c r="G76" s="56">
        <f t="shared" si="6"/>
        <v>0</v>
      </c>
    </row>
    <row r="77" spans="2:7" hidden="1">
      <c r="B77" s="454">
        <f t="shared" si="1"/>
        <v>46</v>
      </c>
      <c r="C77" s="290" t="s">
        <v>427</v>
      </c>
      <c r="D77" s="454" t="s">
        <v>11</v>
      </c>
      <c r="E77" s="454">
        <f>E76</f>
        <v>0</v>
      </c>
      <c r="F77" s="454"/>
      <c r="G77" s="56">
        <f t="shared" si="6"/>
        <v>0</v>
      </c>
    </row>
    <row r="78" spans="2:7" hidden="1">
      <c r="B78" s="454">
        <f t="shared" si="1"/>
        <v>46</v>
      </c>
      <c r="C78" s="290" t="s">
        <v>2694</v>
      </c>
      <c r="D78" s="454" t="s">
        <v>11</v>
      </c>
      <c r="E78" s="454">
        <f>PP3P!ES359</f>
        <v>0</v>
      </c>
      <c r="F78" s="454"/>
      <c r="G78" s="56">
        <f t="shared" si="6"/>
        <v>0</v>
      </c>
    </row>
    <row r="79" spans="2:7" hidden="1">
      <c r="B79" s="454">
        <f t="shared" si="1"/>
        <v>46</v>
      </c>
      <c r="C79" s="290" t="s">
        <v>2742</v>
      </c>
      <c r="D79" s="454" t="s">
        <v>11</v>
      </c>
      <c r="E79" s="454">
        <f>PP3P!ET359</f>
        <v>0</v>
      </c>
      <c r="F79" s="454"/>
      <c r="G79" s="56">
        <f t="shared" si="6"/>
        <v>0</v>
      </c>
    </row>
    <row r="80" spans="2:7" hidden="1">
      <c r="B80" s="454">
        <f t="shared" si="1"/>
        <v>46</v>
      </c>
      <c r="C80" s="290" t="s">
        <v>1463</v>
      </c>
      <c r="D80" s="454" t="s">
        <v>11</v>
      </c>
      <c r="E80" s="454">
        <f>PP3P!EU359</f>
        <v>0</v>
      </c>
      <c r="F80" s="454"/>
      <c r="G80" s="56">
        <f t="shared" si="6"/>
        <v>0</v>
      </c>
    </row>
    <row r="81" spans="2:7" hidden="1">
      <c r="B81" s="454">
        <f t="shared" si="1"/>
        <v>46</v>
      </c>
      <c r="C81" s="290" t="s">
        <v>1464</v>
      </c>
      <c r="D81" s="454" t="s">
        <v>11</v>
      </c>
      <c r="E81" s="454">
        <f>PP3P!EV359</f>
        <v>0</v>
      </c>
      <c r="F81" s="454"/>
      <c r="G81" s="56">
        <f t="shared" si="6"/>
        <v>0</v>
      </c>
    </row>
    <row r="82" spans="2:7" hidden="1">
      <c r="B82" s="454">
        <f t="shared" si="1"/>
        <v>46</v>
      </c>
      <c r="C82" s="290" t="s">
        <v>1434</v>
      </c>
      <c r="D82" s="454" t="s">
        <v>11</v>
      </c>
      <c r="E82" s="454">
        <f>'BKTL Tram'!AH21-'BKTL Tram'!AH39</f>
        <v>0</v>
      </c>
      <c r="F82" s="454"/>
      <c r="G82" s="56">
        <f t="shared" si="6"/>
        <v>0</v>
      </c>
    </row>
    <row r="83" spans="2:7" hidden="1">
      <c r="B83" s="454">
        <f t="shared" si="1"/>
        <v>46</v>
      </c>
      <c r="C83" s="290" t="s">
        <v>2740</v>
      </c>
      <c r="D83" s="454" t="s">
        <v>11</v>
      </c>
      <c r="E83" s="454">
        <f>PP3P!EZ359</f>
        <v>0</v>
      </c>
      <c r="F83" s="454"/>
      <c r="G83" s="56">
        <f t="shared" si="6"/>
        <v>0</v>
      </c>
    </row>
    <row r="84" spans="2:7" hidden="1">
      <c r="B84" s="454">
        <f t="shared" si="1"/>
        <v>46</v>
      </c>
      <c r="C84" s="290" t="s">
        <v>1466</v>
      </c>
      <c r="D84" s="454" t="s">
        <v>11</v>
      </c>
      <c r="E84" s="454">
        <f>PP3P!FA359</f>
        <v>0</v>
      </c>
      <c r="F84" s="454"/>
      <c r="G84" s="56">
        <f t="shared" si="6"/>
        <v>0</v>
      </c>
    </row>
    <row r="85" spans="2:7" hidden="1">
      <c r="B85" s="454">
        <f t="shared" si="1"/>
        <v>46</v>
      </c>
      <c r="C85" s="290" t="s">
        <v>1467</v>
      </c>
      <c r="D85" s="454" t="s">
        <v>11</v>
      </c>
      <c r="E85" s="454">
        <f>PP3P!FB359</f>
        <v>0</v>
      </c>
      <c r="F85" s="454"/>
      <c r="G85" s="56">
        <f t="shared" si="6"/>
        <v>0</v>
      </c>
    </row>
    <row r="86" spans="2:7" hidden="1">
      <c r="B86" s="454">
        <f t="shared" si="1"/>
        <v>46</v>
      </c>
      <c r="C86" s="290" t="s">
        <v>1421</v>
      </c>
      <c r="D86" s="454" t="s">
        <v>143</v>
      </c>
      <c r="E86" s="454">
        <f>ROUND(PP3P!FE359*0.195,1)</f>
        <v>0</v>
      </c>
      <c r="F86" s="454"/>
      <c r="G86" s="56">
        <f t="shared" si="6"/>
        <v>0</v>
      </c>
    </row>
    <row r="87" spans="2:7" hidden="1">
      <c r="B87" s="454">
        <f t="shared" si="1"/>
        <v>46</v>
      </c>
      <c r="C87" s="290" t="s">
        <v>2741</v>
      </c>
      <c r="D87" s="454" t="s">
        <v>11</v>
      </c>
      <c r="E87" s="454"/>
      <c r="F87" s="454"/>
      <c r="G87" s="56">
        <f t="shared" si="6"/>
        <v>0</v>
      </c>
    </row>
    <row r="88" spans="2:7" hidden="1">
      <c r="B88" s="454">
        <f t="shared" si="1"/>
        <v>46</v>
      </c>
      <c r="C88" s="290" t="s">
        <v>1751</v>
      </c>
      <c r="D88" s="454" t="s">
        <v>24</v>
      </c>
      <c r="E88" s="454"/>
      <c r="F88" s="454"/>
      <c r="G88" s="56">
        <f t="shared" si="6"/>
        <v>0</v>
      </c>
    </row>
    <row r="89" spans="2:7" hidden="1">
      <c r="B89" s="454">
        <f t="shared" si="1"/>
        <v>46</v>
      </c>
      <c r="C89" s="290" t="s">
        <v>2743</v>
      </c>
      <c r="D89" s="454" t="s">
        <v>146</v>
      </c>
      <c r="E89" s="454"/>
      <c r="F89" s="454"/>
      <c r="G89" s="56">
        <f t="shared" si="6"/>
        <v>0</v>
      </c>
    </row>
    <row r="90" spans="2:7" hidden="1">
      <c r="B90" s="454">
        <f t="shared" si="1"/>
        <v>46</v>
      </c>
      <c r="C90" s="290" t="s">
        <v>1184</v>
      </c>
      <c r="D90" s="454" t="s">
        <v>11</v>
      </c>
      <c r="E90" s="454"/>
      <c r="F90" s="454"/>
      <c r="G90" s="56">
        <f t="shared" si="6"/>
        <v>0</v>
      </c>
    </row>
    <row r="91" spans="2:7" hidden="1">
      <c r="B91" s="454">
        <f t="shared" ref="B91:B96" si="7">IF(E91&lt;&gt;0,B90+1,B90)</f>
        <v>46</v>
      </c>
      <c r="C91" s="290" t="s">
        <v>1182</v>
      </c>
      <c r="D91" s="454" t="s">
        <v>11</v>
      </c>
      <c r="E91" s="454"/>
      <c r="F91" s="454"/>
      <c r="G91" s="56">
        <f t="shared" si="6"/>
        <v>0</v>
      </c>
    </row>
    <row r="92" spans="2:7" hidden="1">
      <c r="B92" s="454">
        <f t="shared" si="7"/>
        <v>46</v>
      </c>
      <c r="C92" s="290" t="s">
        <v>2744</v>
      </c>
      <c r="D92" s="454" t="s">
        <v>11</v>
      </c>
      <c r="E92" s="454"/>
      <c r="F92" s="454"/>
      <c r="G92" s="56">
        <f t="shared" si="6"/>
        <v>0</v>
      </c>
    </row>
    <row r="93" spans="2:7" hidden="1">
      <c r="B93" s="454">
        <f t="shared" si="7"/>
        <v>46</v>
      </c>
      <c r="C93" s="290"/>
      <c r="D93" s="454"/>
      <c r="E93" s="454"/>
      <c r="F93" s="454"/>
      <c r="G93" s="56">
        <f t="shared" si="6"/>
        <v>0</v>
      </c>
    </row>
    <row r="94" spans="2:7" hidden="1">
      <c r="B94" s="454">
        <f t="shared" si="7"/>
        <v>46</v>
      </c>
      <c r="C94" s="290"/>
      <c r="D94" s="454"/>
      <c r="E94" s="454"/>
      <c r="F94" s="454"/>
      <c r="G94" s="56">
        <f t="shared" si="6"/>
        <v>0</v>
      </c>
    </row>
    <row r="95" spans="2:7" hidden="1">
      <c r="B95" s="454">
        <f t="shared" si="7"/>
        <v>46</v>
      </c>
      <c r="C95" s="290"/>
      <c r="D95" s="454"/>
      <c r="E95" s="454"/>
      <c r="F95" s="454"/>
      <c r="G95" s="56">
        <f t="shared" si="6"/>
        <v>0</v>
      </c>
    </row>
    <row r="96" spans="2:7" hidden="1">
      <c r="B96" s="454">
        <f t="shared" si="7"/>
        <v>46</v>
      </c>
      <c r="C96" s="290"/>
      <c r="D96" s="454"/>
      <c r="E96" s="454"/>
      <c r="F96" s="454"/>
      <c r="G96" s="56">
        <f t="shared" si="6"/>
        <v>0</v>
      </c>
    </row>
  </sheetData>
  <autoFilter ref="G5:G96" xr:uid="{00000000-0009-0000-0000-000018000000}">
    <filterColumn colId="0">
      <filters>
        <filter val="1"/>
      </filters>
    </filterColumn>
  </autoFilter>
  <printOptions horizontalCentered="1"/>
  <pageMargins left="0.98425196850393704" right="0.39370078740157483" top="0.78740157480314965" bottom="0.78740157480314965" header="0.31496062992125984" footer="0.31496062992125984"/>
  <pageSetup paperSize="9" orientation="portrait" blackAndWhite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FU714"/>
  <sheetViews>
    <sheetView showZeros="0" view="pageBreakPreview" topLeftCell="C5" zoomScale="85" zoomScaleNormal="85" zoomScaleSheetLayoutView="85" workbookViewId="0">
      <pane xSplit="19" ySplit="2" topLeftCell="V661" activePane="bottomRight" state="frozen"/>
      <selection activeCell="C5" sqref="C5"/>
      <selection pane="topRight" activeCell="V5" sqref="V5"/>
      <selection pane="bottomLeft" activeCell="C7" sqref="C7"/>
      <selection pane="bottomRight" activeCell="AF700" sqref="AF700"/>
    </sheetView>
  </sheetViews>
  <sheetFormatPr defaultColWidth="9.109375" defaultRowHeight="15.6"/>
  <cols>
    <col min="1" max="2" width="9.109375" style="54"/>
    <col min="3" max="5" width="9.109375" style="1"/>
    <col min="6" max="8" width="9.109375" style="1" hidden="1" customWidth="1"/>
    <col min="9" max="9" width="9.109375" style="1" customWidth="1"/>
    <col min="10" max="14" width="9.109375" style="1" hidden="1" customWidth="1"/>
    <col min="15" max="16" width="9.109375" style="1" customWidth="1"/>
    <col min="17" max="20" width="9.109375" style="1" hidden="1" customWidth="1"/>
    <col min="21" max="21" width="9.109375" style="1"/>
    <col min="22" max="23" width="4.5546875" style="1" customWidth="1"/>
    <col min="24" max="25" width="4.5546875" style="1" hidden="1" customWidth="1"/>
    <col min="26" max="27" width="4.5546875" style="1" customWidth="1"/>
    <col min="28" max="30" width="4.5546875" style="1" hidden="1" customWidth="1"/>
    <col min="31" max="32" width="4.5546875" style="1" customWidth="1"/>
    <col min="33" max="38" width="4.5546875" style="1" hidden="1" customWidth="1"/>
    <col min="39" max="39" width="4.5546875" style="1" customWidth="1"/>
    <col min="40" max="42" width="4.5546875" style="1" hidden="1" customWidth="1"/>
    <col min="43" max="43" width="4.5546875" style="1" customWidth="1"/>
    <col min="44" max="46" width="4.5546875" style="1" hidden="1" customWidth="1"/>
    <col min="47" max="47" width="4.5546875" style="1" customWidth="1"/>
    <col min="48" max="48" width="4.5546875" style="1" hidden="1" customWidth="1"/>
    <col min="49" max="53" width="4.5546875" style="1" customWidth="1"/>
    <col min="54" max="55" width="4.5546875" style="1" hidden="1" customWidth="1"/>
    <col min="56" max="58" width="4.5546875" style="1" customWidth="1"/>
    <col min="59" max="60" width="4.5546875" style="1" hidden="1" customWidth="1"/>
    <col min="61" max="61" width="4.5546875" style="1" customWidth="1"/>
    <col min="62" max="62" width="5.88671875" style="1" customWidth="1"/>
    <col min="63" max="68" width="4.5546875" style="1" hidden="1" customWidth="1"/>
    <col min="69" max="69" width="4.5546875" style="1" customWidth="1"/>
    <col min="70" max="70" width="4.5546875" style="1" hidden="1" customWidth="1"/>
    <col min="71" max="72" width="4.5546875" style="1" customWidth="1"/>
    <col min="73" max="73" width="4.5546875" style="1" hidden="1" customWidth="1"/>
    <col min="74" max="74" width="4.5546875" style="1" customWidth="1"/>
    <col min="75" max="75" width="4.5546875" style="1" hidden="1" customWidth="1"/>
    <col min="76" max="77" width="4.5546875" style="1" customWidth="1"/>
    <col min="78" max="79" width="4.5546875" style="1" hidden="1" customWidth="1"/>
    <col min="80" max="81" width="4.5546875" style="1" customWidth="1"/>
    <col min="82" max="82" width="5.88671875" style="1" bestFit="1" customWidth="1"/>
    <col min="83" max="88" width="4.5546875" style="1" customWidth="1"/>
    <col min="89" max="89" width="4.5546875" style="1" hidden="1" customWidth="1"/>
    <col min="90" max="93" width="4.5546875" style="1" customWidth="1"/>
    <col min="94" max="94" width="4.5546875" style="1" hidden="1" customWidth="1"/>
    <col min="95" max="96" width="4.5546875" style="1" customWidth="1"/>
    <col min="97" max="98" width="4.5546875" style="1" hidden="1" customWidth="1"/>
    <col min="99" max="105" width="4.5546875" style="1" customWidth="1"/>
    <col min="106" max="110" width="4.5546875" style="1" hidden="1" customWidth="1"/>
    <col min="111" max="122" width="8" style="1" hidden="1" customWidth="1"/>
    <col min="123" max="172" width="4.5546875" style="1" hidden="1" customWidth="1"/>
    <col min="173" max="173" width="12.5546875" style="1" customWidth="1"/>
    <col min="174" max="16384" width="9.109375" style="1"/>
  </cols>
  <sheetData>
    <row r="2" spans="1:17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  <c r="FH2" s="171"/>
      <c r="FI2" s="171"/>
      <c r="FJ2" s="171"/>
      <c r="FK2" s="171"/>
      <c r="FL2" s="171"/>
      <c r="FM2" s="171"/>
      <c r="FN2" s="171"/>
      <c r="FO2" s="171"/>
      <c r="FP2" s="171"/>
      <c r="FQ2" s="171"/>
    </row>
    <row r="3" spans="1:17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  <c r="FH3" s="171"/>
      <c r="FI3" s="171"/>
      <c r="FJ3" s="171"/>
      <c r="FK3" s="171"/>
      <c r="FL3" s="171"/>
      <c r="FM3" s="171"/>
      <c r="FN3" s="171"/>
      <c r="FO3" s="171"/>
      <c r="FP3" s="171"/>
      <c r="FQ3" s="171"/>
    </row>
    <row r="4" spans="1:173" s="6" customFormat="1">
      <c r="A4" s="54"/>
      <c r="B4" s="54"/>
    </row>
    <row r="5" spans="1:17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3991</v>
      </c>
      <c r="W5" s="499" t="s">
        <v>1787</v>
      </c>
      <c r="X5" s="499" t="s">
        <v>1478</v>
      </c>
      <c r="Y5" s="499" t="s">
        <v>1479</v>
      </c>
      <c r="Z5" s="499" t="s">
        <v>1391</v>
      </c>
      <c r="AA5" s="499" t="s">
        <v>3427</v>
      </c>
      <c r="AB5" s="499" t="s">
        <v>1399</v>
      </c>
      <c r="AC5" s="499" t="s">
        <v>1607</v>
      </c>
      <c r="AD5" s="499" t="s">
        <v>3428</v>
      </c>
      <c r="AE5" s="952" t="s">
        <v>1608</v>
      </c>
      <c r="AF5" s="955" t="s">
        <v>3429</v>
      </c>
      <c r="AG5" s="499" t="s">
        <v>1400</v>
      </c>
      <c r="AH5" s="499" t="s">
        <v>1401</v>
      </c>
      <c r="AI5" s="499" t="s">
        <v>1482</v>
      </c>
      <c r="AJ5" s="499" t="s">
        <v>1483</v>
      </c>
      <c r="AK5" s="499" t="s">
        <v>1485</v>
      </c>
      <c r="AL5" s="499" t="s">
        <v>1486</v>
      </c>
      <c r="AM5" s="499" t="s">
        <v>1609</v>
      </c>
      <c r="AN5" s="499" t="s">
        <v>1610</v>
      </c>
      <c r="AO5" s="499" t="s">
        <v>1471</v>
      </c>
      <c r="AP5" s="499" t="s">
        <v>1472</v>
      </c>
      <c r="AQ5" s="499" t="s">
        <v>1693</v>
      </c>
      <c r="AR5" s="499" t="s">
        <v>1694</v>
      </c>
      <c r="AS5" s="499" t="s">
        <v>3430</v>
      </c>
      <c r="AT5" s="499" t="s">
        <v>3431</v>
      </c>
      <c r="AU5" s="499" t="s">
        <v>1788</v>
      </c>
      <c r="AV5" s="499" t="s">
        <v>1779</v>
      </c>
      <c r="AW5" s="499" t="s">
        <v>397</v>
      </c>
      <c r="AX5" s="499" t="s">
        <v>400</v>
      </c>
      <c r="AY5" s="499" t="s">
        <v>402</v>
      </c>
      <c r="AZ5" s="499" t="s">
        <v>33</v>
      </c>
      <c r="BA5" s="499" t="s">
        <v>35</v>
      </c>
      <c r="BB5" s="499" t="s">
        <v>37</v>
      </c>
      <c r="BC5" s="499" t="s">
        <v>39</v>
      </c>
      <c r="BD5" s="499" t="s">
        <v>117</v>
      </c>
      <c r="BE5" s="499" t="s">
        <v>119</v>
      </c>
      <c r="BF5" s="499" t="s">
        <v>121</v>
      </c>
      <c r="BG5" s="499" t="s">
        <v>123</v>
      </c>
      <c r="BH5" s="499" t="s">
        <v>1241</v>
      </c>
      <c r="BI5" s="499" t="s">
        <v>1243</v>
      </c>
      <c r="BJ5" s="499" t="s">
        <v>1244</v>
      </c>
      <c r="BK5" s="499" t="s">
        <v>2020</v>
      </c>
      <c r="BL5" s="499" t="s">
        <v>2021</v>
      </c>
      <c r="BM5" s="499" t="s">
        <v>316</v>
      </c>
      <c r="BN5" s="499" t="s">
        <v>314</v>
      </c>
      <c r="BO5" s="499" t="s">
        <v>312</v>
      </c>
      <c r="BP5" s="499" t="s">
        <v>310</v>
      </c>
      <c r="BQ5" s="499" t="s">
        <v>1611</v>
      </c>
      <c r="BR5" s="499" t="s">
        <v>1612</v>
      </c>
      <c r="BS5" s="499" t="s">
        <v>2024</v>
      </c>
      <c r="BT5" s="499" t="s">
        <v>2025</v>
      </c>
      <c r="BU5" s="499" t="s">
        <v>1613</v>
      </c>
      <c r="BV5" s="499" t="s">
        <v>345</v>
      </c>
      <c r="BW5" s="499" t="s">
        <v>292</v>
      </c>
      <c r="BX5" s="499" t="s">
        <v>294</v>
      </c>
      <c r="BY5" s="499" t="s">
        <v>297</v>
      </c>
      <c r="BZ5" s="499" t="s">
        <v>299</v>
      </c>
      <c r="CA5" s="499" t="s">
        <v>304</v>
      </c>
      <c r="CB5" s="499" t="s">
        <v>301</v>
      </c>
      <c r="CC5" s="499" t="s">
        <v>306</v>
      </c>
      <c r="CD5" s="499" t="s">
        <v>1733</v>
      </c>
      <c r="CE5" s="499" t="s">
        <v>1907</v>
      </c>
      <c r="CF5" s="499" t="s">
        <v>1742</v>
      </c>
      <c r="CG5" s="499" t="s">
        <v>1113</v>
      </c>
      <c r="CH5" s="499" t="s">
        <v>1116</v>
      </c>
      <c r="CI5" s="499" t="s">
        <v>385</v>
      </c>
      <c r="CJ5" s="499" t="s">
        <v>387</v>
      </c>
      <c r="CK5" s="499" t="s">
        <v>396</v>
      </c>
      <c r="CL5" s="499" t="s">
        <v>325</v>
      </c>
      <c r="CM5" s="499" t="s">
        <v>327</v>
      </c>
      <c r="CN5" s="499" t="s">
        <v>329</v>
      </c>
      <c r="CO5" s="499" t="s">
        <v>3425</v>
      </c>
      <c r="CP5" s="499" t="s">
        <v>992</v>
      </c>
      <c r="CQ5" s="499" t="s">
        <v>2948</v>
      </c>
      <c r="CR5" s="499" t="s">
        <v>995</v>
      </c>
      <c r="CS5" s="499" t="s">
        <v>996</v>
      </c>
      <c r="CT5" s="499" t="s">
        <v>992</v>
      </c>
      <c r="CU5" s="499" t="s">
        <v>2948</v>
      </c>
      <c r="CV5" s="499" t="s">
        <v>995</v>
      </c>
      <c r="CW5" s="499" t="s">
        <v>996</v>
      </c>
      <c r="CX5" s="513" t="s">
        <v>3892</v>
      </c>
      <c r="CY5" s="513" t="s">
        <v>3903</v>
      </c>
      <c r="CZ5" s="513" t="s">
        <v>3861</v>
      </c>
      <c r="DA5" s="513" t="s">
        <v>3863</v>
      </c>
      <c r="DB5" s="513" t="s">
        <v>3149</v>
      </c>
      <c r="DC5" s="513" t="s">
        <v>3148</v>
      </c>
      <c r="DD5" s="513" t="s">
        <v>3147</v>
      </c>
      <c r="DE5" s="513" t="s">
        <v>3146</v>
      </c>
      <c r="DF5" s="513"/>
      <c r="DG5" s="513" t="s">
        <v>3150</v>
      </c>
      <c r="DH5" s="513" t="s">
        <v>3151</v>
      </c>
      <c r="DI5" s="513" t="s">
        <v>3152</v>
      </c>
      <c r="DJ5" s="513" t="s">
        <v>3153</v>
      </c>
      <c r="DK5" s="513" t="s">
        <v>3154</v>
      </c>
      <c r="DL5" s="513" t="s">
        <v>3155</v>
      </c>
      <c r="DM5" s="513" t="s">
        <v>3156</v>
      </c>
      <c r="DN5" s="513" t="s">
        <v>3157</v>
      </c>
      <c r="DO5" s="513" t="s">
        <v>3158</v>
      </c>
      <c r="DP5" s="513" t="s">
        <v>3159</v>
      </c>
      <c r="DQ5" s="513" t="s">
        <v>3160</v>
      </c>
      <c r="DR5" s="513" t="s">
        <v>3161</v>
      </c>
      <c r="DS5" s="513" t="s">
        <v>3162</v>
      </c>
      <c r="DT5" s="513" t="s">
        <v>3163</v>
      </c>
      <c r="DU5" s="513" t="s">
        <v>3164</v>
      </c>
      <c r="DV5" s="513" t="s">
        <v>3165</v>
      </c>
      <c r="DW5" s="513" t="s">
        <v>3166</v>
      </c>
      <c r="DX5" s="513" t="s">
        <v>3167</v>
      </c>
      <c r="DY5" s="513" t="s">
        <v>3168</v>
      </c>
      <c r="DZ5" s="513" t="s">
        <v>3169</v>
      </c>
      <c r="EA5" s="513" t="s">
        <v>3170</v>
      </c>
      <c r="EB5" s="513" t="s">
        <v>3171</v>
      </c>
      <c r="EC5" s="513" t="s">
        <v>3172</v>
      </c>
      <c r="ED5" s="513" t="s">
        <v>3173</v>
      </c>
      <c r="EE5" s="513" t="s">
        <v>3174</v>
      </c>
      <c r="EF5" s="513" t="s">
        <v>3175</v>
      </c>
      <c r="EG5" s="513" t="s">
        <v>3176</v>
      </c>
      <c r="EH5" s="513" t="s">
        <v>3177</v>
      </c>
      <c r="EI5" s="513" t="s">
        <v>3175</v>
      </c>
      <c r="EJ5" s="513" t="s">
        <v>3178</v>
      </c>
      <c r="EK5" s="513" t="s">
        <v>3179</v>
      </c>
      <c r="EL5" s="513" t="s">
        <v>3180</v>
      </c>
      <c r="EM5" s="513" t="s">
        <v>3181</v>
      </c>
      <c r="EN5" s="513" t="s">
        <v>3182</v>
      </c>
      <c r="EO5" s="513" t="s">
        <v>3183</v>
      </c>
      <c r="EP5" s="513" t="s">
        <v>3184</v>
      </c>
      <c r="EQ5" s="513" t="s">
        <v>3185</v>
      </c>
      <c r="ER5" s="513" t="s">
        <v>3186</v>
      </c>
      <c r="ES5" s="513" t="s">
        <v>3187</v>
      </c>
      <c r="ET5" s="513" t="s">
        <v>3188</v>
      </c>
      <c r="EU5" s="513" t="s">
        <v>3189</v>
      </c>
      <c r="EV5" s="513" t="s">
        <v>3190</v>
      </c>
      <c r="EW5" s="513" t="s">
        <v>3191</v>
      </c>
      <c r="EX5" s="513" t="s">
        <v>3193</v>
      </c>
      <c r="EY5" s="513" t="s">
        <v>3192</v>
      </c>
      <c r="EZ5" s="513" t="s">
        <v>3194</v>
      </c>
      <c r="FA5" s="513" t="s">
        <v>3195</v>
      </c>
      <c r="FB5" s="513" t="s">
        <v>3196</v>
      </c>
      <c r="FC5" s="513" t="s">
        <v>3197</v>
      </c>
      <c r="FD5" s="513" t="s">
        <v>3198</v>
      </c>
      <c r="FE5" s="513" t="s">
        <v>3199</v>
      </c>
      <c r="FF5" s="513" t="s">
        <v>3200</v>
      </c>
      <c r="FG5" s="513" t="s">
        <v>3201</v>
      </c>
      <c r="FH5" s="513" t="s">
        <v>3204</v>
      </c>
      <c r="FI5" s="513" t="s">
        <v>3205</v>
      </c>
      <c r="FJ5" s="513" t="s">
        <v>3202</v>
      </c>
      <c r="FK5" s="513" t="s">
        <v>3203</v>
      </c>
      <c r="FL5" s="513"/>
      <c r="FM5" s="513"/>
      <c r="FN5" s="513"/>
      <c r="FO5" s="513"/>
      <c r="FP5" s="513"/>
      <c r="FQ5" s="499"/>
    </row>
    <row r="6" spans="1:17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3535</v>
      </c>
      <c r="W6" s="500" t="s">
        <v>1586</v>
      </c>
      <c r="X6" s="500" t="s">
        <v>1457</v>
      </c>
      <c r="Y6" s="500" t="s">
        <v>1514</v>
      </c>
      <c r="Z6" s="500" t="s">
        <v>1587</v>
      </c>
      <c r="AA6" s="500" t="s">
        <v>3436</v>
      </c>
      <c r="AB6" s="500" t="s">
        <v>1588</v>
      </c>
      <c r="AC6" s="500" t="s">
        <v>1589</v>
      </c>
      <c r="AD6" s="500" t="s">
        <v>3437</v>
      </c>
      <c r="AE6" s="952" t="s">
        <v>1590</v>
      </c>
      <c r="AF6" s="955" t="s">
        <v>3438</v>
      </c>
      <c r="AG6" s="500" t="s">
        <v>1518</v>
      </c>
      <c r="AH6" s="500" t="s">
        <v>1519</v>
      </c>
      <c r="AI6" s="500" t="s">
        <v>1591</v>
      </c>
      <c r="AJ6" s="500" t="s">
        <v>1592</v>
      </c>
      <c r="AK6" s="500" t="s">
        <v>3228</v>
      </c>
      <c r="AL6" s="500" t="s">
        <v>3227</v>
      </c>
      <c r="AM6" s="500" t="s">
        <v>1593</v>
      </c>
      <c r="AN6" s="500" t="s">
        <v>1594</v>
      </c>
      <c r="AO6" s="500" t="s">
        <v>1595</v>
      </c>
      <c r="AP6" s="500" t="s">
        <v>1596</v>
      </c>
      <c r="AQ6" s="500" t="s">
        <v>3434</v>
      </c>
      <c r="AR6" s="500" t="s">
        <v>3435</v>
      </c>
      <c r="AS6" s="500" t="s">
        <v>3432</v>
      </c>
      <c r="AT6" s="500" t="s">
        <v>3433</v>
      </c>
      <c r="AU6" s="500" t="s">
        <v>1599</v>
      </c>
      <c r="AV6" s="500" t="s">
        <v>1558</v>
      </c>
      <c r="AW6" s="500" t="s">
        <v>1395</v>
      </c>
      <c r="AX6" s="500" t="s">
        <v>401</v>
      </c>
      <c r="AY6" s="500" t="s">
        <v>403</v>
      </c>
      <c r="AZ6" s="500" t="s">
        <v>3136</v>
      </c>
      <c r="BA6" s="500" t="s">
        <v>3137</v>
      </c>
      <c r="BB6" s="500" t="s">
        <v>3138</v>
      </c>
      <c r="BC6" s="500" t="s">
        <v>3139</v>
      </c>
      <c r="BD6" s="500" t="s">
        <v>3140</v>
      </c>
      <c r="BE6" s="500" t="s">
        <v>3141</v>
      </c>
      <c r="BF6" s="500" t="s">
        <v>3142</v>
      </c>
      <c r="BG6" s="500" t="s">
        <v>3143</v>
      </c>
      <c r="BH6" s="500" t="s">
        <v>1404</v>
      </c>
      <c r="BI6" s="500" t="s">
        <v>1403</v>
      </c>
      <c r="BJ6" s="500" t="s">
        <v>1396</v>
      </c>
      <c r="BK6" s="500" t="s">
        <v>1605</v>
      </c>
      <c r="BL6" s="500" t="s">
        <v>1602</v>
      </c>
      <c r="BM6" s="500" t="s">
        <v>1407</v>
      </c>
      <c r="BN6" s="500" t="s">
        <v>1406</v>
      </c>
      <c r="BO6" s="500" t="s">
        <v>1606</v>
      </c>
      <c r="BP6" s="500" t="s">
        <v>1405</v>
      </c>
      <c r="BQ6" s="500" t="s">
        <v>287</v>
      </c>
      <c r="BR6" s="500" t="s">
        <v>1614</v>
      </c>
      <c r="BS6" s="500" t="s">
        <v>1615</v>
      </c>
      <c r="BT6" s="500" t="s">
        <v>1616</v>
      </c>
      <c r="BU6" s="500" t="s">
        <v>1617</v>
      </c>
      <c r="BV6" s="500" t="s">
        <v>1792</v>
      </c>
      <c r="BW6" s="500" t="s">
        <v>1618</v>
      </c>
      <c r="BX6" s="500" t="s">
        <v>1619</v>
      </c>
      <c r="BY6" s="500" t="s">
        <v>1620</v>
      </c>
      <c r="BZ6" s="500" t="s">
        <v>1621</v>
      </c>
      <c r="CA6" s="500" t="s">
        <v>3145</v>
      </c>
      <c r="CB6" s="500" t="s">
        <v>3144</v>
      </c>
      <c r="CC6" s="500" t="s">
        <v>1397</v>
      </c>
      <c r="CD6" s="500" t="s">
        <v>3249</v>
      </c>
      <c r="CE6" s="500" t="s">
        <v>3250</v>
      </c>
      <c r="CF6" s="500" t="s">
        <v>3256</v>
      </c>
      <c r="CG6" s="500" t="s">
        <v>3251</v>
      </c>
      <c r="CH6" s="500" t="s">
        <v>3257</v>
      </c>
      <c r="CI6" s="500" t="s">
        <v>3426</v>
      </c>
      <c r="CJ6" s="500" t="s">
        <v>3258</v>
      </c>
      <c r="CK6" s="500" t="s">
        <v>3259</v>
      </c>
      <c r="CL6" s="500" t="s">
        <v>1437</v>
      </c>
      <c r="CM6" s="500" t="s">
        <v>1438</v>
      </c>
      <c r="CN6" s="500" t="s">
        <v>1439</v>
      </c>
      <c r="CO6" s="500" t="s">
        <v>3424</v>
      </c>
      <c r="CP6" s="500" t="s">
        <v>1408</v>
      </c>
      <c r="CQ6" s="500" t="s">
        <v>3252</v>
      </c>
      <c r="CR6" s="500" t="s">
        <v>1409</v>
      </c>
      <c r="CS6" s="500" t="s">
        <v>1410</v>
      </c>
      <c r="CT6" s="500" t="s">
        <v>1411</v>
      </c>
      <c r="CU6" s="500" t="s">
        <v>3253</v>
      </c>
      <c r="CV6" s="500" t="s">
        <v>1412</v>
      </c>
      <c r="CW6" s="500" t="s">
        <v>1413</v>
      </c>
      <c r="CX6" s="514" t="s">
        <v>3893</v>
      </c>
      <c r="CY6" s="514" t="s">
        <v>3904</v>
      </c>
      <c r="CZ6" s="514" t="s">
        <v>3862</v>
      </c>
      <c r="DA6" s="514" t="s">
        <v>3864</v>
      </c>
      <c r="DB6" s="514" t="s">
        <v>3097</v>
      </c>
      <c r="DC6" s="514" t="s">
        <v>3098</v>
      </c>
      <c r="DD6" s="514" t="s">
        <v>3099</v>
      </c>
      <c r="DE6" s="514" t="s">
        <v>3100</v>
      </c>
      <c r="DF6" s="514" t="s">
        <v>3237</v>
      </c>
      <c r="DG6" s="514" t="s">
        <v>3092</v>
      </c>
      <c r="DH6" s="514" t="s">
        <v>3091</v>
      </c>
      <c r="DI6" s="514" t="s">
        <v>3090</v>
      </c>
      <c r="DJ6" s="514" t="s">
        <v>3089</v>
      </c>
      <c r="DK6" s="514" t="s">
        <v>3088</v>
      </c>
      <c r="DL6" s="514" t="s">
        <v>3087</v>
      </c>
      <c r="DM6" s="514" t="s">
        <v>212</v>
      </c>
      <c r="DN6" s="514" t="s">
        <v>216</v>
      </c>
      <c r="DO6" s="514" t="s">
        <v>220</v>
      </c>
      <c r="DP6" s="514" t="s">
        <v>210</v>
      </c>
      <c r="DQ6" s="514" t="s">
        <v>214</v>
      </c>
      <c r="DR6" s="514" t="s">
        <v>218</v>
      </c>
      <c r="DS6" s="514" t="s">
        <v>3096</v>
      </c>
      <c r="DT6" s="514" t="s">
        <v>3093</v>
      </c>
      <c r="DU6" s="514" t="s">
        <v>3094</v>
      </c>
      <c r="DV6" s="514" t="s">
        <v>3095</v>
      </c>
      <c r="DW6" s="514" t="s">
        <v>1467</v>
      </c>
      <c r="DX6" s="514" t="s">
        <v>3101</v>
      </c>
      <c r="DY6" s="514" t="s">
        <v>3106</v>
      </c>
      <c r="DZ6" s="514" t="s">
        <v>3102</v>
      </c>
      <c r="EA6" s="514" t="s">
        <v>3103</v>
      </c>
      <c r="EB6" s="514" t="s">
        <v>3104</v>
      </c>
      <c r="EC6" s="514" t="s">
        <v>3105</v>
      </c>
      <c r="ED6" s="514" t="s">
        <v>3108</v>
      </c>
      <c r="EE6" s="514" t="s">
        <v>3107</v>
      </c>
      <c r="EF6" s="514" t="s">
        <v>3109</v>
      </c>
      <c r="EG6" s="514" t="s">
        <v>3110</v>
      </c>
      <c r="EH6" s="514" t="s">
        <v>3111</v>
      </c>
      <c r="EI6" s="514" t="s">
        <v>3112</v>
      </c>
      <c r="EJ6" s="514" t="s">
        <v>3113</v>
      </c>
      <c r="EK6" s="514" t="s">
        <v>3114</v>
      </c>
      <c r="EL6" s="514" t="s">
        <v>3115</v>
      </c>
      <c r="EM6" s="514" t="s">
        <v>3116</v>
      </c>
      <c r="EN6" s="514" t="s">
        <v>3117</v>
      </c>
      <c r="EO6" s="514" t="s">
        <v>3118</v>
      </c>
      <c r="EP6" s="514" t="s">
        <v>3119</v>
      </c>
      <c r="EQ6" s="514" t="s">
        <v>3121</v>
      </c>
      <c r="ER6" s="514" t="s">
        <v>3120</v>
      </c>
      <c r="ES6" s="514" t="s">
        <v>3122</v>
      </c>
      <c r="ET6" s="514" t="s">
        <v>3123</v>
      </c>
      <c r="EU6" s="514" t="s">
        <v>3132</v>
      </c>
      <c r="EV6" s="514" t="s">
        <v>3125</v>
      </c>
      <c r="EW6" s="514" t="s">
        <v>3126</v>
      </c>
      <c r="EX6" s="514" t="s">
        <v>1204</v>
      </c>
      <c r="EY6" s="514" t="s">
        <v>1210</v>
      </c>
      <c r="EZ6" s="514" t="s">
        <v>3124</v>
      </c>
      <c r="FA6" s="514" t="s">
        <v>3127</v>
      </c>
      <c r="FB6" s="514" t="s">
        <v>3128</v>
      </c>
      <c r="FC6" s="514" t="s">
        <v>1206</v>
      </c>
      <c r="FD6" s="514" t="s">
        <v>1212</v>
      </c>
      <c r="FE6" s="514" t="s">
        <v>3129</v>
      </c>
      <c r="FF6" s="514" t="s">
        <v>3130</v>
      </c>
      <c r="FG6" s="514" t="s">
        <v>3131</v>
      </c>
      <c r="FH6" s="514" t="s">
        <v>3133</v>
      </c>
      <c r="FI6" s="514" t="s">
        <v>3134</v>
      </c>
      <c r="FJ6" s="514" t="s">
        <v>1381</v>
      </c>
      <c r="FK6" s="514" t="s">
        <v>3135</v>
      </c>
      <c r="FL6" s="514" t="s">
        <v>287</v>
      </c>
      <c r="FM6" s="514" t="s">
        <v>3260</v>
      </c>
      <c r="FN6" s="514" t="s">
        <v>3344</v>
      </c>
      <c r="FO6" s="514" t="s">
        <v>3414</v>
      </c>
      <c r="FP6" s="514" t="s">
        <v>3415</v>
      </c>
      <c r="FQ6" s="500" t="s">
        <v>1398</v>
      </c>
    </row>
    <row r="7" spans="1:17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4"/>
      <c r="W7" s="503"/>
      <c r="X7" s="503"/>
      <c r="Y7" s="503"/>
      <c r="Z7" s="503"/>
      <c r="AA7" s="503"/>
      <c r="AB7" s="503"/>
      <c r="AC7" s="503"/>
      <c r="AD7" s="503"/>
      <c r="AE7" s="953"/>
      <c r="AF7" s="956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3"/>
      <c r="FH7" s="503"/>
      <c r="FI7" s="503"/>
      <c r="FJ7" s="503"/>
      <c r="FK7" s="503"/>
      <c r="FL7" s="503"/>
      <c r="FM7" s="503"/>
      <c r="FN7" s="503"/>
      <c r="FO7" s="503"/>
      <c r="FP7" s="503"/>
      <c r="FQ7" s="505"/>
    </row>
    <row r="8" spans="1:173" s="4" customFormat="1">
      <c r="A8" s="56"/>
      <c r="B8" s="56"/>
      <c r="C8" s="522"/>
      <c r="D8" s="522" t="s">
        <v>3605</v>
      </c>
      <c r="E8" s="516"/>
      <c r="F8" s="516"/>
      <c r="G8" s="516"/>
      <c r="H8" s="516"/>
      <c r="I8" s="516"/>
      <c r="J8" s="516"/>
      <c r="K8" s="516"/>
      <c r="L8" s="516"/>
      <c r="M8" s="516"/>
      <c r="N8" s="516"/>
      <c r="O8" s="516">
        <f t="shared" ref="O8:O67" si="0">E8</f>
        <v>0</v>
      </c>
      <c r="P8" s="516"/>
      <c r="Q8" s="516"/>
      <c r="R8" s="516"/>
      <c r="S8" s="516"/>
      <c r="T8" s="516" t="s">
        <v>3718</v>
      </c>
      <c r="U8" s="516" t="s">
        <v>3718</v>
      </c>
      <c r="V8" s="516"/>
      <c r="W8" s="516"/>
      <c r="X8" s="516"/>
      <c r="Y8" s="516"/>
      <c r="Z8" s="516"/>
      <c r="AA8" s="516"/>
      <c r="AB8" s="516"/>
      <c r="AC8" s="516"/>
      <c r="AD8" s="516"/>
      <c r="AE8" s="725"/>
      <c r="AF8" s="957"/>
      <c r="AG8" s="516"/>
      <c r="AH8" s="516"/>
      <c r="AI8" s="516"/>
      <c r="AJ8" s="516"/>
      <c r="AK8" s="516"/>
      <c r="AL8" s="516"/>
      <c r="AM8" s="516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>
        <f>IF(C8&lt;&gt;0,AW8+CB8+CC8,)</f>
        <v>0</v>
      </c>
      <c r="BA8" s="516">
        <f>IF(D8&lt;&gt;0,AW8+CB8+CC8,)</f>
        <v>1</v>
      </c>
      <c r="BB8" s="516"/>
      <c r="BC8" s="516"/>
      <c r="BD8" s="516">
        <f>IF(C8&lt;&gt;0,IF(OR(LEN(U8)=1,LEN(U8)=2),1,VALUE(LEFT(U8,1))),)</f>
        <v>0</v>
      </c>
      <c r="BE8" s="516">
        <f>IF(D8&lt;&gt;0,IF(OR(LEN(U8)=1,LEN(U8)=2),1,VALUE(LEFT(U8,1))),)</f>
        <v>3</v>
      </c>
      <c r="BF8" s="516"/>
      <c r="BG8" s="516"/>
      <c r="BH8" s="516"/>
      <c r="BI8" s="516">
        <f t="shared" ref="BI8:BI67" si="1">AU8*2+CB8*5</f>
        <v>5</v>
      </c>
      <c r="BJ8" s="516"/>
      <c r="BK8" s="516"/>
      <c r="BL8" s="516"/>
      <c r="BM8" s="516"/>
      <c r="BN8" s="516"/>
      <c r="BO8" s="516"/>
      <c r="BP8" s="516"/>
      <c r="BQ8" s="516"/>
      <c r="BR8" s="516"/>
      <c r="BS8" s="516"/>
      <c r="BT8" s="516"/>
      <c r="BU8" s="516"/>
      <c r="BV8" s="516"/>
      <c r="BW8" s="516"/>
      <c r="BX8" s="516">
        <v>4</v>
      </c>
      <c r="BY8" s="516"/>
      <c r="BZ8" s="516"/>
      <c r="CA8" s="516"/>
      <c r="CB8" s="516">
        <v>1</v>
      </c>
      <c r="CC8" s="516"/>
      <c r="CD8" s="516">
        <f t="shared" ref="CD8:CD67" si="2">CB8*4</f>
        <v>4</v>
      </c>
      <c r="CE8" s="516"/>
      <c r="CF8" s="516"/>
      <c r="CG8" s="516"/>
      <c r="CH8" s="516"/>
      <c r="CI8" s="516"/>
      <c r="CJ8" s="516"/>
      <c r="CK8" s="516"/>
      <c r="CL8" s="516"/>
      <c r="CM8" s="516">
        <v>8</v>
      </c>
      <c r="CN8" s="516"/>
      <c r="CO8" s="516"/>
      <c r="CP8" s="516"/>
      <c r="CQ8" s="516"/>
      <c r="CR8" s="516"/>
      <c r="CS8" s="516"/>
      <c r="CT8" s="516"/>
      <c r="CU8" s="516"/>
      <c r="CV8" s="516"/>
      <c r="CW8" s="516"/>
      <c r="CX8" s="454"/>
      <c r="CY8" s="454"/>
      <c r="CZ8" s="454"/>
      <c r="DA8" s="454"/>
      <c r="DB8" s="454"/>
      <c r="DC8" s="454"/>
      <c r="DD8" s="454"/>
      <c r="DE8" s="454"/>
      <c r="DF8" s="454"/>
      <c r="DG8" s="517"/>
      <c r="DH8" s="517"/>
      <c r="DI8" s="517"/>
      <c r="DJ8" s="517"/>
      <c r="DK8" s="517"/>
      <c r="DL8" s="517"/>
      <c r="DM8" s="517"/>
      <c r="DN8" s="517"/>
      <c r="DO8" s="517"/>
      <c r="DP8" s="517"/>
      <c r="DQ8" s="517"/>
      <c r="DR8" s="517"/>
      <c r="DS8" s="454"/>
      <c r="DT8" s="454"/>
      <c r="DU8" s="454"/>
      <c r="DV8" s="454"/>
      <c r="DW8" s="454"/>
      <c r="DX8" s="454"/>
      <c r="DY8" s="454"/>
      <c r="DZ8" s="454"/>
      <c r="EA8" s="454"/>
      <c r="EB8" s="454"/>
      <c r="EC8" s="454"/>
      <c r="ED8" s="454"/>
      <c r="EE8" s="454"/>
      <c r="EF8" s="454"/>
      <c r="EG8" s="454"/>
      <c r="EH8" s="454"/>
      <c r="EI8" s="454"/>
      <c r="EJ8" s="454"/>
      <c r="EK8" s="454"/>
      <c r="EL8" s="454"/>
      <c r="EM8" s="454"/>
      <c r="EN8" s="454"/>
      <c r="EO8" s="454"/>
      <c r="EP8" s="454"/>
      <c r="EQ8" s="454"/>
      <c r="ER8" s="454"/>
      <c r="ES8" s="454"/>
      <c r="ET8" s="454"/>
      <c r="EU8" s="454"/>
      <c r="EV8" s="454"/>
      <c r="EW8" s="454"/>
      <c r="EX8" s="454"/>
      <c r="EY8" s="454"/>
      <c r="EZ8" s="454"/>
      <c r="FA8" s="454"/>
      <c r="FB8" s="454"/>
      <c r="FC8" s="454"/>
      <c r="FD8" s="454"/>
      <c r="FE8" s="454"/>
      <c r="FF8" s="454"/>
      <c r="FG8" s="454"/>
      <c r="FH8" s="454"/>
      <c r="FI8" s="454"/>
      <c r="FJ8" s="454"/>
      <c r="FK8" s="454"/>
      <c r="FL8" s="454"/>
      <c r="FM8" s="454"/>
      <c r="FN8" s="454"/>
      <c r="FO8" s="454"/>
      <c r="FP8" s="454"/>
      <c r="FQ8" s="290"/>
    </row>
    <row r="9" spans="1:173" s="4" customFormat="1">
      <c r="A9" s="56"/>
      <c r="B9" s="56"/>
      <c r="C9" s="522"/>
      <c r="D9" s="522" t="s">
        <v>3609</v>
      </c>
      <c r="E9" s="516">
        <v>28.4</v>
      </c>
      <c r="F9" s="516"/>
      <c r="G9" s="516"/>
      <c r="H9" s="516"/>
      <c r="I9" s="516"/>
      <c r="J9" s="516"/>
      <c r="K9" s="516"/>
      <c r="L9" s="516"/>
      <c r="M9" s="516"/>
      <c r="N9" s="516"/>
      <c r="O9" s="516">
        <f t="shared" si="0"/>
        <v>28.4</v>
      </c>
      <c r="P9" s="516"/>
      <c r="Q9" s="516"/>
      <c r="R9" s="516"/>
      <c r="S9" s="516"/>
      <c r="T9" s="516" t="s">
        <v>1631</v>
      </c>
      <c r="U9" s="516" t="s">
        <v>2989</v>
      </c>
      <c r="V9" s="516"/>
      <c r="W9" s="725">
        <v>1</v>
      </c>
      <c r="X9" s="516"/>
      <c r="Y9" s="516"/>
      <c r="Z9" s="516">
        <v>1</v>
      </c>
      <c r="AA9" s="516"/>
      <c r="AB9" s="516"/>
      <c r="AC9" s="516"/>
      <c r="AD9" s="516"/>
      <c r="AE9" s="725"/>
      <c r="AF9" s="957"/>
      <c r="AG9" s="516"/>
      <c r="AH9" s="516"/>
      <c r="AI9" s="516"/>
      <c r="AJ9" s="516"/>
      <c r="AK9" s="516"/>
      <c r="AL9" s="516"/>
      <c r="AM9" s="516"/>
      <c r="AN9" s="516"/>
      <c r="AO9" s="516"/>
      <c r="AP9" s="516"/>
      <c r="AQ9" s="516"/>
      <c r="AR9" s="516"/>
      <c r="AS9" s="516"/>
      <c r="AT9" s="516"/>
      <c r="AU9" s="516"/>
      <c r="AV9" s="516"/>
      <c r="AW9" s="516">
        <v>1</v>
      </c>
      <c r="AX9" s="516"/>
      <c r="AY9" s="516"/>
      <c r="AZ9" s="516">
        <f t="shared" ref="AZ9:AZ67" si="3">IF(C9&lt;&gt;0,AW9+CB9+CC9,)</f>
        <v>0</v>
      </c>
      <c r="BA9" s="516">
        <f t="shared" ref="BA9:BA67" si="4">IF(D9&lt;&gt;0,AW9+CB9+CC9,)</f>
        <v>1</v>
      </c>
      <c r="BB9" s="516"/>
      <c r="BC9" s="516"/>
      <c r="BD9" s="516">
        <f t="shared" ref="BD9:BD67" si="5">IF(C9&lt;&gt;0,IF(OR(LEN(U9)=1,LEN(U9)=2),1,VALUE(LEFT(U9,1))),)</f>
        <v>0</v>
      </c>
      <c r="BE9" s="516">
        <f t="shared" ref="BE9:BE67" si="6">IF(D9&lt;&gt;0,IF(OR(LEN(U9)=1,LEN(U9)=2),1,VALUE(LEFT(U9,1))),)</f>
        <v>2</v>
      </c>
      <c r="BF9" s="516"/>
      <c r="BG9" s="516"/>
      <c r="BH9" s="516"/>
      <c r="BI9" s="516">
        <f t="shared" si="1"/>
        <v>0</v>
      </c>
      <c r="BJ9" s="516"/>
      <c r="BK9" s="516"/>
      <c r="BL9" s="516"/>
      <c r="BM9" s="516"/>
      <c r="BN9" s="516"/>
      <c r="BO9" s="516"/>
      <c r="BP9" s="516"/>
      <c r="BQ9" s="516"/>
      <c r="BR9" s="516"/>
      <c r="BS9" s="516"/>
      <c r="BT9" s="516"/>
      <c r="BU9" s="516"/>
      <c r="BV9" s="516"/>
      <c r="BW9" s="516"/>
      <c r="BX9" s="516">
        <v>2</v>
      </c>
      <c r="BY9" s="516"/>
      <c r="BZ9" s="516"/>
      <c r="CA9" s="516"/>
      <c r="CB9" s="516"/>
      <c r="CC9" s="516"/>
      <c r="CD9" s="516">
        <f t="shared" si="2"/>
        <v>0</v>
      </c>
      <c r="CE9" s="516">
        <v>6</v>
      </c>
      <c r="CF9" s="516"/>
      <c r="CG9" s="516">
        <v>12</v>
      </c>
      <c r="CH9" s="516"/>
      <c r="CI9" s="516">
        <v>8</v>
      </c>
      <c r="CJ9" s="516"/>
      <c r="CK9" s="516"/>
      <c r="CL9" s="516"/>
      <c r="CM9" s="516"/>
      <c r="CN9" s="516"/>
      <c r="CO9" s="516">
        <v>8</v>
      </c>
      <c r="CP9" s="516"/>
      <c r="CQ9" s="516"/>
      <c r="CR9" s="516"/>
      <c r="CS9" s="516"/>
      <c r="CT9" s="516"/>
      <c r="CU9" s="516">
        <v>2</v>
      </c>
      <c r="CV9" s="516"/>
      <c r="CW9" s="516"/>
      <c r="CX9" s="454"/>
      <c r="CY9" s="454"/>
      <c r="CZ9" s="454"/>
      <c r="DA9" s="454"/>
      <c r="DB9" s="454"/>
      <c r="DC9" s="454"/>
      <c r="DD9" s="454"/>
      <c r="DE9" s="454"/>
      <c r="DF9" s="454"/>
      <c r="DG9" s="517"/>
      <c r="DH9" s="517"/>
      <c r="DI9" s="517"/>
      <c r="DJ9" s="517"/>
      <c r="DK9" s="517"/>
      <c r="DL9" s="517"/>
      <c r="DM9" s="517"/>
      <c r="DN9" s="517"/>
      <c r="DO9" s="517"/>
      <c r="DP9" s="517"/>
      <c r="DQ9" s="517"/>
      <c r="DR9" s="517"/>
      <c r="DS9" s="454"/>
      <c r="DT9" s="454"/>
      <c r="DU9" s="454"/>
      <c r="DV9" s="454"/>
      <c r="DW9" s="454"/>
      <c r="DX9" s="454"/>
      <c r="DY9" s="454"/>
      <c r="DZ9" s="454"/>
      <c r="EA9" s="454"/>
      <c r="EB9" s="454"/>
      <c r="EC9" s="454"/>
      <c r="ED9" s="454"/>
      <c r="EE9" s="454"/>
      <c r="EF9" s="454"/>
      <c r="EG9" s="454"/>
      <c r="EH9" s="454"/>
      <c r="EI9" s="454"/>
      <c r="EJ9" s="454"/>
      <c r="EK9" s="454"/>
      <c r="EL9" s="454"/>
      <c r="EM9" s="454"/>
      <c r="EN9" s="454"/>
      <c r="EO9" s="454"/>
      <c r="EP9" s="454"/>
      <c r="EQ9" s="454"/>
      <c r="ER9" s="454"/>
      <c r="ES9" s="454"/>
      <c r="ET9" s="454"/>
      <c r="EU9" s="454"/>
      <c r="EV9" s="454"/>
      <c r="EW9" s="454"/>
      <c r="EX9" s="454"/>
      <c r="EY9" s="454"/>
      <c r="EZ9" s="454"/>
      <c r="FA9" s="454"/>
      <c r="FB9" s="454"/>
      <c r="FC9" s="454"/>
      <c r="FD9" s="454"/>
      <c r="FE9" s="454"/>
      <c r="FF9" s="454"/>
      <c r="FG9" s="454"/>
      <c r="FH9" s="454"/>
      <c r="FI9" s="454"/>
      <c r="FJ9" s="454"/>
      <c r="FK9" s="454"/>
      <c r="FL9" s="454"/>
      <c r="FM9" s="454"/>
      <c r="FN9" s="454"/>
      <c r="FO9" s="454"/>
      <c r="FP9" s="454"/>
      <c r="FQ9" s="290"/>
    </row>
    <row r="10" spans="1:173" s="4" customFormat="1">
      <c r="A10" s="56"/>
      <c r="B10" s="56"/>
      <c r="C10" s="522"/>
      <c r="D10" s="522" t="s">
        <v>3606</v>
      </c>
      <c r="E10" s="516">
        <v>25</v>
      </c>
      <c r="F10" s="516"/>
      <c r="G10" s="516"/>
      <c r="H10" s="516"/>
      <c r="I10" s="516"/>
      <c r="J10" s="516"/>
      <c r="K10" s="516"/>
      <c r="L10" s="516"/>
      <c r="M10" s="516"/>
      <c r="N10" s="516"/>
      <c r="O10" s="516">
        <f t="shared" si="0"/>
        <v>25</v>
      </c>
      <c r="P10" s="516"/>
      <c r="Q10" s="516"/>
      <c r="R10" s="516"/>
      <c r="S10" s="516"/>
      <c r="T10" s="516" t="s">
        <v>1903</v>
      </c>
      <c r="U10" s="516" t="s">
        <v>1903</v>
      </c>
      <c r="V10" s="516"/>
      <c r="W10" s="516"/>
      <c r="X10" s="516"/>
      <c r="Y10" s="516"/>
      <c r="Z10" s="516"/>
      <c r="AA10" s="516"/>
      <c r="AB10" s="516"/>
      <c r="AC10" s="516"/>
      <c r="AD10" s="516"/>
      <c r="AE10" s="725"/>
      <c r="AF10" s="957"/>
      <c r="AG10" s="516"/>
      <c r="AH10" s="516"/>
      <c r="AI10" s="516"/>
      <c r="AJ10" s="516"/>
      <c r="AK10" s="516"/>
      <c r="AL10" s="516"/>
      <c r="AM10" s="516"/>
      <c r="AN10" s="516"/>
      <c r="AO10" s="516"/>
      <c r="AP10" s="516"/>
      <c r="AQ10" s="516"/>
      <c r="AR10" s="516"/>
      <c r="AS10" s="516"/>
      <c r="AT10" s="516"/>
      <c r="AU10" s="516"/>
      <c r="AV10" s="516"/>
      <c r="AW10" s="516"/>
      <c r="AX10" s="516"/>
      <c r="AY10" s="516"/>
      <c r="AZ10" s="516">
        <f t="shared" si="3"/>
        <v>0</v>
      </c>
      <c r="BA10" s="516">
        <f t="shared" si="4"/>
        <v>0</v>
      </c>
      <c r="BB10" s="516"/>
      <c r="BC10" s="516"/>
      <c r="BD10" s="516">
        <f t="shared" si="5"/>
        <v>0</v>
      </c>
      <c r="BE10" s="516">
        <f t="shared" si="6"/>
        <v>1</v>
      </c>
      <c r="BF10" s="516"/>
      <c r="BG10" s="516"/>
      <c r="BH10" s="516"/>
      <c r="BI10" s="516">
        <f t="shared" si="1"/>
        <v>0</v>
      </c>
      <c r="BJ10" s="516"/>
      <c r="BK10" s="516"/>
      <c r="BL10" s="516"/>
      <c r="BM10" s="516"/>
      <c r="BN10" s="516"/>
      <c r="BO10" s="516"/>
      <c r="BP10" s="516"/>
      <c r="BQ10" s="516">
        <v>1</v>
      </c>
      <c r="BR10" s="516"/>
      <c r="BS10" s="516">
        <v>2</v>
      </c>
      <c r="BT10" s="516"/>
      <c r="BU10" s="516"/>
      <c r="BV10" s="516"/>
      <c r="BW10" s="516"/>
      <c r="BX10" s="516"/>
      <c r="BY10" s="516"/>
      <c r="BZ10" s="516"/>
      <c r="CA10" s="516"/>
      <c r="CB10" s="516"/>
      <c r="CC10" s="516"/>
      <c r="CD10" s="516">
        <f t="shared" si="2"/>
        <v>0</v>
      </c>
      <c r="CE10" s="516"/>
      <c r="CF10" s="516"/>
      <c r="CG10" s="516"/>
      <c r="CH10" s="516"/>
      <c r="CI10" s="516"/>
      <c r="CJ10" s="516"/>
      <c r="CK10" s="516"/>
      <c r="CL10" s="516"/>
      <c r="CM10" s="516"/>
      <c r="CN10" s="516"/>
      <c r="CO10" s="516"/>
      <c r="CP10" s="516"/>
      <c r="CQ10" s="516"/>
      <c r="CR10" s="516"/>
      <c r="CS10" s="516"/>
      <c r="CT10" s="516"/>
      <c r="CU10" s="516"/>
      <c r="CV10" s="516"/>
      <c r="CW10" s="516"/>
      <c r="CX10" s="454"/>
      <c r="CY10" s="454"/>
      <c r="CZ10" s="454"/>
      <c r="DA10" s="454"/>
      <c r="DB10" s="454"/>
      <c r="DC10" s="454"/>
      <c r="DD10" s="454"/>
      <c r="DE10" s="454"/>
      <c r="DF10" s="454"/>
      <c r="DG10" s="517"/>
      <c r="DH10" s="517"/>
      <c r="DI10" s="517"/>
      <c r="DJ10" s="517"/>
      <c r="DK10" s="517"/>
      <c r="DL10" s="517"/>
      <c r="DM10" s="517"/>
      <c r="DN10" s="517"/>
      <c r="DO10" s="517"/>
      <c r="DP10" s="517"/>
      <c r="DQ10" s="517"/>
      <c r="DR10" s="517"/>
      <c r="DS10" s="454"/>
      <c r="DT10" s="454"/>
      <c r="DU10" s="454"/>
      <c r="DV10" s="454"/>
      <c r="DW10" s="454"/>
      <c r="DX10" s="454"/>
      <c r="DY10" s="454"/>
      <c r="DZ10" s="454"/>
      <c r="EA10" s="454"/>
      <c r="EB10" s="454"/>
      <c r="EC10" s="454"/>
      <c r="ED10" s="454"/>
      <c r="EE10" s="454"/>
      <c r="EF10" s="454"/>
      <c r="EG10" s="454"/>
      <c r="EH10" s="454"/>
      <c r="EI10" s="454"/>
      <c r="EJ10" s="454"/>
      <c r="EK10" s="454"/>
      <c r="EL10" s="454"/>
      <c r="EM10" s="454"/>
      <c r="EN10" s="454"/>
      <c r="EO10" s="454"/>
      <c r="EP10" s="454"/>
      <c r="EQ10" s="454"/>
      <c r="ER10" s="454"/>
      <c r="ES10" s="454"/>
      <c r="ET10" s="454"/>
      <c r="EU10" s="454"/>
      <c r="EV10" s="454"/>
      <c r="EW10" s="454"/>
      <c r="EX10" s="454"/>
      <c r="EY10" s="454"/>
      <c r="EZ10" s="454"/>
      <c r="FA10" s="454"/>
      <c r="FB10" s="454"/>
      <c r="FC10" s="454"/>
      <c r="FD10" s="454"/>
      <c r="FE10" s="454"/>
      <c r="FF10" s="454"/>
      <c r="FG10" s="454"/>
      <c r="FH10" s="454"/>
      <c r="FI10" s="454"/>
      <c r="FJ10" s="454"/>
      <c r="FK10" s="454"/>
      <c r="FL10" s="454"/>
      <c r="FM10" s="454"/>
      <c r="FN10" s="454"/>
      <c r="FO10" s="454"/>
      <c r="FP10" s="454"/>
      <c r="FQ10" s="290"/>
    </row>
    <row r="11" spans="1:173" s="4" customFormat="1">
      <c r="A11" s="56"/>
      <c r="B11" s="56"/>
      <c r="C11" s="522" t="s">
        <v>3607</v>
      </c>
      <c r="D11" s="522"/>
      <c r="E11" s="516">
        <v>37.9</v>
      </c>
      <c r="F11" s="516"/>
      <c r="G11" s="516"/>
      <c r="H11" s="516"/>
      <c r="I11" s="516"/>
      <c r="J11" s="516"/>
      <c r="K11" s="516"/>
      <c r="L11" s="516"/>
      <c r="M11" s="516"/>
      <c r="N11" s="516"/>
      <c r="O11" s="516">
        <f t="shared" si="0"/>
        <v>37.9</v>
      </c>
      <c r="P11" s="516"/>
      <c r="Q11" s="516"/>
      <c r="R11" s="516"/>
      <c r="S11" s="516"/>
      <c r="T11" s="516" t="s">
        <v>1631</v>
      </c>
      <c r="U11" s="516" t="s">
        <v>1631</v>
      </c>
      <c r="V11" s="516"/>
      <c r="W11" s="516"/>
      <c r="X11" s="516"/>
      <c r="Y11" s="516"/>
      <c r="Z11" s="516"/>
      <c r="AA11" s="516"/>
      <c r="AB11" s="516"/>
      <c r="AC11" s="516"/>
      <c r="AD11" s="516"/>
      <c r="AE11" s="725"/>
      <c r="AF11" s="957"/>
      <c r="AG11" s="516"/>
      <c r="AH11" s="516"/>
      <c r="AI11" s="516"/>
      <c r="AJ11" s="516"/>
      <c r="AK11" s="516"/>
      <c r="AL11" s="516"/>
      <c r="AM11" s="516"/>
      <c r="AN11" s="516"/>
      <c r="AO11" s="516"/>
      <c r="AP11" s="516"/>
      <c r="AQ11" s="516"/>
      <c r="AR11" s="516"/>
      <c r="AS11" s="516"/>
      <c r="AT11" s="516"/>
      <c r="AU11" s="516">
        <v>1</v>
      </c>
      <c r="AV11" s="516"/>
      <c r="AW11" s="516">
        <v>1</v>
      </c>
      <c r="AX11" s="516"/>
      <c r="AY11" s="516"/>
      <c r="AZ11" s="516">
        <f t="shared" si="3"/>
        <v>2</v>
      </c>
      <c r="BA11" s="516">
        <f t="shared" si="4"/>
        <v>0</v>
      </c>
      <c r="BB11" s="516"/>
      <c r="BC11" s="516"/>
      <c r="BD11" s="516">
        <f t="shared" si="5"/>
        <v>1</v>
      </c>
      <c r="BE11" s="516">
        <f t="shared" si="6"/>
        <v>0</v>
      </c>
      <c r="BF11" s="516"/>
      <c r="BG11" s="516"/>
      <c r="BH11" s="516"/>
      <c r="BI11" s="516">
        <f t="shared" si="1"/>
        <v>7</v>
      </c>
      <c r="BJ11" s="516"/>
      <c r="BK11" s="516"/>
      <c r="BL11" s="516"/>
      <c r="BM11" s="516"/>
      <c r="BN11" s="516"/>
      <c r="BO11" s="516"/>
      <c r="BP11" s="516"/>
      <c r="BQ11" s="516"/>
      <c r="BR11" s="516"/>
      <c r="BS11" s="516">
        <v>1</v>
      </c>
      <c r="BT11" s="516"/>
      <c r="BU11" s="516"/>
      <c r="BV11" s="516"/>
      <c r="BW11" s="516"/>
      <c r="BX11" s="516"/>
      <c r="BY11" s="516"/>
      <c r="BZ11" s="516"/>
      <c r="CA11" s="516"/>
      <c r="CB11" s="516">
        <v>1</v>
      </c>
      <c r="CC11" s="516"/>
      <c r="CD11" s="516">
        <f t="shared" si="2"/>
        <v>4</v>
      </c>
      <c r="CE11" s="516"/>
      <c r="CF11" s="516"/>
      <c r="CG11" s="516"/>
      <c r="CH11" s="516"/>
      <c r="CI11" s="516"/>
      <c r="CJ11" s="516"/>
      <c r="CK11" s="516"/>
      <c r="CL11" s="516"/>
      <c r="CM11" s="516"/>
      <c r="CN11" s="516"/>
      <c r="CO11" s="516"/>
      <c r="CP11" s="516"/>
      <c r="CQ11" s="516"/>
      <c r="CR11" s="516"/>
      <c r="CS11" s="516"/>
      <c r="CT11" s="516"/>
      <c r="CU11" s="516"/>
      <c r="CV11" s="516"/>
      <c r="CW11" s="516"/>
      <c r="CX11" s="454"/>
      <c r="CY11" s="454"/>
      <c r="CZ11" s="454"/>
      <c r="DA11" s="454"/>
      <c r="DB11" s="454"/>
      <c r="DC11" s="454"/>
      <c r="DD11" s="454"/>
      <c r="DE11" s="454"/>
      <c r="DF11" s="454"/>
      <c r="DG11" s="517"/>
      <c r="DH11" s="517"/>
      <c r="DI11" s="517"/>
      <c r="DJ11" s="517"/>
      <c r="DK11" s="517"/>
      <c r="DL11" s="517"/>
      <c r="DM11" s="517"/>
      <c r="DN11" s="517"/>
      <c r="DO11" s="517"/>
      <c r="DP11" s="517"/>
      <c r="DQ11" s="517"/>
      <c r="DR11" s="517"/>
      <c r="DS11" s="454"/>
      <c r="DT11" s="454"/>
      <c r="DU11" s="454"/>
      <c r="DV11" s="454"/>
      <c r="DW11" s="454"/>
      <c r="DX11" s="454"/>
      <c r="DY11" s="454"/>
      <c r="DZ11" s="454"/>
      <c r="EA11" s="454"/>
      <c r="EB11" s="454"/>
      <c r="EC11" s="454"/>
      <c r="ED11" s="454"/>
      <c r="EE11" s="454"/>
      <c r="EF11" s="454"/>
      <c r="EG11" s="454"/>
      <c r="EH11" s="454"/>
      <c r="EI11" s="454"/>
      <c r="EJ11" s="454"/>
      <c r="EK11" s="454"/>
      <c r="EL11" s="454"/>
      <c r="EM11" s="454"/>
      <c r="EN11" s="454"/>
      <c r="EO11" s="454"/>
      <c r="EP11" s="454"/>
      <c r="EQ11" s="454"/>
      <c r="ER11" s="454"/>
      <c r="ES11" s="454"/>
      <c r="ET11" s="454"/>
      <c r="EU11" s="454"/>
      <c r="EV11" s="454"/>
      <c r="EW11" s="454"/>
      <c r="EX11" s="454"/>
      <c r="EY11" s="454"/>
      <c r="EZ11" s="454"/>
      <c r="FA11" s="454"/>
      <c r="FB11" s="454"/>
      <c r="FC11" s="454"/>
      <c r="FD11" s="454"/>
      <c r="FE11" s="454"/>
      <c r="FF11" s="454"/>
      <c r="FG11" s="454"/>
      <c r="FH11" s="454"/>
      <c r="FI11" s="454"/>
      <c r="FJ11" s="454"/>
      <c r="FK11" s="454"/>
      <c r="FL11" s="454"/>
      <c r="FM11" s="454"/>
      <c r="FN11" s="454"/>
      <c r="FO11" s="454"/>
      <c r="FP11" s="454"/>
      <c r="FQ11" s="290"/>
    </row>
    <row r="12" spans="1:173" s="4" customFormat="1">
      <c r="A12" s="56"/>
      <c r="B12" s="56"/>
      <c r="C12" s="522"/>
      <c r="D12" s="522" t="s">
        <v>3610</v>
      </c>
      <c r="E12" s="516">
        <v>24.8</v>
      </c>
      <c r="F12" s="516"/>
      <c r="G12" s="516"/>
      <c r="H12" s="516"/>
      <c r="I12" s="516"/>
      <c r="J12" s="516"/>
      <c r="K12" s="516"/>
      <c r="L12" s="516"/>
      <c r="M12" s="516"/>
      <c r="N12" s="516"/>
      <c r="O12" s="516">
        <f t="shared" si="0"/>
        <v>24.8</v>
      </c>
      <c r="P12" s="516"/>
      <c r="Q12" s="516"/>
      <c r="R12" s="516"/>
      <c r="S12" s="516"/>
      <c r="T12" s="516" t="s">
        <v>1903</v>
      </c>
      <c r="U12" s="516" t="s">
        <v>1903</v>
      </c>
      <c r="V12" s="516"/>
      <c r="W12" s="516"/>
      <c r="X12" s="516"/>
      <c r="Y12" s="516"/>
      <c r="Z12" s="516"/>
      <c r="AA12" s="516"/>
      <c r="AB12" s="516"/>
      <c r="AC12" s="516"/>
      <c r="AD12" s="516"/>
      <c r="AE12" s="725"/>
      <c r="AF12" s="957"/>
      <c r="AG12" s="516"/>
      <c r="AH12" s="516"/>
      <c r="AI12" s="516"/>
      <c r="AJ12" s="516"/>
      <c r="AK12" s="516"/>
      <c r="AL12" s="516"/>
      <c r="AM12" s="516"/>
      <c r="AN12" s="516"/>
      <c r="AO12" s="516"/>
      <c r="AP12" s="516"/>
      <c r="AQ12" s="516"/>
      <c r="AR12" s="516"/>
      <c r="AS12" s="516"/>
      <c r="AT12" s="516"/>
      <c r="AU12" s="516"/>
      <c r="AV12" s="516"/>
      <c r="AW12" s="516">
        <v>1</v>
      </c>
      <c r="AX12" s="516"/>
      <c r="AY12" s="516"/>
      <c r="AZ12" s="516">
        <f t="shared" si="3"/>
        <v>0</v>
      </c>
      <c r="BA12" s="516">
        <f t="shared" si="4"/>
        <v>2</v>
      </c>
      <c r="BB12" s="516"/>
      <c r="BC12" s="516"/>
      <c r="BD12" s="516">
        <f t="shared" si="5"/>
        <v>0</v>
      </c>
      <c r="BE12" s="516">
        <f t="shared" si="6"/>
        <v>1</v>
      </c>
      <c r="BF12" s="516"/>
      <c r="BG12" s="516"/>
      <c r="BH12" s="516"/>
      <c r="BI12" s="516">
        <f t="shared" si="1"/>
        <v>5</v>
      </c>
      <c r="BJ12" s="516"/>
      <c r="BK12" s="516"/>
      <c r="BL12" s="516"/>
      <c r="BM12" s="516"/>
      <c r="BN12" s="516"/>
      <c r="BO12" s="516"/>
      <c r="BP12" s="516"/>
      <c r="BQ12" s="516">
        <v>1</v>
      </c>
      <c r="BR12" s="516"/>
      <c r="BS12" s="516">
        <v>2</v>
      </c>
      <c r="BT12" s="516"/>
      <c r="BU12" s="516"/>
      <c r="BV12" s="516"/>
      <c r="BW12" s="516"/>
      <c r="BX12" s="516"/>
      <c r="BY12" s="516"/>
      <c r="BZ12" s="516"/>
      <c r="CA12" s="516"/>
      <c r="CB12" s="516">
        <v>1</v>
      </c>
      <c r="CC12" s="516"/>
      <c r="CD12" s="516">
        <f t="shared" si="2"/>
        <v>4</v>
      </c>
      <c r="CE12" s="516"/>
      <c r="CF12" s="516"/>
      <c r="CG12" s="516"/>
      <c r="CH12" s="516"/>
      <c r="CI12" s="516"/>
      <c r="CJ12" s="516"/>
      <c r="CK12" s="516"/>
      <c r="CL12" s="516"/>
      <c r="CM12" s="516"/>
      <c r="CN12" s="516"/>
      <c r="CO12" s="516"/>
      <c r="CP12" s="516"/>
      <c r="CQ12" s="516"/>
      <c r="CR12" s="516"/>
      <c r="CS12" s="516"/>
      <c r="CT12" s="516"/>
      <c r="CU12" s="516"/>
      <c r="CV12" s="516"/>
      <c r="CW12" s="516"/>
      <c r="CX12" s="454"/>
      <c r="CY12" s="454"/>
      <c r="CZ12" s="454"/>
      <c r="DA12" s="454"/>
      <c r="DB12" s="454"/>
      <c r="DC12" s="454"/>
      <c r="DD12" s="454"/>
      <c r="DE12" s="454"/>
      <c r="DF12" s="454"/>
      <c r="DG12" s="517"/>
      <c r="DH12" s="517"/>
      <c r="DI12" s="517"/>
      <c r="DJ12" s="517"/>
      <c r="DK12" s="517"/>
      <c r="DL12" s="517"/>
      <c r="DM12" s="517"/>
      <c r="DN12" s="517"/>
      <c r="DO12" s="517"/>
      <c r="DP12" s="517"/>
      <c r="DQ12" s="517"/>
      <c r="DR12" s="517"/>
      <c r="DS12" s="454"/>
      <c r="DT12" s="454"/>
      <c r="DU12" s="454"/>
      <c r="DV12" s="454"/>
      <c r="DW12" s="454"/>
      <c r="DX12" s="454"/>
      <c r="DY12" s="454"/>
      <c r="DZ12" s="454"/>
      <c r="EA12" s="454"/>
      <c r="EB12" s="454"/>
      <c r="EC12" s="454"/>
      <c r="ED12" s="454"/>
      <c r="EE12" s="454"/>
      <c r="EF12" s="454"/>
      <c r="EG12" s="454"/>
      <c r="EH12" s="454"/>
      <c r="EI12" s="454"/>
      <c r="EJ12" s="454"/>
      <c r="EK12" s="454"/>
      <c r="EL12" s="454"/>
      <c r="EM12" s="454"/>
      <c r="EN12" s="454"/>
      <c r="EO12" s="454"/>
      <c r="EP12" s="454"/>
      <c r="EQ12" s="454"/>
      <c r="ER12" s="454"/>
      <c r="ES12" s="454"/>
      <c r="ET12" s="454"/>
      <c r="EU12" s="454"/>
      <c r="EV12" s="454"/>
      <c r="EW12" s="454"/>
      <c r="EX12" s="454"/>
      <c r="EY12" s="454"/>
      <c r="EZ12" s="454"/>
      <c r="FA12" s="454"/>
      <c r="FB12" s="454"/>
      <c r="FC12" s="454"/>
      <c r="FD12" s="454"/>
      <c r="FE12" s="454"/>
      <c r="FF12" s="454"/>
      <c r="FG12" s="454"/>
      <c r="FH12" s="454"/>
      <c r="FI12" s="454"/>
      <c r="FJ12" s="454"/>
      <c r="FK12" s="454"/>
      <c r="FL12" s="454"/>
      <c r="FM12" s="454"/>
      <c r="FN12" s="454"/>
      <c r="FO12" s="454"/>
      <c r="FP12" s="454"/>
      <c r="FQ12" s="290"/>
    </row>
    <row r="13" spans="1:173" s="4" customFormat="1">
      <c r="A13" s="56"/>
      <c r="B13" s="56"/>
      <c r="C13" s="522" t="s">
        <v>3785</v>
      </c>
      <c r="D13" s="522"/>
      <c r="E13" s="516">
        <v>34.1</v>
      </c>
      <c r="F13" s="516"/>
      <c r="G13" s="516"/>
      <c r="H13" s="516"/>
      <c r="I13" s="516"/>
      <c r="J13" s="516"/>
      <c r="K13" s="516"/>
      <c r="L13" s="516"/>
      <c r="M13" s="516"/>
      <c r="N13" s="516"/>
      <c r="O13" s="516">
        <f t="shared" si="0"/>
        <v>34.1</v>
      </c>
      <c r="P13" s="516"/>
      <c r="Q13" s="516"/>
      <c r="R13" s="516"/>
      <c r="S13" s="516"/>
      <c r="T13" s="516" t="s">
        <v>1631</v>
      </c>
      <c r="U13" s="516" t="s">
        <v>1631</v>
      </c>
      <c r="V13" s="516"/>
      <c r="W13" s="516"/>
      <c r="X13" s="516"/>
      <c r="Y13" s="516"/>
      <c r="Z13" s="516"/>
      <c r="AA13" s="516"/>
      <c r="AB13" s="516"/>
      <c r="AC13" s="516"/>
      <c r="AD13" s="516"/>
      <c r="AE13" s="725"/>
      <c r="AF13" s="957"/>
      <c r="AG13" s="516"/>
      <c r="AH13" s="516"/>
      <c r="AI13" s="516"/>
      <c r="AJ13" s="516"/>
      <c r="AK13" s="516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>
        <f t="shared" si="3"/>
        <v>1</v>
      </c>
      <c r="BA13" s="516">
        <f t="shared" si="4"/>
        <v>0</v>
      </c>
      <c r="BB13" s="516"/>
      <c r="BC13" s="516"/>
      <c r="BD13" s="516">
        <f t="shared" si="5"/>
        <v>1</v>
      </c>
      <c r="BE13" s="516">
        <f t="shared" si="6"/>
        <v>0</v>
      </c>
      <c r="BF13" s="516"/>
      <c r="BG13" s="516"/>
      <c r="BH13" s="516"/>
      <c r="BI13" s="516">
        <f t="shared" si="1"/>
        <v>5</v>
      </c>
      <c r="BJ13" s="516"/>
      <c r="BK13" s="516"/>
      <c r="BL13" s="516"/>
      <c r="BM13" s="516"/>
      <c r="BN13" s="516"/>
      <c r="BO13" s="516"/>
      <c r="BP13" s="516"/>
      <c r="BQ13" s="516"/>
      <c r="BR13" s="516"/>
      <c r="BS13" s="516">
        <v>1</v>
      </c>
      <c r="BT13" s="516"/>
      <c r="BU13" s="516"/>
      <c r="BV13" s="516"/>
      <c r="BW13" s="516"/>
      <c r="BX13" s="516"/>
      <c r="BY13" s="516"/>
      <c r="BZ13" s="516"/>
      <c r="CA13" s="516"/>
      <c r="CB13" s="516">
        <v>1</v>
      </c>
      <c r="CC13" s="516"/>
      <c r="CD13" s="516">
        <f t="shared" si="2"/>
        <v>4</v>
      </c>
      <c r="CE13" s="516"/>
      <c r="CF13" s="516"/>
      <c r="CG13" s="516"/>
      <c r="CH13" s="516"/>
      <c r="CI13" s="516"/>
      <c r="CJ13" s="516"/>
      <c r="CK13" s="516"/>
      <c r="CL13" s="516"/>
      <c r="CM13" s="516"/>
      <c r="CN13" s="516"/>
      <c r="CO13" s="516"/>
      <c r="CP13" s="516"/>
      <c r="CQ13" s="516"/>
      <c r="CR13" s="516"/>
      <c r="CS13" s="516"/>
      <c r="CT13" s="516"/>
      <c r="CU13" s="516"/>
      <c r="CV13" s="516"/>
      <c r="CW13" s="516"/>
      <c r="CX13" s="454"/>
      <c r="CY13" s="454"/>
      <c r="CZ13" s="454"/>
      <c r="DA13" s="454"/>
      <c r="DB13" s="454"/>
      <c r="DC13" s="454"/>
      <c r="DD13" s="454"/>
      <c r="DE13" s="454"/>
      <c r="DF13" s="454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454"/>
      <c r="DT13" s="454"/>
      <c r="DU13" s="454"/>
      <c r="DV13" s="454"/>
      <c r="DW13" s="454"/>
      <c r="DX13" s="454"/>
      <c r="DY13" s="454"/>
      <c r="DZ13" s="454"/>
      <c r="EA13" s="454"/>
      <c r="EB13" s="454"/>
      <c r="EC13" s="454"/>
      <c r="ED13" s="454"/>
      <c r="EE13" s="454"/>
      <c r="EF13" s="454"/>
      <c r="EG13" s="454"/>
      <c r="EH13" s="454"/>
      <c r="EI13" s="454"/>
      <c r="EJ13" s="454"/>
      <c r="EK13" s="454"/>
      <c r="EL13" s="454"/>
      <c r="EM13" s="454"/>
      <c r="EN13" s="454"/>
      <c r="EO13" s="454"/>
      <c r="EP13" s="454"/>
      <c r="EQ13" s="454"/>
      <c r="ER13" s="454"/>
      <c r="ES13" s="454"/>
      <c r="ET13" s="454"/>
      <c r="EU13" s="454"/>
      <c r="EV13" s="454"/>
      <c r="EW13" s="454"/>
      <c r="EX13" s="454"/>
      <c r="EY13" s="454"/>
      <c r="EZ13" s="454"/>
      <c r="FA13" s="454"/>
      <c r="FB13" s="454"/>
      <c r="FC13" s="454"/>
      <c r="FD13" s="454"/>
      <c r="FE13" s="454"/>
      <c r="FF13" s="454"/>
      <c r="FG13" s="454"/>
      <c r="FH13" s="454"/>
      <c r="FI13" s="454"/>
      <c r="FJ13" s="454"/>
      <c r="FK13" s="454"/>
      <c r="FL13" s="454"/>
      <c r="FM13" s="454"/>
      <c r="FN13" s="454"/>
      <c r="FO13" s="454"/>
      <c r="FP13" s="454"/>
      <c r="FQ13" s="290"/>
    </row>
    <row r="14" spans="1:173" s="4" customFormat="1">
      <c r="A14" s="56"/>
      <c r="B14" s="56"/>
      <c r="C14" s="522"/>
      <c r="D14" s="522" t="s">
        <v>3611</v>
      </c>
      <c r="E14" s="516">
        <v>30.4</v>
      </c>
      <c r="F14" s="516"/>
      <c r="G14" s="516"/>
      <c r="H14" s="516"/>
      <c r="I14" s="516"/>
      <c r="J14" s="516"/>
      <c r="K14" s="516"/>
      <c r="L14" s="516"/>
      <c r="M14" s="516"/>
      <c r="N14" s="516"/>
      <c r="O14" s="516">
        <f t="shared" si="0"/>
        <v>30.4</v>
      </c>
      <c r="P14" s="516"/>
      <c r="Q14" s="516"/>
      <c r="R14" s="516"/>
      <c r="S14" s="516"/>
      <c r="T14" s="516" t="s">
        <v>1631</v>
      </c>
      <c r="U14" s="516" t="s">
        <v>1631</v>
      </c>
      <c r="V14" s="516"/>
      <c r="W14" s="516"/>
      <c r="X14" s="516"/>
      <c r="Y14" s="516"/>
      <c r="Z14" s="516"/>
      <c r="AA14" s="516"/>
      <c r="AB14" s="516"/>
      <c r="AC14" s="516"/>
      <c r="AD14" s="516"/>
      <c r="AE14" s="725"/>
      <c r="AF14" s="957"/>
      <c r="AG14" s="516"/>
      <c r="AH14" s="516"/>
      <c r="AI14" s="516"/>
      <c r="AJ14" s="516"/>
      <c r="AK14" s="516"/>
      <c r="AL14" s="516"/>
      <c r="AM14" s="516"/>
      <c r="AN14" s="516"/>
      <c r="AO14" s="516"/>
      <c r="AP14" s="516"/>
      <c r="AQ14" s="516"/>
      <c r="AR14" s="516"/>
      <c r="AS14" s="516"/>
      <c r="AT14" s="516"/>
      <c r="AU14" s="516"/>
      <c r="AV14" s="516"/>
      <c r="AW14" s="516">
        <v>1</v>
      </c>
      <c r="AX14" s="516"/>
      <c r="AY14" s="516"/>
      <c r="AZ14" s="516">
        <f t="shared" si="3"/>
        <v>0</v>
      </c>
      <c r="BA14" s="516">
        <f t="shared" si="4"/>
        <v>2</v>
      </c>
      <c r="BB14" s="516"/>
      <c r="BC14" s="516"/>
      <c r="BD14" s="516">
        <f t="shared" si="5"/>
        <v>0</v>
      </c>
      <c r="BE14" s="516">
        <f t="shared" si="6"/>
        <v>1</v>
      </c>
      <c r="BF14" s="516"/>
      <c r="BG14" s="516"/>
      <c r="BH14" s="516"/>
      <c r="BI14" s="516">
        <f t="shared" si="1"/>
        <v>5</v>
      </c>
      <c r="BJ14" s="516"/>
      <c r="BK14" s="516"/>
      <c r="BL14" s="516"/>
      <c r="BM14" s="516"/>
      <c r="BN14" s="516"/>
      <c r="BO14" s="516"/>
      <c r="BP14" s="516"/>
      <c r="BQ14" s="516"/>
      <c r="BR14" s="516"/>
      <c r="BS14" s="516">
        <v>1</v>
      </c>
      <c r="BT14" s="516"/>
      <c r="BU14" s="516"/>
      <c r="BV14" s="516"/>
      <c r="BW14" s="516"/>
      <c r="BX14" s="516"/>
      <c r="BY14" s="516"/>
      <c r="BZ14" s="516"/>
      <c r="CA14" s="516"/>
      <c r="CB14" s="516">
        <v>1</v>
      </c>
      <c r="CC14" s="516"/>
      <c r="CD14" s="516">
        <f t="shared" si="2"/>
        <v>4</v>
      </c>
      <c r="CE14" s="516"/>
      <c r="CF14" s="516"/>
      <c r="CG14" s="516"/>
      <c r="CH14" s="516"/>
      <c r="CI14" s="516"/>
      <c r="CJ14" s="516"/>
      <c r="CK14" s="516"/>
      <c r="CL14" s="516"/>
      <c r="CM14" s="516"/>
      <c r="CN14" s="516"/>
      <c r="CO14" s="516"/>
      <c r="CP14" s="516"/>
      <c r="CQ14" s="516"/>
      <c r="CR14" s="516"/>
      <c r="CS14" s="516"/>
      <c r="CT14" s="516"/>
      <c r="CU14" s="516"/>
      <c r="CV14" s="516"/>
      <c r="CW14" s="516"/>
      <c r="CX14" s="454"/>
      <c r="CY14" s="454"/>
      <c r="CZ14" s="454"/>
      <c r="DA14" s="454"/>
      <c r="DB14" s="454"/>
      <c r="DC14" s="454"/>
      <c r="DD14" s="454"/>
      <c r="DE14" s="454"/>
      <c r="DF14" s="454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454"/>
      <c r="DT14" s="454"/>
      <c r="DU14" s="454"/>
      <c r="DV14" s="454"/>
      <c r="DW14" s="454"/>
      <c r="DX14" s="454"/>
      <c r="DY14" s="454"/>
      <c r="DZ14" s="454"/>
      <c r="EA14" s="454"/>
      <c r="EB14" s="454"/>
      <c r="EC14" s="454"/>
      <c r="ED14" s="454"/>
      <c r="EE14" s="454"/>
      <c r="EF14" s="454"/>
      <c r="EG14" s="454"/>
      <c r="EH14" s="454"/>
      <c r="EI14" s="454"/>
      <c r="EJ14" s="454"/>
      <c r="EK14" s="454"/>
      <c r="EL14" s="454"/>
      <c r="EM14" s="454"/>
      <c r="EN14" s="454"/>
      <c r="EO14" s="454"/>
      <c r="EP14" s="454"/>
      <c r="EQ14" s="454"/>
      <c r="ER14" s="454"/>
      <c r="ES14" s="454"/>
      <c r="ET14" s="454"/>
      <c r="EU14" s="454"/>
      <c r="EV14" s="454"/>
      <c r="EW14" s="454"/>
      <c r="EX14" s="454"/>
      <c r="EY14" s="454"/>
      <c r="EZ14" s="454"/>
      <c r="FA14" s="454"/>
      <c r="FB14" s="454"/>
      <c r="FC14" s="454"/>
      <c r="FD14" s="454"/>
      <c r="FE14" s="454"/>
      <c r="FF14" s="454"/>
      <c r="FG14" s="454"/>
      <c r="FH14" s="512"/>
      <c r="FI14" s="512"/>
      <c r="FJ14" s="454"/>
      <c r="FK14" s="454"/>
      <c r="FL14" s="454"/>
      <c r="FM14" s="454"/>
      <c r="FN14" s="454"/>
      <c r="FO14" s="454"/>
      <c r="FP14" s="454"/>
      <c r="FQ14" s="290"/>
    </row>
    <row r="15" spans="1:173" s="4" customFormat="1">
      <c r="A15" s="56"/>
      <c r="B15" s="56"/>
      <c r="C15" s="522"/>
      <c r="D15" s="522" t="s">
        <v>3612</v>
      </c>
      <c r="E15" s="516">
        <v>34.6</v>
      </c>
      <c r="F15" s="516"/>
      <c r="G15" s="516"/>
      <c r="H15" s="516"/>
      <c r="I15" s="516"/>
      <c r="J15" s="516"/>
      <c r="K15" s="516"/>
      <c r="L15" s="516"/>
      <c r="M15" s="516"/>
      <c r="N15" s="516"/>
      <c r="O15" s="516">
        <f t="shared" si="0"/>
        <v>34.6</v>
      </c>
      <c r="P15" s="516"/>
      <c r="Q15" s="516"/>
      <c r="R15" s="516"/>
      <c r="S15" s="516"/>
      <c r="T15" s="516" t="s">
        <v>1631</v>
      </c>
      <c r="U15" s="516" t="s">
        <v>1631</v>
      </c>
      <c r="V15" s="516"/>
      <c r="W15" s="516"/>
      <c r="X15" s="516"/>
      <c r="Y15" s="516"/>
      <c r="Z15" s="516"/>
      <c r="AA15" s="516"/>
      <c r="AB15" s="516"/>
      <c r="AC15" s="516"/>
      <c r="AD15" s="516"/>
      <c r="AE15" s="725"/>
      <c r="AF15" s="957"/>
      <c r="AG15" s="516"/>
      <c r="AH15" s="516"/>
      <c r="AI15" s="516"/>
      <c r="AJ15" s="516"/>
      <c r="AK15" s="516"/>
      <c r="AL15" s="516"/>
      <c r="AM15" s="516"/>
      <c r="AN15" s="516"/>
      <c r="AO15" s="516"/>
      <c r="AP15" s="516"/>
      <c r="AQ15" s="516"/>
      <c r="AR15" s="516"/>
      <c r="AS15" s="516"/>
      <c r="AT15" s="516"/>
      <c r="AU15" s="516"/>
      <c r="AV15" s="516"/>
      <c r="AW15" s="516">
        <v>1</v>
      </c>
      <c r="AX15" s="516"/>
      <c r="AY15" s="516"/>
      <c r="AZ15" s="516">
        <f t="shared" si="3"/>
        <v>0</v>
      </c>
      <c r="BA15" s="516">
        <f t="shared" si="4"/>
        <v>2</v>
      </c>
      <c r="BB15" s="516"/>
      <c r="BC15" s="516"/>
      <c r="BD15" s="516">
        <f t="shared" si="5"/>
        <v>0</v>
      </c>
      <c r="BE15" s="516">
        <f t="shared" si="6"/>
        <v>1</v>
      </c>
      <c r="BF15" s="516"/>
      <c r="BG15" s="516"/>
      <c r="BH15" s="516"/>
      <c r="BI15" s="516">
        <f t="shared" si="1"/>
        <v>5</v>
      </c>
      <c r="BJ15" s="516"/>
      <c r="BK15" s="516"/>
      <c r="BL15" s="516"/>
      <c r="BM15" s="516"/>
      <c r="BN15" s="516"/>
      <c r="BO15" s="516"/>
      <c r="BP15" s="516"/>
      <c r="BQ15" s="516"/>
      <c r="BR15" s="516"/>
      <c r="BS15" s="516">
        <v>1</v>
      </c>
      <c r="BT15" s="516"/>
      <c r="BU15" s="516"/>
      <c r="BV15" s="516"/>
      <c r="BW15" s="516"/>
      <c r="BX15" s="516"/>
      <c r="BY15" s="516"/>
      <c r="BZ15" s="516"/>
      <c r="CA15" s="516"/>
      <c r="CB15" s="516">
        <v>1</v>
      </c>
      <c r="CC15" s="516"/>
      <c r="CD15" s="516">
        <f t="shared" si="2"/>
        <v>4</v>
      </c>
      <c r="CE15" s="516"/>
      <c r="CF15" s="516"/>
      <c r="CG15" s="516"/>
      <c r="CH15" s="516"/>
      <c r="CI15" s="516"/>
      <c r="CJ15" s="516"/>
      <c r="CK15" s="516"/>
      <c r="CL15" s="516"/>
      <c r="CM15" s="516"/>
      <c r="CN15" s="516"/>
      <c r="CO15" s="516"/>
      <c r="CP15" s="516"/>
      <c r="CQ15" s="516"/>
      <c r="CR15" s="516"/>
      <c r="CS15" s="516"/>
      <c r="CT15" s="516"/>
      <c r="CU15" s="516"/>
      <c r="CV15" s="516"/>
      <c r="CW15" s="516"/>
      <c r="CX15" s="454"/>
      <c r="CY15" s="454"/>
      <c r="CZ15" s="454"/>
      <c r="DA15" s="454"/>
      <c r="DB15" s="454"/>
      <c r="DC15" s="454"/>
      <c r="DD15" s="454"/>
      <c r="DE15" s="454"/>
      <c r="DF15" s="454"/>
      <c r="DG15" s="517"/>
      <c r="DH15" s="517"/>
      <c r="DI15" s="517"/>
      <c r="DJ15" s="517"/>
      <c r="DK15" s="517"/>
      <c r="DL15" s="517"/>
      <c r="DM15" s="517"/>
      <c r="DN15" s="517"/>
      <c r="DO15" s="517"/>
      <c r="DP15" s="517"/>
      <c r="DQ15" s="517"/>
      <c r="DR15" s="517"/>
      <c r="DS15" s="454"/>
      <c r="DT15" s="454"/>
      <c r="DU15" s="454"/>
      <c r="DV15" s="454"/>
      <c r="DW15" s="454"/>
      <c r="DX15" s="454"/>
      <c r="DY15" s="454"/>
      <c r="DZ15" s="454"/>
      <c r="EA15" s="454"/>
      <c r="EB15" s="454"/>
      <c r="EC15" s="454"/>
      <c r="ED15" s="454"/>
      <c r="EE15" s="454"/>
      <c r="EF15" s="454"/>
      <c r="EG15" s="454"/>
      <c r="EH15" s="454"/>
      <c r="EI15" s="454"/>
      <c r="EJ15" s="454"/>
      <c r="EK15" s="454"/>
      <c r="EL15" s="454"/>
      <c r="EM15" s="454"/>
      <c r="EN15" s="454"/>
      <c r="EO15" s="454"/>
      <c r="EP15" s="454"/>
      <c r="EQ15" s="454"/>
      <c r="ER15" s="454"/>
      <c r="ES15" s="454"/>
      <c r="ET15" s="454"/>
      <c r="EU15" s="454"/>
      <c r="EV15" s="454"/>
      <c r="EW15" s="454"/>
      <c r="EX15" s="454"/>
      <c r="EY15" s="454"/>
      <c r="EZ15" s="454"/>
      <c r="FA15" s="454"/>
      <c r="FB15" s="454"/>
      <c r="FC15" s="454"/>
      <c r="FD15" s="454"/>
      <c r="FE15" s="454"/>
      <c r="FF15" s="454"/>
      <c r="FG15" s="454"/>
      <c r="FH15" s="454"/>
      <c r="FI15" s="454"/>
      <c r="FJ15" s="454"/>
      <c r="FK15" s="454"/>
      <c r="FL15" s="454"/>
      <c r="FM15" s="454"/>
      <c r="FN15" s="454"/>
      <c r="FO15" s="454"/>
      <c r="FP15" s="454"/>
      <c r="FQ15" s="290"/>
    </row>
    <row r="16" spans="1:173" s="4" customFormat="1">
      <c r="A16" s="56"/>
      <c r="B16" s="56"/>
      <c r="C16" s="522"/>
      <c r="D16" s="522" t="s">
        <v>3613</v>
      </c>
      <c r="E16" s="516">
        <v>34.799999999999997</v>
      </c>
      <c r="F16" s="516"/>
      <c r="G16" s="516"/>
      <c r="H16" s="516"/>
      <c r="I16" s="516"/>
      <c r="J16" s="516"/>
      <c r="K16" s="516"/>
      <c r="L16" s="516"/>
      <c r="M16" s="516"/>
      <c r="N16" s="516"/>
      <c r="O16" s="516">
        <f t="shared" si="0"/>
        <v>34.799999999999997</v>
      </c>
      <c r="P16" s="516"/>
      <c r="Q16" s="516"/>
      <c r="R16" s="516"/>
      <c r="S16" s="516"/>
      <c r="T16" s="516" t="s">
        <v>1631</v>
      </c>
      <c r="U16" s="516" t="s">
        <v>1631</v>
      </c>
      <c r="V16" s="516"/>
      <c r="W16" s="516"/>
      <c r="X16" s="516"/>
      <c r="Y16" s="516"/>
      <c r="Z16" s="516"/>
      <c r="AA16" s="516"/>
      <c r="AB16" s="516"/>
      <c r="AC16" s="516"/>
      <c r="AD16" s="516"/>
      <c r="AE16" s="725"/>
      <c r="AF16" s="957"/>
      <c r="AG16" s="516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>
        <f t="shared" si="3"/>
        <v>0</v>
      </c>
      <c r="BA16" s="516">
        <f t="shared" si="4"/>
        <v>0</v>
      </c>
      <c r="BB16" s="516"/>
      <c r="BC16" s="516"/>
      <c r="BD16" s="516">
        <f t="shared" si="5"/>
        <v>0</v>
      </c>
      <c r="BE16" s="516">
        <f t="shared" si="6"/>
        <v>1</v>
      </c>
      <c r="BF16" s="516"/>
      <c r="BG16" s="516"/>
      <c r="BH16" s="516"/>
      <c r="BI16" s="516">
        <f t="shared" si="1"/>
        <v>0</v>
      </c>
      <c r="BJ16" s="516"/>
      <c r="BK16" s="516"/>
      <c r="BL16" s="516"/>
      <c r="BM16" s="516"/>
      <c r="BN16" s="516"/>
      <c r="BO16" s="516"/>
      <c r="BP16" s="516"/>
      <c r="BQ16" s="516"/>
      <c r="BR16" s="516"/>
      <c r="BS16" s="516">
        <v>1</v>
      </c>
      <c r="BT16" s="516"/>
      <c r="BU16" s="516"/>
      <c r="BV16" s="516"/>
      <c r="BW16" s="516"/>
      <c r="BX16" s="516"/>
      <c r="BY16" s="516"/>
      <c r="BZ16" s="516"/>
      <c r="CA16" s="516"/>
      <c r="CB16" s="516"/>
      <c r="CC16" s="516"/>
      <c r="CD16" s="516">
        <f t="shared" si="2"/>
        <v>0</v>
      </c>
      <c r="CE16" s="516"/>
      <c r="CF16" s="516"/>
      <c r="CG16" s="516"/>
      <c r="CH16" s="516"/>
      <c r="CI16" s="516"/>
      <c r="CJ16" s="516"/>
      <c r="CK16" s="516"/>
      <c r="CL16" s="516"/>
      <c r="CM16" s="516"/>
      <c r="CN16" s="516"/>
      <c r="CO16" s="516"/>
      <c r="CP16" s="516"/>
      <c r="CQ16" s="516"/>
      <c r="CR16" s="516"/>
      <c r="CS16" s="516"/>
      <c r="CT16" s="516"/>
      <c r="CU16" s="516"/>
      <c r="CV16" s="516"/>
      <c r="CW16" s="516"/>
      <c r="CX16" s="454"/>
      <c r="CY16" s="454"/>
      <c r="CZ16" s="454"/>
      <c r="DA16" s="454"/>
      <c r="DB16" s="454"/>
      <c r="DC16" s="454"/>
      <c r="DD16" s="454"/>
      <c r="DE16" s="454"/>
      <c r="DF16" s="454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454"/>
      <c r="DT16" s="454"/>
      <c r="DU16" s="454"/>
      <c r="DV16" s="454"/>
      <c r="DW16" s="454"/>
      <c r="DX16" s="454"/>
      <c r="DY16" s="454"/>
      <c r="DZ16" s="454"/>
      <c r="EA16" s="454"/>
      <c r="EB16" s="454"/>
      <c r="EC16" s="454"/>
      <c r="ED16" s="454"/>
      <c r="EE16" s="454"/>
      <c r="EF16" s="454"/>
      <c r="EG16" s="454"/>
      <c r="EH16" s="454"/>
      <c r="EI16" s="454"/>
      <c r="EJ16" s="454"/>
      <c r="EK16" s="454"/>
      <c r="EL16" s="454"/>
      <c r="EM16" s="454"/>
      <c r="EN16" s="454"/>
      <c r="EO16" s="454"/>
      <c r="EP16" s="454"/>
      <c r="EQ16" s="454"/>
      <c r="ER16" s="454"/>
      <c r="ES16" s="454"/>
      <c r="ET16" s="454"/>
      <c r="EU16" s="454"/>
      <c r="EV16" s="454"/>
      <c r="EW16" s="454"/>
      <c r="EX16" s="454"/>
      <c r="EY16" s="454"/>
      <c r="EZ16" s="454"/>
      <c r="FA16" s="454"/>
      <c r="FB16" s="454"/>
      <c r="FC16" s="454"/>
      <c r="FD16" s="454"/>
      <c r="FE16" s="454"/>
      <c r="FF16" s="454"/>
      <c r="FG16" s="454"/>
      <c r="FH16" s="454"/>
      <c r="FI16" s="454"/>
      <c r="FJ16" s="454"/>
      <c r="FK16" s="454"/>
      <c r="FL16" s="454"/>
      <c r="FM16" s="454"/>
      <c r="FN16" s="454"/>
      <c r="FO16" s="454"/>
      <c r="FP16" s="454"/>
      <c r="FQ16" s="290"/>
    </row>
    <row r="17" spans="1:173" s="4" customFormat="1">
      <c r="A17" s="56"/>
      <c r="B17" s="56"/>
      <c r="C17" s="522"/>
      <c r="D17" s="522" t="s">
        <v>3614</v>
      </c>
      <c r="E17" s="516">
        <v>36</v>
      </c>
      <c r="F17" s="516"/>
      <c r="G17" s="516"/>
      <c r="H17" s="516"/>
      <c r="I17" s="516"/>
      <c r="J17" s="516"/>
      <c r="K17" s="516"/>
      <c r="L17" s="516"/>
      <c r="M17" s="516"/>
      <c r="N17" s="516"/>
      <c r="O17" s="516">
        <f t="shared" si="0"/>
        <v>36</v>
      </c>
      <c r="P17" s="516"/>
      <c r="Q17" s="516"/>
      <c r="R17" s="516"/>
      <c r="S17" s="516"/>
      <c r="T17" s="516" t="s">
        <v>1631</v>
      </c>
      <c r="U17" s="516" t="s">
        <v>2989</v>
      </c>
      <c r="V17" s="516"/>
      <c r="W17" s="516"/>
      <c r="X17" s="516"/>
      <c r="Y17" s="516"/>
      <c r="Z17" s="516"/>
      <c r="AA17" s="516"/>
      <c r="AB17" s="516"/>
      <c r="AC17" s="516"/>
      <c r="AD17" s="516"/>
      <c r="AE17" s="725"/>
      <c r="AF17" s="957"/>
      <c r="AG17" s="516"/>
      <c r="AH17" s="516"/>
      <c r="AI17" s="516"/>
      <c r="AJ17" s="516"/>
      <c r="AK17" s="516"/>
      <c r="AL17" s="516"/>
      <c r="AM17" s="516"/>
      <c r="AN17" s="516"/>
      <c r="AO17" s="516"/>
      <c r="AP17" s="516"/>
      <c r="AQ17" s="516"/>
      <c r="AR17" s="516"/>
      <c r="AS17" s="516"/>
      <c r="AT17" s="516"/>
      <c r="AU17" s="516">
        <v>1</v>
      </c>
      <c r="AV17" s="516"/>
      <c r="AW17" s="516">
        <v>1</v>
      </c>
      <c r="AX17" s="516"/>
      <c r="AY17" s="516"/>
      <c r="AZ17" s="516">
        <f t="shared" si="3"/>
        <v>0</v>
      </c>
      <c r="BA17" s="516">
        <f t="shared" si="4"/>
        <v>2</v>
      </c>
      <c r="BB17" s="516"/>
      <c r="BC17" s="516"/>
      <c r="BD17" s="516">
        <f t="shared" si="5"/>
        <v>0</v>
      </c>
      <c r="BE17" s="516">
        <f t="shared" si="6"/>
        <v>2</v>
      </c>
      <c r="BF17" s="516"/>
      <c r="BG17" s="516"/>
      <c r="BH17" s="516"/>
      <c r="BI17" s="516">
        <f t="shared" si="1"/>
        <v>7</v>
      </c>
      <c r="BJ17" s="516"/>
      <c r="BK17" s="516"/>
      <c r="BL17" s="516"/>
      <c r="BM17" s="516"/>
      <c r="BN17" s="516"/>
      <c r="BO17" s="516"/>
      <c r="BP17" s="516"/>
      <c r="BQ17" s="516"/>
      <c r="BR17" s="516"/>
      <c r="BS17" s="516"/>
      <c r="BT17" s="516"/>
      <c r="BU17" s="516"/>
      <c r="BV17" s="516"/>
      <c r="BW17" s="516"/>
      <c r="BX17" s="516">
        <v>2</v>
      </c>
      <c r="BY17" s="516"/>
      <c r="BZ17" s="516"/>
      <c r="CA17" s="516"/>
      <c r="CB17" s="516">
        <v>1</v>
      </c>
      <c r="CC17" s="516"/>
      <c r="CD17" s="516">
        <f t="shared" si="2"/>
        <v>4</v>
      </c>
      <c r="CE17" s="516"/>
      <c r="CF17" s="516"/>
      <c r="CG17" s="516"/>
      <c r="CH17" s="516"/>
      <c r="CI17" s="516"/>
      <c r="CJ17" s="516"/>
      <c r="CK17" s="516"/>
      <c r="CL17" s="516"/>
      <c r="CM17" s="516"/>
      <c r="CN17" s="516"/>
      <c r="CO17" s="516"/>
      <c r="CP17" s="516"/>
      <c r="CQ17" s="516"/>
      <c r="CR17" s="516"/>
      <c r="CS17" s="516"/>
      <c r="CT17" s="516"/>
      <c r="CU17" s="516"/>
      <c r="CV17" s="516"/>
      <c r="CW17" s="516"/>
      <c r="CX17" s="454"/>
      <c r="CY17" s="454"/>
      <c r="CZ17" s="454"/>
      <c r="DA17" s="454"/>
      <c r="DB17" s="454"/>
      <c r="DC17" s="454"/>
      <c r="DD17" s="454"/>
      <c r="DE17" s="454"/>
      <c r="DF17" s="454"/>
      <c r="DG17" s="517"/>
      <c r="DH17" s="517"/>
      <c r="DI17" s="517"/>
      <c r="DJ17" s="517"/>
      <c r="DK17" s="517"/>
      <c r="DL17" s="517"/>
      <c r="DM17" s="517"/>
      <c r="DN17" s="517"/>
      <c r="DO17" s="517"/>
      <c r="DP17" s="517"/>
      <c r="DQ17" s="517"/>
      <c r="DR17" s="517"/>
      <c r="DS17" s="454"/>
      <c r="DT17" s="454"/>
      <c r="DU17" s="454"/>
      <c r="DV17" s="454"/>
      <c r="DW17" s="454"/>
      <c r="DX17" s="454"/>
      <c r="DY17" s="454"/>
      <c r="DZ17" s="454"/>
      <c r="EA17" s="454"/>
      <c r="EB17" s="454"/>
      <c r="EC17" s="454"/>
      <c r="ED17" s="454"/>
      <c r="EE17" s="454"/>
      <c r="EF17" s="454"/>
      <c r="EG17" s="454"/>
      <c r="EH17" s="454"/>
      <c r="EI17" s="454"/>
      <c r="EJ17" s="454"/>
      <c r="EK17" s="454"/>
      <c r="EL17" s="454"/>
      <c r="EM17" s="454"/>
      <c r="EN17" s="454"/>
      <c r="EO17" s="454"/>
      <c r="EP17" s="454"/>
      <c r="EQ17" s="454"/>
      <c r="ER17" s="454"/>
      <c r="ES17" s="454"/>
      <c r="ET17" s="454"/>
      <c r="EU17" s="454"/>
      <c r="EV17" s="454"/>
      <c r="EW17" s="454"/>
      <c r="EX17" s="454"/>
      <c r="EY17" s="454"/>
      <c r="EZ17" s="454"/>
      <c r="FA17" s="454"/>
      <c r="FB17" s="454"/>
      <c r="FC17" s="454"/>
      <c r="FD17" s="454"/>
      <c r="FE17" s="454"/>
      <c r="FF17" s="454"/>
      <c r="FG17" s="454"/>
      <c r="FH17" s="454"/>
      <c r="FI17" s="454"/>
      <c r="FJ17" s="454"/>
      <c r="FK17" s="454"/>
      <c r="FL17" s="454"/>
      <c r="FM17" s="454"/>
      <c r="FN17" s="454"/>
      <c r="FO17" s="454"/>
      <c r="FP17" s="454"/>
      <c r="FQ17" s="290"/>
    </row>
    <row r="18" spans="1:173" s="4" customFormat="1">
      <c r="A18" s="56"/>
      <c r="B18" s="56"/>
      <c r="C18" s="522"/>
      <c r="D18" s="522" t="s">
        <v>3615</v>
      </c>
      <c r="E18" s="516">
        <v>33.299999999999997</v>
      </c>
      <c r="F18" s="516"/>
      <c r="G18" s="516"/>
      <c r="H18" s="516"/>
      <c r="I18" s="516"/>
      <c r="J18" s="516"/>
      <c r="K18" s="516"/>
      <c r="L18" s="516"/>
      <c r="M18" s="516"/>
      <c r="N18" s="516"/>
      <c r="O18" s="516">
        <f t="shared" si="0"/>
        <v>33.299999999999997</v>
      </c>
      <c r="P18" s="516"/>
      <c r="Q18" s="516"/>
      <c r="R18" s="516"/>
      <c r="S18" s="516"/>
      <c r="T18" s="516" t="s">
        <v>1903</v>
      </c>
      <c r="U18" s="516" t="s">
        <v>2989</v>
      </c>
      <c r="V18" s="516"/>
      <c r="W18" s="516"/>
      <c r="X18" s="516"/>
      <c r="Y18" s="516"/>
      <c r="Z18" s="516"/>
      <c r="AA18" s="516"/>
      <c r="AB18" s="516"/>
      <c r="AC18" s="516"/>
      <c r="AD18" s="516"/>
      <c r="AE18" s="725"/>
      <c r="AF18" s="957"/>
      <c r="AG18" s="516"/>
      <c r="AH18" s="516"/>
      <c r="AI18" s="516"/>
      <c r="AJ18" s="516"/>
      <c r="AK18" s="516"/>
      <c r="AL18" s="516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>
        <v>1</v>
      </c>
      <c r="AX18" s="516"/>
      <c r="AY18" s="516"/>
      <c r="AZ18" s="516">
        <f t="shared" si="3"/>
        <v>0</v>
      </c>
      <c r="BA18" s="516">
        <f t="shared" si="4"/>
        <v>2</v>
      </c>
      <c r="BB18" s="516"/>
      <c r="BC18" s="516"/>
      <c r="BD18" s="516">
        <f t="shared" si="5"/>
        <v>0</v>
      </c>
      <c r="BE18" s="516">
        <f t="shared" si="6"/>
        <v>2</v>
      </c>
      <c r="BF18" s="516"/>
      <c r="BG18" s="516"/>
      <c r="BH18" s="516"/>
      <c r="BI18" s="516">
        <f t="shared" si="1"/>
        <v>5</v>
      </c>
      <c r="BJ18" s="516"/>
      <c r="BK18" s="516"/>
      <c r="BL18" s="516"/>
      <c r="BM18" s="516"/>
      <c r="BN18" s="516"/>
      <c r="BO18" s="516"/>
      <c r="BP18" s="516"/>
      <c r="BQ18" s="516"/>
      <c r="BR18" s="516"/>
      <c r="BS18" s="516"/>
      <c r="BT18" s="516"/>
      <c r="BU18" s="516"/>
      <c r="BV18" s="516"/>
      <c r="BW18" s="516"/>
      <c r="BX18" s="516">
        <v>2</v>
      </c>
      <c r="BY18" s="516"/>
      <c r="BZ18" s="516"/>
      <c r="CA18" s="516"/>
      <c r="CB18" s="516">
        <v>1</v>
      </c>
      <c r="CC18" s="516"/>
      <c r="CD18" s="516">
        <f t="shared" si="2"/>
        <v>4</v>
      </c>
      <c r="CE18" s="516"/>
      <c r="CF18" s="516"/>
      <c r="CG18" s="516"/>
      <c r="CH18" s="516"/>
      <c r="CI18" s="516"/>
      <c r="CJ18" s="516"/>
      <c r="CK18" s="516"/>
      <c r="CL18" s="516"/>
      <c r="CM18" s="516"/>
      <c r="CN18" s="516"/>
      <c r="CO18" s="516"/>
      <c r="CP18" s="516"/>
      <c r="CQ18" s="516"/>
      <c r="CR18" s="516"/>
      <c r="CS18" s="516"/>
      <c r="CT18" s="516"/>
      <c r="CU18" s="516"/>
      <c r="CV18" s="516"/>
      <c r="CW18" s="516"/>
      <c r="CX18" s="454"/>
      <c r="CY18" s="454"/>
      <c r="CZ18" s="454"/>
      <c r="DA18" s="454"/>
      <c r="DB18" s="454"/>
      <c r="DC18" s="454"/>
      <c r="DD18" s="454"/>
      <c r="DE18" s="454"/>
      <c r="DF18" s="454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454"/>
      <c r="DT18" s="454"/>
      <c r="DU18" s="454"/>
      <c r="DV18" s="454"/>
      <c r="DW18" s="454"/>
      <c r="DX18" s="454"/>
      <c r="DY18" s="454"/>
      <c r="DZ18" s="454"/>
      <c r="EA18" s="454"/>
      <c r="EB18" s="454"/>
      <c r="EC18" s="454"/>
      <c r="ED18" s="454"/>
      <c r="EE18" s="454"/>
      <c r="EF18" s="454"/>
      <c r="EG18" s="454"/>
      <c r="EH18" s="454"/>
      <c r="EI18" s="454"/>
      <c r="EJ18" s="454"/>
      <c r="EK18" s="454"/>
      <c r="EL18" s="454"/>
      <c r="EM18" s="454"/>
      <c r="EN18" s="454"/>
      <c r="EO18" s="454"/>
      <c r="EP18" s="454"/>
      <c r="EQ18" s="454"/>
      <c r="ER18" s="454"/>
      <c r="ES18" s="454"/>
      <c r="ET18" s="454"/>
      <c r="EU18" s="454"/>
      <c r="EV18" s="454"/>
      <c r="EW18" s="454"/>
      <c r="EX18" s="454"/>
      <c r="EY18" s="454"/>
      <c r="EZ18" s="454"/>
      <c r="FA18" s="454"/>
      <c r="FB18" s="454"/>
      <c r="FC18" s="454"/>
      <c r="FD18" s="454"/>
      <c r="FE18" s="454"/>
      <c r="FF18" s="454"/>
      <c r="FG18" s="454"/>
      <c r="FH18" s="454"/>
      <c r="FI18" s="454"/>
      <c r="FJ18" s="454"/>
      <c r="FK18" s="454"/>
      <c r="FL18" s="454"/>
      <c r="FM18" s="454"/>
      <c r="FN18" s="454"/>
      <c r="FO18" s="454"/>
      <c r="FP18" s="454"/>
      <c r="FQ18" s="290"/>
    </row>
    <row r="19" spans="1:173" s="4" customFormat="1">
      <c r="A19" s="56"/>
      <c r="B19" s="56"/>
      <c r="C19" s="522"/>
      <c r="D19" s="522" t="s">
        <v>3616</v>
      </c>
      <c r="E19" s="516">
        <v>35.200000000000003</v>
      </c>
      <c r="F19" s="516"/>
      <c r="G19" s="516"/>
      <c r="H19" s="516"/>
      <c r="I19" s="516"/>
      <c r="J19" s="516"/>
      <c r="K19" s="516"/>
      <c r="L19" s="516"/>
      <c r="M19" s="516"/>
      <c r="N19" s="516"/>
      <c r="O19" s="516">
        <f t="shared" si="0"/>
        <v>35.200000000000003</v>
      </c>
      <c r="P19" s="516"/>
      <c r="Q19" s="516"/>
      <c r="R19" s="516"/>
      <c r="S19" s="516"/>
      <c r="T19" s="516" t="s">
        <v>1631</v>
      </c>
      <c r="U19" s="516" t="s">
        <v>1631</v>
      </c>
      <c r="V19" s="516"/>
      <c r="W19" s="516"/>
      <c r="X19" s="516"/>
      <c r="Y19" s="516"/>
      <c r="Z19" s="516"/>
      <c r="AA19" s="516"/>
      <c r="AB19" s="516"/>
      <c r="AC19" s="516"/>
      <c r="AD19" s="516"/>
      <c r="AE19" s="725"/>
      <c r="AF19" s="957"/>
      <c r="AG19" s="516"/>
      <c r="AH19" s="516"/>
      <c r="AI19" s="516"/>
      <c r="AJ19" s="516"/>
      <c r="AK19" s="516"/>
      <c r="AL19" s="516"/>
      <c r="AM19" s="516"/>
      <c r="AN19" s="516"/>
      <c r="AO19" s="516"/>
      <c r="AP19" s="516"/>
      <c r="AQ19" s="516"/>
      <c r="AR19" s="516"/>
      <c r="AS19" s="516"/>
      <c r="AT19" s="516"/>
      <c r="AU19" s="516">
        <v>1</v>
      </c>
      <c r="AV19" s="516"/>
      <c r="AW19" s="516"/>
      <c r="AX19" s="516"/>
      <c r="AY19" s="516"/>
      <c r="AZ19" s="516">
        <f t="shared" si="3"/>
        <v>0</v>
      </c>
      <c r="BA19" s="516">
        <f t="shared" si="4"/>
        <v>0</v>
      </c>
      <c r="BB19" s="516"/>
      <c r="BC19" s="516"/>
      <c r="BD19" s="516">
        <f t="shared" si="5"/>
        <v>0</v>
      </c>
      <c r="BE19" s="516">
        <f t="shared" si="6"/>
        <v>1</v>
      </c>
      <c r="BF19" s="516"/>
      <c r="BG19" s="516"/>
      <c r="BH19" s="516"/>
      <c r="BI19" s="516">
        <f t="shared" si="1"/>
        <v>2</v>
      </c>
      <c r="BJ19" s="516"/>
      <c r="BK19" s="516"/>
      <c r="BL19" s="516"/>
      <c r="BM19" s="516"/>
      <c r="BN19" s="516"/>
      <c r="BO19" s="516"/>
      <c r="BP19" s="516"/>
      <c r="BQ19" s="516"/>
      <c r="BR19" s="516"/>
      <c r="BS19" s="516">
        <v>1</v>
      </c>
      <c r="BT19" s="516"/>
      <c r="BU19" s="516"/>
      <c r="BV19" s="516"/>
      <c r="BW19" s="516"/>
      <c r="BX19" s="516"/>
      <c r="BY19" s="516"/>
      <c r="BZ19" s="516"/>
      <c r="CA19" s="516"/>
      <c r="CB19" s="516"/>
      <c r="CC19" s="516"/>
      <c r="CD19" s="516">
        <f t="shared" si="2"/>
        <v>0</v>
      </c>
      <c r="CE19" s="516"/>
      <c r="CF19" s="516"/>
      <c r="CG19" s="516"/>
      <c r="CH19" s="516"/>
      <c r="CI19" s="516"/>
      <c r="CJ19" s="516"/>
      <c r="CK19" s="516"/>
      <c r="CL19" s="516"/>
      <c r="CM19" s="516"/>
      <c r="CN19" s="516"/>
      <c r="CO19" s="516"/>
      <c r="CP19" s="516"/>
      <c r="CQ19" s="516"/>
      <c r="CR19" s="516"/>
      <c r="CS19" s="516"/>
      <c r="CT19" s="516"/>
      <c r="CU19" s="516"/>
      <c r="CV19" s="516"/>
      <c r="CW19" s="516"/>
      <c r="CX19" s="454"/>
      <c r="CY19" s="454"/>
      <c r="CZ19" s="454"/>
      <c r="DA19" s="454"/>
      <c r="DB19" s="454"/>
      <c r="DC19" s="454"/>
      <c r="DD19" s="454"/>
      <c r="DE19" s="454"/>
      <c r="DF19" s="454"/>
      <c r="DG19" s="517"/>
      <c r="DH19" s="517"/>
      <c r="DI19" s="517"/>
      <c r="DJ19" s="517"/>
      <c r="DK19" s="517"/>
      <c r="DL19" s="517"/>
      <c r="DM19" s="517"/>
      <c r="DN19" s="517"/>
      <c r="DO19" s="517"/>
      <c r="DP19" s="517"/>
      <c r="DQ19" s="517"/>
      <c r="DR19" s="517"/>
      <c r="DS19" s="454"/>
      <c r="DT19" s="454"/>
      <c r="DU19" s="454"/>
      <c r="DV19" s="454"/>
      <c r="DW19" s="454"/>
      <c r="DX19" s="454"/>
      <c r="DY19" s="454"/>
      <c r="DZ19" s="454"/>
      <c r="EA19" s="454"/>
      <c r="EB19" s="454"/>
      <c r="EC19" s="454"/>
      <c r="ED19" s="454"/>
      <c r="EE19" s="454"/>
      <c r="EF19" s="454"/>
      <c r="EG19" s="454"/>
      <c r="EH19" s="454"/>
      <c r="EI19" s="454"/>
      <c r="EJ19" s="454"/>
      <c r="EK19" s="454"/>
      <c r="EL19" s="454"/>
      <c r="EM19" s="454"/>
      <c r="EN19" s="454"/>
      <c r="EO19" s="454"/>
      <c r="EP19" s="454"/>
      <c r="EQ19" s="454"/>
      <c r="ER19" s="454"/>
      <c r="ES19" s="454"/>
      <c r="ET19" s="454"/>
      <c r="EU19" s="454"/>
      <c r="EV19" s="454"/>
      <c r="EW19" s="454"/>
      <c r="EX19" s="454"/>
      <c r="EY19" s="454"/>
      <c r="EZ19" s="454"/>
      <c r="FA19" s="454"/>
      <c r="FB19" s="454"/>
      <c r="FC19" s="454"/>
      <c r="FD19" s="454"/>
      <c r="FE19" s="454"/>
      <c r="FF19" s="454"/>
      <c r="FG19" s="454"/>
      <c r="FH19" s="454"/>
      <c r="FI19" s="454"/>
      <c r="FJ19" s="454"/>
      <c r="FK19" s="454"/>
      <c r="FL19" s="454"/>
      <c r="FM19" s="454"/>
      <c r="FN19" s="454"/>
      <c r="FO19" s="454"/>
      <c r="FP19" s="454"/>
      <c r="FQ19" s="290"/>
    </row>
    <row r="20" spans="1:173" s="4" customFormat="1">
      <c r="A20" s="56"/>
      <c r="B20" s="56"/>
      <c r="C20" s="522"/>
      <c r="D20" s="522" t="s">
        <v>3617</v>
      </c>
      <c r="E20" s="516">
        <v>31.7</v>
      </c>
      <c r="F20" s="516"/>
      <c r="G20" s="516"/>
      <c r="H20" s="516"/>
      <c r="I20" s="516"/>
      <c r="J20" s="516"/>
      <c r="K20" s="516"/>
      <c r="L20" s="516"/>
      <c r="M20" s="516"/>
      <c r="N20" s="516"/>
      <c r="O20" s="516">
        <f t="shared" si="0"/>
        <v>31.7</v>
      </c>
      <c r="P20" s="516"/>
      <c r="Q20" s="516"/>
      <c r="R20" s="516"/>
      <c r="S20" s="516"/>
      <c r="T20" s="516" t="s">
        <v>1631</v>
      </c>
      <c r="U20" s="516" t="s">
        <v>1631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725"/>
      <c r="AF20" s="957"/>
      <c r="AG20" s="516"/>
      <c r="AH20" s="516"/>
      <c r="AI20" s="516"/>
      <c r="AJ20" s="516"/>
      <c r="AK20" s="516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>
        <f t="shared" si="3"/>
        <v>0</v>
      </c>
      <c r="BA20" s="516">
        <f t="shared" si="4"/>
        <v>1</v>
      </c>
      <c r="BB20" s="516"/>
      <c r="BC20" s="516"/>
      <c r="BD20" s="516">
        <f t="shared" si="5"/>
        <v>0</v>
      </c>
      <c r="BE20" s="516">
        <f t="shared" si="6"/>
        <v>1</v>
      </c>
      <c r="BF20" s="516"/>
      <c r="BG20" s="516"/>
      <c r="BH20" s="516"/>
      <c r="BI20" s="516">
        <f t="shared" si="1"/>
        <v>5</v>
      </c>
      <c r="BJ20" s="516"/>
      <c r="BK20" s="516"/>
      <c r="BL20" s="516"/>
      <c r="BM20" s="516"/>
      <c r="BN20" s="516"/>
      <c r="BO20" s="516"/>
      <c r="BP20" s="516"/>
      <c r="BQ20" s="516"/>
      <c r="BR20" s="516"/>
      <c r="BS20" s="516">
        <v>1</v>
      </c>
      <c r="BT20" s="516"/>
      <c r="BU20" s="516"/>
      <c r="BV20" s="516"/>
      <c r="BW20" s="516"/>
      <c r="BX20" s="516"/>
      <c r="BY20" s="516"/>
      <c r="BZ20" s="516"/>
      <c r="CA20" s="516"/>
      <c r="CB20" s="516">
        <v>1</v>
      </c>
      <c r="CC20" s="516"/>
      <c r="CD20" s="516">
        <f t="shared" si="2"/>
        <v>4</v>
      </c>
      <c r="CE20" s="516"/>
      <c r="CF20" s="516"/>
      <c r="CG20" s="516"/>
      <c r="CH20" s="516"/>
      <c r="CI20" s="516"/>
      <c r="CJ20" s="516"/>
      <c r="CK20" s="516"/>
      <c r="CL20" s="516"/>
      <c r="CM20" s="516"/>
      <c r="CN20" s="516"/>
      <c r="CO20" s="516"/>
      <c r="CP20" s="516"/>
      <c r="CQ20" s="516"/>
      <c r="CR20" s="516"/>
      <c r="CS20" s="516"/>
      <c r="CT20" s="516"/>
      <c r="CU20" s="516"/>
      <c r="CV20" s="516"/>
      <c r="CW20" s="516"/>
      <c r="CX20" s="454"/>
      <c r="CY20" s="454"/>
      <c r="CZ20" s="454"/>
      <c r="DA20" s="454"/>
      <c r="DB20" s="454"/>
      <c r="DC20" s="454"/>
      <c r="DD20" s="454"/>
      <c r="DE20" s="454"/>
      <c r="DF20" s="454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454"/>
      <c r="DT20" s="454"/>
      <c r="DU20" s="454"/>
      <c r="DV20" s="454"/>
      <c r="DW20" s="454"/>
      <c r="DX20" s="454"/>
      <c r="DY20" s="454"/>
      <c r="DZ20" s="454"/>
      <c r="EA20" s="454"/>
      <c r="EB20" s="454"/>
      <c r="EC20" s="454"/>
      <c r="ED20" s="454"/>
      <c r="EE20" s="454"/>
      <c r="EF20" s="454"/>
      <c r="EG20" s="454"/>
      <c r="EH20" s="454"/>
      <c r="EI20" s="454"/>
      <c r="EJ20" s="454"/>
      <c r="EK20" s="454"/>
      <c r="EL20" s="454"/>
      <c r="EM20" s="454"/>
      <c r="EN20" s="454"/>
      <c r="EO20" s="454"/>
      <c r="EP20" s="454"/>
      <c r="EQ20" s="454"/>
      <c r="ER20" s="454"/>
      <c r="ES20" s="454"/>
      <c r="ET20" s="454"/>
      <c r="EU20" s="454"/>
      <c r="EV20" s="454"/>
      <c r="EW20" s="454"/>
      <c r="EX20" s="454"/>
      <c r="EY20" s="454"/>
      <c r="EZ20" s="454"/>
      <c r="FA20" s="454"/>
      <c r="FB20" s="454"/>
      <c r="FC20" s="454"/>
      <c r="FD20" s="454"/>
      <c r="FE20" s="454"/>
      <c r="FF20" s="454"/>
      <c r="FG20" s="454"/>
      <c r="FH20" s="454"/>
      <c r="FI20" s="454"/>
      <c r="FJ20" s="454"/>
      <c r="FK20" s="454"/>
      <c r="FL20" s="454"/>
      <c r="FM20" s="454"/>
      <c r="FN20" s="454"/>
      <c r="FO20" s="454"/>
      <c r="FP20" s="454"/>
      <c r="FQ20" s="290"/>
    </row>
    <row r="21" spans="1:173" s="4" customFormat="1">
      <c r="A21" s="56"/>
      <c r="B21" s="56"/>
      <c r="C21" s="522" t="s">
        <v>3618</v>
      </c>
      <c r="D21" s="522"/>
      <c r="E21" s="516">
        <v>34.1</v>
      </c>
      <c r="F21" s="516"/>
      <c r="G21" s="516"/>
      <c r="H21" s="516"/>
      <c r="I21" s="516"/>
      <c r="J21" s="516"/>
      <c r="K21" s="516"/>
      <c r="L21" s="516"/>
      <c r="M21" s="516"/>
      <c r="N21" s="516"/>
      <c r="O21" s="516">
        <f t="shared" si="0"/>
        <v>34.1</v>
      </c>
      <c r="P21" s="516"/>
      <c r="Q21" s="516"/>
      <c r="R21" s="516"/>
      <c r="S21" s="516"/>
      <c r="T21" s="516" t="s">
        <v>1631</v>
      </c>
      <c r="U21" s="516" t="s">
        <v>1631</v>
      </c>
      <c r="V21" s="516"/>
      <c r="W21" s="516"/>
      <c r="X21" s="516"/>
      <c r="Y21" s="516"/>
      <c r="Z21" s="516"/>
      <c r="AA21" s="516"/>
      <c r="AB21" s="516"/>
      <c r="AC21" s="516"/>
      <c r="AD21" s="516"/>
      <c r="AE21" s="725"/>
      <c r="AF21" s="957"/>
      <c r="AG21" s="516"/>
      <c r="AH21" s="516"/>
      <c r="AI21" s="516"/>
      <c r="AJ21" s="516"/>
      <c r="AK21" s="516"/>
      <c r="AL21" s="516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>
        <f t="shared" si="3"/>
        <v>1</v>
      </c>
      <c r="BA21" s="516">
        <f t="shared" si="4"/>
        <v>0</v>
      </c>
      <c r="BB21" s="516"/>
      <c r="BC21" s="516"/>
      <c r="BD21" s="516">
        <f t="shared" si="5"/>
        <v>1</v>
      </c>
      <c r="BE21" s="516">
        <f t="shared" si="6"/>
        <v>0</v>
      </c>
      <c r="BF21" s="516"/>
      <c r="BG21" s="516"/>
      <c r="BH21" s="516"/>
      <c r="BI21" s="516">
        <f t="shared" si="1"/>
        <v>5</v>
      </c>
      <c r="BJ21" s="516"/>
      <c r="BK21" s="516"/>
      <c r="BL21" s="516"/>
      <c r="BM21" s="516"/>
      <c r="BN21" s="516"/>
      <c r="BO21" s="516"/>
      <c r="BP21" s="516"/>
      <c r="BQ21" s="516"/>
      <c r="BR21" s="516"/>
      <c r="BS21" s="516">
        <v>1</v>
      </c>
      <c r="BT21" s="516"/>
      <c r="BU21" s="516"/>
      <c r="BV21" s="516"/>
      <c r="BW21" s="516"/>
      <c r="BX21" s="516"/>
      <c r="BY21" s="516"/>
      <c r="BZ21" s="516"/>
      <c r="CA21" s="516"/>
      <c r="CB21" s="516">
        <v>1</v>
      </c>
      <c r="CC21" s="516"/>
      <c r="CD21" s="516">
        <f t="shared" si="2"/>
        <v>4</v>
      </c>
      <c r="CE21" s="516"/>
      <c r="CF21" s="516"/>
      <c r="CG21" s="516"/>
      <c r="CH21" s="516"/>
      <c r="CI21" s="516"/>
      <c r="CJ21" s="516"/>
      <c r="CK21" s="516"/>
      <c r="CL21" s="516"/>
      <c r="CM21" s="516"/>
      <c r="CN21" s="516"/>
      <c r="CO21" s="516"/>
      <c r="CP21" s="516"/>
      <c r="CQ21" s="516"/>
      <c r="CR21" s="516"/>
      <c r="CS21" s="516"/>
      <c r="CT21" s="516"/>
      <c r="CU21" s="516"/>
      <c r="CV21" s="516"/>
      <c r="CW21" s="516"/>
      <c r="CX21" s="454"/>
      <c r="CY21" s="454"/>
      <c r="CZ21" s="454"/>
      <c r="DA21" s="454"/>
      <c r="DB21" s="454"/>
      <c r="DC21" s="454"/>
      <c r="DD21" s="454"/>
      <c r="DE21" s="454"/>
      <c r="DF21" s="454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454"/>
      <c r="DT21" s="454"/>
      <c r="DU21" s="454"/>
      <c r="DV21" s="454"/>
      <c r="DW21" s="454"/>
      <c r="DX21" s="454"/>
      <c r="DY21" s="454"/>
      <c r="DZ21" s="454"/>
      <c r="EA21" s="454"/>
      <c r="EB21" s="454"/>
      <c r="EC21" s="454"/>
      <c r="ED21" s="454"/>
      <c r="EE21" s="454"/>
      <c r="EF21" s="454"/>
      <c r="EG21" s="454"/>
      <c r="EH21" s="454"/>
      <c r="EI21" s="454"/>
      <c r="EJ21" s="454"/>
      <c r="EK21" s="454"/>
      <c r="EL21" s="454"/>
      <c r="EM21" s="454"/>
      <c r="EN21" s="454"/>
      <c r="EO21" s="454"/>
      <c r="EP21" s="454"/>
      <c r="EQ21" s="454"/>
      <c r="ER21" s="454"/>
      <c r="ES21" s="454"/>
      <c r="ET21" s="454"/>
      <c r="EU21" s="454"/>
      <c r="EV21" s="454"/>
      <c r="EW21" s="454"/>
      <c r="EX21" s="454"/>
      <c r="EY21" s="454"/>
      <c r="EZ21" s="454"/>
      <c r="FA21" s="454"/>
      <c r="FB21" s="454"/>
      <c r="FC21" s="454"/>
      <c r="FD21" s="454"/>
      <c r="FE21" s="454"/>
      <c r="FF21" s="454"/>
      <c r="FG21" s="454"/>
      <c r="FH21" s="454"/>
      <c r="FI21" s="454"/>
      <c r="FJ21" s="454"/>
      <c r="FK21" s="454"/>
      <c r="FL21" s="454"/>
      <c r="FM21" s="454"/>
      <c r="FN21" s="454"/>
      <c r="FO21" s="454"/>
      <c r="FP21" s="454"/>
      <c r="FQ21" s="290"/>
    </row>
    <row r="22" spans="1:173" s="4" customFormat="1">
      <c r="A22" s="56"/>
      <c r="B22" s="56"/>
      <c r="C22" s="522"/>
      <c r="D22" s="522" t="s">
        <v>3619</v>
      </c>
      <c r="E22" s="516">
        <v>10.199999999999999</v>
      </c>
      <c r="F22" s="516"/>
      <c r="G22" s="516"/>
      <c r="H22" s="516"/>
      <c r="I22" s="516"/>
      <c r="J22" s="516"/>
      <c r="K22" s="516"/>
      <c r="L22" s="516"/>
      <c r="M22" s="516"/>
      <c r="N22" s="516"/>
      <c r="O22" s="516">
        <f t="shared" si="0"/>
        <v>10.199999999999999</v>
      </c>
      <c r="P22" s="516"/>
      <c r="Q22" s="516"/>
      <c r="R22" s="516"/>
      <c r="S22" s="516"/>
      <c r="T22" s="516" t="s">
        <v>1631</v>
      </c>
      <c r="U22" s="516" t="s">
        <v>1631</v>
      </c>
      <c r="V22" s="516"/>
      <c r="W22" s="516"/>
      <c r="X22" s="516"/>
      <c r="Y22" s="516"/>
      <c r="Z22" s="516"/>
      <c r="AA22" s="516"/>
      <c r="AB22" s="516"/>
      <c r="AC22" s="516"/>
      <c r="AD22" s="516"/>
      <c r="AE22" s="725"/>
      <c r="AF22" s="957"/>
      <c r="AG22" s="516"/>
      <c r="AH22" s="516"/>
      <c r="AI22" s="516"/>
      <c r="AJ22" s="516"/>
      <c r="AK22" s="516"/>
      <c r="AL22" s="516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>
        <f t="shared" si="3"/>
        <v>0</v>
      </c>
      <c r="BA22" s="516">
        <f t="shared" si="4"/>
        <v>0</v>
      </c>
      <c r="BB22" s="516"/>
      <c r="BC22" s="516"/>
      <c r="BD22" s="516">
        <f t="shared" si="5"/>
        <v>0</v>
      </c>
      <c r="BE22" s="516">
        <f t="shared" si="6"/>
        <v>1</v>
      </c>
      <c r="BF22" s="516"/>
      <c r="BG22" s="516"/>
      <c r="BH22" s="516"/>
      <c r="BI22" s="516">
        <f t="shared" si="1"/>
        <v>0</v>
      </c>
      <c r="BJ22" s="516"/>
      <c r="BK22" s="516"/>
      <c r="BL22" s="516"/>
      <c r="BM22" s="516"/>
      <c r="BN22" s="516"/>
      <c r="BO22" s="516"/>
      <c r="BP22" s="516"/>
      <c r="BQ22" s="516"/>
      <c r="BR22" s="516"/>
      <c r="BS22" s="516">
        <v>1</v>
      </c>
      <c r="BT22" s="516"/>
      <c r="BU22" s="516"/>
      <c r="BV22" s="516"/>
      <c r="BW22" s="516"/>
      <c r="BX22" s="516"/>
      <c r="BY22" s="516"/>
      <c r="BZ22" s="516"/>
      <c r="CA22" s="516"/>
      <c r="CB22" s="516"/>
      <c r="CC22" s="516"/>
      <c r="CD22" s="516">
        <f t="shared" si="2"/>
        <v>0</v>
      </c>
      <c r="CE22" s="516"/>
      <c r="CF22" s="516"/>
      <c r="CG22" s="516"/>
      <c r="CH22" s="516"/>
      <c r="CI22" s="516"/>
      <c r="CJ22" s="516"/>
      <c r="CK22" s="516"/>
      <c r="CL22" s="516"/>
      <c r="CM22" s="516"/>
      <c r="CN22" s="516"/>
      <c r="CO22" s="516"/>
      <c r="CP22" s="516"/>
      <c r="CQ22" s="516"/>
      <c r="CR22" s="516"/>
      <c r="CS22" s="516"/>
      <c r="CT22" s="516"/>
      <c r="CU22" s="516"/>
      <c r="CV22" s="516"/>
      <c r="CW22" s="516"/>
      <c r="CX22" s="454"/>
      <c r="CY22" s="454"/>
      <c r="CZ22" s="454"/>
      <c r="DA22" s="454"/>
      <c r="DB22" s="454"/>
      <c r="DC22" s="454"/>
      <c r="DD22" s="454"/>
      <c r="DE22" s="454"/>
      <c r="DF22" s="454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454"/>
      <c r="DT22" s="454"/>
      <c r="DU22" s="454"/>
      <c r="DV22" s="454"/>
      <c r="DW22" s="454"/>
      <c r="DX22" s="454"/>
      <c r="DY22" s="454"/>
      <c r="DZ22" s="454"/>
      <c r="EA22" s="454"/>
      <c r="EB22" s="454"/>
      <c r="EC22" s="454"/>
      <c r="ED22" s="454"/>
      <c r="EE22" s="454"/>
      <c r="EF22" s="454"/>
      <c r="EG22" s="454"/>
      <c r="EH22" s="454"/>
      <c r="EI22" s="454"/>
      <c r="EJ22" s="454"/>
      <c r="EK22" s="454"/>
      <c r="EL22" s="454"/>
      <c r="EM22" s="454"/>
      <c r="EN22" s="454"/>
      <c r="EO22" s="454"/>
      <c r="EP22" s="454"/>
      <c r="EQ22" s="454"/>
      <c r="ER22" s="454"/>
      <c r="ES22" s="454"/>
      <c r="ET22" s="454"/>
      <c r="EU22" s="454"/>
      <c r="EV22" s="454"/>
      <c r="EW22" s="454"/>
      <c r="EX22" s="454"/>
      <c r="EY22" s="454"/>
      <c r="EZ22" s="454"/>
      <c r="FA22" s="454"/>
      <c r="FB22" s="454"/>
      <c r="FC22" s="454"/>
      <c r="FD22" s="454"/>
      <c r="FE22" s="454"/>
      <c r="FF22" s="454"/>
      <c r="FG22" s="454"/>
      <c r="FH22" s="454"/>
      <c r="FI22" s="454"/>
      <c r="FJ22" s="454"/>
      <c r="FK22" s="454"/>
      <c r="FL22" s="454"/>
      <c r="FM22" s="454"/>
      <c r="FN22" s="454"/>
      <c r="FO22" s="454"/>
      <c r="FP22" s="454"/>
      <c r="FQ22" s="290"/>
    </row>
    <row r="23" spans="1:173" s="4" customFormat="1">
      <c r="A23" s="56"/>
      <c r="B23" s="56"/>
      <c r="C23" s="522" t="s">
        <v>3620</v>
      </c>
      <c r="D23" s="522"/>
      <c r="E23" s="516">
        <v>21.6</v>
      </c>
      <c r="F23" s="516"/>
      <c r="G23" s="516"/>
      <c r="H23" s="516"/>
      <c r="I23" s="516"/>
      <c r="J23" s="516"/>
      <c r="K23" s="516"/>
      <c r="L23" s="516"/>
      <c r="M23" s="516"/>
      <c r="N23" s="516"/>
      <c r="O23" s="516">
        <f t="shared" si="0"/>
        <v>21.6</v>
      </c>
      <c r="P23" s="516"/>
      <c r="Q23" s="516"/>
      <c r="R23" s="516"/>
      <c r="S23" s="516"/>
      <c r="T23" s="516" t="s">
        <v>1903</v>
      </c>
      <c r="U23" s="516" t="s">
        <v>1903</v>
      </c>
      <c r="V23" s="516"/>
      <c r="W23" s="516"/>
      <c r="X23" s="516"/>
      <c r="Y23" s="516"/>
      <c r="Z23" s="516"/>
      <c r="AA23" s="516"/>
      <c r="AB23" s="516"/>
      <c r="AC23" s="516"/>
      <c r="AD23" s="516"/>
      <c r="AE23" s="725"/>
      <c r="AF23" s="957"/>
      <c r="AG23" s="516"/>
      <c r="AH23" s="516"/>
      <c r="AI23" s="516"/>
      <c r="AJ23" s="516"/>
      <c r="AK23" s="516"/>
      <c r="AL23" s="516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>
        <f t="shared" si="3"/>
        <v>1</v>
      </c>
      <c r="BA23" s="516">
        <f t="shared" si="4"/>
        <v>0</v>
      </c>
      <c r="BB23" s="516"/>
      <c r="BC23" s="516"/>
      <c r="BD23" s="516">
        <f t="shared" si="5"/>
        <v>1</v>
      </c>
      <c r="BE23" s="516">
        <f t="shared" si="6"/>
        <v>0</v>
      </c>
      <c r="BF23" s="516"/>
      <c r="BG23" s="516"/>
      <c r="BH23" s="516"/>
      <c r="BI23" s="516">
        <f t="shared" si="1"/>
        <v>5</v>
      </c>
      <c r="BJ23" s="516"/>
      <c r="BK23" s="516"/>
      <c r="BL23" s="516"/>
      <c r="BM23" s="516"/>
      <c r="BN23" s="516"/>
      <c r="BO23" s="516"/>
      <c r="BP23" s="516"/>
      <c r="BQ23" s="516">
        <v>1</v>
      </c>
      <c r="BR23" s="516"/>
      <c r="BS23" s="516">
        <v>2</v>
      </c>
      <c r="BT23" s="516"/>
      <c r="BU23" s="516"/>
      <c r="BV23" s="516"/>
      <c r="BW23" s="516"/>
      <c r="BX23" s="516"/>
      <c r="BY23" s="516"/>
      <c r="BZ23" s="516"/>
      <c r="CA23" s="516"/>
      <c r="CB23" s="516">
        <v>1</v>
      </c>
      <c r="CC23" s="516"/>
      <c r="CD23" s="516">
        <f t="shared" si="2"/>
        <v>4</v>
      </c>
      <c r="CE23" s="516"/>
      <c r="CF23" s="516"/>
      <c r="CG23" s="516"/>
      <c r="CH23" s="516"/>
      <c r="CI23" s="516"/>
      <c r="CJ23" s="516"/>
      <c r="CK23" s="516"/>
      <c r="CL23" s="516"/>
      <c r="CM23" s="516"/>
      <c r="CN23" s="516"/>
      <c r="CO23" s="516"/>
      <c r="CP23" s="516"/>
      <c r="CQ23" s="516"/>
      <c r="CR23" s="516"/>
      <c r="CS23" s="516"/>
      <c r="CT23" s="516"/>
      <c r="CU23" s="516"/>
      <c r="CV23" s="516"/>
      <c r="CW23" s="516"/>
      <c r="CX23" s="454"/>
      <c r="CY23" s="454"/>
      <c r="CZ23" s="454"/>
      <c r="DA23" s="454"/>
      <c r="DB23" s="454"/>
      <c r="DC23" s="454"/>
      <c r="DD23" s="454"/>
      <c r="DE23" s="454"/>
      <c r="DF23" s="454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454"/>
      <c r="DT23" s="454"/>
      <c r="DU23" s="454"/>
      <c r="DV23" s="454"/>
      <c r="DW23" s="454"/>
      <c r="DX23" s="454"/>
      <c r="DY23" s="454"/>
      <c r="DZ23" s="454"/>
      <c r="EA23" s="454"/>
      <c r="EB23" s="454"/>
      <c r="EC23" s="454"/>
      <c r="ED23" s="454"/>
      <c r="EE23" s="454"/>
      <c r="EF23" s="454"/>
      <c r="EG23" s="454"/>
      <c r="EH23" s="454"/>
      <c r="EI23" s="454"/>
      <c r="EJ23" s="454"/>
      <c r="EK23" s="454"/>
      <c r="EL23" s="454"/>
      <c r="EM23" s="454"/>
      <c r="EN23" s="454"/>
      <c r="EO23" s="454"/>
      <c r="EP23" s="454"/>
      <c r="EQ23" s="454"/>
      <c r="ER23" s="454"/>
      <c r="ES23" s="454"/>
      <c r="ET23" s="454"/>
      <c r="EU23" s="454"/>
      <c r="EV23" s="454"/>
      <c r="EW23" s="454"/>
      <c r="EX23" s="454"/>
      <c r="EY23" s="454"/>
      <c r="EZ23" s="454"/>
      <c r="FA23" s="454"/>
      <c r="FB23" s="454"/>
      <c r="FC23" s="454"/>
      <c r="FD23" s="454"/>
      <c r="FE23" s="454"/>
      <c r="FF23" s="454"/>
      <c r="FG23" s="454"/>
      <c r="FH23" s="454"/>
      <c r="FI23" s="454"/>
      <c r="FJ23" s="454"/>
      <c r="FK23" s="454"/>
      <c r="FL23" s="454"/>
      <c r="FM23" s="454"/>
      <c r="FN23" s="454"/>
      <c r="FO23" s="454"/>
      <c r="FP23" s="454"/>
      <c r="FQ23" s="290"/>
    </row>
    <row r="24" spans="1:173" s="4" customFormat="1">
      <c r="A24" s="56"/>
      <c r="B24" s="56"/>
      <c r="C24" s="522"/>
      <c r="D24" s="522" t="s">
        <v>3621</v>
      </c>
      <c r="E24" s="516">
        <v>21.4</v>
      </c>
      <c r="F24" s="516"/>
      <c r="G24" s="516"/>
      <c r="H24" s="516"/>
      <c r="I24" s="516"/>
      <c r="J24" s="516"/>
      <c r="K24" s="516"/>
      <c r="L24" s="516"/>
      <c r="M24" s="516"/>
      <c r="N24" s="516"/>
      <c r="O24" s="516">
        <f t="shared" si="0"/>
        <v>21.4</v>
      </c>
      <c r="P24" s="516"/>
      <c r="Q24" s="516"/>
      <c r="R24" s="516"/>
      <c r="S24" s="516"/>
      <c r="T24" s="516" t="s">
        <v>1631</v>
      </c>
      <c r="U24" s="516" t="s">
        <v>2989</v>
      </c>
      <c r="V24" s="516"/>
      <c r="W24" s="516"/>
      <c r="X24" s="516"/>
      <c r="Y24" s="516"/>
      <c r="Z24" s="516"/>
      <c r="AA24" s="516"/>
      <c r="AB24" s="516"/>
      <c r="AC24" s="516"/>
      <c r="AD24" s="516"/>
      <c r="AE24" s="725"/>
      <c r="AF24" s="957"/>
      <c r="AG24" s="516"/>
      <c r="AH24" s="516"/>
      <c r="AI24" s="516"/>
      <c r="AJ24" s="516"/>
      <c r="AK24" s="516"/>
      <c r="AL24" s="516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>
        <f t="shared" si="3"/>
        <v>0</v>
      </c>
      <c r="BA24" s="516">
        <f t="shared" si="4"/>
        <v>0</v>
      </c>
      <c r="BB24" s="516"/>
      <c r="BC24" s="516"/>
      <c r="BD24" s="516">
        <f t="shared" si="5"/>
        <v>0</v>
      </c>
      <c r="BE24" s="516">
        <f t="shared" si="6"/>
        <v>2</v>
      </c>
      <c r="BF24" s="516"/>
      <c r="BG24" s="516"/>
      <c r="BH24" s="516"/>
      <c r="BI24" s="516">
        <f t="shared" si="1"/>
        <v>0</v>
      </c>
      <c r="BJ24" s="516"/>
      <c r="BK24" s="516"/>
      <c r="BL24" s="516"/>
      <c r="BM24" s="516"/>
      <c r="BN24" s="516"/>
      <c r="BO24" s="516"/>
      <c r="BP24" s="516"/>
      <c r="BQ24" s="516"/>
      <c r="BR24" s="516"/>
      <c r="BS24" s="516"/>
      <c r="BT24" s="516"/>
      <c r="BU24" s="516"/>
      <c r="BV24" s="516"/>
      <c r="BW24" s="516"/>
      <c r="BX24" s="516">
        <v>2</v>
      </c>
      <c r="BY24" s="516"/>
      <c r="BZ24" s="516"/>
      <c r="CA24" s="516"/>
      <c r="CB24" s="516"/>
      <c r="CC24" s="516"/>
      <c r="CD24" s="516">
        <f t="shared" si="2"/>
        <v>0</v>
      </c>
      <c r="CE24" s="516"/>
      <c r="CF24" s="516"/>
      <c r="CG24" s="516"/>
      <c r="CH24" s="516"/>
      <c r="CI24" s="516">
        <v>8</v>
      </c>
      <c r="CJ24" s="516"/>
      <c r="CK24" s="516"/>
      <c r="CL24" s="516"/>
      <c r="CM24" s="516"/>
      <c r="CN24" s="516"/>
      <c r="CO24" s="516">
        <v>8</v>
      </c>
      <c r="CP24" s="516"/>
      <c r="CQ24" s="516"/>
      <c r="CR24" s="516"/>
      <c r="CS24" s="516"/>
      <c r="CT24" s="516"/>
      <c r="CU24" s="516"/>
      <c r="CV24" s="516"/>
      <c r="CW24" s="516"/>
      <c r="CX24" s="454"/>
      <c r="CY24" s="454"/>
      <c r="CZ24" s="454"/>
      <c r="DA24" s="454"/>
      <c r="DB24" s="454"/>
      <c r="DC24" s="454"/>
      <c r="DD24" s="454"/>
      <c r="DE24" s="454"/>
      <c r="DF24" s="454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290"/>
    </row>
    <row r="25" spans="1:173" s="4" customFormat="1">
      <c r="A25" s="56"/>
      <c r="B25" s="56"/>
      <c r="C25" s="522" t="s">
        <v>3622</v>
      </c>
      <c r="D25" s="522"/>
      <c r="E25" s="516">
        <v>13.7</v>
      </c>
      <c r="F25" s="516"/>
      <c r="G25" s="516"/>
      <c r="H25" s="516"/>
      <c r="I25" s="516"/>
      <c r="J25" s="516"/>
      <c r="K25" s="516"/>
      <c r="L25" s="516"/>
      <c r="M25" s="516"/>
      <c r="N25" s="516"/>
      <c r="O25" s="516">
        <f t="shared" si="0"/>
        <v>13.7</v>
      </c>
      <c r="P25" s="516"/>
      <c r="Q25" s="516"/>
      <c r="R25" s="516"/>
      <c r="S25" s="516"/>
      <c r="T25" s="516" t="s">
        <v>1631</v>
      </c>
      <c r="U25" s="516" t="s">
        <v>1631</v>
      </c>
      <c r="V25" s="516">
        <v>1</v>
      </c>
      <c r="W25" s="725"/>
      <c r="X25" s="516"/>
      <c r="Y25" s="516"/>
      <c r="Z25" s="516">
        <v>1</v>
      </c>
      <c r="AA25" s="516"/>
      <c r="AB25" s="516"/>
      <c r="AC25" s="516"/>
      <c r="AD25" s="516"/>
      <c r="AE25" s="725"/>
      <c r="AF25" s="957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>
        <v>1</v>
      </c>
      <c r="AX25" s="516"/>
      <c r="AY25" s="516"/>
      <c r="AZ25" s="516">
        <f t="shared" si="3"/>
        <v>2</v>
      </c>
      <c r="BA25" s="516">
        <f t="shared" si="4"/>
        <v>0</v>
      </c>
      <c r="BB25" s="516"/>
      <c r="BC25" s="516"/>
      <c r="BD25" s="516">
        <f t="shared" si="5"/>
        <v>1</v>
      </c>
      <c r="BE25" s="516">
        <f t="shared" si="6"/>
        <v>0</v>
      </c>
      <c r="BF25" s="516"/>
      <c r="BG25" s="516"/>
      <c r="BH25" s="516"/>
      <c r="BI25" s="516">
        <f t="shared" si="1"/>
        <v>5</v>
      </c>
      <c r="BJ25" s="516"/>
      <c r="BK25" s="516"/>
      <c r="BL25" s="516"/>
      <c r="BM25" s="516"/>
      <c r="BN25" s="516"/>
      <c r="BO25" s="516"/>
      <c r="BP25" s="516"/>
      <c r="BQ25" s="516"/>
      <c r="BR25" s="516"/>
      <c r="BS25" s="516">
        <v>1</v>
      </c>
      <c r="BT25" s="516"/>
      <c r="BU25" s="516"/>
      <c r="BV25" s="516"/>
      <c r="BW25" s="516"/>
      <c r="BX25" s="516"/>
      <c r="BY25" s="516"/>
      <c r="BZ25" s="516"/>
      <c r="CA25" s="516"/>
      <c r="CB25" s="516">
        <v>1</v>
      </c>
      <c r="CC25" s="516"/>
      <c r="CD25" s="516">
        <f t="shared" si="2"/>
        <v>4</v>
      </c>
      <c r="CE25" s="516"/>
      <c r="CF25" s="516"/>
      <c r="CG25" s="516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U25" s="516"/>
      <c r="CV25" s="516"/>
      <c r="CW25" s="516"/>
      <c r="CX25" s="454"/>
      <c r="CY25" s="454"/>
      <c r="CZ25" s="454"/>
      <c r="DA25" s="454"/>
      <c r="DB25" s="454"/>
      <c r="DC25" s="454"/>
      <c r="DD25" s="454"/>
      <c r="DE25" s="454"/>
      <c r="DF25" s="454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454"/>
      <c r="DT25" s="454"/>
      <c r="DU25" s="454"/>
      <c r="DV25" s="454"/>
      <c r="DW25" s="454"/>
      <c r="DX25" s="454"/>
      <c r="DY25" s="454"/>
      <c r="DZ25" s="454"/>
      <c r="EA25" s="454"/>
      <c r="EB25" s="454"/>
      <c r="EC25" s="454"/>
      <c r="ED25" s="454"/>
      <c r="EE25" s="454"/>
      <c r="EF25" s="454"/>
      <c r="EG25" s="454"/>
      <c r="EH25" s="454"/>
      <c r="EI25" s="454"/>
      <c r="EJ25" s="454"/>
      <c r="EK25" s="454"/>
      <c r="EL25" s="454"/>
      <c r="EM25" s="454"/>
      <c r="EN25" s="454"/>
      <c r="EO25" s="454"/>
      <c r="EP25" s="454"/>
      <c r="EQ25" s="454"/>
      <c r="ER25" s="454"/>
      <c r="ES25" s="454"/>
      <c r="ET25" s="454"/>
      <c r="EU25" s="454"/>
      <c r="EV25" s="454"/>
      <c r="EW25" s="454"/>
      <c r="EX25" s="454"/>
      <c r="EY25" s="454"/>
      <c r="EZ25" s="454"/>
      <c r="FA25" s="454"/>
      <c r="FB25" s="454"/>
      <c r="FC25" s="454"/>
      <c r="FD25" s="454"/>
      <c r="FE25" s="454"/>
      <c r="FF25" s="454"/>
      <c r="FG25" s="454"/>
      <c r="FH25" s="454"/>
      <c r="FI25" s="454"/>
      <c r="FJ25" s="454"/>
      <c r="FK25" s="454"/>
      <c r="FL25" s="454"/>
      <c r="FM25" s="454"/>
      <c r="FN25" s="454"/>
      <c r="FO25" s="454"/>
      <c r="FP25" s="454"/>
      <c r="FQ25" s="290"/>
    </row>
    <row r="26" spans="1:173" s="4" customFormat="1">
      <c r="A26" s="56"/>
      <c r="B26" s="56"/>
      <c r="C26" s="522"/>
      <c r="D26" s="522" t="s">
        <v>3623</v>
      </c>
      <c r="E26" s="516">
        <v>32.6</v>
      </c>
      <c r="F26" s="516"/>
      <c r="G26" s="516"/>
      <c r="H26" s="516"/>
      <c r="I26" s="516"/>
      <c r="J26" s="516"/>
      <c r="K26" s="516"/>
      <c r="L26" s="516"/>
      <c r="M26" s="516"/>
      <c r="N26" s="516"/>
      <c r="O26" s="516">
        <f t="shared" si="0"/>
        <v>32.6</v>
      </c>
      <c r="P26" s="516"/>
      <c r="Q26" s="516"/>
      <c r="R26" s="516"/>
      <c r="S26" s="516"/>
      <c r="T26" s="516" t="s">
        <v>3624</v>
      </c>
      <c r="U26" s="516" t="s">
        <v>3718</v>
      </c>
      <c r="V26" s="516"/>
      <c r="W26" s="516"/>
      <c r="X26" s="516"/>
      <c r="Y26" s="516"/>
      <c r="Z26" s="516"/>
      <c r="AA26" s="516"/>
      <c r="AB26" s="516"/>
      <c r="AC26" s="516"/>
      <c r="AD26" s="516"/>
      <c r="AE26" s="725"/>
      <c r="AF26" s="957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>
        <f t="shared" si="3"/>
        <v>0</v>
      </c>
      <c r="BA26" s="516">
        <f t="shared" si="4"/>
        <v>1</v>
      </c>
      <c r="BB26" s="516"/>
      <c r="BC26" s="516"/>
      <c r="BD26" s="516">
        <f t="shared" si="5"/>
        <v>0</v>
      </c>
      <c r="BE26" s="516">
        <f t="shared" si="6"/>
        <v>3</v>
      </c>
      <c r="BF26" s="516"/>
      <c r="BG26" s="516"/>
      <c r="BH26" s="516"/>
      <c r="BI26" s="516">
        <f t="shared" si="1"/>
        <v>0</v>
      </c>
      <c r="BJ26" s="516"/>
      <c r="BK26" s="516"/>
      <c r="BL26" s="516"/>
      <c r="BM26" s="516"/>
      <c r="BN26" s="516"/>
      <c r="BO26" s="516"/>
      <c r="BP26" s="516"/>
      <c r="BQ26" s="516"/>
      <c r="BR26" s="516"/>
      <c r="BS26" s="516"/>
      <c r="BT26" s="516"/>
      <c r="BU26" s="516"/>
      <c r="BV26" s="516"/>
      <c r="BW26" s="516"/>
      <c r="BX26" s="516">
        <v>3</v>
      </c>
      <c r="BY26" s="516"/>
      <c r="BZ26" s="516"/>
      <c r="CA26" s="516"/>
      <c r="CB26" s="516"/>
      <c r="CC26" s="516">
        <v>1</v>
      </c>
      <c r="CD26" s="516">
        <f t="shared" si="2"/>
        <v>0</v>
      </c>
      <c r="CE26" s="516"/>
      <c r="CF26" s="516"/>
      <c r="CG26" s="516"/>
      <c r="CH26" s="516"/>
      <c r="CI26" s="516">
        <v>3</v>
      </c>
      <c r="CJ26" s="516"/>
      <c r="CK26" s="516"/>
      <c r="CL26" s="516"/>
      <c r="CM26" s="516">
        <v>8</v>
      </c>
      <c r="CN26" s="516"/>
      <c r="CO26" s="516"/>
      <c r="CP26" s="516"/>
      <c r="CQ26" s="516">
        <v>1</v>
      </c>
      <c r="CR26" s="516"/>
      <c r="CS26" s="516"/>
      <c r="CT26" s="516"/>
      <c r="CU26" s="516"/>
      <c r="CV26" s="516"/>
      <c r="CW26" s="516"/>
      <c r="CX26" s="454"/>
      <c r="CY26" s="454"/>
      <c r="CZ26" s="454"/>
      <c r="DA26" s="454"/>
      <c r="DB26" s="454"/>
      <c r="DC26" s="454"/>
      <c r="DD26" s="454"/>
      <c r="DE26" s="454"/>
      <c r="DF26" s="454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454"/>
      <c r="DT26" s="454"/>
      <c r="DU26" s="454"/>
      <c r="DV26" s="454"/>
      <c r="DW26" s="454"/>
      <c r="DX26" s="454"/>
      <c r="DY26" s="454"/>
      <c r="DZ26" s="454"/>
      <c r="EA26" s="454"/>
      <c r="EB26" s="454"/>
      <c r="EC26" s="454"/>
      <c r="ED26" s="454"/>
      <c r="EE26" s="454"/>
      <c r="EF26" s="454"/>
      <c r="EG26" s="454"/>
      <c r="EH26" s="454"/>
      <c r="EI26" s="454"/>
      <c r="EJ26" s="454"/>
      <c r="EK26" s="454"/>
      <c r="EL26" s="454"/>
      <c r="EM26" s="454"/>
      <c r="EN26" s="454"/>
      <c r="EO26" s="454"/>
      <c r="EP26" s="454"/>
      <c r="EQ26" s="454"/>
      <c r="ER26" s="454"/>
      <c r="ES26" s="454"/>
      <c r="ET26" s="454"/>
      <c r="EU26" s="454"/>
      <c r="EV26" s="454"/>
      <c r="EW26" s="454"/>
      <c r="EX26" s="454"/>
      <c r="EY26" s="454"/>
      <c r="EZ26" s="454"/>
      <c r="FA26" s="454"/>
      <c r="FB26" s="454"/>
      <c r="FC26" s="454"/>
      <c r="FD26" s="454"/>
      <c r="FE26" s="454"/>
      <c r="FF26" s="454"/>
      <c r="FG26" s="454"/>
      <c r="FH26" s="454"/>
      <c r="FI26" s="454"/>
      <c r="FJ26" s="454"/>
      <c r="FK26" s="454"/>
      <c r="FL26" s="454"/>
      <c r="FM26" s="454"/>
      <c r="FN26" s="454"/>
      <c r="FO26" s="454"/>
      <c r="FP26" s="454"/>
      <c r="FQ26" s="290"/>
    </row>
    <row r="27" spans="1:173" s="4" customFormat="1">
      <c r="A27" s="56"/>
      <c r="B27" s="56"/>
      <c r="C27" s="522" t="s">
        <v>3625</v>
      </c>
      <c r="D27" s="522"/>
      <c r="E27" s="516">
        <v>26</v>
      </c>
      <c r="F27" s="516"/>
      <c r="G27" s="516"/>
      <c r="H27" s="516"/>
      <c r="I27" s="516"/>
      <c r="J27" s="516"/>
      <c r="K27" s="516"/>
      <c r="L27" s="516"/>
      <c r="M27" s="516"/>
      <c r="N27" s="516"/>
      <c r="O27" s="516">
        <f t="shared" si="0"/>
        <v>26</v>
      </c>
      <c r="P27" s="516"/>
      <c r="Q27" s="516"/>
      <c r="R27" s="516"/>
      <c r="S27" s="516"/>
      <c r="T27" s="516" t="s">
        <v>1631</v>
      </c>
      <c r="U27" s="516" t="s">
        <v>1631</v>
      </c>
      <c r="V27" s="516"/>
      <c r="W27" s="516"/>
      <c r="X27" s="516"/>
      <c r="Y27" s="516"/>
      <c r="Z27" s="516"/>
      <c r="AA27" s="516"/>
      <c r="AB27" s="516"/>
      <c r="AC27" s="516"/>
      <c r="AD27" s="516"/>
      <c r="AE27" s="725"/>
      <c r="AF27" s="957"/>
      <c r="AG27" s="516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>
        <v>1</v>
      </c>
      <c r="AV27" s="516"/>
      <c r="AW27" s="516"/>
      <c r="AX27" s="516"/>
      <c r="AY27" s="516"/>
      <c r="AZ27" s="516">
        <f t="shared" si="3"/>
        <v>0</v>
      </c>
      <c r="BA27" s="516">
        <f t="shared" si="4"/>
        <v>0</v>
      </c>
      <c r="BB27" s="516"/>
      <c r="BC27" s="516"/>
      <c r="BD27" s="516">
        <f t="shared" si="5"/>
        <v>1</v>
      </c>
      <c r="BE27" s="516">
        <f t="shared" si="6"/>
        <v>0</v>
      </c>
      <c r="BF27" s="516"/>
      <c r="BG27" s="516"/>
      <c r="BH27" s="516"/>
      <c r="BI27" s="516">
        <f t="shared" si="1"/>
        <v>2</v>
      </c>
      <c r="BJ27" s="516"/>
      <c r="BK27" s="516"/>
      <c r="BL27" s="516"/>
      <c r="BM27" s="516"/>
      <c r="BN27" s="516"/>
      <c r="BO27" s="516"/>
      <c r="BP27" s="516"/>
      <c r="BQ27" s="516"/>
      <c r="BR27" s="516"/>
      <c r="BS27" s="516">
        <v>1</v>
      </c>
      <c r="BT27" s="516"/>
      <c r="BU27" s="516"/>
      <c r="BV27" s="516"/>
      <c r="BW27" s="516"/>
      <c r="BX27" s="516"/>
      <c r="BY27" s="516"/>
      <c r="BZ27" s="516"/>
      <c r="CA27" s="516"/>
      <c r="CB27" s="516"/>
      <c r="CC27" s="516"/>
      <c r="CD27" s="516">
        <f t="shared" si="2"/>
        <v>0</v>
      </c>
      <c r="CE27" s="516"/>
      <c r="CF27" s="516"/>
      <c r="CG27" s="516"/>
      <c r="CH27" s="516"/>
      <c r="CI27" s="516"/>
      <c r="CJ27" s="516"/>
      <c r="CK27" s="516"/>
      <c r="CL27" s="516"/>
      <c r="CM27" s="516"/>
      <c r="CN27" s="516"/>
      <c r="CO27" s="516"/>
      <c r="CP27" s="516"/>
      <c r="CQ27" s="516"/>
      <c r="CR27" s="516"/>
      <c r="CS27" s="516"/>
      <c r="CT27" s="516"/>
      <c r="CU27" s="516"/>
      <c r="CV27" s="516"/>
      <c r="CW27" s="516"/>
      <c r="CX27" s="454"/>
      <c r="CY27" s="454"/>
      <c r="CZ27" s="454"/>
      <c r="DA27" s="454"/>
      <c r="DB27" s="454"/>
      <c r="DC27" s="454"/>
      <c r="DD27" s="454"/>
      <c r="DE27" s="454"/>
      <c r="DF27" s="454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454"/>
      <c r="DT27" s="454"/>
      <c r="DU27" s="454"/>
      <c r="DV27" s="454"/>
      <c r="DW27" s="454"/>
      <c r="DX27" s="454"/>
      <c r="DY27" s="454"/>
      <c r="DZ27" s="454"/>
      <c r="EA27" s="454"/>
      <c r="EB27" s="454"/>
      <c r="EC27" s="454"/>
      <c r="ED27" s="454"/>
      <c r="EE27" s="454"/>
      <c r="EF27" s="454"/>
      <c r="EG27" s="454"/>
      <c r="EH27" s="454"/>
      <c r="EI27" s="454"/>
      <c r="EJ27" s="454"/>
      <c r="EK27" s="454"/>
      <c r="EL27" s="454"/>
      <c r="EM27" s="454"/>
      <c r="EN27" s="454"/>
      <c r="EO27" s="454"/>
      <c r="EP27" s="454"/>
      <c r="EQ27" s="454"/>
      <c r="ER27" s="454"/>
      <c r="ES27" s="454"/>
      <c r="ET27" s="454"/>
      <c r="EU27" s="454"/>
      <c r="EV27" s="454"/>
      <c r="EW27" s="454"/>
      <c r="EX27" s="454"/>
      <c r="EY27" s="454"/>
      <c r="EZ27" s="454"/>
      <c r="FA27" s="454"/>
      <c r="FB27" s="454"/>
      <c r="FC27" s="454"/>
      <c r="FD27" s="454"/>
      <c r="FE27" s="454"/>
      <c r="FF27" s="454"/>
      <c r="FG27" s="454"/>
      <c r="FH27" s="454"/>
      <c r="FI27" s="454"/>
      <c r="FJ27" s="454"/>
      <c r="FK27" s="454"/>
      <c r="FL27" s="454"/>
      <c r="FM27" s="454"/>
      <c r="FN27" s="454"/>
      <c r="FO27" s="454"/>
      <c r="FP27" s="454"/>
      <c r="FQ27" s="290"/>
    </row>
    <row r="28" spans="1:173" s="4" customFormat="1">
      <c r="A28" s="56"/>
      <c r="B28" s="56"/>
      <c r="C28" s="522"/>
      <c r="D28" s="522" t="s">
        <v>3626</v>
      </c>
      <c r="E28" s="516">
        <v>31.3</v>
      </c>
      <c r="F28" s="516"/>
      <c r="G28" s="516"/>
      <c r="H28" s="516"/>
      <c r="I28" s="516"/>
      <c r="J28" s="516"/>
      <c r="K28" s="516"/>
      <c r="L28" s="516"/>
      <c r="M28" s="516"/>
      <c r="N28" s="516"/>
      <c r="O28" s="516">
        <f t="shared" si="0"/>
        <v>31.3</v>
      </c>
      <c r="P28" s="516"/>
      <c r="Q28" s="516"/>
      <c r="R28" s="516"/>
      <c r="S28" s="516"/>
      <c r="T28" s="516" t="s">
        <v>1631</v>
      </c>
      <c r="U28" s="516" t="s">
        <v>1631</v>
      </c>
      <c r="V28" s="516"/>
      <c r="W28" s="516"/>
      <c r="X28" s="516"/>
      <c r="Y28" s="516"/>
      <c r="Z28" s="516"/>
      <c r="AA28" s="516"/>
      <c r="AB28" s="516"/>
      <c r="AC28" s="516"/>
      <c r="AD28" s="516"/>
      <c r="AE28" s="725"/>
      <c r="AF28" s="957"/>
      <c r="AG28" s="516"/>
      <c r="AH28" s="516"/>
      <c r="AI28" s="516"/>
      <c r="AJ28" s="516"/>
      <c r="AK28" s="516"/>
      <c r="AL28" s="516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>
        <v>1</v>
      </c>
      <c r="AX28" s="516"/>
      <c r="AY28" s="516"/>
      <c r="AZ28" s="516">
        <f t="shared" si="3"/>
        <v>0</v>
      </c>
      <c r="BA28" s="516">
        <f t="shared" si="4"/>
        <v>2</v>
      </c>
      <c r="BB28" s="516"/>
      <c r="BC28" s="516"/>
      <c r="BD28" s="516">
        <f t="shared" si="5"/>
        <v>0</v>
      </c>
      <c r="BE28" s="516">
        <f t="shared" si="6"/>
        <v>1</v>
      </c>
      <c r="BF28" s="516"/>
      <c r="BG28" s="516"/>
      <c r="BH28" s="516"/>
      <c r="BI28" s="516">
        <f t="shared" si="1"/>
        <v>5</v>
      </c>
      <c r="BJ28" s="516"/>
      <c r="BK28" s="516"/>
      <c r="BL28" s="516"/>
      <c r="BM28" s="516"/>
      <c r="BN28" s="516"/>
      <c r="BO28" s="516"/>
      <c r="BP28" s="516"/>
      <c r="BQ28" s="516"/>
      <c r="BR28" s="516"/>
      <c r="BS28" s="516">
        <v>1</v>
      </c>
      <c r="BT28" s="516"/>
      <c r="BU28" s="516"/>
      <c r="BV28" s="516"/>
      <c r="BW28" s="516"/>
      <c r="BX28" s="516"/>
      <c r="BY28" s="516"/>
      <c r="BZ28" s="516"/>
      <c r="CA28" s="516"/>
      <c r="CB28" s="516">
        <v>1</v>
      </c>
      <c r="CC28" s="516"/>
      <c r="CD28" s="516">
        <f t="shared" si="2"/>
        <v>4</v>
      </c>
      <c r="CE28" s="516"/>
      <c r="CF28" s="516"/>
      <c r="CG28" s="516"/>
      <c r="CH28" s="516"/>
      <c r="CI28" s="516"/>
      <c r="CJ28" s="516"/>
      <c r="CK28" s="516"/>
      <c r="CL28" s="516"/>
      <c r="CM28" s="516"/>
      <c r="CN28" s="516"/>
      <c r="CO28" s="516"/>
      <c r="CP28" s="516"/>
      <c r="CQ28" s="516"/>
      <c r="CR28" s="516"/>
      <c r="CS28" s="516"/>
      <c r="CT28" s="516"/>
      <c r="CU28" s="516"/>
      <c r="CV28" s="516"/>
      <c r="CW28" s="516"/>
      <c r="CX28" s="454"/>
      <c r="CY28" s="454"/>
      <c r="CZ28" s="454"/>
      <c r="DA28" s="454"/>
      <c r="DB28" s="454"/>
      <c r="DC28" s="454"/>
      <c r="DD28" s="454"/>
      <c r="DE28" s="454"/>
      <c r="DF28" s="454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454"/>
      <c r="DT28" s="454"/>
      <c r="DU28" s="454"/>
      <c r="DV28" s="454"/>
      <c r="DW28" s="454"/>
      <c r="DX28" s="454"/>
      <c r="DY28" s="454"/>
      <c r="DZ28" s="454"/>
      <c r="EA28" s="454"/>
      <c r="EB28" s="454"/>
      <c r="EC28" s="454"/>
      <c r="ED28" s="454"/>
      <c r="EE28" s="454"/>
      <c r="EF28" s="454"/>
      <c r="EG28" s="454"/>
      <c r="EH28" s="454"/>
      <c r="EI28" s="454"/>
      <c r="EJ28" s="454"/>
      <c r="EK28" s="454"/>
      <c r="EL28" s="454"/>
      <c r="EM28" s="454"/>
      <c r="EN28" s="454"/>
      <c r="EO28" s="454"/>
      <c r="EP28" s="454"/>
      <c r="EQ28" s="454"/>
      <c r="ER28" s="454"/>
      <c r="ES28" s="454"/>
      <c r="ET28" s="454"/>
      <c r="EU28" s="454"/>
      <c r="EV28" s="454"/>
      <c r="EW28" s="454"/>
      <c r="EX28" s="454"/>
      <c r="EY28" s="454"/>
      <c r="EZ28" s="454"/>
      <c r="FA28" s="454"/>
      <c r="FB28" s="454"/>
      <c r="FC28" s="454"/>
      <c r="FD28" s="454"/>
      <c r="FE28" s="454"/>
      <c r="FF28" s="454"/>
      <c r="FG28" s="454"/>
      <c r="FH28" s="454"/>
      <c r="FI28" s="454"/>
      <c r="FJ28" s="454"/>
      <c r="FK28" s="454"/>
      <c r="FL28" s="454"/>
      <c r="FM28" s="454"/>
      <c r="FN28" s="454"/>
      <c r="FO28" s="454"/>
      <c r="FP28" s="454"/>
      <c r="FQ28" s="290"/>
    </row>
    <row r="29" spans="1:173" s="4" customFormat="1">
      <c r="A29" s="56"/>
      <c r="B29" s="56"/>
      <c r="C29" s="522" t="s">
        <v>3627</v>
      </c>
      <c r="D29" s="522"/>
      <c r="E29" s="516">
        <v>17.399999999999999</v>
      </c>
      <c r="F29" s="516"/>
      <c r="G29" s="516"/>
      <c r="H29" s="516"/>
      <c r="I29" s="516"/>
      <c r="J29" s="516"/>
      <c r="K29" s="516"/>
      <c r="L29" s="516"/>
      <c r="M29" s="516"/>
      <c r="N29" s="516"/>
      <c r="O29" s="516">
        <f t="shared" si="0"/>
        <v>17.399999999999999</v>
      </c>
      <c r="P29" s="516"/>
      <c r="Q29" s="516"/>
      <c r="R29" s="516"/>
      <c r="S29" s="516"/>
      <c r="T29" s="516" t="s">
        <v>1631</v>
      </c>
      <c r="U29" s="516" t="s">
        <v>1631</v>
      </c>
      <c r="V29" s="516"/>
      <c r="W29" s="516"/>
      <c r="X29" s="516"/>
      <c r="Y29" s="516"/>
      <c r="Z29" s="516"/>
      <c r="AA29" s="516"/>
      <c r="AB29" s="516"/>
      <c r="AC29" s="516"/>
      <c r="AD29" s="516"/>
      <c r="AE29" s="725"/>
      <c r="AF29" s="957"/>
      <c r="AG29" s="516"/>
      <c r="AH29" s="516"/>
      <c r="AI29" s="516"/>
      <c r="AJ29" s="516"/>
      <c r="AK29" s="516"/>
      <c r="AL29" s="516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>
        <f t="shared" si="3"/>
        <v>0</v>
      </c>
      <c r="BA29" s="516">
        <f t="shared" si="4"/>
        <v>0</v>
      </c>
      <c r="BB29" s="516"/>
      <c r="BC29" s="516"/>
      <c r="BD29" s="516">
        <f t="shared" si="5"/>
        <v>1</v>
      </c>
      <c r="BE29" s="516">
        <f t="shared" si="6"/>
        <v>0</v>
      </c>
      <c r="BF29" s="516"/>
      <c r="BG29" s="516"/>
      <c r="BH29" s="516"/>
      <c r="BI29" s="516">
        <f t="shared" si="1"/>
        <v>0</v>
      </c>
      <c r="BJ29" s="516"/>
      <c r="BK29" s="516"/>
      <c r="BL29" s="516"/>
      <c r="BM29" s="516"/>
      <c r="BN29" s="516"/>
      <c r="BO29" s="516"/>
      <c r="BP29" s="516"/>
      <c r="BQ29" s="516"/>
      <c r="BR29" s="516"/>
      <c r="BS29" s="516">
        <v>1</v>
      </c>
      <c r="BT29" s="516"/>
      <c r="BU29" s="516"/>
      <c r="BV29" s="516"/>
      <c r="BW29" s="516"/>
      <c r="BX29" s="516"/>
      <c r="BY29" s="516"/>
      <c r="BZ29" s="516"/>
      <c r="CA29" s="516"/>
      <c r="CB29" s="516"/>
      <c r="CC29" s="516"/>
      <c r="CD29" s="516">
        <f t="shared" si="2"/>
        <v>0</v>
      </c>
      <c r="CE29" s="516"/>
      <c r="CF29" s="516"/>
      <c r="CG29" s="516"/>
      <c r="CH29" s="516"/>
      <c r="CI29" s="516"/>
      <c r="CJ29" s="516"/>
      <c r="CK29" s="516"/>
      <c r="CL29" s="516"/>
      <c r="CM29" s="516"/>
      <c r="CN29" s="516"/>
      <c r="CO29" s="516"/>
      <c r="CP29" s="516"/>
      <c r="CQ29" s="516"/>
      <c r="CR29" s="516"/>
      <c r="CS29" s="516"/>
      <c r="CT29" s="516"/>
      <c r="CU29" s="516"/>
      <c r="CV29" s="516"/>
      <c r="CW29" s="516"/>
      <c r="CX29" s="454"/>
      <c r="CY29" s="454"/>
      <c r="CZ29" s="454"/>
      <c r="DA29" s="454"/>
      <c r="DB29" s="454"/>
      <c r="DC29" s="454"/>
      <c r="DD29" s="454"/>
      <c r="DE29" s="454"/>
      <c r="DF29" s="454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454"/>
      <c r="DT29" s="454"/>
      <c r="DU29" s="454"/>
      <c r="DV29" s="454"/>
      <c r="DW29" s="454"/>
      <c r="DX29" s="454"/>
      <c r="DY29" s="454"/>
      <c r="DZ29" s="454"/>
      <c r="EA29" s="454"/>
      <c r="EB29" s="454"/>
      <c r="EC29" s="454"/>
      <c r="ED29" s="454"/>
      <c r="EE29" s="454"/>
      <c r="EF29" s="454"/>
      <c r="EG29" s="454"/>
      <c r="EH29" s="454"/>
      <c r="EI29" s="454"/>
      <c r="EJ29" s="454"/>
      <c r="EK29" s="454"/>
      <c r="EL29" s="454"/>
      <c r="EM29" s="454"/>
      <c r="EN29" s="454"/>
      <c r="EO29" s="454"/>
      <c r="EP29" s="454"/>
      <c r="EQ29" s="454"/>
      <c r="ER29" s="454"/>
      <c r="ES29" s="454"/>
      <c r="ET29" s="454"/>
      <c r="EU29" s="454"/>
      <c r="EV29" s="454"/>
      <c r="EW29" s="454"/>
      <c r="EX29" s="454"/>
      <c r="EY29" s="454"/>
      <c r="EZ29" s="454"/>
      <c r="FA29" s="454"/>
      <c r="FB29" s="454"/>
      <c r="FC29" s="454"/>
      <c r="FD29" s="454"/>
      <c r="FE29" s="454"/>
      <c r="FF29" s="454"/>
      <c r="FG29" s="454"/>
      <c r="FH29" s="454"/>
      <c r="FI29" s="454"/>
      <c r="FJ29" s="454"/>
      <c r="FK29" s="454"/>
      <c r="FL29" s="454"/>
      <c r="FM29" s="454"/>
      <c r="FN29" s="454"/>
      <c r="FO29" s="454"/>
      <c r="FP29" s="454"/>
      <c r="FQ29" s="290"/>
    </row>
    <row r="30" spans="1:173" s="4" customFormat="1">
      <c r="A30" s="56"/>
      <c r="B30" s="56"/>
      <c r="C30" s="522"/>
      <c r="D30" s="522" t="s">
        <v>3628</v>
      </c>
      <c r="E30" s="516">
        <v>27.3</v>
      </c>
      <c r="F30" s="516"/>
      <c r="G30" s="516"/>
      <c r="H30" s="516"/>
      <c r="I30" s="516"/>
      <c r="J30" s="516"/>
      <c r="K30" s="516"/>
      <c r="L30" s="516"/>
      <c r="M30" s="516"/>
      <c r="N30" s="516"/>
      <c r="O30" s="516">
        <f t="shared" si="0"/>
        <v>27.3</v>
      </c>
      <c r="P30" s="516"/>
      <c r="Q30" s="516"/>
      <c r="R30" s="516"/>
      <c r="S30" s="516"/>
      <c r="T30" s="516" t="s">
        <v>1903</v>
      </c>
      <c r="U30" s="516" t="s">
        <v>2989</v>
      </c>
      <c r="V30" s="516"/>
      <c r="W30" s="516"/>
      <c r="X30" s="516"/>
      <c r="Y30" s="516"/>
      <c r="Z30" s="516"/>
      <c r="AA30" s="516"/>
      <c r="AB30" s="516"/>
      <c r="AC30" s="516"/>
      <c r="AD30" s="516"/>
      <c r="AE30" s="725"/>
      <c r="AF30" s="957"/>
      <c r="AG30" s="516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>
        <f t="shared" si="3"/>
        <v>0</v>
      </c>
      <c r="BA30" s="516">
        <f t="shared" si="4"/>
        <v>0</v>
      </c>
      <c r="BB30" s="516"/>
      <c r="BC30" s="516"/>
      <c r="BD30" s="516">
        <f t="shared" si="5"/>
        <v>0</v>
      </c>
      <c r="BE30" s="516">
        <f t="shared" si="6"/>
        <v>2</v>
      </c>
      <c r="BF30" s="516"/>
      <c r="BG30" s="516"/>
      <c r="BH30" s="516"/>
      <c r="BI30" s="516">
        <f t="shared" si="1"/>
        <v>0</v>
      </c>
      <c r="BJ30" s="516"/>
      <c r="BK30" s="516"/>
      <c r="BL30" s="516"/>
      <c r="BM30" s="516"/>
      <c r="BN30" s="516"/>
      <c r="BO30" s="516"/>
      <c r="BP30" s="516"/>
      <c r="BQ30" s="516"/>
      <c r="BR30" s="516"/>
      <c r="BS30" s="516"/>
      <c r="BT30" s="516"/>
      <c r="BU30" s="516"/>
      <c r="BV30" s="516"/>
      <c r="BW30" s="516"/>
      <c r="BX30" s="516">
        <v>2</v>
      </c>
      <c r="BY30" s="516"/>
      <c r="BZ30" s="516"/>
      <c r="CA30" s="516"/>
      <c r="CB30" s="516"/>
      <c r="CC30" s="516"/>
      <c r="CD30" s="516">
        <f t="shared" si="2"/>
        <v>0</v>
      </c>
      <c r="CE30" s="516"/>
      <c r="CF30" s="516"/>
      <c r="CG30" s="516"/>
      <c r="CH30" s="516"/>
      <c r="CI30" s="516"/>
      <c r="CJ30" s="516"/>
      <c r="CK30" s="516"/>
      <c r="CL30" s="516"/>
      <c r="CM30" s="516"/>
      <c r="CN30" s="516"/>
      <c r="CO30" s="516"/>
      <c r="CP30" s="516"/>
      <c r="CQ30" s="516"/>
      <c r="CR30" s="516"/>
      <c r="CS30" s="516"/>
      <c r="CT30" s="516"/>
      <c r="CU30" s="516"/>
      <c r="CV30" s="516"/>
      <c r="CW30" s="516"/>
      <c r="CX30" s="454"/>
      <c r="CY30" s="454"/>
      <c r="CZ30" s="454"/>
      <c r="DA30" s="454"/>
      <c r="DB30" s="454"/>
      <c r="DC30" s="454"/>
      <c r="DD30" s="454"/>
      <c r="DE30" s="454"/>
      <c r="DF30" s="454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454"/>
      <c r="DT30" s="454"/>
      <c r="DU30" s="454"/>
      <c r="DV30" s="454"/>
      <c r="DW30" s="454"/>
      <c r="DX30" s="454"/>
      <c r="DY30" s="454"/>
      <c r="DZ30" s="454"/>
      <c r="EA30" s="454"/>
      <c r="EB30" s="454"/>
      <c r="EC30" s="454"/>
      <c r="ED30" s="454"/>
      <c r="EE30" s="454"/>
      <c r="EF30" s="454"/>
      <c r="EG30" s="454"/>
      <c r="EH30" s="454"/>
      <c r="EI30" s="454"/>
      <c r="EJ30" s="454"/>
      <c r="EK30" s="454"/>
      <c r="EL30" s="454"/>
      <c r="EM30" s="454"/>
      <c r="EN30" s="454"/>
      <c r="EO30" s="454"/>
      <c r="EP30" s="454"/>
      <c r="EQ30" s="454"/>
      <c r="ER30" s="454"/>
      <c r="ES30" s="454"/>
      <c r="ET30" s="454"/>
      <c r="EU30" s="454"/>
      <c r="EV30" s="454"/>
      <c r="EW30" s="454"/>
      <c r="EX30" s="454"/>
      <c r="EY30" s="454"/>
      <c r="EZ30" s="454"/>
      <c r="FA30" s="454"/>
      <c r="FB30" s="454"/>
      <c r="FC30" s="454"/>
      <c r="FD30" s="454"/>
      <c r="FE30" s="454"/>
      <c r="FF30" s="454"/>
      <c r="FG30" s="454"/>
      <c r="FH30" s="454"/>
      <c r="FI30" s="454"/>
      <c r="FJ30" s="454"/>
      <c r="FK30" s="454"/>
      <c r="FL30" s="454"/>
      <c r="FM30" s="454"/>
      <c r="FN30" s="454"/>
      <c r="FO30" s="454"/>
      <c r="FP30" s="454"/>
      <c r="FQ30" s="290"/>
    </row>
    <row r="31" spans="1:173" s="4" customFormat="1">
      <c r="A31" s="56"/>
      <c r="B31" s="56"/>
      <c r="C31" s="522" t="s">
        <v>3629</v>
      </c>
      <c r="D31" s="522"/>
      <c r="E31" s="516">
        <v>38.1</v>
      </c>
      <c r="F31" s="516"/>
      <c r="G31" s="516"/>
      <c r="H31" s="516"/>
      <c r="I31" s="516"/>
      <c r="J31" s="516"/>
      <c r="K31" s="516"/>
      <c r="L31" s="516"/>
      <c r="M31" s="516"/>
      <c r="N31" s="516"/>
      <c r="O31" s="516">
        <f t="shared" si="0"/>
        <v>38.1</v>
      </c>
      <c r="P31" s="516"/>
      <c r="Q31" s="516"/>
      <c r="R31" s="516"/>
      <c r="S31" s="516"/>
      <c r="T31" s="516" t="s">
        <v>1631</v>
      </c>
      <c r="U31" s="516" t="s">
        <v>1631</v>
      </c>
      <c r="V31" s="516"/>
      <c r="W31" s="516"/>
      <c r="X31" s="516"/>
      <c r="Y31" s="516"/>
      <c r="Z31" s="516"/>
      <c r="AA31" s="516"/>
      <c r="AB31" s="516"/>
      <c r="AC31" s="516"/>
      <c r="AD31" s="516"/>
      <c r="AE31" s="725"/>
      <c r="AF31" s="957"/>
      <c r="AG31" s="516"/>
      <c r="AH31" s="516"/>
      <c r="AI31" s="516"/>
      <c r="AJ31" s="516"/>
      <c r="AK31" s="516"/>
      <c r="AL31" s="516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516">
        <f t="shared" si="3"/>
        <v>1</v>
      </c>
      <c r="BA31" s="516">
        <f t="shared" si="4"/>
        <v>0</v>
      </c>
      <c r="BB31" s="516"/>
      <c r="BC31" s="516"/>
      <c r="BD31" s="516">
        <f t="shared" si="5"/>
        <v>1</v>
      </c>
      <c r="BE31" s="516">
        <f t="shared" si="6"/>
        <v>0</v>
      </c>
      <c r="BF31" s="516"/>
      <c r="BG31" s="516"/>
      <c r="BH31" s="516"/>
      <c r="BI31" s="516">
        <f t="shared" si="1"/>
        <v>5</v>
      </c>
      <c r="BJ31" s="516"/>
      <c r="BK31" s="516"/>
      <c r="BL31" s="516"/>
      <c r="BM31" s="516"/>
      <c r="BN31" s="516"/>
      <c r="BO31" s="516"/>
      <c r="BP31" s="516"/>
      <c r="BQ31" s="516"/>
      <c r="BR31" s="516"/>
      <c r="BS31" s="516">
        <v>1</v>
      </c>
      <c r="BT31" s="516"/>
      <c r="BU31" s="516"/>
      <c r="BV31" s="516"/>
      <c r="BW31" s="516"/>
      <c r="BX31" s="516"/>
      <c r="BY31" s="516"/>
      <c r="BZ31" s="516"/>
      <c r="CA31" s="516"/>
      <c r="CB31" s="516">
        <v>1</v>
      </c>
      <c r="CC31" s="516"/>
      <c r="CD31" s="516">
        <f t="shared" si="2"/>
        <v>4</v>
      </c>
      <c r="CE31" s="516"/>
      <c r="CF31" s="516"/>
      <c r="CG31" s="516"/>
      <c r="CH31" s="516"/>
      <c r="CI31" s="516"/>
      <c r="CJ31" s="516"/>
      <c r="CK31" s="516"/>
      <c r="CL31" s="516"/>
      <c r="CM31" s="516"/>
      <c r="CN31" s="516"/>
      <c r="CO31" s="516"/>
      <c r="CP31" s="516"/>
      <c r="CQ31" s="516"/>
      <c r="CR31" s="516"/>
      <c r="CS31" s="516"/>
      <c r="CT31" s="516"/>
      <c r="CU31" s="516"/>
      <c r="CV31" s="516"/>
      <c r="CW31" s="516"/>
      <c r="CX31" s="454"/>
      <c r="CY31" s="454"/>
      <c r="CZ31" s="454"/>
      <c r="DA31" s="454"/>
      <c r="DB31" s="454"/>
      <c r="DC31" s="454"/>
      <c r="DD31" s="454"/>
      <c r="DE31" s="454"/>
      <c r="DF31" s="454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454"/>
      <c r="DT31" s="454"/>
      <c r="DU31" s="454"/>
      <c r="DV31" s="454"/>
      <c r="DW31" s="454"/>
      <c r="DX31" s="454"/>
      <c r="DY31" s="454"/>
      <c r="DZ31" s="454"/>
      <c r="EA31" s="454"/>
      <c r="EB31" s="454"/>
      <c r="EC31" s="454"/>
      <c r="ED31" s="454"/>
      <c r="EE31" s="454"/>
      <c r="EF31" s="454"/>
      <c r="EG31" s="454"/>
      <c r="EH31" s="454"/>
      <c r="EI31" s="454"/>
      <c r="EJ31" s="454"/>
      <c r="EK31" s="454"/>
      <c r="EL31" s="454"/>
      <c r="EM31" s="454"/>
      <c r="EN31" s="454"/>
      <c r="EO31" s="454"/>
      <c r="EP31" s="454"/>
      <c r="EQ31" s="454"/>
      <c r="ER31" s="454"/>
      <c r="ES31" s="454"/>
      <c r="ET31" s="454"/>
      <c r="EU31" s="454"/>
      <c r="EV31" s="454"/>
      <c r="EW31" s="454"/>
      <c r="EX31" s="454"/>
      <c r="EY31" s="454"/>
      <c r="EZ31" s="454"/>
      <c r="FA31" s="454"/>
      <c r="FB31" s="454"/>
      <c r="FC31" s="454"/>
      <c r="FD31" s="454"/>
      <c r="FE31" s="454"/>
      <c r="FF31" s="454"/>
      <c r="FG31" s="454"/>
      <c r="FH31" s="454"/>
      <c r="FI31" s="454"/>
      <c r="FJ31" s="454"/>
      <c r="FK31" s="454"/>
      <c r="FL31" s="454"/>
      <c r="FM31" s="454"/>
      <c r="FN31" s="454"/>
      <c r="FO31" s="454"/>
      <c r="FP31" s="454"/>
      <c r="FQ31" s="290"/>
    </row>
    <row r="32" spans="1:173" s="4" customFormat="1">
      <c r="A32" s="56"/>
      <c r="B32" s="56"/>
      <c r="C32" s="522"/>
      <c r="D32" s="522" t="s">
        <v>3630</v>
      </c>
      <c r="E32" s="516">
        <v>40</v>
      </c>
      <c r="F32" s="516"/>
      <c r="G32" s="516"/>
      <c r="H32" s="516"/>
      <c r="I32" s="516"/>
      <c r="J32" s="516"/>
      <c r="K32" s="516"/>
      <c r="L32" s="516"/>
      <c r="M32" s="516"/>
      <c r="N32" s="516"/>
      <c r="O32" s="516">
        <f t="shared" si="0"/>
        <v>40</v>
      </c>
      <c r="P32" s="516"/>
      <c r="Q32" s="516"/>
      <c r="R32" s="516"/>
      <c r="S32" s="516"/>
      <c r="T32" s="516" t="s">
        <v>2990</v>
      </c>
      <c r="U32" s="516" t="s">
        <v>2990</v>
      </c>
      <c r="V32" s="516"/>
      <c r="W32" s="516"/>
      <c r="X32" s="516"/>
      <c r="Y32" s="516"/>
      <c r="Z32" s="516"/>
      <c r="AA32" s="516"/>
      <c r="AB32" s="516"/>
      <c r="AC32" s="516"/>
      <c r="AD32" s="516"/>
      <c r="AE32" s="725"/>
      <c r="AF32" s="957"/>
      <c r="AG32" s="516"/>
      <c r="AH32" s="516"/>
      <c r="AI32" s="516"/>
      <c r="AJ32" s="516"/>
      <c r="AK32" s="516"/>
      <c r="AL32" s="516"/>
      <c r="AM32" s="516"/>
      <c r="AN32" s="516"/>
      <c r="AO32" s="516"/>
      <c r="AP32" s="516"/>
      <c r="AQ32" s="516"/>
      <c r="AR32" s="516"/>
      <c r="AS32" s="516"/>
      <c r="AT32" s="516"/>
      <c r="AU32" s="516">
        <v>1</v>
      </c>
      <c r="AV32" s="516"/>
      <c r="AW32" s="516">
        <v>1</v>
      </c>
      <c r="AX32" s="516"/>
      <c r="AY32" s="516"/>
      <c r="AZ32" s="516">
        <f t="shared" si="3"/>
        <v>0</v>
      </c>
      <c r="BA32" s="516">
        <f t="shared" si="4"/>
        <v>2</v>
      </c>
      <c r="BB32" s="516"/>
      <c r="BC32" s="516"/>
      <c r="BD32" s="516">
        <f t="shared" si="5"/>
        <v>0</v>
      </c>
      <c r="BE32" s="516">
        <f t="shared" si="6"/>
        <v>1</v>
      </c>
      <c r="BF32" s="516"/>
      <c r="BG32" s="516"/>
      <c r="BH32" s="516"/>
      <c r="BI32" s="516">
        <f t="shared" si="1"/>
        <v>7</v>
      </c>
      <c r="BJ32" s="516"/>
      <c r="BK32" s="516"/>
      <c r="BL32" s="516"/>
      <c r="BM32" s="516"/>
      <c r="BN32" s="516"/>
      <c r="BO32" s="516"/>
      <c r="BP32" s="516"/>
      <c r="BQ32" s="516"/>
      <c r="BR32" s="516"/>
      <c r="BS32" s="516"/>
      <c r="BT32" s="516"/>
      <c r="BU32" s="516"/>
      <c r="BV32" s="516"/>
      <c r="BW32" s="516"/>
      <c r="BX32" s="516">
        <v>1</v>
      </c>
      <c r="BY32" s="516"/>
      <c r="BZ32" s="516"/>
      <c r="CA32" s="516"/>
      <c r="CB32" s="516">
        <v>1</v>
      </c>
      <c r="CC32" s="516"/>
      <c r="CD32" s="516">
        <f t="shared" si="2"/>
        <v>4</v>
      </c>
      <c r="CE32" s="516"/>
      <c r="CF32" s="516"/>
      <c r="CG32" s="516"/>
      <c r="CH32" s="516"/>
      <c r="CI32" s="516"/>
      <c r="CJ32" s="516"/>
      <c r="CK32" s="516"/>
      <c r="CL32" s="516"/>
      <c r="CM32" s="516"/>
      <c r="CN32" s="516"/>
      <c r="CO32" s="516"/>
      <c r="CP32" s="516"/>
      <c r="CQ32" s="516"/>
      <c r="CR32" s="516"/>
      <c r="CS32" s="516"/>
      <c r="CT32" s="516"/>
      <c r="CU32" s="516"/>
      <c r="CV32" s="516"/>
      <c r="CW32" s="516"/>
      <c r="CX32" s="454"/>
      <c r="CY32" s="454"/>
      <c r="CZ32" s="454"/>
      <c r="DA32" s="454"/>
      <c r="DB32" s="454"/>
      <c r="DC32" s="454"/>
      <c r="DD32" s="454"/>
      <c r="DE32" s="454"/>
      <c r="DF32" s="454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290"/>
    </row>
    <row r="33" spans="1:173" s="4" customFormat="1">
      <c r="A33" s="56"/>
      <c r="B33" s="56"/>
      <c r="C33" s="522"/>
      <c r="D33" s="522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>
        <f t="shared" ref="O33:O46" si="7">E33</f>
        <v>0</v>
      </c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725"/>
      <c r="AF33" s="957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516">
        <f t="shared" si="3"/>
        <v>0</v>
      </c>
      <c r="BA33" s="516">
        <f t="shared" si="4"/>
        <v>0</v>
      </c>
      <c r="BB33" s="516"/>
      <c r="BC33" s="516"/>
      <c r="BD33" s="516">
        <f t="shared" si="5"/>
        <v>0</v>
      </c>
      <c r="BE33" s="516">
        <f t="shared" si="6"/>
        <v>0</v>
      </c>
      <c r="BF33" s="516"/>
      <c r="BG33" s="516"/>
      <c r="BH33" s="516"/>
      <c r="BI33" s="516">
        <f t="shared" si="1"/>
        <v>0</v>
      </c>
      <c r="BJ33" s="516"/>
      <c r="BK33" s="516"/>
      <c r="BL33" s="516"/>
      <c r="BM33" s="516"/>
      <c r="BN33" s="516"/>
      <c r="BO33" s="516"/>
      <c r="BP33" s="516"/>
      <c r="BQ33" s="516"/>
      <c r="BR33" s="516"/>
      <c r="BS33" s="516"/>
      <c r="BT33" s="516"/>
      <c r="BU33" s="516"/>
      <c r="BV33" s="516"/>
      <c r="BW33" s="516"/>
      <c r="BX33" s="516"/>
      <c r="BY33" s="516"/>
      <c r="BZ33" s="516"/>
      <c r="CA33" s="516"/>
      <c r="CB33" s="516"/>
      <c r="CC33" s="516"/>
      <c r="CD33" s="516">
        <f t="shared" si="2"/>
        <v>0</v>
      </c>
      <c r="CE33" s="516"/>
      <c r="CF33" s="516"/>
      <c r="CG33" s="516"/>
      <c r="CH33" s="516"/>
      <c r="CI33" s="516"/>
      <c r="CJ33" s="516"/>
      <c r="CK33" s="516"/>
      <c r="CL33" s="516"/>
      <c r="CM33" s="516"/>
      <c r="CN33" s="516"/>
      <c r="CO33" s="516"/>
      <c r="CP33" s="516"/>
      <c r="CQ33" s="516"/>
      <c r="CR33" s="516"/>
      <c r="CS33" s="516"/>
      <c r="CT33" s="516"/>
      <c r="CU33" s="516"/>
      <c r="CV33" s="516"/>
      <c r="CW33" s="516"/>
      <c r="CX33" s="454"/>
      <c r="CY33" s="454"/>
      <c r="CZ33" s="454"/>
      <c r="DA33" s="454"/>
      <c r="DB33" s="454"/>
      <c r="DC33" s="454"/>
      <c r="DD33" s="454"/>
      <c r="DE33" s="454"/>
      <c r="DF33" s="454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290"/>
    </row>
    <row r="34" spans="1:173" s="4" customFormat="1">
      <c r="A34" s="56"/>
      <c r="B34" s="56"/>
      <c r="C34" s="522"/>
      <c r="D34" s="724" t="s">
        <v>3631</v>
      </c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>
        <f t="shared" si="7"/>
        <v>0</v>
      </c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725"/>
      <c r="AF34" s="957"/>
      <c r="AG34" s="516"/>
      <c r="AH34" s="516"/>
      <c r="AI34" s="516"/>
      <c r="AJ34" s="516"/>
      <c r="AK34" s="516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>
        <f t="shared" si="3"/>
        <v>0</v>
      </c>
      <c r="BA34" s="516">
        <f t="shared" si="4"/>
        <v>0</v>
      </c>
      <c r="BB34" s="516"/>
      <c r="BC34" s="516"/>
      <c r="BD34" s="516">
        <f t="shared" si="5"/>
        <v>0</v>
      </c>
      <c r="BE34" s="516"/>
      <c r="BF34" s="516"/>
      <c r="BG34" s="516"/>
      <c r="BH34" s="516"/>
      <c r="BI34" s="516">
        <f t="shared" si="1"/>
        <v>0</v>
      </c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516"/>
      <c r="BV34" s="516"/>
      <c r="BW34" s="516"/>
      <c r="BX34" s="516"/>
      <c r="BY34" s="516"/>
      <c r="BZ34" s="516"/>
      <c r="CA34" s="516"/>
      <c r="CB34" s="516"/>
      <c r="CC34" s="516"/>
      <c r="CD34" s="516">
        <f t="shared" si="2"/>
        <v>0</v>
      </c>
      <c r="CE34" s="516"/>
      <c r="CF34" s="516"/>
      <c r="CG34" s="516"/>
      <c r="CH34" s="516"/>
      <c r="CI34" s="516"/>
      <c r="CJ34" s="516"/>
      <c r="CK34" s="516"/>
      <c r="CL34" s="516"/>
      <c r="CM34" s="516"/>
      <c r="CN34" s="516"/>
      <c r="CO34" s="516"/>
      <c r="CP34" s="516"/>
      <c r="CQ34" s="516"/>
      <c r="CR34" s="516"/>
      <c r="CS34" s="516"/>
      <c r="CT34" s="516"/>
      <c r="CU34" s="516"/>
      <c r="CV34" s="516"/>
      <c r="CW34" s="516"/>
      <c r="CX34" s="454"/>
      <c r="CY34" s="454"/>
      <c r="CZ34" s="454"/>
      <c r="DA34" s="454"/>
      <c r="DB34" s="454"/>
      <c r="DC34" s="454"/>
      <c r="DD34" s="454"/>
      <c r="DE34" s="454"/>
      <c r="DF34" s="454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454"/>
      <c r="DT34" s="454"/>
      <c r="DU34" s="454"/>
      <c r="DV34" s="454"/>
      <c r="DW34" s="454"/>
      <c r="DX34" s="454"/>
      <c r="DY34" s="454"/>
      <c r="DZ34" s="454"/>
      <c r="EA34" s="454"/>
      <c r="EB34" s="454"/>
      <c r="EC34" s="454"/>
      <c r="ED34" s="454"/>
      <c r="EE34" s="454"/>
      <c r="EF34" s="454"/>
      <c r="EG34" s="454"/>
      <c r="EH34" s="454"/>
      <c r="EI34" s="454"/>
      <c r="EJ34" s="454"/>
      <c r="EK34" s="454"/>
      <c r="EL34" s="454"/>
      <c r="EM34" s="454"/>
      <c r="EN34" s="454"/>
      <c r="EO34" s="454"/>
      <c r="EP34" s="454"/>
      <c r="EQ34" s="454"/>
      <c r="ER34" s="454"/>
      <c r="ES34" s="454"/>
      <c r="ET34" s="454"/>
      <c r="EU34" s="454"/>
      <c r="EV34" s="454"/>
      <c r="EW34" s="454"/>
      <c r="EX34" s="454"/>
      <c r="EY34" s="454"/>
      <c r="EZ34" s="454"/>
      <c r="FA34" s="454"/>
      <c r="FB34" s="454"/>
      <c r="FC34" s="454"/>
      <c r="FD34" s="454"/>
      <c r="FE34" s="454"/>
      <c r="FF34" s="454"/>
      <c r="FG34" s="454"/>
      <c r="FH34" s="454"/>
      <c r="FI34" s="454"/>
      <c r="FJ34" s="454"/>
      <c r="FK34" s="454"/>
      <c r="FL34" s="454"/>
      <c r="FM34" s="454"/>
      <c r="FN34" s="454"/>
      <c r="FO34" s="454"/>
      <c r="FP34" s="454"/>
      <c r="FQ34" s="290"/>
    </row>
    <row r="35" spans="1:173" s="4" customFormat="1">
      <c r="A35" s="56"/>
      <c r="B35" s="56"/>
      <c r="C35" s="522" t="s">
        <v>3632</v>
      </c>
      <c r="D35" s="522"/>
      <c r="E35" s="516">
        <v>20</v>
      </c>
      <c r="F35" s="516"/>
      <c r="G35" s="516"/>
      <c r="H35" s="516"/>
      <c r="I35" s="516"/>
      <c r="J35" s="516"/>
      <c r="K35" s="516"/>
      <c r="L35" s="516"/>
      <c r="M35" s="516"/>
      <c r="N35" s="516"/>
      <c r="O35" s="516">
        <f t="shared" si="7"/>
        <v>20</v>
      </c>
      <c r="P35" s="516"/>
      <c r="Q35" s="516"/>
      <c r="R35" s="516"/>
      <c r="S35" s="516"/>
      <c r="T35" s="516"/>
      <c r="U35" s="516" t="s">
        <v>1631</v>
      </c>
      <c r="V35" s="516"/>
      <c r="W35" s="516">
        <v>1</v>
      </c>
      <c r="X35" s="516"/>
      <c r="Y35" s="516"/>
      <c r="Z35" s="516">
        <v>1</v>
      </c>
      <c r="AA35" s="516"/>
      <c r="AB35" s="516"/>
      <c r="AC35" s="516"/>
      <c r="AD35" s="516"/>
      <c r="AE35" s="725"/>
      <c r="AF35" s="957"/>
      <c r="AG35" s="516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>
        <f t="shared" si="3"/>
        <v>0</v>
      </c>
      <c r="BA35" s="516">
        <f t="shared" si="4"/>
        <v>0</v>
      </c>
      <c r="BB35" s="516"/>
      <c r="BC35" s="516"/>
      <c r="BD35" s="516">
        <f t="shared" si="5"/>
        <v>1</v>
      </c>
      <c r="BE35" s="516">
        <f t="shared" si="6"/>
        <v>0</v>
      </c>
      <c r="BF35" s="516"/>
      <c r="BG35" s="516"/>
      <c r="BH35" s="516"/>
      <c r="BI35" s="516">
        <f t="shared" si="1"/>
        <v>0</v>
      </c>
      <c r="BJ35" s="516"/>
      <c r="BK35" s="516"/>
      <c r="BL35" s="516"/>
      <c r="BM35" s="516"/>
      <c r="BN35" s="516"/>
      <c r="BO35" s="516"/>
      <c r="BP35" s="516"/>
      <c r="BQ35" s="516"/>
      <c r="BR35" s="516"/>
      <c r="BS35" s="516">
        <v>1</v>
      </c>
      <c r="BT35" s="516"/>
      <c r="BU35" s="516"/>
      <c r="BV35" s="516"/>
      <c r="BW35" s="516"/>
      <c r="BX35" s="516"/>
      <c r="BY35" s="516"/>
      <c r="BZ35" s="516"/>
      <c r="CA35" s="516"/>
      <c r="CB35" s="516"/>
      <c r="CC35" s="516"/>
      <c r="CD35" s="516">
        <f t="shared" si="2"/>
        <v>0</v>
      </c>
      <c r="CE35" s="516"/>
      <c r="CF35" s="516"/>
      <c r="CG35" s="516"/>
      <c r="CH35" s="516"/>
      <c r="CI35" s="516"/>
      <c r="CJ35" s="516"/>
      <c r="CK35" s="516"/>
      <c r="CL35" s="516"/>
      <c r="CM35" s="516"/>
      <c r="CN35" s="516"/>
      <c r="CO35" s="516"/>
      <c r="CP35" s="516"/>
      <c r="CQ35" s="516"/>
      <c r="CR35" s="516"/>
      <c r="CS35" s="516"/>
      <c r="CT35" s="516"/>
      <c r="CU35" s="516"/>
      <c r="CV35" s="516"/>
      <c r="CW35" s="516"/>
      <c r="CX35" s="454"/>
      <c r="CY35" s="454"/>
      <c r="CZ35" s="454"/>
      <c r="DA35" s="454"/>
      <c r="DB35" s="454"/>
      <c r="DC35" s="454"/>
      <c r="DD35" s="454"/>
      <c r="DE35" s="454"/>
      <c r="DF35" s="454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454"/>
      <c r="DT35" s="454"/>
      <c r="DU35" s="454"/>
      <c r="DV35" s="454"/>
      <c r="DW35" s="454"/>
      <c r="DX35" s="454"/>
      <c r="DY35" s="454"/>
      <c r="DZ35" s="454"/>
      <c r="EA35" s="454"/>
      <c r="EB35" s="454"/>
      <c r="EC35" s="454"/>
      <c r="ED35" s="454"/>
      <c r="EE35" s="454"/>
      <c r="EF35" s="454"/>
      <c r="EG35" s="454"/>
      <c r="EH35" s="454"/>
      <c r="EI35" s="454"/>
      <c r="EJ35" s="454"/>
      <c r="EK35" s="454"/>
      <c r="EL35" s="454"/>
      <c r="EM35" s="454"/>
      <c r="EN35" s="454"/>
      <c r="EO35" s="454"/>
      <c r="EP35" s="454"/>
      <c r="EQ35" s="454"/>
      <c r="ER35" s="454"/>
      <c r="ES35" s="454"/>
      <c r="ET35" s="454"/>
      <c r="EU35" s="454"/>
      <c r="EV35" s="454"/>
      <c r="EW35" s="454"/>
      <c r="EX35" s="454"/>
      <c r="EY35" s="454"/>
      <c r="EZ35" s="454"/>
      <c r="FA35" s="454"/>
      <c r="FB35" s="454"/>
      <c r="FC35" s="454"/>
      <c r="FD35" s="454"/>
      <c r="FE35" s="454"/>
      <c r="FF35" s="454"/>
      <c r="FG35" s="454"/>
      <c r="FH35" s="512"/>
      <c r="FI35" s="512"/>
      <c r="FJ35" s="454"/>
      <c r="FK35" s="454"/>
      <c r="FL35" s="454"/>
      <c r="FM35" s="454"/>
      <c r="FN35" s="454"/>
      <c r="FO35" s="454"/>
      <c r="FP35" s="454"/>
      <c r="FQ35" s="290"/>
    </row>
    <row r="36" spans="1:173" s="4" customFormat="1">
      <c r="A36" s="56"/>
      <c r="B36" s="56"/>
      <c r="C36" s="522" t="s">
        <v>3633</v>
      </c>
      <c r="D36" s="522"/>
      <c r="E36" s="516">
        <v>19.8</v>
      </c>
      <c r="F36" s="516"/>
      <c r="G36" s="516"/>
      <c r="H36" s="516"/>
      <c r="I36" s="516"/>
      <c r="J36" s="516"/>
      <c r="K36" s="516"/>
      <c r="L36" s="516"/>
      <c r="M36" s="516"/>
      <c r="N36" s="516"/>
      <c r="O36" s="516">
        <f t="shared" si="7"/>
        <v>19.8</v>
      </c>
      <c r="P36" s="516"/>
      <c r="Q36" s="516"/>
      <c r="R36" s="516"/>
      <c r="S36" s="516"/>
      <c r="T36" s="516" t="s">
        <v>1631</v>
      </c>
      <c r="U36" s="516" t="s">
        <v>1631</v>
      </c>
      <c r="V36" s="516"/>
      <c r="W36" s="516"/>
      <c r="X36" s="516"/>
      <c r="Y36" s="516"/>
      <c r="Z36" s="516"/>
      <c r="AA36" s="516"/>
      <c r="AB36" s="516"/>
      <c r="AC36" s="516"/>
      <c r="AD36" s="516"/>
      <c r="AE36" s="725"/>
      <c r="AF36" s="957"/>
      <c r="AG36" s="516"/>
      <c r="AH36" s="516"/>
      <c r="AI36" s="516"/>
      <c r="AJ36" s="516"/>
      <c r="AK36" s="516"/>
      <c r="AL36" s="516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>
        <f t="shared" si="3"/>
        <v>0</v>
      </c>
      <c r="BA36" s="516">
        <f t="shared" si="4"/>
        <v>0</v>
      </c>
      <c r="BB36" s="516"/>
      <c r="BC36" s="516"/>
      <c r="BD36" s="516">
        <f t="shared" si="5"/>
        <v>1</v>
      </c>
      <c r="BE36" s="516">
        <f t="shared" si="6"/>
        <v>0</v>
      </c>
      <c r="BF36" s="516"/>
      <c r="BG36" s="516"/>
      <c r="BH36" s="516"/>
      <c r="BI36" s="516">
        <f t="shared" si="1"/>
        <v>0</v>
      </c>
      <c r="BJ36" s="516"/>
      <c r="BK36" s="516"/>
      <c r="BL36" s="516"/>
      <c r="BM36" s="516"/>
      <c r="BN36" s="516"/>
      <c r="BO36" s="516"/>
      <c r="BP36" s="516"/>
      <c r="BQ36" s="516"/>
      <c r="BR36" s="516"/>
      <c r="BS36" s="516">
        <v>1</v>
      </c>
      <c r="BT36" s="516"/>
      <c r="BU36" s="516"/>
      <c r="BV36" s="516"/>
      <c r="BW36" s="516"/>
      <c r="BX36" s="516"/>
      <c r="BY36" s="516"/>
      <c r="BZ36" s="516"/>
      <c r="CA36" s="516"/>
      <c r="CB36" s="516"/>
      <c r="CC36" s="516"/>
      <c r="CD36" s="516">
        <f t="shared" si="2"/>
        <v>0</v>
      </c>
      <c r="CE36" s="516"/>
      <c r="CF36" s="516"/>
      <c r="CG36" s="516"/>
      <c r="CH36" s="516"/>
      <c r="CI36" s="516"/>
      <c r="CJ36" s="516"/>
      <c r="CK36" s="516"/>
      <c r="CL36" s="516"/>
      <c r="CM36" s="516"/>
      <c r="CN36" s="516"/>
      <c r="CO36" s="516"/>
      <c r="CP36" s="516"/>
      <c r="CQ36" s="516"/>
      <c r="CR36" s="516"/>
      <c r="CS36" s="516"/>
      <c r="CT36" s="516"/>
      <c r="CU36" s="516"/>
      <c r="CV36" s="516"/>
      <c r="CW36" s="516"/>
      <c r="CX36" s="454"/>
      <c r="CY36" s="454"/>
      <c r="CZ36" s="454"/>
      <c r="DA36" s="454"/>
      <c r="DB36" s="454"/>
      <c r="DC36" s="454"/>
      <c r="DD36" s="454"/>
      <c r="DE36" s="454"/>
      <c r="DF36" s="454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454"/>
      <c r="DT36" s="454"/>
      <c r="DU36" s="454"/>
      <c r="DV36" s="454"/>
      <c r="DW36" s="454"/>
      <c r="DX36" s="454"/>
      <c r="DY36" s="454"/>
      <c r="DZ36" s="454"/>
      <c r="EA36" s="454"/>
      <c r="EB36" s="454"/>
      <c r="EC36" s="454"/>
      <c r="ED36" s="454"/>
      <c r="EE36" s="454"/>
      <c r="EF36" s="454"/>
      <c r="EG36" s="454"/>
      <c r="EH36" s="454"/>
      <c r="EI36" s="454"/>
      <c r="EJ36" s="454"/>
      <c r="EK36" s="454"/>
      <c r="EL36" s="454"/>
      <c r="EM36" s="454"/>
      <c r="EN36" s="454"/>
      <c r="EO36" s="454"/>
      <c r="EP36" s="454"/>
      <c r="EQ36" s="454"/>
      <c r="ER36" s="454"/>
      <c r="ES36" s="454"/>
      <c r="ET36" s="454"/>
      <c r="EU36" s="454"/>
      <c r="EV36" s="454"/>
      <c r="EW36" s="454"/>
      <c r="EX36" s="454"/>
      <c r="EY36" s="454"/>
      <c r="EZ36" s="454"/>
      <c r="FA36" s="454"/>
      <c r="FB36" s="454"/>
      <c r="FC36" s="454"/>
      <c r="FD36" s="454"/>
      <c r="FE36" s="454"/>
      <c r="FF36" s="454"/>
      <c r="FG36" s="454"/>
      <c r="FH36" s="454"/>
      <c r="FI36" s="454"/>
      <c r="FJ36" s="454"/>
      <c r="FK36" s="454"/>
      <c r="FL36" s="454"/>
      <c r="FM36" s="454"/>
      <c r="FN36" s="454"/>
      <c r="FO36" s="454"/>
      <c r="FP36" s="454"/>
      <c r="FQ36" s="290"/>
    </row>
    <row r="37" spans="1:173" s="4" customFormat="1">
      <c r="A37" s="56"/>
      <c r="B37" s="56"/>
      <c r="C37" s="522" t="s">
        <v>3634</v>
      </c>
      <c r="D37" s="522"/>
      <c r="E37" s="516">
        <v>35.200000000000003</v>
      </c>
      <c r="F37" s="516"/>
      <c r="G37" s="516"/>
      <c r="H37" s="516"/>
      <c r="I37" s="516"/>
      <c r="J37" s="516"/>
      <c r="K37" s="516"/>
      <c r="L37" s="516"/>
      <c r="M37" s="516"/>
      <c r="N37" s="516"/>
      <c r="O37" s="516">
        <f t="shared" si="7"/>
        <v>35.200000000000003</v>
      </c>
      <c r="P37" s="516"/>
      <c r="Q37" s="516"/>
      <c r="R37" s="516"/>
      <c r="S37" s="516"/>
      <c r="T37" s="516" t="s">
        <v>2989</v>
      </c>
      <c r="U37" s="516" t="s">
        <v>2989</v>
      </c>
      <c r="V37" s="516"/>
      <c r="W37" s="516"/>
      <c r="X37" s="516"/>
      <c r="Y37" s="516"/>
      <c r="Z37" s="516"/>
      <c r="AA37" s="516"/>
      <c r="AB37" s="516"/>
      <c r="AC37" s="516"/>
      <c r="AD37" s="516"/>
      <c r="AE37" s="725"/>
      <c r="AF37" s="957"/>
      <c r="AG37" s="516"/>
      <c r="AH37" s="516"/>
      <c r="AI37" s="516"/>
      <c r="AJ37" s="516"/>
      <c r="AK37" s="516"/>
      <c r="AL37" s="516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>
        <f t="shared" si="3"/>
        <v>0</v>
      </c>
      <c r="BA37" s="516">
        <f t="shared" si="4"/>
        <v>0</v>
      </c>
      <c r="BB37" s="516"/>
      <c r="BC37" s="516"/>
      <c r="BD37" s="516">
        <f t="shared" si="5"/>
        <v>2</v>
      </c>
      <c r="BE37" s="516">
        <f t="shared" si="6"/>
        <v>0</v>
      </c>
      <c r="BF37" s="516"/>
      <c r="BG37" s="516"/>
      <c r="BH37" s="516"/>
      <c r="BI37" s="516">
        <f t="shared" si="1"/>
        <v>0</v>
      </c>
      <c r="BJ37" s="516"/>
      <c r="BK37" s="516"/>
      <c r="BL37" s="516"/>
      <c r="BM37" s="516"/>
      <c r="BN37" s="516"/>
      <c r="BO37" s="516"/>
      <c r="BP37" s="516"/>
      <c r="BQ37" s="516"/>
      <c r="BR37" s="516"/>
      <c r="BS37" s="516"/>
      <c r="BT37" s="516"/>
      <c r="BU37" s="516"/>
      <c r="BV37" s="516"/>
      <c r="BW37" s="516"/>
      <c r="BX37" s="516">
        <v>2</v>
      </c>
      <c r="BY37" s="516"/>
      <c r="BZ37" s="516"/>
      <c r="CA37" s="516"/>
      <c r="CB37" s="516"/>
      <c r="CC37" s="516"/>
      <c r="CD37" s="516">
        <f t="shared" si="2"/>
        <v>0</v>
      </c>
      <c r="CE37" s="516"/>
      <c r="CF37" s="516"/>
      <c r="CG37" s="516"/>
      <c r="CH37" s="516"/>
      <c r="CI37" s="516"/>
      <c r="CJ37" s="516"/>
      <c r="CK37" s="516"/>
      <c r="CL37" s="516"/>
      <c r="CM37" s="516"/>
      <c r="CN37" s="516"/>
      <c r="CO37" s="516"/>
      <c r="CP37" s="516"/>
      <c r="CQ37" s="516"/>
      <c r="CR37" s="516"/>
      <c r="CS37" s="516"/>
      <c r="CT37" s="516"/>
      <c r="CU37" s="516"/>
      <c r="CV37" s="516"/>
      <c r="CW37" s="516"/>
      <c r="CX37" s="454"/>
      <c r="CY37" s="454"/>
      <c r="CZ37" s="454"/>
      <c r="DA37" s="454"/>
      <c r="DB37" s="454"/>
      <c r="DC37" s="454"/>
      <c r="DD37" s="454"/>
      <c r="DE37" s="454"/>
      <c r="DF37" s="454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454"/>
      <c r="DT37" s="454"/>
      <c r="DU37" s="454"/>
      <c r="DV37" s="454"/>
      <c r="DW37" s="454"/>
      <c r="DX37" s="454"/>
      <c r="DY37" s="454"/>
      <c r="DZ37" s="454"/>
      <c r="EA37" s="454"/>
      <c r="EB37" s="454"/>
      <c r="EC37" s="454"/>
      <c r="ED37" s="454"/>
      <c r="EE37" s="454"/>
      <c r="EF37" s="454"/>
      <c r="EG37" s="454"/>
      <c r="EH37" s="454"/>
      <c r="EI37" s="454"/>
      <c r="EJ37" s="454"/>
      <c r="EK37" s="454"/>
      <c r="EL37" s="454"/>
      <c r="EM37" s="454"/>
      <c r="EN37" s="454"/>
      <c r="EO37" s="454"/>
      <c r="EP37" s="454"/>
      <c r="EQ37" s="454"/>
      <c r="ER37" s="454"/>
      <c r="ES37" s="454"/>
      <c r="ET37" s="454"/>
      <c r="EU37" s="454"/>
      <c r="EV37" s="454"/>
      <c r="EW37" s="454"/>
      <c r="EX37" s="454"/>
      <c r="EY37" s="454"/>
      <c r="EZ37" s="454"/>
      <c r="FA37" s="454"/>
      <c r="FB37" s="454"/>
      <c r="FC37" s="454"/>
      <c r="FD37" s="454"/>
      <c r="FE37" s="454"/>
      <c r="FF37" s="454"/>
      <c r="FG37" s="454"/>
      <c r="FH37" s="454"/>
      <c r="FI37" s="454"/>
      <c r="FJ37" s="454"/>
      <c r="FK37" s="454"/>
      <c r="FL37" s="454"/>
      <c r="FM37" s="454"/>
      <c r="FN37" s="454"/>
      <c r="FO37" s="454"/>
      <c r="FP37" s="454"/>
      <c r="FQ37" s="290"/>
    </row>
    <row r="38" spans="1:173" s="4" customFormat="1">
      <c r="A38" s="56"/>
      <c r="B38" s="56"/>
      <c r="C38" s="522" t="s">
        <v>3635</v>
      </c>
      <c r="D38" s="522"/>
      <c r="E38" s="516">
        <v>28.4</v>
      </c>
      <c r="F38" s="516"/>
      <c r="G38" s="516"/>
      <c r="H38" s="516"/>
      <c r="I38" s="516"/>
      <c r="J38" s="516"/>
      <c r="K38" s="516"/>
      <c r="L38" s="516"/>
      <c r="M38" s="516"/>
      <c r="N38" s="516"/>
      <c r="O38" s="516">
        <f t="shared" si="7"/>
        <v>28.4</v>
      </c>
      <c r="P38" s="516"/>
      <c r="Q38" s="516"/>
      <c r="R38" s="516"/>
      <c r="S38" s="516"/>
      <c r="T38" s="516" t="s">
        <v>1631</v>
      </c>
      <c r="U38" s="516" t="s">
        <v>1631</v>
      </c>
      <c r="V38" s="516"/>
      <c r="W38" s="516"/>
      <c r="X38" s="516"/>
      <c r="Y38" s="516"/>
      <c r="Z38" s="516"/>
      <c r="AA38" s="516"/>
      <c r="AB38" s="516"/>
      <c r="AC38" s="516"/>
      <c r="AD38" s="516"/>
      <c r="AE38" s="725"/>
      <c r="AF38" s="957"/>
      <c r="AG38" s="516"/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6"/>
      <c r="AS38" s="516"/>
      <c r="AT38" s="516"/>
      <c r="AU38" s="516">
        <v>1</v>
      </c>
      <c r="AV38" s="516"/>
      <c r="AW38" s="516">
        <v>1</v>
      </c>
      <c r="AX38" s="516"/>
      <c r="AY38" s="516"/>
      <c r="AZ38" s="516">
        <f t="shared" si="3"/>
        <v>2</v>
      </c>
      <c r="BA38" s="516">
        <f t="shared" si="4"/>
        <v>0</v>
      </c>
      <c r="BB38" s="516"/>
      <c r="BC38" s="516"/>
      <c r="BD38" s="516">
        <f t="shared" si="5"/>
        <v>1</v>
      </c>
      <c r="BE38" s="516">
        <f t="shared" si="6"/>
        <v>0</v>
      </c>
      <c r="BF38" s="516"/>
      <c r="BG38" s="516"/>
      <c r="BH38" s="516"/>
      <c r="BI38" s="516">
        <f t="shared" si="1"/>
        <v>7</v>
      </c>
      <c r="BJ38" s="516"/>
      <c r="BK38" s="516"/>
      <c r="BL38" s="516"/>
      <c r="BM38" s="516"/>
      <c r="BN38" s="516"/>
      <c r="BO38" s="516"/>
      <c r="BP38" s="516"/>
      <c r="BQ38" s="516"/>
      <c r="BR38" s="516"/>
      <c r="BS38" s="516">
        <v>1</v>
      </c>
      <c r="BT38" s="516"/>
      <c r="BU38" s="516"/>
      <c r="BV38" s="516"/>
      <c r="BW38" s="516"/>
      <c r="BX38" s="516"/>
      <c r="BY38" s="516"/>
      <c r="BZ38" s="516"/>
      <c r="CA38" s="516"/>
      <c r="CB38" s="516">
        <v>1</v>
      </c>
      <c r="CC38" s="516"/>
      <c r="CD38" s="516">
        <f t="shared" si="2"/>
        <v>4</v>
      </c>
      <c r="CE38" s="516"/>
      <c r="CF38" s="516"/>
      <c r="CG38" s="516"/>
      <c r="CH38" s="516"/>
      <c r="CI38" s="516"/>
      <c r="CJ38" s="516"/>
      <c r="CK38" s="516"/>
      <c r="CL38" s="516"/>
      <c r="CM38" s="516"/>
      <c r="CN38" s="516"/>
      <c r="CO38" s="516"/>
      <c r="CP38" s="516"/>
      <c r="CQ38" s="516"/>
      <c r="CR38" s="516"/>
      <c r="CS38" s="516"/>
      <c r="CT38" s="516"/>
      <c r="CU38" s="516"/>
      <c r="CV38" s="516"/>
      <c r="CW38" s="516"/>
      <c r="CX38" s="454"/>
      <c r="CY38" s="454"/>
      <c r="CZ38" s="454"/>
      <c r="DA38" s="454"/>
      <c r="DB38" s="454"/>
      <c r="DC38" s="454"/>
      <c r="DD38" s="454"/>
      <c r="DE38" s="454"/>
      <c r="DF38" s="454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454"/>
      <c r="DT38" s="454"/>
      <c r="DU38" s="454"/>
      <c r="DV38" s="454"/>
      <c r="DW38" s="454"/>
      <c r="DX38" s="454"/>
      <c r="DY38" s="454"/>
      <c r="DZ38" s="454"/>
      <c r="EA38" s="454"/>
      <c r="EB38" s="454"/>
      <c r="EC38" s="454"/>
      <c r="ED38" s="454"/>
      <c r="EE38" s="454"/>
      <c r="EF38" s="454"/>
      <c r="EG38" s="454"/>
      <c r="EH38" s="454"/>
      <c r="EI38" s="454"/>
      <c r="EJ38" s="454"/>
      <c r="EK38" s="454"/>
      <c r="EL38" s="454"/>
      <c r="EM38" s="454"/>
      <c r="EN38" s="454"/>
      <c r="EO38" s="454"/>
      <c r="EP38" s="454"/>
      <c r="EQ38" s="454"/>
      <c r="ER38" s="454"/>
      <c r="ES38" s="454"/>
      <c r="ET38" s="454"/>
      <c r="EU38" s="454"/>
      <c r="EV38" s="454"/>
      <c r="EW38" s="454"/>
      <c r="EX38" s="454"/>
      <c r="EY38" s="454"/>
      <c r="EZ38" s="454"/>
      <c r="FA38" s="454"/>
      <c r="FB38" s="454"/>
      <c r="FC38" s="454"/>
      <c r="FD38" s="454"/>
      <c r="FE38" s="454"/>
      <c r="FF38" s="454"/>
      <c r="FG38" s="454"/>
      <c r="FH38" s="454"/>
      <c r="FI38" s="454"/>
      <c r="FJ38" s="454"/>
      <c r="FK38" s="454"/>
      <c r="FL38" s="454"/>
      <c r="FM38" s="454"/>
      <c r="FN38" s="454"/>
      <c r="FO38" s="454"/>
      <c r="FP38" s="454"/>
      <c r="FQ38" s="290"/>
    </row>
    <row r="39" spans="1:173" s="4" customFormat="1">
      <c r="A39" s="56"/>
      <c r="B39" s="56"/>
      <c r="C39" s="522" t="s">
        <v>3636</v>
      </c>
      <c r="D39" s="522"/>
      <c r="E39" s="516">
        <v>28.7</v>
      </c>
      <c r="F39" s="516"/>
      <c r="G39" s="516"/>
      <c r="H39" s="516"/>
      <c r="I39" s="516"/>
      <c r="J39" s="516"/>
      <c r="K39" s="516"/>
      <c r="L39" s="516"/>
      <c r="M39" s="516"/>
      <c r="N39" s="516"/>
      <c r="O39" s="516">
        <f t="shared" si="7"/>
        <v>28.7</v>
      </c>
      <c r="P39" s="516"/>
      <c r="Q39" s="516"/>
      <c r="R39" s="516"/>
      <c r="S39" s="516"/>
      <c r="T39" s="516" t="s">
        <v>1903</v>
      </c>
      <c r="U39" s="516" t="s">
        <v>1903</v>
      </c>
      <c r="V39" s="516"/>
      <c r="W39" s="516"/>
      <c r="X39" s="516"/>
      <c r="Y39" s="516"/>
      <c r="Z39" s="516"/>
      <c r="AA39" s="516"/>
      <c r="AB39" s="516"/>
      <c r="AC39" s="516"/>
      <c r="AD39" s="516"/>
      <c r="AE39" s="725"/>
      <c r="AF39" s="957"/>
      <c r="AG39" s="516"/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>
        <f t="shared" si="3"/>
        <v>0</v>
      </c>
      <c r="BA39" s="516">
        <f t="shared" si="4"/>
        <v>0</v>
      </c>
      <c r="BB39" s="516"/>
      <c r="BC39" s="516"/>
      <c r="BD39" s="516">
        <f t="shared" si="5"/>
        <v>1</v>
      </c>
      <c r="BE39" s="516">
        <f t="shared" si="6"/>
        <v>0</v>
      </c>
      <c r="BF39" s="516"/>
      <c r="BG39" s="516"/>
      <c r="BH39" s="516"/>
      <c r="BI39" s="516">
        <f t="shared" si="1"/>
        <v>0</v>
      </c>
      <c r="BJ39" s="516"/>
      <c r="BK39" s="516"/>
      <c r="BL39" s="516"/>
      <c r="BM39" s="516"/>
      <c r="BN39" s="516"/>
      <c r="BO39" s="516"/>
      <c r="BP39" s="516"/>
      <c r="BQ39" s="516">
        <v>1</v>
      </c>
      <c r="BR39" s="516"/>
      <c r="BS39" s="516">
        <v>2</v>
      </c>
      <c r="BT39" s="516"/>
      <c r="BU39" s="516"/>
      <c r="BV39" s="516"/>
      <c r="BW39" s="516"/>
      <c r="BX39" s="516"/>
      <c r="BY39" s="516"/>
      <c r="BZ39" s="516"/>
      <c r="CA39" s="516"/>
      <c r="CB39" s="516"/>
      <c r="CC39" s="516"/>
      <c r="CD39" s="516">
        <f t="shared" si="2"/>
        <v>0</v>
      </c>
      <c r="CE39" s="516"/>
      <c r="CF39" s="516"/>
      <c r="CG39" s="516"/>
      <c r="CH39" s="516"/>
      <c r="CI39" s="516"/>
      <c r="CJ39" s="516"/>
      <c r="CK39" s="516"/>
      <c r="CL39" s="516"/>
      <c r="CM39" s="516"/>
      <c r="CN39" s="516"/>
      <c r="CO39" s="516"/>
      <c r="CP39" s="516"/>
      <c r="CQ39" s="516"/>
      <c r="CR39" s="516"/>
      <c r="CS39" s="516"/>
      <c r="CT39" s="516"/>
      <c r="CU39" s="516"/>
      <c r="CV39" s="516"/>
      <c r="CW39" s="516"/>
      <c r="CX39" s="454"/>
      <c r="CY39" s="454"/>
      <c r="CZ39" s="454"/>
      <c r="DA39" s="454"/>
      <c r="DB39" s="454"/>
      <c r="DC39" s="454"/>
      <c r="DD39" s="454"/>
      <c r="DE39" s="454"/>
      <c r="DF39" s="454"/>
      <c r="DG39" s="517"/>
      <c r="DH39" s="517"/>
      <c r="DI39" s="517"/>
      <c r="DJ39" s="517"/>
      <c r="DK39" s="517"/>
      <c r="DL39" s="517"/>
      <c r="DM39" s="517"/>
      <c r="DN39" s="517"/>
      <c r="DO39" s="517"/>
      <c r="DP39" s="517"/>
      <c r="DQ39" s="517"/>
      <c r="DR39" s="517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290"/>
    </row>
    <row r="40" spans="1:173" s="4" customFormat="1">
      <c r="A40" s="56"/>
      <c r="B40" s="56"/>
      <c r="C40" s="522" t="s">
        <v>3637</v>
      </c>
      <c r="D40" s="522"/>
      <c r="E40" s="516">
        <v>32.799999999999997</v>
      </c>
      <c r="F40" s="516"/>
      <c r="G40" s="516"/>
      <c r="H40" s="516"/>
      <c r="I40" s="516"/>
      <c r="J40" s="516"/>
      <c r="K40" s="516"/>
      <c r="L40" s="516"/>
      <c r="M40" s="516"/>
      <c r="N40" s="516"/>
      <c r="O40" s="516">
        <f t="shared" si="7"/>
        <v>32.799999999999997</v>
      </c>
      <c r="P40" s="516"/>
      <c r="Q40" s="516"/>
      <c r="R40" s="516"/>
      <c r="S40" s="516"/>
      <c r="T40" s="516" t="s">
        <v>1903</v>
      </c>
      <c r="U40" s="516" t="s">
        <v>1903</v>
      </c>
      <c r="V40" s="516"/>
      <c r="W40" s="516"/>
      <c r="X40" s="516"/>
      <c r="Y40" s="516"/>
      <c r="Z40" s="516"/>
      <c r="AA40" s="516"/>
      <c r="AB40" s="516"/>
      <c r="AC40" s="516"/>
      <c r="AD40" s="516"/>
      <c r="AE40" s="725"/>
      <c r="AF40" s="957"/>
      <c r="AG40" s="516"/>
      <c r="AH40" s="516"/>
      <c r="AI40" s="516"/>
      <c r="AJ40" s="516"/>
      <c r="AK40" s="516"/>
      <c r="AL40" s="516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>
        <v>1</v>
      </c>
      <c r="AX40" s="516"/>
      <c r="AY40" s="516"/>
      <c r="AZ40" s="516">
        <f t="shared" si="3"/>
        <v>2</v>
      </c>
      <c r="BA40" s="516">
        <f t="shared" si="4"/>
        <v>0</v>
      </c>
      <c r="BB40" s="516"/>
      <c r="BC40" s="516"/>
      <c r="BD40" s="516">
        <f t="shared" si="5"/>
        <v>1</v>
      </c>
      <c r="BE40" s="516">
        <f t="shared" si="6"/>
        <v>0</v>
      </c>
      <c r="BF40" s="516"/>
      <c r="BG40" s="516"/>
      <c r="BH40" s="516"/>
      <c r="BI40" s="516">
        <f t="shared" si="1"/>
        <v>5</v>
      </c>
      <c r="BJ40" s="516"/>
      <c r="BK40" s="516"/>
      <c r="BL40" s="516"/>
      <c r="BM40" s="516"/>
      <c r="BN40" s="516"/>
      <c r="BO40" s="516"/>
      <c r="BP40" s="516"/>
      <c r="BQ40" s="516">
        <v>1</v>
      </c>
      <c r="BR40" s="516"/>
      <c r="BS40" s="516">
        <v>2</v>
      </c>
      <c r="BT40" s="516"/>
      <c r="BU40" s="516"/>
      <c r="BV40" s="516"/>
      <c r="BW40" s="516"/>
      <c r="BX40" s="516"/>
      <c r="BY40" s="516"/>
      <c r="BZ40" s="516"/>
      <c r="CA40" s="516"/>
      <c r="CB40" s="516">
        <v>1</v>
      </c>
      <c r="CC40" s="516"/>
      <c r="CD40" s="516">
        <f t="shared" si="2"/>
        <v>4</v>
      </c>
      <c r="CE40" s="516"/>
      <c r="CF40" s="516"/>
      <c r="CG40" s="516"/>
      <c r="CH40" s="516"/>
      <c r="CI40" s="516"/>
      <c r="CJ40" s="516"/>
      <c r="CK40" s="516"/>
      <c r="CL40" s="516"/>
      <c r="CM40" s="516"/>
      <c r="CN40" s="516"/>
      <c r="CO40" s="516"/>
      <c r="CP40" s="516"/>
      <c r="CQ40" s="516"/>
      <c r="CR40" s="516"/>
      <c r="CS40" s="516"/>
      <c r="CT40" s="516"/>
      <c r="CU40" s="516"/>
      <c r="CV40" s="516"/>
      <c r="CW40" s="516"/>
      <c r="CX40" s="454"/>
      <c r="CY40" s="454"/>
      <c r="CZ40" s="454"/>
      <c r="DA40" s="454"/>
      <c r="DB40" s="454"/>
      <c r="DC40" s="454"/>
      <c r="DD40" s="454"/>
      <c r="DE40" s="454"/>
      <c r="DF40" s="454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454"/>
      <c r="DT40" s="454"/>
      <c r="DU40" s="454"/>
      <c r="DV40" s="454"/>
      <c r="DW40" s="454"/>
      <c r="DX40" s="454"/>
      <c r="DY40" s="454"/>
      <c r="DZ40" s="454"/>
      <c r="EA40" s="454"/>
      <c r="EB40" s="454"/>
      <c r="EC40" s="454"/>
      <c r="ED40" s="454"/>
      <c r="EE40" s="454"/>
      <c r="EF40" s="454"/>
      <c r="EG40" s="454"/>
      <c r="EH40" s="454"/>
      <c r="EI40" s="454"/>
      <c r="EJ40" s="454"/>
      <c r="EK40" s="454"/>
      <c r="EL40" s="454"/>
      <c r="EM40" s="454"/>
      <c r="EN40" s="454"/>
      <c r="EO40" s="454"/>
      <c r="EP40" s="454"/>
      <c r="EQ40" s="454"/>
      <c r="ER40" s="454"/>
      <c r="ES40" s="454"/>
      <c r="ET40" s="454"/>
      <c r="EU40" s="454"/>
      <c r="EV40" s="454"/>
      <c r="EW40" s="454"/>
      <c r="EX40" s="454"/>
      <c r="EY40" s="454"/>
      <c r="EZ40" s="454"/>
      <c r="FA40" s="454"/>
      <c r="FB40" s="454"/>
      <c r="FC40" s="454"/>
      <c r="FD40" s="454"/>
      <c r="FE40" s="454"/>
      <c r="FF40" s="454"/>
      <c r="FG40" s="454"/>
      <c r="FH40" s="454"/>
      <c r="FI40" s="454"/>
      <c r="FJ40" s="454"/>
      <c r="FK40" s="454"/>
      <c r="FL40" s="454"/>
      <c r="FM40" s="454"/>
      <c r="FN40" s="454"/>
      <c r="FO40" s="454"/>
      <c r="FP40" s="454"/>
      <c r="FQ40" s="290"/>
    </row>
    <row r="41" spans="1:173" s="4" customFormat="1">
      <c r="A41" s="56"/>
      <c r="B41" s="56"/>
      <c r="C41" s="522" t="s">
        <v>3638</v>
      </c>
      <c r="D41" s="522"/>
      <c r="E41" s="516">
        <v>25.5</v>
      </c>
      <c r="F41" s="516"/>
      <c r="G41" s="516"/>
      <c r="H41" s="516"/>
      <c r="I41" s="516"/>
      <c r="J41" s="516"/>
      <c r="K41" s="516"/>
      <c r="L41" s="516"/>
      <c r="M41" s="516"/>
      <c r="N41" s="516"/>
      <c r="O41" s="516">
        <f t="shared" si="7"/>
        <v>25.5</v>
      </c>
      <c r="P41" s="516"/>
      <c r="Q41" s="516"/>
      <c r="R41" s="516"/>
      <c r="S41" s="516"/>
      <c r="T41" s="516" t="s">
        <v>1631</v>
      </c>
      <c r="U41" s="516" t="s">
        <v>1631</v>
      </c>
      <c r="V41" s="516"/>
      <c r="W41" s="516"/>
      <c r="X41" s="516"/>
      <c r="Y41" s="516"/>
      <c r="Z41" s="516"/>
      <c r="AA41" s="516"/>
      <c r="AB41" s="516"/>
      <c r="AC41" s="516"/>
      <c r="AD41" s="516"/>
      <c r="AE41" s="725"/>
      <c r="AF41" s="957"/>
      <c r="AG41" s="516"/>
      <c r="AH41" s="516"/>
      <c r="AI41" s="516"/>
      <c r="AJ41" s="516"/>
      <c r="AK41" s="516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>
        <f t="shared" si="3"/>
        <v>1</v>
      </c>
      <c r="BA41" s="516">
        <f t="shared" si="4"/>
        <v>0</v>
      </c>
      <c r="BB41" s="516"/>
      <c r="BC41" s="516"/>
      <c r="BD41" s="516">
        <f t="shared" si="5"/>
        <v>1</v>
      </c>
      <c r="BE41" s="516">
        <f t="shared" si="6"/>
        <v>0</v>
      </c>
      <c r="BF41" s="516"/>
      <c r="BG41" s="516"/>
      <c r="BH41" s="516"/>
      <c r="BI41" s="516">
        <f t="shared" si="1"/>
        <v>5</v>
      </c>
      <c r="BJ41" s="516"/>
      <c r="BK41" s="516"/>
      <c r="BL41" s="516"/>
      <c r="BM41" s="516"/>
      <c r="BN41" s="516"/>
      <c r="BO41" s="516"/>
      <c r="BP41" s="516"/>
      <c r="BQ41" s="516"/>
      <c r="BR41" s="516"/>
      <c r="BS41" s="516">
        <v>1</v>
      </c>
      <c r="BT41" s="516"/>
      <c r="BU41" s="516"/>
      <c r="BV41" s="516"/>
      <c r="BW41" s="516"/>
      <c r="BX41" s="516"/>
      <c r="BY41" s="516"/>
      <c r="BZ41" s="516"/>
      <c r="CA41" s="516"/>
      <c r="CB41" s="516">
        <v>1</v>
      </c>
      <c r="CC41" s="516"/>
      <c r="CD41" s="516">
        <f t="shared" si="2"/>
        <v>4</v>
      </c>
      <c r="CE41" s="516"/>
      <c r="CF41" s="516"/>
      <c r="CG41" s="516"/>
      <c r="CH41" s="516"/>
      <c r="CI41" s="516"/>
      <c r="CJ41" s="516"/>
      <c r="CK41" s="516"/>
      <c r="CL41" s="516"/>
      <c r="CM41" s="516"/>
      <c r="CN41" s="516"/>
      <c r="CO41" s="516"/>
      <c r="CP41" s="516"/>
      <c r="CQ41" s="516"/>
      <c r="CR41" s="516"/>
      <c r="CS41" s="516"/>
      <c r="CT41" s="516"/>
      <c r="CU41" s="516"/>
      <c r="CV41" s="516"/>
      <c r="CW41" s="516"/>
      <c r="CX41" s="454"/>
      <c r="CY41" s="454"/>
      <c r="CZ41" s="454"/>
      <c r="DA41" s="454"/>
      <c r="DB41" s="454"/>
      <c r="DC41" s="454"/>
      <c r="DD41" s="454"/>
      <c r="DE41" s="454"/>
      <c r="DF41" s="454"/>
      <c r="DG41" s="517"/>
      <c r="DH41" s="517"/>
      <c r="DI41" s="517"/>
      <c r="DJ41" s="517"/>
      <c r="DK41" s="517"/>
      <c r="DL41" s="517"/>
      <c r="DM41" s="517"/>
      <c r="DN41" s="517"/>
      <c r="DO41" s="517"/>
      <c r="DP41" s="517"/>
      <c r="DQ41" s="517"/>
      <c r="DR41" s="517"/>
      <c r="DS41" s="454"/>
      <c r="DT41" s="454"/>
      <c r="DU41" s="454"/>
      <c r="DV41" s="454"/>
      <c r="DW41" s="454"/>
      <c r="DX41" s="454"/>
      <c r="DY41" s="454"/>
      <c r="DZ41" s="454"/>
      <c r="EA41" s="454"/>
      <c r="EB41" s="454"/>
      <c r="EC41" s="454"/>
      <c r="ED41" s="454"/>
      <c r="EE41" s="454"/>
      <c r="EF41" s="454"/>
      <c r="EG41" s="454"/>
      <c r="EH41" s="454"/>
      <c r="EI41" s="454"/>
      <c r="EJ41" s="454"/>
      <c r="EK41" s="454"/>
      <c r="EL41" s="454"/>
      <c r="EM41" s="454"/>
      <c r="EN41" s="454"/>
      <c r="EO41" s="454"/>
      <c r="EP41" s="454"/>
      <c r="EQ41" s="454"/>
      <c r="ER41" s="454"/>
      <c r="ES41" s="454"/>
      <c r="ET41" s="454"/>
      <c r="EU41" s="454"/>
      <c r="EV41" s="454"/>
      <c r="EW41" s="454"/>
      <c r="EX41" s="454"/>
      <c r="EY41" s="454"/>
      <c r="EZ41" s="454"/>
      <c r="FA41" s="454"/>
      <c r="FB41" s="454"/>
      <c r="FC41" s="454"/>
      <c r="FD41" s="454"/>
      <c r="FE41" s="454"/>
      <c r="FF41" s="454"/>
      <c r="FG41" s="454"/>
      <c r="FH41" s="454"/>
      <c r="FI41" s="454"/>
      <c r="FJ41" s="454"/>
      <c r="FK41" s="454"/>
      <c r="FL41" s="454"/>
      <c r="FM41" s="454"/>
      <c r="FN41" s="454"/>
      <c r="FO41" s="454"/>
      <c r="FP41" s="454"/>
      <c r="FQ41" s="290"/>
    </row>
    <row r="42" spans="1:173" s="4" customFormat="1">
      <c r="A42" s="56"/>
      <c r="B42" s="56"/>
      <c r="C42" s="522" t="s">
        <v>3639</v>
      </c>
      <c r="D42" s="522"/>
      <c r="E42" s="516">
        <v>25.1</v>
      </c>
      <c r="F42" s="516"/>
      <c r="G42" s="516"/>
      <c r="H42" s="516"/>
      <c r="I42" s="516"/>
      <c r="J42" s="516"/>
      <c r="K42" s="516"/>
      <c r="L42" s="516"/>
      <c r="M42" s="516"/>
      <c r="N42" s="516"/>
      <c r="O42" s="516">
        <f t="shared" si="7"/>
        <v>25.1</v>
      </c>
      <c r="P42" s="516"/>
      <c r="Q42" s="516"/>
      <c r="R42" s="516"/>
      <c r="S42" s="516"/>
      <c r="T42" s="516" t="s">
        <v>2989</v>
      </c>
      <c r="U42" s="516" t="s">
        <v>3718</v>
      </c>
      <c r="V42" s="516"/>
      <c r="W42" s="516">
        <v>2</v>
      </c>
      <c r="X42" s="516"/>
      <c r="Y42" s="516"/>
      <c r="Z42" s="516"/>
      <c r="AA42" s="516"/>
      <c r="AB42" s="516"/>
      <c r="AC42" s="516"/>
      <c r="AD42" s="516"/>
      <c r="AE42" s="725">
        <v>1</v>
      </c>
      <c r="AF42" s="957"/>
      <c r="AG42" s="516"/>
      <c r="AH42" s="516"/>
      <c r="AI42" s="516"/>
      <c r="AJ42" s="516"/>
      <c r="AK42" s="516"/>
      <c r="AL42" s="516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>
        <v>1</v>
      </c>
      <c r="AX42" s="516"/>
      <c r="AY42" s="516"/>
      <c r="AZ42" s="516">
        <f t="shared" si="3"/>
        <v>2</v>
      </c>
      <c r="BA42" s="516">
        <f t="shared" si="4"/>
        <v>0</v>
      </c>
      <c r="BB42" s="516"/>
      <c r="BC42" s="516"/>
      <c r="BD42" s="516">
        <v>2</v>
      </c>
      <c r="BE42" s="516">
        <f t="shared" si="6"/>
        <v>0</v>
      </c>
      <c r="BF42" s="516">
        <v>1</v>
      </c>
      <c r="BG42" s="516"/>
      <c r="BH42" s="516"/>
      <c r="BI42" s="516">
        <f t="shared" si="1"/>
        <v>5</v>
      </c>
      <c r="BJ42" s="516"/>
      <c r="BK42" s="516"/>
      <c r="BL42" s="516"/>
      <c r="BM42" s="516"/>
      <c r="BN42" s="516"/>
      <c r="BO42" s="516"/>
      <c r="BP42" s="516"/>
      <c r="BQ42" s="516"/>
      <c r="BR42" s="516"/>
      <c r="BS42" s="516"/>
      <c r="BT42" s="516"/>
      <c r="BU42" s="516"/>
      <c r="BV42" s="516"/>
      <c r="BW42" s="516"/>
      <c r="BX42" s="516">
        <v>3</v>
      </c>
      <c r="BY42" s="516"/>
      <c r="BZ42" s="516"/>
      <c r="CA42" s="516"/>
      <c r="CB42" s="516">
        <v>1</v>
      </c>
      <c r="CC42" s="516"/>
      <c r="CD42" s="516">
        <f t="shared" si="2"/>
        <v>4</v>
      </c>
      <c r="CE42" s="516"/>
      <c r="CF42" s="516"/>
      <c r="CG42" s="516"/>
      <c r="CH42" s="516"/>
      <c r="CI42" s="516"/>
      <c r="CJ42" s="516"/>
      <c r="CK42" s="516"/>
      <c r="CL42" s="516"/>
      <c r="CM42" s="516">
        <v>8</v>
      </c>
      <c r="CN42" s="516"/>
      <c r="CO42" s="516"/>
      <c r="CP42" s="516"/>
      <c r="CQ42" s="516"/>
      <c r="CR42" s="516"/>
      <c r="CS42" s="516"/>
      <c r="CT42" s="516"/>
      <c r="CU42" s="516"/>
      <c r="CV42" s="516"/>
      <c r="CW42" s="516"/>
      <c r="CX42" s="454"/>
      <c r="CY42" s="454"/>
      <c r="CZ42" s="454"/>
      <c r="DA42" s="454"/>
      <c r="DB42" s="454"/>
      <c r="DC42" s="454"/>
      <c r="DD42" s="454"/>
      <c r="DE42" s="454"/>
      <c r="DF42" s="454"/>
      <c r="DG42" s="517"/>
      <c r="DH42" s="517"/>
      <c r="DI42" s="517"/>
      <c r="DJ42" s="517"/>
      <c r="DK42" s="517"/>
      <c r="DL42" s="517"/>
      <c r="DM42" s="517"/>
      <c r="DN42" s="517"/>
      <c r="DO42" s="517"/>
      <c r="DP42" s="517"/>
      <c r="DQ42" s="517"/>
      <c r="DR42" s="517"/>
      <c r="DS42" s="454"/>
      <c r="DT42" s="454"/>
      <c r="DU42" s="454"/>
      <c r="DV42" s="454"/>
      <c r="DW42" s="454"/>
      <c r="DX42" s="454"/>
      <c r="DY42" s="454"/>
      <c r="DZ42" s="454"/>
      <c r="EA42" s="454"/>
      <c r="EB42" s="454"/>
      <c r="EC42" s="454"/>
      <c r="ED42" s="454"/>
      <c r="EE42" s="454"/>
      <c r="EF42" s="454"/>
      <c r="EG42" s="454"/>
      <c r="EH42" s="454"/>
      <c r="EI42" s="454"/>
      <c r="EJ42" s="454"/>
      <c r="EK42" s="454"/>
      <c r="EL42" s="454"/>
      <c r="EM42" s="454"/>
      <c r="EN42" s="454"/>
      <c r="EO42" s="454"/>
      <c r="EP42" s="454"/>
      <c r="EQ42" s="454"/>
      <c r="ER42" s="454"/>
      <c r="ES42" s="454"/>
      <c r="ET42" s="454"/>
      <c r="EU42" s="454"/>
      <c r="EV42" s="454"/>
      <c r="EW42" s="454"/>
      <c r="EX42" s="454"/>
      <c r="EY42" s="454"/>
      <c r="EZ42" s="454"/>
      <c r="FA42" s="454"/>
      <c r="FB42" s="454"/>
      <c r="FC42" s="454"/>
      <c r="FD42" s="454"/>
      <c r="FE42" s="454"/>
      <c r="FF42" s="454"/>
      <c r="FG42" s="454"/>
      <c r="FH42" s="454"/>
      <c r="FI42" s="454"/>
      <c r="FJ42" s="454"/>
      <c r="FK42" s="454"/>
      <c r="FL42" s="454"/>
      <c r="FM42" s="454"/>
      <c r="FN42" s="454"/>
      <c r="FO42" s="454"/>
      <c r="FP42" s="454"/>
      <c r="FQ42" s="290"/>
    </row>
    <row r="43" spans="1:173" s="4" customFormat="1">
      <c r="A43" s="56"/>
      <c r="B43" s="56"/>
      <c r="C43" s="522" t="s">
        <v>3640</v>
      </c>
      <c r="D43" s="522"/>
      <c r="E43" s="516">
        <v>30</v>
      </c>
      <c r="F43" s="516"/>
      <c r="G43" s="516"/>
      <c r="H43" s="516"/>
      <c r="I43" s="516"/>
      <c r="J43" s="516"/>
      <c r="K43" s="516"/>
      <c r="L43" s="516"/>
      <c r="M43" s="516"/>
      <c r="N43" s="516"/>
      <c r="O43" s="516">
        <f t="shared" si="7"/>
        <v>30</v>
      </c>
      <c r="P43" s="516"/>
      <c r="Q43" s="516"/>
      <c r="R43" s="516"/>
      <c r="S43" s="516"/>
      <c r="T43" s="516"/>
      <c r="U43" s="516" t="s">
        <v>1631</v>
      </c>
      <c r="V43" s="516"/>
      <c r="W43" s="516">
        <v>1</v>
      </c>
      <c r="X43" s="516"/>
      <c r="Y43" s="516"/>
      <c r="Z43" s="516">
        <v>1</v>
      </c>
      <c r="AA43" s="516"/>
      <c r="AB43" s="516"/>
      <c r="AC43" s="516"/>
      <c r="AD43" s="516"/>
      <c r="AE43" s="725"/>
      <c r="AF43" s="957"/>
      <c r="AG43" s="516"/>
      <c r="AH43" s="516"/>
      <c r="AI43" s="516"/>
      <c r="AJ43" s="516"/>
      <c r="AK43" s="516"/>
      <c r="AL43" s="516"/>
      <c r="AM43" s="516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>
        <v>1</v>
      </c>
      <c r="AX43" s="516"/>
      <c r="AY43" s="516"/>
      <c r="AZ43" s="516">
        <f t="shared" si="3"/>
        <v>2</v>
      </c>
      <c r="BA43" s="516">
        <f t="shared" si="4"/>
        <v>0</v>
      </c>
      <c r="BB43" s="516"/>
      <c r="BC43" s="516"/>
      <c r="BD43" s="516">
        <f t="shared" si="5"/>
        <v>1</v>
      </c>
      <c r="BE43" s="516">
        <f t="shared" si="6"/>
        <v>0</v>
      </c>
      <c r="BF43" s="516"/>
      <c r="BG43" s="516"/>
      <c r="BH43" s="516"/>
      <c r="BI43" s="516">
        <f t="shared" si="1"/>
        <v>5</v>
      </c>
      <c r="BJ43" s="516"/>
      <c r="BK43" s="516"/>
      <c r="BL43" s="516"/>
      <c r="BM43" s="516"/>
      <c r="BN43" s="516"/>
      <c r="BO43" s="516"/>
      <c r="BP43" s="516"/>
      <c r="BQ43" s="516"/>
      <c r="BR43" s="516"/>
      <c r="BS43" s="516">
        <v>1</v>
      </c>
      <c r="BT43" s="516"/>
      <c r="BU43" s="516"/>
      <c r="BV43" s="516"/>
      <c r="BW43" s="516"/>
      <c r="BX43" s="516"/>
      <c r="BY43" s="516"/>
      <c r="BZ43" s="516"/>
      <c r="CA43" s="516"/>
      <c r="CB43" s="516">
        <v>1</v>
      </c>
      <c r="CC43" s="516"/>
      <c r="CD43" s="516">
        <f t="shared" si="2"/>
        <v>4</v>
      </c>
      <c r="CE43" s="516"/>
      <c r="CF43" s="516"/>
      <c r="CG43" s="516"/>
      <c r="CH43" s="516"/>
      <c r="CI43" s="516"/>
      <c r="CJ43" s="516"/>
      <c r="CK43" s="516"/>
      <c r="CL43" s="516"/>
      <c r="CM43" s="516"/>
      <c r="CN43" s="516"/>
      <c r="CO43" s="516"/>
      <c r="CP43" s="516"/>
      <c r="CQ43" s="516"/>
      <c r="CR43" s="516"/>
      <c r="CS43" s="516"/>
      <c r="CT43" s="516"/>
      <c r="CU43" s="516"/>
      <c r="CV43" s="516"/>
      <c r="CW43" s="516"/>
      <c r="CX43" s="454"/>
      <c r="CY43" s="454"/>
      <c r="CZ43" s="454"/>
      <c r="DA43" s="454"/>
      <c r="DB43" s="454"/>
      <c r="DC43" s="454"/>
      <c r="DD43" s="454"/>
      <c r="DE43" s="454"/>
      <c r="DF43" s="454"/>
      <c r="DG43" s="517"/>
      <c r="DH43" s="517"/>
      <c r="DI43" s="517"/>
      <c r="DJ43" s="517"/>
      <c r="DK43" s="517"/>
      <c r="DL43" s="517"/>
      <c r="DM43" s="517"/>
      <c r="DN43" s="517"/>
      <c r="DO43" s="517"/>
      <c r="DP43" s="517"/>
      <c r="DQ43" s="517"/>
      <c r="DR43" s="517"/>
      <c r="DS43" s="454"/>
      <c r="DT43" s="454"/>
      <c r="DU43" s="454"/>
      <c r="DV43" s="454"/>
      <c r="DW43" s="454"/>
      <c r="DX43" s="454"/>
      <c r="DY43" s="454"/>
      <c r="DZ43" s="454"/>
      <c r="EA43" s="454"/>
      <c r="EB43" s="454"/>
      <c r="EC43" s="454"/>
      <c r="ED43" s="454"/>
      <c r="EE43" s="454"/>
      <c r="EF43" s="454"/>
      <c r="EG43" s="454"/>
      <c r="EH43" s="454"/>
      <c r="EI43" s="454"/>
      <c r="EJ43" s="454"/>
      <c r="EK43" s="454"/>
      <c r="EL43" s="454"/>
      <c r="EM43" s="454"/>
      <c r="EN43" s="454"/>
      <c r="EO43" s="454"/>
      <c r="EP43" s="454"/>
      <c r="EQ43" s="454"/>
      <c r="ER43" s="454"/>
      <c r="ES43" s="454"/>
      <c r="ET43" s="454"/>
      <c r="EU43" s="454"/>
      <c r="EV43" s="454"/>
      <c r="EW43" s="454"/>
      <c r="EX43" s="454"/>
      <c r="EY43" s="454"/>
      <c r="EZ43" s="454"/>
      <c r="FA43" s="454"/>
      <c r="FB43" s="454"/>
      <c r="FC43" s="454"/>
      <c r="FD43" s="454"/>
      <c r="FE43" s="454"/>
      <c r="FF43" s="454"/>
      <c r="FG43" s="454"/>
      <c r="FH43" s="454"/>
      <c r="FI43" s="454"/>
      <c r="FJ43" s="454"/>
      <c r="FK43" s="454"/>
      <c r="FL43" s="454"/>
      <c r="FM43" s="454"/>
      <c r="FN43" s="454"/>
      <c r="FO43" s="454"/>
      <c r="FP43" s="454"/>
      <c r="FQ43" s="290"/>
    </row>
    <row r="44" spans="1:173" s="4" customFormat="1">
      <c r="A44" s="56"/>
      <c r="B44" s="56"/>
      <c r="C44" s="522" t="s">
        <v>3641</v>
      </c>
      <c r="D44" s="522"/>
      <c r="E44" s="516">
        <v>35</v>
      </c>
      <c r="F44" s="516"/>
      <c r="G44" s="516"/>
      <c r="H44" s="516"/>
      <c r="I44" s="516"/>
      <c r="J44" s="516"/>
      <c r="K44" s="516"/>
      <c r="L44" s="516"/>
      <c r="M44" s="516"/>
      <c r="N44" s="516"/>
      <c r="O44" s="516">
        <f t="shared" si="7"/>
        <v>35</v>
      </c>
      <c r="P44" s="516"/>
      <c r="Q44" s="516"/>
      <c r="R44" s="516"/>
      <c r="S44" s="516"/>
      <c r="T44" s="516"/>
      <c r="U44" s="516" t="s">
        <v>2990</v>
      </c>
      <c r="V44" s="516"/>
      <c r="W44" s="516">
        <v>2</v>
      </c>
      <c r="X44" s="516"/>
      <c r="Y44" s="516"/>
      <c r="Z44" s="516"/>
      <c r="AA44" s="516"/>
      <c r="AB44" s="516"/>
      <c r="AC44" s="516"/>
      <c r="AD44" s="516"/>
      <c r="AE44" s="725">
        <v>1</v>
      </c>
      <c r="AF44" s="957"/>
      <c r="AG44" s="516"/>
      <c r="AH44" s="516"/>
      <c r="AI44" s="516"/>
      <c r="AJ44" s="516"/>
      <c r="AK44" s="516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>
        <v>1</v>
      </c>
      <c r="AV44" s="516"/>
      <c r="AW44" s="516">
        <v>2</v>
      </c>
      <c r="AX44" s="516"/>
      <c r="AY44" s="516"/>
      <c r="AZ44" s="516">
        <f t="shared" si="3"/>
        <v>3</v>
      </c>
      <c r="BA44" s="516">
        <f t="shared" si="4"/>
        <v>0</v>
      </c>
      <c r="BB44" s="516"/>
      <c r="BC44" s="516"/>
      <c r="BD44" s="516"/>
      <c r="BE44" s="516">
        <f t="shared" si="6"/>
        <v>0</v>
      </c>
      <c r="BF44" s="516">
        <v>1</v>
      </c>
      <c r="BG44" s="516"/>
      <c r="BH44" s="516"/>
      <c r="BI44" s="516">
        <f t="shared" si="1"/>
        <v>7</v>
      </c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16"/>
      <c r="BV44" s="516"/>
      <c r="BW44" s="516"/>
      <c r="BX44" s="516">
        <v>1</v>
      </c>
      <c r="BY44" s="516"/>
      <c r="BZ44" s="516"/>
      <c r="CA44" s="516"/>
      <c r="CB44" s="516">
        <v>1</v>
      </c>
      <c r="CC44" s="516"/>
      <c r="CD44" s="516">
        <f t="shared" si="2"/>
        <v>4</v>
      </c>
      <c r="CE44" s="516"/>
      <c r="CF44" s="516"/>
      <c r="CG44" s="516"/>
      <c r="CH44" s="516"/>
      <c r="CI44" s="516"/>
      <c r="CJ44" s="516"/>
      <c r="CK44" s="516"/>
      <c r="CL44" s="516"/>
      <c r="CM44" s="516"/>
      <c r="CN44" s="516"/>
      <c r="CO44" s="516"/>
      <c r="CP44" s="516"/>
      <c r="CQ44" s="516"/>
      <c r="CR44" s="516"/>
      <c r="CS44" s="516"/>
      <c r="CT44" s="516"/>
      <c r="CU44" s="516"/>
      <c r="CV44" s="516"/>
      <c r="CW44" s="516"/>
      <c r="CX44" s="454"/>
      <c r="CY44" s="454"/>
      <c r="CZ44" s="454"/>
      <c r="DA44" s="454"/>
      <c r="DB44" s="454"/>
      <c r="DC44" s="454"/>
      <c r="DD44" s="454"/>
      <c r="DE44" s="454"/>
      <c r="DF44" s="454"/>
      <c r="DG44" s="517"/>
      <c r="DH44" s="517"/>
      <c r="DI44" s="517"/>
      <c r="DJ44" s="517"/>
      <c r="DK44" s="517"/>
      <c r="DL44" s="517"/>
      <c r="DM44" s="517"/>
      <c r="DN44" s="517"/>
      <c r="DO44" s="517"/>
      <c r="DP44" s="517"/>
      <c r="DQ44" s="517"/>
      <c r="DR44" s="517"/>
      <c r="DS44" s="454"/>
      <c r="DT44" s="454"/>
      <c r="DU44" s="454"/>
      <c r="DV44" s="454"/>
      <c r="DW44" s="454"/>
      <c r="DX44" s="454"/>
      <c r="DY44" s="454"/>
      <c r="DZ44" s="454"/>
      <c r="EA44" s="454"/>
      <c r="EB44" s="454"/>
      <c r="EC44" s="454"/>
      <c r="ED44" s="454"/>
      <c r="EE44" s="454"/>
      <c r="EF44" s="454"/>
      <c r="EG44" s="454"/>
      <c r="EH44" s="454"/>
      <c r="EI44" s="454"/>
      <c r="EJ44" s="454"/>
      <c r="EK44" s="454"/>
      <c r="EL44" s="454"/>
      <c r="EM44" s="454"/>
      <c r="EN44" s="454"/>
      <c r="EO44" s="454"/>
      <c r="EP44" s="454"/>
      <c r="EQ44" s="454"/>
      <c r="ER44" s="454"/>
      <c r="ES44" s="454"/>
      <c r="ET44" s="454"/>
      <c r="EU44" s="454"/>
      <c r="EV44" s="454"/>
      <c r="EW44" s="454"/>
      <c r="EX44" s="454"/>
      <c r="EY44" s="454"/>
      <c r="EZ44" s="454"/>
      <c r="FA44" s="454"/>
      <c r="FB44" s="454"/>
      <c r="FC44" s="454"/>
      <c r="FD44" s="454"/>
      <c r="FE44" s="454"/>
      <c r="FF44" s="454"/>
      <c r="FG44" s="454"/>
      <c r="FH44" s="454"/>
      <c r="FI44" s="454"/>
      <c r="FJ44" s="454"/>
      <c r="FK44" s="454"/>
      <c r="FL44" s="454"/>
      <c r="FM44" s="454"/>
      <c r="FN44" s="454"/>
      <c r="FO44" s="454"/>
      <c r="FP44" s="454"/>
      <c r="FQ44" s="290"/>
    </row>
    <row r="45" spans="1:173" s="4" customFormat="1">
      <c r="A45" s="56"/>
      <c r="B45" s="56"/>
      <c r="C45" s="522" t="s">
        <v>3647</v>
      </c>
      <c r="D45" s="522"/>
      <c r="E45" s="516">
        <v>25.2</v>
      </c>
      <c r="F45" s="516"/>
      <c r="G45" s="516"/>
      <c r="H45" s="516"/>
      <c r="I45" s="516"/>
      <c r="J45" s="516"/>
      <c r="K45" s="516"/>
      <c r="L45" s="516"/>
      <c r="M45" s="516"/>
      <c r="N45" s="516"/>
      <c r="O45" s="516">
        <f t="shared" si="7"/>
        <v>25.2</v>
      </c>
      <c r="P45" s="516"/>
      <c r="Q45" s="516"/>
      <c r="R45" s="516"/>
      <c r="S45" s="516"/>
      <c r="T45" s="516" t="s">
        <v>2989</v>
      </c>
      <c r="U45" s="516" t="s">
        <v>2989</v>
      </c>
      <c r="V45" s="516"/>
      <c r="W45" s="516">
        <v>2</v>
      </c>
      <c r="X45" s="516"/>
      <c r="Y45" s="516"/>
      <c r="Z45" s="516"/>
      <c r="AA45" s="516"/>
      <c r="AB45" s="516"/>
      <c r="AC45" s="516"/>
      <c r="AD45" s="516"/>
      <c r="AE45" s="725">
        <v>1</v>
      </c>
      <c r="AF45" s="957"/>
      <c r="AG45" s="516"/>
      <c r="AH45" s="516"/>
      <c r="AI45" s="516"/>
      <c r="AJ45" s="516"/>
      <c r="AK45" s="516"/>
      <c r="AL45" s="516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>
        <v>1</v>
      </c>
      <c r="AX45" s="516"/>
      <c r="AY45" s="516"/>
      <c r="AZ45" s="516">
        <f t="shared" si="3"/>
        <v>2</v>
      </c>
      <c r="BA45" s="516">
        <f t="shared" si="4"/>
        <v>0</v>
      </c>
      <c r="BB45" s="516"/>
      <c r="BC45" s="516"/>
      <c r="BD45" s="516">
        <f t="shared" si="5"/>
        <v>2</v>
      </c>
      <c r="BE45" s="516">
        <f t="shared" si="6"/>
        <v>0</v>
      </c>
      <c r="BF45" s="516"/>
      <c r="BG45" s="516"/>
      <c r="BH45" s="516"/>
      <c r="BI45" s="516">
        <f t="shared" si="1"/>
        <v>5</v>
      </c>
      <c r="BJ45" s="516"/>
      <c r="BK45" s="516"/>
      <c r="BL45" s="516"/>
      <c r="BM45" s="516"/>
      <c r="BN45" s="516"/>
      <c r="BO45" s="516"/>
      <c r="BP45" s="516"/>
      <c r="BQ45" s="516"/>
      <c r="BR45" s="516"/>
      <c r="BS45" s="516"/>
      <c r="BT45" s="516"/>
      <c r="BU45" s="516"/>
      <c r="BV45" s="516"/>
      <c r="BW45" s="516"/>
      <c r="BX45" s="516">
        <v>2</v>
      </c>
      <c r="BY45" s="516"/>
      <c r="BZ45" s="516"/>
      <c r="CA45" s="516"/>
      <c r="CB45" s="516">
        <v>1</v>
      </c>
      <c r="CC45" s="516"/>
      <c r="CD45" s="516">
        <f t="shared" si="2"/>
        <v>4</v>
      </c>
      <c r="CE45" s="516"/>
      <c r="CF45" s="516"/>
      <c r="CG45" s="516"/>
      <c r="CH45" s="516"/>
      <c r="CI45" s="516"/>
      <c r="CJ45" s="516"/>
      <c r="CK45" s="516"/>
      <c r="CL45" s="516"/>
      <c r="CM45" s="516"/>
      <c r="CN45" s="516"/>
      <c r="CO45" s="516"/>
      <c r="CP45" s="516"/>
      <c r="CQ45" s="516"/>
      <c r="CR45" s="516"/>
      <c r="CS45" s="516"/>
      <c r="CT45" s="516"/>
      <c r="CU45" s="516"/>
      <c r="CV45" s="516"/>
      <c r="CW45" s="516"/>
      <c r="CX45" s="454"/>
      <c r="CY45" s="454"/>
      <c r="CZ45" s="454"/>
      <c r="DA45" s="454"/>
      <c r="DB45" s="454"/>
      <c r="DC45" s="454"/>
      <c r="DD45" s="454"/>
      <c r="DE45" s="454"/>
      <c r="DF45" s="454"/>
      <c r="DG45" s="517"/>
      <c r="DH45" s="517"/>
      <c r="DI45" s="517"/>
      <c r="DJ45" s="517"/>
      <c r="DK45" s="517"/>
      <c r="DL45" s="517"/>
      <c r="DM45" s="517"/>
      <c r="DN45" s="517"/>
      <c r="DO45" s="517"/>
      <c r="DP45" s="517"/>
      <c r="DQ45" s="517"/>
      <c r="DR45" s="517"/>
      <c r="DS45" s="454"/>
      <c r="DT45" s="454"/>
      <c r="DU45" s="454"/>
      <c r="DV45" s="454"/>
      <c r="DW45" s="454"/>
      <c r="DX45" s="454"/>
      <c r="DY45" s="454"/>
      <c r="DZ45" s="454"/>
      <c r="EA45" s="454"/>
      <c r="EB45" s="454"/>
      <c r="EC45" s="454"/>
      <c r="ED45" s="454"/>
      <c r="EE45" s="454"/>
      <c r="EF45" s="454"/>
      <c r="EG45" s="454"/>
      <c r="EH45" s="454"/>
      <c r="EI45" s="454"/>
      <c r="EJ45" s="454"/>
      <c r="EK45" s="454"/>
      <c r="EL45" s="454"/>
      <c r="EM45" s="454"/>
      <c r="EN45" s="454"/>
      <c r="EO45" s="454"/>
      <c r="EP45" s="454"/>
      <c r="EQ45" s="454"/>
      <c r="ER45" s="454"/>
      <c r="ES45" s="454"/>
      <c r="ET45" s="454"/>
      <c r="EU45" s="454"/>
      <c r="EV45" s="454"/>
      <c r="EW45" s="454"/>
      <c r="EX45" s="454"/>
      <c r="EY45" s="454"/>
      <c r="EZ45" s="454"/>
      <c r="FA45" s="454"/>
      <c r="FB45" s="454"/>
      <c r="FC45" s="454"/>
      <c r="FD45" s="454"/>
      <c r="FE45" s="454"/>
      <c r="FF45" s="454"/>
      <c r="FG45" s="454"/>
      <c r="FH45" s="454"/>
      <c r="FI45" s="454"/>
      <c r="FJ45" s="454"/>
      <c r="FK45" s="454"/>
      <c r="FL45" s="454"/>
      <c r="FM45" s="454"/>
      <c r="FN45" s="454"/>
      <c r="FO45" s="454"/>
      <c r="FP45" s="454"/>
      <c r="FQ45" s="290"/>
    </row>
    <row r="46" spans="1:173" s="4" customFormat="1">
      <c r="A46" s="56"/>
      <c r="B46" s="56"/>
      <c r="C46" s="522" t="s">
        <v>3648</v>
      </c>
      <c r="D46" s="522"/>
      <c r="E46" s="516">
        <v>36</v>
      </c>
      <c r="F46" s="516"/>
      <c r="G46" s="516"/>
      <c r="H46" s="516"/>
      <c r="I46" s="516"/>
      <c r="J46" s="516"/>
      <c r="K46" s="516"/>
      <c r="L46" s="516"/>
      <c r="M46" s="516"/>
      <c r="N46" s="516"/>
      <c r="O46" s="516">
        <f t="shared" si="7"/>
        <v>36</v>
      </c>
      <c r="P46" s="516"/>
      <c r="Q46" s="516"/>
      <c r="R46" s="516"/>
      <c r="S46" s="516"/>
      <c r="T46" s="516" t="s">
        <v>1903</v>
      </c>
      <c r="U46" s="516" t="s">
        <v>1903</v>
      </c>
      <c r="V46" s="516"/>
      <c r="W46" s="516"/>
      <c r="X46" s="516"/>
      <c r="Y46" s="516"/>
      <c r="Z46" s="516"/>
      <c r="AA46" s="516"/>
      <c r="AB46" s="516"/>
      <c r="AC46" s="516"/>
      <c r="AD46" s="516"/>
      <c r="AE46" s="725"/>
      <c r="AF46" s="957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>
        <v>1</v>
      </c>
      <c r="AV46" s="516"/>
      <c r="AW46" s="516"/>
      <c r="AX46" s="516"/>
      <c r="AY46" s="516"/>
      <c r="AZ46" s="516">
        <f t="shared" si="3"/>
        <v>0</v>
      </c>
      <c r="BA46" s="516">
        <f t="shared" si="4"/>
        <v>0</v>
      </c>
      <c r="BB46" s="516"/>
      <c r="BC46" s="516"/>
      <c r="BD46" s="516">
        <f t="shared" si="5"/>
        <v>1</v>
      </c>
      <c r="BE46" s="516">
        <f t="shared" si="6"/>
        <v>0</v>
      </c>
      <c r="BF46" s="516"/>
      <c r="BG46" s="516"/>
      <c r="BH46" s="516"/>
      <c r="BI46" s="516">
        <f t="shared" si="1"/>
        <v>2</v>
      </c>
      <c r="BJ46" s="516"/>
      <c r="BK46" s="516"/>
      <c r="BL46" s="516"/>
      <c r="BM46" s="516"/>
      <c r="BN46" s="516"/>
      <c r="BO46" s="516"/>
      <c r="BP46" s="516"/>
      <c r="BQ46" s="516">
        <v>1</v>
      </c>
      <c r="BR46" s="516"/>
      <c r="BS46" s="516">
        <v>2</v>
      </c>
      <c r="BT46" s="516"/>
      <c r="BU46" s="516"/>
      <c r="BV46" s="516"/>
      <c r="BW46" s="516"/>
      <c r="BX46" s="516"/>
      <c r="BY46" s="516"/>
      <c r="BZ46" s="516"/>
      <c r="CA46" s="516"/>
      <c r="CB46" s="516"/>
      <c r="CC46" s="516"/>
      <c r="CD46" s="516">
        <f t="shared" si="2"/>
        <v>0</v>
      </c>
      <c r="CE46" s="516"/>
      <c r="CF46" s="516"/>
      <c r="CG46" s="516"/>
      <c r="CH46" s="516"/>
      <c r="CI46" s="516"/>
      <c r="CJ46" s="516"/>
      <c r="CK46" s="516"/>
      <c r="CL46" s="516"/>
      <c r="CM46" s="516"/>
      <c r="CN46" s="516"/>
      <c r="CO46" s="516"/>
      <c r="CP46" s="516"/>
      <c r="CQ46" s="516"/>
      <c r="CR46" s="516"/>
      <c r="CS46" s="516"/>
      <c r="CT46" s="516"/>
      <c r="CU46" s="516"/>
      <c r="CV46" s="516"/>
      <c r="CW46" s="516"/>
      <c r="CX46" s="454"/>
      <c r="CY46" s="454"/>
      <c r="CZ46" s="454"/>
      <c r="DA46" s="454"/>
      <c r="DB46" s="454"/>
      <c r="DC46" s="454"/>
      <c r="DD46" s="454"/>
      <c r="DE46" s="454"/>
      <c r="DF46" s="454"/>
      <c r="DG46" s="517"/>
      <c r="DH46" s="517"/>
      <c r="DI46" s="517"/>
      <c r="DJ46" s="517"/>
      <c r="DK46" s="517"/>
      <c r="DL46" s="517"/>
      <c r="DM46" s="517"/>
      <c r="DN46" s="517"/>
      <c r="DO46" s="517"/>
      <c r="DP46" s="517"/>
      <c r="DQ46" s="517"/>
      <c r="DR46" s="517"/>
      <c r="DS46" s="454"/>
      <c r="DT46" s="454"/>
      <c r="DU46" s="454"/>
      <c r="DV46" s="454"/>
      <c r="DW46" s="454"/>
      <c r="DX46" s="454"/>
      <c r="DY46" s="454"/>
      <c r="DZ46" s="454"/>
      <c r="EA46" s="454"/>
      <c r="EB46" s="454"/>
      <c r="EC46" s="454"/>
      <c r="ED46" s="454"/>
      <c r="EE46" s="454"/>
      <c r="EF46" s="454"/>
      <c r="EG46" s="454"/>
      <c r="EH46" s="454"/>
      <c r="EI46" s="454"/>
      <c r="EJ46" s="454"/>
      <c r="EK46" s="454"/>
      <c r="EL46" s="454"/>
      <c r="EM46" s="454"/>
      <c r="EN46" s="454"/>
      <c r="EO46" s="454"/>
      <c r="EP46" s="454"/>
      <c r="EQ46" s="454"/>
      <c r="ER46" s="454"/>
      <c r="ES46" s="454"/>
      <c r="ET46" s="454"/>
      <c r="EU46" s="454"/>
      <c r="EV46" s="454"/>
      <c r="EW46" s="454"/>
      <c r="EX46" s="454"/>
      <c r="EY46" s="454"/>
      <c r="EZ46" s="454"/>
      <c r="FA46" s="454"/>
      <c r="FB46" s="454"/>
      <c r="FC46" s="454"/>
      <c r="FD46" s="454"/>
      <c r="FE46" s="454"/>
      <c r="FF46" s="454"/>
      <c r="FG46" s="454"/>
      <c r="FH46" s="454"/>
      <c r="FI46" s="454"/>
      <c r="FJ46" s="454"/>
      <c r="FK46" s="454"/>
      <c r="FL46" s="454"/>
      <c r="FM46" s="454"/>
      <c r="FN46" s="454"/>
      <c r="FO46" s="454"/>
      <c r="FP46" s="454"/>
      <c r="FQ46" s="290"/>
    </row>
    <row r="47" spans="1:173" s="4" customFormat="1">
      <c r="A47" s="56"/>
      <c r="B47" s="56"/>
      <c r="C47" s="522" t="s">
        <v>3649</v>
      </c>
      <c r="D47" s="522"/>
      <c r="E47" s="516">
        <v>31.8</v>
      </c>
      <c r="F47" s="516"/>
      <c r="G47" s="516"/>
      <c r="H47" s="516"/>
      <c r="I47" s="516"/>
      <c r="J47" s="516"/>
      <c r="K47" s="516"/>
      <c r="L47" s="516"/>
      <c r="M47" s="516"/>
      <c r="N47" s="516"/>
      <c r="O47" s="516">
        <f t="shared" ref="O47:O60" si="8">E47</f>
        <v>31.8</v>
      </c>
      <c r="P47" s="516"/>
      <c r="Q47" s="516"/>
      <c r="R47" s="516"/>
      <c r="S47" s="516"/>
      <c r="T47" s="516" t="s">
        <v>2990</v>
      </c>
      <c r="U47" s="516" t="s">
        <v>2990</v>
      </c>
      <c r="V47" s="516"/>
      <c r="W47" s="516"/>
      <c r="X47" s="516"/>
      <c r="Y47" s="516"/>
      <c r="Z47" s="516"/>
      <c r="AA47" s="516"/>
      <c r="AB47" s="516"/>
      <c r="AC47" s="516"/>
      <c r="AD47" s="516"/>
      <c r="AE47" s="725"/>
      <c r="AF47" s="957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>
        <v>1</v>
      </c>
      <c r="AX47" s="516"/>
      <c r="AY47" s="516"/>
      <c r="AZ47" s="516">
        <f t="shared" si="3"/>
        <v>2</v>
      </c>
      <c r="BA47" s="516">
        <f t="shared" si="4"/>
        <v>0</v>
      </c>
      <c r="BB47" s="516"/>
      <c r="BC47" s="516"/>
      <c r="BD47" s="516">
        <f t="shared" si="5"/>
        <v>1</v>
      </c>
      <c r="BE47" s="516">
        <f t="shared" si="6"/>
        <v>0</v>
      </c>
      <c r="BF47" s="516"/>
      <c r="BG47" s="516"/>
      <c r="BH47" s="516"/>
      <c r="BI47" s="516">
        <f t="shared" si="1"/>
        <v>5</v>
      </c>
      <c r="BJ47" s="516"/>
      <c r="BK47" s="516"/>
      <c r="BL47" s="516"/>
      <c r="BM47" s="516"/>
      <c r="BN47" s="516"/>
      <c r="BO47" s="516"/>
      <c r="BP47" s="516"/>
      <c r="BQ47" s="516"/>
      <c r="BR47" s="516"/>
      <c r="BS47" s="516"/>
      <c r="BT47" s="516"/>
      <c r="BU47" s="516"/>
      <c r="BV47" s="516"/>
      <c r="BW47" s="516"/>
      <c r="BX47" s="516">
        <v>1</v>
      </c>
      <c r="BY47" s="516"/>
      <c r="BZ47" s="516"/>
      <c r="CA47" s="516"/>
      <c r="CB47" s="516">
        <v>1</v>
      </c>
      <c r="CC47" s="516"/>
      <c r="CD47" s="516">
        <f t="shared" si="2"/>
        <v>4</v>
      </c>
      <c r="CE47" s="516"/>
      <c r="CF47" s="516"/>
      <c r="CG47" s="516"/>
      <c r="CH47" s="516"/>
      <c r="CI47" s="516"/>
      <c r="CJ47" s="516"/>
      <c r="CK47" s="516"/>
      <c r="CL47" s="516"/>
      <c r="CM47" s="516"/>
      <c r="CN47" s="516"/>
      <c r="CO47" s="516"/>
      <c r="CP47" s="516"/>
      <c r="CQ47" s="516"/>
      <c r="CR47" s="516"/>
      <c r="CS47" s="516"/>
      <c r="CT47" s="516"/>
      <c r="CU47" s="516"/>
      <c r="CV47" s="516"/>
      <c r="CW47" s="516"/>
      <c r="CX47" s="454"/>
      <c r="CY47" s="454"/>
      <c r="CZ47" s="454"/>
      <c r="DA47" s="454"/>
      <c r="DB47" s="454"/>
      <c r="DC47" s="454"/>
      <c r="DD47" s="454"/>
      <c r="DE47" s="454"/>
      <c r="DF47" s="454"/>
      <c r="DG47" s="517"/>
      <c r="DH47" s="517"/>
      <c r="DI47" s="517"/>
      <c r="DJ47" s="517"/>
      <c r="DK47" s="517"/>
      <c r="DL47" s="517"/>
      <c r="DM47" s="517"/>
      <c r="DN47" s="517"/>
      <c r="DO47" s="517"/>
      <c r="DP47" s="517"/>
      <c r="DQ47" s="517"/>
      <c r="DR47" s="517"/>
      <c r="DS47" s="454"/>
      <c r="DT47" s="454"/>
      <c r="DU47" s="454"/>
      <c r="DV47" s="454"/>
      <c r="DW47" s="454"/>
      <c r="DX47" s="454"/>
      <c r="DY47" s="454"/>
      <c r="DZ47" s="454"/>
      <c r="EA47" s="454"/>
      <c r="EB47" s="454"/>
      <c r="EC47" s="454"/>
      <c r="ED47" s="454"/>
      <c r="EE47" s="454"/>
      <c r="EF47" s="454"/>
      <c r="EG47" s="454"/>
      <c r="EH47" s="454"/>
      <c r="EI47" s="454"/>
      <c r="EJ47" s="454"/>
      <c r="EK47" s="454"/>
      <c r="EL47" s="454"/>
      <c r="EM47" s="454"/>
      <c r="EN47" s="454"/>
      <c r="EO47" s="454"/>
      <c r="EP47" s="454"/>
      <c r="EQ47" s="454"/>
      <c r="ER47" s="454"/>
      <c r="ES47" s="454"/>
      <c r="ET47" s="454"/>
      <c r="EU47" s="454"/>
      <c r="EV47" s="454"/>
      <c r="EW47" s="454"/>
      <c r="EX47" s="454"/>
      <c r="EY47" s="454"/>
      <c r="EZ47" s="454"/>
      <c r="FA47" s="454"/>
      <c r="FB47" s="454"/>
      <c r="FC47" s="454"/>
      <c r="FD47" s="454"/>
      <c r="FE47" s="454"/>
      <c r="FF47" s="454"/>
      <c r="FG47" s="454"/>
      <c r="FH47" s="454"/>
      <c r="FI47" s="454"/>
      <c r="FJ47" s="454"/>
      <c r="FK47" s="454"/>
      <c r="FL47" s="454"/>
      <c r="FM47" s="454"/>
      <c r="FN47" s="454"/>
      <c r="FO47" s="454"/>
      <c r="FP47" s="454"/>
      <c r="FQ47" s="290"/>
    </row>
    <row r="48" spans="1:173" s="4" customFormat="1">
      <c r="A48" s="56"/>
      <c r="B48" s="56"/>
      <c r="C48" s="522"/>
      <c r="D48" s="522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725"/>
      <c r="AF48" s="957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  <c r="BE48" s="516"/>
      <c r="BF48" s="516"/>
      <c r="BG48" s="516"/>
      <c r="BH48" s="516"/>
      <c r="BI48" s="516"/>
      <c r="BJ48" s="516"/>
      <c r="BK48" s="516"/>
      <c r="BL48" s="516"/>
      <c r="BM48" s="516"/>
      <c r="BN48" s="516"/>
      <c r="BO48" s="516"/>
      <c r="BP48" s="516"/>
      <c r="BQ48" s="516"/>
      <c r="BR48" s="516"/>
      <c r="BS48" s="516"/>
      <c r="BT48" s="516"/>
      <c r="BU48" s="516"/>
      <c r="BV48" s="516"/>
      <c r="BW48" s="516"/>
      <c r="BX48" s="516"/>
      <c r="BY48" s="516"/>
      <c r="BZ48" s="516"/>
      <c r="CA48" s="516"/>
      <c r="CB48" s="516"/>
      <c r="CC48" s="516"/>
      <c r="CD48" s="516"/>
      <c r="CE48" s="516"/>
      <c r="CF48" s="516"/>
      <c r="CG48" s="516"/>
      <c r="CH48" s="516"/>
      <c r="CI48" s="516"/>
      <c r="CJ48" s="516"/>
      <c r="CK48" s="516"/>
      <c r="CL48" s="516"/>
      <c r="CM48" s="516"/>
      <c r="CN48" s="516"/>
      <c r="CO48" s="516"/>
      <c r="CP48" s="516"/>
      <c r="CQ48" s="516"/>
      <c r="CR48" s="516"/>
      <c r="CS48" s="516"/>
      <c r="CT48" s="516"/>
      <c r="CU48" s="516"/>
      <c r="CV48" s="516"/>
      <c r="CW48" s="516"/>
      <c r="CX48" s="454"/>
      <c r="CY48" s="454"/>
      <c r="CZ48" s="454"/>
      <c r="DA48" s="454"/>
      <c r="DB48" s="454"/>
      <c r="DC48" s="454"/>
      <c r="DD48" s="454"/>
      <c r="DE48" s="454"/>
      <c r="DF48" s="454"/>
      <c r="DG48" s="517"/>
      <c r="DH48" s="517"/>
      <c r="DI48" s="517"/>
      <c r="DJ48" s="517"/>
      <c r="DK48" s="517"/>
      <c r="DL48" s="517"/>
      <c r="DM48" s="517"/>
      <c r="DN48" s="517"/>
      <c r="DO48" s="517"/>
      <c r="DP48" s="517"/>
      <c r="DQ48" s="517"/>
      <c r="DR48" s="517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290"/>
    </row>
    <row r="49" spans="1:173" s="4" customFormat="1">
      <c r="A49" s="56"/>
      <c r="B49" s="56"/>
      <c r="C49" s="522"/>
      <c r="D49" s="724" t="s">
        <v>3642</v>
      </c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>
        <f t="shared" si="8"/>
        <v>0</v>
      </c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725"/>
      <c r="AF49" s="957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>
        <f t="shared" si="3"/>
        <v>0</v>
      </c>
      <c r="BA49" s="516">
        <f t="shared" si="4"/>
        <v>0</v>
      </c>
      <c r="BB49" s="516"/>
      <c r="BC49" s="516"/>
      <c r="BD49" s="516">
        <f t="shared" si="5"/>
        <v>0</v>
      </c>
      <c r="BE49" s="516"/>
      <c r="BF49" s="516"/>
      <c r="BG49" s="516"/>
      <c r="BH49" s="516"/>
      <c r="BI49" s="516">
        <f t="shared" si="1"/>
        <v>0</v>
      </c>
      <c r="BJ49" s="516"/>
      <c r="BK49" s="516"/>
      <c r="BL49" s="516"/>
      <c r="BM49" s="516"/>
      <c r="BN49" s="516"/>
      <c r="BO49" s="516"/>
      <c r="BP49" s="516"/>
      <c r="BQ49" s="516"/>
      <c r="BR49" s="516"/>
      <c r="BS49" s="516"/>
      <c r="BT49" s="516"/>
      <c r="BU49" s="516"/>
      <c r="BV49" s="516"/>
      <c r="BW49" s="516"/>
      <c r="BX49" s="516"/>
      <c r="BY49" s="516"/>
      <c r="BZ49" s="516"/>
      <c r="CA49" s="516"/>
      <c r="CB49" s="516"/>
      <c r="CC49" s="516"/>
      <c r="CD49" s="516">
        <f t="shared" si="2"/>
        <v>0</v>
      </c>
      <c r="CE49" s="516"/>
      <c r="CF49" s="516"/>
      <c r="CG49" s="516"/>
      <c r="CH49" s="516"/>
      <c r="CI49" s="516"/>
      <c r="CJ49" s="516"/>
      <c r="CK49" s="516"/>
      <c r="CL49" s="516"/>
      <c r="CM49" s="516"/>
      <c r="CN49" s="516"/>
      <c r="CO49" s="516"/>
      <c r="CP49" s="516"/>
      <c r="CQ49" s="516"/>
      <c r="CR49" s="516"/>
      <c r="CS49" s="516"/>
      <c r="CT49" s="516"/>
      <c r="CU49" s="516"/>
      <c r="CV49" s="516"/>
      <c r="CW49" s="516"/>
      <c r="CX49" s="454"/>
      <c r="CY49" s="454"/>
      <c r="CZ49" s="454"/>
      <c r="DA49" s="454"/>
      <c r="DB49" s="454"/>
      <c r="DC49" s="454"/>
      <c r="DD49" s="454"/>
      <c r="DE49" s="454"/>
      <c r="DF49" s="454"/>
      <c r="DG49" s="517"/>
      <c r="DH49" s="517"/>
      <c r="DI49" s="517"/>
      <c r="DJ49" s="517"/>
      <c r="DK49" s="517"/>
      <c r="DL49" s="517"/>
      <c r="DM49" s="517"/>
      <c r="DN49" s="517"/>
      <c r="DO49" s="517"/>
      <c r="DP49" s="517"/>
      <c r="DQ49" s="517"/>
      <c r="DR49" s="517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512"/>
      <c r="FI49" s="512"/>
      <c r="FJ49" s="454"/>
      <c r="FK49" s="454"/>
      <c r="FL49" s="454"/>
      <c r="FM49" s="454"/>
      <c r="FN49" s="454"/>
      <c r="FO49" s="454"/>
      <c r="FP49" s="454"/>
      <c r="FQ49" s="290"/>
    </row>
    <row r="50" spans="1:173" s="4" customFormat="1">
      <c r="A50" s="56"/>
      <c r="B50" s="56"/>
      <c r="C50" s="522"/>
      <c r="D50" s="522" t="s">
        <v>3006</v>
      </c>
      <c r="E50" s="516">
        <v>20.2</v>
      </c>
      <c r="F50" s="516"/>
      <c r="G50" s="516"/>
      <c r="H50" s="516"/>
      <c r="I50" s="516"/>
      <c r="J50" s="516"/>
      <c r="K50" s="516"/>
      <c r="L50" s="516"/>
      <c r="M50" s="516"/>
      <c r="N50" s="516"/>
      <c r="O50" s="516">
        <f t="shared" si="8"/>
        <v>20.2</v>
      </c>
      <c r="P50" s="516"/>
      <c r="Q50" s="516"/>
      <c r="R50" s="516"/>
      <c r="S50" s="516"/>
      <c r="T50" s="516"/>
      <c r="U50" s="516" t="s">
        <v>1631</v>
      </c>
      <c r="V50" s="516"/>
      <c r="W50" s="516"/>
      <c r="X50" s="516"/>
      <c r="Y50" s="516"/>
      <c r="Z50" s="516"/>
      <c r="AA50" s="516"/>
      <c r="AB50" s="516"/>
      <c r="AC50" s="516"/>
      <c r="AD50" s="516"/>
      <c r="AE50" s="725"/>
      <c r="AF50" s="957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>
        <f t="shared" si="3"/>
        <v>0</v>
      </c>
      <c r="BA50" s="516">
        <f t="shared" si="4"/>
        <v>0</v>
      </c>
      <c r="BB50" s="516"/>
      <c r="BC50" s="516"/>
      <c r="BD50" s="516">
        <f t="shared" si="5"/>
        <v>0</v>
      </c>
      <c r="BE50" s="516">
        <f t="shared" si="6"/>
        <v>1</v>
      </c>
      <c r="BF50" s="516"/>
      <c r="BG50" s="516"/>
      <c r="BH50" s="516"/>
      <c r="BI50" s="516">
        <f t="shared" si="1"/>
        <v>0</v>
      </c>
      <c r="BJ50" s="516"/>
      <c r="BK50" s="516"/>
      <c r="BL50" s="516"/>
      <c r="BM50" s="516"/>
      <c r="BN50" s="516"/>
      <c r="BO50" s="516"/>
      <c r="BP50" s="516"/>
      <c r="BQ50" s="516"/>
      <c r="BR50" s="516"/>
      <c r="BS50" s="516">
        <v>1</v>
      </c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>
        <f t="shared" si="2"/>
        <v>0</v>
      </c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454"/>
      <c r="CY50" s="454"/>
      <c r="CZ50" s="454"/>
      <c r="DA50" s="454"/>
      <c r="DB50" s="454"/>
      <c r="DC50" s="454"/>
      <c r="DD50" s="454"/>
      <c r="DE50" s="454"/>
      <c r="DF50" s="454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454"/>
      <c r="DT50" s="454"/>
      <c r="DU50" s="454"/>
      <c r="DV50" s="454"/>
      <c r="DW50" s="454"/>
      <c r="DX50" s="454"/>
      <c r="DY50" s="454"/>
      <c r="DZ50" s="454"/>
      <c r="EA50" s="454"/>
      <c r="EB50" s="454"/>
      <c r="EC50" s="454"/>
      <c r="ED50" s="454"/>
      <c r="EE50" s="454"/>
      <c r="EF50" s="454"/>
      <c r="EG50" s="454"/>
      <c r="EH50" s="454"/>
      <c r="EI50" s="454"/>
      <c r="EJ50" s="454"/>
      <c r="EK50" s="454"/>
      <c r="EL50" s="454"/>
      <c r="EM50" s="454"/>
      <c r="EN50" s="454"/>
      <c r="EO50" s="454"/>
      <c r="EP50" s="454"/>
      <c r="EQ50" s="454"/>
      <c r="ER50" s="454"/>
      <c r="ES50" s="454"/>
      <c r="ET50" s="454"/>
      <c r="EU50" s="454"/>
      <c r="EV50" s="454"/>
      <c r="EW50" s="454"/>
      <c r="EX50" s="454"/>
      <c r="EY50" s="454"/>
      <c r="EZ50" s="454"/>
      <c r="FA50" s="454"/>
      <c r="FB50" s="454"/>
      <c r="FC50" s="454"/>
      <c r="FD50" s="454"/>
      <c r="FE50" s="454"/>
      <c r="FF50" s="454"/>
      <c r="FG50" s="454"/>
      <c r="FH50" s="454"/>
      <c r="FI50" s="454"/>
      <c r="FJ50" s="454"/>
      <c r="FK50" s="454"/>
      <c r="FL50" s="454"/>
      <c r="FM50" s="454"/>
      <c r="FN50" s="454"/>
      <c r="FO50" s="454"/>
      <c r="FP50" s="454"/>
      <c r="FQ50" s="290"/>
    </row>
    <row r="51" spans="1:173" s="4" customFormat="1">
      <c r="A51" s="56"/>
      <c r="B51" s="56"/>
      <c r="C51" s="522" t="s">
        <v>3804</v>
      </c>
      <c r="D51" s="522"/>
      <c r="E51" s="516">
        <v>14.6</v>
      </c>
      <c r="F51" s="516"/>
      <c r="G51" s="516"/>
      <c r="H51" s="516"/>
      <c r="I51" s="516"/>
      <c r="J51" s="516"/>
      <c r="K51" s="516"/>
      <c r="L51" s="516"/>
      <c r="M51" s="516"/>
      <c r="N51" s="516"/>
      <c r="O51" s="516">
        <f t="shared" si="8"/>
        <v>14.6</v>
      </c>
      <c r="P51" s="516"/>
      <c r="Q51" s="516"/>
      <c r="R51" s="516"/>
      <c r="S51" s="516"/>
      <c r="T51" s="516" t="s">
        <v>1631</v>
      </c>
      <c r="U51" s="516" t="s">
        <v>1631</v>
      </c>
      <c r="V51" s="516"/>
      <c r="W51" s="516"/>
      <c r="X51" s="516"/>
      <c r="Y51" s="516"/>
      <c r="Z51" s="516"/>
      <c r="AA51" s="516"/>
      <c r="AB51" s="516"/>
      <c r="AC51" s="516"/>
      <c r="AD51" s="516"/>
      <c r="AE51" s="725"/>
      <c r="AF51" s="957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>
        <f t="shared" si="3"/>
        <v>1</v>
      </c>
      <c r="BA51" s="516">
        <f t="shared" si="4"/>
        <v>0</v>
      </c>
      <c r="BB51" s="516"/>
      <c r="BC51" s="516"/>
      <c r="BD51" s="516">
        <f t="shared" si="5"/>
        <v>1</v>
      </c>
      <c r="BE51" s="516">
        <f t="shared" si="6"/>
        <v>0</v>
      </c>
      <c r="BF51" s="516"/>
      <c r="BG51" s="516"/>
      <c r="BH51" s="516"/>
      <c r="BI51" s="516">
        <f t="shared" si="1"/>
        <v>5</v>
      </c>
      <c r="BJ51" s="516"/>
      <c r="BK51" s="516"/>
      <c r="BL51" s="516"/>
      <c r="BM51" s="516"/>
      <c r="BN51" s="516"/>
      <c r="BO51" s="516"/>
      <c r="BP51" s="516"/>
      <c r="BQ51" s="516"/>
      <c r="BR51" s="516"/>
      <c r="BS51" s="516">
        <v>1</v>
      </c>
      <c r="BT51" s="516"/>
      <c r="BU51" s="516"/>
      <c r="BV51" s="516"/>
      <c r="BW51" s="516"/>
      <c r="BX51" s="516"/>
      <c r="BY51" s="516"/>
      <c r="BZ51" s="516"/>
      <c r="CA51" s="516"/>
      <c r="CB51" s="516">
        <v>1</v>
      </c>
      <c r="CC51" s="516"/>
      <c r="CD51" s="516">
        <f t="shared" si="2"/>
        <v>4</v>
      </c>
      <c r="CE51" s="516"/>
      <c r="CF51" s="516"/>
      <c r="CG51" s="516"/>
      <c r="CH51" s="516"/>
      <c r="CI51" s="516"/>
      <c r="CJ51" s="516"/>
      <c r="CK51" s="516"/>
      <c r="CL51" s="516"/>
      <c r="CM51" s="516"/>
      <c r="CN51" s="516"/>
      <c r="CO51" s="516"/>
      <c r="CP51" s="516"/>
      <c r="CQ51" s="516"/>
      <c r="CR51" s="516"/>
      <c r="CS51" s="516"/>
      <c r="CT51" s="516"/>
      <c r="CU51" s="516"/>
      <c r="CV51" s="516"/>
      <c r="CW51" s="516"/>
      <c r="CX51" s="454"/>
      <c r="CY51" s="454"/>
      <c r="CZ51" s="454"/>
      <c r="DA51" s="454"/>
      <c r="DB51" s="454"/>
      <c r="DC51" s="454"/>
      <c r="DD51" s="454"/>
      <c r="DE51" s="454"/>
      <c r="DF51" s="454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454"/>
      <c r="DT51" s="454"/>
      <c r="DU51" s="454"/>
      <c r="DV51" s="454"/>
      <c r="DW51" s="454"/>
      <c r="DX51" s="454"/>
      <c r="DY51" s="454"/>
      <c r="DZ51" s="454"/>
      <c r="EA51" s="454"/>
      <c r="EB51" s="454"/>
      <c r="EC51" s="454"/>
      <c r="ED51" s="454"/>
      <c r="EE51" s="454"/>
      <c r="EF51" s="454"/>
      <c r="EG51" s="454"/>
      <c r="EH51" s="454"/>
      <c r="EI51" s="454"/>
      <c r="EJ51" s="454"/>
      <c r="EK51" s="454"/>
      <c r="EL51" s="454"/>
      <c r="EM51" s="454"/>
      <c r="EN51" s="454"/>
      <c r="EO51" s="454"/>
      <c r="EP51" s="454"/>
      <c r="EQ51" s="454"/>
      <c r="ER51" s="454"/>
      <c r="ES51" s="454"/>
      <c r="ET51" s="454"/>
      <c r="EU51" s="454"/>
      <c r="EV51" s="454"/>
      <c r="EW51" s="454"/>
      <c r="EX51" s="454"/>
      <c r="EY51" s="454"/>
      <c r="EZ51" s="454"/>
      <c r="FA51" s="454"/>
      <c r="FB51" s="454"/>
      <c r="FC51" s="454"/>
      <c r="FD51" s="454"/>
      <c r="FE51" s="454"/>
      <c r="FF51" s="454"/>
      <c r="FG51" s="454"/>
      <c r="FH51" s="454"/>
      <c r="FI51" s="454"/>
      <c r="FJ51" s="454"/>
      <c r="FK51" s="454"/>
      <c r="FL51" s="454"/>
      <c r="FM51" s="454"/>
      <c r="FN51" s="454"/>
      <c r="FO51" s="454"/>
      <c r="FP51" s="454"/>
      <c r="FQ51" s="290"/>
    </row>
    <row r="52" spans="1:173" s="4" customFormat="1">
      <c r="A52" s="56"/>
      <c r="B52" s="56"/>
      <c r="C52" s="522"/>
      <c r="D52" s="522" t="s">
        <v>2991</v>
      </c>
      <c r="E52" s="516">
        <v>38.299999999999997</v>
      </c>
      <c r="F52" s="516"/>
      <c r="G52" s="516"/>
      <c r="H52" s="516"/>
      <c r="I52" s="516"/>
      <c r="J52" s="516"/>
      <c r="K52" s="516"/>
      <c r="L52" s="516"/>
      <c r="M52" s="516"/>
      <c r="N52" s="516"/>
      <c r="O52" s="516">
        <f t="shared" si="8"/>
        <v>38.299999999999997</v>
      </c>
      <c r="P52" s="516"/>
      <c r="Q52" s="516"/>
      <c r="R52" s="516"/>
      <c r="S52" s="516"/>
      <c r="T52" s="516"/>
      <c r="U52" s="516" t="s">
        <v>1631</v>
      </c>
      <c r="V52" s="516"/>
      <c r="W52" s="516"/>
      <c r="X52" s="516"/>
      <c r="Y52" s="516"/>
      <c r="Z52" s="516"/>
      <c r="AA52" s="516"/>
      <c r="AB52" s="516"/>
      <c r="AC52" s="516"/>
      <c r="AD52" s="516"/>
      <c r="AE52" s="725"/>
      <c r="AF52" s="957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>
        <v>1</v>
      </c>
      <c r="AV52" s="516"/>
      <c r="AW52" s="516"/>
      <c r="AX52" s="516"/>
      <c r="AY52" s="516"/>
      <c r="AZ52" s="516">
        <f t="shared" si="3"/>
        <v>0</v>
      </c>
      <c r="BA52" s="516">
        <f t="shared" si="4"/>
        <v>1</v>
      </c>
      <c r="BB52" s="516"/>
      <c r="BC52" s="516"/>
      <c r="BD52" s="516">
        <f t="shared" si="5"/>
        <v>0</v>
      </c>
      <c r="BE52" s="516">
        <f t="shared" si="6"/>
        <v>1</v>
      </c>
      <c r="BF52" s="516"/>
      <c r="BG52" s="516"/>
      <c r="BH52" s="516"/>
      <c r="BI52" s="516">
        <f t="shared" si="1"/>
        <v>7</v>
      </c>
      <c r="BJ52" s="516"/>
      <c r="BK52" s="516"/>
      <c r="BL52" s="516"/>
      <c r="BM52" s="516"/>
      <c r="BN52" s="516"/>
      <c r="BO52" s="516"/>
      <c r="BP52" s="516"/>
      <c r="BQ52" s="516"/>
      <c r="BR52" s="516"/>
      <c r="BS52" s="516">
        <v>1</v>
      </c>
      <c r="BT52" s="516"/>
      <c r="BU52" s="516"/>
      <c r="BV52" s="516"/>
      <c r="BW52" s="516"/>
      <c r="BX52" s="516"/>
      <c r="BY52" s="516"/>
      <c r="BZ52" s="516"/>
      <c r="CA52" s="516"/>
      <c r="CB52" s="516">
        <v>1</v>
      </c>
      <c r="CC52" s="516"/>
      <c r="CD52" s="516">
        <f t="shared" si="2"/>
        <v>4</v>
      </c>
      <c r="CE52" s="516"/>
      <c r="CF52" s="516"/>
      <c r="CG52" s="516"/>
      <c r="CH52" s="516"/>
      <c r="CI52" s="516"/>
      <c r="CJ52" s="516"/>
      <c r="CK52" s="516"/>
      <c r="CL52" s="516"/>
      <c r="CM52" s="516"/>
      <c r="CN52" s="516"/>
      <c r="CO52" s="516"/>
      <c r="CP52" s="516"/>
      <c r="CQ52" s="516"/>
      <c r="CR52" s="516"/>
      <c r="CS52" s="516"/>
      <c r="CT52" s="516"/>
      <c r="CU52" s="516"/>
      <c r="CV52" s="516"/>
      <c r="CW52" s="516"/>
      <c r="CX52" s="454"/>
      <c r="CY52" s="454"/>
      <c r="CZ52" s="454"/>
      <c r="DA52" s="454"/>
      <c r="DB52" s="454"/>
      <c r="DC52" s="454"/>
      <c r="DD52" s="454"/>
      <c r="DE52" s="454"/>
      <c r="DF52" s="454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454"/>
      <c r="DT52" s="454"/>
      <c r="DU52" s="454"/>
      <c r="DV52" s="454"/>
      <c r="DW52" s="454"/>
      <c r="DX52" s="454"/>
      <c r="DY52" s="454"/>
      <c r="DZ52" s="454"/>
      <c r="EA52" s="454"/>
      <c r="EB52" s="454"/>
      <c r="EC52" s="454"/>
      <c r="ED52" s="454"/>
      <c r="EE52" s="454"/>
      <c r="EF52" s="454"/>
      <c r="EG52" s="454"/>
      <c r="EH52" s="454"/>
      <c r="EI52" s="454"/>
      <c r="EJ52" s="454"/>
      <c r="EK52" s="454"/>
      <c r="EL52" s="454"/>
      <c r="EM52" s="454"/>
      <c r="EN52" s="454"/>
      <c r="EO52" s="454"/>
      <c r="EP52" s="454"/>
      <c r="EQ52" s="454"/>
      <c r="ER52" s="454"/>
      <c r="ES52" s="454"/>
      <c r="ET52" s="454"/>
      <c r="EU52" s="454"/>
      <c r="EV52" s="454"/>
      <c r="EW52" s="454"/>
      <c r="EX52" s="454"/>
      <c r="EY52" s="454"/>
      <c r="EZ52" s="454"/>
      <c r="FA52" s="454"/>
      <c r="FB52" s="454"/>
      <c r="FC52" s="454"/>
      <c r="FD52" s="454"/>
      <c r="FE52" s="454"/>
      <c r="FF52" s="454"/>
      <c r="FG52" s="454"/>
      <c r="FH52" s="454"/>
      <c r="FI52" s="454"/>
      <c r="FJ52" s="454"/>
      <c r="FK52" s="454"/>
      <c r="FL52" s="454"/>
      <c r="FM52" s="454"/>
      <c r="FN52" s="454"/>
      <c r="FO52" s="454"/>
      <c r="FP52" s="454"/>
      <c r="FQ52" s="290"/>
    </row>
    <row r="53" spans="1:173" s="4" customFormat="1">
      <c r="A53" s="56"/>
      <c r="B53" s="56"/>
      <c r="C53" s="522" t="s">
        <v>3805</v>
      </c>
      <c r="D53" s="522"/>
      <c r="E53" s="516">
        <v>30.9</v>
      </c>
      <c r="F53" s="516"/>
      <c r="G53" s="516"/>
      <c r="H53" s="516"/>
      <c r="I53" s="516"/>
      <c r="J53" s="516"/>
      <c r="K53" s="516"/>
      <c r="L53" s="516"/>
      <c r="M53" s="516"/>
      <c r="N53" s="516"/>
      <c r="O53" s="516">
        <f t="shared" si="8"/>
        <v>30.9</v>
      </c>
      <c r="P53" s="516"/>
      <c r="Q53" s="516"/>
      <c r="R53" s="516"/>
      <c r="S53" s="516"/>
      <c r="T53" s="516" t="s">
        <v>1903</v>
      </c>
      <c r="U53" s="516" t="s">
        <v>1903</v>
      </c>
      <c r="V53" s="516"/>
      <c r="W53" s="516"/>
      <c r="X53" s="516"/>
      <c r="Y53" s="516"/>
      <c r="Z53" s="516"/>
      <c r="AA53" s="516"/>
      <c r="AB53" s="516"/>
      <c r="AC53" s="516"/>
      <c r="AD53" s="516"/>
      <c r="AE53" s="725"/>
      <c r="AF53" s="957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>
        <f t="shared" si="3"/>
        <v>1</v>
      </c>
      <c r="BA53" s="516">
        <f t="shared" si="4"/>
        <v>0</v>
      </c>
      <c r="BB53" s="516"/>
      <c r="BC53" s="516"/>
      <c r="BD53" s="516">
        <f t="shared" si="5"/>
        <v>1</v>
      </c>
      <c r="BE53" s="516">
        <f t="shared" si="6"/>
        <v>0</v>
      </c>
      <c r="BF53" s="516"/>
      <c r="BG53" s="516"/>
      <c r="BH53" s="516"/>
      <c r="BI53" s="516">
        <f t="shared" si="1"/>
        <v>5</v>
      </c>
      <c r="BJ53" s="516"/>
      <c r="BK53" s="516"/>
      <c r="BL53" s="516"/>
      <c r="BM53" s="516"/>
      <c r="BN53" s="516"/>
      <c r="BO53" s="516"/>
      <c r="BP53" s="516"/>
      <c r="BQ53" s="516">
        <v>1</v>
      </c>
      <c r="BR53" s="516"/>
      <c r="BS53" s="516">
        <v>2</v>
      </c>
      <c r="BT53" s="516"/>
      <c r="BU53" s="516"/>
      <c r="BV53" s="516"/>
      <c r="BW53" s="516"/>
      <c r="BX53" s="516"/>
      <c r="BY53" s="516"/>
      <c r="BZ53" s="516"/>
      <c r="CA53" s="516"/>
      <c r="CB53" s="516">
        <v>1</v>
      </c>
      <c r="CC53" s="516"/>
      <c r="CD53" s="516">
        <f t="shared" si="2"/>
        <v>4</v>
      </c>
      <c r="CE53" s="516"/>
      <c r="CF53" s="516"/>
      <c r="CG53" s="516"/>
      <c r="CH53" s="516"/>
      <c r="CI53" s="516"/>
      <c r="CJ53" s="516"/>
      <c r="CK53" s="516"/>
      <c r="CL53" s="516"/>
      <c r="CM53" s="516"/>
      <c r="CN53" s="516"/>
      <c r="CO53" s="516"/>
      <c r="CP53" s="516"/>
      <c r="CQ53" s="516"/>
      <c r="CR53" s="516"/>
      <c r="CS53" s="516"/>
      <c r="CT53" s="516"/>
      <c r="CU53" s="516"/>
      <c r="CV53" s="516"/>
      <c r="CW53" s="516"/>
      <c r="CX53" s="454"/>
      <c r="CY53" s="454"/>
      <c r="CZ53" s="454"/>
      <c r="DA53" s="454"/>
      <c r="DB53" s="454"/>
      <c r="DC53" s="454"/>
      <c r="DD53" s="454"/>
      <c r="DE53" s="454"/>
      <c r="DF53" s="454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454"/>
      <c r="DT53" s="454"/>
      <c r="DU53" s="454"/>
      <c r="DV53" s="454"/>
      <c r="DW53" s="454"/>
      <c r="DX53" s="454"/>
      <c r="DY53" s="454"/>
      <c r="DZ53" s="454"/>
      <c r="EA53" s="454"/>
      <c r="EB53" s="454"/>
      <c r="EC53" s="454"/>
      <c r="ED53" s="454"/>
      <c r="EE53" s="454"/>
      <c r="EF53" s="454"/>
      <c r="EG53" s="454"/>
      <c r="EH53" s="454"/>
      <c r="EI53" s="454"/>
      <c r="EJ53" s="454"/>
      <c r="EK53" s="454"/>
      <c r="EL53" s="454"/>
      <c r="EM53" s="454"/>
      <c r="EN53" s="454"/>
      <c r="EO53" s="454"/>
      <c r="EP53" s="454"/>
      <c r="EQ53" s="454"/>
      <c r="ER53" s="454"/>
      <c r="ES53" s="454"/>
      <c r="ET53" s="454"/>
      <c r="EU53" s="454"/>
      <c r="EV53" s="454"/>
      <c r="EW53" s="454"/>
      <c r="EX53" s="454"/>
      <c r="EY53" s="454"/>
      <c r="EZ53" s="454"/>
      <c r="FA53" s="454"/>
      <c r="FB53" s="454"/>
      <c r="FC53" s="454"/>
      <c r="FD53" s="454"/>
      <c r="FE53" s="454"/>
      <c r="FF53" s="454"/>
      <c r="FG53" s="454"/>
      <c r="FH53" s="454"/>
      <c r="FI53" s="454"/>
      <c r="FJ53" s="454"/>
      <c r="FK53" s="454"/>
      <c r="FL53" s="454"/>
      <c r="FM53" s="454"/>
      <c r="FN53" s="454"/>
      <c r="FO53" s="454"/>
      <c r="FP53" s="454"/>
      <c r="FQ53" s="290"/>
    </row>
    <row r="54" spans="1:173" s="4" customFormat="1">
      <c r="A54" s="56"/>
      <c r="B54" s="56"/>
      <c r="C54" s="522"/>
      <c r="D54" s="522" t="s">
        <v>2992</v>
      </c>
      <c r="E54" s="516">
        <v>15.7</v>
      </c>
      <c r="F54" s="516"/>
      <c r="G54" s="516"/>
      <c r="H54" s="516"/>
      <c r="I54" s="516"/>
      <c r="J54" s="516"/>
      <c r="K54" s="516"/>
      <c r="L54" s="516"/>
      <c r="M54" s="516"/>
      <c r="N54" s="516"/>
      <c r="O54" s="516">
        <f t="shared" si="8"/>
        <v>15.7</v>
      </c>
      <c r="P54" s="516"/>
      <c r="Q54" s="516"/>
      <c r="R54" s="516"/>
      <c r="S54" s="516"/>
      <c r="T54" s="516"/>
      <c r="U54" s="516" t="s">
        <v>1903</v>
      </c>
      <c r="V54" s="516"/>
      <c r="W54" s="516"/>
      <c r="X54" s="516"/>
      <c r="Y54" s="516"/>
      <c r="Z54" s="516"/>
      <c r="AA54" s="516"/>
      <c r="AB54" s="516"/>
      <c r="AC54" s="516"/>
      <c r="AD54" s="516"/>
      <c r="AE54" s="725"/>
      <c r="AF54" s="957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>
        <f t="shared" si="3"/>
        <v>0</v>
      </c>
      <c r="BA54" s="516">
        <f t="shared" si="4"/>
        <v>0</v>
      </c>
      <c r="BB54" s="516"/>
      <c r="BC54" s="516"/>
      <c r="BD54" s="516">
        <f t="shared" si="5"/>
        <v>0</v>
      </c>
      <c r="BE54" s="516">
        <f t="shared" si="6"/>
        <v>1</v>
      </c>
      <c r="BF54" s="516"/>
      <c r="BG54" s="516"/>
      <c r="BH54" s="516"/>
      <c r="BI54" s="516">
        <f t="shared" si="1"/>
        <v>0</v>
      </c>
      <c r="BJ54" s="516"/>
      <c r="BK54" s="516"/>
      <c r="BL54" s="516"/>
      <c r="BM54" s="516"/>
      <c r="BN54" s="516"/>
      <c r="BO54" s="516"/>
      <c r="BP54" s="516"/>
      <c r="BQ54" s="516">
        <v>1</v>
      </c>
      <c r="BR54" s="516"/>
      <c r="BS54" s="516">
        <v>2</v>
      </c>
      <c r="BT54" s="516"/>
      <c r="BU54" s="516"/>
      <c r="BV54" s="516"/>
      <c r="BW54" s="516"/>
      <c r="BX54" s="516"/>
      <c r="BY54" s="516"/>
      <c r="BZ54" s="516"/>
      <c r="CA54" s="516"/>
      <c r="CB54" s="516"/>
      <c r="CC54" s="516"/>
      <c r="CD54" s="516">
        <f t="shared" si="2"/>
        <v>0</v>
      </c>
      <c r="CE54" s="516"/>
      <c r="CF54" s="516"/>
      <c r="CG54" s="516"/>
      <c r="CH54" s="516"/>
      <c r="CI54" s="516"/>
      <c r="CJ54" s="516"/>
      <c r="CK54" s="516"/>
      <c r="CL54" s="516"/>
      <c r="CM54" s="516"/>
      <c r="CN54" s="516"/>
      <c r="CO54" s="516"/>
      <c r="CP54" s="516"/>
      <c r="CQ54" s="516"/>
      <c r="CR54" s="516"/>
      <c r="CS54" s="516"/>
      <c r="CT54" s="516"/>
      <c r="CU54" s="516"/>
      <c r="CV54" s="516"/>
      <c r="CW54" s="516"/>
      <c r="CX54" s="454"/>
      <c r="CY54" s="454"/>
      <c r="CZ54" s="454"/>
      <c r="DA54" s="454"/>
      <c r="DB54" s="454"/>
      <c r="DC54" s="454"/>
      <c r="DD54" s="454"/>
      <c r="DE54" s="454"/>
      <c r="DF54" s="454"/>
      <c r="DG54" s="517"/>
      <c r="DH54" s="517"/>
      <c r="DI54" s="517"/>
      <c r="DJ54" s="517"/>
      <c r="DK54" s="517"/>
      <c r="DL54" s="517"/>
      <c r="DM54" s="517"/>
      <c r="DN54" s="517"/>
      <c r="DO54" s="517"/>
      <c r="DP54" s="517"/>
      <c r="DQ54" s="517"/>
      <c r="DR54" s="517"/>
      <c r="DS54" s="454"/>
      <c r="DT54" s="454"/>
      <c r="DU54" s="454"/>
      <c r="DV54" s="454"/>
      <c r="DW54" s="454"/>
      <c r="DX54" s="454"/>
      <c r="DY54" s="454"/>
      <c r="DZ54" s="454"/>
      <c r="EA54" s="454"/>
      <c r="EB54" s="454"/>
      <c r="EC54" s="454"/>
      <c r="ED54" s="454"/>
      <c r="EE54" s="454"/>
      <c r="EF54" s="454"/>
      <c r="EG54" s="454"/>
      <c r="EH54" s="454"/>
      <c r="EI54" s="454"/>
      <c r="EJ54" s="454"/>
      <c r="EK54" s="454"/>
      <c r="EL54" s="454"/>
      <c r="EM54" s="454"/>
      <c r="EN54" s="454"/>
      <c r="EO54" s="454"/>
      <c r="EP54" s="454"/>
      <c r="EQ54" s="454"/>
      <c r="ER54" s="454"/>
      <c r="ES54" s="454"/>
      <c r="ET54" s="454"/>
      <c r="EU54" s="454"/>
      <c r="EV54" s="454"/>
      <c r="EW54" s="454"/>
      <c r="EX54" s="454"/>
      <c r="EY54" s="454"/>
      <c r="EZ54" s="454"/>
      <c r="FA54" s="454"/>
      <c r="FB54" s="454"/>
      <c r="FC54" s="454"/>
      <c r="FD54" s="454"/>
      <c r="FE54" s="454"/>
      <c r="FF54" s="454"/>
      <c r="FG54" s="454"/>
      <c r="FH54" s="454"/>
      <c r="FI54" s="454"/>
      <c r="FJ54" s="454"/>
      <c r="FK54" s="454"/>
      <c r="FL54" s="454"/>
      <c r="FM54" s="454"/>
      <c r="FN54" s="454"/>
      <c r="FO54" s="454"/>
      <c r="FP54" s="454"/>
      <c r="FQ54" s="290"/>
    </row>
    <row r="55" spans="1:173" s="4" customFormat="1">
      <c r="A55" s="56"/>
      <c r="B55" s="56"/>
      <c r="C55" s="522" t="s">
        <v>3806</v>
      </c>
      <c r="D55" s="522"/>
      <c r="E55" s="516">
        <v>22.2</v>
      </c>
      <c r="F55" s="516"/>
      <c r="G55" s="516"/>
      <c r="H55" s="516"/>
      <c r="I55" s="516"/>
      <c r="J55" s="516"/>
      <c r="K55" s="516"/>
      <c r="L55" s="516"/>
      <c r="M55" s="516"/>
      <c r="N55" s="516"/>
      <c r="O55" s="516">
        <f t="shared" si="8"/>
        <v>22.2</v>
      </c>
      <c r="P55" s="516"/>
      <c r="Q55" s="516"/>
      <c r="R55" s="516"/>
      <c r="S55" s="516"/>
      <c r="T55" s="516" t="s">
        <v>1903</v>
      </c>
      <c r="U55" s="516" t="s">
        <v>1903</v>
      </c>
      <c r="V55" s="516"/>
      <c r="W55" s="516"/>
      <c r="X55" s="516"/>
      <c r="Y55" s="516"/>
      <c r="Z55" s="516"/>
      <c r="AA55" s="516"/>
      <c r="AB55" s="516"/>
      <c r="AC55" s="516"/>
      <c r="AD55" s="516"/>
      <c r="AE55" s="725"/>
      <c r="AF55" s="957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>
        <f t="shared" si="3"/>
        <v>1</v>
      </c>
      <c r="BA55" s="516">
        <f t="shared" si="4"/>
        <v>0</v>
      </c>
      <c r="BB55" s="516"/>
      <c r="BC55" s="516"/>
      <c r="BD55" s="516">
        <f t="shared" si="5"/>
        <v>1</v>
      </c>
      <c r="BE55" s="516">
        <f t="shared" si="6"/>
        <v>0</v>
      </c>
      <c r="BF55" s="516"/>
      <c r="BG55" s="516"/>
      <c r="BH55" s="516"/>
      <c r="BI55" s="516">
        <f t="shared" si="1"/>
        <v>5</v>
      </c>
      <c r="BJ55" s="516"/>
      <c r="BK55" s="516"/>
      <c r="BL55" s="516"/>
      <c r="BM55" s="516"/>
      <c r="BN55" s="516"/>
      <c r="BO55" s="516"/>
      <c r="BP55" s="516"/>
      <c r="BQ55" s="516">
        <v>1</v>
      </c>
      <c r="BR55" s="516"/>
      <c r="BS55" s="516">
        <v>2</v>
      </c>
      <c r="BT55" s="516"/>
      <c r="BU55" s="516"/>
      <c r="BV55" s="516"/>
      <c r="BW55" s="516"/>
      <c r="BX55" s="516"/>
      <c r="BY55" s="516"/>
      <c r="BZ55" s="516"/>
      <c r="CA55" s="516"/>
      <c r="CB55" s="516">
        <v>1</v>
      </c>
      <c r="CC55" s="516"/>
      <c r="CD55" s="516">
        <f t="shared" si="2"/>
        <v>4</v>
      </c>
      <c r="CE55" s="516"/>
      <c r="CF55" s="516"/>
      <c r="CG55" s="516"/>
      <c r="CH55" s="516"/>
      <c r="CI55" s="516"/>
      <c r="CJ55" s="516"/>
      <c r="CK55" s="516"/>
      <c r="CL55" s="516"/>
      <c r="CM55" s="516"/>
      <c r="CN55" s="516"/>
      <c r="CO55" s="516"/>
      <c r="CP55" s="516"/>
      <c r="CQ55" s="516"/>
      <c r="CR55" s="516"/>
      <c r="CS55" s="516"/>
      <c r="CT55" s="516"/>
      <c r="CU55" s="516"/>
      <c r="CV55" s="516"/>
      <c r="CW55" s="516"/>
      <c r="CX55" s="454"/>
      <c r="CY55" s="454"/>
      <c r="CZ55" s="454"/>
      <c r="DA55" s="454"/>
      <c r="DB55" s="454"/>
      <c r="DC55" s="454"/>
      <c r="DD55" s="454"/>
      <c r="DE55" s="454"/>
      <c r="DF55" s="454"/>
      <c r="DG55" s="517"/>
      <c r="DH55" s="517"/>
      <c r="DI55" s="517"/>
      <c r="DJ55" s="517"/>
      <c r="DK55" s="517"/>
      <c r="DL55" s="517"/>
      <c r="DM55" s="517"/>
      <c r="DN55" s="517"/>
      <c r="DO55" s="517"/>
      <c r="DP55" s="517"/>
      <c r="DQ55" s="517"/>
      <c r="DR55" s="517"/>
      <c r="DS55" s="454"/>
      <c r="DT55" s="454"/>
      <c r="DU55" s="454"/>
      <c r="DV55" s="454"/>
      <c r="DW55" s="454"/>
      <c r="DX55" s="454"/>
      <c r="DY55" s="454"/>
      <c r="DZ55" s="454"/>
      <c r="EA55" s="454"/>
      <c r="EB55" s="454"/>
      <c r="EC55" s="454"/>
      <c r="ED55" s="454"/>
      <c r="EE55" s="454"/>
      <c r="EF55" s="454"/>
      <c r="EG55" s="454"/>
      <c r="EH55" s="454"/>
      <c r="EI55" s="454"/>
      <c r="EJ55" s="454"/>
      <c r="EK55" s="454"/>
      <c r="EL55" s="454"/>
      <c r="EM55" s="454"/>
      <c r="EN55" s="454"/>
      <c r="EO55" s="454"/>
      <c r="EP55" s="454"/>
      <c r="EQ55" s="454"/>
      <c r="ER55" s="454"/>
      <c r="ES55" s="454"/>
      <c r="ET55" s="454"/>
      <c r="EU55" s="454"/>
      <c r="EV55" s="454"/>
      <c r="EW55" s="454"/>
      <c r="EX55" s="454"/>
      <c r="EY55" s="454"/>
      <c r="EZ55" s="454"/>
      <c r="FA55" s="454"/>
      <c r="FB55" s="454"/>
      <c r="FC55" s="454"/>
      <c r="FD55" s="454"/>
      <c r="FE55" s="454"/>
      <c r="FF55" s="454"/>
      <c r="FG55" s="454"/>
      <c r="FH55" s="454"/>
      <c r="FI55" s="454"/>
      <c r="FJ55" s="454"/>
      <c r="FK55" s="454"/>
      <c r="FL55" s="454"/>
      <c r="FM55" s="454"/>
      <c r="FN55" s="454"/>
      <c r="FO55" s="454"/>
      <c r="FP55" s="454"/>
      <c r="FQ55" s="290"/>
    </row>
    <row r="56" spans="1:173" s="4" customFormat="1">
      <c r="A56" s="56"/>
      <c r="B56" s="56"/>
      <c r="C56" s="522"/>
      <c r="D56" s="522" t="s">
        <v>2993</v>
      </c>
      <c r="E56" s="516">
        <v>18.899999999999999</v>
      </c>
      <c r="F56" s="516"/>
      <c r="G56" s="516"/>
      <c r="H56" s="516"/>
      <c r="I56" s="516"/>
      <c r="J56" s="516"/>
      <c r="K56" s="516"/>
      <c r="L56" s="516"/>
      <c r="M56" s="516"/>
      <c r="N56" s="516"/>
      <c r="O56" s="516">
        <f t="shared" si="8"/>
        <v>18.899999999999999</v>
      </c>
      <c r="P56" s="516"/>
      <c r="Q56" s="516"/>
      <c r="R56" s="516"/>
      <c r="S56" s="516"/>
      <c r="T56" s="516"/>
      <c r="U56" s="516" t="s">
        <v>1631</v>
      </c>
      <c r="V56" s="516"/>
      <c r="W56" s="516"/>
      <c r="X56" s="516"/>
      <c r="Y56" s="516"/>
      <c r="Z56" s="516"/>
      <c r="AA56" s="516"/>
      <c r="AB56" s="516"/>
      <c r="AC56" s="516"/>
      <c r="AD56" s="516"/>
      <c r="AE56" s="725"/>
      <c r="AF56" s="957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>
        <f t="shared" si="3"/>
        <v>0</v>
      </c>
      <c r="BA56" s="516">
        <f t="shared" si="4"/>
        <v>0</v>
      </c>
      <c r="BB56" s="516"/>
      <c r="BC56" s="516"/>
      <c r="BD56" s="516">
        <f t="shared" si="5"/>
        <v>0</v>
      </c>
      <c r="BE56" s="516">
        <f t="shared" si="6"/>
        <v>1</v>
      </c>
      <c r="BF56" s="516"/>
      <c r="BG56" s="516"/>
      <c r="BH56" s="516"/>
      <c r="BI56" s="516">
        <f t="shared" si="1"/>
        <v>0</v>
      </c>
      <c r="BJ56" s="516"/>
      <c r="BK56" s="516"/>
      <c r="BL56" s="516"/>
      <c r="BM56" s="516"/>
      <c r="BN56" s="516"/>
      <c r="BO56" s="516"/>
      <c r="BP56" s="516"/>
      <c r="BQ56" s="516"/>
      <c r="BR56" s="516"/>
      <c r="BS56" s="516">
        <v>1</v>
      </c>
      <c r="BT56" s="516"/>
      <c r="BU56" s="516"/>
      <c r="BV56" s="516"/>
      <c r="BW56" s="516"/>
      <c r="BX56" s="516"/>
      <c r="BY56" s="516"/>
      <c r="BZ56" s="516"/>
      <c r="CA56" s="516"/>
      <c r="CB56" s="516"/>
      <c r="CC56" s="516"/>
      <c r="CD56" s="516">
        <f t="shared" si="2"/>
        <v>0</v>
      </c>
      <c r="CE56" s="516"/>
      <c r="CF56" s="516"/>
      <c r="CG56" s="516"/>
      <c r="CH56" s="516"/>
      <c r="CI56" s="516"/>
      <c r="CJ56" s="516"/>
      <c r="CK56" s="516"/>
      <c r="CL56" s="516"/>
      <c r="CM56" s="516"/>
      <c r="CN56" s="516"/>
      <c r="CO56" s="516"/>
      <c r="CP56" s="516"/>
      <c r="CQ56" s="516"/>
      <c r="CR56" s="516"/>
      <c r="CS56" s="516"/>
      <c r="CT56" s="516"/>
      <c r="CU56" s="516"/>
      <c r="CV56" s="516"/>
      <c r="CW56" s="516"/>
      <c r="CX56" s="454"/>
      <c r="CY56" s="454"/>
      <c r="CZ56" s="454"/>
      <c r="DA56" s="454"/>
      <c r="DB56" s="454"/>
      <c r="DC56" s="454"/>
      <c r="DD56" s="454"/>
      <c r="DE56" s="454"/>
      <c r="DF56" s="454"/>
      <c r="DG56" s="517"/>
      <c r="DH56" s="517"/>
      <c r="DI56" s="517"/>
      <c r="DJ56" s="517"/>
      <c r="DK56" s="517"/>
      <c r="DL56" s="517"/>
      <c r="DM56" s="517"/>
      <c r="DN56" s="517"/>
      <c r="DO56" s="517"/>
      <c r="DP56" s="517"/>
      <c r="DQ56" s="517"/>
      <c r="DR56" s="517"/>
      <c r="DS56" s="454"/>
      <c r="DT56" s="454"/>
      <c r="DU56" s="454"/>
      <c r="DV56" s="454"/>
      <c r="DW56" s="454"/>
      <c r="DX56" s="454"/>
      <c r="DY56" s="454"/>
      <c r="DZ56" s="454"/>
      <c r="EA56" s="454"/>
      <c r="EB56" s="454"/>
      <c r="EC56" s="454"/>
      <c r="ED56" s="454"/>
      <c r="EE56" s="454"/>
      <c r="EF56" s="454"/>
      <c r="EG56" s="454"/>
      <c r="EH56" s="454"/>
      <c r="EI56" s="454"/>
      <c r="EJ56" s="454"/>
      <c r="EK56" s="454"/>
      <c r="EL56" s="454"/>
      <c r="EM56" s="454"/>
      <c r="EN56" s="454"/>
      <c r="EO56" s="454"/>
      <c r="EP56" s="454"/>
      <c r="EQ56" s="454"/>
      <c r="ER56" s="454"/>
      <c r="ES56" s="454"/>
      <c r="ET56" s="454"/>
      <c r="EU56" s="454"/>
      <c r="EV56" s="454"/>
      <c r="EW56" s="454"/>
      <c r="EX56" s="454"/>
      <c r="EY56" s="454"/>
      <c r="EZ56" s="454"/>
      <c r="FA56" s="454"/>
      <c r="FB56" s="454"/>
      <c r="FC56" s="454"/>
      <c r="FD56" s="454"/>
      <c r="FE56" s="454"/>
      <c r="FF56" s="454"/>
      <c r="FG56" s="454"/>
      <c r="FH56" s="454"/>
      <c r="FI56" s="454"/>
      <c r="FJ56" s="454"/>
      <c r="FK56" s="454"/>
      <c r="FL56" s="454"/>
      <c r="FM56" s="454"/>
      <c r="FN56" s="454"/>
      <c r="FO56" s="454"/>
      <c r="FP56" s="454"/>
      <c r="FQ56" s="290"/>
    </row>
    <row r="57" spans="1:173" s="4" customFormat="1">
      <c r="A57" s="56"/>
      <c r="B57" s="56"/>
      <c r="C57" s="522" t="s">
        <v>3807</v>
      </c>
      <c r="D57" s="522"/>
      <c r="E57" s="516">
        <v>26.2</v>
      </c>
      <c r="F57" s="516"/>
      <c r="G57" s="516"/>
      <c r="H57" s="516"/>
      <c r="I57" s="516"/>
      <c r="J57" s="516"/>
      <c r="K57" s="516"/>
      <c r="L57" s="516"/>
      <c r="M57" s="516"/>
      <c r="N57" s="516"/>
      <c r="O57" s="516">
        <f t="shared" si="8"/>
        <v>26.2</v>
      </c>
      <c r="P57" s="516"/>
      <c r="Q57" s="516"/>
      <c r="R57" s="516"/>
      <c r="S57" s="516"/>
      <c r="T57" s="516" t="s">
        <v>1631</v>
      </c>
      <c r="U57" s="516" t="s">
        <v>1631</v>
      </c>
      <c r="V57" s="516"/>
      <c r="W57" s="516"/>
      <c r="X57" s="516"/>
      <c r="Y57" s="516"/>
      <c r="Z57" s="516"/>
      <c r="AA57" s="516"/>
      <c r="AB57" s="516"/>
      <c r="AC57" s="516"/>
      <c r="AD57" s="516"/>
      <c r="AE57" s="725"/>
      <c r="AF57" s="957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>
        <f t="shared" si="3"/>
        <v>1</v>
      </c>
      <c r="BA57" s="516">
        <f t="shared" si="4"/>
        <v>0</v>
      </c>
      <c r="BB57" s="516"/>
      <c r="BC57" s="516"/>
      <c r="BD57" s="516">
        <f t="shared" si="5"/>
        <v>1</v>
      </c>
      <c r="BE57" s="516">
        <f t="shared" si="6"/>
        <v>0</v>
      </c>
      <c r="BF57" s="516"/>
      <c r="BG57" s="516"/>
      <c r="BH57" s="516"/>
      <c r="BI57" s="516">
        <f t="shared" si="1"/>
        <v>5</v>
      </c>
      <c r="BJ57" s="516"/>
      <c r="BK57" s="516"/>
      <c r="BL57" s="516"/>
      <c r="BM57" s="516"/>
      <c r="BN57" s="516"/>
      <c r="BO57" s="516"/>
      <c r="BP57" s="516"/>
      <c r="BQ57" s="516"/>
      <c r="BR57" s="516"/>
      <c r="BS57" s="516">
        <v>1</v>
      </c>
      <c r="BT57" s="516"/>
      <c r="BU57" s="516"/>
      <c r="BV57" s="516"/>
      <c r="BW57" s="516"/>
      <c r="BX57" s="516"/>
      <c r="BY57" s="516"/>
      <c r="BZ57" s="516"/>
      <c r="CA57" s="516"/>
      <c r="CB57" s="516">
        <v>1</v>
      </c>
      <c r="CC57" s="516"/>
      <c r="CD57" s="516">
        <f t="shared" si="2"/>
        <v>4</v>
      </c>
      <c r="CE57" s="516"/>
      <c r="CF57" s="516"/>
      <c r="CG57" s="516"/>
      <c r="CH57" s="516"/>
      <c r="CI57" s="516"/>
      <c r="CJ57" s="516"/>
      <c r="CK57" s="516"/>
      <c r="CL57" s="516"/>
      <c r="CM57" s="516"/>
      <c r="CN57" s="516"/>
      <c r="CO57" s="516"/>
      <c r="CP57" s="516"/>
      <c r="CQ57" s="516"/>
      <c r="CR57" s="516"/>
      <c r="CS57" s="516"/>
      <c r="CT57" s="516"/>
      <c r="CU57" s="516"/>
      <c r="CV57" s="516"/>
      <c r="CW57" s="516"/>
      <c r="CX57" s="454"/>
      <c r="CY57" s="454"/>
      <c r="CZ57" s="454"/>
      <c r="DA57" s="454"/>
      <c r="DB57" s="454"/>
      <c r="DC57" s="454"/>
      <c r="DD57" s="454"/>
      <c r="DE57" s="454"/>
      <c r="DF57" s="454"/>
      <c r="DG57" s="517"/>
      <c r="DH57" s="517"/>
      <c r="DI57" s="517"/>
      <c r="DJ57" s="517"/>
      <c r="DK57" s="517"/>
      <c r="DL57" s="517"/>
      <c r="DM57" s="517"/>
      <c r="DN57" s="517"/>
      <c r="DO57" s="517"/>
      <c r="DP57" s="517"/>
      <c r="DQ57" s="517"/>
      <c r="DR57" s="517"/>
      <c r="DS57" s="454"/>
      <c r="DT57" s="454"/>
      <c r="DU57" s="454"/>
      <c r="DV57" s="454"/>
      <c r="DW57" s="454"/>
      <c r="DX57" s="454"/>
      <c r="DY57" s="454"/>
      <c r="DZ57" s="454"/>
      <c r="EA57" s="454"/>
      <c r="EB57" s="454"/>
      <c r="EC57" s="454"/>
      <c r="ED57" s="454"/>
      <c r="EE57" s="454"/>
      <c r="EF57" s="454"/>
      <c r="EG57" s="454"/>
      <c r="EH57" s="454"/>
      <c r="EI57" s="454"/>
      <c r="EJ57" s="454"/>
      <c r="EK57" s="454"/>
      <c r="EL57" s="454"/>
      <c r="EM57" s="454"/>
      <c r="EN57" s="454"/>
      <c r="EO57" s="454"/>
      <c r="EP57" s="454"/>
      <c r="EQ57" s="454"/>
      <c r="ER57" s="454"/>
      <c r="ES57" s="454"/>
      <c r="ET57" s="454"/>
      <c r="EU57" s="454"/>
      <c r="EV57" s="454"/>
      <c r="EW57" s="454"/>
      <c r="EX57" s="454"/>
      <c r="EY57" s="454"/>
      <c r="EZ57" s="454"/>
      <c r="FA57" s="454"/>
      <c r="FB57" s="454"/>
      <c r="FC57" s="454"/>
      <c r="FD57" s="454"/>
      <c r="FE57" s="454"/>
      <c r="FF57" s="454"/>
      <c r="FG57" s="454"/>
      <c r="FH57" s="454"/>
      <c r="FI57" s="454"/>
      <c r="FJ57" s="454"/>
      <c r="FK57" s="454"/>
      <c r="FL57" s="454"/>
      <c r="FM57" s="454"/>
      <c r="FN57" s="454"/>
      <c r="FO57" s="454"/>
      <c r="FP57" s="454"/>
      <c r="FQ57" s="290"/>
    </row>
    <row r="58" spans="1:173" s="4" customFormat="1">
      <c r="A58" s="56"/>
      <c r="B58" s="56"/>
      <c r="C58" s="522"/>
      <c r="D58" s="522" t="s">
        <v>2994</v>
      </c>
      <c r="E58" s="516">
        <v>23.9</v>
      </c>
      <c r="F58" s="516"/>
      <c r="G58" s="516"/>
      <c r="H58" s="516"/>
      <c r="I58" s="516"/>
      <c r="J58" s="516"/>
      <c r="K58" s="516"/>
      <c r="L58" s="516"/>
      <c r="M58" s="516"/>
      <c r="N58" s="516"/>
      <c r="O58" s="516">
        <f t="shared" si="8"/>
        <v>23.9</v>
      </c>
      <c r="P58" s="516"/>
      <c r="Q58" s="516"/>
      <c r="R58" s="516"/>
      <c r="S58" s="516"/>
      <c r="T58" s="516"/>
      <c r="U58" s="516" t="s">
        <v>1631</v>
      </c>
      <c r="V58" s="516"/>
      <c r="W58" s="516"/>
      <c r="X58" s="516"/>
      <c r="Y58" s="516"/>
      <c r="Z58" s="516"/>
      <c r="AA58" s="516"/>
      <c r="AB58" s="516"/>
      <c r="AC58" s="516"/>
      <c r="AD58" s="516"/>
      <c r="AE58" s="725"/>
      <c r="AF58" s="957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>
        <f t="shared" si="3"/>
        <v>0</v>
      </c>
      <c r="BA58" s="516">
        <f t="shared" si="4"/>
        <v>1</v>
      </c>
      <c r="BB58" s="516"/>
      <c r="BC58" s="516"/>
      <c r="BD58" s="516">
        <f t="shared" si="5"/>
        <v>0</v>
      </c>
      <c r="BE58" s="516">
        <f t="shared" si="6"/>
        <v>1</v>
      </c>
      <c r="BF58" s="516"/>
      <c r="BG58" s="516"/>
      <c r="BH58" s="516"/>
      <c r="BI58" s="516">
        <f t="shared" si="1"/>
        <v>5</v>
      </c>
      <c r="BJ58" s="516"/>
      <c r="BK58" s="516"/>
      <c r="BL58" s="516"/>
      <c r="BM58" s="516"/>
      <c r="BN58" s="516"/>
      <c r="BO58" s="516"/>
      <c r="BP58" s="516"/>
      <c r="BQ58" s="516"/>
      <c r="BR58" s="516"/>
      <c r="BS58" s="516">
        <v>1</v>
      </c>
      <c r="BT58" s="516"/>
      <c r="BU58" s="516"/>
      <c r="BV58" s="516"/>
      <c r="BW58" s="516"/>
      <c r="BX58" s="516"/>
      <c r="BY58" s="516"/>
      <c r="BZ58" s="516"/>
      <c r="CA58" s="516"/>
      <c r="CB58" s="516">
        <v>1</v>
      </c>
      <c r="CC58" s="516"/>
      <c r="CD58" s="516">
        <f t="shared" si="2"/>
        <v>4</v>
      </c>
      <c r="CE58" s="516"/>
      <c r="CF58" s="516"/>
      <c r="CG58" s="516"/>
      <c r="CH58" s="516"/>
      <c r="CI58" s="516"/>
      <c r="CJ58" s="516"/>
      <c r="CK58" s="516"/>
      <c r="CL58" s="516"/>
      <c r="CM58" s="516"/>
      <c r="CN58" s="516"/>
      <c r="CO58" s="516"/>
      <c r="CP58" s="516"/>
      <c r="CQ58" s="516"/>
      <c r="CR58" s="516"/>
      <c r="CS58" s="516"/>
      <c r="CT58" s="516"/>
      <c r="CU58" s="516"/>
      <c r="CV58" s="516"/>
      <c r="CW58" s="516"/>
      <c r="CX58" s="454"/>
      <c r="CY58" s="454"/>
      <c r="CZ58" s="454"/>
      <c r="DA58" s="454"/>
      <c r="DB58" s="454"/>
      <c r="DC58" s="454"/>
      <c r="DD58" s="454"/>
      <c r="DE58" s="454"/>
      <c r="DF58" s="454"/>
      <c r="DG58" s="517"/>
      <c r="DH58" s="517"/>
      <c r="DI58" s="517"/>
      <c r="DJ58" s="517"/>
      <c r="DK58" s="517"/>
      <c r="DL58" s="517"/>
      <c r="DM58" s="517"/>
      <c r="DN58" s="517"/>
      <c r="DO58" s="517"/>
      <c r="DP58" s="517"/>
      <c r="DQ58" s="517"/>
      <c r="DR58" s="517"/>
      <c r="DS58" s="454"/>
      <c r="DT58" s="454"/>
      <c r="DU58" s="454"/>
      <c r="DV58" s="454"/>
      <c r="DW58" s="454"/>
      <c r="DX58" s="454"/>
      <c r="DY58" s="454"/>
      <c r="DZ58" s="454"/>
      <c r="EA58" s="454"/>
      <c r="EB58" s="454"/>
      <c r="EC58" s="454"/>
      <c r="ED58" s="454"/>
      <c r="EE58" s="454"/>
      <c r="EF58" s="454"/>
      <c r="EG58" s="454"/>
      <c r="EH58" s="454"/>
      <c r="EI58" s="454"/>
      <c r="EJ58" s="454"/>
      <c r="EK58" s="454"/>
      <c r="EL58" s="454"/>
      <c r="EM58" s="454"/>
      <c r="EN58" s="454"/>
      <c r="EO58" s="454"/>
      <c r="EP58" s="454"/>
      <c r="EQ58" s="454"/>
      <c r="ER58" s="454"/>
      <c r="ES58" s="454"/>
      <c r="ET58" s="454"/>
      <c r="EU58" s="454"/>
      <c r="EV58" s="454"/>
      <c r="EW58" s="454"/>
      <c r="EX58" s="454"/>
      <c r="EY58" s="454"/>
      <c r="EZ58" s="454"/>
      <c r="FA58" s="454"/>
      <c r="FB58" s="454"/>
      <c r="FC58" s="454"/>
      <c r="FD58" s="454"/>
      <c r="FE58" s="454"/>
      <c r="FF58" s="454"/>
      <c r="FG58" s="454"/>
      <c r="FH58" s="454"/>
      <c r="FI58" s="454"/>
      <c r="FJ58" s="454"/>
      <c r="FK58" s="454"/>
      <c r="FL58" s="454"/>
      <c r="FM58" s="454"/>
      <c r="FN58" s="454"/>
      <c r="FO58" s="454"/>
      <c r="FP58" s="454"/>
      <c r="FQ58" s="290"/>
    </row>
    <row r="59" spans="1:173" s="4" customFormat="1">
      <c r="A59" s="56"/>
      <c r="B59" s="56"/>
      <c r="C59" s="522" t="s">
        <v>3808</v>
      </c>
      <c r="D59" s="522"/>
      <c r="E59" s="516">
        <v>19.100000000000001</v>
      </c>
      <c r="F59" s="516"/>
      <c r="G59" s="516"/>
      <c r="H59" s="516"/>
      <c r="I59" s="516"/>
      <c r="J59" s="516"/>
      <c r="K59" s="516"/>
      <c r="L59" s="516"/>
      <c r="M59" s="516"/>
      <c r="N59" s="516"/>
      <c r="O59" s="516">
        <f t="shared" si="8"/>
        <v>19.100000000000001</v>
      </c>
      <c r="P59" s="516"/>
      <c r="Q59" s="516"/>
      <c r="R59" s="516"/>
      <c r="S59" s="516"/>
      <c r="T59" s="516" t="s">
        <v>1631</v>
      </c>
      <c r="U59" s="516" t="s">
        <v>1631</v>
      </c>
      <c r="V59" s="516"/>
      <c r="W59" s="516"/>
      <c r="X59" s="516"/>
      <c r="Y59" s="516"/>
      <c r="Z59" s="516"/>
      <c r="AA59" s="516"/>
      <c r="AB59" s="516"/>
      <c r="AC59" s="516"/>
      <c r="AD59" s="516"/>
      <c r="AE59" s="725"/>
      <c r="AF59" s="957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>
        <v>1</v>
      </c>
      <c r="AV59" s="516"/>
      <c r="AW59" s="516"/>
      <c r="AX59" s="516"/>
      <c r="AY59" s="516"/>
      <c r="AZ59" s="516">
        <f t="shared" si="3"/>
        <v>1</v>
      </c>
      <c r="BA59" s="516">
        <f t="shared" si="4"/>
        <v>0</v>
      </c>
      <c r="BB59" s="516"/>
      <c r="BC59" s="516"/>
      <c r="BD59" s="516">
        <f t="shared" si="5"/>
        <v>1</v>
      </c>
      <c r="BE59" s="516">
        <f t="shared" si="6"/>
        <v>0</v>
      </c>
      <c r="BF59" s="516"/>
      <c r="BG59" s="516"/>
      <c r="BH59" s="516"/>
      <c r="BI59" s="516">
        <f t="shared" si="1"/>
        <v>7</v>
      </c>
      <c r="BJ59" s="516"/>
      <c r="BK59" s="516"/>
      <c r="BL59" s="516"/>
      <c r="BM59" s="516"/>
      <c r="BN59" s="516"/>
      <c r="BO59" s="516"/>
      <c r="BP59" s="516"/>
      <c r="BQ59" s="516"/>
      <c r="BR59" s="516"/>
      <c r="BS59" s="516">
        <v>1</v>
      </c>
      <c r="BT59" s="516"/>
      <c r="BU59" s="516"/>
      <c r="BV59" s="516"/>
      <c r="BW59" s="516"/>
      <c r="BX59" s="516"/>
      <c r="BY59" s="516"/>
      <c r="BZ59" s="516"/>
      <c r="CA59" s="516"/>
      <c r="CB59" s="516">
        <v>1</v>
      </c>
      <c r="CC59" s="516"/>
      <c r="CD59" s="516">
        <f t="shared" si="2"/>
        <v>4</v>
      </c>
      <c r="CE59" s="516"/>
      <c r="CF59" s="516"/>
      <c r="CG59" s="516"/>
      <c r="CH59" s="516"/>
      <c r="CI59" s="516"/>
      <c r="CJ59" s="516"/>
      <c r="CK59" s="516"/>
      <c r="CL59" s="516"/>
      <c r="CM59" s="516"/>
      <c r="CN59" s="516"/>
      <c r="CO59" s="516"/>
      <c r="CP59" s="516"/>
      <c r="CQ59" s="516"/>
      <c r="CR59" s="516"/>
      <c r="CS59" s="516"/>
      <c r="CT59" s="516"/>
      <c r="CU59" s="516"/>
      <c r="CV59" s="516"/>
      <c r="CW59" s="516"/>
      <c r="CX59" s="454"/>
      <c r="CY59" s="454"/>
      <c r="CZ59" s="454"/>
      <c r="DA59" s="454"/>
      <c r="DB59" s="454"/>
      <c r="DC59" s="454"/>
      <c r="DD59" s="454"/>
      <c r="DE59" s="454"/>
      <c r="DF59" s="454"/>
      <c r="DG59" s="517"/>
      <c r="DH59" s="517"/>
      <c r="DI59" s="517"/>
      <c r="DJ59" s="517"/>
      <c r="DK59" s="517"/>
      <c r="DL59" s="517"/>
      <c r="DM59" s="517"/>
      <c r="DN59" s="517"/>
      <c r="DO59" s="517"/>
      <c r="DP59" s="517"/>
      <c r="DQ59" s="517"/>
      <c r="DR59" s="517"/>
      <c r="DS59" s="454"/>
      <c r="DT59" s="454"/>
      <c r="DU59" s="454"/>
      <c r="DV59" s="454"/>
      <c r="DW59" s="454"/>
      <c r="DX59" s="454"/>
      <c r="DY59" s="454"/>
      <c r="DZ59" s="454"/>
      <c r="EA59" s="454"/>
      <c r="EB59" s="454"/>
      <c r="EC59" s="454"/>
      <c r="ED59" s="454"/>
      <c r="EE59" s="454"/>
      <c r="EF59" s="454"/>
      <c r="EG59" s="454"/>
      <c r="EH59" s="454"/>
      <c r="EI59" s="454"/>
      <c r="EJ59" s="454"/>
      <c r="EK59" s="454"/>
      <c r="EL59" s="454"/>
      <c r="EM59" s="454"/>
      <c r="EN59" s="454"/>
      <c r="EO59" s="454"/>
      <c r="EP59" s="454"/>
      <c r="EQ59" s="454"/>
      <c r="ER59" s="454"/>
      <c r="ES59" s="454"/>
      <c r="ET59" s="454"/>
      <c r="EU59" s="454"/>
      <c r="EV59" s="454"/>
      <c r="EW59" s="454"/>
      <c r="EX59" s="454"/>
      <c r="EY59" s="454"/>
      <c r="EZ59" s="454"/>
      <c r="FA59" s="454"/>
      <c r="FB59" s="454"/>
      <c r="FC59" s="454"/>
      <c r="FD59" s="454"/>
      <c r="FE59" s="454"/>
      <c r="FF59" s="454"/>
      <c r="FG59" s="454"/>
      <c r="FH59" s="454"/>
      <c r="FI59" s="454"/>
      <c r="FJ59" s="454"/>
      <c r="FK59" s="454"/>
      <c r="FL59" s="454"/>
      <c r="FM59" s="454"/>
      <c r="FN59" s="454"/>
      <c r="FO59" s="454"/>
      <c r="FP59" s="454"/>
      <c r="FQ59" s="290"/>
    </row>
    <row r="60" spans="1:173" s="4" customFormat="1">
      <c r="A60" s="56"/>
      <c r="B60" s="56"/>
      <c r="C60" s="522"/>
      <c r="D60" s="522" t="s">
        <v>2995</v>
      </c>
      <c r="E60" s="516">
        <v>32.4</v>
      </c>
      <c r="F60" s="516"/>
      <c r="G60" s="516"/>
      <c r="H60" s="516"/>
      <c r="I60" s="516"/>
      <c r="J60" s="516"/>
      <c r="K60" s="516"/>
      <c r="L60" s="516"/>
      <c r="M60" s="516"/>
      <c r="N60" s="516"/>
      <c r="O60" s="516">
        <f t="shared" si="8"/>
        <v>32.4</v>
      </c>
      <c r="P60" s="516"/>
      <c r="Q60" s="516"/>
      <c r="R60" s="516"/>
      <c r="S60" s="516"/>
      <c r="T60" s="516"/>
      <c r="U60" s="516" t="s">
        <v>1631</v>
      </c>
      <c r="V60" s="516"/>
      <c r="W60" s="516"/>
      <c r="X60" s="516"/>
      <c r="Y60" s="516"/>
      <c r="Z60" s="516"/>
      <c r="AA60" s="516"/>
      <c r="AB60" s="516"/>
      <c r="AC60" s="516"/>
      <c r="AD60" s="516"/>
      <c r="AE60" s="725"/>
      <c r="AF60" s="957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>
        <f t="shared" si="3"/>
        <v>0</v>
      </c>
      <c r="BA60" s="516">
        <f t="shared" si="4"/>
        <v>0</v>
      </c>
      <c r="BB60" s="516"/>
      <c r="BC60" s="516"/>
      <c r="BD60" s="516">
        <f t="shared" si="5"/>
        <v>0</v>
      </c>
      <c r="BE60" s="516">
        <f t="shared" si="6"/>
        <v>1</v>
      </c>
      <c r="BF60" s="516"/>
      <c r="BG60" s="516"/>
      <c r="BH60" s="516"/>
      <c r="BI60" s="516">
        <f t="shared" si="1"/>
        <v>0</v>
      </c>
      <c r="BJ60" s="516"/>
      <c r="BK60" s="516"/>
      <c r="BL60" s="516"/>
      <c r="BM60" s="516"/>
      <c r="BN60" s="516"/>
      <c r="BO60" s="516"/>
      <c r="BP60" s="516"/>
      <c r="BQ60" s="516"/>
      <c r="BR60" s="516"/>
      <c r="BS60" s="516">
        <v>1</v>
      </c>
      <c r="BT60" s="516"/>
      <c r="BU60" s="516"/>
      <c r="BV60" s="516"/>
      <c r="BW60" s="516"/>
      <c r="BX60" s="516"/>
      <c r="BY60" s="516"/>
      <c r="BZ60" s="516"/>
      <c r="CA60" s="516"/>
      <c r="CB60" s="516"/>
      <c r="CC60" s="516"/>
      <c r="CD60" s="516">
        <f t="shared" si="2"/>
        <v>0</v>
      </c>
      <c r="CE60" s="516"/>
      <c r="CF60" s="516"/>
      <c r="CG60" s="516"/>
      <c r="CH60" s="516"/>
      <c r="CI60" s="516"/>
      <c r="CJ60" s="516"/>
      <c r="CK60" s="516"/>
      <c r="CL60" s="516"/>
      <c r="CM60" s="516"/>
      <c r="CN60" s="516"/>
      <c r="CO60" s="516"/>
      <c r="CP60" s="516"/>
      <c r="CQ60" s="516"/>
      <c r="CR60" s="516"/>
      <c r="CS60" s="516"/>
      <c r="CT60" s="516"/>
      <c r="CU60" s="516"/>
      <c r="CV60" s="516"/>
      <c r="CW60" s="516"/>
      <c r="CX60" s="454"/>
      <c r="CY60" s="454"/>
      <c r="CZ60" s="454"/>
      <c r="DA60" s="454"/>
      <c r="DB60" s="454"/>
      <c r="DC60" s="454"/>
      <c r="DD60" s="454"/>
      <c r="DE60" s="454"/>
      <c r="DF60" s="454"/>
      <c r="DG60" s="517"/>
      <c r="DH60" s="517"/>
      <c r="DI60" s="517"/>
      <c r="DJ60" s="517"/>
      <c r="DK60" s="517"/>
      <c r="DL60" s="517"/>
      <c r="DM60" s="517"/>
      <c r="DN60" s="517"/>
      <c r="DO60" s="517"/>
      <c r="DP60" s="517"/>
      <c r="DQ60" s="517"/>
      <c r="DR60" s="517"/>
      <c r="DS60" s="454"/>
      <c r="DT60" s="454"/>
      <c r="DU60" s="454"/>
      <c r="DV60" s="454"/>
      <c r="DW60" s="454"/>
      <c r="DX60" s="454"/>
      <c r="DY60" s="454"/>
      <c r="DZ60" s="454"/>
      <c r="EA60" s="454"/>
      <c r="EB60" s="454"/>
      <c r="EC60" s="454"/>
      <c r="ED60" s="454"/>
      <c r="EE60" s="454"/>
      <c r="EF60" s="454"/>
      <c r="EG60" s="454"/>
      <c r="EH60" s="454"/>
      <c r="EI60" s="454"/>
      <c r="EJ60" s="454"/>
      <c r="EK60" s="454"/>
      <c r="EL60" s="454"/>
      <c r="EM60" s="454"/>
      <c r="EN60" s="454"/>
      <c r="EO60" s="454"/>
      <c r="EP60" s="454"/>
      <c r="EQ60" s="454"/>
      <c r="ER60" s="454"/>
      <c r="ES60" s="454"/>
      <c r="ET60" s="454"/>
      <c r="EU60" s="454"/>
      <c r="EV60" s="454"/>
      <c r="EW60" s="454"/>
      <c r="EX60" s="454"/>
      <c r="EY60" s="454"/>
      <c r="EZ60" s="454"/>
      <c r="FA60" s="454"/>
      <c r="FB60" s="454"/>
      <c r="FC60" s="454"/>
      <c r="FD60" s="454"/>
      <c r="FE60" s="454"/>
      <c r="FF60" s="454"/>
      <c r="FG60" s="454"/>
      <c r="FH60" s="454"/>
      <c r="FI60" s="454"/>
      <c r="FJ60" s="454"/>
      <c r="FK60" s="454"/>
      <c r="FL60" s="454"/>
      <c r="FM60" s="454"/>
      <c r="FN60" s="454"/>
      <c r="FO60" s="454"/>
      <c r="FP60" s="454"/>
      <c r="FQ60" s="290"/>
    </row>
    <row r="61" spans="1:173" s="4" customFormat="1">
      <c r="A61" s="56"/>
      <c r="B61" s="56"/>
      <c r="C61" s="522"/>
      <c r="D61" s="522" t="s">
        <v>2996</v>
      </c>
      <c r="E61" s="516">
        <v>30</v>
      </c>
      <c r="F61" s="516"/>
      <c r="G61" s="516"/>
      <c r="H61" s="516"/>
      <c r="I61" s="516"/>
      <c r="J61" s="516"/>
      <c r="K61" s="516"/>
      <c r="L61" s="516"/>
      <c r="M61" s="516"/>
      <c r="N61" s="516"/>
      <c r="O61" s="516">
        <f t="shared" si="0"/>
        <v>30</v>
      </c>
      <c r="P61" s="516"/>
      <c r="Q61" s="516"/>
      <c r="R61" s="516"/>
      <c r="S61" s="516"/>
      <c r="T61" s="516"/>
      <c r="U61" s="516" t="s">
        <v>2990</v>
      </c>
      <c r="V61" s="516"/>
      <c r="W61" s="516"/>
      <c r="X61" s="516"/>
      <c r="Y61" s="516"/>
      <c r="Z61" s="516"/>
      <c r="AA61" s="516"/>
      <c r="AB61" s="516"/>
      <c r="AC61" s="516"/>
      <c r="AD61" s="516"/>
      <c r="AE61" s="725"/>
      <c r="AF61" s="957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>
        <f t="shared" si="3"/>
        <v>0</v>
      </c>
      <c r="BA61" s="516">
        <f t="shared" si="4"/>
        <v>1</v>
      </c>
      <c r="BB61" s="516"/>
      <c r="BC61" s="516"/>
      <c r="BD61" s="516">
        <f t="shared" si="5"/>
        <v>0</v>
      </c>
      <c r="BE61" s="516">
        <f t="shared" si="6"/>
        <v>1</v>
      </c>
      <c r="BF61" s="516"/>
      <c r="BG61" s="516"/>
      <c r="BH61" s="516"/>
      <c r="BI61" s="516">
        <f t="shared" si="1"/>
        <v>5</v>
      </c>
      <c r="BJ61" s="516"/>
      <c r="BK61" s="516"/>
      <c r="BL61" s="516"/>
      <c r="BM61" s="516"/>
      <c r="BN61" s="516"/>
      <c r="BO61" s="516"/>
      <c r="BP61" s="516"/>
      <c r="BQ61" s="516"/>
      <c r="BR61" s="516"/>
      <c r="BS61" s="516"/>
      <c r="BT61" s="516"/>
      <c r="BU61" s="516"/>
      <c r="BV61" s="516"/>
      <c r="BW61" s="516"/>
      <c r="BX61" s="516">
        <v>1</v>
      </c>
      <c r="BY61" s="516"/>
      <c r="BZ61" s="516"/>
      <c r="CA61" s="516"/>
      <c r="CB61" s="516">
        <v>1</v>
      </c>
      <c r="CC61" s="516"/>
      <c r="CD61" s="516">
        <f t="shared" si="2"/>
        <v>4</v>
      </c>
      <c r="CE61" s="516"/>
      <c r="CF61" s="516"/>
      <c r="CG61" s="516"/>
      <c r="CH61" s="516"/>
      <c r="CI61" s="516"/>
      <c r="CJ61" s="516"/>
      <c r="CK61" s="516"/>
      <c r="CL61" s="516"/>
      <c r="CM61" s="516"/>
      <c r="CN61" s="516"/>
      <c r="CO61" s="516"/>
      <c r="CP61" s="516"/>
      <c r="CQ61" s="516"/>
      <c r="CR61" s="516"/>
      <c r="CS61" s="516"/>
      <c r="CT61" s="516"/>
      <c r="CU61" s="516"/>
      <c r="CV61" s="516"/>
      <c r="CW61" s="516"/>
      <c r="CX61" s="454"/>
      <c r="CY61" s="454"/>
      <c r="CZ61" s="454"/>
      <c r="DA61" s="454"/>
      <c r="DB61" s="454"/>
      <c r="DC61" s="454"/>
      <c r="DD61" s="454"/>
      <c r="DE61" s="454"/>
      <c r="DF61" s="454"/>
      <c r="DG61" s="517"/>
      <c r="DH61" s="517"/>
      <c r="DI61" s="517"/>
      <c r="DJ61" s="517"/>
      <c r="DK61" s="517"/>
      <c r="DL61" s="517"/>
      <c r="DM61" s="517"/>
      <c r="DN61" s="517"/>
      <c r="DO61" s="517"/>
      <c r="DP61" s="517"/>
      <c r="DQ61" s="517"/>
      <c r="DR61" s="517"/>
      <c r="DS61" s="454"/>
      <c r="DT61" s="454"/>
      <c r="DU61" s="454"/>
      <c r="DV61" s="454"/>
      <c r="DW61" s="454"/>
      <c r="DX61" s="454"/>
      <c r="DY61" s="454"/>
      <c r="DZ61" s="454"/>
      <c r="EA61" s="454"/>
      <c r="EB61" s="454"/>
      <c r="EC61" s="454"/>
      <c r="ED61" s="454"/>
      <c r="EE61" s="454"/>
      <c r="EF61" s="454"/>
      <c r="EG61" s="454"/>
      <c r="EH61" s="454"/>
      <c r="EI61" s="454"/>
      <c r="EJ61" s="454"/>
      <c r="EK61" s="454"/>
      <c r="EL61" s="454"/>
      <c r="EM61" s="454"/>
      <c r="EN61" s="454"/>
      <c r="EO61" s="454"/>
      <c r="EP61" s="454"/>
      <c r="EQ61" s="454"/>
      <c r="ER61" s="454"/>
      <c r="ES61" s="454"/>
      <c r="ET61" s="454"/>
      <c r="EU61" s="454"/>
      <c r="EV61" s="454"/>
      <c r="EW61" s="454"/>
      <c r="EX61" s="454"/>
      <c r="EY61" s="454"/>
      <c r="EZ61" s="454"/>
      <c r="FA61" s="454"/>
      <c r="FB61" s="454"/>
      <c r="FC61" s="454"/>
      <c r="FD61" s="454"/>
      <c r="FE61" s="454"/>
      <c r="FF61" s="454"/>
      <c r="FG61" s="454"/>
      <c r="FH61" s="454"/>
      <c r="FI61" s="454"/>
      <c r="FJ61" s="454"/>
      <c r="FK61" s="454"/>
      <c r="FL61" s="454"/>
      <c r="FM61" s="454"/>
      <c r="FN61" s="454"/>
      <c r="FO61" s="454"/>
      <c r="FP61" s="454"/>
      <c r="FQ61" s="290"/>
    </row>
    <row r="62" spans="1:173" s="4" customFormat="1">
      <c r="A62" s="56"/>
      <c r="B62" s="56"/>
      <c r="C62" s="522"/>
      <c r="D62" s="522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>
        <f t="shared" si="0"/>
        <v>0</v>
      </c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725"/>
      <c r="AF62" s="957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>
        <f t="shared" si="3"/>
        <v>0</v>
      </c>
      <c r="BA62" s="516">
        <f t="shared" si="4"/>
        <v>0</v>
      </c>
      <c r="BB62" s="516"/>
      <c r="BC62" s="516"/>
      <c r="BD62" s="516">
        <f t="shared" si="5"/>
        <v>0</v>
      </c>
      <c r="BE62" s="516">
        <f t="shared" si="6"/>
        <v>0</v>
      </c>
      <c r="BF62" s="516"/>
      <c r="BG62" s="516"/>
      <c r="BH62" s="516"/>
      <c r="BI62" s="516">
        <f t="shared" si="1"/>
        <v>0</v>
      </c>
      <c r="BJ62" s="516"/>
      <c r="BK62" s="516"/>
      <c r="BL62" s="516"/>
      <c r="BM62" s="516"/>
      <c r="BN62" s="516"/>
      <c r="BO62" s="516"/>
      <c r="BP62" s="516"/>
      <c r="BQ62" s="516"/>
      <c r="BR62" s="516"/>
      <c r="BS62" s="516"/>
      <c r="BT62" s="516"/>
      <c r="BU62" s="516"/>
      <c r="BV62" s="516"/>
      <c r="BW62" s="516"/>
      <c r="BX62" s="516"/>
      <c r="BY62" s="516"/>
      <c r="BZ62" s="516"/>
      <c r="CA62" s="516"/>
      <c r="CB62" s="516"/>
      <c r="CC62" s="516"/>
      <c r="CD62" s="516">
        <f t="shared" si="2"/>
        <v>0</v>
      </c>
      <c r="CE62" s="516"/>
      <c r="CF62" s="516"/>
      <c r="CG62" s="516"/>
      <c r="CH62" s="516"/>
      <c r="CI62" s="516"/>
      <c r="CJ62" s="516"/>
      <c r="CK62" s="516"/>
      <c r="CL62" s="516"/>
      <c r="CM62" s="516"/>
      <c r="CN62" s="516"/>
      <c r="CO62" s="516"/>
      <c r="CP62" s="516"/>
      <c r="CQ62" s="516"/>
      <c r="CR62" s="516"/>
      <c r="CS62" s="516"/>
      <c r="CT62" s="516"/>
      <c r="CU62" s="516"/>
      <c r="CV62" s="516"/>
      <c r="CW62" s="516"/>
      <c r="CX62" s="454"/>
      <c r="CY62" s="454"/>
      <c r="CZ62" s="454"/>
      <c r="DA62" s="454"/>
      <c r="DB62" s="454"/>
      <c r="DC62" s="454"/>
      <c r="DD62" s="454"/>
      <c r="DE62" s="454"/>
      <c r="DF62" s="454"/>
      <c r="DG62" s="517"/>
      <c r="DH62" s="517"/>
      <c r="DI62" s="517"/>
      <c r="DJ62" s="517"/>
      <c r="DK62" s="517"/>
      <c r="DL62" s="517"/>
      <c r="DM62" s="517"/>
      <c r="DN62" s="517"/>
      <c r="DO62" s="517"/>
      <c r="DP62" s="517"/>
      <c r="DQ62" s="517"/>
      <c r="DR62" s="517"/>
      <c r="DS62" s="454"/>
      <c r="DT62" s="454"/>
      <c r="DU62" s="454"/>
      <c r="DV62" s="454"/>
      <c r="DW62" s="454"/>
      <c r="DX62" s="454"/>
      <c r="DY62" s="454"/>
      <c r="DZ62" s="454"/>
      <c r="EA62" s="454"/>
      <c r="EB62" s="454"/>
      <c r="EC62" s="454"/>
      <c r="ED62" s="454"/>
      <c r="EE62" s="454"/>
      <c r="EF62" s="454"/>
      <c r="EG62" s="454"/>
      <c r="EH62" s="454"/>
      <c r="EI62" s="454"/>
      <c r="EJ62" s="454"/>
      <c r="EK62" s="454"/>
      <c r="EL62" s="454"/>
      <c r="EM62" s="454"/>
      <c r="EN62" s="454"/>
      <c r="EO62" s="454"/>
      <c r="EP62" s="454"/>
      <c r="EQ62" s="454"/>
      <c r="ER62" s="454"/>
      <c r="ES62" s="454"/>
      <c r="ET62" s="454"/>
      <c r="EU62" s="454"/>
      <c r="EV62" s="454"/>
      <c r="EW62" s="454"/>
      <c r="EX62" s="454"/>
      <c r="EY62" s="454"/>
      <c r="EZ62" s="454"/>
      <c r="FA62" s="454"/>
      <c r="FB62" s="454"/>
      <c r="FC62" s="454"/>
      <c r="FD62" s="454"/>
      <c r="FE62" s="454"/>
      <c r="FF62" s="454"/>
      <c r="FG62" s="454"/>
      <c r="FH62" s="454"/>
      <c r="FI62" s="454"/>
      <c r="FJ62" s="454"/>
      <c r="FK62" s="454"/>
      <c r="FL62" s="454"/>
      <c r="FM62" s="454"/>
      <c r="FN62" s="454"/>
      <c r="FO62" s="454"/>
      <c r="FP62" s="454"/>
      <c r="FQ62" s="290"/>
    </row>
    <row r="63" spans="1:173" s="4" customFormat="1">
      <c r="A63" s="56"/>
      <c r="B63" s="56"/>
      <c r="C63" s="522"/>
      <c r="D63" s="724" t="s">
        <v>3642</v>
      </c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>
        <f t="shared" si="0"/>
        <v>0</v>
      </c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725"/>
      <c r="AF63" s="957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>
        <f t="shared" si="3"/>
        <v>0</v>
      </c>
      <c r="BA63" s="516">
        <f t="shared" si="4"/>
        <v>0</v>
      </c>
      <c r="BB63" s="516"/>
      <c r="BC63" s="516"/>
      <c r="BD63" s="516">
        <f t="shared" si="5"/>
        <v>0</v>
      </c>
      <c r="BE63" s="516"/>
      <c r="BF63" s="516"/>
      <c r="BG63" s="516"/>
      <c r="BH63" s="516"/>
      <c r="BI63" s="516">
        <f t="shared" si="1"/>
        <v>0</v>
      </c>
      <c r="BJ63" s="516"/>
      <c r="BK63" s="516"/>
      <c r="BL63" s="516"/>
      <c r="BM63" s="516"/>
      <c r="BN63" s="516"/>
      <c r="BO63" s="516"/>
      <c r="BP63" s="516"/>
      <c r="BQ63" s="516"/>
      <c r="BR63" s="516"/>
      <c r="BS63" s="516"/>
      <c r="BT63" s="516"/>
      <c r="BU63" s="516"/>
      <c r="BV63" s="516"/>
      <c r="BW63" s="516"/>
      <c r="BX63" s="516"/>
      <c r="BY63" s="516"/>
      <c r="BZ63" s="516"/>
      <c r="CA63" s="516"/>
      <c r="CB63" s="516"/>
      <c r="CC63" s="516"/>
      <c r="CD63" s="516">
        <f t="shared" si="2"/>
        <v>0</v>
      </c>
      <c r="CE63" s="516"/>
      <c r="CF63" s="516"/>
      <c r="CG63" s="516"/>
      <c r="CH63" s="516"/>
      <c r="CI63" s="516"/>
      <c r="CJ63" s="516"/>
      <c r="CK63" s="516"/>
      <c r="CL63" s="516"/>
      <c r="CM63" s="516"/>
      <c r="CN63" s="516"/>
      <c r="CO63" s="516"/>
      <c r="CP63" s="516"/>
      <c r="CQ63" s="516"/>
      <c r="CR63" s="516"/>
      <c r="CS63" s="516"/>
      <c r="CT63" s="516"/>
      <c r="CU63" s="516"/>
      <c r="CV63" s="516"/>
      <c r="CW63" s="516"/>
      <c r="CX63" s="454"/>
      <c r="CY63" s="454"/>
      <c r="CZ63" s="454"/>
      <c r="DA63" s="454"/>
      <c r="DB63" s="454"/>
      <c r="DC63" s="454"/>
      <c r="DD63" s="454"/>
      <c r="DE63" s="454"/>
      <c r="DF63" s="454"/>
      <c r="DG63" s="517"/>
      <c r="DH63" s="517"/>
      <c r="DI63" s="517"/>
      <c r="DJ63" s="517"/>
      <c r="DK63" s="517"/>
      <c r="DL63" s="517"/>
      <c r="DM63" s="517"/>
      <c r="DN63" s="517"/>
      <c r="DO63" s="517"/>
      <c r="DP63" s="517"/>
      <c r="DQ63" s="517"/>
      <c r="DR63" s="517"/>
      <c r="DS63" s="454"/>
      <c r="DT63" s="454"/>
      <c r="DU63" s="454"/>
      <c r="DV63" s="454"/>
      <c r="DW63" s="454"/>
      <c r="DX63" s="454"/>
      <c r="DY63" s="454"/>
      <c r="DZ63" s="454"/>
      <c r="EA63" s="454"/>
      <c r="EB63" s="454"/>
      <c r="EC63" s="454"/>
      <c r="ED63" s="454"/>
      <c r="EE63" s="454"/>
      <c r="EF63" s="454"/>
      <c r="EG63" s="454"/>
      <c r="EH63" s="454"/>
      <c r="EI63" s="454"/>
      <c r="EJ63" s="454"/>
      <c r="EK63" s="454"/>
      <c r="EL63" s="454"/>
      <c r="EM63" s="454"/>
      <c r="EN63" s="454"/>
      <c r="EO63" s="454"/>
      <c r="EP63" s="454"/>
      <c r="EQ63" s="454"/>
      <c r="ER63" s="454"/>
      <c r="ES63" s="454"/>
      <c r="ET63" s="454"/>
      <c r="EU63" s="454"/>
      <c r="EV63" s="454"/>
      <c r="EW63" s="454"/>
      <c r="EX63" s="454"/>
      <c r="EY63" s="454"/>
      <c r="EZ63" s="454"/>
      <c r="FA63" s="454"/>
      <c r="FB63" s="454"/>
      <c r="FC63" s="454"/>
      <c r="FD63" s="454"/>
      <c r="FE63" s="454"/>
      <c r="FF63" s="454"/>
      <c r="FG63" s="454"/>
      <c r="FH63" s="512"/>
      <c r="FI63" s="512"/>
      <c r="FJ63" s="454"/>
      <c r="FK63" s="454"/>
      <c r="FL63" s="454"/>
      <c r="FM63" s="454"/>
      <c r="FN63" s="454"/>
      <c r="FO63" s="454"/>
      <c r="FP63" s="454"/>
      <c r="FQ63" s="290"/>
    </row>
    <row r="64" spans="1:173" s="4" customFormat="1">
      <c r="A64" s="56"/>
      <c r="B64" s="56"/>
      <c r="C64" s="522" t="s">
        <v>3632</v>
      </c>
      <c r="D64" s="522"/>
      <c r="E64" s="516">
        <v>30</v>
      </c>
      <c r="F64" s="516"/>
      <c r="G64" s="516"/>
      <c r="H64" s="516"/>
      <c r="I64" s="516"/>
      <c r="J64" s="516"/>
      <c r="K64" s="516"/>
      <c r="L64" s="516"/>
      <c r="M64" s="516"/>
      <c r="N64" s="516"/>
      <c r="O64" s="516">
        <f t="shared" si="0"/>
        <v>30</v>
      </c>
      <c r="P64" s="516"/>
      <c r="Q64" s="516"/>
      <c r="R64" s="516"/>
      <c r="S64" s="516"/>
      <c r="T64" s="516"/>
      <c r="U64" s="516" t="s">
        <v>1631</v>
      </c>
      <c r="V64" s="516"/>
      <c r="W64" s="516">
        <v>1</v>
      </c>
      <c r="X64" s="516"/>
      <c r="Y64" s="516"/>
      <c r="Z64" s="516">
        <v>1</v>
      </c>
      <c r="AA64" s="516"/>
      <c r="AB64" s="516"/>
      <c r="AC64" s="516"/>
      <c r="AD64" s="516"/>
      <c r="AE64" s="725"/>
      <c r="AF64" s="957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>
        <f t="shared" si="3"/>
        <v>1</v>
      </c>
      <c r="BA64" s="516">
        <f t="shared" si="4"/>
        <v>0</v>
      </c>
      <c r="BB64" s="516"/>
      <c r="BC64" s="516"/>
      <c r="BD64" s="516">
        <f t="shared" si="5"/>
        <v>1</v>
      </c>
      <c r="BE64" s="516">
        <f t="shared" si="6"/>
        <v>0</v>
      </c>
      <c r="BF64" s="516"/>
      <c r="BG64" s="516"/>
      <c r="BH64" s="516"/>
      <c r="BI64" s="516">
        <f t="shared" si="1"/>
        <v>5</v>
      </c>
      <c r="BJ64" s="516"/>
      <c r="BK64" s="516"/>
      <c r="BL64" s="516"/>
      <c r="BM64" s="516"/>
      <c r="BN64" s="516"/>
      <c r="BO64" s="516"/>
      <c r="BP64" s="516"/>
      <c r="BQ64" s="516"/>
      <c r="BR64" s="516"/>
      <c r="BS64" s="516">
        <v>1</v>
      </c>
      <c r="BT64" s="516"/>
      <c r="BU64" s="516"/>
      <c r="BV64" s="516"/>
      <c r="BW64" s="516"/>
      <c r="BX64" s="516"/>
      <c r="BY64" s="516"/>
      <c r="BZ64" s="516"/>
      <c r="CA64" s="516"/>
      <c r="CB64" s="516">
        <v>1</v>
      </c>
      <c r="CC64" s="516"/>
      <c r="CD64" s="516">
        <f t="shared" si="2"/>
        <v>4</v>
      </c>
      <c r="CE64" s="516"/>
      <c r="CF64" s="516"/>
      <c r="CG64" s="516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454"/>
      <c r="CY64" s="454"/>
      <c r="CZ64" s="454"/>
      <c r="DA64" s="454"/>
      <c r="DB64" s="454"/>
      <c r="DC64" s="454"/>
      <c r="DD64" s="454"/>
      <c r="DE64" s="454"/>
      <c r="DF64" s="454"/>
      <c r="DG64" s="517"/>
      <c r="DH64" s="517"/>
      <c r="DI64" s="517"/>
      <c r="DJ64" s="517"/>
      <c r="DK64" s="517"/>
      <c r="DL64" s="517"/>
      <c r="DM64" s="517"/>
      <c r="DN64" s="517"/>
      <c r="DO64" s="517"/>
      <c r="DP64" s="517"/>
      <c r="DQ64" s="517"/>
      <c r="DR64" s="517"/>
      <c r="DS64" s="454"/>
      <c r="DT64" s="454"/>
      <c r="DU64" s="454"/>
      <c r="DV64" s="454"/>
      <c r="DW64" s="454"/>
      <c r="DX64" s="454"/>
      <c r="DY64" s="454"/>
      <c r="DZ64" s="454"/>
      <c r="EA64" s="454"/>
      <c r="EB64" s="454"/>
      <c r="EC64" s="454"/>
      <c r="ED64" s="454"/>
      <c r="EE64" s="454"/>
      <c r="EF64" s="454"/>
      <c r="EG64" s="454"/>
      <c r="EH64" s="454"/>
      <c r="EI64" s="454"/>
      <c r="EJ64" s="454"/>
      <c r="EK64" s="454"/>
      <c r="EL64" s="454"/>
      <c r="EM64" s="454"/>
      <c r="EN64" s="454"/>
      <c r="EO64" s="454"/>
      <c r="EP64" s="454"/>
      <c r="EQ64" s="454"/>
      <c r="ER64" s="454"/>
      <c r="ES64" s="454"/>
      <c r="ET64" s="454"/>
      <c r="EU64" s="454"/>
      <c r="EV64" s="454"/>
      <c r="EW64" s="454"/>
      <c r="EX64" s="454"/>
      <c r="EY64" s="454"/>
      <c r="EZ64" s="454"/>
      <c r="FA64" s="454"/>
      <c r="FB64" s="454"/>
      <c r="FC64" s="454"/>
      <c r="FD64" s="454"/>
      <c r="FE64" s="454"/>
      <c r="FF64" s="454"/>
      <c r="FG64" s="454"/>
      <c r="FH64" s="454"/>
      <c r="FI64" s="454"/>
      <c r="FJ64" s="454"/>
      <c r="FK64" s="454"/>
      <c r="FL64" s="454"/>
      <c r="FM64" s="454"/>
      <c r="FN64" s="454"/>
      <c r="FO64" s="454"/>
      <c r="FP64" s="454"/>
      <c r="FQ64" s="290"/>
    </row>
    <row r="65" spans="1:177" s="4" customFormat="1">
      <c r="A65" s="56"/>
      <c r="B65" s="56"/>
      <c r="C65" s="522" t="s">
        <v>3633</v>
      </c>
      <c r="D65" s="522"/>
      <c r="E65" s="516">
        <v>35</v>
      </c>
      <c r="F65" s="516"/>
      <c r="G65" s="516"/>
      <c r="H65" s="516"/>
      <c r="I65" s="516"/>
      <c r="J65" s="516"/>
      <c r="K65" s="516"/>
      <c r="L65" s="516"/>
      <c r="M65" s="516"/>
      <c r="N65" s="516"/>
      <c r="O65" s="516">
        <f t="shared" si="0"/>
        <v>35</v>
      </c>
      <c r="P65" s="516"/>
      <c r="Q65" s="516"/>
      <c r="R65" s="516"/>
      <c r="S65" s="516"/>
      <c r="T65" s="516"/>
      <c r="U65" s="516" t="s">
        <v>1631</v>
      </c>
      <c r="V65" s="516"/>
      <c r="W65" s="516">
        <v>1</v>
      </c>
      <c r="X65" s="516"/>
      <c r="Y65" s="516"/>
      <c r="Z65" s="516">
        <v>1</v>
      </c>
      <c r="AA65" s="516"/>
      <c r="AB65" s="516"/>
      <c r="AC65" s="516"/>
      <c r="AD65" s="516"/>
      <c r="AE65" s="725"/>
      <c r="AF65" s="957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>
        <f t="shared" si="3"/>
        <v>1</v>
      </c>
      <c r="BA65" s="516">
        <f t="shared" si="4"/>
        <v>0</v>
      </c>
      <c r="BB65" s="516"/>
      <c r="BC65" s="516"/>
      <c r="BD65" s="516">
        <f t="shared" si="5"/>
        <v>1</v>
      </c>
      <c r="BE65" s="516">
        <f t="shared" si="6"/>
        <v>0</v>
      </c>
      <c r="BF65" s="516"/>
      <c r="BG65" s="516"/>
      <c r="BH65" s="516"/>
      <c r="BI65" s="516">
        <f t="shared" si="1"/>
        <v>5</v>
      </c>
      <c r="BJ65" s="516"/>
      <c r="BK65" s="516"/>
      <c r="BL65" s="516"/>
      <c r="BM65" s="516"/>
      <c r="BN65" s="516"/>
      <c r="BO65" s="516"/>
      <c r="BP65" s="516"/>
      <c r="BQ65" s="516"/>
      <c r="BR65" s="516"/>
      <c r="BS65" s="516">
        <v>1</v>
      </c>
      <c r="BT65" s="516"/>
      <c r="BU65" s="516"/>
      <c r="BV65" s="516"/>
      <c r="BW65" s="516"/>
      <c r="BX65" s="516"/>
      <c r="BY65" s="516"/>
      <c r="BZ65" s="516"/>
      <c r="CA65" s="516"/>
      <c r="CB65" s="516">
        <v>1</v>
      </c>
      <c r="CC65" s="516"/>
      <c r="CD65" s="516">
        <f t="shared" si="2"/>
        <v>4</v>
      </c>
      <c r="CE65" s="516"/>
      <c r="CF65" s="516"/>
      <c r="CG65" s="516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454"/>
      <c r="CY65" s="454"/>
      <c r="CZ65" s="454"/>
      <c r="DA65" s="454"/>
      <c r="DB65" s="454"/>
      <c r="DC65" s="454"/>
      <c r="DD65" s="454"/>
      <c r="DE65" s="454"/>
      <c r="DF65" s="454"/>
      <c r="DG65" s="517"/>
      <c r="DH65" s="517"/>
      <c r="DI65" s="517"/>
      <c r="DJ65" s="517"/>
      <c r="DK65" s="517"/>
      <c r="DL65" s="517"/>
      <c r="DM65" s="517"/>
      <c r="DN65" s="517"/>
      <c r="DO65" s="517"/>
      <c r="DP65" s="517"/>
      <c r="DQ65" s="517"/>
      <c r="DR65" s="517"/>
      <c r="DS65" s="454"/>
      <c r="DT65" s="454"/>
      <c r="DU65" s="454"/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/>
      <c r="FG65" s="454"/>
      <c r="FH65" s="454"/>
      <c r="FI65" s="454"/>
      <c r="FJ65" s="454"/>
      <c r="FK65" s="454"/>
      <c r="FL65" s="454"/>
      <c r="FM65" s="454"/>
      <c r="FN65" s="454"/>
      <c r="FO65" s="454"/>
      <c r="FP65" s="454"/>
      <c r="FQ65" s="290"/>
    </row>
    <row r="66" spans="1:177" s="4" customFormat="1">
      <c r="A66" s="56"/>
      <c r="B66" s="56"/>
      <c r="C66" s="522" t="s">
        <v>3634</v>
      </c>
      <c r="D66" s="522"/>
      <c r="E66" s="516">
        <v>35</v>
      </c>
      <c r="F66" s="516"/>
      <c r="G66" s="516"/>
      <c r="H66" s="516"/>
      <c r="I66" s="516"/>
      <c r="J66" s="516"/>
      <c r="K66" s="516"/>
      <c r="L66" s="516"/>
      <c r="M66" s="516"/>
      <c r="N66" s="516"/>
      <c r="O66" s="516">
        <f t="shared" si="0"/>
        <v>35</v>
      </c>
      <c r="P66" s="516"/>
      <c r="Q66" s="516"/>
      <c r="R66" s="516"/>
      <c r="S66" s="516"/>
      <c r="T66" s="516"/>
      <c r="U66" s="516" t="s">
        <v>2990</v>
      </c>
      <c r="V66" s="516"/>
      <c r="W66" s="516">
        <v>2</v>
      </c>
      <c r="X66" s="516"/>
      <c r="Y66" s="516"/>
      <c r="Z66" s="516"/>
      <c r="AA66" s="516"/>
      <c r="AB66" s="516"/>
      <c r="AC66" s="516"/>
      <c r="AD66" s="516"/>
      <c r="AE66" s="725">
        <v>1</v>
      </c>
      <c r="AF66" s="957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>
        <v>1</v>
      </c>
      <c r="AV66" s="516"/>
      <c r="AW66" s="516"/>
      <c r="AX66" s="516"/>
      <c r="AY66" s="516"/>
      <c r="AZ66" s="516">
        <f t="shared" si="3"/>
        <v>1</v>
      </c>
      <c r="BA66" s="516">
        <f t="shared" si="4"/>
        <v>0</v>
      </c>
      <c r="BB66" s="516"/>
      <c r="BC66" s="516"/>
      <c r="BD66" s="516"/>
      <c r="BE66" s="516">
        <f t="shared" si="6"/>
        <v>0</v>
      </c>
      <c r="BF66" s="516">
        <v>1</v>
      </c>
      <c r="BG66" s="516"/>
      <c r="BH66" s="516"/>
      <c r="BI66" s="516">
        <f t="shared" si="1"/>
        <v>7</v>
      </c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>
        <v>1</v>
      </c>
      <c r="BY66" s="516"/>
      <c r="BZ66" s="516"/>
      <c r="CA66" s="516"/>
      <c r="CB66" s="516">
        <v>1</v>
      </c>
      <c r="CC66" s="516"/>
      <c r="CD66" s="516">
        <f t="shared" si="2"/>
        <v>4</v>
      </c>
      <c r="CE66" s="516"/>
      <c r="CF66" s="516"/>
      <c r="CG66" s="516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454"/>
      <c r="CY66" s="454"/>
      <c r="CZ66" s="454"/>
      <c r="DA66" s="454"/>
      <c r="DB66" s="454"/>
      <c r="DC66" s="454"/>
      <c r="DD66" s="454"/>
      <c r="DE66" s="454"/>
      <c r="DF66" s="454"/>
      <c r="DG66" s="517"/>
      <c r="DH66" s="517"/>
      <c r="DI66" s="517"/>
      <c r="DJ66" s="517"/>
      <c r="DK66" s="517"/>
      <c r="DL66" s="517"/>
      <c r="DM66" s="517"/>
      <c r="DN66" s="517"/>
      <c r="DO66" s="517"/>
      <c r="DP66" s="517"/>
      <c r="DQ66" s="517"/>
      <c r="DR66" s="517"/>
      <c r="DS66" s="454"/>
      <c r="DT66" s="454"/>
      <c r="DU66" s="454"/>
      <c r="DV66" s="454"/>
      <c r="DW66" s="454"/>
      <c r="DX66" s="454"/>
      <c r="DY66" s="454"/>
      <c r="DZ66" s="454"/>
      <c r="EA66" s="454"/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/>
      <c r="EY66" s="454"/>
      <c r="EZ66" s="454"/>
      <c r="FA66" s="454"/>
      <c r="FB66" s="454"/>
      <c r="FC66" s="454"/>
      <c r="FD66" s="454"/>
      <c r="FE66" s="454"/>
      <c r="FF66" s="454"/>
      <c r="FG66" s="454"/>
      <c r="FH66" s="454"/>
      <c r="FI66" s="454"/>
      <c r="FJ66" s="454"/>
      <c r="FK66" s="454"/>
      <c r="FL66" s="454"/>
      <c r="FM66" s="454"/>
      <c r="FN66" s="454"/>
      <c r="FO66" s="454"/>
      <c r="FP66" s="454"/>
      <c r="FQ66" s="290"/>
    </row>
    <row r="67" spans="1:177" s="4" customFormat="1">
      <c r="A67" s="56"/>
      <c r="B67" s="56"/>
      <c r="C67" s="522"/>
      <c r="D67" s="522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>
        <f t="shared" si="0"/>
        <v>0</v>
      </c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725"/>
      <c r="AF67" s="957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>
        <f t="shared" si="3"/>
        <v>0</v>
      </c>
      <c r="BA67" s="516">
        <f t="shared" si="4"/>
        <v>0</v>
      </c>
      <c r="BB67" s="516"/>
      <c r="BC67" s="516"/>
      <c r="BD67" s="516">
        <f t="shared" si="5"/>
        <v>0</v>
      </c>
      <c r="BE67" s="516">
        <f t="shared" si="6"/>
        <v>0</v>
      </c>
      <c r="BF67" s="516"/>
      <c r="BG67" s="516"/>
      <c r="BH67" s="516"/>
      <c r="BI67" s="516">
        <f t="shared" si="1"/>
        <v>0</v>
      </c>
      <c r="BJ67" s="516"/>
      <c r="BK67" s="516"/>
      <c r="BL67" s="516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516"/>
      <c r="BZ67" s="516"/>
      <c r="CA67" s="516"/>
      <c r="CB67" s="516"/>
      <c r="CC67" s="516"/>
      <c r="CD67" s="516">
        <f t="shared" si="2"/>
        <v>0</v>
      </c>
      <c r="CE67" s="516"/>
      <c r="CF67" s="516"/>
      <c r="CG67" s="516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454"/>
      <c r="CY67" s="454"/>
      <c r="CZ67" s="454"/>
      <c r="DA67" s="454"/>
      <c r="DB67" s="454"/>
      <c r="DC67" s="454"/>
      <c r="DD67" s="454"/>
      <c r="DE67" s="454"/>
      <c r="DF67" s="454"/>
      <c r="DG67" s="517"/>
      <c r="DH67" s="517"/>
      <c r="DI67" s="517"/>
      <c r="DJ67" s="517"/>
      <c r="DK67" s="517"/>
      <c r="DL67" s="517"/>
      <c r="DM67" s="517"/>
      <c r="DN67" s="517"/>
      <c r="DO67" s="517"/>
      <c r="DP67" s="517"/>
      <c r="DQ67" s="517"/>
      <c r="DR67" s="517"/>
      <c r="DS67" s="454"/>
      <c r="DT67" s="454"/>
      <c r="DU67" s="454"/>
      <c r="DV67" s="454"/>
      <c r="DW67" s="454"/>
      <c r="DX67" s="454"/>
      <c r="DY67" s="454"/>
      <c r="DZ67" s="454"/>
      <c r="EA67" s="454"/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/>
      <c r="EZ67" s="454"/>
      <c r="FA67" s="454"/>
      <c r="FB67" s="454"/>
      <c r="FC67" s="454"/>
      <c r="FD67" s="454"/>
      <c r="FE67" s="454"/>
      <c r="FF67" s="454"/>
      <c r="FG67" s="454"/>
      <c r="FH67" s="454"/>
      <c r="FI67" s="454"/>
      <c r="FJ67" s="454"/>
      <c r="FK67" s="454"/>
      <c r="FL67" s="454"/>
      <c r="FM67" s="454"/>
      <c r="FN67" s="454"/>
      <c r="FO67" s="454"/>
      <c r="FP67" s="454"/>
      <c r="FQ67" s="290"/>
    </row>
    <row r="68" spans="1:177" s="4" customFormat="1">
      <c r="A68" s="486">
        <f>MATCH(C68,$C$5:$C$700,0)</f>
        <v>64</v>
      </c>
      <c r="B68" s="56"/>
      <c r="C68" s="507" t="s">
        <v>1566</v>
      </c>
      <c r="D68" s="507"/>
      <c r="E68" s="591">
        <f t="shared" ref="E68:Q68" si="9">SUM(E8:E67)</f>
        <v>1465.8000000000002</v>
      </c>
      <c r="F68" s="508">
        <f t="shared" si="9"/>
        <v>0</v>
      </c>
      <c r="G68" s="508">
        <f t="shared" si="9"/>
        <v>0</v>
      </c>
      <c r="H68" s="508">
        <f t="shared" si="9"/>
        <v>0</v>
      </c>
      <c r="I68" s="508">
        <f t="shared" si="9"/>
        <v>0</v>
      </c>
      <c r="J68" s="508">
        <f t="shared" si="9"/>
        <v>0</v>
      </c>
      <c r="K68" s="508">
        <f t="shared" si="9"/>
        <v>0</v>
      </c>
      <c r="L68" s="508">
        <f t="shared" si="9"/>
        <v>0</v>
      </c>
      <c r="M68" s="508">
        <f t="shared" si="9"/>
        <v>0</v>
      </c>
      <c r="N68" s="508">
        <f t="shared" si="9"/>
        <v>0</v>
      </c>
      <c r="O68" s="508">
        <f t="shared" si="9"/>
        <v>1465.8000000000002</v>
      </c>
      <c r="P68" s="508">
        <f t="shared" si="9"/>
        <v>0</v>
      </c>
      <c r="Q68" s="508">
        <f t="shared" si="9"/>
        <v>0</v>
      </c>
      <c r="R68" s="508">
        <f>SUM(R8:R66)</f>
        <v>0</v>
      </c>
      <c r="S68" s="508">
        <f>SUM(S8:S66)</f>
        <v>0</v>
      </c>
      <c r="T68" s="508">
        <f>SUM(T8:T66)</f>
        <v>0</v>
      </c>
      <c r="U68" s="509">
        <f>SUM(U8:U66)</f>
        <v>0</v>
      </c>
      <c r="V68" s="509">
        <f t="shared" ref="V68:BB68" si="10">SUM(V8:V67)</f>
        <v>1</v>
      </c>
      <c r="W68" s="509">
        <f t="shared" si="10"/>
        <v>13</v>
      </c>
      <c r="X68" s="509">
        <f t="shared" si="10"/>
        <v>0</v>
      </c>
      <c r="Y68" s="509">
        <f t="shared" si="10"/>
        <v>0</v>
      </c>
      <c r="Z68" s="509">
        <f t="shared" si="10"/>
        <v>6</v>
      </c>
      <c r="AA68" s="509">
        <f t="shared" si="10"/>
        <v>0</v>
      </c>
      <c r="AB68" s="509">
        <f t="shared" si="10"/>
        <v>0</v>
      </c>
      <c r="AC68" s="509">
        <f t="shared" si="10"/>
        <v>0</v>
      </c>
      <c r="AD68" s="509">
        <f t="shared" si="10"/>
        <v>0</v>
      </c>
      <c r="AE68" s="511">
        <f t="shared" si="10"/>
        <v>4</v>
      </c>
      <c r="AF68" s="958">
        <f t="shared" si="10"/>
        <v>0</v>
      </c>
      <c r="AG68" s="509">
        <f t="shared" si="10"/>
        <v>0</v>
      </c>
      <c r="AH68" s="509">
        <f t="shared" si="10"/>
        <v>0</v>
      </c>
      <c r="AI68" s="509">
        <f t="shared" si="10"/>
        <v>0</v>
      </c>
      <c r="AJ68" s="509">
        <f t="shared" si="10"/>
        <v>0</v>
      </c>
      <c r="AK68" s="509">
        <f t="shared" si="10"/>
        <v>0</v>
      </c>
      <c r="AL68" s="509">
        <f t="shared" si="10"/>
        <v>0</v>
      </c>
      <c r="AM68" s="509">
        <f t="shared" si="10"/>
        <v>0</v>
      </c>
      <c r="AN68" s="509">
        <f t="shared" si="10"/>
        <v>0</v>
      </c>
      <c r="AO68" s="509">
        <f t="shared" si="10"/>
        <v>0</v>
      </c>
      <c r="AP68" s="509">
        <f t="shared" si="10"/>
        <v>0</v>
      </c>
      <c r="AQ68" s="509">
        <f t="shared" si="10"/>
        <v>0</v>
      </c>
      <c r="AR68" s="509">
        <f t="shared" si="10"/>
        <v>0</v>
      </c>
      <c r="AS68" s="509">
        <f t="shared" si="10"/>
        <v>0</v>
      </c>
      <c r="AT68" s="509">
        <f t="shared" si="10"/>
        <v>0</v>
      </c>
      <c r="AU68" s="509">
        <f t="shared" si="10"/>
        <v>11</v>
      </c>
      <c r="AV68" s="509">
        <f t="shared" si="10"/>
        <v>0</v>
      </c>
      <c r="AW68" s="509">
        <f t="shared" si="10"/>
        <v>18</v>
      </c>
      <c r="AX68" s="509">
        <f t="shared" si="10"/>
        <v>0</v>
      </c>
      <c r="AY68" s="509">
        <f t="shared" si="10"/>
        <v>0</v>
      </c>
      <c r="AZ68" s="509">
        <f t="shared" si="10"/>
        <v>32</v>
      </c>
      <c r="BA68" s="509">
        <f t="shared" si="10"/>
        <v>21</v>
      </c>
      <c r="BB68" s="509">
        <f t="shared" si="10"/>
        <v>0</v>
      </c>
      <c r="BC68" s="509">
        <f t="shared" ref="BC68:CH68" si="11">SUM(BC8:BC67)</f>
        <v>0</v>
      </c>
      <c r="BD68" s="509">
        <f t="shared" si="11"/>
        <v>30</v>
      </c>
      <c r="BE68" s="509">
        <f t="shared" si="11"/>
        <v>33</v>
      </c>
      <c r="BF68" s="509">
        <f t="shared" si="11"/>
        <v>3</v>
      </c>
      <c r="BG68" s="509">
        <f t="shared" si="11"/>
        <v>0</v>
      </c>
      <c r="BH68" s="509">
        <f t="shared" si="11"/>
        <v>0</v>
      </c>
      <c r="BI68" s="509">
        <f t="shared" si="11"/>
        <v>192</v>
      </c>
      <c r="BJ68" s="509">
        <f t="shared" si="11"/>
        <v>0</v>
      </c>
      <c r="BK68" s="509">
        <f t="shared" si="11"/>
        <v>0</v>
      </c>
      <c r="BL68" s="509">
        <f t="shared" si="11"/>
        <v>0</v>
      </c>
      <c r="BM68" s="509">
        <f t="shared" si="11"/>
        <v>0</v>
      </c>
      <c r="BN68" s="509">
        <f t="shared" si="11"/>
        <v>0</v>
      </c>
      <c r="BO68" s="509">
        <f t="shared" si="11"/>
        <v>0</v>
      </c>
      <c r="BP68" s="509">
        <f t="shared" si="11"/>
        <v>0</v>
      </c>
      <c r="BQ68" s="509">
        <f t="shared" si="11"/>
        <v>9</v>
      </c>
      <c r="BR68" s="509">
        <f t="shared" si="11"/>
        <v>0</v>
      </c>
      <c r="BS68" s="509">
        <f t="shared" si="11"/>
        <v>47</v>
      </c>
      <c r="BT68" s="509">
        <f t="shared" si="11"/>
        <v>0</v>
      </c>
      <c r="BU68" s="509">
        <f t="shared" si="11"/>
        <v>0</v>
      </c>
      <c r="BV68" s="509">
        <f t="shared" si="11"/>
        <v>0</v>
      </c>
      <c r="BW68" s="509">
        <f t="shared" si="11"/>
        <v>0</v>
      </c>
      <c r="BX68" s="509">
        <f t="shared" si="11"/>
        <v>29</v>
      </c>
      <c r="BY68" s="509">
        <f t="shared" si="11"/>
        <v>0</v>
      </c>
      <c r="BZ68" s="509">
        <f t="shared" si="11"/>
        <v>0</v>
      </c>
      <c r="CA68" s="509">
        <f t="shared" si="11"/>
        <v>0</v>
      </c>
      <c r="CB68" s="509">
        <f t="shared" si="11"/>
        <v>34</v>
      </c>
      <c r="CC68" s="509">
        <f t="shared" si="11"/>
        <v>1</v>
      </c>
      <c r="CD68" s="509">
        <f t="shared" si="11"/>
        <v>136</v>
      </c>
      <c r="CE68" s="509">
        <f t="shared" si="11"/>
        <v>6</v>
      </c>
      <c r="CF68" s="509">
        <f t="shared" si="11"/>
        <v>0</v>
      </c>
      <c r="CG68" s="509">
        <f t="shared" si="11"/>
        <v>12</v>
      </c>
      <c r="CH68" s="509">
        <f t="shared" si="11"/>
        <v>0</v>
      </c>
      <c r="CI68" s="509">
        <f t="shared" ref="CI68:DN68" si="12">SUM(CI8:CI67)</f>
        <v>19</v>
      </c>
      <c r="CJ68" s="509">
        <f t="shared" si="12"/>
        <v>0</v>
      </c>
      <c r="CK68" s="509">
        <f t="shared" si="12"/>
        <v>0</v>
      </c>
      <c r="CL68" s="509">
        <f t="shared" si="12"/>
        <v>0</v>
      </c>
      <c r="CM68" s="509">
        <f t="shared" si="12"/>
        <v>24</v>
      </c>
      <c r="CN68" s="509">
        <f t="shared" si="12"/>
        <v>0</v>
      </c>
      <c r="CO68" s="509">
        <f t="shared" si="12"/>
        <v>16</v>
      </c>
      <c r="CP68" s="509">
        <f t="shared" si="12"/>
        <v>0</v>
      </c>
      <c r="CQ68" s="509">
        <f t="shared" si="12"/>
        <v>1</v>
      </c>
      <c r="CR68" s="509">
        <f t="shared" si="12"/>
        <v>0</v>
      </c>
      <c r="CS68" s="509">
        <f t="shared" si="12"/>
        <v>0</v>
      </c>
      <c r="CT68" s="509">
        <f t="shared" si="12"/>
        <v>0</v>
      </c>
      <c r="CU68" s="509">
        <f t="shared" si="12"/>
        <v>2</v>
      </c>
      <c r="CV68" s="509">
        <f t="shared" si="12"/>
        <v>0</v>
      </c>
      <c r="CW68" s="509">
        <f t="shared" si="12"/>
        <v>0</v>
      </c>
      <c r="CX68" s="509">
        <f t="shared" si="12"/>
        <v>0</v>
      </c>
      <c r="CY68" s="509">
        <f t="shared" si="12"/>
        <v>0</v>
      </c>
      <c r="CZ68" s="509">
        <f t="shared" si="12"/>
        <v>0</v>
      </c>
      <c r="DA68" s="509">
        <f t="shared" si="12"/>
        <v>0</v>
      </c>
      <c r="DB68" s="509">
        <f t="shared" si="12"/>
        <v>0</v>
      </c>
      <c r="DC68" s="509">
        <f t="shared" si="12"/>
        <v>0</v>
      </c>
      <c r="DD68" s="509">
        <f t="shared" si="12"/>
        <v>0</v>
      </c>
      <c r="DE68" s="509">
        <f t="shared" si="12"/>
        <v>0</v>
      </c>
      <c r="DF68" s="509">
        <f t="shared" si="12"/>
        <v>0</v>
      </c>
      <c r="DG68" s="518">
        <f t="shared" si="12"/>
        <v>0</v>
      </c>
      <c r="DH68" s="518">
        <f t="shared" si="12"/>
        <v>0</v>
      </c>
      <c r="DI68" s="518">
        <f t="shared" si="12"/>
        <v>0</v>
      </c>
      <c r="DJ68" s="518">
        <f t="shared" si="12"/>
        <v>0</v>
      </c>
      <c r="DK68" s="518">
        <f t="shared" si="12"/>
        <v>0</v>
      </c>
      <c r="DL68" s="518">
        <f t="shared" si="12"/>
        <v>0</v>
      </c>
      <c r="DM68" s="518">
        <f t="shared" si="12"/>
        <v>0</v>
      </c>
      <c r="DN68" s="518">
        <f t="shared" si="12"/>
        <v>0</v>
      </c>
      <c r="DO68" s="518">
        <f t="shared" ref="DO68:ET68" si="13">SUM(DO8:DO67)</f>
        <v>0</v>
      </c>
      <c r="DP68" s="518">
        <f t="shared" si="13"/>
        <v>0</v>
      </c>
      <c r="DQ68" s="518">
        <f t="shared" si="13"/>
        <v>0</v>
      </c>
      <c r="DR68" s="518">
        <f t="shared" si="13"/>
        <v>0</v>
      </c>
      <c r="DS68" s="509">
        <f t="shared" si="13"/>
        <v>0</v>
      </c>
      <c r="DT68" s="509">
        <f t="shared" si="13"/>
        <v>0</v>
      </c>
      <c r="DU68" s="509">
        <f t="shared" si="13"/>
        <v>0</v>
      </c>
      <c r="DV68" s="509">
        <f t="shared" si="13"/>
        <v>0</v>
      </c>
      <c r="DW68" s="509">
        <f t="shared" si="13"/>
        <v>0</v>
      </c>
      <c r="DX68" s="509">
        <f t="shared" si="13"/>
        <v>0</v>
      </c>
      <c r="DY68" s="509">
        <f t="shared" si="13"/>
        <v>0</v>
      </c>
      <c r="DZ68" s="509">
        <f t="shared" si="13"/>
        <v>0</v>
      </c>
      <c r="EA68" s="509">
        <f t="shared" si="13"/>
        <v>0</v>
      </c>
      <c r="EB68" s="509">
        <f t="shared" si="13"/>
        <v>0</v>
      </c>
      <c r="EC68" s="509">
        <f t="shared" si="13"/>
        <v>0</v>
      </c>
      <c r="ED68" s="509">
        <f t="shared" si="13"/>
        <v>0</v>
      </c>
      <c r="EE68" s="509">
        <f t="shared" si="13"/>
        <v>0</v>
      </c>
      <c r="EF68" s="509">
        <f t="shared" si="13"/>
        <v>0</v>
      </c>
      <c r="EG68" s="509">
        <f t="shared" si="13"/>
        <v>0</v>
      </c>
      <c r="EH68" s="509">
        <f t="shared" si="13"/>
        <v>0</v>
      </c>
      <c r="EI68" s="509">
        <f t="shared" si="13"/>
        <v>0</v>
      </c>
      <c r="EJ68" s="509">
        <f t="shared" si="13"/>
        <v>0</v>
      </c>
      <c r="EK68" s="509">
        <f t="shared" si="13"/>
        <v>0</v>
      </c>
      <c r="EL68" s="509">
        <f t="shared" si="13"/>
        <v>0</v>
      </c>
      <c r="EM68" s="509">
        <f t="shared" si="13"/>
        <v>0</v>
      </c>
      <c r="EN68" s="509">
        <f t="shared" si="13"/>
        <v>0</v>
      </c>
      <c r="EO68" s="509">
        <f t="shared" si="13"/>
        <v>0</v>
      </c>
      <c r="EP68" s="509">
        <f t="shared" si="13"/>
        <v>0</v>
      </c>
      <c r="EQ68" s="509">
        <f t="shared" si="13"/>
        <v>0</v>
      </c>
      <c r="ER68" s="509">
        <f t="shared" si="13"/>
        <v>0</v>
      </c>
      <c r="ES68" s="509">
        <f t="shared" si="13"/>
        <v>0</v>
      </c>
      <c r="ET68" s="509">
        <f t="shared" si="13"/>
        <v>0</v>
      </c>
      <c r="EU68" s="509">
        <f t="shared" ref="EU68:FO68" si="14">SUM(EU8:EU67)</f>
        <v>0</v>
      </c>
      <c r="EV68" s="509">
        <f t="shared" si="14"/>
        <v>0</v>
      </c>
      <c r="EW68" s="509">
        <f t="shared" si="14"/>
        <v>0</v>
      </c>
      <c r="EX68" s="509">
        <f t="shared" si="14"/>
        <v>0</v>
      </c>
      <c r="EY68" s="509">
        <f t="shared" si="14"/>
        <v>0</v>
      </c>
      <c r="EZ68" s="509">
        <f t="shared" si="14"/>
        <v>0</v>
      </c>
      <c r="FA68" s="509">
        <f t="shared" si="14"/>
        <v>0</v>
      </c>
      <c r="FB68" s="509">
        <f t="shared" si="14"/>
        <v>0</v>
      </c>
      <c r="FC68" s="509">
        <f t="shared" si="14"/>
        <v>0</v>
      </c>
      <c r="FD68" s="509">
        <f t="shared" si="14"/>
        <v>0</v>
      </c>
      <c r="FE68" s="509">
        <f t="shared" si="14"/>
        <v>0</v>
      </c>
      <c r="FF68" s="509">
        <f t="shared" si="14"/>
        <v>0</v>
      </c>
      <c r="FG68" s="509">
        <f t="shared" si="14"/>
        <v>0</v>
      </c>
      <c r="FH68" s="509">
        <f t="shared" si="14"/>
        <v>0</v>
      </c>
      <c r="FI68" s="509">
        <f t="shared" si="14"/>
        <v>0</v>
      </c>
      <c r="FJ68" s="509">
        <f t="shared" si="14"/>
        <v>0</v>
      </c>
      <c r="FK68" s="509">
        <f t="shared" si="14"/>
        <v>0</v>
      </c>
      <c r="FL68" s="509">
        <f t="shared" si="14"/>
        <v>0</v>
      </c>
      <c r="FM68" s="509">
        <f t="shared" si="14"/>
        <v>0</v>
      </c>
      <c r="FN68" s="509">
        <f t="shared" si="14"/>
        <v>0</v>
      </c>
      <c r="FO68" s="509">
        <f t="shared" si="14"/>
        <v>0</v>
      </c>
      <c r="FP68" s="509"/>
      <c r="FQ68" s="508"/>
      <c r="FU68" s="4">
        <f>DY68-FM68</f>
        <v>0</v>
      </c>
    </row>
    <row r="69" spans="1:177" s="4" customFormat="1">
      <c r="A69" s="56"/>
      <c r="B69" s="56">
        <v>2</v>
      </c>
      <c r="C69" s="501" t="s">
        <v>3643</v>
      </c>
      <c r="D69" s="502"/>
      <c r="E69" s="503"/>
      <c r="F69" s="503"/>
      <c r="G69" s="503"/>
      <c r="H69" s="503"/>
      <c r="I69" s="503"/>
      <c r="J69" s="503"/>
      <c r="K69" s="503"/>
      <c r="L69" s="503"/>
      <c r="M69" s="503"/>
      <c r="N69" s="503"/>
      <c r="O69" s="503"/>
      <c r="P69" s="503"/>
      <c r="Q69" s="503"/>
      <c r="R69" s="503"/>
      <c r="S69" s="503"/>
      <c r="T69" s="503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954"/>
      <c r="AF69" s="959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504"/>
      <c r="BQ69" s="504"/>
      <c r="BR69" s="504"/>
      <c r="BS69" s="504"/>
      <c r="BT69" s="504"/>
      <c r="BU69" s="504"/>
      <c r="BV69" s="504"/>
      <c r="BW69" s="504"/>
      <c r="BX69" s="504"/>
      <c r="BY69" s="504"/>
      <c r="BZ69" s="504"/>
      <c r="CA69" s="504"/>
      <c r="CB69" s="504"/>
      <c r="CC69" s="504"/>
      <c r="CD69" s="504"/>
      <c r="CE69" s="504"/>
      <c r="CF69" s="504"/>
      <c r="CG69" s="504"/>
      <c r="CH69" s="504"/>
      <c r="CI69" s="504"/>
      <c r="CJ69" s="504"/>
      <c r="CK69" s="504"/>
      <c r="CL69" s="504"/>
      <c r="CM69" s="504"/>
      <c r="CN69" s="504"/>
      <c r="CO69" s="504"/>
      <c r="CP69" s="504"/>
      <c r="CQ69" s="504"/>
      <c r="CR69" s="504"/>
      <c r="CS69" s="504"/>
      <c r="CT69" s="504"/>
      <c r="CU69" s="504"/>
      <c r="CV69" s="504"/>
      <c r="CW69" s="504"/>
      <c r="CX69" s="504"/>
      <c r="CY69" s="504"/>
      <c r="CZ69" s="504"/>
      <c r="DA69" s="504"/>
      <c r="DB69" s="504"/>
      <c r="DC69" s="504"/>
      <c r="DD69" s="504"/>
      <c r="DE69" s="504"/>
      <c r="DF69" s="504"/>
      <c r="DG69" s="519"/>
      <c r="DH69" s="519"/>
      <c r="DI69" s="519"/>
      <c r="DJ69" s="519"/>
      <c r="DK69" s="519"/>
      <c r="DL69" s="519"/>
      <c r="DM69" s="519"/>
      <c r="DN69" s="519"/>
      <c r="DO69" s="519"/>
      <c r="DP69" s="519"/>
      <c r="DQ69" s="519"/>
      <c r="DR69" s="519"/>
      <c r="DS69" s="504"/>
      <c r="DT69" s="504"/>
      <c r="DU69" s="504"/>
      <c r="DV69" s="504"/>
      <c r="DW69" s="504"/>
      <c r="DX69" s="504"/>
      <c r="DY69" s="504"/>
      <c r="DZ69" s="504"/>
      <c r="EA69" s="504"/>
      <c r="EB69" s="504"/>
      <c r="EC69" s="504"/>
      <c r="ED69" s="504"/>
      <c r="EE69" s="504"/>
      <c r="EF69" s="504"/>
      <c r="EG69" s="504"/>
      <c r="EH69" s="504"/>
      <c r="EI69" s="504"/>
      <c r="EJ69" s="504"/>
      <c r="EK69" s="504"/>
      <c r="EL69" s="504"/>
      <c r="EM69" s="504"/>
      <c r="EN69" s="504"/>
      <c r="EO69" s="504"/>
      <c r="EP69" s="504"/>
      <c r="EQ69" s="504"/>
      <c r="ER69" s="504"/>
      <c r="ES69" s="504"/>
      <c r="ET69" s="504"/>
      <c r="EU69" s="504"/>
      <c r="EV69" s="504"/>
      <c r="EW69" s="504"/>
      <c r="EX69" s="504"/>
      <c r="EY69" s="504"/>
      <c r="EZ69" s="504"/>
      <c r="FA69" s="504"/>
      <c r="FB69" s="504"/>
      <c r="FC69" s="504"/>
      <c r="FD69" s="504"/>
      <c r="FE69" s="504"/>
      <c r="FF69" s="504"/>
      <c r="FG69" s="504"/>
      <c r="FH69" s="504"/>
      <c r="FI69" s="504"/>
      <c r="FJ69" s="504"/>
      <c r="FK69" s="504"/>
      <c r="FL69" s="504"/>
      <c r="FM69" s="504"/>
      <c r="FN69" s="504"/>
      <c r="FO69" s="504"/>
      <c r="FP69" s="504"/>
      <c r="FQ69" s="505"/>
      <c r="FU69" s="4">
        <f>DY69-FM69</f>
        <v>0</v>
      </c>
    </row>
    <row r="70" spans="1:177" s="755" customFormat="1">
      <c r="A70" s="752"/>
      <c r="B70" s="752"/>
      <c r="C70" s="306"/>
      <c r="D70" s="306" t="s">
        <v>3658</v>
      </c>
      <c r="E70" s="305"/>
      <c r="F70" s="305"/>
      <c r="G70" s="305"/>
      <c r="H70" s="305"/>
      <c r="I70" s="305"/>
      <c r="J70" s="305"/>
      <c r="K70" s="305"/>
      <c r="L70" s="305"/>
      <c r="M70" s="305"/>
      <c r="N70" s="305"/>
      <c r="O70" s="305"/>
      <c r="P70" s="305">
        <f>E70</f>
        <v>0</v>
      </c>
      <c r="Q70" s="305"/>
      <c r="R70" s="305"/>
      <c r="S70" s="305"/>
      <c r="T70" s="305"/>
      <c r="U70" s="305" t="s">
        <v>2990</v>
      </c>
      <c r="V70" s="305"/>
      <c r="W70" s="305"/>
      <c r="X70" s="305"/>
      <c r="Y70" s="305"/>
      <c r="Z70" s="305"/>
      <c r="AA70" s="305"/>
      <c r="AB70" s="305"/>
      <c r="AC70" s="305"/>
      <c r="AD70" s="305"/>
      <c r="AE70" s="766"/>
      <c r="AF70" s="960"/>
      <c r="AG70" s="305"/>
      <c r="AH70" s="305"/>
      <c r="AI70" s="305"/>
      <c r="AJ70" s="305"/>
      <c r="AK70" s="305"/>
      <c r="AL70" s="305"/>
      <c r="AM70" s="305"/>
      <c r="AN70" s="305"/>
      <c r="AO70" s="305"/>
      <c r="AP70" s="305"/>
      <c r="AQ70" s="305"/>
      <c r="AR70" s="305"/>
      <c r="AS70" s="305"/>
      <c r="AT70" s="305"/>
      <c r="AU70" s="305"/>
      <c r="AV70" s="305"/>
      <c r="AW70" s="305">
        <f>CB70</f>
        <v>1</v>
      </c>
      <c r="AX70" s="305"/>
      <c r="AY70" s="305"/>
      <c r="AZ70" s="305">
        <f>IF(C70&lt;&gt;0,AW70+CB70+CC70,)</f>
        <v>0</v>
      </c>
      <c r="BA70" s="305">
        <f>IF(D70&lt;&gt;0,AW70+CB70+CC70,)</f>
        <v>2</v>
      </c>
      <c r="BB70" s="305"/>
      <c r="BC70" s="305"/>
      <c r="BD70" s="305"/>
      <c r="BE70" s="305">
        <v>1</v>
      </c>
      <c r="BF70" s="305"/>
      <c r="BG70" s="305"/>
      <c r="BH70" s="305"/>
      <c r="BI70" s="305"/>
      <c r="BJ70" s="305">
        <f>AU70*2+CB70*5</f>
        <v>5</v>
      </c>
      <c r="BK70" s="305"/>
      <c r="BL70" s="305"/>
      <c r="BM70" s="305"/>
      <c r="BN70" s="305"/>
      <c r="BO70" s="305"/>
      <c r="BP70" s="305"/>
      <c r="BQ70" s="305">
        <f>IF(U70="G",1,)</f>
        <v>0</v>
      </c>
      <c r="BR70" s="305"/>
      <c r="BS70" s="305"/>
      <c r="BT70" s="305">
        <f>IF(U70="I",1,IF(U70="G",2,))</f>
        <v>0</v>
      </c>
      <c r="BU70" s="305"/>
      <c r="BV70" s="305"/>
      <c r="BW70" s="305"/>
      <c r="BX70" s="305"/>
      <c r="BY70" s="305">
        <v>1</v>
      </c>
      <c r="BZ70" s="305"/>
      <c r="CA70" s="305"/>
      <c r="CB70" s="305">
        <v>1</v>
      </c>
      <c r="CC70" s="305"/>
      <c r="CD70" s="305">
        <f>CB70*4</f>
        <v>4</v>
      </c>
      <c r="CE70" s="305"/>
      <c r="CF70" s="305"/>
      <c r="CG70" s="305"/>
      <c r="CH70" s="305"/>
      <c r="CI70" s="305"/>
      <c r="CJ70" s="305"/>
      <c r="CK70" s="305"/>
      <c r="CL70" s="305"/>
      <c r="CM70" s="305"/>
      <c r="CN70" s="305"/>
      <c r="CO70" s="305"/>
      <c r="CP70" s="305"/>
      <c r="CQ70" s="305"/>
      <c r="CR70" s="305"/>
      <c r="CS70" s="305"/>
      <c r="CT70" s="305"/>
      <c r="CU70" s="305"/>
      <c r="CV70" s="305"/>
      <c r="CW70" s="305"/>
      <c r="CX70" s="305"/>
      <c r="CY70" s="305"/>
      <c r="CZ70" s="305"/>
      <c r="DA70" s="305"/>
      <c r="DB70" s="305"/>
      <c r="DC70" s="305"/>
      <c r="DD70" s="305"/>
      <c r="DE70" s="305"/>
      <c r="DF70" s="305"/>
      <c r="DG70" s="753"/>
      <c r="DH70" s="753"/>
      <c r="DI70" s="753"/>
      <c r="DJ70" s="753"/>
      <c r="DK70" s="753"/>
      <c r="DL70" s="753"/>
      <c r="DM70" s="753"/>
      <c r="DN70" s="753"/>
      <c r="DO70" s="753"/>
      <c r="DP70" s="753"/>
      <c r="DQ70" s="753"/>
      <c r="DR70" s="753"/>
      <c r="DS70" s="305"/>
      <c r="DT70" s="305"/>
      <c r="DU70" s="305"/>
      <c r="DV70" s="305"/>
      <c r="DW70" s="305"/>
      <c r="DX70" s="305"/>
      <c r="DY70" s="305"/>
      <c r="DZ70" s="305"/>
      <c r="EA70" s="305"/>
      <c r="EB70" s="305"/>
      <c r="EC70" s="305"/>
      <c r="ED70" s="305"/>
      <c r="EE70" s="305"/>
      <c r="EF70" s="305"/>
      <c r="EG70" s="305"/>
      <c r="EH70" s="305"/>
      <c r="EI70" s="305"/>
      <c r="EJ70" s="305"/>
      <c r="EK70" s="305"/>
      <c r="EL70" s="305"/>
      <c r="EM70" s="305"/>
      <c r="EN70" s="305"/>
      <c r="EO70" s="305"/>
      <c r="EP70" s="305"/>
      <c r="EQ70" s="305"/>
      <c r="ER70" s="305"/>
      <c r="ES70" s="305"/>
      <c r="ET70" s="305"/>
      <c r="EU70" s="305"/>
      <c r="EV70" s="305"/>
      <c r="EW70" s="305"/>
      <c r="EX70" s="305"/>
      <c r="EY70" s="305"/>
      <c r="EZ70" s="305"/>
      <c r="FA70" s="305"/>
      <c r="FB70" s="305"/>
      <c r="FC70" s="305"/>
      <c r="FD70" s="305"/>
      <c r="FE70" s="305"/>
      <c r="FF70" s="305"/>
      <c r="FG70" s="305"/>
      <c r="FH70" s="305"/>
      <c r="FI70" s="305"/>
      <c r="FJ70" s="305"/>
      <c r="FK70" s="305"/>
      <c r="FL70" s="305"/>
      <c r="FM70" s="305"/>
      <c r="FN70" s="305"/>
      <c r="FO70" s="305"/>
      <c r="FP70" s="305"/>
      <c r="FQ70" s="754"/>
    </row>
    <row r="71" spans="1:177" s="755" customFormat="1">
      <c r="A71" s="752"/>
      <c r="B71" s="752"/>
      <c r="C71" s="306" t="s">
        <v>3645</v>
      </c>
      <c r="D71" s="306"/>
      <c r="E71" s="305">
        <v>41.8</v>
      </c>
      <c r="F71" s="305"/>
      <c r="G71" s="305"/>
      <c r="H71" s="305"/>
      <c r="I71" s="305"/>
      <c r="J71" s="305"/>
      <c r="K71" s="305"/>
      <c r="L71" s="305"/>
      <c r="M71" s="305"/>
      <c r="N71" s="305"/>
      <c r="O71" s="305"/>
      <c r="P71" s="305">
        <f>E71</f>
        <v>41.8</v>
      </c>
      <c r="Q71" s="305"/>
      <c r="R71" s="305"/>
      <c r="S71" s="305"/>
      <c r="T71" s="305"/>
      <c r="U71" s="305" t="s">
        <v>1631</v>
      </c>
      <c r="V71" s="305"/>
      <c r="W71" s="305"/>
      <c r="X71" s="305"/>
      <c r="Y71" s="305"/>
      <c r="Z71" s="305"/>
      <c r="AA71" s="305"/>
      <c r="AB71" s="305"/>
      <c r="AC71" s="305"/>
      <c r="AD71" s="305"/>
      <c r="AE71" s="766"/>
      <c r="AF71" s="960"/>
      <c r="AG71" s="305"/>
      <c r="AH71" s="305"/>
      <c r="AI71" s="305"/>
      <c r="AJ71" s="305"/>
      <c r="AK71" s="305"/>
      <c r="AL71" s="305"/>
      <c r="AM71" s="305"/>
      <c r="AN71" s="305"/>
      <c r="AO71" s="305"/>
      <c r="AP71" s="305"/>
      <c r="AQ71" s="305"/>
      <c r="AR71" s="305"/>
      <c r="AS71" s="305"/>
      <c r="AT71" s="305"/>
      <c r="AU71" s="305"/>
      <c r="AV71" s="305"/>
      <c r="AW71" s="305">
        <f t="shared" ref="AW71:AW105" si="15">CB71</f>
        <v>1</v>
      </c>
      <c r="AX71" s="305"/>
      <c r="AY71" s="305"/>
      <c r="AZ71" s="305">
        <f t="shared" ref="AZ71:AZ107" si="16">IF(C71&lt;&gt;0,AW71+CB71+CC71,)</f>
        <v>2</v>
      </c>
      <c r="BA71" s="305">
        <f t="shared" ref="BA71:BA107" si="17">IF(D71&lt;&gt;0,AW71+CB71+CC71,)</f>
        <v>0</v>
      </c>
      <c r="BB71" s="305"/>
      <c r="BC71" s="305"/>
      <c r="BD71" s="305">
        <v>1</v>
      </c>
      <c r="BE71" s="305"/>
      <c r="BF71" s="305"/>
      <c r="BG71" s="305"/>
      <c r="BH71" s="305"/>
      <c r="BI71" s="305"/>
      <c r="BJ71" s="305">
        <f t="shared" ref="BJ71:BJ107" si="18">AU71*2+CB71*5</f>
        <v>5</v>
      </c>
      <c r="BK71" s="305"/>
      <c r="BL71" s="305"/>
      <c r="BM71" s="305"/>
      <c r="BN71" s="305"/>
      <c r="BO71" s="305"/>
      <c r="BP71" s="305"/>
      <c r="BQ71" s="305">
        <f t="shared" ref="BQ71:BQ107" si="19">IF(U71="G",1,)</f>
        <v>0</v>
      </c>
      <c r="BR71" s="305"/>
      <c r="BS71" s="305"/>
      <c r="BT71" s="305">
        <f t="shared" ref="BT71:BT107" si="20">IF(U71="I",1,IF(U71="G",2,))</f>
        <v>1</v>
      </c>
      <c r="BU71" s="305"/>
      <c r="BV71" s="305"/>
      <c r="BW71" s="305"/>
      <c r="BX71" s="305"/>
      <c r="BY71" s="305"/>
      <c r="BZ71" s="305"/>
      <c r="CA71" s="305"/>
      <c r="CB71" s="305">
        <v>1</v>
      </c>
      <c r="CC71" s="305"/>
      <c r="CD71" s="305">
        <f t="shared" ref="CD71:CD105" si="21">CB71*4</f>
        <v>4</v>
      </c>
      <c r="CE71" s="305"/>
      <c r="CF71" s="305"/>
      <c r="CG71" s="305"/>
      <c r="CH71" s="305"/>
      <c r="CI71" s="305"/>
      <c r="CJ71" s="305"/>
      <c r="CK71" s="305"/>
      <c r="CL71" s="305"/>
      <c r="CM71" s="305"/>
      <c r="CN71" s="305"/>
      <c r="CO71" s="305"/>
      <c r="CP71" s="305"/>
      <c r="CQ71" s="305"/>
      <c r="CR71" s="305"/>
      <c r="CS71" s="305"/>
      <c r="CT71" s="305"/>
      <c r="CU71" s="305"/>
      <c r="CV71" s="305"/>
      <c r="CW71" s="305"/>
      <c r="CX71" s="305"/>
      <c r="CY71" s="305"/>
      <c r="CZ71" s="305"/>
      <c r="DA71" s="305"/>
      <c r="DB71" s="305"/>
      <c r="DC71" s="305"/>
      <c r="DD71" s="305"/>
      <c r="DE71" s="305"/>
      <c r="DF71" s="305"/>
      <c r="DG71" s="753"/>
      <c r="DH71" s="753"/>
      <c r="DI71" s="753"/>
      <c r="DJ71" s="753"/>
      <c r="DK71" s="753"/>
      <c r="DL71" s="753"/>
      <c r="DM71" s="753"/>
      <c r="DN71" s="753"/>
      <c r="DO71" s="753"/>
      <c r="DP71" s="753"/>
      <c r="DQ71" s="753"/>
      <c r="DR71" s="753"/>
      <c r="DS71" s="305"/>
      <c r="DT71" s="305"/>
      <c r="DU71" s="305"/>
      <c r="DV71" s="305"/>
      <c r="DW71" s="305"/>
      <c r="DX71" s="305"/>
      <c r="DY71" s="305"/>
      <c r="DZ71" s="305"/>
      <c r="EA71" s="305"/>
      <c r="EB71" s="305"/>
      <c r="EC71" s="305"/>
      <c r="ED71" s="305"/>
      <c r="EE71" s="305"/>
      <c r="EF71" s="305"/>
      <c r="EG71" s="305"/>
      <c r="EH71" s="305"/>
      <c r="EI71" s="305"/>
      <c r="EJ71" s="305"/>
      <c r="EK71" s="305"/>
      <c r="EL71" s="305"/>
      <c r="EM71" s="305"/>
      <c r="EN71" s="305"/>
      <c r="EO71" s="305"/>
      <c r="EP71" s="305"/>
      <c r="EQ71" s="305"/>
      <c r="ER71" s="305"/>
      <c r="ES71" s="305"/>
      <c r="ET71" s="305"/>
      <c r="EU71" s="305"/>
      <c r="EV71" s="305"/>
      <c r="EW71" s="305"/>
      <c r="EX71" s="305"/>
      <c r="EY71" s="305"/>
      <c r="EZ71" s="305"/>
      <c r="FA71" s="305"/>
      <c r="FB71" s="305"/>
      <c r="FC71" s="305"/>
      <c r="FD71" s="305"/>
      <c r="FE71" s="305"/>
      <c r="FF71" s="305"/>
      <c r="FG71" s="305"/>
      <c r="FH71" s="305"/>
      <c r="FI71" s="305"/>
      <c r="FJ71" s="305"/>
      <c r="FK71" s="305"/>
      <c r="FL71" s="305"/>
      <c r="FM71" s="305"/>
      <c r="FN71" s="305"/>
      <c r="FO71" s="305"/>
      <c r="FP71" s="305"/>
      <c r="FQ71" s="754"/>
    </row>
    <row r="72" spans="1:177" s="755" customFormat="1">
      <c r="A72" s="752"/>
      <c r="B72" s="752"/>
      <c r="C72" s="306"/>
      <c r="D72" s="306" t="s">
        <v>3790</v>
      </c>
      <c r="E72" s="305">
        <v>26</v>
      </c>
      <c r="F72" s="305"/>
      <c r="G72" s="305"/>
      <c r="H72" s="305"/>
      <c r="I72" s="305"/>
      <c r="J72" s="305"/>
      <c r="K72" s="305"/>
      <c r="L72" s="305"/>
      <c r="M72" s="305"/>
      <c r="N72" s="305"/>
      <c r="O72" s="305"/>
      <c r="P72" s="305">
        <f t="shared" ref="P72:P105" si="22">E72</f>
        <v>26</v>
      </c>
      <c r="Q72" s="305"/>
      <c r="R72" s="305"/>
      <c r="S72" s="305"/>
      <c r="T72" s="305"/>
      <c r="U72" s="305" t="s">
        <v>3718</v>
      </c>
      <c r="V72" s="305"/>
      <c r="W72" s="305"/>
      <c r="X72" s="305"/>
      <c r="Y72" s="305"/>
      <c r="Z72" s="305"/>
      <c r="AA72" s="305"/>
      <c r="AB72" s="305"/>
      <c r="AC72" s="305"/>
      <c r="AD72" s="305"/>
      <c r="AE72" s="766"/>
      <c r="AF72" s="960"/>
      <c r="AG72" s="305"/>
      <c r="AH72" s="305"/>
      <c r="AI72" s="305"/>
      <c r="AJ72" s="305"/>
      <c r="AK72" s="305"/>
      <c r="AL72" s="305"/>
      <c r="AM72" s="305"/>
      <c r="AN72" s="305"/>
      <c r="AO72" s="305"/>
      <c r="AP72" s="305"/>
      <c r="AQ72" s="305"/>
      <c r="AR72" s="305"/>
      <c r="AS72" s="305"/>
      <c r="AT72" s="305"/>
      <c r="AU72" s="305"/>
      <c r="AV72" s="305"/>
      <c r="AW72" s="305">
        <f t="shared" si="15"/>
        <v>1</v>
      </c>
      <c r="AX72" s="305"/>
      <c r="AY72" s="305"/>
      <c r="AZ72" s="305">
        <f t="shared" si="16"/>
        <v>0</v>
      </c>
      <c r="BA72" s="305">
        <f t="shared" si="17"/>
        <v>2</v>
      </c>
      <c r="BB72" s="305"/>
      <c r="BC72" s="305"/>
      <c r="BD72" s="305"/>
      <c r="BE72" s="305">
        <v>3</v>
      </c>
      <c r="BF72" s="305"/>
      <c r="BG72" s="305"/>
      <c r="BH72" s="305"/>
      <c r="BI72" s="305"/>
      <c r="BJ72" s="305">
        <f t="shared" si="18"/>
        <v>5</v>
      </c>
      <c r="BK72" s="305"/>
      <c r="BL72" s="305"/>
      <c r="BM72" s="305"/>
      <c r="BN72" s="305"/>
      <c r="BO72" s="305"/>
      <c r="BP72" s="305"/>
      <c r="BQ72" s="305">
        <f t="shared" si="19"/>
        <v>0</v>
      </c>
      <c r="BR72" s="305"/>
      <c r="BS72" s="305"/>
      <c r="BT72" s="305">
        <f t="shared" si="20"/>
        <v>0</v>
      </c>
      <c r="BU72" s="305"/>
      <c r="BV72" s="305"/>
      <c r="BW72" s="305"/>
      <c r="BX72" s="305"/>
      <c r="BY72" s="305">
        <v>3</v>
      </c>
      <c r="BZ72" s="305"/>
      <c r="CA72" s="305"/>
      <c r="CB72" s="305">
        <v>1</v>
      </c>
      <c r="CC72" s="305"/>
      <c r="CD72" s="305">
        <f t="shared" si="21"/>
        <v>4</v>
      </c>
      <c r="CE72" s="305"/>
      <c r="CF72" s="305"/>
      <c r="CG72" s="305"/>
      <c r="CH72" s="305"/>
      <c r="CI72" s="305"/>
      <c r="CJ72" s="305"/>
      <c r="CK72" s="305"/>
      <c r="CL72" s="305"/>
      <c r="CM72" s="305"/>
      <c r="CN72" s="305"/>
      <c r="CO72" s="305"/>
      <c r="CP72" s="305"/>
      <c r="CQ72" s="305"/>
      <c r="CR72" s="305"/>
      <c r="CS72" s="305"/>
      <c r="CT72" s="305"/>
      <c r="CU72" s="305"/>
      <c r="CV72" s="305"/>
      <c r="CW72" s="305"/>
      <c r="CX72" s="305"/>
      <c r="CY72" s="305"/>
      <c r="CZ72" s="305"/>
      <c r="DA72" s="305"/>
      <c r="DB72" s="305"/>
      <c r="DC72" s="305"/>
      <c r="DD72" s="305"/>
      <c r="DE72" s="305"/>
      <c r="DF72" s="305"/>
      <c r="DG72" s="753"/>
      <c r="DH72" s="753"/>
      <c r="DI72" s="753"/>
      <c r="DJ72" s="753"/>
      <c r="DK72" s="753"/>
      <c r="DL72" s="753"/>
      <c r="DM72" s="753"/>
      <c r="DN72" s="753"/>
      <c r="DO72" s="753"/>
      <c r="DP72" s="753"/>
      <c r="DQ72" s="753"/>
      <c r="DR72" s="753"/>
      <c r="DS72" s="305"/>
      <c r="DT72" s="305"/>
      <c r="DU72" s="305"/>
      <c r="DV72" s="305"/>
      <c r="DW72" s="305"/>
      <c r="DX72" s="305"/>
      <c r="DY72" s="305"/>
      <c r="DZ72" s="305"/>
      <c r="EA72" s="305"/>
      <c r="EB72" s="305"/>
      <c r="EC72" s="305"/>
      <c r="ED72" s="305"/>
      <c r="EE72" s="305"/>
      <c r="EF72" s="305"/>
      <c r="EG72" s="305"/>
      <c r="EH72" s="305"/>
      <c r="EI72" s="305"/>
      <c r="EJ72" s="305"/>
      <c r="EK72" s="305"/>
      <c r="EL72" s="305"/>
      <c r="EM72" s="305"/>
      <c r="EN72" s="305"/>
      <c r="EO72" s="305"/>
      <c r="EP72" s="305"/>
      <c r="EQ72" s="305"/>
      <c r="ER72" s="305"/>
      <c r="ES72" s="305"/>
      <c r="ET72" s="305"/>
      <c r="EU72" s="305"/>
      <c r="EV72" s="305"/>
      <c r="EW72" s="305"/>
      <c r="EX72" s="305"/>
      <c r="EY72" s="305"/>
      <c r="EZ72" s="305"/>
      <c r="FA72" s="305"/>
      <c r="FB72" s="305"/>
      <c r="FC72" s="305"/>
      <c r="FD72" s="305"/>
      <c r="FE72" s="305"/>
      <c r="FF72" s="305"/>
      <c r="FG72" s="305"/>
      <c r="FH72" s="305"/>
      <c r="FI72" s="305"/>
      <c r="FJ72" s="305"/>
      <c r="FK72" s="305"/>
      <c r="FL72" s="305"/>
      <c r="FM72" s="305"/>
      <c r="FN72" s="305"/>
      <c r="FO72" s="305"/>
      <c r="FP72" s="305"/>
      <c r="FQ72" s="754"/>
    </row>
    <row r="73" spans="1:177" s="755" customFormat="1">
      <c r="A73" s="752"/>
      <c r="B73" s="752"/>
      <c r="C73" s="306"/>
      <c r="D73" s="306" t="s">
        <v>3644</v>
      </c>
      <c r="E73" s="305">
        <v>13</v>
      </c>
      <c r="F73" s="305"/>
      <c r="G73" s="305"/>
      <c r="H73" s="305"/>
      <c r="I73" s="305"/>
      <c r="J73" s="305"/>
      <c r="K73" s="305"/>
      <c r="L73" s="305"/>
      <c r="M73" s="305"/>
      <c r="N73" s="305"/>
      <c r="O73" s="305"/>
      <c r="P73" s="305">
        <f t="shared" si="22"/>
        <v>13</v>
      </c>
      <c r="Q73" s="305"/>
      <c r="R73" s="305"/>
      <c r="S73" s="305"/>
      <c r="T73" s="305"/>
      <c r="U73" s="305" t="s">
        <v>2990</v>
      </c>
      <c r="V73" s="305"/>
      <c r="W73" s="305"/>
      <c r="X73" s="305"/>
      <c r="Y73" s="305"/>
      <c r="Z73" s="305"/>
      <c r="AA73" s="305"/>
      <c r="AB73" s="305"/>
      <c r="AC73" s="305"/>
      <c r="AD73" s="305"/>
      <c r="AE73" s="766"/>
      <c r="AF73" s="960"/>
      <c r="AG73" s="305"/>
      <c r="AH73" s="305"/>
      <c r="AI73" s="305"/>
      <c r="AJ73" s="305"/>
      <c r="AK73" s="305"/>
      <c r="AL73" s="305"/>
      <c r="AM73" s="305"/>
      <c r="AN73" s="305"/>
      <c r="AO73" s="305"/>
      <c r="AP73" s="305"/>
      <c r="AQ73" s="305"/>
      <c r="AR73" s="305"/>
      <c r="AS73" s="305"/>
      <c r="AT73" s="305"/>
      <c r="AU73" s="305"/>
      <c r="AV73" s="305"/>
      <c r="AW73" s="305">
        <f t="shared" si="15"/>
        <v>1</v>
      </c>
      <c r="AX73" s="305"/>
      <c r="AY73" s="305"/>
      <c r="AZ73" s="305">
        <f t="shared" si="16"/>
        <v>0</v>
      </c>
      <c r="BA73" s="305">
        <f t="shared" si="17"/>
        <v>2</v>
      </c>
      <c r="BB73" s="305"/>
      <c r="BC73" s="305"/>
      <c r="BD73" s="305"/>
      <c r="BE73" s="305">
        <v>1</v>
      </c>
      <c r="BF73" s="305"/>
      <c r="BG73" s="305"/>
      <c r="BH73" s="305"/>
      <c r="BI73" s="305"/>
      <c r="BJ73" s="305">
        <f t="shared" si="18"/>
        <v>5</v>
      </c>
      <c r="BK73" s="305"/>
      <c r="BL73" s="305"/>
      <c r="BM73" s="305"/>
      <c r="BN73" s="305"/>
      <c r="BO73" s="305"/>
      <c r="BP73" s="305"/>
      <c r="BQ73" s="305">
        <f t="shared" si="19"/>
        <v>0</v>
      </c>
      <c r="BR73" s="305"/>
      <c r="BS73" s="305"/>
      <c r="BT73" s="305">
        <f t="shared" si="20"/>
        <v>0</v>
      </c>
      <c r="BU73" s="305"/>
      <c r="BV73" s="305"/>
      <c r="BW73" s="305"/>
      <c r="BX73" s="305"/>
      <c r="BY73" s="305">
        <v>1</v>
      </c>
      <c r="BZ73" s="305"/>
      <c r="CA73" s="305"/>
      <c r="CB73" s="305">
        <v>1</v>
      </c>
      <c r="CC73" s="305"/>
      <c r="CD73" s="305">
        <f t="shared" si="21"/>
        <v>4</v>
      </c>
      <c r="CE73" s="305"/>
      <c r="CF73" s="305"/>
      <c r="CG73" s="305"/>
      <c r="CH73" s="305"/>
      <c r="CI73" s="305"/>
      <c r="CJ73" s="305"/>
      <c r="CK73" s="305"/>
      <c r="CL73" s="305"/>
      <c r="CM73" s="305"/>
      <c r="CN73" s="305"/>
      <c r="CO73" s="305"/>
      <c r="CP73" s="305"/>
      <c r="CQ73" s="305"/>
      <c r="CR73" s="305"/>
      <c r="CS73" s="305"/>
      <c r="CT73" s="305"/>
      <c r="CU73" s="305"/>
      <c r="CV73" s="305"/>
      <c r="CW73" s="305"/>
      <c r="CX73" s="305"/>
      <c r="CY73" s="305"/>
      <c r="CZ73" s="305"/>
      <c r="DA73" s="305"/>
      <c r="DB73" s="305"/>
      <c r="DC73" s="305"/>
      <c r="DD73" s="305"/>
      <c r="DE73" s="305"/>
      <c r="DF73" s="305"/>
      <c r="DG73" s="753"/>
      <c r="DH73" s="753"/>
      <c r="DI73" s="753"/>
      <c r="DJ73" s="753"/>
      <c r="DK73" s="753"/>
      <c r="DL73" s="753"/>
      <c r="DM73" s="753"/>
      <c r="DN73" s="753"/>
      <c r="DO73" s="753"/>
      <c r="DP73" s="753"/>
      <c r="DQ73" s="753"/>
      <c r="DR73" s="753"/>
      <c r="DS73" s="305"/>
      <c r="DT73" s="305"/>
      <c r="DU73" s="305"/>
      <c r="DV73" s="305"/>
      <c r="DW73" s="305"/>
      <c r="DX73" s="305"/>
      <c r="DY73" s="305"/>
      <c r="DZ73" s="305"/>
      <c r="EA73" s="305"/>
      <c r="EB73" s="305"/>
      <c r="EC73" s="305"/>
      <c r="ED73" s="305"/>
      <c r="EE73" s="305"/>
      <c r="EF73" s="305"/>
      <c r="EG73" s="305"/>
      <c r="EH73" s="305"/>
      <c r="EI73" s="305"/>
      <c r="EJ73" s="305"/>
      <c r="EK73" s="305"/>
      <c r="EL73" s="305"/>
      <c r="EM73" s="305"/>
      <c r="EN73" s="305"/>
      <c r="EO73" s="305"/>
      <c r="EP73" s="305"/>
      <c r="EQ73" s="305"/>
      <c r="ER73" s="305"/>
      <c r="ES73" s="305"/>
      <c r="ET73" s="305"/>
      <c r="EU73" s="305"/>
      <c r="EV73" s="305"/>
      <c r="EW73" s="305"/>
      <c r="EX73" s="305"/>
      <c r="EY73" s="305"/>
      <c r="EZ73" s="305"/>
      <c r="FA73" s="305"/>
      <c r="FB73" s="305"/>
      <c r="FC73" s="305"/>
      <c r="FD73" s="305"/>
      <c r="FE73" s="305"/>
      <c r="FF73" s="305"/>
      <c r="FG73" s="305"/>
      <c r="FH73" s="305"/>
      <c r="FI73" s="305"/>
      <c r="FJ73" s="305"/>
      <c r="FK73" s="305"/>
      <c r="FL73" s="305"/>
      <c r="FM73" s="305"/>
      <c r="FN73" s="305"/>
      <c r="FO73" s="305"/>
      <c r="FP73" s="305"/>
      <c r="FQ73" s="754"/>
    </row>
    <row r="74" spans="1:177" s="755" customFormat="1">
      <c r="A74" s="752"/>
      <c r="B74" s="752"/>
      <c r="C74" s="306"/>
      <c r="D74" s="306"/>
      <c r="E74" s="305"/>
      <c r="F74" s="305"/>
      <c r="G74" s="305"/>
      <c r="H74" s="305"/>
      <c r="I74" s="305"/>
      <c r="J74" s="305"/>
      <c r="K74" s="305"/>
      <c r="L74" s="305"/>
      <c r="M74" s="305"/>
      <c r="N74" s="305"/>
      <c r="O74" s="305"/>
      <c r="P74" s="305">
        <f t="shared" si="22"/>
        <v>0</v>
      </c>
      <c r="Q74" s="305"/>
      <c r="R74" s="305"/>
      <c r="S74" s="305"/>
      <c r="T74" s="305"/>
      <c r="U74" s="305"/>
      <c r="V74" s="305"/>
      <c r="W74" s="305"/>
      <c r="X74" s="305"/>
      <c r="Y74" s="305"/>
      <c r="Z74" s="305"/>
      <c r="AA74" s="305"/>
      <c r="AB74" s="305"/>
      <c r="AC74" s="305"/>
      <c r="AD74" s="305"/>
      <c r="AE74" s="766"/>
      <c r="AF74" s="960"/>
      <c r="AG74" s="305"/>
      <c r="AH74" s="305"/>
      <c r="AI74" s="305"/>
      <c r="AJ74" s="305"/>
      <c r="AK74" s="305"/>
      <c r="AL74" s="305"/>
      <c r="AM74" s="305"/>
      <c r="AN74" s="305"/>
      <c r="AO74" s="305"/>
      <c r="AP74" s="305"/>
      <c r="AQ74" s="305"/>
      <c r="AR74" s="305"/>
      <c r="AS74" s="305"/>
      <c r="AT74" s="305"/>
      <c r="AU74" s="305"/>
      <c r="AV74" s="305"/>
      <c r="AW74" s="305">
        <f t="shared" si="15"/>
        <v>0</v>
      </c>
      <c r="AX74" s="305"/>
      <c r="AY74" s="305"/>
      <c r="AZ74" s="305">
        <f t="shared" si="16"/>
        <v>0</v>
      </c>
      <c r="BA74" s="305">
        <f t="shared" si="17"/>
        <v>0</v>
      </c>
      <c r="BB74" s="305"/>
      <c r="BC74" s="305"/>
      <c r="BD74" s="305"/>
      <c r="BE74" s="305"/>
      <c r="BF74" s="305"/>
      <c r="BG74" s="305"/>
      <c r="BH74" s="305"/>
      <c r="BI74" s="305"/>
      <c r="BJ74" s="305">
        <f t="shared" si="18"/>
        <v>0</v>
      </c>
      <c r="BK74" s="305"/>
      <c r="BL74" s="305"/>
      <c r="BM74" s="305"/>
      <c r="BN74" s="305"/>
      <c r="BO74" s="305"/>
      <c r="BP74" s="305"/>
      <c r="BQ74" s="305">
        <f t="shared" si="19"/>
        <v>0</v>
      </c>
      <c r="BR74" s="305"/>
      <c r="BS74" s="305"/>
      <c r="BT74" s="305">
        <f t="shared" si="20"/>
        <v>0</v>
      </c>
      <c r="BU74" s="305"/>
      <c r="BV74" s="305"/>
      <c r="BW74" s="305"/>
      <c r="BX74" s="305"/>
      <c r="BY74" s="305"/>
      <c r="BZ74" s="305"/>
      <c r="CA74" s="305"/>
      <c r="CB74" s="305"/>
      <c r="CC74" s="305"/>
      <c r="CD74" s="305">
        <f t="shared" si="21"/>
        <v>0</v>
      </c>
      <c r="CE74" s="305"/>
      <c r="CF74" s="305"/>
      <c r="CG74" s="305"/>
      <c r="CH74" s="305"/>
      <c r="CI74" s="305"/>
      <c r="CJ74" s="305"/>
      <c r="CK74" s="305"/>
      <c r="CL74" s="305"/>
      <c r="CM74" s="305"/>
      <c r="CN74" s="305"/>
      <c r="CO74" s="305"/>
      <c r="CP74" s="305"/>
      <c r="CQ74" s="305"/>
      <c r="CR74" s="305"/>
      <c r="CS74" s="305"/>
      <c r="CT74" s="305"/>
      <c r="CU74" s="305"/>
      <c r="CV74" s="305"/>
      <c r="CW74" s="305"/>
      <c r="CX74" s="305"/>
      <c r="CY74" s="305"/>
      <c r="CZ74" s="305"/>
      <c r="DA74" s="305"/>
      <c r="DB74" s="305"/>
      <c r="DC74" s="305"/>
      <c r="DD74" s="305"/>
      <c r="DE74" s="305"/>
      <c r="DF74" s="305"/>
      <c r="DG74" s="753"/>
      <c r="DH74" s="753"/>
      <c r="DI74" s="753"/>
      <c r="DJ74" s="753"/>
      <c r="DK74" s="753"/>
      <c r="DL74" s="753"/>
      <c r="DM74" s="753"/>
      <c r="DN74" s="753"/>
      <c r="DO74" s="753"/>
      <c r="DP74" s="753"/>
      <c r="DQ74" s="753"/>
      <c r="DR74" s="753"/>
      <c r="DS74" s="305"/>
      <c r="DT74" s="305"/>
      <c r="DU74" s="305"/>
      <c r="DV74" s="305"/>
      <c r="DW74" s="305"/>
      <c r="DX74" s="305"/>
      <c r="DY74" s="305"/>
      <c r="DZ74" s="305"/>
      <c r="EA74" s="305"/>
      <c r="EB74" s="305"/>
      <c r="EC74" s="305"/>
      <c r="ED74" s="305"/>
      <c r="EE74" s="305"/>
      <c r="EF74" s="305"/>
      <c r="EG74" s="305"/>
      <c r="EH74" s="305"/>
      <c r="EI74" s="305"/>
      <c r="EJ74" s="305"/>
      <c r="EK74" s="305"/>
      <c r="EL74" s="305"/>
      <c r="EM74" s="305"/>
      <c r="EN74" s="305"/>
      <c r="EO74" s="305"/>
      <c r="EP74" s="305"/>
      <c r="EQ74" s="305"/>
      <c r="ER74" s="305"/>
      <c r="ES74" s="305"/>
      <c r="ET74" s="305"/>
      <c r="EU74" s="305"/>
      <c r="EV74" s="305"/>
      <c r="EW74" s="305"/>
      <c r="EX74" s="305"/>
      <c r="EY74" s="305"/>
      <c r="EZ74" s="305"/>
      <c r="FA74" s="305"/>
      <c r="FB74" s="305"/>
      <c r="FC74" s="305"/>
      <c r="FD74" s="305"/>
      <c r="FE74" s="305"/>
      <c r="FF74" s="305"/>
      <c r="FG74" s="305"/>
      <c r="FH74" s="305"/>
      <c r="FI74" s="305"/>
      <c r="FJ74" s="305"/>
      <c r="FK74" s="305"/>
      <c r="FL74" s="305"/>
      <c r="FM74" s="305"/>
      <c r="FN74" s="305"/>
      <c r="FO74" s="305"/>
      <c r="FP74" s="305"/>
      <c r="FQ74" s="754"/>
    </row>
    <row r="75" spans="1:177" s="755" customFormat="1">
      <c r="A75" s="752"/>
      <c r="B75" s="752"/>
      <c r="C75" s="756"/>
      <c r="D75" s="756" t="s">
        <v>3865</v>
      </c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>
        <f t="shared" si="22"/>
        <v>0</v>
      </c>
      <c r="Q75" s="305"/>
      <c r="R75" s="305"/>
      <c r="S75" s="305"/>
      <c r="T75" s="305"/>
      <c r="U75" s="305"/>
      <c r="V75" s="305"/>
      <c r="W75" s="305"/>
      <c r="X75" s="305"/>
      <c r="Y75" s="305"/>
      <c r="Z75" s="305"/>
      <c r="AA75" s="305"/>
      <c r="AB75" s="305"/>
      <c r="AC75" s="305"/>
      <c r="AD75" s="305"/>
      <c r="AE75" s="766"/>
      <c r="AF75" s="960"/>
      <c r="AG75" s="305"/>
      <c r="AH75" s="305"/>
      <c r="AI75" s="305"/>
      <c r="AJ75" s="305"/>
      <c r="AK75" s="305"/>
      <c r="AL75" s="305"/>
      <c r="AM75" s="305"/>
      <c r="AN75" s="305"/>
      <c r="AO75" s="305"/>
      <c r="AP75" s="305"/>
      <c r="AQ75" s="305"/>
      <c r="AR75" s="305"/>
      <c r="AS75" s="305"/>
      <c r="AT75" s="305"/>
      <c r="AU75" s="305"/>
      <c r="AV75" s="305"/>
      <c r="AW75" s="305">
        <f t="shared" si="15"/>
        <v>0</v>
      </c>
      <c r="AX75" s="305"/>
      <c r="AY75" s="305"/>
      <c r="AZ75" s="305">
        <f t="shared" si="16"/>
        <v>0</v>
      </c>
      <c r="BA75" s="305">
        <f t="shared" si="17"/>
        <v>0</v>
      </c>
      <c r="BB75" s="305"/>
      <c r="BC75" s="305"/>
      <c r="BD75" s="305"/>
      <c r="BE75" s="305"/>
      <c r="BF75" s="305"/>
      <c r="BG75" s="305"/>
      <c r="BH75" s="305"/>
      <c r="BI75" s="305"/>
      <c r="BJ75" s="305">
        <f t="shared" si="18"/>
        <v>0</v>
      </c>
      <c r="BK75" s="305"/>
      <c r="BL75" s="305"/>
      <c r="BM75" s="305"/>
      <c r="BN75" s="305"/>
      <c r="BO75" s="305"/>
      <c r="BP75" s="305"/>
      <c r="BQ75" s="305">
        <f t="shared" si="19"/>
        <v>0</v>
      </c>
      <c r="BR75" s="305"/>
      <c r="BS75" s="305"/>
      <c r="BT75" s="305">
        <f t="shared" si="20"/>
        <v>0</v>
      </c>
      <c r="BU75" s="305"/>
      <c r="BV75" s="305"/>
      <c r="BW75" s="305"/>
      <c r="BX75" s="305"/>
      <c r="BY75" s="305"/>
      <c r="BZ75" s="305"/>
      <c r="CA75" s="305"/>
      <c r="CB75" s="305"/>
      <c r="CC75" s="305"/>
      <c r="CD75" s="305">
        <f t="shared" si="21"/>
        <v>0</v>
      </c>
      <c r="CE75" s="305"/>
      <c r="CF75" s="305"/>
      <c r="CG75" s="305"/>
      <c r="CH75" s="305"/>
      <c r="CI75" s="305"/>
      <c r="CJ75" s="305"/>
      <c r="CK75" s="305"/>
      <c r="CL75" s="305"/>
      <c r="CM75" s="305"/>
      <c r="CN75" s="305"/>
      <c r="CO75" s="305"/>
      <c r="CP75" s="305"/>
      <c r="CQ75" s="305"/>
      <c r="CR75" s="305"/>
      <c r="CS75" s="305"/>
      <c r="CT75" s="305"/>
      <c r="CU75" s="305"/>
      <c r="CV75" s="305"/>
      <c r="CW75" s="305"/>
      <c r="CX75" s="305"/>
      <c r="CY75" s="305"/>
      <c r="CZ75" s="305"/>
      <c r="DA75" s="305"/>
      <c r="DB75" s="305"/>
      <c r="DC75" s="305"/>
      <c r="DD75" s="305"/>
      <c r="DE75" s="305"/>
      <c r="DF75" s="305"/>
      <c r="DG75" s="753"/>
      <c r="DH75" s="753"/>
      <c r="DI75" s="753"/>
      <c r="DJ75" s="753"/>
      <c r="DK75" s="753"/>
      <c r="DL75" s="753"/>
      <c r="DM75" s="753"/>
      <c r="DN75" s="753"/>
      <c r="DO75" s="753"/>
      <c r="DP75" s="753"/>
      <c r="DQ75" s="753"/>
      <c r="DR75" s="753"/>
      <c r="DS75" s="305"/>
      <c r="DT75" s="305"/>
      <c r="DU75" s="305"/>
      <c r="DV75" s="305"/>
      <c r="DW75" s="305"/>
      <c r="DX75" s="305"/>
      <c r="DY75" s="305"/>
      <c r="DZ75" s="305"/>
      <c r="EA75" s="305"/>
      <c r="EB75" s="305"/>
      <c r="EC75" s="305"/>
      <c r="ED75" s="305"/>
      <c r="EE75" s="305"/>
      <c r="EF75" s="305"/>
      <c r="EG75" s="305"/>
      <c r="EH75" s="305"/>
      <c r="EI75" s="305"/>
      <c r="EJ75" s="305"/>
      <c r="EK75" s="305"/>
      <c r="EL75" s="305"/>
      <c r="EM75" s="305"/>
      <c r="EN75" s="305"/>
      <c r="EO75" s="305"/>
      <c r="EP75" s="305"/>
      <c r="EQ75" s="305"/>
      <c r="ER75" s="305"/>
      <c r="ES75" s="305"/>
      <c r="ET75" s="305"/>
      <c r="EU75" s="305"/>
      <c r="EV75" s="305"/>
      <c r="EW75" s="305"/>
      <c r="EX75" s="305"/>
      <c r="EY75" s="305"/>
      <c r="EZ75" s="305"/>
      <c r="FA75" s="305"/>
      <c r="FB75" s="305"/>
      <c r="FC75" s="305"/>
      <c r="FD75" s="305"/>
      <c r="FE75" s="305"/>
      <c r="FF75" s="305"/>
      <c r="FG75" s="305"/>
      <c r="FH75" s="305"/>
      <c r="FI75" s="305"/>
      <c r="FJ75" s="305"/>
      <c r="FK75" s="305"/>
      <c r="FL75" s="305"/>
      <c r="FM75" s="305"/>
      <c r="FN75" s="305"/>
      <c r="FO75" s="305"/>
      <c r="FP75" s="305"/>
      <c r="FQ75" s="754"/>
    </row>
    <row r="76" spans="1:177" s="755" customFormat="1">
      <c r="A76" s="752"/>
      <c r="B76" s="752"/>
      <c r="C76" s="306"/>
      <c r="D76" s="306" t="s">
        <v>3006</v>
      </c>
      <c r="E76" s="305">
        <v>15</v>
      </c>
      <c r="F76" s="305"/>
      <c r="G76" s="305"/>
      <c r="H76" s="305"/>
      <c r="I76" s="305"/>
      <c r="J76" s="305"/>
      <c r="K76" s="305"/>
      <c r="L76" s="305"/>
      <c r="M76" s="305"/>
      <c r="N76" s="305"/>
      <c r="O76" s="305"/>
      <c r="P76" s="305">
        <f t="shared" si="22"/>
        <v>15</v>
      </c>
      <c r="Q76" s="305"/>
      <c r="R76" s="305"/>
      <c r="S76" s="305"/>
      <c r="T76" s="305"/>
      <c r="U76" s="305" t="s">
        <v>2989</v>
      </c>
      <c r="V76" s="305"/>
      <c r="W76" s="305"/>
      <c r="X76" s="305"/>
      <c r="Y76" s="305"/>
      <c r="Z76" s="305"/>
      <c r="AA76" s="305"/>
      <c r="AB76" s="305"/>
      <c r="AC76" s="305"/>
      <c r="AD76" s="305"/>
      <c r="AE76" s="766"/>
      <c r="AF76" s="960"/>
      <c r="AG76" s="305"/>
      <c r="AH76" s="305"/>
      <c r="AI76" s="305"/>
      <c r="AJ76" s="305"/>
      <c r="AK76" s="305"/>
      <c r="AL76" s="305"/>
      <c r="AM76" s="305"/>
      <c r="AN76" s="305"/>
      <c r="AO76" s="305"/>
      <c r="AP76" s="305"/>
      <c r="AQ76" s="305"/>
      <c r="AR76" s="305"/>
      <c r="AS76" s="305"/>
      <c r="AT76" s="305"/>
      <c r="AU76" s="305"/>
      <c r="AV76" s="305"/>
      <c r="AW76" s="305">
        <f t="shared" si="15"/>
        <v>1</v>
      </c>
      <c r="AX76" s="305"/>
      <c r="AY76" s="305"/>
      <c r="AZ76" s="305">
        <f t="shared" si="16"/>
        <v>0</v>
      </c>
      <c r="BA76" s="305">
        <f t="shared" si="17"/>
        <v>2</v>
      </c>
      <c r="BB76" s="305"/>
      <c r="BC76" s="305"/>
      <c r="BD76" s="305"/>
      <c r="BE76" s="305">
        <v>2</v>
      </c>
      <c r="BF76" s="305"/>
      <c r="BG76" s="305"/>
      <c r="BH76" s="305"/>
      <c r="BI76" s="305"/>
      <c r="BJ76" s="305">
        <f t="shared" si="18"/>
        <v>5</v>
      </c>
      <c r="BK76" s="305"/>
      <c r="BL76" s="305"/>
      <c r="BM76" s="305"/>
      <c r="BN76" s="305"/>
      <c r="BO76" s="305"/>
      <c r="BP76" s="305"/>
      <c r="BQ76" s="305">
        <f t="shared" si="19"/>
        <v>0</v>
      </c>
      <c r="BR76" s="305"/>
      <c r="BS76" s="305"/>
      <c r="BT76" s="305">
        <f t="shared" si="20"/>
        <v>0</v>
      </c>
      <c r="BU76" s="305"/>
      <c r="BV76" s="305"/>
      <c r="BW76" s="305"/>
      <c r="BX76" s="305"/>
      <c r="BY76" s="305">
        <v>2</v>
      </c>
      <c r="BZ76" s="305"/>
      <c r="CA76" s="305"/>
      <c r="CB76" s="305">
        <v>1</v>
      </c>
      <c r="CC76" s="305"/>
      <c r="CD76" s="305">
        <f t="shared" si="21"/>
        <v>4</v>
      </c>
      <c r="CE76" s="305"/>
      <c r="CF76" s="305"/>
      <c r="CG76" s="305"/>
      <c r="CH76" s="305"/>
      <c r="CI76" s="305"/>
      <c r="CJ76" s="305"/>
      <c r="CK76" s="305"/>
      <c r="CL76" s="305"/>
      <c r="CM76" s="305"/>
      <c r="CN76" s="305"/>
      <c r="CO76" s="305"/>
      <c r="CP76" s="305"/>
      <c r="CQ76" s="305"/>
      <c r="CR76" s="305"/>
      <c r="CS76" s="305"/>
      <c r="CT76" s="305"/>
      <c r="CU76" s="305"/>
      <c r="CV76" s="305"/>
      <c r="CW76" s="305"/>
      <c r="CX76" s="305"/>
      <c r="CY76" s="305"/>
      <c r="CZ76" s="305"/>
      <c r="DA76" s="305"/>
      <c r="DB76" s="305"/>
      <c r="DC76" s="305"/>
      <c r="DD76" s="305"/>
      <c r="DE76" s="305"/>
      <c r="DF76" s="305"/>
      <c r="DG76" s="753"/>
      <c r="DH76" s="753"/>
      <c r="DI76" s="753"/>
      <c r="DJ76" s="753"/>
      <c r="DK76" s="753"/>
      <c r="DL76" s="753"/>
      <c r="DM76" s="753"/>
      <c r="DN76" s="753"/>
      <c r="DO76" s="753"/>
      <c r="DP76" s="753"/>
      <c r="DQ76" s="753"/>
      <c r="DR76" s="753"/>
      <c r="DS76" s="305"/>
      <c r="DT76" s="305"/>
      <c r="DU76" s="305"/>
      <c r="DV76" s="305"/>
      <c r="DW76" s="305"/>
      <c r="DX76" s="305"/>
      <c r="DY76" s="305"/>
      <c r="DZ76" s="305"/>
      <c r="EA76" s="305"/>
      <c r="EB76" s="305"/>
      <c r="EC76" s="305"/>
      <c r="ED76" s="305"/>
      <c r="EE76" s="305"/>
      <c r="EF76" s="305"/>
      <c r="EG76" s="305"/>
      <c r="EH76" s="305"/>
      <c r="EI76" s="305"/>
      <c r="EJ76" s="305"/>
      <c r="EK76" s="305"/>
      <c r="EL76" s="305"/>
      <c r="EM76" s="305"/>
      <c r="EN76" s="305"/>
      <c r="EO76" s="305"/>
      <c r="EP76" s="305"/>
      <c r="EQ76" s="305"/>
      <c r="ER76" s="305"/>
      <c r="ES76" s="305"/>
      <c r="ET76" s="305"/>
      <c r="EU76" s="305"/>
      <c r="EV76" s="305"/>
      <c r="EW76" s="305"/>
      <c r="EX76" s="305"/>
      <c r="EY76" s="305"/>
      <c r="EZ76" s="305"/>
      <c r="FA76" s="305"/>
      <c r="FB76" s="305"/>
      <c r="FC76" s="305"/>
      <c r="FD76" s="305"/>
      <c r="FE76" s="305"/>
      <c r="FF76" s="305"/>
      <c r="FG76" s="305"/>
      <c r="FH76" s="305"/>
      <c r="FI76" s="305"/>
      <c r="FJ76" s="305"/>
      <c r="FK76" s="305"/>
      <c r="FL76" s="305"/>
      <c r="FM76" s="305"/>
      <c r="FN76" s="305"/>
      <c r="FO76" s="305"/>
      <c r="FP76" s="305"/>
      <c r="FQ76" s="754"/>
    </row>
    <row r="77" spans="1:177" s="755" customFormat="1">
      <c r="A77" s="752"/>
      <c r="B77" s="752"/>
      <c r="C77" s="306" t="s">
        <v>3804</v>
      </c>
      <c r="D77" s="306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>
        <f t="shared" si="22"/>
        <v>0</v>
      </c>
      <c r="Q77" s="305"/>
      <c r="R77" s="305"/>
      <c r="S77" s="305"/>
      <c r="T77" s="305"/>
      <c r="U77" s="305" t="s">
        <v>1631</v>
      </c>
      <c r="V77" s="305"/>
      <c r="W77" s="305"/>
      <c r="X77" s="305"/>
      <c r="Y77" s="305"/>
      <c r="Z77" s="305"/>
      <c r="AA77" s="305"/>
      <c r="AB77" s="305"/>
      <c r="AC77" s="305"/>
      <c r="AD77" s="305"/>
      <c r="AE77" s="766"/>
      <c r="AF77" s="960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5"/>
      <c r="AT77" s="305"/>
      <c r="AU77" s="305">
        <v>1</v>
      </c>
      <c r="AV77" s="305"/>
      <c r="AW77" s="305">
        <f t="shared" si="15"/>
        <v>1</v>
      </c>
      <c r="AX77" s="305"/>
      <c r="AY77" s="305"/>
      <c r="AZ77" s="305">
        <f t="shared" si="16"/>
        <v>2</v>
      </c>
      <c r="BA77" s="305">
        <f t="shared" si="17"/>
        <v>0</v>
      </c>
      <c r="BB77" s="305"/>
      <c r="BC77" s="305"/>
      <c r="BD77" s="305">
        <v>1</v>
      </c>
      <c r="BE77" s="305"/>
      <c r="BF77" s="305"/>
      <c r="BG77" s="305"/>
      <c r="BH77" s="305"/>
      <c r="BI77" s="305"/>
      <c r="BJ77" s="305">
        <f t="shared" si="18"/>
        <v>7</v>
      </c>
      <c r="BK77" s="305"/>
      <c r="BL77" s="305"/>
      <c r="BM77" s="305"/>
      <c r="BN77" s="305"/>
      <c r="BO77" s="305"/>
      <c r="BP77" s="305"/>
      <c r="BQ77" s="305">
        <f t="shared" si="19"/>
        <v>0</v>
      </c>
      <c r="BR77" s="305"/>
      <c r="BS77" s="305"/>
      <c r="BT77" s="305">
        <f t="shared" si="20"/>
        <v>1</v>
      </c>
      <c r="BU77" s="305"/>
      <c r="BV77" s="305"/>
      <c r="BW77" s="305"/>
      <c r="BX77" s="305"/>
      <c r="BY77" s="305"/>
      <c r="BZ77" s="305"/>
      <c r="CA77" s="305"/>
      <c r="CB77" s="305">
        <v>1</v>
      </c>
      <c r="CC77" s="305"/>
      <c r="CD77" s="305">
        <f t="shared" si="21"/>
        <v>4</v>
      </c>
      <c r="CE77" s="305"/>
      <c r="CF77" s="305"/>
      <c r="CG77" s="305"/>
      <c r="CH77" s="305"/>
      <c r="CI77" s="305"/>
      <c r="CJ77" s="305"/>
      <c r="CK77" s="305"/>
      <c r="CL77" s="305"/>
      <c r="CM77" s="305"/>
      <c r="CN77" s="305"/>
      <c r="CO77" s="305"/>
      <c r="CP77" s="305"/>
      <c r="CQ77" s="305"/>
      <c r="CR77" s="305"/>
      <c r="CS77" s="305"/>
      <c r="CT77" s="305"/>
      <c r="CU77" s="305"/>
      <c r="CV77" s="305"/>
      <c r="CW77" s="305"/>
      <c r="CX77" s="305"/>
      <c r="CY77" s="305"/>
      <c r="CZ77" s="305"/>
      <c r="DA77" s="305"/>
      <c r="DB77" s="305"/>
      <c r="DC77" s="305"/>
      <c r="DD77" s="305"/>
      <c r="DE77" s="305"/>
      <c r="DF77" s="305"/>
      <c r="DG77" s="753"/>
      <c r="DH77" s="753"/>
      <c r="DI77" s="753"/>
      <c r="DJ77" s="753"/>
      <c r="DK77" s="753"/>
      <c r="DL77" s="753"/>
      <c r="DM77" s="753"/>
      <c r="DN77" s="753"/>
      <c r="DO77" s="753"/>
      <c r="DP77" s="753"/>
      <c r="DQ77" s="753"/>
      <c r="DR77" s="753"/>
      <c r="DS77" s="305"/>
      <c r="DT77" s="305"/>
      <c r="DU77" s="305"/>
      <c r="DV77" s="305"/>
      <c r="DW77" s="305"/>
      <c r="DX77" s="305"/>
      <c r="DY77" s="305"/>
      <c r="DZ77" s="305"/>
      <c r="EA77" s="305"/>
      <c r="EB77" s="305"/>
      <c r="EC77" s="305"/>
      <c r="ED77" s="305"/>
      <c r="EE77" s="305"/>
      <c r="EF77" s="305"/>
      <c r="EG77" s="305"/>
      <c r="EH77" s="305"/>
      <c r="EI77" s="305"/>
      <c r="EJ77" s="305"/>
      <c r="EK77" s="305"/>
      <c r="EL77" s="305"/>
      <c r="EM77" s="305"/>
      <c r="EN77" s="305"/>
      <c r="EO77" s="305"/>
      <c r="EP77" s="305"/>
      <c r="EQ77" s="305"/>
      <c r="ER77" s="305"/>
      <c r="ES77" s="305"/>
      <c r="ET77" s="305"/>
      <c r="EU77" s="305"/>
      <c r="EV77" s="305"/>
      <c r="EW77" s="305"/>
      <c r="EX77" s="305"/>
      <c r="EY77" s="305"/>
      <c r="EZ77" s="305"/>
      <c r="FA77" s="305"/>
      <c r="FB77" s="305"/>
      <c r="FC77" s="305"/>
      <c r="FD77" s="305"/>
      <c r="FE77" s="305"/>
      <c r="FF77" s="305"/>
      <c r="FG77" s="305"/>
      <c r="FH77" s="305"/>
      <c r="FI77" s="305"/>
      <c r="FJ77" s="305"/>
      <c r="FK77" s="305"/>
      <c r="FL77" s="305"/>
      <c r="FM77" s="305"/>
      <c r="FN77" s="305"/>
      <c r="FO77" s="305"/>
      <c r="FP77" s="305"/>
      <c r="FQ77" s="754"/>
    </row>
    <row r="78" spans="1:177" s="755" customFormat="1">
      <c r="A78" s="752"/>
      <c r="B78" s="752"/>
      <c r="C78" s="306"/>
      <c r="D78" s="306" t="s">
        <v>2991</v>
      </c>
      <c r="E78" s="305">
        <v>43</v>
      </c>
      <c r="F78" s="305"/>
      <c r="G78" s="305"/>
      <c r="H78" s="305"/>
      <c r="I78" s="305"/>
      <c r="J78" s="305"/>
      <c r="K78" s="305"/>
      <c r="L78" s="305"/>
      <c r="M78" s="305"/>
      <c r="N78" s="305"/>
      <c r="O78" s="305"/>
      <c r="P78" s="305">
        <f t="shared" si="22"/>
        <v>43</v>
      </c>
      <c r="Q78" s="305"/>
      <c r="R78" s="305"/>
      <c r="S78" s="305"/>
      <c r="T78" s="305"/>
      <c r="U78" s="305" t="s">
        <v>1903</v>
      </c>
      <c r="V78" s="305"/>
      <c r="W78" s="305"/>
      <c r="X78" s="305"/>
      <c r="Y78" s="305"/>
      <c r="Z78" s="305"/>
      <c r="AA78" s="305"/>
      <c r="AB78" s="305"/>
      <c r="AC78" s="305"/>
      <c r="AD78" s="305"/>
      <c r="AE78" s="766"/>
      <c r="AF78" s="960"/>
      <c r="AG78" s="305"/>
      <c r="AH78" s="305"/>
      <c r="AI78" s="305"/>
      <c r="AJ78" s="305"/>
      <c r="AK78" s="305"/>
      <c r="AL78" s="305"/>
      <c r="AM78" s="305"/>
      <c r="AN78" s="305"/>
      <c r="AO78" s="305"/>
      <c r="AP78" s="305"/>
      <c r="AQ78" s="305"/>
      <c r="AR78" s="305"/>
      <c r="AS78" s="305"/>
      <c r="AT78" s="305"/>
      <c r="AU78" s="305"/>
      <c r="AV78" s="305"/>
      <c r="AW78" s="305">
        <f t="shared" si="15"/>
        <v>1</v>
      </c>
      <c r="AX78" s="305"/>
      <c r="AY78" s="305"/>
      <c r="AZ78" s="305">
        <f t="shared" si="16"/>
        <v>0</v>
      </c>
      <c r="BA78" s="305">
        <f t="shared" si="17"/>
        <v>2</v>
      </c>
      <c r="BB78" s="305"/>
      <c r="BC78" s="305"/>
      <c r="BD78" s="305"/>
      <c r="BE78" s="305">
        <v>1</v>
      </c>
      <c r="BF78" s="305"/>
      <c r="BG78" s="305"/>
      <c r="BH78" s="305"/>
      <c r="BI78" s="305"/>
      <c r="BJ78" s="305">
        <f t="shared" si="18"/>
        <v>5</v>
      </c>
      <c r="BK78" s="305"/>
      <c r="BL78" s="305"/>
      <c r="BM78" s="305"/>
      <c r="BN78" s="305"/>
      <c r="BO78" s="305"/>
      <c r="BP78" s="305"/>
      <c r="BQ78" s="305">
        <f t="shared" si="19"/>
        <v>1</v>
      </c>
      <c r="BR78" s="305"/>
      <c r="BS78" s="305"/>
      <c r="BT78" s="305">
        <f t="shared" si="20"/>
        <v>2</v>
      </c>
      <c r="BU78" s="305"/>
      <c r="BV78" s="305"/>
      <c r="BW78" s="305"/>
      <c r="BX78" s="305"/>
      <c r="BY78" s="305"/>
      <c r="BZ78" s="305"/>
      <c r="CA78" s="305"/>
      <c r="CB78" s="305">
        <v>1</v>
      </c>
      <c r="CC78" s="305"/>
      <c r="CD78" s="305">
        <f t="shared" si="21"/>
        <v>4</v>
      </c>
      <c r="CE78" s="305"/>
      <c r="CF78" s="305"/>
      <c r="CG78" s="305"/>
      <c r="CH78" s="305"/>
      <c r="CI78" s="305"/>
      <c r="CJ78" s="305"/>
      <c r="CK78" s="305"/>
      <c r="CL78" s="305"/>
      <c r="CM78" s="305"/>
      <c r="CN78" s="305"/>
      <c r="CO78" s="305"/>
      <c r="CP78" s="305"/>
      <c r="CQ78" s="305"/>
      <c r="CR78" s="305"/>
      <c r="CS78" s="305"/>
      <c r="CT78" s="305"/>
      <c r="CU78" s="305"/>
      <c r="CV78" s="305"/>
      <c r="CW78" s="305"/>
      <c r="CX78" s="305"/>
      <c r="CY78" s="305"/>
      <c r="CZ78" s="305"/>
      <c r="DA78" s="305"/>
      <c r="DB78" s="305"/>
      <c r="DC78" s="305"/>
      <c r="DD78" s="305"/>
      <c r="DE78" s="305"/>
      <c r="DF78" s="305"/>
      <c r="DG78" s="753"/>
      <c r="DH78" s="753"/>
      <c r="DI78" s="753"/>
      <c r="DJ78" s="753"/>
      <c r="DK78" s="753"/>
      <c r="DL78" s="753"/>
      <c r="DM78" s="753"/>
      <c r="DN78" s="753"/>
      <c r="DO78" s="753"/>
      <c r="DP78" s="753"/>
      <c r="DQ78" s="753"/>
      <c r="DR78" s="753"/>
      <c r="DS78" s="305"/>
      <c r="DT78" s="305"/>
      <c r="DU78" s="305"/>
      <c r="DV78" s="305"/>
      <c r="DW78" s="305"/>
      <c r="DX78" s="305"/>
      <c r="DY78" s="305"/>
      <c r="DZ78" s="305"/>
      <c r="EA78" s="305"/>
      <c r="EB78" s="305"/>
      <c r="EC78" s="305"/>
      <c r="ED78" s="305"/>
      <c r="EE78" s="305"/>
      <c r="EF78" s="305"/>
      <c r="EG78" s="305"/>
      <c r="EH78" s="305"/>
      <c r="EI78" s="305"/>
      <c r="EJ78" s="305"/>
      <c r="EK78" s="305"/>
      <c r="EL78" s="305"/>
      <c r="EM78" s="305"/>
      <c r="EN78" s="305"/>
      <c r="EO78" s="305"/>
      <c r="EP78" s="305"/>
      <c r="EQ78" s="305"/>
      <c r="ER78" s="305"/>
      <c r="ES78" s="305"/>
      <c r="ET78" s="305"/>
      <c r="EU78" s="305"/>
      <c r="EV78" s="305"/>
      <c r="EW78" s="305"/>
      <c r="EX78" s="305"/>
      <c r="EY78" s="305"/>
      <c r="EZ78" s="305"/>
      <c r="FA78" s="305"/>
      <c r="FB78" s="305"/>
      <c r="FC78" s="305"/>
      <c r="FD78" s="305"/>
      <c r="FE78" s="305"/>
      <c r="FF78" s="305"/>
      <c r="FG78" s="305"/>
      <c r="FH78" s="305"/>
      <c r="FI78" s="305"/>
      <c r="FJ78" s="305"/>
      <c r="FK78" s="305"/>
      <c r="FL78" s="305"/>
      <c r="FM78" s="305"/>
      <c r="FN78" s="305"/>
      <c r="FO78" s="305"/>
      <c r="FP78" s="305"/>
      <c r="FQ78" s="754"/>
    </row>
    <row r="79" spans="1:177" s="755" customFormat="1">
      <c r="A79" s="752"/>
      <c r="B79" s="752"/>
      <c r="C79" s="306"/>
      <c r="D79" s="306" t="s">
        <v>2992</v>
      </c>
      <c r="E79" s="305">
        <v>40</v>
      </c>
      <c r="F79" s="305"/>
      <c r="G79" s="305"/>
      <c r="H79" s="305"/>
      <c r="I79" s="305"/>
      <c r="J79" s="305"/>
      <c r="K79" s="305"/>
      <c r="L79" s="305"/>
      <c r="M79" s="305"/>
      <c r="N79" s="305"/>
      <c r="O79" s="305"/>
      <c r="P79" s="305">
        <f t="shared" si="22"/>
        <v>40</v>
      </c>
      <c r="Q79" s="305"/>
      <c r="R79" s="305"/>
      <c r="S79" s="305"/>
      <c r="T79" s="305"/>
      <c r="U79" s="305" t="s">
        <v>1903</v>
      </c>
      <c r="V79" s="305"/>
      <c r="W79" s="305"/>
      <c r="X79" s="305"/>
      <c r="Y79" s="305"/>
      <c r="Z79" s="305"/>
      <c r="AA79" s="305"/>
      <c r="AB79" s="305"/>
      <c r="AC79" s="305"/>
      <c r="AD79" s="305"/>
      <c r="AE79" s="766"/>
      <c r="AF79" s="960"/>
      <c r="AG79" s="305"/>
      <c r="AH79" s="305"/>
      <c r="AI79" s="305"/>
      <c r="AJ79" s="305"/>
      <c r="AK79" s="305"/>
      <c r="AL79" s="305"/>
      <c r="AM79" s="305"/>
      <c r="AN79" s="305"/>
      <c r="AO79" s="305"/>
      <c r="AP79" s="305"/>
      <c r="AQ79" s="305"/>
      <c r="AR79" s="305"/>
      <c r="AS79" s="305"/>
      <c r="AT79" s="305"/>
      <c r="AU79" s="305"/>
      <c r="AV79" s="305"/>
      <c r="AW79" s="305">
        <f t="shared" si="15"/>
        <v>1</v>
      </c>
      <c r="AX79" s="305"/>
      <c r="AY79" s="305"/>
      <c r="AZ79" s="305">
        <f t="shared" si="16"/>
        <v>0</v>
      </c>
      <c r="BA79" s="305">
        <f t="shared" si="17"/>
        <v>2</v>
      </c>
      <c r="BB79" s="305"/>
      <c r="BC79" s="305"/>
      <c r="BD79" s="305"/>
      <c r="BE79" s="305">
        <v>1</v>
      </c>
      <c r="BF79" s="305"/>
      <c r="BG79" s="305"/>
      <c r="BH79" s="305"/>
      <c r="BI79" s="305"/>
      <c r="BJ79" s="305">
        <f t="shared" si="18"/>
        <v>5</v>
      </c>
      <c r="BK79" s="305"/>
      <c r="BL79" s="305"/>
      <c r="BM79" s="305"/>
      <c r="BN79" s="305"/>
      <c r="BO79" s="305"/>
      <c r="BP79" s="305"/>
      <c r="BQ79" s="305">
        <f t="shared" si="19"/>
        <v>1</v>
      </c>
      <c r="BR79" s="305"/>
      <c r="BS79" s="305"/>
      <c r="BT79" s="305">
        <f t="shared" si="20"/>
        <v>2</v>
      </c>
      <c r="BU79" s="305"/>
      <c r="BV79" s="305"/>
      <c r="BW79" s="305"/>
      <c r="BX79" s="305"/>
      <c r="BY79" s="305"/>
      <c r="BZ79" s="305"/>
      <c r="CA79" s="305"/>
      <c r="CB79" s="305">
        <v>1</v>
      </c>
      <c r="CC79" s="305"/>
      <c r="CD79" s="305">
        <f t="shared" si="21"/>
        <v>4</v>
      </c>
      <c r="CE79" s="305"/>
      <c r="CF79" s="305"/>
      <c r="CG79" s="305"/>
      <c r="CH79" s="305"/>
      <c r="CI79" s="305"/>
      <c r="CJ79" s="305"/>
      <c r="CK79" s="305"/>
      <c r="CL79" s="305"/>
      <c r="CM79" s="305"/>
      <c r="CN79" s="305"/>
      <c r="CO79" s="305"/>
      <c r="CP79" s="305"/>
      <c r="CQ79" s="305"/>
      <c r="CR79" s="305"/>
      <c r="CS79" s="305"/>
      <c r="CT79" s="305"/>
      <c r="CU79" s="305"/>
      <c r="CV79" s="305"/>
      <c r="CW79" s="305"/>
      <c r="CX79" s="305"/>
      <c r="CY79" s="305"/>
      <c r="CZ79" s="305"/>
      <c r="DA79" s="305"/>
      <c r="DB79" s="305"/>
      <c r="DC79" s="305"/>
      <c r="DD79" s="305"/>
      <c r="DE79" s="305"/>
      <c r="DF79" s="305"/>
      <c r="DG79" s="753"/>
      <c r="DH79" s="753"/>
      <c r="DI79" s="753"/>
      <c r="DJ79" s="753"/>
      <c r="DK79" s="753"/>
      <c r="DL79" s="753"/>
      <c r="DM79" s="753"/>
      <c r="DN79" s="753"/>
      <c r="DO79" s="753"/>
      <c r="DP79" s="753"/>
      <c r="DQ79" s="753"/>
      <c r="DR79" s="753"/>
      <c r="DS79" s="305"/>
      <c r="DT79" s="305"/>
      <c r="DU79" s="305"/>
      <c r="DV79" s="305"/>
      <c r="DW79" s="305"/>
      <c r="DX79" s="305"/>
      <c r="DY79" s="305"/>
      <c r="DZ79" s="305"/>
      <c r="EA79" s="305"/>
      <c r="EB79" s="305"/>
      <c r="EC79" s="305"/>
      <c r="ED79" s="305"/>
      <c r="EE79" s="305"/>
      <c r="EF79" s="305"/>
      <c r="EG79" s="305"/>
      <c r="EH79" s="305"/>
      <c r="EI79" s="305"/>
      <c r="EJ79" s="305"/>
      <c r="EK79" s="305"/>
      <c r="EL79" s="305"/>
      <c r="EM79" s="305"/>
      <c r="EN79" s="305"/>
      <c r="EO79" s="305"/>
      <c r="EP79" s="305"/>
      <c r="EQ79" s="305"/>
      <c r="ER79" s="305"/>
      <c r="ES79" s="305"/>
      <c r="ET79" s="305"/>
      <c r="EU79" s="305"/>
      <c r="EV79" s="305"/>
      <c r="EW79" s="305"/>
      <c r="EX79" s="305"/>
      <c r="EY79" s="305"/>
      <c r="EZ79" s="305"/>
      <c r="FA79" s="305"/>
      <c r="FB79" s="305"/>
      <c r="FC79" s="305"/>
      <c r="FD79" s="305"/>
      <c r="FE79" s="305"/>
      <c r="FF79" s="305"/>
      <c r="FG79" s="305"/>
      <c r="FH79" s="305"/>
      <c r="FI79" s="305"/>
      <c r="FJ79" s="305"/>
      <c r="FK79" s="305"/>
      <c r="FL79" s="305"/>
      <c r="FM79" s="305"/>
      <c r="FN79" s="305"/>
      <c r="FO79" s="305"/>
      <c r="FP79" s="305"/>
      <c r="FQ79" s="754"/>
    </row>
    <row r="80" spans="1:177" s="755" customFormat="1">
      <c r="A80" s="752"/>
      <c r="B80" s="752"/>
      <c r="C80" s="306" t="s">
        <v>3806</v>
      </c>
      <c r="D80" s="306"/>
      <c r="E80" s="305"/>
      <c r="F80" s="305"/>
      <c r="G80" s="305"/>
      <c r="H80" s="305"/>
      <c r="I80" s="305"/>
      <c r="J80" s="305"/>
      <c r="K80" s="305"/>
      <c r="L80" s="305"/>
      <c r="M80" s="305"/>
      <c r="N80" s="305"/>
      <c r="O80" s="305"/>
      <c r="P80" s="305">
        <f t="shared" si="22"/>
        <v>0</v>
      </c>
      <c r="Q80" s="305"/>
      <c r="R80" s="305"/>
      <c r="S80" s="305"/>
      <c r="T80" s="305"/>
      <c r="U80" s="305" t="s">
        <v>1631</v>
      </c>
      <c r="V80" s="305"/>
      <c r="W80" s="305"/>
      <c r="X80" s="305"/>
      <c r="Y80" s="305"/>
      <c r="Z80" s="305"/>
      <c r="AA80" s="305"/>
      <c r="AB80" s="305"/>
      <c r="AC80" s="305"/>
      <c r="AD80" s="305"/>
      <c r="AE80" s="766"/>
      <c r="AF80" s="960"/>
      <c r="AG80" s="305"/>
      <c r="AH80" s="305"/>
      <c r="AI80" s="305"/>
      <c r="AJ80" s="305"/>
      <c r="AK80" s="305"/>
      <c r="AL80" s="305"/>
      <c r="AM80" s="305"/>
      <c r="AN80" s="305"/>
      <c r="AO80" s="305"/>
      <c r="AP80" s="305"/>
      <c r="AQ80" s="305"/>
      <c r="AR80" s="305"/>
      <c r="AS80" s="305"/>
      <c r="AT80" s="305"/>
      <c r="AU80" s="305"/>
      <c r="AV80" s="305"/>
      <c r="AW80" s="305">
        <f t="shared" si="15"/>
        <v>1</v>
      </c>
      <c r="AX80" s="305"/>
      <c r="AY80" s="305"/>
      <c r="AZ80" s="305">
        <f t="shared" si="16"/>
        <v>2</v>
      </c>
      <c r="BA80" s="305">
        <f t="shared" si="17"/>
        <v>0</v>
      </c>
      <c r="BB80" s="305"/>
      <c r="BC80" s="305"/>
      <c r="BD80" s="305">
        <v>1</v>
      </c>
      <c r="BE80" s="305"/>
      <c r="BF80" s="305"/>
      <c r="BG80" s="305"/>
      <c r="BH80" s="305"/>
      <c r="BI80" s="305"/>
      <c r="BJ80" s="305">
        <f t="shared" si="18"/>
        <v>5</v>
      </c>
      <c r="BK80" s="305"/>
      <c r="BL80" s="305"/>
      <c r="BM80" s="305"/>
      <c r="BN80" s="305"/>
      <c r="BO80" s="305"/>
      <c r="BP80" s="305"/>
      <c r="BQ80" s="305">
        <f t="shared" si="19"/>
        <v>0</v>
      </c>
      <c r="BR80" s="305"/>
      <c r="BS80" s="305"/>
      <c r="BT80" s="305">
        <f t="shared" si="20"/>
        <v>1</v>
      </c>
      <c r="BU80" s="305"/>
      <c r="BV80" s="305"/>
      <c r="BW80" s="305"/>
      <c r="BX80" s="305"/>
      <c r="BY80" s="305"/>
      <c r="BZ80" s="305"/>
      <c r="CA80" s="305"/>
      <c r="CB80" s="305">
        <v>1</v>
      </c>
      <c r="CC80" s="305"/>
      <c r="CD80" s="305">
        <f t="shared" si="21"/>
        <v>4</v>
      </c>
      <c r="CE80" s="305"/>
      <c r="CF80" s="305"/>
      <c r="CG80" s="305"/>
      <c r="CH80" s="305"/>
      <c r="CI80" s="305"/>
      <c r="CJ80" s="305"/>
      <c r="CK80" s="305"/>
      <c r="CL80" s="305"/>
      <c r="CM80" s="305"/>
      <c r="CN80" s="305"/>
      <c r="CO80" s="305"/>
      <c r="CP80" s="305"/>
      <c r="CQ80" s="305"/>
      <c r="CR80" s="305"/>
      <c r="CS80" s="305"/>
      <c r="CT80" s="305"/>
      <c r="CU80" s="305"/>
      <c r="CV80" s="305"/>
      <c r="CW80" s="305"/>
      <c r="CX80" s="305"/>
      <c r="CY80" s="305"/>
      <c r="CZ80" s="305"/>
      <c r="DA80" s="305"/>
      <c r="DB80" s="305"/>
      <c r="DC80" s="305"/>
      <c r="DD80" s="305"/>
      <c r="DE80" s="305"/>
      <c r="DF80" s="305"/>
      <c r="DG80" s="753"/>
      <c r="DH80" s="753"/>
      <c r="DI80" s="753"/>
      <c r="DJ80" s="753"/>
      <c r="DK80" s="753"/>
      <c r="DL80" s="753"/>
      <c r="DM80" s="753"/>
      <c r="DN80" s="753"/>
      <c r="DO80" s="753"/>
      <c r="DP80" s="753"/>
      <c r="DQ80" s="753"/>
      <c r="DR80" s="753"/>
      <c r="DS80" s="305"/>
      <c r="DT80" s="305"/>
      <c r="DU80" s="305"/>
      <c r="DV80" s="305"/>
      <c r="DW80" s="305"/>
      <c r="DX80" s="305"/>
      <c r="DY80" s="305"/>
      <c r="DZ80" s="305"/>
      <c r="EA80" s="305"/>
      <c r="EB80" s="305"/>
      <c r="EC80" s="305"/>
      <c r="ED80" s="305"/>
      <c r="EE80" s="305"/>
      <c r="EF80" s="305"/>
      <c r="EG80" s="305"/>
      <c r="EH80" s="305"/>
      <c r="EI80" s="305"/>
      <c r="EJ80" s="305"/>
      <c r="EK80" s="305"/>
      <c r="EL80" s="305"/>
      <c r="EM80" s="305"/>
      <c r="EN80" s="305"/>
      <c r="EO80" s="305"/>
      <c r="EP80" s="305"/>
      <c r="EQ80" s="305"/>
      <c r="ER80" s="305"/>
      <c r="ES80" s="305"/>
      <c r="ET80" s="305"/>
      <c r="EU80" s="305"/>
      <c r="EV80" s="305"/>
      <c r="EW80" s="305"/>
      <c r="EX80" s="305"/>
      <c r="EY80" s="305"/>
      <c r="EZ80" s="305"/>
      <c r="FA80" s="305"/>
      <c r="FB80" s="305"/>
      <c r="FC80" s="305"/>
      <c r="FD80" s="305"/>
      <c r="FE80" s="305"/>
      <c r="FF80" s="305"/>
      <c r="FG80" s="305"/>
      <c r="FH80" s="305"/>
      <c r="FI80" s="305"/>
      <c r="FJ80" s="305"/>
      <c r="FK80" s="305"/>
      <c r="FL80" s="305"/>
      <c r="FM80" s="305"/>
      <c r="FN80" s="305"/>
      <c r="FO80" s="305"/>
      <c r="FP80" s="305"/>
      <c r="FQ80" s="754"/>
    </row>
    <row r="81" spans="1:173" s="755" customFormat="1">
      <c r="A81" s="752"/>
      <c r="B81" s="752"/>
      <c r="C81" s="306"/>
      <c r="D81" s="306" t="s">
        <v>2993</v>
      </c>
      <c r="E81" s="305">
        <v>40</v>
      </c>
      <c r="F81" s="305"/>
      <c r="G81" s="305"/>
      <c r="H81" s="305"/>
      <c r="I81" s="305"/>
      <c r="J81" s="305"/>
      <c r="K81" s="305"/>
      <c r="L81" s="305"/>
      <c r="M81" s="305"/>
      <c r="N81" s="305"/>
      <c r="O81" s="305"/>
      <c r="P81" s="305">
        <f t="shared" si="22"/>
        <v>40</v>
      </c>
      <c r="Q81" s="305"/>
      <c r="R81" s="305"/>
      <c r="S81" s="305"/>
      <c r="T81" s="305"/>
      <c r="U81" s="305" t="s">
        <v>1903</v>
      </c>
      <c r="V81" s="305"/>
      <c r="W81" s="305"/>
      <c r="X81" s="305"/>
      <c r="Y81" s="305"/>
      <c r="Z81" s="305"/>
      <c r="AA81" s="305"/>
      <c r="AB81" s="305"/>
      <c r="AC81" s="305"/>
      <c r="AD81" s="305"/>
      <c r="AE81" s="766"/>
      <c r="AF81" s="960"/>
      <c r="AG81" s="305"/>
      <c r="AH81" s="305"/>
      <c r="AI81" s="305"/>
      <c r="AJ81" s="305"/>
      <c r="AK81" s="305"/>
      <c r="AL81" s="305"/>
      <c r="AM81" s="305"/>
      <c r="AN81" s="305"/>
      <c r="AO81" s="305"/>
      <c r="AP81" s="305"/>
      <c r="AQ81" s="305"/>
      <c r="AR81" s="305"/>
      <c r="AS81" s="305"/>
      <c r="AT81" s="305"/>
      <c r="AU81" s="305"/>
      <c r="AV81" s="305"/>
      <c r="AW81" s="305">
        <f t="shared" si="15"/>
        <v>1</v>
      </c>
      <c r="AX81" s="305"/>
      <c r="AY81" s="305"/>
      <c r="AZ81" s="305">
        <f t="shared" si="16"/>
        <v>0</v>
      </c>
      <c r="BA81" s="305">
        <f t="shared" si="17"/>
        <v>2</v>
      </c>
      <c r="BB81" s="305"/>
      <c r="BC81" s="305"/>
      <c r="BD81" s="305"/>
      <c r="BE81" s="305">
        <v>1</v>
      </c>
      <c r="BF81" s="305"/>
      <c r="BG81" s="305"/>
      <c r="BH81" s="305"/>
      <c r="BI81" s="305"/>
      <c r="BJ81" s="305">
        <f t="shared" si="18"/>
        <v>5</v>
      </c>
      <c r="BK81" s="305"/>
      <c r="BL81" s="305"/>
      <c r="BM81" s="305"/>
      <c r="BN81" s="305"/>
      <c r="BO81" s="305"/>
      <c r="BP81" s="305"/>
      <c r="BQ81" s="305">
        <f t="shared" si="19"/>
        <v>1</v>
      </c>
      <c r="BR81" s="305"/>
      <c r="BS81" s="305"/>
      <c r="BT81" s="305">
        <f t="shared" si="20"/>
        <v>2</v>
      </c>
      <c r="BU81" s="305"/>
      <c r="BV81" s="305"/>
      <c r="BW81" s="305"/>
      <c r="BX81" s="305"/>
      <c r="BY81" s="305"/>
      <c r="BZ81" s="305"/>
      <c r="CA81" s="305"/>
      <c r="CB81" s="305">
        <v>1</v>
      </c>
      <c r="CC81" s="305"/>
      <c r="CD81" s="305">
        <f t="shared" si="21"/>
        <v>4</v>
      </c>
      <c r="CE81" s="305"/>
      <c r="CF81" s="305"/>
      <c r="CG81" s="305"/>
      <c r="CH81" s="305"/>
      <c r="CI81" s="305"/>
      <c r="CJ81" s="305"/>
      <c r="CK81" s="305"/>
      <c r="CL81" s="305"/>
      <c r="CM81" s="305"/>
      <c r="CN81" s="305"/>
      <c r="CO81" s="305"/>
      <c r="CP81" s="305"/>
      <c r="CQ81" s="305"/>
      <c r="CR81" s="305"/>
      <c r="CS81" s="305"/>
      <c r="CT81" s="305"/>
      <c r="CU81" s="305"/>
      <c r="CV81" s="305"/>
      <c r="CW81" s="305"/>
      <c r="CX81" s="305"/>
      <c r="CY81" s="305"/>
      <c r="CZ81" s="305"/>
      <c r="DA81" s="305"/>
      <c r="DB81" s="305"/>
      <c r="DC81" s="305"/>
      <c r="DD81" s="305"/>
      <c r="DE81" s="305"/>
      <c r="DF81" s="305"/>
      <c r="DG81" s="753"/>
      <c r="DH81" s="753"/>
      <c r="DI81" s="753"/>
      <c r="DJ81" s="753"/>
      <c r="DK81" s="753"/>
      <c r="DL81" s="753"/>
      <c r="DM81" s="753"/>
      <c r="DN81" s="753"/>
      <c r="DO81" s="753"/>
      <c r="DP81" s="753"/>
      <c r="DQ81" s="753"/>
      <c r="DR81" s="753"/>
      <c r="DS81" s="305"/>
      <c r="DT81" s="305"/>
      <c r="DU81" s="305"/>
      <c r="DV81" s="305"/>
      <c r="DW81" s="305"/>
      <c r="DX81" s="305"/>
      <c r="DY81" s="305"/>
      <c r="DZ81" s="305"/>
      <c r="EA81" s="305"/>
      <c r="EB81" s="305"/>
      <c r="EC81" s="305"/>
      <c r="ED81" s="305"/>
      <c r="EE81" s="305"/>
      <c r="EF81" s="305"/>
      <c r="EG81" s="305"/>
      <c r="EH81" s="305"/>
      <c r="EI81" s="305"/>
      <c r="EJ81" s="305"/>
      <c r="EK81" s="305"/>
      <c r="EL81" s="305"/>
      <c r="EM81" s="305"/>
      <c r="EN81" s="305"/>
      <c r="EO81" s="305"/>
      <c r="EP81" s="305"/>
      <c r="EQ81" s="305"/>
      <c r="ER81" s="305"/>
      <c r="ES81" s="305"/>
      <c r="ET81" s="305"/>
      <c r="EU81" s="305"/>
      <c r="EV81" s="305"/>
      <c r="EW81" s="305"/>
      <c r="EX81" s="305"/>
      <c r="EY81" s="305"/>
      <c r="EZ81" s="305"/>
      <c r="FA81" s="305"/>
      <c r="FB81" s="305"/>
      <c r="FC81" s="305"/>
      <c r="FD81" s="305"/>
      <c r="FE81" s="305"/>
      <c r="FF81" s="305"/>
      <c r="FG81" s="305"/>
      <c r="FH81" s="305"/>
      <c r="FI81" s="305"/>
      <c r="FJ81" s="305"/>
      <c r="FK81" s="305"/>
      <c r="FL81" s="305"/>
      <c r="FM81" s="305"/>
      <c r="FN81" s="305"/>
      <c r="FO81" s="305"/>
      <c r="FP81" s="305"/>
      <c r="FQ81" s="754"/>
    </row>
    <row r="82" spans="1:173" s="755" customFormat="1">
      <c r="A82" s="752"/>
      <c r="B82" s="752"/>
      <c r="C82" s="306" t="s">
        <v>3807</v>
      </c>
      <c r="D82" s="306"/>
      <c r="E82" s="305"/>
      <c r="F82" s="305"/>
      <c r="G82" s="305"/>
      <c r="H82" s="305"/>
      <c r="I82" s="305"/>
      <c r="J82" s="305"/>
      <c r="K82" s="305"/>
      <c r="L82" s="305"/>
      <c r="M82" s="305"/>
      <c r="N82" s="305"/>
      <c r="O82" s="305"/>
      <c r="P82" s="305">
        <f t="shared" si="22"/>
        <v>0</v>
      </c>
      <c r="Q82" s="305"/>
      <c r="R82" s="305"/>
      <c r="S82" s="305"/>
      <c r="T82" s="305"/>
      <c r="U82" s="305" t="s">
        <v>1631</v>
      </c>
      <c r="V82" s="305"/>
      <c r="W82" s="305"/>
      <c r="X82" s="305"/>
      <c r="Y82" s="305"/>
      <c r="Z82" s="305"/>
      <c r="AA82" s="305"/>
      <c r="AB82" s="305"/>
      <c r="AC82" s="305"/>
      <c r="AD82" s="305"/>
      <c r="AE82" s="766"/>
      <c r="AF82" s="960"/>
      <c r="AG82" s="305"/>
      <c r="AH82" s="305"/>
      <c r="AI82" s="305"/>
      <c r="AJ82" s="305"/>
      <c r="AK82" s="305"/>
      <c r="AL82" s="305"/>
      <c r="AM82" s="305"/>
      <c r="AN82" s="305"/>
      <c r="AO82" s="305"/>
      <c r="AP82" s="305"/>
      <c r="AQ82" s="305"/>
      <c r="AR82" s="305"/>
      <c r="AS82" s="305"/>
      <c r="AT82" s="305"/>
      <c r="AU82" s="305">
        <v>1</v>
      </c>
      <c r="AV82" s="305"/>
      <c r="AW82" s="305">
        <f t="shared" si="15"/>
        <v>1</v>
      </c>
      <c r="AX82" s="305"/>
      <c r="AY82" s="305"/>
      <c r="AZ82" s="305">
        <f t="shared" si="16"/>
        <v>2</v>
      </c>
      <c r="BA82" s="305">
        <f t="shared" si="17"/>
        <v>0</v>
      </c>
      <c r="BB82" s="305"/>
      <c r="BC82" s="305"/>
      <c r="BD82" s="305">
        <v>1</v>
      </c>
      <c r="BE82" s="305"/>
      <c r="BF82" s="305"/>
      <c r="BG82" s="305"/>
      <c r="BH82" s="305"/>
      <c r="BI82" s="305"/>
      <c r="BJ82" s="305">
        <f t="shared" si="18"/>
        <v>7</v>
      </c>
      <c r="BK82" s="305"/>
      <c r="BL82" s="305"/>
      <c r="BM82" s="305"/>
      <c r="BN82" s="305"/>
      <c r="BO82" s="305"/>
      <c r="BP82" s="305"/>
      <c r="BQ82" s="305">
        <f t="shared" si="19"/>
        <v>0</v>
      </c>
      <c r="BR82" s="305"/>
      <c r="BS82" s="305"/>
      <c r="BT82" s="305">
        <f t="shared" si="20"/>
        <v>1</v>
      </c>
      <c r="BU82" s="305"/>
      <c r="BV82" s="305"/>
      <c r="BW82" s="305"/>
      <c r="BX82" s="305"/>
      <c r="BY82" s="305"/>
      <c r="BZ82" s="305"/>
      <c r="CA82" s="305"/>
      <c r="CB82" s="305">
        <v>1</v>
      </c>
      <c r="CC82" s="305"/>
      <c r="CD82" s="305">
        <f t="shared" si="21"/>
        <v>4</v>
      </c>
      <c r="CE82" s="305"/>
      <c r="CF82" s="305"/>
      <c r="CG82" s="305"/>
      <c r="CH82" s="305"/>
      <c r="CI82" s="305"/>
      <c r="CJ82" s="305"/>
      <c r="CK82" s="305"/>
      <c r="CL82" s="305"/>
      <c r="CM82" s="305"/>
      <c r="CN82" s="305"/>
      <c r="CO82" s="305"/>
      <c r="CP82" s="305"/>
      <c r="CQ82" s="305"/>
      <c r="CR82" s="305"/>
      <c r="CS82" s="305"/>
      <c r="CT82" s="305"/>
      <c r="CU82" s="305"/>
      <c r="CV82" s="305"/>
      <c r="CW82" s="305"/>
      <c r="CX82" s="305"/>
      <c r="CY82" s="305"/>
      <c r="CZ82" s="305"/>
      <c r="DA82" s="305"/>
      <c r="DB82" s="305"/>
      <c r="DC82" s="305"/>
      <c r="DD82" s="305"/>
      <c r="DE82" s="305"/>
      <c r="DF82" s="305"/>
      <c r="DG82" s="753"/>
      <c r="DH82" s="753"/>
      <c r="DI82" s="753"/>
      <c r="DJ82" s="753"/>
      <c r="DK82" s="753"/>
      <c r="DL82" s="753"/>
      <c r="DM82" s="753"/>
      <c r="DN82" s="753"/>
      <c r="DO82" s="753"/>
      <c r="DP82" s="753"/>
      <c r="DQ82" s="753"/>
      <c r="DR82" s="753"/>
      <c r="DS82" s="305"/>
      <c r="DT82" s="305"/>
      <c r="DU82" s="305"/>
      <c r="DV82" s="305"/>
      <c r="DW82" s="305"/>
      <c r="DX82" s="305"/>
      <c r="DY82" s="305"/>
      <c r="DZ82" s="305"/>
      <c r="EA82" s="305"/>
      <c r="EB82" s="305"/>
      <c r="EC82" s="305"/>
      <c r="ED82" s="305"/>
      <c r="EE82" s="305"/>
      <c r="EF82" s="305"/>
      <c r="EG82" s="305"/>
      <c r="EH82" s="305"/>
      <c r="EI82" s="305"/>
      <c r="EJ82" s="305"/>
      <c r="EK82" s="305"/>
      <c r="EL82" s="305"/>
      <c r="EM82" s="305"/>
      <c r="EN82" s="305"/>
      <c r="EO82" s="305"/>
      <c r="EP82" s="305"/>
      <c r="EQ82" s="305"/>
      <c r="ER82" s="305"/>
      <c r="ES82" s="305"/>
      <c r="ET82" s="305"/>
      <c r="EU82" s="305"/>
      <c r="EV82" s="305"/>
      <c r="EW82" s="305"/>
      <c r="EX82" s="305"/>
      <c r="EY82" s="305"/>
      <c r="EZ82" s="305"/>
      <c r="FA82" s="305"/>
      <c r="FB82" s="305"/>
      <c r="FC82" s="305"/>
      <c r="FD82" s="305"/>
      <c r="FE82" s="305"/>
      <c r="FF82" s="305"/>
      <c r="FG82" s="305"/>
      <c r="FH82" s="305"/>
      <c r="FI82" s="305"/>
      <c r="FJ82" s="305"/>
      <c r="FK82" s="305"/>
      <c r="FL82" s="305"/>
      <c r="FM82" s="305"/>
      <c r="FN82" s="305"/>
      <c r="FO82" s="305"/>
      <c r="FP82" s="305"/>
      <c r="FQ82" s="754"/>
    </row>
    <row r="83" spans="1:173" s="755" customFormat="1">
      <c r="A83" s="752"/>
      <c r="B83" s="752"/>
      <c r="C83" s="306"/>
      <c r="D83" s="306" t="s">
        <v>2994</v>
      </c>
      <c r="E83" s="305">
        <v>40</v>
      </c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>
        <f t="shared" si="22"/>
        <v>40</v>
      </c>
      <c r="Q83" s="305"/>
      <c r="R83" s="305"/>
      <c r="S83" s="305"/>
      <c r="T83" s="305"/>
      <c r="U83" s="305" t="s">
        <v>1631</v>
      </c>
      <c r="V83" s="305"/>
      <c r="W83" s="305"/>
      <c r="X83" s="305"/>
      <c r="Y83" s="305"/>
      <c r="Z83" s="305"/>
      <c r="AA83" s="305"/>
      <c r="AB83" s="305"/>
      <c r="AC83" s="305"/>
      <c r="AD83" s="305"/>
      <c r="AE83" s="766"/>
      <c r="AF83" s="960"/>
      <c r="AG83" s="305"/>
      <c r="AH83" s="305"/>
      <c r="AI83" s="305"/>
      <c r="AJ83" s="305"/>
      <c r="AK83" s="305"/>
      <c r="AL83" s="305"/>
      <c r="AM83" s="305"/>
      <c r="AN83" s="305"/>
      <c r="AO83" s="305"/>
      <c r="AP83" s="305"/>
      <c r="AQ83" s="305"/>
      <c r="AR83" s="305"/>
      <c r="AS83" s="305"/>
      <c r="AT83" s="305"/>
      <c r="AU83" s="305"/>
      <c r="AV83" s="305"/>
      <c r="AW83" s="305">
        <f t="shared" si="15"/>
        <v>1</v>
      </c>
      <c r="AX83" s="305"/>
      <c r="AY83" s="305"/>
      <c r="AZ83" s="305">
        <f t="shared" si="16"/>
        <v>0</v>
      </c>
      <c r="BA83" s="305">
        <f t="shared" si="17"/>
        <v>2</v>
      </c>
      <c r="BB83" s="305"/>
      <c r="BC83" s="305"/>
      <c r="BD83" s="305"/>
      <c r="BE83" s="305">
        <v>1</v>
      </c>
      <c r="BF83" s="305"/>
      <c r="BG83" s="305"/>
      <c r="BH83" s="305"/>
      <c r="BI83" s="305"/>
      <c r="BJ83" s="305">
        <f t="shared" si="18"/>
        <v>5</v>
      </c>
      <c r="BK83" s="305"/>
      <c r="BL83" s="305"/>
      <c r="BM83" s="305"/>
      <c r="BN83" s="305"/>
      <c r="BO83" s="305"/>
      <c r="BP83" s="305"/>
      <c r="BQ83" s="305">
        <f t="shared" si="19"/>
        <v>0</v>
      </c>
      <c r="BR83" s="305"/>
      <c r="BS83" s="305"/>
      <c r="BT83" s="305">
        <f t="shared" si="20"/>
        <v>1</v>
      </c>
      <c r="BU83" s="305"/>
      <c r="BV83" s="305"/>
      <c r="BW83" s="305"/>
      <c r="BX83" s="305"/>
      <c r="BY83" s="305"/>
      <c r="BZ83" s="305"/>
      <c r="CA83" s="305"/>
      <c r="CB83" s="305">
        <v>1</v>
      </c>
      <c r="CC83" s="305"/>
      <c r="CD83" s="305">
        <f t="shared" si="21"/>
        <v>4</v>
      </c>
      <c r="CE83" s="305"/>
      <c r="CF83" s="305"/>
      <c r="CG83" s="305"/>
      <c r="CH83" s="305"/>
      <c r="CI83" s="305"/>
      <c r="CJ83" s="305"/>
      <c r="CK83" s="305"/>
      <c r="CL83" s="305"/>
      <c r="CM83" s="305"/>
      <c r="CN83" s="305"/>
      <c r="CO83" s="305"/>
      <c r="CP83" s="305"/>
      <c r="CQ83" s="305"/>
      <c r="CR83" s="305"/>
      <c r="CS83" s="305"/>
      <c r="CT83" s="305"/>
      <c r="CU83" s="305"/>
      <c r="CV83" s="305"/>
      <c r="CW83" s="305"/>
      <c r="CX83" s="305"/>
      <c r="CY83" s="305"/>
      <c r="CZ83" s="305"/>
      <c r="DA83" s="305"/>
      <c r="DB83" s="305"/>
      <c r="DC83" s="305"/>
      <c r="DD83" s="305"/>
      <c r="DE83" s="305"/>
      <c r="DF83" s="305"/>
      <c r="DG83" s="753"/>
      <c r="DH83" s="753"/>
      <c r="DI83" s="753"/>
      <c r="DJ83" s="753"/>
      <c r="DK83" s="753"/>
      <c r="DL83" s="753"/>
      <c r="DM83" s="753"/>
      <c r="DN83" s="753"/>
      <c r="DO83" s="753"/>
      <c r="DP83" s="753"/>
      <c r="DQ83" s="753"/>
      <c r="DR83" s="753"/>
      <c r="DS83" s="305"/>
      <c r="DT83" s="305"/>
      <c r="DU83" s="305"/>
      <c r="DV83" s="305"/>
      <c r="DW83" s="305"/>
      <c r="DX83" s="305"/>
      <c r="DY83" s="305"/>
      <c r="DZ83" s="305"/>
      <c r="EA83" s="305"/>
      <c r="EB83" s="305"/>
      <c r="EC83" s="305"/>
      <c r="ED83" s="305"/>
      <c r="EE83" s="305"/>
      <c r="EF83" s="305"/>
      <c r="EG83" s="305"/>
      <c r="EH83" s="305"/>
      <c r="EI83" s="305"/>
      <c r="EJ83" s="305"/>
      <c r="EK83" s="305"/>
      <c r="EL83" s="305"/>
      <c r="EM83" s="305"/>
      <c r="EN83" s="305"/>
      <c r="EO83" s="305"/>
      <c r="EP83" s="305"/>
      <c r="EQ83" s="305"/>
      <c r="ER83" s="305"/>
      <c r="ES83" s="305"/>
      <c r="ET83" s="305"/>
      <c r="EU83" s="305"/>
      <c r="EV83" s="305"/>
      <c r="EW83" s="305"/>
      <c r="EX83" s="305"/>
      <c r="EY83" s="305"/>
      <c r="EZ83" s="305"/>
      <c r="FA83" s="305"/>
      <c r="FB83" s="305"/>
      <c r="FC83" s="305"/>
      <c r="FD83" s="305"/>
      <c r="FE83" s="305"/>
      <c r="FF83" s="305"/>
      <c r="FG83" s="305"/>
      <c r="FH83" s="305"/>
      <c r="FI83" s="305"/>
      <c r="FJ83" s="305"/>
      <c r="FK83" s="305"/>
      <c r="FL83" s="305"/>
      <c r="FM83" s="305"/>
      <c r="FN83" s="305"/>
      <c r="FO83" s="305"/>
      <c r="FP83" s="305"/>
      <c r="FQ83" s="754"/>
    </row>
    <row r="84" spans="1:173" s="755" customFormat="1">
      <c r="A84" s="752"/>
      <c r="B84" s="752"/>
      <c r="C84" s="306" t="s">
        <v>3808</v>
      </c>
      <c r="D84" s="306"/>
      <c r="E84" s="305"/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>
        <f t="shared" si="22"/>
        <v>0</v>
      </c>
      <c r="Q84" s="305"/>
      <c r="R84" s="305"/>
      <c r="S84" s="305"/>
      <c r="T84" s="305"/>
      <c r="U84" s="305" t="s">
        <v>1631</v>
      </c>
      <c r="V84" s="305"/>
      <c r="W84" s="305"/>
      <c r="X84" s="305"/>
      <c r="Y84" s="305"/>
      <c r="Z84" s="305"/>
      <c r="AA84" s="305"/>
      <c r="AB84" s="305"/>
      <c r="AC84" s="305"/>
      <c r="AD84" s="305"/>
      <c r="AE84" s="766"/>
      <c r="AF84" s="960"/>
      <c r="AG84" s="305"/>
      <c r="AH84" s="305"/>
      <c r="AI84" s="305"/>
      <c r="AJ84" s="305"/>
      <c r="AK84" s="305"/>
      <c r="AL84" s="305"/>
      <c r="AM84" s="305"/>
      <c r="AN84" s="305"/>
      <c r="AO84" s="305"/>
      <c r="AP84" s="305"/>
      <c r="AQ84" s="305"/>
      <c r="AR84" s="305"/>
      <c r="AS84" s="305"/>
      <c r="AT84" s="305"/>
      <c r="AU84" s="305"/>
      <c r="AV84" s="305"/>
      <c r="AW84" s="305">
        <f t="shared" si="15"/>
        <v>1</v>
      </c>
      <c r="AX84" s="305"/>
      <c r="AY84" s="305"/>
      <c r="AZ84" s="305">
        <f t="shared" si="16"/>
        <v>2</v>
      </c>
      <c r="BA84" s="305">
        <f t="shared" si="17"/>
        <v>0</v>
      </c>
      <c r="BB84" s="305"/>
      <c r="BC84" s="305"/>
      <c r="BD84" s="305">
        <v>1</v>
      </c>
      <c r="BE84" s="305"/>
      <c r="BF84" s="305"/>
      <c r="BG84" s="305"/>
      <c r="BH84" s="305"/>
      <c r="BI84" s="305"/>
      <c r="BJ84" s="305">
        <f t="shared" si="18"/>
        <v>5</v>
      </c>
      <c r="BK84" s="305"/>
      <c r="BL84" s="305"/>
      <c r="BM84" s="305"/>
      <c r="BN84" s="305"/>
      <c r="BO84" s="305"/>
      <c r="BP84" s="305"/>
      <c r="BQ84" s="305">
        <f t="shared" si="19"/>
        <v>0</v>
      </c>
      <c r="BR84" s="305"/>
      <c r="BS84" s="305"/>
      <c r="BT84" s="305">
        <f t="shared" si="20"/>
        <v>1</v>
      </c>
      <c r="BU84" s="305"/>
      <c r="BV84" s="305"/>
      <c r="BW84" s="305"/>
      <c r="BX84" s="305"/>
      <c r="BY84" s="305"/>
      <c r="BZ84" s="305"/>
      <c r="CA84" s="305"/>
      <c r="CB84" s="305">
        <v>1</v>
      </c>
      <c r="CC84" s="305"/>
      <c r="CD84" s="305">
        <f t="shared" si="21"/>
        <v>4</v>
      </c>
      <c r="CE84" s="305"/>
      <c r="CF84" s="305"/>
      <c r="CG84" s="305"/>
      <c r="CH84" s="305"/>
      <c r="CI84" s="305"/>
      <c r="CJ84" s="305"/>
      <c r="CK84" s="305"/>
      <c r="CL84" s="305"/>
      <c r="CM84" s="305"/>
      <c r="CN84" s="305"/>
      <c r="CO84" s="305"/>
      <c r="CP84" s="305"/>
      <c r="CQ84" s="305"/>
      <c r="CR84" s="305"/>
      <c r="CS84" s="305"/>
      <c r="CT84" s="305"/>
      <c r="CU84" s="305"/>
      <c r="CV84" s="305"/>
      <c r="CW84" s="305"/>
      <c r="CX84" s="305"/>
      <c r="CY84" s="305"/>
      <c r="CZ84" s="305"/>
      <c r="DA84" s="305"/>
      <c r="DB84" s="305"/>
      <c r="DC84" s="305"/>
      <c r="DD84" s="305"/>
      <c r="DE84" s="305"/>
      <c r="DF84" s="305"/>
      <c r="DG84" s="753"/>
      <c r="DH84" s="753"/>
      <c r="DI84" s="753"/>
      <c r="DJ84" s="753"/>
      <c r="DK84" s="753"/>
      <c r="DL84" s="753"/>
      <c r="DM84" s="753"/>
      <c r="DN84" s="753"/>
      <c r="DO84" s="753"/>
      <c r="DP84" s="753"/>
      <c r="DQ84" s="753"/>
      <c r="DR84" s="753"/>
      <c r="DS84" s="305"/>
      <c r="DT84" s="305"/>
      <c r="DU84" s="305"/>
      <c r="DV84" s="305"/>
      <c r="DW84" s="305"/>
      <c r="DX84" s="305"/>
      <c r="DY84" s="305"/>
      <c r="DZ84" s="305"/>
      <c r="EA84" s="305"/>
      <c r="EB84" s="305"/>
      <c r="EC84" s="305"/>
      <c r="ED84" s="305"/>
      <c r="EE84" s="305"/>
      <c r="EF84" s="305"/>
      <c r="EG84" s="305"/>
      <c r="EH84" s="305"/>
      <c r="EI84" s="305"/>
      <c r="EJ84" s="305"/>
      <c r="EK84" s="305"/>
      <c r="EL84" s="305"/>
      <c r="EM84" s="305"/>
      <c r="EN84" s="305"/>
      <c r="EO84" s="305"/>
      <c r="EP84" s="305"/>
      <c r="EQ84" s="305"/>
      <c r="ER84" s="305"/>
      <c r="ES84" s="305"/>
      <c r="ET84" s="305"/>
      <c r="EU84" s="305"/>
      <c r="EV84" s="305"/>
      <c r="EW84" s="305"/>
      <c r="EX84" s="305"/>
      <c r="EY84" s="305"/>
      <c r="EZ84" s="305"/>
      <c r="FA84" s="305"/>
      <c r="FB84" s="305"/>
      <c r="FC84" s="305"/>
      <c r="FD84" s="305"/>
      <c r="FE84" s="305"/>
      <c r="FF84" s="305"/>
      <c r="FG84" s="305"/>
      <c r="FH84" s="305"/>
      <c r="FI84" s="305"/>
      <c r="FJ84" s="305"/>
      <c r="FK84" s="305"/>
      <c r="FL84" s="305"/>
      <c r="FM84" s="305"/>
      <c r="FN84" s="305"/>
      <c r="FO84" s="305"/>
      <c r="FP84" s="305"/>
      <c r="FQ84" s="754"/>
    </row>
    <row r="85" spans="1:173" s="755" customFormat="1">
      <c r="A85" s="752"/>
      <c r="B85" s="752"/>
      <c r="C85" s="306"/>
      <c r="D85" s="306" t="s">
        <v>2995</v>
      </c>
      <c r="E85" s="305">
        <v>40</v>
      </c>
      <c r="F85" s="305"/>
      <c r="G85" s="305"/>
      <c r="H85" s="305"/>
      <c r="I85" s="305"/>
      <c r="J85" s="305"/>
      <c r="K85" s="305"/>
      <c r="L85" s="305"/>
      <c r="M85" s="305"/>
      <c r="N85" s="305"/>
      <c r="O85" s="305"/>
      <c r="P85" s="305">
        <f t="shared" si="22"/>
        <v>40</v>
      </c>
      <c r="Q85" s="305"/>
      <c r="R85" s="305"/>
      <c r="S85" s="305"/>
      <c r="T85" s="305"/>
      <c r="U85" s="305" t="s">
        <v>1631</v>
      </c>
      <c r="V85" s="305"/>
      <c r="W85" s="305"/>
      <c r="X85" s="305"/>
      <c r="Y85" s="305"/>
      <c r="Z85" s="305"/>
      <c r="AA85" s="305"/>
      <c r="AB85" s="305"/>
      <c r="AC85" s="305"/>
      <c r="AD85" s="305"/>
      <c r="AE85" s="766"/>
      <c r="AF85" s="960"/>
      <c r="AG85" s="305"/>
      <c r="AH85" s="305"/>
      <c r="AI85" s="305"/>
      <c r="AJ85" s="305"/>
      <c r="AK85" s="305"/>
      <c r="AL85" s="305"/>
      <c r="AM85" s="305"/>
      <c r="AN85" s="305"/>
      <c r="AO85" s="305"/>
      <c r="AP85" s="305"/>
      <c r="AQ85" s="305"/>
      <c r="AR85" s="305"/>
      <c r="AS85" s="305"/>
      <c r="AT85" s="305"/>
      <c r="AU85" s="305"/>
      <c r="AV85" s="305"/>
      <c r="AW85" s="305">
        <f t="shared" si="15"/>
        <v>1</v>
      </c>
      <c r="AX85" s="305"/>
      <c r="AY85" s="305"/>
      <c r="AZ85" s="305">
        <f t="shared" si="16"/>
        <v>0</v>
      </c>
      <c r="BA85" s="305">
        <f t="shared" si="17"/>
        <v>2</v>
      </c>
      <c r="BB85" s="305"/>
      <c r="BC85" s="305"/>
      <c r="BD85" s="305"/>
      <c r="BE85" s="305">
        <v>1</v>
      </c>
      <c r="BF85" s="305"/>
      <c r="BG85" s="305"/>
      <c r="BH85" s="305"/>
      <c r="BI85" s="305"/>
      <c r="BJ85" s="305">
        <f t="shared" si="18"/>
        <v>5</v>
      </c>
      <c r="BK85" s="305"/>
      <c r="BL85" s="305"/>
      <c r="BM85" s="305"/>
      <c r="BN85" s="305"/>
      <c r="BO85" s="305"/>
      <c r="BP85" s="305"/>
      <c r="BQ85" s="305">
        <f t="shared" si="19"/>
        <v>0</v>
      </c>
      <c r="BR85" s="305"/>
      <c r="BS85" s="305"/>
      <c r="BT85" s="305">
        <f t="shared" si="20"/>
        <v>1</v>
      </c>
      <c r="BU85" s="305"/>
      <c r="BV85" s="305"/>
      <c r="BW85" s="305"/>
      <c r="BX85" s="305"/>
      <c r="BY85" s="305"/>
      <c r="BZ85" s="305"/>
      <c r="CA85" s="305"/>
      <c r="CB85" s="305">
        <v>1</v>
      </c>
      <c r="CC85" s="305"/>
      <c r="CD85" s="305">
        <f t="shared" si="21"/>
        <v>4</v>
      </c>
      <c r="CE85" s="305"/>
      <c r="CF85" s="305"/>
      <c r="CG85" s="305"/>
      <c r="CH85" s="305"/>
      <c r="CI85" s="305"/>
      <c r="CJ85" s="305"/>
      <c r="CK85" s="305"/>
      <c r="CL85" s="305"/>
      <c r="CM85" s="305"/>
      <c r="CN85" s="305"/>
      <c r="CO85" s="305"/>
      <c r="CP85" s="305"/>
      <c r="CQ85" s="305"/>
      <c r="CR85" s="305"/>
      <c r="CS85" s="305"/>
      <c r="CT85" s="305"/>
      <c r="CU85" s="305"/>
      <c r="CV85" s="305"/>
      <c r="CW85" s="305"/>
      <c r="CX85" s="305"/>
      <c r="CY85" s="305"/>
      <c r="CZ85" s="305"/>
      <c r="DA85" s="305"/>
      <c r="DB85" s="305"/>
      <c r="DC85" s="305"/>
      <c r="DD85" s="305"/>
      <c r="DE85" s="305"/>
      <c r="DF85" s="305"/>
      <c r="DG85" s="753"/>
      <c r="DH85" s="753"/>
      <c r="DI85" s="753"/>
      <c r="DJ85" s="753"/>
      <c r="DK85" s="753"/>
      <c r="DL85" s="753"/>
      <c r="DM85" s="753"/>
      <c r="DN85" s="753"/>
      <c r="DO85" s="753"/>
      <c r="DP85" s="753"/>
      <c r="DQ85" s="753"/>
      <c r="DR85" s="753"/>
      <c r="DS85" s="305"/>
      <c r="DT85" s="305"/>
      <c r="DU85" s="305"/>
      <c r="DV85" s="305"/>
      <c r="DW85" s="305"/>
      <c r="DX85" s="305"/>
      <c r="DY85" s="305"/>
      <c r="DZ85" s="305"/>
      <c r="EA85" s="305"/>
      <c r="EB85" s="305"/>
      <c r="EC85" s="305"/>
      <c r="ED85" s="305"/>
      <c r="EE85" s="305"/>
      <c r="EF85" s="305"/>
      <c r="EG85" s="305"/>
      <c r="EH85" s="305"/>
      <c r="EI85" s="305"/>
      <c r="EJ85" s="305"/>
      <c r="EK85" s="305"/>
      <c r="EL85" s="305"/>
      <c r="EM85" s="305"/>
      <c r="EN85" s="305"/>
      <c r="EO85" s="305"/>
      <c r="EP85" s="305"/>
      <c r="EQ85" s="305"/>
      <c r="ER85" s="305"/>
      <c r="ES85" s="305"/>
      <c r="ET85" s="305"/>
      <c r="EU85" s="305"/>
      <c r="EV85" s="305"/>
      <c r="EW85" s="305"/>
      <c r="EX85" s="305"/>
      <c r="EY85" s="305"/>
      <c r="EZ85" s="305"/>
      <c r="FA85" s="305"/>
      <c r="FB85" s="305"/>
      <c r="FC85" s="305"/>
      <c r="FD85" s="305"/>
      <c r="FE85" s="305"/>
      <c r="FF85" s="305"/>
      <c r="FG85" s="305"/>
      <c r="FH85" s="305"/>
      <c r="FI85" s="305"/>
      <c r="FJ85" s="305"/>
      <c r="FK85" s="305"/>
      <c r="FL85" s="305"/>
      <c r="FM85" s="305"/>
      <c r="FN85" s="305"/>
      <c r="FO85" s="305"/>
      <c r="FP85" s="305"/>
      <c r="FQ85" s="754"/>
    </row>
    <row r="86" spans="1:173" s="755" customFormat="1">
      <c r="A86" s="752"/>
      <c r="B86" s="752"/>
      <c r="C86" s="306" t="s">
        <v>3866</v>
      </c>
      <c r="D86" s="306"/>
      <c r="E86" s="305"/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>
        <f t="shared" si="22"/>
        <v>0</v>
      </c>
      <c r="Q86" s="305"/>
      <c r="R86" s="305"/>
      <c r="S86" s="305"/>
      <c r="T86" s="305"/>
      <c r="U86" s="305" t="s">
        <v>1631</v>
      </c>
      <c r="V86" s="305"/>
      <c r="W86" s="305"/>
      <c r="X86" s="305"/>
      <c r="Y86" s="305"/>
      <c r="Z86" s="305"/>
      <c r="AA86" s="305"/>
      <c r="AB86" s="305"/>
      <c r="AC86" s="305"/>
      <c r="AD86" s="305"/>
      <c r="AE86" s="766"/>
      <c r="AF86" s="960"/>
      <c r="AG86" s="305"/>
      <c r="AH86" s="305"/>
      <c r="AI86" s="305"/>
      <c r="AJ86" s="305"/>
      <c r="AK86" s="305"/>
      <c r="AL86" s="305"/>
      <c r="AM86" s="305"/>
      <c r="AN86" s="305"/>
      <c r="AO86" s="305"/>
      <c r="AP86" s="305"/>
      <c r="AQ86" s="305"/>
      <c r="AR86" s="305"/>
      <c r="AS86" s="305"/>
      <c r="AT86" s="305"/>
      <c r="AU86" s="305"/>
      <c r="AV86" s="305"/>
      <c r="AW86" s="305">
        <f t="shared" si="15"/>
        <v>1</v>
      </c>
      <c r="AX86" s="305"/>
      <c r="AY86" s="305"/>
      <c r="AZ86" s="305">
        <f t="shared" si="16"/>
        <v>2</v>
      </c>
      <c r="BA86" s="305">
        <f t="shared" si="17"/>
        <v>0</v>
      </c>
      <c r="BB86" s="305"/>
      <c r="BC86" s="305"/>
      <c r="BD86" s="305">
        <v>1</v>
      </c>
      <c r="BE86" s="305"/>
      <c r="BF86" s="305"/>
      <c r="BG86" s="305"/>
      <c r="BH86" s="305"/>
      <c r="BI86" s="305"/>
      <c r="BJ86" s="305">
        <f t="shared" si="18"/>
        <v>5</v>
      </c>
      <c r="BK86" s="305"/>
      <c r="BL86" s="305"/>
      <c r="BM86" s="305"/>
      <c r="BN86" s="305"/>
      <c r="BO86" s="305"/>
      <c r="BP86" s="305"/>
      <c r="BQ86" s="305">
        <f t="shared" si="19"/>
        <v>0</v>
      </c>
      <c r="BR86" s="305"/>
      <c r="BS86" s="305"/>
      <c r="BT86" s="305">
        <f t="shared" si="20"/>
        <v>1</v>
      </c>
      <c r="BU86" s="305"/>
      <c r="BV86" s="305"/>
      <c r="BW86" s="305"/>
      <c r="BX86" s="305"/>
      <c r="BY86" s="305"/>
      <c r="BZ86" s="305"/>
      <c r="CA86" s="305"/>
      <c r="CB86" s="305">
        <v>1</v>
      </c>
      <c r="CC86" s="305"/>
      <c r="CD86" s="305">
        <f t="shared" si="21"/>
        <v>4</v>
      </c>
      <c r="CE86" s="305"/>
      <c r="CF86" s="305"/>
      <c r="CG86" s="305"/>
      <c r="CH86" s="305"/>
      <c r="CI86" s="305"/>
      <c r="CJ86" s="305"/>
      <c r="CK86" s="305"/>
      <c r="CL86" s="305"/>
      <c r="CM86" s="305"/>
      <c r="CN86" s="305"/>
      <c r="CO86" s="305"/>
      <c r="CP86" s="305"/>
      <c r="CQ86" s="305"/>
      <c r="CR86" s="305"/>
      <c r="CS86" s="305"/>
      <c r="CT86" s="305"/>
      <c r="CU86" s="305"/>
      <c r="CV86" s="305"/>
      <c r="CW86" s="305"/>
      <c r="CX86" s="305"/>
      <c r="CY86" s="305"/>
      <c r="CZ86" s="305"/>
      <c r="DA86" s="305"/>
      <c r="DB86" s="305"/>
      <c r="DC86" s="305"/>
      <c r="DD86" s="305"/>
      <c r="DE86" s="305"/>
      <c r="DF86" s="305"/>
      <c r="DG86" s="753"/>
      <c r="DH86" s="753"/>
      <c r="DI86" s="753"/>
      <c r="DJ86" s="753"/>
      <c r="DK86" s="753"/>
      <c r="DL86" s="753"/>
      <c r="DM86" s="753"/>
      <c r="DN86" s="753"/>
      <c r="DO86" s="753"/>
      <c r="DP86" s="753"/>
      <c r="DQ86" s="753"/>
      <c r="DR86" s="753"/>
      <c r="DS86" s="305"/>
      <c r="DT86" s="305"/>
      <c r="DU86" s="305"/>
      <c r="DV86" s="305"/>
      <c r="DW86" s="305"/>
      <c r="DX86" s="305"/>
      <c r="DY86" s="305"/>
      <c r="DZ86" s="305"/>
      <c r="EA86" s="305"/>
      <c r="EB86" s="305"/>
      <c r="EC86" s="305"/>
      <c r="ED86" s="305"/>
      <c r="EE86" s="305"/>
      <c r="EF86" s="305"/>
      <c r="EG86" s="305"/>
      <c r="EH86" s="305"/>
      <c r="EI86" s="305"/>
      <c r="EJ86" s="305"/>
      <c r="EK86" s="305"/>
      <c r="EL86" s="305"/>
      <c r="EM86" s="305"/>
      <c r="EN86" s="305"/>
      <c r="EO86" s="305"/>
      <c r="EP86" s="305"/>
      <c r="EQ86" s="305"/>
      <c r="ER86" s="305"/>
      <c r="ES86" s="305"/>
      <c r="ET86" s="305"/>
      <c r="EU86" s="305"/>
      <c r="EV86" s="305"/>
      <c r="EW86" s="305"/>
      <c r="EX86" s="305"/>
      <c r="EY86" s="305"/>
      <c r="EZ86" s="305"/>
      <c r="FA86" s="305"/>
      <c r="FB86" s="305"/>
      <c r="FC86" s="305"/>
      <c r="FD86" s="305"/>
      <c r="FE86" s="305"/>
      <c r="FF86" s="305"/>
      <c r="FG86" s="305"/>
      <c r="FH86" s="305"/>
      <c r="FI86" s="305"/>
      <c r="FJ86" s="305"/>
      <c r="FK86" s="305"/>
      <c r="FL86" s="305"/>
      <c r="FM86" s="305"/>
      <c r="FN86" s="305"/>
      <c r="FO86" s="305"/>
      <c r="FP86" s="305"/>
      <c r="FQ86" s="754"/>
    </row>
    <row r="87" spans="1:173" s="755" customFormat="1">
      <c r="A87" s="752"/>
      <c r="B87" s="752"/>
      <c r="C87" s="306"/>
      <c r="D87" s="306" t="s">
        <v>2996</v>
      </c>
      <c r="E87" s="305">
        <v>40</v>
      </c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>
        <f t="shared" si="22"/>
        <v>40</v>
      </c>
      <c r="Q87" s="305"/>
      <c r="R87" s="305"/>
      <c r="S87" s="305"/>
      <c r="T87" s="305"/>
      <c r="U87" s="305" t="s">
        <v>1631</v>
      </c>
      <c r="V87" s="305"/>
      <c r="W87" s="305"/>
      <c r="X87" s="305"/>
      <c r="Y87" s="305"/>
      <c r="Z87" s="305"/>
      <c r="AA87" s="305"/>
      <c r="AB87" s="305"/>
      <c r="AC87" s="305"/>
      <c r="AD87" s="305"/>
      <c r="AE87" s="766"/>
      <c r="AF87" s="960"/>
      <c r="AG87" s="305"/>
      <c r="AH87" s="305"/>
      <c r="AI87" s="305"/>
      <c r="AJ87" s="305"/>
      <c r="AK87" s="305"/>
      <c r="AL87" s="305"/>
      <c r="AM87" s="305"/>
      <c r="AN87" s="305"/>
      <c r="AO87" s="305"/>
      <c r="AP87" s="305"/>
      <c r="AQ87" s="305"/>
      <c r="AR87" s="305"/>
      <c r="AS87" s="305"/>
      <c r="AT87" s="305"/>
      <c r="AU87" s="305"/>
      <c r="AV87" s="305"/>
      <c r="AW87" s="305">
        <f t="shared" si="15"/>
        <v>1</v>
      </c>
      <c r="AX87" s="305"/>
      <c r="AY87" s="305"/>
      <c r="AZ87" s="305">
        <f t="shared" si="16"/>
        <v>0</v>
      </c>
      <c r="BA87" s="305">
        <f t="shared" si="17"/>
        <v>2</v>
      </c>
      <c r="BB87" s="305"/>
      <c r="BC87" s="305"/>
      <c r="BD87" s="305"/>
      <c r="BE87" s="305">
        <v>1</v>
      </c>
      <c r="BF87" s="305"/>
      <c r="BG87" s="305"/>
      <c r="BH87" s="305"/>
      <c r="BI87" s="305"/>
      <c r="BJ87" s="305">
        <f t="shared" si="18"/>
        <v>5</v>
      </c>
      <c r="BK87" s="305"/>
      <c r="BL87" s="305"/>
      <c r="BM87" s="305"/>
      <c r="BN87" s="305"/>
      <c r="BO87" s="305"/>
      <c r="BP87" s="305"/>
      <c r="BQ87" s="305">
        <f t="shared" si="19"/>
        <v>0</v>
      </c>
      <c r="BR87" s="305"/>
      <c r="BS87" s="305"/>
      <c r="BT87" s="305">
        <f t="shared" si="20"/>
        <v>1</v>
      </c>
      <c r="BU87" s="305"/>
      <c r="BV87" s="305"/>
      <c r="BW87" s="305"/>
      <c r="BX87" s="305"/>
      <c r="BY87" s="305"/>
      <c r="BZ87" s="305"/>
      <c r="CA87" s="305"/>
      <c r="CB87" s="305">
        <v>1</v>
      </c>
      <c r="CC87" s="305"/>
      <c r="CD87" s="305">
        <f t="shared" si="21"/>
        <v>4</v>
      </c>
      <c r="CE87" s="305"/>
      <c r="CF87" s="305"/>
      <c r="CG87" s="305"/>
      <c r="CH87" s="305"/>
      <c r="CI87" s="305"/>
      <c r="CJ87" s="305"/>
      <c r="CK87" s="305"/>
      <c r="CL87" s="305"/>
      <c r="CM87" s="305"/>
      <c r="CN87" s="305"/>
      <c r="CO87" s="305"/>
      <c r="CP87" s="305"/>
      <c r="CQ87" s="305"/>
      <c r="CR87" s="305"/>
      <c r="CS87" s="305"/>
      <c r="CT87" s="305"/>
      <c r="CU87" s="305"/>
      <c r="CV87" s="305"/>
      <c r="CW87" s="305"/>
      <c r="CX87" s="305"/>
      <c r="CY87" s="305"/>
      <c r="CZ87" s="305"/>
      <c r="DA87" s="305"/>
      <c r="DB87" s="305"/>
      <c r="DC87" s="305"/>
      <c r="DD87" s="305"/>
      <c r="DE87" s="305"/>
      <c r="DF87" s="305"/>
      <c r="DG87" s="753"/>
      <c r="DH87" s="753"/>
      <c r="DI87" s="753"/>
      <c r="DJ87" s="753"/>
      <c r="DK87" s="753"/>
      <c r="DL87" s="753"/>
      <c r="DM87" s="753"/>
      <c r="DN87" s="753"/>
      <c r="DO87" s="753"/>
      <c r="DP87" s="753"/>
      <c r="DQ87" s="753"/>
      <c r="DR87" s="753"/>
      <c r="DS87" s="305"/>
      <c r="DT87" s="305"/>
      <c r="DU87" s="305"/>
      <c r="DV87" s="305"/>
      <c r="DW87" s="305"/>
      <c r="DX87" s="305"/>
      <c r="DY87" s="305"/>
      <c r="DZ87" s="305"/>
      <c r="EA87" s="305"/>
      <c r="EB87" s="305"/>
      <c r="EC87" s="305"/>
      <c r="ED87" s="305"/>
      <c r="EE87" s="305"/>
      <c r="EF87" s="305"/>
      <c r="EG87" s="305"/>
      <c r="EH87" s="305"/>
      <c r="EI87" s="305"/>
      <c r="EJ87" s="305"/>
      <c r="EK87" s="305"/>
      <c r="EL87" s="305"/>
      <c r="EM87" s="305"/>
      <c r="EN87" s="305"/>
      <c r="EO87" s="305"/>
      <c r="EP87" s="305"/>
      <c r="EQ87" s="305"/>
      <c r="ER87" s="305"/>
      <c r="ES87" s="305"/>
      <c r="ET87" s="305"/>
      <c r="EU87" s="305"/>
      <c r="EV87" s="305"/>
      <c r="EW87" s="305"/>
      <c r="EX87" s="305"/>
      <c r="EY87" s="305"/>
      <c r="EZ87" s="305"/>
      <c r="FA87" s="305"/>
      <c r="FB87" s="305"/>
      <c r="FC87" s="305"/>
      <c r="FD87" s="305"/>
      <c r="FE87" s="305"/>
      <c r="FF87" s="305"/>
      <c r="FG87" s="305"/>
      <c r="FH87" s="305"/>
      <c r="FI87" s="305"/>
      <c r="FJ87" s="305"/>
      <c r="FK87" s="305"/>
      <c r="FL87" s="305"/>
      <c r="FM87" s="305"/>
      <c r="FN87" s="305"/>
      <c r="FO87" s="305"/>
      <c r="FP87" s="305"/>
      <c r="FQ87" s="754"/>
    </row>
    <row r="88" spans="1:173" s="755" customFormat="1">
      <c r="A88" s="752"/>
      <c r="B88" s="752"/>
      <c r="C88" s="306" t="s">
        <v>3839</v>
      </c>
      <c r="D88" s="306"/>
      <c r="E88" s="305"/>
      <c r="F88" s="305"/>
      <c r="G88" s="305"/>
      <c r="H88" s="305"/>
      <c r="I88" s="305"/>
      <c r="J88" s="305"/>
      <c r="K88" s="305"/>
      <c r="L88" s="305"/>
      <c r="M88" s="305"/>
      <c r="N88" s="305"/>
      <c r="O88" s="305"/>
      <c r="P88" s="305">
        <f t="shared" si="22"/>
        <v>0</v>
      </c>
      <c r="Q88" s="305"/>
      <c r="R88" s="305"/>
      <c r="S88" s="305"/>
      <c r="T88" s="305"/>
      <c r="U88" s="305" t="s">
        <v>1631</v>
      </c>
      <c r="V88" s="305"/>
      <c r="W88" s="305"/>
      <c r="X88" s="305"/>
      <c r="Y88" s="305"/>
      <c r="Z88" s="305"/>
      <c r="AA88" s="305"/>
      <c r="AB88" s="305"/>
      <c r="AC88" s="305"/>
      <c r="AD88" s="305"/>
      <c r="AE88" s="766"/>
      <c r="AF88" s="960"/>
      <c r="AG88" s="305"/>
      <c r="AH88" s="305"/>
      <c r="AI88" s="305"/>
      <c r="AJ88" s="305"/>
      <c r="AK88" s="305"/>
      <c r="AL88" s="305"/>
      <c r="AM88" s="305"/>
      <c r="AN88" s="305"/>
      <c r="AO88" s="305"/>
      <c r="AP88" s="305"/>
      <c r="AQ88" s="305"/>
      <c r="AR88" s="305"/>
      <c r="AS88" s="305"/>
      <c r="AT88" s="305"/>
      <c r="AU88" s="305"/>
      <c r="AV88" s="305"/>
      <c r="AW88" s="305">
        <f t="shared" si="15"/>
        <v>1</v>
      </c>
      <c r="AX88" s="305"/>
      <c r="AY88" s="305"/>
      <c r="AZ88" s="305">
        <f t="shared" si="16"/>
        <v>2</v>
      </c>
      <c r="BA88" s="305">
        <f t="shared" si="17"/>
        <v>0</v>
      </c>
      <c r="BB88" s="305"/>
      <c r="BC88" s="305"/>
      <c r="BD88" s="305">
        <v>1</v>
      </c>
      <c r="BE88" s="305"/>
      <c r="BF88" s="305"/>
      <c r="BG88" s="305"/>
      <c r="BH88" s="305"/>
      <c r="BI88" s="305"/>
      <c r="BJ88" s="305">
        <f t="shared" si="18"/>
        <v>5</v>
      </c>
      <c r="BK88" s="305"/>
      <c r="BL88" s="305"/>
      <c r="BM88" s="305"/>
      <c r="BN88" s="305"/>
      <c r="BO88" s="305"/>
      <c r="BP88" s="305"/>
      <c r="BQ88" s="305">
        <f t="shared" si="19"/>
        <v>0</v>
      </c>
      <c r="BR88" s="305"/>
      <c r="BS88" s="305"/>
      <c r="BT88" s="305">
        <f t="shared" si="20"/>
        <v>1</v>
      </c>
      <c r="BU88" s="305"/>
      <c r="BV88" s="305"/>
      <c r="BW88" s="305"/>
      <c r="BX88" s="305"/>
      <c r="BY88" s="305"/>
      <c r="BZ88" s="305"/>
      <c r="CA88" s="305"/>
      <c r="CB88" s="305">
        <v>1</v>
      </c>
      <c r="CC88" s="305"/>
      <c r="CD88" s="305">
        <f t="shared" si="21"/>
        <v>4</v>
      </c>
      <c r="CE88" s="305"/>
      <c r="CF88" s="305"/>
      <c r="CG88" s="305"/>
      <c r="CH88" s="305"/>
      <c r="CI88" s="305"/>
      <c r="CJ88" s="305"/>
      <c r="CK88" s="305"/>
      <c r="CL88" s="305"/>
      <c r="CM88" s="305"/>
      <c r="CN88" s="305"/>
      <c r="CO88" s="305"/>
      <c r="CP88" s="305"/>
      <c r="CQ88" s="305"/>
      <c r="CR88" s="305"/>
      <c r="CS88" s="305"/>
      <c r="CT88" s="305"/>
      <c r="CU88" s="305"/>
      <c r="CV88" s="305"/>
      <c r="CW88" s="305"/>
      <c r="CX88" s="305"/>
      <c r="CY88" s="305"/>
      <c r="CZ88" s="305"/>
      <c r="DA88" s="305"/>
      <c r="DB88" s="305"/>
      <c r="DC88" s="305"/>
      <c r="DD88" s="305"/>
      <c r="DE88" s="305"/>
      <c r="DF88" s="305"/>
      <c r="DG88" s="753"/>
      <c r="DH88" s="753"/>
      <c r="DI88" s="753"/>
      <c r="DJ88" s="753"/>
      <c r="DK88" s="753"/>
      <c r="DL88" s="753"/>
      <c r="DM88" s="753"/>
      <c r="DN88" s="753"/>
      <c r="DO88" s="753"/>
      <c r="DP88" s="753"/>
      <c r="DQ88" s="753"/>
      <c r="DR88" s="753"/>
      <c r="DS88" s="305"/>
      <c r="DT88" s="305"/>
      <c r="DU88" s="305"/>
      <c r="DV88" s="305"/>
      <c r="DW88" s="305"/>
      <c r="DX88" s="305"/>
      <c r="DY88" s="305"/>
      <c r="DZ88" s="305"/>
      <c r="EA88" s="305"/>
      <c r="EB88" s="305"/>
      <c r="EC88" s="305"/>
      <c r="ED88" s="305"/>
      <c r="EE88" s="305"/>
      <c r="EF88" s="305"/>
      <c r="EG88" s="305"/>
      <c r="EH88" s="305"/>
      <c r="EI88" s="305"/>
      <c r="EJ88" s="305"/>
      <c r="EK88" s="305"/>
      <c r="EL88" s="305"/>
      <c r="EM88" s="305"/>
      <c r="EN88" s="305"/>
      <c r="EO88" s="305"/>
      <c r="EP88" s="305"/>
      <c r="EQ88" s="305"/>
      <c r="ER88" s="305"/>
      <c r="ES88" s="305"/>
      <c r="ET88" s="305"/>
      <c r="EU88" s="305"/>
      <c r="EV88" s="305"/>
      <c r="EW88" s="305"/>
      <c r="EX88" s="305"/>
      <c r="EY88" s="305"/>
      <c r="EZ88" s="305"/>
      <c r="FA88" s="305"/>
      <c r="FB88" s="305"/>
      <c r="FC88" s="305"/>
      <c r="FD88" s="305"/>
      <c r="FE88" s="305"/>
      <c r="FF88" s="305"/>
      <c r="FG88" s="305"/>
      <c r="FH88" s="305"/>
      <c r="FI88" s="305"/>
      <c r="FJ88" s="305"/>
      <c r="FK88" s="305"/>
      <c r="FL88" s="305"/>
      <c r="FM88" s="305"/>
      <c r="FN88" s="305"/>
      <c r="FO88" s="305"/>
      <c r="FP88" s="305"/>
      <c r="FQ88" s="754"/>
    </row>
    <row r="89" spans="1:173" s="755" customFormat="1">
      <c r="A89" s="752"/>
      <c r="B89" s="752"/>
      <c r="C89" s="306"/>
      <c r="D89" s="306" t="s">
        <v>2997</v>
      </c>
      <c r="E89" s="305">
        <v>43</v>
      </c>
      <c r="F89" s="305"/>
      <c r="G89" s="305"/>
      <c r="H89" s="305"/>
      <c r="I89" s="305"/>
      <c r="J89" s="305"/>
      <c r="K89" s="305"/>
      <c r="L89" s="305"/>
      <c r="M89" s="305"/>
      <c r="N89" s="305"/>
      <c r="O89" s="305"/>
      <c r="P89" s="305">
        <f t="shared" si="22"/>
        <v>43</v>
      </c>
      <c r="Q89" s="305"/>
      <c r="R89" s="305"/>
      <c r="S89" s="305"/>
      <c r="T89" s="305"/>
      <c r="U89" s="305" t="s">
        <v>1631</v>
      </c>
      <c r="V89" s="305"/>
      <c r="W89" s="305"/>
      <c r="X89" s="305"/>
      <c r="Y89" s="305"/>
      <c r="Z89" s="305"/>
      <c r="AA89" s="305"/>
      <c r="AB89" s="305"/>
      <c r="AC89" s="305"/>
      <c r="AD89" s="305"/>
      <c r="AE89" s="766"/>
      <c r="AF89" s="960"/>
      <c r="AG89" s="305"/>
      <c r="AH89" s="305"/>
      <c r="AI89" s="305"/>
      <c r="AJ89" s="305"/>
      <c r="AK89" s="305"/>
      <c r="AL89" s="305"/>
      <c r="AM89" s="305"/>
      <c r="AN89" s="305"/>
      <c r="AO89" s="305"/>
      <c r="AP89" s="305"/>
      <c r="AQ89" s="305"/>
      <c r="AR89" s="305"/>
      <c r="AS89" s="305"/>
      <c r="AT89" s="305"/>
      <c r="AU89" s="305">
        <v>1</v>
      </c>
      <c r="AV89" s="305"/>
      <c r="AW89" s="305">
        <f t="shared" si="15"/>
        <v>1</v>
      </c>
      <c r="AX89" s="305"/>
      <c r="AY89" s="305"/>
      <c r="AZ89" s="305">
        <f t="shared" si="16"/>
        <v>0</v>
      </c>
      <c r="BA89" s="305">
        <f t="shared" si="17"/>
        <v>2</v>
      </c>
      <c r="BB89" s="305"/>
      <c r="BC89" s="305"/>
      <c r="BD89" s="305"/>
      <c r="BE89" s="305">
        <v>1</v>
      </c>
      <c r="BF89" s="305"/>
      <c r="BG89" s="305"/>
      <c r="BH89" s="305"/>
      <c r="BI89" s="305"/>
      <c r="BJ89" s="305">
        <f t="shared" si="18"/>
        <v>7</v>
      </c>
      <c r="BK89" s="305"/>
      <c r="BL89" s="305"/>
      <c r="BM89" s="305"/>
      <c r="BN89" s="305"/>
      <c r="BO89" s="305"/>
      <c r="BP89" s="305"/>
      <c r="BQ89" s="305">
        <f t="shared" si="19"/>
        <v>0</v>
      </c>
      <c r="BR89" s="305"/>
      <c r="BS89" s="305"/>
      <c r="BT89" s="305">
        <f t="shared" si="20"/>
        <v>1</v>
      </c>
      <c r="BU89" s="305"/>
      <c r="BV89" s="305"/>
      <c r="BW89" s="305"/>
      <c r="BX89" s="305"/>
      <c r="BY89" s="305"/>
      <c r="BZ89" s="305"/>
      <c r="CA89" s="305"/>
      <c r="CB89" s="305">
        <v>1</v>
      </c>
      <c r="CC89" s="305"/>
      <c r="CD89" s="305">
        <f t="shared" si="21"/>
        <v>4</v>
      </c>
      <c r="CE89" s="305"/>
      <c r="CF89" s="305"/>
      <c r="CG89" s="305"/>
      <c r="CH89" s="305"/>
      <c r="CI89" s="305"/>
      <c r="CJ89" s="305"/>
      <c r="CK89" s="305"/>
      <c r="CL89" s="305"/>
      <c r="CM89" s="305"/>
      <c r="CN89" s="305"/>
      <c r="CO89" s="305"/>
      <c r="CP89" s="305"/>
      <c r="CQ89" s="305"/>
      <c r="CR89" s="305"/>
      <c r="CS89" s="305"/>
      <c r="CT89" s="305"/>
      <c r="CU89" s="305"/>
      <c r="CV89" s="305"/>
      <c r="CW89" s="305"/>
      <c r="CX89" s="305"/>
      <c r="CY89" s="305"/>
      <c r="CZ89" s="305"/>
      <c r="DA89" s="305"/>
      <c r="DB89" s="305"/>
      <c r="DC89" s="305"/>
      <c r="DD89" s="305"/>
      <c r="DE89" s="305"/>
      <c r="DF89" s="305"/>
      <c r="DG89" s="753"/>
      <c r="DH89" s="753"/>
      <c r="DI89" s="753"/>
      <c r="DJ89" s="753"/>
      <c r="DK89" s="753"/>
      <c r="DL89" s="753"/>
      <c r="DM89" s="753"/>
      <c r="DN89" s="753"/>
      <c r="DO89" s="753"/>
      <c r="DP89" s="753"/>
      <c r="DQ89" s="753"/>
      <c r="DR89" s="753"/>
      <c r="DS89" s="305"/>
      <c r="DT89" s="305"/>
      <c r="DU89" s="305"/>
      <c r="DV89" s="305"/>
      <c r="DW89" s="305"/>
      <c r="DX89" s="305"/>
      <c r="DY89" s="305"/>
      <c r="DZ89" s="305"/>
      <c r="EA89" s="305"/>
      <c r="EB89" s="305"/>
      <c r="EC89" s="305"/>
      <c r="ED89" s="305"/>
      <c r="EE89" s="305"/>
      <c r="EF89" s="305"/>
      <c r="EG89" s="305"/>
      <c r="EH89" s="305"/>
      <c r="EI89" s="305"/>
      <c r="EJ89" s="305"/>
      <c r="EK89" s="305"/>
      <c r="EL89" s="305"/>
      <c r="EM89" s="305"/>
      <c r="EN89" s="305"/>
      <c r="EO89" s="305"/>
      <c r="EP89" s="305"/>
      <c r="EQ89" s="305"/>
      <c r="ER89" s="305"/>
      <c r="ES89" s="305"/>
      <c r="ET89" s="305"/>
      <c r="EU89" s="305"/>
      <c r="EV89" s="305"/>
      <c r="EW89" s="305"/>
      <c r="EX89" s="305"/>
      <c r="EY89" s="305"/>
      <c r="EZ89" s="305"/>
      <c r="FA89" s="305"/>
      <c r="FB89" s="305"/>
      <c r="FC89" s="305"/>
      <c r="FD89" s="305"/>
      <c r="FE89" s="305"/>
      <c r="FF89" s="305"/>
      <c r="FG89" s="305"/>
      <c r="FH89" s="305"/>
      <c r="FI89" s="305"/>
      <c r="FJ89" s="305"/>
      <c r="FK89" s="305"/>
      <c r="FL89" s="305"/>
      <c r="FM89" s="305"/>
      <c r="FN89" s="305"/>
      <c r="FO89" s="305"/>
      <c r="FP89" s="305"/>
      <c r="FQ89" s="754"/>
    </row>
    <row r="90" spans="1:173" s="755" customFormat="1">
      <c r="A90" s="752"/>
      <c r="B90" s="752"/>
      <c r="C90" s="306" t="s">
        <v>3867</v>
      </c>
      <c r="D90" s="306"/>
      <c r="E90" s="305"/>
      <c r="F90" s="305"/>
      <c r="G90" s="305"/>
      <c r="H90" s="305"/>
      <c r="I90" s="305"/>
      <c r="J90" s="305"/>
      <c r="K90" s="305"/>
      <c r="L90" s="305"/>
      <c r="M90" s="305"/>
      <c r="N90" s="305"/>
      <c r="O90" s="305"/>
      <c r="P90" s="305">
        <f t="shared" si="22"/>
        <v>0</v>
      </c>
      <c r="Q90" s="305"/>
      <c r="R90" s="305"/>
      <c r="S90" s="305"/>
      <c r="T90" s="305"/>
      <c r="U90" s="305" t="s">
        <v>1631</v>
      </c>
      <c r="V90" s="305"/>
      <c r="W90" s="305"/>
      <c r="X90" s="305"/>
      <c r="Y90" s="305"/>
      <c r="Z90" s="305"/>
      <c r="AA90" s="305"/>
      <c r="AB90" s="305"/>
      <c r="AC90" s="305"/>
      <c r="AD90" s="305"/>
      <c r="AE90" s="766"/>
      <c r="AF90" s="960"/>
      <c r="AG90" s="305"/>
      <c r="AH90" s="305"/>
      <c r="AI90" s="305"/>
      <c r="AJ90" s="305"/>
      <c r="AK90" s="305"/>
      <c r="AL90" s="305"/>
      <c r="AM90" s="305"/>
      <c r="AN90" s="305"/>
      <c r="AO90" s="305"/>
      <c r="AP90" s="305"/>
      <c r="AQ90" s="305"/>
      <c r="AR90" s="305"/>
      <c r="AS90" s="305"/>
      <c r="AT90" s="305"/>
      <c r="AU90" s="305"/>
      <c r="AV90" s="305"/>
      <c r="AW90" s="305">
        <f t="shared" si="15"/>
        <v>1</v>
      </c>
      <c r="AX90" s="305"/>
      <c r="AY90" s="305"/>
      <c r="AZ90" s="305">
        <f t="shared" si="16"/>
        <v>2</v>
      </c>
      <c r="BA90" s="305">
        <f t="shared" si="17"/>
        <v>0</v>
      </c>
      <c r="BB90" s="305"/>
      <c r="BC90" s="305"/>
      <c r="BD90" s="305">
        <v>1</v>
      </c>
      <c r="BE90" s="305"/>
      <c r="BF90" s="305"/>
      <c r="BG90" s="305"/>
      <c r="BH90" s="305"/>
      <c r="BI90" s="305"/>
      <c r="BJ90" s="305">
        <f t="shared" si="18"/>
        <v>5</v>
      </c>
      <c r="BK90" s="305"/>
      <c r="BL90" s="305"/>
      <c r="BM90" s="305"/>
      <c r="BN90" s="305"/>
      <c r="BO90" s="305"/>
      <c r="BP90" s="305"/>
      <c r="BQ90" s="305">
        <f t="shared" si="19"/>
        <v>0</v>
      </c>
      <c r="BR90" s="305"/>
      <c r="BS90" s="305"/>
      <c r="BT90" s="305">
        <f t="shared" si="20"/>
        <v>1</v>
      </c>
      <c r="BU90" s="305"/>
      <c r="BV90" s="305"/>
      <c r="BW90" s="305"/>
      <c r="BX90" s="305"/>
      <c r="BY90" s="305"/>
      <c r="BZ90" s="305"/>
      <c r="CA90" s="305"/>
      <c r="CB90" s="305">
        <v>1</v>
      </c>
      <c r="CC90" s="305"/>
      <c r="CD90" s="305">
        <f t="shared" si="21"/>
        <v>4</v>
      </c>
      <c r="CE90" s="305"/>
      <c r="CF90" s="305"/>
      <c r="CG90" s="305"/>
      <c r="CH90" s="305"/>
      <c r="CI90" s="305"/>
      <c r="CJ90" s="305"/>
      <c r="CK90" s="305"/>
      <c r="CL90" s="305"/>
      <c r="CM90" s="305"/>
      <c r="CN90" s="305"/>
      <c r="CO90" s="305"/>
      <c r="CP90" s="305"/>
      <c r="CQ90" s="305"/>
      <c r="CR90" s="305"/>
      <c r="CS90" s="305"/>
      <c r="CT90" s="305"/>
      <c r="CU90" s="305"/>
      <c r="CV90" s="305"/>
      <c r="CW90" s="305"/>
      <c r="CX90" s="305"/>
      <c r="CY90" s="305"/>
      <c r="CZ90" s="305"/>
      <c r="DA90" s="305"/>
      <c r="DB90" s="305"/>
      <c r="DC90" s="305"/>
      <c r="DD90" s="305"/>
      <c r="DE90" s="305"/>
      <c r="DF90" s="305"/>
      <c r="DG90" s="753"/>
      <c r="DH90" s="753"/>
      <c r="DI90" s="753"/>
      <c r="DJ90" s="753"/>
      <c r="DK90" s="753"/>
      <c r="DL90" s="753"/>
      <c r="DM90" s="753"/>
      <c r="DN90" s="753"/>
      <c r="DO90" s="753"/>
      <c r="DP90" s="753"/>
      <c r="DQ90" s="753"/>
      <c r="DR90" s="753"/>
      <c r="DS90" s="305"/>
      <c r="DT90" s="305"/>
      <c r="DU90" s="305"/>
      <c r="DV90" s="305"/>
      <c r="DW90" s="305"/>
      <c r="DX90" s="305"/>
      <c r="DY90" s="305"/>
      <c r="DZ90" s="305"/>
      <c r="EA90" s="305"/>
      <c r="EB90" s="305"/>
      <c r="EC90" s="305"/>
      <c r="ED90" s="305"/>
      <c r="EE90" s="305"/>
      <c r="EF90" s="305"/>
      <c r="EG90" s="305"/>
      <c r="EH90" s="305"/>
      <c r="EI90" s="305"/>
      <c r="EJ90" s="305"/>
      <c r="EK90" s="305"/>
      <c r="EL90" s="305"/>
      <c r="EM90" s="305"/>
      <c r="EN90" s="305"/>
      <c r="EO90" s="305"/>
      <c r="EP90" s="305"/>
      <c r="EQ90" s="305"/>
      <c r="ER90" s="305"/>
      <c r="ES90" s="305"/>
      <c r="ET90" s="305"/>
      <c r="EU90" s="305"/>
      <c r="EV90" s="305"/>
      <c r="EW90" s="305"/>
      <c r="EX90" s="305"/>
      <c r="EY90" s="305"/>
      <c r="EZ90" s="305"/>
      <c r="FA90" s="305"/>
      <c r="FB90" s="305"/>
      <c r="FC90" s="305"/>
      <c r="FD90" s="305"/>
      <c r="FE90" s="305"/>
      <c r="FF90" s="305"/>
      <c r="FG90" s="305"/>
      <c r="FH90" s="305"/>
      <c r="FI90" s="305"/>
      <c r="FJ90" s="305"/>
      <c r="FK90" s="305"/>
      <c r="FL90" s="305"/>
      <c r="FM90" s="305"/>
      <c r="FN90" s="305"/>
      <c r="FO90" s="305"/>
      <c r="FP90" s="305"/>
      <c r="FQ90" s="754"/>
    </row>
    <row r="91" spans="1:173" s="755" customFormat="1">
      <c r="A91" s="752"/>
      <c r="B91" s="752"/>
      <c r="C91" s="306"/>
      <c r="D91" s="306" t="s">
        <v>2998</v>
      </c>
      <c r="E91" s="305">
        <v>42</v>
      </c>
      <c r="F91" s="305"/>
      <c r="G91" s="305"/>
      <c r="H91" s="305"/>
      <c r="I91" s="305"/>
      <c r="J91" s="305"/>
      <c r="K91" s="305"/>
      <c r="L91" s="305"/>
      <c r="M91" s="305"/>
      <c r="N91" s="305"/>
      <c r="O91" s="305"/>
      <c r="P91" s="305">
        <f t="shared" si="22"/>
        <v>42</v>
      </c>
      <c r="Q91" s="305"/>
      <c r="R91" s="305"/>
      <c r="S91" s="305"/>
      <c r="T91" s="305"/>
      <c r="U91" s="305" t="s">
        <v>1631</v>
      </c>
      <c r="V91" s="305"/>
      <c r="W91" s="305"/>
      <c r="X91" s="305"/>
      <c r="Y91" s="305"/>
      <c r="Z91" s="305"/>
      <c r="AA91" s="305"/>
      <c r="AB91" s="305"/>
      <c r="AC91" s="305"/>
      <c r="AD91" s="305"/>
      <c r="AE91" s="766"/>
      <c r="AF91" s="960"/>
      <c r="AG91" s="305"/>
      <c r="AH91" s="305"/>
      <c r="AI91" s="305"/>
      <c r="AJ91" s="305"/>
      <c r="AK91" s="305"/>
      <c r="AL91" s="305"/>
      <c r="AM91" s="305"/>
      <c r="AN91" s="305"/>
      <c r="AO91" s="305"/>
      <c r="AP91" s="305"/>
      <c r="AQ91" s="305"/>
      <c r="AR91" s="305"/>
      <c r="AS91" s="305"/>
      <c r="AT91" s="305"/>
      <c r="AU91" s="305"/>
      <c r="AV91" s="305"/>
      <c r="AW91" s="305">
        <f t="shared" si="15"/>
        <v>1</v>
      </c>
      <c r="AX91" s="305"/>
      <c r="AY91" s="305"/>
      <c r="AZ91" s="305">
        <f t="shared" si="16"/>
        <v>0</v>
      </c>
      <c r="BA91" s="305">
        <f t="shared" si="17"/>
        <v>2</v>
      </c>
      <c r="BB91" s="305"/>
      <c r="BC91" s="305"/>
      <c r="BD91" s="305"/>
      <c r="BE91" s="305">
        <v>1</v>
      </c>
      <c r="BF91" s="305"/>
      <c r="BG91" s="305"/>
      <c r="BH91" s="305"/>
      <c r="BI91" s="305"/>
      <c r="BJ91" s="305">
        <f t="shared" si="18"/>
        <v>5</v>
      </c>
      <c r="BK91" s="305"/>
      <c r="BL91" s="305"/>
      <c r="BM91" s="305"/>
      <c r="BN91" s="305"/>
      <c r="BO91" s="305"/>
      <c r="BP91" s="305"/>
      <c r="BQ91" s="305">
        <f t="shared" si="19"/>
        <v>0</v>
      </c>
      <c r="BR91" s="305"/>
      <c r="BS91" s="305"/>
      <c r="BT91" s="305">
        <f t="shared" si="20"/>
        <v>1</v>
      </c>
      <c r="BU91" s="305"/>
      <c r="BV91" s="305"/>
      <c r="BW91" s="305"/>
      <c r="BX91" s="305"/>
      <c r="BY91" s="305"/>
      <c r="BZ91" s="305"/>
      <c r="CA91" s="305"/>
      <c r="CB91" s="305">
        <v>1</v>
      </c>
      <c r="CC91" s="305"/>
      <c r="CD91" s="305">
        <f t="shared" si="21"/>
        <v>4</v>
      </c>
      <c r="CE91" s="305"/>
      <c r="CF91" s="305"/>
      <c r="CG91" s="305"/>
      <c r="CH91" s="305"/>
      <c r="CI91" s="305"/>
      <c r="CJ91" s="305"/>
      <c r="CK91" s="305"/>
      <c r="CL91" s="305"/>
      <c r="CM91" s="305"/>
      <c r="CN91" s="305"/>
      <c r="CO91" s="305"/>
      <c r="CP91" s="305"/>
      <c r="CQ91" s="305"/>
      <c r="CR91" s="305"/>
      <c r="CS91" s="305"/>
      <c r="CT91" s="305"/>
      <c r="CU91" s="305"/>
      <c r="CV91" s="305"/>
      <c r="CW91" s="305"/>
      <c r="CX91" s="305"/>
      <c r="CY91" s="305"/>
      <c r="CZ91" s="305"/>
      <c r="DA91" s="305"/>
      <c r="DB91" s="305"/>
      <c r="DC91" s="305"/>
      <c r="DD91" s="305"/>
      <c r="DE91" s="305"/>
      <c r="DF91" s="305"/>
      <c r="DG91" s="753"/>
      <c r="DH91" s="753"/>
      <c r="DI91" s="753"/>
      <c r="DJ91" s="753"/>
      <c r="DK91" s="753"/>
      <c r="DL91" s="753"/>
      <c r="DM91" s="753"/>
      <c r="DN91" s="753"/>
      <c r="DO91" s="753"/>
      <c r="DP91" s="753"/>
      <c r="DQ91" s="753"/>
      <c r="DR91" s="753"/>
      <c r="DS91" s="305"/>
      <c r="DT91" s="305"/>
      <c r="DU91" s="305"/>
      <c r="DV91" s="305"/>
      <c r="DW91" s="305"/>
      <c r="DX91" s="305"/>
      <c r="DY91" s="305"/>
      <c r="DZ91" s="305"/>
      <c r="EA91" s="305"/>
      <c r="EB91" s="305"/>
      <c r="EC91" s="305"/>
      <c r="ED91" s="305"/>
      <c r="EE91" s="305"/>
      <c r="EF91" s="305"/>
      <c r="EG91" s="305"/>
      <c r="EH91" s="305"/>
      <c r="EI91" s="305"/>
      <c r="EJ91" s="305"/>
      <c r="EK91" s="305"/>
      <c r="EL91" s="305"/>
      <c r="EM91" s="305"/>
      <c r="EN91" s="305"/>
      <c r="EO91" s="305"/>
      <c r="EP91" s="305"/>
      <c r="EQ91" s="305"/>
      <c r="ER91" s="305"/>
      <c r="ES91" s="305"/>
      <c r="ET91" s="305"/>
      <c r="EU91" s="305"/>
      <c r="EV91" s="305"/>
      <c r="EW91" s="305"/>
      <c r="EX91" s="305"/>
      <c r="EY91" s="305"/>
      <c r="EZ91" s="305"/>
      <c r="FA91" s="305"/>
      <c r="FB91" s="305"/>
      <c r="FC91" s="305"/>
      <c r="FD91" s="305"/>
      <c r="FE91" s="305"/>
      <c r="FF91" s="305"/>
      <c r="FG91" s="305"/>
      <c r="FH91" s="305"/>
      <c r="FI91" s="305"/>
      <c r="FJ91" s="305"/>
      <c r="FK91" s="305"/>
      <c r="FL91" s="305"/>
      <c r="FM91" s="305"/>
      <c r="FN91" s="305"/>
      <c r="FO91" s="305"/>
      <c r="FP91" s="305"/>
      <c r="FQ91" s="754"/>
    </row>
    <row r="92" spans="1:173" s="755" customFormat="1">
      <c r="A92" s="752"/>
      <c r="B92" s="752"/>
      <c r="C92" s="306"/>
      <c r="D92" s="306" t="s">
        <v>2999</v>
      </c>
      <c r="E92" s="305">
        <v>35</v>
      </c>
      <c r="F92" s="305"/>
      <c r="G92" s="305"/>
      <c r="H92" s="305"/>
      <c r="I92" s="305"/>
      <c r="J92" s="305"/>
      <c r="K92" s="305"/>
      <c r="L92" s="305"/>
      <c r="M92" s="305"/>
      <c r="N92" s="305"/>
      <c r="O92" s="305"/>
      <c r="P92" s="305">
        <f t="shared" si="22"/>
        <v>35</v>
      </c>
      <c r="Q92" s="305"/>
      <c r="R92" s="305"/>
      <c r="S92" s="305"/>
      <c r="T92" s="305"/>
      <c r="U92" s="305" t="s">
        <v>1903</v>
      </c>
      <c r="V92" s="305"/>
      <c r="W92" s="305"/>
      <c r="X92" s="305"/>
      <c r="Y92" s="305"/>
      <c r="Z92" s="305"/>
      <c r="AA92" s="305"/>
      <c r="AB92" s="305"/>
      <c r="AC92" s="305"/>
      <c r="AD92" s="305"/>
      <c r="AE92" s="766"/>
      <c r="AF92" s="960"/>
      <c r="AG92" s="305"/>
      <c r="AH92" s="305"/>
      <c r="AI92" s="305"/>
      <c r="AJ92" s="305"/>
      <c r="AK92" s="305"/>
      <c r="AL92" s="305"/>
      <c r="AM92" s="305"/>
      <c r="AN92" s="305"/>
      <c r="AO92" s="305"/>
      <c r="AP92" s="305"/>
      <c r="AQ92" s="305"/>
      <c r="AR92" s="305"/>
      <c r="AS92" s="305"/>
      <c r="AT92" s="305"/>
      <c r="AU92" s="305"/>
      <c r="AV92" s="305"/>
      <c r="AW92" s="305">
        <f t="shared" si="15"/>
        <v>1</v>
      </c>
      <c r="AX92" s="305"/>
      <c r="AY92" s="305"/>
      <c r="AZ92" s="305">
        <f t="shared" si="16"/>
        <v>0</v>
      </c>
      <c r="BA92" s="305">
        <f t="shared" si="17"/>
        <v>2</v>
      </c>
      <c r="BB92" s="305"/>
      <c r="BC92" s="305"/>
      <c r="BD92" s="305"/>
      <c r="BE92" s="305">
        <v>1</v>
      </c>
      <c r="BF92" s="305"/>
      <c r="BG92" s="305"/>
      <c r="BH92" s="305"/>
      <c r="BI92" s="305"/>
      <c r="BJ92" s="305">
        <f t="shared" si="18"/>
        <v>5</v>
      </c>
      <c r="BK92" s="305"/>
      <c r="BL92" s="305"/>
      <c r="BM92" s="305"/>
      <c r="BN92" s="305"/>
      <c r="BO92" s="305"/>
      <c r="BP92" s="305"/>
      <c r="BQ92" s="305">
        <f t="shared" si="19"/>
        <v>1</v>
      </c>
      <c r="BR92" s="305"/>
      <c r="BS92" s="305"/>
      <c r="BT92" s="305">
        <f t="shared" si="20"/>
        <v>2</v>
      </c>
      <c r="BU92" s="305"/>
      <c r="BV92" s="305"/>
      <c r="BW92" s="305"/>
      <c r="BX92" s="305"/>
      <c r="BY92" s="305"/>
      <c r="BZ92" s="305"/>
      <c r="CA92" s="305"/>
      <c r="CB92" s="305">
        <v>1</v>
      </c>
      <c r="CC92" s="305"/>
      <c r="CD92" s="305">
        <f t="shared" si="21"/>
        <v>4</v>
      </c>
      <c r="CE92" s="305"/>
      <c r="CF92" s="305"/>
      <c r="CG92" s="305"/>
      <c r="CH92" s="305"/>
      <c r="CI92" s="305"/>
      <c r="CJ92" s="305"/>
      <c r="CK92" s="305"/>
      <c r="CL92" s="305"/>
      <c r="CM92" s="305"/>
      <c r="CN92" s="305"/>
      <c r="CO92" s="305"/>
      <c r="CP92" s="305"/>
      <c r="CQ92" s="305"/>
      <c r="CR92" s="305"/>
      <c r="CS92" s="305"/>
      <c r="CT92" s="305"/>
      <c r="CU92" s="305"/>
      <c r="CV92" s="305"/>
      <c r="CW92" s="305"/>
      <c r="CX92" s="305"/>
      <c r="CY92" s="305"/>
      <c r="CZ92" s="305"/>
      <c r="DA92" s="305"/>
      <c r="DB92" s="305"/>
      <c r="DC92" s="305"/>
      <c r="DD92" s="305"/>
      <c r="DE92" s="305"/>
      <c r="DF92" s="305"/>
      <c r="DG92" s="753"/>
      <c r="DH92" s="753"/>
      <c r="DI92" s="753"/>
      <c r="DJ92" s="753"/>
      <c r="DK92" s="753"/>
      <c r="DL92" s="753"/>
      <c r="DM92" s="753"/>
      <c r="DN92" s="753"/>
      <c r="DO92" s="753"/>
      <c r="DP92" s="753"/>
      <c r="DQ92" s="753"/>
      <c r="DR92" s="753"/>
      <c r="DS92" s="305"/>
      <c r="DT92" s="305"/>
      <c r="DU92" s="305"/>
      <c r="DV92" s="305"/>
      <c r="DW92" s="305"/>
      <c r="DX92" s="305"/>
      <c r="DY92" s="305"/>
      <c r="DZ92" s="305"/>
      <c r="EA92" s="305"/>
      <c r="EB92" s="305"/>
      <c r="EC92" s="305"/>
      <c r="ED92" s="305"/>
      <c r="EE92" s="305"/>
      <c r="EF92" s="305"/>
      <c r="EG92" s="305"/>
      <c r="EH92" s="305"/>
      <c r="EI92" s="305"/>
      <c r="EJ92" s="305"/>
      <c r="EK92" s="305"/>
      <c r="EL92" s="305"/>
      <c r="EM92" s="305"/>
      <c r="EN92" s="305"/>
      <c r="EO92" s="305"/>
      <c r="EP92" s="305"/>
      <c r="EQ92" s="305"/>
      <c r="ER92" s="305"/>
      <c r="ES92" s="305"/>
      <c r="ET92" s="305"/>
      <c r="EU92" s="305"/>
      <c r="EV92" s="305"/>
      <c r="EW92" s="305"/>
      <c r="EX92" s="305"/>
      <c r="EY92" s="305"/>
      <c r="EZ92" s="305"/>
      <c r="FA92" s="305"/>
      <c r="FB92" s="305"/>
      <c r="FC92" s="305"/>
      <c r="FD92" s="305"/>
      <c r="FE92" s="305"/>
      <c r="FF92" s="305"/>
      <c r="FG92" s="305"/>
      <c r="FH92" s="305"/>
      <c r="FI92" s="305"/>
      <c r="FJ92" s="305"/>
      <c r="FK92" s="305"/>
      <c r="FL92" s="305"/>
      <c r="FM92" s="305"/>
      <c r="FN92" s="305"/>
      <c r="FO92" s="305"/>
      <c r="FP92" s="305"/>
      <c r="FQ92" s="754"/>
    </row>
    <row r="93" spans="1:173" s="755" customFormat="1">
      <c r="A93" s="752"/>
      <c r="B93" s="752"/>
      <c r="C93" s="306"/>
      <c r="D93" s="306" t="s">
        <v>3000</v>
      </c>
      <c r="E93" s="305">
        <v>40</v>
      </c>
      <c r="F93" s="305"/>
      <c r="G93" s="305"/>
      <c r="H93" s="305"/>
      <c r="I93" s="305"/>
      <c r="J93" s="305"/>
      <c r="K93" s="305"/>
      <c r="L93" s="305"/>
      <c r="M93" s="305"/>
      <c r="N93" s="305"/>
      <c r="O93" s="305"/>
      <c r="P93" s="305">
        <f t="shared" si="22"/>
        <v>40</v>
      </c>
      <c r="Q93" s="305"/>
      <c r="R93" s="305"/>
      <c r="S93" s="305"/>
      <c r="T93" s="305"/>
      <c r="U93" s="305" t="s">
        <v>1631</v>
      </c>
      <c r="V93" s="305"/>
      <c r="W93" s="305"/>
      <c r="X93" s="305"/>
      <c r="Y93" s="305"/>
      <c r="Z93" s="305"/>
      <c r="AA93" s="305"/>
      <c r="AB93" s="305"/>
      <c r="AC93" s="305"/>
      <c r="AD93" s="305"/>
      <c r="AE93" s="766"/>
      <c r="AF93" s="960"/>
      <c r="AG93" s="305"/>
      <c r="AH93" s="305"/>
      <c r="AI93" s="305"/>
      <c r="AJ93" s="305"/>
      <c r="AK93" s="305"/>
      <c r="AL93" s="305"/>
      <c r="AM93" s="305"/>
      <c r="AN93" s="305"/>
      <c r="AO93" s="305"/>
      <c r="AP93" s="305"/>
      <c r="AQ93" s="305"/>
      <c r="AR93" s="305"/>
      <c r="AS93" s="305"/>
      <c r="AT93" s="305"/>
      <c r="AU93" s="305"/>
      <c r="AV93" s="305"/>
      <c r="AW93" s="305">
        <f t="shared" si="15"/>
        <v>1</v>
      </c>
      <c r="AX93" s="305"/>
      <c r="AY93" s="305"/>
      <c r="AZ93" s="305">
        <f t="shared" si="16"/>
        <v>0</v>
      </c>
      <c r="BA93" s="305">
        <f t="shared" si="17"/>
        <v>2</v>
      </c>
      <c r="BB93" s="305"/>
      <c r="BC93" s="305"/>
      <c r="BD93" s="305"/>
      <c r="BE93" s="305">
        <v>1</v>
      </c>
      <c r="BF93" s="305"/>
      <c r="BG93" s="305"/>
      <c r="BH93" s="305"/>
      <c r="BI93" s="305"/>
      <c r="BJ93" s="305">
        <f t="shared" si="18"/>
        <v>5</v>
      </c>
      <c r="BK93" s="305"/>
      <c r="BL93" s="305"/>
      <c r="BM93" s="305"/>
      <c r="BN93" s="305"/>
      <c r="BO93" s="305"/>
      <c r="BP93" s="305"/>
      <c r="BQ93" s="305">
        <f t="shared" si="19"/>
        <v>0</v>
      </c>
      <c r="BR93" s="305"/>
      <c r="BS93" s="305"/>
      <c r="BT93" s="305">
        <f t="shared" si="20"/>
        <v>1</v>
      </c>
      <c r="BU93" s="305"/>
      <c r="BV93" s="305"/>
      <c r="BW93" s="305"/>
      <c r="BX93" s="305"/>
      <c r="BY93" s="305"/>
      <c r="BZ93" s="305"/>
      <c r="CA93" s="305"/>
      <c r="CB93" s="305">
        <v>1</v>
      </c>
      <c r="CC93" s="305"/>
      <c r="CD93" s="305">
        <f t="shared" si="21"/>
        <v>4</v>
      </c>
      <c r="CE93" s="305"/>
      <c r="CF93" s="305"/>
      <c r="CG93" s="305"/>
      <c r="CH93" s="305"/>
      <c r="CI93" s="305"/>
      <c r="CJ93" s="305"/>
      <c r="CK93" s="305"/>
      <c r="CL93" s="305"/>
      <c r="CM93" s="305"/>
      <c r="CN93" s="305"/>
      <c r="CO93" s="305"/>
      <c r="CP93" s="305"/>
      <c r="CQ93" s="305"/>
      <c r="CR93" s="305"/>
      <c r="CS93" s="305"/>
      <c r="CT93" s="305"/>
      <c r="CU93" s="305"/>
      <c r="CV93" s="305"/>
      <c r="CW93" s="305"/>
      <c r="CX93" s="305"/>
      <c r="CY93" s="305"/>
      <c r="CZ93" s="305"/>
      <c r="DA93" s="305"/>
      <c r="DB93" s="305"/>
      <c r="DC93" s="305"/>
      <c r="DD93" s="305"/>
      <c r="DE93" s="305"/>
      <c r="DF93" s="305"/>
      <c r="DG93" s="753"/>
      <c r="DH93" s="753"/>
      <c r="DI93" s="753"/>
      <c r="DJ93" s="753"/>
      <c r="DK93" s="753"/>
      <c r="DL93" s="753"/>
      <c r="DM93" s="753"/>
      <c r="DN93" s="753"/>
      <c r="DO93" s="753"/>
      <c r="DP93" s="753"/>
      <c r="DQ93" s="753"/>
      <c r="DR93" s="753"/>
      <c r="DS93" s="305"/>
      <c r="DT93" s="305"/>
      <c r="DU93" s="305"/>
      <c r="DV93" s="305"/>
      <c r="DW93" s="305"/>
      <c r="DX93" s="305"/>
      <c r="DY93" s="305"/>
      <c r="DZ93" s="305"/>
      <c r="EA93" s="305"/>
      <c r="EB93" s="305"/>
      <c r="EC93" s="305"/>
      <c r="ED93" s="305"/>
      <c r="EE93" s="305"/>
      <c r="EF93" s="305"/>
      <c r="EG93" s="305"/>
      <c r="EH93" s="305"/>
      <c r="EI93" s="305"/>
      <c r="EJ93" s="305"/>
      <c r="EK93" s="305"/>
      <c r="EL93" s="305"/>
      <c r="EM93" s="305"/>
      <c r="EN93" s="305"/>
      <c r="EO93" s="305"/>
      <c r="EP93" s="305"/>
      <c r="EQ93" s="305"/>
      <c r="ER93" s="305"/>
      <c r="ES93" s="305"/>
      <c r="ET93" s="305"/>
      <c r="EU93" s="305"/>
      <c r="EV93" s="305"/>
      <c r="EW93" s="305"/>
      <c r="EX93" s="305"/>
      <c r="EY93" s="305"/>
      <c r="EZ93" s="305"/>
      <c r="FA93" s="305"/>
      <c r="FB93" s="305"/>
      <c r="FC93" s="305"/>
      <c r="FD93" s="305"/>
      <c r="FE93" s="305"/>
      <c r="FF93" s="305"/>
      <c r="FG93" s="305"/>
      <c r="FH93" s="305"/>
      <c r="FI93" s="305"/>
      <c r="FJ93" s="305"/>
      <c r="FK93" s="305"/>
      <c r="FL93" s="305"/>
      <c r="FM93" s="305"/>
      <c r="FN93" s="305"/>
      <c r="FO93" s="305"/>
      <c r="FP93" s="305"/>
      <c r="FQ93" s="754"/>
    </row>
    <row r="94" spans="1:173" s="755" customFormat="1">
      <c r="A94" s="752"/>
      <c r="B94" s="752"/>
      <c r="C94" s="306"/>
      <c r="D94" s="306" t="s">
        <v>3001</v>
      </c>
      <c r="E94" s="305">
        <v>40</v>
      </c>
      <c r="F94" s="305"/>
      <c r="G94" s="305"/>
      <c r="H94" s="305"/>
      <c r="I94" s="305"/>
      <c r="J94" s="305"/>
      <c r="K94" s="305"/>
      <c r="L94" s="305"/>
      <c r="M94" s="305"/>
      <c r="N94" s="305"/>
      <c r="O94" s="305"/>
      <c r="P94" s="305">
        <f t="shared" si="22"/>
        <v>40</v>
      </c>
      <c r="Q94" s="305"/>
      <c r="R94" s="305"/>
      <c r="S94" s="305"/>
      <c r="T94" s="305"/>
      <c r="U94" s="305" t="s">
        <v>2989</v>
      </c>
      <c r="V94" s="305"/>
      <c r="W94" s="305"/>
      <c r="X94" s="305"/>
      <c r="Y94" s="305"/>
      <c r="Z94" s="305"/>
      <c r="AA94" s="305"/>
      <c r="AB94" s="305"/>
      <c r="AC94" s="305"/>
      <c r="AD94" s="305"/>
      <c r="AE94" s="766"/>
      <c r="AF94" s="960"/>
      <c r="AG94" s="305"/>
      <c r="AH94" s="305"/>
      <c r="AI94" s="305"/>
      <c r="AJ94" s="305"/>
      <c r="AK94" s="305"/>
      <c r="AL94" s="305"/>
      <c r="AM94" s="305"/>
      <c r="AN94" s="305"/>
      <c r="AO94" s="305"/>
      <c r="AP94" s="305"/>
      <c r="AQ94" s="305"/>
      <c r="AR94" s="305"/>
      <c r="AS94" s="305"/>
      <c r="AT94" s="305"/>
      <c r="AU94" s="305"/>
      <c r="AV94" s="305"/>
      <c r="AW94" s="305">
        <f t="shared" si="15"/>
        <v>0</v>
      </c>
      <c r="AX94" s="305"/>
      <c r="AY94" s="305"/>
      <c r="AZ94" s="305">
        <f t="shared" si="16"/>
        <v>0</v>
      </c>
      <c r="BA94" s="305">
        <f t="shared" si="17"/>
        <v>0</v>
      </c>
      <c r="BB94" s="305"/>
      <c r="BC94" s="305"/>
      <c r="BD94" s="305"/>
      <c r="BE94" s="305">
        <v>2</v>
      </c>
      <c r="BF94" s="305"/>
      <c r="BG94" s="305"/>
      <c r="BH94" s="305"/>
      <c r="BI94" s="305"/>
      <c r="BJ94" s="305">
        <f t="shared" si="18"/>
        <v>0</v>
      </c>
      <c r="BK94" s="305"/>
      <c r="BL94" s="305"/>
      <c r="BM94" s="305"/>
      <c r="BN94" s="305"/>
      <c r="BO94" s="305"/>
      <c r="BP94" s="305"/>
      <c r="BQ94" s="305">
        <f t="shared" si="19"/>
        <v>0</v>
      </c>
      <c r="BR94" s="305"/>
      <c r="BS94" s="305"/>
      <c r="BT94" s="305">
        <f t="shared" si="20"/>
        <v>0</v>
      </c>
      <c r="BU94" s="305"/>
      <c r="BV94" s="305"/>
      <c r="BW94" s="305"/>
      <c r="BX94" s="305"/>
      <c r="BY94" s="305">
        <v>2</v>
      </c>
      <c r="BZ94" s="305"/>
      <c r="CA94" s="305"/>
      <c r="CB94" s="305"/>
      <c r="CC94" s="305"/>
      <c r="CD94" s="305">
        <f t="shared" si="21"/>
        <v>0</v>
      </c>
      <c r="CE94" s="305">
        <v>6</v>
      </c>
      <c r="CF94" s="305"/>
      <c r="CG94" s="305">
        <v>12</v>
      </c>
      <c r="CH94" s="305"/>
      <c r="CI94" s="305"/>
      <c r="CJ94" s="305">
        <v>8</v>
      </c>
      <c r="CK94" s="305"/>
      <c r="CL94" s="305"/>
      <c r="CM94" s="305"/>
      <c r="CN94" s="305"/>
      <c r="CO94" s="305">
        <v>8</v>
      </c>
      <c r="CP94" s="305"/>
      <c r="CQ94" s="305"/>
      <c r="CR94" s="305"/>
      <c r="CS94" s="305"/>
      <c r="CT94" s="305"/>
      <c r="CU94" s="305">
        <v>2</v>
      </c>
      <c r="CV94" s="305"/>
      <c r="CW94" s="305"/>
      <c r="CX94" s="305"/>
      <c r="CY94" s="305"/>
      <c r="CZ94" s="305"/>
      <c r="DA94" s="305"/>
      <c r="DB94" s="305"/>
      <c r="DC94" s="305"/>
      <c r="DD94" s="305"/>
      <c r="DE94" s="305"/>
      <c r="DF94" s="305"/>
      <c r="DG94" s="753"/>
      <c r="DH94" s="753"/>
      <c r="DI94" s="753"/>
      <c r="DJ94" s="753"/>
      <c r="DK94" s="753"/>
      <c r="DL94" s="753"/>
      <c r="DM94" s="753"/>
      <c r="DN94" s="753"/>
      <c r="DO94" s="753"/>
      <c r="DP94" s="753"/>
      <c r="DQ94" s="753"/>
      <c r="DR94" s="753"/>
      <c r="DS94" s="305"/>
      <c r="DT94" s="305"/>
      <c r="DU94" s="305"/>
      <c r="DV94" s="305"/>
      <c r="DW94" s="305"/>
      <c r="DX94" s="305"/>
      <c r="DY94" s="305"/>
      <c r="DZ94" s="305"/>
      <c r="EA94" s="305"/>
      <c r="EB94" s="305"/>
      <c r="EC94" s="305"/>
      <c r="ED94" s="305"/>
      <c r="EE94" s="305"/>
      <c r="EF94" s="305"/>
      <c r="EG94" s="305"/>
      <c r="EH94" s="305"/>
      <c r="EI94" s="305"/>
      <c r="EJ94" s="305"/>
      <c r="EK94" s="305"/>
      <c r="EL94" s="305"/>
      <c r="EM94" s="305"/>
      <c r="EN94" s="305"/>
      <c r="EO94" s="305"/>
      <c r="EP94" s="305"/>
      <c r="EQ94" s="305"/>
      <c r="ER94" s="305"/>
      <c r="ES94" s="305"/>
      <c r="ET94" s="305"/>
      <c r="EU94" s="305"/>
      <c r="EV94" s="305"/>
      <c r="EW94" s="305"/>
      <c r="EX94" s="305"/>
      <c r="EY94" s="305"/>
      <c r="EZ94" s="305"/>
      <c r="FA94" s="305"/>
      <c r="FB94" s="305"/>
      <c r="FC94" s="305"/>
      <c r="FD94" s="305"/>
      <c r="FE94" s="305"/>
      <c r="FF94" s="305"/>
      <c r="FG94" s="305"/>
      <c r="FH94" s="305"/>
      <c r="FI94" s="305"/>
      <c r="FJ94" s="305"/>
      <c r="FK94" s="305"/>
      <c r="FL94" s="305"/>
      <c r="FM94" s="305"/>
      <c r="FN94" s="305"/>
      <c r="FO94" s="305"/>
      <c r="FP94" s="305"/>
      <c r="FQ94" s="754"/>
    </row>
    <row r="95" spans="1:173" s="4" customFormat="1">
      <c r="A95" s="56"/>
      <c r="B95" s="56"/>
      <c r="C95" s="522" t="s">
        <v>3632</v>
      </c>
      <c r="D95" s="522"/>
      <c r="E95" s="516">
        <v>5</v>
      </c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>
        <f t="shared" si="22"/>
        <v>5</v>
      </c>
      <c r="Q95" s="516"/>
      <c r="R95" s="516"/>
      <c r="S95" s="516"/>
      <c r="T95" s="516"/>
      <c r="U95" s="516" t="s">
        <v>1631</v>
      </c>
      <c r="V95" s="516"/>
      <c r="W95" s="516"/>
      <c r="X95" s="516"/>
      <c r="Y95" s="516"/>
      <c r="Z95" s="516"/>
      <c r="AA95" s="516"/>
      <c r="AB95" s="516"/>
      <c r="AC95" s="516"/>
      <c r="AD95" s="516"/>
      <c r="AE95" s="725"/>
      <c r="AF95" s="957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>
        <f t="shared" si="15"/>
        <v>1</v>
      </c>
      <c r="AX95" s="516"/>
      <c r="AY95" s="516"/>
      <c r="AZ95" s="305">
        <f t="shared" si="16"/>
        <v>2</v>
      </c>
      <c r="BA95" s="305">
        <f t="shared" si="17"/>
        <v>0</v>
      </c>
      <c r="BB95" s="516"/>
      <c r="BC95" s="516"/>
      <c r="BD95" s="516">
        <v>1</v>
      </c>
      <c r="BE95" s="516"/>
      <c r="BF95" s="516"/>
      <c r="BG95" s="516"/>
      <c r="BH95" s="516"/>
      <c r="BI95" s="516"/>
      <c r="BJ95" s="516">
        <f t="shared" si="18"/>
        <v>5</v>
      </c>
      <c r="BK95" s="516"/>
      <c r="BL95" s="516"/>
      <c r="BM95" s="516"/>
      <c r="BN95" s="516"/>
      <c r="BO95" s="516"/>
      <c r="BP95" s="516"/>
      <c r="BQ95" s="516">
        <f t="shared" si="19"/>
        <v>0</v>
      </c>
      <c r="BR95" s="516"/>
      <c r="BS95" s="516"/>
      <c r="BT95" s="516">
        <f t="shared" si="20"/>
        <v>1</v>
      </c>
      <c r="BU95" s="516"/>
      <c r="BV95" s="516"/>
      <c r="BW95" s="516"/>
      <c r="BX95" s="516"/>
      <c r="BY95" s="516"/>
      <c r="BZ95" s="516"/>
      <c r="CA95" s="516"/>
      <c r="CB95" s="516">
        <v>1</v>
      </c>
      <c r="CC95" s="516"/>
      <c r="CD95" s="516">
        <f t="shared" si="21"/>
        <v>4</v>
      </c>
      <c r="CE95" s="516"/>
      <c r="CF95" s="516"/>
      <c r="CG95" s="516"/>
      <c r="CH95" s="516"/>
      <c r="CI95" s="516"/>
      <c r="CJ95" s="516"/>
      <c r="CK95" s="516"/>
      <c r="CL95" s="516"/>
      <c r="CM95" s="516"/>
      <c r="CN95" s="516"/>
      <c r="CO95" s="516"/>
      <c r="CP95" s="516"/>
      <c r="CQ95" s="516"/>
      <c r="CR95" s="516"/>
      <c r="CS95" s="516"/>
      <c r="CT95" s="516"/>
      <c r="CU95" s="516"/>
      <c r="CV95" s="516"/>
      <c r="CW95" s="516"/>
      <c r="CX95" s="454"/>
      <c r="CY95" s="454"/>
      <c r="CZ95" s="454"/>
      <c r="DA95" s="454"/>
      <c r="DB95" s="454"/>
      <c r="DC95" s="454"/>
      <c r="DD95" s="454"/>
      <c r="DE95" s="454"/>
      <c r="DF95" s="454"/>
      <c r="DG95" s="517"/>
      <c r="DH95" s="517"/>
      <c r="DI95" s="517"/>
      <c r="DJ95" s="517"/>
      <c r="DK95" s="517"/>
      <c r="DL95" s="517"/>
      <c r="DM95" s="517"/>
      <c r="DN95" s="517"/>
      <c r="DO95" s="517"/>
      <c r="DP95" s="517"/>
      <c r="DQ95" s="517"/>
      <c r="DR95" s="517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/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54"/>
      <c r="FH95" s="454"/>
      <c r="FI95" s="454"/>
      <c r="FJ95" s="454"/>
      <c r="FK95" s="454"/>
      <c r="FL95" s="454"/>
      <c r="FM95" s="454"/>
      <c r="FN95" s="454"/>
      <c r="FO95" s="454"/>
      <c r="FP95" s="454"/>
      <c r="FQ95" s="290"/>
    </row>
    <row r="96" spans="1:173" s="4" customFormat="1">
      <c r="A96" s="56"/>
      <c r="B96" s="56"/>
      <c r="C96" s="522" t="s">
        <v>3633</v>
      </c>
      <c r="D96" s="522"/>
      <c r="E96" s="516">
        <v>35</v>
      </c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>
        <f t="shared" si="22"/>
        <v>35</v>
      </c>
      <c r="Q96" s="516"/>
      <c r="R96" s="516"/>
      <c r="S96" s="516"/>
      <c r="T96" s="516"/>
      <c r="U96" s="516" t="s">
        <v>2989</v>
      </c>
      <c r="V96" s="516"/>
      <c r="W96" s="516">
        <v>2</v>
      </c>
      <c r="X96" s="516"/>
      <c r="Y96" s="516"/>
      <c r="Z96" s="516"/>
      <c r="AA96" s="516"/>
      <c r="AB96" s="516"/>
      <c r="AC96" s="516"/>
      <c r="AD96" s="516"/>
      <c r="AE96" s="725"/>
      <c r="AF96" s="957">
        <v>1</v>
      </c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>
        <f t="shared" si="15"/>
        <v>1</v>
      </c>
      <c r="AX96" s="516"/>
      <c r="AY96" s="516"/>
      <c r="AZ96" s="305">
        <f t="shared" si="16"/>
        <v>2</v>
      </c>
      <c r="BA96" s="305">
        <f t="shared" si="17"/>
        <v>0</v>
      </c>
      <c r="BB96" s="516"/>
      <c r="BC96" s="516"/>
      <c r="BD96" s="516"/>
      <c r="BE96" s="516"/>
      <c r="BF96" s="516">
        <v>2</v>
      </c>
      <c r="BG96" s="516"/>
      <c r="BH96" s="516"/>
      <c r="BI96" s="516"/>
      <c r="BJ96" s="516">
        <f t="shared" si="18"/>
        <v>5</v>
      </c>
      <c r="BK96" s="516"/>
      <c r="BL96" s="516"/>
      <c r="BM96" s="516"/>
      <c r="BN96" s="516"/>
      <c r="BO96" s="516"/>
      <c r="BP96" s="516"/>
      <c r="BQ96" s="516">
        <f t="shared" si="19"/>
        <v>0</v>
      </c>
      <c r="BR96" s="516"/>
      <c r="BS96" s="516"/>
      <c r="BT96" s="516">
        <f t="shared" si="20"/>
        <v>0</v>
      </c>
      <c r="BU96" s="516"/>
      <c r="BV96" s="516"/>
      <c r="BW96" s="516"/>
      <c r="BX96" s="516"/>
      <c r="BY96" s="516">
        <v>2</v>
      </c>
      <c r="BZ96" s="516"/>
      <c r="CA96" s="516"/>
      <c r="CB96" s="516">
        <v>1</v>
      </c>
      <c r="CC96" s="516"/>
      <c r="CD96" s="516">
        <f t="shared" si="21"/>
        <v>4</v>
      </c>
      <c r="CE96" s="516"/>
      <c r="CF96" s="516"/>
      <c r="CG96" s="516"/>
      <c r="CH96" s="516"/>
      <c r="CI96" s="516"/>
      <c r="CJ96" s="516"/>
      <c r="CK96" s="516"/>
      <c r="CL96" s="516"/>
      <c r="CM96" s="516"/>
      <c r="CN96" s="516"/>
      <c r="CO96" s="516"/>
      <c r="CP96" s="516"/>
      <c r="CQ96" s="516"/>
      <c r="CR96" s="516"/>
      <c r="CS96" s="516"/>
      <c r="CT96" s="516"/>
      <c r="CU96" s="516"/>
      <c r="CV96" s="516"/>
      <c r="CW96" s="516"/>
      <c r="CX96" s="454"/>
      <c r="CY96" s="454"/>
      <c r="CZ96" s="454"/>
      <c r="DA96" s="454"/>
      <c r="DB96" s="454"/>
      <c r="DC96" s="454"/>
      <c r="DD96" s="454"/>
      <c r="DE96" s="454"/>
      <c r="DF96" s="454"/>
      <c r="DG96" s="517"/>
      <c r="DH96" s="517"/>
      <c r="DI96" s="517"/>
      <c r="DJ96" s="517"/>
      <c r="DK96" s="517"/>
      <c r="DL96" s="517"/>
      <c r="DM96" s="517"/>
      <c r="DN96" s="517"/>
      <c r="DO96" s="517"/>
      <c r="DP96" s="517"/>
      <c r="DQ96" s="517"/>
      <c r="DR96" s="517"/>
      <c r="DS96" s="454"/>
      <c r="DT96" s="454"/>
      <c r="DU96" s="454"/>
      <c r="DV96" s="454"/>
      <c r="DW96" s="454"/>
      <c r="DX96" s="454"/>
      <c r="DY96" s="454"/>
      <c r="DZ96" s="454"/>
      <c r="EA96" s="454"/>
      <c r="EB96" s="454"/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54"/>
      <c r="FH96" s="454"/>
      <c r="FI96" s="454"/>
      <c r="FJ96" s="454"/>
      <c r="FK96" s="454"/>
      <c r="FL96" s="454"/>
      <c r="FM96" s="454"/>
      <c r="FN96" s="454"/>
      <c r="FO96" s="454"/>
      <c r="FP96" s="454"/>
      <c r="FQ96" s="290"/>
    </row>
    <row r="97" spans="1:177" s="4" customFormat="1">
      <c r="A97" s="56"/>
      <c r="B97" s="56"/>
      <c r="C97" s="522" t="s">
        <v>3634</v>
      </c>
      <c r="D97" s="522"/>
      <c r="E97" s="516">
        <v>34</v>
      </c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>
        <f t="shared" si="22"/>
        <v>34</v>
      </c>
      <c r="Q97" s="516"/>
      <c r="R97" s="516"/>
      <c r="S97" s="516"/>
      <c r="T97" s="516"/>
      <c r="U97" s="516" t="s">
        <v>1903</v>
      </c>
      <c r="V97" s="516"/>
      <c r="W97" s="516">
        <v>2</v>
      </c>
      <c r="X97" s="516"/>
      <c r="Y97" s="516"/>
      <c r="Z97" s="516"/>
      <c r="AA97" s="516"/>
      <c r="AB97" s="516"/>
      <c r="AC97" s="516"/>
      <c r="AD97" s="516"/>
      <c r="AE97" s="725"/>
      <c r="AF97" s="957">
        <v>1</v>
      </c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>
        <v>1</v>
      </c>
      <c r="AV97" s="516"/>
      <c r="AW97" s="516">
        <f t="shared" si="15"/>
        <v>1</v>
      </c>
      <c r="AX97" s="516"/>
      <c r="AY97" s="516"/>
      <c r="AZ97" s="305">
        <f t="shared" si="16"/>
        <v>2</v>
      </c>
      <c r="BA97" s="305">
        <f t="shared" si="17"/>
        <v>0</v>
      </c>
      <c r="BB97" s="516"/>
      <c r="BC97" s="516"/>
      <c r="BD97" s="516"/>
      <c r="BE97" s="516"/>
      <c r="BF97" s="516">
        <v>1</v>
      </c>
      <c r="BG97" s="516"/>
      <c r="BH97" s="516"/>
      <c r="BI97" s="516"/>
      <c r="BJ97" s="516">
        <f t="shared" si="18"/>
        <v>7</v>
      </c>
      <c r="BK97" s="516"/>
      <c r="BL97" s="516"/>
      <c r="BM97" s="516"/>
      <c r="BN97" s="516"/>
      <c r="BO97" s="516"/>
      <c r="BP97" s="516"/>
      <c r="BQ97" s="516">
        <f t="shared" si="19"/>
        <v>1</v>
      </c>
      <c r="BR97" s="516"/>
      <c r="BS97" s="516"/>
      <c r="BT97" s="516">
        <f t="shared" si="20"/>
        <v>2</v>
      </c>
      <c r="BU97" s="516"/>
      <c r="BV97" s="516"/>
      <c r="BW97" s="516"/>
      <c r="BX97" s="516"/>
      <c r="BY97" s="516"/>
      <c r="BZ97" s="516"/>
      <c r="CA97" s="516"/>
      <c r="CB97" s="516">
        <v>1</v>
      </c>
      <c r="CC97" s="516"/>
      <c r="CD97" s="516">
        <f t="shared" si="21"/>
        <v>4</v>
      </c>
      <c r="CE97" s="516"/>
      <c r="CF97" s="516"/>
      <c r="CG97" s="516"/>
      <c r="CH97" s="516"/>
      <c r="CI97" s="516"/>
      <c r="CJ97" s="516"/>
      <c r="CK97" s="516"/>
      <c r="CL97" s="516"/>
      <c r="CM97" s="516"/>
      <c r="CN97" s="516"/>
      <c r="CO97" s="516"/>
      <c r="CP97" s="516"/>
      <c r="CQ97" s="516"/>
      <c r="CR97" s="516"/>
      <c r="CS97" s="516"/>
      <c r="CT97" s="516"/>
      <c r="CU97" s="516"/>
      <c r="CV97" s="516"/>
      <c r="CW97" s="516"/>
      <c r="CX97" s="454"/>
      <c r="CY97" s="454"/>
      <c r="CZ97" s="454"/>
      <c r="DA97" s="454"/>
      <c r="DB97" s="454"/>
      <c r="DC97" s="454"/>
      <c r="DD97" s="454"/>
      <c r="DE97" s="454"/>
      <c r="DF97" s="454"/>
      <c r="DG97" s="517"/>
      <c r="DH97" s="517"/>
      <c r="DI97" s="517"/>
      <c r="DJ97" s="517"/>
      <c r="DK97" s="517"/>
      <c r="DL97" s="517"/>
      <c r="DM97" s="517"/>
      <c r="DN97" s="517"/>
      <c r="DO97" s="517"/>
      <c r="DP97" s="517"/>
      <c r="DQ97" s="517"/>
      <c r="DR97" s="517"/>
      <c r="DS97" s="454"/>
      <c r="DT97" s="454"/>
      <c r="DU97" s="454"/>
      <c r="DV97" s="454"/>
      <c r="DW97" s="454"/>
      <c r="DX97" s="454"/>
      <c r="DY97" s="454"/>
      <c r="DZ97" s="454"/>
      <c r="EA97" s="454"/>
      <c r="EB97" s="454"/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54"/>
      <c r="FH97" s="454"/>
      <c r="FI97" s="454"/>
      <c r="FJ97" s="454"/>
      <c r="FK97" s="454"/>
      <c r="FL97" s="454"/>
      <c r="FM97" s="454"/>
      <c r="FN97" s="454"/>
      <c r="FO97" s="454"/>
      <c r="FP97" s="454"/>
      <c r="FQ97" s="290"/>
    </row>
    <row r="98" spans="1:177" s="4" customFormat="1">
      <c r="A98" s="56"/>
      <c r="B98" s="56"/>
      <c r="C98" s="522" t="s">
        <v>3635</v>
      </c>
      <c r="D98" s="522"/>
      <c r="E98" s="516">
        <v>26.4</v>
      </c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>
        <f t="shared" si="22"/>
        <v>26.4</v>
      </c>
      <c r="Q98" s="516"/>
      <c r="R98" s="516"/>
      <c r="S98" s="516"/>
      <c r="T98" s="516"/>
      <c r="U98" s="516" t="s">
        <v>1903</v>
      </c>
      <c r="V98" s="516"/>
      <c r="W98" s="516"/>
      <c r="X98" s="516"/>
      <c r="Y98" s="516"/>
      <c r="Z98" s="516"/>
      <c r="AA98" s="516"/>
      <c r="AB98" s="516"/>
      <c r="AC98" s="516"/>
      <c r="AD98" s="516"/>
      <c r="AE98" s="725"/>
      <c r="AF98" s="957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>
        <f t="shared" si="15"/>
        <v>1</v>
      </c>
      <c r="AX98" s="516"/>
      <c r="AY98" s="516"/>
      <c r="AZ98" s="305">
        <f t="shared" si="16"/>
        <v>2</v>
      </c>
      <c r="BA98" s="305">
        <f t="shared" si="17"/>
        <v>0</v>
      </c>
      <c r="BB98" s="516"/>
      <c r="BC98" s="516"/>
      <c r="BD98" s="516">
        <v>1</v>
      </c>
      <c r="BE98" s="516"/>
      <c r="BF98" s="516"/>
      <c r="BG98" s="516"/>
      <c r="BH98" s="516"/>
      <c r="BI98" s="516"/>
      <c r="BJ98" s="516">
        <f t="shared" si="18"/>
        <v>5</v>
      </c>
      <c r="BK98" s="516"/>
      <c r="BL98" s="516"/>
      <c r="BM98" s="516"/>
      <c r="BN98" s="516"/>
      <c r="BO98" s="516"/>
      <c r="BP98" s="516"/>
      <c r="BQ98" s="516">
        <f t="shared" si="19"/>
        <v>1</v>
      </c>
      <c r="BR98" s="516"/>
      <c r="BS98" s="516"/>
      <c r="BT98" s="516"/>
      <c r="BU98" s="516"/>
      <c r="BV98" s="516"/>
      <c r="BW98" s="516"/>
      <c r="BX98" s="516"/>
      <c r="BY98" s="516">
        <v>2</v>
      </c>
      <c r="BZ98" s="516"/>
      <c r="CA98" s="516"/>
      <c r="CB98" s="516">
        <v>1</v>
      </c>
      <c r="CC98" s="516"/>
      <c r="CD98" s="516">
        <f t="shared" si="21"/>
        <v>4</v>
      </c>
      <c r="CE98" s="516"/>
      <c r="CF98" s="516"/>
      <c r="CG98" s="516"/>
      <c r="CH98" s="516"/>
      <c r="CI98" s="516"/>
      <c r="CJ98" s="516"/>
      <c r="CK98" s="516"/>
      <c r="CL98" s="516"/>
      <c r="CM98" s="516"/>
      <c r="CN98" s="516"/>
      <c r="CO98" s="516"/>
      <c r="CP98" s="516"/>
      <c r="CQ98" s="516"/>
      <c r="CR98" s="516"/>
      <c r="CS98" s="516"/>
      <c r="CT98" s="516"/>
      <c r="CU98" s="516"/>
      <c r="CV98" s="516"/>
      <c r="CW98" s="516"/>
      <c r="CX98" s="454"/>
      <c r="CY98" s="454"/>
      <c r="CZ98" s="454"/>
      <c r="DA98" s="454"/>
      <c r="DB98" s="454"/>
      <c r="DC98" s="454"/>
      <c r="DD98" s="454"/>
      <c r="DE98" s="454"/>
      <c r="DF98" s="454"/>
      <c r="DG98" s="517"/>
      <c r="DH98" s="517"/>
      <c r="DI98" s="517"/>
      <c r="DJ98" s="517"/>
      <c r="DK98" s="517"/>
      <c r="DL98" s="517"/>
      <c r="DM98" s="517"/>
      <c r="DN98" s="517"/>
      <c r="DO98" s="517"/>
      <c r="DP98" s="517"/>
      <c r="DQ98" s="517"/>
      <c r="DR98" s="517"/>
      <c r="DS98" s="454"/>
      <c r="DT98" s="454"/>
      <c r="DU98" s="454"/>
      <c r="DV98" s="454"/>
      <c r="DW98" s="454"/>
      <c r="DX98" s="454"/>
      <c r="DY98" s="454"/>
      <c r="DZ98" s="454"/>
      <c r="EA98" s="454"/>
      <c r="EB98" s="454"/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54"/>
      <c r="FH98" s="454"/>
      <c r="FI98" s="454"/>
      <c r="FJ98" s="454"/>
      <c r="FK98" s="454"/>
      <c r="FL98" s="454"/>
      <c r="FM98" s="454"/>
      <c r="FN98" s="454"/>
      <c r="FO98" s="454"/>
      <c r="FP98" s="454"/>
      <c r="FQ98" s="290"/>
    </row>
    <row r="99" spans="1:177" s="4" customFormat="1">
      <c r="A99" s="56"/>
      <c r="B99" s="56"/>
      <c r="C99" s="522" t="s">
        <v>3636</v>
      </c>
      <c r="D99" s="522"/>
      <c r="E99" s="516">
        <v>44</v>
      </c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>
        <f t="shared" si="22"/>
        <v>44</v>
      </c>
      <c r="Q99" s="516"/>
      <c r="R99" s="516"/>
      <c r="S99" s="516"/>
      <c r="T99" s="516"/>
      <c r="U99" s="516" t="s">
        <v>1631</v>
      </c>
      <c r="V99" s="516"/>
      <c r="W99" s="516"/>
      <c r="X99" s="516"/>
      <c r="Y99" s="516"/>
      <c r="Z99" s="516"/>
      <c r="AA99" s="516"/>
      <c r="AB99" s="516"/>
      <c r="AC99" s="516"/>
      <c r="AD99" s="516"/>
      <c r="AE99" s="725"/>
      <c r="AF99" s="957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>
        <f t="shared" si="15"/>
        <v>1</v>
      </c>
      <c r="AX99" s="516"/>
      <c r="AY99" s="516"/>
      <c r="AZ99" s="305">
        <f t="shared" si="16"/>
        <v>2</v>
      </c>
      <c r="BA99" s="305">
        <f t="shared" si="17"/>
        <v>0</v>
      </c>
      <c r="BB99" s="516"/>
      <c r="BC99" s="516"/>
      <c r="BD99" s="516">
        <v>1</v>
      </c>
      <c r="BE99" s="516"/>
      <c r="BF99" s="516"/>
      <c r="BG99" s="516"/>
      <c r="BH99" s="516"/>
      <c r="BI99" s="516"/>
      <c r="BJ99" s="516">
        <f t="shared" si="18"/>
        <v>5</v>
      </c>
      <c r="BK99" s="516"/>
      <c r="BL99" s="516"/>
      <c r="BM99" s="516"/>
      <c r="BN99" s="516"/>
      <c r="BO99" s="516"/>
      <c r="BP99" s="516"/>
      <c r="BQ99" s="516">
        <f t="shared" si="19"/>
        <v>0</v>
      </c>
      <c r="BR99" s="516"/>
      <c r="BS99" s="516"/>
      <c r="BT99" s="516">
        <f t="shared" si="20"/>
        <v>1</v>
      </c>
      <c r="BU99" s="516"/>
      <c r="BV99" s="516"/>
      <c r="BW99" s="516"/>
      <c r="BX99" s="516"/>
      <c r="BY99" s="516"/>
      <c r="BZ99" s="516"/>
      <c r="CA99" s="516"/>
      <c r="CB99" s="516">
        <v>1</v>
      </c>
      <c r="CC99" s="516"/>
      <c r="CD99" s="516">
        <f t="shared" si="21"/>
        <v>4</v>
      </c>
      <c r="CE99" s="516"/>
      <c r="CF99" s="516"/>
      <c r="CG99" s="516"/>
      <c r="CH99" s="516"/>
      <c r="CI99" s="516"/>
      <c r="CJ99" s="516"/>
      <c r="CK99" s="516"/>
      <c r="CL99" s="516"/>
      <c r="CM99" s="516"/>
      <c r="CN99" s="516"/>
      <c r="CO99" s="516"/>
      <c r="CP99" s="516"/>
      <c r="CQ99" s="516"/>
      <c r="CR99" s="516"/>
      <c r="CS99" s="516"/>
      <c r="CT99" s="516"/>
      <c r="CU99" s="516"/>
      <c r="CV99" s="516"/>
      <c r="CW99" s="516"/>
      <c r="CX99" s="454"/>
      <c r="CY99" s="454"/>
      <c r="CZ99" s="454"/>
      <c r="DA99" s="454"/>
      <c r="DB99" s="454"/>
      <c r="DC99" s="454"/>
      <c r="DD99" s="454"/>
      <c r="DE99" s="454"/>
      <c r="DF99" s="454"/>
      <c r="DG99" s="517"/>
      <c r="DH99" s="517"/>
      <c r="DI99" s="517"/>
      <c r="DJ99" s="517"/>
      <c r="DK99" s="517"/>
      <c r="DL99" s="517"/>
      <c r="DM99" s="517"/>
      <c r="DN99" s="517"/>
      <c r="DO99" s="517"/>
      <c r="DP99" s="517"/>
      <c r="DQ99" s="517"/>
      <c r="DR99" s="517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/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54"/>
      <c r="FH99" s="454"/>
      <c r="FI99" s="454"/>
      <c r="FJ99" s="454"/>
      <c r="FK99" s="454"/>
      <c r="FL99" s="454"/>
      <c r="FM99" s="454"/>
      <c r="FN99" s="454"/>
      <c r="FO99" s="454"/>
      <c r="FP99" s="454"/>
      <c r="FQ99" s="290"/>
    </row>
    <row r="100" spans="1:177" s="4" customFormat="1">
      <c r="A100" s="56"/>
      <c r="B100" s="56"/>
      <c r="C100" s="522" t="s">
        <v>3637</v>
      </c>
      <c r="D100" s="522"/>
      <c r="E100" s="516">
        <v>47.8</v>
      </c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>
        <f t="shared" si="22"/>
        <v>47.8</v>
      </c>
      <c r="Q100" s="516"/>
      <c r="R100" s="516"/>
      <c r="S100" s="516"/>
      <c r="T100" s="516"/>
      <c r="U100" s="516" t="s">
        <v>1631</v>
      </c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725"/>
      <c r="AF100" s="957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>
        <f t="shared" si="15"/>
        <v>1</v>
      </c>
      <c r="AX100" s="516"/>
      <c r="AY100" s="516"/>
      <c r="AZ100" s="305">
        <f t="shared" si="16"/>
        <v>2</v>
      </c>
      <c r="BA100" s="305">
        <f t="shared" si="17"/>
        <v>0</v>
      </c>
      <c r="BB100" s="516"/>
      <c r="BC100" s="516"/>
      <c r="BD100" s="516">
        <v>1</v>
      </c>
      <c r="BE100" s="516"/>
      <c r="BF100" s="516"/>
      <c r="BG100" s="516"/>
      <c r="BH100" s="516"/>
      <c r="BI100" s="516"/>
      <c r="BJ100" s="516">
        <f t="shared" si="18"/>
        <v>5</v>
      </c>
      <c r="BK100" s="516"/>
      <c r="BL100" s="516"/>
      <c r="BM100" s="516"/>
      <c r="BN100" s="516"/>
      <c r="BO100" s="516"/>
      <c r="BP100" s="516"/>
      <c r="BQ100" s="516">
        <f t="shared" si="19"/>
        <v>0</v>
      </c>
      <c r="BR100" s="516"/>
      <c r="BS100" s="516"/>
      <c r="BT100" s="516">
        <f t="shared" si="20"/>
        <v>1</v>
      </c>
      <c r="BU100" s="516"/>
      <c r="BV100" s="516"/>
      <c r="BW100" s="516"/>
      <c r="BX100" s="516"/>
      <c r="BY100" s="516"/>
      <c r="BZ100" s="516"/>
      <c r="CA100" s="516"/>
      <c r="CB100" s="516">
        <v>1</v>
      </c>
      <c r="CC100" s="516"/>
      <c r="CD100" s="516">
        <f t="shared" si="21"/>
        <v>4</v>
      </c>
      <c r="CE100" s="516"/>
      <c r="CF100" s="516"/>
      <c r="CG100" s="516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454"/>
      <c r="CY100" s="454"/>
      <c r="CZ100" s="454"/>
      <c r="DA100" s="454"/>
      <c r="DB100" s="454"/>
      <c r="DC100" s="454"/>
      <c r="DD100" s="454"/>
      <c r="DE100" s="454"/>
      <c r="DF100" s="454"/>
      <c r="DG100" s="517"/>
      <c r="DH100" s="517"/>
      <c r="DI100" s="517"/>
      <c r="DJ100" s="517"/>
      <c r="DK100" s="517"/>
      <c r="DL100" s="517"/>
      <c r="DM100" s="517"/>
      <c r="DN100" s="517"/>
      <c r="DO100" s="517"/>
      <c r="DP100" s="517"/>
      <c r="DQ100" s="517"/>
      <c r="DR100" s="517"/>
      <c r="DS100" s="454"/>
      <c r="DT100" s="454"/>
      <c r="DU100" s="454"/>
      <c r="DV100" s="454"/>
      <c r="DW100" s="454"/>
      <c r="DX100" s="454"/>
      <c r="DY100" s="454"/>
      <c r="DZ100" s="454"/>
      <c r="EA100" s="454"/>
      <c r="EB100" s="454"/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54"/>
      <c r="FH100" s="454"/>
      <c r="FI100" s="454"/>
      <c r="FJ100" s="454"/>
      <c r="FK100" s="454"/>
      <c r="FL100" s="454"/>
      <c r="FM100" s="454"/>
      <c r="FN100" s="454"/>
      <c r="FO100" s="454"/>
      <c r="FP100" s="454"/>
      <c r="FQ100" s="290"/>
    </row>
    <row r="101" spans="1:177" s="4" customFormat="1">
      <c r="A101" s="56"/>
      <c r="B101" s="56"/>
      <c r="C101" s="522" t="s">
        <v>3638</v>
      </c>
      <c r="D101" s="522"/>
      <c r="E101" s="516">
        <v>45.3</v>
      </c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>
        <f t="shared" si="22"/>
        <v>45.3</v>
      </c>
      <c r="Q101" s="516"/>
      <c r="R101" s="516"/>
      <c r="S101" s="516"/>
      <c r="T101" s="516"/>
      <c r="U101" s="516" t="s">
        <v>1631</v>
      </c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725"/>
      <c r="AF101" s="957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>
        <v>1</v>
      </c>
      <c r="AV101" s="516"/>
      <c r="AW101" s="516"/>
      <c r="AX101" s="516"/>
      <c r="AY101" s="516"/>
      <c r="AZ101" s="305">
        <f t="shared" si="16"/>
        <v>1</v>
      </c>
      <c r="BA101" s="305">
        <f t="shared" si="17"/>
        <v>0</v>
      </c>
      <c r="BB101" s="516"/>
      <c r="BC101" s="516"/>
      <c r="BD101" s="516">
        <v>1</v>
      </c>
      <c r="BE101" s="516"/>
      <c r="BF101" s="516"/>
      <c r="BG101" s="516"/>
      <c r="BH101" s="516"/>
      <c r="BI101" s="516"/>
      <c r="BJ101" s="516">
        <f t="shared" si="18"/>
        <v>7</v>
      </c>
      <c r="BK101" s="516"/>
      <c r="BL101" s="516"/>
      <c r="BM101" s="516"/>
      <c r="BN101" s="516"/>
      <c r="BO101" s="516"/>
      <c r="BP101" s="516"/>
      <c r="BQ101" s="516">
        <f t="shared" si="19"/>
        <v>0</v>
      </c>
      <c r="BR101" s="516"/>
      <c r="BS101" s="516"/>
      <c r="BT101" s="516">
        <f t="shared" si="20"/>
        <v>1</v>
      </c>
      <c r="BU101" s="516"/>
      <c r="BV101" s="516"/>
      <c r="BW101" s="516"/>
      <c r="BX101" s="516"/>
      <c r="BY101" s="516"/>
      <c r="BZ101" s="516"/>
      <c r="CA101" s="516"/>
      <c r="CB101" s="516">
        <v>1</v>
      </c>
      <c r="CC101" s="516"/>
      <c r="CD101" s="516">
        <f t="shared" si="21"/>
        <v>4</v>
      </c>
      <c r="CE101" s="516"/>
      <c r="CF101" s="516"/>
      <c r="CG101" s="516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454"/>
      <c r="CY101" s="454"/>
      <c r="CZ101" s="454"/>
      <c r="DA101" s="454"/>
      <c r="DB101" s="454"/>
      <c r="DC101" s="454"/>
      <c r="DD101" s="454"/>
      <c r="DE101" s="454"/>
      <c r="DF101" s="454"/>
      <c r="DG101" s="517"/>
      <c r="DH101" s="517"/>
      <c r="DI101" s="517"/>
      <c r="DJ101" s="517"/>
      <c r="DK101" s="517"/>
      <c r="DL101" s="517"/>
      <c r="DM101" s="517"/>
      <c r="DN101" s="517"/>
      <c r="DO101" s="517"/>
      <c r="DP101" s="517"/>
      <c r="DQ101" s="517"/>
      <c r="DR101" s="517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/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454"/>
      <c r="FH101" s="454"/>
      <c r="FI101" s="454"/>
      <c r="FJ101" s="454"/>
      <c r="FK101" s="454"/>
      <c r="FL101" s="454"/>
      <c r="FM101" s="454"/>
      <c r="FN101" s="454"/>
      <c r="FO101" s="454"/>
      <c r="FP101" s="454"/>
      <c r="FQ101" s="290"/>
    </row>
    <row r="102" spans="1:177" s="4" customFormat="1">
      <c r="A102" s="56"/>
      <c r="B102" s="56"/>
      <c r="C102" s="522" t="s">
        <v>3639</v>
      </c>
      <c r="D102" s="522"/>
      <c r="E102" s="516">
        <v>40</v>
      </c>
      <c r="F102" s="516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>
        <f t="shared" si="22"/>
        <v>40</v>
      </c>
      <c r="Q102" s="516"/>
      <c r="R102" s="516"/>
      <c r="S102" s="516"/>
      <c r="T102" s="516"/>
      <c r="U102" s="516" t="s">
        <v>1631</v>
      </c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725"/>
      <c r="AF102" s="957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/>
      <c r="AV102" s="516"/>
      <c r="AW102" s="516">
        <f t="shared" si="15"/>
        <v>1</v>
      </c>
      <c r="AX102" s="516"/>
      <c r="AY102" s="516"/>
      <c r="AZ102" s="305">
        <f t="shared" si="16"/>
        <v>2</v>
      </c>
      <c r="BA102" s="305">
        <f t="shared" si="17"/>
        <v>0</v>
      </c>
      <c r="BB102" s="516"/>
      <c r="BC102" s="516"/>
      <c r="BD102" s="516">
        <v>1</v>
      </c>
      <c r="BE102" s="516"/>
      <c r="BF102" s="516"/>
      <c r="BG102" s="516"/>
      <c r="BH102" s="516"/>
      <c r="BI102" s="516"/>
      <c r="BJ102" s="516">
        <f t="shared" si="18"/>
        <v>5</v>
      </c>
      <c r="BK102" s="516"/>
      <c r="BL102" s="516"/>
      <c r="BM102" s="516"/>
      <c r="BN102" s="516"/>
      <c r="BO102" s="516"/>
      <c r="BP102" s="516"/>
      <c r="BQ102" s="516">
        <f t="shared" si="19"/>
        <v>0</v>
      </c>
      <c r="BR102" s="516"/>
      <c r="BS102" s="516"/>
      <c r="BT102" s="516">
        <f t="shared" si="20"/>
        <v>1</v>
      </c>
      <c r="BU102" s="516"/>
      <c r="BV102" s="516"/>
      <c r="BW102" s="516"/>
      <c r="BX102" s="516"/>
      <c r="BY102" s="516"/>
      <c r="BZ102" s="516"/>
      <c r="CA102" s="516"/>
      <c r="CB102" s="516">
        <v>1</v>
      </c>
      <c r="CC102" s="516"/>
      <c r="CD102" s="516">
        <f t="shared" si="21"/>
        <v>4</v>
      </c>
      <c r="CE102" s="516"/>
      <c r="CF102" s="516"/>
      <c r="CG102" s="516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454"/>
      <c r="CY102" s="454"/>
      <c r="CZ102" s="454"/>
      <c r="DA102" s="454"/>
      <c r="DB102" s="454"/>
      <c r="DC102" s="454"/>
      <c r="DD102" s="454"/>
      <c r="DE102" s="454"/>
      <c r="DF102" s="454"/>
      <c r="DG102" s="517"/>
      <c r="DH102" s="517"/>
      <c r="DI102" s="517"/>
      <c r="DJ102" s="517"/>
      <c r="DK102" s="517"/>
      <c r="DL102" s="517"/>
      <c r="DM102" s="517"/>
      <c r="DN102" s="517"/>
      <c r="DO102" s="517"/>
      <c r="DP102" s="517"/>
      <c r="DQ102" s="517"/>
      <c r="DR102" s="517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/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454"/>
      <c r="FH102" s="454"/>
      <c r="FI102" s="454"/>
      <c r="FJ102" s="454"/>
      <c r="FK102" s="454"/>
      <c r="FL102" s="454"/>
      <c r="FM102" s="454"/>
      <c r="FN102" s="454"/>
      <c r="FO102" s="454"/>
      <c r="FP102" s="454"/>
      <c r="FQ102" s="290"/>
    </row>
    <row r="103" spans="1:177" s="4" customFormat="1">
      <c r="A103" s="56"/>
      <c r="B103" s="56"/>
      <c r="C103" s="522" t="s">
        <v>3640</v>
      </c>
      <c r="D103" s="522"/>
      <c r="E103" s="516">
        <v>45</v>
      </c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>
        <f t="shared" si="22"/>
        <v>45</v>
      </c>
      <c r="Q103" s="516"/>
      <c r="R103" s="516"/>
      <c r="S103" s="516"/>
      <c r="T103" s="516"/>
      <c r="U103" s="516" t="s">
        <v>1903</v>
      </c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725"/>
      <c r="AF103" s="957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305">
        <f t="shared" si="16"/>
        <v>1</v>
      </c>
      <c r="BA103" s="305">
        <f t="shared" si="17"/>
        <v>0</v>
      </c>
      <c r="BB103" s="516"/>
      <c r="BC103" s="516"/>
      <c r="BD103" s="516">
        <v>1</v>
      </c>
      <c r="BE103" s="516"/>
      <c r="BF103" s="516"/>
      <c r="BG103" s="516"/>
      <c r="BH103" s="516"/>
      <c r="BI103" s="516"/>
      <c r="BJ103" s="516">
        <f t="shared" si="18"/>
        <v>5</v>
      </c>
      <c r="BK103" s="516"/>
      <c r="BL103" s="516"/>
      <c r="BM103" s="516"/>
      <c r="BN103" s="516"/>
      <c r="BO103" s="516"/>
      <c r="BP103" s="516"/>
      <c r="BQ103" s="516">
        <f t="shared" si="19"/>
        <v>1</v>
      </c>
      <c r="BR103" s="516"/>
      <c r="BS103" s="516"/>
      <c r="BT103" s="516">
        <f t="shared" si="20"/>
        <v>2</v>
      </c>
      <c r="BU103" s="516"/>
      <c r="BV103" s="516"/>
      <c r="BW103" s="516"/>
      <c r="BX103" s="516"/>
      <c r="BY103" s="516"/>
      <c r="BZ103" s="516"/>
      <c r="CA103" s="516"/>
      <c r="CB103" s="516">
        <v>1</v>
      </c>
      <c r="CC103" s="516"/>
      <c r="CD103" s="516">
        <f t="shared" si="21"/>
        <v>4</v>
      </c>
      <c r="CE103" s="516"/>
      <c r="CF103" s="516"/>
      <c r="CG103" s="516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454"/>
      <c r="CY103" s="454"/>
      <c r="CZ103" s="454"/>
      <c r="DA103" s="454"/>
      <c r="DB103" s="454"/>
      <c r="DC103" s="454"/>
      <c r="DD103" s="454"/>
      <c r="DE103" s="454"/>
      <c r="DF103" s="454"/>
      <c r="DG103" s="517"/>
      <c r="DH103" s="517"/>
      <c r="DI103" s="517"/>
      <c r="DJ103" s="517"/>
      <c r="DK103" s="517"/>
      <c r="DL103" s="517"/>
      <c r="DM103" s="517"/>
      <c r="DN103" s="517"/>
      <c r="DO103" s="517"/>
      <c r="DP103" s="517"/>
      <c r="DQ103" s="517"/>
      <c r="DR103" s="517"/>
      <c r="DS103" s="454"/>
      <c r="DT103" s="454"/>
      <c r="DU103" s="454"/>
      <c r="DV103" s="454"/>
      <c r="DW103" s="454"/>
      <c r="DX103" s="454"/>
      <c r="DY103" s="454"/>
      <c r="DZ103" s="454"/>
      <c r="EA103" s="454"/>
      <c r="EB103" s="454"/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454"/>
      <c r="FH103" s="454"/>
      <c r="FI103" s="454"/>
      <c r="FJ103" s="454"/>
      <c r="FK103" s="454"/>
      <c r="FL103" s="454"/>
      <c r="FM103" s="454"/>
      <c r="FN103" s="454"/>
      <c r="FO103" s="454"/>
      <c r="FP103" s="454"/>
      <c r="FQ103" s="290"/>
    </row>
    <row r="104" spans="1:177" s="4" customFormat="1">
      <c r="A104" s="56"/>
      <c r="B104" s="56"/>
      <c r="C104" s="522" t="s">
        <v>3641</v>
      </c>
      <c r="D104" s="522"/>
      <c r="E104" s="516">
        <v>44.5</v>
      </c>
      <c r="F104" s="516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>
        <f t="shared" si="22"/>
        <v>44.5</v>
      </c>
      <c r="Q104" s="516"/>
      <c r="R104" s="516"/>
      <c r="S104" s="516"/>
      <c r="T104" s="516"/>
      <c r="U104" s="516" t="s">
        <v>1903</v>
      </c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725"/>
      <c r="AF104" s="957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/>
      <c r="AX104" s="516"/>
      <c r="AY104" s="516"/>
      <c r="AZ104" s="305">
        <f t="shared" si="16"/>
        <v>1</v>
      </c>
      <c r="BA104" s="305">
        <f t="shared" si="17"/>
        <v>0</v>
      </c>
      <c r="BB104" s="516"/>
      <c r="BC104" s="516"/>
      <c r="BD104" s="516">
        <v>1</v>
      </c>
      <c r="BE104" s="516"/>
      <c r="BF104" s="516"/>
      <c r="BG104" s="516"/>
      <c r="BH104" s="516"/>
      <c r="BI104" s="516"/>
      <c r="BJ104" s="516">
        <f t="shared" si="18"/>
        <v>5</v>
      </c>
      <c r="BK104" s="516"/>
      <c r="BL104" s="516"/>
      <c r="BM104" s="516"/>
      <c r="BN104" s="516"/>
      <c r="BO104" s="516"/>
      <c r="BP104" s="516"/>
      <c r="BQ104" s="516">
        <f t="shared" si="19"/>
        <v>1</v>
      </c>
      <c r="BR104" s="516"/>
      <c r="BS104" s="516"/>
      <c r="BT104" s="516">
        <f t="shared" si="20"/>
        <v>2</v>
      </c>
      <c r="BU104" s="516"/>
      <c r="BV104" s="516"/>
      <c r="BW104" s="516"/>
      <c r="BX104" s="516"/>
      <c r="BY104" s="516"/>
      <c r="BZ104" s="516"/>
      <c r="CA104" s="516"/>
      <c r="CB104" s="516">
        <v>1</v>
      </c>
      <c r="CC104" s="516"/>
      <c r="CD104" s="516">
        <f t="shared" si="21"/>
        <v>4</v>
      </c>
      <c r="CE104" s="516"/>
      <c r="CF104" s="516"/>
      <c r="CG104" s="516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454"/>
      <c r="CY104" s="454"/>
      <c r="CZ104" s="454"/>
      <c r="DA104" s="454"/>
      <c r="DB104" s="454"/>
      <c r="DC104" s="454"/>
      <c r="DD104" s="454"/>
      <c r="DE104" s="454"/>
      <c r="DF104" s="454"/>
      <c r="DG104" s="517"/>
      <c r="DH104" s="517"/>
      <c r="DI104" s="517"/>
      <c r="DJ104" s="517"/>
      <c r="DK104" s="517"/>
      <c r="DL104" s="517"/>
      <c r="DM104" s="517"/>
      <c r="DN104" s="517"/>
      <c r="DO104" s="517"/>
      <c r="DP104" s="517"/>
      <c r="DQ104" s="517"/>
      <c r="DR104" s="517"/>
      <c r="DS104" s="454"/>
      <c r="DT104" s="454"/>
      <c r="DU104" s="454"/>
      <c r="DV104" s="454"/>
      <c r="DW104" s="454"/>
      <c r="DX104" s="454"/>
      <c r="DY104" s="454"/>
      <c r="DZ104" s="454"/>
      <c r="EA104" s="454"/>
      <c r="EB104" s="454"/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454"/>
      <c r="FH104" s="454"/>
      <c r="FI104" s="454"/>
      <c r="FJ104" s="454"/>
      <c r="FK104" s="454"/>
      <c r="FL104" s="454"/>
      <c r="FM104" s="454"/>
      <c r="FN104" s="454"/>
      <c r="FO104" s="454"/>
      <c r="FP104" s="454"/>
      <c r="FQ104" s="290"/>
    </row>
    <row r="105" spans="1:177" s="4" customFormat="1">
      <c r="A105" s="56"/>
      <c r="B105" s="56"/>
      <c r="C105" s="522" t="s">
        <v>3647</v>
      </c>
      <c r="D105" s="522"/>
      <c r="E105" s="516">
        <v>40.6</v>
      </c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>
        <f t="shared" si="22"/>
        <v>40.6</v>
      </c>
      <c r="Q105" s="516"/>
      <c r="R105" s="516"/>
      <c r="S105" s="516"/>
      <c r="T105" s="516"/>
      <c r="U105" s="516" t="s">
        <v>2990</v>
      </c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725"/>
      <c r="AF105" s="957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>
        <v>1</v>
      </c>
      <c r="AV105" s="516"/>
      <c r="AW105" s="516">
        <f t="shared" si="15"/>
        <v>1</v>
      </c>
      <c r="AX105" s="516"/>
      <c r="AY105" s="516"/>
      <c r="AZ105" s="305">
        <f t="shared" si="16"/>
        <v>2</v>
      </c>
      <c r="BA105" s="305">
        <f t="shared" si="17"/>
        <v>0</v>
      </c>
      <c r="BB105" s="516"/>
      <c r="BC105" s="516"/>
      <c r="BD105" s="516">
        <v>1</v>
      </c>
      <c r="BE105" s="516"/>
      <c r="BF105" s="516"/>
      <c r="BG105" s="516"/>
      <c r="BH105" s="516"/>
      <c r="BI105" s="516"/>
      <c r="BJ105" s="516">
        <f t="shared" si="18"/>
        <v>7</v>
      </c>
      <c r="BK105" s="516"/>
      <c r="BL105" s="516"/>
      <c r="BM105" s="516"/>
      <c r="BN105" s="516"/>
      <c r="BO105" s="516"/>
      <c r="BP105" s="516"/>
      <c r="BQ105" s="516">
        <f t="shared" si="19"/>
        <v>0</v>
      </c>
      <c r="BR105" s="516"/>
      <c r="BS105" s="516"/>
      <c r="BT105" s="516">
        <f t="shared" si="20"/>
        <v>0</v>
      </c>
      <c r="BU105" s="516"/>
      <c r="BV105" s="516"/>
      <c r="BW105" s="516"/>
      <c r="BX105" s="516"/>
      <c r="BY105" s="516">
        <v>1</v>
      </c>
      <c r="BZ105" s="516"/>
      <c r="CA105" s="516"/>
      <c r="CB105" s="516">
        <v>1</v>
      </c>
      <c r="CC105" s="516"/>
      <c r="CD105" s="516">
        <f t="shared" si="21"/>
        <v>4</v>
      </c>
      <c r="CE105" s="516"/>
      <c r="CF105" s="516"/>
      <c r="CG105" s="516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454"/>
      <c r="CY105" s="454"/>
      <c r="CZ105" s="454"/>
      <c r="DA105" s="454"/>
      <c r="DB105" s="454"/>
      <c r="DC105" s="454"/>
      <c r="DD105" s="454"/>
      <c r="DE105" s="454"/>
      <c r="DF105" s="454"/>
      <c r="DG105" s="517"/>
      <c r="DH105" s="517"/>
      <c r="DI105" s="517"/>
      <c r="DJ105" s="517"/>
      <c r="DK105" s="517"/>
      <c r="DL105" s="517"/>
      <c r="DM105" s="517"/>
      <c r="DN105" s="517"/>
      <c r="DO105" s="517"/>
      <c r="DP105" s="517"/>
      <c r="DQ105" s="517"/>
      <c r="DR105" s="517"/>
      <c r="DS105" s="454"/>
      <c r="DT105" s="454"/>
      <c r="DU105" s="454"/>
      <c r="DV105" s="454"/>
      <c r="DW105" s="454"/>
      <c r="DX105" s="454"/>
      <c r="DY105" s="454"/>
      <c r="DZ105" s="454"/>
      <c r="EA105" s="454"/>
      <c r="EB105" s="454"/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454"/>
      <c r="FH105" s="454"/>
      <c r="FI105" s="454"/>
      <c r="FJ105" s="454"/>
      <c r="FK105" s="454"/>
      <c r="FL105" s="454"/>
      <c r="FM105" s="454"/>
      <c r="FN105" s="454"/>
      <c r="FO105" s="454"/>
      <c r="FP105" s="454"/>
      <c r="FQ105" s="290"/>
    </row>
    <row r="106" spans="1:177" s="4" customFormat="1">
      <c r="A106" s="56"/>
      <c r="B106" s="56"/>
      <c r="C106" s="522"/>
      <c r="D106" s="522"/>
      <c r="E106" s="516"/>
      <c r="F106" s="516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725"/>
      <c r="AF106" s="957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/>
      <c r="AV106" s="516"/>
      <c r="AW106" s="516"/>
      <c r="AX106" s="516"/>
      <c r="AY106" s="516"/>
      <c r="AZ106" s="305">
        <f t="shared" si="16"/>
        <v>0</v>
      </c>
      <c r="BA106" s="305">
        <f t="shared" si="17"/>
        <v>0</v>
      </c>
      <c r="BB106" s="516"/>
      <c r="BC106" s="516"/>
      <c r="BD106" s="516"/>
      <c r="BE106" s="516"/>
      <c r="BF106" s="516"/>
      <c r="BG106" s="516"/>
      <c r="BH106" s="516"/>
      <c r="BI106" s="516"/>
      <c r="BJ106" s="516">
        <f t="shared" si="18"/>
        <v>0</v>
      </c>
      <c r="BK106" s="516"/>
      <c r="BL106" s="516"/>
      <c r="BM106" s="516"/>
      <c r="BN106" s="516"/>
      <c r="BO106" s="516"/>
      <c r="BP106" s="516"/>
      <c r="BQ106" s="516">
        <f t="shared" si="19"/>
        <v>0</v>
      </c>
      <c r="BR106" s="516"/>
      <c r="BS106" s="516"/>
      <c r="BT106" s="516">
        <f t="shared" si="20"/>
        <v>0</v>
      </c>
      <c r="BU106" s="516"/>
      <c r="BV106" s="516"/>
      <c r="BW106" s="516"/>
      <c r="BX106" s="516"/>
      <c r="BY106" s="516"/>
      <c r="BZ106" s="516"/>
      <c r="CA106" s="516"/>
      <c r="CB106" s="516"/>
      <c r="CC106" s="516"/>
      <c r="CD106" s="516"/>
      <c r="CE106" s="516"/>
      <c r="CF106" s="516"/>
      <c r="CG106" s="516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454"/>
      <c r="CY106" s="454"/>
      <c r="CZ106" s="454"/>
      <c r="DA106" s="454"/>
      <c r="DB106" s="454"/>
      <c r="DC106" s="454"/>
      <c r="DD106" s="454"/>
      <c r="DE106" s="454"/>
      <c r="DF106" s="454"/>
      <c r="DG106" s="517"/>
      <c r="DH106" s="517"/>
      <c r="DI106" s="517"/>
      <c r="DJ106" s="517"/>
      <c r="DK106" s="517"/>
      <c r="DL106" s="517"/>
      <c r="DM106" s="517"/>
      <c r="DN106" s="517"/>
      <c r="DO106" s="517"/>
      <c r="DP106" s="517"/>
      <c r="DQ106" s="517"/>
      <c r="DR106" s="517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/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454"/>
      <c r="FH106" s="454"/>
      <c r="FI106" s="454"/>
      <c r="FJ106" s="454"/>
      <c r="FK106" s="454"/>
      <c r="FL106" s="454"/>
      <c r="FM106" s="454"/>
      <c r="FN106" s="454"/>
      <c r="FO106" s="454"/>
      <c r="FP106" s="454"/>
      <c r="FQ106" s="290"/>
    </row>
    <row r="107" spans="1:177" s="4" customFormat="1">
      <c r="A107" s="56"/>
      <c r="B107" s="56"/>
      <c r="C107" s="522"/>
      <c r="D107" s="522"/>
      <c r="E107" s="516"/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725"/>
      <c r="AF107" s="957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/>
      <c r="AX107" s="516"/>
      <c r="AY107" s="516"/>
      <c r="AZ107" s="305">
        <f t="shared" si="16"/>
        <v>0</v>
      </c>
      <c r="BA107" s="305">
        <f t="shared" si="17"/>
        <v>0</v>
      </c>
      <c r="BB107" s="516"/>
      <c r="BC107" s="516"/>
      <c r="BD107" s="516"/>
      <c r="BE107" s="516"/>
      <c r="BF107" s="516"/>
      <c r="BG107" s="516"/>
      <c r="BH107" s="516"/>
      <c r="BI107" s="516"/>
      <c r="BJ107" s="516">
        <f t="shared" si="18"/>
        <v>0</v>
      </c>
      <c r="BK107" s="516"/>
      <c r="BL107" s="516"/>
      <c r="BM107" s="516"/>
      <c r="BN107" s="516"/>
      <c r="BO107" s="516"/>
      <c r="BP107" s="516"/>
      <c r="BQ107" s="516">
        <f t="shared" si="19"/>
        <v>0</v>
      </c>
      <c r="BR107" s="516"/>
      <c r="BS107" s="516"/>
      <c r="BT107" s="516">
        <f t="shared" si="20"/>
        <v>0</v>
      </c>
      <c r="BU107" s="516"/>
      <c r="BV107" s="516"/>
      <c r="BW107" s="516"/>
      <c r="BX107" s="516"/>
      <c r="BY107" s="516"/>
      <c r="BZ107" s="516"/>
      <c r="CA107" s="516"/>
      <c r="CB107" s="516"/>
      <c r="CC107" s="516"/>
      <c r="CD107" s="516"/>
      <c r="CE107" s="516"/>
      <c r="CF107" s="516"/>
      <c r="CG107" s="516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454"/>
      <c r="CY107" s="454"/>
      <c r="CZ107" s="454"/>
      <c r="DA107" s="454"/>
      <c r="DB107" s="454"/>
      <c r="DC107" s="454"/>
      <c r="DD107" s="454"/>
      <c r="DE107" s="454"/>
      <c r="DF107" s="454"/>
      <c r="DG107" s="517"/>
      <c r="DH107" s="517"/>
      <c r="DI107" s="517"/>
      <c r="DJ107" s="517"/>
      <c r="DK107" s="517"/>
      <c r="DL107" s="517"/>
      <c r="DM107" s="517"/>
      <c r="DN107" s="517"/>
      <c r="DO107" s="517"/>
      <c r="DP107" s="517"/>
      <c r="DQ107" s="517"/>
      <c r="DR107" s="517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/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454"/>
      <c r="FH107" s="454"/>
      <c r="FI107" s="454"/>
      <c r="FJ107" s="454"/>
      <c r="FK107" s="454"/>
      <c r="FL107" s="454"/>
      <c r="FM107" s="454"/>
      <c r="FN107" s="454"/>
      <c r="FO107" s="454"/>
      <c r="FP107" s="454"/>
      <c r="FQ107" s="290"/>
    </row>
    <row r="108" spans="1:177" s="4" customFormat="1">
      <c r="A108" s="486">
        <f>MATCH(C108,$C$5:$C$700,0)</f>
        <v>104</v>
      </c>
      <c r="B108" s="56"/>
      <c r="C108" s="507" t="s">
        <v>1567</v>
      </c>
      <c r="D108" s="507"/>
      <c r="E108" s="591">
        <f t="shared" ref="E108:AK108" si="23">SUM(E70:E107)</f>
        <v>946.39999999999986</v>
      </c>
      <c r="F108" s="508">
        <f t="shared" si="23"/>
        <v>0</v>
      </c>
      <c r="G108" s="508">
        <f t="shared" si="23"/>
        <v>0</v>
      </c>
      <c r="H108" s="508">
        <f t="shared" si="23"/>
        <v>0</v>
      </c>
      <c r="I108" s="508">
        <f t="shared" si="23"/>
        <v>0</v>
      </c>
      <c r="J108" s="508">
        <f t="shared" si="23"/>
        <v>0</v>
      </c>
      <c r="K108" s="508">
        <f t="shared" si="23"/>
        <v>0</v>
      </c>
      <c r="L108" s="508">
        <f t="shared" si="23"/>
        <v>0</v>
      </c>
      <c r="M108" s="508">
        <f t="shared" si="23"/>
        <v>0</v>
      </c>
      <c r="N108" s="508">
        <f t="shared" si="23"/>
        <v>0</v>
      </c>
      <c r="O108" s="508">
        <f t="shared" si="23"/>
        <v>0</v>
      </c>
      <c r="P108" s="508">
        <f t="shared" si="23"/>
        <v>946.39999999999986</v>
      </c>
      <c r="Q108" s="508">
        <f t="shared" si="23"/>
        <v>0</v>
      </c>
      <c r="R108" s="508">
        <f t="shared" si="23"/>
        <v>0</v>
      </c>
      <c r="S108" s="508">
        <f t="shared" si="23"/>
        <v>0</v>
      </c>
      <c r="T108" s="508">
        <f t="shared" si="23"/>
        <v>0</v>
      </c>
      <c r="U108" s="509">
        <f t="shared" si="23"/>
        <v>0</v>
      </c>
      <c r="V108" s="509">
        <f t="shared" si="23"/>
        <v>0</v>
      </c>
      <c r="W108" s="509">
        <f t="shared" si="23"/>
        <v>4</v>
      </c>
      <c r="X108" s="509">
        <f t="shared" si="23"/>
        <v>0</v>
      </c>
      <c r="Y108" s="509">
        <f t="shared" si="23"/>
        <v>0</v>
      </c>
      <c r="Z108" s="509">
        <f t="shared" si="23"/>
        <v>0</v>
      </c>
      <c r="AA108" s="509">
        <f t="shared" si="23"/>
        <v>0</v>
      </c>
      <c r="AB108" s="509">
        <f t="shared" si="23"/>
        <v>0</v>
      </c>
      <c r="AC108" s="509">
        <f t="shared" si="23"/>
        <v>0</v>
      </c>
      <c r="AD108" s="509">
        <f t="shared" si="23"/>
        <v>0</v>
      </c>
      <c r="AE108" s="511">
        <f t="shared" si="23"/>
        <v>0</v>
      </c>
      <c r="AF108" s="958">
        <f t="shared" si="23"/>
        <v>2</v>
      </c>
      <c r="AG108" s="509">
        <f t="shared" si="23"/>
        <v>0</v>
      </c>
      <c r="AH108" s="509">
        <f t="shared" si="23"/>
        <v>0</v>
      </c>
      <c r="AI108" s="509">
        <f t="shared" si="23"/>
        <v>0</v>
      </c>
      <c r="AJ108" s="509">
        <f t="shared" si="23"/>
        <v>0</v>
      </c>
      <c r="AK108" s="509">
        <f t="shared" si="23"/>
        <v>0</v>
      </c>
      <c r="AL108" s="509">
        <f t="shared" ref="AL108:BQ108" si="24">SUM(AL70:AL107)</f>
        <v>0</v>
      </c>
      <c r="AM108" s="509">
        <f t="shared" si="24"/>
        <v>0</v>
      </c>
      <c r="AN108" s="509">
        <f t="shared" si="24"/>
        <v>0</v>
      </c>
      <c r="AO108" s="509">
        <f t="shared" si="24"/>
        <v>0</v>
      </c>
      <c r="AP108" s="509">
        <f t="shared" si="24"/>
        <v>0</v>
      </c>
      <c r="AQ108" s="509">
        <f t="shared" si="24"/>
        <v>0</v>
      </c>
      <c r="AR108" s="509">
        <f t="shared" si="24"/>
        <v>0</v>
      </c>
      <c r="AS108" s="509">
        <f t="shared" si="24"/>
        <v>0</v>
      </c>
      <c r="AT108" s="509">
        <f t="shared" si="24"/>
        <v>0</v>
      </c>
      <c r="AU108" s="509">
        <f t="shared" si="24"/>
        <v>6</v>
      </c>
      <c r="AV108" s="509">
        <f t="shared" si="24"/>
        <v>0</v>
      </c>
      <c r="AW108" s="509">
        <f t="shared" si="24"/>
        <v>30</v>
      </c>
      <c r="AX108" s="509">
        <f t="shared" si="24"/>
        <v>0</v>
      </c>
      <c r="AY108" s="509">
        <f t="shared" si="24"/>
        <v>0</v>
      </c>
      <c r="AZ108" s="509">
        <f t="shared" si="24"/>
        <v>35</v>
      </c>
      <c r="BA108" s="509">
        <f t="shared" si="24"/>
        <v>28</v>
      </c>
      <c r="BB108" s="509">
        <f t="shared" si="24"/>
        <v>0</v>
      </c>
      <c r="BC108" s="509">
        <f t="shared" si="24"/>
        <v>0</v>
      </c>
      <c r="BD108" s="509">
        <f t="shared" si="24"/>
        <v>17</v>
      </c>
      <c r="BE108" s="509">
        <f t="shared" si="24"/>
        <v>19</v>
      </c>
      <c r="BF108" s="509">
        <f t="shared" si="24"/>
        <v>3</v>
      </c>
      <c r="BG108" s="509">
        <f t="shared" si="24"/>
        <v>0</v>
      </c>
      <c r="BH108" s="509">
        <f t="shared" si="24"/>
        <v>0</v>
      </c>
      <c r="BI108" s="509">
        <f t="shared" si="24"/>
        <v>0</v>
      </c>
      <c r="BJ108" s="509">
        <f t="shared" si="24"/>
        <v>177</v>
      </c>
      <c r="BK108" s="509">
        <f t="shared" si="24"/>
        <v>0</v>
      </c>
      <c r="BL108" s="509">
        <f t="shared" si="24"/>
        <v>0</v>
      </c>
      <c r="BM108" s="509">
        <f t="shared" si="24"/>
        <v>0</v>
      </c>
      <c r="BN108" s="509">
        <f t="shared" si="24"/>
        <v>0</v>
      </c>
      <c r="BO108" s="509">
        <f t="shared" si="24"/>
        <v>0</v>
      </c>
      <c r="BP108" s="509">
        <f t="shared" si="24"/>
        <v>0</v>
      </c>
      <c r="BQ108" s="509">
        <f t="shared" si="24"/>
        <v>8</v>
      </c>
      <c r="BR108" s="509">
        <f t="shared" ref="BR108:CX108" si="25">SUM(BR70:BR107)</f>
        <v>0</v>
      </c>
      <c r="BS108" s="509">
        <f t="shared" si="25"/>
        <v>0</v>
      </c>
      <c r="BT108" s="509">
        <f t="shared" si="25"/>
        <v>33</v>
      </c>
      <c r="BU108" s="509">
        <f t="shared" si="25"/>
        <v>0</v>
      </c>
      <c r="BV108" s="509">
        <f t="shared" si="25"/>
        <v>0</v>
      </c>
      <c r="BW108" s="509">
        <f t="shared" si="25"/>
        <v>0</v>
      </c>
      <c r="BX108" s="509">
        <f t="shared" si="25"/>
        <v>0</v>
      </c>
      <c r="BY108" s="509">
        <f t="shared" si="25"/>
        <v>14</v>
      </c>
      <c r="BZ108" s="509">
        <f t="shared" si="25"/>
        <v>0</v>
      </c>
      <c r="CA108" s="509">
        <f t="shared" si="25"/>
        <v>0</v>
      </c>
      <c r="CB108" s="509">
        <f t="shared" si="25"/>
        <v>33</v>
      </c>
      <c r="CC108" s="509">
        <f t="shared" si="25"/>
        <v>0</v>
      </c>
      <c r="CD108" s="509">
        <f t="shared" si="25"/>
        <v>132</v>
      </c>
      <c r="CE108" s="509">
        <f t="shared" si="25"/>
        <v>6</v>
      </c>
      <c r="CF108" s="509">
        <f t="shared" si="25"/>
        <v>0</v>
      </c>
      <c r="CG108" s="509">
        <f t="shared" si="25"/>
        <v>12</v>
      </c>
      <c r="CH108" s="509">
        <f t="shared" si="25"/>
        <v>0</v>
      </c>
      <c r="CI108" s="509">
        <f t="shared" si="25"/>
        <v>0</v>
      </c>
      <c r="CJ108" s="509">
        <f t="shared" si="25"/>
        <v>8</v>
      </c>
      <c r="CK108" s="509">
        <f t="shared" si="25"/>
        <v>0</v>
      </c>
      <c r="CL108" s="509">
        <f t="shared" si="25"/>
        <v>0</v>
      </c>
      <c r="CM108" s="509">
        <f t="shared" si="25"/>
        <v>0</v>
      </c>
      <c r="CN108" s="509">
        <f t="shared" si="25"/>
        <v>0</v>
      </c>
      <c r="CO108" s="509">
        <f t="shared" si="25"/>
        <v>8</v>
      </c>
      <c r="CP108" s="509">
        <f t="shared" si="25"/>
        <v>0</v>
      </c>
      <c r="CQ108" s="509">
        <f t="shared" si="25"/>
        <v>0</v>
      </c>
      <c r="CR108" s="509">
        <f t="shared" si="25"/>
        <v>0</v>
      </c>
      <c r="CS108" s="509">
        <f t="shared" si="25"/>
        <v>0</v>
      </c>
      <c r="CT108" s="509">
        <f t="shared" si="25"/>
        <v>0</v>
      </c>
      <c r="CU108" s="509">
        <f t="shared" si="25"/>
        <v>2</v>
      </c>
      <c r="CV108" s="509">
        <f t="shared" si="25"/>
        <v>0</v>
      </c>
      <c r="CW108" s="509">
        <f t="shared" si="25"/>
        <v>0</v>
      </c>
      <c r="CX108" s="509">
        <f t="shared" si="25"/>
        <v>0</v>
      </c>
      <c r="CY108" s="509">
        <f t="shared" ref="CY108" si="26">SUM(CY70:CY107)</f>
        <v>0</v>
      </c>
      <c r="CZ108" s="509">
        <f t="shared" ref="CZ108:EE108" si="27">SUM(CZ70:CZ107)</f>
        <v>0</v>
      </c>
      <c r="DA108" s="509">
        <f t="shared" si="27"/>
        <v>0</v>
      </c>
      <c r="DB108" s="509">
        <f t="shared" si="27"/>
        <v>0</v>
      </c>
      <c r="DC108" s="509">
        <f t="shared" si="27"/>
        <v>0</v>
      </c>
      <c r="DD108" s="509">
        <f t="shared" si="27"/>
        <v>0</v>
      </c>
      <c r="DE108" s="509">
        <f t="shared" si="27"/>
        <v>0</v>
      </c>
      <c r="DF108" s="509">
        <f t="shared" si="27"/>
        <v>0</v>
      </c>
      <c r="DG108" s="518">
        <f t="shared" si="27"/>
        <v>0</v>
      </c>
      <c r="DH108" s="518">
        <f t="shared" si="27"/>
        <v>0</v>
      </c>
      <c r="DI108" s="518">
        <f t="shared" si="27"/>
        <v>0</v>
      </c>
      <c r="DJ108" s="518">
        <f t="shared" si="27"/>
        <v>0</v>
      </c>
      <c r="DK108" s="518">
        <f t="shared" si="27"/>
        <v>0</v>
      </c>
      <c r="DL108" s="518">
        <f t="shared" si="27"/>
        <v>0</v>
      </c>
      <c r="DM108" s="518">
        <f t="shared" si="27"/>
        <v>0</v>
      </c>
      <c r="DN108" s="518">
        <f t="shared" si="27"/>
        <v>0</v>
      </c>
      <c r="DO108" s="518">
        <f t="shared" si="27"/>
        <v>0</v>
      </c>
      <c r="DP108" s="518">
        <f t="shared" si="27"/>
        <v>0</v>
      </c>
      <c r="DQ108" s="518">
        <f t="shared" si="27"/>
        <v>0</v>
      </c>
      <c r="DR108" s="518">
        <f t="shared" si="27"/>
        <v>0</v>
      </c>
      <c r="DS108" s="509">
        <f t="shared" si="27"/>
        <v>0</v>
      </c>
      <c r="DT108" s="509">
        <f t="shared" si="27"/>
        <v>0</v>
      </c>
      <c r="DU108" s="509">
        <f t="shared" si="27"/>
        <v>0</v>
      </c>
      <c r="DV108" s="509">
        <f t="shared" si="27"/>
        <v>0</v>
      </c>
      <c r="DW108" s="509">
        <f t="shared" si="27"/>
        <v>0</v>
      </c>
      <c r="DX108" s="509">
        <f t="shared" si="27"/>
        <v>0</v>
      </c>
      <c r="DY108" s="509">
        <f t="shared" si="27"/>
        <v>0</v>
      </c>
      <c r="DZ108" s="509">
        <f t="shared" si="27"/>
        <v>0</v>
      </c>
      <c r="EA108" s="509">
        <f t="shared" si="27"/>
        <v>0</v>
      </c>
      <c r="EB108" s="509">
        <f t="shared" si="27"/>
        <v>0</v>
      </c>
      <c r="EC108" s="509">
        <f t="shared" si="27"/>
        <v>0</v>
      </c>
      <c r="ED108" s="509">
        <f t="shared" si="27"/>
        <v>0</v>
      </c>
      <c r="EE108" s="509">
        <f t="shared" si="27"/>
        <v>0</v>
      </c>
      <c r="EF108" s="509">
        <f t="shared" ref="EF108:FK108" si="28">SUM(EF70:EF107)</f>
        <v>0</v>
      </c>
      <c r="EG108" s="509">
        <f t="shared" si="28"/>
        <v>0</v>
      </c>
      <c r="EH108" s="509">
        <f t="shared" si="28"/>
        <v>0</v>
      </c>
      <c r="EI108" s="509">
        <f t="shared" si="28"/>
        <v>0</v>
      </c>
      <c r="EJ108" s="509">
        <f t="shared" si="28"/>
        <v>0</v>
      </c>
      <c r="EK108" s="509">
        <f t="shared" si="28"/>
        <v>0</v>
      </c>
      <c r="EL108" s="509">
        <f t="shared" si="28"/>
        <v>0</v>
      </c>
      <c r="EM108" s="509">
        <f t="shared" si="28"/>
        <v>0</v>
      </c>
      <c r="EN108" s="509">
        <f t="shared" si="28"/>
        <v>0</v>
      </c>
      <c r="EO108" s="509">
        <f t="shared" si="28"/>
        <v>0</v>
      </c>
      <c r="EP108" s="509">
        <f t="shared" si="28"/>
        <v>0</v>
      </c>
      <c r="EQ108" s="509">
        <f t="shared" si="28"/>
        <v>0</v>
      </c>
      <c r="ER108" s="509">
        <f t="shared" si="28"/>
        <v>0</v>
      </c>
      <c r="ES108" s="509">
        <f t="shared" si="28"/>
        <v>0</v>
      </c>
      <c r="ET108" s="509">
        <f t="shared" si="28"/>
        <v>0</v>
      </c>
      <c r="EU108" s="509">
        <f t="shared" si="28"/>
        <v>0</v>
      </c>
      <c r="EV108" s="509">
        <f t="shared" si="28"/>
        <v>0</v>
      </c>
      <c r="EW108" s="509">
        <f t="shared" si="28"/>
        <v>0</v>
      </c>
      <c r="EX108" s="509">
        <f t="shared" si="28"/>
        <v>0</v>
      </c>
      <c r="EY108" s="509">
        <f t="shared" si="28"/>
        <v>0</v>
      </c>
      <c r="EZ108" s="509">
        <f t="shared" si="28"/>
        <v>0</v>
      </c>
      <c r="FA108" s="509">
        <f t="shared" si="28"/>
        <v>0</v>
      </c>
      <c r="FB108" s="509">
        <f t="shared" si="28"/>
        <v>0</v>
      </c>
      <c r="FC108" s="509">
        <f t="shared" si="28"/>
        <v>0</v>
      </c>
      <c r="FD108" s="509">
        <f t="shared" si="28"/>
        <v>0</v>
      </c>
      <c r="FE108" s="509">
        <f t="shared" si="28"/>
        <v>0</v>
      </c>
      <c r="FF108" s="509">
        <f t="shared" si="28"/>
        <v>0</v>
      </c>
      <c r="FG108" s="509">
        <f t="shared" si="28"/>
        <v>0</v>
      </c>
      <c r="FH108" s="509">
        <f t="shared" si="28"/>
        <v>0</v>
      </c>
      <c r="FI108" s="509">
        <f t="shared" si="28"/>
        <v>0</v>
      </c>
      <c r="FJ108" s="509">
        <f t="shared" si="28"/>
        <v>0</v>
      </c>
      <c r="FK108" s="509">
        <f t="shared" si="28"/>
        <v>0</v>
      </c>
      <c r="FL108" s="509">
        <f>SUM(FL70:FL107)</f>
        <v>0</v>
      </c>
      <c r="FM108" s="509">
        <f>SUM(FM70:FM107)</f>
        <v>0</v>
      </c>
      <c r="FN108" s="509">
        <f>SUM(FN70:FN107)</f>
        <v>0</v>
      </c>
      <c r="FO108" s="509">
        <f>SUM(FO70:FO107)</f>
        <v>0</v>
      </c>
      <c r="FP108" s="509"/>
      <c r="FQ108" s="508"/>
      <c r="FU108" s="4">
        <f>DY108-FM108</f>
        <v>0</v>
      </c>
    </row>
    <row r="109" spans="1:177" s="4" customFormat="1">
      <c r="A109" s="56"/>
      <c r="B109" s="56">
        <v>3</v>
      </c>
      <c r="C109" s="501" t="s">
        <v>3659</v>
      </c>
      <c r="D109" s="502"/>
      <c r="E109" s="503"/>
      <c r="F109" s="503"/>
      <c r="G109" s="503"/>
      <c r="H109" s="503"/>
      <c r="I109" s="503"/>
      <c r="J109" s="503"/>
      <c r="K109" s="503"/>
      <c r="L109" s="503"/>
      <c r="M109" s="503"/>
      <c r="N109" s="503"/>
      <c r="O109" s="503"/>
      <c r="P109" s="503"/>
      <c r="Q109" s="503"/>
      <c r="R109" s="503"/>
      <c r="S109" s="503"/>
      <c r="T109" s="503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954"/>
      <c r="AF109" s="959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504"/>
      <c r="BQ109" s="504"/>
      <c r="BR109" s="504"/>
      <c r="BS109" s="504"/>
      <c r="BT109" s="504"/>
      <c r="BU109" s="504"/>
      <c r="BV109" s="504"/>
      <c r="BW109" s="504"/>
      <c r="BX109" s="504"/>
      <c r="BY109" s="504"/>
      <c r="BZ109" s="504"/>
      <c r="CA109" s="504"/>
      <c r="CB109" s="504"/>
      <c r="CC109" s="504"/>
      <c r="CD109" s="504"/>
      <c r="CE109" s="504"/>
      <c r="CF109" s="504"/>
      <c r="CG109" s="504"/>
      <c r="CH109" s="504"/>
      <c r="CI109" s="504"/>
      <c r="CJ109" s="504"/>
      <c r="CK109" s="504"/>
      <c r="CL109" s="504"/>
      <c r="CM109" s="504"/>
      <c r="CN109" s="504"/>
      <c r="CO109" s="504"/>
      <c r="CP109" s="504"/>
      <c r="CQ109" s="504"/>
      <c r="CR109" s="504"/>
      <c r="CS109" s="504"/>
      <c r="CT109" s="504"/>
      <c r="CU109" s="504"/>
      <c r="CV109" s="504"/>
      <c r="CW109" s="504"/>
      <c r="CX109" s="504"/>
      <c r="CY109" s="504"/>
      <c r="CZ109" s="504"/>
      <c r="DA109" s="504"/>
      <c r="DB109" s="504"/>
      <c r="DC109" s="504"/>
      <c r="DD109" s="504"/>
      <c r="DE109" s="504"/>
      <c r="DF109" s="504"/>
      <c r="DG109" s="519"/>
      <c r="DH109" s="519"/>
      <c r="DI109" s="519"/>
      <c r="DJ109" s="519"/>
      <c r="DK109" s="519"/>
      <c r="DL109" s="519"/>
      <c r="DM109" s="519"/>
      <c r="DN109" s="519"/>
      <c r="DO109" s="519"/>
      <c r="DP109" s="519"/>
      <c r="DQ109" s="519"/>
      <c r="DR109" s="519"/>
      <c r="DS109" s="504"/>
      <c r="DT109" s="504"/>
      <c r="DU109" s="504"/>
      <c r="DV109" s="504"/>
      <c r="DW109" s="504"/>
      <c r="DX109" s="504"/>
      <c r="DY109" s="504"/>
      <c r="DZ109" s="504"/>
      <c r="EA109" s="504"/>
      <c r="EB109" s="504"/>
      <c r="EC109" s="504"/>
      <c r="ED109" s="504"/>
      <c r="EE109" s="504"/>
      <c r="EF109" s="504"/>
      <c r="EG109" s="504"/>
      <c r="EH109" s="504"/>
      <c r="EI109" s="504"/>
      <c r="EJ109" s="504"/>
      <c r="EK109" s="504"/>
      <c r="EL109" s="504"/>
      <c r="EM109" s="504"/>
      <c r="EN109" s="504"/>
      <c r="EO109" s="504"/>
      <c r="EP109" s="504"/>
      <c r="EQ109" s="504"/>
      <c r="ER109" s="504"/>
      <c r="ES109" s="504"/>
      <c r="ET109" s="504"/>
      <c r="EU109" s="504"/>
      <c r="EV109" s="504"/>
      <c r="EW109" s="504"/>
      <c r="EX109" s="504"/>
      <c r="EY109" s="504"/>
      <c r="EZ109" s="504"/>
      <c r="FA109" s="504"/>
      <c r="FB109" s="504"/>
      <c r="FC109" s="504"/>
      <c r="FD109" s="504"/>
      <c r="FE109" s="504"/>
      <c r="FF109" s="504"/>
      <c r="FG109" s="504"/>
      <c r="FH109" s="504"/>
      <c r="FI109" s="504"/>
      <c r="FJ109" s="504"/>
      <c r="FK109" s="504"/>
      <c r="FL109" s="504"/>
      <c r="FM109" s="504"/>
      <c r="FN109" s="504"/>
      <c r="FO109" s="504"/>
      <c r="FP109" s="504"/>
      <c r="FQ109" s="505"/>
      <c r="FU109" s="4">
        <f>DY109-FM109</f>
        <v>0</v>
      </c>
    </row>
    <row r="110" spans="1:177" s="696" customFormat="1">
      <c r="A110" s="690"/>
      <c r="B110" s="690"/>
      <c r="C110" s="691"/>
      <c r="D110" s="691" t="s">
        <v>3663</v>
      </c>
      <c r="E110" s="692"/>
      <c r="F110" s="692"/>
      <c r="G110" s="692"/>
      <c r="H110" s="692"/>
      <c r="I110" s="692"/>
      <c r="J110" s="692"/>
      <c r="K110" s="692"/>
      <c r="L110" s="692"/>
      <c r="M110" s="692"/>
      <c r="N110" s="692"/>
      <c r="O110" s="692"/>
      <c r="P110" s="692">
        <f>E110</f>
        <v>0</v>
      </c>
      <c r="Q110" s="692"/>
      <c r="R110" s="693"/>
      <c r="S110" s="693"/>
      <c r="T110" s="693"/>
      <c r="U110" s="692" t="s">
        <v>2990</v>
      </c>
      <c r="V110" s="692"/>
      <c r="W110" s="692"/>
      <c r="X110" s="692"/>
      <c r="Y110" s="692"/>
      <c r="Z110" s="692"/>
      <c r="AA110" s="692"/>
      <c r="AB110" s="692"/>
      <c r="AC110" s="692"/>
      <c r="AD110" s="692"/>
      <c r="AE110" s="725"/>
      <c r="AF110" s="957"/>
      <c r="AG110" s="692"/>
      <c r="AH110" s="692"/>
      <c r="AI110" s="692"/>
      <c r="AJ110" s="692"/>
      <c r="AK110" s="692"/>
      <c r="AL110" s="692"/>
      <c r="AM110" s="692"/>
      <c r="AN110" s="692"/>
      <c r="AO110" s="692"/>
      <c r="AP110" s="692"/>
      <c r="AQ110" s="692"/>
      <c r="AR110" s="692"/>
      <c r="AS110" s="692"/>
      <c r="AT110" s="692"/>
      <c r="AU110" s="692"/>
      <c r="AV110" s="692"/>
      <c r="AW110" s="692">
        <f>CB110</f>
        <v>1</v>
      </c>
      <c r="AX110" s="692"/>
      <c r="AY110" s="692"/>
      <c r="AZ110" s="516">
        <f>IF(C110&lt;&gt;0,AW110+CB110+CC110,)</f>
        <v>0</v>
      </c>
      <c r="BA110" s="516">
        <f>IF(D110&lt;&gt;0,AW110+CB110+CC110,)</f>
        <v>2</v>
      </c>
      <c r="BB110" s="516"/>
      <c r="BC110" s="516"/>
      <c r="BD110" s="516">
        <f>IF(C110&lt;&gt;0,IF(OR(LEN(U110)=1,LEN(U110)=2),1,VALUE(LEFT(U110,1))),)</f>
        <v>0</v>
      </c>
      <c r="BE110" s="516">
        <f>IF(D110&lt;&gt;0,IF(OR(LEN(U110)=1,LEN(U110)=2),1,VALUE(LEFT(U110,1))),)</f>
        <v>1</v>
      </c>
      <c r="BF110" s="692"/>
      <c r="BG110" s="692"/>
      <c r="BH110" s="692"/>
      <c r="BI110" s="692"/>
      <c r="BJ110" s="692">
        <f>CB110*5+AU110*2</f>
        <v>5</v>
      </c>
      <c r="BK110" s="692"/>
      <c r="BL110" s="692"/>
      <c r="BM110" s="692"/>
      <c r="BN110" s="692"/>
      <c r="BO110" s="692"/>
      <c r="BP110" s="692"/>
      <c r="BQ110" s="692">
        <f>IF(U110="G",1,)</f>
        <v>0</v>
      </c>
      <c r="BR110" s="692"/>
      <c r="BS110" s="692">
        <f>IF(O110&lt;&gt;0,IF(U110="I",1,IF(U110="G",2,)),)</f>
        <v>0</v>
      </c>
      <c r="BT110" s="692">
        <f>IF(P110&lt;&gt;0,IF(U110="I",1,IF(U110="G",2,)),)</f>
        <v>0</v>
      </c>
      <c r="BU110" s="692"/>
      <c r="BV110" s="692"/>
      <c r="BW110" s="692"/>
      <c r="BX110" s="692"/>
      <c r="BY110" s="692">
        <v>1</v>
      </c>
      <c r="BZ110" s="692"/>
      <c r="CA110" s="692"/>
      <c r="CB110" s="692">
        <v>1</v>
      </c>
      <c r="CC110" s="692"/>
      <c r="CD110" s="692">
        <f>CB110*4</f>
        <v>4</v>
      </c>
      <c r="CE110" s="692"/>
      <c r="CF110" s="692"/>
      <c r="CG110" s="692"/>
      <c r="CH110" s="692"/>
      <c r="CI110" s="692"/>
      <c r="CJ110" s="692"/>
      <c r="CK110" s="692"/>
      <c r="CL110" s="692"/>
      <c r="CM110" s="692"/>
      <c r="CN110" s="692"/>
      <c r="CO110" s="692"/>
      <c r="CP110" s="692"/>
      <c r="CQ110" s="692"/>
      <c r="CR110" s="692"/>
      <c r="CS110" s="692"/>
      <c r="CT110" s="692"/>
      <c r="CU110" s="692"/>
      <c r="CV110" s="692"/>
      <c r="CW110" s="692"/>
      <c r="CX110" s="694"/>
      <c r="CY110" s="694"/>
      <c r="CZ110" s="694"/>
      <c r="DA110" s="694"/>
      <c r="DB110" s="694"/>
      <c r="DC110" s="694"/>
      <c r="DD110" s="694"/>
      <c r="DE110" s="694"/>
      <c r="DF110" s="694"/>
      <c r="DG110" s="695"/>
      <c r="DH110" s="695"/>
      <c r="DI110" s="695"/>
      <c r="DJ110" s="695"/>
      <c r="DK110" s="695"/>
      <c r="DL110" s="695"/>
      <c r="DM110" s="695"/>
      <c r="DN110" s="695"/>
      <c r="DO110" s="695"/>
      <c r="DP110" s="695"/>
      <c r="DQ110" s="695"/>
      <c r="DR110" s="695"/>
      <c r="DS110" s="694"/>
      <c r="DT110" s="694"/>
      <c r="DU110" s="694"/>
      <c r="DV110" s="694"/>
      <c r="DW110" s="694"/>
      <c r="DX110" s="694"/>
      <c r="DY110" s="694"/>
      <c r="DZ110" s="694"/>
      <c r="EA110" s="694"/>
      <c r="EB110" s="694"/>
      <c r="EC110" s="694"/>
      <c r="ED110" s="694"/>
      <c r="EE110" s="694"/>
      <c r="EF110" s="694"/>
      <c r="EG110" s="694"/>
      <c r="EH110" s="694"/>
      <c r="EI110" s="694"/>
      <c r="EJ110" s="694"/>
      <c r="EK110" s="694"/>
      <c r="EL110" s="694"/>
      <c r="EM110" s="694"/>
      <c r="EN110" s="694"/>
      <c r="EO110" s="694"/>
      <c r="EP110" s="694"/>
      <c r="EQ110" s="694"/>
      <c r="ER110" s="694"/>
      <c r="ES110" s="694"/>
      <c r="ET110" s="694"/>
      <c r="EU110" s="694"/>
      <c r="EV110" s="694"/>
      <c r="EW110" s="694"/>
      <c r="EX110" s="694"/>
      <c r="EY110" s="694"/>
      <c r="EZ110" s="694"/>
      <c r="FA110" s="694"/>
      <c r="FB110" s="694"/>
      <c r="FC110" s="694"/>
      <c r="FD110" s="694"/>
      <c r="FE110" s="694"/>
      <c r="FF110" s="694"/>
      <c r="FG110" s="694"/>
      <c r="FH110" s="694"/>
      <c r="FI110" s="694"/>
      <c r="FJ110" s="694"/>
      <c r="FK110" s="694"/>
      <c r="FL110" s="694"/>
      <c r="FM110" s="694"/>
      <c r="FN110" s="694"/>
      <c r="FO110" s="694"/>
      <c r="FP110" s="694"/>
      <c r="FQ110" s="693"/>
    </row>
    <row r="111" spans="1:177" s="696" customFormat="1">
      <c r="A111" s="690"/>
      <c r="B111" s="690"/>
      <c r="C111" s="691" t="s">
        <v>3664</v>
      </c>
      <c r="D111" s="691"/>
      <c r="E111" s="692">
        <v>17.600000000000001</v>
      </c>
      <c r="F111" s="692"/>
      <c r="G111" s="692"/>
      <c r="H111" s="692"/>
      <c r="I111" s="692"/>
      <c r="J111" s="692"/>
      <c r="K111" s="692"/>
      <c r="L111" s="692"/>
      <c r="M111" s="692"/>
      <c r="N111" s="692"/>
      <c r="O111" s="692"/>
      <c r="P111" s="692">
        <f t="shared" ref="P111:P175" si="29">E111</f>
        <v>17.600000000000001</v>
      </c>
      <c r="Q111" s="692"/>
      <c r="R111" s="693"/>
      <c r="S111" s="693"/>
      <c r="T111" s="693"/>
      <c r="U111" s="692" t="s">
        <v>1631</v>
      </c>
      <c r="V111" s="692"/>
      <c r="W111" s="692"/>
      <c r="X111" s="692"/>
      <c r="Y111" s="692"/>
      <c r="Z111" s="692"/>
      <c r="AA111" s="692"/>
      <c r="AB111" s="692"/>
      <c r="AC111" s="692"/>
      <c r="AD111" s="692"/>
      <c r="AE111" s="725"/>
      <c r="AF111" s="957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>
        <f t="shared" ref="AW111:AW175" si="30">CB111</f>
        <v>1</v>
      </c>
      <c r="AX111" s="692"/>
      <c r="AY111" s="692"/>
      <c r="AZ111" s="516">
        <f t="shared" ref="AZ111:AZ175" si="31">IF(C111&lt;&gt;0,AW111+CB111+CC111,)</f>
        <v>2</v>
      </c>
      <c r="BA111" s="516">
        <f t="shared" ref="BA111:BA175" si="32">IF(D111&lt;&gt;0,AW111+CB111+CC111,)</f>
        <v>0</v>
      </c>
      <c r="BB111" s="516"/>
      <c r="BC111" s="516"/>
      <c r="BD111" s="516">
        <f t="shared" ref="BD111:BD175" si="33">IF(C111&lt;&gt;0,IF(OR(LEN(U111)=1,LEN(U111)=2),1,VALUE(LEFT(U111,1))),)</f>
        <v>1</v>
      </c>
      <c r="BE111" s="516">
        <f t="shared" ref="BE111:BE175" si="34">IF(D111&lt;&gt;0,IF(OR(LEN(U111)=1,LEN(U111)=2),1,VALUE(LEFT(U111,1))),)</f>
        <v>0</v>
      </c>
      <c r="BF111" s="692"/>
      <c r="BG111" s="692"/>
      <c r="BH111" s="692"/>
      <c r="BI111" s="692"/>
      <c r="BJ111" s="692">
        <f t="shared" ref="BJ111:BJ175" si="35">CB111*5+AU111*2</f>
        <v>5</v>
      </c>
      <c r="BK111" s="692"/>
      <c r="BL111" s="692"/>
      <c r="BM111" s="692"/>
      <c r="BN111" s="692"/>
      <c r="BO111" s="692"/>
      <c r="BP111" s="692"/>
      <c r="BQ111" s="692">
        <f t="shared" ref="BQ111:BQ175" si="36">IF(U111="G",1,)</f>
        <v>0</v>
      </c>
      <c r="BR111" s="692"/>
      <c r="BS111" s="692">
        <f t="shared" ref="BS111:BS175" si="37">IF(O111&lt;&gt;0,IF(U111="I",1,IF(U111="G",2,)),)</f>
        <v>0</v>
      </c>
      <c r="BT111" s="692">
        <f t="shared" ref="BT111:BT175" si="38">IF(P111&lt;&gt;0,IF(U111="I",1,IF(U111="G",2,)),)</f>
        <v>1</v>
      </c>
      <c r="BU111" s="692"/>
      <c r="BV111" s="692"/>
      <c r="BW111" s="692"/>
      <c r="BX111" s="692"/>
      <c r="BY111" s="692"/>
      <c r="BZ111" s="692"/>
      <c r="CA111" s="692"/>
      <c r="CB111" s="692">
        <v>1</v>
      </c>
      <c r="CC111" s="692"/>
      <c r="CD111" s="692">
        <f t="shared" ref="CD111:CD175" si="39">CB111*4</f>
        <v>4</v>
      </c>
      <c r="CE111" s="692"/>
      <c r="CF111" s="692"/>
      <c r="CG111" s="692"/>
      <c r="CH111" s="692"/>
      <c r="CI111" s="692"/>
      <c r="CJ111" s="692"/>
      <c r="CK111" s="692"/>
      <c r="CL111" s="692"/>
      <c r="CM111" s="692"/>
      <c r="CN111" s="692"/>
      <c r="CO111" s="692"/>
      <c r="CP111" s="692"/>
      <c r="CQ111" s="692"/>
      <c r="CR111" s="692"/>
      <c r="CS111" s="692"/>
      <c r="CT111" s="692"/>
      <c r="CU111" s="692"/>
      <c r="CV111" s="692"/>
      <c r="CW111" s="692"/>
      <c r="CX111" s="694"/>
      <c r="CY111" s="694"/>
      <c r="CZ111" s="694"/>
      <c r="DA111" s="694"/>
      <c r="DB111" s="694"/>
      <c r="DC111" s="694"/>
      <c r="DD111" s="694"/>
      <c r="DE111" s="694"/>
      <c r="DF111" s="694"/>
      <c r="DG111" s="695"/>
      <c r="DH111" s="695"/>
      <c r="DI111" s="695"/>
      <c r="DJ111" s="695"/>
      <c r="DK111" s="695"/>
      <c r="DL111" s="695"/>
      <c r="DM111" s="695"/>
      <c r="DN111" s="695"/>
      <c r="DO111" s="695"/>
      <c r="DP111" s="695"/>
      <c r="DQ111" s="695"/>
      <c r="DR111" s="695"/>
      <c r="DS111" s="694"/>
      <c r="DT111" s="694"/>
      <c r="DU111" s="694"/>
      <c r="DV111" s="694"/>
      <c r="DW111" s="694"/>
      <c r="DX111" s="694"/>
      <c r="DY111" s="694"/>
      <c r="DZ111" s="694"/>
      <c r="EA111" s="694"/>
      <c r="EB111" s="694"/>
      <c r="EC111" s="694"/>
      <c r="ED111" s="694"/>
      <c r="EE111" s="694"/>
      <c r="EF111" s="694"/>
      <c r="EG111" s="694"/>
      <c r="EH111" s="694"/>
      <c r="EI111" s="694"/>
      <c r="EJ111" s="694"/>
      <c r="EK111" s="694"/>
      <c r="EL111" s="694"/>
      <c r="EM111" s="694"/>
      <c r="EN111" s="694"/>
      <c r="EO111" s="694"/>
      <c r="EP111" s="694"/>
      <c r="EQ111" s="694"/>
      <c r="ER111" s="694"/>
      <c r="ES111" s="694"/>
      <c r="ET111" s="694"/>
      <c r="EU111" s="694"/>
      <c r="EV111" s="694"/>
      <c r="EW111" s="694"/>
      <c r="EX111" s="694"/>
      <c r="EY111" s="694"/>
      <c r="EZ111" s="694"/>
      <c r="FA111" s="694"/>
      <c r="FB111" s="694"/>
      <c r="FC111" s="694"/>
      <c r="FD111" s="694"/>
      <c r="FE111" s="694"/>
      <c r="FF111" s="694"/>
      <c r="FG111" s="694"/>
      <c r="FH111" s="694"/>
      <c r="FI111" s="694"/>
      <c r="FJ111" s="694"/>
      <c r="FK111" s="694"/>
      <c r="FL111" s="694"/>
      <c r="FM111" s="694"/>
      <c r="FN111" s="694"/>
      <c r="FO111" s="694"/>
      <c r="FP111" s="694"/>
      <c r="FQ111" s="693"/>
    </row>
    <row r="112" spans="1:177" s="696" customFormat="1">
      <c r="A112" s="690"/>
      <c r="B112" s="690"/>
      <c r="C112" s="691"/>
      <c r="D112" s="691" t="s">
        <v>3662</v>
      </c>
      <c r="E112" s="692">
        <v>26</v>
      </c>
      <c r="F112" s="692"/>
      <c r="G112" s="692"/>
      <c r="H112" s="692"/>
      <c r="I112" s="692"/>
      <c r="J112" s="692"/>
      <c r="K112" s="692"/>
      <c r="L112" s="692"/>
      <c r="M112" s="692"/>
      <c r="N112" s="692"/>
      <c r="O112" s="692"/>
      <c r="P112" s="692">
        <f t="shared" si="29"/>
        <v>26</v>
      </c>
      <c r="Q112" s="692"/>
      <c r="R112" s="693"/>
      <c r="S112" s="693"/>
      <c r="T112" s="693"/>
      <c r="U112" s="692" t="s">
        <v>1631</v>
      </c>
      <c r="V112" s="692"/>
      <c r="W112" s="692"/>
      <c r="X112" s="692"/>
      <c r="Y112" s="692"/>
      <c r="Z112" s="692"/>
      <c r="AA112" s="692"/>
      <c r="AB112" s="692"/>
      <c r="AC112" s="692"/>
      <c r="AD112" s="692"/>
      <c r="AE112" s="725"/>
      <c r="AF112" s="957"/>
      <c r="AG112" s="692"/>
      <c r="AH112" s="692"/>
      <c r="AI112" s="692"/>
      <c r="AJ112" s="692"/>
      <c r="AK112" s="692"/>
      <c r="AL112" s="692"/>
      <c r="AM112" s="692"/>
      <c r="AN112" s="692"/>
      <c r="AO112" s="692"/>
      <c r="AP112" s="692"/>
      <c r="AQ112" s="692"/>
      <c r="AR112" s="692"/>
      <c r="AS112" s="692"/>
      <c r="AT112" s="692"/>
      <c r="AU112" s="692"/>
      <c r="AV112" s="692"/>
      <c r="AW112" s="692">
        <f t="shared" si="30"/>
        <v>1</v>
      </c>
      <c r="AX112" s="692"/>
      <c r="AY112" s="692"/>
      <c r="AZ112" s="516">
        <f t="shared" si="31"/>
        <v>0</v>
      </c>
      <c r="BA112" s="516">
        <f t="shared" si="32"/>
        <v>2</v>
      </c>
      <c r="BB112" s="516"/>
      <c r="BC112" s="516"/>
      <c r="BD112" s="516">
        <f t="shared" si="33"/>
        <v>0</v>
      </c>
      <c r="BE112" s="516">
        <f t="shared" si="34"/>
        <v>1</v>
      </c>
      <c r="BF112" s="692"/>
      <c r="BG112" s="692"/>
      <c r="BH112" s="692"/>
      <c r="BI112" s="692"/>
      <c r="BJ112" s="692">
        <f t="shared" si="35"/>
        <v>5</v>
      </c>
      <c r="BK112" s="692"/>
      <c r="BL112" s="692"/>
      <c r="BM112" s="692"/>
      <c r="BN112" s="692"/>
      <c r="BO112" s="692"/>
      <c r="BP112" s="692"/>
      <c r="BQ112" s="692">
        <f t="shared" si="36"/>
        <v>0</v>
      </c>
      <c r="BR112" s="692"/>
      <c r="BS112" s="692">
        <f t="shared" si="37"/>
        <v>0</v>
      </c>
      <c r="BT112" s="692">
        <f t="shared" si="38"/>
        <v>1</v>
      </c>
      <c r="BU112" s="692"/>
      <c r="BV112" s="692"/>
      <c r="BW112" s="692"/>
      <c r="BX112" s="692"/>
      <c r="BY112" s="692"/>
      <c r="BZ112" s="692"/>
      <c r="CA112" s="692"/>
      <c r="CB112" s="692">
        <v>1</v>
      </c>
      <c r="CC112" s="692"/>
      <c r="CD112" s="692">
        <f t="shared" si="39"/>
        <v>4</v>
      </c>
      <c r="CE112" s="692"/>
      <c r="CF112" s="692"/>
      <c r="CG112" s="692"/>
      <c r="CH112" s="692"/>
      <c r="CI112" s="692"/>
      <c r="CJ112" s="692"/>
      <c r="CK112" s="692"/>
      <c r="CL112" s="692"/>
      <c r="CM112" s="692"/>
      <c r="CN112" s="692"/>
      <c r="CO112" s="692"/>
      <c r="CP112" s="692"/>
      <c r="CQ112" s="692"/>
      <c r="CR112" s="692"/>
      <c r="CS112" s="692"/>
      <c r="CT112" s="692"/>
      <c r="CU112" s="692"/>
      <c r="CV112" s="692"/>
      <c r="CW112" s="692"/>
      <c r="CX112" s="694"/>
      <c r="CY112" s="694"/>
      <c r="CZ112" s="694"/>
      <c r="DA112" s="694"/>
      <c r="DB112" s="694"/>
      <c r="DC112" s="694"/>
      <c r="DD112" s="694"/>
      <c r="DE112" s="694"/>
      <c r="DF112" s="694"/>
      <c r="DG112" s="695"/>
      <c r="DH112" s="695"/>
      <c r="DI112" s="695"/>
      <c r="DJ112" s="695"/>
      <c r="DK112" s="695"/>
      <c r="DL112" s="695"/>
      <c r="DM112" s="695"/>
      <c r="DN112" s="695"/>
      <c r="DO112" s="695"/>
      <c r="DP112" s="695"/>
      <c r="DQ112" s="695"/>
      <c r="DR112" s="695"/>
      <c r="DS112" s="694"/>
      <c r="DT112" s="694"/>
      <c r="DU112" s="694"/>
      <c r="DV112" s="694"/>
      <c r="DW112" s="694"/>
      <c r="DX112" s="694"/>
      <c r="DY112" s="694"/>
      <c r="DZ112" s="694"/>
      <c r="EA112" s="694"/>
      <c r="EB112" s="694"/>
      <c r="EC112" s="694"/>
      <c r="ED112" s="694"/>
      <c r="EE112" s="694"/>
      <c r="EF112" s="694"/>
      <c r="EG112" s="694"/>
      <c r="EH112" s="694"/>
      <c r="EI112" s="694"/>
      <c r="EJ112" s="694"/>
      <c r="EK112" s="694"/>
      <c r="EL112" s="694"/>
      <c r="EM112" s="694"/>
      <c r="EN112" s="694"/>
      <c r="EO112" s="694"/>
      <c r="EP112" s="694"/>
      <c r="EQ112" s="694"/>
      <c r="ER112" s="694"/>
      <c r="ES112" s="694"/>
      <c r="ET112" s="694"/>
      <c r="EU112" s="694"/>
      <c r="EV112" s="694"/>
      <c r="EW112" s="694"/>
      <c r="EX112" s="694"/>
      <c r="EY112" s="694"/>
      <c r="EZ112" s="694"/>
      <c r="FA112" s="694"/>
      <c r="FB112" s="694"/>
      <c r="FC112" s="694"/>
      <c r="FD112" s="694"/>
      <c r="FE112" s="694"/>
      <c r="FF112" s="694"/>
      <c r="FG112" s="694"/>
      <c r="FH112" s="694"/>
      <c r="FI112" s="694"/>
      <c r="FJ112" s="694"/>
      <c r="FK112" s="694"/>
      <c r="FL112" s="694"/>
      <c r="FM112" s="694"/>
      <c r="FN112" s="694"/>
      <c r="FO112" s="694"/>
      <c r="FP112" s="694"/>
      <c r="FQ112" s="693"/>
    </row>
    <row r="113" spans="1:173" s="696" customFormat="1">
      <c r="A113" s="690"/>
      <c r="B113" s="690"/>
      <c r="C113" s="691" t="s">
        <v>3809</v>
      </c>
      <c r="D113" s="691"/>
      <c r="E113" s="692">
        <v>27.5</v>
      </c>
      <c r="F113" s="692"/>
      <c r="G113" s="692"/>
      <c r="H113" s="692"/>
      <c r="I113" s="692"/>
      <c r="J113" s="692"/>
      <c r="K113" s="692"/>
      <c r="L113" s="692"/>
      <c r="M113" s="692"/>
      <c r="N113" s="692"/>
      <c r="O113" s="692"/>
      <c r="P113" s="692">
        <f t="shared" si="29"/>
        <v>27.5</v>
      </c>
      <c r="Q113" s="692"/>
      <c r="R113" s="693"/>
      <c r="S113" s="693"/>
      <c r="T113" s="693"/>
      <c r="U113" s="692" t="s">
        <v>1631</v>
      </c>
      <c r="V113" s="692"/>
      <c r="W113" s="692">
        <v>1</v>
      </c>
      <c r="X113" s="692"/>
      <c r="Y113" s="692"/>
      <c r="Z113" s="692">
        <v>1</v>
      </c>
      <c r="AA113" s="692"/>
      <c r="AB113" s="692"/>
      <c r="AC113" s="692"/>
      <c r="AD113" s="692"/>
      <c r="AE113" s="725"/>
      <c r="AF113" s="957"/>
      <c r="AG113" s="692"/>
      <c r="AH113" s="692"/>
      <c r="AI113" s="692"/>
      <c r="AJ113" s="692"/>
      <c r="AK113" s="692"/>
      <c r="AL113" s="692"/>
      <c r="AM113" s="692"/>
      <c r="AN113" s="692"/>
      <c r="AO113" s="692"/>
      <c r="AP113" s="692"/>
      <c r="AQ113" s="692"/>
      <c r="AR113" s="692"/>
      <c r="AS113" s="692"/>
      <c r="AT113" s="692"/>
      <c r="AU113" s="692"/>
      <c r="AV113" s="692"/>
      <c r="AW113" s="692">
        <f t="shared" si="30"/>
        <v>1</v>
      </c>
      <c r="AX113" s="692"/>
      <c r="AY113" s="692"/>
      <c r="AZ113" s="516">
        <f t="shared" si="31"/>
        <v>2</v>
      </c>
      <c r="BA113" s="516">
        <f t="shared" si="32"/>
        <v>0</v>
      </c>
      <c r="BB113" s="516"/>
      <c r="BC113" s="516"/>
      <c r="BD113" s="516">
        <f t="shared" si="33"/>
        <v>1</v>
      </c>
      <c r="BE113" s="516">
        <f t="shared" si="34"/>
        <v>0</v>
      </c>
      <c r="BF113" s="692"/>
      <c r="BG113" s="692"/>
      <c r="BH113" s="692"/>
      <c r="BI113" s="692"/>
      <c r="BJ113" s="692">
        <f t="shared" si="35"/>
        <v>5</v>
      </c>
      <c r="BK113" s="692"/>
      <c r="BL113" s="692"/>
      <c r="BM113" s="692"/>
      <c r="BN113" s="692"/>
      <c r="BO113" s="692"/>
      <c r="BP113" s="692"/>
      <c r="BQ113" s="692">
        <f t="shared" si="36"/>
        <v>0</v>
      </c>
      <c r="BR113" s="692"/>
      <c r="BS113" s="692">
        <f t="shared" si="37"/>
        <v>0</v>
      </c>
      <c r="BT113" s="692">
        <f t="shared" si="38"/>
        <v>1</v>
      </c>
      <c r="BU113" s="692"/>
      <c r="BV113" s="692"/>
      <c r="BW113" s="692"/>
      <c r="BX113" s="692"/>
      <c r="BY113" s="692"/>
      <c r="BZ113" s="692"/>
      <c r="CA113" s="692"/>
      <c r="CB113" s="692">
        <v>1</v>
      </c>
      <c r="CC113" s="692"/>
      <c r="CD113" s="692">
        <f t="shared" si="39"/>
        <v>4</v>
      </c>
      <c r="CE113" s="692"/>
      <c r="CF113" s="692"/>
      <c r="CG113" s="692"/>
      <c r="CH113" s="692"/>
      <c r="CI113" s="692"/>
      <c r="CJ113" s="692"/>
      <c r="CK113" s="692"/>
      <c r="CL113" s="692"/>
      <c r="CM113" s="692"/>
      <c r="CN113" s="692"/>
      <c r="CO113" s="692"/>
      <c r="CP113" s="692"/>
      <c r="CQ113" s="692"/>
      <c r="CR113" s="692"/>
      <c r="CS113" s="692"/>
      <c r="CT113" s="692"/>
      <c r="CU113" s="692"/>
      <c r="CV113" s="692"/>
      <c r="CW113" s="692"/>
      <c r="CX113" s="694"/>
      <c r="CY113" s="694"/>
      <c r="CZ113" s="694"/>
      <c r="DA113" s="694"/>
      <c r="DB113" s="694"/>
      <c r="DC113" s="694"/>
      <c r="DD113" s="694"/>
      <c r="DE113" s="694"/>
      <c r="DF113" s="694"/>
      <c r="DG113" s="695"/>
      <c r="DH113" s="695"/>
      <c r="DI113" s="695"/>
      <c r="DJ113" s="695"/>
      <c r="DK113" s="695"/>
      <c r="DL113" s="695"/>
      <c r="DM113" s="695"/>
      <c r="DN113" s="695"/>
      <c r="DO113" s="695"/>
      <c r="DP113" s="695"/>
      <c r="DQ113" s="695"/>
      <c r="DR113" s="695"/>
      <c r="DS113" s="694"/>
      <c r="DT113" s="694"/>
      <c r="DU113" s="694"/>
      <c r="DV113" s="694"/>
      <c r="DW113" s="694"/>
      <c r="DX113" s="694"/>
      <c r="DY113" s="694"/>
      <c r="DZ113" s="694"/>
      <c r="EA113" s="694"/>
      <c r="EB113" s="694"/>
      <c r="EC113" s="694"/>
      <c r="ED113" s="694"/>
      <c r="EE113" s="694"/>
      <c r="EF113" s="694"/>
      <c r="EG113" s="694"/>
      <c r="EH113" s="694"/>
      <c r="EI113" s="694"/>
      <c r="EJ113" s="694"/>
      <c r="EK113" s="694"/>
      <c r="EL113" s="694"/>
      <c r="EM113" s="694"/>
      <c r="EN113" s="694"/>
      <c r="EO113" s="694"/>
      <c r="EP113" s="694"/>
      <c r="EQ113" s="694"/>
      <c r="ER113" s="694"/>
      <c r="ES113" s="694"/>
      <c r="ET113" s="694"/>
      <c r="EU113" s="694"/>
      <c r="EV113" s="694"/>
      <c r="EW113" s="694"/>
      <c r="EX113" s="694"/>
      <c r="EY113" s="694"/>
      <c r="EZ113" s="694"/>
      <c r="FA113" s="694"/>
      <c r="FB113" s="694"/>
      <c r="FC113" s="694"/>
      <c r="FD113" s="694"/>
      <c r="FE113" s="694"/>
      <c r="FF113" s="694"/>
      <c r="FG113" s="694"/>
      <c r="FH113" s="694"/>
      <c r="FI113" s="694"/>
      <c r="FJ113" s="694"/>
      <c r="FK113" s="694"/>
      <c r="FL113" s="694"/>
      <c r="FM113" s="694"/>
      <c r="FN113" s="694"/>
      <c r="FO113" s="694"/>
      <c r="FP113" s="694"/>
      <c r="FQ113" s="693"/>
    </row>
    <row r="114" spans="1:173" s="696" customFormat="1">
      <c r="A114" s="690"/>
      <c r="B114" s="690"/>
      <c r="C114" s="691"/>
      <c r="D114" s="691" t="s">
        <v>3665</v>
      </c>
      <c r="E114" s="692">
        <v>31</v>
      </c>
      <c r="F114" s="692"/>
      <c r="G114" s="692"/>
      <c r="H114" s="692"/>
      <c r="I114" s="692"/>
      <c r="J114" s="692"/>
      <c r="K114" s="692"/>
      <c r="L114" s="692"/>
      <c r="M114" s="692"/>
      <c r="N114" s="692"/>
      <c r="O114" s="692"/>
      <c r="P114" s="692">
        <f t="shared" si="29"/>
        <v>31</v>
      </c>
      <c r="Q114" s="692"/>
      <c r="R114" s="693"/>
      <c r="S114" s="693"/>
      <c r="T114" s="693"/>
      <c r="U114" s="692" t="s">
        <v>3718</v>
      </c>
      <c r="V114" s="692"/>
      <c r="W114" s="692"/>
      <c r="X114" s="692"/>
      <c r="Y114" s="692"/>
      <c r="Z114" s="692"/>
      <c r="AA114" s="692"/>
      <c r="AB114" s="692"/>
      <c r="AC114" s="692"/>
      <c r="AD114" s="692"/>
      <c r="AE114" s="725"/>
      <c r="AF114" s="957"/>
      <c r="AG114" s="692"/>
      <c r="AH114" s="692"/>
      <c r="AI114" s="692"/>
      <c r="AJ114" s="692"/>
      <c r="AK114" s="692"/>
      <c r="AL114" s="692"/>
      <c r="AM114" s="692"/>
      <c r="AN114" s="692"/>
      <c r="AO114" s="692"/>
      <c r="AP114" s="692"/>
      <c r="AQ114" s="692"/>
      <c r="AR114" s="692"/>
      <c r="AS114" s="692"/>
      <c r="AT114" s="692"/>
      <c r="AU114" s="692">
        <v>1</v>
      </c>
      <c r="AV114" s="692"/>
      <c r="AW114" s="692">
        <f t="shared" si="30"/>
        <v>1</v>
      </c>
      <c r="AX114" s="692"/>
      <c r="AY114" s="692"/>
      <c r="AZ114" s="516">
        <f t="shared" si="31"/>
        <v>0</v>
      </c>
      <c r="BA114" s="516">
        <f t="shared" si="32"/>
        <v>2</v>
      </c>
      <c r="BB114" s="516"/>
      <c r="BC114" s="516"/>
      <c r="BD114" s="516">
        <f t="shared" si="33"/>
        <v>0</v>
      </c>
      <c r="BE114" s="516">
        <f t="shared" si="34"/>
        <v>3</v>
      </c>
      <c r="BF114" s="692"/>
      <c r="BG114" s="692"/>
      <c r="BH114" s="692"/>
      <c r="BI114" s="692"/>
      <c r="BJ114" s="692">
        <f t="shared" si="35"/>
        <v>7</v>
      </c>
      <c r="BK114" s="692"/>
      <c r="BL114" s="692"/>
      <c r="BM114" s="692"/>
      <c r="BN114" s="692"/>
      <c r="BO114" s="692"/>
      <c r="BP114" s="692"/>
      <c r="BQ114" s="692">
        <f t="shared" si="36"/>
        <v>0</v>
      </c>
      <c r="BR114" s="692"/>
      <c r="BS114" s="692">
        <f t="shared" si="37"/>
        <v>0</v>
      </c>
      <c r="BT114" s="692">
        <f t="shared" si="38"/>
        <v>0</v>
      </c>
      <c r="BU114" s="692"/>
      <c r="BV114" s="692"/>
      <c r="BW114" s="692"/>
      <c r="BX114" s="692"/>
      <c r="BY114" s="692">
        <v>3</v>
      </c>
      <c r="BZ114" s="692"/>
      <c r="CA114" s="692"/>
      <c r="CB114" s="692">
        <v>1</v>
      </c>
      <c r="CC114" s="692"/>
      <c r="CD114" s="692">
        <f t="shared" si="39"/>
        <v>4</v>
      </c>
      <c r="CE114" s="692"/>
      <c r="CF114" s="692"/>
      <c r="CG114" s="692"/>
      <c r="CH114" s="692"/>
      <c r="CI114" s="692"/>
      <c r="CJ114" s="692"/>
      <c r="CK114" s="692"/>
      <c r="CL114" s="692"/>
      <c r="CM114" s="692"/>
      <c r="CN114" s="692"/>
      <c r="CO114" s="692"/>
      <c r="CP114" s="692"/>
      <c r="CQ114" s="692"/>
      <c r="CR114" s="692"/>
      <c r="CS114" s="692"/>
      <c r="CT114" s="692"/>
      <c r="CU114" s="692"/>
      <c r="CV114" s="692"/>
      <c r="CW114" s="692"/>
      <c r="CX114" s="694"/>
      <c r="CY114" s="694"/>
      <c r="CZ114" s="694"/>
      <c r="DA114" s="694"/>
      <c r="DB114" s="694"/>
      <c r="DC114" s="694"/>
      <c r="DD114" s="694"/>
      <c r="DE114" s="694"/>
      <c r="DF114" s="694"/>
      <c r="DG114" s="695"/>
      <c r="DH114" s="695"/>
      <c r="DI114" s="695"/>
      <c r="DJ114" s="695"/>
      <c r="DK114" s="695"/>
      <c r="DL114" s="695"/>
      <c r="DM114" s="695"/>
      <c r="DN114" s="695"/>
      <c r="DO114" s="695"/>
      <c r="DP114" s="695"/>
      <c r="DQ114" s="695"/>
      <c r="DR114" s="695"/>
      <c r="DS114" s="694"/>
      <c r="DT114" s="694"/>
      <c r="DU114" s="694"/>
      <c r="DV114" s="694"/>
      <c r="DW114" s="694"/>
      <c r="DX114" s="694"/>
      <c r="DY114" s="694"/>
      <c r="DZ114" s="694"/>
      <c r="EA114" s="694"/>
      <c r="EB114" s="694"/>
      <c r="EC114" s="694"/>
      <c r="ED114" s="694"/>
      <c r="EE114" s="694"/>
      <c r="EF114" s="694"/>
      <c r="EG114" s="694"/>
      <c r="EH114" s="694"/>
      <c r="EI114" s="694"/>
      <c r="EJ114" s="694"/>
      <c r="EK114" s="694"/>
      <c r="EL114" s="694"/>
      <c r="EM114" s="694"/>
      <c r="EN114" s="694"/>
      <c r="EO114" s="694"/>
      <c r="EP114" s="694"/>
      <c r="EQ114" s="694"/>
      <c r="ER114" s="694"/>
      <c r="ES114" s="694"/>
      <c r="ET114" s="694"/>
      <c r="EU114" s="694"/>
      <c r="EV114" s="694"/>
      <c r="EW114" s="694"/>
      <c r="EX114" s="694"/>
      <c r="EY114" s="694"/>
      <c r="EZ114" s="694"/>
      <c r="FA114" s="694"/>
      <c r="FB114" s="694"/>
      <c r="FC114" s="694"/>
      <c r="FD114" s="694"/>
      <c r="FE114" s="694"/>
      <c r="FF114" s="694"/>
      <c r="FG114" s="694"/>
      <c r="FH114" s="694"/>
      <c r="FI114" s="694"/>
      <c r="FJ114" s="694"/>
      <c r="FK114" s="694"/>
      <c r="FL114" s="694"/>
      <c r="FM114" s="694"/>
      <c r="FN114" s="694"/>
      <c r="FO114" s="694"/>
      <c r="FP114" s="694"/>
      <c r="FQ114" s="693"/>
    </row>
    <row r="115" spans="1:173" s="696" customFormat="1">
      <c r="A115" s="690"/>
      <c r="B115" s="690"/>
      <c r="C115" s="691"/>
      <c r="D115" s="691" t="s">
        <v>3666</v>
      </c>
      <c r="E115" s="692">
        <v>52</v>
      </c>
      <c r="F115" s="692"/>
      <c r="G115" s="692"/>
      <c r="H115" s="692"/>
      <c r="I115" s="692"/>
      <c r="J115" s="692"/>
      <c r="K115" s="692"/>
      <c r="L115" s="692"/>
      <c r="M115" s="692"/>
      <c r="N115" s="692"/>
      <c r="O115" s="692"/>
      <c r="P115" s="692">
        <f t="shared" si="29"/>
        <v>52</v>
      </c>
      <c r="Q115" s="692"/>
      <c r="R115" s="693"/>
      <c r="S115" s="693"/>
      <c r="T115" s="693"/>
      <c r="U115" s="692" t="s">
        <v>1631</v>
      </c>
      <c r="V115" s="692"/>
      <c r="W115" s="692"/>
      <c r="X115" s="692"/>
      <c r="Y115" s="692"/>
      <c r="Z115" s="692"/>
      <c r="AA115" s="692"/>
      <c r="AB115" s="692"/>
      <c r="AC115" s="692"/>
      <c r="AD115" s="692"/>
      <c r="AE115" s="725"/>
      <c r="AF115" s="957"/>
      <c r="AG115" s="692"/>
      <c r="AH115" s="692"/>
      <c r="AI115" s="692"/>
      <c r="AJ115" s="692"/>
      <c r="AK115" s="692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>
        <f t="shared" si="30"/>
        <v>1</v>
      </c>
      <c r="AX115" s="692"/>
      <c r="AY115" s="692"/>
      <c r="AZ115" s="516">
        <f t="shared" si="31"/>
        <v>0</v>
      </c>
      <c r="BA115" s="516">
        <f t="shared" si="32"/>
        <v>2</v>
      </c>
      <c r="BB115" s="516"/>
      <c r="BC115" s="516"/>
      <c r="BD115" s="516">
        <f t="shared" si="33"/>
        <v>0</v>
      </c>
      <c r="BE115" s="516">
        <f t="shared" si="34"/>
        <v>1</v>
      </c>
      <c r="BF115" s="692"/>
      <c r="BG115" s="692"/>
      <c r="BH115" s="692"/>
      <c r="BI115" s="692"/>
      <c r="BJ115" s="692">
        <f t="shared" si="35"/>
        <v>5</v>
      </c>
      <c r="BK115" s="692"/>
      <c r="BL115" s="692"/>
      <c r="BM115" s="692"/>
      <c r="BN115" s="692"/>
      <c r="BO115" s="692"/>
      <c r="BP115" s="692"/>
      <c r="BQ115" s="692">
        <f t="shared" si="36"/>
        <v>0</v>
      </c>
      <c r="BR115" s="692"/>
      <c r="BS115" s="692">
        <f t="shared" si="37"/>
        <v>0</v>
      </c>
      <c r="BT115" s="692">
        <f t="shared" si="38"/>
        <v>1</v>
      </c>
      <c r="BU115" s="692"/>
      <c r="BV115" s="692"/>
      <c r="BW115" s="692"/>
      <c r="BX115" s="692"/>
      <c r="BY115" s="692"/>
      <c r="BZ115" s="692"/>
      <c r="CA115" s="692"/>
      <c r="CB115" s="692">
        <v>1</v>
      </c>
      <c r="CC115" s="692"/>
      <c r="CD115" s="692">
        <f t="shared" si="39"/>
        <v>4</v>
      </c>
      <c r="CE115" s="692"/>
      <c r="CF115" s="692"/>
      <c r="CG115" s="692"/>
      <c r="CH115" s="692"/>
      <c r="CI115" s="692"/>
      <c r="CJ115" s="692"/>
      <c r="CK115" s="692"/>
      <c r="CL115" s="692"/>
      <c r="CM115" s="692"/>
      <c r="CN115" s="692"/>
      <c r="CO115" s="692"/>
      <c r="CP115" s="692"/>
      <c r="CQ115" s="692"/>
      <c r="CR115" s="692"/>
      <c r="CS115" s="692"/>
      <c r="CT115" s="692"/>
      <c r="CU115" s="692"/>
      <c r="CV115" s="692"/>
      <c r="CW115" s="692"/>
      <c r="CX115" s="694"/>
      <c r="CY115" s="694"/>
      <c r="CZ115" s="694"/>
      <c r="DA115" s="694"/>
      <c r="DB115" s="694"/>
      <c r="DC115" s="694"/>
      <c r="DD115" s="694"/>
      <c r="DE115" s="694"/>
      <c r="DF115" s="694"/>
      <c r="DG115" s="695"/>
      <c r="DH115" s="695"/>
      <c r="DI115" s="695"/>
      <c r="DJ115" s="695"/>
      <c r="DK115" s="695"/>
      <c r="DL115" s="695"/>
      <c r="DM115" s="695"/>
      <c r="DN115" s="695"/>
      <c r="DO115" s="695"/>
      <c r="DP115" s="695"/>
      <c r="DQ115" s="695"/>
      <c r="DR115" s="695"/>
      <c r="DS115" s="694"/>
      <c r="DT115" s="694"/>
      <c r="DU115" s="694"/>
      <c r="DV115" s="694"/>
      <c r="DW115" s="694"/>
      <c r="DX115" s="694"/>
      <c r="DY115" s="694"/>
      <c r="DZ115" s="694"/>
      <c r="EA115" s="694"/>
      <c r="EB115" s="694"/>
      <c r="EC115" s="694"/>
      <c r="ED115" s="694"/>
      <c r="EE115" s="694"/>
      <c r="EF115" s="694"/>
      <c r="EG115" s="694"/>
      <c r="EH115" s="694"/>
      <c r="EI115" s="694"/>
      <c r="EJ115" s="694"/>
      <c r="EK115" s="694"/>
      <c r="EL115" s="694"/>
      <c r="EM115" s="694"/>
      <c r="EN115" s="694"/>
      <c r="EO115" s="694"/>
      <c r="EP115" s="694"/>
      <c r="EQ115" s="694"/>
      <c r="ER115" s="694"/>
      <c r="ES115" s="694"/>
      <c r="ET115" s="694"/>
      <c r="EU115" s="694"/>
      <c r="EV115" s="694"/>
      <c r="EW115" s="694"/>
      <c r="EX115" s="694"/>
      <c r="EY115" s="694"/>
      <c r="EZ115" s="694"/>
      <c r="FA115" s="694"/>
      <c r="FB115" s="694"/>
      <c r="FC115" s="694"/>
      <c r="FD115" s="694"/>
      <c r="FE115" s="694"/>
      <c r="FF115" s="694"/>
      <c r="FG115" s="694"/>
      <c r="FH115" s="694"/>
      <c r="FI115" s="694"/>
      <c r="FJ115" s="694"/>
      <c r="FK115" s="694"/>
      <c r="FL115" s="694"/>
      <c r="FM115" s="694"/>
      <c r="FN115" s="694"/>
      <c r="FO115" s="694"/>
      <c r="FP115" s="694"/>
      <c r="FQ115" s="693"/>
    </row>
    <row r="116" spans="1:173" s="696" customFormat="1">
      <c r="A116" s="690"/>
      <c r="B116" s="690"/>
      <c r="C116" s="691"/>
      <c r="D116" s="691" t="s">
        <v>3667</v>
      </c>
      <c r="E116" s="692">
        <v>45.1</v>
      </c>
      <c r="F116" s="692"/>
      <c r="G116" s="692"/>
      <c r="H116" s="692"/>
      <c r="I116" s="692"/>
      <c r="J116" s="692"/>
      <c r="K116" s="692"/>
      <c r="L116" s="692"/>
      <c r="M116" s="692"/>
      <c r="N116" s="692"/>
      <c r="O116" s="692"/>
      <c r="P116" s="692">
        <f t="shared" si="29"/>
        <v>45.1</v>
      </c>
      <c r="Q116" s="692"/>
      <c r="R116" s="693"/>
      <c r="S116" s="693"/>
      <c r="T116" s="693"/>
      <c r="U116" s="692" t="s">
        <v>3671</v>
      </c>
      <c r="V116" s="692"/>
      <c r="W116" s="692"/>
      <c r="X116" s="692"/>
      <c r="Y116" s="692"/>
      <c r="Z116" s="692"/>
      <c r="AA116" s="692"/>
      <c r="AB116" s="692"/>
      <c r="AC116" s="692"/>
      <c r="AD116" s="692"/>
      <c r="AE116" s="725"/>
      <c r="AF116" s="957"/>
      <c r="AG116" s="692"/>
      <c r="AH116" s="692"/>
      <c r="AI116" s="692"/>
      <c r="AJ116" s="692"/>
      <c r="AK116" s="692"/>
      <c r="AL116" s="692"/>
      <c r="AM116" s="692"/>
      <c r="AN116" s="692"/>
      <c r="AO116" s="692"/>
      <c r="AP116" s="692"/>
      <c r="AQ116" s="692"/>
      <c r="AR116" s="692"/>
      <c r="AS116" s="692"/>
      <c r="AT116" s="692"/>
      <c r="AU116" s="692"/>
      <c r="AV116" s="692"/>
      <c r="AW116" s="692">
        <f t="shared" si="30"/>
        <v>1</v>
      </c>
      <c r="AX116" s="692"/>
      <c r="AY116" s="692"/>
      <c r="AZ116" s="516">
        <f t="shared" si="31"/>
        <v>0</v>
      </c>
      <c r="BA116" s="516">
        <f t="shared" si="32"/>
        <v>2</v>
      </c>
      <c r="BB116" s="516"/>
      <c r="BC116" s="516"/>
      <c r="BD116" s="516">
        <f t="shared" si="33"/>
        <v>0</v>
      </c>
      <c r="BE116" s="516">
        <f t="shared" si="34"/>
        <v>4</v>
      </c>
      <c r="BF116" s="692"/>
      <c r="BG116" s="692"/>
      <c r="BH116" s="692"/>
      <c r="BI116" s="692"/>
      <c r="BJ116" s="692">
        <f t="shared" si="35"/>
        <v>5</v>
      </c>
      <c r="BK116" s="692"/>
      <c r="BL116" s="692"/>
      <c r="BM116" s="692"/>
      <c r="BN116" s="692"/>
      <c r="BO116" s="692"/>
      <c r="BP116" s="692"/>
      <c r="BQ116" s="692">
        <f t="shared" si="36"/>
        <v>0</v>
      </c>
      <c r="BR116" s="692"/>
      <c r="BS116" s="692">
        <f t="shared" si="37"/>
        <v>0</v>
      </c>
      <c r="BT116" s="692">
        <f t="shared" si="38"/>
        <v>0</v>
      </c>
      <c r="BU116" s="692"/>
      <c r="BV116" s="692"/>
      <c r="BW116" s="692"/>
      <c r="BX116" s="692"/>
      <c r="BY116" s="692">
        <v>4</v>
      </c>
      <c r="BZ116" s="692"/>
      <c r="CA116" s="692"/>
      <c r="CB116" s="692">
        <v>1</v>
      </c>
      <c r="CC116" s="692"/>
      <c r="CD116" s="692">
        <f t="shared" si="39"/>
        <v>4</v>
      </c>
      <c r="CE116" s="692"/>
      <c r="CF116" s="692"/>
      <c r="CG116" s="692"/>
      <c r="CH116" s="692"/>
      <c r="CI116" s="692"/>
      <c r="CJ116" s="692"/>
      <c r="CK116" s="692"/>
      <c r="CL116" s="692"/>
      <c r="CM116" s="692"/>
      <c r="CN116" s="692"/>
      <c r="CO116" s="692"/>
      <c r="CP116" s="692"/>
      <c r="CQ116" s="692"/>
      <c r="CR116" s="692"/>
      <c r="CS116" s="692"/>
      <c r="CT116" s="692"/>
      <c r="CU116" s="692"/>
      <c r="CV116" s="692"/>
      <c r="CW116" s="692"/>
      <c r="CX116" s="694"/>
      <c r="CY116" s="694"/>
      <c r="CZ116" s="694"/>
      <c r="DA116" s="694"/>
      <c r="DB116" s="694"/>
      <c r="DC116" s="694"/>
      <c r="DD116" s="694"/>
      <c r="DE116" s="694"/>
      <c r="DF116" s="694"/>
      <c r="DG116" s="695"/>
      <c r="DH116" s="695"/>
      <c r="DI116" s="695"/>
      <c r="DJ116" s="695"/>
      <c r="DK116" s="695"/>
      <c r="DL116" s="695"/>
      <c r="DM116" s="695"/>
      <c r="DN116" s="695"/>
      <c r="DO116" s="695"/>
      <c r="DP116" s="695"/>
      <c r="DQ116" s="695"/>
      <c r="DR116" s="695"/>
      <c r="DS116" s="694"/>
      <c r="DT116" s="694"/>
      <c r="DU116" s="694"/>
      <c r="DV116" s="694"/>
      <c r="DW116" s="694"/>
      <c r="DX116" s="694"/>
      <c r="DY116" s="694"/>
      <c r="DZ116" s="694"/>
      <c r="EA116" s="694"/>
      <c r="EB116" s="694"/>
      <c r="EC116" s="694"/>
      <c r="ED116" s="694"/>
      <c r="EE116" s="694"/>
      <c r="EF116" s="694"/>
      <c r="EG116" s="694"/>
      <c r="EH116" s="694"/>
      <c r="EI116" s="694"/>
      <c r="EJ116" s="694"/>
      <c r="EK116" s="694"/>
      <c r="EL116" s="694"/>
      <c r="EM116" s="694"/>
      <c r="EN116" s="694"/>
      <c r="EO116" s="694"/>
      <c r="EP116" s="694"/>
      <c r="EQ116" s="694"/>
      <c r="ER116" s="694"/>
      <c r="ES116" s="694"/>
      <c r="ET116" s="694"/>
      <c r="EU116" s="694"/>
      <c r="EV116" s="694"/>
      <c r="EW116" s="694"/>
      <c r="EX116" s="694"/>
      <c r="EY116" s="694"/>
      <c r="EZ116" s="694"/>
      <c r="FA116" s="694"/>
      <c r="FB116" s="694"/>
      <c r="FC116" s="694"/>
      <c r="FD116" s="694"/>
      <c r="FE116" s="694"/>
      <c r="FF116" s="694"/>
      <c r="FG116" s="694"/>
      <c r="FH116" s="694"/>
      <c r="FI116" s="694"/>
      <c r="FJ116" s="694"/>
      <c r="FK116" s="694"/>
      <c r="FL116" s="694"/>
      <c r="FM116" s="694"/>
      <c r="FN116" s="694"/>
      <c r="FO116" s="694"/>
      <c r="FP116" s="694"/>
      <c r="FQ116" s="693"/>
    </row>
    <row r="117" spans="1:173" s="696" customFormat="1">
      <c r="A117" s="690"/>
      <c r="B117" s="690"/>
      <c r="C117" s="691"/>
      <c r="D117" s="691" t="s">
        <v>3669</v>
      </c>
      <c r="E117" s="692">
        <v>38.799999999999997</v>
      </c>
      <c r="F117" s="692"/>
      <c r="G117" s="692"/>
      <c r="H117" s="692"/>
      <c r="I117" s="692"/>
      <c r="J117" s="692"/>
      <c r="K117" s="692"/>
      <c r="L117" s="692"/>
      <c r="M117" s="692"/>
      <c r="N117" s="692"/>
      <c r="O117" s="692"/>
      <c r="P117" s="692">
        <f t="shared" si="29"/>
        <v>38.799999999999997</v>
      </c>
      <c r="Q117" s="692"/>
      <c r="R117" s="693"/>
      <c r="S117" s="693"/>
      <c r="T117" s="693"/>
      <c r="U117" s="692" t="s">
        <v>1631</v>
      </c>
      <c r="V117" s="692"/>
      <c r="W117" s="692"/>
      <c r="X117" s="692"/>
      <c r="Y117" s="692"/>
      <c r="Z117" s="692"/>
      <c r="AA117" s="692"/>
      <c r="AB117" s="692"/>
      <c r="AC117" s="692"/>
      <c r="AD117" s="692"/>
      <c r="AE117" s="725"/>
      <c r="AF117" s="957"/>
      <c r="AG117" s="692"/>
      <c r="AH117" s="692"/>
      <c r="AI117" s="692"/>
      <c r="AJ117" s="692"/>
      <c r="AK117" s="692"/>
      <c r="AL117" s="692"/>
      <c r="AM117" s="692"/>
      <c r="AN117" s="692"/>
      <c r="AO117" s="692"/>
      <c r="AP117" s="692"/>
      <c r="AQ117" s="692"/>
      <c r="AR117" s="692"/>
      <c r="AS117" s="692"/>
      <c r="AT117" s="692"/>
      <c r="AU117" s="692"/>
      <c r="AV117" s="692"/>
      <c r="AW117" s="692">
        <f t="shared" si="30"/>
        <v>1</v>
      </c>
      <c r="AX117" s="692"/>
      <c r="AY117" s="692"/>
      <c r="AZ117" s="516">
        <f t="shared" si="31"/>
        <v>0</v>
      </c>
      <c r="BA117" s="516">
        <f t="shared" si="32"/>
        <v>2</v>
      </c>
      <c r="BB117" s="516"/>
      <c r="BC117" s="516"/>
      <c r="BD117" s="516">
        <f t="shared" si="33"/>
        <v>0</v>
      </c>
      <c r="BE117" s="516">
        <f t="shared" si="34"/>
        <v>1</v>
      </c>
      <c r="BF117" s="692"/>
      <c r="BG117" s="692"/>
      <c r="BH117" s="692"/>
      <c r="BI117" s="692"/>
      <c r="BJ117" s="692">
        <f t="shared" si="35"/>
        <v>5</v>
      </c>
      <c r="BK117" s="692"/>
      <c r="BL117" s="692"/>
      <c r="BM117" s="692"/>
      <c r="BN117" s="692"/>
      <c r="BO117" s="692"/>
      <c r="BP117" s="692"/>
      <c r="BQ117" s="692">
        <f t="shared" si="36"/>
        <v>0</v>
      </c>
      <c r="BR117" s="692"/>
      <c r="BS117" s="692">
        <f t="shared" si="37"/>
        <v>0</v>
      </c>
      <c r="BT117" s="692">
        <f t="shared" si="38"/>
        <v>1</v>
      </c>
      <c r="BU117" s="692"/>
      <c r="BV117" s="692"/>
      <c r="BW117" s="692"/>
      <c r="BX117" s="692"/>
      <c r="BY117" s="692"/>
      <c r="BZ117" s="692"/>
      <c r="CA117" s="692"/>
      <c r="CB117" s="692">
        <v>1</v>
      </c>
      <c r="CC117" s="692"/>
      <c r="CD117" s="692">
        <f t="shared" si="39"/>
        <v>4</v>
      </c>
      <c r="CE117" s="692"/>
      <c r="CF117" s="692"/>
      <c r="CG117" s="692"/>
      <c r="CH117" s="692"/>
      <c r="CI117" s="692"/>
      <c r="CJ117" s="692"/>
      <c r="CK117" s="692"/>
      <c r="CL117" s="692"/>
      <c r="CM117" s="692"/>
      <c r="CN117" s="692"/>
      <c r="CO117" s="692"/>
      <c r="CP117" s="692"/>
      <c r="CQ117" s="692"/>
      <c r="CR117" s="692"/>
      <c r="CS117" s="692"/>
      <c r="CT117" s="692"/>
      <c r="CU117" s="692"/>
      <c r="CV117" s="692"/>
      <c r="CW117" s="692"/>
      <c r="CX117" s="694"/>
      <c r="CY117" s="694"/>
      <c r="CZ117" s="694"/>
      <c r="DA117" s="694"/>
      <c r="DB117" s="694"/>
      <c r="DC117" s="694"/>
      <c r="DD117" s="694"/>
      <c r="DE117" s="694"/>
      <c r="DF117" s="694"/>
      <c r="DG117" s="695"/>
      <c r="DH117" s="695"/>
      <c r="DI117" s="695"/>
      <c r="DJ117" s="695"/>
      <c r="DK117" s="695"/>
      <c r="DL117" s="695"/>
      <c r="DM117" s="695"/>
      <c r="DN117" s="695"/>
      <c r="DO117" s="695"/>
      <c r="DP117" s="695"/>
      <c r="DQ117" s="695"/>
      <c r="DR117" s="695"/>
      <c r="DS117" s="694"/>
      <c r="DT117" s="694"/>
      <c r="DU117" s="694"/>
      <c r="DV117" s="694"/>
      <c r="DW117" s="694"/>
      <c r="DX117" s="694"/>
      <c r="DY117" s="694"/>
      <c r="DZ117" s="694"/>
      <c r="EA117" s="694"/>
      <c r="EB117" s="694"/>
      <c r="EC117" s="694"/>
      <c r="ED117" s="694"/>
      <c r="EE117" s="694"/>
      <c r="EF117" s="694"/>
      <c r="EG117" s="694"/>
      <c r="EH117" s="694"/>
      <c r="EI117" s="694"/>
      <c r="EJ117" s="694"/>
      <c r="EK117" s="694"/>
      <c r="EL117" s="694"/>
      <c r="EM117" s="694"/>
      <c r="EN117" s="694"/>
      <c r="EO117" s="694"/>
      <c r="EP117" s="694"/>
      <c r="EQ117" s="694"/>
      <c r="ER117" s="694"/>
      <c r="ES117" s="694"/>
      <c r="ET117" s="694"/>
      <c r="EU117" s="694"/>
      <c r="EV117" s="694"/>
      <c r="EW117" s="694"/>
      <c r="EX117" s="694"/>
      <c r="EY117" s="694"/>
      <c r="EZ117" s="694"/>
      <c r="FA117" s="694"/>
      <c r="FB117" s="694"/>
      <c r="FC117" s="694"/>
      <c r="FD117" s="694"/>
      <c r="FE117" s="694"/>
      <c r="FF117" s="694"/>
      <c r="FG117" s="694"/>
      <c r="FH117" s="694"/>
      <c r="FI117" s="694"/>
      <c r="FJ117" s="694"/>
      <c r="FK117" s="694"/>
      <c r="FL117" s="694"/>
      <c r="FM117" s="694"/>
      <c r="FN117" s="694"/>
      <c r="FO117" s="694"/>
      <c r="FP117" s="694"/>
      <c r="FQ117" s="693"/>
    </row>
    <row r="118" spans="1:173" s="696" customFormat="1">
      <c r="A118" s="690"/>
      <c r="B118" s="690"/>
      <c r="C118" s="691"/>
      <c r="D118" s="691" t="s">
        <v>3670</v>
      </c>
      <c r="E118" s="692">
        <v>27.2</v>
      </c>
      <c r="F118" s="692"/>
      <c r="G118" s="692"/>
      <c r="H118" s="692"/>
      <c r="I118" s="692"/>
      <c r="J118" s="692"/>
      <c r="K118" s="692"/>
      <c r="L118" s="692"/>
      <c r="M118" s="692"/>
      <c r="N118" s="692"/>
      <c r="O118" s="692"/>
      <c r="P118" s="692">
        <f t="shared" si="29"/>
        <v>27.2</v>
      </c>
      <c r="Q118" s="692"/>
      <c r="R118" s="693"/>
      <c r="S118" s="693"/>
      <c r="T118" s="693"/>
      <c r="U118" s="692" t="s">
        <v>3671</v>
      </c>
      <c r="V118" s="692"/>
      <c r="W118" s="692"/>
      <c r="X118" s="692"/>
      <c r="Y118" s="692"/>
      <c r="Z118" s="692"/>
      <c r="AA118" s="692"/>
      <c r="AB118" s="692"/>
      <c r="AC118" s="692"/>
      <c r="AD118" s="692"/>
      <c r="AE118" s="725"/>
      <c r="AF118" s="957"/>
      <c r="AG118" s="692"/>
      <c r="AH118" s="692"/>
      <c r="AI118" s="692"/>
      <c r="AJ118" s="692"/>
      <c r="AK118" s="692"/>
      <c r="AL118" s="692"/>
      <c r="AM118" s="692"/>
      <c r="AN118" s="692"/>
      <c r="AO118" s="692"/>
      <c r="AP118" s="692"/>
      <c r="AQ118" s="692"/>
      <c r="AR118" s="692"/>
      <c r="AS118" s="692"/>
      <c r="AT118" s="692"/>
      <c r="AU118" s="692"/>
      <c r="AV118" s="692"/>
      <c r="AW118" s="692">
        <f t="shared" si="30"/>
        <v>1</v>
      </c>
      <c r="AX118" s="692"/>
      <c r="AY118" s="692"/>
      <c r="AZ118" s="516">
        <f t="shared" si="31"/>
        <v>0</v>
      </c>
      <c r="BA118" s="516">
        <f t="shared" si="32"/>
        <v>2</v>
      </c>
      <c r="BB118" s="516"/>
      <c r="BC118" s="516"/>
      <c r="BD118" s="516">
        <f t="shared" si="33"/>
        <v>0</v>
      </c>
      <c r="BE118" s="516">
        <f t="shared" si="34"/>
        <v>4</v>
      </c>
      <c r="BF118" s="692"/>
      <c r="BG118" s="692"/>
      <c r="BH118" s="692"/>
      <c r="BI118" s="692"/>
      <c r="BJ118" s="692">
        <f t="shared" si="35"/>
        <v>5</v>
      </c>
      <c r="BK118" s="692"/>
      <c r="BL118" s="692"/>
      <c r="BM118" s="692"/>
      <c r="BN118" s="692"/>
      <c r="BO118" s="692"/>
      <c r="BP118" s="692"/>
      <c r="BQ118" s="692">
        <f t="shared" si="36"/>
        <v>0</v>
      </c>
      <c r="BR118" s="692"/>
      <c r="BS118" s="692">
        <f t="shared" si="37"/>
        <v>0</v>
      </c>
      <c r="BT118" s="692">
        <f t="shared" si="38"/>
        <v>0</v>
      </c>
      <c r="BU118" s="692"/>
      <c r="BV118" s="692"/>
      <c r="BW118" s="692"/>
      <c r="BX118" s="692"/>
      <c r="BY118" s="692">
        <v>4</v>
      </c>
      <c r="BZ118" s="692"/>
      <c r="CA118" s="692"/>
      <c r="CB118" s="692">
        <v>1</v>
      </c>
      <c r="CC118" s="692"/>
      <c r="CD118" s="692">
        <f t="shared" si="39"/>
        <v>4</v>
      </c>
      <c r="CE118" s="692"/>
      <c r="CF118" s="692"/>
      <c r="CG118" s="692"/>
      <c r="CH118" s="692"/>
      <c r="CI118" s="692"/>
      <c r="CJ118" s="692"/>
      <c r="CK118" s="692"/>
      <c r="CL118" s="692"/>
      <c r="CM118" s="692"/>
      <c r="CN118" s="692"/>
      <c r="CO118" s="692"/>
      <c r="CP118" s="692"/>
      <c r="CQ118" s="692"/>
      <c r="CR118" s="692"/>
      <c r="CS118" s="692"/>
      <c r="CT118" s="692"/>
      <c r="CU118" s="692"/>
      <c r="CV118" s="692"/>
      <c r="CW118" s="692"/>
      <c r="CX118" s="694"/>
      <c r="CY118" s="694"/>
      <c r="CZ118" s="694"/>
      <c r="DA118" s="694"/>
      <c r="DB118" s="694"/>
      <c r="DC118" s="694"/>
      <c r="DD118" s="694"/>
      <c r="DE118" s="694"/>
      <c r="DF118" s="694"/>
      <c r="DG118" s="695"/>
      <c r="DH118" s="695"/>
      <c r="DI118" s="695"/>
      <c r="DJ118" s="695"/>
      <c r="DK118" s="695"/>
      <c r="DL118" s="695"/>
      <c r="DM118" s="695"/>
      <c r="DN118" s="695"/>
      <c r="DO118" s="695"/>
      <c r="DP118" s="695"/>
      <c r="DQ118" s="695"/>
      <c r="DR118" s="695"/>
      <c r="DS118" s="694"/>
      <c r="DT118" s="694"/>
      <c r="DU118" s="694"/>
      <c r="DV118" s="694"/>
      <c r="DW118" s="694"/>
      <c r="DX118" s="694"/>
      <c r="DY118" s="694"/>
      <c r="DZ118" s="694"/>
      <c r="EA118" s="694"/>
      <c r="EB118" s="694"/>
      <c r="EC118" s="694"/>
      <c r="ED118" s="694"/>
      <c r="EE118" s="694"/>
      <c r="EF118" s="694"/>
      <c r="EG118" s="694"/>
      <c r="EH118" s="694"/>
      <c r="EI118" s="694"/>
      <c r="EJ118" s="694"/>
      <c r="EK118" s="694"/>
      <c r="EL118" s="694"/>
      <c r="EM118" s="694"/>
      <c r="EN118" s="694"/>
      <c r="EO118" s="694"/>
      <c r="EP118" s="694"/>
      <c r="EQ118" s="694"/>
      <c r="ER118" s="694"/>
      <c r="ES118" s="694"/>
      <c r="ET118" s="694"/>
      <c r="EU118" s="694"/>
      <c r="EV118" s="694"/>
      <c r="EW118" s="694"/>
      <c r="EX118" s="694"/>
      <c r="EY118" s="694"/>
      <c r="EZ118" s="694"/>
      <c r="FA118" s="694"/>
      <c r="FB118" s="694"/>
      <c r="FC118" s="694"/>
      <c r="FD118" s="694"/>
      <c r="FE118" s="694"/>
      <c r="FF118" s="694"/>
      <c r="FG118" s="694"/>
      <c r="FH118" s="694"/>
      <c r="FI118" s="694"/>
      <c r="FJ118" s="694"/>
      <c r="FK118" s="694"/>
      <c r="FL118" s="694"/>
      <c r="FM118" s="694"/>
      <c r="FN118" s="694"/>
      <c r="FO118" s="694"/>
      <c r="FP118" s="694"/>
      <c r="FQ118" s="697"/>
    </row>
    <row r="119" spans="1:173" s="696" customFormat="1">
      <c r="A119" s="690"/>
      <c r="B119" s="690"/>
      <c r="C119" s="691"/>
      <c r="D119" s="691" t="s">
        <v>3672</v>
      </c>
      <c r="E119" s="692">
        <v>53.1</v>
      </c>
      <c r="F119" s="692"/>
      <c r="G119" s="692"/>
      <c r="H119" s="692"/>
      <c r="I119" s="692"/>
      <c r="J119" s="692"/>
      <c r="K119" s="692"/>
      <c r="L119" s="692"/>
      <c r="M119" s="692"/>
      <c r="N119" s="692"/>
      <c r="O119" s="692"/>
      <c r="P119" s="692">
        <f t="shared" si="29"/>
        <v>53.1</v>
      </c>
      <c r="Q119" s="692"/>
      <c r="R119" s="693"/>
      <c r="S119" s="693"/>
      <c r="T119" s="693"/>
      <c r="U119" s="692" t="s">
        <v>1631</v>
      </c>
      <c r="V119" s="692"/>
      <c r="W119" s="692"/>
      <c r="X119" s="692"/>
      <c r="Y119" s="692"/>
      <c r="Z119" s="692"/>
      <c r="AA119" s="692"/>
      <c r="AB119" s="692"/>
      <c r="AC119" s="692"/>
      <c r="AD119" s="692"/>
      <c r="AE119" s="725"/>
      <c r="AF119" s="957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>
        <f t="shared" si="30"/>
        <v>1</v>
      </c>
      <c r="AX119" s="692"/>
      <c r="AY119" s="692"/>
      <c r="AZ119" s="516">
        <f t="shared" si="31"/>
        <v>0</v>
      </c>
      <c r="BA119" s="516">
        <f t="shared" si="32"/>
        <v>2</v>
      </c>
      <c r="BB119" s="516"/>
      <c r="BC119" s="516"/>
      <c r="BD119" s="516">
        <f t="shared" si="33"/>
        <v>0</v>
      </c>
      <c r="BE119" s="516">
        <f t="shared" si="34"/>
        <v>1</v>
      </c>
      <c r="BF119" s="692"/>
      <c r="BG119" s="692"/>
      <c r="BH119" s="692"/>
      <c r="BI119" s="692"/>
      <c r="BJ119" s="692">
        <f t="shared" si="35"/>
        <v>5</v>
      </c>
      <c r="BK119" s="692"/>
      <c r="BL119" s="692"/>
      <c r="BM119" s="692"/>
      <c r="BN119" s="692"/>
      <c r="BO119" s="692"/>
      <c r="BP119" s="692"/>
      <c r="BQ119" s="692">
        <f t="shared" si="36"/>
        <v>0</v>
      </c>
      <c r="BR119" s="692"/>
      <c r="BS119" s="692">
        <f t="shared" si="37"/>
        <v>0</v>
      </c>
      <c r="BT119" s="692">
        <f t="shared" si="38"/>
        <v>1</v>
      </c>
      <c r="BU119" s="692"/>
      <c r="BV119" s="692"/>
      <c r="BW119" s="692"/>
      <c r="BX119" s="692"/>
      <c r="BY119" s="692"/>
      <c r="BZ119" s="692"/>
      <c r="CA119" s="692"/>
      <c r="CB119" s="692">
        <v>1</v>
      </c>
      <c r="CC119" s="692"/>
      <c r="CD119" s="692">
        <f t="shared" si="39"/>
        <v>4</v>
      </c>
      <c r="CE119" s="692"/>
      <c r="CF119" s="692"/>
      <c r="CG119" s="692"/>
      <c r="CH119" s="692"/>
      <c r="CI119" s="692"/>
      <c r="CJ119" s="692"/>
      <c r="CK119" s="692"/>
      <c r="CL119" s="692"/>
      <c r="CM119" s="692"/>
      <c r="CN119" s="692"/>
      <c r="CO119" s="692"/>
      <c r="CP119" s="692"/>
      <c r="CQ119" s="692"/>
      <c r="CR119" s="692"/>
      <c r="CS119" s="692"/>
      <c r="CT119" s="692"/>
      <c r="CU119" s="692"/>
      <c r="CV119" s="692"/>
      <c r="CW119" s="692"/>
      <c r="CX119" s="694"/>
      <c r="CY119" s="694"/>
      <c r="CZ119" s="694"/>
      <c r="DA119" s="694"/>
      <c r="DB119" s="694"/>
      <c r="DC119" s="694"/>
      <c r="DD119" s="694"/>
      <c r="DE119" s="694"/>
      <c r="DF119" s="694"/>
      <c r="DG119" s="695"/>
      <c r="DH119" s="695"/>
      <c r="DI119" s="695"/>
      <c r="DJ119" s="695"/>
      <c r="DK119" s="695"/>
      <c r="DL119" s="695"/>
      <c r="DM119" s="695"/>
      <c r="DN119" s="695"/>
      <c r="DO119" s="695"/>
      <c r="DP119" s="695"/>
      <c r="DQ119" s="695"/>
      <c r="DR119" s="695"/>
      <c r="DS119" s="694"/>
      <c r="DT119" s="694"/>
      <c r="DU119" s="694"/>
      <c r="DV119" s="694"/>
      <c r="DW119" s="694"/>
      <c r="DX119" s="694"/>
      <c r="DY119" s="694"/>
      <c r="DZ119" s="694"/>
      <c r="EA119" s="694"/>
      <c r="EB119" s="694"/>
      <c r="EC119" s="694"/>
      <c r="ED119" s="694"/>
      <c r="EE119" s="694"/>
      <c r="EF119" s="694"/>
      <c r="EG119" s="694"/>
      <c r="EH119" s="694"/>
      <c r="EI119" s="694"/>
      <c r="EJ119" s="694"/>
      <c r="EK119" s="694"/>
      <c r="EL119" s="694"/>
      <c r="EM119" s="694"/>
      <c r="EN119" s="694"/>
      <c r="EO119" s="694"/>
      <c r="EP119" s="694"/>
      <c r="EQ119" s="694"/>
      <c r="ER119" s="694"/>
      <c r="ES119" s="694"/>
      <c r="ET119" s="694"/>
      <c r="EU119" s="694"/>
      <c r="EV119" s="694"/>
      <c r="EW119" s="694"/>
      <c r="EX119" s="694"/>
      <c r="EY119" s="694"/>
      <c r="EZ119" s="694"/>
      <c r="FA119" s="694"/>
      <c r="FB119" s="694"/>
      <c r="FC119" s="694"/>
      <c r="FD119" s="694"/>
      <c r="FE119" s="694"/>
      <c r="FF119" s="694"/>
      <c r="FG119" s="694"/>
      <c r="FH119" s="694"/>
      <c r="FI119" s="694"/>
      <c r="FJ119" s="694"/>
      <c r="FK119" s="694"/>
      <c r="FL119" s="694"/>
      <c r="FM119" s="694"/>
      <c r="FN119" s="694"/>
      <c r="FO119" s="694"/>
      <c r="FP119" s="694"/>
      <c r="FQ119" s="697"/>
    </row>
    <row r="120" spans="1:173" s="696" customFormat="1">
      <c r="A120" s="690"/>
      <c r="B120" s="690"/>
      <c r="C120" s="691"/>
      <c r="D120" s="691" t="s">
        <v>3673</v>
      </c>
      <c r="E120" s="692">
        <v>39.200000000000003</v>
      </c>
      <c r="F120" s="692"/>
      <c r="G120" s="692"/>
      <c r="H120" s="692"/>
      <c r="I120" s="692"/>
      <c r="J120" s="692"/>
      <c r="K120" s="692"/>
      <c r="L120" s="692"/>
      <c r="M120" s="692"/>
      <c r="N120" s="692"/>
      <c r="O120" s="692"/>
      <c r="P120" s="692">
        <f t="shared" si="29"/>
        <v>39.200000000000003</v>
      </c>
      <c r="Q120" s="692"/>
      <c r="R120" s="693"/>
      <c r="S120" s="693"/>
      <c r="T120" s="693"/>
      <c r="U120" s="692" t="s">
        <v>1631</v>
      </c>
      <c r="V120" s="692"/>
      <c r="W120" s="692"/>
      <c r="X120" s="692"/>
      <c r="Y120" s="692"/>
      <c r="Z120" s="692"/>
      <c r="AA120" s="692"/>
      <c r="AB120" s="692"/>
      <c r="AC120" s="692"/>
      <c r="AD120" s="692"/>
      <c r="AE120" s="725"/>
      <c r="AF120" s="957"/>
      <c r="AG120" s="692"/>
      <c r="AH120" s="692"/>
      <c r="AI120" s="692"/>
      <c r="AJ120" s="692"/>
      <c r="AK120" s="692"/>
      <c r="AL120" s="692"/>
      <c r="AM120" s="692"/>
      <c r="AN120" s="692"/>
      <c r="AO120" s="692"/>
      <c r="AP120" s="692"/>
      <c r="AQ120" s="692"/>
      <c r="AR120" s="692"/>
      <c r="AS120" s="692"/>
      <c r="AT120" s="692"/>
      <c r="AU120" s="692">
        <v>1</v>
      </c>
      <c r="AV120" s="692"/>
      <c r="AW120" s="692">
        <f t="shared" si="30"/>
        <v>1</v>
      </c>
      <c r="AX120" s="692"/>
      <c r="AY120" s="692"/>
      <c r="AZ120" s="516">
        <f t="shared" si="31"/>
        <v>0</v>
      </c>
      <c r="BA120" s="516">
        <f t="shared" si="32"/>
        <v>2</v>
      </c>
      <c r="BB120" s="516"/>
      <c r="BC120" s="516"/>
      <c r="BD120" s="516">
        <f t="shared" si="33"/>
        <v>0</v>
      </c>
      <c r="BE120" s="516">
        <f t="shared" si="34"/>
        <v>1</v>
      </c>
      <c r="BF120" s="692"/>
      <c r="BG120" s="692"/>
      <c r="BH120" s="692"/>
      <c r="BI120" s="692"/>
      <c r="BJ120" s="692">
        <f t="shared" si="35"/>
        <v>7</v>
      </c>
      <c r="BK120" s="692"/>
      <c r="BL120" s="692"/>
      <c r="BM120" s="692"/>
      <c r="BN120" s="692"/>
      <c r="BO120" s="692"/>
      <c r="BP120" s="692"/>
      <c r="BQ120" s="692">
        <f t="shared" si="36"/>
        <v>0</v>
      </c>
      <c r="BR120" s="692"/>
      <c r="BS120" s="692">
        <f t="shared" si="37"/>
        <v>0</v>
      </c>
      <c r="BT120" s="692">
        <f t="shared" si="38"/>
        <v>1</v>
      </c>
      <c r="BU120" s="692"/>
      <c r="BV120" s="692"/>
      <c r="BW120" s="692"/>
      <c r="BX120" s="692"/>
      <c r="BY120" s="692"/>
      <c r="BZ120" s="692"/>
      <c r="CA120" s="692"/>
      <c r="CB120" s="692">
        <v>1</v>
      </c>
      <c r="CC120" s="692"/>
      <c r="CD120" s="692">
        <f t="shared" si="39"/>
        <v>4</v>
      </c>
      <c r="CE120" s="692"/>
      <c r="CF120" s="692"/>
      <c r="CG120" s="692"/>
      <c r="CH120" s="692"/>
      <c r="CI120" s="692"/>
      <c r="CJ120" s="692"/>
      <c r="CK120" s="692"/>
      <c r="CL120" s="692"/>
      <c r="CM120" s="692"/>
      <c r="CN120" s="692"/>
      <c r="CO120" s="692"/>
      <c r="CP120" s="692"/>
      <c r="CQ120" s="692"/>
      <c r="CR120" s="692"/>
      <c r="CS120" s="692"/>
      <c r="CT120" s="692"/>
      <c r="CU120" s="692"/>
      <c r="CV120" s="692"/>
      <c r="CW120" s="692"/>
      <c r="CX120" s="694"/>
      <c r="CY120" s="694"/>
      <c r="CZ120" s="694"/>
      <c r="DA120" s="694"/>
      <c r="DB120" s="694"/>
      <c r="DC120" s="694"/>
      <c r="DD120" s="694"/>
      <c r="DE120" s="694"/>
      <c r="DF120" s="694"/>
      <c r="DG120" s="695"/>
      <c r="DH120" s="695"/>
      <c r="DI120" s="695"/>
      <c r="DJ120" s="695"/>
      <c r="DK120" s="695"/>
      <c r="DL120" s="695"/>
      <c r="DM120" s="695"/>
      <c r="DN120" s="695"/>
      <c r="DO120" s="695"/>
      <c r="DP120" s="695"/>
      <c r="DQ120" s="695"/>
      <c r="DR120" s="695"/>
      <c r="DS120" s="694"/>
      <c r="DT120" s="694"/>
      <c r="DU120" s="694"/>
      <c r="DV120" s="694"/>
      <c r="DW120" s="694"/>
      <c r="DX120" s="694"/>
      <c r="DY120" s="694"/>
      <c r="DZ120" s="694"/>
      <c r="EA120" s="694"/>
      <c r="EB120" s="694"/>
      <c r="EC120" s="694"/>
      <c r="ED120" s="694"/>
      <c r="EE120" s="694"/>
      <c r="EF120" s="694"/>
      <c r="EG120" s="694"/>
      <c r="EH120" s="694"/>
      <c r="EI120" s="694"/>
      <c r="EJ120" s="694"/>
      <c r="EK120" s="694"/>
      <c r="EL120" s="694"/>
      <c r="EM120" s="694"/>
      <c r="EN120" s="694"/>
      <c r="EO120" s="694"/>
      <c r="EP120" s="694"/>
      <c r="EQ120" s="694"/>
      <c r="ER120" s="694"/>
      <c r="ES120" s="694"/>
      <c r="ET120" s="694"/>
      <c r="EU120" s="694"/>
      <c r="EV120" s="694"/>
      <c r="EW120" s="694"/>
      <c r="EX120" s="694"/>
      <c r="EY120" s="694"/>
      <c r="EZ120" s="694"/>
      <c r="FA120" s="694"/>
      <c r="FB120" s="694"/>
      <c r="FC120" s="694"/>
      <c r="FD120" s="694"/>
      <c r="FE120" s="694"/>
      <c r="FF120" s="694"/>
      <c r="FG120" s="694"/>
      <c r="FH120" s="694"/>
      <c r="FI120" s="694"/>
      <c r="FJ120" s="694"/>
      <c r="FK120" s="694"/>
      <c r="FL120" s="694"/>
      <c r="FM120" s="694"/>
      <c r="FN120" s="694"/>
      <c r="FO120" s="694"/>
      <c r="FP120" s="694"/>
      <c r="FQ120" s="697"/>
    </row>
    <row r="121" spans="1:173" s="696" customFormat="1">
      <c r="A121" s="690"/>
      <c r="B121" s="690"/>
      <c r="C121" s="691"/>
      <c r="D121" s="691" t="s">
        <v>3674</v>
      </c>
      <c r="E121" s="692">
        <v>40.5</v>
      </c>
      <c r="F121" s="692"/>
      <c r="G121" s="692"/>
      <c r="H121" s="692"/>
      <c r="I121" s="692"/>
      <c r="J121" s="692"/>
      <c r="K121" s="692"/>
      <c r="L121" s="692"/>
      <c r="M121" s="692"/>
      <c r="N121" s="692"/>
      <c r="O121" s="692"/>
      <c r="P121" s="692">
        <f t="shared" si="29"/>
        <v>40.5</v>
      </c>
      <c r="Q121" s="692"/>
      <c r="R121" s="693"/>
      <c r="S121" s="693"/>
      <c r="T121" s="693"/>
      <c r="U121" s="692" t="s">
        <v>3718</v>
      </c>
      <c r="V121" s="692"/>
      <c r="W121" s="692"/>
      <c r="X121" s="692"/>
      <c r="Y121" s="692"/>
      <c r="Z121" s="692"/>
      <c r="AA121" s="692"/>
      <c r="AB121" s="692"/>
      <c r="AC121" s="692"/>
      <c r="AD121" s="692"/>
      <c r="AE121" s="725"/>
      <c r="AF121" s="957"/>
      <c r="AG121" s="692"/>
      <c r="AH121" s="692"/>
      <c r="AI121" s="692"/>
      <c r="AJ121" s="692"/>
      <c r="AK121" s="692"/>
      <c r="AL121" s="692"/>
      <c r="AM121" s="692"/>
      <c r="AN121" s="692"/>
      <c r="AO121" s="692"/>
      <c r="AP121" s="692"/>
      <c r="AQ121" s="692"/>
      <c r="AR121" s="692"/>
      <c r="AS121" s="692"/>
      <c r="AT121" s="692"/>
      <c r="AU121" s="692"/>
      <c r="AV121" s="692"/>
      <c r="AW121" s="692">
        <f t="shared" si="30"/>
        <v>1</v>
      </c>
      <c r="AX121" s="692"/>
      <c r="AY121" s="692"/>
      <c r="AZ121" s="516">
        <f t="shared" si="31"/>
        <v>0</v>
      </c>
      <c r="BA121" s="516">
        <f t="shared" si="32"/>
        <v>3</v>
      </c>
      <c r="BB121" s="516"/>
      <c r="BC121" s="516"/>
      <c r="BD121" s="516">
        <f t="shared" si="33"/>
        <v>0</v>
      </c>
      <c r="BE121" s="516">
        <f t="shared" si="34"/>
        <v>3</v>
      </c>
      <c r="BF121" s="692"/>
      <c r="BG121" s="692"/>
      <c r="BH121" s="692"/>
      <c r="BI121" s="692"/>
      <c r="BJ121" s="692">
        <f t="shared" si="35"/>
        <v>5</v>
      </c>
      <c r="BK121" s="692"/>
      <c r="BL121" s="692"/>
      <c r="BM121" s="692"/>
      <c r="BN121" s="692"/>
      <c r="BO121" s="692"/>
      <c r="BP121" s="692"/>
      <c r="BQ121" s="692">
        <f t="shared" si="36"/>
        <v>0</v>
      </c>
      <c r="BR121" s="692"/>
      <c r="BS121" s="692">
        <f t="shared" si="37"/>
        <v>0</v>
      </c>
      <c r="BT121" s="692">
        <f t="shared" si="38"/>
        <v>0</v>
      </c>
      <c r="BU121" s="692"/>
      <c r="BV121" s="692"/>
      <c r="BW121" s="692"/>
      <c r="BX121" s="692"/>
      <c r="BY121" s="692">
        <v>3</v>
      </c>
      <c r="BZ121" s="692"/>
      <c r="CA121" s="692"/>
      <c r="CB121" s="692">
        <v>1</v>
      </c>
      <c r="CC121" s="692">
        <v>1</v>
      </c>
      <c r="CD121" s="692">
        <f t="shared" si="39"/>
        <v>4</v>
      </c>
      <c r="CE121" s="692"/>
      <c r="CF121" s="692">
        <v>6</v>
      </c>
      <c r="CG121" s="692"/>
      <c r="CH121" s="692">
        <v>6</v>
      </c>
      <c r="CI121" s="692"/>
      <c r="CJ121" s="692">
        <v>3</v>
      </c>
      <c r="CK121" s="692"/>
      <c r="CL121" s="692"/>
      <c r="CM121" s="692"/>
      <c r="CN121" s="692">
        <v>8</v>
      </c>
      <c r="CO121" s="692"/>
      <c r="CP121" s="692"/>
      <c r="CQ121" s="692">
        <v>1</v>
      </c>
      <c r="CR121" s="692"/>
      <c r="CS121" s="692"/>
      <c r="CT121" s="692"/>
      <c r="CU121" s="692"/>
      <c r="CV121" s="692"/>
      <c r="CW121" s="692"/>
      <c r="CX121" s="694"/>
      <c r="CY121" s="694"/>
      <c r="CZ121" s="694"/>
      <c r="DA121" s="694"/>
      <c r="DB121" s="694"/>
      <c r="DC121" s="694"/>
      <c r="DD121" s="694"/>
      <c r="DE121" s="694"/>
      <c r="DF121" s="694"/>
      <c r="DG121" s="695"/>
      <c r="DH121" s="695"/>
      <c r="DI121" s="695"/>
      <c r="DJ121" s="695"/>
      <c r="DK121" s="695"/>
      <c r="DL121" s="695"/>
      <c r="DM121" s="695"/>
      <c r="DN121" s="695"/>
      <c r="DO121" s="695"/>
      <c r="DP121" s="695"/>
      <c r="DQ121" s="695"/>
      <c r="DR121" s="695"/>
      <c r="DS121" s="694"/>
      <c r="DT121" s="694"/>
      <c r="DU121" s="694"/>
      <c r="DV121" s="694"/>
      <c r="DW121" s="694"/>
      <c r="DX121" s="694"/>
      <c r="DY121" s="694"/>
      <c r="DZ121" s="694"/>
      <c r="EA121" s="694"/>
      <c r="EB121" s="694"/>
      <c r="EC121" s="694"/>
      <c r="ED121" s="694"/>
      <c r="EE121" s="694"/>
      <c r="EF121" s="694"/>
      <c r="EG121" s="694"/>
      <c r="EH121" s="694"/>
      <c r="EI121" s="694"/>
      <c r="EJ121" s="694"/>
      <c r="EK121" s="694"/>
      <c r="EL121" s="694"/>
      <c r="EM121" s="694"/>
      <c r="EN121" s="694"/>
      <c r="EO121" s="694"/>
      <c r="EP121" s="694"/>
      <c r="EQ121" s="694"/>
      <c r="ER121" s="694"/>
      <c r="ES121" s="694"/>
      <c r="ET121" s="694"/>
      <c r="EU121" s="694"/>
      <c r="EV121" s="694"/>
      <c r="EW121" s="694"/>
      <c r="EX121" s="694"/>
      <c r="EY121" s="694"/>
      <c r="EZ121" s="694"/>
      <c r="FA121" s="694"/>
      <c r="FB121" s="694"/>
      <c r="FC121" s="694"/>
      <c r="FD121" s="694"/>
      <c r="FE121" s="694"/>
      <c r="FF121" s="694"/>
      <c r="FG121" s="694"/>
      <c r="FH121" s="694"/>
      <c r="FI121" s="694"/>
      <c r="FJ121" s="694"/>
      <c r="FK121" s="694"/>
      <c r="FL121" s="694"/>
      <c r="FM121" s="694"/>
      <c r="FN121" s="694"/>
      <c r="FO121" s="694"/>
      <c r="FP121" s="694"/>
      <c r="FQ121" s="697"/>
    </row>
    <row r="122" spans="1:173" s="696" customFormat="1">
      <c r="A122" s="690"/>
      <c r="B122" s="690"/>
      <c r="C122" s="691"/>
      <c r="D122" s="691" t="s">
        <v>3675</v>
      </c>
      <c r="E122" s="692">
        <v>19.100000000000001</v>
      </c>
      <c r="F122" s="692"/>
      <c r="G122" s="692"/>
      <c r="H122" s="692"/>
      <c r="I122" s="692"/>
      <c r="J122" s="692"/>
      <c r="K122" s="692"/>
      <c r="L122" s="692"/>
      <c r="M122" s="692"/>
      <c r="N122" s="692"/>
      <c r="O122" s="692"/>
      <c r="P122" s="692">
        <f t="shared" si="29"/>
        <v>19.100000000000001</v>
      </c>
      <c r="Q122" s="692"/>
      <c r="R122" s="693"/>
      <c r="S122" s="693"/>
      <c r="T122" s="693"/>
      <c r="U122" s="692" t="s">
        <v>3718</v>
      </c>
      <c r="V122" s="692"/>
      <c r="W122" s="692"/>
      <c r="X122" s="692"/>
      <c r="Y122" s="692"/>
      <c r="Z122" s="692"/>
      <c r="AA122" s="692"/>
      <c r="AB122" s="692"/>
      <c r="AC122" s="692"/>
      <c r="AD122" s="692"/>
      <c r="AE122" s="725"/>
      <c r="AF122" s="957"/>
      <c r="AG122" s="692"/>
      <c r="AH122" s="692"/>
      <c r="AI122" s="692"/>
      <c r="AJ122" s="692"/>
      <c r="AK122" s="692"/>
      <c r="AL122" s="692"/>
      <c r="AM122" s="692"/>
      <c r="AN122" s="692"/>
      <c r="AO122" s="692"/>
      <c r="AP122" s="692"/>
      <c r="AQ122" s="692"/>
      <c r="AR122" s="692"/>
      <c r="AS122" s="692"/>
      <c r="AT122" s="692"/>
      <c r="AU122" s="692"/>
      <c r="AV122" s="692"/>
      <c r="AW122" s="692">
        <f t="shared" si="30"/>
        <v>1</v>
      </c>
      <c r="AX122" s="692"/>
      <c r="AY122" s="692"/>
      <c r="AZ122" s="516">
        <f t="shared" si="31"/>
        <v>0</v>
      </c>
      <c r="BA122" s="516">
        <f t="shared" si="32"/>
        <v>2</v>
      </c>
      <c r="BB122" s="516"/>
      <c r="BC122" s="516"/>
      <c r="BD122" s="516">
        <f t="shared" si="33"/>
        <v>0</v>
      </c>
      <c r="BE122" s="516">
        <f t="shared" si="34"/>
        <v>3</v>
      </c>
      <c r="BF122" s="692"/>
      <c r="BG122" s="692"/>
      <c r="BH122" s="692"/>
      <c r="BI122" s="692"/>
      <c r="BJ122" s="692">
        <f t="shared" si="35"/>
        <v>5</v>
      </c>
      <c r="BK122" s="692"/>
      <c r="BL122" s="692"/>
      <c r="BM122" s="692"/>
      <c r="BN122" s="692"/>
      <c r="BO122" s="692"/>
      <c r="BP122" s="692"/>
      <c r="BQ122" s="692">
        <f t="shared" si="36"/>
        <v>0</v>
      </c>
      <c r="BR122" s="692"/>
      <c r="BS122" s="692">
        <f t="shared" si="37"/>
        <v>0</v>
      </c>
      <c r="BT122" s="692">
        <f t="shared" si="38"/>
        <v>0</v>
      </c>
      <c r="BU122" s="692"/>
      <c r="BV122" s="692"/>
      <c r="BW122" s="692"/>
      <c r="BX122" s="692"/>
      <c r="BY122" s="692">
        <v>3</v>
      </c>
      <c r="BZ122" s="692"/>
      <c r="CA122" s="692"/>
      <c r="CB122" s="692">
        <v>1</v>
      </c>
      <c r="CC122" s="692"/>
      <c r="CD122" s="692">
        <f t="shared" si="39"/>
        <v>4</v>
      </c>
      <c r="CE122" s="692"/>
      <c r="CF122" s="692"/>
      <c r="CG122" s="692"/>
      <c r="CH122" s="692"/>
      <c r="CI122" s="692"/>
      <c r="CJ122" s="692"/>
      <c r="CK122" s="692"/>
      <c r="CL122" s="692"/>
      <c r="CM122" s="692"/>
      <c r="CN122" s="692"/>
      <c r="CO122" s="692"/>
      <c r="CP122" s="692"/>
      <c r="CQ122" s="692"/>
      <c r="CR122" s="692"/>
      <c r="CS122" s="692"/>
      <c r="CT122" s="692"/>
      <c r="CU122" s="692"/>
      <c r="CV122" s="692"/>
      <c r="CW122" s="692"/>
      <c r="CX122" s="694"/>
      <c r="CY122" s="694"/>
      <c r="CZ122" s="694"/>
      <c r="DA122" s="694"/>
      <c r="DB122" s="694"/>
      <c r="DC122" s="694"/>
      <c r="DD122" s="694"/>
      <c r="DE122" s="694"/>
      <c r="DF122" s="694"/>
      <c r="DG122" s="695"/>
      <c r="DH122" s="695"/>
      <c r="DI122" s="695"/>
      <c r="DJ122" s="695"/>
      <c r="DK122" s="695"/>
      <c r="DL122" s="695"/>
      <c r="DM122" s="695"/>
      <c r="DN122" s="695"/>
      <c r="DO122" s="695"/>
      <c r="DP122" s="695"/>
      <c r="DQ122" s="695"/>
      <c r="DR122" s="695"/>
      <c r="DS122" s="694"/>
      <c r="DT122" s="694"/>
      <c r="DU122" s="694"/>
      <c r="DV122" s="694"/>
      <c r="DW122" s="694"/>
      <c r="DX122" s="694"/>
      <c r="DY122" s="694"/>
      <c r="DZ122" s="694"/>
      <c r="EA122" s="694"/>
      <c r="EB122" s="694"/>
      <c r="EC122" s="694"/>
      <c r="ED122" s="694"/>
      <c r="EE122" s="694"/>
      <c r="EF122" s="694"/>
      <c r="EG122" s="694"/>
      <c r="EH122" s="694"/>
      <c r="EI122" s="694"/>
      <c r="EJ122" s="694"/>
      <c r="EK122" s="694"/>
      <c r="EL122" s="694"/>
      <c r="EM122" s="694"/>
      <c r="EN122" s="694"/>
      <c r="EO122" s="694"/>
      <c r="EP122" s="694"/>
      <c r="EQ122" s="694"/>
      <c r="ER122" s="694"/>
      <c r="ES122" s="694"/>
      <c r="ET122" s="694"/>
      <c r="EU122" s="694"/>
      <c r="EV122" s="694"/>
      <c r="EW122" s="694"/>
      <c r="EX122" s="694"/>
      <c r="EY122" s="694"/>
      <c r="EZ122" s="694"/>
      <c r="FA122" s="694"/>
      <c r="FB122" s="694"/>
      <c r="FC122" s="694"/>
      <c r="FD122" s="694"/>
      <c r="FE122" s="694"/>
      <c r="FF122" s="694"/>
      <c r="FG122" s="694"/>
      <c r="FH122" s="694"/>
      <c r="FI122" s="694"/>
      <c r="FJ122" s="694"/>
      <c r="FK122" s="694"/>
      <c r="FL122" s="694"/>
      <c r="FM122" s="694"/>
      <c r="FN122" s="694"/>
      <c r="FO122" s="694"/>
      <c r="FP122" s="694"/>
      <c r="FQ122" s="697"/>
    </row>
    <row r="123" spans="1:173" s="696" customFormat="1">
      <c r="A123" s="690"/>
      <c r="B123" s="690"/>
      <c r="C123" s="691"/>
      <c r="D123" s="691" t="s">
        <v>3810</v>
      </c>
      <c r="E123" s="692">
        <v>27</v>
      </c>
      <c r="F123" s="692"/>
      <c r="G123" s="692"/>
      <c r="H123" s="692"/>
      <c r="I123" s="692"/>
      <c r="J123" s="692"/>
      <c r="K123" s="692"/>
      <c r="L123" s="692"/>
      <c r="M123" s="692"/>
      <c r="N123" s="692"/>
      <c r="O123" s="692"/>
      <c r="P123" s="692">
        <f t="shared" si="29"/>
        <v>27</v>
      </c>
      <c r="Q123" s="692"/>
      <c r="R123" s="693"/>
      <c r="S123" s="693"/>
      <c r="T123" s="693"/>
      <c r="U123" s="692" t="s">
        <v>1631</v>
      </c>
      <c r="V123" s="692"/>
      <c r="W123" s="692"/>
      <c r="X123" s="692"/>
      <c r="Y123" s="692"/>
      <c r="Z123" s="692"/>
      <c r="AA123" s="692"/>
      <c r="AB123" s="692"/>
      <c r="AC123" s="692"/>
      <c r="AD123" s="692"/>
      <c r="AE123" s="725"/>
      <c r="AF123" s="957"/>
      <c r="AG123" s="692"/>
      <c r="AH123" s="692"/>
      <c r="AI123" s="692"/>
      <c r="AJ123" s="692"/>
      <c r="AK123" s="692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>
        <v>1</v>
      </c>
      <c r="AV123" s="692"/>
      <c r="AW123" s="692">
        <f t="shared" si="30"/>
        <v>1</v>
      </c>
      <c r="AX123" s="692"/>
      <c r="AY123" s="692"/>
      <c r="AZ123" s="516">
        <f t="shared" si="31"/>
        <v>0</v>
      </c>
      <c r="BA123" s="516">
        <f t="shared" si="32"/>
        <v>2</v>
      </c>
      <c r="BB123" s="516"/>
      <c r="BC123" s="516"/>
      <c r="BD123" s="516">
        <f t="shared" si="33"/>
        <v>0</v>
      </c>
      <c r="BE123" s="516">
        <f t="shared" si="34"/>
        <v>1</v>
      </c>
      <c r="BF123" s="692"/>
      <c r="BG123" s="692"/>
      <c r="BH123" s="692"/>
      <c r="BI123" s="692"/>
      <c r="BJ123" s="692">
        <f t="shared" si="35"/>
        <v>7</v>
      </c>
      <c r="BK123" s="692"/>
      <c r="BL123" s="692"/>
      <c r="BM123" s="692"/>
      <c r="BN123" s="692"/>
      <c r="BO123" s="692"/>
      <c r="BP123" s="692"/>
      <c r="BQ123" s="692">
        <f t="shared" si="36"/>
        <v>0</v>
      </c>
      <c r="BR123" s="692"/>
      <c r="BS123" s="692">
        <f t="shared" si="37"/>
        <v>0</v>
      </c>
      <c r="BT123" s="692">
        <f t="shared" si="38"/>
        <v>1</v>
      </c>
      <c r="BU123" s="692"/>
      <c r="BV123" s="692"/>
      <c r="BW123" s="692"/>
      <c r="BX123" s="692"/>
      <c r="BY123" s="692"/>
      <c r="BZ123" s="692"/>
      <c r="CA123" s="692"/>
      <c r="CB123" s="692">
        <v>1</v>
      </c>
      <c r="CC123" s="692"/>
      <c r="CD123" s="692">
        <f t="shared" si="39"/>
        <v>4</v>
      </c>
      <c r="CE123" s="692"/>
      <c r="CF123" s="692"/>
      <c r="CG123" s="692"/>
      <c r="CH123" s="692"/>
      <c r="CI123" s="692"/>
      <c r="CJ123" s="692"/>
      <c r="CK123" s="692"/>
      <c r="CL123" s="692"/>
      <c r="CM123" s="692"/>
      <c r="CN123" s="692"/>
      <c r="CO123" s="692"/>
      <c r="CP123" s="692"/>
      <c r="CQ123" s="692"/>
      <c r="CR123" s="692"/>
      <c r="CS123" s="692"/>
      <c r="CT123" s="692"/>
      <c r="CU123" s="692"/>
      <c r="CV123" s="692"/>
      <c r="CW123" s="692"/>
      <c r="CX123" s="694"/>
      <c r="CY123" s="694"/>
      <c r="CZ123" s="694"/>
      <c r="DA123" s="694"/>
      <c r="DB123" s="694"/>
      <c r="DC123" s="694"/>
      <c r="DD123" s="694"/>
      <c r="DE123" s="694"/>
      <c r="DF123" s="694"/>
      <c r="DG123" s="695"/>
      <c r="DH123" s="695"/>
      <c r="DI123" s="695"/>
      <c r="DJ123" s="695"/>
      <c r="DK123" s="695"/>
      <c r="DL123" s="695"/>
      <c r="DM123" s="695"/>
      <c r="DN123" s="695"/>
      <c r="DO123" s="695"/>
      <c r="DP123" s="695"/>
      <c r="DQ123" s="695"/>
      <c r="DR123" s="695"/>
      <c r="DS123" s="694"/>
      <c r="DT123" s="694"/>
      <c r="DU123" s="694"/>
      <c r="DV123" s="694"/>
      <c r="DW123" s="694"/>
      <c r="DX123" s="694"/>
      <c r="DY123" s="694"/>
      <c r="DZ123" s="694"/>
      <c r="EA123" s="694"/>
      <c r="EB123" s="694"/>
      <c r="EC123" s="694"/>
      <c r="ED123" s="694"/>
      <c r="EE123" s="694"/>
      <c r="EF123" s="694"/>
      <c r="EG123" s="694"/>
      <c r="EH123" s="694"/>
      <c r="EI123" s="694"/>
      <c r="EJ123" s="694"/>
      <c r="EK123" s="694"/>
      <c r="EL123" s="694"/>
      <c r="EM123" s="694"/>
      <c r="EN123" s="694"/>
      <c r="EO123" s="694"/>
      <c r="EP123" s="694"/>
      <c r="EQ123" s="694"/>
      <c r="ER123" s="694"/>
      <c r="ES123" s="694"/>
      <c r="ET123" s="694"/>
      <c r="EU123" s="694"/>
      <c r="EV123" s="694"/>
      <c r="EW123" s="694"/>
      <c r="EX123" s="694"/>
      <c r="EY123" s="694"/>
      <c r="EZ123" s="694"/>
      <c r="FA123" s="694"/>
      <c r="FB123" s="694"/>
      <c r="FC123" s="694"/>
      <c r="FD123" s="694"/>
      <c r="FE123" s="694"/>
      <c r="FF123" s="694"/>
      <c r="FG123" s="694"/>
      <c r="FH123" s="694"/>
      <c r="FI123" s="694"/>
      <c r="FJ123" s="694"/>
      <c r="FK123" s="694"/>
      <c r="FL123" s="694"/>
      <c r="FM123" s="694"/>
      <c r="FN123" s="694"/>
      <c r="FO123" s="694"/>
      <c r="FP123" s="694"/>
      <c r="FQ123" s="697"/>
    </row>
    <row r="124" spans="1:173" s="696" customFormat="1">
      <c r="A124" s="690"/>
      <c r="B124" s="690"/>
      <c r="C124" s="691"/>
      <c r="D124" s="691" t="s">
        <v>3676</v>
      </c>
      <c r="E124" s="692">
        <v>33.5</v>
      </c>
      <c r="F124" s="692"/>
      <c r="G124" s="692"/>
      <c r="H124" s="692"/>
      <c r="I124" s="692"/>
      <c r="J124" s="692"/>
      <c r="K124" s="692"/>
      <c r="L124" s="692"/>
      <c r="M124" s="692"/>
      <c r="N124" s="692"/>
      <c r="O124" s="692"/>
      <c r="P124" s="692">
        <f t="shared" si="29"/>
        <v>33.5</v>
      </c>
      <c r="Q124" s="692"/>
      <c r="R124" s="693"/>
      <c r="S124" s="693"/>
      <c r="T124" s="693"/>
      <c r="U124" s="692" t="s">
        <v>2989</v>
      </c>
      <c r="V124" s="692"/>
      <c r="W124" s="692"/>
      <c r="X124" s="692"/>
      <c r="Y124" s="692"/>
      <c r="Z124" s="692"/>
      <c r="AA124" s="692"/>
      <c r="AB124" s="692"/>
      <c r="AC124" s="692"/>
      <c r="AD124" s="692"/>
      <c r="AE124" s="725"/>
      <c r="AF124" s="957"/>
      <c r="AG124" s="692"/>
      <c r="AH124" s="692"/>
      <c r="AI124" s="692"/>
      <c r="AJ124" s="692"/>
      <c r="AK124" s="692"/>
      <c r="AL124" s="692"/>
      <c r="AM124" s="692"/>
      <c r="AN124" s="692"/>
      <c r="AO124" s="692"/>
      <c r="AP124" s="692"/>
      <c r="AQ124" s="692"/>
      <c r="AR124" s="692"/>
      <c r="AS124" s="692"/>
      <c r="AT124" s="692"/>
      <c r="AU124" s="692"/>
      <c r="AV124" s="692"/>
      <c r="AW124" s="692">
        <f t="shared" si="30"/>
        <v>1</v>
      </c>
      <c r="AX124" s="692"/>
      <c r="AY124" s="692"/>
      <c r="AZ124" s="516">
        <f t="shared" si="31"/>
        <v>0</v>
      </c>
      <c r="BA124" s="516">
        <f t="shared" si="32"/>
        <v>2</v>
      </c>
      <c r="BB124" s="516"/>
      <c r="BC124" s="516"/>
      <c r="BD124" s="516">
        <f t="shared" si="33"/>
        <v>0</v>
      </c>
      <c r="BE124" s="516">
        <f t="shared" si="34"/>
        <v>2</v>
      </c>
      <c r="BF124" s="692"/>
      <c r="BG124" s="692"/>
      <c r="BH124" s="692"/>
      <c r="BI124" s="692"/>
      <c r="BJ124" s="692">
        <f t="shared" si="35"/>
        <v>5</v>
      </c>
      <c r="BK124" s="692"/>
      <c r="BL124" s="692"/>
      <c r="BM124" s="692"/>
      <c r="BN124" s="692"/>
      <c r="BO124" s="692"/>
      <c r="BP124" s="692"/>
      <c r="BQ124" s="692">
        <f t="shared" si="36"/>
        <v>0</v>
      </c>
      <c r="BR124" s="692"/>
      <c r="BS124" s="692">
        <f t="shared" si="37"/>
        <v>0</v>
      </c>
      <c r="BT124" s="692">
        <f t="shared" si="38"/>
        <v>0</v>
      </c>
      <c r="BU124" s="692"/>
      <c r="BV124" s="692"/>
      <c r="BW124" s="692"/>
      <c r="BX124" s="692"/>
      <c r="BY124" s="692">
        <v>2</v>
      </c>
      <c r="BZ124" s="692"/>
      <c r="CA124" s="692"/>
      <c r="CB124" s="692">
        <v>1</v>
      </c>
      <c r="CC124" s="692"/>
      <c r="CD124" s="692">
        <f t="shared" si="39"/>
        <v>4</v>
      </c>
      <c r="CE124" s="692"/>
      <c r="CF124" s="692"/>
      <c r="CG124" s="692"/>
      <c r="CH124" s="692"/>
      <c r="CI124" s="692"/>
      <c r="CJ124" s="692"/>
      <c r="CK124" s="692"/>
      <c r="CL124" s="692"/>
      <c r="CM124" s="692"/>
      <c r="CN124" s="692"/>
      <c r="CO124" s="692"/>
      <c r="CP124" s="692"/>
      <c r="CQ124" s="692"/>
      <c r="CR124" s="692"/>
      <c r="CS124" s="692"/>
      <c r="CT124" s="692"/>
      <c r="CU124" s="692"/>
      <c r="CV124" s="692"/>
      <c r="CW124" s="692"/>
      <c r="CX124" s="694"/>
      <c r="CY124" s="694"/>
      <c r="CZ124" s="694"/>
      <c r="DA124" s="694"/>
      <c r="DB124" s="694"/>
      <c r="DC124" s="694"/>
      <c r="DD124" s="694"/>
      <c r="DE124" s="694"/>
      <c r="DF124" s="694"/>
      <c r="DG124" s="695"/>
      <c r="DH124" s="695"/>
      <c r="DI124" s="695"/>
      <c r="DJ124" s="695"/>
      <c r="DK124" s="695"/>
      <c r="DL124" s="695"/>
      <c r="DM124" s="695"/>
      <c r="DN124" s="695"/>
      <c r="DO124" s="695"/>
      <c r="DP124" s="695"/>
      <c r="DQ124" s="695"/>
      <c r="DR124" s="695"/>
      <c r="DS124" s="694"/>
      <c r="DT124" s="694"/>
      <c r="DU124" s="694"/>
      <c r="DV124" s="694"/>
      <c r="DW124" s="694"/>
      <c r="DX124" s="694"/>
      <c r="DY124" s="694"/>
      <c r="DZ124" s="694"/>
      <c r="EA124" s="694"/>
      <c r="EB124" s="694"/>
      <c r="EC124" s="694"/>
      <c r="ED124" s="694"/>
      <c r="EE124" s="694"/>
      <c r="EF124" s="694"/>
      <c r="EG124" s="694"/>
      <c r="EH124" s="694"/>
      <c r="EI124" s="694"/>
      <c r="EJ124" s="694"/>
      <c r="EK124" s="694"/>
      <c r="EL124" s="694"/>
      <c r="EM124" s="694"/>
      <c r="EN124" s="694"/>
      <c r="EO124" s="694"/>
      <c r="EP124" s="694"/>
      <c r="EQ124" s="694"/>
      <c r="ER124" s="694"/>
      <c r="ES124" s="694"/>
      <c r="ET124" s="694"/>
      <c r="EU124" s="694"/>
      <c r="EV124" s="694"/>
      <c r="EW124" s="694"/>
      <c r="EX124" s="694"/>
      <c r="EY124" s="694"/>
      <c r="EZ124" s="694"/>
      <c r="FA124" s="694"/>
      <c r="FB124" s="694"/>
      <c r="FC124" s="694"/>
      <c r="FD124" s="694"/>
      <c r="FE124" s="694"/>
      <c r="FF124" s="694"/>
      <c r="FG124" s="694"/>
      <c r="FH124" s="694"/>
      <c r="FI124" s="694"/>
      <c r="FJ124" s="694"/>
      <c r="FK124" s="694"/>
      <c r="FL124" s="694"/>
      <c r="FM124" s="694"/>
      <c r="FN124" s="694"/>
      <c r="FO124" s="694"/>
      <c r="FP124" s="694"/>
      <c r="FQ124" s="697"/>
    </row>
    <row r="125" spans="1:173" s="696" customFormat="1">
      <c r="A125" s="690"/>
      <c r="B125" s="690"/>
      <c r="C125" s="691"/>
      <c r="D125" s="691" t="s">
        <v>3677</v>
      </c>
      <c r="E125" s="692">
        <v>38</v>
      </c>
      <c r="F125" s="692"/>
      <c r="G125" s="692"/>
      <c r="H125" s="692"/>
      <c r="I125" s="692"/>
      <c r="J125" s="692"/>
      <c r="K125" s="692"/>
      <c r="L125" s="692"/>
      <c r="M125" s="692"/>
      <c r="N125" s="692"/>
      <c r="O125" s="692"/>
      <c r="P125" s="692">
        <f t="shared" si="29"/>
        <v>38</v>
      </c>
      <c r="Q125" s="692"/>
      <c r="R125" s="693"/>
      <c r="S125" s="693"/>
      <c r="T125" s="693"/>
      <c r="U125" s="692" t="s">
        <v>3718</v>
      </c>
      <c r="V125" s="692"/>
      <c r="W125" s="692"/>
      <c r="X125" s="692"/>
      <c r="Y125" s="692"/>
      <c r="Z125" s="692"/>
      <c r="AA125" s="692"/>
      <c r="AB125" s="692"/>
      <c r="AC125" s="692"/>
      <c r="AD125" s="692"/>
      <c r="AE125" s="725"/>
      <c r="AF125" s="957"/>
      <c r="AG125" s="692"/>
      <c r="AH125" s="692"/>
      <c r="AI125" s="692"/>
      <c r="AJ125" s="692"/>
      <c r="AK125" s="692"/>
      <c r="AL125" s="692"/>
      <c r="AM125" s="692"/>
      <c r="AN125" s="692"/>
      <c r="AO125" s="692"/>
      <c r="AP125" s="692"/>
      <c r="AQ125" s="692"/>
      <c r="AR125" s="692"/>
      <c r="AS125" s="692"/>
      <c r="AT125" s="692"/>
      <c r="AU125" s="692"/>
      <c r="AV125" s="692"/>
      <c r="AW125" s="692">
        <f t="shared" si="30"/>
        <v>1</v>
      </c>
      <c r="AX125" s="692"/>
      <c r="AY125" s="692"/>
      <c r="AZ125" s="516">
        <f t="shared" si="31"/>
        <v>0</v>
      </c>
      <c r="BA125" s="516">
        <f t="shared" si="32"/>
        <v>2</v>
      </c>
      <c r="BB125" s="516"/>
      <c r="BC125" s="516"/>
      <c r="BD125" s="516">
        <f t="shared" si="33"/>
        <v>0</v>
      </c>
      <c r="BE125" s="516">
        <f t="shared" si="34"/>
        <v>3</v>
      </c>
      <c r="BF125" s="692"/>
      <c r="BG125" s="692"/>
      <c r="BH125" s="692"/>
      <c r="BI125" s="692"/>
      <c r="BJ125" s="692">
        <f t="shared" si="35"/>
        <v>5</v>
      </c>
      <c r="BK125" s="692"/>
      <c r="BL125" s="692"/>
      <c r="BM125" s="692"/>
      <c r="BN125" s="692"/>
      <c r="BO125" s="692"/>
      <c r="BP125" s="692"/>
      <c r="BQ125" s="692">
        <f t="shared" si="36"/>
        <v>0</v>
      </c>
      <c r="BR125" s="692"/>
      <c r="BS125" s="692">
        <f t="shared" si="37"/>
        <v>0</v>
      </c>
      <c r="BT125" s="692">
        <f t="shared" si="38"/>
        <v>0</v>
      </c>
      <c r="BU125" s="692"/>
      <c r="BV125" s="692"/>
      <c r="BW125" s="692"/>
      <c r="BX125" s="692"/>
      <c r="BY125" s="692">
        <v>3</v>
      </c>
      <c r="BZ125" s="692"/>
      <c r="CA125" s="692"/>
      <c r="CB125" s="692">
        <v>1</v>
      </c>
      <c r="CC125" s="692"/>
      <c r="CD125" s="692">
        <f t="shared" si="39"/>
        <v>4</v>
      </c>
      <c r="CE125" s="692"/>
      <c r="CF125" s="692"/>
      <c r="CG125" s="692"/>
      <c r="CH125" s="692"/>
      <c r="CI125" s="692"/>
      <c r="CJ125" s="692"/>
      <c r="CK125" s="692"/>
      <c r="CL125" s="692"/>
      <c r="CM125" s="692"/>
      <c r="CN125" s="692"/>
      <c r="CO125" s="692"/>
      <c r="CP125" s="692"/>
      <c r="CQ125" s="692"/>
      <c r="CR125" s="692"/>
      <c r="CS125" s="692"/>
      <c r="CT125" s="692"/>
      <c r="CU125" s="692"/>
      <c r="CV125" s="692"/>
      <c r="CW125" s="692"/>
      <c r="CX125" s="694"/>
      <c r="CY125" s="694"/>
      <c r="CZ125" s="694"/>
      <c r="DA125" s="694"/>
      <c r="DB125" s="694"/>
      <c r="DC125" s="694"/>
      <c r="DD125" s="694"/>
      <c r="DE125" s="694"/>
      <c r="DF125" s="694"/>
      <c r="DG125" s="695"/>
      <c r="DH125" s="695"/>
      <c r="DI125" s="695"/>
      <c r="DJ125" s="695"/>
      <c r="DK125" s="695"/>
      <c r="DL125" s="695"/>
      <c r="DM125" s="695"/>
      <c r="DN125" s="695"/>
      <c r="DO125" s="695"/>
      <c r="DP125" s="695"/>
      <c r="DQ125" s="695"/>
      <c r="DR125" s="695"/>
      <c r="DS125" s="694"/>
      <c r="DT125" s="694"/>
      <c r="DU125" s="694"/>
      <c r="DV125" s="694"/>
      <c r="DW125" s="694"/>
      <c r="DX125" s="694"/>
      <c r="DY125" s="694"/>
      <c r="DZ125" s="694"/>
      <c r="EA125" s="694"/>
      <c r="EB125" s="694"/>
      <c r="EC125" s="694"/>
      <c r="ED125" s="694"/>
      <c r="EE125" s="694"/>
      <c r="EF125" s="694"/>
      <c r="EG125" s="694"/>
      <c r="EH125" s="694"/>
      <c r="EI125" s="694"/>
      <c r="EJ125" s="694"/>
      <c r="EK125" s="694"/>
      <c r="EL125" s="694"/>
      <c r="EM125" s="694"/>
      <c r="EN125" s="694"/>
      <c r="EO125" s="694"/>
      <c r="EP125" s="694"/>
      <c r="EQ125" s="694"/>
      <c r="ER125" s="694"/>
      <c r="ES125" s="694"/>
      <c r="ET125" s="694"/>
      <c r="EU125" s="694"/>
      <c r="EV125" s="694"/>
      <c r="EW125" s="694"/>
      <c r="EX125" s="694"/>
      <c r="EY125" s="694"/>
      <c r="EZ125" s="694"/>
      <c r="FA125" s="694"/>
      <c r="FB125" s="694"/>
      <c r="FC125" s="694"/>
      <c r="FD125" s="694"/>
      <c r="FE125" s="694"/>
      <c r="FF125" s="694"/>
      <c r="FG125" s="694"/>
      <c r="FH125" s="694"/>
      <c r="FI125" s="694"/>
      <c r="FJ125" s="694"/>
      <c r="FK125" s="694"/>
      <c r="FL125" s="694"/>
      <c r="FM125" s="694"/>
      <c r="FN125" s="694"/>
      <c r="FO125" s="694"/>
      <c r="FP125" s="694"/>
      <c r="FQ125" s="697"/>
    </row>
    <row r="126" spans="1:173" s="696" customFormat="1">
      <c r="A126" s="690"/>
      <c r="B126" s="690"/>
      <c r="C126" s="691"/>
      <c r="D126" s="691" t="s">
        <v>3678</v>
      </c>
      <c r="E126" s="692">
        <v>42.3</v>
      </c>
      <c r="F126" s="692"/>
      <c r="G126" s="692"/>
      <c r="H126" s="692"/>
      <c r="I126" s="692"/>
      <c r="J126" s="692"/>
      <c r="K126" s="692"/>
      <c r="L126" s="692"/>
      <c r="M126" s="692"/>
      <c r="N126" s="692"/>
      <c r="O126" s="692"/>
      <c r="P126" s="692">
        <f t="shared" si="29"/>
        <v>42.3</v>
      </c>
      <c r="Q126" s="692"/>
      <c r="R126" s="693"/>
      <c r="S126" s="693"/>
      <c r="T126" s="693"/>
      <c r="U126" s="692" t="s">
        <v>1631</v>
      </c>
      <c r="V126" s="692"/>
      <c r="W126" s="692"/>
      <c r="X126" s="692"/>
      <c r="Y126" s="692"/>
      <c r="Z126" s="692"/>
      <c r="AA126" s="692"/>
      <c r="AB126" s="692"/>
      <c r="AC126" s="692"/>
      <c r="AD126" s="692"/>
      <c r="AE126" s="725"/>
      <c r="AF126" s="957"/>
      <c r="AG126" s="692"/>
      <c r="AH126" s="692"/>
      <c r="AI126" s="692"/>
      <c r="AJ126" s="692"/>
      <c r="AK126" s="692"/>
      <c r="AL126" s="692"/>
      <c r="AM126" s="692"/>
      <c r="AN126" s="692"/>
      <c r="AO126" s="692"/>
      <c r="AP126" s="692"/>
      <c r="AQ126" s="692"/>
      <c r="AR126" s="692"/>
      <c r="AS126" s="692"/>
      <c r="AT126" s="692"/>
      <c r="AU126" s="692">
        <v>1</v>
      </c>
      <c r="AV126" s="692"/>
      <c r="AW126" s="692">
        <f t="shared" si="30"/>
        <v>1</v>
      </c>
      <c r="AX126" s="692"/>
      <c r="AY126" s="692"/>
      <c r="AZ126" s="516">
        <f t="shared" si="31"/>
        <v>0</v>
      </c>
      <c r="BA126" s="516">
        <f t="shared" si="32"/>
        <v>2</v>
      </c>
      <c r="BB126" s="516"/>
      <c r="BC126" s="516"/>
      <c r="BD126" s="516">
        <f t="shared" si="33"/>
        <v>0</v>
      </c>
      <c r="BE126" s="516">
        <f t="shared" si="34"/>
        <v>1</v>
      </c>
      <c r="BF126" s="692"/>
      <c r="BG126" s="692"/>
      <c r="BH126" s="692"/>
      <c r="BI126" s="692"/>
      <c r="BJ126" s="692">
        <f t="shared" si="35"/>
        <v>7</v>
      </c>
      <c r="BK126" s="692"/>
      <c r="BL126" s="692"/>
      <c r="BM126" s="692"/>
      <c r="BN126" s="692"/>
      <c r="BO126" s="692"/>
      <c r="BP126" s="692"/>
      <c r="BQ126" s="692">
        <f t="shared" si="36"/>
        <v>0</v>
      </c>
      <c r="BR126" s="692"/>
      <c r="BS126" s="692">
        <f t="shared" si="37"/>
        <v>0</v>
      </c>
      <c r="BT126" s="692">
        <f t="shared" si="38"/>
        <v>1</v>
      </c>
      <c r="BU126" s="692"/>
      <c r="BV126" s="692"/>
      <c r="BW126" s="692"/>
      <c r="BX126" s="692"/>
      <c r="BY126" s="692"/>
      <c r="BZ126" s="692"/>
      <c r="CA126" s="692"/>
      <c r="CB126" s="692">
        <v>1</v>
      </c>
      <c r="CC126" s="692"/>
      <c r="CD126" s="692">
        <f t="shared" si="39"/>
        <v>4</v>
      </c>
      <c r="CE126" s="692"/>
      <c r="CF126" s="692"/>
      <c r="CG126" s="692"/>
      <c r="CH126" s="692"/>
      <c r="CI126" s="692"/>
      <c r="CJ126" s="692"/>
      <c r="CK126" s="692"/>
      <c r="CL126" s="692"/>
      <c r="CM126" s="692"/>
      <c r="CN126" s="692"/>
      <c r="CO126" s="692"/>
      <c r="CP126" s="692"/>
      <c r="CQ126" s="692"/>
      <c r="CR126" s="692"/>
      <c r="CS126" s="692"/>
      <c r="CT126" s="692"/>
      <c r="CU126" s="692"/>
      <c r="CV126" s="692"/>
      <c r="CW126" s="692"/>
      <c r="CX126" s="694"/>
      <c r="CY126" s="694"/>
      <c r="CZ126" s="694"/>
      <c r="DA126" s="694"/>
      <c r="DB126" s="694"/>
      <c r="DC126" s="694"/>
      <c r="DD126" s="694"/>
      <c r="DE126" s="694"/>
      <c r="DF126" s="694"/>
      <c r="DG126" s="695"/>
      <c r="DH126" s="695"/>
      <c r="DI126" s="695"/>
      <c r="DJ126" s="695"/>
      <c r="DK126" s="695"/>
      <c r="DL126" s="695"/>
      <c r="DM126" s="695"/>
      <c r="DN126" s="695"/>
      <c r="DO126" s="695"/>
      <c r="DP126" s="695"/>
      <c r="DQ126" s="695"/>
      <c r="DR126" s="695"/>
      <c r="DS126" s="694"/>
      <c r="DT126" s="694"/>
      <c r="DU126" s="694"/>
      <c r="DV126" s="694"/>
      <c r="DW126" s="694"/>
      <c r="DX126" s="694"/>
      <c r="DY126" s="694"/>
      <c r="DZ126" s="694"/>
      <c r="EA126" s="694"/>
      <c r="EB126" s="694"/>
      <c r="EC126" s="694"/>
      <c r="ED126" s="694"/>
      <c r="EE126" s="694"/>
      <c r="EF126" s="694"/>
      <c r="EG126" s="694"/>
      <c r="EH126" s="694"/>
      <c r="EI126" s="694"/>
      <c r="EJ126" s="694"/>
      <c r="EK126" s="694"/>
      <c r="EL126" s="694"/>
      <c r="EM126" s="694"/>
      <c r="EN126" s="694"/>
      <c r="EO126" s="694"/>
      <c r="EP126" s="694"/>
      <c r="EQ126" s="694"/>
      <c r="ER126" s="694"/>
      <c r="ES126" s="694"/>
      <c r="ET126" s="694"/>
      <c r="EU126" s="694"/>
      <c r="EV126" s="694"/>
      <c r="EW126" s="694"/>
      <c r="EX126" s="694"/>
      <c r="EY126" s="694"/>
      <c r="EZ126" s="694"/>
      <c r="FA126" s="694"/>
      <c r="FB126" s="694"/>
      <c r="FC126" s="694"/>
      <c r="FD126" s="694"/>
      <c r="FE126" s="694"/>
      <c r="FF126" s="694"/>
      <c r="FG126" s="694"/>
      <c r="FH126" s="694"/>
      <c r="FI126" s="694"/>
      <c r="FJ126" s="694"/>
      <c r="FK126" s="694"/>
      <c r="FL126" s="694"/>
      <c r="FM126" s="694"/>
      <c r="FN126" s="694"/>
      <c r="FO126" s="694"/>
      <c r="FP126" s="694"/>
      <c r="FQ126" s="697"/>
    </row>
    <row r="127" spans="1:173" s="696" customFormat="1">
      <c r="A127" s="690"/>
      <c r="B127" s="690"/>
      <c r="C127" s="691"/>
      <c r="D127" s="691" t="s">
        <v>3679</v>
      </c>
      <c r="E127" s="692">
        <v>44</v>
      </c>
      <c r="F127" s="692"/>
      <c r="G127" s="692"/>
      <c r="H127" s="692"/>
      <c r="I127" s="692"/>
      <c r="J127" s="692"/>
      <c r="K127" s="692"/>
      <c r="L127" s="692"/>
      <c r="M127" s="692"/>
      <c r="N127" s="692"/>
      <c r="O127" s="692"/>
      <c r="P127" s="692">
        <f t="shared" si="29"/>
        <v>44</v>
      </c>
      <c r="Q127" s="692"/>
      <c r="R127" s="693"/>
      <c r="S127" s="693"/>
      <c r="T127" s="693"/>
      <c r="U127" s="692" t="s">
        <v>1631</v>
      </c>
      <c r="V127" s="692"/>
      <c r="W127" s="692"/>
      <c r="X127" s="692"/>
      <c r="Y127" s="692"/>
      <c r="Z127" s="692"/>
      <c r="AA127" s="692"/>
      <c r="AB127" s="692"/>
      <c r="AC127" s="692"/>
      <c r="AD127" s="692"/>
      <c r="AE127" s="725"/>
      <c r="AF127" s="957"/>
      <c r="AG127" s="692"/>
      <c r="AH127" s="692"/>
      <c r="AI127" s="692"/>
      <c r="AJ127" s="692"/>
      <c r="AK127" s="692"/>
      <c r="AL127" s="692"/>
      <c r="AM127" s="692"/>
      <c r="AN127" s="692"/>
      <c r="AO127" s="692"/>
      <c r="AP127" s="692"/>
      <c r="AQ127" s="692"/>
      <c r="AR127" s="692"/>
      <c r="AS127" s="692"/>
      <c r="AT127" s="692"/>
      <c r="AU127" s="692"/>
      <c r="AV127" s="692"/>
      <c r="AW127" s="692">
        <f t="shared" si="30"/>
        <v>1</v>
      </c>
      <c r="AX127" s="692"/>
      <c r="AY127" s="692"/>
      <c r="AZ127" s="516">
        <f t="shared" si="31"/>
        <v>0</v>
      </c>
      <c r="BA127" s="516">
        <f t="shared" si="32"/>
        <v>2</v>
      </c>
      <c r="BB127" s="516"/>
      <c r="BC127" s="516"/>
      <c r="BD127" s="516">
        <f t="shared" si="33"/>
        <v>0</v>
      </c>
      <c r="BE127" s="516">
        <f t="shared" si="34"/>
        <v>1</v>
      </c>
      <c r="BF127" s="692"/>
      <c r="BG127" s="692"/>
      <c r="BH127" s="692"/>
      <c r="BI127" s="692"/>
      <c r="BJ127" s="692">
        <f t="shared" si="35"/>
        <v>5</v>
      </c>
      <c r="BK127" s="692"/>
      <c r="BL127" s="692"/>
      <c r="BM127" s="692"/>
      <c r="BN127" s="692"/>
      <c r="BO127" s="692"/>
      <c r="BP127" s="692"/>
      <c r="BQ127" s="692">
        <f t="shared" si="36"/>
        <v>0</v>
      </c>
      <c r="BR127" s="692"/>
      <c r="BS127" s="692">
        <f t="shared" si="37"/>
        <v>0</v>
      </c>
      <c r="BT127" s="692">
        <f t="shared" si="38"/>
        <v>1</v>
      </c>
      <c r="BU127" s="692"/>
      <c r="BV127" s="692"/>
      <c r="BW127" s="692"/>
      <c r="BX127" s="692"/>
      <c r="BY127" s="692"/>
      <c r="BZ127" s="692"/>
      <c r="CA127" s="692"/>
      <c r="CB127" s="692">
        <v>1</v>
      </c>
      <c r="CC127" s="692"/>
      <c r="CD127" s="692">
        <f t="shared" si="39"/>
        <v>4</v>
      </c>
      <c r="CE127" s="692"/>
      <c r="CF127" s="692"/>
      <c r="CG127" s="692"/>
      <c r="CH127" s="692"/>
      <c r="CI127" s="692"/>
      <c r="CJ127" s="692"/>
      <c r="CK127" s="692"/>
      <c r="CL127" s="692"/>
      <c r="CM127" s="692"/>
      <c r="CN127" s="692"/>
      <c r="CO127" s="692"/>
      <c r="CP127" s="692"/>
      <c r="CQ127" s="692"/>
      <c r="CR127" s="692"/>
      <c r="CS127" s="692"/>
      <c r="CT127" s="692"/>
      <c r="CU127" s="692"/>
      <c r="CV127" s="692"/>
      <c r="CW127" s="692"/>
      <c r="CX127" s="694"/>
      <c r="CY127" s="694"/>
      <c r="CZ127" s="694"/>
      <c r="DA127" s="694"/>
      <c r="DB127" s="694"/>
      <c r="DC127" s="694"/>
      <c r="DD127" s="694"/>
      <c r="DE127" s="694"/>
      <c r="DF127" s="694"/>
      <c r="DG127" s="695"/>
      <c r="DH127" s="695"/>
      <c r="DI127" s="695"/>
      <c r="DJ127" s="695"/>
      <c r="DK127" s="695"/>
      <c r="DL127" s="695"/>
      <c r="DM127" s="695"/>
      <c r="DN127" s="695"/>
      <c r="DO127" s="695"/>
      <c r="DP127" s="695"/>
      <c r="DQ127" s="695"/>
      <c r="DR127" s="695"/>
      <c r="DS127" s="694"/>
      <c r="DT127" s="694"/>
      <c r="DU127" s="694"/>
      <c r="DV127" s="694"/>
      <c r="DW127" s="694"/>
      <c r="DX127" s="694"/>
      <c r="DY127" s="694"/>
      <c r="DZ127" s="694"/>
      <c r="EA127" s="694"/>
      <c r="EB127" s="694"/>
      <c r="EC127" s="694"/>
      <c r="ED127" s="694"/>
      <c r="EE127" s="694"/>
      <c r="EF127" s="694"/>
      <c r="EG127" s="694"/>
      <c r="EH127" s="694"/>
      <c r="EI127" s="694"/>
      <c r="EJ127" s="694"/>
      <c r="EK127" s="694"/>
      <c r="EL127" s="694"/>
      <c r="EM127" s="694"/>
      <c r="EN127" s="694"/>
      <c r="EO127" s="694"/>
      <c r="EP127" s="694"/>
      <c r="EQ127" s="694"/>
      <c r="ER127" s="694"/>
      <c r="ES127" s="694"/>
      <c r="ET127" s="694"/>
      <c r="EU127" s="694"/>
      <c r="EV127" s="694"/>
      <c r="EW127" s="694"/>
      <c r="EX127" s="694"/>
      <c r="EY127" s="694"/>
      <c r="EZ127" s="694"/>
      <c r="FA127" s="694"/>
      <c r="FB127" s="694"/>
      <c r="FC127" s="694"/>
      <c r="FD127" s="694"/>
      <c r="FE127" s="694"/>
      <c r="FF127" s="694"/>
      <c r="FG127" s="694"/>
      <c r="FH127" s="694"/>
      <c r="FI127" s="694"/>
      <c r="FJ127" s="694"/>
      <c r="FK127" s="694"/>
      <c r="FL127" s="694"/>
      <c r="FM127" s="694"/>
      <c r="FN127" s="694"/>
      <c r="FO127" s="694"/>
      <c r="FP127" s="694"/>
      <c r="FQ127" s="697"/>
    </row>
    <row r="128" spans="1:173" s="696" customFormat="1">
      <c r="A128" s="690"/>
      <c r="B128" s="690"/>
      <c r="C128" s="691"/>
      <c r="D128" s="691" t="s">
        <v>3680</v>
      </c>
      <c r="E128" s="692">
        <v>37.9</v>
      </c>
      <c r="F128" s="692"/>
      <c r="G128" s="692"/>
      <c r="H128" s="692"/>
      <c r="I128" s="692"/>
      <c r="J128" s="692"/>
      <c r="K128" s="692"/>
      <c r="L128" s="692"/>
      <c r="M128" s="692"/>
      <c r="N128" s="692"/>
      <c r="O128" s="692"/>
      <c r="P128" s="692">
        <f t="shared" si="29"/>
        <v>37.9</v>
      </c>
      <c r="Q128" s="692"/>
      <c r="R128" s="693"/>
      <c r="S128" s="693"/>
      <c r="T128" s="693"/>
      <c r="U128" s="692" t="s">
        <v>1631</v>
      </c>
      <c r="V128" s="692"/>
      <c r="W128" s="692"/>
      <c r="X128" s="692"/>
      <c r="Y128" s="692"/>
      <c r="Z128" s="692"/>
      <c r="AA128" s="692"/>
      <c r="AB128" s="692"/>
      <c r="AC128" s="692"/>
      <c r="AD128" s="692"/>
      <c r="AE128" s="725"/>
      <c r="AF128" s="957"/>
      <c r="AG128" s="692"/>
      <c r="AH128" s="692"/>
      <c r="AI128" s="692"/>
      <c r="AJ128" s="692"/>
      <c r="AK128" s="692"/>
      <c r="AL128" s="692"/>
      <c r="AM128" s="692"/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>
        <f t="shared" si="30"/>
        <v>1</v>
      </c>
      <c r="AX128" s="692"/>
      <c r="AY128" s="692"/>
      <c r="AZ128" s="516">
        <f t="shared" si="31"/>
        <v>0</v>
      </c>
      <c r="BA128" s="516">
        <f t="shared" si="32"/>
        <v>2</v>
      </c>
      <c r="BB128" s="516"/>
      <c r="BC128" s="516"/>
      <c r="BD128" s="516">
        <f t="shared" si="33"/>
        <v>0</v>
      </c>
      <c r="BE128" s="516">
        <f t="shared" si="34"/>
        <v>1</v>
      </c>
      <c r="BF128" s="692"/>
      <c r="BG128" s="692"/>
      <c r="BH128" s="692"/>
      <c r="BI128" s="692"/>
      <c r="BJ128" s="692">
        <f t="shared" si="35"/>
        <v>5</v>
      </c>
      <c r="BK128" s="692"/>
      <c r="BL128" s="692"/>
      <c r="BM128" s="692"/>
      <c r="BN128" s="692"/>
      <c r="BO128" s="692"/>
      <c r="BP128" s="692"/>
      <c r="BQ128" s="692">
        <f t="shared" si="36"/>
        <v>0</v>
      </c>
      <c r="BR128" s="692"/>
      <c r="BS128" s="692">
        <f t="shared" si="37"/>
        <v>0</v>
      </c>
      <c r="BT128" s="692">
        <f t="shared" si="38"/>
        <v>1</v>
      </c>
      <c r="BU128" s="692"/>
      <c r="BV128" s="692"/>
      <c r="BW128" s="692"/>
      <c r="BX128" s="692"/>
      <c r="BY128" s="692"/>
      <c r="BZ128" s="692"/>
      <c r="CA128" s="692"/>
      <c r="CB128" s="692">
        <v>1</v>
      </c>
      <c r="CC128" s="692"/>
      <c r="CD128" s="692">
        <f t="shared" si="39"/>
        <v>4</v>
      </c>
      <c r="CE128" s="692"/>
      <c r="CF128" s="692"/>
      <c r="CG128" s="692"/>
      <c r="CH128" s="692"/>
      <c r="CI128" s="692"/>
      <c r="CJ128" s="692"/>
      <c r="CK128" s="692"/>
      <c r="CL128" s="692"/>
      <c r="CM128" s="692"/>
      <c r="CN128" s="692"/>
      <c r="CO128" s="692"/>
      <c r="CP128" s="692"/>
      <c r="CQ128" s="692"/>
      <c r="CR128" s="692"/>
      <c r="CS128" s="692"/>
      <c r="CT128" s="692"/>
      <c r="CU128" s="692"/>
      <c r="CV128" s="692"/>
      <c r="CW128" s="692"/>
      <c r="CX128" s="694"/>
      <c r="CY128" s="694"/>
      <c r="CZ128" s="694"/>
      <c r="DA128" s="694"/>
      <c r="DB128" s="694"/>
      <c r="DC128" s="694"/>
      <c r="DD128" s="694"/>
      <c r="DE128" s="694"/>
      <c r="DF128" s="694"/>
      <c r="DG128" s="695"/>
      <c r="DH128" s="695"/>
      <c r="DI128" s="695"/>
      <c r="DJ128" s="695"/>
      <c r="DK128" s="695"/>
      <c r="DL128" s="695"/>
      <c r="DM128" s="695"/>
      <c r="DN128" s="695"/>
      <c r="DO128" s="695"/>
      <c r="DP128" s="695"/>
      <c r="DQ128" s="695"/>
      <c r="DR128" s="695"/>
      <c r="DS128" s="694"/>
      <c r="DT128" s="694"/>
      <c r="DU128" s="694"/>
      <c r="DV128" s="694"/>
      <c r="DW128" s="694"/>
      <c r="DX128" s="694"/>
      <c r="DY128" s="694"/>
      <c r="DZ128" s="694"/>
      <c r="EA128" s="694"/>
      <c r="EB128" s="694"/>
      <c r="EC128" s="694"/>
      <c r="ED128" s="694"/>
      <c r="EE128" s="694"/>
      <c r="EF128" s="694"/>
      <c r="EG128" s="694"/>
      <c r="EH128" s="694"/>
      <c r="EI128" s="694"/>
      <c r="EJ128" s="694"/>
      <c r="EK128" s="694"/>
      <c r="EL128" s="694"/>
      <c r="EM128" s="694"/>
      <c r="EN128" s="694"/>
      <c r="EO128" s="694"/>
      <c r="EP128" s="694"/>
      <c r="EQ128" s="694"/>
      <c r="ER128" s="694"/>
      <c r="ES128" s="694"/>
      <c r="ET128" s="694"/>
      <c r="EU128" s="694"/>
      <c r="EV128" s="694"/>
      <c r="EW128" s="694"/>
      <c r="EX128" s="694"/>
      <c r="EY128" s="694"/>
      <c r="EZ128" s="694"/>
      <c r="FA128" s="694"/>
      <c r="FB128" s="694"/>
      <c r="FC128" s="694"/>
      <c r="FD128" s="694"/>
      <c r="FE128" s="694"/>
      <c r="FF128" s="694"/>
      <c r="FG128" s="694"/>
      <c r="FH128" s="694"/>
      <c r="FI128" s="694"/>
      <c r="FJ128" s="694"/>
      <c r="FK128" s="694"/>
      <c r="FL128" s="694"/>
      <c r="FM128" s="694"/>
      <c r="FN128" s="694"/>
      <c r="FO128" s="694"/>
      <c r="FP128" s="694"/>
      <c r="FQ128" s="697"/>
    </row>
    <row r="129" spans="1:173" s="696" customFormat="1">
      <c r="A129" s="690"/>
      <c r="B129" s="690"/>
      <c r="C129" s="691"/>
      <c r="D129" s="691" t="s">
        <v>3681</v>
      </c>
      <c r="E129" s="692">
        <v>40.799999999999997</v>
      </c>
      <c r="F129" s="692"/>
      <c r="G129" s="692"/>
      <c r="H129" s="692"/>
      <c r="I129" s="692"/>
      <c r="J129" s="692"/>
      <c r="K129" s="692"/>
      <c r="L129" s="692"/>
      <c r="M129" s="692"/>
      <c r="N129" s="692"/>
      <c r="O129" s="692"/>
      <c r="P129" s="692">
        <f t="shared" si="29"/>
        <v>40.799999999999997</v>
      </c>
      <c r="Q129" s="692"/>
      <c r="R129" s="693"/>
      <c r="S129" s="693"/>
      <c r="T129" s="693"/>
      <c r="U129" s="692" t="s">
        <v>3718</v>
      </c>
      <c r="V129" s="692"/>
      <c r="W129" s="692"/>
      <c r="X129" s="692"/>
      <c r="Y129" s="692"/>
      <c r="Z129" s="692"/>
      <c r="AA129" s="692"/>
      <c r="AB129" s="692"/>
      <c r="AC129" s="692"/>
      <c r="AD129" s="692"/>
      <c r="AE129" s="725"/>
      <c r="AF129" s="957"/>
      <c r="AG129" s="692"/>
      <c r="AH129" s="692"/>
      <c r="AI129" s="692"/>
      <c r="AJ129" s="692"/>
      <c r="AK129" s="692"/>
      <c r="AL129" s="692"/>
      <c r="AM129" s="692"/>
      <c r="AN129" s="692"/>
      <c r="AO129" s="692"/>
      <c r="AP129" s="692"/>
      <c r="AQ129" s="692"/>
      <c r="AR129" s="692"/>
      <c r="AS129" s="692"/>
      <c r="AT129" s="692"/>
      <c r="AU129" s="692"/>
      <c r="AV129" s="692"/>
      <c r="AW129" s="692">
        <f t="shared" si="30"/>
        <v>1</v>
      </c>
      <c r="AX129" s="692"/>
      <c r="AY129" s="692"/>
      <c r="AZ129" s="516">
        <f t="shared" si="31"/>
        <v>0</v>
      </c>
      <c r="BA129" s="516">
        <f t="shared" si="32"/>
        <v>2</v>
      </c>
      <c r="BB129" s="516"/>
      <c r="BC129" s="516"/>
      <c r="BD129" s="516">
        <f t="shared" si="33"/>
        <v>0</v>
      </c>
      <c r="BE129" s="516">
        <f t="shared" si="34"/>
        <v>3</v>
      </c>
      <c r="BF129" s="692"/>
      <c r="BG129" s="692"/>
      <c r="BH129" s="692"/>
      <c r="BI129" s="692"/>
      <c r="BJ129" s="692">
        <f t="shared" si="35"/>
        <v>5</v>
      </c>
      <c r="BK129" s="692"/>
      <c r="BL129" s="692"/>
      <c r="BM129" s="692"/>
      <c r="BN129" s="692"/>
      <c r="BO129" s="692"/>
      <c r="BP129" s="692"/>
      <c r="BQ129" s="692">
        <f t="shared" si="36"/>
        <v>0</v>
      </c>
      <c r="BR129" s="692"/>
      <c r="BS129" s="692">
        <f t="shared" si="37"/>
        <v>0</v>
      </c>
      <c r="BT129" s="692">
        <f t="shared" si="38"/>
        <v>0</v>
      </c>
      <c r="BU129" s="692"/>
      <c r="BV129" s="692"/>
      <c r="BW129" s="692"/>
      <c r="BX129" s="692">
        <v>1</v>
      </c>
      <c r="BY129" s="692">
        <v>2</v>
      </c>
      <c r="BZ129" s="692"/>
      <c r="CA129" s="692"/>
      <c r="CB129" s="692">
        <v>1</v>
      </c>
      <c r="CC129" s="692"/>
      <c r="CD129" s="692">
        <f t="shared" si="39"/>
        <v>4</v>
      </c>
      <c r="CE129" s="692">
        <v>3</v>
      </c>
      <c r="CF129" s="692">
        <v>3</v>
      </c>
      <c r="CG129" s="692">
        <v>6</v>
      </c>
      <c r="CH129" s="692">
        <v>6</v>
      </c>
      <c r="CI129" s="692"/>
      <c r="CJ129" s="692">
        <v>8</v>
      </c>
      <c r="CK129" s="692"/>
      <c r="CL129" s="692"/>
      <c r="CM129" s="692"/>
      <c r="CN129" s="692"/>
      <c r="CO129" s="692">
        <v>8</v>
      </c>
      <c r="CP129" s="692"/>
      <c r="CQ129" s="692"/>
      <c r="CR129" s="692"/>
      <c r="CS129" s="692"/>
      <c r="CT129" s="692"/>
      <c r="CU129" s="692">
        <v>1</v>
      </c>
      <c r="CV129" s="692">
        <v>1</v>
      </c>
      <c r="CW129" s="692"/>
      <c r="CX129" s="694"/>
      <c r="CY129" s="694"/>
      <c r="CZ129" s="694"/>
      <c r="DA129" s="694"/>
      <c r="DB129" s="694"/>
      <c r="DC129" s="694"/>
      <c r="DD129" s="694"/>
      <c r="DE129" s="694"/>
      <c r="DF129" s="694"/>
      <c r="DG129" s="695"/>
      <c r="DH129" s="695"/>
      <c r="DI129" s="695"/>
      <c r="DJ129" s="695"/>
      <c r="DK129" s="695"/>
      <c r="DL129" s="695"/>
      <c r="DM129" s="695"/>
      <c r="DN129" s="695"/>
      <c r="DO129" s="695"/>
      <c r="DP129" s="695"/>
      <c r="DQ129" s="695"/>
      <c r="DR129" s="695"/>
      <c r="DS129" s="694"/>
      <c r="DT129" s="694"/>
      <c r="DU129" s="694"/>
      <c r="DV129" s="694"/>
      <c r="DW129" s="694"/>
      <c r="DX129" s="694"/>
      <c r="DY129" s="694"/>
      <c r="DZ129" s="694"/>
      <c r="EA129" s="694"/>
      <c r="EB129" s="694"/>
      <c r="EC129" s="694"/>
      <c r="ED129" s="694"/>
      <c r="EE129" s="694"/>
      <c r="EF129" s="694"/>
      <c r="EG129" s="694"/>
      <c r="EH129" s="694"/>
      <c r="EI129" s="694"/>
      <c r="EJ129" s="694"/>
      <c r="EK129" s="694"/>
      <c r="EL129" s="694"/>
      <c r="EM129" s="694"/>
      <c r="EN129" s="694"/>
      <c r="EO129" s="694"/>
      <c r="EP129" s="694"/>
      <c r="EQ129" s="694"/>
      <c r="ER129" s="694"/>
      <c r="ES129" s="694"/>
      <c r="ET129" s="694"/>
      <c r="EU129" s="694"/>
      <c r="EV129" s="694"/>
      <c r="EW129" s="694"/>
      <c r="EX129" s="694"/>
      <c r="EY129" s="694"/>
      <c r="EZ129" s="694"/>
      <c r="FA129" s="694"/>
      <c r="FB129" s="694"/>
      <c r="FC129" s="694"/>
      <c r="FD129" s="694"/>
      <c r="FE129" s="694"/>
      <c r="FF129" s="694"/>
      <c r="FG129" s="694"/>
      <c r="FH129" s="694"/>
      <c r="FI129" s="694"/>
      <c r="FJ129" s="694"/>
      <c r="FK129" s="694"/>
      <c r="FL129" s="694"/>
      <c r="FM129" s="694"/>
      <c r="FN129" s="694"/>
      <c r="FO129" s="694"/>
      <c r="FP129" s="694"/>
      <c r="FQ129" s="697"/>
    </row>
    <row r="130" spans="1:173" s="696" customFormat="1">
      <c r="A130" s="690"/>
      <c r="B130" s="690"/>
      <c r="C130" s="691" t="s">
        <v>3811</v>
      </c>
      <c r="D130" s="691"/>
      <c r="E130" s="692"/>
      <c r="F130" s="692"/>
      <c r="G130" s="692"/>
      <c r="H130" s="692"/>
      <c r="I130" s="692"/>
      <c r="J130" s="692"/>
      <c r="K130" s="692"/>
      <c r="L130" s="692"/>
      <c r="M130" s="692"/>
      <c r="N130" s="692"/>
      <c r="O130" s="692"/>
      <c r="P130" s="692">
        <f t="shared" si="29"/>
        <v>0</v>
      </c>
      <c r="Q130" s="692"/>
      <c r="R130" s="693"/>
      <c r="S130" s="693"/>
      <c r="T130" s="693"/>
      <c r="U130" s="692" t="s">
        <v>3718</v>
      </c>
      <c r="V130" s="692"/>
      <c r="W130" s="692"/>
      <c r="X130" s="692"/>
      <c r="Y130" s="692"/>
      <c r="Z130" s="692"/>
      <c r="AA130" s="692"/>
      <c r="AB130" s="692"/>
      <c r="AC130" s="692"/>
      <c r="AD130" s="692"/>
      <c r="AE130" s="725"/>
      <c r="AF130" s="957"/>
      <c r="AG130" s="692"/>
      <c r="AH130" s="692"/>
      <c r="AI130" s="692"/>
      <c r="AJ130" s="692"/>
      <c r="AK130" s="692"/>
      <c r="AL130" s="692"/>
      <c r="AM130" s="692"/>
      <c r="AN130" s="692"/>
      <c r="AO130" s="692"/>
      <c r="AP130" s="692"/>
      <c r="AQ130" s="692"/>
      <c r="AR130" s="692"/>
      <c r="AS130" s="692"/>
      <c r="AT130" s="692"/>
      <c r="AU130" s="692"/>
      <c r="AV130" s="692"/>
      <c r="AW130" s="692">
        <f t="shared" si="30"/>
        <v>1</v>
      </c>
      <c r="AX130" s="692"/>
      <c r="AY130" s="692"/>
      <c r="AZ130" s="516">
        <f t="shared" si="31"/>
        <v>2</v>
      </c>
      <c r="BA130" s="516">
        <f t="shared" si="32"/>
        <v>0</v>
      </c>
      <c r="BB130" s="516"/>
      <c r="BC130" s="516"/>
      <c r="BD130" s="516">
        <f t="shared" si="33"/>
        <v>3</v>
      </c>
      <c r="BE130" s="516">
        <f t="shared" si="34"/>
        <v>0</v>
      </c>
      <c r="BF130" s="692"/>
      <c r="BG130" s="692"/>
      <c r="BH130" s="692"/>
      <c r="BI130" s="692"/>
      <c r="BJ130" s="692">
        <f t="shared" si="35"/>
        <v>5</v>
      </c>
      <c r="BK130" s="692"/>
      <c r="BL130" s="692"/>
      <c r="BM130" s="692"/>
      <c r="BN130" s="692"/>
      <c r="BO130" s="692"/>
      <c r="BP130" s="692"/>
      <c r="BQ130" s="692">
        <f t="shared" si="36"/>
        <v>0</v>
      </c>
      <c r="BR130" s="692"/>
      <c r="BS130" s="692">
        <f t="shared" si="37"/>
        <v>0</v>
      </c>
      <c r="BT130" s="692">
        <f t="shared" si="38"/>
        <v>0</v>
      </c>
      <c r="BU130" s="692"/>
      <c r="BV130" s="692"/>
      <c r="BW130" s="692"/>
      <c r="BX130" s="692"/>
      <c r="BY130" s="692">
        <v>3</v>
      </c>
      <c r="BZ130" s="692"/>
      <c r="CA130" s="692"/>
      <c r="CB130" s="692">
        <v>1</v>
      </c>
      <c r="CC130" s="692"/>
      <c r="CD130" s="692">
        <f t="shared" si="39"/>
        <v>4</v>
      </c>
      <c r="CE130" s="692"/>
      <c r="CF130" s="692"/>
      <c r="CG130" s="692"/>
      <c r="CH130" s="692"/>
      <c r="CI130" s="692"/>
      <c r="CJ130" s="692"/>
      <c r="CK130" s="692"/>
      <c r="CL130" s="692"/>
      <c r="CM130" s="692"/>
      <c r="CN130" s="692">
        <v>8</v>
      </c>
      <c r="CO130" s="692"/>
      <c r="CP130" s="692"/>
      <c r="CQ130" s="692"/>
      <c r="CR130" s="692"/>
      <c r="CS130" s="692"/>
      <c r="CT130" s="692"/>
      <c r="CU130" s="692"/>
      <c r="CV130" s="692"/>
      <c r="CW130" s="692"/>
      <c r="CX130" s="694"/>
      <c r="CY130" s="694"/>
      <c r="CZ130" s="694"/>
      <c r="DA130" s="694"/>
      <c r="DB130" s="694"/>
      <c r="DC130" s="694"/>
      <c r="DD130" s="694"/>
      <c r="DE130" s="694"/>
      <c r="DF130" s="694"/>
      <c r="DG130" s="695"/>
      <c r="DH130" s="695"/>
      <c r="DI130" s="695"/>
      <c r="DJ130" s="695"/>
      <c r="DK130" s="695"/>
      <c r="DL130" s="695"/>
      <c r="DM130" s="695"/>
      <c r="DN130" s="695"/>
      <c r="DO130" s="695"/>
      <c r="DP130" s="695"/>
      <c r="DQ130" s="695"/>
      <c r="DR130" s="695"/>
      <c r="DS130" s="694"/>
      <c r="DT130" s="694"/>
      <c r="DU130" s="694"/>
      <c r="DV130" s="694"/>
      <c r="DW130" s="694"/>
      <c r="DX130" s="694"/>
      <c r="DY130" s="694"/>
      <c r="DZ130" s="694"/>
      <c r="EA130" s="694"/>
      <c r="EB130" s="694"/>
      <c r="EC130" s="694"/>
      <c r="ED130" s="694"/>
      <c r="EE130" s="694"/>
      <c r="EF130" s="694"/>
      <c r="EG130" s="694"/>
      <c r="EH130" s="694"/>
      <c r="EI130" s="694"/>
      <c r="EJ130" s="694"/>
      <c r="EK130" s="694"/>
      <c r="EL130" s="694"/>
      <c r="EM130" s="694"/>
      <c r="EN130" s="694"/>
      <c r="EO130" s="694"/>
      <c r="EP130" s="694"/>
      <c r="EQ130" s="694"/>
      <c r="ER130" s="694"/>
      <c r="ES130" s="694"/>
      <c r="ET130" s="694"/>
      <c r="EU130" s="694"/>
      <c r="EV130" s="694"/>
      <c r="EW130" s="694"/>
      <c r="EX130" s="694"/>
      <c r="EY130" s="694"/>
      <c r="EZ130" s="694"/>
      <c r="FA130" s="694"/>
      <c r="FB130" s="694"/>
      <c r="FC130" s="694"/>
      <c r="FD130" s="694"/>
      <c r="FE130" s="694"/>
      <c r="FF130" s="694"/>
      <c r="FG130" s="694"/>
      <c r="FH130" s="694"/>
      <c r="FI130" s="694"/>
      <c r="FJ130" s="694"/>
      <c r="FK130" s="694"/>
      <c r="FL130" s="694"/>
      <c r="FM130" s="694"/>
      <c r="FN130" s="694"/>
      <c r="FO130" s="694"/>
      <c r="FP130" s="694"/>
      <c r="FQ130" s="697"/>
    </row>
    <row r="131" spans="1:173" s="696" customFormat="1">
      <c r="A131" s="690"/>
      <c r="B131" s="690"/>
      <c r="C131" s="691"/>
      <c r="D131" s="691" t="s">
        <v>3682</v>
      </c>
      <c r="E131" s="692">
        <v>39</v>
      </c>
      <c r="F131" s="692"/>
      <c r="G131" s="692"/>
      <c r="H131" s="692"/>
      <c r="I131" s="692"/>
      <c r="J131" s="692"/>
      <c r="K131" s="692"/>
      <c r="L131" s="692"/>
      <c r="M131" s="692"/>
      <c r="N131" s="692"/>
      <c r="O131" s="692"/>
      <c r="P131" s="692">
        <f t="shared" si="29"/>
        <v>39</v>
      </c>
      <c r="Q131" s="692"/>
      <c r="R131" s="693"/>
      <c r="S131" s="693"/>
      <c r="T131" s="693"/>
      <c r="U131" s="692" t="s">
        <v>1903</v>
      </c>
      <c r="V131" s="692"/>
      <c r="W131" s="692"/>
      <c r="X131" s="692"/>
      <c r="Y131" s="692"/>
      <c r="Z131" s="692"/>
      <c r="AA131" s="692"/>
      <c r="AB131" s="692"/>
      <c r="AC131" s="692"/>
      <c r="AD131" s="692"/>
      <c r="AE131" s="725"/>
      <c r="AF131" s="957"/>
      <c r="AG131" s="692"/>
      <c r="AH131" s="692"/>
      <c r="AI131" s="692"/>
      <c r="AJ131" s="692"/>
      <c r="AK131" s="692"/>
      <c r="AL131" s="692"/>
      <c r="AM131" s="692"/>
      <c r="AN131" s="692"/>
      <c r="AO131" s="692"/>
      <c r="AP131" s="692"/>
      <c r="AQ131" s="692"/>
      <c r="AR131" s="692"/>
      <c r="AS131" s="692"/>
      <c r="AT131" s="692"/>
      <c r="AU131" s="692"/>
      <c r="AV131" s="692"/>
      <c r="AW131" s="692">
        <f t="shared" si="30"/>
        <v>1</v>
      </c>
      <c r="AX131" s="692"/>
      <c r="AY131" s="692"/>
      <c r="AZ131" s="516">
        <f t="shared" si="31"/>
        <v>0</v>
      </c>
      <c r="BA131" s="516">
        <f t="shared" si="32"/>
        <v>2</v>
      </c>
      <c r="BB131" s="516"/>
      <c r="BC131" s="516"/>
      <c r="BD131" s="516">
        <f t="shared" si="33"/>
        <v>0</v>
      </c>
      <c r="BE131" s="516">
        <f t="shared" si="34"/>
        <v>1</v>
      </c>
      <c r="BF131" s="692"/>
      <c r="BG131" s="692"/>
      <c r="BH131" s="692"/>
      <c r="BI131" s="692"/>
      <c r="BJ131" s="692">
        <f t="shared" si="35"/>
        <v>5</v>
      </c>
      <c r="BK131" s="692"/>
      <c r="BL131" s="692"/>
      <c r="BM131" s="692"/>
      <c r="BN131" s="692"/>
      <c r="BO131" s="692"/>
      <c r="BP131" s="692"/>
      <c r="BQ131" s="692">
        <f t="shared" si="36"/>
        <v>1</v>
      </c>
      <c r="BR131" s="692"/>
      <c r="BS131" s="692">
        <f t="shared" si="37"/>
        <v>0</v>
      </c>
      <c r="BT131" s="692">
        <f t="shared" si="38"/>
        <v>2</v>
      </c>
      <c r="BU131" s="692"/>
      <c r="BV131" s="692"/>
      <c r="BW131" s="692"/>
      <c r="BX131" s="692"/>
      <c r="BY131" s="692"/>
      <c r="BZ131" s="692"/>
      <c r="CA131" s="692"/>
      <c r="CB131" s="692">
        <v>1</v>
      </c>
      <c r="CC131" s="692"/>
      <c r="CD131" s="692">
        <f t="shared" si="39"/>
        <v>4</v>
      </c>
      <c r="CE131" s="692"/>
      <c r="CF131" s="692"/>
      <c r="CG131" s="692"/>
      <c r="CH131" s="692"/>
      <c r="CI131" s="692"/>
      <c r="CJ131" s="692"/>
      <c r="CK131" s="692"/>
      <c r="CL131" s="692"/>
      <c r="CM131" s="692"/>
      <c r="CN131" s="692"/>
      <c r="CO131" s="692"/>
      <c r="CP131" s="692"/>
      <c r="CQ131" s="692"/>
      <c r="CR131" s="692"/>
      <c r="CS131" s="692"/>
      <c r="CT131" s="692"/>
      <c r="CU131" s="692"/>
      <c r="CV131" s="692"/>
      <c r="CW131" s="692"/>
      <c r="CX131" s="694"/>
      <c r="CY131" s="694"/>
      <c r="CZ131" s="694"/>
      <c r="DA131" s="694"/>
      <c r="DB131" s="694"/>
      <c r="DC131" s="694"/>
      <c r="DD131" s="694"/>
      <c r="DE131" s="694"/>
      <c r="DF131" s="694"/>
      <c r="DG131" s="695"/>
      <c r="DH131" s="695"/>
      <c r="DI131" s="695"/>
      <c r="DJ131" s="695"/>
      <c r="DK131" s="695"/>
      <c r="DL131" s="695"/>
      <c r="DM131" s="695"/>
      <c r="DN131" s="695"/>
      <c r="DO131" s="695"/>
      <c r="DP131" s="695"/>
      <c r="DQ131" s="695"/>
      <c r="DR131" s="695"/>
      <c r="DS131" s="694"/>
      <c r="DT131" s="694"/>
      <c r="DU131" s="694"/>
      <c r="DV131" s="694"/>
      <c r="DW131" s="694"/>
      <c r="DX131" s="694"/>
      <c r="DY131" s="694"/>
      <c r="DZ131" s="694"/>
      <c r="EA131" s="694"/>
      <c r="EB131" s="694"/>
      <c r="EC131" s="694"/>
      <c r="ED131" s="694"/>
      <c r="EE131" s="694"/>
      <c r="EF131" s="694"/>
      <c r="EG131" s="694"/>
      <c r="EH131" s="694"/>
      <c r="EI131" s="694"/>
      <c r="EJ131" s="694"/>
      <c r="EK131" s="694"/>
      <c r="EL131" s="694"/>
      <c r="EM131" s="694"/>
      <c r="EN131" s="694"/>
      <c r="EO131" s="694"/>
      <c r="EP131" s="694"/>
      <c r="EQ131" s="694"/>
      <c r="ER131" s="694"/>
      <c r="ES131" s="694"/>
      <c r="ET131" s="694"/>
      <c r="EU131" s="694"/>
      <c r="EV131" s="694"/>
      <c r="EW131" s="694"/>
      <c r="EX131" s="694"/>
      <c r="EY131" s="694"/>
      <c r="EZ131" s="694"/>
      <c r="FA131" s="694"/>
      <c r="FB131" s="694"/>
      <c r="FC131" s="694"/>
      <c r="FD131" s="694"/>
      <c r="FE131" s="694"/>
      <c r="FF131" s="694"/>
      <c r="FG131" s="694"/>
      <c r="FH131" s="694"/>
      <c r="FI131" s="694"/>
      <c r="FJ131" s="694"/>
      <c r="FK131" s="694"/>
      <c r="FL131" s="694"/>
      <c r="FM131" s="694"/>
      <c r="FN131" s="694"/>
      <c r="FO131" s="694"/>
      <c r="FP131" s="694"/>
      <c r="FQ131" s="698"/>
    </row>
    <row r="132" spans="1:173" s="696" customFormat="1">
      <c r="A132" s="690"/>
      <c r="B132" s="690"/>
      <c r="C132" s="699"/>
      <c r="D132" s="691" t="s">
        <v>3683</v>
      </c>
      <c r="E132" s="692">
        <v>41.2</v>
      </c>
      <c r="F132" s="692"/>
      <c r="G132" s="692"/>
      <c r="H132" s="692"/>
      <c r="I132" s="692"/>
      <c r="J132" s="692"/>
      <c r="K132" s="692"/>
      <c r="L132" s="692"/>
      <c r="M132" s="692"/>
      <c r="N132" s="692"/>
      <c r="O132" s="692"/>
      <c r="P132" s="692">
        <f t="shared" si="29"/>
        <v>41.2</v>
      </c>
      <c r="Q132" s="692"/>
      <c r="R132" s="693"/>
      <c r="S132" s="693"/>
      <c r="T132" s="693"/>
      <c r="U132" s="692" t="s">
        <v>1903</v>
      </c>
      <c r="V132" s="692"/>
      <c r="W132" s="692"/>
      <c r="X132" s="692"/>
      <c r="Y132" s="692"/>
      <c r="Z132" s="692"/>
      <c r="AA132" s="692"/>
      <c r="AB132" s="692"/>
      <c r="AC132" s="692"/>
      <c r="AD132" s="692"/>
      <c r="AE132" s="725"/>
      <c r="AF132" s="957"/>
      <c r="AG132" s="692"/>
      <c r="AH132" s="692"/>
      <c r="AI132" s="692"/>
      <c r="AJ132" s="692"/>
      <c r="AK132" s="692"/>
      <c r="AL132" s="692"/>
      <c r="AM132" s="692"/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>
        <f t="shared" si="30"/>
        <v>1</v>
      </c>
      <c r="AX132" s="692"/>
      <c r="AY132" s="692"/>
      <c r="AZ132" s="516">
        <f t="shared" si="31"/>
        <v>0</v>
      </c>
      <c r="BA132" s="516">
        <f t="shared" si="32"/>
        <v>2</v>
      </c>
      <c r="BB132" s="516"/>
      <c r="BC132" s="516"/>
      <c r="BD132" s="516">
        <f t="shared" si="33"/>
        <v>0</v>
      </c>
      <c r="BE132" s="516">
        <f t="shared" si="34"/>
        <v>1</v>
      </c>
      <c r="BF132" s="692"/>
      <c r="BG132" s="692"/>
      <c r="BH132" s="692"/>
      <c r="BI132" s="692"/>
      <c r="BJ132" s="692">
        <f t="shared" si="35"/>
        <v>5</v>
      </c>
      <c r="BK132" s="692"/>
      <c r="BL132" s="692"/>
      <c r="BM132" s="692"/>
      <c r="BN132" s="692"/>
      <c r="BO132" s="692"/>
      <c r="BP132" s="692"/>
      <c r="BQ132" s="692">
        <f t="shared" si="36"/>
        <v>1</v>
      </c>
      <c r="BR132" s="692"/>
      <c r="BS132" s="692">
        <f t="shared" si="37"/>
        <v>0</v>
      </c>
      <c r="BT132" s="692">
        <f t="shared" si="38"/>
        <v>2</v>
      </c>
      <c r="BU132" s="692"/>
      <c r="BV132" s="692"/>
      <c r="BW132" s="692"/>
      <c r="BX132" s="692"/>
      <c r="BY132" s="692"/>
      <c r="BZ132" s="692"/>
      <c r="CA132" s="692"/>
      <c r="CB132" s="692">
        <v>1</v>
      </c>
      <c r="CC132" s="692"/>
      <c r="CD132" s="692">
        <f t="shared" si="39"/>
        <v>4</v>
      </c>
      <c r="CE132" s="692"/>
      <c r="CF132" s="692"/>
      <c r="CG132" s="692"/>
      <c r="CH132" s="692"/>
      <c r="CI132" s="692"/>
      <c r="CJ132" s="692"/>
      <c r="CK132" s="692"/>
      <c r="CL132" s="692"/>
      <c r="CM132" s="692"/>
      <c r="CN132" s="692"/>
      <c r="CO132" s="692"/>
      <c r="CP132" s="692"/>
      <c r="CQ132" s="692"/>
      <c r="CR132" s="692"/>
      <c r="CS132" s="692"/>
      <c r="CT132" s="692"/>
      <c r="CU132" s="692"/>
      <c r="CV132" s="692"/>
      <c r="CW132" s="692"/>
      <c r="CX132" s="694"/>
      <c r="CY132" s="694"/>
      <c r="CZ132" s="694"/>
      <c r="DA132" s="694"/>
      <c r="DB132" s="694"/>
      <c r="DC132" s="694"/>
      <c r="DD132" s="694"/>
      <c r="DE132" s="694"/>
      <c r="DF132" s="694"/>
      <c r="DG132" s="695"/>
      <c r="DH132" s="695"/>
      <c r="DI132" s="695"/>
      <c r="DJ132" s="695"/>
      <c r="DK132" s="695"/>
      <c r="DL132" s="695"/>
      <c r="DM132" s="695"/>
      <c r="DN132" s="695"/>
      <c r="DO132" s="695"/>
      <c r="DP132" s="695"/>
      <c r="DQ132" s="695"/>
      <c r="DR132" s="695"/>
      <c r="DS132" s="694"/>
      <c r="DT132" s="694"/>
      <c r="DU132" s="694"/>
      <c r="DV132" s="694"/>
      <c r="DW132" s="694"/>
      <c r="DX132" s="694"/>
      <c r="DY132" s="694"/>
      <c r="DZ132" s="694"/>
      <c r="EA132" s="694"/>
      <c r="EB132" s="694"/>
      <c r="EC132" s="694"/>
      <c r="ED132" s="694"/>
      <c r="EE132" s="694"/>
      <c r="EF132" s="694"/>
      <c r="EG132" s="694"/>
      <c r="EH132" s="694"/>
      <c r="EI132" s="694"/>
      <c r="EJ132" s="694"/>
      <c r="EK132" s="694"/>
      <c r="EL132" s="694"/>
      <c r="EM132" s="694"/>
      <c r="EN132" s="694"/>
      <c r="EO132" s="694"/>
      <c r="EP132" s="694"/>
      <c r="EQ132" s="694"/>
      <c r="ER132" s="694"/>
      <c r="ES132" s="694"/>
      <c r="ET132" s="694"/>
      <c r="EU132" s="694"/>
      <c r="EV132" s="694"/>
      <c r="EW132" s="694"/>
      <c r="EX132" s="694"/>
      <c r="EY132" s="694"/>
      <c r="EZ132" s="694"/>
      <c r="FA132" s="694"/>
      <c r="FB132" s="694"/>
      <c r="FC132" s="694"/>
      <c r="FD132" s="694"/>
      <c r="FE132" s="694"/>
      <c r="FF132" s="694"/>
      <c r="FG132" s="694"/>
      <c r="FH132" s="694"/>
      <c r="FI132" s="694"/>
      <c r="FJ132" s="694"/>
      <c r="FK132" s="694"/>
      <c r="FL132" s="694"/>
      <c r="FM132" s="694"/>
      <c r="FN132" s="694"/>
      <c r="FO132" s="694"/>
      <c r="FP132" s="694"/>
      <c r="FQ132" s="697"/>
    </row>
    <row r="133" spans="1:173" s="696" customFormat="1">
      <c r="A133" s="690"/>
      <c r="B133" s="690"/>
      <c r="C133" s="691"/>
      <c r="D133" s="691" t="s">
        <v>3684</v>
      </c>
      <c r="E133" s="692">
        <v>31.9</v>
      </c>
      <c r="F133" s="692"/>
      <c r="G133" s="692"/>
      <c r="H133" s="692"/>
      <c r="I133" s="692"/>
      <c r="J133" s="692"/>
      <c r="K133" s="692"/>
      <c r="L133" s="692"/>
      <c r="M133" s="692"/>
      <c r="N133" s="692"/>
      <c r="O133" s="692"/>
      <c r="P133" s="692">
        <f t="shared" si="29"/>
        <v>31.9</v>
      </c>
      <c r="Q133" s="692"/>
      <c r="R133" s="693"/>
      <c r="S133" s="693"/>
      <c r="T133" s="693"/>
      <c r="U133" s="692" t="s">
        <v>1903</v>
      </c>
      <c r="V133" s="692"/>
      <c r="W133" s="692"/>
      <c r="X133" s="692"/>
      <c r="Y133" s="692"/>
      <c r="Z133" s="692"/>
      <c r="AA133" s="692"/>
      <c r="AB133" s="692"/>
      <c r="AC133" s="692"/>
      <c r="AD133" s="692"/>
      <c r="AE133" s="725"/>
      <c r="AF133" s="957"/>
      <c r="AG133" s="692"/>
      <c r="AH133" s="692"/>
      <c r="AI133" s="692"/>
      <c r="AJ133" s="692"/>
      <c r="AK133" s="692"/>
      <c r="AL133" s="692"/>
      <c r="AM133" s="692"/>
      <c r="AN133" s="692"/>
      <c r="AO133" s="692"/>
      <c r="AP133" s="692"/>
      <c r="AQ133" s="692"/>
      <c r="AR133" s="692"/>
      <c r="AS133" s="692"/>
      <c r="AT133" s="692"/>
      <c r="AU133" s="692">
        <v>1</v>
      </c>
      <c r="AV133" s="692"/>
      <c r="AW133" s="692">
        <f t="shared" si="30"/>
        <v>1</v>
      </c>
      <c r="AX133" s="692"/>
      <c r="AY133" s="692"/>
      <c r="AZ133" s="516">
        <f t="shared" si="31"/>
        <v>0</v>
      </c>
      <c r="BA133" s="516">
        <f t="shared" si="32"/>
        <v>2</v>
      </c>
      <c r="BB133" s="516"/>
      <c r="BC133" s="516"/>
      <c r="BD133" s="516">
        <f t="shared" si="33"/>
        <v>0</v>
      </c>
      <c r="BE133" s="516">
        <f t="shared" si="34"/>
        <v>1</v>
      </c>
      <c r="BF133" s="692"/>
      <c r="BG133" s="692"/>
      <c r="BH133" s="692"/>
      <c r="BI133" s="692"/>
      <c r="BJ133" s="692">
        <f t="shared" si="35"/>
        <v>7</v>
      </c>
      <c r="BK133" s="692"/>
      <c r="BL133" s="692"/>
      <c r="BM133" s="692"/>
      <c r="BN133" s="692"/>
      <c r="BO133" s="692"/>
      <c r="BP133" s="692"/>
      <c r="BQ133" s="692">
        <f t="shared" si="36"/>
        <v>1</v>
      </c>
      <c r="BR133" s="692"/>
      <c r="BS133" s="692">
        <f t="shared" si="37"/>
        <v>0</v>
      </c>
      <c r="BT133" s="692">
        <f t="shared" si="38"/>
        <v>2</v>
      </c>
      <c r="BU133" s="692"/>
      <c r="BV133" s="692"/>
      <c r="BW133" s="692"/>
      <c r="BX133" s="692"/>
      <c r="BY133" s="692"/>
      <c r="BZ133" s="692"/>
      <c r="CA133" s="692"/>
      <c r="CB133" s="692">
        <v>1</v>
      </c>
      <c r="CC133" s="692"/>
      <c r="CD133" s="692">
        <f t="shared" si="39"/>
        <v>4</v>
      </c>
      <c r="CE133" s="692"/>
      <c r="CF133" s="692"/>
      <c r="CG133" s="692"/>
      <c r="CH133" s="692"/>
      <c r="CI133" s="692"/>
      <c r="CJ133" s="692"/>
      <c r="CK133" s="692"/>
      <c r="CL133" s="692"/>
      <c r="CM133" s="692"/>
      <c r="CN133" s="692"/>
      <c r="CO133" s="692"/>
      <c r="CP133" s="692"/>
      <c r="CQ133" s="692"/>
      <c r="CR133" s="692"/>
      <c r="CS133" s="692"/>
      <c r="CT133" s="692"/>
      <c r="CU133" s="692"/>
      <c r="CV133" s="692"/>
      <c r="CW133" s="692"/>
      <c r="CX133" s="694"/>
      <c r="CY133" s="694"/>
      <c r="CZ133" s="694"/>
      <c r="DA133" s="694"/>
      <c r="DB133" s="694"/>
      <c r="DC133" s="694"/>
      <c r="DD133" s="694"/>
      <c r="DE133" s="694"/>
      <c r="DF133" s="694"/>
      <c r="DG133" s="695"/>
      <c r="DH133" s="695"/>
      <c r="DI133" s="695"/>
      <c r="DJ133" s="695"/>
      <c r="DK133" s="695"/>
      <c r="DL133" s="695"/>
      <c r="DM133" s="695"/>
      <c r="DN133" s="695"/>
      <c r="DO133" s="695"/>
      <c r="DP133" s="695"/>
      <c r="DQ133" s="695"/>
      <c r="DR133" s="695"/>
      <c r="DS133" s="694"/>
      <c r="DT133" s="694"/>
      <c r="DU133" s="694"/>
      <c r="DV133" s="694"/>
      <c r="DW133" s="694"/>
      <c r="DX133" s="694"/>
      <c r="DY133" s="694"/>
      <c r="DZ133" s="694"/>
      <c r="EA133" s="694"/>
      <c r="EB133" s="694"/>
      <c r="EC133" s="694"/>
      <c r="ED133" s="694"/>
      <c r="EE133" s="694"/>
      <c r="EF133" s="694"/>
      <c r="EG133" s="694"/>
      <c r="EH133" s="694"/>
      <c r="EI133" s="694"/>
      <c r="EJ133" s="694"/>
      <c r="EK133" s="694"/>
      <c r="EL133" s="694"/>
      <c r="EM133" s="694"/>
      <c r="EN133" s="694"/>
      <c r="EO133" s="694"/>
      <c r="EP133" s="694"/>
      <c r="EQ133" s="694"/>
      <c r="ER133" s="694"/>
      <c r="ES133" s="694"/>
      <c r="ET133" s="694"/>
      <c r="EU133" s="694"/>
      <c r="EV133" s="694"/>
      <c r="EW133" s="694"/>
      <c r="EX133" s="694"/>
      <c r="EY133" s="694"/>
      <c r="EZ133" s="694"/>
      <c r="FA133" s="694"/>
      <c r="FB133" s="694"/>
      <c r="FC133" s="694"/>
      <c r="FD133" s="694"/>
      <c r="FE133" s="694"/>
      <c r="FF133" s="694"/>
      <c r="FG133" s="694"/>
      <c r="FH133" s="694"/>
      <c r="FI133" s="694"/>
      <c r="FJ133" s="694"/>
      <c r="FK133" s="694"/>
      <c r="FL133" s="694"/>
      <c r="FM133" s="694"/>
      <c r="FN133" s="694"/>
      <c r="FO133" s="694"/>
      <c r="FP133" s="694"/>
      <c r="FQ133" s="697"/>
    </row>
    <row r="134" spans="1:173" s="696" customFormat="1">
      <c r="A134" s="690"/>
      <c r="B134" s="690"/>
      <c r="C134" s="691"/>
      <c r="D134" s="691" t="s">
        <v>3660</v>
      </c>
      <c r="E134" s="692">
        <v>37.9</v>
      </c>
      <c r="F134" s="692"/>
      <c r="G134" s="692"/>
      <c r="H134" s="692"/>
      <c r="I134" s="692"/>
      <c r="J134" s="692"/>
      <c r="K134" s="692"/>
      <c r="L134" s="692"/>
      <c r="M134" s="692"/>
      <c r="N134" s="692"/>
      <c r="O134" s="692"/>
      <c r="P134" s="692">
        <f t="shared" si="29"/>
        <v>37.9</v>
      </c>
      <c r="Q134" s="692"/>
      <c r="R134" s="693"/>
      <c r="S134" s="693"/>
      <c r="T134" s="693"/>
      <c r="U134" s="692" t="s">
        <v>1631</v>
      </c>
      <c r="V134" s="692"/>
      <c r="W134" s="692"/>
      <c r="X134" s="692"/>
      <c r="Y134" s="692"/>
      <c r="Z134" s="692"/>
      <c r="AA134" s="692"/>
      <c r="AB134" s="692"/>
      <c r="AC134" s="692"/>
      <c r="AD134" s="692"/>
      <c r="AE134" s="725"/>
      <c r="AF134" s="957"/>
      <c r="AG134" s="692"/>
      <c r="AH134" s="692"/>
      <c r="AI134" s="692"/>
      <c r="AJ134" s="692"/>
      <c r="AK134" s="692"/>
      <c r="AL134" s="692"/>
      <c r="AM134" s="692"/>
      <c r="AN134" s="692"/>
      <c r="AO134" s="692"/>
      <c r="AP134" s="692"/>
      <c r="AQ134" s="692"/>
      <c r="AR134" s="692"/>
      <c r="AS134" s="692"/>
      <c r="AT134" s="692"/>
      <c r="AU134" s="692"/>
      <c r="AV134" s="692"/>
      <c r="AW134" s="692">
        <f t="shared" si="30"/>
        <v>1</v>
      </c>
      <c r="AX134" s="692"/>
      <c r="AY134" s="692"/>
      <c r="AZ134" s="516">
        <f t="shared" si="31"/>
        <v>0</v>
      </c>
      <c r="BA134" s="516">
        <f t="shared" si="32"/>
        <v>2</v>
      </c>
      <c r="BB134" s="516"/>
      <c r="BC134" s="516"/>
      <c r="BD134" s="516">
        <f t="shared" si="33"/>
        <v>0</v>
      </c>
      <c r="BE134" s="516">
        <f t="shared" si="34"/>
        <v>1</v>
      </c>
      <c r="BF134" s="692"/>
      <c r="BG134" s="692"/>
      <c r="BH134" s="692"/>
      <c r="BI134" s="692"/>
      <c r="BJ134" s="692">
        <f t="shared" si="35"/>
        <v>5</v>
      </c>
      <c r="BK134" s="692"/>
      <c r="BL134" s="692"/>
      <c r="BM134" s="692"/>
      <c r="BN134" s="692"/>
      <c r="BO134" s="692"/>
      <c r="BP134" s="692"/>
      <c r="BQ134" s="692">
        <f t="shared" si="36"/>
        <v>0</v>
      </c>
      <c r="BR134" s="692"/>
      <c r="BS134" s="692">
        <f t="shared" si="37"/>
        <v>0</v>
      </c>
      <c r="BT134" s="692">
        <f t="shared" si="38"/>
        <v>1</v>
      </c>
      <c r="BU134" s="692"/>
      <c r="BV134" s="692"/>
      <c r="BW134" s="692"/>
      <c r="BX134" s="692"/>
      <c r="BY134" s="692"/>
      <c r="BZ134" s="692"/>
      <c r="CA134" s="692"/>
      <c r="CB134" s="692">
        <v>1</v>
      </c>
      <c r="CC134" s="692"/>
      <c r="CD134" s="692">
        <f t="shared" si="39"/>
        <v>4</v>
      </c>
      <c r="CE134" s="692"/>
      <c r="CF134" s="692"/>
      <c r="CG134" s="692"/>
      <c r="CH134" s="692"/>
      <c r="CI134" s="692"/>
      <c r="CJ134" s="692"/>
      <c r="CK134" s="692"/>
      <c r="CL134" s="692"/>
      <c r="CM134" s="692"/>
      <c r="CN134" s="692"/>
      <c r="CO134" s="692"/>
      <c r="CP134" s="692"/>
      <c r="CQ134" s="692"/>
      <c r="CR134" s="692"/>
      <c r="CS134" s="692"/>
      <c r="CT134" s="692"/>
      <c r="CU134" s="692"/>
      <c r="CV134" s="692"/>
      <c r="CW134" s="692"/>
      <c r="CX134" s="694"/>
      <c r="CY134" s="694"/>
      <c r="CZ134" s="694"/>
      <c r="DA134" s="694"/>
      <c r="DB134" s="694"/>
      <c r="DC134" s="694"/>
      <c r="DD134" s="694"/>
      <c r="DE134" s="694"/>
      <c r="DF134" s="694"/>
      <c r="DG134" s="695"/>
      <c r="DH134" s="695"/>
      <c r="DI134" s="695"/>
      <c r="DJ134" s="695"/>
      <c r="DK134" s="695"/>
      <c r="DL134" s="695"/>
      <c r="DM134" s="695"/>
      <c r="DN134" s="695"/>
      <c r="DO134" s="695"/>
      <c r="DP134" s="695"/>
      <c r="DQ134" s="695"/>
      <c r="DR134" s="695"/>
      <c r="DS134" s="694"/>
      <c r="DT134" s="694"/>
      <c r="DU134" s="694"/>
      <c r="DV134" s="694"/>
      <c r="DW134" s="694"/>
      <c r="DX134" s="694"/>
      <c r="DY134" s="694"/>
      <c r="DZ134" s="694"/>
      <c r="EA134" s="694"/>
      <c r="EB134" s="694"/>
      <c r="EC134" s="694"/>
      <c r="ED134" s="694"/>
      <c r="EE134" s="694"/>
      <c r="EF134" s="694"/>
      <c r="EG134" s="694"/>
      <c r="EH134" s="694"/>
      <c r="EI134" s="694"/>
      <c r="EJ134" s="694"/>
      <c r="EK134" s="694"/>
      <c r="EL134" s="694"/>
      <c r="EM134" s="694"/>
      <c r="EN134" s="694"/>
      <c r="EO134" s="694"/>
      <c r="EP134" s="694"/>
      <c r="EQ134" s="694"/>
      <c r="ER134" s="694"/>
      <c r="ES134" s="694"/>
      <c r="ET134" s="694"/>
      <c r="EU134" s="694"/>
      <c r="EV134" s="694"/>
      <c r="EW134" s="694"/>
      <c r="EX134" s="694"/>
      <c r="EY134" s="694"/>
      <c r="EZ134" s="694"/>
      <c r="FA134" s="694"/>
      <c r="FB134" s="694"/>
      <c r="FC134" s="694"/>
      <c r="FD134" s="694"/>
      <c r="FE134" s="694"/>
      <c r="FF134" s="694"/>
      <c r="FG134" s="694"/>
      <c r="FH134" s="694"/>
      <c r="FI134" s="694"/>
      <c r="FJ134" s="694"/>
      <c r="FK134" s="694"/>
      <c r="FL134" s="694"/>
      <c r="FM134" s="694"/>
      <c r="FN134" s="694"/>
      <c r="FO134" s="694"/>
      <c r="FP134" s="694"/>
      <c r="FQ134" s="697"/>
    </row>
    <row r="135" spans="1:173" s="696" customFormat="1">
      <c r="A135" s="690"/>
      <c r="B135" s="690"/>
      <c r="C135" s="691"/>
      <c r="D135" s="691" t="s">
        <v>3661</v>
      </c>
      <c r="E135" s="692">
        <v>36.1</v>
      </c>
      <c r="F135" s="692"/>
      <c r="G135" s="692"/>
      <c r="H135" s="692"/>
      <c r="I135" s="692"/>
      <c r="J135" s="692"/>
      <c r="K135" s="692"/>
      <c r="L135" s="692"/>
      <c r="M135" s="692"/>
      <c r="N135" s="692"/>
      <c r="O135" s="692"/>
      <c r="P135" s="692">
        <f t="shared" si="29"/>
        <v>36.1</v>
      </c>
      <c r="Q135" s="692"/>
      <c r="R135" s="693"/>
      <c r="S135" s="693"/>
      <c r="T135" s="693"/>
      <c r="U135" s="692" t="s">
        <v>1631</v>
      </c>
      <c r="V135" s="692"/>
      <c r="W135" s="692"/>
      <c r="X135" s="692"/>
      <c r="Y135" s="692"/>
      <c r="Z135" s="692"/>
      <c r="AA135" s="692"/>
      <c r="AB135" s="692"/>
      <c r="AC135" s="692"/>
      <c r="AD135" s="692"/>
      <c r="AE135" s="725"/>
      <c r="AF135" s="957"/>
      <c r="AG135" s="692"/>
      <c r="AH135" s="692"/>
      <c r="AI135" s="692"/>
      <c r="AJ135" s="692"/>
      <c r="AK135" s="692"/>
      <c r="AL135" s="692"/>
      <c r="AM135" s="692"/>
      <c r="AN135" s="692"/>
      <c r="AO135" s="692"/>
      <c r="AP135" s="692"/>
      <c r="AQ135" s="692"/>
      <c r="AR135" s="692"/>
      <c r="AS135" s="692"/>
      <c r="AT135" s="692"/>
      <c r="AU135" s="692"/>
      <c r="AV135" s="692"/>
      <c r="AW135" s="692">
        <f t="shared" si="30"/>
        <v>1</v>
      </c>
      <c r="AX135" s="692"/>
      <c r="AY135" s="692"/>
      <c r="AZ135" s="516">
        <f t="shared" si="31"/>
        <v>0</v>
      </c>
      <c r="BA135" s="516">
        <f t="shared" si="32"/>
        <v>2</v>
      </c>
      <c r="BB135" s="516"/>
      <c r="BC135" s="516"/>
      <c r="BD135" s="516">
        <f t="shared" si="33"/>
        <v>0</v>
      </c>
      <c r="BE135" s="516">
        <f t="shared" si="34"/>
        <v>1</v>
      </c>
      <c r="BF135" s="692"/>
      <c r="BG135" s="692"/>
      <c r="BH135" s="692"/>
      <c r="BI135" s="692"/>
      <c r="BJ135" s="692">
        <f t="shared" si="35"/>
        <v>5</v>
      </c>
      <c r="BK135" s="692"/>
      <c r="BL135" s="692"/>
      <c r="BM135" s="692"/>
      <c r="BN135" s="692"/>
      <c r="BO135" s="692"/>
      <c r="BP135" s="692"/>
      <c r="BQ135" s="692">
        <f t="shared" si="36"/>
        <v>0</v>
      </c>
      <c r="BR135" s="692"/>
      <c r="BS135" s="692">
        <f t="shared" si="37"/>
        <v>0</v>
      </c>
      <c r="BT135" s="692">
        <f t="shared" si="38"/>
        <v>1</v>
      </c>
      <c r="BU135" s="692"/>
      <c r="BV135" s="692"/>
      <c r="BW135" s="692"/>
      <c r="BX135" s="692"/>
      <c r="BY135" s="692"/>
      <c r="BZ135" s="692"/>
      <c r="CA135" s="692"/>
      <c r="CB135" s="692">
        <v>1</v>
      </c>
      <c r="CC135" s="692"/>
      <c r="CD135" s="692">
        <f t="shared" si="39"/>
        <v>4</v>
      </c>
      <c r="CE135" s="692"/>
      <c r="CF135" s="692"/>
      <c r="CG135" s="692"/>
      <c r="CH135" s="692"/>
      <c r="CI135" s="692"/>
      <c r="CJ135" s="692"/>
      <c r="CK135" s="692"/>
      <c r="CL135" s="692"/>
      <c r="CM135" s="692"/>
      <c r="CN135" s="692"/>
      <c r="CO135" s="692"/>
      <c r="CP135" s="692"/>
      <c r="CQ135" s="692"/>
      <c r="CR135" s="692"/>
      <c r="CS135" s="692"/>
      <c r="CT135" s="692"/>
      <c r="CU135" s="692"/>
      <c r="CV135" s="692"/>
      <c r="CW135" s="692"/>
      <c r="CX135" s="694"/>
      <c r="CY135" s="694"/>
      <c r="CZ135" s="694"/>
      <c r="DA135" s="694"/>
      <c r="DB135" s="694"/>
      <c r="DC135" s="694"/>
      <c r="DD135" s="694"/>
      <c r="DE135" s="694"/>
      <c r="DF135" s="694"/>
      <c r="DG135" s="695"/>
      <c r="DH135" s="695"/>
      <c r="DI135" s="695"/>
      <c r="DJ135" s="695"/>
      <c r="DK135" s="695"/>
      <c r="DL135" s="695"/>
      <c r="DM135" s="695"/>
      <c r="DN135" s="695"/>
      <c r="DO135" s="695"/>
      <c r="DP135" s="695"/>
      <c r="DQ135" s="695"/>
      <c r="DR135" s="695"/>
      <c r="DS135" s="694"/>
      <c r="DT135" s="694"/>
      <c r="DU135" s="694"/>
      <c r="DV135" s="694"/>
      <c r="DW135" s="694"/>
      <c r="DX135" s="694"/>
      <c r="DY135" s="694"/>
      <c r="DZ135" s="694"/>
      <c r="EA135" s="694"/>
      <c r="EB135" s="694"/>
      <c r="EC135" s="694"/>
      <c r="ED135" s="694"/>
      <c r="EE135" s="694"/>
      <c r="EF135" s="694"/>
      <c r="EG135" s="694"/>
      <c r="EH135" s="694"/>
      <c r="EI135" s="694"/>
      <c r="EJ135" s="694"/>
      <c r="EK135" s="694"/>
      <c r="EL135" s="694"/>
      <c r="EM135" s="694"/>
      <c r="EN135" s="694"/>
      <c r="EO135" s="694"/>
      <c r="EP135" s="694"/>
      <c r="EQ135" s="694"/>
      <c r="ER135" s="694"/>
      <c r="ES135" s="694"/>
      <c r="ET135" s="694"/>
      <c r="EU135" s="694"/>
      <c r="EV135" s="694"/>
      <c r="EW135" s="694"/>
      <c r="EX135" s="694"/>
      <c r="EY135" s="694"/>
      <c r="EZ135" s="694"/>
      <c r="FA135" s="694"/>
      <c r="FB135" s="694"/>
      <c r="FC135" s="694"/>
      <c r="FD135" s="694"/>
      <c r="FE135" s="694"/>
      <c r="FF135" s="694"/>
      <c r="FG135" s="694"/>
      <c r="FH135" s="694"/>
      <c r="FI135" s="694"/>
      <c r="FJ135" s="694"/>
      <c r="FK135" s="694"/>
      <c r="FL135" s="694"/>
      <c r="FM135" s="694"/>
      <c r="FN135" s="694"/>
      <c r="FO135" s="694"/>
      <c r="FP135" s="694"/>
      <c r="FQ135" s="697"/>
    </row>
    <row r="136" spans="1:173" s="696" customFormat="1">
      <c r="A136" s="690"/>
      <c r="B136" s="690"/>
      <c r="C136" s="691"/>
      <c r="D136" s="691" t="s">
        <v>3685</v>
      </c>
      <c r="E136" s="692">
        <v>26.6</v>
      </c>
      <c r="F136" s="692"/>
      <c r="G136" s="692"/>
      <c r="H136" s="692"/>
      <c r="I136" s="692"/>
      <c r="J136" s="692"/>
      <c r="K136" s="692"/>
      <c r="L136" s="692"/>
      <c r="M136" s="692"/>
      <c r="N136" s="692"/>
      <c r="O136" s="692"/>
      <c r="P136" s="692">
        <f t="shared" si="29"/>
        <v>26.6</v>
      </c>
      <c r="Q136" s="692"/>
      <c r="R136" s="693"/>
      <c r="S136" s="693"/>
      <c r="T136" s="693"/>
      <c r="U136" s="692" t="s">
        <v>1631</v>
      </c>
      <c r="V136" s="692"/>
      <c r="W136" s="692"/>
      <c r="X136" s="692"/>
      <c r="Y136" s="692"/>
      <c r="Z136" s="692"/>
      <c r="AA136" s="692"/>
      <c r="AB136" s="692"/>
      <c r="AC136" s="692"/>
      <c r="AD136" s="692"/>
      <c r="AE136" s="725"/>
      <c r="AF136" s="957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>
        <f t="shared" si="30"/>
        <v>1</v>
      </c>
      <c r="AX136" s="692"/>
      <c r="AY136" s="692"/>
      <c r="AZ136" s="516">
        <f t="shared" si="31"/>
        <v>0</v>
      </c>
      <c r="BA136" s="516">
        <f t="shared" si="32"/>
        <v>2</v>
      </c>
      <c r="BB136" s="516"/>
      <c r="BC136" s="516"/>
      <c r="BD136" s="516">
        <f t="shared" si="33"/>
        <v>0</v>
      </c>
      <c r="BE136" s="516">
        <f t="shared" si="34"/>
        <v>1</v>
      </c>
      <c r="BF136" s="692"/>
      <c r="BG136" s="692"/>
      <c r="BH136" s="692"/>
      <c r="BI136" s="692"/>
      <c r="BJ136" s="692">
        <f t="shared" si="35"/>
        <v>5</v>
      </c>
      <c r="BK136" s="692"/>
      <c r="BL136" s="692"/>
      <c r="BM136" s="692"/>
      <c r="BN136" s="692"/>
      <c r="BO136" s="692"/>
      <c r="BP136" s="692"/>
      <c r="BQ136" s="692">
        <f t="shared" si="36"/>
        <v>0</v>
      </c>
      <c r="BR136" s="692"/>
      <c r="BS136" s="692">
        <f t="shared" si="37"/>
        <v>0</v>
      </c>
      <c r="BT136" s="692">
        <f t="shared" si="38"/>
        <v>1</v>
      </c>
      <c r="BU136" s="692"/>
      <c r="BV136" s="692"/>
      <c r="BW136" s="692"/>
      <c r="BX136" s="692"/>
      <c r="BY136" s="692"/>
      <c r="BZ136" s="692"/>
      <c r="CA136" s="692"/>
      <c r="CB136" s="692">
        <v>1</v>
      </c>
      <c r="CC136" s="692"/>
      <c r="CD136" s="692">
        <f t="shared" si="39"/>
        <v>4</v>
      </c>
      <c r="CE136" s="692"/>
      <c r="CF136" s="692"/>
      <c r="CG136" s="692"/>
      <c r="CH136" s="692"/>
      <c r="CI136" s="692"/>
      <c r="CJ136" s="692"/>
      <c r="CK136" s="692"/>
      <c r="CL136" s="692"/>
      <c r="CM136" s="692"/>
      <c r="CN136" s="692"/>
      <c r="CO136" s="692"/>
      <c r="CP136" s="692"/>
      <c r="CQ136" s="692"/>
      <c r="CR136" s="692"/>
      <c r="CS136" s="692"/>
      <c r="CT136" s="692"/>
      <c r="CU136" s="692"/>
      <c r="CV136" s="692"/>
      <c r="CW136" s="692"/>
      <c r="CX136" s="694"/>
      <c r="CY136" s="694"/>
      <c r="CZ136" s="694"/>
      <c r="DA136" s="694"/>
      <c r="DB136" s="694"/>
      <c r="DC136" s="694"/>
      <c r="DD136" s="694"/>
      <c r="DE136" s="694"/>
      <c r="DF136" s="694"/>
      <c r="DG136" s="695"/>
      <c r="DH136" s="695"/>
      <c r="DI136" s="695"/>
      <c r="DJ136" s="695"/>
      <c r="DK136" s="695"/>
      <c r="DL136" s="695"/>
      <c r="DM136" s="695"/>
      <c r="DN136" s="695"/>
      <c r="DO136" s="695"/>
      <c r="DP136" s="695"/>
      <c r="DQ136" s="695"/>
      <c r="DR136" s="695"/>
      <c r="DS136" s="694"/>
      <c r="DT136" s="694"/>
      <c r="DU136" s="694"/>
      <c r="DV136" s="694"/>
      <c r="DW136" s="694"/>
      <c r="DX136" s="694"/>
      <c r="DY136" s="694"/>
      <c r="DZ136" s="694"/>
      <c r="EA136" s="694"/>
      <c r="EB136" s="694"/>
      <c r="EC136" s="694"/>
      <c r="ED136" s="694"/>
      <c r="EE136" s="694"/>
      <c r="EF136" s="694"/>
      <c r="EG136" s="694"/>
      <c r="EH136" s="694"/>
      <c r="EI136" s="694"/>
      <c r="EJ136" s="694"/>
      <c r="EK136" s="694"/>
      <c r="EL136" s="694"/>
      <c r="EM136" s="694"/>
      <c r="EN136" s="694"/>
      <c r="EO136" s="694"/>
      <c r="EP136" s="694"/>
      <c r="EQ136" s="694"/>
      <c r="ER136" s="694"/>
      <c r="ES136" s="694"/>
      <c r="ET136" s="694"/>
      <c r="EU136" s="694"/>
      <c r="EV136" s="694"/>
      <c r="EW136" s="694"/>
      <c r="EX136" s="694"/>
      <c r="EY136" s="694"/>
      <c r="EZ136" s="694"/>
      <c r="FA136" s="694"/>
      <c r="FB136" s="694"/>
      <c r="FC136" s="694"/>
      <c r="FD136" s="694"/>
      <c r="FE136" s="694"/>
      <c r="FF136" s="694"/>
      <c r="FG136" s="694"/>
      <c r="FH136" s="694"/>
      <c r="FI136" s="694"/>
      <c r="FJ136" s="694"/>
      <c r="FK136" s="694"/>
      <c r="FL136" s="694"/>
      <c r="FM136" s="694"/>
      <c r="FN136" s="694"/>
      <c r="FO136" s="694"/>
      <c r="FP136" s="694"/>
      <c r="FQ136" s="697"/>
    </row>
    <row r="137" spans="1:173" s="696" customFormat="1">
      <c r="A137" s="690"/>
      <c r="B137" s="690"/>
      <c r="C137" s="691"/>
      <c r="D137" s="691" t="s">
        <v>3686</v>
      </c>
      <c r="E137" s="692">
        <v>47.2</v>
      </c>
      <c r="F137" s="692"/>
      <c r="G137" s="692"/>
      <c r="H137" s="692"/>
      <c r="I137" s="692"/>
      <c r="J137" s="692"/>
      <c r="K137" s="692"/>
      <c r="L137" s="692"/>
      <c r="M137" s="692"/>
      <c r="N137" s="692"/>
      <c r="O137" s="692"/>
      <c r="P137" s="692">
        <f t="shared" si="29"/>
        <v>47.2</v>
      </c>
      <c r="Q137" s="692"/>
      <c r="R137" s="693"/>
      <c r="S137" s="693"/>
      <c r="T137" s="693"/>
      <c r="U137" s="692" t="s">
        <v>1631</v>
      </c>
      <c r="V137" s="692"/>
      <c r="W137" s="692"/>
      <c r="X137" s="692"/>
      <c r="Y137" s="692"/>
      <c r="Z137" s="692"/>
      <c r="AA137" s="692"/>
      <c r="AB137" s="692"/>
      <c r="AC137" s="692"/>
      <c r="AD137" s="692"/>
      <c r="AE137" s="725"/>
      <c r="AF137" s="957"/>
      <c r="AG137" s="692"/>
      <c r="AH137" s="692"/>
      <c r="AI137" s="692"/>
      <c r="AJ137" s="692"/>
      <c r="AK137" s="692"/>
      <c r="AL137" s="692"/>
      <c r="AM137" s="692"/>
      <c r="AN137" s="692"/>
      <c r="AO137" s="692"/>
      <c r="AP137" s="692"/>
      <c r="AQ137" s="692"/>
      <c r="AR137" s="692"/>
      <c r="AS137" s="692"/>
      <c r="AT137" s="692"/>
      <c r="AU137" s="692"/>
      <c r="AV137" s="692"/>
      <c r="AW137" s="692">
        <f t="shared" si="30"/>
        <v>1</v>
      </c>
      <c r="AX137" s="692"/>
      <c r="AY137" s="692"/>
      <c r="AZ137" s="516">
        <f t="shared" si="31"/>
        <v>0</v>
      </c>
      <c r="BA137" s="516">
        <f t="shared" si="32"/>
        <v>2</v>
      </c>
      <c r="BB137" s="516"/>
      <c r="BC137" s="516"/>
      <c r="BD137" s="516">
        <f t="shared" si="33"/>
        <v>0</v>
      </c>
      <c r="BE137" s="516">
        <f t="shared" si="34"/>
        <v>1</v>
      </c>
      <c r="BF137" s="692"/>
      <c r="BG137" s="692"/>
      <c r="BH137" s="692"/>
      <c r="BI137" s="692"/>
      <c r="BJ137" s="692">
        <f t="shared" si="35"/>
        <v>5</v>
      </c>
      <c r="BK137" s="692"/>
      <c r="BL137" s="692"/>
      <c r="BM137" s="692"/>
      <c r="BN137" s="692"/>
      <c r="BO137" s="692"/>
      <c r="BP137" s="692"/>
      <c r="BQ137" s="692">
        <f t="shared" si="36"/>
        <v>0</v>
      </c>
      <c r="BR137" s="692"/>
      <c r="BS137" s="692">
        <f t="shared" si="37"/>
        <v>0</v>
      </c>
      <c r="BT137" s="692">
        <f t="shared" si="38"/>
        <v>1</v>
      </c>
      <c r="BU137" s="692"/>
      <c r="BV137" s="692"/>
      <c r="BW137" s="692"/>
      <c r="BX137" s="692"/>
      <c r="BY137" s="692"/>
      <c r="BZ137" s="692"/>
      <c r="CA137" s="692"/>
      <c r="CB137" s="692">
        <v>1</v>
      </c>
      <c r="CC137" s="692"/>
      <c r="CD137" s="692">
        <f t="shared" si="39"/>
        <v>4</v>
      </c>
      <c r="CE137" s="692"/>
      <c r="CF137" s="692"/>
      <c r="CG137" s="692"/>
      <c r="CH137" s="692"/>
      <c r="CI137" s="692"/>
      <c r="CJ137" s="692"/>
      <c r="CK137" s="692"/>
      <c r="CL137" s="692"/>
      <c r="CM137" s="692"/>
      <c r="CN137" s="692"/>
      <c r="CO137" s="692"/>
      <c r="CP137" s="692"/>
      <c r="CQ137" s="692"/>
      <c r="CR137" s="692"/>
      <c r="CS137" s="692"/>
      <c r="CT137" s="692"/>
      <c r="CU137" s="692"/>
      <c r="CV137" s="692"/>
      <c r="CW137" s="692"/>
      <c r="CX137" s="694"/>
      <c r="CY137" s="694"/>
      <c r="CZ137" s="694"/>
      <c r="DA137" s="694"/>
      <c r="DB137" s="694"/>
      <c r="DC137" s="694"/>
      <c r="DD137" s="694"/>
      <c r="DE137" s="694"/>
      <c r="DF137" s="694"/>
      <c r="DG137" s="695"/>
      <c r="DH137" s="695"/>
      <c r="DI137" s="695"/>
      <c r="DJ137" s="695"/>
      <c r="DK137" s="695"/>
      <c r="DL137" s="695"/>
      <c r="DM137" s="695"/>
      <c r="DN137" s="695"/>
      <c r="DO137" s="695"/>
      <c r="DP137" s="695"/>
      <c r="DQ137" s="695"/>
      <c r="DR137" s="695"/>
      <c r="DS137" s="694"/>
      <c r="DT137" s="694"/>
      <c r="DU137" s="694"/>
      <c r="DV137" s="694"/>
      <c r="DW137" s="694"/>
      <c r="DX137" s="694"/>
      <c r="DY137" s="694"/>
      <c r="DZ137" s="694"/>
      <c r="EA137" s="694"/>
      <c r="EB137" s="694"/>
      <c r="EC137" s="694"/>
      <c r="ED137" s="694"/>
      <c r="EE137" s="694"/>
      <c r="EF137" s="694"/>
      <c r="EG137" s="694"/>
      <c r="EH137" s="694"/>
      <c r="EI137" s="694"/>
      <c r="EJ137" s="694"/>
      <c r="EK137" s="694"/>
      <c r="EL137" s="694"/>
      <c r="EM137" s="694"/>
      <c r="EN137" s="694"/>
      <c r="EO137" s="694"/>
      <c r="EP137" s="694"/>
      <c r="EQ137" s="694"/>
      <c r="ER137" s="694"/>
      <c r="ES137" s="694"/>
      <c r="ET137" s="694"/>
      <c r="EU137" s="694"/>
      <c r="EV137" s="694"/>
      <c r="EW137" s="694"/>
      <c r="EX137" s="694"/>
      <c r="EY137" s="694"/>
      <c r="EZ137" s="694"/>
      <c r="FA137" s="694"/>
      <c r="FB137" s="694"/>
      <c r="FC137" s="694"/>
      <c r="FD137" s="694"/>
      <c r="FE137" s="694"/>
      <c r="FF137" s="694"/>
      <c r="FG137" s="694"/>
      <c r="FH137" s="694"/>
      <c r="FI137" s="694"/>
      <c r="FJ137" s="694"/>
      <c r="FK137" s="694"/>
      <c r="FL137" s="694"/>
      <c r="FM137" s="694"/>
      <c r="FN137" s="694"/>
      <c r="FO137" s="694"/>
      <c r="FP137" s="694"/>
      <c r="FQ137" s="697"/>
    </row>
    <row r="138" spans="1:173" s="696" customFormat="1">
      <c r="A138" s="690"/>
      <c r="B138" s="690"/>
      <c r="C138" s="691"/>
      <c r="D138" s="691" t="s">
        <v>3687</v>
      </c>
      <c r="E138" s="692">
        <v>45.6</v>
      </c>
      <c r="F138" s="692"/>
      <c r="G138" s="692"/>
      <c r="H138" s="692"/>
      <c r="I138" s="692"/>
      <c r="J138" s="692"/>
      <c r="K138" s="692"/>
      <c r="L138" s="692"/>
      <c r="M138" s="692"/>
      <c r="N138" s="692"/>
      <c r="O138" s="692"/>
      <c r="P138" s="692">
        <f t="shared" si="29"/>
        <v>45.6</v>
      </c>
      <c r="Q138" s="692"/>
      <c r="R138" s="693"/>
      <c r="S138" s="693"/>
      <c r="T138" s="693"/>
      <c r="U138" s="692" t="s">
        <v>2989</v>
      </c>
      <c r="V138" s="692"/>
      <c r="W138" s="692"/>
      <c r="X138" s="692"/>
      <c r="Y138" s="692"/>
      <c r="Z138" s="692"/>
      <c r="AA138" s="692"/>
      <c r="AB138" s="692"/>
      <c r="AC138" s="692"/>
      <c r="AD138" s="692"/>
      <c r="AE138" s="725"/>
      <c r="AF138" s="957"/>
      <c r="AG138" s="692"/>
      <c r="AH138" s="692"/>
      <c r="AI138" s="692"/>
      <c r="AJ138" s="692"/>
      <c r="AK138" s="692"/>
      <c r="AL138" s="692"/>
      <c r="AM138" s="692"/>
      <c r="AN138" s="692"/>
      <c r="AO138" s="692"/>
      <c r="AP138" s="692"/>
      <c r="AQ138" s="692"/>
      <c r="AR138" s="692"/>
      <c r="AS138" s="692"/>
      <c r="AT138" s="692"/>
      <c r="AU138" s="692">
        <v>1</v>
      </c>
      <c r="AV138" s="692"/>
      <c r="AW138" s="692">
        <f t="shared" si="30"/>
        <v>1</v>
      </c>
      <c r="AX138" s="692"/>
      <c r="AY138" s="692"/>
      <c r="AZ138" s="516">
        <f t="shared" si="31"/>
        <v>0</v>
      </c>
      <c r="BA138" s="516">
        <f t="shared" si="32"/>
        <v>2</v>
      </c>
      <c r="BB138" s="516"/>
      <c r="BC138" s="516"/>
      <c r="BD138" s="516">
        <f t="shared" si="33"/>
        <v>0</v>
      </c>
      <c r="BE138" s="516">
        <f t="shared" si="34"/>
        <v>2</v>
      </c>
      <c r="BF138" s="692"/>
      <c r="BG138" s="692"/>
      <c r="BH138" s="692"/>
      <c r="BI138" s="692"/>
      <c r="BJ138" s="692">
        <f t="shared" si="35"/>
        <v>7</v>
      </c>
      <c r="BK138" s="692"/>
      <c r="BL138" s="692"/>
      <c r="BM138" s="692"/>
      <c r="BN138" s="692"/>
      <c r="BO138" s="692"/>
      <c r="BP138" s="692"/>
      <c r="BQ138" s="692">
        <f t="shared" si="36"/>
        <v>0</v>
      </c>
      <c r="BR138" s="692"/>
      <c r="BS138" s="692">
        <f t="shared" si="37"/>
        <v>0</v>
      </c>
      <c r="BT138" s="692">
        <f t="shared" si="38"/>
        <v>0</v>
      </c>
      <c r="BU138" s="692"/>
      <c r="BV138" s="692"/>
      <c r="BW138" s="692"/>
      <c r="BX138" s="692"/>
      <c r="BY138" s="692">
        <v>2</v>
      </c>
      <c r="BZ138" s="692"/>
      <c r="CA138" s="692"/>
      <c r="CB138" s="692">
        <v>1</v>
      </c>
      <c r="CC138" s="692"/>
      <c r="CD138" s="692">
        <f t="shared" si="39"/>
        <v>4</v>
      </c>
      <c r="CE138" s="692"/>
      <c r="CF138" s="692"/>
      <c r="CG138" s="692"/>
      <c r="CH138" s="692"/>
      <c r="CI138" s="692"/>
      <c r="CJ138" s="692"/>
      <c r="CK138" s="692"/>
      <c r="CL138" s="692"/>
      <c r="CM138" s="692"/>
      <c r="CN138" s="692"/>
      <c r="CO138" s="692"/>
      <c r="CP138" s="692"/>
      <c r="CQ138" s="692"/>
      <c r="CR138" s="692"/>
      <c r="CS138" s="692"/>
      <c r="CT138" s="692"/>
      <c r="CU138" s="692"/>
      <c r="CV138" s="692"/>
      <c r="CW138" s="692"/>
      <c r="CX138" s="694"/>
      <c r="CY138" s="694"/>
      <c r="CZ138" s="694"/>
      <c r="DA138" s="694"/>
      <c r="DB138" s="694"/>
      <c r="DC138" s="694"/>
      <c r="DD138" s="694"/>
      <c r="DE138" s="694"/>
      <c r="DF138" s="694"/>
      <c r="DG138" s="695"/>
      <c r="DH138" s="695"/>
      <c r="DI138" s="695"/>
      <c r="DJ138" s="695"/>
      <c r="DK138" s="695"/>
      <c r="DL138" s="695"/>
      <c r="DM138" s="695"/>
      <c r="DN138" s="695"/>
      <c r="DO138" s="695"/>
      <c r="DP138" s="695"/>
      <c r="DQ138" s="695"/>
      <c r="DR138" s="695"/>
      <c r="DS138" s="694"/>
      <c r="DT138" s="694"/>
      <c r="DU138" s="694"/>
      <c r="DV138" s="694"/>
      <c r="DW138" s="694"/>
      <c r="DX138" s="694"/>
      <c r="DY138" s="694"/>
      <c r="DZ138" s="694"/>
      <c r="EA138" s="694"/>
      <c r="EB138" s="694"/>
      <c r="EC138" s="694"/>
      <c r="ED138" s="694"/>
      <c r="EE138" s="694"/>
      <c r="EF138" s="694"/>
      <c r="EG138" s="694"/>
      <c r="EH138" s="694"/>
      <c r="EI138" s="694"/>
      <c r="EJ138" s="694"/>
      <c r="EK138" s="694"/>
      <c r="EL138" s="694"/>
      <c r="EM138" s="694"/>
      <c r="EN138" s="694"/>
      <c r="EO138" s="694"/>
      <c r="EP138" s="694"/>
      <c r="EQ138" s="694"/>
      <c r="ER138" s="694"/>
      <c r="ES138" s="694"/>
      <c r="ET138" s="694"/>
      <c r="EU138" s="694"/>
      <c r="EV138" s="694"/>
      <c r="EW138" s="694"/>
      <c r="EX138" s="694"/>
      <c r="EY138" s="694"/>
      <c r="EZ138" s="694"/>
      <c r="FA138" s="694"/>
      <c r="FB138" s="694"/>
      <c r="FC138" s="694"/>
      <c r="FD138" s="694"/>
      <c r="FE138" s="694"/>
      <c r="FF138" s="694"/>
      <c r="FG138" s="694"/>
      <c r="FH138" s="694"/>
      <c r="FI138" s="694"/>
      <c r="FJ138" s="694"/>
      <c r="FK138" s="694"/>
      <c r="FL138" s="694"/>
      <c r="FM138" s="694"/>
      <c r="FN138" s="694"/>
      <c r="FO138" s="694"/>
      <c r="FP138" s="694"/>
      <c r="FQ138" s="697"/>
    </row>
    <row r="139" spans="1:173" s="696" customFormat="1">
      <c r="A139" s="690"/>
      <c r="B139" s="690"/>
      <c r="C139" s="691"/>
      <c r="D139" s="691" t="s">
        <v>3688</v>
      </c>
      <c r="E139" s="692">
        <v>36.799999999999997</v>
      </c>
      <c r="F139" s="692"/>
      <c r="G139" s="692"/>
      <c r="H139" s="692"/>
      <c r="I139" s="692"/>
      <c r="J139" s="692"/>
      <c r="K139" s="692"/>
      <c r="L139" s="692"/>
      <c r="M139" s="692"/>
      <c r="N139" s="692"/>
      <c r="O139" s="692"/>
      <c r="P139" s="692">
        <f t="shared" si="29"/>
        <v>36.799999999999997</v>
      </c>
      <c r="Q139" s="692"/>
      <c r="R139" s="693"/>
      <c r="S139" s="693"/>
      <c r="T139" s="693"/>
      <c r="U139" s="692" t="s">
        <v>2990</v>
      </c>
      <c r="V139" s="692"/>
      <c r="W139" s="692"/>
      <c r="X139" s="692"/>
      <c r="Y139" s="692"/>
      <c r="Z139" s="692"/>
      <c r="AA139" s="692"/>
      <c r="AB139" s="692"/>
      <c r="AC139" s="692"/>
      <c r="AD139" s="692"/>
      <c r="AE139" s="725"/>
      <c r="AF139" s="957"/>
      <c r="AG139" s="692"/>
      <c r="AH139" s="692"/>
      <c r="AI139" s="692"/>
      <c r="AJ139" s="692"/>
      <c r="AK139" s="692"/>
      <c r="AL139" s="692"/>
      <c r="AM139" s="692"/>
      <c r="AN139" s="692"/>
      <c r="AO139" s="692"/>
      <c r="AP139" s="692"/>
      <c r="AQ139" s="692"/>
      <c r="AR139" s="692"/>
      <c r="AS139" s="692"/>
      <c r="AT139" s="692"/>
      <c r="AU139" s="692"/>
      <c r="AV139" s="692"/>
      <c r="AW139" s="692">
        <f t="shared" si="30"/>
        <v>1</v>
      </c>
      <c r="AX139" s="692"/>
      <c r="AY139" s="692"/>
      <c r="AZ139" s="516">
        <f t="shared" si="31"/>
        <v>0</v>
      </c>
      <c r="BA139" s="516">
        <f t="shared" si="32"/>
        <v>2</v>
      </c>
      <c r="BB139" s="516"/>
      <c r="BC139" s="516"/>
      <c r="BD139" s="516">
        <f t="shared" si="33"/>
        <v>0</v>
      </c>
      <c r="BE139" s="516">
        <f t="shared" si="34"/>
        <v>1</v>
      </c>
      <c r="BF139" s="692"/>
      <c r="BG139" s="692"/>
      <c r="BH139" s="692"/>
      <c r="BI139" s="692"/>
      <c r="BJ139" s="692">
        <f t="shared" si="35"/>
        <v>5</v>
      </c>
      <c r="BK139" s="692"/>
      <c r="BL139" s="692"/>
      <c r="BM139" s="692"/>
      <c r="BN139" s="692"/>
      <c r="BO139" s="692"/>
      <c r="BP139" s="692"/>
      <c r="BQ139" s="692">
        <f t="shared" si="36"/>
        <v>0</v>
      </c>
      <c r="BR139" s="692"/>
      <c r="BS139" s="692">
        <f t="shared" si="37"/>
        <v>0</v>
      </c>
      <c r="BT139" s="692">
        <f t="shared" si="38"/>
        <v>0</v>
      </c>
      <c r="BU139" s="692"/>
      <c r="BV139" s="692"/>
      <c r="BW139" s="692"/>
      <c r="BX139" s="692"/>
      <c r="BY139" s="692">
        <v>1</v>
      </c>
      <c r="BZ139" s="692"/>
      <c r="CA139" s="692"/>
      <c r="CB139" s="692">
        <v>1</v>
      </c>
      <c r="CC139" s="692"/>
      <c r="CD139" s="692">
        <f t="shared" si="39"/>
        <v>4</v>
      </c>
      <c r="CE139" s="692"/>
      <c r="CF139" s="692"/>
      <c r="CG139" s="692"/>
      <c r="CH139" s="692"/>
      <c r="CI139" s="692"/>
      <c r="CJ139" s="692"/>
      <c r="CK139" s="692"/>
      <c r="CL139" s="692"/>
      <c r="CM139" s="692"/>
      <c r="CN139" s="692"/>
      <c r="CO139" s="692"/>
      <c r="CP139" s="692"/>
      <c r="CQ139" s="692"/>
      <c r="CR139" s="692"/>
      <c r="CS139" s="692"/>
      <c r="CT139" s="692"/>
      <c r="CU139" s="692"/>
      <c r="CV139" s="692"/>
      <c r="CW139" s="692"/>
      <c r="CX139" s="694"/>
      <c r="CY139" s="694"/>
      <c r="CZ139" s="694"/>
      <c r="DA139" s="694"/>
      <c r="DB139" s="694"/>
      <c r="DC139" s="694"/>
      <c r="DD139" s="694"/>
      <c r="DE139" s="694"/>
      <c r="DF139" s="694"/>
      <c r="DG139" s="695"/>
      <c r="DH139" s="695"/>
      <c r="DI139" s="695"/>
      <c r="DJ139" s="695"/>
      <c r="DK139" s="695"/>
      <c r="DL139" s="695"/>
      <c r="DM139" s="695"/>
      <c r="DN139" s="695"/>
      <c r="DO139" s="695"/>
      <c r="DP139" s="695"/>
      <c r="DQ139" s="695"/>
      <c r="DR139" s="695"/>
      <c r="DS139" s="694"/>
      <c r="DT139" s="694"/>
      <c r="DU139" s="694"/>
      <c r="DV139" s="694"/>
      <c r="DW139" s="694"/>
      <c r="DX139" s="694"/>
      <c r="DY139" s="694"/>
      <c r="DZ139" s="694"/>
      <c r="EA139" s="694"/>
      <c r="EB139" s="694"/>
      <c r="EC139" s="694"/>
      <c r="ED139" s="694"/>
      <c r="EE139" s="694"/>
      <c r="EF139" s="694"/>
      <c r="EG139" s="694"/>
      <c r="EH139" s="694"/>
      <c r="EI139" s="694"/>
      <c r="EJ139" s="694"/>
      <c r="EK139" s="694"/>
      <c r="EL139" s="694"/>
      <c r="EM139" s="694"/>
      <c r="EN139" s="694"/>
      <c r="EO139" s="694"/>
      <c r="EP139" s="694"/>
      <c r="EQ139" s="694"/>
      <c r="ER139" s="694"/>
      <c r="ES139" s="694"/>
      <c r="ET139" s="694"/>
      <c r="EU139" s="694"/>
      <c r="EV139" s="694"/>
      <c r="EW139" s="694"/>
      <c r="EX139" s="694"/>
      <c r="EY139" s="694"/>
      <c r="EZ139" s="694"/>
      <c r="FA139" s="694"/>
      <c r="FB139" s="694"/>
      <c r="FC139" s="694"/>
      <c r="FD139" s="694"/>
      <c r="FE139" s="694"/>
      <c r="FF139" s="694"/>
      <c r="FG139" s="694"/>
      <c r="FH139" s="694"/>
      <c r="FI139" s="694"/>
      <c r="FJ139" s="694"/>
      <c r="FK139" s="694"/>
      <c r="FL139" s="694"/>
      <c r="FM139" s="694"/>
      <c r="FN139" s="694"/>
      <c r="FO139" s="694"/>
      <c r="FP139" s="694"/>
      <c r="FQ139" s="697"/>
    </row>
    <row r="140" spans="1:173" s="696" customFormat="1">
      <c r="A140" s="690"/>
      <c r="B140" s="690"/>
      <c r="C140" s="691"/>
      <c r="D140" s="691"/>
      <c r="E140" s="692"/>
      <c r="F140" s="692"/>
      <c r="G140" s="692"/>
      <c r="H140" s="692"/>
      <c r="I140" s="692"/>
      <c r="J140" s="692"/>
      <c r="K140" s="692"/>
      <c r="L140" s="692"/>
      <c r="M140" s="692"/>
      <c r="N140" s="692"/>
      <c r="O140" s="692"/>
      <c r="P140" s="692"/>
      <c r="Q140" s="692"/>
      <c r="R140" s="693"/>
      <c r="S140" s="693"/>
      <c r="T140" s="693"/>
      <c r="U140" s="692"/>
      <c r="V140" s="692"/>
      <c r="W140" s="692"/>
      <c r="X140" s="692"/>
      <c r="Y140" s="692"/>
      <c r="Z140" s="692"/>
      <c r="AA140" s="692"/>
      <c r="AB140" s="692"/>
      <c r="AC140" s="692"/>
      <c r="AD140" s="692"/>
      <c r="AE140" s="725"/>
      <c r="AF140" s="957"/>
      <c r="AG140" s="692"/>
      <c r="AH140" s="692"/>
      <c r="AI140" s="692"/>
      <c r="AJ140" s="692"/>
      <c r="AK140" s="692"/>
      <c r="AL140" s="692"/>
      <c r="AM140" s="692"/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>
        <f t="shared" si="30"/>
        <v>0</v>
      </c>
      <c r="AX140" s="692"/>
      <c r="AY140" s="692"/>
      <c r="AZ140" s="516"/>
      <c r="BA140" s="516"/>
      <c r="BB140" s="516"/>
      <c r="BC140" s="516"/>
      <c r="BD140" s="516"/>
      <c r="BE140" s="516"/>
      <c r="BF140" s="692"/>
      <c r="BG140" s="692"/>
      <c r="BH140" s="692"/>
      <c r="BI140" s="692"/>
      <c r="BJ140" s="692">
        <f t="shared" si="35"/>
        <v>0</v>
      </c>
      <c r="BK140" s="692"/>
      <c r="BL140" s="692"/>
      <c r="BM140" s="692"/>
      <c r="BN140" s="692"/>
      <c r="BO140" s="692"/>
      <c r="BP140" s="692"/>
      <c r="BQ140" s="692">
        <f t="shared" si="36"/>
        <v>0</v>
      </c>
      <c r="BR140" s="692"/>
      <c r="BS140" s="692">
        <f t="shared" si="37"/>
        <v>0</v>
      </c>
      <c r="BT140" s="692">
        <f t="shared" si="38"/>
        <v>0</v>
      </c>
      <c r="BU140" s="692"/>
      <c r="BV140" s="692"/>
      <c r="BW140" s="692"/>
      <c r="BX140" s="692"/>
      <c r="BY140" s="692"/>
      <c r="BZ140" s="692"/>
      <c r="CA140" s="692"/>
      <c r="CB140" s="692"/>
      <c r="CC140" s="692"/>
      <c r="CD140" s="692">
        <f t="shared" si="39"/>
        <v>0</v>
      </c>
      <c r="CE140" s="692"/>
      <c r="CF140" s="692"/>
      <c r="CG140" s="692"/>
      <c r="CH140" s="692"/>
      <c r="CI140" s="692"/>
      <c r="CJ140" s="692"/>
      <c r="CK140" s="692"/>
      <c r="CL140" s="692"/>
      <c r="CM140" s="692"/>
      <c r="CN140" s="692"/>
      <c r="CO140" s="692"/>
      <c r="CP140" s="692"/>
      <c r="CQ140" s="692"/>
      <c r="CR140" s="692"/>
      <c r="CS140" s="692"/>
      <c r="CT140" s="692"/>
      <c r="CU140" s="692"/>
      <c r="CV140" s="692"/>
      <c r="CW140" s="692"/>
      <c r="CX140" s="694"/>
      <c r="CY140" s="694"/>
      <c r="CZ140" s="694"/>
      <c r="DA140" s="694"/>
      <c r="DB140" s="694"/>
      <c r="DC140" s="694"/>
      <c r="DD140" s="694"/>
      <c r="DE140" s="694"/>
      <c r="DF140" s="694"/>
      <c r="DG140" s="695"/>
      <c r="DH140" s="695"/>
      <c r="DI140" s="695"/>
      <c r="DJ140" s="695"/>
      <c r="DK140" s="695"/>
      <c r="DL140" s="695"/>
      <c r="DM140" s="695"/>
      <c r="DN140" s="695"/>
      <c r="DO140" s="695"/>
      <c r="DP140" s="695"/>
      <c r="DQ140" s="695"/>
      <c r="DR140" s="695"/>
      <c r="DS140" s="694"/>
      <c r="DT140" s="694"/>
      <c r="DU140" s="694"/>
      <c r="DV140" s="694"/>
      <c r="DW140" s="694"/>
      <c r="DX140" s="694"/>
      <c r="DY140" s="694"/>
      <c r="DZ140" s="694"/>
      <c r="EA140" s="694"/>
      <c r="EB140" s="694"/>
      <c r="EC140" s="694"/>
      <c r="ED140" s="694"/>
      <c r="EE140" s="694"/>
      <c r="EF140" s="694"/>
      <c r="EG140" s="694"/>
      <c r="EH140" s="694"/>
      <c r="EI140" s="694"/>
      <c r="EJ140" s="694"/>
      <c r="EK140" s="694"/>
      <c r="EL140" s="694"/>
      <c r="EM140" s="694"/>
      <c r="EN140" s="694"/>
      <c r="EO140" s="694"/>
      <c r="EP140" s="694"/>
      <c r="EQ140" s="694"/>
      <c r="ER140" s="694"/>
      <c r="ES140" s="694"/>
      <c r="ET140" s="694"/>
      <c r="EU140" s="694"/>
      <c r="EV140" s="694"/>
      <c r="EW140" s="694"/>
      <c r="EX140" s="694"/>
      <c r="EY140" s="694"/>
      <c r="EZ140" s="694"/>
      <c r="FA140" s="694"/>
      <c r="FB140" s="694"/>
      <c r="FC140" s="694"/>
      <c r="FD140" s="694"/>
      <c r="FE140" s="694"/>
      <c r="FF140" s="694"/>
      <c r="FG140" s="694"/>
      <c r="FH140" s="694"/>
      <c r="FI140" s="694"/>
      <c r="FJ140" s="694"/>
      <c r="FK140" s="694"/>
      <c r="FL140" s="694"/>
      <c r="FM140" s="694"/>
      <c r="FN140" s="694"/>
      <c r="FO140" s="694"/>
      <c r="FP140" s="694"/>
      <c r="FQ140" s="697"/>
    </row>
    <row r="141" spans="1:173" s="696" customFormat="1">
      <c r="A141" s="690"/>
      <c r="B141" s="690"/>
      <c r="C141" s="691"/>
      <c r="D141" s="699" t="s">
        <v>3689</v>
      </c>
      <c r="E141" s="692"/>
      <c r="F141" s="692"/>
      <c r="G141" s="692"/>
      <c r="H141" s="692"/>
      <c r="I141" s="692"/>
      <c r="J141" s="692"/>
      <c r="K141" s="692"/>
      <c r="L141" s="692"/>
      <c r="M141" s="692"/>
      <c r="N141" s="692"/>
      <c r="O141" s="692"/>
      <c r="P141" s="692"/>
      <c r="Q141" s="692"/>
      <c r="R141" s="693"/>
      <c r="S141" s="693"/>
      <c r="T141" s="693"/>
      <c r="U141" s="692"/>
      <c r="V141" s="692"/>
      <c r="W141" s="692"/>
      <c r="X141" s="692"/>
      <c r="Y141" s="692"/>
      <c r="Z141" s="692"/>
      <c r="AA141" s="692"/>
      <c r="AB141" s="692"/>
      <c r="AC141" s="692"/>
      <c r="AD141" s="692"/>
      <c r="AE141" s="725"/>
      <c r="AF141" s="957"/>
      <c r="AG141" s="692"/>
      <c r="AH141" s="692"/>
      <c r="AI141" s="692"/>
      <c r="AJ141" s="692"/>
      <c r="AK141" s="692"/>
      <c r="AL141" s="692"/>
      <c r="AM141" s="692"/>
      <c r="AN141" s="692"/>
      <c r="AO141" s="692"/>
      <c r="AP141" s="692"/>
      <c r="AQ141" s="692"/>
      <c r="AR141" s="692"/>
      <c r="AS141" s="692"/>
      <c r="AT141" s="692"/>
      <c r="AU141" s="692"/>
      <c r="AV141" s="692"/>
      <c r="AW141" s="692">
        <f t="shared" si="30"/>
        <v>0</v>
      </c>
      <c r="AX141" s="692"/>
      <c r="AY141" s="692"/>
      <c r="AZ141" s="516"/>
      <c r="BA141" s="516"/>
      <c r="BB141" s="516"/>
      <c r="BC141" s="516"/>
      <c r="BD141" s="516"/>
      <c r="BE141" s="516"/>
      <c r="BF141" s="692"/>
      <c r="BG141" s="692"/>
      <c r="BH141" s="692"/>
      <c r="BI141" s="692"/>
      <c r="BJ141" s="692">
        <f t="shared" si="35"/>
        <v>0</v>
      </c>
      <c r="BK141" s="692"/>
      <c r="BL141" s="692"/>
      <c r="BM141" s="692"/>
      <c r="BN141" s="692"/>
      <c r="BO141" s="692"/>
      <c r="BP141" s="692"/>
      <c r="BQ141" s="692">
        <f t="shared" si="36"/>
        <v>0</v>
      </c>
      <c r="BR141" s="692"/>
      <c r="BS141" s="692">
        <f t="shared" si="37"/>
        <v>0</v>
      </c>
      <c r="BT141" s="692">
        <f t="shared" si="38"/>
        <v>0</v>
      </c>
      <c r="BU141" s="692"/>
      <c r="BV141" s="692"/>
      <c r="BW141" s="692"/>
      <c r="BX141" s="692"/>
      <c r="BY141" s="692"/>
      <c r="BZ141" s="692"/>
      <c r="CA141" s="692"/>
      <c r="CB141" s="692"/>
      <c r="CC141" s="692"/>
      <c r="CD141" s="692">
        <f t="shared" si="39"/>
        <v>0</v>
      </c>
      <c r="CE141" s="692"/>
      <c r="CF141" s="692"/>
      <c r="CG141" s="692"/>
      <c r="CH141" s="692"/>
      <c r="CI141" s="692"/>
      <c r="CJ141" s="692"/>
      <c r="CK141" s="692"/>
      <c r="CL141" s="692"/>
      <c r="CM141" s="692"/>
      <c r="CN141" s="692"/>
      <c r="CO141" s="692"/>
      <c r="CP141" s="692"/>
      <c r="CQ141" s="692"/>
      <c r="CR141" s="692"/>
      <c r="CS141" s="692"/>
      <c r="CT141" s="692"/>
      <c r="CU141" s="692"/>
      <c r="CV141" s="692"/>
      <c r="CW141" s="692"/>
      <c r="CX141" s="694"/>
      <c r="CY141" s="694"/>
      <c r="CZ141" s="694"/>
      <c r="DA141" s="694"/>
      <c r="DB141" s="694"/>
      <c r="DC141" s="694"/>
      <c r="DD141" s="694"/>
      <c r="DE141" s="694"/>
      <c r="DF141" s="694"/>
      <c r="DG141" s="695"/>
      <c r="DH141" s="695"/>
      <c r="DI141" s="695"/>
      <c r="DJ141" s="695"/>
      <c r="DK141" s="695"/>
      <c r="DL141" s="695"/>
      <c r="DM141" s="695"/>
      <c r="DN141" s="695"/>
      <c r="DO141" s="695"/>
      <c r="DP141" s="695"/>
      <c r="DQ141" s="695"/>
      <c r="DR141" s="695"/>
      <c r="DS141" s="694"/>
      <c r="DT141" s="694"/>
      <c r="DU141" s="694"/>
      <c r="DV141" s="694"/>
      <c r="DW141" s="694"/>
      <c r="DX141" s="694"/>
      <c r="DY141" s="694"/>
      <c r="DZ141" s="694"/>
      <c r="EA141" s="694"/>
      <c r="EB141" s="694"/>
      <c r="EC141" s="694"/>
      <c r="ED141" s="694"/>
      <c r="EE141" s="694"/>
      <c r="EF141" s="694"/>
      <c r="EG141" s="694"/>
      <c r="EH141" s="694"/>
      <c r="EI141" s="694"/>
      <c r="EJ141" s="694"/>
      <c r="EK141" s="694"/>
      <c r="EL141" s="694"/>
      <c r="EM141" s="694"/>
      <c r="EN141" s="694"/>
      <c r="EO141" s="694"/>
      <c r="EP141" s="694"/>
      <c r="EQ141" s="694"/>
      <c r="ER141" s="694"/>
      <c r="ES141" s="694"/>
      <c r="ET141" s="694"/>
      <c r="EU141" s="694"/>
      <c r="EV141" s="694"/>
      <c r="EW141" s="694"/>
      <c r="EX141" s="694"/>
      <c r="EY141" s="694"/>
      <c r="EZ141" s="694"/>
      <c r="FA141" s="694"/>
      <c r="FB141" s="694"/>
      <c r="FC141" s="694"/>
      <c r="FD141" s="694"/>
      <c r="FE141" s="694"/>
      <c r="FF141" s="694"/>
      <c r="FG141" s="694"/>
      <c r="FH141" s="694"/>
      <c r="FI141" s="694"/>
      <c r="FJ141" s="694"/>
      <c r="FK141" s="694"/>
      <c r="FL141" s="694"/>
      <c r="FM141" s="694"/>
      <c r="FN141" s="694"/>
      <c r="FO141" s="694"/>
      <c r="FP141" s="694"/>
      <c r="FQ141" s="697"/>
    </row>
    <row r="142" spans="1:173" s="696" customFormat="1">
      <c r="A142" s="690"/>
      <c r="B142" s="690"/>
      <c r="C142" s="691" t="s">
        <v>3632</v>
      </c>
      <c r="D142" s="691"/>
      <c r="E142" s="692">
        <v>30</v>
      </c>
      <c r="F142" s="692"/>
      <c r="G142" s="692"/>
      <c r="H142" s="692"/>
      <c r="I142" s="692"/>
      <c r="J142" s="692"/>
      <c r="K142" s="692"/>
      <c r="L142" s="692"/>
      <c r="M142" s="692"/>
      <c r="N142" s="692"/>
      <c r="O142" s="692">
        <f>E142</f>
        <v>30</v>
      </c>
      <c r="P142" s="692"/>
      <c r="Q142" s="692"/>
      <c r="R142" s="693"/>
      <c r="S142" s="693"/>
      <c r="T142" s="693"/>
      <c r="U142" s="692" t="s">
        <v>1631</v>
      </c>
      <c r="V142" s="692"/>
      <c r="W142" s="692">
        <v>1</v>
      </c>
      <c r="X142" s="692"/>
      <c r="Y142" s="692"/>
      <c r="Z142" s="692">
        <v>1</v>
      </c>
      <c r="AA142" s="692"/>
      <c r="AB142" s="692"/>
      <c r="AC142" s="692"/>
      <c r="AD142" s="692"/>
      <c r="AE142" s="725"/>
      <c r="AF142" s="957"/>
      <c r="AG142" s="692"/>
      <c r="AH142" s="692"/>
      <c r="AI142" s="692"/>
      <c r="AJ142" s="692"/>
      <c r="AK142" s="692"/>
      <c r="AL142" s="692"/>
      <c r="AM142" s="692"/>
      <c r="AN142" s="692"/>
      <c r="AO142" s="692"/>
      <c r="AP142" s="692"/>
      <c r="AQ142" s="692"/>
      <c r="AR142" s="692"/>
      <c r="AS142" s="692"/>
      <c r="AT142" s="692"/>
      <c r="AU142" s="692"/>
      <c r="AV142" s="692"/>
      <c r="AW142" s="692">
        <f t="shared" si="30"/>
        <v>1</v>
      </c>
      <c r="AX142" s="692"/>
      <c r="AY142" s="692"/>
      <c r="AZ142" s="516">
        <f t="shared" si="31"/>
        <v>2</v>
      </c>
      <c r="BA142" s="516">
        <f t="shared" si="32"/>
        <v>0</v>
      </c>
      <c r="BB142" s="516"/>
      <c r="BC142" s="516"/>
      <c r="BD142" s="516">
        <f t="shared" si="33"/>
        <v>1</v>
      </c>
      <c r="BE142" s="516">
        <f t="shared" si="34"/>
        <v>0</v>
      </c>
      <c r="BF142" s="692"/>
      <c r="BG142" s="692"/>
      <c r="BH142" s="692"/>
      <c r="BI142" s="692"/>
      <c r="BJ142" s="692">
        <f t="shared" si="35"/>
        <v>5</v>
      </c>
      <c r="BK142" s="692"/>
      <c r="BL142" s="692"/>
      <c r="BM142" s="692"/>
      <c r="BN142" s="692"/>
      <c r="BO142" s="692"/>
      <c r="BP142" s="692"/>
      <c r="BQ142" s="692">
        <f t="shared" si="36"/>
        <v>0</v>
      </c>
      <c r="BR142" s="692"/>
      <c r="BS142" s="692">
        <f t="shared" si="37"/>
        <v>1</v>
      </c>
      <c r="BT142" s="692">
        <f t="shared" si="38"/>
        <v>0</v>
      </c>
      <c r="BU142" s="692"/>
      <c r="BV142" s="692"/>
      <c r="BW142" s="692"/>
      <c r="BX142" s="692"/>
      <c r="BY142" s="692"/>
      <c r="BZ142" s="692"/>
      <c r="CA142" s="692"/>
      <c r="CB142" s="692">
        <v>1</v>
      </c>
      <c r="CC142" s="692"/>
      <c r="CD142" s="692">
        <f t="shared" si="39"/>
        <v>4</v>
      </c>
      <c r="CE142" s="692"/>
      <c r="CF142" s="692"/>
      <c r="CG142" s="692"/>
      <c r="CH142" s="692"/>
      <c r="CI142" s="692"/>
      <c r="CJ142" s="692"/>
      <c r="CK142" s="692"/>
      <c r="CL142" s="692"/>
      <c r="CM142" s="692"/>
      <c r="CN142" s="692"/>
      <c r="CO142" s="692"/>
      <c r="CP142" s="692"/>
      <c r="CQ142" s="692"/>
      <c r="CR142" s="692"/>
      <c r="CS142" s="692"/>
      <c r="CT142" s="692"/>
      <c r="CU142" s="692"/>
      <c r="CV142" s="692"/>
      <c r="CW142" s="692"/>
      <c r="CX142" s="694"/>
      <c r="CY142" s="694"/>
      <c r="CZ142" s="694"/>
      <c r="DA142" s="694"/>
      <c r="DB142" s="694"/>
      <c r="DC142" s="694"/>
      <c r="DD142" s="694"/>
      <c r="DE142" s="694"/>
      <c r="DF142" s="694"/>
      <c r="DG142" s="695"/>
      <c r="DH142" s="695"/>
      <c r="DI142" s="695"/>
      <c r="DJ142" s="695"/>
      <c r="DK142" s="695"/>
      <c r="DL142" s="695"/>
      <c r="DM142" s="695"/>
      <c r="DN142" s="695"/>
      <c r="DO142" s="695"/>
      <c r="DP142" s="695"/>
      <c r="DQ142" s="695"/>
      <c r="DR142" s="695"/>
      <c r="DS142" s="694"/>
      <c r="DT142" s="694"/>
      <c r="DU142" s="694"/>
      <c r="DV142" s="694"/>
      <c r="DW142" s="694"/>
      <c r="DX142" s="694"/>
      <c r="DY142" s="694"/>
      <c r="DZ142" s="694"/>
      <c r="EA142" s="694"/>
      <c r="EB142" s="694"/>
      <c r="EC142" s="694"/>
      <c r="ED142" s="694"/>
      <c r="EE142" s="694"/>
      <c r="EF142" s="694"/>
      <c r="EG142" s="694"/>
      <c r="EH142" s="694"/>
      <c r="EI142" s="694"/>
      <c r="EJ142" s="694"/>
      <c r="EK142" s="694"/>
      <c r="EL142" s="694"/>
      <c r="EM142" s="694"/>
      <c r="EN142" s="694"/>
      <c r="EO142" s="694"/>
      <c r="EP142" s="694"/>
      <c r="EQ142" s="694"/>
      <c r="ER142" s="694"/>
      <c r="ES142" s="694"/>
      <c r="ET142" s="694"/>
      <c r="EU142" s="694"/>
      <c r="EV142" s="694"/>
      <c r="EW142" s="694"/>
      <c r="EX142" s="694"/>
      <c r="EY142" s="694"/>
      <c r="EZ142" s="694"/>
      <c r="FA142" s="694"/>
      <c r="FB142" s="694"/>
      <c r="FC142" s="694"/>
      <c r="FD142" s="694"/>
      <c r="FE142" s="694"/>
      <c r="FF142" s="694"/>
      <c r="FG142" s="694"/>
      <c r="FH142" s="694"/>
      <c r="FI142" s="694"/>
      <c r="FJ142" s="694"/>
      <c r="FK142" s="694"/>
      <c r="FL142" s="694"/>
      <c r="FM142" s="694"/>
      <c r="FN142" s="694"/>
      <c r="FO142" s="694"/>
      <c r="FP142" s="694"/>
      <c r="FQ142" s="697"/>
    </row>
    <row r="143" spans="1:173" s="696" customFormat="1">
      <c r="A143" s="690"/>
      <c r="B143" s="690"/>
      <c r="C143" s="691" t="s">
        <v>3633</v>
      </c>
      <c r="D143" s="691"/>
      <c r="E143" s="692">
        <v>33.5</v>
      </c>
      <c r="F143" s="692"/>
      <c r="G143" s="692"/>
      <c r="H143" s="692"/>
      <c r="I143" s="692"/>
      <c r="J143" s="692"/>
      <c r="K143" s="692"/>
      <c r="L143" s="692"/>
      <c r="M143" s="692"/>
      <c r="N143" s="692"/>
      <c r="O143" s="692">
        <f>E143</f>
        <v>33.5</v>
      </c>
      <c r="P143" s="692"/>
      <c r="Q143" s="692"/>
      <c r="R143" s="693"/>
      <c r="S143" s="693"/>
      <c r="T143" s="693"/>
      <c r="U143" s="692" t="s">
        <v>2989</v>
      </c>
      <c r="V143" s="692"/>
      <c r="W143" s="692"/>
      <c r="X143" s="692"/>
      <c r="Y143" s="692"/>
      <c r="Z143" s="692"/>
      <c r="AA143" s="692"/>
      <c r="AB143" s="692"/>
      <c r="AC143" s="692"/>
      <c r="AD143" s="692"/>
      <c r="AE143" s="725"/>
      <c r="AF143" s="957"/>
      <c r="AG143" s="692"/>
      <c r="AH143" s="692"/>
      <c r="AI143" s="692"/>
      <c r="AJ143" s="692"/>
      <c r="AK143" s="692"/>
      <c r="AL143" s="692"/>
      <c r="AM143" s="692"/>
      <c r="AN143" s="692"/>
      <c r="AO143" s="692"/>
      <c r="AP143" s="692"/>
      <c r="AQ143" s="692"/>
      <c r="AR143" s="692"/>
      <c r="AS143" s="692"/>
      <c r="AT143" s="692"/>
      <c r="AU143" s="692">
        <v>1</v>
      </c>
      <c r="AV143" s="692"/>
      <c r="AW143" s="692">
        <f t="shared" si="30"/>
        <v>1</v>
      </c>
      <c r="AX143" s="692"/>
      <c r="AY143" s="692"/>
      <c r="AZ143" s="516">
        <f t="shared" si="31"/>
        <v>2</v>
      </c>
      <c r="BA143" s="516">
        <f t="shared" si="32"/>
        <v>0</v>
      </c>
      <c r="BB143" s="516"/>
      <c r="BC143" s="516"/>
      <c r="BD143" s="516">
        <f t="shared" si="33"/>
        <v>2</v>
      </c>
      <c r="BE143" s="516">
        <f t="shared" si="34"/>
        <v>0</v>
      </c>
      <c r="BF143" s="692"/>
      <c r="BG143" s="692"/>
      <c r="BH143" s="692"/>
      <c r="BI143" s="692"/>
      <c r="BJ143" s="692">
        <f t="shared" si="35"/>
        <v>7</v>
      </c>
      <c r="BK143" s="692"/>
      <c r="BL143" s="692"/>
      <c r="BM143" s="692"/>
      <c r="BN143" s="692"/>
      <c r="BO143" s="692"/>
      <c r="BP143" s="692"/>
      <c r="BQ143" s="692">
        <f t="shared" si="36"/>
        <v>0</v>
      </c>
      <c r="BR143" s="692"/>
      <c r="BS143" s="692">
        <f t="shared" si="37"/>
        <v>0</v>
      </c>
      <c r="BT143" s="692">
        <f t="shared" si="38"/>
        <v>0</v>
      </c>
      <c r="BU143" s="692"/>
      <c r="BV143" s="692"/>
      <c r="BW143" s="692"/>
      <c r="BX143" s="692">
        <v>2</v>
      </c>
      <c r="BY143" s="692"/>
      <c r="BZ143" s="692"/>
      <c r="CA143" s="692"/>
      <c r="CB143" s="692">
        <v>1</v>
      </c>
      <c r="CC143" s="692"/>
      <c r="CD143" s="692">
        <f t="shared" si="39"/>
        <v>4</v>
      </c>
      <c r="CE143" s="692"/>
      <c r="CF143" s="692"/>
      <c r="CG143" s="692"/>
      <c r="CH143" s="692"/>
      <c r="CI143" s="692"/>
      <c r="CJ143" s="692"/>
      <c r="CK143" s="692"/>
      <c r="CL143" s="692"/>
      <c r="CM143" s="692"/>
      <c r="CN143" s="692"/>
      <c r="CO143" s="692"/>
      <c r="CP143" s="692"/>
      <c r="CQ143" s="692"/>
      <c r="CR143" s="692"/>
      <c r="CS143" s="692"/>
      <c r="CT143" s="692"/>
      <c r="CU143" s="692"/>
      <c r="CV143" s="692"/>
      <c r="CW143" s="692"/>
      <c r="CX143" s="694"/>
      <c r="CY143" s="694"/>
      <c r="CZ143" s="694"/>
      <c r="DA143" s="694"/>
      <c r="DB143" s="694"/>
      <c r="DC143" s="694"/>
      <c r="DD143" s="694"/>
      <c r="DE143" s="694"/>
      <c r="DF143" s="694"/>
      <c r="DG143" s="695"/>
      <c r="DH143" s="695"/>
      <c r="DI143" s="695"/>
      <c r="DJ143" s="695"/>
      <c r="DK143" s="695"/>
      <c r="DL143" s="695"/>
      <c r="DM143" s="695"/>
      <c r="DN143" s="695"/>
      <c r="DO143" s="695"/>
      <c r="DP143" s="695"/>
      <c r="DQ143" s="695"/>
      <c r="DR143" s="695"/>
      <c r="DS143" s="694"/>
      <c r="DT143" s="694"/>
      <c r="DU143" s="694"/>
      <c r="DV143" s="694"/>
      <c r="DW143" s="694"/>
      <c r="DX143" s="694"/>
      <c r="DY143" s="694"/>
      <c r="DZ143" s="694"/>
      <c r="EA143" s="694"/>
      <c r="EB143" s="694"/>
      <c r="EC143" s="694"/>
      <c r="ED143" s="694"/>
      <c r="EE143" s="694"/>
      <c r="EF143" s="694"/>
      <c r="EG143" s="694"/>
      <c r="EH143" s="694"/>
      <c r="EI143" s="694"/>
      <c r="EJ143" s="694"/>
      <c r="EK143" s="694"/>
      <c r="EL143" s="694"/>
      <c r="EM143" s="694"/>
      <c r="EN143" s="694"/>
      <c r="EO143" s="694"/>
      <c r="EP143" s="694"/>
      <c r="EQ143" s="694"/>
      <c r="ER143" s="694"/>
      <c r="ES143" s="694"/>
      <c r="ET143" s="694"/>
      <c r="EU143" s="694"/>
      <c r="EV143" s="694"/>
      <c r="EW143" s="694"/>
      <c r="EX143" s="694"/>
      <c r="EY143" s="694"/>
      <c r="EZ143" s="694"/>
      <c r="FA143" s="694"/>
      <c r="FB143" s="694"/>
      <c r="FC143" s="694"/>
      <c r="FD143" s="694"/>
      <c r="FE143" s="694"/>
      <c r="FF143" s="694"/>
      <c r="FG143" s="694"/>
      <c r="FH143" s="694"/>
      <c r="FI143" s="694"/>
      <c r="FJ143" s="694"/>
      <c r="FK143" s="694"/>
      <c r="FL143" s="694"/>
      <c r="FM143" s="694"/>
      <c r="FN143" s="694"/>
      <c r="FO143" s="694"/>
      <c r="FP143" s="694"/>
      <c r="FQ143" s="697"/>
    </row>
    <row r="144" spans="1:173" s="696" customFormat="1">
      <c r="A144" s="690"/>
      <c r="B144" s="690"/>
      <c r="C144" s="691" t="s">
        <v>3639</v>
      </c>
      <c r="D144" s="691"/>
      <c r="E144" s="692">
        <v>41</v>
      </c>
      <c r="F144" s="692"/>
      <c r="G144" s="692"/>
      <c r="H144" s="692"/>
      <c r="I144" s="692"/>
      <c r="J144" s="692"/>
      <c r="K144" s="692"/>
      <c r="L144" s="692"/>
      <c r="M144" s="692"/>
      <c r="N144" s="692"/>
      <c r="O144" s="692">
        <f>E144</f>
        <v>41</v>
      </c>
      <c r="P144" s="692"/>
      <c r="Q144" s="692"/>
      <c r="R144" s="693"/>
      <c r="S144" s="693"/>
      <c r="T144" s="693"/>
      <c r="U144" s="692" t="s">
        <v>2990</v>
      </c>
      <c r="V144" s="692"/>
      <c r="W144" s="692"/>
      <c r="X144" s="692"/>
      <c r="Y144" s="692"/>
      <c r="Z144" s="692"/>
      <c r="AA144" s="692"/>
      <c r="AB144" s="692"/>
      <c r="AC144" s="692"/>
      <c r="AD144" s="692"/>
      <c r="AE144" s="725"/>
      <c r="AF144" s="957"/>
      <c r="AG144" s="692"/>
      <c r="AH144" s="692"/>
      <c r="AI144" s="692"/>
      <c r="AJ144" s="692"/>
      <c r="AK144" s="692"/>
      <c r="AL144" s="692"/>
      <c r="AM144" s="692"/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>
        <f t="shared" si="30"/>
        <v>0</v>
      </c>
      <c r="AX144" s="692"/>
      <c r="AY144" s="692"/>
      <c r="AZ144" s="516">
        <f t="shared" si="31"/>
        <v>0</v>
      </c>
      <c r="BA144" s="516">
        <f t="shared" si="32"/>
        <v>0</v>
      </c>
      <c r="BB144" s="516"/>
      <c r="BC144" s="516"/>
      <c r="BD144" s="516">
        <f t="shared" si="33"/>
        <v>1</v>
      </c>
      <c r="BE144" s="516">
        <f t="shared" si="34"/>
        <v>0</v>
      </c>
      <c r="BF144" s="692"/>
      <c r="BG144" s="692"/>
      <c r="BH144" s="692"/>
      <c r="BI144" s="692"/>
      <c r="BJ144" s="692">
        <f t="shared" si="35"/>
        <v>0</v>
      </c>
      <c r="BK144" s="692"/>
      <c r="BL144" s="692"/>
      <c r="BM144" s="692"/>
      <c r="BN144" s="692"/>
      <c r="BO144" s="692"/>
      <c r="BP144" s="692"/>
      <c r="BQ144" s="692">
        <f t="shared" si="36"/>
        <v>0</v>
      </c>
      <c r="BR144" s="692"/>
      <c r="BS144" s="692">
        <f t="shared" si="37"/>
        <v>0</v>
      </c>
      <c r="BT144" s="692">
        <f t="shared" si="38"/>
        <v>0</v>
      </c>
      <c r="BU144" s="692"/>
      <c r="BV144" s="692"/>
      <c r="BW144" s="692"/>
      <c r="BX144" s="692">
        <v>1</v>
      </c>
      <c r="BY144" s="692"/>
      <c r="BZ144" s="692"/>
      <c r="CA144" s="692"/>
      <c r="CB144" s="692"/>
      <c r="CC144" s="692"/>
      <c r="CD144" s="692">
        <f t="shared" si="39"/>
        <v>0</v>
      </c>
      <c r="CE144" s="692"/>
      <c r="CF144" s="692"/>
      <c r="CG144" s="692"/>
      <c r="CH144" s="692"/>
      <c r="CI144" s="692"/>
      <c r="CJ144" s="692"/>
      <c r="CK144" s="692"/>
      <c r="CL144" s="692"/>
      <c r="CM144" s="692"/>
      <c r="CN144" s="692"/>
      <c r="CO144" s="692"/>
      <c r="CP144" s="692"/>
      <c r="CQ144" s="692"/>
      <c r="CR144" s="692"/>
      <c r="CS144" s="692"/>
      <c r="CT144" s="692"/>
      <c r="CU144" s="692"/>
      <c r="CV144" s="692"/>
      <c r="CW144" s="692"/>
      <c r="CX144" s="694"/>
      <c r="CY144" s="694"/>
      <c r="CZ144" s="694"/>
      <c r="DA144" s="694"/>
      <c r="DB144" s="694"/>
      <c r="DC144" s="694"/>
      <c r="DD144" s="694"/>
      <c r="DE144" s="694"/>
      <c r="DF144" s="694"/>
      <c r="DG144" s="695"/>
      <c r="DH144" s="695"/>
      <c r="DI144" s="695"/>
      <c r="DJ144" s="695"/>
      <c r="DK144" s="695"/>
      <c r="DL144" s="695"/>
      <c r="DM144" s="695"/>
      <c r="DN144" s="695"/>
      <c r="DO144" s="695"/>
      <c r="DP144" s="695"/>
      <c r="DQ144" s="695"/>
      <c r="DR144" s="695"/>
      <c r="DS144" s="694"/>
      <c r="DT144" s="694"/>
      <c r="DU144" s="694"/>
      <c r="DV144" s="694"/>
      <c r="DW144" s="694"/>
      <c r="DX144" s="694"/>
      <c r="DY144" s="694"/>
      <c r="DZ144" s="694"/>
      <c r="EA144" s="694"/>
      <c r="EB144" s="694"/>
      <c r="EC144" s="694"/>
      <c r="ED144" s="694"/>
      <c r="EE144" s="694"/>
      <c r="EF144" s="694"/>
      <c r="EG144" s="694"/>
      <c r="EH144" s="694"/>
      <c r="EI144" s="694"/>
      <c r="EJ144" s="694"/>
      <c r="EK144" s="694"/>
      <c r="EL144" s="694"/>
      <c r="EM144" s="694"/>
      <c r="EN144" s="694"/>
      <c r="EO144" s="694"/>
      <c r="EP144" s="694"/>
      <c r="EQ144" s="694"/>
      <c r="ER144" s="694"/>
      <c r="ES144" s="694"/>
      <c r="ET144" s="694"/>
      <c r="EU144" s="694"/>
      <c r="EV144" s="694"/>
      <c r="EW144" s="694"/>
      <c r="EX144" s="694"/>
      <c r="EY144" s="694"/>
      <c r="EZ144" s="694"/>
      <c r="FA144" s="694"/>
      <c r="FB144" s="694"/>
      <c r="FC144" s="694"/>
      <c r="FD144" s="694"/>
      <c r="FE144" s="694"/>
      <c r="FF144" s="694"/>
      <c r="FG144" s="694"/>
      <c r="FH144" s="694"/>
      <c r="FI144" s="694"/>
      <c r="FJ144" s="694"/>
      <c r="FK144" s="694"/>
      <c r="FL144" s="694"/>
      <c r="FM144" s="694"/>
      <c r="FN144" s="694"/>
      <c r="FO144" s="694"/>
      <c r="FP144" s="694"/>
      <c r="FQ144" s="697"/>
    </row>
    <row r="145" spans="1:173" s="696" customFormat="1">
      <c r="A145" s="690"/>
      <c r="B145" s="690"/>
      <c r="C145" s="691"/>
      <c r="D145" s="691"/>
      <c r="E145" s="692"/>
      <c r="F145" s="692"/>
      <c r="G145" s="692"/>
      <c r="H145" s="692"/>
      <c r="I145" s="692"/>
      <c r="J145" s="692"/>
      <c r="K145" s="692"/>
      <c r="L145" s="692"/>
      <c r="M145" s="692"/>
      <c r="N145" s="692"/>
      <c r="O145" s="692"/>
      <c r="P145" s="692"/>
      <c r="Q145" s="692"/>
      <c r="R145" s="693"/>
      <c r="S145" s="693"/>
      <c r="T145" s="693"/>
      <c r="U145" s="692"/>
      <c r="V145" s="692"/>
      <c r="W145" s="692"/>
      <c r="X145" s="692"/>
      <c r="Y145" s="692"/>
      <c r="Z145" s="692"/>
      <c r="AA145" s="692"/>
      <c r="AB145" s="692"/>
      <c r="AC145" s="692"/>
      <c r="AD145" s="692"/>
      <c r="AE145" s="725"/>
      <c r="AF145" s="957"/>
      <c r="AG145" s="692"/>
      <c r="AH145" s="692"/>
      <c r="AI145" s="692"/>
      <c r="AJ145" s="692"/>
      <c r="AK145" s="692"/>
      <c r="AL145" s="692"/>
      <c r="AM145" s="692"/>
      <c r="AN145" s="692"/>
      <c r="AO145" s="692"/>
      <c r="AP145" s="692"/>
      <c r="AQ145" s="692"/>
      <c r="AR145" s="692"/>
      <c r="AS145" s="692"/>
      <c r="AT145" s="692"/>
      <c r="AU145" s="692"/>
      <c r="AV145" s="692"/>
      <c r="AW145" s="692">
        <f t="shared" si="30"/>
        <v>0</v>
      </c>
      <c r="AX145" s="692"/>
      <c r="AY145" s="692"/>
      <c r="AZ145" s="516"/>
      <c r="BA145" s="516"/>
      <c r="BB145" s="516"/>
      <c r="BC145" s="516"/>
      <c r="BD145" s="516"/>
      <c r="BE145" s="516"/>
      <c r="BF145" s="692"/>
      <c r="BG145" s="692"/>
      <c r="BH145" s="692"/>
      <c r="BI145" s="692"/>
      <c r="BJ145" s="692">
        <f t="shared" si="35"/>
        <v>0</v>
      </c>
      <c r="BK145" s="692"/>
      <c r="BL145" s="692"/>
      <c r="BM145" s="692"/>
      <c r="BN145" s="692"/>
      <c r="BO145" s="692"/>
      <c r="BP145" s="692"/>
      <c r="BQ145" s="692">
        <f t="shared" si="36"/>
        <v>0</v>
      </c>
      <c r="BR145" s="692"/>
      <c r="BS145" s="692">
        <f t="shared" si="37"/>
        <v>0</v>
      </c>
      <c r="BT145" s="692">
        <f t="shared" si="38"/>
        <v>0</v>
      </c>
      <c r="BU145" s="692"/>
      <c r="BV145" s="692"/>
      <c r="BW145" s="692"/>
      <c r="BX145" s="692"/>
      <c r="BY145" s="692"/>
      <c r="BZ145" s="692"/>
      <c r="CA145" s="692"/>
      <c r="CB145" s="692"/>
      <c r="CC145" s="692"/>
      <c r="CD145" s="692">
        <f t="shared" si="39"/>
        <v>0</v>
      </c>
      <c r="CE145" s="692"/>
      <c r="CF145" s="692"/>
      <c r="CG145" s="692"/>
      <c r="CH145" s="692"/>
      <c r="CI145" s="692"/>
      <c r="CJ145" s="692"/>
      <c r="CK145" s="692"/>
      <c r="CL145" s="692"/>
      <c r="CM145" s="692"/>
      <c r="CN145" s="692"/>
      <c r="CO145" s="692"/>
      <c r="CP145" s="692"/>
      <c r="CQ145" s="692"/>
      <c r="CR145" s="692"/>
      <c r="CS145" s="692"/>
      <c r="CT145" s="692"/>
      <c r="CU145" s="692"/>
      <c r="CV145" s="692"/>
      <c r="CW145" s="692"/>
      <c r="CX145" s="694"/>
      <c r="CY145" s="694"/>
      <c r="CZ145" s="694"/>
      <c r="DA145" s="694"/>
      <c r="DB145" s="694"/>
      <c r="DC145" s="694"/>
      <c r="DD145" s="694"/>
      <c r="DE145" s="694"/>
      <c r="DF145" s="694"/>
      <c r="DG145" s="695"/>
      <c r="DH145" s="695"/>
      <c r="DI145" s="695"/>
      <c r="DJ145" s="695"/>
      <c r="DK145" s="695"/>
      <c r="DL145" s="695"/>
      <c r="DM145" s="695"/>
      <c r="DN145" s="695"/>
      <c r="DO145" s="695"/>
      <c r="DP145" s="695"/>
      <c r="DQ145" s="695"/>
      <c r="DR145" s="695"/>
      <c r="DS145" s="694"/>
      <c r="DT145" s="694"/>
      <c r="DU145" s="694"/>
      <c r="DV145" s="694"/>
      <c r="DW145" s="694"/>
      <c r="DX145" s="694"/>
      <c r="DY145" s="694"/>
      <c r="DZ145" s="694"/>
      <c r="EA145" s="694"/>
      <c r="EB145" s="694"/>
      <c r="EC145" s="694"/>
      <c r="ED145" s="694"/>
      <c r="EE145" s="694"/>
      <c r="EF145" s="694"/>
      <c r="EG145" s="694"/>
      <c r="EH145" s="694"/>
      <c r="EI145" s="694"/>
      <c r="EJ145" s="694"/>
      <c r="EK145" s="694"/>
      <c r="EL145" s="694"/>
      <c r="EM145" s="694"/>
      <c r="EN145" s="694"/>
      <c r="EO145" s="694"/>
      <c r="EP145" s="694"/>
      <c r="EQ145" s="694"/>
      <c r="ER145" s="694"/>
      <c r="ES145" s="694"/>
      <c r="ET145" s="694"/>
      <c r="EU145" s="694"/>
      <c r="EV145" s="694"/>
      <c r="EW145" s="694"/>
      <c r="EX145" s="694"/>
      <c r="EY145" s="694"/>
      <c r="EZ145" s="694"/>
      <c r="FA145" s="694"/>
      <c r="FB145" s="694"/>
      <c r="FC145" s="694"/>
      <c r="FD145" s="694"/>
      <c r="FE145" s="694"/>
      <c r="FF145" s="694"/>
      <c r="FG145" s="694"/>
      <c r="FH145" s="694"/>
      <c r="FI145" s="694"/>
      <c r="FJ145" s="694"/>
      <c r="FK145" s="694"/>
      <c r="FL145" s="694"/>
      <c r="FM145" s="694"/>
      <c r="FN145" s="694"/>
      <c r="FO145" s="694"/>
      <c r="FP145" s="694"/>
      <c r="FQ145" s="697"/>
    </row>
    <row r="146" spans="1:173" s="696" customFormat="1">
      <c r="A146" s="690"/>
      <c r="B146" s="690"/>
      <c r="C146" s="691"/>
      <c r="D146" s="699" t="s">
        <v>3691</v>
      </c>
      <c r="E146" s="692"/>
      <c r="F146" s="692"/>
      <c r="G146" s="692"/>
      <c r="H146" s="692"/>
      <c r="I146" s="692"/>
      <c r="J146" s="692"/>
      <c r="K146" s="692"/>
      <c r="L146" s="692"/>
      <c r="M146" s="692"/>
      <c r="N146" s="692"/>
      <c r="O146" s="692"/>
      <c r="P146" s="692">
        <f t="shared" si="29"/>
        <v>0</v>
      </c>
      <c r="Q146" s="692"/>
      <c r="R146" s="693"/>
      <c r="S146" s="693"/>
      <c r="T146" s="693"/>
      <c r="U146" s="692"/>
      <c r="V146" s="692"/>
      <c r="W146" s="692"/>
      <c r="X146" s="692"/>
      <c r="Y146" s="692"/>
      <c r="Z146" s="692"/>
      <c r="AA146" s="692"/>
      <c r="AB146" s="692"/>
      <c r="AC146" s="692"/>
      <c r="AD146" s="692"/>
      <c r="AE146" s="725"/>
      <c r="AF146" s="957"/>
      <c r="AG146" s="692"/>
      <c r="AH146" s="692"/>
      <c r="AI146" s="692"/>
      <c r="AJ146" s="692"/>
      <c r="AK146" s="692"/>
      <c r="AL146" s="692"/>
      <c r="AM146" s="692"/>
      <c r="AN146" s="692"/>
      <c r="AO146" s="692"/>
      <c r="AP146" s="692"/>
      <c r="AQ146" s="692"/>
      <c r="AR146" s="692"/>
      <c r="AS146" s="692"/>
      <c r="AT146" s="692"/>
      <c r="AU146" s="692"/>
      <c r="AV146" s="692"/>
      <c r="AW146" s="692">
        <f t="shared" si="30"/>
        <v>0</v>
      </c>
      <c r="AX146" s="692"/>
      <c r="AY146" s="692"/>
      <c r="AZ146" s="516"/>
      <c r="BA146" s="516"/>
      <c r="BB146" s="516"/>
      <c r="BC146" s="516"/>
      <c r="BD146" s="516"/>
      <c r="BE146" s="516"/>
      <c r="BF146" s="692"/>
      <c r="BG146" s="692"/>
      <c r="BH146" s="692"/>
      <c r="BI146" s="692"/>
      <c r="BJ146" s="692">
        <f t="shared" si="35"/>
        <v>0</v>
      </c>
      <c r="BK146" s="692"/>
      <c r="BL146" s="692"/>
      <c r="BM146" s="692"/>
      <c r="BN146" s="692"/>
      <c r="BO146" s="692"/>
      <c r="BP146" s="692"/>
      <c r="BQ146" s="692">
        <f t="shared" si="36"/>
        <v>0</v>
      </c>
      <c r="BR146" s="692"/>
      <c r="BS146" s="692">
        <f t="shared" si="37"/>
        <v>0</v>
      </c>
      <c r="BT146" s="692">
        <f t="shared" si="38"/>
        <v>0</v>
      </c>
      <c r="BU146" s="692"/>
      <c r="BV146" s="692"/>
      <c r="BW146" s="692"/>
      <c r="BX146" s="692"/>
      <c r="BY146" s="692"/>
      <c r="BZ146" s="692"/>
      <c r="CA146" s="692"/>
      <c r="CB146" s="692"/>
      <c r="CC146" s="692"/>
      <c r="CD146" s="692">
        <f t="shared" si="39"/>
        <v>0</v>
      </c>
      <c r="CE146" s="692"/>
      <c r="CF146" s="692"/>
      <c r="CG146" s="692"/>
      <c r="CH146" s="692"/>
      <c r="CI146" s="692"/>
      <c r="CJ146" s="692"/>
      <c r="CK146" s="692"/>
      <c r="CL146" s="692"/>
      <c r="CM146" s="692"/>
      <c r="CN146" s="692"/>
      <c r="CO146" s="692"/>
      <c r="CP146" s="692"/>
      <c r="CQ146" s="692"/>
      <c r="CR146" s="692"/>
      <c r="CS146" s="692"/>
      <c r="CT146" s="692"/>
      <c r="CU146" s="692"/>
      <c r="CV146" s="692"/>
      <c r="CW146" s="692"/>
      <c r="CX146" s="694"/>
      <c r="CY146" s="694"/>
      <c r="CZ146" s="694"/>
      <c r="DA146" s="694"/>
      <c r="DB146" s="694"/>
      <c r="DC146" s="694"/>
      <c r="DD146" s="694"/>
      <c r="DE146" s="694"/>
      <c r="DF146" s="694"/>
      <c r="DG146" s="695"/>
      <c r="DH146" s="695"/>
      <c r="DI146" s="695"/>
      <c r="DJ146" s="695"/>
      <c r="DK146" s="695"/>
      <c r="DL146" s="695"/>
      <c r="DM146" s="695"/>
      <c r="DN146" s="695"/>
      <c r="DO146" s="695"/>
      <c r="DP146" s="695"/>
      <c r="DQ146" s="695"/>
      <c r="DR146" s="695"/>
      <c r="DS146" s="694"/>
      <c r="DT146" s="694"/>
      <c r="DU146" s="694"/>
      <c r="DV146" s="694"/>
      <c r="DW146" s="694"/>
      <c r="DX146" s="694"/>
      <c r="DY146" s="694"/>
      <c r="DZ146" s="694"/>
      <c r="EA146" s="694"/>
      <c r="EB146" s="694"/>
      <c r="EC146" s="694"/>
      <c r="ED146" s="694"/>
      <c r="EE146" s="694"/>
      <c r="EF146" s="694"/>
      <c r="EG146" s="694"/>
      <c r="EH146" s="694"/>
      <c r="EI146" s="694"/>
      <c r="EJ146" s="694"/>
      <c r="EK146" s="694"/>
      <c r="EL146" s="694"/>
      <c r="EM146" s="694"/>
      <c r="EN146" s="694"/>
      <c r="EO146" s="694"/>
      <c r="EP146" s="694"/>
      <c r="EQ146" s="694"/>
      <c r="ER146" s="694"/>
      <c r="ES146" s="694"/>
      <c r="ET146" s="694"/>
      <c r="EU146" s="694"/>
      <c r="EV146" s="694"/>
      <c r="EW146" s="694"/>
      <c r="EX146" s="694"/>
      <c r="EY146" s="694"/>
      <c r="EZ146" s="694"/>
      <c r="FA146" s="694"/>
      <c r="FB146" s="694"/>
      <c r="FC146" s="694"/>
      <c r="FD146" s="694"/>
      <c r="FE146" s="694"/>
      <c r="FF146" s="694"/>
      <c r="FG146" s="694"/>
      <c r="FH146" s="694"/>
      <c r="FI146" s="694"/>
      <c r="FJ146" s="694"/>
      <c r="FK146" s="694"/>
      <c r="FL146" s="694"/>
      <c r="FM146" s="694"/>
      <c r="FN146" s="694"/>
      <c r="FO146" s="694"/>
      <c r="FP146" s="694"/>
      <c r="FQ146" s="697"/>
    </row>
    <row r="147" spans="1:173" s="696" customFormat="1">
      <c r="A147" s="690"/>
      <c r="B147" s="690"/>
      <c r="C147" s="691" t="s">
        <v>3632</v>
      </c>
      <c r="D147" s="691"/>
      <c r="E147" s="692">
        <v>32.700000000000003</v>
      </c>
      <c r="F147" s="692"/>
      <c r="G147" s="692"/>
      <c r="H147" s="692"/>
      <c r="I147" s="692"/>
      <c r="J147" s="692"/>
      <c r="K147" s="692"/>
      <c r="L147" s="692"/>
      <c r="M147" s="692"/>
      <c r="N147" s="692"/>
      <c r="O147" s="692">
        <f t="shared" ref="O147:O152" si="40">E147</f>
        <v>32.700000000000003</v>
      </c>
      <c r="P147" s="692"/>
      <c r="Q147" s="692"/>
      <c r="R147" s="693"/>
      <c r="S147" s="693"/>
      <c r="T147" s="693"/>
      <c r="U147" s="692" t="s">
        <v>1631</v>
      </c>
      <c r="V147" s="692"/>
      <c r="W147" s="692"/>
      <c r="X147" s="692"/>
      <c r="Y147" s="692"/>
      <c r="Z147" s="692"/>
      <c r="AA147" s="692"/>
      <c r="AB147" s="692"/>
      <c r="AC147" s="692"/>
      <c r="AD147" s="692"/>
      <c r="AE147" s="725"/>
      <c r="AF147" s="957"/>
      <c r="AG147" s="692"/>
      <c r="AH147" s="692"/>
      <c r="AI147" s="692"/>
      <c r="AJ147" s="692"/>
      <c r="AK147" s="692"/>
      <c r="AL147" s="692"/>
      <c r="AM147" s="692"/>
      <c r="AN147" s="692"/>
      <c r="AO147" s="692"/>
      <c r="AP147" s="692"/>
      <c r="AQ147" s="692"/>
      <c r="AR147" s="692"/>
      <c r="AS147" s="692"/>
      <c r="AT147" s="692"/>
      <c r="AU147" s="692"/>
      <c r="AV147" s="692"/>
      <c r="AW147" s="692">
        <f t="shared" si="30"/>
        <v>1</v>
      </c>
      <c r="AX147" s="692"/>
      <c r="AY147" s="692"/>
      <c r="AZ147" s="516">
        <f t="shared" si="31"/>
        <v>2</v>
      </c>
      <c r="BA147" s="516">
        <f t="shared" si="32"/>
        <v>0</v>
      </c>
      <c r="BB147" s="516"/>
      <c r="BC147" s="516"/>
      <c r="BD147" s="516">
        <f t="shared" si="33"/>
        <v>1</v>
      </c>
      <c r="BE147" s="516">
        <f t="shared" si="34"/>
        <v>0</v>
      </c>
      <c r="BF147" s="692"/>
      <c r="BG147" s="692"/>
      <c r="BH147" s="692"/>
      <c r="BI147" s="692">
        <f t="shared" ref="BI147:BI152" si="41">CB147*5+AU147*2</f>
        <v>5</v>
      </c>
      <c r="BJ147" s="692"/>
      <c r="BK147" s="692"/>
      <c r="BL147" s="692"/>
      <c r="BM147" s="692"/>
      <c r="BN147" s="692"/>
      <c r="BO147" s="692"/>
      <c r="BP147" s="692"/>
      <c r="BQ147" s="692">
        <f t="shared" si="36"/>
        <v>0</v>
      </c>
      <c r="BR147" s="692"/>
      <c r="BS147" s="692">
        <f t="shared" si="37"/>
        <v>1</v>
      </c>
      <c r="BT147" s="692">
        <f t="shared" si="38"/>
        <v>0</v>
      </c>
      <c r="BU147" s="692"/>
      <c r="BV147" s="692"/>
      <c r="BW147" s="692"/>
      <c r="BX147" s="692"/>
      <c r="BY147" s="692"/>
      <c r="BZ147" s="692"/>
      <c r="CA147" s="692"/>
      <c r="CB147" s="692">
        <v>1</v>
      </c>
      <c r="CC147" s="692"/>
      <c r="CD147" s="692">
        <f t="shared" si="39"/>
        <v>4</v>
      </c>
      <c r="CE147" s="692"/>
      <c r="CF147" s="692"/>
      <c r="CG147" s="692"/>
      <c r="CH147" s="692"/>
      <c r="CI147" s="692"/>
      <c r="CJ147" s="692"/>
      <c r="CK147" s="692"/>
      <c r="CL147" s="692"/>
      <c r="CM147" s="692"/>
      <c r="CN147" s="692"/>
      <c r="CO147" s="692"/>
      <c r="CP147" s="692"/>
      <c r="CQ147" s="692"/>
      <c r="CR147" s="692"/>
      <c r="CS147" s="692"/>
      <c r="CT147" s="692"/>
      <c r="CU147" s="692"/>
      <c r="CV147" s="692"/>
      <c r="CW147" s="692"/>
      <c r="CX147" s="694"/>
      <c r="CY147" s="694"/>
      <c r="CZ147" s="694"/>
      <c r="DA147" s="694"/>
      <c r="DB147" s="694"/>
      <c r="DC147" s="694"/>
      <c r="DD147" s="694"/>
      <c r="DE147" s="694"/>
      <c r="DF147" s="694"/>
      <c r="DG147" s="695"/>
      <c r="DH147" s="695"/>
      <c r="DI147" s="695"/>
      <c r="DJ147" s="695"/>
      <c r="DK147" s="695"/>
      <c r="DL147" s="695"/>
      <c r="DM147" s="695"/>
      <c r="DN147" s="695"/>
      <c r="DO147" s="695"/>
      <c r="DP147" s="695"/>
      <c r="DQ147" s="695"/>
      <c r="DR147" s="695"/>
      <c r="DS147" s="694"/>
      <c r="DT147" s="694"/>
      <c r="DU147" s="694"/>
      <c r="DV147" s="694"/>
      <c r="DW147" s="694"/>
      <c r="DX147" s="694"/>
      <c r="DY147" s="694"/>
      <c r="DZ147" s="694"/>
      <c r="EA147" s="694"/>
      <c r="EB147" s="694"/>
      <c r="EC147" s="694"/>
      <c r="ED147" s="694"/>
      <c r="EE147" s="694"/>
      <c r="EF147" s="694"/>
      <c r="EG147" s="694"/>
      <c r="EH147" s="694"/>
      <c r="EI147" s="694"/>
      <c r="EJ147" s="694"/>
      <c r="EK147" s="694"/>
      <c r="EL147" s="694"/>
      <c r="EM147" s="694"/>
      <c r="EN147" s="694"/>
      <c r="EO147" s="694"/>
      <c r="EP147" s="694"/>
      <c r="EQ147" s="694"/>
      <c r="ER147" s="694"/>
      <c r="ES147" s="694"/>
      <c r="ET147" s="694"/>
      <c r="EU147" s="694"/>
      <c r="EV147" s="694"/>
      <c r="EW147" s="694"/>
      <c r="EX147" s="694"/>
      <c r="EY147" s="694"/>
      <c r="EZ147" s="694"/>
      <c r="FA147" s="694"/>
      <c r="FB147" s="694"/>
      <c r="FC147" s="694"/>
      <c r="FD147" s="694"/>
      <c r="FE147" s="694"/>
      <c r="FF147" s="694"/>
      <c r="FG147" s="694"/>
      <c r="FH147" s="694"/>
      <c r="FI147" s="694"/>
      <c r="FJ147" s="694"/>
      <c r="FK147" s="694"/>
      <c r="FL147" s="694"/>
      <c r="FM147" s="694"/>
      <c r="FN147" s="694"/>
      <c r="FO147" s="694"/>
      <c r="FP147" s="694"/>
      <c r="FQ147" s="697"/>
    </row>
    <row r="148" spans="1:173" s="696" customFormat="1">
      <c r="A148" s="690"/>
      <c r="B148" s="690"/>
      <c r="C148" s="691" t="s">
        <v>3633</v>
      </c>
      <c r="D148" s="691"/>
      <c r="E148" s="692">
        <v>35.9</v>
      </c>
      <c r="F148" s="692"/>
      <c r="G148" s="692"/>
      <c r="H148" s="692"/>
      <c r="I148" s="692"/>
      <c r="J148" s="692"/>
      <c r="K148" s="692"/>
      <c r="L148" s="692"/>
      <c r="M148" s="692"/>
      <c r="N148" s="692"/>
      <c r="O148" s="692">
        <f t="shared" si="40"/>
        <v>35.9</v>
      </c>
      <c r="P148" s="692"/>
      <c r="Q148" s="692"/>
      <c r="R148" s="693"/>
      <c r="S148" s="693"/>
      <c r="T148" s="693"/>
      <c r="U148" s="692" t="s">
        <v>1631</v>
      </c>
      <c r="V148" s="692"/>
      <c r="W148" s="692"/>
      <c r="X148" s="692"/>
      <c r="Y148" s="692"/>
      <c r="Z148" s="692"/>
      <c r="AA148" s="692"/>
      <c r="AB148" s="692"/>
      <c r="AC148" s="692"/>
      <c r="AD148" s="692"/>
      <c r="AE148" s="725"/>
      <c r="AF148" s="957"/>
      <c r="AG148" s="692"/>
      <c r="AH148" s="692"/>
      <c r="AI148" s="692"/>
      <c r="AJ148" s="692"/>
      <c r="AK148" s="692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>
        <f t="shared" si="30"/>
        <v>1</v>
      </c>
      <c r="AX148" s="692"/>
      <c r="AY148" s="692"/>
      <c r="AZ148" s="516">
        <f t="shared" si="31"/>
        <v>2</v>
      </c>
      <c r="BA148" s="516">
        <f t="shared" si="32"/>
        <v>0</v>
      </c>
      <c r="BB148" s="516"/>
      <c r="BC148" s="516"/>
      <c r="BD148" s="516">
        <f t="shared" si="33"/>
        <v>1</v>
      </c>
      <c r="BE148" s="516">
        <f t="shared" si="34"/>
        <v>0</v>
      </c>
      <c r="BF148" s="692"/>
      <c r="BG148" s="692"/>
      <c r="BH148" s="692"/>
      <c r="BI148" s="692">
        <f t="shared" si="41"/>
        <v>5</v>
      </c>
      <c r="BJ148" s="692"/>
      <c r="BK148" s="692"/>
      <c r="BL148" s="692"/>
      <c r="BM148" s="692"/>
      <c r="BN148" s="692"/>
      <c r="BO148" s="692"/>
      <c r="BP148" s="692"/>
      <c r="BQ148" s="692">
        <f t="shared" si="36"/>
        <v>0</v>
      </c>
      <c r="BR148" s="692"/>
      <c r="BS148" s="692">
        <f t="shared" si="37"/>
        <v>1</v>
      </c>
      <c r="BT148" s="692">
        <f t="shared" si="38"/>
        <v>0</v>
      </c>
      <c r="BU148" s="692"/>
      <c r="BV148" s="692"/>
      <c r="BW148" s="692"/>
      <c r="BX148" s="692"/>
      <c r="BY148" s="692"/>
      <c r="BZ148" s="692"/>
      <c r="CA148" s="692"/>
      <c r="CB148" s="692">
        <v>1</v>
      </c>
      <c r="CC148" s="692"/>
      <c r="CD148" s="692">
        <f t="shared" si="39"/>
        <v>4</v>
      </c>
      <c r="CE148" s="692"/>
      <c r="CF148" s="692"/>
      <c r="CG148" s="692"/>
      <c r="CH148" s="692"/>
      <c r="CI148" s="692"/>
      <c r="CJ148" s="692"/>
      <c r="CK148" s="692"/>
      <c r="CL148" s="692"/>
      <c r="CM148" s="692"/>
      <c r="CN148" s="692"/>
      <c r="CO148" s="692"/>
      <c r="CP148" s="692"/>
      <c r="CQ148" s="692"/>
      <c r="CR148" s="692"/>
      <c r="CS148" s="692"/>
      <c r="CT148" s="692"/>
      <c r="CU148" s="692"/>
      <c r="CV148" s="692"/>
      <c r="CW148" s="692"/>
      <c r="CX148" s="694"/>
      <c r="CY148" s="694"/>
      <c r="CZ148" s="694"/>
      <c r="DA148" s="694"/>
      <c r="DB148" s="694"/>
      <c r="DC148" s="694"/>
      <c r="DD148" s="694"/>
      <c r="DE148" s="694"/>
      <c r="DF148" s="694"/>
      <c r="DG148" s="695"/>
      <c r="DH148" s="695"/>
      <c r="DI148" s="695"/>
      <c r="DJ148" s="695"/>
      <c r="DK148" s="695"/>
      <c r="DL148" s="695"/>
      <c r="DM148" s="695"/>
      <c r="DN148" s="695"/>
      <c r="DO148" s="695"/>
      <c r="DP148" s="695"/>
      <c r="DQ148" s="695"/>
      <c r="DR148" s="695"/>
      <c r="DS148" s="694"/>
      <c r="DT148" s="694"/>
      <c r="DU148" s="694"/>
      <c r="DV148" s="694"/>
      <c r="DW148" s="694"/>
      <c r="DX148" s="694"/>
      <c r="DY148" s="694"/>
      <c r="DZ148" s="694"/>
      <c r="EA148" s="694"/>
      <c r="EB148" s="694"/>
      <c r="EC148" s="694"/>
      <c r="ED148" s="694"/>
      <c r="EE148" s="694"/>
      <c r="EF148" s="694"/>
      <c r="EG148" s="694"/>
      <c r="EH148" s="694"/>
      <c r="EI148" s="694"/>
      <c r="EJ148" s="694"/>
      <c r="EK148" s="694"/>
      <c r="EL148" s="694"/>
      <c r="EM148" s="694"/>
      <c r="EN148" s="694"/>
      <c r="EO148" s="694"/>
      <c r="EP148" s="694"/>
      <c r="EQ148" s="694"/>
      <c r="ER148" s="694"/>
      <c r="ES148" s="694"/>
      <c r="ET148" s="694"/>
      <c r="EU148" s="694"/>
      <c r="EV148" s="694"/>
      <c r="EW148" s="694"/>
      <c r="EX148" s="694"/>
      <c r="EY148" s="694"/>
      <c r="EZ148" s="694"/>
      <c r="FA148" s="694"/>
      <c r="FB148" s="694"/>
      <c r="FC148" s="694"/>
      <c r="FD148" s="694"/>
      <c r="FE148" s="694"/>
      <c r="FF148" s="694"/>
      <c r="FG148" s="694"/>
      <c r="FH148" s="694"/>
      <c r="FI148" s="694"/>
      <c r="FJ148" s="694"/>
      <c r="FK148" s="694"/>
      <c r="FL148" s="694"/>
      <c r="FM148" s="694"/>
      <c r="FN148" s="694"/>
      <c r="FO148" s="694"/>
      <c r="FP148" s="694"/>
      <c r="FQ148" s="697"/>
    </row>
    <row r="149" spans="1:173" s="696" customFormat="1">
      <c r="A149" s="690"/>
      <c r="B149" s="690"/>
      <c r="C149" s="691" t="s">
        <v>3634</v>
      </c>
      <c r="D149" s="691"/>
      <c r="E149" s="692">
        <v>36.299999999999997</v>
      </c>
      <c r="F149" s="692"/>
      <c r="G149" s="692"/>
      <c r="H149" s="692"/>
      <c r="I149" s="692"/>
      <c r="J149" s="692"/>
      <c r="K149" s="692"/>
      <c r="L149" s="692"/>
      <c r="M149" s="692"/>
      <c r="N149" s="692"/>
      <c r="O149" s="692">
        <f t="shared" si="40"/>
        <v>36.299999999999997</v>
      </c>
      <c r="P149" s="692"/>
      <c r="Q149" s="692"/>
      <c r="R149" s="693"/>
      <c r="S149" s="693"/>
      <c r="T149" s="693"/>
      <c r="U149" s="692" t="s">
        <v>1631</v>
      </c>
      <c r="V149" s="692"/>
      <c r="W149" s="692"/>
      <c r="X149" s="692"/>
      <c r="Y149" s="692"/>
      <c r="Z149" s="692"/>
      <c r="AA149" s="692"/>
      <c r="AB149" s="692"/>
      <c r="AC149" s="692"/>
      <c r="AD149" s="692"/>
      <c r="AE149" s="725"/>
      <c r="AF149" s="957"/>
      <c r="AG149" s="692"/>
      <c r="AH149" s="692"/>
      <c r="AI149" s="692"/>
      <c r="AJ149" s="692"/>
      <c r="AK149" s="692"/>
      <c r="AL149" s="692"/>
      <c r="AM149" s="692"/>
      <c r="AN149" s="692"/>
      <c r="AO149" s="692"/>
      <c r="AP149" s="692"/>
      <c r="AQ149" s="692"/>
      <c r="AR149" s="692"/>
      <c r="AS149" s="692"/>
      <c r="AT149" s="692"/>
      <c r="AU149" s="692"/>
      <c r="AV149" s="692"/>
      <c r="AW149" s="692">
        <f t="shared" si="30"/>
        <v>1</v>
      </c>
      <c r="AX149" s="692"/>
      <c r="AY149" s="692"/>
      <c r="AZ149" s="516">
        <f t="shared" si="31"/>
        <v>2</v>
      </c>
      <c r="BA149" s="516">
        <f t="shared" si="32"/>
        <v>0</v>
      </c>
      <c r="BB149" s="516"/>
      <c r="BC149" s="516"/>
      <c r="BD149" s="516">
        <f t="shared" si="33"/>
        <v>1</v>
      </c>
      <c r="BE149" s="516">
        <f t="shared" si="34"/>
        <v>0</v>
      </c>
      <c r="BF149" s="692"/>
      <c r="BG149" s="692"/>
      <c r="BH149" s="692"/>
      <c r="BI149" s="692">
        <f t="shared" si="41"/>
        <v>5</v>
      </c>
      <c r="BJ149" s="692"/>
      <c r="BK149" s="692"/>
      <c r="BL149" s="692"/>
      <c r="BM149" s="692"/>
      <c r="BN149" s="692"/>
      <c r="BO149" s="692"/>
      <c r="BP149" s="692"/>
      <c r="BQ149" s="692">
        <f t="shared" si="36"/>
        <v>0</v>
      </c>
      <c r="BR149" s="692"/>
      <c r="BS149" s="692">
        <f t="shared" si="37"/>
        <v>1</v>
      </c>
      <c r="BT149" s="692">
        <f t="shared" si="38"/>
        <v>0</v>
      </c>
      <c r="BU149" s="692"/>
      <c r="BV149" s="692"/>
      <c r="BW149" s="692"/>
      <c r="BX149" s="692"/>
      <c r="BY149" s="692"/>
      <c r="BZ149" s="692"/>
      <c r="CA149" s="692"/>
      <c r="CB149" s="692">
        <v>1</v>
      </c>
      <c r="CC149" s="692"/>
      <c r="CD149" s="692">
        <f t="shared" si="39"/>
        <v>4</v>
      </c>
      <c r="CE149" s="692"/>
      <c r="CF149" s="692"/>
      <c r="CG149" s="692"/>
      <c r="CH149" s="692"/>
      <c r="CI149" s="692"/>
      <c r="CJ149" s="692"/>
      <c r="CK149" s="692"/>
      <c r="CL149" s="692"/>
      <c r="CM149" s="692"/>
      <c r="CN149" s="692"/>
      <c r="CO149" s="692"/>
      <c r="CP149" s="692"/>
      <c r="CQ149" s="692"/>
      <c r="CR149" s="692"/>
      <c r="CS149" s="692"/>
      <c r="CT149" s="692"/>
      <c r="CU149" s="692"/>
      <c r="CV149" s="692"/>
      <c r="CW149" s="692"/>
      <c r="CX149" s="694"/>
      <c r="CY149" s="694"/>
      <c r="CZ149" s="694"/>
      <c r="DA149" s="694"/>
      <c r="DB149" s="694"/>
      <c r="DC149" s="694"/>
      <c r="DD149" s="694"/>
      <c r="DE149" s="694"/>
      <c r="DF149" s="694"/>
      <c r="DG149" s="695"/>
      <c r="DH149" s="695"/>
      <c r="DI149" s="695"/>
      <c r="DJ149" s="695"/>
      <c r="DK149" s="695"/>
      <c r="DL149" s="695"/>
      <c r="DM149" s="695"/>
      <c r="DN149" s="695"/>
      <c r="DO149" s="695"/>
      <c r="DP149" s="695"/>
      <c r="DQ149" s="695"/>
      <c r="DR149" s="695"/>
      <c r="DS149" s="694"/>
      <c r="DT149" s="694"/>
      <c r="DU149" s="694"/>
      <c r="DV149" s="694"/>
      <c r="DW149" s="694"/>
      <c r="DX149" s="694"/>
      <c r="DY149" s="694"/>
      <c r="DZ149" s="694"/>
      <c r="EA149" s="694"/>
      <c r="EB149" s="694"/>
      <c r="EC149" s="694"/>
      <c r="ED149" s="694"/>
      <c r="EE149" s="694"/>
      <c r="EF149" s="694"/>
      <c r="EG149" s="694"/>
      <c r="EH149" s="694"/>
      <c r="EI149" s="694"/>
      <c r="EJ149" s="694"/>
      <c r="EK149" s="694"/>
      <c r="EL149" s="694"/>
      <c r="EM149" s="694"/>
      <c r="EN149" s="694"/>
      <c r="EO149" s="694"/>
      <c r="EP149" s="694"/>
      <c r="EQ149" s="694"/>
      <c r="ER149" s="694"/>
      <c r="ES149" s="694"/>
      <c r="ET149" s="694"/>
      <c r="EU149" s="694"/>
      <c r="EV149" s="694"/>
      <c r="EW149" s="694"/>
      <c r="EX149" s="694"/>
      <c r="EY149" s="694"/>
      <c r="EZ149" s="694"/>
      <c r="FA149" s="694"/>
      <c r="FB149" s="694"/>
      <c r="FC149" s="694"/>
      <c r="FD149" s="694"/>
      <c r="FE149" s="694"/>
      <c r="FF149" s="694"/>
      <c r="FG149" s="694"/>
      <c r="FH149" s="694"/>
      <c r="FI149" s="694"/>
      <c r="FJ149" s="694"/>
      <c r="FK149" s="694"/>
      <c r="FL149" s="694"/>
      <c r="FM149" s="694"/>
      <c r="FN149" s="694"/>
      <c r="FO149" s="694"/>
      <c r="FP149" s="694"/>
      <c r="FQ149" s="697"/>
    </row>
    <row r="150" spans="1:173" s="696" customFormat="1">
      <c r="A150" s="690"/>
      <c r="B150" s="690"/>
      <c r="C150" s="691" t="s">
        <v>3635</v>
      </c>
      <c r="D150" s="691"/>
      <c r="E150" s="692">
        <v>33.700000000000003</v>
      </c>
      <c r="F150" s="692"/>
      <c r="G150" s="692"/>
      <c r="H150" s="692"/>
      <c r="I150" s="692"/>
      <c r="J150" s="692"/>
      <c r="K150" s="692"/>
      <c r="L150" s="692"/>
      <c r="M150" s="692"/>
      <c r="N150" s="692"/>
      <c r="O150" s="692">
        <f t="shared" si="40"/>
        <v>33.700000000000003</v>
      </c>
      <c r="P150" s="692"/>
      <c r="Q150" s="692"/>
      <c r="R150" s="693"/>
      <c r="S150" s="693"/>
      <c r="T150" s="693"/>
      <c r="U150" s="692" t="s">
        <v>1631</v>
      </c>
      <c r="V150" s="692"/>
      <c r="W150" s="692"/>
      <c r="X150" s="692"/>
      <c r="Y150" s="692"/>
      <c r="Z150" s="692"/>
      <c r="AA150" s="692"/>
      <c r="AB150" s="692"/>
      <c r="AC150" s="692"/>
      <c r="AD150" s="692"/>
      <c r="AE150" s="725"/>
      <c r="AF150" s="957"/>
      <c r="AG150" s="692"/>
      <c r="AH150" s="692"/>
      <c r="AI150" s="692"/>
      <c r="AJ150" s="692"/>
      <c r="AK150" s="692"/>
      <c r="AL150" s="692"/>
      <c r="AM150" s="692"/>
      <c r="AN150" s="692"/>
      <c r="AO150" s="692"/>
      <c r="AP150" s="692"/>
      <c r="AQ150" s="692"/>
      <c r="AR150" s="692"/>
      <c r="AS150" s="692"/>
      <c r="AT150" s="692"/>
      <c r="AU150" s="692">
        <v>1</v>
      </c>
      <c r="AV150" s="692"/>
      <c r="AW150" s="692">
        <f t="shared" si="30"/>
        <v>1</v>
      </c>
      <c r="AX150" s="692"/>
      <c r="AY150" s="692"/>
      <c r="AZ150" s="516">
        <f t="shared" si="31"/>
        <v>2</v>
      </c>
      <c r="BA150" s="516">
        <f t="shared" si="32"/>
        <v>0</v>
      </c>
      <c r="BB150" s="516"/>
      <c r="BC150" s="516"/>
      <c r="BD150" s="516">
        <f t="shared" si="33"/>
        <v>1</v>
      </c>
      <c r="BE150" s="516">
        <f t="shared" si="34"/>
        <v>0</v>
      </c>
      <c r="BF150" s="692"/>
      <c r="BG150" s="692"/>
      <c r="BH150" s="692"/>
      <c r="BI150" s="692">
        <f t="shared" si="41"/>
        <v>7</v>
      </c>
      <c r="BJ150" s="692"/>
      <c r="BK150" s="692"/>
      <c r="BL150" s="692"/>
      <c r="BM150" s="692"/>
      <c r="BN150" s="692"/>
      <c r="BO150" s="692"/>
      <c r="BP150" s="692"/>
      <c r="BQ150" s="692">
        <f t="shared" si="36"/>
        <v>0</v>
      </c>
      <c r="BR150" s="692"/>
      <c r="BS150" s="692">
        <f t="shared" si="37"/>
        <v>1</v>
      </c>
      <c r="BT150" s="692">
        <f t="shared" si="38"/>
        <v>0</v>
      </c>
      <c r="BU150" s="692"/>
      <c r="BV150" s="692"/>
      <c r="BW150" s="692"/>
      <c r="BX150" s="692"/>
      <c r="BY150" s="692"/>
      <c r="BZ150" s="692"/>
      <c r="CA150" s="692"/>
      <c r="CB150" s="692">
        <v>1</v>
      </c>
      <c r="CC150" s="692"/>
      <c r="CD150" s="692">
        <f t="shared" si="39"/>
        <v>4</v>
      </c>
      <c r="CE150" s="692"/>
      <c r="CF150" s="692"/>
      <c r="CG150" s="692"/>
      <c r="CH150" s="692"/>
      <c r="CI150" s="692"/>
      <c r="CJ150" s="692"/>
      <c r="CK150" s="692"/>
      <c r="CL150" s="692"/>
      <c r="CM150" s="692"/>
      <c r="CN150" s="692"/>
      <c r="CO150" s="692"/>
      <c r="CP150" s="692"/>
      <c r="CQ150" s="692"/>
      <c r="CR150" s="692"/>
      <c r="CS150" s="692"/>
      <c r="CT150" s="692"/>
      <c r="CU150" s="692"/>
      <c r="CV150" s="692"/>
      <c r="CW150" s="692"/>
      <c r="CX150" s="694"/>
      <c r="CY150" s="694"/>
      <c r="CZ150" s="694"/>
      <c r="DA150" s="694"/>
      <c r="DB150" s="694"/>
      <c r="DC150" s="694"/>
      <c r="DD150" s="694"/>
      <c r="DE150" s="694"/>
      <c r="DF150" s="694"/>
      <c r="DG150" s="695"/>
      <c r="DH150" s="695"/>
      <c r="DI150" s="695"/>
      <c r="DJ150" s="695"/>
      <c r="DK150" s="695"/>
      <c r="DL150" s="695"/>
      <c r="DM150" s="695"/>
      <c r="DN150" s="695"/>
      <c r="DO150" s="695"/>
      <c r="DP150" s="695"/>
      <c r="DQ150" s="695"/>
      <c r="DR150" s="695"/>
      <c r="DS150" s="694"/>
      <c r="DT150" s="694"/>
      <c r="DU150" s="694"/>
      <c r="DV150" s="694"/>
      <c r="DW150" s="694"/>
      <c r="DX150" s="694"/>
      <c r="DY150" s="694"/>
      <c r="DZ150" s="694"/>
      <c r="EA150" s="694"/>
      <c r="EB150" s="694"/>
      <c r="EC150" s="694"/>
      <c r="ED150" s="694"/>
      <c r="EE150" s="694"/>
      <c r="EF150" s="694"/>
      <c r="EG150" s="694"/>
      <c r="EH150" s="694"/>
      <c r="EI150" s="694"/>
      <c r="EJ150" s="694"/>
      <c r="EK150" s="694"/>
      <c r="EL150" s="694"/>
      <c r="EM150" s="694"/>
      <c r="EN150" s="694"/>
      <c r="EO150" s="694"/>
      <c r="EP150" s="694"/>
      <c r="EQ150" s="694"/>
      <c r="ER150" s="694"/>
      <c r="ES150" s="694"/>
      <c r="ET150" s="694"/>
      <c r="EU150" s="694"/>
      <c r="EV150" s="694"/>
      <c r="EW150" s="694"/>
      <c r="EX150" s="694"/>
      <c r="EY150" s="694"/>
      <c r="EZ150" s="694"/>
      <c r="FA150" s="694"/>
      <c r="FB150" s="694"/>
      <c r="FC150" s="694"/>
      <c r="FD150" s="694"/>
      <c r="FE150" s="694"/>
      <c r="FF150" s="694"/>
      <c r="FG150" s="694"/>
      <c r="FH150" s="694"/>
      <c r="FI150" s="694"/>
      <c r="FJ150" s="694"/>
      <c r="FK150" s="694"/>
      <c r="FL150" s="694"/>
      <c r="FM150" s="694"/>
      <c r="FN150" s="694"/>
      <c r="FO150" s="694"/>
      <c r="FP150" s="694"/>
      <c r="FQ150" s="697"/>
    </row>
    <row r="151" spans="1:173" s="696" customFormat="1">
      <c r="A151" s="690"/>
      <c r="B151" s="690"/>
      <c r="C151" s="691" t="s">
        <v>3636</v>
      </c>
      <c r="D151" s="691"/>
      <c r="E151" s="692">
        <v>37.5</v>
      </c>
      <c r="F151" s="692"/>
      <c r="G151" s="692"/>
      <c r="H151" s="692"/>
      <c r="I151" s="692"/>
      <c r="J151" s="692"/>
      <c r="K151" s="692"/>
      <c r="L151" s="692"/>
      <c r="M151" s="692"/>
      <c r="N151" s="692"/>
      <c r="O151" s="692">
        <f t="shared" si="40"/>
        <v>37.5</v>
      </c>
      <c r="P151" s="692"/>
      <c r="Q151" s="692"/>
      <c r="R151" s="693"/>
      <c r="S151" s="693"/>
      <c r="T151" s="693"/>
      <c r="U151" s="692" t="s">
        <v>2989</v>
      </c>
      <c r="V151" s="692"/>
      <c r="W151" s="692"/>
      <c r="X151" s="692"/>
      <c r="Y151" s="692"/>
      <c r="Z151" s="692"/>
      <c r="AA151" s="692"/>
      <c r="AB151" s="692"/>
      <c r="AC151" s="692"/>
      <c r="AD151" s="692"/>
      <c r="AE151" s="725"/>
      <c r="AF151" s="957"/>
      <c r="AG151" s="692"/>
      <c r="AH151" s="692"/>
      <c r="AI151" s="692"/>
      <c r="AJ151" s="692"/>
      <c r="AK151" s="692"/>
      <c r="AL151" s="692"/>
      <c r="AM151" s="692"/>
      <c r="AN151" s="692"/>
      <c r="AO151" s="692"/>
      <c r="AP151" s="692"/>
      <c r="AQ151" s="692"/>
      <c r="AR151" s="692"/>
      <c r="AS151" s="692"/>
      <c r="AT151" s="692"/>
      <c r="AU151" s="692"/>
      <c r="AV151" s="692"/>
      <c r="AW151" s="692">
        <f t="shared" si="30"/>
        <v>1</v>
      </c>
      <c r="AX151" s="692"/>
      <c r="AY151" s="692"/>
      <c r="AZ151" s="516">
        <f t="shared" si="31"/>
        <v>2</v>
      </c>
      <c r="BA151" s="516">
        <f t="shared" si="32"/>
        <v>0</v>
      </c>
      <c r="BB151" s="516"/>
      <c r="BC151" s="516"/>
      <c r="BD151" s="516">
        <f t="shared" si="33"/>
        <v>2</v>
      </c>
      <c r="BE151" s="516">
        <f t="shared" si="34"/>
        <v>0</v>
      </c>
      <c r="BF151" s="692"/>
      <c r="BG151" s="692"/>
      <c r="BH151" s="692"/>
      <c r="BI151" s="692">
        <f t="shared" si="41"/>
        <v>5</v>
      </c>
      <c r="BJ151" s="692"/>
      <c r="BK151" s="692"/>
      <c r="BL151" s="692"/>
      <c r="BM151" s="692"/>
      <c r="BN151" s="692"/>
      <c r="BO151" s="692"/>
      <c r="BP151" s="692"/>
      <c r="BQ151" s="692">
        <f t="shared" si="36"/>
        <v>0</v>
      </c>
      <c r="BR151" s="692"/>
      <c r="BS151" s="692">
        <f t="shared" si="37"/>
        <v>0</v>
      </c>
      <c r="BT151" s="692">
        <f t="shared" si="38"/>
        <v>0</v>
      </c>
      <c r="BU151" s="692"/>
      <c r="BV151" s="692"/>
      <c r="BW151" s="692"/>
      <c r="BX151" s="692">
        <v>2</v>
      </c>
      <c r="BY151" s="692"/>
      <c r="BZ151" s="692"/>
      <c r="CA151" s="692"/>
      <c r="CB151" s="692">
        <v>1</v>
      </c>
      <c r="CC151" s="692"/>
      <c r="CD151" s="692">
        <f t="shared" si="39"/>
        <v>4</v>
      </c>
      <c r="CE151" s="692"/>
      <c r="CF151" s="692"/>
      <c r="CG151" s="692"/>
      <c r="CH151" s="692"/>
      <c r="CI151" s="692"/>
      <c r="CJ151" s="692"/>
      <c r="CK151" s="692"/>
      <c r="CL151" s="692"/>
      <c r="CM151" s="692"/>
      <c r="CN151" s="692"/>
      <c r="CO151" s="692"/>
      <c r="CP151" s="692"/>
      <c r="CQ151" s="692"/>
      <c r="CR151" s="692"/>
      <c r="CS151" s="692"/>
      <c r="CT151" s="692"/>
      <c r="CU151" s="692"/>
      <c r="CV151" s="692"/>
      <c r="CW151" s="692"/>
      <c r="CX151" s="694"/>
      <c r="CY151" s="694"/>
      <c r="CZ151" s="694"/>
      <c r="DA151" s="694"/>
      <c r="DB151" s="694"/>
      <c r="DC151" s="694"/>
      <c r="DD151" s="694"/>
      <c r="DE151" s="694"/>
      <c r="DF151" s="694"/>
      <c r="DG151" s="695"/>
      <c r="DH151" s="695"/>
      <c r="DI151" s="695"/>
      <c r="DJ151" s="695"/>
      <c r="DK151" s="695"/>
      <c r="DL151" s="695"/>
      <c r="DM151" s="695"/>
      <c r="DN151" s="695"/>
      <c r="DO151" s="695"/>
      <c r="DP151" s="695"/>
      <c r="DQ151" s="695"/>
      <c r="DR151" s="695"/>
      <c r="DS151" s="694"/>
      <c r="DT151" s="694"/>
      <c r="DU151" s="694"/>
      <c r="DV151" s="694"/>
      <c r="DW151" s="694"/>
      <c r="DX151" s="694"/>
      <c r="DY151" s="694"/>
      <c r="DZ151" s="694"/>
      <c r="EA151" s="694"/>
      <c r="EB151" s="694"/>
      <c r="EC151" s="694"/>
      <c r="ED151" s="694"/>
      <c r="EE151" s="694"/>
      <c r="EF151" s="694"/>
      <c r="EG151" s="694"/>
      <c r="EH151" s="694"/>
      <c r="EI151" s="694"/>
      <c r="EJ151" s="694"/>
      <c r="EK151" s="694"/>
      <c r="EL151" s="694"/>
      <c r="EM151" s="694"/>
      <c r="EN151" s="694"/>
      <c r="EO151" s="694"/>
      <c r="EP151" s="694"/>
      <c r="EQ151" s="694"/>
      <c r="ER151" s="694"/>
      <c r="ES151" s="694"/>
      <c r="ET151" s="694"/>
      <c r="EU151" s="694"/>
      <c r="EV151" s="694"/>
      <c r="EW151" s="694"/>
      <c r="EX151" s="694"/>
      <c r="EY151" s="694"/>
      <c r="EZ151" s="694"/>
      <c r="FA151" s="694"/>
      <c r="FB151" s="694"/>
      <c r="FC151" s="694"/>
      <c r="FD151" s="694"/>
      <c r="FE151" s="694"/>
      <c r="FF151" s="694"/>
      <c r="FG151" s="694"/>
      <c r="FH151" s="694"/>
      <c r="FI151" s="694"/>
      <c r="FJ151" s="694"/>
      <c r="FK151" s="694"/>
      <c r="FL151" s="694"/>
      <c r="FM151" s="694"/>
      <c r="FN151" s="694"/>
      <c r="FO151" s="694"/>
      <c r="FP151" s="694"/>
      <c r="FQ151" s="697"/>
    </row>
    <row r="152" spans="1:173" s="696" customFormat="1">
      <c r="A152" s="690"/>
      <c r="B152" s="690"/>
      <c r="C152" s="691" t="s">
        <v>3637</v>
      </c>
      <c r="D152" s="691"/>
      <c r="E152" s="692">
        <v>33</v>
      </c>
      <c r="F152" s="692"/>
      <c r="G152" s="692"/>
      <c r="H152" s="692"/>
      <c r="I152" s="692"/>
      <c r="J152" s="692"/>
      <c r="K152" s="692"/>
      <c r="L152" s="692"/>
      <c r="M152" s="692"/>
      <c r="N152" s="692"/>
      <c r="O152" s="692">
        <f t="shared" si="40"/>
        <v>33</v>
      </c>
      <c r="P152" s="692"/>
      <c r="Q152" s="692"/>
      <c r="R152" s="693"/>
      <c r="S152" s="693"/>
      <c r="T152" s="693"/>
      <c r="U152" s="692" t="s">
        <v>2990</v>
      </c>
      <c r="V152" s="692"/>
      <c r="W152" s="692"/>
      <c r="X152" s="692"/>
      <c r="Y152" s="692"/>
      <c r="Z152" s="692"/>
      <c r="AA152" s="692"/>
      <c r="AB152" s="692"/>
      <c r="AC152" s="692"/>
      <c r="AD152" s="692"/>
      <c r="AE152" s="725"/>
      <c r="AF152" s="957"/>
      <c r="AG152" s="692"/>
      <c r="AH152" s="692"/>
      <c r="AI152" s="692"/>
      <c r="AJ152" s="692"/>
      <c r="AK152" s="692"/>
      <c r="AL152" s="692"/>
      <c r="AM152" s="692"/>
      <c r="AN152" s="692"/>
      <c r="AO152" s="692"/>
      <c r="AP152" s="692"/>
      <c r="AQ152" s="692"/>
      <c r="AR152" s="692"/>
      <c r="AS152" s="692"/>
      <c r="AT152" s="692"/>
      <c r="AU152" s="692"/>
      <c r="AV152" s="692"/>
      <c r="AW152" s="692">
        <f t="shared" si="30"/>
        <v>1</v>
      </c>
      <c r="AX152" s="692"/>
      <c r="AY152" s="692"/>
      <c r="AZ152" s="516">
        <f t="shared" si="31"/>
        <v>2</v>
      </c>
      <c r="BA152" s="516">
        <f t="shared" si="32"/>
        <v>0</v>
      </c>
      <c r="BB152" s="516"/>
      <c r="BC152" s="516"/>
      <c r="BD152" s="516">
        <f t="shared" si="33"/>
        <v>1</v>
      </c>
      <c r="BE152" s="516">
        <f t="shared" si="34"/>
        <v>0</v>
      </c>
      <c r="BF152" s="692"/>
      <c r="BG152" s="692"/>
      <c r="BH152" s="692"/>
      <c r="BI152" s="692">
        <f t="shared" si="41"/>
        <v>5</v>
      </c>
      <c r="BJ152" s="692"/>
      <c r="BK152" s="692"/>
      <c r="BL152" s="692"/>
      <c r="BM152" s="692"/>
      <c r="BN152" s="692"/>
      <c r="BO152" s="692"/>
      <c r="BP152" s="692"/>
      <c r="BQ152" s="692">
        <f t="shared" si="36"/>
        <v>0</v>
      </c>
      <c r="BR152" s="692"/>
      <c r="BS152" s="692">
        <f t="shared" si="37"/>
        <v>0</v>
      </c>
      <c r="BT152" s="692">
        <f t="shared" si="38"/>
        <v>0</v>
      </c>
      <c r="BU152" s="692"/>
      <c r="BV152" s="692"/>
      <c r="BW152" s="692"/>
      <c r="BX152" s="692">
        <v>1</v>
      </c>
      <c r="BY152" s="692"/>
      <c r="BZ152" s="692"/>
      <c r="CA152" s="692"/>
      <c r="CB152" s="692">
        <v>1</v>
      </c>
      <c r="CC152" s="692"/>
      <c r="CD152" s="692">
        <f t="shared" si="39"/>
        <v>4</v>
      </c>
      <c r="CE152" s="692"/>
      <c r="CF152" s="692"/>
      <c r="CG152" s="692"/>
      <c r="CH152" s="692"/>
      <c r="CI152" s="692"/>
      <c r="CJ152" s="692"/>
      <c r="CK152" s="692"/>
      <c r="CL152" s="692"/>
      <c r="CM152" s="692"/>
      <c r="CN152" s="692"/>
      <c r="CO152" s="692"/>
      <c r="CP152" s="692"/>
      <c r="CQ152" s="692"/>
      <c r="CR152" s="692"/>
      <c r="CS152" s="692"/>
      <c r="CT152" s="692"/>
      <c r="CU152" s="692"/>
      <c r="CV152" s="692"/>
      <c r="CW152" s="692"/>
      <c r="CX152" s="694"/>
      <c r="CY152" s="694"/>
      <c r="CZ152" s="694"/>
      <c r="DA152" s="694"/>
      <c r="DB152" s="694"/>
      <c r="DC152" s="694"/>
      <c r="DD152" s="694"/>
      <c r="DE152" s="694"/>
      <c r="DF152" s="694"/>
      <c r="DG152" s="695"/>
      <c r="DH152" s="695"/>
      <c r="DI152" s="695"/>
      <c r="DJ152" s="695"/>
      <c r="DK152" s="695"/>
      <c r="DL152" s="695"/>
      <c r="DM152" s="695"/>
      <c r="DN152" s="695"/>
      <c r="DO152" s="695"/>
      <c r="DP152" s="695"/>
      <c r="DQ152" s="695"/>
      <c r="DR152" s="695"/>
      <c r="DS152" s="694"/>
      <c r="DT152" s="694"/>
      <c r="DU152" s="694"/>
      <c r="DV152" s="694"/>
      <c r="DW152" s="694"/>
      <c r="DX152" s="694"/>
      <c r="DY152" s="694"/>
      <c r="DZ152" s="694"/>
      <c r="EA152" s="694"/>
      <c r="EB152" s="694"/>
      <c r="EC152" s="694"/>
      <c r="ED152" s="694"/>
      <c r="EE152" s="694"/>
      <c r="EF152" s="694"/>
      <c r="EG152" s="694"/>
      <c r="EH152" s="694"/>
      <c r="EI152" s="694"/>
      <c r="EJ152" s="694"/>
      <c r="EK152" s="694"/>
      <c r="EL152" s="694"/>
      <c r="EM152" s="694"/>
      <c r="EN152" s="694"/>
      <c r="EO152" s="694"/>
      <c r="EP152" s="694"/>
      <c r="EQ152" s="694"/>
      <c r="ER152" s="694"/>
      <c r="ES152" s="694"/>
      <c r="ET152" s="694"/>
      <c r="EU152" s="694"/>
      <c r="EV152" s="694"/>
      <c r="EW152" s="694"/>
      <c r="EX152" s="694"/>
      <c r="EY152" s="694"/>
      <c r="EZ152" s="694"/>
      <c r="FA152" s="694"/>
      <c r="FB152" s="694"/>
      <c r="FC152" s="694"/>
      <c r="FD152" s="694"/>
      <c r="FE152" s="694"/>
      <c r="FF152" s="694"/>
      <c r="FG152" s="694"/>
      <c r="FH152" s="694"/>
      <c r="FI152" s="694"/>
      <c r="FJ152" s="694"/>
      <c r="FK152" s="694"/>
      <c r="FL152" s="694"/>
      <c r="FM152" s="694"/>
      <c r="FN152" s="694"/>
      <c r="FO152" s="694"/>
      <c r="FP152" s="694"/>
      <c r="FQ152" s="697"/>
    </row>
    <row r="153" spans="1:173" s="696" customFormat="1">
      <c r="A153" s="690"/>
      <c r="B153" s="690"/>
      <c r="C153" s="691"/>
      <c r="D153" s="691"/>
      <c r="E153" s="692"/>
      <c r="F153" s="692"/>
      <c r="G153" s="692"/>
      <c r="H153" s="692"/>
      <c r="I153" s="692"/>
      <c r="J153" s="692"/>
      <c r="K153" s="692"/>
      <c r="L153" s="692"/>
      <c r="M153" s="692"/>
      <c r="N153" s="692"/>
      <c r="O153" s="692"/>
      <c r="P153" s="692">
        <f t="shared" si="29"/>
        <v>0</v>
      </c>
      <c r="Q153" s="692"/>
      <c r="R153" s="693"/>
      <c r="S153" s="693"/>
      <c r="T153" s="693"/>
      <c r="U153" s="692"/>
      <c r="V153" s="692"/>
      <c r="W153" s="692"/>
      <c r="X153" s="692"/>
      <c r="Y153" s="692"/>
      <c r="Z153" s="692"/>
      <c r="AA153" s="692"/>
      <c r="AB153" s="692"/>
      <c r="AC153" s="692"/>
      <c r="AD153" s="692"/>
      <c r="AE153" s="725"/>
      <c r="AF153" s="957"/>
      <c r="AG153" s="692"/>
      <c r="AH153" s="692"/>
      <c r="AI153" s="692"/>
      <c r="AJ153" s="692"/>
      <c r="AK153" s="692"/>
      <c r="AL153" s="692"/>
      <c r="AM153" s="692"/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>
        <f t="shared" si="30"/>
        <v>0</v>
      </c>
      <c r="AX153" s="692"/>
      <c r="AY153" s="692"/>
      <c r="AZ153" s="516"/>
      <c r="BA153" s="516"/>
      <c r="BB153" s="516"/>
      <c r="BC153" s="516"/>
      <c r="BD153" s="516"/>
      <c r="BE153" s="516"/>
      <c r="BF153" s="692"/>
      <c r="BG153" s="692"/>
      <c r="BH153" s="692"/>
      <c r="BI153" s="692"/>
      <c r="BJ153" s="692">
        <f t="shared" si="35"/>
        <v>0</v>
      </c>
      <c r="BK153" s="692"/>
      <c r="BL153" s="692"/>
      <c r="BM153" s="692"/>
      <c r="BN153" s="692"/>
      <c r="BO153" s="692"/>
      <c r="BP153" s="692"/>
      <c r="BQ153" s="692">
        <f t="shared" si="36"/>
        <v>0</v>
      </c>
      <c r="BR153" s="692"/>
      <c r="BS153" s="692">
        <f t="shared" si="37"/>
        <v>0</v>
      </c>
      <c r="BT153" s="692">
        <f t="shared" si="38"/>
        <v>0</v>
      </c>
      <c r="BU153" s="692"/>
      <c r="BV153" s="692"/>
      <c r="BW153" s="692"/>
      <c r="BX153" s="692"/>
      <c r="BY153" s="692"/>
      <c r="BZ153" s="692"/>
      <c r="CA153" s="692"/>
      <c r="CB153" s="692"/>
      <c r="CC153" s="692"/>
      <c r="CD153" s="692">
        <f t="shared" si="39"/>
        <v>0</v>
      </c>
      <c r="CE153" s="692"/>
      <c r="CF153" s="692"/>
      <c r="CG153" s="692"/>
      <c r="CH153" s="692"/>
      <c r="CI153" s="692"/>
      <c r="CJ153" s="692"/>
      <c r="CK153" s="692"/>
      <c r="CL153" s="692"/>
      <c r="CM153" s="692"/>
      <c r="CN153" s="692"/>
      <c r="CO153" s="692"/>
      <c r="CP153" s="692"/>
      <c r="CQ153" s="692"/>
      <c r="CR153" s="692"/>
      <c r="CS153" s="692"/>
      <c r="CT153" s="692"/>
      <c r="CU153" s="692"/>
      <c r="CV153" s="692"/>
      <c r="CW153" s="692"/>
      <c r="CX153" s="694"/>
      <c r="CY153" s="694"/>
      <c r="CZ153" s="694"/>
      <c r="DA153" s="694"/>
      <c r="DB153" s="694"/>
      <c r="DC153" s="694"/>
      <c r="DD153" s="694"/>
      <c r="DE153" s="694"/>
      <c r="DF153" s="694"/>
      <c r="DG153" s="695"/>
      <c r="DH153" s="695"/>
      <c r="DI153" s="695"/>
      <c r="DJ153" s="695"/>
      <c r="DK153" s="695"/>
      <c r="DL153" s="695"/>
      <c r="DM153" s="695"/>
      <c r="DN153" s="695"/>
      <c r="DO153" s="695"/>
      <c r="DP153" s="695"/>
      <c r="DQ153" s="695"/>
      <c r="DR153" s="695"/>
      <c r="DS153" s="694"/>
      <c r="DT153" s="694"/>
      <c r="DU153" s="694"/>
      <c r="DV153" s="694"/>
      <c r="DW153" s="694"/>
      <c r="DX153" s="694"/>
      <c r="DY153" s="694"/>
      <c r="DZ153" s="694"/>
      <c r="EA153" s="694"/>
      <c r="EB153" s="694"/>
      <c r="EC153" s="694"/>
      <c r="ED153" s="694"/>
      <c r="EE153" s="694"/>
      <c r="EF153" s="694"/>
      <c r="EG153" s="694"/>
      <c r="EH153" s="694"/>
      <c r="EI153" s="694"/>
      <c r="EJ153" s="694"/>
      <c r="EK153" s="694"/>
      <c r="EL153" s="694"/>
      <c r="EM153" s="694"/>
      <c r="EN153" s="694"/>
      <c r="EO153" s="694"/>
      <c r="EP153" s="694"/>
      <c r="EQ153" s="694"/>
      <c r="ER153" s="694"/>
      <c r="ES153" s="694"/>
      <c r="ET153" s="694"/>
      <c r="EU153" s="694"/>
      <c r="EV153" s="694"/>
      <c r="EW153" s="694"/>
      <c r="EX153" s="694"/>
      <c r="EY153" s="694"/>
      <c r="EZ153" s="694"/>
      <c r="FA153" s="694"/>
      <c r="FB153" s="694"/>
      <c r="FC153" s="694"/>
      <c r="FD153" s="694"/>
      <c r="FE153" s="694"/>
      <c r="FF153" s="694"/>
      <c r="FG153" s="694"/>
      <c r="FH153" s="694"/>
      <c r="FI153" s="694"/>
      <c r="FJ153" s="694"/>
      <c r="FK153" s="694"/>
      <c r="FL153" s="694"/>
      <c r="FM153" s="694"/>
      <c r="FN153" s="694"/>
      <c r="FO153" s="694"/>
      <c r="FP153" s="694"/>
      <c r="FQ153" s="697"/>
    </row>
    <row r="154" spans="1:173" s="696" customFormat="1">
      <c r="A154" s="690"/>
      <c r="B154" s="690"/>
      <c r="C154" s="691"/>
      <c r="D154" s="699" t="s">
        <v>3692</v>
      </c>
      <c r="E154" s="692"/>
      <c r="F154" s="692"/>
      <c r="G154" s="692"/>
      <c r="H154" s="692"/>
      <c r="I154" s="692"/>
      <c r="J154" s="692"/>
      <c r="K154" s="692"/>
      <c r="L154" s="692"/>
      <c r="M154" s="692"/>
      <c r="N154" s="692"/>
      <c r="O154" s="692"/>
      <c r="P154" s="692">
        <f t="shared" si="29"/>
        <v>0</v>
      </c>
      <c r="Q154" s="692"/>
      <c r="R154" s="693"/>
      <c r="S154" s="693"/>
      <c r="T154" s="693"/>
      <c r="U154" s="692"/>
      <c r="V154" s="692"/>
      <c r="W154" s="692"/>
      <c r="X154" s="692"/>
      <c r="Y154" s="692"/>
      <c r="Z154" s="692"/>
      <c r="AA154" s="692"/>
      <c r="AB154" s="692"/>
      <c r="AC154" s="692"/>
      <c r="AD154" s="692"/>
      <c r="AE154" s="725"/>
      <c r="AF154" s="957"/>
      <c r="AG154" s="692"/>
      <c r="AH154" s="692"/>
      <c r="AI154" s="692"/>
      <c r="AJ154" s="692"/>
      <c r="AK154" s="692"/>
      <c r="AL154" s="692"/>
      <c r="AM154" s="692"/>
      <c r="AN154" s="692"/>
      <c r="AO154" s="692"/>
      <c r="AP154" s="692"/>
      <c r="AQ154" s="692"/>
      <c r="AR154" s="692"/>
      <c r="AS154" s="692"/>
      <c r="AT154" s="692"/>
      <c r="AU154" s="692"/>
      <c r="AV154" s="692"/>
      <c r="AW154" s="692">
        <f t="shared" si="30"/>
        <v>0</v>
      </c>
      <c r="AX154" s="692"/>
      <c r="AY154" s="692"/>
      <c r="AZ154" s="516"/>
      <c r="BA154" s="516"/>
      <c r="BB154" s="516"/>
      <c r="BC154" s="516"/>
      <c r="BD154" s="516"/>
      <c r="BE154" s="516"/>
      <c r="BF154" s="692"/>
      <c r="BG154" s="692"/>
      <c r="BH154" s="692"/>
      <c r="BI154" s="692"/>
      <c r="BJ154" s="692">
        <f t="shared" si="35"/>
        <v>0</v>
      </c>
      <c r="BK154" s="692"/>
      <c r="BL154" s="692"/>
      <c r="BM154" s="692"/>
      <c r="BN154" s="692"/>
      <c r="BO154" s="692"/>
      <c r="BP154" s="692"/>
      <c r="BQ154" s="692">
        <f t="shared" si="36"/>
        <v>0</v>
      </c>
      <c r="BR154" s="692"/>
      <c r="BS154" s="692">
        <f t="shared" si="37"/>
        <v>0</v>
      </c>
      <c r="BT154" s="692">
        <f t="shared" si="38"/>
        <v>0</v>
      </c>
      <c r="BU154" s="692"/>
      <c r="BV154" s="692"/>
      <c r="BW154" s="692"/>
      <c r="BX154" s="692"/>
      <c r="BY154" s="692"/>
      <c r="BZ154" s="692"/>
      <c r="CA154" s="692"/>
      <c r="CB154" s="692"/>
      <c r="CC154" s="692"/>
      <c r="CD154" s="692">
        <f t="shared" si="39"/>
        <v>0</v>
      </c>
      <c r="CE154" s="692"/>
      <c r="CF154" s="692"/>
      <c r="CG154" s="692"/>
      <c r="CH154" s="692"/>
      <c r="CI154" s="692"/>
      <c r="CJ154" s="692"/>
      <c r="CK154" s="692"/>
      <c r="CL154" s="692"/>
      <c r="CM154" s="692"/>
      <c r="CN154" s="692"/>
      <c r="CO154" s="692"/>
      <c r="CP154" s="692"/>
      <c r="CQ154" s="692"/>
      <c r="CR154" s="692"/>
      <c r="CS154" s="692"/>
      <c r="CT154" s="692"/>
      <c r="CU154" s="692"/>
      <c r="CV154" s="692"/>
      <c r="CW154" s="692"/>
      <c r="CX154" s="694"/>
      <c r="CY154" s="694"/>
      <c r="CZ154" s="694"/>
      <c r="DA154" s="694"/>
      <c r="DB154" s="694"/>
      <c r="DC154" s="694"/>
      <c r="DD154" s="694"/>
      <c r="DE154" s="694"/>
      <c r="DF154" s="694"/>
      <c r="DG154" s="695"/>
      <c r="DH154" s="695"/>
      <c r="DI154" s="695"/>
      <c r="DJ154" s="695"/>
      <c r="DK154" s="695"/>
      <c r="DL154" s="695"/>
      <c r="DM154" s="695"/>
      <c r="DN154" s="695"/>
      <c r="DO154" s="695"/>
      <c r="DP154" s="695"/>
      <c r="DQ154" s="695"/>
      <c r="DR154" s="695"/>
      <c r="DS154" s="694"/>
      <c r="DT154" s="694"/>
      <c r="DU154" s="694"/>
      <c r="DV154" s="694"/>
      <c r="DW154" s="694"/>
      <c r="DX154" s="694"/>
      <c r="DY154" s="694"/>
      <c r="DZ154" s="694"/>
      <c r="EA154" s="694"/>
      <c r="EB154" s="694"/>
      <c r="EC154" s="694"/>
      <c r="ED154" s="694"/>
      <c r="EE154" s="694"/>
      <c r="EF154" s="694"/>
      <c r="EG154" s="694"/>
      <c r="EH154" s="694"/>
      <c r="EI154" s="694"/>
      <c r="EJ154" s="694"/>
      <c r="EK154" s="694"/>
      <c r="EL154" s="694"/>
      <c r="EM154" s="694"/>
      <c r="EN154" s="694"/>
      <c r="EO154" s="694"/>
      <c r="EP154" s="694"/>
      <c r="EQ154" s="694"/>
      <c r="ER154" s="694"/>
      <c r="ES154" s="694"/>
      <c r="ET154" s="694"/>
      <c r="EU154" s="694"/>
      <c r="EV154" s="694"/>
      <c r="EW154" s="694"/>
      <c r="EX154" s="694"/>
      <c r="EY154" s="694"/>
      <c r="EZ154" s="694"/>
      <c r="FA154" s="694"/>
      <c r="FB154" s="694"/>
      <c r="FC154" s="694"/>
      <c r="FD154" s="694"/>
      <c r="FE154" s="694"/>
      <c r="FF154" s="694"/>
      <c r="FG154" s="694"/>
      <c r="FH154" s="694"/>
      <c r="FI154" s="694"/>
      <c r="FJ154" s="694"/>
      <c r="FK154" s="694"/>
      <c r="FL154" s="694"/>
      <c r="FM154" s="694"/>
      <c r="FN154" s="694"/>
      <c r="FO154" s="694"/>
      <c r="FP154" s="694"/>
      <c r="FQ154" s="697"/>
    </row>
    <row r="155" spans="1:173" s="696" customFormat="1">
      <c r="A155" s="690"/>
      <c r="B155" s="690"/>
      <c r="C155" s="691"/>
      <c r="D155" s="691" t="s">
        <v>3006</v>
      </c>
      <c r="E155" s="692">
        <v>35</v>
      </c>
      <c r="F155" s="692"/>
      <c r="G155" s="692"/>
      <c r="H155" s="692"/>
      <c r="I155" s="692"/>
      <c r="J155" s="692"/>
      <c r="K155" s="692"/>
      <c r="L155" s="692"/>
      <c r="M155" s="692"/>
      <c r="N155" s="692"/>
      <c r="O155" s="692"/>
      <c r="P155" s="692">
        <f>E155*2</f>
        <v>70</v>
      </c>
      <c r="Q155" s="692"/>
      <c r="R155" s="693"/>
      <c r="S155" s="693"/>
      <c r="T155" s="693"/>
      <c r="U155" s="692" t="s">
        <v>3718</v>
      </c>
      <c r="V155" s="692"/>
      <c r="W155" s="692"/>
      <c r="X155" s="692"/>
      <c r="Y155" s="692"/>
      <c r="Z155" s="692"/>
      <c r="AA155" s="692"/>
      <c r="AB155" s="692"/>
      <c r="AC155" s="692"/>
      <c r="AD155" s="692"/>
      <c r="AE155" s="725"/>
      <c r="AF155" s="957"/>
      <c r="AG155" s="692"/>
      <c r="AH155" s="692"/>
      <c r="AI155" s="692"/>
      <c r="AJ155" s="692"/>
      <c r="AK155" s="692"/>
      <c r="AL155" s="692"/>
      <c r="AM155" s="692"/>
      <c r="AN155" s="692"/>
      <c r="AO155" s="692"/>
      <c r="AP155" s="692"/>
      <c r="AQ155" s="692"/>
      <c r="AR155" s="692"/>
      <c r="AS155" s="692"/>
      <c r="AT155" s="692"/>
      <c r="AU155" s="692"/>
      <c r="AV155" s="692"/>
      <c r="AW155" s="692">
        <f t="shared" si="30"/>
        <v>0</v>
      </c>
      <c r="AX155" s="692"/>
      <c r="AY155" s="692"/>
      <c r="AZ155" s="516">
        <f t="shared" si="31"/>
        <v>0</v>
      </c>
      <c r="BA155" s="516">
        <f t="shared" si="32"/>
        <v>0</v>
      </c>
      <c r="BB155" s="516"/>
      <c r="BC155" s="516"/>
      <c r="BD155" s="516">
        <f t="shared" si="33"/>
        <v>0</v>
      </c>
      <c r="BE155" s="516">
        <f t="shared" si="34"/>
        <v>3</v>
      </c>
      <c r="BF155" s="692"/>
      <c r="BG155" s="692"/>
      <c r="BH155" s="692"/>
      <c r="BI155" s="692"/>
      <c r="BJ155" s="692">
        <f t="shared" si="35"/>
        <v>0</v>
      </c>
      <c r="BK155" s="692"/>
      <c r="BL155" s="692"/>
      <c r="BM155" s="692"/>
      <c r="BN155" s="692"/>
      <c r="BO155" s="692"/>
      <c r="BP155" s="692"/>
      <c r="BQ155" s="692">
        <f t="shared" si="36"/>
        <v>0</v>
      </c>
      <c r="BR155" s="692"/>
      <c r="BS155" s="692">
        <f t="shared" si="37"/>
        <v>0</v>
      </c>
      <c r="BT155" s="692">
        <f t="shared" si="38"/>
        <v>0</v>
      </c>
      <c r="BU155" s="692"/>
      <c r="BV155" s="692"/>
      <c r="BW155" s="692"/>
      <c r="BX155" s="692"/>
      <c r="BY155" s="692">
        <v>3</v>
      </c>
      <c r="BZ155" s="692"/>
      <c r="CA155" s="692"/>
      <c r="CB155" s="692"/>
      <c r="CC155" s="692"/>
      <c r="CD155" s="692">
        <f t="shared" si="39"/>
        <v>0</v>
      </c>
      <c r="CE155" s="692"/>
      <c r="CF155" s="692">
        <v>6</v>
      </c>
      <c r="CG155" s="692"/>
      <c r="CH155" s="692">
        <v>12</v>
      </c>
      <c r="CI155" s="692"/>
      <c r="CJ155" s="692">
        <v>12</v>
      </c>
      <c r="CK155" s="692"/>
      <c r="CL155" s="692"/>
      <c r="CM155" s="692"/>
      <c r="CN155" s="692"/>
      <c r="CO155" s="692">
        <v>12</v>
      </c>
      <c r="CP155" s="692"/>
      <c r="CQ155" s="692"/>
      <c r="CR155" s="692"/>
      <c r="CS155" s="692"/>
      <c r="CT155" s="692"/>
      <c r="CU155" s="692"/>
      <c r="CV155" s="692"/>
      <c r="CW155" s="692">
        <v>2</v>
      </c>
      <c r="CX155" s="694"/>
      <c r="CY155" s="694"/>
      <c r="CZ155" s="694"/>
      <c r="DA155" s="694"/>
      <c r="DB155" s="694"/>
      <c r="DC155" s="694"/>
      <c r="DD155" s="694"/>
      <c r="DE155" s="694"/>
      <c r="DF155" s="694"/>
      <c r="DG155" s="695"/>
      <c r="DH155" s="695"/>
      <c r="DI155" s="695"/>
      <c r="DJ155" s="695"/>
      <c r="DK155" s="695"/>
      <c r="DL155" s="695"/>
      <c r="DM155" s="695"/>
      <c r="DN155" s="695"/>
      <c r="DO155" s="695"/>
      <c r="DP155" s="695"/>
      <c r="DQ155" s="695"/>
      <c r="DR155" s="695"/>
      <c r="DS155" s="694"/>
      <c r="DT155" s="694"/>
      <c r="DU155" s="694"/>
      <c r="DV155" s="694"/>
      <c r="DW155" s="694"/>
      <c r="DX155" s="694"/>
      <c r="DY155" s="694"/>
      <c r="DZ155" s="694"/>
      <c r="EA155" s="694"/>
      <c r="EB155" s="694"/>
      <c r="EC155" s="694"/>
      <c r="ED155" s="694"/>
      <c r="EE155" s="694"/>
      <c r="EF155" s="694"/>
      <c r="EG155" s="694"/>
      <c r="EH155" s="694"/>
      <c r="EI155" s="694"/>
      <c r="EJ155" s="694"/>
      <c r="EK155" s="694"/>
      <c r="EL155" s="694"/>
      <c r="EM155" s="694"/>
      <c r="EN155" s="694"/>
      <c r="EO155" s="694"/>
      <c r="EP155" s="694"/>
      <c r="EQ155" s="694"/>
      <c r="ER155" s="694"/>
      <c r="ES155" s="694"/>
      <c r="ET155" s="694"/>
      <c r="EU155" s="694"/>
      <c r="EV155" s="694"/>
      <c r="EW155" s="694"/>
      <c r="EX155" s="694"/>
      <c r="EY155" s="694"/>
      <c r="EZ155" s="694"/>
      <c r="FA155" s="694"/>
      <c r="FB155" s="694"/>
      <c r="FC155" s="694"/>
      <c r="FD155" s="694"/>
      <c r="FE155" s="694"/>
      <c r="FF155" s="694"/>
      <c r="FG155" s="694"/>
      <c r="FH155" s="694"/>
      <c r="FI155" s="694"/>
      <c r="FJ155" s="694"/>
      <c r="FK155" s="694"/>
      <c r="FL155" s="694"/>
      <c r="FM155" s="694"/>
      <c r="FN155" s="694"/>
      <c r="FO155" s="694"/>
      <c r="FP155" s="694"/>
      <c r="FQ155" s="697"/>
    </row>
    <row r="156" spans="1:173" s="696" customFormat="1">
      <c r="A156" s="690"/>
      <c r="B156" s="690"/>
      <c r="C156" s="691" t="s">
        <v>3632</v>
      </c>
      <c r="D156" s="691"/>
      <c r="E156" s="692">
        <v>14.6</v>
      </c>
      <c r="F156" s="692"/>
      <c r="G156" s="692"/>
      <c r="H156" s="692"/>
      <c r="I156" s="692"/>
      <c r="J156" s="692"/>
      <c r="K156" s="692"/>
      <c r="L156" s="692"/>
      <c r="M156" s="692"/>
      <c r="N156" s="692"/>
      <c r="O156" s="692"/>
      <c r="P156" s="692">
        <f t="shared" si="29"/>
        <v>14.6</v>
      </c>
      <c r="Q156" s="692"/>
      <c r="R156" s="693"/>
      <c r="S156" s="693"/>
      <c r="T156" s="693"/>
      <c r="U156" s="692" t="s">
        <v>1631</v>
      </c>
      <c r="V156" s="692"/>
      <c r="W156" s="692"/>
      <c r="X156" s="692"/>
      <c r="Y156" s="692"/>
      <c r="Z156" s="692"/>
      <c r="AA156" s="692"/>
      <c r="AB156" s="692"/>
      <c r="AC156" s="692"/>
      <c r="AD156" s="692"/>
      <c r="AE156" s="725"/>
      <c r="AF156" s="957"/>
      <c r="AG156" s="692"/>
      <c r="AH156" s="692"/>
      <c r="AI156" s="692"/>
      <c r="AJ156" s="692"/>
      <c r="AK156" s="692"/>
      <c r="AL156" s="692"/>
      <c r="AM156" s="692"/>
      <c r="AN156" s="692"/>
      <c r="AO156" s="692"/>
      <c r="AP156" s="692"/>
      <c r="AQ156" s="692"/>
      <c r="AR156" s="692"/>
      <c r="AS156" s="692"/>
      <c r="AT156" s="692"/>
      <c r="AU156" s="692"/>
      <c r="AV156" s="692"/>
      <c r="AW156" s="692">
        <f t="shared" si="30"/>
        <v>1</v>
      </c>
      <c r="AX156" s="692"/>
      <c r="AY156" s="692"/>
      <c r="AZ156" s="516">
        <f t="shared" si="31"/>
        <v>2</v>
      </c>
      <c r="BA156" s="516">
        <f t="shared" si="32"/>
        <v>0</v>
      </c>
      <c r="BB156" s="516"/>
      <c r="BC156" s="516"/>
      <c r="BD156" s="516">
        <f t="shared" si="33"/>
        <v>1</v>
      </c>
      <c r="BE156" s="516">
        <f t="shared" si="34"/>
        <v>0</v>
      </c>
      <c r="BF156" s="692"/>
      <c r="BG156" s="692"/>
      <c r="BH156" s="692"/>
      <c r="BI156" s="692"/>
      <c r="BJ156" s="692">
        <f t="shared" si="35"/>
        <v>5</v>
      </c>
      <c r="BK156" s="692"/>
      <c r="BL156" s="692"/>
      <c r="BM156" s="692"/>
      <c r="BN156" s="692"/>
      <c r="BO156" s="692"/>
      <c r="BP156" s="692"/>
      <c r="BQ156" s="692">
        <f t="shared" si="36"/>
        <v>0</v>
      </c>
      <c r="BR156" s="692"/>
      <c r="BS156" s="692">
        <f t="shared" si="37"/>
        <v>0</v>
      </c>
      <c r="BT156" s="692">
        <f t="shared" si="38"/>
        <v>1</v>
      </c>
      <c r="BU156" s="692"/>
      <c r="BV156" s="692"/>
      <c r="BW156" s="692"/>
      <c r="BX156" s="692"/>
      <c r="BY156" s="692"/>
      <c r="BZ156" s="692"/>
      <c r="CA156" s="692"/>
      <c r="CB156" s="692">
        <v>1</v>
      </c>
      <c r="CC156" s="692"/>
      <c r="CD156" s="692">
        <f t="shared" si="39"/>
        <v>4</v>
      </c>
      <c r="CE156" s="692"/>
      <c r="CF156" s="692"/>
      <c r="CG156" s="692"/>
      <c r="CH156" s="692"/>
      <c r="CI156" s="692"/>
      <c r="CJ156" s="692"/>
      <c r="CK156" s="692"/>
      <c r="CL156" s="692"/>
      <c r="CM156" s="692"/>
      <c r="CN156" s="692"/>
      <c r="CO156" s="692"/>
      <c r="CP156" s="692"/>
      <c r="CQ156" s="692"/>
      <c r="CR156" s="692"/>
      <c r="CS156" s="692"/>
      <c r="CT156" s="692"/>
      <c r="CU156" s="692"/>
      <c r="CV156" s="692"/>
      <c r="CW156" s="692"/>
      <c r="CX156" s="694"/>
      <c r="CY156" s="694"/>
      <c r="CZ156" s="694"/>
      <c r="DA156" s="694"/>
      <c r="DB156" s="694"/>
      <c r="DC156" s="694"/>
      <c r="DD156" s="694"/>
      <c r="DE156" s="694"/>
      <c r="DF156" s="694"/>
      <c r="DG156" s="695"/>
      <c r="DH156" s="695"/>
      <c r="DI156" s="695"/>
      <c r="DJ156" s="695"/>
      <c r="DK156" s="695"/>
      <c r="DL156" s="695"/>
      <c r="DM156" s="695"/>
      <c r="DN156" s="695"/>
      <c r="DO156" s="695"/>
      <c r="DP156" s="695"/>
      <c r="DQ156" s="695"/>
      <c r="DR156" s="695"/>
      <c r="DS156" s="694"/>
      <c r="DT156" s="694"/>
      <c r="DU156" s="694"/>
      <c r="DV156" s="694"/>
      <c r="DW156" s="694"/>
      <c r="DX156" s="694"/>
      <c r="DY156" s="694"/>
      <c r="DZ156" s="694"/>
      <c r="EA156" s="694"/>
      <c r="EB156" s="694"/>
      <c r="EC156" s="694"/>
      <c r="ED156" s="694"/>
      <c r="EE156" s="694"/>
      <c r="EF156" s="694"/>
      <c r="EG156" s="694"/>
      <c r="EH156" s="694"/>
      <c r="EI156" s="694"/>
      <c r="EJ156" s="694"/>
      <c r="EK156" s="694"/>
      <c r="EL156" s="694"/>
      <c r="EM156" s="694"/>
      <c r="EN156" s="694"/>
      <c r="EO156" s="694"/>
      <c r="EP156" s="694"/>
      <c r="EQ156" s="694"/>
      <c r="ER156" s="694"/>
      <c r="ES156" s="694"/>
      <c r="ET156" s="694"/>
      <c r="EU156" s="694"/>
      <c r="EV156" s="694"/>
      <c r="EW156" s="694"/>
      <c r="EX156" s="694"/>
      <c r="EY156" s="694"/>
      <c r="EZ156" s="694"/>
      <c r="FA156" s="694"/>
      <c r="FB156" s="694"/>
      <c r="FC156" s="694"/>
      <c r="FD156" s="694"/>
      <c r="FE156" s="694"/>
      <c r="FF156" s="694"/>
      <c r="FG156" s="694"/>
      <c r="FH156" s="694"/>
      <c r="FI156" s="694"/>
      <c r="FJ156" s="694"/>
      <c r="FK156" s="694"/>
      <c r="FL156" s="694"/>
      <c r="FM156" s="694"/>
      <c r="FN156" s="694"/>
      <c r="FO156" s="694"/>
      <c r="FP156" s="694"/>
      <c r="FQ156" s="697"/>
    </row>
    <row r="157" spans="1:173" s="696" customFormat="1">
      <c r="A157" s="690"/>
      <c r="B157" s="690"/>
      <c r="C157" s="691" t="s">
        <v>3633</v>
      </c>
      <c r="D157" s="691"/>
      <c r="E157" s="692">
        <v>29.6</v>
      </c>
      <c r="F157" s="692"/>
      <c r="G157" s="692"/>
      <c r="H157" s="692"/>
      <c r="I157" s="692"/>
      <c r="J157" s="692"/>
      <c r="K157" s="692"/>
      <c r="L157" s="692"/>
      <c r="M157" s="692"/>
      <c r="N157" s="692"/>
      <c r="O157" s="692"/>
      <c r="P157" s="692">
        <f t="shared" si="29"/>
        <v>29.6</v>
      </c>
      <c r="Q157" s="692"/>
      <c r="R157" s="693"/>
      <c r="S157" s="693"/>
      <c r="T157" s="693"/>
      <c r="U157" s="692" t="s">
        <v>1631</v>
      </c>
      <c r="V157" s="692"/>
      <c r="W157" s="692">
        <v>1</v>
      </c>
      <c r="X157" s="692"/>
      <c r="Y157" s="692"/>
      <c r="Z157" s="692">
        <v>1</v>
      </c>
      <c r="AA157" s="692"/>
      <c r="AB157" s="692"/>
      <c r="AC157" s="692"/>
      <c r="AD157" s="692"/>
      <c r="AE157" s="725"/>
      <c r="AF157" s="957"/>
      <c r="AG157" s="692"/>
      <c r="AH157" s="692"/>
      <c r="AI157" s="692"/>
      <c r="AJ157" s="692"/>
      <c r="AK157" s="692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>
        <f t="shared" si="30"/>
        <v>1</v>
      </c>
      <c r="AX157" s="692"/>
      <c r="AY157" s="692"/>
      <c r="AZ157" s="516">
        <f t="shared" si="31"/>
        <v>2</v>
      </c>
      <c r="BA157" s="516">
        <f t="shared" si="32"/>
        <v>0</v>
      </c>
      <c r="BB157" s="516"/>
      <c r="BC157" s="516"/>
      <c r="BD157" s="516">
        <f t="shared" si="33"/>
        <v>1</v>
      </c>
      <c r="BE157" s="516">
        <f t="shared" si="34"/>
        <v>0</v>
      </c>
      <c r="BF157" s="692"/>
      <c r="BG157" s="692"/>
      <c r="BH157" s="692"/>
      <c r="BI157" s="692"/>
      <c r="BJ157" s="692">
        <f t="shared" si="35"/>
        <v>5</v>
      </c>
      <c r="BK157" s="692"/>
      <c r="BL157" s="692"/>
      <c r="BM157" s="692"/>
      <c r="BN157" s="692"/>
      <c r="BO157" s="692"/>
      <c r="BP157" s="692"/>
      <c r="BQ157" s="692">
        <f t="shared" si="36"/>
        <v>0</v>
      </c>
      <c r="BR157" s="692"/>
      <c r="BS157" s="692">
        <f t="shared" si="37"/>
        <v>0</v>
      </c>
      <c r="BT157" s="692">
        <f t="shared" si="38"/>
        <v>1</v>
      </c>
      <c r="BU157" s="692"/>
      <c r="BV157" s="692"/>
      <c r="BW157" s="692"/>
      <c r="BX157" s="692"/>
      <c r="BY157" s="692"/>
      <c r="BZ157" s="692"/>
      <c r="CA157" s="692"/>
      <c r="CB157" s="692">
        <v>1</v>
      </c>
      <c r="CC157" s="692"/>
      <c r="CD157" s="692">
        <f t="shared" si="39"/>
        <v>4</v>
      </c>
      <c r="CE157" s="692"/>
      <c r="CF157" s="692"/>
      <c r="CG157" s="692"/>
      <c r="CH157" s="692"/>
      <c r="CI157" s="692"/>
      <c r="CJ157" s="692"/>
      <c r="CK157" s="692"/>
      <c r="CL157" s="692"/>
      <c r="CM157" s="692"/>
      <c r="CN157" s="692"/>
      <c r="CO157" s="692"/>
      <c r="CP157" s="692"/>
      <c r="CQ157" s="692"/>
      <c r="CR157" s="692"/>
      <c r="CS157" s="692"/>
      <c r="CT157" s="692"/>
      <c r="CU157" s="692"/>
      <c r="CV157" s="692"/>
      <c r="CW157" s="692"/>
      <c r="CX157" s="694"/>
      <c r="CY157" s="694"/>
      <c r="CZ157" s="694"/>
      <c r="DA157" s="694"/>
      <c r="DB157" s="694"/>
      <c r="DC157" s="694"/>
      <c r="DD157" s="694"/>
      <c r="DE157" s="694"/>
      <c r="DF157" s="694"/>
      <c r="DG157" s="695"/>
      <c r="DH157" s="695"/>
      <c r="DI157" s="695"/>
      <c r="DJ157" s="695"/>
      <c r="DK157" s="695"/>
      <c r="DL157" s="695"/>
      <c r="DM157" s="695"/>
      <c r="DN157" s="695"/>
      <c r="DO157" s="695"/>
      <c r="DP157" s="695"/>
      <c r="DQ157" s="695"/>
      <c r="DR157" s="695"/>
      <c r="DS157" s="694"/>
      <c r="DT157" s="694"/>
      <c r="DU157" s="694"/>
      <c r="DV157" s="694"/>
      <c r="DW157" s="694"/>
      <c r="DX157" s="694"/>
      <c r="DY157" s="694"/>
      <c r="DZ157" s="694"/>
      <c r="EA157" s="694"/>
      <c r="EB157" s="694"/>
      <c r="EC157" s="694"/>
      <c r="ED157" s="694"/>
      <c r="EE157" s="694"/>
      <c r="EF157" s="694"/>
      <c r="EG157" s="694"/>
      <c r="EH157" s="694"/>
      <c r="EI157" s="694"/>
      <c r="EJ157" s="694"/>
      <c r="EK157" s="694"/>
      <c r="EL157" s="694"/>
      <c r="EM157" s="694"/>
      <c r="EN157" s="694"/>
      <c r="EO157" s="694"/>
      <c r="EP157" s="694"/>
      <c r="EQ157" s="694"/>
      <c r="ER157" s="694"/>
      <c r="ES157" s="694"/>
      <c r="ET157" s="694"/>
      <c r="EU157" s="694"/>
      <c r="EV157" s="694"/>
      <c r="EW157" s="694"/>
      <c r="EX157" s="694"/>
      <c r="EY157" s="694"/>
      <c r="EZ157" s="694"/>
      <c r="FA157" s="694"/>
      <c r="FB157" s="694"/>
      <c r="FC157" s="694"/>
      <c r="FD157" s="694"/>
      <c r="FE157" s="694"/>
      <c r="FF157" s="694"/>
      <c r="FG157" s="694"/>
      <c r="FH157" s="694"/>
      <c r="FI157" s="694"/>
      <c r="FJ157" s="694"/>
      <c r="FK157" s="694"/>
      <c r="FL157" s="694"/>
      <c r="FM157" s="694"/>
      <c r="FN157" s="694"/>
      <c r="FO157" s="694"/>
      <c r="FP157" s="694"/>
      <c r="FQ157" s="697"/>
    </row>
    <row r="158" spans="1:173" s="696" customFormat="1">
      <c r="A158" s="690"/>
      <c r="B158" s="690"/>
      <c r="C158" s="691" t="s">
        <v>3634</v>
      </c>
      <c r="D158" s="691"/>
      <c r="E158" s="692">
        <v>19</v>
      </c>
      <c r="F158" s="692"/>
      <c r="G158" s="692"/>
      <c r="H158" s="692"/>
      <c r="I158" s="692"/>
      <c r="J158" s="692"/>
      <c r="K158" s="692"/>
      <c r="L158" s="692"/>
      <c r="M158" s="692"/>
      <c r="N158" s="692"/>
      <c r="O158" s="692"/>
      <c r="P158" s="692">
        <f>E158</f>
        <v>19</v>
      </c>
      <c r="Q158" s="692"/>
      <c r="R158" s="693"/>
      <c r="S158" s="693"/>
      <c r="T158" s="693"/>
      <c r="U158" s="692" t="s">
        <v>3718</v>
      </c>
      <c r="V158" s="692"/>
      <c r="W158" s="692">
        <v>2</v>
      </c>
      <c r="X158" s="692"/>
      <c r="Y158" s="692"/>
      <c r="Z158" s="692"/>
      <c r="AA158" s="692"/>
      <c r="AB158" s="692"/>
      <c r="AC158" s="692"/>
      <c r="AD158" s="692"/>
      <c r="AE158" s="725">
        <v>1</v>
      </c>
      <c r="AF158" s="957"/>
      <c r="AG158" s="692"/>
      <c r="AH158" s="692"/>
      <c r="AI158" s="692"/>
      <c r="AJ158" s="692"/>
      <c r="AK158" s="692"/>
      <c r="AL158" s="692"/>
      <c r="AM158" s="692"/>
      <c r="AN158" s="692"/>
      <c r="AO158" s="692"/>
      <c r="AP158" s="692"/>
      <c r="AQ158" s="692"/>
      <c r="AR158" s="692"/>
      <c r="AS158" s="692"/>
      <c r="AT158" s="692"/>
      <c r="AU158" s="692"/>
      <c r="AV158" s="692"/>
      <c r="AW158" s="692">
        <f>CB158</f>
        <v>1</v>
      </c>
      <c r="AX158" s="692"/>
      <c r="AY158" s="692"/>
      <c r="AZ158" s="516">
        <f>IF(C158&lt;&gt;0,AW158+CB158+CC158,)</f>
        <v>3</v>
      </c>
      <c r="BA158" s="516">
        <f>IF(D158&lt;&gt;0,AW158+CB158+CC158,)</f>
        <v>0</v>
      </c>
      <c r="BB158" s="516"/>
      <c r="BC158" s="516"/>
      <c r="BD158" s="516">
        <f>IF(C158&lt;&gt;0,IF(OR(LEN(U158)=1,LEN(U158)=2),1,VALUE(LEFT(U158,1))),)</f>
        <v>3</v>
      </c>
      <c r="BE158" s="516">
        <f>IF(D158&lt;&gt;0,IF(OR(LEN(U158)=1,LEN(U158)=2),1,VALUE(LEFT(U158,1))),)</f>
        <v>0</v>
      </c>
      <c r="BF158" s="692"/>
      <c r="BG158" s="692"/>
      <c r="BH158" s="692"/>
      <c r="BI158" s="692"/>
      <c r="BJ158" s="692">
        <f>CB158*5+AU158*2</f>
        <v>5</v>
      </c>
      <c r="BK158" s="692"/>
      <c r="BL158" s="692"/>
      <c r="BM158" s="692"/>
      <c r="BN158" s="692"/>
      <c r="BO158" s="692"/>
      <c r="BP158" s="692"/>
      <c r="BQ158" s="692">
        <f>IF(U158="G",1,)</f>
        <v>0</v>
      </c>
      <c r="BR158" s="692"/>
      <c r="BS158" s="692">
        <f>IF(O158&lt;&gt;0,IF(U158="I",1,IF(U158="G",2,)),)</f>
        <v>0</v>
      </c>
      <c r="BT158" s="692">
        <f>IF(P158&lt;&gt;0,IF(U158="I",1,IF(U158="G",2,)),)</f>
        <v>0</v>
      </c>
      <c r="BU158" s="692"/>
      <c r="BV158" s="692"/>
      <c r="BW158" s="692"/>
      <c r="BX158" s="692"/>
      <c r="BY158" s="692">
        <v>3</v>
      </c>
      <c r="BZ158" s="692"/>
      <c r="CA158" s="692"/>
      <c r="CB158" s="692">
        <v>1</v>
      </c>
      <c r="CC158" s="692">
        <v>1</v>
      </c>
      <c r="CD158" s="692">
        <f>CB158*4</f>
        <v>4</v>
      </c>
      <c r="CE158" s="692">
        <v>6</v>
      </c>
      <c r="CF158" s="692"/>
      <c r="CG158" s="692">
        <v>6</v>
      </c>
      <c r="CH158" s="692"/>
      <c r="CI158" s="692"/>
      <c r="CJ158" s="692">
        <v>3</v>
      </c>
      <c r="CK158" s="692"/>
      <c r="CL158" s="692"/>
      <c r="CM158" s="692"/>
      <c r="CN158" s="692">
        <v>8</v>
      </c>
      <c r="CO158" s="692"/>
      <c r="CP158" s="692"/>
      <c r="CQ158" s="692">
        <v>1</v>
      </c>
      <c r="CR158" s="692"/>
      <c r="CS158" s="692"/>
      <c r="CT158" s="692"/>
      <c r="CU158" s="692"/>
      <c r="CV158" s="692"/>
      <c r="CW158" s="692"/>
      <c r="CX158" s="694"/>
      <c r="CY158" s="694"/>
      <c r="CZ158" s="694"/>
      <c r="DA158" s="694"/>
      <c r="DB158" s="694"/>
      <c r="DC158" s="694"/>
      <c r="DD158" s="694"/>
      <c r="DE158" s="694"/>
      <c r="DF158" s="694"/>
      <c r="DG158" s="695"/>
      <c r="DH158" s="695"/>
      <c r="DI158" s="695"/>
      <c r="DJ158" s="695"/>
      <c r="DK158" s="695"/>
      <c r="DL158" s="695"/>
      <c r="DM158" s="695"/>
      <c r="DN158" s="695"/>
      <c r="DO158" s="695"/>
      <c r="DP158" s="695"/>
      <c r="DQ158" s="695"/>
      <c r="DR158" s="695"/>
      <c r="DS158" s="694"/>
      <c r="DT158" s="694"/>
      <c r="DU158" s="694"/>
      <c r="DV158" s="694"/>
      <c r="DW158" s="694"/>
      <c r="DX158" s="694"/>
      <c r="DY158" s="694"/>
      <c r="DZ158" s="694"/>
      <c r="EA158" s="694"/>
      <c r="EB158" s="694"/>
      <c r="EC158" s="694"/>
      <c r="ED158" s="694"/>
      <c r="EE158" s="694"/>
      <c r="EF158" s="694"/>
      <c r="EG158" s="694"/>
      <c r="EH158" s="694"/>
      <c r="EI158" s="694"/>
      <c r="EJ158" s="694"/>
      <c r="EK158" s="694"/>
      <c r="EL158" s="694"/>
      <c r="EM158" s="694"/>
      <c r="EN158" s="694"/>
      <c r="EO158" s="694"/>
      <c r="EP158" s="694"/>
      <c r="EQ158" s="694"/>
      <c r="ER158" s="694"/>
      <c r="ES158" s="694"/>
      <c r="ET158" s="694"/>
      <c r="EU158" s="694"/>
      <c r="EV158" s="694"/>
      <c r="EW158" s="694"/>
      <c r="EX158" s="694"/>
      <c r="EY158" s="694"/>
      <c r="EZ158" s="694"/>
      <c r="FA158" s="694"/>
      <c r="FB158" s="694"/>
      <c r="FC158" s="694"/>
      <c r="FD158" s="694"/>
      <c r="FE158" s="694"/>
      <c r="FF158" s="694"/>
      <c r="FG158" s="694"/>
      <c r="FH158" s="694"/>
      <c r="FI158" s="694"/>
      <c r="FJ158" s="694"/>
      <c r="FK158" s="694"/>
      <c r="FL158" s="694"/>
      <c r="FM158" s="694"/>
      <c r="FN158" s="694"/>
      <c r="FO158" s="694"/>
      <c r="FP158" s="694"/>
      <c r="FQ158" s="697"/>
    </row>
    <row r="159" spans="1:173" s="696" customFormat="1">
      <c r="A159" s="690"/>
      <c r="B159" s="690"/>
      <c r="C159" s="691" t="s">
        <v>3635</v>
      </c>
      <c r="D159" s="691"/>
      <c r="E159" s="692">
        <v>26</v>
      </c>
      <c r="F159" s="692"/>
      <c r="G159" s="692"/>
      <c r="H159" s="692"/>
      <c r="I159" s="692"/>
      <c r="J159" s="692"/>
      <c r="K159" s="692"/>
      <c r="L159" s="692"/>
      <c r="M159" s="692"/>
      <c r="N159" s="692"/>
      <c r="O159" s="692"/>
      <c r="P159" s="692">
        <f t="shared" si="29"/>
        <v>26</v>
      </c>
      <c r="Q159" s="692"/>
      <c r="R159" s="693"/>
      <c r="S159" s="693"/>
      <c r="T159" s="693"/>
      <c r="U159" s="692" t="s">
        <v>1631</v>
      </c>
      <c r="V159" s="692"/>
      <c r="W159" s="692">
        <v>1</v>
      </c>
      <c r="X159" s="692"/>
      <c r="Y159" s="692"/>
      <c r="Z159" s="692">
        <v>1</v>
      </c>
      <c r="AA159" s="692"/>
      <c r="AB159" s="692"/>
      <c r="AC159" s="692"/>
      <c r="AD159" s="692"/>
      <c r="AE159" s="725"/>
      <c r="AF159" s="957"/>
      <c r="AG159" s="692"/>
      <c r="AH159" s="692"/>
      <c r="AI159" s="692"/>
      <c r="AJ159" s="692"/>
      <c r="AK159" s="692"/>
      <c r="AL159" s="692"/>
      <c r="AM159" s="692"/>
      <c r="AN159" s="692"/>
      <c r="AO159" s="692"/>
      <c r="AP159" s="692"/>
      <c r="AQ159" s="692"/>
      <c r="AR159" s="692"/>
      <c r="AS159" s="692"/>
      <c r="AT159" s="692"/>
      <c r="AU159" s="692"/>
      <c r="AV159" s="692"/>
      <c r="AW159" s="692">
        <f t="shared" si="30"/>
        <v>1</v>
      </c>
      <c r="AX159" s="692"/>
      <c r="AY159" s="692"/>
      <c r="AZ159" s="516">
        <f t="shared" si="31"/>
        <v>2</v>
      </c>
      <c r="BA159" s="516">
        <f t="shared" si="32"/>
        <v>0</v>
      </c>
      <c r="BB159" s="516"/>
      <c r="BC159" s="516"/>
      <c r="BD159" s="516">
        <f t="shared" si="33"/>
        <v>1</v>
      </c>
      <c r="BE159" s="516">
        <f t="shared" si="34"/>
        <v>0</v>
      </c>
      <c r="BF159" s="692"/>
      <c r="BG159" s="692"/>
      <c r="BH159" s="692"/>
      <c r="BI159" s="692"/>
      <c r="BJ159" s="692">
        <f t="shared" si="35"/>
        <v>5</v>
      </c>
      <c r="BK159" s="692"/>
      <c r="BL159" s="692"/>
      <c r="BM159" s="692"/>
      <c r="BN159" s="692"/>
      <c r="BO159" s="692"/>
      <c r="BP159" s="692"/>
      <c r="BQ159" s="692">
        <f t="shared" si="36"/>
        <v>0</v>
      </c>
      <c r="BR159" s="692"/>
      <c r="BS159" s="692">
        <f t="shared" si="37"/>
        <v>0</v>
      </c>
      <c r="BT159" s="692">
        <f t="shared" si="38"/>
        <v>1</v>
      </c>
      <c r="BU159" s="692"/>
      <c r="BV159" s="692"/>
      <c r="BW159" s="692"/>
      <c r="BX159" s="692"/>
      <c r="BY159" s="692">
        <v>3</v>
      </c>
      <c r="BZ159" s="692"/>
      <c r="CA159" s="692"/>
      <c r="CB159" s="692">
        <v>1</v>
      </c>
      <c r="CC159" s="692"/>
      <c r="CD159" s="692">
        <f t="shared" si="39"/>
        <v>4</v>
      </c>
      <c r="CE159" s="692"/>
      <c r="CF159" s="692"/>
      <c r="CG159" s="692"/>
      <c r="CH159" s="692"/>
      <c r="CI159" s="692"/>
      <c r="CJ159" s="692"/>
      <c r="CK159" s="692"/>
      <c r="CL159" s="692"/>
      <c r="CM159" s="692"/>
      <c r="CN159" s="692"/>
      <c r="CO159" s="692"/>
      <c r="CP159" s="692"/>
      <c r="CQ159" s="692"/>
      <c r="CR159" s="692"/>
      <c r="CS159" s="692"/>
      <c r="CT159" s="692"/>
      <c r="CU159" s="692"/>
      <c r="CV159" s="692"/>
      <c r="CW159" s="692"/>
      <c r="CX159" s="694"/>
      <c r="CY159" s="694"/>
      <c r="CZ159" s="694"/>
      <c r="DA159" s="694"/>
      <c r="DB159" s="694"/>
      <c r="DC159" s="694"/>
      <c r="DD159" s="694"/>
      <c r="DE159" s="694"/>
      <c r="DF159" s="694"/>
      <c r="DG159" s="695"/>
      <c r="DH159" s="695"/>
      <c r="DI159" s="695"/>
      <c r="DJ159" s="695"/>
      <c r="DK159" s="695"/>
      <c r="DL159" s="695"/>
      <c r="DM159" s="695"/>
      <c r="DN159" s="695"/>
      <c r="DO159" s="695"/>
      <c r="DP159" s="695"/>
      <c r="DQ159" s="695"/>
      <c r="DR159" s="695"/>
      <c r="DS159" s="694"/>
      <c r="DT159" s="694"/>
      <c r="DU159" s="694"/>
      <c r="DV159" s="694"/>
      <c r="DW159" s="694"/>
      <c r="DX159" s="694"/>
      <c r="DY159" s="694"/>
      <c r="DZ159" s="694"/>
      <c r="EA159" s="694"/>
      <c r="EB159" s="694"/>
      <c r="EC159" s="694"/>
      <c r="ED159" s="694"/>
      <c r="EE159" s="694"/>
      <c r="EF159" s="694"/>
      <c r="EG159" s="694"/>
      <c r="EH159" s="694"/>
      <c r="EI159" s="694"/>
      <c r="EJ159" s="694"/>
      <c r="EK159" s="694"/>
      <c r="EL159" s="694"/>
      <c r="EM159" s="694"/>
      <c r="EN159" s="694"/>
      <c r="EO159" s="694"/>
      <c r="EP159" s="694"/>
      <c r="EQ159" s="694"/>
      <c r="ER159" s="694"/>
      <c r="ES159" s="694"/>
      <c r="ET159" s="694"/>
      <c r="EU159" s="694"/>
      <c r="EV159" s="694"/>
      <c r="EW159" s="694"/>
      <c r="EX159" s="694"/>
      <c r="EY159" s="694"/>
      <c r="EZ159" s="694"/>
      <c r="FA159" s="694"/>
      <c r="FB159" s="694"/>
      <c r="FC159" s="694"/>
      <c r="FD159" s="694"/>
      <c r="FE159" s="694"/>
      <c r="FF159" s="694"/>
      <c r="FG159" s="694"/>
      <c r="FH159" s="694"/>
      <c r="FI159" s="694"/>
      <c r="FJ159" s="694"/>
      <c r="FK159" s="694"/>
      <c r="FL159" s="694"/>
      <c r="FM159" s="694"/>
      <c r="FN159" s="694"/>
      <c r="FO159" s="694"/>
      <c r="FP159" s="694"/>
      <c r="FQ159" s="697"/>
    </row>
    <row r="160" spans="1:173" s="696" customFormat="1">
      <c r="A160" s="690"/>
      <c r="B160" s="690"/>
      <c r="C160" s="691" t="s">
        <v>3636</v>
      </c>
      <c r="D160" s="691"/>
      <c r="E160" s="692">
        <v>26.2</v>
      </c>
      <c r="F160" s="692"/>
      <c r="G160" s="692"/>
      <c r="H160" s="692"/>
      <c r="I160" s="692"/>
      <c r="J160" s="692"/>
      <c r="K160" s="692"/>
      <c r="L160" s="692"/>
      <c r="M160" s="692"/>
      <c r="N160" s="692"/>
      <c r="O160" s="692"/>
      <c r="P160" s="692">
        <f t="shared" si="29"/>
        <v>26.2</v>
      </c>
      <c r="Q160" s="692"/>
      <c r="R160" s="693"/>
      <c r="S160" s="693"/>
      <c r="T160" s="693"/>
      <c r="U160" s="692" t="s">
        <v>1631</v>
      </c>
      <c r="V160" s="692"/>
      <c r="W160" s="692"/>
      <c r="X160" s="692"/>
      <c r="Y160" s="692"/>
      <c r="Z160" s="692"/>
      <c r="AA160" s="692"/>
      <c r="AB160" s="692"/>
      <c r="AC160" s="692"/>
      <c r="AD160" s="692"/>
      <c r="AE160" s="725"/>
      <c r="AF160" s="957"/>
      <c r="AG160" s="692"/>
      <c r="AH160" s="692"/>
      <c r="AI160" s="692"/>
      <c r="AJ160" s="692"/>
      <c r="AK160" s="692"/>
      <c r="AL160" s="692"/>
      <c r="AM160" s="692"/>
      <c r="AN160" s="692"/>
      <c r="AO160" s="692"/>
      <c r="AP160" s="692"/>
      <c r="AQ160" s="692"/>
      <c r="AR160" s="692"/>
      <c r="AS160" s="692"/>
      <c r="AT160" s="692"/>
      <c r="AU160" s="692">
        <v>1</v>
      </c>
      <c r="AV160" s="692"/>
      <c r="AW160" s="692">
        <f t="shared" si="30"/>
        <v>1</v>
      </c>
      <c r="AX160" s="692"/>
      <c r="AY160" s="692"/>
      <c r="AZ160" s="516">
        <f t="shared" si="31"/>
        <v>2</v>
      </c>
      <c r="BA160" s="516">
        <f t="shared" si="32"/>
        <v>0</v>
      </c>
      <c r="BB160" s="516"/>
      <c r="BC160" s="516"/>
      <c r="BD160" s="516">
        <f t="shared" si="33"/>
        <v>1</v>
      </c>
      <c r="BE160" s="516">
        <f t="shared" si="34"/>
        <v>0</v>
      </c>
      <c r="BF160" s="692"/>
      <c r="BG160" s="692"/>
      <c r="BH160" s="692"/>
      <c r="BI160" s="692"/>
      <c r="BJ160" s="692">
        <f t="shared" si="35"/>
        <v>7</v>
      </c>
      <c r="BK160" s="692"/>
      <c r="BL160" s="692"/>
      <c r="BM160" s="692"/>
      <c r="BN160" s="692"/>
      <c r="BO160" s="692"/>
      <c r="BP160" s="692"/>
      <c r="BQ160" s="692">
        <f t="shared" si="36"/>
        <v>0</v>
      </c>
      <c r="BR160" s="692"/>
      <c r="BS160" s="692">
        <f t="shared" si="37"/>
        <v>0</v>
      </c>
      <c r="BT160" s="692">
        <f t="shared" si="38"/>
        <v>1</v>
      </c>
      <c r="BU160" s="692"/>
      <c r="BV160" s="692"/>
      <c r="BW160" s="692"/>
      <c r="BX160" s="692"/>
      <c r="BY160" s="692"/>
      <c r="BZ160" s="692"/>
      <c r="CA160" s="692"/>
      <c r="CB160" s="692">
        <v>1</v>
      </c>
      <c r="CC160" s="692"/>
      <c r="CD160" s="692">
        <f t="shared" si="39"/>
        <v>4</v>
      </c>
      <c r="CE160" s="692"/>
      <c r="CF160" s="692"/>
      <c r="CG160" s="692"/>
      <c r="CH160" s="692"/>
      <c r="CI160" s="692"/>
      <c r="CJ160" s="692"/>
      <c r="CK160" s="692"/>
      <c r="CL160" s="692"/>
      <c r="CM160" s="692"/>
      <c r="CN160" s="692"/>
      <c r="CO160" s="692"/>
      <c r="CP160" s="692"/>
      <c r="CQ160" s="692"/>
      <c r="CR160" s="692"/>
      <c r="CS160" s="692"/>
      <c r="CT160" s="692"/>
      <c r="CU160" s="692"/>
      <c r="CV160" s="692"/>
      <c r="CW160" s="692"/>
      <c r="CX160" s="694"/>
      <c r="CY160" s="694"/>
      <c r="CZ160" s="694"/>
      <c r="DA160" s="694"/>
      <c r="DB160" s="694"/>
      <c r="DC160" s="694"/>
      <c r="DD160" s="694"/>
      <c r="DE160" s="694"/>
      <c r="DF160" s="694"/>
      <c r="DG160" s="695"/>
      <c r="DH160" s="695"/>
      <c r="DI160" s="695"/>
      <c r="DJ160" s="695"/>
      <c r="DK160" s="695"/>
      <c r="DL160" s="695"/>
      <c r="DM160" s="695"/>
      <c r="DN160" s="695"/>
      <c r="DO160" s="695"/>
      <c r="DP160" s="695"/>
      <c r="DQ160" s="695"/>
      <c r="DR160" s="695"/>
      <c r="DS160" s="694"/>
      <c r="DT160" s="694"/>
      <c r="DU160" s="694"/>
      <c r="DV160" s="694"/>
      <c r="DW160" s="694"/>
      <c r="DX160" s="694"/>
      <c r="DY160" s="694"/>
      <c r="DZ160" s="694"/>
      <c r="EA160" s="694"/>
      <c r="EB160" s="694"/>
      <c r="EC160" s="694"/>
      <c r="ED160" s="694"/>
      <c r="EE160" s="694"/>
      <c r="EF160" s="694"/>
      <c r="EG160" s="694"/>
      <c r="EH160" s="694"/>
      <c r="EI160" s="694"/>
      <c r="EJ160" s="694"/>
      <c r="EK160" s="694"/>
      <c r="EL160" s="694"/>
      <c r="EM160" s="694"/>
      <c r="EN160" s="694"/>
      <c r="EO160" s="694"/>
      <c r="EP160" s="694"/>
      <c r="EQ160" s="694"/>
      <c r="ER160" s="694"/>
      <c r="ES160" s="694"/>
      <c r="ET160" s="694"/>
      <c r="EU160" s="694"/>
      <c r="EV160" s="694"/>
      <c r="EW160" s="694"/>
      <c r="EX160" s="694"/>
      <c r="EY160" s="694"/>
      <c r="EZ160" s="694"/>
      <c r="FA160" s="694"/>
      <c r="FB160" s="694"/>
      <c r="FC160" s="694"/>
      <c r="FD160" s="694"/>
      <c r="FE160" s="694"/>
      <c r="FF160" s="694"/>
      <c r="FG160" s="694"/>
      <c r="FH160" s="694"/>
      <c r="FI160" s="694"/>
      <c r="FJ160" s="694"/>
      <c r="FK160" s="694"/>
      <c r="FL160" s="694"/>
      <c r="FM160" s="694"/>
      <c r="FN160" s="694"/>
      <c r="FO160" s="694"/>
      <c r="FP160" s="694"/>
      <c r="FQ160" s="697"/>
    </row>
    <row r="161" spans="1:173" s="696" customFormat="1">
      <c r="A161" s="690"/>
      <c r="B161" s="690"/>
      <c r="C161" s="691" t="s">
        <v>3637</v>
      </c>
      <c r="D161" s="691"/>
      <c r="E161" s="692">
        <v>32</v>
      </c>
      <c r="F161" s="692"/>
      <c r="G161" s="692"/>
      <c r="H161" s="692"/>
      <c r="I161" s="692"/>
      <c r="J161" s="692"/>
      <c r="K161" s="692"/>
      <c r="L161" s="692"/>
      <c r="M161" s="692"/>
      <c r="N161" s="692"/>
      <c r="O161" s="692"/>
      <c r="P161" s="692">
        <f t="shared" si="29"/>
        <v>32</v>
      </c>
      <c r="Q161" s="692"/>
      <c r="R161" s="693"/>
      <c r="S161" s="693"/>
      <c r="T161" s="693"/>
      <c r="U161" s="692" t="s">
        <v>1903</v>
      </c>
      <c r="V161" s="692"/>
      <c r="W161" s="692"/>
      <c r="X161" s="692"/>
      <c r="Y161" s="692"/>
      <c r="Z161" s="692"/>
      <c r="AA161" s="692"/>
      <c r="AB161" s="692"/>
      <c r="AC161" s="692"/>
      <c r="AD161" s="692"/>
      <c r="AE161" s="725"/>
      <c r="AF161" s="957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>
        <f t="shared" si="30"/>
        <v>1</v>
      </c>
      <c r="AX161" s="692"/>
      <c r="AY161" s="692"/>
      <c r="AZ161" s="516">
        <f t="shared" si="31"/>
        <v>2</v>
      </c>
      <c r="BA161" s="516">
        <f t="shared" si="32"/>
        <v>0</v>
      </c>
      <c r="BB161" s="516"/>
      <c r="BC161" s="516"/>
      <c r="BD161" s="516">
        <f t="shared" si="33"/>
        <v>1</v>
      </c>
      <c r="BE161" s="516">
        <f t="shared" si="34"/>
        <v>0</v>
      </c>
      <c r="BF161" s="692"/>
      <c r="BG161" s="692"/>
      <c r="BH161" s="692"/>
      <c r="BI161" s="692"/>
      <c r="BJ161" s="692">
        <f t="shared" si="35"/>
        <v>5</v>
      </c>
      <c r="BK161" s="692"/>
      <c r="BL161" s="692"/>
      <c r="BM161" s="692"/>
      <c r="BN161" s="692"/>
      <c r="BO161" s="692"/>
      <c r="BP161" s="692"/>
      <c r="BQ161" s="692">
        <f t="shared" si="36"/>
        <v>1</v>
      </c>
      <c r="BR161" s="692"/>
      <c r="BS161" s="692">
        <f t="shared" si="37"/>
        <v>0</v>
      </c>
      <c r="BT161" s="692">
        <f t="shared" si="38"/>
        <v>2</v>
      </c>
      <c r="BU161" s="692"/>
      <c r="BV161" s="692"/>
      <c r="BW161" s="692"/>
      <c r="BX161" s="692"/>
      <c r="BY161" s="692"/>
      <c r="BZ161" s="692"/>
      <c r="CA161" s="692"/>
      <c r="CB161" s="692">
        <v>1</v>
      </c>
      <c r="CC161" s="692"/>
      <c r="CD161" s="692">
        <f t="shared" si="39"/>
        <v>4</v>
      </c>
      <c r="CE161" s="692"/>
      <c r="CF161" s="692"/>
      <c r="CG161" s="692"/>
      <c r="CH161" s="692"/>
      <c r="CI161" s="692"/>
      <c r="CJ161" s="692"/>
      <c r="CK161" s="692"/>
      <c r="CL161" s="692"/>
      <c r="CM161" s="692"/>
      <c r="CN161" s="692"/>
      <c r="CO161" s="692"/>
      <c r="CP161" s="692"/>
      <c r="CQ161" s="692"/>
      <c r="CR161" s="692"/>
      <c r="CS161" s="692"/>
      <c r="CT161" s="692"/>
      <c r="CU161" s="692"/>
      <c r="CV161" s="692"/>
      <c r="CW161" s="692"/>
      <c r="CX161" s="694"/>
      <c r="CY161" s="694"/>
      <c r="CZ161" s="694"/>
      <c r="DA161" s="694"/>
      <c r="DB161" s="694"/>
      <c r="DC161" s="694"/>
      <c r="DD161" s="694"/>
      <c r="DE161" s="694"/>
      <c r="DF161" s="694"/>
      <c r="DG161" s="695"/>
      <c r="DH161" s="695"/>
      <c r="DI161" s="695"/>
      <c r="DJ161" s="695"/>
      <c r="DK161" s="695"/>
      <c r="DL161" s="695"/>
      <c r="DM161" s="695"/>
      <c r="DN161" s="695"/>
      <c r="DO161" s="695"/>
      <c r="DP161" s="695"/>
      <c r="DQ161" s="695"/>
      <c r="DR161" s="695"/>
      <c r="DS161" s="694"/>
      <c r="DT161" s="694"/>
      <c r="DU161" s="694"/>
      <c r="DV161" s="694"/>
      <c r="DW161" s="694"/>
      <c r="DX161" s="694"/>
      <c r="DY161" s="694"/>
      <c r="DZ161" s="694"/>
      <c r="EA161" s="694"/>
      <c r="EB161" s="694"/>
      <c r="EC161" s="694"/>
      <c r="ED161" s="694"/>
      <c r="EE161" s="694"/>
      <c r="EF161" s="694"/>
      <c r="EG161" s="694"/>
      <c r="EH161" s="694"/>
      <c r="EI161" s="694"/>
      <c r="EJ161" s="694"/>
      <c r="EK161" s="694"/>
      <c r="EL161" s="694"/>
      <c r="EM161" s="694"/>
      <c r="EN161" s="694"/>
      <c r="EO161" s="694"/>
      <c r="EP161" s="694"/>
      <c r="EQ161" s="694"/>
      <c r="ER161" s="694"/>
      <c r="ES161" s="694"/>
      <c r="ET161" s="694"/>
      <c r="EU161" s="694"/>
      <c r="EV161" s="694"/>
      <c r="EW161" s="694"/>
      <c r="EX161" s="694"/>
      <c r="EY161" s="694"/>
      <c r="EZ161" s="694"/>
      <c r="FA161" s="694"/>
      <c r="FB161" s="694"/>
      <c r="FC161" s="694"/>
      <c r="FD161" s="694"/>
      <c r="FE161" s="694"/>
      <c r="FF161" s="694"/>
      <c r="FG161" s="694"/>
      <c r="FH161" s="694"/>
      <c r="FI161" s="694"/>
      <c r="FJ161" s="694"/>
      <c r="FK161" s="694"/>
      <c r="FL161" s="694"/>
      <c r="FM161" s="694"/>
      <c r="FN161" s="694"/>
      <c r="FO161" s="694"/>
      <c r="FP161" s="694"/>
      <c r="FQ161" s="697"/>
    </row>
    <row r="162" spans="1:173" s="696" customFormat="1">
      <c r="A162" s="690"/>
      <c r="B162" s="690"/>
      <c r="C162" s="691" t="s">
        <v>3638</v>
      </c>
      <c r="D162" s="691"/>
      <c r="E162" s="692">
        <v>36.200000000000003</v>
      </c>
      <c r="F162" s="692"/>
      <c r="G162" s="692"/>
      <c r="H162" s="692"/>
      <c r="I162" s="692"/>
      <c r="J162" s="692"/>
      <c r="K162" s="692"/>
      <c r="L162" s="692"/>
      <c r="M162" s="692"/>
      <c r="N162" s="692"/>
      <c r="O162" s="692"/>
      <c r="P162" s="692">
        <f t="shared" si="29"/>
        <v>36.200000000000003</v>
      </c>
      <c r="Q162" s="692"/>
      <c r="R162" s="693"/>
      <c r="S162" s="693"/>
      <c r="T162" s="693"/>
      <c r="U162" s="692" t="s">
        <v>1903</v>
      </c>
      <c r="V162" s="692"/>
      <c r="W162" s="692"/>
      <c r="X162" s="692"/>
      <c r="Y162" s="692"/>
      <c r="Z162" s="692"/>
      <c r="AA162" s="692"/>
      <c r="AB162" s="692"/>
      <c r="AC162" s="692"/>
      <c r="AD162" s="692"/>
      <c r="AE162" s="725"/>
      <c r="AF162" s="957"/>
      <c r="AG162" s="692"/>
      <c r="AH162" s="692"/>
      <c r="AI162" s="692"/>
      <c r="AJ162" s="692"/>
      <c r="AK162" s="692"/>
      <c r="AL162" s="692"/>
      <c r="AM162" s="692"/>
      <c r="AN162" s="692"/>
      <c r="AO162" s="692"/>
      <c r="AP162" s="692"/>
      <c r="AQ162" s="692"/>
      <c r="AR162" s="692"/>
      <c r="AS162" s="692"/>
      <c r="AT162" s="692"/>
      <c r="AU162" s="692"/>
      <c r="AV162" s="692"/>
      <c r="AW162" s="692">
        <f t="shared" si="30"/>
        <v>1</v>
      </c>
      <c r="AX162" s="692"/>
      <c r="AY162" s="692"/>
      <c r="AZ162" s="516">
        <f t="shared" si="31"/>
        <v>2</v>
      </c>
      <c r="BA162" s="516">
        <f t="shared" si="32"/>
        <v>0</v>
      </c>
      <c r="BB162" s="516"/>
      <c r="BC162" s="516"/>
      <c r="BD162" s="516">
        <f t="shared" si="33"/>
        <v>1</v>
      </c>
      <c r="BE162" s="516">
        <f t="shared" si="34"/>
        <v>0</v>
      </c>
      <c r="BF162" s="692"/>
      <c r="BG162" s="692"/>
      <c r="BH162" s="692"/>
      <c r="BI162" s="692"/>
      <c r="BJ162" s="692">
        <f t="shared" si="35"/>
        <v>5</v>
      </c>
      <c r="BK162" s="692"/>
      <c r="BL162" s="692"/>
      <c r="BM162" s="692"/>
      <c r="BN162" s="692"/>
      <c r="BO162" s="692"/>
      <c r="BP162" s="692"/>
      <c r="BQ162" s="692">
        <f t="shared" si="36"/>
        <v>1</v>
      </c>
      <c r="BR162" s="692"/>
      <c r="BS162" s="692">
        <f t="shared" si="37"/>
        <v>0</v>
      </c>
      <c r="BT162" s="692">
        <f t="shared" si="38"/>
        <v>2</v>
      </c>
      <c r="BU162" s="692"/>
      <c r="BV162" s="692"/>
      <c r="BW162" s="692"/>
      <c r="BX162" s="692"/>
      <c r="BY162" s="692"/>
      <c r="BZ162" s="692"/>
      <c r="CA162" s="692"/>
      <c r="CB162" s="692">
        <v>1</v>
      </c>
      <c r="CC162" s="692"/>
      <c r="CD162" s="692">
        <f t="shared" si="39"/>
        <v>4</v>
      </c>
      <c r="CE162" s="692"/>
      <c r="CF162" s="692"/>
      <c r="CG162" s="692"/>
      <c r="CH162" s="692"/>
      <c r="CI162" s="692"/>
      <c r="CJ162" s="692"/>
      <c r="CK162" s="692"/>
      <c r="CL162" s="692"/>
      <c r="CM162" s="692"/>
      <c r="CN162" s="692"/>
      <c r="CO162" s="692"/>
      <c r="CP162" s="692"/>
      <c r="CQ162" s="692"/>
      <c r="CR162" s="692"/>
      <c r="CS162" s="692"/>
      <c r="CT162" s="692"/>
      <c r="CU162" s="692"/>
      <c r="CV162" s="692"/>
      <c r="CW162" s="692"/>
      <c r="CX162" s="694"/>
      <c r="CY162" s="694"/>
      <c r="CZ162" s="694"/>
      <c r="DA162" s="694"/>
      <c r="DB162" s="694"/>
      <c r="DC162" s="694"/>
      <c r="DD162" s="694"/>
      <c r="DE162" s="694"/>
      <c r="DF162" s="694"/>
      <c r="DG162" s="695"/>
      <c r="DH162" s="695"/>
      <c r="DI162" s="695"/>
      <c r="DJ162" s="695"/>
      <c r="DK162" s="695"/>
      <c r="DL162" s="695"/>
      <c r="DM162" s="695"/>
      <c r="DN162" s="695"/>
      <c r="DO162" s="695"/>
      <c r="DP162" s="695"/>
      <c r="DQ162" s="695"/>
      <c r="DR162" s="695"/>
      <c r="DS162" s="694"/>
      <c r="DT162" s="694"/>
      <c r="DU162" s="694"/>
      <c r="DV162" s="694"/>
      <c r="DW162" s="694"/>
      <c r="DX162" s="694"/>
      <c r="DY162" s="694"/>
      <c r="DZ162" s="694"/>
      <c r="EA162" s="694"/>
      <c r="EB162" s="694"/>
      <c r="EC162" s="694"/>
      <c r="ED162" s="694"/>
      <c r="EE162" s="694"/>
      <c r="EF162" s="694"/>
      <c r="EG162" s="694"/>
      <c r="EH162" s="694"/>
      <c r="EI162" s="694"/>
      <c r="EJ162" s="694"/>
      <c r="EK162" s="694"/>
      <c r="EL162" s="694"/>
      <c r="EM162" s="694"/>
      <c r="EN162" s="694"/>
      <c r="EO162" s="694"/>
      <c r="EP162" s="694"/>
      <c r="EQ162" s="694"/>
      <c r="ER162" s="694"/>
      <c r="ES162" s="694"/>
      <c r="ET162" s="694"/>
      <c r="EU162" s="694"/>
      <c r="EV162" s="694"/>
      <c r="EW162" s="694"/>
      <c r="EX162" s="694"/>
      <c r="EY162" s="694"/>
      <c r="EZ162" s="694"/>
      <c r="FA162" s="694"/>
      <c r="FB162" s="694"/>
      <c r="FC162" s="694"/>
      <c r="FD162" s="694"/>
      <c r="FE162" s="694"/>
      <c r="FF162" s="694"/>
      <c r="FG162" s="694"/>
      <c r="FH162" s="694"/>
      <c r="FI162" s="694"/>
      <c r="FJ162" s="694"/>
      <c r="FK162" s="694"/>
      <c r="FL162" s="694"/>
      <c r="FM162" s="694"/>
      <c r="FN162" s="694"/>
      <c r="FO162" s="694"/>
      <c r="FP162" s="694"/>
      <c r="FQ162" s="697"/>
    </row>
    <row r="163" spans="1:173" s="696" customFormat="1">
      <c r="A163" s="690"/>
      <c r="B163" s="690"/>
      <c r="C163" s="691" t="s">
        <v>3639</v>
      </c>
      <c r="D163" s="691"/>
      <c r="E163" s="692">
        <v>33</v>
      </c>
      <c r="F163" s="692"/>
      <c r="G163" s="692"/>
      <c r="H163" s="692"/>
      <c r="I163" s="692"/>
      <c r="J163" s="692"/>
      <c r="K163" s="692"/>
      <c r="L163" s="692"/>
      <c r="M163" s="692"/>
      <c r="N163" s="692"/>
      <c r="O163" s="692"/>
      <c r="P163" s="692">
        <f t="shared" si="29"/>
        <v>33</v>
      </c>
      <c r="Q163" s="692"/>
      <c r="R163" s="693"/>
      <c r="S163" s="693"/>
      <c r="T163" s="693"/>
      <c r="U163" s="692" t="s">
        <v>1903</v>
      </c>
      <c r="V163" s="692"/>
      <c r="W163" s="692">
        <v>2</v>
      </c>
      <c r="X163" s="692"/>
      <c r="Y163" s="692"/>
      <c r="Z163" s="692"/>
      <c r="AA163" s="692"/>
      <c r="AB163" s="692"/>
      <c r="AC163" s="692"/>
      <c r="AD163" s="692"/>
      <c r="AE163" s="725">
        <v>1</v>
      </c>
      <c r="AF163" s="957"/>
      <c r="AG163" s="692"/>
      <c r="AH163" s="692"/>
      <c r="AI163" s="692"/>
      <c r="AJ163" s="692"/>
      <c r="AK163" s="692"/>
      <c r="AL163" s="692"/>
      <c r="AM163" s="692"/>
      <c r="AN163" s="692"/>
      <c r="AO163" s="692"/>
      <c r="AP163" s="692"/>
      <c r="AQ163" s="692"/>
      <c r="AR163" s="692"/>
      <c r="AS163" s="692"/>
      <c r="AT163" s="692"/>
      <c r="AU163" s="692"/>
      <c r="AV163" s="692"/>
      <c r="AW163" s="692">
        <f t="shared" si="30"/>
        <v>1</v>
      </c>
      <c r="AX163" s="692"/>
      <c r="AY163" s="692"/>
      <c r="AZ163" s="516">
        <f t="shared" si="31"/>
        <v>2</v>
      </c>
      <c r="BA163" s="516">
        <f t="shared" si="32"/>
        <v>0</v>
      </c>
      <c r="BB163" s="516"/>
      <c r="BC163" s="516"/>
      <c r="BD163" s="516">
        <f t="shared" si="33"/>
        <v>1</v>
      </c>
      <c r="BE163" s="516">
        <f t="shared" si="34"/>
        <v>0</v>
      </c>
      <c r="BF163" s="692"/>
      <c r="BG163" s="692"/>
      <c r="BH163" s="692"/>
      <c r="BI163" s="692"/>
      <c r="BJ163" s="692">
        <f t="shared" si="35"/>
        <v>5</v>
      </c>
      <c r="BK163" s="692"/>
      <c r="BL163" s="692"/>
      <c r="BM163" s="692"/>
      <c r="BN163" s="692"/>
      <c r="BO163" s="692"/>
      <c r="BP163" s="692"/>
      <c r="BQ163" s="692">
        <f t="shared" si="36"/>
        <v>1</v>
      </c>
      <c r="BR163" s="692"/>
      <c r="BS163" s="692">
        <f t="shared" si="37"/>
        <v>0</v>
      </c>
      <c r="BT163" s="692">
        <f t="shared" si="38"/>
        <v>2</v>
      </c>
      <c r="BU163" s="692"/>
      <c r="BV163" s="692"/>
      <c r="BW163" s="692"/>
      <c r="BX163" s="692"/>
      <c r="BY163" s="692"/>
      <c r="BZ163" s="692"/>
      <c r="CA163" s="692"/>
      <c r="CB163" s="692">
        <v>1</v>
      </c>
      <c r="CC163" s="692"/>
      <c r="CD163" s="692">
        <f t="shared" si="39"/>
        <v>4</v>
      </c>
      <c r="CE163" s="692"/>
      <c r="CF163" s="692"/>
      <c r="CG163" s="692"/>
      <c r="CH163" s="692"/>
      <c r="CI163" s="692"/>
      <c r="CJ163" s="692"/>
      <c r="CK163" s="692"/>
      <c r="CL163" s="692"/>
      <c r="CM163" s="692"/>
      <c r="CN163" s="692"/>
      <c r="CO163" s="692"/>
      <c r="CP163" s="692"/>
      <c r="CQ163" s="692"/>
      <c r="CR163" s="692"/>
      <c r="CS163" s="692"/>
      <c r="CT163" s="692"/>
      <c r="CU163" s="692"/>
      <c r="CV163" s="692"/>
      <c r="CW163" s="692"/>
      <c r="CX163" s="694"/>
      <c r="CY163" s="694"/>
      <c r="CZ163" s="694"/>
      <c r="DA163" s="694"/>
      <c r="DB163" s="694"/>
      <c r="DC163" s="694"/>
      <c r="DD163" s="694"/>
      <c r="DE163" s="694"/>
      <c r="DF163" s="694"/>
      <c r="DG163" s="695"/>
      <c r="DH163" s="695"/>
      <c r="DI163" s="695"/>
      <c r="DJ163" s="695"/>
      <c r="DK163" s="695"/>
      <c r="DL163" s="695"/>
      <c r="DM163" s="695"/>
      <c r="DN163" s="695"/>
      <c r="DO163" s="695"/>
      <c r="DP163" s="695"/>
      <c r="DQ163" s="695"/>
      <c r="DR163" s="695"/>
      <c r="DS163" s="694"/>
      <c r="DT163" s="694"/>
      <c r="DU163" s="694"/>
      <c r="DV163" s="694"/>
      <c r="DW163" s="694"/>
      <c r="DX163" s="694"/>
      <c r="DY163" s="694"/>
      <c r="DZ163" s="694"/>
      <c r="EA163" s="694"/>
      <c r="EB163" s="694"/>
      <c r="EC163" s="694"/>
      <c r="ED163" s="694"/>
      <c r="EE163" s="694"/>
      <c r="EF163" s="694"/>
      <c r="EG163" s="694"/>
      <c r="EH163" s="694"/>
      <c r="EI163" s="694"/>
      <c r="EJ163" s="694"/>
      <c r="EK163" s="694"/>
      <c r="EL163" s="694"/>
      <c r="EM163" s="694"/>
      <c r="EN163" s="694"/>
      <c r="EO163" s="694"/>
      <c r="EP163" s="694"/>
      <c r="EQ163" s="694"/>
      <c r="ER163" s="694"/>
      <c r="ES163" s="694"/>
      <c r="ET163" s="694"/>
      <c r="EU163" s="694"/>
      <c r="EV163" s="694"/>
      <c r="EW163" s="694"/>
      <c r="EX163" s="694"/>
      <c r="EY163" s="694"/>
      <c r="EZ163" s="694"/>
      <c r="FA163" s="694"/>
      <c r="FB163" s="694"/>
      <c r="FC163" s="694"/>
      <c r="FD163" s="694"/>
      <c r="FE163" s="694"/>
      <c r="FF163" s="694"/>
      <c r="FG163" s="694"/>
      <c r="FH163" s="694"/>
      <c r="FI163" s="694"/>
      <c r="FJ163" s="694"/>
      <c r="FK163" s="694"/>
      <c r="FL163" s="694"/>
      <c r="FM163" s="694"/>
      <c r="FN163" s="694"/>
      <c r="FO163" s="694"/>
      <c r="FP163" s="694"/>
      <c r="FQ163" s="697"/>
    </row>
    <row r="164" spans="1:173" s="696" customFormat="1">
      <c r="A164" s="690"/>
      <c r="B164" s="690"/>
      <c r="C164" s="691" t="s">
        <v>3640</v>
      </c>
      <c r="D164" s="691"/>
      <c r="E164" s="692">
        <v>31</v>
      </c>
      <c r="F164" s="692"/>
      <c r="G164" s="692"/>
      <c r="H164" s="692"/>
      <c r="I164" s="692"/>
      <c r="J164" s="692"/>
      <c r="K164" s="692"/>
      <c r="L164" s="692"/>
      <c r="M164" s="692"/>
      <c r="N164" s="692"/>
      <c r="O164" s="692"/>
      <c r="P164" s="692">
        <f t="shared" si="29"/>
        <v>31</v>
      </c>
      <c r="Q164" s="692"/>
      <c r="R164" s="693"/>
      <c r="S164" s="693"/>
      <c r="T164" s="693"/>
      <c r="U164" s="692" t="s">
        <v>3718</v>
      </c>
      <c r="V164" s="692"/>
      <c r="W164" s="692"/>
      <c r="X164" s="692"/>
      <c r="Y164" s="692"/>
      <c r="Z164" s="692"/>
      <c r="AA164" s="692"/>
      <c r="AB164" s="692"/>
      <c r="AC164" s="692"/>
      <c r="AD164" s="692"/>
      <c r="AE164" s="725"/>
      <c r="AF164" s="957"/>
      <c r="AG164" s="692"/>
      <c r="AH164" s="692"/>
      <c r="AI164" s="692"/>
      <c r="AJ164" s="692"/>
      <c r="AK164" s="692"/>
      <c r="AL164" s="692"/>
      <c r="AM164" s="692"/>
      <c r="AN164" s="692"/>
      <c r="AO164" s="692"/>
      <c r="AP164" s="692"/>
      <c r="AQ164" s="692"/>
      <c r="AR164" s="692"/>
      <c r="AS164" s="692"/>
      <c r="AT164" s="692"/>
      <c r="AU164" s="692"/>
      <c r="AV164" s="692"/>
      <c r="AW164" s="692">
        <f t="shared" si="30"/>
        <v>1</v>
      </c>
      <c r="AX164" s="692"/>
      <c r="AY164" s="692"/>
      <c r="AZ164" s="516">
        <f t="shared" si="31"/>
        <v>2</v>
      </c>
      <c r="BA164" s="516">
        <f t="shared" si="32"/>
        <v>0</v>
      </c>
      <c r="BB164" s="516"/>
      <c r="BC164" s="516"/>
      <c r="BD164" s="516">
        <f t="shared" si="33"/>
        <v>3</v>
      </c>
      <c r="BE164" s="516">
        <f t="shared" si="34"/>
        <v>0</v>
      </c>
      <c r="BF164" s="692"/>
      <c r="BG164" s="692"/>
      <c r="BH164" s="692"/>
      <c r="BI164" s="692"/>
      <c r="BJ164" s="692">
        <f t="shared" si="35"/>
        <v>5</v>
      </c>
      <c r="BK164" s="692"/>
      <c r="BL164" s="692"/>
      <c r="BM164" s="692"/>
      <c r="BN164" s="692"/>
      <c r="BO164" s="692"/>
      <c r="BP164" s="692"/>
      <c r="BQ164" s="692">
        <f t="shared" si="36"/>
        <v>0</v>
      </c>
      <c r="BR164" s="692"/>
      <c r="BS164" s="692">
        <f t="shared" si="37"/>
        <v>0</v>
      </c>
      <c r="BT164" s="692">
        <f t="shared" si="38"/>
        <v>0</v>
      </c>
      <c r="BU164" s="692"/>
      <c r="BV164" s="692"/>
      <c r="BW164" s="692"/>
      <c r="BX164" s="692"/>
      <c r="BY164" s="692">
        <v>3</v>
      </c>
      <c r="BZ164" s="692"/>
      <c r="CA164" s="692"/>
      <c r="CB164" s="692">
        <v>1</v>
      </c>
      <c r="CC164" s="692"/>
      <c r="CD164" s="692">
        <f t="shared" si="39"/>
        <v>4</v>
      </c>
      <c r="CE164" s="692"/>
      <c r="CF164" s="692"/>
      <c r="CG164" s="692"/>
      <c r="CH164" s="692"/>
      <c r="CI164" s="692"/>
      <c r="CJ164" s="692"/>
      <c r="CK164" s="692"/>
      <c r="CL164" s="692"/>
      <c r="CM164" s="692"/>
      <c r="CN164" s="692"/>
      <c r="CO164" s="692"/>
      <c r="CP164" s="692"/>
      <c r="CQ164" s="692"/>
      <c r="CR164" s="692"/>
      <c r="CS164" s="692"/>
      <c r="CT164" s="692"/>
      <c r="CU164" s="692"/>
      <c r="CV164" s="692"/>
      <c r="CW164" s="692"/>
      <c r="CX164" s="694"/>
      <c r="CY164" s="694"/>
      <c r="CZ164" s="694"/>
      <c r="DA164" s="694"/>
      <c r="DB164" s="694"/>
      <c r="DC164" s="694"/>
      <c r="DD164" s="694"/>
      <c r="DE164" s="694"/>
      <c r="DF164" s="694"/>
      <c r="DG164" s="695"/>
      <c r="DH164" s="695"/>
      <c r="DI164" s="695"/>
      <c r="DJ164" s="695"/>
      <c r="DK164" s="695"/>
      <c r="DL164" s="695"/>
      <c r="DM164" s="695"/>
      <c r="DN164" s="695"/>
      <c r="DO164" s="695"/>
      <c r="DP164" s="695"/>
      <c r="DQ164" s="695"/>
      <c r="DR164" s="695"/>
      <c r="DS164" s="694"/>
      <c r="DT164" s="694"/>
      <c r="DU164" s="694"/>
      <c r="DV164" s="694"/>
      <c r="DW164" s="694"/>
      <c r="DX164" s="694"/>
      <c r="DY164" s="694"/>
      <c r="DZ164" s="694"/>
      <c r="EA164" s="694"/>
      <c r="EB164" s="694"/>
      <c r="EC164" s="694"/>
      <c r="ED164" s="694"/>
      <c r="EE164" s="694"/>
      <c r="EF164" s="694"/>
      <c r="EG164" s="694"/>
      <c r="EH164" s="694"/>
      <c r="EI164" s="694"/>
      <c r="EJ164" s="694"/>
      <c r="EK164" s="694"/>
      <c r="EL164" s="694"/>
      <c r="EM164" s="694"/>
      <c r="EN164" s="694"/>
      <c r="EO164" s="694"/>
      <c r="EP164" s="694"/>
      <c r="EQ164" s="694"/>
      <c r="ER164" s="694"/>
      <c r="ES164" s="694"/>
      <c r="ET164" s="694"/>
      <c r="EU164" s="694"/>
      <c r="EV164" s="694"/>
      <c r="EW164" s="694"/>
      <c r="EX164" s="694"/>
      <c r="EY164" s="694"/>
      <c r="EZ164" s="694"/>
      <c r="FA164" s="694"/>
      <c r="FB164" s="694"/>
      <c r="FC164" s="694"/>
      <c r="FD164" s="694"/>
      <c r="FE164" s="694"/>
      <c r="FF164" s="694"/>
      <c r="FG164" s="694"/>
      <c r="FH164" s="694"/>
      <c r="FI164" s="694"/>
      <c r="FJ164" s="694"/>
      <c r="FK164" s="694"/>
      <c r="FL164" s="694"/>
      <c r="FM164" s="694"/>
      <c r="FN164" s="694"/>
      <c r="FO164" s="694"/>
      <c r="FP164" s="694"/>
      <c r="FQ164" s="697"/>
    </row>
    <row r="165" spans="1:173" s="696" customFormat="1">
      <c r="A165" s="690"/>
      <c r="B165" s="690"/>
      <c r="C165" s="691" t="s">
        <v>3641</v>
      </c>
      <c r="D165" s="691"/>
      <c r="E165" s="640">
        <v>33</v>
      </c>
      <c r="F165" s="692"/>
      <c r="G165" s="692"/>
      <c r="H165" s="692"/>
      <c r="I165" s="692"/>
      <c r="J165" s="692"/>
      <c r="K165" s="692"/>
      <c r="L165" s="692"/>
      <c r="M165" s="692"/>
      <c r="N165" s="692"/>
      <c r="O165" s="692"/>
      <c r="P165" s="692">
        <f t="shared" si="29"/>
        <v>33</v>
      </c>
      <c r="Q165" s="692"/>
      <c r="R165" s="693"/>
      <c r="S165" s="693"/>
      <c r="T165" s="693"/>
      <c r="U165" s="692" t="s">
        <v>1631</v>
      </c>
      <c r="V165" s="692"/>
      <c r="W165" s="692">
        <v>1</v>
      </c>
      <c r="X165" s="692"/>
      <c r="Y165" s="692"/>
      <c r="Z165" s="692">
        <v>1</v>
      </c>
      <c r="AA165" s="692"/>
      <c r="AB165" s="692"/>
      <c r="AC165" s="692"/>
      <c r="AD165" s="692"/>
      <c r="AE165" s="725"/>
      <c r="AF165" s="957"/>
      <c r="AG165" s="692"/>
      <c r="AH165" s="692"/>
      <c r="AI165" s="692"/>
      <c r="AJ165" s="692"/>
      <c r="AK165" s="692"/>
      <c r="AL165" s="692"/>
      <c r="AM165" s="692"/>
      <c r="AN165" s="692"/>
      <c r="AO165" s="692"/>
      <c r="AP165" s="692"/>
      <c r="AQ165" s="692"/>
      <c r="AR165" s="692"/>
      <c r="AS165" s="692"/>
      <c r="AT165" s="692"/>
      <c r="AU165" s="692">
        <v>1</v>
      </c>
      <c r="AV165" s="692"/>
      <c r="AW165" s="692">
        <f t="shared" si="30"/>
        <v>1</v>
      </c>
      <c r="AX165" s="692"/>
      <c r="AY165" s="692"/>
      <c r="AZ165" s="516">
        <f t="shared" si="31"/>
        <v>2</v>
      </c>
      <c r="BA165" s="516">
        <f t="shared" si="32"/>
        <v>0</v>
      </c>
      <c r="BB165" s="516"/>
      <c r="BC165" s="516"/>
      <c r="BD165" s="516">
        <f t="shared" si="33"/>
        <v>1</v>
      </c>
      <c r="BE165" s="516">
        <f t="shared" si="34"/>
        <v>0</v>
      </c>
      <c r="BF165" s="692"/>
      <c r="BG165" s="692"/>
      <c r="BH165" s="692"/>
      <c r="BI165" s="692"/>
      <c r="BJ165" s="692">
        <f t="shared" si="35"/>
        <v>7</v>
      </c>
      <c r="BK165" s="692"/>
      <c r="BL165" s="692"/>
      <c r="BM165" s="692"/>
      <c r="BN165" s="692"/>
      <c r="BO165" s="692"/>
      <c r="BP165" s="692"/>
      <c r="BQ165" s="692">
        <f t="shared" si="36"/>
        <v>0</v>
      </c>
      <c r="BR165" s="692"/>
      <c r="BS165" s="692">
        <f t="shared" si="37"/>
        <v>0</v>
      </c>
      <c r="BT165" s="692">
        <f t="shared" si="38"/>
        <v>1</v>
      </c>
      <c r="BU165" s="692"/>
      <c r="BV165" s="692"/>
      <c r="BW165" s="692"/>
      <c r="BX165" s="692"/>
      <c r="BY165" s="692"/>
      <c r="BZ165" s="692"/>
      <c r="CA165" s="692"/>
      <c r="CB165" s="692">
        <v>1</v>
      </c>
      <c r="CC165" s="692"/>
      <c r="CD165" s="692">
        <f t="shared" si="39"/>
        <v>4</v>
      </c>
      <c r="CE165" s="692"/>
      <c r="CF165" s="692"/>
      <c r="CG165" s="692"/>
      <c r="CH165" s="692"/>
      <c r="CI165" s="692"/>
      <c r="CJ165" s="692"/>
      <c r="CK165" s="692"/>
      <c r="CL165" s="692"/>
      <c r="CM165" s="692"/>
      <c r="CN165" s="692"/>
      <c r="CO165" s="692"/>
      <c r="CP165" s="692"/>
      <c r="CQ165" s="692"/>
      <c r="CR165" s="692"/>
      <c r="CS165" s="692"/>
      <c r="CT165" s="692"/>
      <c r="CU165" s="692"/>
      <c r="CV165" s="692"/>
      <c r="CW165" s="692"/>
      <c r="CX165" s="694"/>
      <c r="CY165" s="694"/>
      <c r="CZ165" s="694"/>
      <c r="DA165" s="694"/>
      <c r="DB165" s="694"/>
      <c r="DC165" s="694"/>
      <c r="DD165" s="694"/>
      <c r="DE165" s="694"/>
      <c r="DF165" s="694"/>
      <c r="DG165" s="695"/>
      <c r="DH165" s="695"/>
      <c r="DI165" s="695"/>
      <c r="DJ165" s="695"/>
      <c r="DK165" s="695"/>
      <c r="DL165" s="695"/>
      <c r="DM165" s="695"/>
      <c r="DN165" s="695"/>
      <c r="DO165" s="695"/>
      <c r="DP165" s="695"/>
      <c r="DQ165" s="695"/>
      <c r="DR165" s="695"/>
      <c r="DS165" s="694"/>
      <c r="DT165" s="694"/>
      <c r="DU165" s="694"/>
      <c r="DV165" s="694"/>
      <c r="DW165" s="694"/>
      <c r="DX165" s="694"/>
      <c r="DY165" s="694"/>
      <c r="DZ165" s="694"/>
      <c r="EA165" s="694"/>
      <c r="EB165" s="694"/>
      <c r="EC165" s="694"/>
      <c r="ED165" s="694"/>
      <c r="EE165" s="694"/>
      <c r="EF165" s="694"/>
      <c r="EG165" s="694"/>
      <c r="EH165" s="694"/>
      <c r="EI165" s="694"/>
      <c r="EJ165" s="694"/>
      <c r="EK165" s="694"/>
      <c r="EL165" s="694"/>
      <c r="EM165" s="694"/>
      <c r="EN165" s="694"/>
      <c r="EO165" s="694"/>
      <c r="EP165" s="694"/>
      <c r="EQ165" s="694"/>
      <c r="ER165" s="694"/>
      <c r="ES165" s="694"/>
      <c r="ET165" s="694"/>
      <c r="EU165" s="694"/>
      <c r="EV165" s="694"/>
      <c r="EW165" s="694"/>
      <c r="EX165" s="694"/>
      <c r="EY165" s="694"/>
      <c r="EZ165" s="694"/>
      <c r="FA165" s="694"/>
      <c r="FB165" s="694"/>
      <c r="FC165" s="694"/>
      <c r="FD165" s="694"/>
      <c r="FE165" s="694"/>
      <c r="FF165" s="694"/>
      <c r="FG165" s="694"/>
      <c r="FH165" s="694"/>
      <c r="FI165" s="694"/>
      <c r="FJ165" s="694"/>
      <c r="FK165" s="694"/>
      <c r="FL165" s="694"/>
      <c r="FM165" s="694"/>
      <c r="FN165" s="694"/>
      <c r="FO165" s="694"/>
      <c r="FP165" s="694"/>
      <c r="FQ165" s="697"/>
    </row>
    <row r="166" spans="1:173" s="696" customFormat="1">
      <c r="A166" s="690"/>
      <c r="B166" s="690"/>
      <c r="C166" s="691" t="s">
        <v>3647</v>
      </c>
      <c r="D166" s="691"/>
      <c r="E166" s="640">
        <v>34</v>
      </c>
      <c r="F166" s="692"/>
      <c r="G166" s="692"/>
      <c r="H166" s="692"/>
      <c r="I166" s="692"/>
      <c r="J166" s="692"/>
      <c r="K166" s="692"/>
      <c r="L166" s="692"/>
      <c r="M166" s="692"/>
      <c r="N166" s="692"/>
      <c r="O166" s="692"/>
      <c r="P166" s="692">
        <f t="shared" si="29"/>
        <v>34</v>
      </c>
      <c r="Q166" s="692"/>
      <c r="R166" s="693"/>
      <c r="S166" s="693"/>
      <c r="T166" s="693"/>
      <c r="U166" s="692" t="s">
        <v>2989</v>
      </c>
      <c r="V166" s="692"/>
      <c r="W166" s="692">
        <v>2</v>
      </c>
      <c r="X166" s="692"/>
      <c r="Y166" s="692"/>
      <c r="Z166" s="692"/>
      <c r="AA166" s="692"/>
      <c r="AB166" s="692"/>
      <c r="AC166" s="692"/>
      <c r="AD166" s="692"/>
      <c r="AE166" s="725">
        <v>1</v>
      </c>
      <c r="AF166" s="957"/>
      <c r="AG166" s="692"/>
      <c r="AH166" s="692"/>
      <c r="AI166" s="692"/>
      <c r="AJ166" s="692"/>
      <c r="AK166" s="692"/>
      <c r="AL166" s="692"/>
      <c r="AM166" s="692"/>
      <c r="AN166" s="692"/>
      <c r="AO166" s="692"/>
      <c r="AP166" s="692"/>
      <c r="AQ166" s="692"/>
      <c r="AR166" s="692"/>
      <c r="AS166" s="692"/>
      <c r="AT166" s="692"/>
      <c r="AU166" s="692"/>
      <c r="AV166" s="692"/>
      <c r="AW166" s="692">
        <f t="shared" si="30"/>
        <v>1</v>
      </c>
      <c r="AX166" s="692"/>
      <c r="AY166" s="692"/>
      <c r="AZ166" s="516">
        <f t="shared" si="31"/>
        <v>2</v>
      </c>
      <c r="BA166" s="516">
        <f t="shared" si="32"/>
        <v>0</v>
      </c>
      <c r="BB166" s="516"/>
      <c r="BC166" s="516"/>
      <c r="BD166" s="516">
        <f t="shared" si="33"/>
        <v>2</v>
      </c>
      <c r="BE166" s="516">
        <f t="shared" si="34"/>
        <v>0</v>
      </c>
      <c r="BF166" s="692"/>
      <c r="BG166" s="692"/>
      <c r="BH166" s="692"/>
      <c r="BI166" s="692"/>
      <c r="BJ166" s="692">
        <f t="shared" si="35"/>
        <v>5</v>
      </c>
      <c r="BK166" s="692"/>
      <c r="BL166" s="692"/>
      <c r="BM166" s="692"/>
      <c r="BN166" s="692"/>
      <c r="BO166" s="692"/>
      <c r="BP166" s="692"/>
      <c r="BQ166" s="692">
        <f t="shared" si="36"/>
        <v>0</v>
      </c>
      <c r="BR166" s="692"/>
      <c r="BS166" s="692">
        <f t="shared" si="37"/>
        <v>0</v>
      </c>
      <c r="BT166" s="692">
        <f t="shared" si="38"/>
        <v>0</v>
      </c>
      <c r="BU166" s="692"/>
      <c r="BV166" s="692"/>
      <c r="BW166" s="692"/>
      <c r="BX166" s="692"/>
      <c r="BY166" s="692">
        <v>2</v>
      </c>
      <c r="BZ166" s="692"/>
      <c r="CA166" s="692"/>
      <c r="CB166" s="692">
        <v>1</v>
      </c>
      <c r="CC166" s="692"/>
      <c r="CD166" s="692">
        <f t="shared" si="39"/>
        <v>4</v>
      </c>
      <c r="CE166" s="692"/>
      <c r="CF166" s="692"/>
      <c r="CG166" s="692"/>
      <c r="CH166" s="692"/>
      <c r="CI166" s="692"/>
      <c r="CJ166" s="692"/>
      <c r="CK166" s="692"/>
      <c r="CL166" s="692"/>
      <c r="CM166" s="692"/>
      <c r="CN166" s="692"/>
      <c r="CO166" s="692"/>
      <c r="CP166" s="692"/>
      <c r="CQ166" s="692"/>
      <c r="CR166" s="692"/>
      <c r="CS166" s="692"/>
      <c r="CT166" s="692"/>
      <c r="CU166" s="692"/>
      <c r="CV166" s="692"/>
      <c r="CW166" s="692"/>
      <c r="CX166" s="694"/>
      <c r="CY166" s="694"/>
      <c r="CZ166" s="694"/>
      <c r="DA166" s="694"/>
      <c r="DB166" s="694"/>
      <c r="DC166" s="694"/>
      <c r="DD166" s="694"/>
      <c r="DE166" s="694"/>
      <c r="DF166" s="694"/>
      <c r="DG166" s="695"/>
      <c r="DH166" s="695"/>
      <c r="DI166" s="695"/>
      <c r="DJ166" s="695"/>
      <c r="DK166" s="695"/>
      <c r="DL166" s="695"/>
      <c r="DM166" s="695"/>
      <c r="DN166" s="695"/>
      <c r="DO166" s="695"/>
      <c r="DP166" s="695"/>
      <c r="DQ166" s="695"/>
      <c r="DR166" s="695"/>
      <c r="DS166" s="694"/>
      <c r="DT166" s="694"/>
      <c r="DU166" s="694"/>
      <c r="DV166" s="694"/>
      <c r="DW166" s="694"/>
      <c r="DX166" s="694"/>
      <c r="DY166" s="694"/>
      <c r="DZ166" s="694"/>
      <c r="EA166" s="694"/>
      <c r="EB166" s="694"/>
      <c r="EC166" s="694"/>
      <c r="ED166" s="694"/>
      <c r="EE166" s="694"/>
      <c r="EF166" s="694"/>
      <c r="EG166" s="694"/>
      <c r="EH166" s="694"/>
      <c r="EI166" s="694"/>
      <c r="EJ166" s="694"/>
      <c r="EK166" s="694"/>
      <c r="EL166" s="694"/>
      <c r="EM166" s="694"/>
      <c r="EN166" s="694"/>
      <c r="EO166" s="694"/>
      <c r="EP166" s="694"/>
      <c r="EQ166" s="694"/>
      <c r="ER166" s="694"/>
      <c r="ES166" s="694"/>
      <c r="ET166" s="694"/>
      <c r="EU166" s="694"/>
      <c r="EV166" s="694"/>
      <c r="EW166" s="694"/>
      <c r="EX166" s="694"/>
      <c r="EY166" s="694"/>
      <c r="EZ166" s="694"/>
      <c r="FA166" s="694"/>
      <c r="FB166" s="694"/>
      <c r="FC166" s="694"/>
      <c r="FD166" s="694"/>
      <c r="FE166" s="694"/>
      <c r="FF166" s="694"/>
      <c r="FG166" s="694"/>
      <c r="FH166" s="694"/>
      <c r="FI166" s="694"/>
      <c r="FJ166" s="694"/>
      <c r="FK166" s="694"/>
      <c r="FL166" s="694"/>
      <c r="FM166" s="694"/>
      <c r="FN166" s="694"/>
      <c r="FO166" s="694"/>
      <c r="FP166" s="694"/>
      <c r="FQ166" s="697"/>
    </row>
    <row r="167" spans="1:173" s="696" customFormat="1">
      <c r="A167" s="690"/>
      <c r="B167" s="690"/>
      <c r="C167" s="691" t="s">
        <v>3648</v>
      </c>
      <c r="D167" s="691"/>
      <c r="E167" s="640">
        <v>33</v>
      </c>
      <c r="F167" s="692"/>
      <c r="G167" s="692"/>
      <c r="H167" s="692"/>
      <c r="I167" s="692"/>
      <c r="J167" s="692"/>
      <c r="K167" s="692"/>
      <c r="L167" s="692"/>
      <c r="M167" s="692"/>
      <c r="N167" s="692"/>
      <c r="O167" s="692"/>
      <c r="P167" s="692">
        <f t="shared" si="29"/>
        <v>33</v>
      </c>
      <c r="Q167" s="692"/>
      <c r="R167" s="693"/>
      <c r="S167" s="693"/>
      <c r="T167" s="693"/>
      <c r="U167" s="692" t="s">
        <v>1631</v>
      </c>
      <c r="V167" s="692"/>
      <c r="W167" s="692">
        <v>1</v>
      </c>
      <c r="X167" s="692"/>
      <c r="Y167" s="692"/>
      <c r="Z167" s="692">
        <v>1</v>
      </c>
      <c r="AA167" s="692"/>
      <c r="AB167" s="692"/>
      <c r="AC167" s="692"/>
      <c r="AD167" s="692"/>
      <c r="AE167" s="725"/>
      <c r="AF167" s="957"/>
      <c r="AG167" s="692"/>
      <c r="AH167" s="692"/>
      <c r="AI167" s="692"/>
      <c r="AJ167" s="692"/>
      <c r="AK167" s="692"/>
      <c r="AL167" s="692"/>
      <c r="AM167" s="692"/>
      <c r="AN167" s="692"/>
      <c r="AO167" s="692"/>
      <c r="AP167" s="692"/>
      <c r="AQ167" s="692"/>
      <c r="AR167" s="692"/>
      <c r="AS167" s="692"/>
      <c r="AT167" s="692"/>
      <c r="AU167" s="692"/>
      <c r="AV167" s="692"/>
      <c r="AW167" s="692">
        <f t="shared" si="30"/>
        <v>1</v>
      </c>
      <c r="AX167" s="692"/>
      <c r="AY167" s="692"/>
      <c r="AZ167" s="516">
        <f t="shared" si="31"/>
        <v>2</v>
      </c>
      <c r="BA167" s="516">
        <f t="shared" si="32"/>
        <v>0</v>
      </c>
      <c r="BB167" s="516"/>
      <c r="BC167" s="516"/>
      <c r="BD167" s="516">
        <f t="shared" si="33"/>
        <v>1</v>
      </c>
      <c r="BE167" s="516">
        <f t="shared" si="34"/>
        <v>0</v>
      </c>
      <c r="BF167" s="692"/>
      <c r="BG167" s="692"/>
      <c r="BH167" s="692"/>
      <c r="BI167" s="692"/>
      <c r="BJ167" s="692">
        <f t="shared" si="35"/>
        <v>5</v>
      </c>
      <c r="BK167" s="692"/>
      <c r="BL167" s="692"/>
      <c r="BM167" s="692"/>
      <c r="BN167" s="692"/>
      <c r="BO167" s="692"/>
      <c r="BP167" s="692"/>
      <c r="BQ167" s="692">
        <f t="shared" si="36"/>
        <v>0</v>
      </c>
      <c r="BR167" s="692"/>
      <c r="BS167" s="692">
        <f t="shared" si="37"/>
        <v>0</v>
      </c>
      <c r="BT167" s="692">
        <f t="shared" si="38"/>
        <v>1</v>
      </c>
      <c r="BU167" s="692"/>
      <c r="BV167" s="692"/>
      <c r="BW167" s="692"/>
      <c r="BX167" s="692"/>
      <c r="BY167" s="692"/>
      <c r="BZ167" s="692"/>
      <c r="CA167" s="692"/>
      <c r="CB167" s="692">
        <v>1</v>
      </c>
      <c r="CC167" s="692"/>
      <c r="CD167" s="692">
        <f t="shared" si="39"/>
        <v>4</v>
      </c>
      <c r="CE167" s="692"/>
      <c r="CF167" s="692"/>
      <c r="CG167" s="692"/>
      <c r="CH167" s="692"/>
      <c r="CI167" s="692"/>
      <c r="CJ167" s="692"/>
      <c r="CK167" s="692"/>
      <c r="CL167" s="692"/>
      <c r="CM167" s="692"/>
      <c r="CN167" s="692"/>
      <c r="CO167" s="692"/>
      <c r="CP167" s="692"/>
      <c r="CQ167" s="692"/>
      <c r="CR167" s="692"/>
      <c r="CS167" s="692"/>
      <c r="CT167" s="692"/>
      <c r="CU167" s="692"/>
      <c r="CV167" s="692"/>
      <c r="CW167" s="692"/>
      <c r="CX167" s="694"/>
      <c r="CY167" s="694"/>
      <c r="CZ167" s="694"/>
      <c r="DA167" s="694"/>
      <c r="DB167" s="694"/>
      <c r="DC167" s="694"/>
      <c r="DD167" s="694"/>
      <c r="DE167" s="694"/>
      <c r="DF167" s="694"/>
      <c r="DG167" s="695"/>
      <c r="DH167" s="695"/>
      <c r="DI167" s="695"/>
      <c r="DJ167" s="695"/>
      <c r="DK167" s="695"/>
      <c r="DL167" s="695"/>
      <c r="DM167" s="695"/>
      <c r="DN167" s="695"/>
      <c r="DO167" s="695"/>
      <c r="DP167" s="695"/>
      <c r="DQ167" s="695"/>
      <c r="DR167" s="695"/>
      <c r="DS167" s="694"/>
      <c r="DT167" s="694"/>
      <c r="DU167" s="694"/>
      <c r="DV167" s="694"/>
      <c r="DW167" s="694"/>
      <c r="DX167" s="694"/>
      <c r="DY167" s="694"/>
      <c r="DZ167" s="694"/>
      <c r="EA167" s="694"/>
      <c r="EB167" s="694"/>
      <c r="EC167" s="694"/>
      <c r="ED167" s="694"/>
      <c r="EE167" s="694"/>
      <c r="EF167" s="694"/>
      <c r="EG167" s="694"/>
      <c r="EH167" s="694"/>
      <c r="EI167" s="694"/>
      <c r="EJ167" s="694"/>
      <c r="EK167" s="694"/>
      <c r="EL167" s="694"/>
      <c r="EM167" s="694"/>
      <c r="EN167" s="694"/>
      <c r="EO167" s="694"/>
      <c r="EP167" s="694"/>
      <c r="EQ167" s="694"/>
      <c r="ER167" s="694"/>
      <c r="ES167" s="694"/>
      <c r="ET167" s="694"/>
      <c r="EU167" s="694"/>
      <c r="EV167" s="694"/>
      <c r="EW167" s="694"/>
      <c r="EX167" s="694"/>
      <c r="EY167" s="694"/>
      <c r="EZ167" s="694"/>
      <c r="FA167" s="694"/>
      <c r="FB167" s="694"/>
      <c r="FC167" s="694"/>
      <c r="FD167" s="694"/>
      <c r="FE167" s="694"/>
      <c r="FF167" s="694"/>
      <c r="FG167" s="694"/>
      <c r="FH167" s="694"/>
      <c r="FI167" s="694"/>
      <c r="FJ167" s="694"/>
      <c r="FK167" s="694"/>
      <c r="FL167" s="694"/>
      <c r="FM167" s="694"/>
      <c r="FN167" s="694"/>
      <c r="FO167" s="694"/>
      <c r="FP167" s="694"/>
      <c r="FQ167" s="697"/>
    </row>
    <row r="168" spans="1:173" s="696" customFormat="1">
      <c r="A168" s="690"/>
      <c r="B168" s="690"/>
      <c r="C168" s="691" t="s">
        <v>3649</v>
      </c>
      <c r="D168" s="691"/>
      <c r="E168" s="640">
        <v>33</v>
      </c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>
        <f t="shared" si="29"/>
        <v>33</v>
      </c>
      <c r="Q168" s="692"/>
      <c r="R168" s="693"/>
      <c r="S168" s="693"/>
      <c r="T168" s="693"/>
      <c r="U168" s="692" t="s">
        <v>1903</v>
      </c>
      <c r="V168" s="692"/>
      <c r="W168" s="692">
        <v>2</v>
      </c>
      <c r="X168" s="692"/>
      <c r="Y168" s="692"/>
      <c r="Z168" s="692"/>
      <c r="AA168" s="692"/>
      <c r="AB168" s="692"/>
      <c r="AC168" s="692"/>
      <c r="AD168" s="692"/>
      <c r="AE168" s="725">
        <v>1</v>
      </c>
      <c r="AF168" s="957"/>
      <c r="AG168" s="692"/>
      <c r="AH168" s="692"/>
      <c r="AI168" s="692"/>
      <c r="AJ168" s="692"/>
      <c r="AK168" s="692"/>
      <c r="AL168" s="692"/>
      <c r="AM168" s="692"/>
      <c r="AN168" s="692"/>
      <c r="AO168" s="692"/>
      <c r="AP168" s="692"/>
      <c r="AQ168" s="692"/>
      <c r="AR168" s="692"/>
      <c r="AS168" s="692"/>
      <c r="AT168" s="692"/>
      <c r="AU168" s="692"/>
      <c r="AV168" s="692"/>
      <c r="AW168" s="692">
        <f t="shared" si="30"/>
        <v>1</v>
      </c>
      <c r="AX168" s="692"/>
      <c r="AY168" s="692"/>
      <c r="AZ168" s="516">
        <f t="shared" si="31"/>
        <v>2</v>
      </c>
      <c r="BA168" s="516">
        <f t="shared" si="32"/>
        <v>0</v>
      </c>
      <c r="BB168" s="516"/>
      <c r="BC168" s="516"/>
      <c r="BD168" s="516">
        <f t="shared" si="33"/>
        <v>1</v>
      </c>
      <c r="BE168" s="516">
        <f t="shared" si="34"/>
        <v>0</v>
      </c>
      <c r="BF168" s="692"/>
      <c r="BG168" s="692"/>
      <c r="BH168" s="692"/>
      <c r="BI168" s="692"/>
      <c r="BJ168" s="692">
        <f t="shared" si="35"/>
        <v>5</v>
      </c>
      <c r="BK168" s="692"/>
      <c r="BL168" s="692"/>
      <c r="BM168" s="692"/>
      <c r="BN168" s="692"/>
      <c r="BO168" s="692"/>
      <c r="BP168" s="692"/>
      <c r="BQ168" s="692">
        <f t="shared" si="36"/>
        <v>1</v>
      </c>
      <c r="BR168" s="692"/>
      <c r="BS168" s="692">
        <f t="shared" si="37"/>
        <v>0</v>
      </c>
      <c r="BT168" s="692">
        <f t="shared" si="38"/>
        <v>2</v>
      </c>
      <c r="BU168" s="692"/>
      <c r="BV168" s="692"/>
      <c r="BW168" s="692"/>
      <c r="BX168" s="692"/>
      <c r="BY168" s="692"/>
      <c r="BZ168" s="692"/>
      <c r="CA168" s="692"/>
      <c r="CB168" s="692">
        <v>1</v>
      </c>
      <c r="CC168" s="692"/>
      <c r="CD168" s="692">
        <f t="shared" si="39"/>
        <v>4</v>
      </c>
      <c r="CE168" s="692"/>
      <c r="CF168" s="692"/>
      <c r="CG168" s="692"/>
      <c r="CH168" s="692"/>
      <c r="CI168" s="692"/>
      <c r="CJ168" s="692"/>
      <c r="CK168" s="692"/>
      <c r="CL168" s="692"/>
      <c r="CM168" s="692"/>
      <c r="CN168" s="692"/>
      <c r="CO168" s="692"/>
      <c r="CP168" s="692"/>
      <c r="CQ168" s="692"/>
      <c r="CR168" s="692"/>
      <c r="CS168" s="692"/>
      <c r="CT168" s="692"/>
      <c r="CU168" s="692"/>
      <c r="CV168" s="692"/>
      <c r="CW168" s="692"/>
      <c r="CX168" s="694"/>
      <c r="CY168" s="694"/>
      <c r="CZ168" s="694"/>
      <c r="DA168" s="694"/>
      <c r="DB168" s="694"/>
      <c r="DC168" s="694"/>
      <c r="DD168" s="694"/>
      <c r="DE168" s="694"/>
      <c r="DF168" s="694"/>
      <c r="DG168" s="695"/>
      <c r="DH168" s="695"/>
      <c r="DI168" s="695"/>
      <c r="DJ168" s="695"/>
      <c r="DK168" s="695"/>
      <c r="DL168" s="695"/>
      <c r="DM168" s="695"/>
      <c r="DN168" s="695"/>
      <c r="DO168" s="695"/>
      <c r="DP168" s="695"/>
      <c r="DQ168" s="695"/>
      <c r="DR168" s="695"/>
      <c r="DS168" s="694"/>
      <c r="DT168" s="694"/>
      <c r="DU168" s="694"/>
      <c r="DV168" s="694"/>
      <c r="DW168" s="694"/>
      <c r="DX168" s="694"/>
      <c r="DY168" s="694"/>
      <c r="DZ168" s="694"/>
      <c r="EA168" s="694"/>
      <c r="EB168" s="694"/>
      <c r="EC168" s="694"/>
      <c r="ED168" s="694"/>
      <c r="EE168" s="694"/>
      <c r="EF168" s="694"/>
      <c r="EG168" s="694"/>
      <c r="EH168" s="694"/>
      <c r="EI168" s="694"/>
      <c r="EJ168" s="694"/>
      <c r="EK168" s="694"/>
      <c r="EL168" s="694"/>
      <c r="EM168" s="694"/>
      <c r="EN168" s="694"/>
      <c r="EO168" s="694"/>
      <c r="EP168" s="694"/>
      <c r="EQ168" s="694"/>
      <c r="ER168" s="694"/>
      <c r="ES168" s="694"/>
      <c r="ET168" s="694"/>
      <c r="EU168" s="694"/>
      <c r="EV168" s="694"/>
      <c r="EW168" s="694"/>
      <c r="EX168" s="694"/>
      <c r="EY168" s="694"/>
      <c r="EZ168" s="694"/>
      <c r="FA168" s="694"/>
      <c r="FB168" s="694"/>
      <c r="FC168" s="694"/>
      <c r="FD168" s="694"/>
      <c r="FE168" s="694"/>
      <c r="FF168" s="694"/>
      <c r="FG168" s="694"/>
      <c r="FH168" s="694"/>
      <c r="FI168" s="694"/>
      <c r="FJ168" s="694"/>
      <c r="FK168" s="694"/>
      <c r="FL168" s="694"/>
      <c r="FM168" s="694"/>
      <c r="FN168" s="694"/>
      <c r="FO168" s="694"/>
      <c r="FP168" s="694"/>
      <c r="FQ168" s="697"/>
    </row>
    <row r="169" spans="1:173" s="696" customFormat="1">
      <c r="A169" s="690"/>
      <c r="B169" s="690"/>
      <c r="C169" s="691" t="s">
        <v>3650</v>
      </c>
      <c r="D169" s="691"/>
      <c r="E169" s="640">
        <v>33</v>
      </c>
      <c r="F169" s="692"/>
      <c r="G169" s="692"/>
      <c r="H169" s="692"/>
      <c r="I169" s="692"/>
      <c r="J169" s="692"/>
      <c r="K169" s="692"/>
      <c r="L169" s="692"/>
      <c r="M169" s="692"/>
      <c r="N169" s="692"/>
      <c r="O169" s="692"/>
      <c r="P169" s="692">
        <f t="shared" si="29"/>
        <v>33</v>
      </c>
      <c r="Q169" s="692"/>
      <c r="R169" s="693"/>
      <c r="S169" s="693"/>
      <c r="T169" s="693"/>
      <c r="U169" s="692" t="s">
        <v>1903</v>
      </c>
      <c r="V169" s="692"/>
      <c r="W169" s="692">
        <v>2</v>
      </c>
      <c r="X169" s="692"/>
      <c r="Y169" s="692"/>
      <c r="Z169" s="692"/>
      <c r="AA169" s="692"/>
      <c r="AB169" s="692"/>
      <c r="AC169" s="692"/>
      <c r="AD169" s="692"/>
      <c r="AE169" s="725">
        <v>1</v>
      </c>
      <c r="AF169" s="957"/>
      <c r="AG169" s="692"/>
      <c r="AH169" s="692"/>
      <c r="AI169" s="692"/>
      <c r="AJ169" s="692"/>
      <c r="AK169" s="692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>
        <v>1</v>
      </c>
      <c r="AV169" s="692"/>
      <c r="AW169" s="692">
        <f t="shared" si="30"/>
        <v>1</v>
      </c>
      <c r="AX169" s="692"/>
      <c r="AY169" s="692"/>
      <c r="AZ169" s="516">
        <f t="shared" si="31"/>
        <v>2</v>
      </c>
      <c r="BA169" s="516">
        <f t="shared" si="32"/>
        <v>0</v>
      </c>
      <c r="BB169" s="516"/>
      <c r="BC169" s="516"/>
      <c r="BD169" s="516">
        <f t="shared" si="33"/>
        <v>1</v>
      </c>
      <c r="BE169" s="516">
        <f t="shared" si="34"/>
        <v>0</v>
      </c>
      <c r="BF169" s="692"/>
      <c r="BG169" s="692"/>
      <c r="BH169" s="692"/>
      <c r="BI169" s="692"/>
      <c r="BJ169" s="692">
        <f t="shared" si="35"/>
        <v>7</v>
      </c>
      <c r="BK169" s="692"/>
      <c r="BL169" s="692"/>
      <c r="BM169" s="692"/>
      <c r="BN169" s="692"/>
      <c r="BO169" s="692"/>
      <c r="BP169" s="692"/>
      <c r="BQ169" s="692">
        <f t="shared" si="36"/>
        <v>1</v>
      </c>
      <c r="BR169" s="692"/>
      <c r="BS169" s="692">
        <f t="shared" si="37"/>
        <v>0</v>
      </c>
      <c r="BT169" s="692">
        <f t="shared" si="38"/>
        <v>2</v>
      </c>
      <c r="BU169" s="692"/>
      <c r="BV169" s="692"/>
      <c r="BW169" s="692"/>
      <c r="BX169" s="692"/>
      <c r="BY169" s="692"/>
      <c r="BZ169" s="692"/>
      <c r="CA169" s="692"/>
      <c r="CB169" s="692">
        <v>1</v>
      </c>
      <c r="CC169" s="692"/>
      <c r="CD169" s="692">
        <f t="shared" si="39"/>
        <v>4</v>
      </c>
      <c r="CE169" s="692"/>
      <c r="CF169" s="692"/>
      <c r="CG169" s="692"/>
      <c r="CH169" s="692"/>
      <c r="CI169" s="692"/>
      <c r="CJ169" s="692"/>
      <c r="CK169" s="692"/>
      <c r="CL169" s="692"/>
      <c r="CM169" s="692"/>
      <c r="CN169" s="692"/>
      <c r="CO169" s="692"/>
      <c r="CP169" s="692"/>
      <c r="CQ169" s="692"/>
      <c r="CR169" s="692"/>
      <c r="CS169" s="692"/>
      <c r="CT169" s="692"/>
      <c r="CU169" s="692"/>
      <c r="CV169" s="692"/>
      <c r="CW169" s="692"/>
      <c r="CX169" s="694"/>
      <c r="CY169" s="694"/>
      <c r="CZ169" s="694"/>
      <c r="DA169" s="694"/>
      <c r="DB169" s="694"/>
      <c r="DC169" s="694"/>
      <c r="DD169" s="694"/>
      <c r="DE169" s="694"/>
      <c r="DF169" s="694"/>
      <c r="DG169" s="695"/>
      <c r="DH169" s="695"/>
      <c r="DI169" s="695"/>
      <c r="DJ169" s="695"/>
      <c r="DK169" s="695"/>
      <c r="DL169" s="695"/>
      <c r="DM169" s="695"/>
      <c r="DN169" s="695"/>
      <c r="DO169" s="695"/>
      <c r="DP169" s="695"/>
      <c r="DQ169" s="695"/>
      <c r="DR169" s="695"/>
      <c r="DS169" s="694"/>
      <c r="DT169" s="694"/>
      <c r="DU169" s="694"/>
      <c r="DV169" s="694"/>
      <c r="DW169" s="694"/>
      <c r="DX169" s="694"/>
      <c r="DY169" s="694"/>
      <c r="DZ169" s="694"/>
      <c r="EA169" s="694"/>
      <c r="EB169" s="694"/>
      <c r="EC169" s="694"/>
      <c r="ED169" s="694"/>
      <c r="EE169" s="694"/>
      <c r="EF169" s="694"/>
      <c r="EG169" s="694"/>
      <c r="EH169" s="694"/>
      <c r="EI169" s="694"/>
      <c r="EJ169" s="694"/>
      <c r="EK169" s="694"/>
      <c r="EL169" s="694"/>
      <c r="EM169" s="694"/>
      <c r="EN169" s="694"/>
      <c r="EO169" s="694"/>
      <c r="EP169" s="694"/>
      <c r="EQ169" s="694"/>
      <c r="ER169" s="694"/>
      <c r="ES169" s="694"/>
      <c r="ET169" s="694"/>
      <c r="EU169" s="694"/>
      <c r="EV169" s="694"/>
      <c r="EW169" s="694"/>
      <c r="EX169" s="694"/>
      <c r="EY169" s="694"/>
      <c r="EZ169" s="694"/>
      <c r="FA169" s="694"/>
      <c r="FB169" s="694"/>
      <c r="FC169" s="694"/>
      <c r="FD169" s="694"/>
      <c r="FE169" s="694"/>
      <c r="FF169" s="694"/>
      <c r="FG169" s="694"/>
      <c r="FH169" s="694"/>
      <c r="FI169" s="694"/>
      <c r="FJ169" s="694"/>
      <c r="FK169" s="694"/>
      <c r="FL169" s="694"/>
      <c r="FM169" s="694"/>
      <c r="FN169" s="694"/>
      <c r="FO169" s="694"/>
      <c r="FP169" s="694"/>
      <c r="FQ169" s="697"/>
    </row>
    <row r="170" spans="1:173" s="696" customFormat="1">
      <c r="A170" s="690"/>
      <c r="B170" s="690"/>
      <c r="C170" s="691" t="s">
        <v>3651</v>
      </c>
      <c r="D170" s="691"/>
      <c r="E170" s="640">
        <v>35</v>
      </c>
      <c r="F170" s="692"/>
      <c r="G170" s="692"/>
      <c r="H170" s="692"/>
      <c r="I170" s="692"/>
      <c r="J170" s="692"/>
      <c r="K170" s="692"/>
      <c r="L170" s="692"/>
      <c r="M170" s="692"/>
      <c r="N170" s="692"/>
      <c r="O170" s="692"/>
      <c r="P170" s="692">
        <f t="shared" si="29"/>
        <v>35</v>
      </c>
      <c r="Q170" s="692"/>
      <c r="R170" s="693"/>
      <c r="S170" s="693"/>
      <c r="T170" s="693"/>
      <c r="U170" s="692" t="s">
        <v>2990</v>
      </c>
      <c r="V170" s="692"/>
      <c r="W170" s="692">
        <v>2</v>
      </c>
      <c r="X170" s="692"/>
      <c r="Y170" s="692"/>
      <c r="Z170" s="692"/>
      <c r="AA170" s="692"/>
      <c r="AB170" s="692"/>
      <c r="AC170" s="692"/>
      <c r="AD170" s="692"/>
      <c r="AE170" s="725">
        <v>1</v>
      </c>
      <c r="AF170" s="957"/>
      <c r="AG170" s="692"/>
      <c r="AH170" s="692"/>
      <c r="AI170" s="692"/>
      <c r="AJ170" s="692"/>
      <c r="AK170" s="692"/>
      <c r="AL170" s="692"/>
      <c r="AM170" s="692"/>
      <c r="AN170" s="692"/>
      <c r="AO170" s="692"/>
      <c r="AP170" s="692"/>
      <c r="AQ170" s="692"/>
      <c r="AR170" s="692"/>
      <c r="AS170" s="692"/>
      <c r="AT170" s="692"/>
      <c r="AU170" s="692"/>
      <c r="AV170" s="692"/>
      <c r="AW170" s="692">
        <f t="shared" si="30"/>
        <v>1</v>
      </c>
      <c r="AX170" s="692"/>
      <c r="AY170" s="692"/>
      <c r="AZ170" s="516">
        <f t="shared" si="31"/>
        <v>2</v>
      </c>
      <c r="BA170" s="516">
        <f t="shared" si="32"/>
        <v>0</v>
      </c>
      <c r="BB170" s="516"/>
      <c r="BC170" s="516"/>
      <c r="BD170" s="516">
        <f t="shared" si="33"/>
        <v>1</v>
      </c>
      <c r="BE170" s="516">
        <f t="shared" si="34"/>
        <v>0</v>
      </c>
      <c r="BF170" s="692"/>
      <c r="BG170" s="692"/>
      <c r="BH170" s="692"/>
      <c r="BI170" s="692"/>
      <c r="BJ170" s="692">
        <f t="shared" si="35"/>
        <v>5</v>
      </c>
      <c r="BK170" s="692"/>
      <c r="BL170" s="692"/>
      <c r="BM170" s="692"/>
      <c r="BN170" s="692"/>
      <c r="BO170" s="692"/>
      <c r="BP170" s="692"/>
      <c r="BQ170" s="692">
        <f t="shared" si="36"/>
        <v>0</v>
      </c>
      <c r="BR170" s="692"/>
      <c r="BS170" s="692">
        <f t="shared" si="37"/>
        <v>0</v>
      </c>
      <c r="BT170" s="692">
        <f t="shared" si="38"/>
        <v>0</v>
      </c>
      <c r="BU170" s="692"/>
      <c r="BV170" s="692"/>
      <c r="BW170" s="692"/>
      <c r="BX170" s="692"/>
      <c r="BY170" s="692">
        <v>1</v>
      </c>
      <c r="BZ170" s="692"/>
      <c r="CA170" s="692"/>
      <c r="CB170" s="692">
        <v>1</v>
      </c>
      <c r="CC170" s="692"/>
      <c r="CD170" s="692">
        <f t="shared" si="39"/>
        <v>4</v>
      </c>
      <c r="CE170" s="692"/>
      <c r="CF170" s="692"/>
      <c r="CG170" s="692"/>
      <c r="CH170" s="692"/>
      <c r="CI170" s="692"/>
      <c r="CJ170" s="692"/>
      <c r="CK170" s="692"/>
      <c r="CL170" s="692"/>
      <c r="CM170" s="692"/>
      <c r="CN170" s="692"/>
      <c r="CO170" s="692"/>
      <c r="CP170" s="692"/>
      <c r="CQ170" s="692"/>
      <c r="CR170" s="692"/>
      <c r="CS170" s="692"/>
      <c r="CT170" s="692"/>
      <c r="CU170" s="692"/>
      <c r="CV170" s="692"/>
      <c r="CW170" s="692"/>
      <c r="CX170" s="694"/>
      <c r="CY170" s="694"/>
      <c r="CZ170" s="694"/>
      <c r="DA170" s="694"/>
      <c r="DB170" s="694"/>
      <c r="DC170" s="694"/>
      <c r="DD170" s="694"/>
      <c r="DE170" s="694"/>
      <c r="DF170" s="694"/>
      <c r="DG170" s="695"/>
      <c r="DH170" s="695"/>
      <c r="DI170" s="695"/>
      <c r="DJ170" s="695"/>
      <c r="DK170" s="695"/>
      <c r="DL170" s="695"/>
      <c r="DM170" s="695"/>
      <c r="DN170" s="695"/>
      <c r="DO170" s="695"/>
      <c r="DP170" s="695"/>
      <c r="DQ170" s="695"/>
      <c r="DR170" s="695"/>
      <c r="DS170" s="694"/>
      <c r="DT170" s="694"/>
      <c r="DU170" s="694"/>
      <c r="DV170" s="694"/>
      <c r="DW170" s="694"/>
      <c r="DX170" s="694"/>
      <c r="DY170" s="694"/>
      <c r="DZ170" s="694"/>
      <c r="EA170" s="694"/>
      <c r="EB170" s="694"/>
      <c r="EC170" s="694"/>
      <c r="ED170" s="694"/>
      <c r="EE170" s="694"/>
      <c r="EF170" s="694"/>
      <c r="EG170" s="694"/>
      <c r="EH170" s="694"/>
      <c r="EI170" s="694"/>
      <c r="EJ170" s="694"/>
      <c r="EK170" s="694"/>
      <c r="EL170" s="694"/>
      <c r="EM170" s="694"/>
      <c r="EN170" s="694"/>
      <c r="EO170" s="694"/>
      <c r="EP170" s="694"/>
      <c r="EQ170" s="694"/>
      <c r="ER170" s="694"/>
      <c r="ES170" s="694"/>
      <c r="ET170" s="694"/>
      <c r="EU170" s="694"/>
      <c r="EV170" s="694"/>
      <c r="EW170" s="694"/>
      <c r="EX170" s="694"/>
      <c r="EY170" s="694"/>
      <c r="EZ170" s="694"/>
      <c r="FA170" s="694"/>
      <c r="FB170" s="694"/>
      <c r="FC170" s="694"/>
      <c r="FD170" s="694"/>
      <c r="FE170" s="694"/>
      <c r="FF170" s="694"/>
      <c r="FG170" s="694"/>
      <c r="FH170" s="694"/>
      <c r="FI170" s="694"/>
      <c r="FJ170" s="694"/>
      <c r="FK170" s="694"/>
      <c r="FL170" s="694"/>
      <c r="FM170" s="694"/>
      <c r="FN170" s="694"/>
      <c r="FO170" s="694"/>
      <c r="FP170" s="694"/>
      <c r="FQ170" s="697"/>
    </row>
    <row r="171" spans="1:173" s="696" customFormat="1">
      <c r="A171" s="690"/>
      <c r="B171" s="690"/>
      <c r="C171" s="691" t="s">
        <v>3652</v>
      </c>
      <c r="D171" s="691"/>
      <c r="E171" s="640">
        <v>25</v>
      </c>
      <c r="F171" s="692"/>
      <c r="G171" s="692"/>
      <c r="H171" s="692"/>
      <c r="I171" s="692"/>
      <c r="J171" s="692"/>
      <c r="K171" s="692"/>
      <c r="L171" s="692"/>
      <c r="M171" s="692"/>
      <c r="N171" s="692"/>
      <c r="O171" s="692"/>
      <c r="P171" s="692">
        <f t="shared" si="29"/>
        <v>25</v>
      </c>
      <c r="Q171" s="692"/>
      <c r="R171" s="693"/>
      <c r="S171" s="693"/>
      <c r="T171" s="693"/>
      <c r="U171" s="692" t="s">
        <v>2989</v>
      </c>
      <c r="V171" s="692"/>
      <c r="W171" s="692">
        <v>2</v>
      </c>
      <c r="X171" s="692"/>
      <c r="Y171" s="692"/>
      <c r="Z171" s="692"/>
      <c r="AA171" s="692"/>
      <c r="AB171" s="692"/>
      <c r="AC171" s="692"/>
      <c r="AD171" s="692"/>
      <c r="AE171" s="725">
        <v>1</v>
      </c>
      <c r="AF171" s="957"/>
      <c r="AG171" s="692"/>
      <c r="AH171" s="692"/>
      <c r="AI171" s="692"/>
      <c r="AJ171" s="692"/>
      <c r="AK171" s="692"/>
      <c r="AL171" s="692"/>
      <c r="AM171" s="692"/>
      <c r="AN171" s="692"/>
      <c r="AO171" s="692"/>
      <c r="AP171" s="692"/>
      <c r="AQ171" s="692"/>
      <c r="AR171" s="692"/>
      <c r="AS171" s="692"/>
      <c r="AT171" s="692"/>
      <c r="AU171" s="692"/>
      <c r="AV171" s="692"/>
      <c r="AW171" s="692">
        <f t="shared" si="30"/>
        <v>1</v>
      </c>
      <c r="AX171" s="692"/>
      <c r="AY171" s="692"/>
      <c r="AZ171" s="516">
        <f t="shared" si="31"/>
        <v>2</v>
      </c>
      <c r="BA171" s="516">
        <f t="shared" si="32"/>
        <v>0</v>
      </c>
      <c r="BB171" s="516"/>
      <c r="BC171" s="516"/>
      <c r="BD171" s="516">
        <f t="shared" si="33"/>
        <v>2</v>
      </c>
      <c r="BE171" s="516">
        <f t="shared" si="34"/>
        <v>0</v>
      </c>
      <c r="BF171" s="692"/>
      <c r="BG171" s="692"/>
      <c r="BH171" s="692"/>
      <c r="BI171" s="692"/>
      <c r="BJ171" s="692">
        <f t="shared" si="35"/>
        <v>5</v>
      </c>
      <c r="BK171" s="692"/>
      <c r="BL171" s="692"/>
      <c r="BM171" s="692"/>
      <c r="BN171" s="692"/>
      <c r="BO171" s="692"/>
      <c r="BP171" s="692"/>
      <c r="BQ171" s="692">
        <f t="shared" si="36"/>
        <v>0</v>
      </c>
      <c r="BR171" s="692"/>
      <c r="BS171" s="692">
        <f t="shared" si="37"/>
        <v>0</v>
      </c>
      <c r="BT171" s="692">
        <f t="shared" si="38"/>
        <v>0</v>
      </c>
      <c r="BU171" s="692"/>
      <c r="BV171" s="692"/>
      <c r="BW171" s="692"/>
      <c r="BX171" s="692"/>
      <c r="BY171" s="692">
        <v>2</v>
      </c>
      <c r="BZ171" s="692"/>
      <c r="CA171" s="692"/>
      <c r="CB171" s="692">
        <v>1</v>
      </c>
      <c r="CC171" s="692"/>
      <c r="CD171" s="692">
        <f t="shared" si="39"/>
        <v>4</v>
      </c>
      <c r="CE171" s="692"/>
      <c r="CF171" s="692"/>
      <c r="CG171" s="692"/>
      <c r="CH171" s="692"/>
      <c r="CI171" s="692"/>
      <c r="CJ171" s="692"/>
      <c r="CK171" s="692"/>
      <c r="CL171" s="692"/>
      <c r="CM171" s="692"/>
      <c r="CN171" s="692"/>
      <c r="CO171" s="692"/>
      <c r="CP171" s="692"/>
      <c r="CQ171" s="692"/>
      <c r="CR171" s="692"/>
      <c r="CS171" s="692"/>
      <c r="CT171" s="692"/>
      <c r="CU171" s="692"/>
      <c r="CV171" s="692"/>
      <c r="CW171" s="692"/>
      <c r="CX171" s="694"/>
      <c r="CY171" s="694"/>
      <c r="CZ171" s="694"/>
      <c r="DA171" s="694"/>
      <c r="DB171" s="694"/>
      <c r="DC171" s="694"/>
      <c r="DD171" s="694"/>
      <c r="DE171" s="694"/>
      <c r="DF171" s="694"/>
      <c r="DG171" s="695"/>
      <c r="DH171" s="695"/>
      <c r="DI171" s="695"/>
      <c r="DJ171" s="695"/>
      <c r="DK171" s="695"/>
      <c r="DL171" s="695"/>
      <c r="DM171" s="695"/>
      <c r="DN171" s="695"/>
      <c r="DO171" s="695"/>
      <c r="DP171" s="695"/>
      <c r="DQ171" s="695"/>
      <c r="DR171" s="695"/>
      <c r="DS171" s="694"/>
      <c r="DT171" s="694"/>
      <c r="DU171" s="694"/>
      <c r="DV171" s="694"/>
      <c r="DW171" s="694"/>
      <c r="DX171" s="694"/>
      <c r="DY171" s="694"/>
      <c r="DZ171" s="694"/>
      <c r="EA171" s="694"/>
      <c r="EB171" s="694"/>
      <c r="EC171" s="694"/>
      <c r="ED171" s="694"/>
      <c r="EE171" s="694"/>
      <c r="EF171" s="694"/>
      <c r="EG171" s="694"/>
      <c r="EH171" s="694"/>
      <c r="EI171" s="694"/>
      <c r="EJ171" s="694"/>
      <c r="EK171" s="694"/>
      <c r="EL171" s="694"/>
      <c r="EM171" s="694"/>
      <c r="EN171" s="694"/>
      <c r="EO171" s="694"/>
      <c r="EP171" s="694"/>
      <c r="EQ171" s="694"/>
      <c r="ER171" s="694"/>
      <c r="ES171" s="694"/>
      <c r="ET171" s="694"/>
      <c r="EU171" s="694"/>
      <c r="EV171" s="694"/>
      <c r="EW171" s="694"/>
      <c r="EX171" s="694"/>
      <c r="EY171" s="694"/>
      <c r="EZ171" s="694"/>
      <c r="FA171" s="694"/>
      <c r="FB171" s="694"/>
      <c r="FC171" s="694"/>
      <c r="FD171" s="694"/>
      <c r="FE171" s="694"/>
      <c r="FF171" s="694"/>
      <c r="FG171" s="694"/>
      <c r="FH171" s="694"/>
      <c r="FI171" s="694"/>
      <c r="FJ171" s="694"/>
      <c r="FK171" s="694"/>
      <c r="FL171" s="694"/>
      <c r="FM171" s="694"/>
      <c r="FN171" s="694"/>
      <c r="FO171" s="694"/>
      <c r="FP171" s="694"/>
      <c r="FQ171" s="697"/>
    </row>
    <row r="172" spans="1:173" s="696" customFormat="1">
      <c r="A172" s="690"/>
      <c r="B172" s="690"/>
      <c r="C172" s="691" t="s">
        <v>3653</v>
      </c>
      <c r="D172" s="691"/>
      <c r="E172" s="640">
        <v>30</v>
      </c>
      <c r="F172" s="692"/>
      <c r="G172" s="692"/>
      <c r="H172" s="692"/>
      <c r="I172" s="692"/>
      <c r="J172" s="692"/>
      <c r="K172" s="692"/>
      <c r="L172" s="692"/>
      <c r="M172" s="692"/>
      <c r="N172" s="692"/>
      <c r="O172" s="692"/>
      <c r="P172" s="692">
        <f t="shared" si="29"/>
        <v>30</v>
      </c>
      <c r="Q172" s="692"/>
      <c r="R172" s="693"/>
      <c r="S172" s="693"/>
      <c r="T172" s="693"/>
      <c r="U172" s="692" t="s">
        <v>1631</v>
      </c>
      <c r="V172" s="692"/>
      <c r="W172" s="692">
        <v>1</v>
      </c>
      <c r="X172" s="692"/>
      <c r="Y172" s="692"/>
      <c r="Z172" s="692">
        <v>1</v>
      </c>
      <c r="AA172" s="692"/>
      <c r="AB172" s="692"/>
      <c r="AC172" s="692"/>
      <c r="AD172" s="692"/>
      <c r="AE172" s="725"/>
      <c r="AF172" s="957"/>
      <c r="AG172" s="692"/>
      <c r="AH172" s="692"/>
      <c r="AI172" s="692"/>
      <c r="AJ172" s="692"/>
      <c r="AK172" s="692"/>
      <c r="AL172" s="692"/>
      <c r="AM172" s="692"/>
      <c r="AN172" s="692"/>
      <c r="AO172" s="692"/>
      <c r="AP172" s="692"/>
      <c r="AQ172" s="692"/>
      <c r="AR172" s="692"/>
      <c r="AS172" s="692"/>
      <c r="AT172" s="692"/>
      <c r="AU172" s="692">
        <v>1</v>
      </c>
      <c r="AV172" s="692"/>
      <c r="AW172" s="692">
        <f t="shared" si="30"/>
        <v>1</v>
      </c>
      <c r="AX172" s="692"/>
      <c r="AY172" s="692"/>
      <c r="AZ172" s="516">
        <f t="shared" si="31"/>
        <v>2</v>
      </c>
      <c r="BA172" s="516">
        <f t="shared" si="32"/>
        <v>0</v>
      </c>
      <c r="BB172" s="516"/>
      <c r="BC172" s="516"/>
      <c r="BD172" s="516">
        <f t="shared" si="33"/>
        <v>1</v>
      </c>
      <c r="BE172" s="516">
        <f t="shared" si="34"/>
        <v>0</v>
      </c>
      <c r="BF172" s="692"/>
      <c r="BG172" s="692"/>
      <c r="BH172" s="692"/>
      <c r="BI172" s="692"/>
      <c r="BJ172" s="692">
        <f t="shared" si="35"/>
        <v>7</v>
      </c>
      <c r="BK172" s="692"/>
      <c r="BL172" s="692"/>
      <c r="BM172" s="692"/>
      <c r="BN172" s="692"/>
      <c r="BO172" s="692"/>
      <c r="BP172" s="692"/>
      <c r="BQ172" s="692">
        <f t="shared" si="36"/>
        <v>0</v>
      </c>
      <c r="BR172" s="692"/>
      <c r="BS172" s="692">
        <f t="shared" si="37"/>
        <v>0</v>
      </c>
      <c r="BT172" s="692">
        <f t="shared" si="38"/>
        <v>1</v>
      </c>
      <c r="BU172" s="692"/>
      <c r="BV172" s="692"/>
      <c r="BW172" s="692"/>
      <c r="BX172" s="692"/>
      <c r="BY172" s="692"/>
      <c r="BZ172" s="692"/>
      <c r="CA172" s="692"/>
      <c r="CB172" s="692">
        <v>1</v>
      </c>
      <c r="CC172" s="692"/>
      <c r="CD172" s="692">
        <f t="shared" si="39"/>
        <v>4</v>
      </c>
      <c r="CE172" s="692"/>
      <c r="CF172" s="692"/>
      <c r="CG172" s="692"/>
      <c r="CH172" s="692"/>
      <c r="CI172" s="692"/>
      <c r="CJ172" s="692"/>
      <c r="CK172" s="692"/>
      <c r="CL172" s="692"/>
      <c r="CM172" s="692"/>
      <c r="CN172" s="692"/>
      <c r="CO172" s="692"/>
      <c r="CP172" s="692"/>
      <c r="CQ172" s="692"/>
      <c r="CR172" s="692"/>
      <c r="CS172" s="692"/>
      <c r="CT172" s="692"/>
      <c r="CU172" s="692"/>
      <c r="CV172" s="692"/>
      <c r="CW172" s="692"/>
      <c r="CX172" s="694"/>
      <c r="CY172" s="694"/>
      <c r="CZ172" s="694"/>
      <c r="DA172" s="694"/>
      <c r="DB172" s="694"/>
      <c r="DC172" s="694"/>
      <c r="DD172" s="694"/>
      <c r="DE172" s="694"/>
      <c r="DF172" s="694"/>
      <c r="DG172" s="695"/>
      <c r="DH172" s="695"/>
      <c r="DI172" s="695"/>
      <c r="DJ172" s="695"/>
      <c r="DK172" s="695"/>
      <c r="DL172" s="695"/>
      <c r="DM172" s="695"/>
      <c r="DN172" s="695"/>
      <c r="DO172" s="695"/>
      <c r="DP172" s="695"/>
      <c r="DQ172" s="695"/>
      <c r="DR172" s="695"/>
      <c r="DS172" s="694"/>
      <c r="DT172" s="694"/>
      <c r="DU172" s="694"/>
      <c r="DV172" s="694"/>
      <c r="DW172" s="694"/>
      <c r="DX172" s="694"/>
      <c r="DY172" s="694"/>
      <c r="DZ172" s="694"/>
      <c r="EA172" s="694"/>
      <c r="EB172" s="694"/>
      <c r="EC172" s="694"/>
      <c r="ED172" s="694"/>
      <c r="EE172" s="694"/>
      <c r="EF172" s="694"/>
      <c r="EG172" s="694"/>
      <c r="EH172" s="694"/>
      <c r="EI172" s="694"/>
      <c r="EJ172" s="694"/>
      <c r="EK172" s="694"/>
      <c r="EL172" s="694"/>
      <c r="EM172" s="694"/>
      <c r="EN172" s="694"/>
      <c r="EO172" s="694"/>
      <c r="EP172" s="694"/>
      <c r="EQ172" s="694"/>
      <c r="ER172" s="694"/>
      <c r="ES172" s="694"/>
      <c r="ET172" s="694"/>
      <c r="EU172" s="694"/>
      <c r="EV172" s="694"/>
      <c r="EW172" s="694"/>
      <c r="EX172" s="694"/>
      <c r="EY172" s="694"/>
      <c r="EZ172" s="694"/>
      <c r="FA172" s="694"/>
      <c r="FB172" s="694"/>
      <c r="FC172" s="694"/>
      <c r="FD172" s="694"/>
      <c r="FE172" s="694"/>
      <c r="FF172" s="694"/>
      <c r="FG172" s="694"/>
      <c r="FH172" s="694"/>
      <c r="FI172" s="694"/>
      <c r="FJ172" s="694"/>
      <c r="FK172" s="694"/>
      <c r="FL172" s="694"/>
      <c r="FM172" s="694"/>
      <c r="FN172" s="694"/>
      <c r="FO172" s="694"/>
      <c r="FP172" s="694"/>
      <c r="FQ172" s="697"/>
    </row>
    <row r="173" spans="1:173" s="696" customFormat="1">
      <c r="A173" s="690"/>
      <c r="B173" s="690"/>
      <c r="C173" s="691" t="s">
        <v>3654</v>
      </c>
      <c r="D173" s="691"/>
      <c r="E173" s="640">
        <v>30</v>
      </c>
      <c r="F173" s="692"/>
      <c r="G173" s="692"/>
      <c r="H173" s="692"/>
      <c r="I173" s="692"/>
      <c r="J173" s="692"/>
      <c r="K173" s="692"/>
      <c r="L173" s="692"/>
      <c r="M173" s="692"/>
      <c r="N173" s="692"/>
      <c r="O173" s="692"/>
      <c r="P173" s="692">
        <f t="shared" si="29"/>
        <v>30</v>
      </c>
      <c r="Q173" s="692"/>
      <c r="R173" s="693"/>
      <c r="S173" s="693"/>
      <c r="T173" s="693"/>
      <c r="U173" s="692" t="s">
        <v>1631</v>
      </c>
      <c r="V173" s="692"/>
      <c r="W173" s="692">
        <v>1</v>
      </c>
      <c r="X173" s="692"/>
      <c r="Y173" s="692"/>
      <c r="Z173" s="692">
        <v>1</v>
      </c>
      <c r="AA173" s="692"/>
      <c r="AB173" s="692"/>
      <c r="AC173" s="692"/>
      <c r="AD173" s="692"/>
      <c r="AE173" s="725"/>
      <c r="AF173" s="957"/>
      <c r="AG173" s="692"/>
      <c r="AH173" s="692"/>
      <c r="AI173" s="692"/>
      <c r="AJ173" s="692"/>
      <c r="AK173" s="692"/>
      <c r="AL173" s="692"/>
      <c r="AM173" s="692"/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>
        <f t="shared" si="30"/>
        <v>1</v>
      </c>
      <c r="AX173" s="692"/>
      <c r="AY173" s="692"/>
      <c r="AZ173" s="516">
        <f t="shared" si="31"/>
        <v>2</v>
      </c>
      <c r="BA173" s="516">
        <f t="shared" si="32"/>
        <v>0</v>
      </c>
      <c r="BB173" s="516"/>
      <c r="BC173" s="516"/>
      <c r="BD173" s="516">
        <f t="shared" si="33"/>
        <v>1</v>
      </c>
      <c r="BE173" s="516">
        <f t="shared" si="34"/>
        <v>0</v>
      </c>
      <c r="BF173" s="692"/>
      <c r="BG173" s="692"/>
      <c r="BH173" s="692"/>
      <c r="BI173" s="692"/>
      <c r="BJ173" s="692">
        <f t="shared" si="35"/>
        <v>5</v>
      </c>
      <c r="BK173" s="692"/>
      <c r="BL173" s="692"/>
      <c r="BM173" s="692"/>
      <c r="BN173" s="692"/>
      <c r="BO173" s="692"/>
      <c r="BP173" s="692"/>
      <c r="BQ173" s="692">
        <f t="shared" si="36"/>
        <v>0</v>
      </c>
      <c r="BR173" s="692"/>
      <c r="BS173" s="692">
        <f t="shared" si="37"/>
        <v>0</v>
      </c>
      <c r="BT173" s="692">
        <f t="shared" si="38"/>
        <v>1</v>
      </c>
      <c r="BU173" s="692"/>
      <c r="BV173" s="692"/>
      <c r="BW173" s="692"/>
      <c r="BX173" s="692"/>
      <c r="BY173" s="692"/>
      <c r="BZ173" s="692"/>
      <c r="CA173" s="692"/>
      <c r="CB173" s="692">
        <v>1</v>
      </c>
      <c r="CC173" s="692"/>
      <c r="CD173" s="692">
        <f t="shared" si="39"/>
        <v>4</v>
      </c>
      <c r="CE173" s="692"/>
      <c r="CF173" s="692"/>
      <c r="CG173" s="692"/>
      <c r="CH173" s="692"/>
      <c r="CI173" s="692"/>
      <c r="CJ173" s="692"/>
      <c r="CK173" s="692"/>
      <c r="CL173" s="692"/>
      <c r="CM173" s="692"/>
      <c r="CN173" s="692"/>
      <c r="CO173" s="692"/>
      <c r="CP173" s="692"/>
      <c r="CQ173" s="692"/>
      <c r="CR173" s="692"/>
      <c r="CS173" s="692"/>
      <c r="CT173" s="692"/>
      <c r="CU173" s="692"/>
      <c r="CV173" s="692"/>
      <c r="CW173" s="692"/>
      <c r="CX173" s="694"/>
      <c r="CY173" s="694"/>
      <c r="CZ173" s="694"/>
      <c r="DA173" s="694"/>
      <c r="DB173" s="694"/>
      <c r="DC173" s="694"/>
      <c r="DD173" s="694"/>
      <c r="DE173" s="694"/>
      <c r="DF173" s="694"/>
      <c r="DG173" s="695"/>
      <c r="DH173" s="695"/>
      <c r="DI173" s="695"/>
      <c r="DJ173" s="695"/>
      <c r="DK173" s="695"/>
      <c r="DL173" s="695"/>
      <c r="DM173" s="695"/>
      <c r="DN173" s="695"/>
      <c r="DO173" s="695"/>
      <c r="DP173" s="695"/>
      <c r="DQ173" s="695"/>
      <c r="DR173" s="695"/>
      <c r="DS173" s="694"/>
      <c r="DT173" s="694"/>
      <c r="DU173" s="694"/>
      <c r="DV173" s="694"/>
      <c r="DW173" s="694"/>
      <c r="DX173" s="694"/>
      <c r="DY173" s="694"/>
      <c r="DZ173" s="694"/>
      <c r="EA173" s="694"/>
      <c r="EB173" s="694"/>
      <c r="EC173" s="694"/>
      <c r="ED173" s="694"/>
      <c r="EE173" s="694"/>
      <c r="EF173" s="694"/>
      <c r="EG173" s="694"/>
      <c r="EH173" s="694"/>
      <c r="EI173" s="694"/>
      <c r="EJ173" s="694"/>
      <c r="EK173" s="694"/>
      <c r="EL173" s="694"/>
      <c r="EM173" s="694"/>
      <c r="EN173" s="694"/>
      <c r="EO173" s="694"/>
      <c r="EP173" s="694"/>
      <c r="EQ173" s="694"/>
      <c r="ER173" s="694"/>
      <c r="ES173" s="694"/>
      <c r="ET173" s="694"/>
      <c r="EU173" s="694"/>
      <c r="EV173" s="694"/>
      <c r="EW173" s="694"/>
      <c r="EX173" s="694"/>
      <c r="EY173" s="694"/>
      <c r="EZ173" s="694"/>
      <c r="FA173" s="694"/>
      <c r="FB173" s="694"/>
      <c r="FC173" s="694"/>
      <c r="FD173" s="694"/>
      <c r="FE173" s="694"/>
      <c r="FF173" s="694"/>
      <c r="FG173" s="694"/>
      <c r="FH173" s="694"/>
      <c r="FI173" s="694"/>
      <c r="FJ173" s="694"/>
      <c r="FK173" s="694"/>
      <c r="FL173" s="694"/>
      <c r="FM173" s="694"/>
      <c r="FN173" s="694"/>
      <c r="FO173" s="694"/>
      <c r="FP173" s="694"/>
      <c r="FQ173" s="697"/>
    </row>
    <row r="174" spans="1:173" s="696" customFormat="1">
      <c r="A174" s="690"/>
      <c r="B174" s="690"/>
      <c r="C174" s="691" t="s">
        <v>3655</v>
      </c>
      <c r="D174" s="691"/>
      <c r="E174" s="640">
        <v>30</v>
      </c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>
        <f t="shared" si="29"/>
        <v>30</v>
      </c>
      <c r="Q174" s="692"/>
      <c r="R174" s="693"/>
      <c r="S174" s="693"/>
      <c r="T174" s="693"/>
      <c r="U174" s="692" t="s">
        <v>1631</v>
      </c>
      <c r="V174" s="692"/>
      <c r="W174" s="692">
        <v>1</v>
      </c>
      <c r="X174" s="692"/>
      <c r="Y174" s="692"/>
      <c r="Z174" s="692">
        <v>1</v>
      </c>
      <c r="AA174" s="692"/>
      <c r="AB174" s="692"/>
      <c r="AC174" s="692"/>
      <c r="AD174" s="692"/>
      <c r="AE174" s="725"/>
      <c r="AF174" s="957"/>
      <c r="AG174" s="692"/>
      <c r="AH174" s="692"/>
      <c r="AI174" s="692"/>
      <c r="AJ174" s="692"/>
      <c r="AK174" s="692"/>
      <c r="AL174" s="692"/>
      <c r="AM174" s="692"/>
      <c r="AN174" s="692"/>
      <c r="AO174" s="692"/>
      <c r="AP174" s="692"/>
      <c r="AQ174" s="692"/>
      <c r="AR174" s="692"/>
      <c r="AS174" s="692"/>
      <c r="AT174" s="692"/>
      <c r="AU174" s="692"/>
      <c r="AV174" s="692"/>
      <c r="AW174" s="692">
        <f t="shared" si="30"/>
        <v>1</v>
      </c>
      <c r="AX174" s="692"/>
      <c r="AY174" s="692"/>
      <c r="AZ174" s="516">
        <f t="shared" si="31"/>
        <v>2</v>
      </c>
      <c r="BA174" s="516">
        <f t="shared" si="32"/>
        <v>0</v>
      </c>
      <c r="BB174" s="516"/>
      <c r="BC174" s="516"/>
      <c r="BD174" s="516">
        <f t="shared" si="33"/>
        <v>1</v>
      </c>
      <c r="BE174" s="516">
        <f t="shared" si="34"/>
        <v>0</v>
      </c>
      <c r="BF174" s="692"/>
      <c r="BG174" s="692"/>
      <c r="BH174" s="692"/>
      <c r="BI174" s="692"/>
      <c r="BJ174" s="692">
        <f t="shared" si="35"/>
        <v>5</v>
      </c>
      <c r="BK174" s="692"/>
      <c r="BL174" s="692"/>
      <c r="BM174" s="692"/>
      <c r="BN174" s="692"/>
      <c r="BO174" s="692"/>
      <c r="BP174" s="692"/>
      <c r="BQ174" s="692">
        <f t="shared" si="36"/>
        <v>0</v>
      </c>
      <c r="BR174" s="692"/>
      <c r="BS174" s="692">
        <f t="shared" si="37"/>
        <v>0</v>
      </c>
      <c r="BT174" s="692">
        <f t="shared" si="38"/>
        <v>1</v>
      </c>
      <c r="BU174" s="692"/>
      <c r="BV174" s="692"/>
      <c r="BW174" s="692"/>
      <c r="BX174" s="692"/>
      <c r="BY174" s="692"/>
      <c r="BZ174" s="692"/>
      <c r="CA174" s="692"/>
      <c r="CB174" s="692">
        <v>1</v>
      </c>
      <c r="CC174" s="692"/>
      <c r="CD174" s="692">
        <f t="shared" si="39"/>
        <v>4</v>
      </c>
      <c r="CE174" s="692"/>
      <c r="CF174" s="692"/>
      <c r="CG174" s="692"/>
      <c r="CH174" s="692"/>
      <c r="CI174" s="692"/>
      <c r="CJ174" s="692"/>
      <c r="CK174" s="692"/>
      <c r="CL174" s="692"/>
      <c r="CM174" s="692"/>
      <c r="CN174" s="692"/>
      <c r="CO174" s="692"/>
      <c r="CP174" s="692"/>
      <c r="CQ174" s="692"/>
      <c r="CR174" s="692"/>
      <c r="CS174" s="692"/>
      <c r="CT174" s="692"/>
      <c r="CU174" s="692"/>
      <c r="CV174" s="692"/>
      <c r="CW174" s="692"/>
      <c r="CX174" s="694"/>
      <c r="CY174" s="694"/>
      <c r="CZ174" s="694"/>
      <c r="DA174" s="694"/>
      <c r="DB174" s="694"/>
      <c r="DC174" s="694"/>
      <c r="DD174" s="694"/>
      <c r="DE174" s="694"/>
      <c r="DF174" s="694"/>
      <c r="DG174" s="695"/>
      <c r="DH174" s="695"/>
      <c r="DI174" s="695"/>
      <c r="DJ174" s="695"/>
      <c r="DK174" s="695"/>
      <c r="DL174" s="695"/>
      <c r="DM174" s="695"/>
      <c r="DN174" s="695"/>
      <c r="DO174" s="695"/>
      <c r="DP174" s="695"/>
      <c r="DQ174" s="695"/>
      <c r="DR174" s="695"/>
      <c r="DS174" s="694"/>
      <c r="DT174" s="694"/>
      <c r="DU174" s="694"/>
      <c r="DV174" s="694"/>
      <c r="DW174" s="694"/>
      <c r="DX174" s="694"/>
      <c r="DY174" s="694"/>
      <c r="DZ174" s="694"/>
      <c r="EA174" s="694"/>
      <c r="EB174" s="694"/>
      <c r="EC174" s="694"/>
      <c r="ED174" s="694"/>
      <c r="EE174" s="694"/>
      <c r="EF174" s="694"/>
      <c r="EG174" s="694"/>
      <c r="EH174" s="694"/>
      <c r="EI174" s="694"/>
      <c r="EJ174" s="694"/>
      <c r="EK174" s="694"/>
      <c r="EL174" s="694"/>
      <c r="EM174" s="694"/>
      <c r="EN174" s="694"/>
      <c r="EO174" s="694"/>
      <c r="EP174" s="694"/>
      <c r="EQ174" s="694"/>
      <c r="ER174" s="694"/>
      <c r="ES174" s="694"/>
      <c r="ET174" s="694"/>
      <c r="EU174" s="694"/>
      <c r="EV174" s="694"/>
      <c r="EW174" s="694"/>
      <c r="EX174" s="694"/>
      <c r="EY174" s="694"/>
      <c r="EZ174" s="694"/>
      <c r="FA174" s="694"/>
      <c r="FB174" s="694"/>
      <c r="FC174" s="694"/>
      <c r="FD174" s="694"/>
      <c r="FE174" s="694"/>
      <c r="FF174" s="694"/>
      <c r="FG174" s="694"/>
      <c r="FH174" s="694"/>
      <c r="FI174" s="694"/>
      <c r="FJ174" s="694"/>
      <c r="FK174" s="694"/>
      <c r="FL174" s="694"/>
      <c r="FM174" s="694"/>
      <c r="FN174" s="694"/>
      <c r="FO174" s="694"/>
      <c r="FP174" s="694"/>
      <c r="FQ174" s="697"/>
    </row>
    <row r="175" spans="1:173" s="696" customFormat="1">
      <c r="A175" s="690"/>
      <c r="B175" s="690"/>
      <c r="C175" s="691" t="s">
        <v>3656</v>
      </c>
      <c r="D175" s="691"/>
      <c r="E175" s="640">
        <v>30</v>
      </c>
      <c r="F175" s="692"/>
      <c r="G175" s="692"/>
      <c r="H175" s="692"/>
      <c r="I175" s="692"/>
      <c r="J175" s="692"/>
      <c r="K175" s="692"/>
      <c r="L175" s="692"/>
      <c r="M175" s="692"/>
      <c r="N175" s="692"/>
      <c r="O175" s="692"/>
      <c r="P175" s="692">
        <f t="shared" si="29"/>
        <v>30</v>
      </c>
      <c r="Q175" s="692"/>
      <c r="R175" s="693"/>
      <c r="S175" s="693"/>
      <c r="T175" s="693"/>
      <c r="U175" s="692" t="s">
        <v>1631</v>
      </c>
      <c r="V175" s="692"/>
      <c r="W175" s="692">
        <v>1</v>
      </c>
      <c r="X175" s="692"/>
      <c r="Y175" s="692"/>
      <c r="Z175" s="692">
        <v>1</v>
      </c>
      <c r="AA175" s="692"/>
      <c r="AB175" s="692"/>
      <c r="AC175" s="692"/>
      <c r="AD175" s="692"/>
      <c r="AE175" s="725"/>
      <c r="AF175" s="957"/>
      <c r="AG175" s="692"/>
      <c r="AH175" s="692"/>
      <c r="AI175" s="692"/>
      <c r="AJ175" s="692"/>
      <c r="AK175" s="692"/>
      <c r="AL175" s="692"/>
      <c r="AM175" s="692"/>
      <c r="AN175" s="692"/>
      <c r="AO175" s="692"/>
      <c r="AP175" s="692"/>
      <c r="AQ175" s="692"/>
      <c r="AR175" s="692"/>
      <c r="AS175" s="692"/>
      <c r="AT175" s="692"/>
      <c r="AU175" s="692"/>
      <c r="AV175" s="692"/>
      <c r="AW175" s="692">
        <f t="shared" si="30"/>
        <v>1</v>
      </c>
      <c r="AX175" s="692"/>
      <c r="AY175" s="692"/>
      <c r="AZ175" s="516">
        <f t="shared" si="31"/>
        <v>2</v>
      </c>
      <c r="BA175" s="516">
        <f t="shared" si="32"/>
        <v>0</v>
      </c>
      <c r="BB175" s="516"/>
      <c r="BC175" s="516"/>
      <c r="BD175" s="516">
        <f t="shared" si="33"/>
        <v>1</v>
      </c>
      <c r="BE175" s="516">
        <f t="shared" si="34"/>
        <v>0</v>
      </c>
      <c r="BF175" s="692"/>
      <c r="BG175" s="692"/>
      <c r="BH175" s="692"/>
      <c r="BI175" s="692"/>
      <c r="BJ175" s="692">
        <f t="shared" si="35"/>
        <v>5</v>
      </c>
      <c r="BK175" s="692"/>
      <c r="BL175" s="692"/>
      <c r="BM175" s="692"/>
      <c r="BN175" s="692"/>
      <c r="BO175" s="692"/>
      <c r="BP175" s="692"/>
      <c r="BQ175" s="692">
        <f t="shared" si="36"/>
        <v>0</v>
      </c>
      <c r="BR175" s="692"/>
      <c r="BS175" s="692">
        <f t="shared" si="37"/>
        <v>0</v>
      </c>
      <c r="BT175" s="692">
        <f t="shared" si="38"/>
        <v>1</v>
      </c>
      <c r="BU175" s="692"/>
      <c r="BV175" s="692"/>
      <c r="BW175" s="692"/>
      <c r="BX175" s="692"/>
      <c r="BY175" s="692"/>
      <c r="BZ175" s="692"/>
      <c r="CA175" s="692"/>
      <c r="CB175" s="692">
        <v>1</v>
      </c>
      <c r="CC175" s="692"/>
      <c r="CD175" s="692">
        <f t="shared" si="39"/>
        <v>4</v>
      </c>
      <c r="CE175" s="692"/>
      <c r="CF175" s="692"/>
      <c r="CG175" s="692"/>
      <c r="CH175" s="692"/>
      <c r="CI175" s="692"/>
      <c r="CJ175" s="692"/>
      <c r="CK175" s="692"/>
      <c r="CL175" s="692"/>
      <c r="CM175" s="692"/>
      <c r="CN175" s="692"/>
      <c r="CO175" s="692"/>
      <c r="CP175" s="692"/>
      <c r="CQ175" s="692"/>
      <c r="CR175" s="692"/>
      <c r="CS175" s="692"/>
      <c r="CT175" s="692"/>
      <c r="CU175" s="692"/>
      <c r="CV175" s="692"/>
      <c r="CW175" s="692"/>
      <c r="CX175" s="694"/>
      <c r="CY175" s="694"/>
      <c r="CZ175" s="694"/>
      <c r="DA175" s="694"/>
      <c r="DB175" s="694"/>
      <c r="DC175" s="694"/>
      <c r="DD175" s="694"/>
      <c r="DE175" s="694"/>
      <c r="DF175" s="694"/>
      <c r="DG175" s="695"/>
      <c r="DH175" s="695"/>
      <c r="DI175" s="695"/>
      <c r="DJ175" s="695"/>
      <c r="DK175" s="695"/>
      <c r="DL175" s="695"/>
      <c r="DM175" s="695"/>
      <c r="DN175" s="695"/>
      <c r="DO175" s="695"/>
      <c r="DP175" s="695"/>
      <c r="DQ175" s="695"/>
      <c r="DR175" s="695"/>
      <c r="DS175" s="694"/>
      <c r="DT175" s="694"/>
      <c r="DU175" s="694"/>
      <c r="DV175" s="694"/>
      <c r="DW175" s="694"/>
      <c r="DX175" s="694"/>
      <c r="DY175" s="694"/>
      <c r="DZ175" s="694"/>
      <c r="EA175" s="694"/>
      <c r="EB175" s="694"/>
      <c r="EC175" s="694"/>
      <c r="ED175" s="694"/>
      <c r="EE175" s="694"/>
      <c r="EF175" s="694"/>
      <c r="EG175" s="694"/>
      <c r="EH175" s="694"/>
      <c r="EI175" s="694"/>
      <c r="EJ175" s="694"/>
      <c r="EK175" s="694"/>
      <c r="EL175" s="694"/>
      <c r="EM175" s="694"/>
      <c r="EN175" s="694"/>
      <c r="EO175" s="694"/>
      <c r="EP175" s="694"/>
      <c r="EQ175" s="694"/>
      <c r="ER175" s="694"/>
      <c r="ES175" s="694"/>
      <c r="ET175" s="694"/>
      <c r="EU175" s="694"/>
      <c r="EV175" s="694"/>
      <c r="EW175" s="694"/>
      <c r="EX175" s="694"/>
      <c r="EY175" s="694"/>
      <c r="EZ175" s="694"/>
      <c r="FA175" s="694"/>
      <c r="FB175" s="694"/>
      <c r="FC175" s="694"/>
      <c r="FD175" s="694"/>
      <c r="FE175" s="694"/>
      <c r="FF175" s="694"/>
      <c r="FG175" s="694"/>
      <c r="FH175" s="694"/>
      <c r="FI175" s="694"/>
      <c r="FJ175" s="694"/>
      <c r="FK175" s="694"/>
      <c r="FL175" s="694"/>
      <c r="FM175" s="694"/>
      <c r="FN175" s="694"/>
      <c r="FO175" s="694"/>
      <c r="FP175" s="694"/>
      <c r="FQ175" s="697"/>
    </row>
    <row r="176" spans="1:173" s="696" customFormat="1">
      <c r="A176" s="690"/>
      <c r="B176" s="690"/>
      <c r="C176" s="691" t="s">
        <v>3719</v>
      </c>
      <c r="D176" s="691"/>
      <c r="E176" s="640">
        <v>30</v>
      </c>
      <c r="F176" s="692"/>
      <c r="G176" s="692"/>
      <c r="H176" s="692"/>
      <c r="I176" s="692"/>
      <c r="J176" s="692"/>
      <c r="K176" s="692"/>
      <c r="L176" s="692"/>
      <c r="M176" s="692"/>
      <c r="N176" s="692"/>
      <c r="O176" s="692"/>
      <c r="P176" s="692">
        <f t="shared" ref="P176:P240" si="42">E176</f>
        <v>30</v>
      </c>
      <c r="Q176" s="692"/>
      <c r="R176" s="693"/>
      <c r="S176" s="693"/>
      <c r="T176" s="693"/>
      <c r="U176" s="692" t="s">
        <v>1631</v>
      </c>
      <c r="V176" s="692"/>
      <c r="W176" s="692">
        <v>1</v>
      </c>
      <c r="X176" s="692"/>
      <c r="Y176" s="692"/>
      <c r="Z176" s="692">
        <v>1</v>
      </c>
      <c r="AA176" s="692"/>
      <c r="AB176" s="692"/>
      <c r="AC176" s="692"/>
      <c r="AD176" s="692"/>
      <c r="AE176" s="725"/>
      <c r="AF176" s="957"/>
      <c r="AG176" s="692"/>
      <c r="AH176" s="692"/>
      <c r="AI176" s="692"/>
      <c r="AJ176" s="692"/>
      <c r="AK176" s="692"/>
      <c r="AL176" s="692"/>
      <c r="AM176" s="692"/>
      <c r="AN176" s="692"/>
      <c r="AO176" s="692"/>
      <c r="AP176" s="692"/>
      <c r="AQ176" s="692"/>
      <c r="AR176" s="692"/>
      <c r="AS176" s="692"/>
      <c r="AT176" s="692"/>
      <c r="AU176" s="692">
        <v>1</v>
      </c>
      <c r="AV176" s="692"/>
      <c r="AW176" s="692">
        <f t="shared" ref="AW176:AW247" si="43">CB176</f>
        <v>0</v>
      </c>
      <c r="AX176" s="692"/>
      <c r="AY176" s="692"/>
      <c r="AZ176" s="516">
        <f t="shared" ref="AZ176:AZ247" si="44">IF(C176&lt;&gt;0,AW176+CB176+CC176,)</f>
        <v>0</v>
      </c>
      <c r="BA176" s="516">
        <f t="shared" ref="BA176:BA247" si="45">IF(D176&lt;&gt;0,AW176+CB176+CC176,)</f>
        <v>0</v>
      </c>
      <c r="BB176" s="516"/>
      <c r="BC176" s="516"/>
      <c r="BD176" s="516">
        <f t="shared" ref="BD176:BD247" si="46">IF(C176&lt;&gt;0,IF(OR(LEN(U176)=1,LEN(U176)=2),1,VALUE(LEFT(U176,1))),)</f>
        <v>1</v>
      </c>
      <c r="BE176" s="516">
        <f t="shared" ref="BE176:BE247" si="47">IF(D176&lt;&gt;0,IF(OR(LEN(U176)=1,LEN(U176)=2),1,VALUE(LEFT(U176,1))),)</f>
        <v>0</v>
      </c>
      <c r="BF176" s="692"/>
      <c r="BG176" s="692"/>
      <c r="BH176" s="692"/>
      <c r="BI176" s="692"/>
      <c r="BJ176" s="692">
        <f t="shared" ref="BJ176:BJ243" si="48">CB176*5+AU176*2</f>
        <v>2</v>
      </c>
      <c r="BK176" s="692"/>
      <c r="BL176" s="692"/>
      <c r="BM176" s="692"/>
      <c r="BN176" s="692"/>
      <c r="BO176" s="692"/>
      <c r="BP176" s="692"/>
      <c r="BQ176" s="692">
        <f t="shared" ref="BQ176:BQ247" si="49">IF(U176="G",1,)</f>
        <v>0</v>
      </c>
      <c r="BR176" s="692"/>
      <c r="BS176" s="692">
        <f t="shared" ref="BS176:BS247" si="50">IF(O176&lt;&gt;0,IF(U176="I",1,IF(U176="G",2,)),)</f>
        <v>0</v>
      </c>
      <c r="BT176" s="692">
        <f t="shared" ref="BT176:BT247" si="51">IF(P176&lt;&gt;0,IF(U176="I",1,IF(U176="G",2,)),)</f>
        <v>1</v>
      </c>
      <c r="BU176" s="692"/>
      <c r="BV176" s="692"/>
      <c r="BW176" s="692"/>
      <c r="BX176" s="692"/>
      <c r="BY176" s="692"/>
      <c r="BZ176" s="692"/>
      <c r="CA176" s="692"/>
      <c r="CB176" s="692"/>
      <c r="CC176" s="692"/>
      <c r="CD176" s="692">
        <f t="shared" ref="CD176:CD247" si="52">CB176*4</f>
        <v>0</v>
      </c>
      <c r="CE176" s="692"/>
      <c r="CF176" s="692"/>
      <c r="CG176" s="692"/>
      <c r="CH176" s="692"/>
      <c r="CI176" s="692"/>
      <c r="CJ176" s="692"/>
      <c r="CK176" s="692"/>
      <c r="CL176" s="692"/>
      <c r="CM176" s="692"/>
      <c r="CN176" s="692"/>
      <c r="CO176" s="692"/>
      <c r="CP176" s="692"/>
      <c r="CQ176" s="692"/>
      <c r="CR176" s="692"/>
      <c r="CS176" s="692"/>
      <c r="CT176" s="692"/>
      <c r="CU176" s="692"/>
      <c r="CV176" s="692"/>
      <c r="CW176" s="692"/>
      <c r="CX176" s="694"/>
      <c r="CY176" s="694"/>
      <c r="CZ176" s="694"/>
      <c r="DA176" s="694"/>
      <c r="DB176" s="694"/>
      <c r="DC176" s="694"/>
      <c r="DD176" s="694"/>
      <c r="DE176" s="694"/>
      <c r="DF176" s="694"/>
      <c r="DG176" s="695"/>
      <c r="DH176" s="695"/>
      <c r="DI176" s="695"/>
      <c r="DJ176" s="695"/>
      <c r="DK176" s="695"/>
      <c r="DL176" s="695"/>
      <c r="DM176" s="695"/>
      <c r="DN176" s="695"/>
      <c r="DO176" s="695"/>
      <c r="DP176" s="695"/>
      <c r="DQ176" s="695"/>
      <c r="DR176" s="695"/>
      <c r="DS176" s="694"/>
      <c r="DT176" s="694"/>
      <c r="DU176" s="694"/>
      <c r="DV176" s="694"/>
      <c r="DW176" s="694"/>
      <c r="DX176" s="694"/>
      <c r="DY176" s="694"/>
      <c r="DZ176" s="694"/>
      <c r="EA176" s="694"/>
      <c r="EB176" s="694"/>
      <c r="EC176" s="694"/>
      <c r="ED176" s="694"/>
      <c r="EE176" s="694"/>
      <c r="EF176" s="694"/>
      <c r="EG176" s="694"/>
      <c r="EH176" s="694"/>
      <c r="EI176" s="694"/>
      <c r="EJ176" s="694"/>
      <c r="EK176" s="694"/>
      <c r="EL176" s="694"/>
      <c r="EM176" s="694"/>
      <c r="EN176" s="694"/>
      <c r="EO176" s="694"/>
      <c r="EP176" s="694"/>
      <c r="EQ176" s="694"/>
      <c r="ER176" s="694"/>
      <c r="ES176" s="694"/>
      <c r="ET176" s="694"/>
      <c r="EU176" s="694"/>
      <c r="EV176" s="694"/>
      <c r="EW176" s="694"/>
      <c r="EX176" s="694"/>
      <c r="EY176" s="694"/>
      <c r="EZ176" s="694"/>
      <c r="FA176" s="694"/>
      <c r="FB176" s="694"/>
      <c r="FC176" s="694"/>
      <c r="FD176" s="694"/>
      <c r="FE176" s="694"/>
      <c r="FF176" s="694"/>
      <c r="FG176" s="694"/>
      <c r="FH176" s="694"/>
      <c r="FI176" s="694"/>
      <c r="FJ176" s="694"/>
      <c r="FK176" s="694"/>
      <c r="FL176" s="694"/>
      <c r="FM176" s="694"/>
      <c r="FN176" s="694"/>
      <c r="FO176" s="694"/>
      <c r="FP176" s="694"/>
      <c r="FQ176" s="697"/>
    </row>
    <row r="177" spans="1:173" s="696" customFormat="1">
      <c r="A177" s="690"/>
      <c r="B177" s="690"/>
      <c r="C177" s="691" t="s">
        <v>3720</v>
      </c>
      <c r="D177" s="691"/>
      <c r="E177" s="640">
        <v>30</v>
      </c>
      <c r="F177" s="692"/>
      <c r="G177" s="692"/>
      <c r="H177" s="692"/>
      <c r="I177" s="692"/>
      <c r="J177" s="692"/>
      <c r="K177" s="692"/>
      <c r="L177" s="692"/>
      <c r="M177" s="692"/>
      <c r="N177" s="692"/>
      <c r="O177" s="692"/>
      <c r="P177" s="692">
        <f t="shared" si="42"/>
        <v>30</v>
      </c>
      <c r="Q177" s="692"/>
      <c r="R177" s="693"/>
      <c r="S177" s="693"/>
      <c r="T177" s="693"/>
      <c r="U177" s="692" t="s">
        <v>2990</v>
      </c>
      <c r="V177" s="692"/>
      <c r="W177" s="692">
        <v>2</v>
      </c>
      <c r="X177" s="692"/>
      <c r="Y177" s="692"/>
      <c r="Z177" s="692"/>
      <c r="AA177" s="692"/>
      <c r="AB177" s="692"/>
      <c r="AC177" s="692"/>
      <c r="AD177" s="692"/>
      <c r="AE177" s="725">
        <v>1</v>
      </c>
      <c r="AF177" s="957"/>
      <c r="AG177" s="692"/>
      <c r="AH177" s="692"/>
      <c r="AI177" s="692"/>
      <c r="AJ177" s="692"/>
      <c r="AK177" s="692"/>
      <c r="AL177" s="692"/>
      <c r="AM177" s="692"/>
      <c r="AN177" s="692"/>
      <c r="AO177" s="692"/>
      <c r="AP177" s="692"/>
      <c r="AQ177" s="692"/>
      <c r="AR177" s="692"/>
      <c r="AS177" s="692"/>
      <c r="AT177" s="692"/>
      <c r="AU177" s="692"/>
      <c r="AV177" s="692"/>
      <c r="AW177" s="692">
        <f t="shared" si="43"/>
        <v>1</v>
      </c>
      <c r="AX177" s="692"/>
      <c r="AY177" s="692"/>
      <c r="AZ177" s="516">
        <f t="shared" si="44"/>
        <v>2</v>
      </c>
      <c r="BA177" s="516">
        <f t="shared" si="45"/>
        <v>0</v>
      </c>
      <c r="BB177" s="516"/>
      <c r="BC177" s="516"/>
      <c r="BD177" s="516">
        <f t="shared" si="46"/>
        <v>1</v>
      </c>
      <c r="BE177" s="516">
        <f t="shared" si="47"/>
        <v>0</v>
      </c>
      <c r="BF177" s="692"/>
      <c r="BG177" s="692"/>
      <c r="BH177" s="692"/>
      <c r="BI177" s="692"/>
      <c r="BJ177" s="692">
        <f t="shared" si="48"/>
        <v>5</v>
      </c>
      <c r="BK177" s="692"/>
      <c r="BL177" s="692"/>
      <c r="BM177" s="692"/>
      <c r="BN177" s="692"/>
      <c r="BO177" s="692"/>
      <c r="BP177" s="692"/>
      <c r="BQ177" s="692">
        <f t="shared" si="49"/>
        <v>0</v>
      </c>
      <c r="BR177" s="692"/>
      <c r="BS177" s="692">
        <f t="shared" si="50"/>
        <v>0</v>
      </c>
      <c r="BT177" s="692">
        <f t="shared" si="51"/>
        <v>0</v>
      </c>
      <c r="BU177" s="692"/>
      <c r="BV177" s="692"/>
      <c r="BW177" s="692"/>
      <c r="BX177" s="692"/>
      <c r="BY177" s="692">
        <v>1</v>
      </c>
      <c r="BZ177" s="692"/>
      <c r="CA177" s="692"/>
      <c r="CB177" s="692">
        <v>1</v>
      </c>
      <c r="CC177" s="692"/>
      <c r="CD177" s="692">
        <f t="shared" si="52"/>
        <v>4</v>
      </c>
      <c r="CE177" s="692"/>
      <c r="CF177" s="692"/>
      <c r="CG177" s="692"/>
      <c r="CH177" s="692"/>
      <c r="CI177" s="692"/>
      <c r="CJ177" s="692"/>
      <c r="CK177" s="692"/>
      <c r="CL177" s="692"/>
      <c r="CM177" s="692"/>
      <c r="CN177" s="692"/>
      <c r="CO177" s="692"/>
      <c r="CP177" s="692"/>
      <c r="CQ177" s="692"/>
      <c r="CR177" s="692"/>
      <c r="CS177" s="692"/>
      <c r="CT177" s="692"/>
      <c r="CU177" s="692"/>
      <c r="CV177" s="692"/>
      <c r="CW177" s="692"/>
      <c r="CX177" s="694"/>
      <c r="CY177" s="694"/>
      <c r="CZ177" s="694"/>
      <c r="DA177" s="694"/>
      <c r="DB177" s="694"/>
      <c r="DC177" s="694"/>
      <c r="DD177" s="694"/>
      <c r="DE177" s="694"/>
      <c r="DF177" s="694"/>
      <c r="DG177" s="695"/>
      <c r="DH177" s="695"/>
      <c r="DI177" s="695"/>
      <c r="DJ177" s="695"/>
      <c r="DK177" s="695"/>
      <c r="DL177" s="695"/>
      <c r="DM177" s="695"/>
      <c r="DN177" s="695"/>
      <c r="DO177" s="695"/>
      <c r="DP177" s="695"/>
      <c r="DQ177" s="695"/>
      <c r="DR177" s="695"/>
      <c r="DS177" s="694"/>
      <c r="DT177" s="694"/>
      <c r="DU177" s="694"/>
      <c r="DV177" s="694"/>
      <c r="DW177" s="694"/>
      <c r="DX177" s="694"/>
      <c r="DY177" s="694"/>
      <c r="DZ177" s="694"/>
      <c r="EA177" s="694"/>
      <c r="EB177" s="694"/>
      <c r="EC177" s="694"/>
      <c r="ED177" s="694"/>
      <c r="EE177" s="694"/>
      <c r="EF177" s="694"/>
      <c r="EG177" s="694"/>
      <c r="EH177" s="694"/>
      <c r="EI177" s="694"/>
      <c r="EJ177" s="694"/>
      <c r="EK177" s="694"/>
      <c r="EL177" s="694"/>
      <c r="EM177" s="694"/>
      <c r="EN177" s="694"/>
      <c r="EO177" s="694"/>
      <c r="EP177" s="694"/>
      <c r="EQ177" s="694"/>
      <c r="ER177" s="694"/>
      <c r="ES177" s="694"/>
      <c r="ET177" s="694"/>
      <c r="EU177" s="694"/>
      <c r="EV177" s="694"/>
      <c r="EW177" s="694"/>
      <c r="EX177" s="694"/>
      <c r="EY177" s="694"/>
      <c r="EZ177" s="694"/>
      <c r="FA177" s="694"/>
      <c r="FB177" s="694"/>
      <c r="FC177" s="694"/>
      <c r="FD177" s="694"/>
      <c r="FE177" s="694"/>
      <c r="FF177" s="694"/>
      <c r="FG177" s="694"/>
      <c r="FH177" s="694"/>
      <c r="FI177" s="694"/>
      <c r="FJ177" s="694"/>
      <c r="FK177" s="694"/>
      <c r="FL177" s="694"/>
      <c r="FM177" s="694"/>
      <c r="FN177" s="694"/>
      <c r="FO177" s="694"/>
      <c r="FP177" s="694"/>
      <c r="FQ177" s="697"/>
    </row>
    <row r="178" spans="1:173" s="696" customFormat="1">
      <c r="A178" s="690"/>
      <c r="B178" s="690"/>
      <c r="C178" s="691"/>
      <c r="D178" s="691"/>
      <c r="E178" s="692"/>
      <c r="F178" s="692"/>
      <c r="G178" s="692"/>
      <c r="H178" s="692"/>
      <c r="I178" s="692"/>
      <c r="J178" s="692"/>
      <c r="K178" s="692"/>
      <c r="L178" s="692"/>
      <c r="M178" s="692"/>
      <c r="N178" s="692"/>
      <c r="O178" s="692"/>
      <c r="P178" s="692">
        <f t="shared" si="42"/>
        <v>0</v>
      </c>
      <c r="Q178" s="692"/>
      <c r="R178" s="693"/>
      <c r="S178" s="693"/>
      <c r="T178" s="693"/>
      <c r="U178" s="692"/>
      <c r="V178" s="692"/>
      <c r="W178" s="692"/>
      <c r="X178" s="692"/>
      <c r="Y178" s="692"/>
      <c r="Z178" s="692"/>
      <c r="AA178" s="692"/>
      <c r="AB178" s="692"/>
      <c r="AC178" s="692"/>
      <c r="AD178" s="692"/>
      <c r="AE178" s="725"/>
      <c r="AF178" s="957"/>
      <c r="AG178" s="692"/>
      <c r="AH178" s="692"/>
      <c r="AI178" s="692"/>
      <c r="AJ178" s="692"/>
      <c r="AK178" s="692"/>
      <c r="AL178" s="692"/>
      <c r="AM178" s="692"/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>
        <f t="shared" si="43"/>
        <v>0</v>
      </c>
      <c r="AX178" s="692"/>
      <c r="AY178" s="692"/>
      <c r="AZ178" s="516"/>
      <c r="BA178" s="516"/>
      <c r="BB178" s="516"/>
      <c r="BC178" s="516"/>
      <c r="BD178" s="516"/>
      <c r="BE178" s="516"/>
      <c r="BF178" s="692"/>
      <c r="BG178" s="692"/>
      <c r="BH178" s="692"/>
      <c r="BI178" s="692"/>
      <c r="BJ178" s="692">
        <f t="shared" si="48"/>
        <v>0</v>
      </c>
      <c r="BK178" s="692"/>
      <c r="BL178" s="692"/>
      <c r="BM178" s="692"/>
      <c r="BN178" s="692"/>
      <c r="BO178" s="692"/>
      <c r="BP178" s="692"/>
      <c r="BQ178" s="692">
        <f t="shared" si="49"/>
        <v>0</v>
      </c>
      <c r="BR178" s="692"/>
      <c r="BS178" s="692">
        <f t="shared" si="50"/>
        <v>0</v>
      </c>
      <c r="BT178" s="692">
        <f t="shared" si="51"/>
        <v>0</v>
      </c>
      <c r="BU178" s="692"/>
      <c r="BV178" s="692"/>
      <c r="BW178" s="692"/>
      <c r="BX178" s="692"/>
      <c r="BY178" s="692"/>
      <c r="BZ178" s="692"/>
      <c r="CA178" s="692"/>
      <c r="CB178" s="692"/>
      <c r="CC178" s="692"/>
      <c r="CD178" s="692">
        <f t="shared" si="52"/>
        <v>0</v>
      </c>
      <c r="CE178" s="692"/>
      <c r="CF178" s="692"/>
      <c r="CG178" s="692"/>
      <c r="CH178" s="692"/>
      <c r="CI178" s="692"/>
      <c r="CJ178" s="692"/>
      <c r="CK178" s="692"/>
      <c r="CL178" s="692"/>
      <c r="CM178" s="692"/>
      <c r="CN178" s="692"/>
      <c r="CO178" s="692"/>
      <c r="CP178" s="692"/>
      <c r="CQ178" s="692"/>
      <c r="CR178" s="692"/>
      <c r="CS178" s="692"/>
      <c r="CT178" s="692"/>
      <c r="CU178" s="692"/>
      <c r="CV178" s="692"/>
      <c r="CW178" s="692"/>
      <c r="CX178" s="694"/>
      <c r="CY178" s="694"/>
      <c r="CZ178" s="694"/>
      <c r="DA178" s="694"/>
      <c r="DB178" s="694"/>
      <c r="DC178" s="694"/>
      <c r="DD178" s="694"/>
      <c r="DE178" s="694"/>
      <c r="DF178" s="694"/>
      <c r="DG178" s="695"/>
      <c r="DH178" s="695"/>
      <c r="DI178" s="695"/>
      <c r="DJ178" s="695"/>
      <c r="DK178" s="695"/>
      <c r="DL178" s="695"/>
      <c r="DM178" s="695"/>
      <c r="DN178" s="695"/>
      <c r="DO178" s="695"/>
      <c r="DP178" s="695"/>
      <c r="DQ178" s="695"/>
      <c r="DR178" s="695"/>
      <c r="DS178" s="694"/>
      <c r="DT178" s="694"/>
      <c r="DU178" s="694"/>
      <c r="DV178" s="694"/>
      <c r="DW178" s="694"/>
      <c r="DX178" s="694"/>
      <c r="DY178" s="694"/>
      <c r="DZ178" s="694"/>
      <c r="EA178" s="694"/>
      <c r="EB178" s="694"/>
      <c r="EC178" s="694"/>
      <c r="ED178" s="694"/>
      <c r="EE178" s="694"/>
      <c r="EF178" s="694"/>
      <c r="EG178" s="694"/>
      <c r="EH178" s="694"/>
      <c r="EI178" s="694"/>
      <c r="EJ178" s="694"/>
      <c r="EK178" s="694"/>
      <c r="EL178" s="694"/>
      <c r="EM178" s="694"/>
      <c r="EN178" s="694"/>
      <c r="EO178" s="694"/>
      <c r="EP178" s="694"/>
      <c r="EQ178" s="694"/>
      <c r="ER178" s="694"/>
      <c r="ES178" s="694"/>
      <c r="ET178" s="694"/>
      <c r="EU178" s="694"/>
      <c r="EV178" s="694"/>
      <c r="EW178" s="694"/>
      <c r="EX178" s="694"/>
      <c r="EY178" s="694"/>
      <c r="EZ178" s="694"/>
      <c r="FA178" s="694"/>
      <c r="FB178" s="694"/>
      <c r="FC178" s="694"/>
      <c r="FD178" s="694"/>
      <c r="FE178" s="694"/>
      <c r="FF178" s="694"/>
      <c r="FG178" s="694"/>
      <c r="FH178" s="694"/>
      <c r="FI178" s="694"/>
      <c r="FJ178" s="694"/>
      <c r="FK178" s="694"/>
      <c r="FL178" s="694"/>
      <c r="FM178" s="694"/>
      <c r="FN178" s="694"/>
      <c r="FO178" s="694"/>
      <c r="FP178" s="694"/>
      <c r="FQ178" s="697"/>
    </row>
    <row r="179" spans="1:173" s="696" customFormat="1">
      <c r="A179" s="690"/>
      <c r="B179" s="690"/>
      <c r="C179" s="691"/>
      <c r="D179" s="699" t="s">
        <v>3813</v>
      </c>
      <c r="E179" s="692"/>
      <c r="F179" s="692"/>
      <c r="G179" s="692"/>
      <c r="H179" s="692"/>
      <c r="I179" s="692"/>
      <c r="J179" s="692"/>
      <c r="K179" s="692"/>
      <c r="L179" s="692"/>
      <c r="M179" s="692"/>
      <c r="N179" s="692"/>
      <c r="O179" s="692"/>
      <c r="P179" s="692">
        <f t="shared" si="42"/>
        <v>0</v>
      </c>
      <c r="Q179" s="692"/>
      <c r="R179" s="693"/>
      <c r="S179" s="693"/>
      <c r="T179" s="693"/>
      <c r="U179" s="692"/>
      <c r="V179" s="692"/>
      <c r="W179" s="692"/>
      <c r="X179" s="692"/>
      <c r="Y179" s="692"/>
      <c r="Z179" s="692"/>
      <c r="AA179" s="692"/>
      <c r="AB179" s="692"/>
      <c r="AC179" s="692"/>
      <c r="AD179" s="692"/>
      <c r="AE179" s="725"/>
      <c r="AF179" s="957"/>
      <c r="AG179" s="692"/>
      <c r="AH179" s="692"/>
      <c r="AI179" s="692"/>
      <c r="AJ179" s="692"/>
      <c r="AK179" s="692"/>
      <c r="AL179" s="692"/>
      <c r="AM179" s="692"/>
      <c r="AN179" s="692"/>
      <c r="AO179" s="692"/>
      <c r="AP179" s="692"/>
      <c r="AQ179" s="692"/>
      <c r="AR179" s="692"/>
      <c r="AS179" s="692"/>
      <c r="AT179" s="692"/>
      <c r="AU179" s="692"/>
      <c r="AV179" s="692"/>
      <c r="AW179" s="692">
        <f t="shared" si="43"/>
        <v>0</v>
      </c>
      <c r="AX179" s="692"/>
      <c r="AY179" s="692"/>
      <c r="AZ179" s="516"/>
      <c r="BA179" s="516"/>
      <c r="BB179" s="516"/>
      <c r="BC179" s="516"/>
      <c r="BD179" s="516"/>
      <c r="BE179" s="516"/>
      <c r="BF179" s="692"/>
      <c r="BG179" s="692"/>
      <c r="BH179" s="692"/>
      <c r="BI179" s="692"/>
      <c r="BJ179" s="692">
        <f t="shared" si="48"/>
        <v>0</v>
      </c>
      <c r="BK179" s="692"/>
      <c r="BL179" s="692"/>
      <c r="BM179" s="692"/>
      <c r="BN179" s="692"/>
      <c r="BO179" s="692"/>
      <c r="BP179" s="692"/>
      <c r="BQ179" s="692">
        <f t="shared" si="49"/>
        <v>0</v>
      </c>
      <c r="BR179" s="692"/>
      <c r="BS179" s="692">
        <f t="shared" si="50"/>
        <v>0</v>
      </c>
      <c r="BT179" s="692">
        <f t="shared" si="51"/>
        <v>0</v>
      </c>
      <c r="BU179" s="692"/>
      <c r="BV179" s="692"/>
      <c r="BW179" s="692"/>
      <c r="BX179" s="692"/>
      <c r="BY179" s="692"/>
      <c r="BZ179" s="692"/>
      <c r="CA179" s="692"/>
      <c r="CB179" s="692"/>
      <c r="CC179" s="692"/>
      <c r="CD179" s="692">
        <f t="shared" si="52"/>
        <v>0</v>
      </c>
      <c r="CE179" s="692"/>
      <c r="CF179" s="692"/>
      <c r="CG179" s="692"/>
      <c r="CH179" s="692"/>
      <c r="CI179" s="692"/>
      <c r="CJ179" s="692"/>
      <c r="CK179" s="692"/>
      <c r="CL179" s="692"/>
      <c r="CM179" s="692"/>
      <c r="CN179" s="692"/>
      <c r="CO179" s="692"/>
      <c r="CP179" s="692"/>
      <c r="CQ179" s="692"/>
      <c r="CR179" s="692"/>
      <c r="CS179" s="692"/>
      <c r="CT179" s="692"/>
      <c r="CU179" s="692"/>
      <c r="CV179" s="692"/>
      <c r="CW179" s="692"/>
      <c r="CX179" s="694"/>
      <c r="CY179" s="694"/>
      <c r="CZ179" s="694"/>
      <c r="DA179" s="694"/>
      <c r="DB179" s="694"/>
      <c r="DC179" s="694"/>
      <c r="DD179" s="694"/>
      <c r="DE179" s="694"/>
      <c r="DF179" s="694"/>
      <c r="DG179" s="695"/>
      <c r="DH179" s="695"/>
      <c r="DI179" s="695"/>
      <c r="DJ179" s="695"/>
      <c r="DK179" s="695"/>
      <c r="DL179" s="695"/>
      <c r="DM179" s="695"/>
      <c r="DN179" s="695"/>
      <c r="DO179" s="695"/>
      <c r="DP179" s="695"/>
      <c r="DQ179" s="695"/>
      <c r="DR179" s="695"/>
      <c r="DS179" s="694"/>
      <c r="DT179" s="694"/>
      <c r="DU179" s="694"/>
      <c r="DV179" s="694"/>
      <c r="DW179" s="694"/>
      <c r="DX179" s="694"/>
      <c r="DY179" s="694"/>
      <c r="DZ179" s="694"/>
      <c r="EA179" s="694"/>
      <c r="EB179" s="694"/>
      <c r="EC179" s="694"/>
      <c r="ED179" s="694"/>
      <c r="EE179" s="694"/>
      <c r="EF179" s="694"/>
      <c r="EG179" s="694"/>
      <c r="EH179" s="694"/>
      <c r="EI179" s="694"/>
      <c r="EJ179" s="694"/>
      <c r="EK179" s="694"/>
      <c r="EL179" s="694"/>
      <c r="EM179" s="694"/>
      <c r="EN179" s="694"/>
      <c r="EO179" s="694"/>
      <c r="EP179" s="694"/>
      <c r="EQ179" s="694"/>
      <c r="ER179" s="694"/>
      <c r="ES179" s="694"/>
      <c r="ET179" s="694"/>
      <c r="EU179" s="694"/>
      <c r="EV179" s="694"/>
      <c r="EW179" s="694"/>
      <c r="EX179" s="694"/>
      <c r="EY179" s="694"/>
      <c r="EZ179" s="694"/>
      <c r="FA179" s="694"/>
      <c r="FB179" s="694"/>
      <c r="FC179" s="694"/>
      <c r="FD179" s="694"/>
      <c r="FE179" s="694"/>
      <c r="FF179" s="694"/>
      <c r="FG179" s="694"/>
      <c r="FH179" s="694"/>
      <c r="FI179" s="694"/>
      <c r="FJ179" s="694"/>
      <c r="FK179" s="694"/>
      <c r="FL179" s="694"/>
      <c r="FM179" s="694"/>
      <c r="FN179" s="694"/>
      <c r="FO179" s="694"/>
      <c r="FP179" s="694"/>
      <c r="FQ179" s="697"/>
    </row>
    <row r="180" spans="1:173" s="696" customFormat="1">
      <c r="A180" s="690"/>
      <c r="B180" s="690"/>
      <c r="C180" s="691" t="s">
        <v>3632</v>
      </c>
      <c r="D180" s="691"/>
      <c r="E180" s="692">
        <v>33.799999999999997</v>
      </c>
      <c r="F180" s="692"/>
      <c r="G180" s="692"/>
      <c r="H180" s="692"/>
      <c r="I180" s="692"/>
      <c r="J180" s="692"/>
      <c r="K180" s="692"/>
      <c r="L180" s="692"/>
      <c r="M180" s="692"/>
      <c r="N180" s="692"/>
      <c r="O180" s="692"/>
      <c r="P180" s="692">
        <f t="shared" si="42"/>
        <v>33.799999999999997</v>
      </c>
      <c r="Q180" s="692"/>
      <c r="R180" s="693"/>
      <c r="S180" s="693"/>
      <c r="T180" s="693"/>
      <c r="U180" s="692" t="s">
        <v>1631</v>
      </c>
      <c r="V180" s="692">
        <v>1</v>
      </c>
      <c r="W180" s="422"/>
      <c r="X180" s="692"/>
      <c r="Y180" s="692"/>
      <c r="Z180" s="692">
        <v>1</v>
      </c>
      <c r="AA180" s="692"/>
      <c r="AB180" s="692"/>
      <c r="AC180" s="692"/>
      <c r="AD180" s="692"/>
      <c r="AE180" s="725"/>
      <c r="AF180" s="957"/>
      <c r="AG180" s="692"/>
      <c r="AH180" s="692"/>
      <c r="AI180" s="692"/>
      <c r="AJ180" s="692"/>
      <c r="AK180" s="692"/>
      <c r="AL180" s="692"/>
      <c r="AM180" s="692"/>
      <c r="AN180" s="692"/>
      <c r="AO180" s="692"/>
      <c r="AP180" s="692"/>
      <c r="AQ180" s="692"/>
      <c r="AR180" s="692"/>
      <c r="AS180" s="692"/>
      <c r="AT180" s="692"/>
      <c r="AU180" s="692"/>
      <c r="AV180" s="692"/>
      <c r="AW180" s="692">
        <f t="shared" si="43"/>
        <v>1</v>
      </c>
      <c r="AX180" s="692"/>
      <c r="AY180" s="692"/>
      <c r="AZ180" s="516">
        <f t="shared" si="44"/>
        <v>2</v>
      </c>
      <c r="BA180" s="516">
        <f t="shared" si="45"/>
        <v>0</v>
      </c>
      <c r="BB180" s="516"/>
      <c r="BC180" s="516"/>
      <c r="BD180" s="516">
        <f t="shared" si="46"/>
        <v>1</v>
      </c>
      <c r="BE180" s="516">
        <f t="shared" si="47"/>
        <v>0</v>
      </c>
      <c r="BF180" s="692"/>
      <c r="BG180" s="692"/>
      <c r="BH180" s="692"/>
      <c r="BI180" s="692"/>
      <c r="BJ180" s="692">
        <f t="shared" si="48"/>
        <v>5</v>
      </c>
      <c r="BK180" s="692"/>
      <c r="BL180" s="692"/>
      <c r="BM180" s="692"/>
      <c r="BN180" s="692"/>
      <c r="BO180" s="692"/>
      <c r="BP180" s="692"/>
      <c r="BQ180" s="692">
        <f t="shared" si="49"/>
        <v>0</v>
      </c>
      <c r="BR180" s="692"/>
      <c r="BS180" s="692">
        <f t="shared" si="50"/>
        <v>0</v>
      </c>
      <c r="BT180" s="692">
        <f t="shared" si="51"/>
        <v>1</v>
      </c>
      <c r="BU180" s="692"/>
      <c r="BV180" s="692"/>
      <c r="BW180" s="692"/>
      <c r="BX180" s="692"/>
      <c r="BY180" s="692"/>
      <c r="BZ180" s="692"/>
      <c r="CA180" s="692"/>
      <c r="CB180" s="692">
        <v>1</v>
      </c>
      <c r="CC180" s="692"/>
      <c r="CD180" s="692">
        <f t="shared" si="52"/>
        <v>4</v>
      </c>
      <c r="CE180" s="692"/>
      <c r="CF180" s="692"/>
      <c r="CG180" s="692"/>
      <c r="CH180" s="692"/>
      <c r="CI180" s="692"/>
      <c r="CJ180" s="692"/>
      <c r="CK180" s="692"/>
      <c r="CL180" s="692"/>
      <c r="CM180" s="692"/>
      <c r="CN180" s="692"/>
      <c r="CO180" s="692"/>
      <c r="CP180" s="692"/>
      <c r="CQ180" s="692"/>
      <c r="CR180" s="692"/>
      <c r="CS180" s="692"/>
      <c r="CT180" s="692"/>
      <c r="CU180" s="692"/>
      <c r="CV180" s="692"/>
      <c r="CW180" s="692"/>
      <c r="CX180" s="694"/>
      <c r="CY180" s="694"/>
      <c r="CZ180" s="694"/>
      <c r="DA180" s="694"/>
      <c r="DB180" s="694"/>
      <c r="DC180" s="694"/>
      <c r="DD180" s="694"/>
      <c r="DE180" s="694"/>
      <c r="DF180" s="694"/>
      <c r="DG180" s="695"/>
      <c r="DH180" s="695"/>
      <c r="DI180" s="695"/>
      <c r="DJ180" s="695"/>
      <c r="DK180" s="695"/>
      <c r="DL180" s="695"/>
      <c r="DM180" s="695"/>
      <c r="DN180" s="695"/>
      <c r="DO180" s="695"/>
      <c r="DP180" s="695"/>
      <c r="DQ180" s="695"/>
      <c r="DR180" s="695"/>
      <c r="DS180" s="694"/>
      <c r="DT180" s="694"/>
      <c r="DU180" s="694"/>
      <c r="DV180" s="694"/>
      <c r="DW180" s="694"/>
      <c r="DX180" s="694"/>
      <c r="DY180" s="694"/>
      <c r="DZ180" s="694"/>
      <c r="EA180" s="694"/>
      <c r="EB180" s="694"/>
      <c r="EC180" s="694"/>
      <c r="ED180" s="694"/>
      <c r="EE180" s="694"/>
      <c r="EF180" s="694"/>
      <c r="EG180" s="694"/>
      <c r="EH180" s="694"/>
      <c r="EI180" s="694"/>
      <c r="EJ180" s="694"/>
      <c r="EK180" s="694"/>
      <c r="EL180" s="694"/>
      <c r="EM180" s="694"/>
      <c r="EN180" s="694"/>
      <c r="EO180" s="694"/>
      <c r="EP180" s="694"/>
      <c r="EQ180" s="694"/>
      <c r="ER180" s="694"/>
      <c r="ES180" s="694"/>
      <c r="ET180" s="694"/>
      <c r="EU180" s="694"/>
      <c r="EV180" s="694"/>
      <c r="EW180" s="694"/>
      <c r="EX180" s="694"/>
      <c r="EY180" s="694"/>
      <c r="EZ180" s="694"/>
      <c r="FA180" s="694"/>
      <c r="FB180" s="694"/>
      <c r="FC180" s="694"/>
      <c r="FD180" s="694"/>
      <c r="FE180" s="694"/>
      <c r="FF180" s="694"/>
      <c r="FG180" s="694"/>
      <c r="FH180" s="694"/>
      <c r="FI180" s="694"/>
      <c r="FJ180" s="694"/>
      <c r="FK180" s="694"/>
      <c r="FL180" s="694"/>
      <c r="FM180" s="694"/>
      <c r="FN180" s="694"/>
      <c r="FO180" s="694"/>
      <c r="FP180" s="694"/>
      <c r="FQ180" s="697"/>
    </row>
    <row r="181" spans="1:173" s="696" customFormat="1">
      <c r="A181" s="690"/>
      <c r="B181" s="690"/>
      <c r="C181" s="691" t="s">
        <v>3633</v>
      </c>
      <c r="D181" s="691"/>
      <c r="E181" s="692">
        <v>36.299999999999997</v>
      </c>
      <c r="F181" s="692"/>
      <c r="G181" s="692"/>
      <c r="H181" s="692"/>
      <c r="I181" s="692"/>
      <c r="J181" s="692"/>
      <c r="K181" s="692"/>
      <c r="L181" s="692"/>
      <c r="M181" s="692"/>
      <c r="N181" s="692"/>
      <c r="O181" s="692"/>
      <c r="P181" s="692">
        <f t="shared" si="42"/>
        <v>36.299999999999997</v>
      </c>
      <c r="Q181" s="692"/>
      <c r="R181" s="693"/>
      <c r="S181" s="693"/>
      <c r="T181" s="693"/>
      <c r="U181" s="692" t="s">
        <v>3718</v>
      </c>
      <c r="V181" s="692"/>
      <c r="W181" s="692"/>
      <c r="X181" s="692"/>
      <c r="Y181" s="692"/>
      <c r="Z181" s="692"/>
      <c r="AA181" s="692"/>
      <c r="AB181" s="692"/>
      <c r="AC181" s="692"/>
      <c r="AD181" s="692"/>
      <c r="AE181" s="725"/>
      <c r="AF181" s="957"/>
      <c r="AG181" s="692"/>
      <c r="AH181" s="692"/>
      <c r="AI181" s="692"/>
      <c r="AJ181" s="692"/>
      <c r="AK181" s="692"/>
      <c r="AL181" s="692"/>
      <c r="AM181" s="692"/>
      <c r="AN181" s="692"/>
      <c r="AO181" s="692"/>
      <c r="AP181" s="692"/>
      <c r="AQ181" s="692"/>
      <c r="AR181" s="692"/>
      <c r="AS181" s="692"/>
      <c r="AT181" s="692"/>
      <c r="AU181" s="692"/>
      <c r="AV181" s="692"/>
      <c r="AW181" s="692">
        <f t="shared" si="43"/>
        <v>1</v>
      </c>
      <c r="AX181" s="692"/>
      <c r="AY181" s="692"/>
      <c r="AZ181" s="516">
        <f t="shared" si="44"/>
        <v>2</v>
      </c>
      <c r="BA181" s="516">
        <f t="shared" si="45"/>
        <v>0</v>
      </c>
      <c r="BB181" s="516"/>
      <c r="BC181" s="516"/>
      <c r="BD181" s="516">
        <f t="shared" si="46"/>
        <v>3</v>
      </c>
      <c r="BE181" s="516">
        <f t="shared" si="47"/>
        <v>0</v>
      </c>
      <c r="BF181" s="692"/>
      <c r="BG181" s="692"/>
      <c r="BH181" s="692"/>
      <c r="BI181" s="692"/>
      <c r="BJ181" s="692">
        <f t="shared" si="48"/>
        <v>5</v>
      </c>
      <c r="BK181" s="692"/>
      <c r="BL181" s="692"/>
      <c r="BM181" s="692"/>
      <c r="BN181" s="692"/>
      <c r="BO181" s="692"/>
      <c r="BP181" s="692"/>
      <c r="BQ181" s="692">
        <f t="shared" si="49"/>
        <v>0</v>
      </c>
      <c r="BR181" s="692"/>
      <c r="BS181" s="692">
        <f t="shared" si="50"/>
        <v>0</v>
      </c>
      <c r="BT181" s="692">
        <f t="shared" si="51"/>
        <v>0</v>
      </c>
      <c r="BU181" s="692"/>
      <c r="BV181" s="692"/>
      <c r="BW181" s="692"/>
      <c r="BX181" s="692"/>
      <c r="BY181" s="692">
        <v>3</v>
      </c>
      <c r="BZ181" s="692"/>
      <c r="CA181" s="692"/>
      <c r="CB181" s="692">
        <v>1</v>
      </c>
      <c r="CC181" s="692"/>
      <c r="CD181" s="692">
        <f t="shared" si="52"/>
        <v>4</v>
      </c>
      <c r="CE181" s="692"/>
      <c r="CF181" s="692"/>
      <c r="CG181" s="692"/>
      <c r="CH181" s="692"/>
      <c r="CI181" s="692"/>
      <c r="CJ181" s="692"/>
      <c r="CK181" s="692"/>
      <c r="CL181" s="692"/>
      <c r="CM181" s="692"/>
      <c r="CN181" s="692"/>
      <c r="CO181" s="692"/>
      <c r="CP181" s="692"/>
      <c r="CQ181" s="692"/>
      <c r="CR181" s="692"/>
      <c r="CS181" s="692"/>
      <c r="CT181" s="692"/>
      <c r="CU181" s="692"/>
      <c r="CV181" s="692"/>
      <c r="CW181" s="692"/>
      <c r="CX181" s="694"/>
      <c r="CY181" s="694"/>
      <c r="CZ181" s="694"/>
      <c r="DA181" s="694"/>
      <c r="DB181" s="694"/>
      <c r="DC181" s="694"/>
      <c r="DD181" s="694"/>
      <c r="DE181" s="694"/>
      <c r="DF181" s="694"/>
      <c r="DG181" s="695"/>
      <c r="DH181" s="695"/>
      <c r="DI181" s="695"/>
      <c r="DJ181" s="695"/>
      <c r="DK181" s="695"/>
      <c r="DL181" s="695"/>
      <c r="DM181" s="695"/>
      <c r="DN181" s="695"/>
      <c r="DO181" s="695"/>
      <c r="DP181" s="695"/>
      <c r="DQ181" s="695"/>
      <c r="DR181" s="695"/>
      <c r="DS181" s="694"/>
      <c r="DT181" s="694"/>
      <c r="DU181" s="694"/>
      <c r="DV181" s="694"/>
      <c r="DW181" s="694"/>
      <c r="DX181" s="694"/>
      <c r="DY181" s="694"/>
      <c r="DZ181" s="694"/>
      <c r="EA181" s="694"/>
      <c r="EB181" s="694"/>
      <c r="EC181" s="694"/>
      <c r="ED181" s="694"/>
      <c r="EE181" s="694"/>
      <c r="EF181" s="694"/>
      <c r="EG181" s="694"/>
      <c r="EH181" s="694"/>
      <c r="EI181" s="694"/>
      <c r="EJ181" s="694"/>
      <c r="EK181" s="694"/>
      <c r="EL181" s="694"/>
      <c r="EM181" s="694"/>
      <c r="EN181" s="694"/>
      <c r="EO181" s="694"/>
      <c r="EP181" s="694"/>
      <c r="EQ181" s="694"/>
      <c r="ER181" s="694"/>
      <c r="ES181" s="694"/>
      <c r="ET181" s="694"/>
      <c r="EU181" s="694"/>
      <c r="EV181" s="694"/>
      <c r="EW181" s="694"/>
      <c r="EX181" s="694"/>
      <c r="EY181" s="694"/>
      <c r="EZ181" s="694"/>
      <c r="FA181" s="694"/>
      <c r="FB181" s="694"/>
      <c r="FC181" s="694"/>
      <c r="FD181" s="694"/>
      <c r="FE181" s="694"/>
      <c r="FF181" s="694"/>
      <c r="FG181" s="694"/>
      <c r="FH181" s="694"/>
      <c r="FI181" s="694"/>
      <c r="FJ181" s="694"/>
      <c r="FK181" s="694"/>
      <c r="FL181" s="694"/>
      <c r="FM181" s="694"/>
      <c r="FN181" s="694"/>
      <c r="FO181" s="694"/>
      <c r="FP181" s="694"/>
      <c r="FQ181" s="697"/>
    </row>
    <row r="182" spans="1:173" s="696" customFormat="1">
      <c r="A182" s="690"/>
      <c r="B182" s="690"/>
      <c r="C182" s="691" t="s">
        <v>3634</v>
      </c>
      <c r="D182" s="691"/>
      <c r="E182" s="692">
        <v>33</v>
      </c>
      <c r="F182" s="692"/>
      <c r="G182" s="692"/>
      <c r="H182" s="692"/>
      <c r="I182" s="692"/>
      <c r="J182" s="692"/>
      <c r="K182" s="692"/>
      <c r="L182" s="692"/>
      <c r="M182" s="692"/>
      <c r="N182" s="692"/>
      <c r="O182" s="692"/>
      <c r="P182" s="692">
        <f t="shared" si="42"/>
        <v>33</v>
      </c>
      <c r="Q182" s="692"/>
      <c r="R182" s="693"/>
      <c r="S182" s="693"/>
      <c r="T182" s="693"/>
      <c r="U182" s="692" t="s">
        <v>1631</v>
      </c>
      <c r="V182" s="692"/>
      <c r="W182" s="692">
        <v>1</v>
      </c>
      <c r="X182" s="692"/>
      <c r="Y182" s="692"/>
      <c r="Z182" s="692">
        <v>1</v>
      </c>
      <c r="AA182" s="692"/>
      <c r="AB182" s="692"/>
      <c r="AC182" s="692"/>
      <c r="AD182" s="692"/>
      <c r="AE182" s="725"/>
      <c r="AF182" s="957"/>
      <c r="AG182" s="692"/>
      <c r="AH182" s="692"/>
      <c r="AI182" s="692"/>
      <c r="AJ182" s="692"/>
      <c r="AK182" s="692"/>
      <c r="AL182" s="692"/>
      <c r="AM182" s="692"/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>
        <f t="shared" si="43"/>
        <v>1</v>
      </c>
      <c r="AX182" s="692"/>
      <c r="AY182" s="692"/>
      <c r="AZ182" s="516">
        <f t="shared" si="44"/>
        <v>2</v>
      </c>
      <c r="BA182" s="516">
        <f t="shared" si="45"/>
        <v>0</v>
      </c>
      <c r="BB182" s="516"/>
      <c r="BC182" s="516"/>
      <c r="BD182" s="516">
        <f t="shared" si="46"/>
        <v>1</v>
      </c>
      <c r="BE182" s="516">
        <f t="shared" si="47"/>
        <v>0</v>
      </c>
      <c r="BF182" s="692"/>
      <c r="BG182" s="692"/>
      <c r="BH182" s="692"/>
      <c r="BI182" s="692"/>
      <c r="BJ182" s="692">
        <f t="shared" si="48"/>
        <v>5</v>
      </c>
      <c r="BK182" s="692"/>
      <c r="BL182" s="692"/>
      <c r="BM182" s="692"/>
      <c r="BN182" s="692"/>
      <c r="BO182" s="692"/>
      <c r="BP182" s="692"/>
      <c r="BQ182" s="692">
        <f t="shared" si="49"/>
        <v>0</v>
      </c>
      <c r="BR182" s="692"/>
      <c r="BS182" s="692">
        <f t="shared" si="50"/>
        <v>0</v>
      </c>
      <c r="BT182" s="692">
        <f t="shared" si="51"/>
        <v>1</v>
      </c>
      <c r="BU182" s="692"/>
      <c r="BV182" s="692"/>
      <c r="BW182" s="692"/>
      <c r="BX182" s="692"/>
      <c r="BY182" s="692"/>
      <c r="BZ182" s="692"/>
      <c r="CA182" s="692"/>
      <c r="CB182" s="692">
        <v>1</v>
      </c>
      <c r="CC182" s="692"/>
      <c r="CD182" s="692">
        <f t="shared" si="52"/>
        <v>4</v>
      </c>
      <c r="CE182" s="692"/>
      <c r="CF182" s="692"/>
      <c r="CG182" s="692"/>
      <c r="CH182" s="692"/>
      <c r="CI182" s="692"/>
      <c r="CJ182" s="692"/>
      <c r="CK182" s="692"/>
      <c r="CL182" s="692"/>
      <c r="CM182" s="692"/>
      <c r="CN182" s="692"/>
      <c r="CO182" s="692"/>
      <c r="CP182" s="692"/>
      <c r="CQ182" s="692"/>
      <c r="CR182" s="692"/>
      <c r="CS182" s="692"/>
      <c r="CT182" s="692"/>
      <c r="CU182" s="692"/>
      <c r="CV182" s="692"/>
      <c r="CW182" s="692"/>
      <c r="CX182" s="694"/>
      <c r="CY182" s="694"/>
      <c r="CZ182" s="694"/>
      <c r="DA182" s="694"/>
      <c r="DB182" s="694"/>
      <c r="DC182" s="694"/>
      <c r="DD182" s="694"/>
      <c r="DE182" s="694"/>
      <c r="DF182" s="694"/>
      <c r="DG182" s="695"/>
      <c r="DH182" s="695"/>
      <c r="DI182" s="695"/>
      <c r="DJ182" s="695"/>
      <c r="DK182" s="695"/>
      <c r="DL182" s="695"/>
      <c r="DM182" s="695"/>
      <c r="DN182" s="695"/>
      <c r="DO182" s="695"/>
      <c r="DP182" s="695"/>
      <c r="DQ182" s="695"/>
      <c r="DR182" s="695"/>
      <c r="DS182" s="694"/>
      <c r="DT182" s="694"/>
      <c r="DU182" s="694"/>
      <c r="DV182" s="694"/>
      <c r="DW182" s="694"/>
      <c r="DX182" s="694"/>
      <c r="DY182" s="694"/>
      <c r="DZ182" s="694"/>
      <c r="EA182" s="694"/>
      <c r="EB182" s="694"/>
      <c r="EC182" s="694"/>
      <c r="ED182" s="694"/>
      <c r="EE182" s="694"/>
      <c r="EF182" s="694"/>
      <c r="EG182" s="694"/>
      <c r="EH182" s="694"/>
      <c r="EI182" s="694"/>
      <c r="EJ182" s="694"/>
      <c r="EK182" s="694"/>
      <c r="EL182" s="694"/>
      <c r="EM182" s="694"/>
      <c r="EN182" s="694"/>
      <c r="EO182" s="694"/>
      <c r="EP182" s="694"/>
      <c r="EQ182" s="694"/>
      <c r="ER182" s="694"/>
      <c r="ES182" s="694"/>
      <c r="ET182" s="694"/>
      <c r="EU182" s="694"/>
      <c r="EV182" s="694"/>
      <c r="EW182" s="694"/>
      <c r="EX182" s="694"/>
      <c r="EY182" s="694"/>
      <c r="EZ182" s="694"/>
      <c r="FA182" s="694"/>
      <c r="FB182" s="694"/>
      <c r="FC182" s="694"/>
      <c r="FD182" s="694"/>
      <c r="FE182" s="694"/>
      <c r="FF182" s="694"/>
      <c r="FG182" s="694"/>
      <c r="FH182" s="694"/>
      <c r="FI182" s="694"/>
      <c r="FJ182" s="694"/>
      <c r="FK182" s="694"/>
      <c r="FL182" s="694"/>
      <c r="FM182" s="694"/>
      <c r="FN182" s="694"/>
      <c r="FO182" s="694"/>
      <c r="FP182" s="694"/>
      <c r="FQ182" s="697"/>
    </row>
    <row r="183" spans="1:173" s="696" customFormat="1">
      <c r="A183" s="690"/>
      <c r="B183" s="690"/>
      <c r="C183" s="691" t="s">
        <v>3635</v>
      </c>
      <c r="D183" s="691"/>
      <c r="E183" s="692">
        <v>33</v>
      </c>
      <c r="F183" s="692"/>
      <c r="G183" s="692"/>
      <c r="H183" s="692"/>
      <c r="I183" s="692"/>
      <c r="J183" s="692"/>
      <c r="K183" s="692"/>
      <c r="L183" s="692"/>
      <c r="M183" s="692"/>
      <c r="N183" s="692"/>
      <c r="O183" s="692"/>
      <c r="P183" s="692">
        <f t="shared" si="42"/>
        <v>33</v>
      </c>
      <c r="Q183" s="692"/>
      <c r="R183" s="693"/>
      <c r="S183" s="693"/>
      <c r="T183" s="693"/>
      <c r="U183" s="692" t="s">
        <v>1631</v>
      </c>
      <c r="V183" s="692"/>
      <c r="W183" s="692">
        <v>1</v>
      </c>
      <c r="X183" s="692"/>
      <c r="Y183" s="692"/>
      <c r="Z183" s="692">
        <v>1</v>
      </c>
      <c r="AA183" s="692"/>
      <c r="AB183" s="692"/>
      <c r="AC183" s="692"/>
      <c r="AD183" s="692"/>
      <c r="AE183" s="725"/>
      <c r="AF183" s="957"/>
      <c r="AG183" s="692"/>
      <c r="AH183" s="692"/>
      <c r="AI183" s="692"/>
      <c r="AJ183" s="692"/>
      <c r="AK183" s="692"/>
      <c r="AL183" s="692"/>
      <c r="AM183" s="692"/>
      <c r="AN183" s="692"/>
      <c r="AO183" s="692"/>
      <c r="AP183" s="692"/>
      <c r="AQ183" s="692"/>
      <c r="AR183" s="692"/>
      <c r="AS183" s="692"/>
      <c r="AT183" s="692"/>
      <c r="AU183" s="692"/>
      <c r="AV183" s="692"/>
      <c r="AW183" s="692">
        <f t="shared" si="43"/>
        <v>1</v>
      </c>
      <c r="AX183" s="692"/>
      <c r="AY183" s="692"/>
      <c r="AZ183" s="516">
        <f t="shared" si="44"/>
        <v>2</v>
      </c>
      <c r="BA183" s="516">
        <f t="shared" si="45"/>
        <v>0</v>
      </c>
      <c r="BB183" s="516"/>
      <c r="BC183" s="516"/>
      <c r="BD183" s="516">
        <f t="shared" si="46"/>
        <v>1</v>
      </c>
      <c r="BE183" s="516">
        <f t="shared" si="47"/>
        <v>0</v>
      </c>
      <c r="BF183" s="692"/>
      <c r="BG183" s="692"/>
      <c r="BH183" s="692"/>
      <c r="BI183" s="692"/>
      <c r="BJ183" s="692">
        <f t="shared" si="48"/>
        <v>5</v>
      </c>
      <c r="BK183" s="692"/>
      <c r="BL183" s="692"/>
      <c r="BM183" s="692"/>
      <c r="BN183" s="692"/>
      <c r="BO183" s="692"/>
      <c r="BP183" s="692"/>
      <c r="BQ183" s="692">
        <f t="shared" si="49"/>
        <v>0</v>
      </c>
      <c r="BR183" s="692"/>
      <c r="BS183" s="692">
        <f t="shared" si="50"/>
        <v>0</v>
      </c>
      <c r="BT183" s="692">
        <f t="shared" si="51"/>
        <v>1</v>
      </c>
      <c r="BU183" s="692"/>
      <c r="BV183" s="692"/>
      <c r="BW183" s="692"/>
      <c r="BX183" s="692"/>
      <c r="BY183" s="692"/>
      <c r="BZ183" s="692"/>
      <c r="CA183" s="692"/>
      <c r="CB183" s="692">
        <v>1</v>
      </c>
      <c r="CC183" s="692"/>
      <c r="CD183" s="692">
        <f t="shared" si="52"/>
        <v>4</v>
      </c>
      <c r="CE183" s="692"/>
      <c r="CF183" s="692"/>
      <c r="CG183" s="692"/>
      <c r="CH183" s="692"/>
      <c r="CI183" s="692"/>
      <c r="CJ183" s="692"/>
      <c r="CK183" s="692"/>
      <c r="CL183" s="692"/>
      <c r="CM183" s="692"/>
      <c r="CN183" s="692"/>
      <c r="CO183" s="692"/>
      <c r="CP183" s="692"/>
      <c r="CQ183" s="692"/>
      <c r="CR183" s="692"/>
      <c r="CS183" s="692"/>
      <c r="CT183" s="692"/>
      <c r="CU183" s="692"/>
      <c r="CV183" s="692"/>
      <c r="CW183" s="692"/>
      <c r="CX183" s="694"/>
      <c r="CY183" s="694"/>
      <c r="CZ183" s="694"/>
      <c r="DA183" s="694"/>
      <c r="DB183" s="694"/>
      <c r="DC183" s="694"/>
      <c r="DD183" s="694"/>
      <c r="DE183" s="694"/>
      <c r="DF183" s="694"/>
      <c r="DG183" s="695"/>
      <c r="DH183" s="695"/>
      <c r="DI183" s="695"/>
      <c r="DJ183" s="695"/>
      <c r="DK183" s="695"/>
      <c r="DL183" s="695"/>
      <c r="DM183" s="695"/>
      <c r="DN183" s="695"/>
      <c r="DO183" s="695"/>
      <c r="DP183" s="695"/>
      <c r="DQ183" s="695"/>
      <c r="DR183" s="695"/>
      <c r="DS183" s="694"/>
      <c r="DT183" s="694"/>
      <c r="DU183" s="694"/>
      <c r="DV183" s="694"/>
      <c r="DW183" s="694"/>
      <c r="DX183" s="694"/>
      <c r="DY183" s="694"/>
      <c r="DZ183" s="694"/>
      <c r="EA183" s="694"/>
      <c r="EB183" s="694"/>
      <c r="EC183" s="694"/>
      <c r="ED183" s="694"/>
      <c r="EE183" s="694"/>
      <c r="EF183" s="694"/>
      <c r="EG183" s="694"/>
      <c r="EH183" s="694"/>
      <c r="EI183" s="694"/>
      <c r="EJ183" s="694"/>
      <c r="EK183" s="694"/>
      <c r="EL183" s="694"/>
      <c r="EM183" s="694"/>
      <c r="EN183" s="694"/>
      <c r="EO183" s="694"/>
      <c r="EP183" s="694"/>
      <c r="EQ183" s="694"/>
      <c r="ER183" s="694"/>
      <c r="ES183" s="694"/>
      <c r="ET183" s="694"/>
      <c r="EU183" s="694"/>
      <c r="EV183" s="694"/>
      <c r="EW183" s="694"/>
      <c r="EX183" s="694"/>
      <c r="EY183" s="694"/>
      <c r="EZ183" s="694"/>
      <c r="FA183" s="694"/>
      <c r="FB183" s="694"/>
      <c r="FC183" s="694"/>
      <c r="FD183" s="694"/>
      <c r="FE183" s="694"/>
      <c r="FF183" s="694"/>
      <c r="FG183" s="694"/>
      <c r="FH183" s="694"/>
      <c r="FI183" s="694"/>
      <c r="FJ183" s="694"/>
      <c r="FK183" s="694"/>
      <c r="FL183" s="694"/>
      <c r="FM183" s="694"/>
      <c r="FN183" s="694"/>
      <c r="FO183" s="694"/>
      <c r="FP183" s="694"/>
      <c r="FQ183" s="697"/>
    </row>
    <row r="184" spans="1:173" s="696" customFormat="1">
      <c r="A184" s="690"/>
      <c r="B184" s="690"/>
      <c r="C184" s="691" t="s">
        <v>3636</v>
      </c>
      <c r="D184" s="691"/>
      <c r="E184" s="692">
        <v>31.8</v>
      </c>
      <c r="F184" s="692"/>
      <c r="G184" s="692"/>
      <c r="H184" s="692"/>
      <c r="I184" s="692"/>
      <c r="J184" s="692"/>
      <c r="K184" s="692"/>
      <c r="L184" s="692"/>
      <c r="M184" s="692"/>
      <c r="N184" s="692"/>
      <c r="O184" s="692"/>
      <c r="P184" s="692">
        <f t="shared" si="42"/>
        <v>31.8</v>
      </c>
      <c r="Q184" s="692"/>
      <c r="R184" s="693"/>
      <c r="S184" s="693"/>
      <c r="T184" s="693"/>
      <c r="U184" s="692" t="s">
        <v>3718</v>
      </c>
      <c r="V184" s="692"/>
      <c r="W184" s="692"/>
      <c r="X184" s="692"/>
      <c r="Y184" s="692"/>
      <c r="Z184" s="692"/>
      <c r="AA184" s="692"/>
      <c r="AB184" s="692"/>
      <c r="AC184" s="692"/>
      <c r="AD184" s="692"/>
      <c r="AE184" s="725"/>
      <c r="AF184" s="957"/>
      <c r="AG184" s="692"/>
      <c r="AH184" s="692"/>
      <c r="AI184" s="692"/>
      <c r="AJ184" s="692"/>
      <c r="AK184" s="692"/>
      <c r="AL184" s="692"/>
      <c r="AM184" s="692"/>
      <c r="AN184" s="692"/>
      <c r="AO184" s="692"/>
      <c r="AP184" s="692"/>
      <c r="AQ184" s="692"/>
      <c r="AR184" s="692"/>
      <c r="AS184" s="692"/>
      <c r="AT184" s="692"/>
      <c r="AU184" s="692"/>
      <c r="AV184" s="692"/>
      <c r="AW184" s="692">
        <f t="shared" si="43"/>
        <v>1</v>
      </c>
      <c r="AX184" s="692"/>
      <c r="AY184" s="692"/>
      <c r="AZ184" s="516">
        <f t="shared" si="44"/>
        <v>2</v>
      </c>
      <c r="BA184" s="516">
        <f t="shared" si="45"/>
        <v>0</v>
      </c>
      <c r="BB184" s="516"/>
      <c r="BC184" s="516"/>
      <c r="BD184" s="516">
        <f t="shared" si="46"/>
        <v>3</v>
      </c>
      <c r="BE184" s="516">
        <f t="shared" si="47"/>
        <v>0</v>
      </c>
      <c r="BF184" s="692"/>
      <c r="BG184" s="692"/>
      <c r="BH184" s="692"/>
      <c r="BI184" s="692"/>
      <c r="BJ184" s="692">
        <f t="shared" si="48"/>
        <v>5</v>
      </c>
      <c r="BK184" s="692"/>
      <c r="BL184" s="692"/>
      <c r="BM184" s="692"/>
      <c r="BN184" s="692"/>
      <c r="BO184" s="692"/>
      <c r="BP184" s="692"/>
      <c r="BQ184" s="692">
        <f t="shared" si="49"/>
        <v>0</v>
      </c>
      <c r="BR184" s="692"/>
      <c r="BS184" s="692">
        <f t="shared" si="50"/>
        <v>0</v>
      </c>
      <c r="BT184" s="692">
        <f t="shared" si="51"/>
        <v>0</v>
      </c>
      <c r="BU184" s="692"/>
      <c r="BV184" s="692"/>
      <c r="BW184" s="692"/>
      <c r="BX184" s="692"/>
      <c r="BY184" s="692">
        <v>3</v>
      </c>
      <c r="BZ184" s="692"/>
      <c r="CA184" s="692"/>
      <c r="CB184" s="692">
        <v>1</v>
      </c>
      <c r="CC184" s="692"/>
      <c r="CD184" s="692">
        <f t="shared" si="52"/>
        <v>4</v>
      </c>
      <c r="CE184" s="692"/>
      <c r="CF184" s="692"/>
      <c r="CG184" s="692"/>
      <c r="CH184" s="692"/>
      <c r="CI184" s="692"/>
      <c r="CJ184" s="692"/>
      <c r="CK184" s="692"/>
      <c r="CL184" s="692"/>
      <c r="CM184" s="692"/>
      <c r="CN184" s="692"/>
      <c r="CO184" s="692"/>
      <c r="CP184" s="692"/>
      <c r="CQ184" s="692"/>
      <c r="CR184" s="692"/>
      <c r="CS184" s="692"/>
      <c r="CT184" s="692"/>
      <c r="CU184" s="692"/>
      <c r="CV184" s="692"/>
      <c r="CW184" s="692"/>
      <c r="CX184" s="694"/>
      <c r="CY184" s="694"/>
      <c r="CZ184" s="694"/>
      <c r="DA184" s="694"/>
      <c r="DB184" s="694"/>
      <c r="DC184" s="694"/>
      <c r="DD184" s="694"/>
      <c r="DE184" s="694"/>
      <c r="DF184" s="694"/>
      <c r="DG184" s="695"/>
      <c r="DH184" s="695"/>
      <c r="DI184" s="695"/>
      <c r="DJ184" s="695"/>
      <c r="DK184" s="695"/>
      <c r="DL184" s="695"/>
      <c r="DM184" s="695"/>
      <c r="DN184" s="695"/>
      <c r="DO184" s="695"/>
      <c r="DP184" s="695"/>
      <c r="DQ184" s="695"/>
      <c r="DR184" s="695"/>
      <c r="DS184" s="694"/>
      <c r="DT184" s="694"/>
      <c r="DU184" s="694"/>
      <c r="DV184" s="694"/>
      <c r="DW184" s="694"/>
      <c r="DX184" s="694"/>
      <c r="DY184" s="694"/>
      <c r="DZ184" s="694"/>
      <c r="EA184" s="694"/>
      <c r="EB184" s="694"/>
      <c r="EC184" s="694"/>
      <c r="ED184" s="694"/>
      <c r="EE184" s="694"/>
      <c r="EF184" s="694"/>
      <c r="EG184" s="694"/>
      <c r="EH184" s="694"/>
      <c r="EI184" s="694"/>
      <c r="EJ184" s="694"/>
      <c r="EK184" s="694"/>
      <c r="EL184" s="694"/>
      <c r="EM184" s="694"/>
      <c r="EN184" s="694"/>
      <c r="EO184" s="694"/>
      <c r="EP184" s="694"/>
      <c r="EQ184" s="694"/>
      <c r="ER184" s="694"/>
      <c r="ES184" s="694"/>
      <c r="ET184" s="694"/>
      <c r="EU184" s="694"/>
      <c r="EV184" s="694"/>
      <c r="EW184" s="694"/>
      <c r="EX184" s="694"/>
      <c r="EY184" s="694"/>
      <c r="EZ184" s="694"/>
      <c r="FA184" s="694"/>
      <c r="FB184" s="694"/>
      <c r="FC184" s="694"/>
      <c r="FD184" s="694"/>
      <c r="FE184" s="694"/>
      <c r="FF184" s="694"/>
      <c r="FG184" s="694"/>
      <c r="FH184" s="694"/>
      <c r="FI184" s="694"/>
      <c r="FJ184" s="694"/>
      <c r="FK184" s="694"/>
      <c r="FL184" s="694"/>
      <c r="FM184" s="694"/>
      <c r="FN184" s="694"/>
      <c r="FO184" s="694"/>
      <c r="FP184" s="694"/>
      <c r="FQ184" s="697"/>
    </row>
    <row r="185" spans="1:173" s="696" customFormat="1">
      <c r="A185" s="690"/>
      <c r="B185" s="690"/>
      <c r="C185" s="691" t="s">
        <v>3637</v>
      </c>
      <c r="D185" s="691"/>
      <c r="E185" s="692">
        <v>35</v>
      </c>
      <c r="F185" s="692"/>
      <c r="G185" s="692"/>
      <c r="H185" s="692"/>
      <c r="I185" s="692"/>
      <c r="J185" s="692"/>
      <c r="K185" s="692"/>
      <c r="L185" s="692"/>
      <c r="M185" s="692"/>
      <c r="N185" s="692"/>
      <c r="O185" s="692"/>
      <c r="P185" s="692">
        <f t="shared" si="42"/>
        <v>35</v>
      </c>
      <c r="Q185" s="692"/>
      <c r="R185" s="693"/>
      <c r="S185" s="693"/>
      <c r="T185" s="693"/>
      <c r="U185" s="692" t="s">
        <v>1631</v>
      </c>
      <c r="V185" s="692"/>
      <c r="W185" s="692">
        <v>1</v>
      </c>
      <c r="X185" s="692"/>
      <c r="Y185" s="692"/>
      <c r="Z185" s="692">
        <v>1</v>
      </c>
      <c r="AA185" s="692"/>
      <c r="AB185" s="692"/>
      <c r="AC185" s="692"/>
      <c r="AD185" s="692"/>
      <c r="AE185" s="725"/>
      <c r="AF185" s="957"/>
      <c r="AG185" s="692"/>
      <c r="AH185" s="692"/>
      <c r="AI185" s="692"/>
      <c r="AJ185" s="692"/>
      <c r="AK185" s="692"/>
      <c r="AL185" s="692"/>
      <c r="AM185" s="692"/>
      <c r="AN185" s="692"/>
      <c r="AO185" s="692"/>
      <c r="AP185" s="692"/>
      <c r="AQ185" s="692"/>
      <c r="AR185" s="692"/>
      <c r="AS185" s="692"/>
      <c r="AT185" s="692"/>
      <c r="AU185" s="692"/>
      <c r="AV185" s="692"/>
      <c r="AW185" s="692">
        <f t="shared" si="43"/>
        <v>1</v>
      </c>
      <c r="AX185" s="692"/>
      <c r="AY185" s="692"/>
      <c r="AZ185" s="516">
        <f t="shared" si="44"/>
        <v>2</v>
      </c>
      <c r="BA185" s="516">
        <f t="shared" si="45"/>
        <v>0</v>
      </c>
      <c r="BB185" s="516"/>
      <c r="BC185" s="516"/>
      <c r="BD185" s="516">
        <f t="shared" si="46"/>
        <v>1</v>
      </c>
      <c r="BE185" s="516">
        <f t="shared" si="47"/>
        <v>0</v>
      </c>
      <c r="BF185" s="692"/>
      <c r="BG185" s="692"/>
      <c r="BH185" s="692"/>
      <c r="BI185" s="692"/>
      <c r="BJ185" s="692">
        <f t="shared" si="48"/>
        <v>5</v>
      </c>
      <c r="BK185" s="692"/>
      <c r="BL185" s="692"/>
      <c r="BM185" s="692"/>
      <c r="BN185" s="692"/>
      <c r="BO185" s="692"/>
      <c r="BP185" s="692"/>
      <c r="BQ185" s="692">
        <f t="shared" si="49"/>
        <v>0</v>
      </c>
      <c r="BR185" s="692"/>
      <c r="BS185" s="692">
        <f t="shared" si="50"/>
        <v>0</v>
      </c>
      <c r="BT185" s="692">
        <f t="shared" si="51"/>
        <v>1</v>
      </c>
      <c r="BU185" s="692"/>
      <c r="BV185" s="692"/>
      <c r="BW185" s="692"/>
      <c r="BX185" s="692"/>
      <c r="BY185" s="692"/>
      <c r="BZ185" s="692"/>
      <c r="CA185" s="692"/>
      <c r="CB185" s="692">
        <v>1</v>
      </c>
      <c r="CC185" s="692"/>
      <c r="CD185" s="692">
        <f t="shared" si="52"/>
        <v>4</v>
      </c>
      <c r="CE185" s="692"/>
      <c r="CF185" s="692"/>
      <c r="CG185" s="692"/>
      <c r="CH185" s="692"/>
      <c r="CI185" s="692"/>
      <c r="CJ185" s="692"/>
      <c r="CK185" s="692"/>
      <c r="CL185" s="692"/>
      <c r="CM185" s="692"/>
      <c r="CN185" s="692"/>
      <c r="CO185" s="692"/>
      <c r="CP185" s="692"/>
      <c r="CQ185" s="692"/>
      <c r="CR185" s="692"/>
      <c r="CS185" s="692"/>
      <c r="CT185" s="692"/>
      <c r="CU185" s="692"/>
      <c r="CV185" s="692"/>
      <c r="CW185" s="692"/>
      <c r="CX185" s="694"/>
      <c r="CY185" s="694"/>
      <c r="CZ185" s="694"/>
      <c r="DA185" s="694"/>
      <c r="DB185" s="694"/>
      <c r="DC185" s="694"/>
      <c r="DD185" s="694"/>
      <c r="DE185" s="694"/>
      <c r="DF185" s="694"/>
      <c r="DG185" s="695"/>
      <c r="DH185" s="695"/>
      <c r="DI185" s="695"/>
      <c r="DJ185" s="695"/>
      <c r="DK185" s="695"/>
      <c r="DL185" s="695"/>
      <c r="DM185" s="695"/>
      <c r="DN185" s="695"/>
      <c r="DO185" s="695"/>
      <c r="DP185" s="695"/>
      <c r="DQ185" s="695"/>
      <c r="DR185" s="695"/>
      <c r="DS185" s="694"/>
      <c r="DT185" s="694"/>
      <c r="DU185" s="694"/>
      <c r="DV185" s="694"/>
      <c r="DW185" s="694"/>
      <c r="DX185" s="694"/>
      <c r="DY185" s="694"/>
      <c r="DZ185" s="694"/>
      <c r="EA185" s="694"/>
      <c r="EB185" s="694"/>
      <c r="EC185" s="694"/>
      <c r="ED185" s="694"/>
      <c r="EE185" s="694"/>
      <c r="EF185" s="694"/>
      <c r="EG185" s="694"/>
      <c r="EH185" s="694"/>
      <c r="EI185" s="694"/>
      <c r="EJ185" s="694"/>
      <c r="EK185" s="694"/>
      <c r="EL185" s="694"/>
      <c r="EM185" s="694"/>
      <c r="EN185" s="694"/>
      <c r="EO185" s="694"/>
      <c r="EP185" s="694"/>
      <c r="EQ185" s="694"/>
      <c r="ER185" s="694"/>
      <c r="ES185" s="694"/>
      <c r="ET185" s="694"/>
      <c r="EU185" s="694"/>
      <c r="EV185" s="694"/>
      <c r="EW185" s="694"/>
      <c r="EX185" s="694"/>
      <c r="EY185" s="694"/>
      <c r="EZ185" s="694"/>
      <c r="FA185" s="694"/>
      <c r="FB185" s="694"/>
      <c r="FC185" s="694"/>
      <c r="FD185" s="694"/>
      <c r="FE185" s="694"/>
      <c r="FF185" s="694"/>
      <c r="FG185" s="694"/>
      <c r="FH185" s="694"/>
      <c r="FI185" s="694"/>
      <c r="FJ185" s="694"/>
      <c r="FK185" s="694"/>
      <c r="FL185" s="694"/>
      <c r="FM185" s="694"/>
      <c r="FN185" s="694"/>
      <c r="FO185" s="694"/>
      <c r="FP185" s="694"/>
      <c r="FQ185" s="697"/>
    </row>
    <row r="186" spans="1:173" s="696" customFormat="1">
      <c r="A186" s="690"/>
      <c r="B186" s="690"/>
      <c r="C186" s="691" t="s">
        <v>3638</v>
      </c>
      <c r="D186" s="691"/>
      <c r="E186" s="692">
        <v>35</v>
      </c>
      <c r="F186" s="692"/>
      <c r="G186" s="692"/>
      <c r="H186" s="692"/>
      <c r="I186" s="692"/>
      <c r="J186" s="692"/>
      <c r="K186" s="692"/>
      <c r="L186" s="692"/>
      <c r="M186" s="692"/>
      <c r="N186" s="692"/>
      <c r="O186" s="692"/>
      <c r="P186" s="692">
        <f t="shared" si="42"/>
        <v>35</v>
      </c>
      <c r="Q186" s="692"/>
      <c r="R186" s="693"/>
      <c r="S186" s="693"/>
      <c r="T186" s="693"/>
      <c r="U186" s="692" t="s">
        <v>1631</v>
      </c>
      <c r="V186" s="692"/>
      <c r="W186" s="692">
        <v>1</v>
      </c>
      <c r="X186" s="692"/>
      <c r="Y186" s="692"/>
      <c r="Z186" s="692">
        <v>1</v>
      </c>
      <c r="AA186" s="692"/>
      <c r="AB186" s="692"/>
      <c r="AC186" s="692"/>
      <c r="AD186" s="692"/>
      <c r="AE186" s="725"/>
      <c r="AF186" s="957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>
        <f t="shared" si="43"/>
        <v>1</v>
      </c>
      <c r="AX186" s="692"/>
      <c r="AY186" s="692"/>
      <c r="AZ186" s="516">
        <f t="shared" si="44"/>
        <v>2</v>
      </c>
      <c r="BA186" s="516">
        <f t="shared" si="45"/>
        <v>0</v>
      </c>
      <c r="BB186" s="516"/>
      <c r="BC186" s="516"/>
      <c r="BD186" s="516">
        <f t="shared" si="46"/>
        <v>1</v>
      </c>
      <c r="BE186" s="516">
        <f t="shared" si="47"/>
        <v>0</v>
      </c>
      <c r="BF186" s="692"/>
      <c r="BG186" s="692"/>
      <c r="BH186" s="692"/>
      <c r="BI186" s="692"/>
      <c r="BJ186" s="692">
        <f t="shared" si="48"/>
        <v>5</v>
      </c>
      <c r="BK186" s="692"/>
      <c r="BL186" s="692"/>
      <c r="BM186" s="692"/>
      <c r="BN186" s="692"/>
      <c r="BO186" s="692"/>
      <c r="BP186" s="692"/>
      <c r="BQ186" s="692">
        <f t="shared" si="49"/>
        <v>0</v>
      </c>
      <c r="BR186" s="692"/>
      <c r="BS186" s="692">
        <f t="shared" si="50"/>
        <v>0</v>
      </c>
      <c r="BT186" s="692">
        <f t="shared" si="51"/>
        <v>1</v>
      </c>
      <c r="BU186" s="692"/>
      <c r="BV186" s="692"/>
      <c r="BW186" s="692"/>
      <c r="BX186" s="692"/>
      <c r="BY186" s="692"/>
      <c r="BZ186" s="692"/>
      <c r="CA186" s="692"/>
      <c r="CB186" s="692">
        <v>1</v>
      </c>
      <c r="CC186" s="692"/>
      <c r="CD186" s="692">
        <f t="shared" si="52"/>
        <v>4</v>
      </c>
      <c r="CE186" s="692"/>
      <c r="CF186" s="692"/>
      <c r="CG186" s="692"/>
      <c r="CH186" s="692"/>
      <c r="CI186" s="692"/>
      <c r="CJ186" s="692"/>
      <c r="CK186" s="692"/>
      <c r="CL186" s="692"/>
      <c r="CM186" s="692"/>
      <c r="CN186" s="692"/>
      <c r="CO186" s="692"/>
      <c r="CP186" s="692"/>
      <c r="CQ186" s="692"/>
      <c r="CR186" s="692"/>
      <c r="CS186" s="692"/>
      <c r="CT186" s="692"/>
      <c r="CU186" s="692"/>
      <c r="CV186" s="692"/>
      <c r="CW186" s="692"/>
      <c r="CX186" s="694"/>
      <c r="CY186" s="694"/>
      <c r="CZ186" s="694"/>
      <c r="DA186" s="694"/>
      <c r="DB186" s="694"/>
      <c r="DC186" s="694"/>
      <c r="DD186" s="694"/>
      <c r="DE186" s="694"/>
      <c r="DF186" s="694"/>
      <c r="DG186" s="695"/>
      <c r="DH186" s="695"/>
      <c r="DI186" s="695"/>
      <c r="DJ186" s="695"/>
      <c r="DK186" s="695"/>
      <c r="DL186" s="695"/>
      <c r="DM186" s="695"/>
      <c r="DN186" s="695"/>
      <c r="DO186" s="695"/>
      <c r="DP186" s="695"/>
      <c r="DQ186" s="695"/>
      <c r="DR186" s="695"/>
      <c r="DS186" s="694"/>
      <c r="DT186" s="694"/>
      <c r="DU186" s="694"/>
      <c r="DV186" s="694"/>
      <c r="DW186" s="694"/>
      <c r="DX186" s="694"/>
      <c r="DY186" s="694"/>
      <c r="DZ186" s="694"/>
      <c r="EA186" s="694"/>
      <c r="EB186" s="694"/>
      <c r="EC186" s="694"/>
      <c r="ED186" s="694"/>
      <c r="EE186" s="694"/>
      <c r="EF186" s="694"/>
      <c r="EG186" s="694"/>
      <c r="EH186" s="694"/>
      <c r="EI186" s="694"/>
      <c r="EJ186" s="694"/>
      <c r="EK186" s="694"/>
      <c r="EL186" s="694"/>
      <c r="EM186" s="694"/>
      <c r="EN186" s="694"/>
      <c r="EO186" s="694"/>
      <c r="EP186" s="694"/>
      <c r="EQ186" s="694"/>
      <c r="ER186" s="694"/>
      <c r="ES186" s="694"/>
      <c r="ET186" s="694"/>
      <c r="EU186" s="694"/>
      <c r="EV186" s="694"/>
      <c r="EW186" s="694"/>
      <c r="EX186" s="694"/>
      <c r="EY186" s="694"/>
      <c r="EZ186" s="694"/>
      <c r="FA186" s="694"/>
      <c r="FB186" s="694"/>
      <c r="FC186" s="694"/>
      <c r="FD186" s="694"/>
      <c r="FE186" s="694"/>
      <c r="FF186" s="694"/>
      <c r="FG186" s="694"/>
      <c r="FH186" s="694"/>
      <c r="FI186" s="694"/>
      <c r="FJ186" s="694"/>
      <c r="FK186" s="694"/>
      <c r="FL186" s="694"/>
      <c r="FM186" s="694"/>
      <c r="FN186" s="694"/>
      <c r="FO186" s="694"/>
      <c r="FP186" s="694"/>
      <c r="FQ186" s="697"/>
    </row>
    <row r="187" spans="1:173" s="696" customFormat="1">
      <c r="A187" s="690"/>
      <c r="B187" s="690"/>
      <c r="C187" s="691" t="s">
        <v>3639</v>
      </c>
      <c r="D187" s="691"/>
      <c r="E187" s="692">
        <v>32.6</v>
      </c>
      <c r="F187" s="692"/>
      <c r="G187" s="692"/>
      <c r="H187" s="692"/>
      <c r="I187" s="692"/>
      <c r="J187" s="692"/>
      <c r="K187" s="692"/>
      <c r="L187" s="692"/>
      <c r="M187" s="692"/>
      <c r="N187" s="692"/>
      <c r="O187" s="692"/>
      <c r="P187" s="692">
        <f t="shared" si="42"/>
        <v>32.6</v>
      </c>
      <c r="Q187" s="692"/>
      <c r="R187" s="693"/>
      <c r="S187" s="693"/>
      <c r="T187" s="693"/>
      <c r="U187" s="692" t="s">
        <v>2990</v>
      </c>
      <c r="V187" s="692"/>
      <c r="W187" s="692"/>
      <c r="X187" s="692"/>
      <c r="Y187" s="692"/>
      <c r="Z187" s="692"/>
      <c r="AA187" s="692"/>
      <c r="AB187" s="692"/>
      <c r="AC187" s="692"/>
      <c r="AD187" s="692"/>
      <c r="AE187" s="725"/>
      <c r="AF187" s="957"/>
      <c r="AG187" s="692"/>
      <c r="AH187" s="692"/>
      <c r="AI187" s="692"/>
      <c r="AJ187" s="692"/>
      <c r="AK187" s="692"/>
      <c r="AL187" s="692"/>
      <c r="AM187" s="692"/>
      <c r="AN187" s="692"/>
      <c r="AO187" s="692"/>
      <c r="AP187" s="692"/>
      <c r="AQ187" s="692"/>
      <c r="AR187" s="692"/>
      <c r="AS187" s="692"/>
      <c r="AT187" s="692"/>
      <c r="AU187" s="692"/>
      <c r="AV187" s="692"/>
      <c r="AW187" s="692">
        <f t="shared" si="43"/>
        <v>1</v>
      </c>
      <c r="AX187" s="692"/>
      <c r="AY187" s="692"/>
      <c r="AZ187" s="516">
        <f t="shared" si="44"/>
        <v>2</v>
      </c>
      <c r="BA187" s="516">
        <f t="shared" si="45"/>
        <v>0</v>
      </c>
      <c r="BB187" s="516"/>
      <c r="BC187" s="516"/>
      <c r="BD187" s="516">
        <f t="shared" si="46"/>
        <v>1</v>
      </c>
      <c r="BE187" s="516">
        <f t="shared" si="47"/>
        <v>0</v>
      </c>
      <c r="BF187" s="692"/>
      <c r="BG187" s="692"/>
      <c r="BH187" s="692"/>
      <c r="BI187" s="692"/>
      <c r="BJ187" s="692">
        <f t="shared" si="48"/>
        <v>5</v>
      </c>
      <c r="BK187" s="692"/>
      <c r="BL187" s="692"/>
      <c r="BM187" s="692"/>
      <c r="BN187" s="692"/>
      <c r="BO187" s="692"/>
      <c r="BP187" s="692"/>
      <c r="BQ187" s="692">
        <f t="shared" si="49"/>
        <v>0</v>
      </c>
      <c r="BR187" s="692"/>
      <c r="BS187" s="692">
        <f t="shared" si="50"/>
        <v>0</v>
      </c>
      <c r="BT187" s="692">
        <f t="shared" si="51"/>
        <v>0</v>
      </c>
      <c r="BU187" s="692"/>
      <c r="BV187" s="692"/>
      <c r="BW187" s="692"/>
      <c r="BX187" s="692"/>
      <c r="BY187" s="692">
        <v>1</v>
      </c>
      <c r="BZ187" s="692"/>
      <c r="CA187" s="692"/>
      <c r="CB187" s="692">
        <v>1</v>
      </c>
      <c r="CC187" s="692"/>
      <c r="CD187" s="692">
        <f t="shared" si="52"/>
        <v>4</v>
      </c>
      <c r="CE187" s="692"/>
      <c r="CF187" s="692"/>
      <c r="CG187" s="692"/>
      <c r="CH187" s="692"/>
      <c r="CI187" s="692"/>
      <c r="CJ187" s="692"/>
      <c r="CK187" s="692"/>
      <c r="CL187" s="692"/>
      <c r="CM187" s="692"/>
      <c r="CN187" s="692"/>
      <c r="CO187" s="692"/>
      <c r="CP187" s="692"/>
      <c r="CQ187" s="692"/>
      <c r="CR187" s="692"/>
      <c r="CS187" s="692"/>
      <c r="CT187" s="692"/>
      <c r="CU187" s="692"/>
      <c r="CV187" s="692"/>
      <c r="CW187" s="692"/>
      <c r="CX187" s="694"/>
      <c r="CY187" s="694"/>
      <c r="CZ187" s="694"/>
      <c r="DA187" s="694"/>
      <c r="DB187" s="694"/>
      <c r="DC187" s="694"/>
      <c r="DD187" s="694"/>
      <c r="DE187" s="694"/>
      <c r="DF187" s="694"/>
      <c r="DG187" s="695"/>
      <c r="DH187" s="695"/>
      <c r="DI187" s="695"/>
      <c r="DJ187" s="695"/>
      <c r="DK187" s="695"/>
      <c r="DL187" s="695"/>
      <c r="DM187" s="695"/>
      <c r="DN187" s="695"/>
      <c r="DO187" s="695"/>
      <c r="DP187" s="695"/>
      <c r="DQ187" s="695"/>
      <c r="DR187" s="695"/>
      <c r="DS187" s="694"/>
      <c r="DT187" s="694"/>
      <c r="DU187" s="694"/>
      <c r="DV187" s="694"/>
      <c r="DW187" s="694"/>
      <c r="DX187" s="694"/>
      <c r="DY187" s="694"/>
      <c r="DZ187" s="694"/>
      <c r="EA187" s="694"/>
      <c r="EB187" s="694"/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/>
      <c r="FA187" s="694"/>
      <c r="FB187" s="694"/>
      <c r="FC187" s="694"/>
      <c r="FD187" s="694"/>
      <c r="FE187" s="694"/>
      <c r="FF187" s="694"/>
      <c r="FG187" s="694"/>
      <c r="FH187" s="694"/>
      <c r="FI187" s="694"/>
      <c r="FJ187" s="694"/>
      <c r="FK187" s="694"/>
      <c r="FL187" s="694"/>
      <c r="FM187" s="694"/>
      <c r="FN187" s="694"/>
      <c r="FO187" s="694"/>
      <c r="FP187" s="694"/>
      <c r="FQ187" s="697"/>
    </row>
    <row r="188" spans="1:173" s="696" customFormat="1">
      <c r="A188" s="690"/>
      <c r="B188" s="690"/>
      <c r="C188" s="691" t="s">
        <v>3640</v>
      </c>
      <c r="D188" s="691"/>
      <c r="E188" s="692">
        <v>30</v>
      </c>
      <c r="F188" s="692"/>
      <c r="G188" s="692"/>
      <c r="H188" s="692"/>
      <c r="I188" s="692"/>
      <c r="J188" s="692"/>
      <c r="K188" s="692"/>
      <c r="L188" s="692"/>
      <c r="M188" s="692"/>
      <c r="N188" s="692"/>
      <c r="O188" s="692">
        <f>E188</f>
        <v>30</v>
      </c>
      <c r="P188" s="692"/>
      <c r="Q188" s="692"/>
      <c r="R188" s="693"/>
      <c r="S188" s="693"/>
      <c r="T188" s="693"/>
      <c r="U188" s="692" t="s">
        <v>1631</v>
      </c>
      <c r="V188" s="692"/>
      <c r="W188" s="692">
        <v>1</v>
      </c>
      <c r="X188" s="692"/>
      <c r="Y188" s="692"/>
      <c r="Z188" s="692">
        <v>1</v>
      </c>
      <c r="AA188" s="692"/>
      <c r="AB188" s="692"/>
      <c r="AC188" s="692"/>
      <c r="AD188" s="692"/>
      <c r="AE188" s="725"/>
      <c r="AF188" s="957"/>
      <c r="AG188" s="692"/>
      <c r="AH188" s="692"/>
      <c r="AI188" s="692"/>
      <c r="AJ188" s="692"/>
      <c r="AK188" s="692"/>
      <c r="AL188" s="692"/>
      <c r="AM188" s="692"/>
      <c r="AN188" s="692"/>
      <c r="AO188" s="692"/>
      <c r="AP188" s="692"/>
      <c r="AQ188" s="692"/>
      <c r="AR188" s="692"/>
      <c r="AS188" s="692"/>
      <c r="AT188" s="692"/>
      <c r="AU188" s="692"/>
      <c r="AV188" s="692"/>
      <c r="AW188" s="692">
        <f t="shared" si="43"/>
        <v>1</v>
      </c>
      <c r="AX188" s="692"/>
      <c r="AY188" s="692"/>
      <c r="AZ188" s="516">
        <f t="shared" si="44"/>
        <v>2</v>
      </c>
      <c r="BA188" s="516">
        <f t="shared" si="45"/>
        <v>0</v>
      </c>
      <c r="BB188" s="516"/>
      <c r="BC188" s="516"/>
      <c r="BD188" s="516">
        <f t="shared" si="46"/>
        <v>1</v>
      </c>
      <c r="BE188" s="516">
        <f t="shared" si="47"/>
        <v>0</v>
      </c>
      <c r="BF188" s="692"/>
      <c r="BG188" s="692"/>
      <c r="BH188" s="692"/>
      <c r="BI188" s="692">
        <f>CB188*5+AU188*2</f>
        <v>5</v>
      </c>
      <c r="BJ188" s="692"/>
      <c r="BK188" s="692"/>
      <c r="BL188" s="692"/>
      <c r="BM188" s="692"/>
      <c r="BN188" s="692"/>
      <c r="BO188" s="692"/>
      <c r="BP188" s="692"/>
      <c r="BQ188" s="692">
        <f t="shared" si="49"/>
        <v>0</v>
      </c>
      <c r="BR188" s="692"/>
      <c r="BS188" s="692">
        <f t="shared" si="50"/>
        <v>1</v>
      </c>
      <c r="BT188" s="692">
        <f t="shared" si="51"/>
        <v>0</v>
      </c>
      <c r="BU188" s="692"/>
      <c r="BV188" s="692"/>
      <c r="BW188" s="692"/>
      <c r="BX188" s="692"/>
      <c r="BY188" s="692"/>
      <c r="BZ188" s="692"/>
      <c r="CA188" s="692"/>
      <c r="CB188" s="692">
        <v>1</v>
      </c>
      <c r="CC188" s="692"/>
      <c r="CD188" s="692">
        <f t="shared" si="52"/>
        <v>4</v>
      </c>
      <c r="CE188" s="692"/>
      <c r="CF188" s="692"/>
      <c r="CG188" s="692"/>
      <c r="CH188" s="692"/>
      <c r="CI188" s="692"/>
      <c r="CJ188" s="692"/>
      <c r="CK188" s="692"/>
      <c r="CL188" s="692"/>
      <c r="CM188" s="692"/>
      <c r="CN188" s="692"/>
      <c r="CO188" s="692"/>
      <c r="CP188" s="692"/>
      <c r="CQ188" s="692"/>
      <c r="CR188" s="692"/>
      <c r="CS188" s="692"/>
      <c r="CT188" s="692"/>
      <c r="CU188" s="692"/>
      <c r="CV188" s="692"/>
      <c r="CW188" s="692"/>
      <c r="CX188" s="694"/>
      <c r="CY188" s="694"/>
      <c r="CZ188" s="694"/>
      <c r="DA188" s="694"/>
      <c r="DB188" s="694"/>
      <c r="DC188" s="694"/>
      <c r="DD188" s="694"/>
      <c r="DE188" s="694"/>
      <c r="DF188" s="694"/>
      <c r="DG188" s="695"/>
      <c r="DH188" s="695"/>
      <c r="DI188" s="695"/>
      <c r="DJ188" s="695"/>
      <c r="DK188" s="695"/>
      <c r="DL188" s="695"/>
      <c r="DM188" s="695"/>
      <c r="DN188" s="695"/>
      <c r="DO188" s="695"/>
      <c r="DP188" s="695"/>
      <c r="DQ188" s="695"/>
      <c r="DR188" s="695"/>
      <c r="DS188" s="694"/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4"/>
      <c r="FH188" s="694"/>
      <c r="FI188" s="694"/>
      <c r="FJ188" s="694"/>
      <c r="FK188" s="694"/>
      <c r="FL188" s="694"/>
      <c r="FM188" s="694"/>
      <c r="FN188" s="694"/>
      <c r="FO188" s="694"/>
      <c r="FP188" s="694"/>
      <c r="FQ188" s="697"/>
    </row>
    <row r="189" spans="1:173" s="696" customFormat="1">
      <c r="A189" s="690"/>
      <c r="B189" s="690"/>
      <c r="C189" s="691" t="s">
        <v>3641</v>
      </c>
      <c r="D189" s="691"/>
      <c r="E189" s="692">
        <v>26.9</v>
      </c>
      <c r="F189" s="692"/>
      <c r="G189" s="692"/>
      <c r="H189" s="692"/>
      <c r="I189" s="692"/>
      <c r="J189" s="692"/>
      <c r="K189" s="692"/>
      <c r="L189" s="692"/>
      <c r="M189" s="692"/>
      <c r="N189" s="692"/>
      <c r="O189" s="692">
        <f t="shared" ref="O189:O195" si="53">E189</f>
        <v>26.9</v>
      </c>
      <c r="P189" s="692"/>
      <c r="Q189" s="692"/>
      <c r="R189" s="693"/>
      <c r="S189" s="693"/>
      <c r="T189" s="693"/>
      <c r="U189" s="692" t="s">
        <v>1631</v>
      </c>
      <c r="V189" s="692"/>
      <c r="W189" s="692"/>
      <c r="X189" s="692"/>
      <c r="Y189" s="692"/>
      <c r="Z189" s="692"/>
      <c r="AA189" s="692"/>
      <c r="AB189" s="692"/>
      <c r="AC189" s="692"/>
      <c r="AD189" s="692"/>
      <c r="AE189" s="725"/>
      <c r="AF189" s="957"/>
      <c r="AG189" s="692"/>
      <c r="AH189" s="692"/>
      <c r="AI189" s="692"/>
      <c r="AJ189" s="692"/>
      <c r="AK189" s="692"/>
      <c r="AL189" s="692"/>
      <c r="AM189" s="692"/>
      <c r="AN189" s="692"/>
      <c r="AO189" s="692"/>
      <c r="AP189" s="692"/>
      <c r="AQ189" s="692"/>
      <c r="AR189" s="692"/>
      <c r="AS189" s="692"/>
      <c r="AT189" s="692"/>
      <c r="AU189" s="692"/>
      <c r="AV189" s="692"/>
      <c r="AW189" s="692">
        <f t="shared" si="43"/>
        <v>1</v>
      </c>
      <c r="AX189" s="692"/>
      <c r="AY189" s="692"/>
      <c r="AZ189" s="516">
        <f t="shared" si="44"/>
        <v>2</v>
      </c>
      <c r="BA189" s="516">
        <f t="shared" si="45"/>
        <v>0</v>
      </c>
      <c r="BB189" s="516"/>
      <c r="BC189" s="516"/>
      <c r="BD189" s="516">
        <f t="shared" si="46"/>
        <v>1</v>
      </c>
      <c r="BE189" s="516">
        <f t="shared" si="47"/>
        <v>0</v>
      </c>
      <c r="BF189" s="692"/>
      <c r="BG189" s="692"/>
      <c r="BH189" s="692"/>
      <c r="BI189" s="692">
        <f t="shared" ref="BI189:BI195" si="54">CB189*5+AU189*2</f>
        <v>5</v>
      </c>
      <c r="BJ189" s="692"/>
      <c r="BK189" s="692"/>
      <c r="BL189" s="692"/>
      <c r="BM189" s="692"/>
      <c r="BN189" s="692"/>
      <c r="BO189" s="692"/>
      <c r="BP189" s="692"/>
      <c r="BQ189" s="692">
        <f t="shared" si="49"/>
        <v>0</v>
      </c>
      <c r="BR189" s="692"/>
      <c r="BS189" s="692">
        <f t="shared" si="50"/>
        <v>1</v>
      </c>
      <c r="BT189" s="692">
        <f t="shared" si="51"/>
        <v>0</v>
      </c>
      <c r="BU189" s="692"/>
      <c r="BV189" s="692"/>
      <c r="BW189" s="692"/>
      <c r="BX189" s="692"/>
      <c r="BY189" s="692"/>
      <c r="BZ189" s="692"/>
      <c r="CA189" s="692"/>
      <c r="CB189" s="692">
        <v>1</v>
      </c>
      <c r="CC189" s="692"/>
      <c r="CD189" s="692">
        <f t="shared" si="52"/>
        <v>4</v>
      </c>
      <c r="CE189" s="692"/>
      <c r="CF189" s="692"/>
      <c r="CG189" s="692"/>
      <c r="CH189" s="692"/>
      <c r="CI189" s="692"/>
      <c r="CJ189" s="692"/>
      <c r="CK189" s="692"/>
      <c r="CL189" s="692"/>
      <c r="CM189" s="692"/>
      <c r="CN189" s="692"/>
      <c r="CO189" s="692"/>
      <c r="CP189" s="692"/>
      <c r="CQ189" s="692"/>
      <c r="CR189" s="692"/>
      <c r="CS189" s="692"/>
      <c r="CT189" s="692"/>
      <c r="CU189" s="692"/>
      <c r="CV189" s="692"/>
      <c r="CW189" s="692"/>
      <c r="CX189" s="694"/>
      <c r="CY189" s="694"/>
      <c r="CZ189" s="694"/>
      <c r="DA189" s="694"/>
      <c r="DB189" s="694"/>
      <c r="DC189" s="694"/>
      <c r="DD189" s="694"/>
      <c r="DE189" s="694"/>
      <c r="DF189" s="694"/>
      <c r="DG189" s="695"/>
      <c r="DH189" s="695"/>
      <c r="DI189" s="695"/>
      <c r="DJ189" s="695"/>
      <c r="DK189" s="695"/>
      <c r="DL189" s="695"/>
      <c r="DM189" s="695"/>
      <c r="DN189" s="695"/>
      <c r="DO189" s="695"/>
      <c r="DP189" s="695"/>
      <c r="DQ189" s="695"/>
      <c r="DR189" s="695"/>
      <c r="DS189" s="694"/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/>
      <c r="FG189" s="694"/>
      <c r="FH189" s="694"/>
      <c r="FI189" s="694"/>
      <c r="FJ189" s="694"/>
      <c r="FK189" s="694"/>
      <c r="FL189" s="694"/>
      <c r="FM189" s="694"/>
      <c r="FN189" s="694"/>
      <c r="FO189" s="694"/>
      <c r="FP189" s="694"/>
      <c r="FQ189" s="697"/>
    </row>
    <row r="190" spans="1:173" s="696" customFormat="1">
      <c r="A190" s="690"/>
      <c r="B190" s="690"/>
      <c r="C190" s="691" t="s">
        <v>3647</v>
      </c>
      <c r="D190" s="691"/>
      <c r="E190" s="692">
        <v>20</v>
      </c>
      <c r="F190" s="692"/>
      <c r="G190" s="692"/>
      <c r="H190" s="692"/>
      <c r="I190" s="692"/>
      <c r="J190" s="692"/>
      <c r="K190" s="692"/>
      <c r="L190" s="692"/>
      <c r="M190" s="692"/>
      <c r="N190" s="692"/>
      <c r="O190" s="692">
        <f t="shared" si="53"/>
        <v>20</v>
      </c>
      <c r="P190" s="692"/>
      <c r="Q190" s="692"/>
      <c r="R190" s="693"/>
      <c r="S190" s="693"/>
      <c r="T190" s="693"/>
      <c r="U190" s="692" t="s">
        <v>2989</v>
      </c>
      <c r="V190" s="692"/>
      <c r="W190" s="692">
        <v>1</v>
      </c>
      <c r="X190" s="692"/>
      <c r="Y190" s="692"/>
      <c r="Z190" s="692">
        <v>1</v>
      </c>
      <c r="AA190" s="692"/>
      <c r="AB190" s="692"/>
      <c r="AC190" s="692"/>
      <c r="AD190" s="692"/>
      <c r="AE190" s="725"/>
      <c r="AF190" s="957"/>
      <c r="AG190" s="692"/>
      <c r="AH190" s="692"/>
      <c r="AI190" s="692"/>
      <c r="AJ190" s="692"/>
      <c r="AK190" s="692"/>
      <c r="AL190" s="692"/>
      <c r="AM190" s="692"/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>
        <f t="shared" si="43"/>
        <v>1</v>
      </c>
      <c r="AX190" s="692"/>
      <c r="AY190" s="692"/>
      <c r="AZ190" s="516">
        <f t="shared" si="44"/>
        <v>2</v>
      </c>
      <c r="BA190" s="516">
        <f t="shared" si="45"/>
        <v>0</v>
      </c>
      <c r="BB190" s="516"/>
      <c r="BC190" s="516"/>
      <c r="BD190" s="516">
        <f t="shared" si="46"/>
        <v>2</v>
      </c>
      <c r="BE190" s="516">
        <f t="shared" si="47"/>
        <v>0</v>
      </c>
      <c r="BF190" s="692"/>
      <c r="BG190" s="692"/>
      <c r="BH190" s="692"/>
      <c r="BI190" s="692">
        <f t="shared" si="54"/>
        <v>5</v>
      </c>
      <c r="BJ190" s="692"/>
      <c r="BK190" s="692"/>
      <c r="BL190" s="692"/>
      <c r="BM190" s="692"/>
      <c r="BN190" s="692"/>
      <c r="BO190" s="692"/>
      <c r="BP190" s="692"/>
      <c r="BQ190" s="692">
        <f t="shared" si="49"/>
        <v>0</v>
      </c>
      <c r="BR190" s="692"/>
      <c r="BS190" s="692">
        <f t="shared" si="50"/>
        <v>0</v>
      </c>
      <c r="BT190" s="692">
        <f t="shared" si="51"/>
        <v>0</v>
      </c>
      <c r="BU190" s="692"/>
      <c r="BV190" s="692"/>
      <c r="BW190" s="692"/>
      <c r="BX190" s="692">
        <v>2</v>
      </c>
      <c r="BY190" s="692"/>
      <c r="BZ190" s="692"/>
      <c r="CA190" s="692"/>
      <c r="CB190" s="692">
        <v>1</v>
      </c>
      <c r="CC190" s="692"/>
      <c r="CD190" s="692">
        <f t="shared" si="52"/>
        <v>4</v>
      </c>
      <c r="CE190" s="692"/>
      <c r="CF190" s="692"/>
      <c r="CG190" s="692"/>
      <c r="CH190" s="692"/>
      <c r="CI190" s="692"/>
      <c r="CJ190" s="692"/>
      <c r="CK190" s="692"/>
      <c r="CL190" s="692"/>
      <c r="CM190" s="692"/>
      <c r="CN190" s="692"/>
      <c r="CO190" s="692"/>
      <c r="CP190" s="692"/>
      <c r="CQ190" s="692"/>
      <c r="CR190" s="692"/>
      <c r="CS190" s="692"/>
      <c r="CT190" s="692"/>
      <c r="CU190" s="692"/>
      <c r="CV190" s="692"/>
      <c r="CW190" s="692"/>
      <c r="CX190" s="694"/>
      <c r="CY190" s="694"/>
      <c r="CZ190" s="694"/>
      <c r="DA190" s="694"/>
      <c r="DB190" s="694"/>
      <c r="DC190" s="694"/>
      <c r="DD190" s="694"/>
      <c r="DE190" s="694"/>
      <c r="DF190" s="694"/>
      <c r="DG190" s="695"/>
      <c r="DH190" s="695"/>
      <c r="DI190" s="695"/>
      <c r="DJ190" s="695"/>
      <c r="DK190" s="695"/>
      <c r="DL190" s="695"/>
      <c r="DM190" s="695"/>
      <c r="DN190" s="695"/>
      <c r="DO190" s="695"/>
      <c r="DP190" s="695"/>
      <c r="DQ190" s="695"/>
      <c r="DR190" s="695"/>
      <c r="DS190" s="694"/>
      <c r="DT190" s="694"/>
      <c r="DU190" s="694"/>
      <c r="DV190" s="694"/>
      <c r="DW190" s="694"/>
      <c r="DX190" s="694"/>
      <c r="DY190" s="694"/>
      <c r="DZ190" s="694"/>
      <c r="EA190" s="694"/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4"/>
      <c r="FH190" s="694"/>
      <c r="FI190" s="694"/>
      <c r="FJ190" s="694"/>
      <c r="FK190" s="694"/>
      <c r="FL190" s="694"/>
      <c r="FM190" s="694"/>
      <c r="FN190" s="694"/>
      <c r="FO190" s="694"/>
      <c r="FP190" s="694"/>
      <c r="FQ190" s="697"/>
    </row>
    <row r="191" spans="1:173" s="696" customFormat="1">
      <c r="A191" s="690"/>
      <c r="B191" s="690"/>
      <c r="C191" s="691"/>
      <c r="D191" s="691" t="s">
        <v>3665</v>
      </c>
      <c r="E191" s="692">
        <v>26.3</v>
      </c>
      <c r="F191" s="692"/>
      <c r="G191" s="692"/>
      <c r="H191" s="692"/>
      <c r="I191" s="692"/>
      <c r="J191" s="692"/>
      <c r="K191" s="692"/>
      <c r="L191" s="692"/>
      <c r="M191" s="692"/>
      <c r="N191" s="692"/>
      <c r="O191" s="692">
        <f t="shared" si="53"/>
        <v>26.3</v>
      </c>
      <c r="P191" s="692"/>
      <c r="Q191" s="692"/>
      <c r="R191" s="693"/>
      <c r="S191" s="693"/>
      <c r="T191" s="693"/>
      <c r="U191" s="692" t="s">
        <v>2990</v>
      </c>
      <c r="V191" s="692"/>
      <c r="W191" s="692"/>
      <c r="X191" s="692"/>
      <c r="Y191" s="692"/>
      <c r="Z191" s="692"/>
      <c r="AA191" s="692"/>
      <c r="AB191" s="692"/>
      <c r="AC191" s="692"/>
      <c r="AD191" s="692"/>
      <c r="AE191" s="725"/>
      <c r="AF191" s="957"/>
      <c r="AG191" s="692"/>
      <c r="AH191" s="692"/>
      <c r="AI191" s="692"/>
      <c r="AJ191" s="692"/>
      <c r="AK191" s="692"/>
      <c r="AL191" s="692"/>
      <c r="AM191" s="692"/>
      <c r="AN191" s="692"/>
      <c r="AO191" s="692"/>
      <c r="AP191" s="692"/>
      <c r="AQ191" s="692"/>
      <c r="AR191" s="692"/>
      <c r="AS191" s="692"/>
      <c r="AT191" s="692"/>
      <c r="AU191" s="692"/>
      <c r="AV191" s="692"/>
      <c r="AW191" s="692">
        <f t="shared" si="43"/>
        <v>0</v>
      </c>
      <c r="AX191" s="692"/>
      <c r="AY191" s="692"/>
      <c r="AZ191" s="516">
        <f t="shared" si="44"/>
        <v>0</v>
      </c>
      <c r="BA191" s="516">
        <f t="shared" si="45"/>
        <v>0</v>
      </c>
      <c r="BB191" s="516"/>
      <c r="BC191" s="516"/>
      <c r="BD191" s="516">
        <f t="shared" si="46"/>
        <v>0</v>
      </c>
      <c r="BE191" s="516"/>
      <c r="BF191" s="692"/>
      <c r="BG191" s="692"/>
      <c r="BH191" s="692"/>
      <c r="BI191" s="692">
        <f t="shared" si="54"/>
        <v>0</v>
      </c>
      <c r="BJ191" s="692">
        <f t="shared" si="48"/>
        <v>0</v>
      </c>
      <c r="BK191" s="692"/>
      <c r="BL191" s="692"/>
      <c r="BM191" s="692"/>
      <c r="BN191" s="692"/>
      <c r="BO191" s="692"/>
      <c r="BP191" s="692"/>
      <c r="BQ191" s="692">
        <f t="shared" si="49"/>
        <v>0</v>
      </c>
      <c r="BR191" s="692"/>
      <c r="BS191" s="692">
        <f t="shared" si="50"/>
        <v>0</v>
      </c>
      <c r="BT191" s="692">
        <f t="shared" si="51"/>
        <v>0</v>
      </c>
      <c r="BU191" s="692"/>
      <c r="BV191" s="692"/>
      <c r="BW191" s="692"/>
      <c r="BX191" s="692"/>
      <c r="BY191" s="692"/>
      <c r="BZ191" s="692"/>
      <c r="CA191" s="692"/>
      <c r="CB191" s="692"/>
      <c r="CC191" s="692"/>
      <c r="CD191" s="692">
        <f t="shared" si="52"/>
        <v>0</v>
      </c>
      <c r="CE191" s="692"/>
      <c r="CF191" s="692"/>
      <c r="CG191" s="692"/>
      <c r="CH191" s="692"/>
      <c r="CI191" s="692"/>
      <c r="CJ191" s="692"/>
      <c r="CK191" s="692"/>
      <c r="CL191" s="692"/>
      <c r="CM191" s="692"/>
      <c r="CN191" s="692"/>
      <c r="CO191" s="692"/>
      <c r="CP191" s="692"/>
      <c r="CQ191" s="692"/>
      <c r="CR191" s="692"/>
      <c r="CS191" s="692"/>
      <c r="CT191" s="692"/>
      <c r="CU191" s="692"/>
      <c r="CV191" s="692"/>
      <c r="CW191" s="692"/>
      <c r="CX191" s="694"/>
      <c r="CY191" s="694"/>
      <c r="CZ191" s="694"/>
      <c r="DA191" s="694"/>
      <c r="DB191" s="694"/>
      <c r="DC191" s="694"/>
      <c r="DD191" s="694"/>
      <c r="DE191" s="694"/>
      <c r="DF191" s="694"/>
      <c r="DG191" s="695"/>
      <c r="DH191" s="695"/>
      <c r="DI191" s="695"/>
      <c r="DJ191" s="695"/>
      <c r="DK191" s="695"/>
      <c r="DL191" s="695"/>
      <c r="DM191" s="695"/>
      <c r="DN191" s="695"/>
      <c r="DO191" s="695"/>
      <c r="DP191" s="695"/>
      <c r="DQ191" s="695"/>
      <c r="DR191" s="695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4"/>
      <c r="FH191" s="694"/>
      <c r="FI191" s="694"/>
      <c r="FJ191" s="694"/>
      <c r="FK191" s="694"/>
      <c r="FL191" s="694"/>
      <c r="FM191" s="694"/>
      <c r="FN191" s="694"/>
      <c r="FO191" s="694"/>
      <c r="FP191" s="694"/>
      <c r="FQ191" s="697"/>
    </row>
    <row r="192" spans="1:173" s="696" customFormat="1">
      <c r="A192" s="690"/>
      <c r="B192" s="690"/>
      <c r="C192" s="691" t="s">
        <v>3648</v>
      </c>
      <c r="D192" s="691"/>
      <c r="E192" s="692">
        <v>26</v>
      </c>
      <c r="F192" s="692"/>
      <c r="G192" s="692"/>
      <c r="H192" s="692"/>
      <c r="I192" s="692"/>
      <c r="J192" s="692"/>
      <c r="K192" s="692"/>
      <c r="L192" s="692"/>
      <c r="M192" s="692"/>
      <c r="N192" s="692"/>
      <c r="O192" s="692">
        <f t="shared" si="53"/>
        <v>26</v>
      </c>
      <c r="P192" s="692"/>
      <c r="Q192" s="692"/>
      <c r="R192" s="693"/>
      <c r="S192" s="693"/>
      <c r="T192" s="693"/>
      <c r="U192" s="692" t="s">
        <v>1631</v>
      </c>
      <c r="V192" s="692"/>
      <c r="W192" s="692">
        <v>1</v>
      </c>
      <c r="X192" s="692"/>
      <c r="Y192" s="692"/>
      <c r="Z192" s="692">
        <v>1</v>
      </c>
      <c r="AA192" s="692"/>
      <c r="AB192" s="692"/>
      <c r="AC192" s="692"/>
      <c r="AD192" s="692"/>
      <c r="AE192" s="725"/>
      <c r="AF192" s="957"/>
      <c r="AG192" s="692"/>
      <c r="AH192" s="692"/>
      <c r="AI192" s="692"/>
      <c r="AJ192" s="692"/>
      <c r="AK192" s="692"/>
      <c r="AL192" s="692"/>
      <c r="AM192" s="692"/>
      <c r="AN192" s="692"/>
      <c r="AO192" s="692"/>
      <c r="AP192" s="692"/>
      <c r="AQ192" s="692"/>
      <c r="AR192" s="692"/>
      <c r="AS192" s="692"/>
      <c r="AT192" s="692"/>
      <c r="AU192" s="692"/>
      <c r="AV192" s="692"/>
      <c r="AW192" s="692">
        <f t="shared" si="43"/>
        <v>1</v>
      </c>
      <c r="AX192" s="692"/>
      <c r="AY192" s="692"/>
      <c r="AZ192" s="516">
        <f t="shared" si="44"/>
        <v>2</v>
      </c>
      <c r="BA192" s="516">
        <f t="shared" si="45"/>
        <v>0</v>
      </c>
      <c r="BB192" s="516"/>
      <c r="BC192" s="516"/>
      <c r="BD192" s="516">
        <f t="shared" si="46"/>
        <v>1</v>
      </c>
      <c r="BE192" s="516">
        <f t="shared" si="47"/>
        <v>0</v>
      </c>
      <c r="BF192" s="692"/>
      <c r="BG192" s="692"/>
      <c r="BH192" s="692"/>
      <c r="BI192" s="692">
        <f t="shared" si="54"/>
        <v>5</v>
      </c>
      <c r="BJ192" s="692"/>
      <c r="BK192" s="692"/>
      <c r="BL192" s="692"/>
      <c r="BM192" s="692"/>
      <c r="BN192" s="692"/>
      <c r="BO192" s="692"/>
      <c r="BP192" s="692"/>
      <c r="BQ192" s="692">
        <f t="shared" si="49"/>
        <v>0</v>
      </c>
      <c r="BR192" s="692"/>
      <c r="BS192" s="692">
        <f t="shared" si="50"/>
        <v>1</v>
      </c>
      <c r="BT192" s="692">
        <f t="shared" si="51"/>
        <v>0</v>
      </c>
      <c r="BU192" s="692"/>
      <c r="BV192" s="692"/>
      <c r="BW192" s="692"/>
      <c r="BX192" s="692"/>
      <c r="BY192" s="692"/>
      <c r="BZ192" s="692"/>
      <c r="CA192" s="692"/>
      <c r="CB192" s="692">
        <v>1</v>
      </c>
      <c r="CC192" s="692"/>
      <c r="CD192" s="692">
        <f t="shared" si="52"/>
        <v>4</v>
      </c>
      <c r="CE192" s="692"/>
      <c r="CF192" s="692"/>
      <c r="CG192" s="692"/>
      <c r="CH192" s="692"/>
      <c r="CI192" s="692"/>
      <c r="CJ192" s="692"/>
      <c r="CK192" s="692"/>
      <c r="CL192" s="692"/>
      <c r="CM192" s="692"/>
      <c r="CN192" s="692"/>
      <c r="CO192" s="692"/>
      <c r="CP192" s="692"/>
      <c r="CQ192" s="692"/>
      <c r="CR192" s="692"/>
      <c r="CS192" s="692"/>
      <c r="CT192" s="692"/>
      <c r="CU192" s="692"/>
      <c r="CV192" s="692"/>
      <c r="CW192" s="692"/>
      <c r="CX192" s="694"/>
      <c r="CY192" s="694"/>
      <c r="CZ192" s="694"/>
      <c r="DA192" s="694"/>
      <c r="DB192" s="694"/>
      <c r="DC192" s="694"/>
      <c r="DD192" s="694"/>
      <c r="DE192" s="694"/>
      <c r="DF192" s="694"/>
      <c r="DG192" s="695"/>
      <c r="DH192" s="695"/>
      <c r="DI192" s="695"/>
      <c r="DJ192" s="695"/>
      <c r="DK192" s="695"/>
      <c r="DL192" s="695"/>
      <c r="DM192" s="695"/>
      <c r="DN192" s="695"/>
      <c r="DO192" s="695"/>
      <c r="DP192" s="695"/>
      <c r="DQ192" s="695"/>
      <c r="DR192" s="695"/>
      <c r="DS192" s="694"/>
      <c r="DT192" s="694"/>
      <c r="DU192" s="694"/>
      <c r="DV192" s="694"/>
      <c r="DW192" s="694"/>
      <c r="DX192" s="694"/>
      <c r="DY192" s="694"/>
      <c r="DZ192" s="694"/>
      <c r="EA192" s="694"/>
      <c r="EB192" s="694"/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/>
      <c r="FG192" s="694"/>
      <c r="FH192" s="694"/>
      <c r="FI192" s="694"/>
      <c r="FJ192" s="694"/>
      <c r="FK192" s="694"/>
      <c r="FL192" s="694"/>
      <c r="FM192" s="694"/>
      <c r="FN192" s="694"/>
      <c r="FO192" s="694"/>
      <c r="FP192" s="694"/>
      <c r="FQ192" s="697"/>
    </row>
    <row r="193" spans="1:173" s="696" customFormat="1">
      <c r="A193" s="690"/>
      <c r="B193" s="690"/>
      <c r="C193" s="691" t="s">
        <v>3649</v>
      </c>
      <c r="D193" s="691"/>
      <c r="E193" s="692">
        <v>26.1</v>
      </c>
      <c r="F193" s="692"/>
      <c r="G193" s="692"/>
      <c r="H193" s="692"/>
      <c r="I193" s="692"/>
      <c r="J193" s="692"/>
      <c r="K193" s="692"/>
      <c r="L193" s="692"/>
      <c r="M193" s="692"/>
      <c r="N193" s="692"/>
      <c r="O193" s="692">
        <f t="shared" si="53"/>
        <v>26.1</v>
      </c>
      <c r="P193" s="692"/>
      <c r="Q193" s="692"/>
      <c r="R193" s="693"/>
      <c r="S193" s="693"/>
      <c r="T193" s="693"/>
      <c r="U193" s="692" t="s">
        <v>1631</v>
      </c>
      <c r="V193" s="692"/>
      <c r="W193" s="692"/>
      <c r="X193" s="692"/>
      <c r="Y193" s="692"/>
      <c r="Z193" s="692"/>
      <c r="AA193" s="692"/>
      <c r="AB193" s="692"/>
      <c r="AC193" s="692"/>
      <c r="AD193" s="692"/>
      <c r="AE193" s="725"/>
      <c r="AF193" s="957"/>
      <c r="AG193" s="692"/>
      <c r="AH193" s="692"/>
      <c r="AI193" s="692"/>
      <c r="AJ193" s="692"/>
      <c r="AK193" s="692"/>
      <c r="AL193" s="692"/>
      <c r="AM193" s="692"/>
      <c r="AN193" s="692"/>
      <c r="AO193" s="692"/>
      <c r="AP193" s="692"/>
      <c r="AQ193" s="692"/>
      <c r="AR193" s="692"/>
      <c r="AS193" s="692"/>
      <c r="AT193" s="692"/>
      <c r="AU193" s="692"/>
      <c r="AV193" s="692"/>
      <c r="AW193" s="692">
        <f t="shared" si="43"/>
        <v>1</v>
      </c>
      <c r="AX193" s="692"/>
      <c r="AY193" s="692"/>
      <c r="AZ193" s="516">
        <f t="shared" si="44"/>
        <v>2</v>
      </c>
      <c r="BA193" s="516">
        <f t="shared" si="45"/>
        <v>0</v>
      </c>
      <c r="BB193" s="516"/>
      <c r="BC193" s="516"/>
      <c r="BD193" s="516">
        <f t="shared" si="46"/>
        <v>1</v>
      </c>
      <c r="BE193" s="516">
        <f t="shared" si="47"/>
        <v>0</v>
      </c>
      <c r="BF193" s="692"/>
      <c r="BG193" s="692"/>
      <c r="BH193" s="692"/>
      <c r="BI193" s="692">
        <f t="shared" si="54"/>
        <v>5</v>
      </c>
      <c r="BJ193" s="692"/>
      <c r="BK193" s="692"/>
      <c r="BL193" s="692"/>
      <c r="BM193" s="692"/>
      <c r="BN193" s="692"/>
      <c r="BO193" s="692"/>
      <c r="BP193" s="692"/>
      <c r="BQ193" s="692">
        <f t="shared" si="49"/>
        <v>0</v>
      </c>
      <c r="BR193" s="692"/>
      <c r="BS193" s="692">
        <f t="shared" si="50"/>
        <v>1</v>
      </c>
      <c r="BT193" s="692">
        <f t="shared" si="51"/>
        <v>0</v>
      </c>
      <c r="BU193" s="692"/>
      <c r="BV193" s="692"/>
      <c r="BW193" s="692"/>
      <c r="BX193" s="692"/>
      <c r="BY193" s="692"/>
      <c r="BZ193" s="692"/>
      <c r="CA193" s="692"/>
      <c r="CB193" s="692">
        <v>1</v>
      </c>
      <c r="CC193" s="692"/>
      <c r="CD193" s="692">
        <f t="shared" si="52"/>
        <v>4</v>
      </c>
      <c r="CE193" s="692"/>
      <c r="CF193" s="692"/>
      <c r="CG193" s="692"/>
      <c r="CH193" s="692"/>
      <c r="CI193" s="692"/>
      <c r="CJ193" s="692"/>
      <c r="CK193" s="692"/>
      <c r="CL193" s="692"/>
      <c r="CM193" s="692"/>
      <c r="CN193" s="692"/>
      <c r="CO193" s="692"/>
      <c r="CP193" s="692"/>
      <c r="CQ193" s="692"/>
      <c r="CR193" s="692"/>
      <c r="CS193" s="692"/>
      <c r="CT193" s="692"/>
      <c r="CU193" s="692"/>
      <c r="CV193" s="692"/>
      <c r="CW193" s="692"/>
      <c r="CX193" s="694"/>
      <c r="CY193" s="694"/>
      <c r="CZ193" s="694"/>
      <c r="DA193" s="694"/>
      <c r="DB193" s="694"/>
      <c r="DC193" s="694"/>
      <c r="DD193" s="694"/>
      <c r="DE193" s="694"/>
      <c r="DF193" s="694"/>
      <c r="DG193" s="695"/>
      <c r="DH193" s="695"/>
      <c r="DI193" s="695"/>
      <c r="DJ193" s="695"/>
      <c r="DK193" s="695"/>
      <c r="DL193" s="695"/>
      <c r="DM193" s="695"/>
      <c r="DN193" s="695"/>
      <c r="DO193" s="695"/>
      <c r="DP193" s="695"/>
      <c r="DQ193" s="695"/>
      <c r="DR193" s="695"/>
      <c r="DS193" s="694"/>
      <c r="DT193" s="694"/>
      <c r="DU193" s="694"/>
      <c r="DV193" s="694"/>
      <c r="DW193" s="694"/>
      <c r="DX193" s="694"/>
      <c r="DY193" s="694"/>
      <c r="DZ193" s="694"/>
      <c r="EA193" s="694"/>
      <c r="EB193" s="694"/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4"/>
      <c r="FH193" s="694"/>
      <c r="FI193" s="694"/>
      <c r="FJ193" s="694"/>
      <c r="FK193" s="694"/>
      <c r="FL193" s="694"/>
      <c r="FM193" s="694"/>
      <c r="FN193" s="694"/>
      <c r="FO193" s="694"/>
      <c r="FP193" s="694"/>
      <c r="FQ193" s="697"/>
    </row>
    <row r="194" spans="1:173" s="696" customFormat="1">
      <c r="A194" s="690"/>
      <c r="B194" s="690"/>
      <c r="C194" s="691" t="s">
        <v>3650</v>
      </c>
      <c r="D194" s="691"/>
      <c r="E194" s="692">
        <v>25</v>
      </c>
      <c r="F194" s="692"/>
      <c r="G194" s="692"/>
      <c r="H194" s="692"/>
      <c r="I194" s="692"/>
      <c r="J194" s="692"/>
      <c r="K194" s="692"/>
      <c r="L194" s="692"/>
      <c r="M194" s="692"/>
      <c r="N194" s="692"/>
      <c r="O194" s="692">
        <f t="shared" si="53"/>
        <v>25</v>
      </c>
      <c r="P194" s="692"/>
      <c r="Q194" s="692"/>
      <c r="R194" s="693"/>
      <c r="S194" s="693"/>
      <c r="T194" s="693"/>
      <c r="U194" s="692" t="s">
        <v>2989</v>
      </c>
      <c r="V194" s="692"/>
      <c r="W194" s="692">
        <v>1</v>
      </c>
      <c r="X194" s="692"/>
      <c r="Y194" s="692"/>
      <c r="Z194" s="692">
        <v>1</v>
      </c>
      <c r="AA194" s="692"/>
      <c r="AB194" s="692"/>
      <c r="AC194" s="692"/>
      <c r="AD194" s="692"/>
      <c r="AE194" s="725"/>
      <c r="AF194" s="957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>
        <f t="shared" si="43"/>
        <v>1</v>
      </c>
      <c r="AX194" s="692"/>
      <c r="AY194" s="692"/>
      <c r="AZ194" s="516">
        <f t="shared" si="44"/>
        <v>2</v>
      </c>
      <c r="BA194" s="516">
        <f t="shared" si="45"/>
        <v>0</v>
      </c>
      <c r="BB194" s="516"/>
      <c r="BC194" s="516"/>
      <c r="BD194" s="516">
        <f t="shared" si="46"/>
        <v>2</v>
      </c>
      <c r="BE194" s="516">
        <f t="shared" si="47"/>
        <v>0</v>
      </c>
      <c r="BF194" s="692"/>
      <c r="BG194" s="692"/>
      <c r="BH194" s="692"/>
      <c r="BI194" s="692">
        <f t="shared" si="54"/>
        <v>5</v>
      </c>
      <c r="BJ194" s="692"/>
      <c r="BK194" s="692"/>
      <c r="BL194" s="692"/>
      <c r="BM194" s="692"/>
      <c r="BN194" s="692"/>
      <c r="BO194" s="692"/>
      <c r="BP194" s="692"/>
      <c r="BQ194" s="692">
        <f t="shared" si="49"/>
        <v>0</v>
      </c>
      <c r="BR194" s="692"/>
      <c r="BS194" s="692">
        <f t="shared" si="50"/>
        <v>0</v>
      </c>
      <c r="BT194" s="692">
        <f t="shared" si="51"/>
        <v>0</v>
      </c>
      <c r="BU194" s="692"/>
      <c r="BV194" s="692"/>
      <c r="BW194" s="692"/>
      <c r="BX194" s="692">
        <v>2</v>
      </c>
      <c r="BY194" s="692"/>
      <c r="BZ194" s="692"/>
      <c r="CA194" s="692"/>
      <c r="CB194" s="692">
        <v>1</v>
      </c>
      <c r="CC194" s="692"/>
      <c r="CD194" s="692">
        <f t="shared" si="52"/>
        <v>4</v>
      </c>
      <c r="CE194" s="692"/>
      <c r="CF194" s="692"/>
      <c r="CG194" s="692"/>
      <c r="CH194" s="692"/>
      <c r="CI194" s="692"/>
      <c r="CJ194" s="692"/>
      <c r="CK194" s="692"/>
      <c r="CL194" s="692"/>
      <c r="CM194" s="692"/>
      <c r="CN194" s="692"/>
      <c r="CO194" s="692"/>
      <c r="CP194" s="692"/>
      <c r="CQ194" s="692"/>
      <c r="CR194" s="692"/>
      <c r="CS194" s="692"/>
      <c r="CT194" s="692"/>
      <c r="CU194" s="692"/>
      <c r="CV194" s="692"/>
      <c r="CW194" s="692"/>
      <c r="CX194" s="694"/>
      <c r="CY194" s="694"/>
      <c r="CZ194" s="694"/>
      <c r="DA194" s="694"/>
      <c r="DB194" s="694"/>
      <c r="DC194" s="694"/>
      <c r="DD194" s="694"/>
      <c r="DE194" s="694"/>
      <c r="DF194" s="694"/>
      <c r="DG194" s="695"/>
      <c r="DH194" s="695"/>
      <c r="DI194" s="695"/>
      <c r="DJ194" s="695"/>
      <c r="DK194" s="695"/>
      <c r="DL194" s="695"/>
      <c r="DM194" s="695"/>
      <c r="DN194" s="695"/>
      <c r="DO194" s="695"/>
      <c r="DP194" s="695"/>
      <c r="DQ194" s="695"/>
      <c r="DR194" s="695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/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4"/>
      <c r="FH194" s="694"/>
      <c r="FI194" s="694"/>
      <c r="FJ194" s="694"/>
      <c r="FK194" s="694"/>
      <c r="FL194" s="694"/>
      <c r="FM194" s="694"/>
      <c r="FN194" s="694"/>
      <c r="FO194" s="694"/>
      <c r="FP194" s="694"/>
      <c r="FQ194" s="697"/>
    </row>
    <row r="195" spans="1:173" s="696" customFormat="1">
      <c r="A195" s="690"/>
      <c r="B195" s="690"/>
      <c r="C195" s="691"/>
      <c r="D195" s="691" t="s">
        <v>3667</v>
      </c>
      <c r="E195" s="692">
        <v>23.7</v>
      </c>
      <c r="F195" s="692"/>
      <c r="G195" s="692"/>
      <c r="H195" s="692"/>
      <c r="I195" s="692"/>
      <c r="J195" s="692"/>
      <c r="K195" s="692"/>
      <c r="L195" s="692"/>
      <c r="M195" s="692"/>
      <c r="N195" s="692"/>
      <c r="O195" s="692">
        <f t="shared" si="53"/>
        <v>23.7</v>
      </c>
      <c r="P195" s="692"/>
      <c r="Q195" s="692"/>
      <c r="R195" s="693"/>
      <c r="S195" s="693"/>
      <c r="T195" s="693"/>
      <c r="U195" s="692" t="s">
        <v>2990</v>
      </c>
      <c r="V195" s="692"/>
      <c r="W195" s="692"/>
      <c r="X195" s="692"/>
      <c r="Y195" s="692"/>
      <c r="Z195" s="692"/>
      <c r="AA195" s="692"/>
      <c r="AB195" s="692"/>
      <c r="AC195" s="692"/>
      <c r="AD195" s="692"/>
      <c r="AE195" s="725"/>
      <c r="AF195" s="957"/>
      <c r="AG195" s="692"/>
      <c r="AH195" s="692"/>
      <c r="AI195" s="692"/>
      <c r="AJ195" s="692"/>
      <c r="AK195" s="692"/>
      <c r="AL195" s="692"/>
      <c r="AM195" s="692"/>
      <c r="AN195" s="692"/>
      <c r="AO195" s="692"/>
      <c r="AP195" s="692"/>
      <c r="AQ195" s="692"/>
      <c r="AR195" s="692"/>
      <c r="AS195" s="692"/>
      <c r="AT195" s="692"/>
      <c r="AU195" s="692"/>
      <c r="AV195" s="692"/>
      <c r="AW195" s="692">
        <f t="shared" si="43"/>
        <v>0</v>
      </c>
      <c r="AX195" s="692"/>
      <c r="AY195" s="692"/>
      <c r="AZ195" s="516">
        <f t="shared" si="44"/>
        <v>0</v>
      </c>
      <c r="BA195" s="516">
        <f t="shared" si="45"/>
        <v>0</v>
      </c>
      <c r="BB195" s="516"/>
      <c r="BC195" s="516"/>
      <c r="BD195" s="516">
        <f t="shared" si="46"/>
        <v>0</v>
      </c>
      <c r="BE195" s="516"/>
      <c r="BF195" s="692"/>
      <c r="BG195" s="692"/>
      <c r="BH195" s="692"/>
      <c r="BI195" s="692">
        <f t="shared" si="54"/>
        <v>0</v>
      </c>
      <c r="BJ195" s="692">
        <f t="shared" si="48"/>
        <v>0</v>
      </c>
      <c r="BK195" s="692"/>
      <c r="BL195" s="692"/>
      <c r="BM195" s="692"/>
      <c r="BN195" s="692"/>
      <c r="BO195" s="692"/>
      <c r="BP195" s="692"/>
      <c r="BQ195" s="692">
        <f t="shared" si="49"/>
        <v>0</v>
      </c>
      <c r="BR195" s="692"/>
      <c r="BS195" s="692">
        <f t="shared" si="50"/>
        <v>0</v>
      </c>
      <c r="BT195" s="692">
        <f t="shared" si="51"/>
        <v>0</v>
      </c>
      <c r="BU195" s="692"/>
      <c r="BV195" s="692"/>
      <c r="BW195" s="692"/>
      <c r="BX195" s="692"/>
      <c r="BY195" s="692"/>
      <c r="BZ195" s="692"/>
      <c r="CA195" s="692"/>
      <c r="CB195" s="692"/>
      <c r="CC195" s="692"/>
      <c r="CD195" s="692">
        <f t="shared" si="52"/>
        <v>0</v>
      </c>
      <c r="CE195" s="692"/>
      <c r="CF195" s="692"/>
      <c r="CG195" s="692"/>
      <c r="CH195" s="692"/>
      <c r="CI195" s="692"/>
      <c r="CJ195" s="692"/>
      <c r="CK195" s="692"/>
      <c r="CL195" s="692"/>
      <c r="CM195" s="692"/>
      <c r="CN195" s="692"/>
      <c r="CO195" s="692"/>
      <c r="CP195" s="692"/>
      <c r="CQ195" s="692"/>
      <c r="CR195" s="692"/>
      <c r="CS195" s="692"/>
      <c r="CT195" s="692"/>
      <c r="CU195" s="692"/>
      <c r="CV195" s="692"/>
      <c r="CW195" s="692"/>
      <c r="CX195" s="694"/>
      <c r="CY195" s="694"/>
      <c r="CZ195" s="694"/>
      <c r="DA195" s="694"/>
      <c r="DB195" s="694"/>
      <c r="DC195" s="694"/>
      <c r="DD195" s="694"/>
      <c r="DE195" s="694"/>
      <c r="DF195" s="694"/>
      <c r="DG195" s="695"/>
      <c r="DH195" s="695"/>
      <c r="DI195" s="695"/>
      <c r="DJ195" s="695"/>
      <c r="DK195" s="695"/>
      <c r="DL195" s="695"/>
      <c r="DM195" s="695"/>
      <c r="DN195" s="695"/>
      <c r="DO195" s="695"/>
      <c r="DP195" s="695"/>
      <c r="DQ195" s="695"/>
      <c r="DR195" s="695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/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4"/>
      <c r="FH195" s="694"/>
      <c r="FI195" s="694"/>
      <c r="FJ195" s="694"/>
      <c r="FK195" s="694"/>
      <c r="FL195" s="694"/>
      <c r="FM195" s="694"/>
      <c r="FN195" s="694"/>
      <c r="FO195" s="694"/>
      <c r="FP195" s="694"/>
      <c r="FQ195" s="697"/>
    </row>
    <row r="196" spans="1:173" s="696" customFormat="1">
      <c r="A196" s="690"/>
      <c r="B196" s="690"/>
      <c r="C196" s="691"/>
      <c r="D196" s="691"/>
      <c r="E196" s="692"/>
      <c r="F196" s="692"/>
      <c r="G196" s="692"/>
      <c r="H196" s="692"/>
      <c r="I196" s="692"/>
      <c r="J196" s="692"/>
      <c r="K196" s="692"/>
      <c r="L196" s="692"/>
      <c r="M196" s="692"/>
      <c r="N196" s="692"/>
      <c r="O196" s="692"/>
      <c r="P196" s="692">
        <f t="shared" si="42"/>
        <v>0</v>
      </c>
      <c r="Q196" s="692"/>
      <c r="R196" s="693"/>
      <c r="S196" s="693"/>
      <c r="T196" s="693"/>
      <c r="U196" s="692"/>
      <c r="V196" s="692"/>
      <c r="W196" s="692"/>
      <c r="X196" s="692"/>
      <c r="Y196" s="692"/>
      <c r="Z196" s="692"/>
      <c r="AA196" s="692"/>
      <c r="AB196" s="692"/>
      <c r="AC196" s="692"/>
      <c r="AD196" s="692"/>
      <c r="AE196" s="725"/>
      <c r="AF196" s="957"/>
      <c r="AG196" s="692"/>
      <c r="AH196" s="692"/>
      <c r="AI196" s="692"/>
      <c r="AJ196" s="692"/>
      <c r="AK196" s="692"/>
      <c r="AL196" s="692"/>
      <c r="AM196" s="692"/>
      <c r="AN196" s="692"/>
      <c r="AO196" s="692"/>
      <c r="AP196" s="692"/>
      <c r="AQ196" s="692"/>
      <c r="AR196" s="692"/>
      <c r="AS196" s="692"/>
      <c r="AT196" s="692"/>
      <c r="AU196" s="692"/>
      <c r="AV196" s="692"/>
      <c r="AW196" s="692">
        <f t="shared" si="43"/>
        <v>0</v>
      </c>
      <c r="AX196" s="692"/>
      <c r="AY196" s="692"/>
      <c r="AZ196" s="516"/>
      <c r="BA196" s="516"/>
      <c r="BB196" s="516"/>
      <c r="BC196" s="516"/>
      <c r="BD196" s="516"/>
      <c r="BE196" s="516"/>
      <c r="BF196" s="692"/>
      <c r="BG196" s="692"/>
      <c r="BH196" s="692"/>
      <c r="BI196" s="692"/>
      <c r="BJ196" s="692">
        <f t="shared" si="48"/>
        <v>0</v>
      </c>
      <c r="BK196" s="692"/>
      <c r="BL196" s="692"/>
      <c r="BM196" s="692"/>
      <c r="BN196" s="692"/>
      <c r="BO196" s="692"/>
      <c r="BP196" s="692"/>
      <c r="BQ196" s="692">
        <f t="shared" si="49"/>
        <v>0</v>
      </c>
      <c r="BR196" s="692"/>
      <c r="BS196" s="692">
        <f t="shared" si="50"/>
        <v>0</v>
      </c>
      <c r="BT196" s="692">
        <f t="shared" si="51"/>
        <v>0</v>
      </c>
      <c r="BU196" s="692"/>
      <c r="BV196" s="692"/>
      <c r="BW196" s="692"/>
      <c r="BX196" s="692"/>
      <c r="BY196" s="692"/>
      <c r="BZ196" s="692"/>
      <c r="CA196" s="692"/>
      <c r="CB196" s="692"/>
      <c r="CC196" s="692"/>
      <c r="CD196" s="692">
        <f t="shared" si="52"/>
        <v>0</v>
      </c>
      <c r="CE196" s="692"/>
      <c r="CF196" s="692"/>
      <c r="CG196" s="692"/>
      <c r="CH196" s="692"/>
      <c r="CI196" s="692"/>
      <c r="CJ196" s="692"/>
      <c r="CK196" s="692"/>
      <c r="CL196" s="692"/>
      <c r="CM196" s="692"/>
      <c r="CN196" s="692"/>
      <c r="CO196" s="692"/>
      <c r="CP196" s="692"/>
      <c r="CQ196" s="692"/>
      <c r="CR196" s="692"/>
      <c r="CS196" s="692"/>
      <c r="CT196" s="692"/>
      <c r="CU196" s="692"/>
      <c r="CV196" s="692"/>
      <c r="CW196" s="692"/>
      <c r="CX196" s="694"/>
      <c r="CY196" s="694"/>
      <c r="CZ196" s="694"/>
      <c r="DA196" s="694"/>
      <c r="DB196" s="694"/>
      <c r="DC196" s="694"/>
      <c r="DD196" s="694"/>
      <c r="DE196" s="694"/>
      <c r="DF196" s="694"/>
      <c r="DG196" s="695"/>
      <c r="DH196" s="695"/>
      <c r="DI196" s="695"/>
      <c r="DJ196" s="695"/>
      <c r="DK196" s="695"/>
      <c r="DL196" s="695"/>
      <c r="DM196" s="695"/>
      <c r="DN196" s="695"/>
      <c r="DO196" s="695"/>
      <c r="DP196" s="695"/>
      <c r="DQ196" s="695"/>
      <c r="DR196" s="695"/>
      <c r="DS196" s="694"/>
      <c r="DT196" s="694"/>
      <c r="DU196" s="694"/>
      <c r="DV196" s="694"/>
      <c r="DW196" s="694"/>
      <c r="DX196" s="694"/>
      <c r="DY196" s="694"/>
      <c r="DZ196" s="694"/>
      <c r="EA196" s="694"/>
      <c r="EB196" s="694"/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4"/>
      <c r="FH196" s="694"/>
      <c r="FI196" s="694"/>
      <c r="FJ196" s="694"/>
      <c r="FK196" s="694"/>
      <c r="FL196" s="694"/>
      <c r="FM196" s="694"/>
      <c r="FN196" s="694"/>
      <c r="FO196" s="694"/>
      <c r="FP196" s="694"/>
      <c r="FQ196" s="697"/>
    </row>
    <row r="197" spans="1:173" s="696" customFormat="1">
      <c r="A197" s="690"/>
      <c r="B197" s="690"/>
      <c r="C197" s="691"/>
      <c r="D197" s="699" t="s">
        <v>3694</v>
      </c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2"/>
      <c r="P197" s="692">
        <f t="shared" si="42"/>
        <v>0</v>
      </c>
      <c r="Q197" s="692"/>
      <c r="R197" s="693"/>
      <c r="S197" s="693"/>
      <c r="T197" s="693"/>
      <c r="U197" s="692"/>
      <c r="V197" s="692"/>
      <c r="W197" s="692"/>
      <c r="X197" s="692"/>
      <c r="Y197" s="692"/>
      <c r="Z197" s="692"/>
      <c r="AA197" s="692"/>
      <c r="AB197" s="692"/>
      <c r="AC197" s="692"/>
      <c r="AD197" s="692"/>
      <c r="AE197" s="725"/>
      <c r="AF197" s="957"/>
      <c r="AG197" s="692"/>
      <c r="AH197" s="692"/>
      <c r="AI197" s="692"/>
      <c r="AJ197" s="692"/>
      <c r="AK197" s="692"/>
      <c r="AL197" s="692"/>
      <c r="AM197" s="692"/>
      <c r="AN197" s="692"/>
      <c r="AO197" s="692"/>
      <c r="AP197" s="692"/>
      <c r="AQ197" s="692"/>
      <c r="AR197" s="692"/>
      <c r="AS197" s="692"/>
      <c r="AT197" s="692"/>
      <c r="AU197" s="692"/>
      <c r="AV197" s="692"/>
      <c r="AW197" s="692">
        <f t="shared" si="43"/>
        <v>0</v>
      </c>
      <c r="AX197" s="692"/>
      <c r="AY197" s="692"/>
      <c r="AZ197" s="516"/>
      <c r="BA197" s="516"/>
      <c r="BB197" s="516"/>
      <c r="BC197" s="516"/>
      <c r="BD197" s="516"/>
      <c r="BE197" s="516"/>
      <c r="BF197" s="692"/>
      <c r="BG197" s="692"/>
      <c r="BH197" s="692"/>
      <c r="BI197" s="692"/>
      <c r="BJ197" s="692">
        <f t="shared" si="48"/>
        <v>0</v>
      </c>
      <c r="BK197" s="692"/>
      <c r="BL197" s="692"/>
      <c r="BM197" s="692"/>
      <c r="BN197" s="692"/>
      <c r="BO197" s="692"/>
      <c r="BP197" s="692"/>
      <c r="BQ197" s="692">
        <f t="shared" si="49"/>
        <v>0</v>
      </c>
      <c r="BR197" s="692"/>
      <c r="BS197" s="692">
        <f t="shared" si="50"/>
        <v>0</v>
      </c>
      <c r="BT197" s="692">
        <f t="shared" si="51"/>
        <v>0</v>
      </c>
      <c r="BU197" s="692"/>
      <c r="BV197" s="692"/>
      <c r="BW197" s="692"/>
      <c r="BX197" s="692"/>
      <c r="BY197" s="692"/>
      <c r="BZ197" s="692"/>
      <c r="CA197" s="692"/>
      <c r="CB197" s="692"/>
      <c r="CC197" s="692"/>
      <c r="CD197" s="692">
        <f t="shared" si="52"/>
        <v>0</v>
      </c>
      <c r="CE197" s="692"/>
      <c r="CF197" s="692"/>
      <c r="CG197" s="692"/>
      <c r="CH197" s="692"/>
      <c r="CI197" s="692"/>
      <c r="CJ197" s="692"/>
      <c r="CK197" s="692"/>
      <c r="CL197" s="692"/>
      <c r="CM197" s="692"/>
      <c r="CN197" s="692"/>
      <c r="CO197" s="692"/>
      <c r="CP197" s="692"/>
      <c r="CQ197" s="692"/>
      <c r="CR197" s="692"/>
      <c r="CS197" s="692"/>
      <c r="CT197" s="692"/>
      <c r="CU197" s="692"/>
      <c r="CV197" s="692"/>
      <c r="CW197" s="692"/>
      <c r="CX197" s="694"/>
      <c r="CY197" s="694"/>
      <c r="CZ197" s="694"/>
      <c r="DA197" s="694"/>
      <c r="DB197" s="694"/>
      <c r="DC197" s="694"/>
      <c r="DD197" s="694"/>
      <c r="DE197" s="694"/>
      <c r="DF197" s="694"/>
      <c r="DG197" s="695"/>
      <c r="DH197" s="695"/>
      <c r="DI197" s="695"/>
      <c r="DJ197" s="695"/>
      <c r="DK197" s="695"/>
      <c r="DL197" s="695"/>
      <c r="DM197" s="695"/>
      <c r="DN197" s="695"/>
      <c r="DO197" s="695"/>
      <c r="DP197" s="695"/>
      <c r="DQ197" s="695"/>
      <c r="DR197" s="695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/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4"/>
      <c r="FH197" s="694"/>
      <c r="FI197" s="694"/>
      <c r="FJ197" s="694"/>
      <c r="FK197" s="694"/>
      <c r="FL197" s="694"/>
      <c r="FM197" s="694"/>
      <c r="FN197" s="694"/>
      <c r="FO197" s="694"/>
      <c r="FP197" s="694"/>
      <c r="FQ197" s="697"/>
    </row>
    <row r="198" spans="1:173" s="696" customFormat="1">
      <c r="A198" s="690"/>
      <c r="B198" s="690"/>
      <c r="C198" s="691" t="s">
        <v>3632</v>
      </c>
      <c r="D198" s="691"/>
      <c r="E198" s="692">
        <v>34.799999999999997</v>
      </c>
      <c r="F198" s="692"/>
      <c r="G198" s="692"/>
      <c r="H198" s="692"/>
      <c r="I198" s="692"/>
      <c r="J198" s="692"/>
      <c r="K198" s="692"/>
      <c r="L198" s="692"/>
      <c r="M198" s="692"/>
      <c r="N198" s="692"/>
      <c r="O198" s="692"/>
      <c r="P198" s="692">
        <f t="shared" si="42"/>
        <v>34.799999999999997</v>
      </c>
      <c r="Q198" s="692"/>
      <c r="R198" s="693"/>
      <c r="S198" s="693"/>
      <c r="T198" s="693"/>
      <c r="U198" s="692" t="s">
        <v>1631</v>
      </c>
      <c r="V198" s="692"/>
      <c r="W198" s="692"/>
      <c r="X198" s="692"/>
      <c r="Y198" s="692"/>
      <c r="Z198" s="692"/>
      <c r="AA198" s="692"/>
      <c r="AB198" s="692"/>
      <c r="AC198" s="692"/>
      <c r="AD198" s="692"/>
      <c r="AE198" s="725"/>
      <c r="AF198" s="957"/>
      <c r="AG198" s="692"/>
      <c r="AH198" s="692"/>
      <c r="AI198" s="692"/>
      <c r="AJ198" s="692"/>
      <c r="AK198" s="692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>
        <f t="shared" si="43"/>
        <v>1</v>
      </c>
      <c r="AX198" s="692"/>
      <c r="AY198" s="692"/>
      <c r="AZ198" s="516">
        <f t="shared" si="44"/>
        <v>2</v>
      </c>
      <c r="BA198" s="516">
        <f t="shared" si="45"/>
        <v>0</v>
      </c>
      <c r="BB198" s="516"/>
      <c r="BC198" s="516"/>
      <c r="BD198" s="516">
        <f t="shared" si="46"/>
        <v>1</v>
      </c>
      <c r="BE198" s="516">
        <f t="shared" si="47"/>
        <v>0</v>
      </c>
      <c r="BF198" s="692"/>
      <c r="BG198" s="692"/>
      <c r="BH198" s="692"/>
      <c r="BI198" s="692"/>
      <c r="BJ198" s="692">
        <f t="shared" si="48"/>
        <v>5</v>
      </c>
      <c r="BK198" s="692"/>
      <c r="BL198" s="692"/>
      <c r="BM198" s="692"/>
      <c r="BN198" s="692"/>
      <c r="BO198" s="692"/>
      <c r="BP198" s="692"/>
      <c r="BQ198" s="692">
        <f t="shared" si="49"/>
        <v>0</v>
      </c>
      <c r="BR198" s="692"/>
      <c r="BS198" s="692">
        <f t="shared" si="50"/>
        <v>0</v>
      </c>
      <c r="BT198" s="692">
        <f t="shared" si="51"/>
        <v>1</v>
      </c>
      <c r="BU198" s="692"/>
      <c r="BV198" s="692"/>
      <c r="BW198" s="692"/>
      <c r="BX198" s="692"/>
      <c r="BY198" s="692"/>
      <c r="BZ198" s="692"/>
      <c r="CA198" s="692"/>
      <c r="CB198" s="692">
        <v>1</v>
      </c>
      <c r="CC198" s="692"/>
      <c r="CD198" s="692">
        <f t="shared" si="52"/>
        <v>4</v>
      </c>
      <c r="CE198" s="692"/>
      <c r="CF198" s="692"/>
      <c r="CG198" s="692"/>
      <c r="CH198" s="692"/>
      <c r="CI198" s="692"/>
      <c r="CJ198" s="692"/>
      <c r="CK198" s="692"/>
      <c r="CL198" s="692"/>
      <c r="CM198" s="692"/>
      <c r="CN198" s="692"/>
      <c r="CO198" s="692"/>
      <c r="CP198" s="692"/>
      <c r="CQ198" s="692"/>
      <c r="CR198" s="692"/>
      <c r="CS198" s="692"/>
      <c r="CT198" s="692"/>
      <c r="CU198" s="692"/>
      <c r="CV198" s="692"/>
      <c r="CW198" s="692"/>
      <c r="CX198" s="694"/>
      <c r="CY198" s="694"/>
      <c r="CZ198" s="694"/>
      <c r="DA198" s="694"/>
      <c r="DB198" s="694"/>
      <c r="DC198" s="694"/>
      <c r="DD198" s="694"/>
      <c r="DE198" s="694"/>
      <c r="DF198" s="694"/>
      <c r="DG198" s="695"/>
      <c r="DH198" s="695"/>
      <c r="DI198" s="695"/>
      <c r="DJ198" s="695"/>
      <c r="DK198" s="695"/>
      <c r="DL198" s="695"/>
      <c r="DM198" s="695"/>
      <c r="DN198" s="695"/>
      <c r="DO198" s="695"/>
      <c r="DP198" s="695"/>
      <c r="DQ198" s="695"/>
      <c r="DR198" s="695"/>
      <c r="DS198" s="694"/>
      <c r="DT198" s="694"/>
      <c r="DU198" s="694"/>
      <c r="DV198" s="694"/>
      <c r="DW198" s="694"/>
      <c r="DX198" s="694"/>
      <c r="DY198" s="694"/>
      <c r="DZ198" s="694"/>
      <c r="EA198" s="694"/>
      <c r="EB198" s="694"/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4"/>
      <c r="FH198" s="694"/>
      <c r="FI198" s="694"/>
      <c r="FJ198" s="694"/>
      <c r="FK198" s="694"/>
      <c r="FL198" s="694"/>
      <c r="FM198" s="694"/>
      <c r="FN198" s="694"/>
      <c r="FO198" s="694"/>
      <c r="FP198" s="694"/>
      <c r="FQ198" s="697"/>
    </row>
    <row r="199" spans="1:173" s="696" customFormat="1">
      <c r="A199" s="690"/>
      <c r="B199" s="690"/>
      <c r="C199" s="691" t="s">
        <v>3633</v>
      </c>
      <c r="D199" s="691"/>
      <c r="E199" s="692">
        <v>37</v>
      </c>
      <c r="F199" s="692"/>
      <c r="G199" s="692"/>
      <c r="H199" s="692"/>
      <c r="I199" s="692"/>
      <c r="J199" s="692"/>
      <c r="K199" s="692"/>
      <c r="L199" s="692"/>
      <c r="M199" s="692"/>
      <c r="N199" s="692"/>
      <c r="O199" s="692"/>
      <c r="P199" s="692">
        <f t="shared" si="42"/>
        <v>37</v>
      </c>
      <c r="Q199" s="692"/>
      <c r="R199" s="693"/>
      <c r="S199" s="693"/>
      <c r="T199" s="693"/>
      <c r="U199" s="692" t="s">
        <v>3671</v>
      </c>
      <c r="V199" s="692"/>
      <c r="W199" s="692"/>
      <c r="X199" s="692"/>
      <c r="Y199" s="692"/>
      <c r="Z199" s="692"/>
      <c r="AA199" s="692"/>
      <c r="AB199" s="692"/>
      <c r="AC199" s="692"/>
      <c r="AD199" s="692"/>
      <c r="AE199" s="725"/>
      <c r="AF199" s="957"/>
      <c r="AG199" s="692"/>
      <c r="AH199" s="692"/>
      <c r="AI199" s="692"/>
      <c r="AJ199" s="692"/>
      <c r="AK199" s="692"/>
      <c r="AL199" s="692"/>
      <c r="AM199" s="692"/>
      <c r="AN199" s="692"/>
      <c r="AO199" s="692"/>
      <c r="AP199" s="692"/>
      <c r="AQ199" s="692"/>
      <c r="AR199" s="692"/>
      <c r="AS199" s="692"/>
      <c r="AT199" s="692"/>
      <c r="AU199" s="692"/>
      <c r="AV199" s="692"/>
      <c r="AW199" s="692">
        <f t="shared" si="43"/>
        <v>1</v>
      </c>
      <c r="AX199" s="692"/>
      <c r="AY199" s="692"/>
      <c r="AZ199" s="516">
        <f t="shared" si="44"/>
        <v>2</v>
      </c>
      <c r="BA199" s="516">
        <f t="shared" si="45"/>
        <v>0</v>
      </c>
      <c r="BB199" s="516"/>
      <c r="BC199" s="516"/>
      <c r="BD199" s="516">
        <f t="shared" si="46"/>
        <v>4</v>
      </c>
      <c r="BE199" s="516">
        <f t="shared" si="47"/>
        <v>0</v>
      </c>
      <c r="BF199" s="692"/>
      <c r="BG199" s="692"/>
      <c r="BH199" s="692"/>
      <c r="BI199" s="692"/>
      <c r="BJ199" s="692">
        <f t="shared" si="48"/>
        <v>5</v>
      </c>
      <c r="BK199" s="692"/>
      <c r="BL199" s="692"/>
      <c r="BM199" s="692"/>
      <c r="BN199" s="692"/>
      <c r="BO199" s="692"/>
      <c r="BP199" s="692"/>
      <c r="BQ199" s="692">
        <f t="shared" si="49"/>
        <v>0</v>
      </c>
      <c r="BR199" s="692"/>
      <c r="BS199" s="692">
        <f t="shared" si="50"/>
        <v>0</v>
      </c>
      <c r="BT199" s="692">
        <f t="shared" si="51"/>
        <v>0</v>
      </c>
      <c r="BU199" s="692"/>
      <c r="BV199" s="692"/>
      <c r="BW199" s="692"/>
      <c r="BX199" s="692"/>
      <c r="BY199" s="692">
        <v>4</v>
      </c>
      <c r="BZ199" s="692"/>
      <c r="CA199" s="692"/>
      <c r="CB199" s="692">
        <v>1</v>
      </c>
      <c r="CC199" s="692"/>
      <c r="CD199" s="692">
        <f t="shared" si="52"/>
        <v>4</v>
      </c>
      <c r="CE199" s="692"/>
      <c r="CF199" s="692"/>
      <c r="CG199" s="692"/>
      <c r="CH199" s="692"/>
      <c r="CI199" s="692"/>
      <c r="CJ199" s="692"/>
      <c r="CK199" s="692"/>
      <c r="CL199" s="692"/>
      <c r="CM199" s="692"/>
      <c r="CN199" s="692"/>
      <c r="CO199" s="692"/>
      <c r="CP199" s="692"/>
      <c r="CQ199" s="692"/>
      <c r="CR199" s="692"/>
      <c r="CS199" s="692"/>
      <c r="CT199" s="692"/>
      <c r="CU199" s="692"/>
      <c r="CV199" s="692"/>
      <c r="CW199" s="692"/>
      <c r="CX199" s="694"/>
      <c r="CY199" s="694"/>
      <c r="CZ199" s="694"/>
      <c r="DA199" s="694"/>
      <c r="DB199" s="694"/>
      <c r="DC199" s="694"/>
      <c r="DD199" s="694"/>
      <c r="DE199" s="694"/>
      <c r="DF199" s="694"/>
      <c r="DG199" s="695"/>
      <c r="DH199" s="695"/>
      <c r="DI199" s="695"/>
      <c r="DJ199" s="695"/>
      <c r="DK199" s="695"/>
      <c r="DL199" s="695"/>
      <c r="DM199" s="695"/>
      <c r="DN199" s="695"/>
      <c r="DO199" s="695"/>
      <c r="DP199" s="695"/>
      <c r="DQ199" s="695"/>
      <c r="DR199" s="695"/>
      <c r="DS199" s="694"/>
      <c r="DT199" s="694"/>
      <c r="DU199" s="694"/>
      <c r="DV199" s="694"/>
      <c r="DW199" s="694"/>
      <c r="DX199" s="694"/>
      <c r="DY199" s="694"/>
      <c r="DZ199" s="694"/>
      <c r="EA199" s="694"/>
      <c r="EB199" s="694"/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/>
      <c r="FG199" s="694"/>
      <c r="FH199" s="694"/>
      <c r="FI199" s="694"/>
      <c r="FJ199" s="694"/>
      <c r="FK199" s="694"/>
      <c r="FL199" s="694"/>
      <c r="FM199" s="694"/>
      <c r="FN199" s="694"/>
      <c r="FO199" s="694"/>
      <c r="FP199" s="694"/>
      <c r="FQ199" s="697"/>
    </row>
    <row r="200" spans="1:173" s="696" customFormat="1">
      <c r="A200" s="690"/>
      <c r="B200" s="690"/>
      <c r="C200" s="691" t="s">
        <v>3634</v>
      </c>
      <c r="D200" s="691"/>
      <c r="E200" s="692">
        <v>23</v>
      </c>
      <c r="F200" s="692"/>
      <c r="G200" s="692"/>
      <c r="H200" s="692"/>
      <c r="I200" s="692"/>
      <c r="J200" s="692"/>
      <c r="K200" s="692"/>
      <c r="L200" s="692"/>
      <c r="M200" s="692"/>
      <c r="N200" s="692"/>
      <c r="O200" s="692"/>
      <c r="P200" s="692">
        <f t="shared" si="42"/>
        <v>23</v>
      </c>
      <c r="Q200" s="692"/>
      <c r="R200" s="693"/>
      <c r="S200" s="693"/>
      <c r="T200" s="693"/>
      <c r="U200" s="692" t="s">
        <v>1903</v>
      </c>
      <c r="V200" s="692"/>
      <c r="W200" s="692">
        <v>1</v>
      </c>
      <c r="X200" s="692"/>
      <c r="Y200" s="692"/>
      <c r="Z200" s="692">
        <v>1</v>
      </c>
      <c r="AA200" s="692"/>
      <c r="AB200" s="692"/>
      <c r="AC200" s="692"/>
      <c r="AD200" s="692"/>
      <c r="AE200" s="725"/>
      <c r="AF200" s="957"/>
      <c r="AG200" s="692"/>
      <c r="AH200" s="692"/>
      <c r="AI200" s="692"/>
      <c r="AJ200" s="692"/>
      <c r="AK200" s="692"/>
      <c r="AL200" s="692"/>
      <c r="AM200" s="692"/>
      <c r="AN200" s="692"/>
      <c r="AO200" s="692"/>
      <c r="AP200" s="692"/>
      <c r="AQ200" s="692"/>
      <c r="AR200" s="692"/>
      <c r="AS200" s="692"/>
      <c r="AT200" s="692"/>
      <c r="AU200" s="692"/>
      <c r="AV200" s="692"/>
      <c r="AW200" s="692">
        <f t="shared" si="43"/>
        <v>1</v>
      </c>
      <c r="AX200" s="692"/>
      <c r="AY200" s="692"/>
      <c r="AZ200" s="516">
        <f t="shared" si="44"/>
        <v>2</v>
      </c>
      <c r="BA200" s="516">
        <f t="shared" si="45"/>
        <v>0</v>
      </c>
      <c r="BB200" s="516"/>
      <c r="BC200" s="516"/>
      <c r="BD200" s="516">
        <f t="shared" si="46"/>
        <v>1</v>
      </c>
      <c r="BE200" s="516">
        <f t="shared" si="47"/>
        <v>0</v>
      </c>
      <c r="BF200" s="692"/>
      <c r="BG200" s="692"/>
      <c r="BH200" s="692"/>
      <c r="BI200" s="692"/>
      <c r="BJ200" s="692">
        <f t="shared" si="48"/>
        <v>5</v>
      </c>
      <c r="BK200" s="692"/>
      <c r="BL200" s="692"/>
      <c r="BM200" s="692"/>
      <c r="BN200" s="692"/>
      <c r="BO200" s="692"/>
      <c r="BP200" s="692"/>
      <c r="BQ200" s="692">
        <f t="shared" si="49"/>
        <v>1</v>
      </c>
      <c r="BR200" s="692"/>
      <c r="BS200" s="692">
        <f t="shared" si="50"/>
        <v>0</v>
      </c>
      <c r="BT200" s="692">
        <f t="shared" si="51"/>
        <v>2</v>
      </c>
      <c r="BU200" s="692"/>
      <c r="BV200" s="692"/>
      <c r="BW200" s="692"/>
      <c r="BX200" s="692"/>
      <c r="BY200" s="692"/>
      <c r="BZ200" s="692"/>
      <c r="CA200" s="692"/>
      <c r="CB200" s="692">
        <v>1</v>
      </c>
      <c r="CC200" s="692"/>
      <c r="CD200" s="692">
        <f t="shared" si="52"/>
        <v>4</v>
      </c>
      <c r="CE200" s="692"/>
      <c r="CF200" s="692"/>
      <c r="CG200" s="692"/>
      <c r="CH200" s="692"/>
      <c r="CI200" s="692"/>
      <c r="CJ200" s="692"/>
      <c r="CK200" s="692"/>
      <c r="CL200" s="692"/>
      <c r="CM200" s="692"/>
      <c r="CN200" s="692"/>
      <c r="CO200" s="692"/>
      <c r="CP200" s="692"/>
      <c r="CQ200" s="692"/>
      <c r="CR200" s="692"/>
      <c r="CS200" s="692"/>
      <c r="CT200" s="692"/>
      <c r="CU200" s="692"/>
      <c r="CV200" s="692"/>
      <c r="CW200" s="692"/>
      <c r="CX200" s="694"/>
      <c r="CY200" s="694"/>
      <c r="CZ200" s="694"/>
      <c r="DA200" s="694"/>
      <c r="DB200" s="694"/>
      <c r="DC200" s="694"/>
      <c r="DD200" s="694"/>
      <c r="DE200" s="694"/>
      <c r="DF200" s="694"/>
      <c r="DG200" s="695"/>
      <c r="DH200" s="695"/>
      <c r="DI200" s="695"/>
      <c r="DJ200" s="695"/>
      <c r="DK200" s="695"/>
      <c r="DL200" s="695"/>
      <c r="DM200" s="695"/>
      <c r="DN200" s="695"/>
      <c r="DO200" s="695"/>
      <c r="DP200" s="695"/>
      <c r="DQ200" s="695"/>
      <c r="DR200" s="695"/>
      <c r="DS200" s="694"/>
      <c r="DT200" s="694"/>
      <c r="DU200" s="694"/>
      <c r="DV200" s="694"/>
      <c r="DW200" s="694"/>
      <c r="DX200" s="694"/>
      <c r="DY200" s="694"/>
      <c r="DZ200" s="694"/>
      <c r="EA200" s="694"/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4"/>
      <c r="FH200" s="694"/>
      <c r="FI200" s="694"/>
      <c r="FJ200" s="694"/>
      <c r="FK200" s="694"/>
      <c r="FL200" s="694"/>
      <c r="FM200" s="694"/>
      <c r="FN200" s="694"/>
      <c r="FO200" s="694"/>
      <c r="FP200" s="694"/>
      <c r="FQ200" s="697"/>
    </row>
    <row r="201" spans="1:173" s="696" customFormat="1">
      <c r="A201" s="690"/>
      <c r="B201" s="690"/>
      <c r="C201" s="691" t="s">
        <v>3635</v>
      </c>
      <c r="D201" s="691"/>
      <c r="E201" s="692">
        <v>33.299999999999997</v>
      </c>
      <c r="F201" s="692"/>
      <c r="G201" s="692"/>
      <c r="H201" s="692"/>
      <c r="I201" s="692"/>
      <c r="J201" s="692"/>
      <c r="K201" s="692"/>
      <c r="L201" s="692"/>
      <c r="M201" s="692"/>
      <c r="N201" s="692"/>
      <c r="O201" s="692"/>
      <c r="P201" s="692">
        <f t="shared" si="42"/>
        <v>33.299999999999997</v>
      </c>
      <c r="Q201" s="692"/>
      <c r="R201" s="693"/>
      <c r="S201" s="693"/>
      <c r="T201" s="693"/>
      <c r="U201" s="692" t="s">
        <v>1903</v>
      </c>
      <c r="V201" s="692"/>
      <c r="W201" s="692"/>
      <c r="X201" s="692"/>
      <c r="Y201" s="692"/>
      <c r="Z201" s="692"/>
      <c r="AA201" s="692"/>
      <c r="AB201" s="692"/>
      <c r="AC201" s="692"/>
      <c r="AD201" s="692"/>
      <c r="AE201" s="725"/>
      <c r="AF201" s="957"/>
      <c r="AG201" s="692"/>
      <c r="AH201" s="692"/>
      <c r="AI201" s="692"/>
      <c r="AJ201" s="692"/>
      <c r="AK201" s="692"/>
      <c r="AL201" s="692"/>
      <c r="AM201" s="692"/>
      <c r="AN201" s="692"/>
      <c r="AO201" s="692"/>
      <c r="AP201" s="692"/>
      <c r="AQ201" s="692"/>
      <c r="AR201" s="692"/>
      <c r="AS201" s="692"/>
      <c r="AT201" s="692"/>
      <c r="AU201" s="692">
        <v>1</v>
      </c>
      <c r="AV201" s="692"/>
      <c r="AW201" s="692">
        <f t="shared" si="43"/>
        <v>1</v>
      </c>
      <c r="AX201" s="692"/>
      <c r="AY201" s="692"/>
      <c r="AZ201" s="516">
        <f t="shared" si="44"/>
        <v>2</v>
      </c>
      <c r="BA201" s="516">
        <f t="shared" si="45"/>
        <v>0</v>
      </c>
      <c r="BB201" s="516"/>
      <c r="BC201" s="516"/>
      <c r="BD201" s="516">
        <f t="shared" si="46"/>
        <v>1</v>
      </c>
      <c r="BE201" s="516">
        <f t="shared" si="47"/>
        <v>0</v>
      </c>
      <c r="BF201" s="692"/>
      <c r="BG201" s="692"/>
      <c r="BH201" s="692"/>
      <c r="BI201" s="692"/>
      <c r="BJ201" s="692">
        <f t="shared" si="48"/>
        <v>7</v>
      </c>
      <c r="BK201" s="692"/>
      <c r="BL201" s="692"/>
      <c r="BM201" s="692"/>
      <c r="BN201" s="692"/>
      <c r="BO201" s="692"/>
      <c r="BP201" s="692"/>
      <c r="BQ201" s="692">
        <f t="shared" si="49"/>
        <v>1</v>
      </c>
      <c r="BR201" s="692"/>
      <c r="BS201" s="692">
        <f t="shared" si="50"/>
        <v>0</v>
      </c>
      <c r="BT201" s="692">
        <f t="shared" si="51"/>
        <v>2</v>
      </c>
      <c r="BU201" s="692"/>
      <c r="BV201" s="692"/>
      <c r="BW201" s="692"/>
      <c r="BX201" s="692"/>
      <c r="BY201" s="692"/>
      <c r="BZ201" s="692"/>
      <c r="CA201" s="692"/>
      <c r="CB201" s="692">
        <v>1</v>
      </c>
      <c r="CC201" s="692"/>
      <c r="CD201" s="692">
        <f t="shared" si="52"/>
        <v>4</v>
      </c>
      <c r="CE201" s="692"/>
      <c r="CF201" s="692"/>
      <c r="CG201" s="692"/>
      <c r="CH201" s="692"/>
      <c r="CI201" s="692"/>
      <c r="CJ201" s="692"/>
      <c r="CK201" s="692"/>
      <c r="CL201" s="692"/>
      <c r="CM201" s="692"/>
      <c r="CN201" s="692"/>
      <c r="CO201" s="692"/>
      <c r="CP201" s="692"/>
      <c r="CQ201" s="692"/>
      <c r="CR201" s="692"/>
      <c r="CS201" s="692"/>
      <c r="CT201" s="692"/>
      <c r="CU201" s="692"/>
      <c r="CV201" s="692"/>
      <c r="CW201" s="692"/>
      <c r="CX201" s="694"/>
      <c r="CY201" s="694"/>
      <c r="CZ201" s="694"/>
      <c r="DA201" s="694"/>
      <c r="DB201" s="694"/>
      <c r="DC201" s="694"/>
      <c r="DD201" s="694"/>
      <c r="DE201" s="694"/>
      <c r="DF201" s="694"/>
      <c r="DG201" s="695"/>
      <c r="DH201" s="695"/>
      <c r="DI201" s="695"/>
      <c r="DJ201" s="695"/>
      <c r="DK201" s="695"/>
      <c r="DL201" s="695"/>
      <c r="DM201" s="695"/>
      <c r="DN201" s="695"/>
      <c r="DO201" s="695"/>
      <c r="DP201" s="695"/>
      <c r="DQ201" s="695"/>
      <c r="DR201" s="695"/>
      <c r="DS201" s="694"/>
      <c r="DT201" s="694"/>
      <c r="DU201" s="694"/>
      <c r="DV201" s="694"/>
      <c r="DW201" s="694"/>
      <c r="DX201" s="694"/>
      <c r="DY201" s="694"/>
      <c r="DZ201" s="694"/>
      <c r="EA201" s="694"/>
      <c r="EB201" s="694"/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4"/>
      <c r="FH201" s="694"/>
      <c r="FI201" s="694"/>
      <c r="FJ201" s="694"/>
      <c r="FK201" s="694"/>
      <c r="FL201" s="694"/>
      <c r="FM201" s="694"/>
      <c r="FN201" s="694"/>
      <c r="FO201" s="694"/>
      <c r="FP201" s="694"/>
      <c r="FQ201" s="697"/>
    </row>
    <row r="202" spans="1:173" s="696" customFormat="1">
      <c r="A202" s="690"/>
      <c r="B202" s="690"/>
      <c r="C202" s="691" t="s">
        <v>3636</v>
      </c>
      <c r="D202" s="691"/>
      <c r="E202" s="692">
        <v>26</v>
      </c>
      <c r="F202" s="692"/>
      <c r="G202" s="692"/>
      <c r="H202" s="692"/>
      <c r="I202" s="692"/>
      <c r="J202" s="692"/>
      <c r="K202" s="692"/>
      <c r="L202" s="692"/>
      <c r="M202" s="692"/>
      <c r="N202" s="692"/>
      <c r="O202" s="692"/>
      <c r="P202" s="692">
        <f t="shared" si="42"/>
        <v>26</v>
      </c>
      <c r="Q202" s="692"/>
      <c r="R202" s="693"/>
      <c r="S202" s="693"/>
      <c r="T202" s="693"/>
      <c r="U202" s="692" t="s">
        <v>1631</v>
      </c>
      <c r="V202" s="692"/>
      <c r="W202" s="692"/>
      <c r="X202" s="692"/>
      <c r="Y202" s="692"/>
      <c r="Z202" s="692"/>
      <c r="AA202" s="692"/>
      <c r="AB202" s="692"/>
      <c r="AC202" s="692"/>
      <c r="AD202" s="692"/>
      <c r="AE202" s="725"/>
      <c r="AF202" s="957"/>
      <c r="AG202" s="692"/>
      <c r="AH202" s="692"/>
      <c r="AI202" s="692"/>
      <c r="AJ202" s="692"/>
      <c r="AK202" s="692"/>
      <c r="AL202" s="692"/>
      <c r="AM202" s="692"/>
      <c r="AN202" s="692"/>
      <c r="AO202" s="692"/>
      <c r="AP202" s="692"/>
      <c r="AQ202" s="692"/>
      <c r="AR202" s="692"/>
      <c r="AS202" s="692"/>
      <c r="AT202" s="692"/>
      <c r="AU202" s="692"/>
      <c r="AV202" s="692"/>
      <c r="AW202" s="692">
        <f t="shared" si="43"/>
        <v>1</v>
      </c>
      <c r="AX202" s="692"/>
      <c r="AY202" s="692"/>
      <c r="AZ202" s="516">
        <f t="shared" si="44"/>
        <v>2</v>
      </c>
      <c r="BA202" s="516">
        <f t="shared" si="45"/>
        <v>0</v>
      </c>
      <c r="BB202" s="516"/>
      <c r="BC202" s="516"/>
      <c r="BD202" s="516">
        <f t="shared" si="46"/>
        <v>1</v>
      </c>
      <c r="BE202" s="516">
        <f t="shared" si="47"/>
        <v>0</v>
      </c>
      <c r="BF202" s="692"/>
      <c r="BG202" s="692"/>
      <c r="BH202" s="692"/>
      <c r="BI202" s="692"/>
      <c r="BJ202" s="692">
        <f t="shared" si="48"/>
        <v>5</v>
      </c>
      <c r="BK202" s="692"/>
      <c r="BL202" s="692"/>
      <c r="BM202" s="692"/>
      <c r="BN202" s="692"/>
      <c r="BO202" s="692"/>
      <c r="BP202" s="692"/>
      <c r="BQ202" s="692">
        <f t="shared" si="49"/>
        <v>0</v>
      </c>
      <c r="BR202" s="692"/>
      <c r="BS202" s="692">
        <f t="shared" si="50"/>
        <v>0</v>
      </c>
      <c r="BT202" s="692">
        <f t="shared" si="51"/>
        <v>1</v>
      </c>
      <c r="BU202" s="692"/>
      <c r="BV202" s="692"/>
      <c r="BW202" s="692"/>
      <c r="BX202" s="692"/>
      <c r="BY202" s="692"/>
      <c r="BZ202" s="692"/>
      <c r="CA202" s="692"/>
      <c r="CB202" s="692">
        <v>1</v>
      </c>
      <c r="CC202" s="692"/>
      <c r="CD202" s="692">
        <f t="shared" si="52"/>
        <v>4</v>
      </c>
      <c r="CE202" s="692"/>
      <c r="CF202" s="692"/>
      <c r="CG202" s="692"/>
      <c r="CH202" s="692"/>
      <c r="CI202" s="692"/>
      <c r="CJ202" s="692"/>
      <c r="CK202" s="692"/>
      <c r="CL202" s="692"/>
      <c r="CM202" s="692"/>
      <c r="CN202" s="692"/>
      <c r="CO202" s="692"/>
      <c r="CP202" s="692"/>
      <c r="CQ202" s="692"/>
      <c r="CR202" s="692"/>
      <c r="CS202" s="692"/>
      <c r="CT202" s="692"/>
      <c r="CU202" s="692"/>
      <c r="CV202" s="692"/>
      <c r="CW202" s="692"/>
      <c r="CX202" s="694"/>
      <c r="CY202" s="694"/>
      <c r="CZ202" s="694"/>
      <c r="DA202" s="694"/>
      <c r="DB202" s="694"/>
      <c r="DC202" s="694"/>
      <c r="DD202" s="694"/>
      <c r="DE202" s="694"/>
      <c r="DF202" s="694"/>
      <c r="DG202" s="695"/>
      <c r="DH202" s="695"/>
      <c r="DI202" s="695"/>
      <c r="DJ202" s="695"/>
      <c r="DK202" s="695"/>
      <c r="DL202" s="695"/>
      <c r="DM202" s="695"/>
      <c r="DN202" s="695"/>
      <c r="DO202" s="695"/>
      <c r="DP202" s="695"/>
      <c r="DQ202" s="695"/>
      <c r="DR202" s="695"/>
      <c r="DS202" s="694"/>
      <c r="DT202" s="694"/>
      <c r="DU202" s="694"/>
      <c r="DV202" s="694"/>
      <c r="DW202" s="694"/>
      <c r="DX202" s="694"/>
      <c r="DY202" s="694"/>
      <c r="DZ202" s="694"/>
      <c r="EA202" s="694"/>
      <c r="EB202" s="694"/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4"/>
      <c r="FH202" s="694"/>
      <c r="FI202" s="694"/>
      <c r="FJ202" s="694"/>
      <c r="FK202" s="694"/>
      <c r="FL202" s="694"/>
      <c r="FM202" s="694"/>
      <c r="FN202" s="694"/>
      <c r="FO202" s="694"/>
      <c r="FP202" s="694"/>
      <c r="FQ202" s="697"/>
    </row>
    <row r="203" spans="1:173" s="696" customFormat="1">
      <c r="A203" s="690"/>
      <c r="B203" s="690"/>
      <c r="C203" s="691" t="s">
        <v>3637</v>
      </c>
      <c r="D203" s="691"/>
      <c r="E203" s="692">
        <v>30</v>
      </c>
      <c r="F203" s="692"/>
      <c r="G203" s="692"/>
      <c r="H203" s="692"/>
      <c r="I203" s="692"/>
      <c r="J203" s="692"/>
      <c r="K203" s="692"/>
      <c r="L203" s="692"/>
      <c r="M203" s="692"/>
      <c r="N203" s="692"/>
      <c r="O203" s="692"/>
      <c r="P203" s="692">
        <f t="shared" si="42"/>
        <v>30</v>
      </c>
      <c r="Q203" s="692"/>
      <c r="R203" s="693"/>
      <c r="S203" s="693"/>
      <c r="T203" s="693"/>
      <c r="U203" s="692" t="s">
        <v>1903</v>
      </c>
      <c r="V203" s="692"/>
      <c r="W203" s="692">
        <v>2</v>
      </c>
      <c r="X203" s="692"/>
      <c r="Y203" s="692"/>
      <c r="Z203" s="692"/>
      <c r="AA203" s="692"/>
      <c r="AB203" s="692"/>
      <c r="AC203" s="692"/>
      <c r="AD203" s="692"/>
      <c r="AE203" s="725">
        <v>1</v>
      </c>
      <c r="AF203" s="957"/>
      <c r="AG203" s="692"/>
      <c r="AH203" s="692"/>
      <c r="AI203" s="692"/>
      <c r="AJ203" s="692"/>
      <c r="AK203" s="692"/>
      <c r="AL203" s="692"/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>
        <f t="shared" si="43"/>
        <v>1</v>
      </c>
      <c r="AX203" s="692"/>
      <c r="AY203" s="692"/>
      <c r="AZ203" s="516">
        <f t="shared" si="44"/>
        <v>2</v>
      </c>
      <c r="BA203" s="516">
        <f t="shared" si="45"/>
        <v>0</v>
      </c>
      <c r="BB203" s="516"/>
      <c r="BC203" s="516"/>
      <c r="BD203" s="516">
        <f t="shared" si="46"/>
        <v>1</v>
      </c>
      <c r="BE203" s="516">
        <f t="shared" si="47"/>
        <v>0</v>
      </c>
      <c r="BF203" s="692"/>
      <c r="BG203" s="692"/>
      <c r="BH203" s="692"/>
      <c r="BI203" s="692"/>
      <c r="BJ203" s="692">
        <f t="shared" si="48"/>
        <v>5</v>
      </c>
      <c r="BK203" s="692"/>
      <c r="BL203" s="692"/>
      <c r="BM203" s="692"/>
      <c r="BN203" s="692"/>
      <c r="BO203" s="692"/>
      <c r="BP203" s="692"/>
      <c r="BQ203" s="692">
        <f t="shared" si="49"/>
        <v>1</v>
      </c>
      <c r="BR203" s="692"/>
      <c r="BS203" s="692">
        <f t="shared" si="50"/>
        <v>0</v>
      </c>
      <c r="BT203" s="692">
        <f t="shared" si="51"/>
        <v>2</v>
      </c>
      <c r="BU203" s="692"/>
      <c r="BV203" s="692"/>
      <c r="BW203" s="692"/>
      <c r="BX203" s="692"/>
      <c r="BY203" s="692"/>
      <c r="BZ203" s="692"/>
      <c r="CA203" s="692"/>
      <c r="CB203" s="692">
        <v>1</v>
      </c>
      <c r="CC203" s="692"/>
      <c r="CD203" s="692">
        <f t="shared" si="52"/>
        <v>4</v>
      </c>
      <c r="CE203" s="692"/>
      <c r="CF203" s="692"/>
      <c r="CG203" s="692"/>
      <c r="CH203" s="692"/>
      <c r="CI203" s="692"/>
      <c r="CJ203" s="692"/>
      <c r="CK203" s="692"/>
      <c r="CL203" s="692"/>
      <c r="CM203" s="692"/>
      <c r="CN203" s="692"/>
      <c r="CO203" s="692"/>
      <c r="CP203" s="692"/>
      <c r="CQ203" s="692"/>
      <c r="CR203" s="692"/>
      <c r="CS203" s="692"/>
      <c r="CT203" s="692"/>
      <c r="CU203" s="692"/>
      <c r="CV203" s="692"/>
      <c r="CW203" s="692"/>
      <c r="CX203" s="694"/>
      <c r="CY203" s="694"/>
      <c r="CZ203" s="694"/>
      <c r="DA203" s="694"/>
      <c r="DB203" s="694"/>
      <c r="DC203" s="694"/>
      <c r="DD203" s="694"/>
      <c r="DE203" s="694"/>
      <c r="DF203" s="694"/>
      <c r="DG203" s="695"/>
      <c r="DH203" s="695"/>
      <c r="DI203" s="695"/>
      <c r="DJ203" s="695"/>
      <c r="DK203" s="695"/>
      <c r="DL203" s="695"/>
      <c r="DM203" s="695"/>
      <c r="DN203" s="695"/>
      <c r="DO203" s="695"/>
      <c r="DP203" s="695"/>
      <c r="DQ203" s="695"/>
      <c r="DR203" s="695"/>
      <c r="DS203" s="694"/>
      <c r="DT203" s="694"/>
      <c r="DU203" s="694"/>
      <c r="DV203" s="694"/>
      <c r="DW203" s="694"/>
      <c r="DX203" s="694"/>
      <c r="DY203" s="694"/>
      <c r="DZ203" s="694"/>
      <c r="EA203" s="694"/>
      <c r="EB203" s="694"/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4"/>
      <c r="FH203" s="694"/>
      <c r="FI203" s="694"/>
      <c r="FJ203" s="694"/>
      <c r="FK203" s="694"/>
      <c r="FL203" s="694"/>
      <c r="FM203" s="694"/>
      <c r="FN203" s="694"/>
      <c r="FO203" s="694"/>
      <c r="FP203" s="694"/>
      <c r="FQ203" s="697"/>
    </row>
    <row r="204" spans="1:173" s="696" customFormat="1">
      <c r="A204" s="690"/>
      <c r="B204" s="690"/>
      <c r="C204" s="691" t="s">
        <v>3638</v>
      </c>
      <c r="D204" s="691"/>
      <c r="E204" s="640">
        <v>28.8</v>
      </c>
      <c r="F204" s="692"/>
      <c r="G204" s="692"/>
      <c r="H204" s="692"/>
      <c r="I204" s="692"/>
      <c r="J204" s="692"/>
      <c r="K204" s="692"/>
      <c r="L204" s="692"/>
      <c r="M204" s="692"/>
      <c r="N204" s="692"/>
      <c r="O204" s="692"/>
      <c r="P204" s="692">
        <f t="shared" si="42"/>
        <v>28.8</v>
      </c>
      <c r="Q204" s="692"/>
      <c r="R204" s="693"/>
      <c r="S204" s="693"/>
      <c r="T204" s="693"/>
      <c r="U204" s="692" t="s">
        <v>1631</v>
      </c>
      <c r="V204" s="692"/>
      <c r="W204" s="692">
        <v>1</v>
      </c>
      <c r="X204" s="692"/>
      <c r="Y204" s="692"/>
      <c r="Z204" s="692">
        <v>1</v>
      </c>
      <c r="AA204" s="692"/>
      <c r="AB204" s="692"/>
      <c r="AC204" s="692"/>
      <c r="AD204" s="692"/>
      <c r="AE204" s="725"/>
      <c r="AF204" s="957"/>
      <c r="AG204" s="692"/>
      <c r="AH204" s="692"/>
      <c r="AI204" s="692"/>
      <c r="AJ204" s="692"/>
      <c r="AK204" s="692"/>
      <c r="AL204" s="692"/>
      <c r="AM204" s="692"/>
      <c r="AN204" s="692"/>
      <c r="AO204" s="692"/>
      <c r="AP204" s="692"/>
      <c r="AQ204" s="692"/>
      <c r="AR204" s="692"/>
      <c r="AS204" s="692"/>
      <c r="AT204" s="692"/>
      <c r="AU204" s="692"/>
      <c r="AV204" s="692"/>
      <c r="AW204" s="692">
        <f t="shared" si="43"/>
        <v>1</v>
      </c>
      <c r="AX204" s="692"/>
      <c r="AY204" s="692"/>
      <c r="AZ204" s="516">
        <f t="shared" si="44"/>
        <v>2</v>
      </c>
      <c r="BA204" s="516">
        <f t="shared" si="45"/>
        <v>0</v>
      </c>
      <c r="BB204" s="516"/>
      <c r="BC204" s="516"/>
      <c r="BD204" s="516">
        <f t="shared" si="46"/>
        <v>1</v>
      </c>
      <c r="BE204" s="516">
        <f t="shared" si="47"/>
        <v>0</v>
      </c>
      <c r="BF204" s="692"/>
      <c r="BG204" s="692"/>
      <c r="BH204" s="692"/>
      <c r="BI204" s="692"/>
      <c r="BJ204" s="692">
        <f t="shared" si="48"/>
        <v>5</v>
      </c>
      <c r="BK204" s="692"/>
      <c r="BL204" s="692"/>
      <c r="BM204" s="692"/>
      <c r="BN204" s="692"/>
      <c r="BO204" s="692"/>
      <c r="BP204" s="692"/>
      <c r="BQ204" s="692">
        <f t="shared" si="49"/>
        <v>0</v>
      </c>
      <c r="BR204" s="692"/>
      <c r="BS204" s="692">
        <f t="shared" si="50"/>
        <v>0</v>
      </c>
      <c r="BT204" s="692">
        <f t="shared" si="51"/>
        <v>1</v>
      </c>
      <c r="BU204" s="692"/>
      <c r="BV204" s="692"/>
      <c r="BW204" s="692"/>
      <c r="BX204" s="692"/>
      <c r="BY204" s="692"/>
      <c r="BZ204" s="692"/>
      <c r="CA204" s="692"/>
      <c r="CB204" s="692">
        <v>1</v>
      </c>
      <c r="CC204" s="692"/>
      <c r="CD204" s="692">
        <f t="shared" si="52"/>
        <v>4</v>
      </c>
      <c r="CE204" s="692"/>
      <c r="CF204" s="692"/>
      <c r="CG204" s="692"/>
      <c r="CH204" s="692"/>
      <c r="CI204" s="692"/>
      <c r="CJ204" s="692"/>
      <c r="CK204" s="692"/>
      <c r="CL204" s="692"/>
      <c r="CM204" s="692"/>
      <c r="CN204" s="692"/>
      <c r="CO204" s="692"/>
      <c r="CP204" s="692"/>
      <c r="CQ204" s="692"/>
      <c r="CR204" s="692"/>
      <c r="CS204" s="692"/>
      <c r="CT204" s="692"/>
      <c r="CU204" s="692"/>
      <c r="CV204" s="692"/>
      <c r="CW204" s="692"/>
      <c r="CX204" s="694"/>
      <c r="CY204" s="694"/>
      <c r="CZ204" s="694"/>
      <c r="DA204" s="694"/>
      <c r="DB204" s="694"/>
      <c r="DC204" s="694"/>
      <c r="DD204" s="694"/>
      <c r="DE204" s="694"/>
      <c r="DF204" s="694"/>
      <c r="DG204" s="695"/>
      <c r="DH204" s="695"/>
      <c r="DI204" s="695"/>
      <c r="DJ204" s="695"/>
      <c r="DK204" s="695"/>
      <c r="DL204" s="695"/>
      <c r="DM204" s="695"/>
      <c r="DN204" s="695"/>
      <c r="DO204" s="695"/>
      <c r="DP204" s="695"/>
      <c r="DQ204" s="695"/>
      <c r="DR204" s="695"/>
      <c r="DS204" s="694"/>
      <c r="DT204" s="694"/>
      <c r="DU204" s="694"/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/>
      <c r="FA204" s="694"/>
      <c r="FB204" s="694"/>
      <c r="FC204" s="694"/>
      <c r="FD204" s="694"/>
      <c r="FE204" s="694"/>
      <c r="FF204" s="694"/>
      <c r="FG204" s="694"/>
      <c r="FH204" s="694"/>
      <c r="FI204" s="694"/>
      <c r="FJ204" s="694"/>
      <c r="FK204" s="694"/>
      <c r="FL204" s="694"/>
      <c r="FM204" s="694"/>
      <c r="FN204" s="694"/>
      <c r="FO204" s="694"/>
      <c r="FP204" s="694"/>
      <c r="FQ204" s="697"/>
    </row>
    <row r="205" spans="1:173" s="696" customFormat="1">
      <c r="A205" s="690"/>
      <c r="B205" s="690"/>
      <c r="C205" s="691" t="s">
        <v>3639</v>
      </c>
      <c r="D205" s="691"/>
      <c r="E205" s="640">
        <v>23.5</v>
      </c>
      <c r="F205" s="692"/>
      <c r="G205" s="692"/>
      <c r="H205" s="692"/>
      <c r="I205" s="692"/>
      <c r="J205" s="692"/>
      <c r="K205" s="692"/>
      <c r="L205" s="692"/>
      <c r="M205" s="692"/>
      <c r="N205" s="692"/>
      <c r="O205" s="692"/>
      <c r="P205" s="692">
        <f t="shared" si="42"/>
        <v>23.5</v>
      </c>
      <c r="Q205" s="692"/>
      <c r="R205" s="693"/>
      <c r="S205" s="693"/>
      <c r="T205" s="693"/>
      <c r="U205" s="692" t="s">
        <v>3718</v>
      </c>
      <c r="V205" s="692"/>
      <c r="W205" s="692">
        <v>2</v>
      </c>
      <c r="X205" s="692"/>
      <c r="Y205" s="692"/>
      <c r="Z205" s="692"/>
      <c r="AA205" s="692"/>
      <c r="AB205" s="692"/>
      <c r="AC205" s="692"/>
      <c r="AD205" s="692"/>
      <c r="AE205" s="725">
        <v>1</v>
      </c>
      <c r="AF205" s="957"/>
      <c r="AG205" s="692"/>
      <c r="AH205" s="692"/>
      <c r="AI205" s="692"/>
      <c r="AJ205" s="692"/>
      <c r="AK205" s="692"/>
      <c r="AL205" s="692"/>
      <c r="AM205" s="692"/>
      <c r="AN205" s="692"/>
      <c r="AO205" s="692"/>
      <c r="AP205" s="692"/>
      <c r="AQ205" s="692"/>
      <c r="AR205" s="692"/>
      <c r="AS205" s="692"/>
      <c r="AT205" s="692"/>
      <c r="AU205" s="692"/>
      <c r="AV205" s="692"/>
      <c r="AW205" s="692">
        <f t="shared" si="43"/>
        <v>1</v>
      </c>
      <c r="AX205" s="692"/>
      <c r="AY205" s="692"/>
      <c r="AZ205" s="516">
        <f t="shared" si="44"/>
        <v>2</v>
      </c>
      <c r="BA205" s="516">
        <f t="shared" si="45"/>
        <v>0</v>
      </c>
      <c r="BB205" s="516"/>
      <c r="BC205" s="516"/>
      <c r="BD205" s="516">
        <f t="shared" si="46"/>
        <v>3</v>
      </c>
      <c r="BE205" s="516">
        <f t="shared" si="47"/>
        <v>0</v>
      </c>
      <c r="BF205" s="692"/>
      <c r="BG205" s="692"/>
      <c r="BH205" s="692"/>
      <c r="BI205" s="692"/>
      <c r="BJ205" s="692">
        <f t="shared" si="48"/>
        <v>5</v>
      </c>
      <c r="BK205" s="692"/>
      <c r="BL205" s="692"/>
      <c r="BM205" s="692"/>
      <c r="BN205" s="692"/>
      <c r="BO205" s="692"/>
      <c r="BP205" s="692"/>
      <c r="BQ205" s="692">
        <f t="shared" si="49"/>
        <v>0</v>
      </c>
      <c r="BR205" s="692"/>
      <c r="BS205" s="692">
        <f t="shared" si="50"/>
        <v>0</v>
      </c>
      <c r="BT205" s="692">
        <f t="shared" si="51"/>
        <v>0</v>
      </c>
      <c r="BU205" s="692"/>
      <c r="BV205" s="692"/>
      <c r="BW205" s="692"/>
      <c r="BX205" s="692"/>
      <c r="BY205" s="692">
        <v>3</v>
      </c>
      <c r="BZ205" s="692"/>
      <c r="CA205" s="692"/>
      <c r="CB205" s="692">
        <v>1</v>
      </c>
      <c r="CC205" s="692"/>
      <c r="CD205" s="692">
        <f t="shared" si="52"/>
        <v>4</v>
      </c>
      <c r="CE205" s="692"/>
      <c r="CF205" s="692"/>
      <c r="CG205" s="692"/>
      <c r="CH205" s="692"/>
      <c r="CI205" s="692"/>
      <c r="CJ205" s="692"/>
      <c r="CK205" s="692"/>
      <c r="CL205" s="692"/>
      <c r="CM205" s="692"/>
      <c r="CN205" s="692"/>
      <c r="CO205" s="692"/>
      <c r="CP205" s="692"/>
      <c r="CQ205" s="692"/>
      <c r="CR205" s="692"/>
      <c r="CS205" s="692"/>
      <c r="CT205" s="692"/>
      <c r="CU205" s="692"/>
      <c r="CV205" s="692"/>
      <c r="CW205" s="692"/>
      <c r="CX205" s="694"/>
      <c r="CY205" s="694"/>
      <c r="CZ205" s="694"/>
      <c r="DA205" s="694"/>
      <c r="DB205" s="694"/>
      <c r="DC205" s="694"/>
      <c r="DD205" s="694"/>
      <c r="DE205" s="694"/>
      <c r="DF205" s="694"/>
      <c r="DG205" s="695"/>
      <c r="DH205" s="695"/>
      <c r="DI205" s="695"/>
      <c r="DJ205" s="695"/>
      <c r="DK205" s="695"/>
      <c r="DL205" s="695"/>
      <c r="DM205" s="695"/>
      <c r="DN205" s="695"/>
      <c r="DO205" s="695"/>
      <c r="DP205" s="695"/>
      <c r="DQ205" s="695"/>
      <c r="DR205" s="695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4"/>
      <c r="FH205" s="694"/>
      <c r="FI205" s="694"/>
      <c r="FJ205" s="694"/>
      <c r="FK205" s="694"/>
      <c r="FL205" s="694"/>
      <c r="FM205" s="694"/>
      <c r="FN205" s="694"/>
      <c r="FO205" s="694"/>
      <c r="FP205" s="694"/>
      <c r="FQ205" s="697"/>
    </row>
    <row r="206" spans="1:173" s="696" customFormat="1">
      <c r="A206" s="690"/>
      <c r="B206" s="690"/>
      <c r="C206" s="691" t="s">
        <v>3640</v>
      </c>
      <c r="D206" s="691"/>
      <c r="E206" s="640">
        <v>25</v>
      </c>
      <c r="F206" s="692"/>
      <c r="G206" s="692"/>
      <c r="H206" s="692"/>
      <c r="I206" s="692"/>
      <c r="J206" s="692"/>
      <c r="K206" s="692"/>
      <c r="L206" s="692"/>
      <c r="M206" s="692"/>
      <c r="N206" s="692"/>
      <c r="O206" s="692"/>
      <c r="P206" s="692">
        <f t="shared" si="42"/>
        <v>25</v>
      </c>
      <c r="Q206" s="692"/>
      <c r="R206" s="693"/>
      <c r="S206" s="693"/>
      <c r="T206" s="693"/>
      <c r="U206" s="692" t="s">
        <v>1903</v>
      </c>
      <c r="V206" s="692"/>
      <c r="W206" s="692">
        <v>2</v>
      </c>
      <c r="X206" s="692"/>
      <c r="Y206" s="692"/>
      <c r="Z206" s="692"/>
      <c r="AA206" s="692"/>
      <c r="AB206" s="692"/>
      <c r="AC206" s="692"/>
      <c r="AD206" s="692"/>
      <c r="AE206" s="725">
        <v>1</v>
      </c>
      <c r="AF206" s="957"/>
      <c r="AG206" s="692"/>
      <c r="AH206" s="692"/>
      <c r="AI206" s="692"/>
      <c r="AJ206" s="692"/>
      <c r="AK206" s="692"/>
      <c r="AL206" s="692"/>
      <c r="AM206" s="692"/>
      <c r="AN206" s="692"/>
      <c r="AO206" s="692"/>
      <c r="AP206" s="692"/>
      <c r="AQ206" s="692"/>
      <c r="AR206" s="692"/>
      <c r="AS206" s="692"/>
      <c r="AT206" s="692"/>
      <c r="AU206" s="692"/>
      <c r="AV206" s="692"/>
      <c r="AW206" s="692">
        <f t="shared" si="43"/>
        <v>0</v>
      </c>
      <c r="AX206" s="692"/>
      <c r="AY206" s="692"/>
      <c r="AZ206" s="516">
        <f t="shared" si="44"/>
        <v>0</v>
      </c>
      <c r="BA206" s="516">
        <f t="shared" si="45"/>
        <v>0</v>
      </c>
      <c r="BB206" s="516"/>
      <c r="BC206" s="516"/>
      <c r="BD206" s="516">
        <f t="shared" si="46"/>
        <v>1</v>
      </c>
      <c r="BE206" s="516">
        <f t="shared" si="47"/>
        <v>0</v>
      </c>
      <c r="BF206" s="692"/>
      <c r="BG206" s="692"/>
      <c r="BH206" s="692"/>
      <c r="BI206" s="692"/>
      <c r="BJ206" s="692">
        <f t="shared" si="48"/>
        <v>0</v>
      </c>
      <c r="BK206" s="692"/>
      <c r="BL206" s="692"/>
      <c r="BM206" s="692"/>
      <c r="BN206" s="692"/>
      <c r="BO206" s="692"/>
      <c r="BP206" s="692"/>
      <c r="BQ206" s="692">
        <f t="shared" si="49"/>
        <v>1</v>
      </c>
      <c r="BR206" s="692"/>
      <c r="BS206" s="692">
        <f t="shared" si="50"/>
        <v>0</v>
      </c>
      <c r="BT206" s="692">
        <f t="shared" si="51"/>
        <v>2</v>
      </c>
      <c r="BU206" s="692"/>
      <c r="BV206" s="692"/>
      <c r="BW206" s="692"/>
      <c r="BX206" s="692"/>
      <c r="BY206" s="692"/>
      <c r="BZ206" s="692"/>
      <c r="CA206" s="692"/>
      <c r="CB206" s="692"/>
      <c r="CC206" s="692"/>
      <c r="CD206" s="692">
        <f t="shared" si="52"/>
        <v>0</v>
      </c>
      <c r="CE206" s="692"/>
      <c r="CF206" s="692"/>
      <c r="CG206" s="692"/>
      <c r="CH206" s="692"/>
      <c r="CI206" s="692"/>
      <c r="CJ206" s="692"/>
      <c r="CK206" s="692"/>
      <c r="CL206" s="692"/>
      <c r="CM206" s="692"/>
      <c r="CN206" s="692"/>
      <c r="CO206" s="692"/>
      <c r="CP206" s="692"/>
      <c r="CQ206" s="692"/>
      <c r="CR206" s="692"/>
      <c r="CS206" s="692"/>
      <c r="CT206" s="692"/>
      <c r="CU206" s="692"/>
      <c r="CV206" s="692"/>
      <c r="CW206" s="692"/>
      <c r="CX206" s="694"/>
      <c r="CY206" s="694"/>
      <c r="CZ206" s="694"/>
      <c r="DA206" s="694"/>
      <c r="DB206" s="694"/>
      <c r="DC206" s="694"/>
      <c r="DD206" s="694"/>
      <c r="DE206" s="694"/>
      <c r="DF206" s="694"/>
      <c r="DG206" s="695"/>
      <c r="DH206" s="695"/>
      <c r="DI206" s="695"/>
      <c r="DJ206" s="695"/>
      <c r="DK206" s="695"/>
      <c r="DL206" s="695"/>
      <c r="DM206" s="695"/>
      <c r="DN206" s="695"/>
      <c r="DO206" s="695"/>
      <c r="DP206" s="695"/>
      <c r="DQ206" s="695"/>
      <c r="DR206" s="695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4"/>
      <c r="FH206" s="694"/>
      <c r="FI206" s="694"/>
      <c r="FJ206" s="694"/>
      <c r="FK206" s="694"/>
      <c r="FL206" s="694"/>
      <c r="FM206" s="694"/>
      <c r="FN206" s="694"/>
      <c r="FO206" s="694"/>
      <c r="FP206" s="694"/>
      <c r="FQ206" s="697"/>
    </row>
    <row r="207" spans="1:173" s="696" customFormat="1">
      <c r="A207" s="690"/>
      <c r="B207" s="690"/>
      <c r="C207" s="691" t="s">
        <v>3641</v>
      </c>
      <c r="D207" s="691"/>
      <c r="E207" s="640">
        <v>34</v>
      </c>
      <c r="F207" s="692"/>
      <c r="G207" s="692"/>
      <c r="H207" s="692"/>
      <c r="I207" s="692"/>
      <c r="J207" s="692"/>
      <c r="K207" s="692"/>
      <c r="L207" s="692"/>
      <c r="M207" s="692"/>
      <c r="N207" s="692"/>
      <c r="O207" s="692"/>
      <c r="P207" s="692">
        <f t="shared" si="42"/>
        <v>34</v>
      </c>
      <c r="Q207" s="692"/>
      <c r="R207" s="693"/>
      <c r="S207" s="693"/>
      <c r="T207" s="693"/>
      <c r="U207" s="692" t="s">
        <v>1903</v>
      </c>
      <c r="V207" s="692"/>
      <c r="W207" s="692">
        <v>2</v>
      </c>
      <c r="X207" s="692"/>
      <c r="Y207" s="692"/>
      <c r="Z207" s="692"/>
      <c r="AA207" s="692"/>
      <c r="AB207" s="692"/>
      <c r="AC207" s="692"/>
      <c r="AD207" s="692"/>
      <c r="AE207" s="725">
        <v>1</v>
      </c>
      <c r="AF207" s="957"/>
      <c r="AG207" s="692"/>
      <c r="AH207" s="692"/>
      <c r="AI207" s="692"/>
      <c r="AJ207" s="692"/>
      <c r="AK207" s="692"/>
      <c r="AL207" s="692"/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>
        <f t="shared" si="43"/>
        <v>1</v>
      </c>
      <c r="AX207" s="692"/>
      <c r="AY207" s="692"/>
      <c r="AZ207" s="516">
        <f t="shared" si="44"/>
        <v>2</v>
      </c>
      <c r="BA207" s="516">
        <f t="shared" si="45"/>
        <v>0</v>
      </c>
      <c r="BB207" s="516"/>
      <c r="BC207" s="516"/>
      <c r="BD207" s="516">
        <f t="shared" si="46"/>
        <v>1</v>
      </c>
      <c r="BE207" s="516">
        <f t="shared" si="47"/>
        <v>0</v>
      </c>
      <c r="BF207" s="692"/>
      <c r="BG207" s="692"/>
      <c r="BH207" s="692"/>
      <c r="BI207" s="692"/>
      <c r="BJ207" s="692">
        <f t="shared" si="48"/>
        <v>5</v>
      </c>
      <c r="BK207" s="692"/>
      <c r="BL207" s="692"/>
      <c r="BM207" s="692"/>
      <c r="BN207" s="692"/>
      <c r="BO207" s="692"/>
      <c r="BP207" s="692"/>
      <c r="BQ207" s="692">
        <f t="shared" si="49"/>
        <v>1</v>
      </c>
      <c r="BR207" s="692"/>
      <c r="BS207" s="692">
        <f t="shared" si="50"/>
        <v>0</v>
      </c>
      <c r="BT207" s="692">
        <f t="shared" si="51"/>
        <v>2</v>
      </c>
      <c r="BU207" s="692"/>
      <c r="BV207" s="692"/>
      <c r="BW207" s="692"/>
      <c r="BX207" s="692"/>
      <c r="BY207" s="692"/>
      <c r="BZ207" s="692"/>
      <c r="CA207" s="692"/>
      <c r="CB207" s="692">
        <v>1</v>
      </c>
      <c r="CC207" s="692"/>
      <c r="CD207" s="692">
        <f t="shared" si="52"/>
        <v>4</v>
      </c>
      <c r="CE207" s="692"/>
      <c r="CF207" s="692"/>
      <c r="CG207" s="692"/>
      <c r="CH207" s="692"/>
      <c r="CI207" s="692"/>
      <c r="CJ207" s="692"/>
      <c r="CK207" s="692"/>
      <c r="CL207" s="692"/>
      <c r="CM207" s="692"/>
      <c r="CN207" s="692"/>
      <c r="CO207" s="692"/>
      <c r="CP207" s="692"/>
      <c r="CQ207" s="692"/>
      <c r="CR207" s="692"/>
      <c r="CS207" s="692"/>
      <c r="CT207" s="692"/>
      <c r="CU207" s="692"/>
      <c r="CV207" s="692"/>
      <c r="CW207" s="692"/>
      <c r="CX207" s="694"/>
      <c r="CY207" s="694"/>
      <c r="CZ207" s="694"/>
      <c r="DA207" s="694"/>
      <c r="DB207" s="694"/>
      <c r="DC207" s="694"/>
      <c r="DD207" s="694"/>
      <c r="DE207" s="694"/>
      <c r="DF207" s="694"/>
      <c r="DG207" s="695"/>
      <c r="DH207" s="695"/>
      <c r="DI207" s="695"/>
      <c r="DJ207" s="695"/>
      <c r="DK207" s="695"/>
      <c r="DL207" s="695"/>
      <c r="DM207" s="695"/>
      <c r="DN207" s="695"/>
      <c r="DO207" s="695"/>
      <c r="DP207" s="695"/>
      <c r="DQ207" s="695"/>
      <c r="DR207" s="695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/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4"/>
      <c r="FH207" s="694"/>
      <c r="FI207" s="694"/>
      <c r="FJ207" s="694"/>
      <c r="FK207" s="694"/>
      <c r="FL207" s="694"/>
      <c r="FM207" s="694"/>
      <c r="FN207" s="694"/>
      <c r="FO207" s="694"/>
      <c r="FP207" s="694"/>
      <c r="FQ207" s="697"/>
    </row>
    <row r="208" spans="1:173" s="696" customFormat="1">
      <c r="A208" s="690"/>
      <c r="B208" s="690"/>
      <c r="C208" s="691" t="s">
        <v>3647</v>
      </c>
      <c r="D208" s="691"/>
      <c r="E208" s="640">
        <v>27</v>
      </c>
      <c r="F208" s="692"/>
      <c r="G208" s="692"/>
      <c r="H208" s="692"/>
      <c r="I208" s="692"/>
      <c r="J208" s="692"/>
      <c r="K208" s="692"/>
      <c r="L208" s="692"/>
      <c r="M208" s="692"/>
      <c r="N208" s="692"/>
      <c r="O208" s="692"/>
      <c r="P208" s="692">
        <f t="shared" si="42"/>
        <v>27</v>
      </c>
      <c r="Q208" s="692"/>
      <c r="R208" s="693"/>
      <c r="S208" s="693"/>
      <c r="T208" s="693"/>
      <c r="U208" s="692" t="s">
        <v>1631</v>
      </c>
      <c r="V208" s="692"/>
      <c r="W208" s="692">
        <v>1</v>
      </c>
      <c r="X208" s="692"/>
      <c r="Y208" s="692"/>
      <c r="Z208" s="692">
        <v>1</v>
      </c>
      <c r="AA208" s="692"/>
      <c r="AB208" s="692"/>
      <c r="AC208" s="692"/>
      <c r="AD208" s="692"/>
      <c r="AE208" s="725"/>
      <c r="AF208" s="957"/>
      <c r="AG208" s="692"/>
      <c r="AH208" s="692"/>
      <c r="AI208" s="692"/>
      <c r="AJ208" s="692"/>
      <c r="AK208" s="692"/>
      <c r="AL208" s="692"/>
      <c r="AM208" s="692"/>
      <c r="AN208" s="692"/>
      <c r="AO208" s="692"/>
      <c r="AP208" s="692"/>
      <c r="AQ208" s="692"/>
      <c r="AR208" s="692"/>
      <c r="AS208" s="692"/>
      <c r="AT208" s="692"/>
      <c r="AU208" s="692">
        <v>1</v>
      </c>
      <c r="AV208" s="692"/>
      <c r="AW208" s="692">
        <f t="shared" si="43"/>
        <v>1</v>
      </c>
      <c r="AX208" s="692"/>
      <c r="AY208" s="692"/>
      <c r="AZ208" s="516">
        <f t="shared" si="44"/>
        <v>2</v>
      </c>
      <c r="BA208" s="516">
        <f t="shared" si="45"/>
        <v>0</v>
      </c>
      <c r="BB208" s="516"/>
      <c r="BC208" s="516"/>
      <c r="BD208" s="516">
        <f t="shared" si="46"/>
        <v>1</v>
      </c>
      <c r="BE208" s="516">
        <f t="shared" si="47"/>
        <v>0</v>
      </c>
      <c r="BF208" s="692"/>
      <c r="BG208" s="692"/>
      <c r="BH208" s="692"/>
      <c r="BI208" s="692"/>
      <c r="BJ208" s="692">
        <f t="shared" si="48"/>
        <v>7</v>
      </c>
      <c r="BK208" s="692"/>
      <c r="BL208" s="692"/>
      <c r="BM208" s="692"/>
      <c r="BN208" s="692"/>
      <c r="BO208" s="692"/>
      <c r="BP208" s="692"/>
      <c r="BQ208" s="692">
        <f t="shared" si="49"/>
        <v>0</v>
      </c>
      <c r="BR208" s="692"/>
      <c r="BS208" s="692">
        <f t="shared" si="50"/>
        <v>0</v>
      </c>
      <c r="BT208" s="692">
        <f t="shared" si="51"/>
        <v>1</v>
      </c>
      <c r="BU208" s="692"/>
      <c r="BV208" s="692"/>
      <c r="BW208" s="692"/>
      <c r="BX208" s="692"/>
      <c r="BY208" s="692"/>
      <c r="BZ208" s="692"/>
      <c r="CA208" s="692"/>
      <c r="CB208" s="692">
        <v>1</v>
      </c>
      <c r="CC208" s="692"/>
      <c r="CD208" s="692">
        <f t="shared" si="52"/>
        <v>4</v>
      </c>
      <c r="CE208" s="692"/>
      <c r="CF208" s="692"/>
      <c r="CG208" s="692"/>
      <c r="CH208" s="692"/>
      <c r="CI208" s="692"/>
      <c r="CJ208" s="692"/>
      <c r="CK208" s="692"/>
      <c r="CL208" s="692"/>
      <c r="CM208" s="692"/>
      <c r="CN208" s="692"/>
      <c r="CO208" s="692"/>
      <c r="CP208" s="692"/>
      <c r="CQ208" s="692"/>
      <c r="CR208" s="692"/>
      <c r="CS208" s="692"/>
      <c r="CT208" s="692"/>
      <c r="CU208" s="692"/>
      <c r="CV208" s="692"/>
      <c r="CW208" s="692"/>
      <c r="CX208" s="694"/>
      <c r="CY208" s="694"/>
      <c r="CZ208" s="694"/>
      <c r="DA208" s="694"/>
      <c r="DB208" s="694"/>
      <c r="DC208" s="694"/>
      <c r="DD208" s="694"/>
      <c r="DE208" s="694"/>
      <c r="DF208" s="694"/>
      <c r="DG208" s="695"/>
      <c r="DH208" s="695"/>
      <c r="DI208" s="695"/>
      <c r="DJ208" s="695"/>
      <c r="DK208" s="695"/>
      <c r="DL208" s="695"/>
      <c r="DM208" s="695"/>
      <c r="DN208" s="695"/>
      <c r="DO208" s="695"/>
      <c r="DP208" s="695"/>
      <c r="DQ208" s="695"/>
      <c r="DR208" s="695"/>
      <c r="DS208" s="694"/>
      <c r="DT208" s="694"/>
      <c r="DU208" s="694"/>
      <c r="DV208" s="694"/>
      <c r="DW208" s="694"/>
      <c r="DX208" s="694"/>
      <c r="DY208" s="694"/>
      <c r="DZ208" s="694"/>
      <c r="EA208" s="694"/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4"/>
      <c r="FH208" s="694"/>
      <c r="FI208" s="694"/>
      <c r="FJ208" s="694"/>
      <c r="FK208" s="694"/>
      <c r="FL208" s="694"/>
      <c r="FM208" s="694"/>
      <c r="FN208" s="694"/>
      <c r="FO208" s="694"/>
      <c r="FP208" s="694"/>
      <c r="FQ208" s="697"/>
    </row>
    <row r="209" spans="1:173" s="696" customFormat="1">
      <c r="A209" s="690"/>
      <c r="B209" s="690"/>
      <c r="C209" s="691" t="s">
        <v>3648</v>
      </c>
      <c r="D209" s="691"/>
      <c r="E209" s="640">
        <v>28</v>
      </c>
      <c r="F209" s="692"/>
      <c r="G209" s="692"/>
      <c r="H209" s="692"/>
      <c r="I209" s="692"/>
      <c r="J209" s="692"/>
      <c r="K209" s="692"/>
      <c r="L209" s="692"/>
      <c r="M209" s="692"/>
      <c r="N209" s="692"/>
      <c r="O209" s="692"/>
      <c r="P209" s="692">
        <f t="shared" si="42"/>
        <v>28</v>
      </c>
      <c r="Q209" s="692"/>
      <c r="R209" s="693"/>
      <c r="S209" s="693"/>
      <c r="T209" s="693"/>
      <c r="U209" s="692" t="s">
        <v>2989</v>
      </c>
      <c r="V209" s="692"/>
      <c r="W209" s="692">
        <v>2</v>
      </c>
      <c r="X209" s="692"/>
      <c r="Y209" s="692"/>
      <c r="Z209" s="692"/>
      <c r="AA209" s="692"/>
      <c r="AB209" s="692"/>
      <c r="AC209" s="692"/>
      <c r="AD209" s="692"/>
      <c r="AE209" s="725">
        <v>1</v>
      </c>
      <c r="AF209" s="957"/>
      <c r="AG209" s="692"/>
      <c r="AH209" s="692"/>
      <c r="AI209" s="692"/>
      <c r="AJ209" s="692"/>
      <c r="AK209" s="692"/>
      <c r="AL209" s="692"/>
      <c r="AM209" s="692"/>
      <c r="AN209" s="692"/>
      <c r="AO209" s="692"/>
      <c r="AP209" s="692"/>
      <c r="AQ209" s="692"/>
      <c r="AR209" s="692"/>
      <c r="AS209" s="692"/>
      <c r="AT209" s="692"/>
      <c r="AU209" s="692"/>
      <c r="AV209" s="692"/>
      <c r="AW209" s="692">
        <f t="shared" si="43"/>
        <v>1</v>
      </c>
      <c r="AX209" s="692"/>
      <c r="AY209" s="692"/>
      <c r="AZ209" s="516">
        <f t="shared" si="44"/>
        <v>2</v>
      </c>
      <c r="BA209" s="516">
        <f t="shared" si="45"/>
        <v>0</v>
      </c>
      <c r="BB209" s="516"/>
      <c r="BC209" s="516"/>
      <c r="BD209" s="516">
        <f t="shared" si="46"/>
        <v>2</v>
      </c>
      <c r="BE209" s="516">
        <f t="shared" si="47"/>
        <v>0</v>
      </c>
      <c r="BF209" s="692"/>
      <c r="BG209" s="692"/>
      <c r="BH209" s="692"/>
      <c r="BI209" s="692"/>
      <c r="BJ209" s="692">
        <f t="shared" si="48"/>
        <v>5</v>
      </c>
      <c r="BK209" s="692"/>
      <c r="BL209" s="692"/>
      <c r="BM209" s="692"/>
      <c r="BN209" s="692"/>
      <c r="BO209" s="692"/>
      <c r="BP209" s="692"/>
      <c r="BQ209" s="692">
        <f t="shared" si="49"/>
        <v>0</v>
      </c>
      <c r="BR209" s="692"/>
      <c r="BS209" s="692">
        <f t="shared" si="50"/>
        <v>0</v>
      </c>
      <c r="BT209" s="692">
        <f t="shared" si="51"/>
        <v>0</v>
      </c>
      <c r="BU209" s="692"/>
      <c r="BV209" s="692"/>
      <c r="BW209" s="692"/>
      <c r="BX209" s="692"/>
      <c r="BY209" s="692">
        <v>2</v>
      </c>
      <c r="BZ209" s="692"/>
      <c r="CA209" s="692"/>
      <c r="CB209" s="692">
        <v>1</v>
      </c>
      <c r="CC209" s="692"/>
      <c r="CD209" s="692">
        <f t="shared" si="52"/>
        <v>4</v>
      </c>
      <c r="CE209" s="692"/>
      <c r="CF209" s="692"/>
      <c r="CG209" s="692"/>
      <c r="CH209" s="692"/>
      <c r="CI209" s="692"/>
      <c r="CJ209" s="692"/>
      <c r="CK209" s="692"/>
      <c r="CL209" s="692"/>
      <c r="CM209" s="692"/>
      <c r="CN209" s="692"/>
      <c r="CO209" s="692"/>
      <c r="CP209" s="692"/>
      <c r="CQ209" s="692"/>
      <c r="CR209" s="692"/>
      <c r="CS209" s="692"/>
      <c r="CT209" s="692"/>
      <c r="CU209" s="692"/>
      <c r="CV209" s="692"/>
      <c r="CW209" s="692"/>
      <c r="CX209" s="694"/>
      <c r="CY209" s="694"/>
      <c r="CZ209" s="694"/>
      <c r="DA209" s="694"/>
      <c r="DB209" s="694"/>
      <c r="DC209" s="694"/>
      <c r="DD209" s="694"/>
      <c r="DE209" s="694"/>
      <c r="DF209" s="694"/>
      <c r="DG209" s="695"/>
      <c r="DH209" s="695"/>
      <c r="DI209" s="695"/>
      <c r="DJ209" s="695"/>
      <c r="DK209" s="695"/>
      <c r="DL209" s="695"/>
      <c r="DM209" s="695"/>
      <c r="DN209" s="695"/>
      <c r="DO209" s="695"/>
      <c r="DP209" s="695"/>
      <c r="DQ209" s="695"/>
      <c r="DR209" s="695"/>
      <c r="DS209" s="694"/>
      <c r="DT209" s="694"/>
      <c r="DU209" s="694"/>
      <c r="DV209" s="694"/>
      <c r="DW209" s="694"/>
      <c r="DX209" s="694"/>
      <c r="DY209" s="694"/>
      <c r="DZ209" s="694"/>
      <c r="EA209" s="694"/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4"/>
      <c r="FH209" s="694"/>
      <c r="FI209" s="694"/>
      <c r="FJ209" s="694"/>
      <c r="FK209" s="694"/>
      <c r="FL209" s="694"/>
      <c r="FM209" s="694"/>
      <c r="FN209" s="694"/>
      <c r="FO209" s="694"/>
      <c r="FP209" s="694"/>
      <c r="FQ209" s="697"/>
    </row>
    <row r="210" spans="1:173" s="696" customFormat="1">
      <c r="A210" s="690"/>
      <c r="B210" s="690"/>
      <c r="C210" s="691" t="s">
        <v>3649</v>
      </c>
      <c r="D210" s="691"/>
      <c r="E210" s="640">
        <v>35</v>
      </c>
      <c r="F210" s="692"/>
      <c r="G210" s="692"/>
      <c r="H210" s="692"/>
      <c r="I210" s="692"/>
      <c r="J210" s="692"/>
      <c r="K210" s="692"/>
      <c r="L210" s="692"/>
      <c r="M210" s="692"/>
      <c r="N210" s="692"/>
      <c r="O210" s="692"/>
      <c r="P210" s="692">
        <f t="shared" si="42"/>
        <v>35</v>
      </c>
      <c r="Q210" s="692"/>
      <c r="R210" s="693"/>
      <c r="S210" s="693"/>
      <c r="T210" s="693"/>
      <c r="U210" s="692" t="s">
        <v>1631</v>
      </c>
      <c r="V210" s="692"/>
      <c r="W210" s="692">
        <v>1</v>
      </c>
      <c r="X210" s="692"/>
      <c r="Y210" s="692"/>
      <c r="Z210" s="692">
        <v>1</v>
      </c>
      <c r="AA210" s="692"/>
      <c r="AB210" s="692"/>
      <c r="AC210" s="692"/>
      <c r="AD210" s="692"/>
      <c r="AE210" s="725"/>
      <c r="AF210" s="957"/>
      <c r="AG210" s="692"/>
      <c r="AH210" s="692"/>
      <c r="AI210" s="692"/>
      <c r="AJ210" s="692"/>
      <c r="AK210" s="692"/>
      <c r="AL210" s="692"/>
      <c r="AM210" s="692"/>
      <c r="AN210" s="692"/>
      <c r="AO210" s="692"/>
      <c r="AP210" s="692"/>
      <c r="AQ210" s="692"/>
      <c r="AR210" s="692"/>
      <c r="AS210" s="692"/>
      <c r="AT210" s="692"/>
      <c r="AU210" s="692"/>
      <c r="AV210" s="692"/>
      <c r="AW210" s="692">
        <f t="shared" si="43"/>
        <v>1</v>
      </c>
      <c r="AX210" s="692"/>
      <c r="AY210" s="692"/>
      <c r="AZ210" s="516">
        <f t="shared" si="44"/>
        <v>2</v>
      </c>
      <c r="BA210" s="516">
        <f t="shared" si="45"/>
        <v>0</v>
      </c>
      <c r="BB210" s="516"/>
      <c r="BC210" s="516"/>
      <c r="BD210" s="516">
        <f t="shared" si="46"/>
        <v>1</v>
      </c>
      <c r="BE210" s="516">
        <f t="shared" si="47"/>
        <v>0</v>
      </c>
      <c r="BF210" s="692"/>
      <c r="BG210" s="692"/>
      <c r="BH210" s="692"/>
      <c r="BI210" s="692"/>
      <c r="BJ210" s="692">
        <f t="shared" si="48"/>
        <v>5</v>
      </c>
      <c r="BK210" s="692"/>
      <c r="BL210" s="692"/>
      <c r="BM210" s="692"/>
      <c r="BN210" s="692"/>
      <c r="BO210" s="692"/>
      <c r="BP210" s="692"/>
      <c r="BQ210" s="692">
        <f t="shared" si="49"/>
        <v>0</v>
      </c>
      <c r="BR210" s="692"/>
      <c r="BS210" s="692">
        <f t="shared" si="50"/>
        <v>0</v>
      </c>
      <c r="BT210" s="692">
        <f t="shared" si="51"/>
        <v>1</v>
      </c>
      <c r="BU210" s="692"/>
      <c r="BV210" s="692"/>
      <c r="BW210" s="692"/>
      <c r="BX210" s="692"/>
      <c r="BY210" s="692"/>
      <c r="BZ210" s="692"/>
      <c r="CA210" s="692"/>
      <c r="CB210" s="692">
        <v>1</v>
      </c>
      <c r="CC210" s="692"/>
      <c r="CD210" s="692">
        <f t="shared" si="52"/>
        <v>4</v>
      </c>
      <c r="CE210" s="692"/>
      <c r="CF210" s="692"/>
      <c r="CG210" s="692"/>
      <c r="CH210" s="692"/>
      <c r="CI210" s="692"/>
      <c r="CJ210" s="692"/>
      <c r="CK210" s="692"/>
      <c r="CL210" s="692"/>
      <c r="CM210" s="692"/>
      <c r="CN210" s="692"/>
      <c r="CO210" s="692"/>
      <c r="CP210" s="692"/>
      <c r="CQ210" s="692"/>
      <c r="CR210" s="692"/>
      <c r="CS210" s="692"/>
      <c r="CT210" s="692"/>
      <c r="CU210" s="692"/>
      <c r="CV210" s="692"/>
      <c r="CW210" s="692"/>
      <c r="CX210" s="694"/>
      <c r="CY210" s="694"/>
      <c r="CZ210" s="694"/>
      <c r="DA210" s="694"/>
      <c r="DB210" s="694"/>
      <c r="DC210" s="694"/>
      <c r="DD210" s="694"/>
      <c r="DE210" s="694"/>
      <c r="DF210" s="694"/>
      <c r="DG210" s="695"/>
      <c r="DH210" s="695"/>
      <c r="DI210" s="695"/>
      <c r="DJ210" s="695"/>
      <c r="DK210" s="695"/>
      <c r="DL210" s="695"/>
      <c r="DM210" s="695"/>
      <c r="DN210" s="695"/>
      <c r="DO210" s="695"/>
      <c r="DP210" s="695"/>
      <c r="DQ210" s="695"/>
      <c r="DR210" s="695"/>
      <c r="DS210" s="694"/>
      <c r="DT210" s="694"/>
      <c r="DU210" s="694"/>
      <c r="DV210" s="694"/>
      <c r="DW210" s="694"/>
      <c r="DX210" s="694"/>
      <c r="DY210" s="694"/>
      <c r="DZ210" s="694"/>
      <c r="EA210" s="694"/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4"/>
      <c r="FH210" s="694"/>
      <c r="FI210" s="694"/>
      <c r="FJ210" s="694"/>
      <c r="FK210" s="694"/>
      <c r="FL210" s="694"/>
      <c r="FM210" s="694"/>
      <c r="FN210" s="694"/>
      <c r="FO210" s="694"/>
      <c r="FP210" s="694"/>
      <c r="FQ210" s="697"/>
    </row>
    <row r="211" spans="1:173" s="696" customFormat="1">
      <c r="A211" s="690"/>
      <c r="B211" s="690"/>
      <c r="C211" s="691" t="s">
        <v>3650</v>
      </c>
      <c r="D211" s="691"/>
      <c r="E211" s="640">
        <v>30</v>
      </c>
      <c r="F211" s="692"/>
      <c r="G211" s="692"/>
      <c r="H211" s="692"/>
      <c r="I211" s="692"/>
      <c r="J211" s="692"/>
      <c r="K211" s="692"/>
      <c r="L211" s="692"/>
      <c r="M211" s="692"/>
      <c r="N211" s="692"/>
      <c r="O211" s="692"/>
      <c r="P211" s="692">
        <f t="shared" si="42"/>
        <v>30</v>
      </c>
      <c r="Q211" s="692"/>
      <c r="R211" s="693"/>
      <c r="S211" s="693"/>
      <c r="T211" s="693"/>
      <c r="U211" s="692" t="s">
        <v>1903</v>
      </c>
      <c r="V211" s="692"/>
      <c r="W211" s="692">
        <v>2</v>
      </c>
      <c r="X211" s="692"/>
      <c r="Y211" s="692"/>
      <c r="Z211" s="692"/>
      <c r="AA211" s="692"/>
      <c r="AB211" s="692"/>
      <c r="AC211" s="692"/>
      <c r="AD211" s="692"/>
      <c r="AE211" s="725">
        <v>1</v>
      </c>
      <c r="AF211" s="957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>
        <f t="shared" si="43"/>
        <v>1</v>
      </c>
      <c r="AX211" s="692"/>
      <c r="AY211" s="692"/>
      <c r="AZ211" s="516">
        <f t="shared" si="44"/>
        <v>2</v>
      </c>
      <c r="BA211" s="516">
        <f t="shared" si="45"/>
        <v>0</v>
      </c>
      <c r="BB211" s="516"/>
      <c r="BC211" s="516"/>
      <c r="BD211" s="516">
        <f t="shared" si="46"/>
        <v>1</v>
      </c>
      <c r="BE211" s="516">
        <f t="shared" si="47"/>
        <v>0</v>
      </c>
      <c r="BF211" s="692"/>
      <c r="BG211" s="692"/>
      <c r="BH211" s="692"/>
      <c r="BI211" s="692"/>
      <c r="BJ211" s="692">
        <f t="shared" si="48"/>
        <v>5</v>
      </c>
      <c r="BK211" s="692"/>
      <c r="BL211" s="692"/>
      <c r="BM211" s="692"/>
      <c r="BN211" s="692"/>
      <c r="BO211" s="692"/>
      <c r="BP211" s="692"/>
      <c r="BQ211" s="692">
        <f t="shared" si="49"/>
        <v>1</v>
      </c>
      <c r="BR211" s="692"/>
      <c r="BS211" s="692">
        <f t="shared" si="50"/>
        <v>0</v>
      </c>
      <c r="BT211" s="692">
        <f t="shared" si="51"/>
        <v>2</v>
      </c>
      <c r="BU211" s="692"/>
      <c r="BV211" s="692"/>
      <c r="BW211" s="692"/>
      <c r="BX211" s="692"/>
      <c r="BY211" s="692"/>
      <c r="BZ211" s="692"/>
      <c r="CA211" s="692"/>
      <c r="CB211" s="692">
        <v>1</v>
      </c>
      <c r="CC211" s="692"/>
      <c r="CD211" s="692">
        <f t="shared" si="52"/>
        <v>4</v>
      </c>
      <c r="CE211" s="692"/>
      <c r="CF211" s="692"/>
      <c r="CG211" s="692"/>
      <c r="CH211" s="692"/>
      <c r="CI211" s="692"/>
      <c r="CJ211" s="692"/>
      <c r="CK211" s="692"/>
      <c r="CL211" s="692"/>
      <c r="CM211" s="692"/>
      <c r="CN211" s="692"/>
      <c r="CO211" s="692"/>
      <c r="CP211" s="692"/>
      <c r="CQ211" s="692"/>
      <c r="CR211" s="692"/>
      <c r="CS211" s="692"/>
      <c r="CT211" s="692"/>
      <c r="CU211" s="692"/>
      <c r="CV211" s="692"/>
      <c r="CW211" s="692"/>
      <c r="CX211" s="694"/>
      <c r="CY211" s="694"/>
      <c r="CZ211" s="694"/>
      <c r="DA211" s="694"/>
      <c r="DB211" s="694"/>
      <c r="DC211" s="694"/>
      <c r="DD211" s="694"/>
      <c r="DE211" s="694"/>
      <c r="DF211" s="694"/>
      <c r="DG211" s="695"/>
      <c r="DH211" s="695"/>
      <c r="DI211" s="695"/>
      <c r="DJ211" s="695"/>
      <c r="DK211" s="695"/>
      <c r="DL211" s="695"/>
      <c r="DM211" s="695"/>
      <c r="DN211" s="695"/>
      <c r="DO211" s="695"/>
      <c r="DP211" s="695"/>
      <c r="DQ211" s="695"/>
      <c r="DR211" s="695"/>
      <c r="DS211" s="694"/>
      <c r="DT211" s="694"/>
      <c r="DU211" s="694"/>
      <c r="DV211" s="694"/>
      <c r="DW211" s="694"/>
      <c r="DX211" s="694"/>
      <c r="DY211" s="694"/>
      <c r="DZ211" s="694"/>
      <c r="EA211" s="694"/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4"/>
      <c r="FH211" s="694"/>
      <c r="FI211" s="694"/>
      <c r="FJ211" s="694"/>
      <c r="FK211" s="694"/>
      <c r="FL211" s="694"/>
      <c r="FM211" s="694"/>
      <c r="FN211" s="694"/>
      <c r="FO211" s="694"/>
      <c r="FP211" s="694"/>
      <c r="FQ211" s="697"/>
    </row>
    <row r="212" spans="1:173" s="696" customFormat="1">
      <c r="A212" s="690"/>
      <c r="B212" s="690"/>
      <c r="C212" s="691" t="s">
        <v>3651</v>
      </c>
      <c r="D212" s="691"/>
      <c r="E212" s="640">
        <v>35</v>
      </c>
      <c r="F212" s="692"/>
      <c r="G212" s="692"/>
      <c r="H212" s="692"/>
      <c r="I212" s="692"/>
      <c r="J212" s="692"/>
      <c r="K212" s="692"/>
      <c r="L212" s="692"/>
      <c r="M212" s="692"/>
      <c r="N212" s="692"/>
      <c r="O212" s="692"/>
      <c r="P212" s="692">
        <f t="shared" si="42"/>
        <v>35</v>
      </c>
      <c r="Q212" s="692"/>
      <c r="R212" s="693"/>
      <c r="S212" s="693"/>
      <c r="T212" s="693"/>
      <c r="U212" s="692" t="s">
        <v>1903</v>
      </c>
      <c r="V212" s="692"/>
      <c r="W212" s="692">
        <v>2</v>
      </c>
      <c r="X212" s="692"/>
      <c r="Y212" s="692"/>
      <c r="Z212" s="692"/>
      <c r="AA212" s="692"/>
      <c r="AB212" s="692"/>
      <c r="AC212" s="692"/>
      <c r="AD212" s="692"/>
      <c r="AE212" s="725">
        <v>1</v>
      </c>
      <c r="AF212" s="957"/>
      <c r="AG212" s="692"/>
      <c r="AH212" s="692"/>
      <c r="AI212" s="692"/>
      <c r="AJ212" s="692"/>
      <c r="AK212" s="692"/>
      <c r="AL212" s="692"/>
      <c r="AM212" s="692"/>
      <c r="AN212" s="692"/>
      <c r="AO212" s="692"/>
      <c r="AP212" s="692"/>
      <c r="AQ212" s="692"/>
      <c r="AR212" s="692"/>
      <c r="AS212" s="692"/>
      <c r="AT212" s="692"/>
      <c r="AU212" s="692">
        <v>1</v>
      </c>
      <c r="AV212" s="692"/>
      <c r="AW212" s="692">
        <f t="shared" si="43"/>
        <v>1</v>
      </c>
      <c r="AX212" s="692"/>
      <c r="AY212" s="692"/>
      <c r="AZ212" s="516">
        <f t="shared" si="44"/>
        <v>2</v>
      </c>
      <c r="BA212" s="516">
        <f t="shared" si="45"/>
        <v>0</v>
      </c>
      <c r="BB212" s="516"/>
      <c r="BC212" s="516"/>
      <c r="BD212" s="516">
        <f t="shared" si="46"/>
        <v>1</v>
      </c>
      <c r="BE212" s="516">
        <f t="shared" si="47"/>
        <v>0</v>
      </c>
      <c r="BF212" s="692"/>
      <c r="BG212" s="692"/>
      <c r="BH212" s="692"/>
      <c r="BI212" s="692"/>
      <c r="BJ212" s="692">
        <f t="shared" si="48"/>
        <v>7</v>
      </c>
      <c r="BK212" s="692"/>
      <c r="BL212" s="692"/>
      <c r="BM212" s="692"/>
      <c r="BN212" s="692"/>
      <c r="BO212" s="692"/>
      <c r="BP212" s="692"/>
      <c r="BQ212" s="692">
        <f t="shared" si="49"/>
        <v>1</v>
      </c>
      <c r="BR212" s="692"/>
      <c r="BS212" s="692">
        <f t="shared" si="50"/>
        <v>0</v>
      </c>
      <c r="BT212" s="692">
        <f t="shared" si="51"/>
        <v>2</v>
      </c>
      <c r="BU212" s="692"/>
      <c r="BV212" s="692"/>
      <c r="BW212" s="692"/>
      <c r="BX212" s="692"/>
      <c r="BY212" s="692"/>
      <c r="BZ212" s="692"/>
      <c r="CA212" s="692"/>
      <c r="CB212" s="692">
        <v>1</v>
      </c>
      <c r="CC212" s="692"/>
      <c r="CD212" s="692">
        <f t="shared" si="52"/>
        <v>4</v>
      </c>
      <c r="CE212" s="692"/>
      <c r="CF212" s="692"/>
      <c r="CG212" s="692"/>
      <c r="CH212" s="692"/>
      <c r="CI212" s="692"/>
      <c r="CJ212" s="692"/>
      <c r="CK212" s="692"/>
      <c r="CL212" s="692"/>
      <c r="CM212" s="692"/>
      <c r="CN212" s="692"/>
      <c r="CO212" s="692"/>
      <c r="CP212" s="692"/>
      <c r="CQ212" s="692"/>
      <c r="CR212" s="692"/>
      <c r="CS212" s="692"/>
      <c r="CT212" s="692"/>
      <c r="CU212" s="692"/>
      <c r="CV212" s="692"/>
      <c r="CW212" s="692"/>
      <c r="CX212" s="694"/>
      <c r="CY212" s="694"/>
      <c r="CZ212" s="694"/>
      <c r="DA212" s="694"/>
      <c r="DB212" s="694"/>
      <c r="DC212" s="694"/>
      <c r="DD212" s="694"/>
      <c r="DE212" s="694"/>
      <c r="DF212" s="694"/>
      <c r="DG212" s="695"/>
      <c r="DH212" s="695"/>
      <c r="DI212" s="695"/>
      <c r="DJ212" s="695"/>
      <c r="DK212" s="695"/>
      <c r="DL212" s="695"/>
      <c r="DM212" s="695"/>
      <c r="DN212" s="695"/>
      <c r="DO212" s="695"/>
      <c r="DP212" s="695"/>
      <c r="DQ212" s="695"/>
      <c r="DR212" s="695"/>
      <c r="DS212" s="694"/>
      <c r="DT212" s="694"/>
      <c r="DU212" s="694"/>
      <c r="DV212" s="694"/>
      <c r="DW212" s="694"/>
      <c r="DX212" s="694"/>
      <c r="DY212" s="694"/>
      <c r="DZ212" s="694"/>
      <c r="EA212" s="694"/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4"/>
      <c r="FH212" s="694"/>
      <c r="FI212" s="694"/>
      <c r="FJ212" s="694"/>
      <c r="FK212" s="694"/>
      <c r="FL212" s="694"/>
      <c r="FM212" s="694"/>
      <c r="FN212" s="694"/>
      <c r="FO212" s="694"/>
      <c r="FP212" s="694"/>
      <c r="FQ212" s="697"/>
    </row>
    <row r="213" spans="1:173" s="696" customFormat="1">
      <c r="A213" s="690"/>
      <c r="B213" s="690"/>
      <c r="C213" s="691" t="s">
        <v>3652</v>
      </c>
      <c r="D213" s="691"/>
      <c r="E213" s="640">
        <v>35</v>
      </c>
      <c r="F213" s="692"/>
      <c r="G213" s="692"/>
      <c r="H213" s="692"/>
      <c r="I213" s="692"/>
      <c r="J213" s="692"/>
      <c r="K213" s="692"/>
      <c r="L213" s="692"/>
      <c r="M213" s="692"/>
      <c r="N213" s="692"/>
      <c r="O213" s="692"/>
      <c r="P213" s="692">
        <f t="shared" si="42"/>
        <v>35</v>
      </c>
      <c r="Q213" s="692"/>
      <c r="R213" s="693"/>
      <c r="S213" s="693"/>
      <c r="T213" s="693"/>
      <c r="U213" s="692" t="s">
        <v>2990</v>
      </c>
      <c r="V213" s="692"/>
      <c r="W213" s="692">
        <v>2</v>
      </c>
      <c r="X213" s="692"/>
      <c r="Y213" s="692"/>
      <c r="Z213" s="692"/>
      <c r="AA213" s="692"/>
      <c r="AB213" s="692"/>
      <c r="AC213" s="692"/>
      <c r="AD213" s="692"/>
      <c r="AE213" s="725">
        <v>1</v>
      </c>
      <c r="AF213" s="957"/>
      <c r="AG213" s="692"/>
      <c r="AH213" s="692"/>
      <c r="AI213" s="692"/>
      <c r="AJ213" s="692"/>
      <c r="AK213" s="692"/>
      <c r="AL213" s="692"/>
      <c r="AM213" s="692"/>
      <c r="AN213" s="692"/>
      <c r="AO213" s="692"/>
      <c r="AP213" s="692"/>
      <c r="AQ213" s="692"/>
      <c r="AR213" s="692"/>
      <c r="AS213" s="692"/>
      <c r="AT213" s="692"/>
      <c r="AU213" s="692"/>
      <c r="AV213" s="692"/>
      <c r="AW213" s="692">
        <f t="shared" si="43"/>
        <v>1</v>
      </c>
      <c r="AX213" s="692"/>
      <c r="AY213" s="692"/>
      <c r="AZ213" s="516">
        <f t="shared" si="44"/>
        <v>2</v>
      </c>
      <c r="BA213" s="516">
        <f t="shared" si="45"/>
        <v>0</v>
      </c>
      <c r="BB213" s="516"/>
      <c r="BC213" s="516"/>
      <c r="BD213" s="516">
        <f t="shared" si="46"/>
        <v>1</v>
      </c>
      <c r="BE213" s="516">
        <f t="shared" si="47"/>
        <v>0</v>
      </c>
      <c r="BF213" s="692"/>
      <c r="BG213" s="692"/>
      <c r="BH213" s="692"/>
      <c r="BI213" s="692"/>
      <c r="BJ213" s="692">
        <f t="shared" si="48"/>
        <v>5</v>
      </c>
      <c r="BK213" s="692"/>
      <c r="BL213" s="692"/>
      <c r="BM213" s="692"/>
      <c r="BN213" s="692"/>
      <c r="BO213" s="692"/>
      <c r="BP213" s="692"/>
      <c r="BQ213" s="692">
        <f t="shared" si="49"/>
        <v>0</v>
      </c>
      <c r="BR213" s="692"/>
      <c r="BS213" s="692">
        <f t="shared" si="50"/>
        <v>0</v>
      </c>
      <c r="BT213" s="692">
        <f t="shared" si="51"/>
        <v>0</v>
      </c>
      <c r="BU213" s="692"/>
      <c r="BV213" s="692"/>
      <c r="BW213" s="692"/>
      <c r="BX213" s="692"/>
      <c r="BY213" s="692">
        <v>1</v>
      </c>
      <c r="BZ213" s="692"/>
      <c r="CA213" s="692"/>
      <c r="CB213" s="692">
        <v>1</v>
      </c>
      <c r="CC213" s="692"/>
      <c r="CD213" s="692">
        <f t="shared" si="52"/>
        <v>4</v>
      </c>
      <c r="CE213" s="692"/>
      <c r="CF213" s="692"/>
      <c r="CG213" s="692"/>
      <c r="CH213" s="692"/>
      <c r="CI213" s="692"/>
      <c r="CJ213" s="692"/>
      <c r="CK213" s="692"/>
      <c r="CL213" s="692"/>
      <c r="CM213" s="692"/>
      <c r="CN213" s="692"/>
      <c r="CO213" s="692"/>
      <c r="CP213" s="692"/>
      <c r="CQ213" s="692"/>
      <c r="CR213" s="692"/>
      <c r="CS213" s="692"/>
      <c r="CT213" s="692"/>
      <c r="CU213" s="692"/>
      <c r="CV213" s="692"/>
      <c r="CW213" s="692"/>
      <c r="CX213" s="694"/>
      <c r="CY213" s="694"/>
      <c r="CZ213" s="694"/>
      <c r="DA213" s="694"/>
      <c r="DB213" s="694"/>
      <c r="DC213" s="694"/>
      <c r="DD213" s="694"/>
      <c r="DE213" s="694"/>
      <c r="DF213" s="694"/>
      <c r="DG213" s="695"/>
      <c r="DH213" s="695"/>
      <c r="DI213" s="695"/>
      <c r="DJ213" s="695"/>
      <c r="DK213" s="695"/>
      <c r="DL213" s="695"/>
      <c r="DM213" s="695"/>
      <c r="DN213" s="695"/>
      <c r="DO213" s="695"/>
      <c r="DP213" s="695"/>
      <c r="DQ213" s="695"/>
      <c r="DR213" s="695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4"/>
      <c r="FH213" s="694"/>
      <c r="FI213" s="694"/>
      <c r="FJ213" s="694"/>
      <c r="FK213" s="694"/>
      <c r="FL213" s="694"/>
      <c r="FM213" s="694"/>
      <c r="FN213" s="694"/>
      <c r="FO213" s="694"/>
      <c r="FP213" s="694"/>
      <c r="FQ213" s="697"/>
    </row>
    <row r="214" spans="1:173" s="696" customFormat="1">
      <c r="A214" s="690"/>
      <c r="B214" s="690"/>
      <c r="C214" s="691" t="s">
        <v>3653</v>
      </c>
      <c r="D214" s="691"/>
      <c r="E214" s="640">
        <v>35</v>
      </c>
      <c r="F214" s="692"/>
      <c r="G214" s="692"/>
      <c r="H214" s="692"/>
      <c r="I214" s="692"/>
      <c r="J214" s="692"/>
      <c r="K214" s="692"/>
      <c r="L214" s="692"/>
      <c r="M214" s="692"/>
      <c r="N214" s="692"/>
      <c r="O214" s="692"/>
      <c r="P214" s="692">
        <f t="shared" si="42"/>
        <v>35</v>
      </c>
      <c r="Q214" s="692"/>
      <c r="R214" s="693"/>
      <c r="S214" s="693"/>
      <c r="T214" s="693"/>
      <c r="U214" s="692" t="s">
        <v>2990</v>
      </c>
      <c r="V214" s="692"/>
      <c r="W214" s="692">
        <v>2</v>
      </c>
      <c r="X214" s="692"/>
      <c r="Y214" s="692"/>
      <c r="Z214" s="692"/>
      <c r="AA214" s="692"/>
      <c r="AB214" s="692"/>
      <c r="AC214" s="692"/>
      <c r="AD214" s="692"/>
      <c r="AE214" s="725">
        <v>1</v>
      </c>
      <c r="AF214" s="957"/>
      <c r="AG214" s="692"/>
      <c r="AH214" s="692"/>
      <c r="AI214" s="692"/>
      <c r="AJ214" s="692"/>
      <c r="AK214" s="692"/>
      <c r="AL214" s="692"/>
      <c r="AM214" s="692"/>
      <c r="AN214" s="692"/>
      <c r="AO214" s="692"/>
      <c r="AP214" s="692"/>
      <c r="AQ214" s="692"/>
      <c r="AR214" s="692"/>
      <c r="AS214" s="692"/>
      <c r="AT214" s="692"/>
      <c r="AU214" s="692">
        <v>1</v>
      </c>
      <c r="AV214" s="692"/>
      <c r="AW214" s="692">
        <f t="shared" si="43"/>
        <v>1</v>
      </c>
      <c r="AX214" s="692"/>
      <c r="AY214" s="692"/>
      <c r="AZ214" s="516">
        <f t="shared" si="44"/>
        <v>2</v>
      </c>
      <c r="BA214" s="516">
        <f t="shared" si="45"/>
        <v>0</v>
      </c>
      <c r="BB214" s="516"/>
      <c r="BC214" s="516"/>
      <c r="BD214" s="516">
        <f t="shared" si="46"/>
        <v>1</v>
      </c>
      <c r="BE214" s="516">
        <f t="shared" si="47"/>
        <v>0</v>
      </c>
      <c r="BF214" s="692"/>
      <c r="BG214" s="692"/>
      <c r="BH214" s="692"/>
      <c r="BI214" s="692"/>
      <c r="BJ214" s="692">
        <f t="shared" si="48"/>
        <v>7</v>
      </c>
      <c r="BK214" s="692"/>
      <c r="BL214" s="692"/>
      <c r="BM214" s="692"/>
      <c r="BN214" s="692"/>
      <c r="BO214" s="692"/>
      <c r="BP214" s="692"/>
      <c r="BQ214" s="692">
        <f t="shared" si="49"/>
        <v>0</v>
      </c>
      <c r="BR214" s="692"/>
      <c r="BS214" s="692">
        <f t="shared" si="50"/>
        <v>0</v>
      </c>
      <c r="BT214" s="692">
        <f t="shared" si="51"/>
        <v>0</v>
      </c>
      <c r="BU214" s="692"/>
      <c r="BV214" s="692"/>
      <c r="BW214" s="692"/>
      <c r="BX214" s="692"/>
      <c r="BY214" s="692">
        <v>1</v>
      </c>
      <c r="BZ214" s="692"/>
      <c r="CA214" s="692"/>
      <c r="CB214" s="692">
        <v>1</v>
      </c>
      <c r="CC214" s="692"/>
      <c r="CD214" s="692">
        <f t="shared" si="52"/>
        <v>4</v>
      </c>
      <c r="CE214" s="692"/>
      <c r="CF214" s="692"/>
      <c r="CG214" s="692"/>
      <c r="CH214" s="692"/>
      <c r="CI214" s="692"/>
      <c r="CJ214" s="692"/>
      <c r="CK214" s="692"/>
      <c r="CL214" s="692"/>
      <c r="CM214" s="692"/>
      <c r="CN214" s="692"/>
      <c r="CO214" s="692"/>
      <c r="CP214" s="692"/>
      <c r="CQ214" s="692"/>
      <c r="CR214" s="692"/>
      <c r="CS214" s="692"/>
      <c r="CT214" s="692"/>
      <c r="CU214" s="692"/>
      <c r="CV214" s="692"/>
      <c r="CW214" s="692"/>
      <c r="CX214" s="694"/>
      <c r="CY214" s="694"/>
      <c r="CZ214" s="694"/>
      <c r="DA214" s="694"/>
      <c r="DB214" s="694"/>
      <c r="DC214" s="694"/>
      <c r="DD214" s="694"/>
      <c r="DE214" s="694"/>
      <c r="DF214" s="694"/>
      <c r="DG214" s="695"/>
      <c r="DH214" s="695"/>
      <c r="DI214" s="695"/>
      <c r="DJ214" s="695"/>
      <c r="DK214" s="695"/>
      <c r="DL214" s="695"/>
      <c r="DM214" s="695"/>
      <c r="DN214" s="695"/>
      <c r="DO214" s="695"/>
      <c r="DP214" s="695"/>
      <c r="DQ214" s="695"/>
      <c r="DR214" s="695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4"/>
      <c r="FH214" s="694"/>
      <c r="FI214" s="694"/>
      <c r="FJ214" s="694"/>
      <c r="FK214" s="694"/>
      <c r="FL214" s="694"/>
      <c r="FM214" s="694"/>
      <c r="FN214" s="694"/>
      <c r="FO214" s="694"/>
      <c r="FP214" s="694"/>
      <c r="FQ214" s="697"/>
    </row>
    <row r="215" spans="1:173" s="696" customFormat="1">
      <c r="A215" s="690"/>
      <c r="B215" s="690"/>
      <c r="C215" s="691" t="s">
        <v>3654</v>
      </c>
      <c r="D215" s="691"/>
      <c r="E215" s="692">
        <v>21.7</v>
      </c>
      <c r="F215" s="692"/>
      <c r="G215" s="692"/>
      <c r="H215" s="692"/>
      <c r="I215" s="692"/>
      <c r="J215" s="692"/>
      <c r="K215" s="692"/>
      <c r="L215" s="692"/>
      <c r="M215" s="692"/>
      <c r="N215" s="692"/>
      <c r="O215" s="692">
        <f>E215</f>
        <v>21.7</v>
      </c>
      <c r="P215" s="692"/>
      <c r="Q215" s="692"/>
      <c r="R215" s="693"/>
      <c r="S215" s="693"/>
      <c r="T215" s="693"/>
      <c r="U215" s="692" t="s">
        <v>1631</v>
      </c>
      <c r="V215" s="692"/>
      <c r="W215" s="692">
        <v>1</v>
      </c>
      <c r="X215" s="692"/>
      <c r="Y215" s="692"/>
      <c r="Z215" s="692">
        <v>1</v>
      </c>
      <c r="AA215" s="692"/>
      <c r="AB215" s="692"/>
      <c r="AC215" s="692"/>
      <c r="AD215" s="692"/>
      <c r="AE215" s="725"/>
      <c r="AF215" s="957"/>
      <c r="AG215" s="692"/>
      <c r="AH215" s="692"/>
      <c r="AI215" s="692"/>
      <c r="AJ215" s="692"/>
      <c r="AK215" s="692"/>
      <c r="AL215" s="692"/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>
        <f t="shared" si="43"/>
        <v>1</v>
      </c>
      <c r="AX215" s="692"/>
      <c r="AY215" s="692"/>
      <c r="AZ215" s="516">
        <f t="shared" si="44"/>
        <v>2</v>
      </c>
      <c r="BA215" s="516">
        <f t="shared" si="45"/>
        <v>0</v>
      </c>
      <c r="BB215" s="516"/>
      <c r="BC215" s="516"/>
      <c r="BD215" s="516">
        <f t="shared" si="46"/>
        <v>1</v>
      </c>
      <c r="BE215" s="516">
        <f t="shared" si="47"/>
        <v>0</v>
      </c>
      <c r="BF215" s="692"/>
      <c r="BG215" s="692"/>
      <c r="BH215" s="692"/>
      <c r="BI215" s="692"/>
      <c r="BJ215" s="692">
        <f t="shared" si="48"/>
        <v>5</v>
      </c>
      <c r="BK215" s="692"/>
      <c r="BL215" s="692"/>
      <c r="BM215" s="692"/>
      <c r="BN215" s="692"/>
      <c r="BO215" s="692"/>
      <c r="BP215" s="692"/>
      <c r="BQ215" s="692">
        <f t="shared" si="49"/>
        <v>0</v>
      </c>
      <c r="BR215" s="692"/>
      <c r="BS215" s="692">
        <f t="shared" si="50"/>
        <v>1</v>
      </c>
      <c r="BT215" s="692">
        <f t="shared" si="51"/>
        <v>0</v>
      </c>
      <c r="BU215" s="692"/>
      <c r="BV215" s="692"/>
      <c r="BW215" s="692"/>
      <c r="BX215" s="692"/>
      <c r="BY215" s="692"/>
      <c r="BZ215" s="692"/>
      <c r="CA215" s="692"/>
      <c r="CB215" s="692">
        <v>1</v>
      </c>
      <c r="CC215" s="692"/>
      <c r="CD215" s="692">
        <f t="shared" si="52"/>
        <v>4</v>
      </c>
      <c r="CE215" s="692"/>
      <c r="CF215" s="692"/>
      <c r="CG215" s="692"/>
      <c r="CH215" s="692"/>
      <c r="CI215" s="692"/>
      <c r="CJ215" s="692"/>
      <c r="CK215" s="692"/>
      <c r="CL215" s="692"/>
      <c r="CM215" s="692"/>
      <c r="CN215" s="692"/>
      <c r="CO215" s="692"/>
      <c r="CP215" s="692"/>
      <c r="CQ215" s="692"/>
      <c r="CR215" s="692"/>
      <c r="CS215" s="692"/>
      <c r="CT215" s="692"/>
      <c r="CU215" s="692"/>
      <c r="CV215" s="692"/>
      <c r="CW215" s="692"/>
      <c r="CX215" s="694"/>
      <c r="CY215" s="694"/>
      <c r="CZ215" s="694"/>
      <c r="DA215" s="694"/>
      <c r="DB215" s="694"/>
      <c r="DC215" s="694"/>
      <c r="DD215" s="694"/>
      <c r="DE215" s="694"/>
      <c r="DF215" s="694"/>
      <c r="DG215" s="695"/>
      <c r="DH215" s="695"/>
      <c r="DI215" s="695"/>
      <c r="DJ215" s="695"/>
      <c r="DK215" s="695"/>
      <c r="DL215" s="695"/>
      <c r="DM215" s="695"/>
      <c r="DN215" s="695"/>
      <c r="DO215" s="695"/>
      <c r="DP215" s="695"/>
      <c r="DQ215" s="695"/>
      <c r="DR215" s="695"/>
      <c r="DS215" s="694"/>
      <c r="DT215" s="694"/>
      <c r="DU215" s="694"/>
      <c r="DV215" s="694"/>
      <c r="DW215" s="694"/>
      <c r="DX215" s="694"/>
      <c r="DY215" s="694"/>
      <c r="DZ215" s="694"/>
      <c r="EA215" s="694"/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4"/>
      <c r="FH215" s="694"/>
      <c r="FI215" s="694"/>
      <c r="FJ215" s="694"/>
      <c r="FK215" s="694"/>
      <c r="FL215" s="694"/>
      <c r="FM215" s="694"/>
      <c r="FN215" s="694"/>
      <c r="FO215" s="694"/>
      <c r="FP215" s="694"/>
      <c r="FQ215" s="697"/>
    </row>
    <row r="216" spans="1:173" s="696" customFormat="1">
      <c r="A216" s="690"/>
      <c r="B216" s="690"/>
      <c r="C216" s="691" t="s">
        <v>3655</v>
      </c>
      <c r="D216" s="691"/>
      <c r="E216" s="692">
        <v>30</v>
      </c>
      <c r="F216" s="692"/>
      <c r="G216" s="692"/>
      <c r="H216" s="692"/>
      <c r="I216" s="692"/>
      <c r="J216" s="692"/>
      <c r="K216" s="692"/>
      <c r="L216" s="692"/>
      <c r="M216" s="692"/>
      <c r="N216" s="692"/>
      <c r="O216" s="692">
        <f>E216</f>
        <v>30</v>
      </c>
      <c r="P216" s="692"/>
      <c r="Q216" s="692"/>
      <c r="R216" s="693"/>
      <c r="S216" s="693"/>
      <c r="T216" s="693"/>
      <c r="U216" s="692" t="s">
        <v>2990</v>
      </c>
      <c r="V216" s="692"/>
      <c r="W216" s="692"/>
      <c r="X216" s="692"/>
      <c r="Y216" s="692"/>
      <c r="Z216" s="692"/>
      <c r="AA216" s="692"/>
      <c r="AB216" s="692"/>
      <c r="AC216" s="692"/>
      <c r="AD216" s="692"/>
      <c r="AE216" s="725"/>
      <c r="AF216" s="957"/>
      <c r="AG216" s="692"/>
      <c r="AH216" s="692"/>
      <c r="AI216" s="692"/>
      <c r="AJ216" s="692"/>
      <c r="AK216" s="692"/>
      <c r="AL216" s="692"/>
      <c r="AM216" s="692"/>
      <c r="AN216" s="692"/>
      <c r="AO216" s="692"/>
      <c r="AP216" s="692"/>
      <c r="AQ216" s="692"/>
      <c r="AR216" s="692"/>
      <c r="AS216" s="692"/>
      <c r="AT216" s="692"/>
      <c r="AU216" s="692"/>
      <c r="AV216" s="692"/>
      <c r="AW216" s="692">
        <f t="shared" si="43"/>
        <v>1</v>
      </c>
      <c r="AX216" s="692"/>
      <c r="AY216" s="692"/>
      <c r="AZ216" s="516">
        <f t="shared" si="44"/>
        <v>2</v>
      </c>
      <c r="BA216" s="516">
        <f t="shared" si="45"/>
        <v>0</v>
      </c>
      <c r="BB216" s="516"/>
      <c r="BC216" s="516"/>
      <c r="BD216" s="516">
        <f t="shared" si="46"/>
        <v>1</v>
      </c>
      <c r="BE216" s="516">
        <f t="shared" si="47"/>
        <v>0</v>
      </c>
      <c r="BF216" s="692"/>
      <c r="BG216" s="692"/>
      <c r="BH216" s="692"/>
      <c r="BI216" s="692"/>
      <c r="BJ216" s="692">
        <f t="shared" si="48"/>
        <v>5</v>
      </c>
      <c r="BK216" s="692"/>
      <c r="BL216" s="692"/>
      <c r="BM216" s="692"/>
      <c r="BN216" s="692"/>
      <c r="BO216" s="692"/>
      <c r="BP216" s="692"/>
      <c r="BQ216" s="692">
        <f t="shared" si="49"/>
        <v>0</v>
      </c>
      <c r="BR216" s="692"/>
      <c r="BS216" s="692">
        <f t="shared" si="50"/>
        <v>0</v>
      </c>
      <c r="BT216" s="692">
        <f t="shared" si="51"/>
        <v>0</v>
      </c>
      <c r="BU216" s="692"/>
      <c r="BV216" s="692"/>
      <c r="BW216" s="692"/>
      <c r="BX216" s="692">
        <v>1</v>
      </c>
      <c r="BY216" s="692"/>
      <c r="BZ216" s="692"/>
      <c r="CA216" s="692"/>
      <c r="CB216" s="692">
        <v>1</v>
      </c>
      <c r="CC216" s="692"/>
      <c r="CD216" s="692">
        <f t="shared" si="52"/>
        <v>4</v>
      </c>
      <c r="CE216" s="692"/>
      <c r="CF216" s="692"/>
      <c r="CG216" s="692"/>
      <c r="CH216" s="692"/>
      <c r="CI216" s="692"/>
      <c r="CJ216" s="692"/>
      <c r="CK216" s="692"/>
      <c r="CL216" s="692"/>
      <c r="CM216" s="692"/>
      <c r="CN216" s="692"/>
      <c r="CO216" s="692"/>
      <c r="CP216" s="692"/>
      <c r="CQ216" s="692"/>
      <c r="CR216" s="692"/>
      <c r="CS216" s="692"/>
      <c r="CT216" s="692"/>
      <c r="CU216" s="692"/>
      <c r="CV216" s="692"/>
      <c r="CW216" s="692"/>
      <c r="CX216" s="694"/>
      <c r="CY216" s="694"/>
      <c r="CZ216" s="694"/>
      <c r="DA216" s="694"/>
      <c r="DB216" s="694"/>
      <c r="DC216" s="694"/>
      <c r="DD216" s="694"/>
      <c r="DE216" s="694"/>
      <c r="DF216" s="694"/>
      <c r="DG216" s="695"/>
      <c r="DH216" s="695"/>
      <c r="DI216" s="695"/>
      <c r="DJ216" s="695"/>
      <c r="DK216" s="695"/>
      <c r="DL216" s="695"/>
      <c r="DM216" s="695"/>
      <c r="DN216" s="695"/>
      <c r="DO216" s="695"/>
      <c r="DP216" s="695"/>
      <c r="DQ216" s="695"/>
      <c r="DR216" s="695"/>
      <c r="DS216" s="694"/>
      <c r="DT216" s="694"/>
      <c r="DU216" s="694"/>
      <c r="DV216" s="694"/>
      <c r="DW216" s="694"/>
      <c r="DX216" s="694"/>
      <c r="DY216" s="694"/>
      <c r="DZ216" s="694"/>
      <c r="EA216" s="694"/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4"/>
      <c r="FH216" s="694"/>
      <c r="FI216" s="694"/>
      <c r="FJ216" s="694"/>
      <c r="FK216" s="694"/>
      <c r="FL216" s="694"/>
      <c r="FM216" s="694"/>
      <c r="FN216" s="694"/>
      <c r="FO216" s="694"/>
      <c r="FP216" s="694"/>
      <c r="FQ216" s="697"/>
    </row>
    <row r="217" spans="1:173" s="696" customFormat="1">
      <c r="A217" s="690"/>
      <c r="B217" s="690"/>
      <c r="C217" s="691" t="s">
        <v>3656</v>
      </c>
      <c r="D217" s="691"/>
      <c r="E217" s="692">
        <v>33.299999999999997</v>
      </c>
      <c r="F217" s="692"/>
      <c r="G217" s="692"/>
      <c r="H217" s="692"/>
      <c r="I217" s="692"/>
      <c r="J217" s="692"/>
      <c r="K217" s="692"/>
      <c r="L217" s="692"/>
      <c r="M217" s="692"/>
      <c r="N217" s="692"/>
      <c r="O217" s="692">
        <f>E217</f>
        <v>33.299999999999997</v>
      </c>
      <c r="P217" s="692"/>
      <c r="Q217" s="692"/>
      <c r="R217" s="693"/>
      <c r="S217" s="693"/>
      <c r="T217" s="693"/>
      <c r="U217" s="692" t="s">
        <v>1631</v>
      </c>
      <c r="V217" s="692"/>
      <c r="W217" s="692"/>
      <c r="X217" s="692"/>
      <c r="Y217" s="692"/>
      <c r="Z217" s="692"/>
      <c r="AA217" s="692"/>
      <c r="AB217" s="692"/>
      <c r="AC217" s="692"/>
      <c r="AD217" s="692"/>
      <c r="AE217" s="725"/>
      <c r="AF217" s="957"/>
      <c r="AG217" s="692"/>
      <c r="AH217" s="692"/>
      <c r="AI217" s="692"/>
      <c r="AJ217" s="692"/>
      <c r="AK217" s="692"/>
      <c r="AL217" s="692"/>
      <c r="AM217" s="692"/>
      <c r="AN217" s="692"/>
      <c r="AO217" s="692"/>
      <c r="AP217" s="692"/>
      <c r="AQ217" s="692"/>
      <c r="AR217" s="692"/>
      <c r="AS217" s="692"/>
      <c r="AT217" s="692"/>
      <c r="AU217" s="692"/>
      <c r="AV217" s="692"/>
      <c r="AW217" s="692">
        <f t="shared" si="43"/>
        <v>1</v>
      </c>
      <c r="AX217" s="692"/>
      <c r="AY217" s="692"/>
      <c r="AZ217" s="516">
        <f t="shared" si="44"/>
        <v>2</v>
      </c>
      <c r="BA217" s="516">
        <f t="shared" si="45"/>
        <v>0</v>
      </c>
      <c r="BB217" s="516"/>
      <c r="BC217" s="516"/>
      <c r="BD217" s="516">
        <f t="shared" si="46"/>
        <v>1</v>
      </c>
      <c r="BE217" s="516">
        <f t="shared" si="47"/>
        <v>0</v>
      </c>
      <c r="BF217" s="692"/>
      <c r="BG217" s="692"/>
      <c r="BH217" s="692"/>
      <c r="BI217" s="692"/>
      <c r="BJ217" s="692">
        <f t="shared" si="48"/>
        <v>5</v>
      </c>
      <c r="BK217" s="692"/>
      <c r="BL217" s="692"/>
      <c r="BM217" s="692"/>
      <c r="BN217" s="692"/>
      <c r="BO217" s="692"/>
      <c r="BP217" s="692"/>
      <c r="BQ217" s="692">
        <f t="shared" si="49"/>
        <v>0</v>
      </c>
      <c r="BR217" s="692"/>
      <c r="BS217" s="692">
        <f t="shared" si="50"/>
        <v>1</v>
      </c>
      <c r="BT217" s="692">
        <f t="shared" si="51"/>
        <v>0</v>
      </c>
      <c r="BU217" s="692"/>
      <c r="BV217" s="692"/>
      <c r="BW217" s="692"/>
      <c r="BX217" s="692"/>
      <c r="BY217" s="692"/>
      <c r="BZ217" s="692"/>
      <c r="CA217" s="692"/>
      <c r="CB217" s="692">
        <v>1</v>
      </c>
      <c r="CC217" s="692"/>
      <c r="CD217" s="692">
        <f t="shared" si="52"/>
        <v>4</v>
      </c>
      <c r="CE217" s="692"/>
      <c r="CF217" s="692"/>
      <c r="CG217" s="692"/>
      <c r="CH217" s="692"/>
      <c r="CI217" s="692"/>
      <c r="CJ217" s="692"/>
      <c r="CK217" s="692"/>
      <c r="CL217" s="692"/>
      <c r="CM217" s="692"/>
      <c r="CN217" s="692"/>
      <c r="CO217" s="692"/>
      <c r="CP217" s="692"/>
      <c r="CQ217" s="692"/>
      <c r="CR217" s="692"/>
      <c r="CS217" s="692"/>
      <c r="CT217" s="692"/>
      <c r="CU217" s="692"/>
      <c r="CV217" s="692"/>
      <c r="CW217" s="692"/>
      <c r="CX217" s="694"/>
      <c r="CY217" s="694"/>
      <c r="CZ217" s="694"/>
      <c r="DA217" s="694"/>
      <c r="DB217" s="694"/>
      <c r="DC217" s="694"/>
      <c r="DD217" s="694"/>
      <c r="DE217" s="694"/>
      <c r="DF217" s="694"/>
      <c r="DG217" s="695"/>
      <c r="DH217" s="695"/>
      <c r="DI217" s="695"/>
      <c r="DJ217" s="695"/>
      <c r="DK217" s="695"/>
      <c r="DL217" s="695"/>
      <c r="DM217" s="695"/>
      <c r="DN217" s="695"/>
      <c r="DO217" s="695"/>
      <c r="DP217" s="695"/>
      <c r="DQ217" s="695"/>
      <c r="DR217" s="695"/>
      <c r="DS217" s="694"/>
      <c r="DT217" s="694"/>
      <c r="DU217" s="694"/>
      <c r="DV217" s="694"/>
      <c r="DW217" s="694"/>
      <c r="DX217" s="694"/>
      <c r="DY217" s="694"/>
      <c r="DZ217" s="694"/>
      <c r="EA217" s="694"/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4"/>
      <c r="FH217" s="694"/>
      <c r="FI217" s="694"/>
      <c r="FJ217" s="694"/>
      <c r="FK217" s="694"/>
      <c r="FL217" s="694"/>
      <c r="FM217" s="694"/>
      <c r="FN217" s="694"/>
      <c r="FO217" s="694"/>
      <c r="FP217" s="694"/>
      <c r="FQ217" s="697"/>
    </row>
    <row r="218" spans="1:173" s="696" customFormat="1">
      <c r="A218" s="690"/>
      <c r="B218" s="690"/>
      <c r="C218" s="691" t="s">
        <v>3719</v>
      </c>
      <c r="D218" s="691"/>
      <c r="E218" s="692">
        <v>27.3</v>
      </c>
      <c r="F218" s="692"/>
      <c r="G218" s="692"/>
      <c r="H218" s="692"/>
      <c r="I218" s="692"/>
      <c r="J218" s="692"/>
      <c r="K218" s="692"/>
      <c r="L218" s="692"/>
      <c r="M218" s="692"/>
      <c r="N218" s="692"/>
      <c r="O218" s="692">
        <f>E218</f>
        <v>27.3</v>
      </c>
      <c r="P218" s="692"/>
      <c r="Q218" s="692"/>
      <c r="R218" s="693"/>
      <c r="S218" s="693"/>
      <c r="T218" s="693"/>
      <c r="U218" s="692" t="s">
        <v>2990</v>
      </c>
      <c r="V218" s="692"/>
      <c r="W218" s="692">
        <v>2</v>
      </c>
      <c r="X218" s="692"/>
      <c r="Y218" s="692"/>
      <c r="Z218" s="692"/>
      <c r="AA218" s="692"/>
      <c r="AB218" s="692"/>
      <c r="AC218" s="692"/>
      <c r="AD218" s="692"/>
      <c r="AE218" s="725">
        <v>1</v>
      </c>
      <c r="AF218" s="957"/>
      <c r="AG218" s="692"/>
      <c r="AH218" s="692"/>
      <c r="AI218" s="692"/>
      <c r="AJ218" s="692"/>
      <c r="AK218" s="692"/>
      <c r="AL218" s="692"/>
      <c r="AM218" s="692"/>
      <c r="AN218" s="692"/>
      <c r="AO218" s="692"/>
      <c r="AP218" s="692"/>
      <c r="AQ218" s="692"/>
      <c r="AR218" s="692"/>
      <c r="AS218" s="692"/>
      <c r="AT218" s="692"/>
      <c r="AU218" s="692"/>
      <c r="AV218" s="692"/>
      <c r="AW218" s="692">
        <f t="shared" si="43"/>
        <v>1</v>
      </c>
      <c r="AX218" s="692"/>
      <c r="AY218" s="692"/>
      <c r="AZ218" s="516">
        <f t="shared" si="44"/>
        <v>2</v>
      </c>
      <c r="BA218" s="516">
        <f t="shared" si="45"/>
        <v>0</v>
      </c>
      <c r="BB218" s="516"/>
      <c r="BC218" s="516"/>
      <c r="BD218" s="516">
        <f t="shared" si="46"/>
        <v>1</v>
      </c>
      <c r="BE218" s="516">
        <f t="shared" si="47"/>
        <v>0</v>
      </c>
      <c r="BF218" s="692"/>
      <c r="BG218" s="692"/>
      <c r="BH218" s="692"/>
      <c r="BI218" s="692"/>
      <c r="BJ218" s="692">
        <f t="shared" si="48"/>
        <v>5</v>
      </c>
      <c r="BK218" s="692"/>
      <c r="BL218" s="692"/>
      <c r="BM218" s="692"/>
      <c r="BN218" s="692"/>
      <c r="BO218" s="692"/>
      <c r="BP218" s="692"/>
      <c r="BQ218" s="692">
        <f t="shared" si="49"/>
        <v>0</v>
      </c>
      <c r="BR218" s="692"/>
      <c r="BS218" s="692">
        <f t="shared" si="50"/>
        <v>0</v>
      </c>
      <c r="BT218" s="692">
        <f t="shared" si="51"/>
        <v>0</v>
      </c>
      <c r="BU218" s="692"/>
      <c r="BV218" s="692"/>
      <c r="BW218" s="692"/>
      <c r="BX218" s="692">
        <v>1</v>
      </c>
      <c r="BY218" s="692"/>
      <c r="BZ218" s="692"/>
      <c r="CA218" s="692"/>
      <c r="CB218" s="692">
        <v>1</v>
      </c>
      <c r="CC218" s="692"/>
      <c r="CD218" s="692">
        <f t="shared" si="52"/>
        <v>4</v>
      </c>
      <c r="CE218" s="692"/>
      <c r="CF218" s="692"/>
      <c r="CG218" s="692"/>
      <c r="CH218" s="692"/>
      <c r="CI218" s="692"/>
      <c r="CJ218" s="692"/>
      <c r="CK218" s="692"/>
      <c r="CL218" s="692"/>
      <c r="CM218" s="692"/>
      <c r="CN218" s="692"/>
      <c r="CO218" s="692"/>
      <c r="CP218" s="692"/>
      <c r="CQ218" s="692"/>
      <c r="CR218" s="692"/>
      <c r="CS218" s="692"/>
      <c r="CT218" s="692"/>
      <c r="CU218" s="692"/>
      <c r="CV218" s="692"/>
      <c r="CW218" s="692"/>
      <c r="CX218" s="694"/>
      <c r="CY218" s="694"/>
      <c r="CZ218" s="694"/>
      <c r="DA218" s="694"/>
      <c r="DB218" s="694"/>
      <c r="DC218" s="694"/>
      <c r="DD218" s="694"/>
      <c r="DE218" s="694"/>
      <c r="DF218" s="694"/>
      <c r="DG218" s="695"/>
      <c r="DH218" s="695"/>
      <c r="DI218" s="695"/>
      <c r="DJ218" s="695"/>
      <c r="DK218" s="695"/>
      <c r="DL218" s="695"/>
      <c r="DM218" s="695"/>
      <c r="DN218" s="695"/>
      <c r="DO218" s="695"/>
      <c r="DP218" s="695"/>
      <c r="DQ218" s="695"/>
      <c r="DR218" s="695"/>
      <c r="DS218" s="694"/>
      <c r="DT218" s="694"/>
      <c r="DU218" s="694"/>
      <c r="DV218" s="694"/>
      <c r="DW218" s="694"/>
      <c r="DX218" s="694"/>
      <c r="DY218" s="694"/>
      <c r="DZ218" s="694"/>
      <c r="EA218" s="694"/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4"/>
      <c r="FH218" s="694"/>
      <c r="FI218" s="694"/>
      <c r="FJ218" s="694"/>
      <c r="FK218" s="694"/>
      <c r="FL218" s="694"/>
      <c r="FM218" s="694"/>
      <c r="FN218" s="694"/>
      <c r="FO218" s="694"/>
      <c r="FP218" s="694"/>
      <c r="FQ218" s="697"/>
    </row>
    <row r="219" spans="1:173" s="696" customFormat="1">
      <c r="A219" s="690"/>
      <c r="B219" s="690"/>
      <c r="C219" s="691"/>
      <c r="D219" s="691"/>
      <c r="E219" s="692"/>
      <c r="F219" s="692"/>
      <c r="G219" s="692"/>
      <c r="H219" s="692"/>
      <c r="I219" s="692"/>
      <c r="J219" s="692"/>
      <c r="K219" s="692"/>
      <c r="L219" s="692"/>
      <c r="M219" s="692"/>
      <c r="N219" s="692"/>
      <c r="O219" s="692"/>
      <c r="P219" s="692">
        <f t="shared" si="42"/>
        <v>0</v>
      </c>
      <c r="Q219" s="692"/>
      <c r="R219" s="693"/>
      <c r="S219" s="693"/>
      <c r="T219" s="693"/>
      <c r="U219" s="692"/>
      <c r="V219" s="692"/>
      <c r="W219" s="692"/>
      <c r="X219" s="692"/>
      <c r="Y219" s="692"/>
      <c r="Z219" s="692"/>
      <c r="AA219" s="692"/>
      <c r="AB219" s="692"/>
      <c r="AC219" s="692"/>
      <c r="AD219" s="692"/>
      <c r="AE219" s="725"/>
      <c r="AF219" s="957"/>
      <c r="AG219" s="692"/>
      <c r="AH219" s="692"/>
      <c r="AI219" s="692"/>
      <c r="AJ219" s="692"/>
      <c r="AK219" s="692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>
        <f t="shared" si="43"/>
        <v>0</v>
      </c>
      <c r="AX219" s="692"/>
      <c r="AY219" s="692"/>
      <c r="AZ219" s="516"/>
      <c r="BA219" s="516"/>
      <c r="BB219" s="516"/>
      <c r="BC219" s="516"/>
      <c r="BD219" s="516"/>
      <c r="BE219" s="516"/>
      <c r="BF219" s="692"/>
      <c r="BG219" s="692"/>
      <c r="BH219" s="692"/>
      <c r="BI219" s="692"/>
      <c r="BJ219" s="692">
        <f t="shared" si="48"/>
        <v>0</v>
      </c>
      <c r="BK219" s="692"/>
      <c r="BL219" s="692"/>
      <c r="BM219" s="692"/>
      <c r="BN219" s="692"/>
      <c r="BO219" s="692"/>
      <c r="BP219" s="692"/>
      <c r="BQ219" s="692">
        <f t="shared" si="49"/>
        <v>0</v>
      </c>
      <c r="BR219" s="692"/>
      <c r="BS219" s="692">
        <f t="shared" si="50"/>
        <v>0</v>
      </c>
      <c r="BT219" s="692">
        <f t="shared" si="51"/>
        <v>0</v>
      </c>
      <c r="BU219" s="692"/>
      <c r="BV219" s="692"/>
      <c r="BW219" s="692"/>
      <c r="BX219" s="692"/>
      <c r="BY219" s="692"/>
      <c r="BZ219" s="692"/>
      <c r="CA219" s="692"/>
      <c r="CB219" s="692"/>
      <c r="CC219" s="692"/>
      <c r="CD219" s="692">
        <f t="shared" si="52"/>
        <v>0</v>
      </c>
      <c r="CE219" s="692"/>
      <c r="CF219" s="692"/>
      <c r="CG219" s="692"/>
      <c r="CH219" s="692"/>
      <c r="CI219" s="692"/>
      <c r="CJ219" s="692"/>
      <c r="CK219" s="692"/>
      <c r="CL219" s="692"/>
      <c r="CM219" s="692"/>
      <c r="CN219" s="692"/>
      <c r="CO219" s="692"/>
      <c r="CP219" s="692"/>
      <c r="CQ219" s="692"/>
      <c r="CR219" s="692"/>
      <c r="CS219" s="692"/>
      <c r="CT219" s="692"/>
      <c r="CU219" s="692"/>
      <c r="CV219" s="692"/>
      <c r="CW219" s="692"/>
      <c r="CX219" s="694"/>
      <c r="CY219" s="694"/>
      <c r="CZ219" s="694"/>
      <c r="DA219" s="694"/>
      <c r="DB219" s="694"/>
      <c r="DC219" s="694"/>
      <c r="DD219" s="694"/>
      <c r="DE219" s="694"/>
      <c r="DF219" s="694"/>
      <c r="DG219" s="695"/>
      <c r="DH219" s="695"/>
      <c r="DI219" s="695"/>
      <c r="DJ219" s="695"/>
      <c r="DK219" s="695"/>
      <c r="DL219" s="695"/>
      <c r="DM219" s="695"/>
      <c r="DN219" s="695"/>
      <c r="DO219" s="695"/>
      <c r="DP219" s="695"/>
      <c r="DQ219" s="695"/>
      <c r="DR219" s="695"/>
      <c r="DS219" s="694"/>
      <c r="DT219" s="694"/>
      <c r="DU219" s="694"/>
      <c r="DV219" s="694"/>
      <c r="DW219" s="694"/>
      <c r="DX219" s="694"/>
      <c r="DY219" s="694"/>
      <c r="DZ219" s="694"/>
      <c r="EA219" s="694"/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4"/>
      <c r="FH219" s="694"/>
      <c r="FI219" s="694"/>
      <c r="FJ219" s="694"/>
      <c r="FK219" s="694"/>
      <c r="FL219" s="694"/>
      <c r="FM219" s="694"/>
      <c r="FN219" s="694"/>
      <c r="FO219" s="694"/>
      <c r="FP219" s="694"/>
      <c r="FQ219" s="697"/>
    </row>
    <row r="220" spans="1:173" s="696" customFormat="1">
      <c r="A220" s="690"/>
      <c r="B220" s="690"/>
      <c r="C220" s="691"/>
      <c r="D220" s="699" t="s">
        <v>3695</v>
      </c>
      <c r="E220" s="692"/>
      <c r="F220" s="692"/>
      <c r="G220" s="692"/>
      <c r="H220" s="692"/>
      <c r="I220" s="692"/>
      <c r="J220" s="692"/>
      <c r="K220" s="692"/>
      <c r="L220" s="692"/>
      <c r="M220" s="692"/>
      <c r="N220" s="692"/>
      <c r="O220" s="692"/>
      <c r="P220" s="692">
        <f t="shared" ref="P220" si="55">E220</f>
        <v>0</v>
      </c>
      <c r="Q220" s="692"/>
      <c r="R220" s="693"/>
      <c r="S220" s="693"/>
      <c r="T220" s="693"/>
      <c r="U220" s="692"/>
      <c r="V220" s="692"/>
      <c r="W220" s="692"/>
      <c r="X220" s="692"/>
      <c r="Y220" s="692"/>
      <c r="Z220" s="692"/>
      <c r="AA220" s="692"/>
      <c r="AB220" s="692"/>
      <c r="AC220" s="692"/>
      <c r="AD220" s="692"/>
      <c r="AE220" s="725"/>
      <c r="AF220" s="957"/>
      <c r="AG220" s="692"/>
      <c r="AH220" s="692"/>
      <c r="AI220" s="692"/>
      <c r="AJ220" s="692"/>
      <c r="AK220" s="692"/>
      <c r="AL220" s="692"/>
      <c r="AM220" s="692"/>
      <c r="AN220" s="692"/>
      <c r="AO220" s="692"/>
      <c r="AP220" s="692"/>
      <c r="AQ220" s="692"/>
      <c r="AR220" s="692"/>
      <c r="AS220" s="692"/>
      <c r="AT220" s="692"/>
      <c r="AU220" s="692"/>
      <c r="AV220" s="692"/>
      <c r="AW220" s="692">
        <f t="shared" ref="AW220:AW225" si="56">CB220</f>
        <v>0</v>
      </c>
      <c r="AX220" s="692"/>
      <c r="AY220" s="692"/>
      <c r="AZ220" s="516"/>
      <c r="BA220" s="516"/>
      <c r="BB220" s="516"/>
      <c r="BC220" s="516"/>
      <c r="BD220" s="516"/>
      <c r="BE220" s="516"/>
      <c r="BF220" s="692"/>
      <c r="BG220" s="692"/>
      <c r="BH220" s="692"/>
      <c r="BI220" s="692"/>
      <c r="BJ220" s="692">
        <f t="shared" ref="BJ220" si="57">CB220*5+AU220*2</f>
        <v>0</v>
      </c>
      <c r="BK220" s="692"/>
      <c r="BL220" s="692"/>
      <c r="BM220" s="692"/>
      <c r="BN220" s="692"/>
      <c r="BO220" s="692"/>
      <c r="BP220" s="692"/>
      <c r="BQ220" s="692">
        <f t="shared" ref="BQ220:BQ226" si="58">IF(U220="G",1,)</f>
        <v>0</v>
      </c>
      <c r="BR220" s="692"/>
      <c r="BS220" s="692">
        <f t="shared" ref="BS220:BS226" si="59">IF(O220&lt;&gt;0,IF(U220="I",1,IF(U220="G",2,)),)</f>
        <v>0</v>
      </c>
      <c r="BT220" s="692">
        <f t="shared" ref="BT220:BT226" si="60">IF(P220&lt;&gt;0,IF(U220="I",1,IF(U220="G",2,)),)</f>
        <v>0</v>
      </c>
      <c r="BU220" s="692"/>
      <c r="BV220" s="692"/>
      <c r="BW220" s="692"/>
      <c r="BX220" s="692"/>
      <c r="BY220" s="692"/>
      <c r="BZ220" s="692"/>
      <c r="CA220" s="692"/>
      <c r="CB220" s="692"/>
      <c r="CC220" s="692"/>
      <c r="CD220" s="692">
        <f t="shared" ref="CD220:CD226" si="61">CB220*4</f>
        <v>0</v>
      </c>
      <c r="CE220" s="692"/>
      <c r="CF220" s="692"/>
      <c r="CG220" s="692"/>
      <c r="CH220" s="692"/>
      <c r="CI220" s="692"/>
      <c r="CJ220" s="692"/>
      <c r="CK220" s="692"/>
      <c r="CL220" s="692"/>
      <c r="CM220" s="692"/>
      <c r="CN220" s="692"/>
      <c r="CO220" s="692"/>
      <c r="CP220" s="692"/>
      <c r="CQ220" s="692"/>
      <c r="CR220" s="692"/>
      <c r="CS220" s="692"/>
      <c r="CT220" s="692"/>
      <c r="CU220" s="692"/>
      <c r="CV220" s="692"/>
      <c r="CW220" s="692"/>
      <c r="CX220" s="694"/>
      <c r="CY220" s="694"/>
      <c r="CZ220" s="694"/>
      <c r="DA220" s="694"/>
      <c r="DB220" s="694"/>
      <c r="DC220" s="694"/>
      <c r="DD220" s="694"/>
      <c r="DE220" s="694"/>
      <c r="DF220" s="694"/>
      <c r="DG220" s="695"/>
      <c r="DH220" s="695"/>
      <c r="DI220" s="695"/>
      <c r="DJ220" s="695"/>
      <c r="DK220" s="695"/>
      <c r="DL220" s="695"/>
      <c r="DM220" s="695"/>
      <c r="DN220" s="695"/>
      <c r="DO220" s="695"/>
      <c r="DP220" s="695"/>
      <c r="DQ220" s="695"/>
      <c r="DR220" s="695"/>
      <c r="DS220" s="694"/>
      <c r="DT220" s="694"/>
      <c r="DU220" s="694"/>
      <c r="DV220" s="694"/>
      <c r="DW220" s="694"/>
      <c r="DX220" s="694"/>
      <c r="DY220" s="694"/>
      <c r="DZ220" s="694"/>
      <c r="EA220" s="694"/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4"/>
      <c r="FH220" s="694"/>
      <c r="FI220" s="694"/>
      <c r="FJ220" s="694"/>
      <c r="FK220" s="694"/>
      <c r="FL220" s="694"/>
      <c r="FM220" s="694"/>
      <c r="FN220" s="694"/>
      <c r="FO220" s="694"/>
      <c r="FP220" s="694"/>
      <c r="FQ220" s="697"/>
    </row>
    <row r="221" spans="1:173" s="696" customFormat="1">
      <c r="A221" s="690"/>
      <c r="B221" s="690"/>
      <c r="C221" s="691" t="s">
        <v>3632</v>
      </c>
      <c r="D221" s="691"/>
      <c r="E221" s="692">
        <v>32.700000000000003</v>
      </c>
      <c r="F221" s="692"/>
      <c r="G221" s="692"/>
      <c r="H221" s="692"/>
      <c r="I221" s="692"/>
      <c r="J221" s="692"/>
      <c r="K221" s="692"/>
      <c r="L221" s="692"/>
      <c r="M221" s="692"/>
      <c r="N221" s="692"/>
      <c r="O221" s="692">
        <f>E221</f>
        <v>32.700000000000003</v>
      </c>
      <c r="P221" s="692"/>
      <c r="Q221" s="692"/>
      <c r="R221" s="693"/>
      <c r="S221" s="693"/>
      <c r="T221" s="693"/>
      <c r="U221" s="692" t="s">
        <v>2989</v>
      </c>
      <c r="V221" s="692"/>
      <c r="W221" s="692">
        <v>2</v>
      </c>
      <c r="X221" s="692"/>
      <c r="Y221" s="692"/>
      <c r="Z221" s="692"/>
      <c r="AA221" s="692"/>
      <c r="AB221" s="692"/>
      <c r="AC221" s="692"/>
      <c r="AD221" s="692"/>
      <c r="AE221" s="725">
        <v>1</v>
      </c>
      <c r="AF221" s="957"/>
      <c r="AG221" s="692"/>
      <c r="AH221" s="692"/>
      <c r="AI221" s="692"/>
      <c r="AJ221" s="692"/>
      <c r="AK221" s="692"/>
      <c r="AL221" s="692"/>
      <c r="AM221" s="692"/>
      <c r="AN221" s="692"/>
      <c r="AO221" s="692"/>
      <c r="AP221" s="692"/>
      <c r="AQ221" s="692"/>
      <c r="AR221" s="692"/>
      <c r="AS221" s="692"/>
      <c r="AT221" s="692"/>
      <c r="AU221" s="692">
        <v>1</v>
      </c>
      <c r="AV221" s="692"/>
      <c r="AW221" s="692">
        <f t="shared" si="56"/>
        <v>1</v>
      </c>
      <c r="AX221" s="692"/>
      <c r="AY221" s="692"/>
      <c r="AZ221" s="516">
        <f t="shared" ref="AZ221:AZ226" si="62">IF(C221&lt;&gt;0,AW221+CB221+CC221,)</f>
        <v>2</v>
      </c>
      <c r="BA221" s="516">
        <f t="shared" ref="BA221:BA226" si="63">IF(D221&lt;&gt;0,AW221+CB221+CC221,)</f>
        <v>0</v>
      </c>
      <c r="BB221" s="516"/>
      <c r="BC221" s="516"/>
      <c r="BD221" s="516"/>
      <c r="BE221" s="516">
        <f t="shared" ref="BE221:BE226" si="64">IF(D221&lt;&gt;0,IF(OR(LEN(U221)=1,LEN(U221)=2),1,VALUE(LEFT(U221,1))),)</f>
        <v>0</v>
      </c>
      <c r="BF221" s="692">
        <v>2</v>
      </c>
      <c r="BG221" s="692"/>
      <c r="BH221" s="692"/>
      <c r="BI221" s="692">
        <f t="shared" ref="BI221:BI226" si="65">CB221*5+AU221*2</f>
        <v>7</v>
      </c>
      <c r="BJ221" s="692"/>
      <c r="BK221" s="692"/>
      <c r="BL221" s="692"/>
      <c r="BM221" s="692"/>
      <c r="BN221" s="692"/>
      <c r="BO221" s="692"/>
      <c r="BP221" s="692"/>
      <c r="BQ221" s="692">
        <f t="shared" si="58"/>
        <v>0</v>
      </c>
      <c r="BR221" s="692"/>
      <c r="BS221" s="692">
        <f t="shared" si="59"/>
        <v>0</v>
      </c>
      <c r="BT221" s="692">
        <f t="shared" si="60"/>
        <v>0</v>
      </c>
      <c r="BU221" s="692"/>
      <c r="BV221" s="692"/>
      <c r="BW221" s="692"/>
      <c r="BX221" s="692">
        <v>2</v>
      </c>
      <c r="BY221" s="692"/>
      <c r="BZ221" s="692"/>
      <c r="CA221" s="692"/>
      <c r="CB221" s="692">
        <v>1</v>
      </c>
      <c r="CC221" s="692"/>
      <c r="CD221" s="692">
        <f t="shared" si="61"/>
        <v>4</v>
      </c>
      <c r="CE221" s="692"/>
      <c r="CF221" s="692"/>
      <c r="CG221" s="692"/>
      <c r="CH221" s="692"/>
      <c r="CI221" s="692"/>
      <c r="CJ221" s="692"/>
      <c r="CK221" s="692"/>
      <c r="CL221" s="692"/>
      <c r="CM221" s="692"/>
      <c r="CN221" s="692"/>
      <c r="CO221" s="692"/>
      <c r="CP221" s="692"/>
      <c r="CQ221" s="692"/>
      <c r="CR221" s="692"/>
      <c r="CS221" s="692"/>
      <c r="CT221" s="692"/>
      <c r="CU221" s="692"/>
      <c r="CV221" s="692"/>
      <c r="CW221" s="692"/>
      <c r="CX221" s="694"/>
      <c r="CY221" s="694"/>
      <c r="CZ221" s="694"/>
      <c r="DA221" s="694"/>
      <c r="DB221" s="694"/>
      <c r="DC221" s="694"/>
      <c r="DD221" s="694"/>
      <c r="DE221" s="694"/>
      <c r="DF221" s="694"/>
      <c r="DG221" s="695"/>
      <c r="DH221" s="695"/>
      <c r="DI221" s="695"/>
      <c r="DJ221" s="695"/>
      <c r="DK221" s="695"/>
      <c r="DL221" s="695"/>
      <c r="DM221" s="695"/>
      <c r="DN221" s="695"/>
      <c r="DO221" s="695"/>
      <c r="DP221" s="695"/>
      <c r="DQ221" s="695"/>
      <c r="DR221" s="695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4"/>
      <c r="FH221" s="694"/>
      <c r="FI221" s="694"/>
      <c r="FJ221" s="694"/>
      <c r="FK221" s="694"/>
      <c r="FL221" s="694"/>
      <c r="FM221" s="694"/>
      <c r="FN221" s="694"/>
      <c r="FO221" s="694"/>
      <c r="FP221" s="694"/>
      <c r="FQ221" s="697"/>
    </row>
    <row r="222" spans="1:173" s="696" customFormat="1">
      <c r="A222" s="690"/>
      <c r="B222" s="690"/>
      <c r="C222" s="691" t="s">
        <v>3633</v>
      </c>
      <c r="D222" s="691"/>
      <c r="E222" s="692">
        <v>32.200000000000003</v>
      </c>
      <c r="F222" s="692"/>
      <c r="G222" s="692"/>
      <c r="H222" s="692"/>
      <c r="I222" s="692"/>
      <c r="J222" s="692"/>
      <c r="K222" s="692"/>
      <c r="L222" s="692"/>
      <c r="M222" s="692"/>
      <c r="N222" s="692"/>
      <c r="O222" s="692">
        <f t="shared" ref="O222:O226" si="66">E222</f>
        <v>32.200000000000003</v>
      </c>
      <c r="P222" s="692"/>
      <c r="Q222" s="692"/>
      <c r="R222" s="693"/>
      <c r="S222" s="693"/>
      <c r="T222" s="693"/>
      <c r="U222" s="692" t="s">
        <v>1631</v>
      </c>
      <c r="V222" s="692"/>
      <c r="W222" s="692"/>
      <c r="X222" s="692"/>
      <c r="Y222" s="692"/>
      <c r="Z222" s="692"/>
      <c r="AA222" s="692"/>
      <c r="AB222" s="692"/>
      <c r="AC222" s="692"/>
      <c r="AD222" s="692"/>
      <c r="AE222" s="725"/>
      <c r="AF222" s="957"/>
      <c r="AG222" s="692"/>
      <c r="AH222" s="692"/>
      <c r="AI222" s="692"/>
      <c r="AJ222" s="692"/>
      <c r="AK222" s="692"/>
      <c r="AL222" s="692"/>
      <c r="AM222" s="692"/>
      <c r="AN222" s="692"/>
      <c r="AO222" s="692"/>
      <c r="AP222" s="692"/>
      <c r="AQ222" s="692"/>
      <c r="AR222" s="692"/>
      <c r="AS222" s="692"/>
      <c r="AT222" s="692"/>
      <c r="AU222" s="692"/>
      <c r="AV222" s="692"/>
      <c r="AW222" s="692">
        <f t="shared" si="56"/>
        <v>1</v>
      </c>
      <c r="AX222" s="692"/>
      <c r="AY222" s="692"/>
      <c r="AZ222" s="516">
        <f t="shared" si="62"/>
        <v>2</v>
      </c>
      <c r="BA222" s="516">
        <f t="shared" si="63"/>
        <v>0</v>
      </c>
      <c r="BB222" s="516"/>
      <c r="BC222" s="516"/>
      <c r="BD222" s="516">
        <f t="shared" ref="BD222:BD226" si="67">IF(C222&lt;&gt;0,IF(OR(LEN(U222)=1,LEN(U222)=2),1,VALUE(LEFT(U222,1))),)</f>
        <v>1</v>
      </c>
      <c r="BE222" s="516">
        <f t="shared" si="64"/>
        <v>0</v>
      </c>
      <c r="BF222" s="692"/>
      <c r="BG222" s="692"/>
      <c r="BH222" s="692"/>
      <c r="BI222" s="692">
        <f t="shared" si="65"/>
        <v>5</v>
      </c>
      <c r="BJ222" s="692"/>
      <c r="BK222" s="692"/>
      <c r="BL222" s="692"/>
      <c r="BM222" s="692"/>
      <c r="BN222" s="692"/>
      <c r="BO222" s="692"/>
      <c r="BP222" s="692"/>
      <c r="BQ222" s="692">
        <f t="shared" si="58"/>
        <v>0</v>
      </c>
      <c r="BR222" s="692"/>
      <c r="BS222" s="692">
        <f t="shared" si="59"/>
        <v>1</v>
      </c>
      <c r="BT222" s="692">
        <f t="shared" si="60"/>
        <v>0</v>
      </c>
      <c r="BU222" s="692"/>
      <c r="BV222" s="692"/>
      <c r="BW222" s="692"/>
      <c r="BX222" s="692"/>
      <c r="BY222" s="692"/>
      <c r="BZ222" s="692"/>
      <c r="CA222" s="692"/>
      <c r="CB222" s="692">
        <v>1</v>
      </c>
      <c r="CC222" s="692"/>
      <c r="CD222" s="692">
        <f t="shared" si="61"/>
        <v>4</v>
      </c>
      <c r="CE222" s="692"/>
      <c r="CF222" s="692"/>
      <c r="CG222" s="692"/>
      <c r="CH222" s="692"/>
      <c r="CI222" s="692"/>
      <c r="CJ222" s="692"/>
      <c r="CK222" s="692"/>
      <c r="CL222" s="692"/>
      <c r="CM222" s="692"/>
      <c r="CN222" s="692"/>
      <c r="CO222" s="692"/>
      <c r="CP222" s="692"/>
      <c r="CQ222" s="692"/>
      <c r="CR222" s="692"/>
      <c r="CS222" s="692"/>
      <c r="CT222" s="692"/>
      <c r="CU222" s="692"/>
      <c r="CV222" s="692"/>
      <c r="CW222" s="692"/>
      <c r="CX222" s="694"/>
      <c r="CY222" s="694"/>
      <c r="CZ222" s="694"/>
      <c r="DA222" s="694"/>
      <c r="DB222" s="694"/>
      <c r="DC222" s="694"/>
      <c r="DD222" s="694"/>
      <c r="DE222" s="694"/>
      <c r="DF222" s="694"/>
      <c r="DG222" s="695"/>
      <c r="DH222" s="695"/>
      <c r="DI222" s="695"/>
      <c r="DJ222" s="695"/>
      <c r="DK222" s="695"/>
      <c r="DL222" s="695"/>
      <c r="DM222" s="695"/>
      <c r="DN222" s="695"/>
      <c r="DO222" s="695"/>
      <c r="DP222" s="695"/>
      <c r="DQ222" s="695"/>
      <c r="DR222" s="695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4"/>
      <c r="FH222" s="694"/>
      <c r="FI222" s="694"/>
      <c r="FJ222" s="694"/>
      <c r="FK222" s="694"/>
      <c r="FL222" s="694"/>
      <c r="FM222" s="694"/>
      <c r="FN222" s="694"/>
      <c r="FO222" s="694"/>
      <c r="FP222" s="694"/>
      <c r="FQ222" s="697"/>
    </row>
    <row r="223" spans="1:173" s="696" customFormat="1">
      <c r="A223" s="690"/>
      <c r="B223" s="690"/>
      <c r="C223" s="691" t="s">
        <v>3634</v>
      </c>
      <c r="D223" s="691"/>
      <c r="E223" s="692">
        <v>28.7</v>
      </c>
      <c r="F223" s="692"/>
      <c r="G223" s="692"/>
      <c r="H223" s="692"/>
      <c r="I223" s="692"/>
      <c r="J223" s="692"/>
      <c r="K223" s="692"/>
      <c r="L223" s="692"/>
      <c r="M223" s="692"/>
      <c r="N223" s="692"/>
      <c r="O223" s="692">
        <f t="shared" si="66"/>
        <v>28.7</v>
      </c>
      <c r="P223" s="692"/>
      <c r="Q223" s="692"/>
      <c r="R223" s="693"/>
      <c r="S223" s="693"/>
      <c r="T223" s="693"/>
      <c r="U223" s="692" t="s">
        <v>1631</v>
      </c>
      <c r="V223" s="692"/>
      <c r="W223" s="692"/>
      <c r="X223" s="692"/>
      <c r="Y223" s="692"/>
      <c r="Z223" s="692"/>
      <c r="AA223" s="692"/>
      <c r="AB223" s="692"/>
      <c r="AC223" s="692"/>
      <c r="AD223" s="692"/>
      <c r="AE223" s="725"/>
      <c r="AF223" s="957"/>
      <c r="AG223" s="692"/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>
        <f t="shared" si="56"/>
        <v>1</v>
      </c>
      <c r="AX223" s="692"/>
      <c r="AY223" s="692"/>
      <c r="AZ223" s="516">
        <f t="shared" si="62"/>
        <v>2</v>
      </c>
      <c r="BA223" s="516">
        <f t="shared" si="63"/>
        <v>0</v>
      </c>
      <c r="BB223" s="516"/>
      <c r="BC223" s="516"/>
      <c r="BD223" s="516">
        <f t="shared" si="67"/>
        <v>1</v>
      </c>
      <c r="BE223" s="516">
        <f t="shared" si="64"/>
        <v>0</v>
      </c>
      <c r="BF223" s="692"/>
      <c r="BG223" s="692"/>
      <c r="BH223" s="692"/>
      <c r="BI223" s="692">
        <f t="shared" si="65"/>
        <v>5</v>
      </c>
      <c r="BJ223" s="692"/>
      <c r="BK223" s="692"/>
      <c r="BL223" s="692"/>
      <c r="BM223" s="692"/>
      <c r="BN223" s="692"/>
      <c r="BO223" s="692"/>
      <c r="BP223" s="692"/>
      <c r="BQ223" s="692">
        <f t="shared" si="58"/>
        <v>0</v>
      </c>
      <c r="BR223" s="692"/>
      <c r="BS223" s="692">
        <f t="shared" si="59"/>
        <v>1</v>
      </c>
      <c r="BT223" s="692">
        <f t="shared" si="60"/>
        <v>0</v>
      </c>
      <c r="BU223" s="692"/>
      <c r="BV223" s="692"/>
      <c r="BW223" s="692"/>
      <c r="BX223" s="692"/>
      <c r="BY223" s="692"/>
      <c r="BZ223" s="692"/>
      <c r="CA223" s="692"/>
      <c r="CB223" s="692">
        <v>1</v>
      </c>
      <c r="CC223" s="692"/>
      <c r="CD223" s="692">
        <f t="shared" si="61"/>
        <v>4</v>
      </c>
      <c r="CE223" s="692"/>
      <c r="CF223" s="692"/>
      <c r="CG223" s="692"/>
      <c r="CH223" s="692"/>
      <c r="CI223" s="692"/>
      <c r="CJ223" s="692"/>
      <c r="CK223" s="692"/>
      <c r="CL223" s="692"/>
      <c r="CM223" s="692"/>
      <c r="CN223" s="692"/>
      <c r="CO223" s="692"/>
      <c r="CP223" s="692"/>
      <c r="CQ223" s="692"/>
      <c r="CR223" s="692"/>
      <c r="CS223" s="692"/>
      <c r="CT223" s="692"/>
      <c r="CU223" s="692"/>
      <c r="CV223" s="692"/>
      <c r="CW223" s="692"/>
      <c r="CX223" s="694"/>
      <c r="CY223" s="694"/>
      <c r="CZ223" s="694"/>
      <c r="DA223" s="694"/>
      <c r="DB223" s="694"/>
      <c r="DC223" s="694"/>
      <c r="DD223" s="694"/>
      <c r="DE223" s="694"/>
      <c r="DF223" s="694"/>
      <c r="DG223" s="695"/>
      <c r="DH223" s="695"/>
      <c r="DI223" s="695"/>
      <c r="DJ223" s="695"/>
      <c r="DK223" s="695"/>
      <c r="DL223" s="695"/>
      <c r="DM223" s="695"/>
      <c r="DN223" s="695"/>
      <c r="DO223" s="695"/>
      <c r="DP223" s="695"/>
      <c r="DQ223" s="695"/>
      <c r="DR223" s="695"/>
      <c r="DS223" s="694"/>
      <c r="DT223" s="694"/>
      <c r="DU223" s="694"/>
      <c r="DV223" s="694"/>
      <c r="DW223" s="694"/>
      <c r="DX223" s="694"/>
      <c r="DY223" s="694"/>
      <c r="DZ223" s="694"/>
      <c r="EA223" s="694"/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4"/>
      <c r="FH223" s="694"/>
      <c r="FI223" s="694"/>
      <c r="FJ223" s="694"/>
      <c r="FK223" s="694"/>
      <c r="FL223" s="694"/>
      <c r="FM223" s="694"/>
      <c r="FN223" s="694"/>
      <c r="FO223" s="694"/>
      <c r="FP223" s="694"/>
      <c r="FQ223" s="697"/>
    </row>
    <row r="224" spans="1:173" s="696" customFormat="1">
      <c r="A224" s="690"/>
      <c r="B224" s="690"/>
      <c r="C224" s="691" t="s">
        <v>3635</v>
      </c>
      <c r="D224" s="691"/>
      <c r="E224" s="692">
        <v>31.5</v>
      </c>
      <c r="F224" s="692"/>
      <c r="G224" s="692"/>
      <c r="H224" s="692"/>
      <c r="I224" s="692"/>
      <c r="J224" s="692"/>
      <c r="K224" s="692"/>
      <c r="L224" s="692"/>
      <c r="M224" s="692"/>
      <c r="N224" s="692"/>
      <c r="O224" s="692">
        <f t="shared" si="66"/>
        <v>31.5</v>
      </c>
      <c r="P224" s="692"/>
      <c r="Q224" s="692"/>
      <c r="R224" s="693"/>
      <c r="S224" s="693"/>
      <c r="T224" s="693"/>
      <c r="U224" s="692" t="s">
        <v>1631</v>
      </c>
      <c r="V224" s="692"/>
      <c r="W224" s="692"/>
      <c r="X224" s="692"/>
      <c r="Y224" s="692"/>
      <c r="Z224" s="692"/>
      <c r="AA224" s="692"/>
      <c r="AB224" s="692"/>
      <c r="AC224" s="692"/>
      <c r="AD224" s="692"/>
      <c r="AE224" s="725"/>
      <c r="AF224" s="957"/>
      <c r="AG224" s="692"/>
      <c r="AH224" s="692"/>
      <c r="AI224" s="692"/>
      <c r="AJ224" s="692"/>
      <c r="AK224" s="692"/>
      <c r="AL224" s="692"/>
      <c r="AM224" s="692"/>
      <c r="AN224" s="692"/>
      <c r="AO224" s="692"/>
      <c r="AP224" s="692"/>
      <c r="AQ224" s="692"/>
      <c r="AR224" s="692"/>
      <c r="AS224" s="692"/>
      <c r="AT224" s="692"/>
      <c r="AU224" s="692"/>
      <c r="AV224" s="692"/>
      <c r="AW224" s="692">
        <f t="shared" si="56"/>
        <v>1</v>
      </c>
      <c r="AX224" s="692"/>
      <c r="AY224" s="692"/>
      <c r="AZ224" s="516">
        <f t="shared" si="62"/>
        <v>2</v>
      </c>
      <c r="BA224" s="516">
        <f t="shared" si="63"/>
        <v>0</v>
      </c>
      <c r="BB224" s="516"/>
      <c r="BC224" s="516"/>
      <c r="BD224" s="516">
        <f t="shared" si="67"/>
        <v>1</v>
      </c>
      <c r="BE224" s="516">
        <f t="shared" si="64"/>
        <v>0</v>
      </c>
      <c r="BF224" s="692"/>
      <c r="BG224" s="692"/>
      <c r="BH224" s="692"/>
      <c r="BI224" s="692">
        <f t="shared" si="65"/>
        <v>5</v>
      </c>
      <c r="BJ224" s="692"/>
      <c r="BK224" s="692"/>
      <c r="BL224" s="692"/>
      <c r="BM224" s="692"/>
      <c r="BN224" s="692"/>
      <c r="BO224" s="692"/>
      <c r="BP224" s="692"/>
      <c r="BQ224" s="692">
        <f t="shared" si="58"/>
        <v>0</v>
      </c>
      <c r="BR224" s="692"/>
      <c r="BS224" s="692">
        <f t="shared" si="59"/>
        <v>1</v>
      </c>
      <c r="BT224" s="692">
        <f t="shared" si="60"/>
        <v>0</v>
      </c>
      <c r="BU224" s="692"/>
      <c r="BV224" s="692"/>
      <c r="BW224" s="692"/>
      <c r="BX224" s="692"/>
      <c r="BY224" s="692"/>
      <c r="BZ224" s="692"/>
      <c r="CA224" s="692"/>
      <c r="CB224" s="692">
        <v>1</v>
      </c>
      <c r="CC224" s="692"/>
      <c r="CD224" s="692">
        <f t="shared" si="61"/>
        <v>4</v>
      </c>
      <c r="CE224" s="692"/>
      <c r="CF224" s="692"/>
      <c r="CG224" s="692"/>
      <c r="CH224" s="692"/>
      <c r="CI224" s="692"/>
      <c r="CJ224" s="692"/>
      <c r="CK224" s="692"/>
      <c r="CL224" s="692"/>
      <c r="CM224" s="692"/>
      <c r="CN224" s="692"/>
      <c r="CO224" s="692"/>
      <c r="CP224" s="692"/>
      <c r="CQ224" s="692"/>
      <c r="CR224" s="692"/>
      <c r="CS224" s="692"/>
      <c r="CT224" s="692"/>
      <c r="CU224" s="692"/>
      <c r="CV224" s="692"/>
      <c r="CW224" s="692"/>
      <c r="CX224" s="694"/>
      <c r="CY224" s="694"/>
      <c r="CZ224" s="694"/>
      <c r="DA224" s="694"/>
      <c r="DB224" s="694"/>
      <c r="DC224" s="694"/>
      <c r="DD224" s="694"/>
      <c r="DE224" s="694"/>
      <c r="DF224" s="694"/>
      <c r="DG224" s="695"/>
      <c r="DH224" s="695"/>
      <c r="DI224" s="695"/>
      <c r="DJ224" s="695"/>
      <c r="DK224" s="695"/>
      <c r="DL224" s="695"/>
      <c r="DM224" s="695"/>
      <c r="DN224" s="695"/>
      <c r="DO224" s="695"/>
      <c r="DP224" s="695"/>
      <c r="DQ224" s="695"/>
      <c r="DR224" s="695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4"/>
      <c r="FH224" s="694"/>
      <c r="FI224" s="694"/>
      <c r="FJ224" s="694"/>
      <c r="FK224" s="694"/>
      <c r="FL224" s="694"/>
      <c r="FM224" s="694"/>
      <c r="FN224" s="694"/>
      <c r="FO224" s="694"/>
      <c r="FP224" s="694"/>
      <c r="FQ224" s="697"/>
    </row>
    <row r="225" spans="1:173" s="696" customFormat="1">
      <c r="A225" s="690"/>
      <c r="B225" s="690"/>
      <c r="C225" s="691" t="s">
        <v>3636</v>
      </c>
      <c r="D225" s="691"/>
      <c r="E225" s="692">
        <v>27</v>
      </c>
      <c r="F225" s="692"/>
      <c r="G225" s="692"/>
      <c r="H225" s="692"/>
      <c r="I225" s="692"/>
      <c r="J225" s="692"/>
      <c r="K225" s="692"/>
      <c r="L225" s="692"/>
      <c r="M225" s="692"/>
      <c r="N225" s="692"/>
      <c r="O225" s="692">
        <f t="shared" si="66"/>
        <v>27</v>
      </c>
      <c r="P225" s="692"/>
      <c r="Q225" s="692"/>
      <c r="R225" s="693"/>
      <c r="S225" s="693"/>
      <c r="T225" s="693"/>
      <c r="U225" s="692" t="s">
        <v>1631</v>
      </c>
      <c r="V225" s="692"/>
      <c r="W225" s="692">
        <v>1</v>
      </c>
      <c r="X225" s="692"/>
      <c r="Y225" s="692"/>
      <c r="Z225" s="692">
        <v>1</v>
      </c>
      <c r="AA225" s="692"/>
      <c r="AB225" s="692"/>
      <c r="AC225" s="692"/>
      <c r="AD225" s="692"/>
      <c r="AE225" s="725"/>
      <c r="AF225" s="957"/>
      <c r="AG225" s="692"/>
      <c r="AH225" s="692"/>
      <c r="AI225" s="692"/>
      <c r="AJ225" s="692"/>
      <c r="AK225" s="692"/>
      <c r="AL225" s="692"/>
      <c r="AM225" s="692"/>
      <c r="AN225" s="692"/>
      <c r="AO225" s="692"/>
      <c r="AP225" s="692"/>
      <c r="AQ225" s="692"/>
      <c r="AR225" s="692"/>
      <c r="AS225" s="692"/>
      <c r="AT225" s="692"/>
      <c r="AU225" s="692">
        <v>1</v>
      </c>
      <c r="AV225" s="692"/>
      <c r="AW225" s="692">
        <f t="shared" si="56"/>
        <v>1</v>
      </c>
      <c r="AX225" s="692"/>
      <c r="AY225" s="692"/>
      <c r="AZ225" s="516">
        <f t="shared" si="62"/>
        <v>2</v>
      </c>
      <c r="BA225" s="516">
        <f t="shared" si="63"/>
        <v>0</v>
      </c>
      <c r="BB225" s="516"/>
      <c r="BC225" s="516"/>
      <c r="BD225" s="516">
        <f t="shared" si="67"/>
        <v>1</v>
      </c>
      <c r="BE225" s="516">
        <f t="shared" si="64"/>
        <v>0</v>
      </c>
      <c r="BF225" s="692"/>
      <c r="BG225" s="692"/>
      <c r="BH225" s="692"/>
      <c r="BI225" s="692">
        <f t="shared" si="65"/>
        <v>7</v>
      </c>
      <c r="BJ225" s="692"/>
      <c r="BK225" s="692"/>
      <c r="BL225" s="692"/>
      <c r="BM225" s="692"/>
      <c r="BN225" s="692"/>
      <c r="BO225" s="692"/>
      <c r="BP225" s="692"/>
      <c r="BQ225" s="692">
        <f t="shared" si="58"/>
        <v>0</v>
      </c>
      <c r="BR225" s="692"/>
      <c r="BS225" s="692">
        <f t="shared" si="59"/>
        <v>1</v>
      </c>
      <c r="BT225" s="692">
        <f t="shared" si="60"/>
        <v>0</v>
      </c>
      <c r="BU225" s="692"/>
      <c r="BV225" s="692"/>
      <c r="BW225" s="692"/>
      <c r="BX225" s="692"/>
      <c r="BY225" s="692"/>
      <c r="BZ225" s="692"/>
      <c r="CA225" s="692"/>
      <c r="CB225" s="692">
        <v>1</v>
      </c>
      <c r="CC225" s="692"/>
      <c r="CD225" s="692">
        <f t="shared" si="61"/>
        <v>4</v>
      </c>
      <c r="CE225" s="692"/>
      <c r="CF225" s="692"/>
      <c r="CG225" s="692"/>
      <c r="CH225" s="692"/>
      <c r="CI225" s="692"/>
      <c r="CJ225" s="692"/>
      <c r="CK225" s="692"/>
      <c r="CL225" s="692"/>
      <c r="CM225" s="692"/>
      <c r="CN225" s="692"/>
      <c r="CO225" s="692"/>
      <c r="CP225" s="692"/>
      <c r="CQ225" s="692"/>
      <c r="CR225" s="692"/>
      <c r="CS225" s="692"/>
      <c r="CT225" s="692"/>
      <c r="CU225" s="692"/>
      <c r="CV225" s="692"/>
      <c r="CW225" s="692"/>
      <c r="CX225" s="694"/>
      <c r="CY225" s="694"/>
      <c r="CZ225" s="694"/>
      <c r="DA225" s="694"/>
      <c r="DB225" s="694"/>
      <c r="DC225" s="694"/>
      <c r="DD225" s="694"/>
      <c r="DE225" s="694"/>
      <c r="DF225" s="694"/>
      <c r="DG225" s="695"/>
      <c r="DH225" s="695"/>
      <c r="DI225" s="695"/>
      <c r="DJ225" s="695"/>
      <c r="DK225" s="695"/>
      <c r="DL225" s="695"/>
      <c r="DM225" s="695"/>
      <c r="DN225" s="695"/>
      <c r="DO225" s="695"/>
      <c r="DP225" s="695"/>
      <c r="DQ225" s="695"/>
      <c r="DR225" s="695"/>
      <c r="DS225" s="694"/>
      <c r="DT225" s="694"/>
      <c r="DU225" s="694"/>
      <c r="DV225" s="694"/>
      <c r="DW225" s="694"/>
      <c r="DX225" s="694"/>
      <c r="DY225" s="694"/>
      <c r="DZ225" s="694"/>
      <c r="EA225" s="694"/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4"/>
      <c r="FH225" s="694"/>
      <c r="FI225" s="694"/>
      <c r="FJ225" s="694"/>
      <c r="FK225" s="694"/>
      <c r="FL225" s="694"/>
      <c r="FM225" s="694"/>
      <c r="FN225" s="694"/>
      <c r="FO225" s="694"/>
      <c r="FP225" s="694"/>
      <c r="FQ225" s="697"/>
    </row>
    <row r="226" spans="1:173" s="696" customFormat="1">
      <c r="A226" s="690"/>
      <c r="B226" s="690"/>
      <c r="C226" s="691" t="s">
        <v>3637</v>
      </c>
      <c r="D226" s="691"/>
      <c r="E226" s="692">
        <v>28.9</v>
      </c>
      <c r="F226" s="692"/>
      <c r="G226" s="692"/>
      <c r="H226" s="692"/>
      <c r="I226" s="692"/>
      <c r="J226" s="692"/>
      <c r="K226" s="692"/>
      <c r="L226" s="692"/>
      <c r="M226" s="692"/>
      <c r="N226" s="692"/>
      <c r="O226" s="692">
        <f t="shared" si="66"/>
        <v>28.9</v>
      </c>
      <c r="P226" s="692"/>
      <c r="Q226" s="692"/>
      <c r="R226" s="693"/>
      <c r="S226" s="693"/>
      <c r="T226" s="693"/>
      <c r="U226" s="692" t="s">
        <v>2990</v>
      </c>
      <c r="V226" s="692"/>
      <c r="W226" s="692"/>
      <c r="X226" s="692"/>
      <c r="Y226" s="692"/>
      <c r="Z226" s="692"/>
      <c r="AA226" s="692"/>
      <c r="AB226" s="692"/>
      <c r="AC226" s="692"/>
      <c r="AD226" s="692"/>
      <c r="AE226" s="725"/>
      <c r="AF226" s="957"/>
      <c r="AG226" s="692"/>
      <c r="AH226" s="692"/>
      <c r="AI226" s="692"/>
      <c r="AJ226" s="692"/>
      <c r="AK226" s="692"/>
      <c r="AL226" s="692"/>
      <c r="AM226" s="692"/>
      <c r="AN226" s="692"/>
      <c r="AO226" s="692"/>
      <c r="AP226" s="692"/>
      <c r="AQ226" s="692"/>
      <c r="AR226" s="692"/>
      <c r="AS226" s="692"/>
      <c r="AT226" s="692"/>
      <c r="AU226" s="692"/>
      <c r="AV226" s="692"/>
      <c r="AW226" s="692"/>
      <c r="AX226" s="692"/>
      <c r="AY226" s="692"/>
      <c r="AZ226" s="516">
        <f t="shared" si="62"/>
        <v>1</v>
      </c>
      <c r="BA226" s="516">
        <f t="shared" si="63"/>
        <v>0</v>
      </c>
      <c r="BB226" s="516"/>
      <c r="BC226" s="516"/>
      <c r="BD226" s="516">
        <f t="shared" si="67"/>
        <v>1</v>
      </c>
      <c r="BE226" s="516">
        <f t="shared" si="64"/>
        <v>0</v>
      </c>
      <c r="BF226" s="692"/>
      <c r="BG226" s="692"/>
      <c r="BH226" s="692"/>
      <c r="BI226" s="692">
        <f t="shared" si="65"/>
        <v>5</v>
      </c>
      <c r="BJ226" s="692"/>
      <c r="BK226" s="692"/>
      <c r="BL226" s="692"/>
      <c r="BM226" s="692"/>
      <c r="BN226" s="692"/>
      <c r="BO226" s="692"/>
      <c r="BP226" s="692"/>
      <c r="BQ226" s="692">
        <f t="shared" si="58"/>
        <v>0</v>
      </c>
      <c r="BR226" s="692"/>
      <c r="BS226" s="692">
        <f t="shared" si="59"/>
        <v>0</v>
      </c>
      <c r="BT226" s="692">
        <f t="shared" si="60"/>
        <v>0</v>
      </c>
      <c r="BU226" s="692"/>
      <c r="BV226" s="692"/>
      <c r="BW226" s="692"/>
      <c r="BX226" s="692">
        <v>1</v>
      </c>
      <c r="BY226" s="692"/>
      <c r="BZ226" s="692"/>
      <c r="CA226" s="692"/>
      <c r="CB226" s="692">
        <v>1</v>
      </c>
      <c r="CC226" s="692"/>
      <c r="CD226" s="692">
        <f t="shared" si="61"/>
        <v>4</v>
      </c>
      <c r="CE226" s="692"/>
      <c r="CF226" s="692"/>
      <c r="CG226" s="692"/>
      <c r="CH226" s="692"/>
      <c r="CI226" s="692"/>
      <c r="CJ226" s="692"/>
      <c r="CK226" s="692"/>
      <c r="CL226" s="692"/>
      <c r="CM226" s="692"/>
      <c r="CN226" s="692"/>
      <c r="CO226" s="692"/>
      <c r="CP226" s="692"/>
      <c r="CQ226" s="692"/>
      <c r="CR226" s="692"/>
      <c r="CS226" s="692"/>
      <c r="CT226" s="692"/>
      <c r="CU226" s="692"/>
      <c r="CV226" s="692"/>
      <c r="CW226" s="692"/>
      <c r="CX226" s="694"/>
      <c r="CY226" s="694"/>
      <c r="CZ226" s="694"/>
      <c r="DA226" s="694"/>
      <c r="DB226" s="694"/>
      <c r="DC226" s="694"/>
      <c r="DD226" s="694"/>
      <c r="DE226" s="694"/>
      <c r="DF226" s="694"/>
      <c r="DG226" s="695"/>
      <c r="DH226" s="695"/>
      <c r="DI226" s="695"/>
      <c r="DJ226" s="695"/>
      <c r="DK226" s="695"/>
      <c r="DL226" s="695"/>
      <c r="DM226" s="695"/>
      <c r="DN226" s="695"/>
      <c r="DO226" s="695"/>
      <c r="DP226" s="695"/>
      <c r="DQ226" s="695"/>
      <c r="DR226" s="695"/>
      <c r="DS226" s="694"/>
      <c r="DT226" s="694"/>
      <c r="DU226" s="694"/>
      <c r="DV226" s="694"/>
      <c r="DW226" s="694"/>
      <c r="DX226" s="694"/>
      <c r="DY226" s="694"/>
      <c r="DZ226" s="694"/>
      <c r="EA226" s="694"/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4"/>
      <c r="FH226" s="694"/>
      <c r="FI226" s="694"/>
      <c r="FJ226" s="694"/>
      <c r="FK226" s="694"/>
      <c r="FL226" s="694"/>
      <c r="FM226" s="694"/>
      <c r="FN226" s="694"/>
      <c r="FO226" s="694"/>
      <c r="FP226" s="694"/>
      <c r="FQ226" s="697"/>
    </row>
    <row r="227" spans="1:173" s="696" customFormat="1">
      <c r="A227" s="690"/>
      <c r="B227" s="690"/>
      <c r="C227" s="691"/>
      <c r="D227" s="691"/>
      <c r="E227" s="692"/>
      <c r="F227" s="692"/>
      <c r="G227" s="692"/>
      <c r="H227" s="692"/>
      <c r="I227" s="692"/>
      <c r="J227" s="692"/>
      <c r="K227" s="692"/>
      <c r="L227" s="692"/>
      <c r="M227" s="692"/>
      <c r="N227" s="692"/>
      <c r="O227" s="692"/>
      <c r="P227" s="692"/>
      <c r="Q227" s="692"/>
      <c r="R227" s="693"/>
      <c r="S227" s="693"/>
      <c r="T227" s="693"/>
      <c r="U227" s="692"/>
      <c r="V227" s="692"/>
      <c r="W227" s="692"/>
      <c r="X227" s="692"/>
      <c r="Y227" s="692"/>
      <c r="Z227" s="692"/>
      <c r="AA227" s="692"/>
      <c r="AB227" s="692"/>
      <c r="AC227" s="692"/>
      <c r="AD227" s="692"/>
      <c r="AE227" s="725"/>
      <c r="AF227" s="957"/>
      <c r="AG227" s="692"/>
      <c r="AH227" s="692"/>
      <c r="AI227" s="692"/>
      <c r="AJ227" s="692"/>
      <c r="AK227" s="692"/>
      <c r="AL227" s="692"/>
      <c r="AM227" s="692"/>
      <c r="AN227" s="692"/>
      <c r="AO227" s="692"/>
      <c r="AP227" s="692"/>
      <c r="AQ227" s="692"/>
      <c r="AR227" s="692"/>
      <c r="AS227" s="692"/>
      <c r="AT227" s="692"/>
      <c r="AU227" s="692"/>
      <c r="AV227" s="692"/>
      <c r="AW227" s="692"/>
      <c r="AX227" s="692"/>
      <c r="AY227" s="692"/>
      <c r="AZ227" s="516"/>
      <c r="BA227" s="516"/>
      <c r="BB227" s="516"/>
      <c r="BC227" s="516"/>
      <c r="BD227" s="516"/>
      <c r="BE227" s="516"/>
      <c r="BF227" s="692"/>
      <c r="BG227" s="692"/>
      <c r="BH227" s="692"/>
      <c r="BI227" s="692"/>
      <c r="BJ227" s="692"/>
      <c r="BK227" s="692"/>
      <c r="BL227" s="692"/>
      <c r="BM227" s="692"/>
      <c r="BN227" s="692"/>
      <c r="BO227" s="692"/>
      <c r="BP227" s="692"/>
      <c r="BQ227" s="692"/>
      <c r="BR227" s="692"/>
      <c r="BS227" s="692"/>
      <c r="BT227" s="692"/>
      <c r="BU227" s="692"/>
      <c r="BV227" s="692"/>
      <c r="BW227" s="692"/>
      <c r="BX227" s="692"/>
      <c r="BY227" s="692"/>
      <c r="BZ227" s="692"/>
      <c r="CA227" s="692"/>
      <c r="CB227" s="692"/>
      <c r="CC227" s="692"/>
      <c r="CD227" s="692"/>
      <c r="CE227" s="692"/>
      <c r="CF227" s="692"/>
      <c r="CG227" s="692"/>
      <c r="CH227" s="692"/>
      <c r="CI227" s="692"/>
      <c r="CJ227" s="692"/>
      <c r="CK227" s="692"/>
      <c r="CL227" s="692"/>
      <c r="CM227" s="692"/>
      <c r="CN227" s="692"/>
      <c r="CO227" s="692"/>
      <c r="CP227" s="692"/>
      <c r="CQ227" s="692"/>
      <c r="CR227" s="692"/>
      <c r="CS227" s="692"/>
      <c r="CT227" s="692"/>
      <c r="CU227" s="692"/>
      <c r="CV227" s="692"/>
      <c r="CW227" s="692"/>
      <c r="CX227" s="694"/>
      <c r="CY227" s="694"/>
      <c r="CZ227" s="694"/>
      <c r="DA227" s="694"/>
      <c r="DB227" s="694"/>
      <c r="DC227" s="694"/>
      <c r="DD227" s="694"/>
      <c r="DE227" s="694"/>
      <c r="DF227" s="694"/>
      <c r="DG227" s="695"/>
      <c r="DH227" s="695"/>
      <c r="DI227" s="695"/>
      <c r="DJ227" s="695"/>
      <c r="DK227" s="695"/>
      <c r="DL227" s="695"/>
      <c r="DM227" s="695"/>
      <c r="DN227" s="695"/>
      <c r="DO227" s="695"/>
      <c r="DP227" s="695"/>
      <c r="DQ227" s="695"/>
      <c r="DR227" s="695"/>
      <c r="DS227" s="694"/>
      <c r="DT227" s="694"/>
      <c r="DU227" s="694"/>
      <c r="DV227" s="694"/>
      <c r="DW227" s="694"/>
      <c r="DX227" s="694"/>
      <c r="DY227" s="694"/>
      <c r="DZ227" s="694"/>
      <c r="EA227" s="694"/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4"/>
      <c r="FH227" s="694"/>
      <c r="FI227" s="694"/>
      <c r="FJ227" s="694"/>
      <c r="FK227" s="694"/>
      <c r="FL227" s="694"/>
      <c r="FM227" s="694"/>
      <c r="FN227" s="694"/>
      <c r="FO227" s="694"/>
      <c r="FP227" s="694"/>
      <c r="FQ227" s="697"/>
    </row>
    <row r="228" spans="1:173" s="696" customFormat="1">
      <c r="A228" s="690"/>
      <c r="B228" s="690"/>
      <c r="C228" s="691"/>
      <c r="D228" s="699" t="s">
        <v>3812</v>
      </c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>
        <f t="shared" si="42"/>
        <v>0</v>
      </c>
      <c r="Q228" s="692"/>
      <c r="R228" s="693"/>
      <c r="S228" s="693"/>
      <c r="T228" s="693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725"/>
      <c r="AF228" s="957"/>
      <c r="AG228" s="692"/>
      <c r="AH228" s="692"/>
      <c r="AI228" s="692"/>
      <c r="AJ228" s="692"/>
      <c r="AK228" s="69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>
        <f t="shared" si="43"/>
        <v>0</v>
      </c>
      <c r="AX228" s="692"/>
      <c r="AY228" s="692"/>
      <c r="AZ228" s="516"/>
      <c r="BA228" s="516"/>
      <c r="BB228" s="516"/>
      <c r="BC228" s="516"/>
      <c r="BD228" s="516"/>
      <c r="BE228" s="516"/>
      <c r="BF228" s="692"/>
      <c r="BG228" s="692"/>
      <c r="BH228" s="692"/>
      <c r="BI228" s="692"/>
      <c r="BJ228" s="692">
        <f t="shared" si="48"/>
        <v>0</v>
      </c>
      <c r="BK228" s="692"/>
      <c r="BL228" s="692"/>
      <c r="BM228" s="692"/>
      <c r="BN228" s="692"/>
      <c r="BO228" s="692"/>
      <c r="BP228" s="692"/>
      <c r="BQ228" s="692">
        <f t="shared" si="49"/>
        <v>0</v>
      </c>
      <c r="BR228" s="692"/>
      <c r="BS228" s="692">
        <f t="shared" si="50"/>
        <v>0</v>
      </c>
      <c r="BT228" s="692">
        <f t="shared" si="51"/>
        <v>0</v>
      </c>
      <c r="BU228" s="692"/>
      <c r="BV228" s="692"/>
      <c r="BW228" s="692"/>
      <c r="BX228" s="692"/>
      <c r="BY228" s="692"/>
      <c r="BZ228" s="692"/>
      <c r="CA228" s="692"/>
      <c r="CB228" s="692"/>
      <c r="CC228" s="692"/>
      <c r="CD228" s="692">
        <f t="shared" si="52"/>
        <v>0</v>
      </c>
      <c r="CE228" s="692"/>
      <c r="CF228" s="692"/>
      <c r="CG228" s="692"/>
      <c r="CH228" s="692"/>
      <c r="CI228" s="692"/>
      <c r="CJ228" s="692"/>
      <c r="CK228" s="692"/>
      <c r="CL228" s="692"/>
      <c r="CM228" s="692"/>
      <c r="CN228" s="692"/>
      <c r="CO228" s="692"/>
      <c r="CP228" s="692"/>
      <c r="CQ228" s="692"/>
      <c r="CR228" s="692"/>
      <c r="CS228" s="692"/>
      <c r="CT228" s="692"/>
      <c r="CU228" s="692"/>
      <c r="CV228" s="692"/>
      <c r="CW228" s="692"/>
      <c r="CX228" s="694"/>
      <c r="CY228" s="694"/>
      <c r="CZ228" s="694"/>
      <c r="DA228" s="694"/>
      <c r="DB228" s="694"/>
      <c r="DC228" s="694"/>
      <c r="DD228" s="694"/>
      <c r="DE228" s="694"/>
      <c r="DF228" s="694"/>
      <c r="DG228" s="695"/>
      <c r="DH228" s="695"/>
      <c r="DI228" s="695"/>
      <c r="DJ228" s="695"/>
      <c r="DK228" s="695"/>
      <c r="DL228" s="695"/>
      <c r="DM228" s="695"/>
      <c r="DN228" s="695"/>
      <c r="DO228" s="695"/>
      <c r="DP228" s="695"/>
      <c r="DQ228" s="695"/>
      <c r="DR228" s="695"/>
      <c r="DS228" s="694"/>
      <c r="DT228" s="694"/>
      <c r="DU228" s="694"/>
      <c r="DV228" s="694"/>
      <c r="DW228" s="694"/>
      <c r="DX228" s="694"/>
      <c r="DY228" s="694"/>
      <c r="DZ228" s="694"/>
      <c r="EA228" s="694"/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4"/>
      <c r="FH228" s="694"/>
      <c r="FI228" s="694"/>
      <c r="FJ228" s="694"/>
      <c r="FK228" s="694"/>
      <c r="FL228" s="694"/>
      <c r="FM228" s="694"/>
      <c r="FN228" s="694"/>
      <c r="FO228" s="694"/>
      <c r="FP228" s="694"/>
      <c r="FQ228" s="697"/>
    </row>
    <row r="229" spans="1:173" s="696" customFormat="1">
      <c r="A229" s="690"/>
      <c r="B229" s="690"/>
      <c r="C229" s="691" t="s">
        <v>3632</v>
      </c>
      <c r="D229" s="691"/>
      <c r="E229" s="640">
        <v>20</v>
      </c>
      <c r="F229" s="692"/>
      <c r="G229" s="692"/>
      <c r="H229" s="692"/>
      <c r="I229" s="692"/>
      <c r="J229" s="692"/>
      <c r="K229" s="692"/>
      <c r="L229" s="692"/>
      <c r="M229" s="692"/>
      <c r="N229" s="692"/>
      <c r="O229" s="692">
        <f>E229</f>
        <v>20</v>
      </c>
      <c r="P229" s="692"/>
      <c r="Q229" s="692"/>
      <c r="R229" s="693"/>
      <c r="S229" s="693"/>
      <c r="T229" s="693"/>
      <c r="U229" s="692" t="s">
        <v>2989</v>
      </c>
      <c r="V229" s="692"/>
      <c r="W229" s="692">
        <v>2</v>
      </c>
      <c r="X229" s="692"/>
      <c r="Y229" s="692"/>
      <c r="Z229" s="692"/>
      <c r="AA229" s="692"/>
      <c r="AB229" s="692"/>
      <c r="AC229" s="692"/>
      <c r="AD229" s="692"/>
      <c r="AE229" s="725">
        <v>1</v>
      </c>
      <c r="AF229" s="957"/>
      <c r="AG229" s="692"/>
      <c r="AH229" s="692"/>
      <c r="AI229" s="692"/>
      <c r="AJ229" s="692"/>
      <c r="AK229" s="69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>
        <f t="shared" si="43"/>
        <v>0</v>
      </c>
      <c r="AX229" s="692"/>
      <c r="AY229" s="692"/>
      <c r="AZ229" s="516">
        <f t="shared" si="44"/>
        <v>0</v>
      </c>
      <c r="BA229" s="516">
        <f t="shared" si="45"/>
        <v>0</v>
      </c>
      <c r="BB229" s="516"/>
      <c r="BC229" s="516"/>
      <c r="BD229" s="516">
        <f t="shared" si="46"/>
        <v>2</v>
      </c>
      <c r="BE229" s="516">
        <f t="shared" si="47"/>
        <v>0</v>
      </c>
      <c r="BF229" s="692"/>
      <c r="BG229" s="692"/>
      <c r="BH229" s="692"/>
      <c r="BI229" s="692">
        <f t="shared" ref="BI229:BI243" si="68">CB229*5+AU229*2</f>
        <v>0</v>
      </c>
      <c r="BJ229" s="692"/>
      <c r="BK229" s="692"/>
      <c r="BL229" s="692"/>
      <c r="BM229" s="692"/>
      <c r="BN229" s="692"/>
      <c r="BO229" s="692"/>
      <c r="BP229" s="692"/>
      <c r="BQ229" s="692">
        <f t="shared" si="49"/>
        <v>0</v>
      </c>
      <c r="BR229" s="692"/>
      <c r="BS229" s="692">
        <f t="shared" si="50"/>
        <v>0</v>
      </c>
      <c r="BT229" s="692">
        <f t="shared" si="51"/>
        <v>0</v>
      </c>
      <c r="BU229" s="692"/>
      <c r="BV229" s="692"/>
      <c r="BW229" s="692"/>
      <c r="BX229" s="692">
        <v>2</v>
      </c>
      <c r="BY229" s="692"/>
      <c r="BZ229" s="692"/>
      <c r="CA229" s="692"/>
      <c r="CB229" s="692"/>
      <c r="CC229" s="692"/>
      <c r="CD229" s="692">
        <f t="shared" si="52"/>
        <v>0</v>
      </c>
      <c r="CE229" s="692"/>
      <c r="CF229" s="692"/>
      <c r="CG229" s="692"/>
      <c r="CH229" s="692"/>
      <c r="CI229" s="692"/>
      <c r="CJ229" s="692"/>
      <c r="CK229" s="692"/>
      <c r="CL229" s="692"/>
      <c r="CM229" s="692"/>
      <c r="CN229" s="692"/>
      <c r="CO229" s="692"/>
      <c r="CP229" s="692"/>
      <c r="CQ229" s="692"/>
      <c r="CR229" s="692"/>
      <c r="CS229" s="692"/>
      <c r="CT229" s="692"/>
      <c r="CU229" s="692"/>
      <c r="CV229" s="692"/>
      <c r="CW229" s="692"/>
      <c r="CX229" s="694"/>
      <c r="CY229" s="694"/>
      <c r="CZ229" s="694"/>
      <c r="DA229" s="694"/>
      <c r="DB229" s="694"/>
      <c r="DC229" s="694"/>
      <c r="DD229" s="694"/>
      <c r="DE229" s="694"/>
      <c r="DF229" s="694"/>
      <c r="DG229" s="695"/>
      <c r="DH229" s="695"/>
      <c r="DI229" s="695"/>
      <c r="DJ229" s="695"/>
      <c r="DK229" s="695"/>
      <c r="DL229" s="695"/>
      <c r="DM229" s="695"/>
      <c r="DN229" s="695"/>
      <c r="DO229" s="695"/>
      <c r="DP229" s="695"/>
      <c r="DQ229" s="695"/>
      <c r="DR229" s="695"/>
      <c r="DS229" s="694"/>
      <c r="DT229" s="694"/>
      <c r="DU229" s="694"/>
      <c r="DV229" s="694"/>
      <c r="DW229" s="694"/>
      <c r="DX229" s="694"/>
      <c r="DY229" s="694"/>
      <c r="DZ229" s="694"/>
      <c r="EA229" s="694"/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4"/>
      <c r="FH229" s="694"/>
      <c r="FI229" s="694"/>
      <c r="FJ229" s="694"/>
      <c r="FK229" s="694"/>
      <c r="FL229" s="694"/>
      <c r="FM229" s="694"/>
      <c r="FN229" s="694"/>
      <c r="FO229" s="694"/>
      <c r="FP229" s="694"/>
      <c r="FQ229" s="697"/>
    </row>
    <row r="230" spans="1:173" s="696" customFormat="1">
      <c r="A230" s="690"/>
      <c r="B230" s="690"/>
      <c r="C230" s="691" t="s">
        <v>3633</v>
      </c>
      <c r="D230" s="691"/>
      <c r="E230" s="640">
        <v>30</v>
      </c>
      <c r="F230" s="692"/>
      <c r="G230" s="692"/>
      <c r="H230" s="692"/>
      <c r="I230" s="692"/>
      <c r="J230" s="692"/>
      <c r="K230" s="692"/>
      <c r="L230" s="692"/>
      <c r="M230" s="692"/>
      <c r="N230" s="692"/>
      <c r="O230" s="692">
        <f t="shared" ref="O230:O239" si="69">E230</f>
        <v>30</v>
      </c>
      <c r="P230" s="692"/>
      <c r="Q230" s="692"/>
      <c r="R230" s="693"/>
      <c r="S230" s="693"/>
      <c r="T230" s="693"/>
      <c r="U230" s="692" t="s">
        <v>1631</v>
      </c>
      <c r="V230" s="692"/>
      <c r="W230" s="692">
        <v>1</v>
      </c>
      <c r="X230" s="692"/>
      <c r="Y230" s="692"/>
      <c r="Z230" s="692">
        <v>1</v>
      </c>
      <c r="AA230" s="692"/>
      <c r="AB230" s="692"/>
      <c r="AC230" s="692"/>
      <c r="AD230" s="692"/>
      <c r="AE230" s="725"/>
      <c r="AF230" s="957"/>
      <c r="AG230" s="692"/>
      <c r="AH230" s="692"/>
      <c r="AI230" s="692"/>
      <c r="AJ230" s="692"/>
      <c r="AK230" s="692"/>
      <c r="AL230" s="692"/>
      <c r="AM230" s="692"/>
      <c r="AN230" s="692"/>
      <c r="AO230" s="692"/>
      <c r="AP230" s="692"/>
      <c r="AQ230" s="692"/>
      <c r="AR230" s="692"/>
      <c r="AS230" s="692"/>
      <c r="AT230" s="692"/>
      <c r="AU230" s="692">
        <v>1</v>
      </c>
      <c r="AV230" s="692"/>
      <c r="AW230" s="692">
        <f t="shared" si="43"/>
        <v>1</v>
      </c>
      <c r="AX230" s="692"/>
      <c r="AY230" s="692"/>
      <c r="AZ230" s="516">
        <f t="shared" si="44"/>
        <v>2</v>
      </c>
      <c r="BA230" s="516">
        <f t="shared" si="45"/>
        <v>0</v>
      </c>
      <c r="BB230" s="516"/>
      <c r="BC230" s="516"/>
      <c r="BD230" s="516">
        <f t="shared" si="46"/>
        <v>1</v>
      </c>
      <c r="BE230" s="516">
        <f t="shared" si="47"/>
        <v>0</v>
      </c>
      <c r="BF230" s="692"/>
      <c r="BG230" s="692"/>
      <c r="BH230" s="692"/>
      <c r="BI230" s="692">
        <f t="shared" si="68"/>
        <v>7</v>
      </c>
      <c r="BJ230" s="692"/>
      <c r="BK230" s="692"/>
      <c r="BL230" s="692"/>
      <c r="BM230" s="692"/>
      <c r="BN230" s="692"/>
      <c r="BO230" s="692"/>
      <c r="BP230" s="692"/>
      <c r="BQ230" s="692">
        <f t="shared" si="49"/>
        <v>0</v>
      </c>
      <c r="BR230" s="692"/>
      <c r="BS230" s="692">
        <f t="shared" si="50"/>
        <v>1</v>
      </c>
      <c r="BT230" s="692">
        <f t="shared" si="51"/>
        <v>0</v>
      </c>
      <c r="BU230" s="692"/>
      <c r="BV230" s="692"/>
      <c r="BW230" s="692"/>
      <c r="BX230" s="692"/>
      <c r="BY230" s="692"/>
      <c r="BZ230" s="692"/>
      <c r="CA230" s="692"/>
      <c r="CB230" s="692">
        <v>1</v>
      </c>
      <c r="CC230" s="692"/>
      <c r="CD230" s="692">
        <f t="shared" si="52"/>
        <v>4</v>
      </c>
      <c r="CE230" s="692"/>
      <c r="CF230" s="692"/>
      <c r="CG230" s="692"/>
      <c r="CH230" s="692"/>
      <c r="CI230" s="692"/>
      <c r="CJ230" s="692"/>
      <c r="CK230" s="692"/>
      <c r="CL230" s="692"/>
      <c r="CM230" s="692"/>
      <c r="CN230" s="692"/>
      <c r="CO230" s="692"/>
      <c r="CP230" s="692"/>
      <c r="CQ230" s="692"/>
      <c r="CR230" s="692"/>
      <c r="CS230" s="692"/>
      <c r="CT230" s="692"/>
      <c r="CU230" s="692"/>
      <c r="CV230" s="692"/>
      <c r="CW230" s="692"/>
      <c r="CX230" s="694"/>
      <c r="CY230" s="694"/>
      <c r="CZ230" s="694"/>
      <c r="DA230" s="694"/>
      <c r="DB230" s="694"/>
      <c r="DC230" s="694"/>
      <c r="DD230" s="694"/>
      <c r="DE230" s="694"/>
      <c r="DF230" s="694"/>
      <c r="DG230" s="695"/>
      <c r="DH230" s="695"/>
      <c r="DI230" s="695"/>
      <c r="DJ230" s="695"/>
      <c r="DK230" s="695"/>
      <c r="DL230" s="695"/>
      <c r="DM230" s="695"/>
      <c r="DN230" s="695"/>
      <c r="DO230" s="695"/>
      <c r="DP230" s="695"/>
      <c r="DQ230" s="695"/>
      <c r="DR230" s="695"/>
      <c r="DS230" s="694"/>
      <c r="DT230" s="694"/>
      <c r="DU230" s="694"/>
      <c r="DV230" s="694"/>
      <c r="DW230" s="694"/>
      <c r="DX230" s="694"/>
      <c r="DY230" s="694"/>
      <c r="DZ230" s="694"/>
      <c r="EA230" s="694"/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4"/>
      <c r="FH230" s="694"/>
      <c r="FI230" s="694"/>
      <c r="FJ230" s="694"/>
      <c r="FK230" s="694"/>
      <c r="FL230" s="694"/>
      <c r="FM230" s="694"/>
      <c r="FN230" s="694"/>
      <c r="FO230" s="694"/>
      <c r="FP230" s="694"/>
      <c r="FQ230" s="697"/>
    </row>
    <row r="231" spans="1:173" s="696" customFormat="1">
      <c r="A231" s="690"/>
      <c r="B231" s="690"/>
      <c r="C231" s="691" t="s">
        <v>3634</v>
      </c>
      <c r="D231" s="691"/>
      <c r="E231" s="640">
        <v>30</v>
      </c>
      <c r="F231" s="692"/>
      <c r="G231" s="692"/>
      <c r="H231" s="692"/>
      <c r="I231" s="692"/>
      <c r="J231" s="692"/>
      <c r="K231" s="692"/>
      <c r="L231" s="692"/>
      <c r="M231" s="692"/>
      <c r="N231" s="692"/>
      <c r="O231" s="692">
        <f t="shared" si="69"/>
        <v>30</v>
      </c>
      <c r="P231" s="692"/>
      <c r="Q231" s="692"/>
      <c r="R231" s="693"/>
      <c r="S231" s="693"/>
      <c r="T231" s="693"/>
      <c r="U231" s="692" t="s">
        <v>1631</v>
      </c>
      <c r="V231" s="692"/>
      <c r="W231" s="692">
        <v>1</v>
      </c>
      <c r="X231" s="692"/>
      <c r="Y231" s="692"/>
      <c r="Z231" s="692">
        <v>1</v>
      </c>
      <c r="AA231" s="692"/>
      <c r="AB231" s="692"/>
      <c r="AC231" s="692"/>
      <c r="AD231" s="692"/>
      <c r="AE231" s="725"/>
      <c r="AF231" s="957"/>
      <c r="AG231" s="692"/>
      <c r="AH231" s="692"/>
      <c r="AI231" s="692"/>
      <c r="AJ231" s="692"/>
      <c r="AK231" s="692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>
        <f t="shared" si="43"/>
        <v>0</v>
      </c>
      <c r="AX231" s="692"/>
      <c r="AY231" s="692"/>
      <c r="AZ231" s="516">
        <f t="shared" si="44"/>
        <v>0</v>
      </c>
      <c r="BA231" s="516">
        <f t="shared" si="45"/>
        <v>0</v>
      </c>
      <c r="BB231" s="516"/>
      <c r="BC231" s="516"/>
      <c r="BD231" s="516">
        <f t="shared" si="46"/>
        <v>1</v>
      </c>
      <c r="BE231" s="516">
        <f t="shared" si="47"/>
        <v>0</v>
      </c>
      <c r="BF231" s="692"/>
      <c r="BG231" s="692"/>
      <c r="BH231" s="692"/>
      <c r="BI231" s="692">
        <f t="shared" si="68"/>
        <v>0</v>
      </c>
      <c r="BJ231" s="692"/>
      <c r="BK231" s="692"/>
      <c r="BL231" s="692"/>
      <c r="BM231" s="692"/>
      <c r="BN231" s="692"/>
      <c r="BO231" s="692"/>
      <c r="BP231" s="692"/>
      <c r="BQ231" s="692">
        <f t="shared" si="49"/>
        <v>0</v>
      </c>
      <c r="BR231" s="692"/>
      <c r="BS231" s="692">
        <f t="shared" si="50"/>
        <v>1</v>
      </c>
      <c r="BT231" s="692">
        <f t="shared" si="51"/>
        <v>0</v>
      </c>
      <c r="BU231" s="692"/>
      <c r="BV231" s="692"/>
      <c r="BW231" s="692"/>
      <c r="BX231" s="692"/>
      <c r="BY231" s="692"/>
      <c r="BZ231" s="692"/>
      <c r="CA231" s="692"/>
      <c r="CB231" s="692"/>
      <c r="CC231" s="692"/>
      <c r="CD231" s="692">
        <f t="shared" si="52"/>
        <v>0</v>
      </c>
      <c r="CE231" s="692"/>
      <c r="CF231" s="692"/>
      <c r="CG231" s="692"/>
      <c r="CH231" s="692"/>
      <c r="CI231" s="692"/>
      <c r="CJ231" s="692"/>
      <c r="CK231" s="692"/>
      <c r="CL231" s="692"/>
      <c r="CM231" s="692"/>
      <c r="CN231" s="692"/>
      <c r="CO231" s="692"/>
      <c r="CP231" s="692"/>
      <c r="CQ231" s="692"/>
      <c r="CR231" s="692"/>
      <c r="CS231" s="692"/>
      <c r="CT231" s="692"/>
      <c r="CU231" s="692"/>
      <c r="CV231" s="692"/>
      <c r="CW231" s="692"/>
      <c r="CX231" s="694"/>
      <c r="CY231" s="694"/>
      <c r="CZ231" s="694"/>
      <c r="DA231" s="694"/>
      <c r="DB231" s="694"/>
      <c r="DC231" s="694"/>
      <c r="DD231" s="694"/>
      <c r="DE231" s="694"/>
      <c r="DF231" s="694"/>
      <c r="DG231" s="695"/>
      <c r="DH231" s="695"/>
      <c r="DI231" s="695"/>
      <c r="DJ231" s="695"/>
      <c r="DK231" s="695"/>
      <c r="DL231" s="695"/>
      <c r="DM231" s="695"/>
      <c r="DN231" s="695"/>
      <c r="DO231" s="695"/>
      <c r="DP231" s="695"/>
      <c r="DQ231" s="695"/>
      <c r="DR231" s="695"/>
      <c r="DS231" s="694"/>
      <c r="DT231" s="694"/>
      <c r="DU231" s="694"/>
      <c r="DV231" s="694"/>
      <c r="DW231" s="694"/>
      <c r="DX231" s="694"/>
      <c r="DY231" s="694"/>
      <c r="DZ231" s="694"/>
      <c r="EA231" s="694"/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4"/>
      <c r="FH231" s="694"/>
      <c r="FI231" s="694"/>
      <c r="FJ231" s="694"/>
      <c r="FK231" s="694"/>
      <c r="FL231" s="694"/>
      <c r="FM231" s="694"/>
      <c r="FN231" s="694"/>
      <c r="FO231" s="694"/>
      <c r="FP231" s="694"/>
      <c r="FQ231" s="697"/>
    </row>
    <row r="232" spans="1:173" s="696" customFormat="1">
      <c r="A232" s="690"/>
      <c r="B232" s="690"/>
      <c r="C232" s="691" t="s">
        <v>3635</v>
      </c>
      <c r="D232" s="691"/>
      <c r="E232" s="640">
        <v>30</v>
      </c>
      <c r="F232" s="692"/>
      <c r="G232" s="692"/>
      <c r="H232" s="692"/>
      <c r="I232" s="692"/>
      <c r="J232" s="692"/>
      <c r="K232" s="692"/>
      <c r="L232" s="692"/>
      <c r="M232" s="692"/>
      <c r="N232" s="692"/>
      <c r="O232" s="692">
        <f t="shared" si="69"/>
        <v>30</v>
      </c>
      <c r="P232" s="692"/>
      <c r="Q232" s="692"/>
      <c r="R232" s="693"/>
      <c r="S232" s="693"/>
      <c r="T232" s="693"/>
      <c r="U232" s="692" t="s">
        <v>1631</v>
      </c>
      <c r="V232" s="692"/>
      <c r="W232" s="692">
        <v>1</v>
      </c>
      <c r="X232" s="692"/>
      <c r="Y232" s="692"/>
      <c r="Z232" s="692">
        <v>1</v>
      </c>
      <c r="AA232" s="692"/>
      <c r="AB232" s="692"/>
      <c r="AC232" s="692"/>
      <c r="AD232" s="692"/>
      <c r="AE232" s="725"/>
      <c r="AF232" s="957"/>
      <c r="AG232" s="692"/>
      <c r="AH232" s="692"/>
      <c r="AI232" s="692"/>
      <c r="AJ232" s="692"/>
      <c r="AK232" s="692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>
        <f t="shared" si="43"/>
        <v>0</v>
      </c>
      <c r="AX232" s="692"/>
      <c r="AY232" s="692"/>
      <c r="AZ232" s="516">
        <f t="shared" si="44"/>
        <v>0</v>
      </c>
      <c r="BA232" s="516">
        <f t="shared" si="45"/>
        <v>0</v>
      </c>
      <c r="BB232" s="516"/>
      <c r="BC232" s="516"/>
      <c r="BD232" s="516">
        <f t="shared" si="46"/>
        <v>1</v>
      </c>
      <c r="BE232" s="516">
        <f t="shared" si="47"/>
        <v>0</v>
      </c>
      <c r="BF232" s="692"/>
      <c r="BG232" s="692"/>
      <c r="BH232" s="692"/>
      <c r="BI232" s="692">
        <f t="shared" si="68"/>
        <v>0</v>
      </c>
      <c r="BJ232" s="692"/>
      <c r="BK232" s="692"/>
      <c r="BL232" s="692"/>
      <c r="BM232" s="692"/>
      <c r="BN232" s="692"/>
      <c r="BO232" s="692"/>
      <c r="BP232" s="692"/>
      <c r="BQ232" s="692">
        <f t="shared" si="49"/>
        <v>0</v>
      </c>
      <c r="BR232" s="692"/>
      <c r="BS232" s="692">
        <f t="shared" si="50"/>
        <v>1</v>
      </c>
      <c r="BT232" s="692">
        <f t="shared" si="51"/>
        <v>0</v>
      </c>
      <c r="BU232" s="692"/>
      <c r="BV232" s="692"/>
      <c r="BW232" s="692"/>
      <c r="BX232" s="692"/>
      <c r="BY232" s="692"/>
      <c r="BZ232" s="692"/>
      <c r="CA232" s="692"/>
      <c r="CB232" s="692"/>
      <c r="CC232" s="692"/>
      <c r="CD232" s="692">
        <f t="shared" si="52"/>
        <v>0</v>
      </c>
      <c r="CE232" s="692"/>
      <c r="CF232" s="692"/>
      <c r="CG232" s="692"/>
      <c r="CH232" s="692"/>
      <c r="CI232" s="692"/>
      <c r="CJ232" s="692"/>
      <c r="CK232" s="692"/>
      <c r="CL232" s="692"/>
      <c r="CM232" s="692"/>
      <c r="CN232" s="692"/>
      <c r="CO232" s="692"/>
      <c r="CP232" s="692"/>
      <c r="CQ232" s="692"/>
      <c r="CR232" s="692"/>
      <c r="CS232" s="692"/>
      <c r="CT232" s="692"/>
      <c r="CU232" s="692"/>
      <c r="CV232" s="692"/>
      <c r="CW232" s="692"/>
      <c r="CX232" s="694"/>
      <c r="CY232" s="694"/>
      <c r="CZ232" s="694"/>
      <c r="DA232" s="694"/>
      <c r="DB232" s="694"/>
      <c r="DC232" s="694"/>
      <c r="DD232" s="694"/>
      <c r="DE232" s="694"/>
      <c r="DF232" s="694"/>
      <c r="DG232" s="695"/>
      <c r="DH232" s="695"/>
      <c r="DI232" s="695"/>
      <c r="DJ232" s="695"/>
      <c r="DK232" s="695"/>
      <c r="DL232" s="695"/>
      <c r="DM232" s="695"/>
      <c r="DN232" s="695"/>
      <c r="DO232" s="695"/>
      <c r="DP232" s="695"/>
      <c r="DQ232" s="695"/>
      <c r="DR232" s="695"/>
      <c r="DS232" s="694"/>
      <c r="DT232" s="694"/>
      <c r="DU232" s="694"/>
      <c r="DV232" s="694"/>
      <c r="DW232" s="694"/>
      <c r="DX232" s="694"/>
      <c r="DY232" s="694"/>
      <c r="DZ232" s="694"/>
      <c r="EA232" s="694"/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4"/>
      <c r="FH232" s="694"/>
      <c r="FI232" s="694"/>
      <c r="FJ232" s="694"/>
      <c r="FK232" s="694"/>
      <c r="FL232" s="694"/>
      <c r="FM232" s="694"/>
      <c r="FN232" s="694"/>
      <c r="FO232" s="694"/>
      <c r="FP232" s="694"/>
      <c r="FQ232" s="697"/>
    </row>
    <row r="233" spans="1:173" s="696" customFormat="1">
      <c r="A233" s="690"/>
      <c r="B233" s="690"/>
      <c r="C233" s="691" t="s">
        <v>3636</v>
      </c>
      <c r="D233" s="691"/>
      <c r="E233" s="640">
        <v>32</v>
      </c>
      <c r="F233" s="692"/>
      <c r="G233" s="692"/>
      <c r="H233" s="692"/>
      <c r="I233" s="692"/>
      <c r="J233" s="692"/>
      <c r="K233" s="692"/>
      <c r="L233" s="692"/>
      <c r="M233" s="692"/>
      <c r="N233" s="692"/>
      <c r="O233" s="692">
        <f t="shared" si="69"/>
        <v>32</v>
      </c>
      <c r="P233" s="692"/>
      <c r="Q233" s="692"/>
      <c r="R233" s="693"/>
      <c r="S233" s="693"/>
      <c r="T233" s="693"/>
      <c r="U233" s="692" t="s">
        <v>1631</v>
      </c>
      <c r="V233" s="692"/>
      <c r="W233" s="692">
        <v>1</v>
      </c>
      <c r="X233" s="692"/>
      <c r="Y233" s="692"/>
      <c r="Z233" s="692">
        <v>1</v>
      </c>
      <c r="AA233" s="692"/>
      <c r="AB233" s="692"/>
      <c r="AC233" s="692"/>
      <c r="AD233" s="692"/>
      <c r="AE233" s="725"/>
      <c r="AF233" s="957"/>
      <c r="AG233" s="692"/>
      <c r="AH233" s="692"/>
      <c r="AI233" s="692"/>
      <c r="AJ233" s="692"/>
      <c r="AK233" s="692"/>
      <c r="AL233" s="692"/>
      <c r="AM233" s="692"/>
      <c r="AN233" s="692"/>
      <c r="AO233" s="692"/>
      <c r="AP233" s="692"/>
      <c r="AQ233" s="692"/>
      <c r="AR233" s="692"/>
      <c r="AS233" s="692"/>
      <c r="AT233" s="692"/>
      <c r="AU233" s="692"/>
      <c r="AV233" s="692"/>
      <c r="AW233" s="692">
        <f t="shared" si="43"/>
        <v>1</v>
      </c>
      <c r="AX233" s="692"/>
      <c r="AY233" s="692"/>
      <c r="AZ233" s="516">
        <f t="shared" si="44"/>
        <v>2</v>
      </c>
      <c r="BA233" s="516">
        <f t="shared" si="45"/>
        <v>0</v>
      </c>
      <c r="BB233" s="516"/>
      <c r="BC233" s="516"/>
      <c r="BD233" s="516">
        <f t="shared" si="46"/>
        <v>1</v>
      </c>
      <c r="BE233" s="516">
        <f t="shared" si="47"/>
        <v>0</v>
      </c>
      <c r="BF233" s="692"/>
      <c r="BG233" s="692"/>
      <c r="BH233" s="692"/>
      <c r="BI233" s="692">
        <f t="shared" si="68"/>
        <v>5</v>
      </c>
      <c r="BJ233" s="692"/>
      <c r="BK233" s="692"/>
      <c r="BL233" s="692"/>
      <c r="BM233" s="692"/>
      <c r="BN233" s="692"/>
      <c r="BO233" s="692"/>
      <c r="BP233" s="692"/>
      <c r="BQ233" s="692">
        <f t="shared" si="49"/>
        <v>0</v>
      </c>
      <c r="BR233" s="692"/>
      <c r="BS233" s="692">
        <f t="shared" si="50"/>
        <v>1</v>
      </c>
      <c r="BT233" s="692">
        <f t="shared" si="51"/>
        <v>0</v>
      </c>
      <c r="BU233" s="692"/>
      <c r="BV233" s="692"/>
      <c r="BW233" s="692"/>
      <c r="BX233" s="692"/>
      <c r="BY233" s="692"/>
      <c r="BZ233" s="692"/>
      <c r="CA233" s="692"/>
      <c r="CB233" s="692">
        <v>1</v>
      </c>
      <c r="CC233" s="692"/>
      <c r="CD233" s="692">
        <f t="shared" si="52"/>
        <v>4</v>
      </c>
      <c r="CE233" s="692"/>
      <c r="CF233" s="692"/>
      <c r="CG233" s="692"/>
      <c r="CH233" s="692"/>
      <c r="CI233" s="692"/>
      <c r="CJ233" s="692"/>
      <c r="CK233" s="692"/>
      <c r="CL233" s="692"/>
      <c r="CM233" s="692"/>
      <c r="CN233" s="692"/>
      <c r="CO233" s="692"/>
      <c r="CP233" s="692"/>
      <c r="CQ233" s="692"/>
      <c r="CR233" s="692"/>
      <c r="CS233" s="692"/>
      <c r="CT233" s="692"/>
      <c r="CU233" s="692"/>
      <c r="CV233" s="692"/>
      <c r="CW233" s="692"/>
      <c r="CX233" s="694"/>
      <c r="CY233" s="694"/>
      <c r="CZ233" s="694"/>
      <c r="DA233" s="694"/>
      <c r="DB233" s="694"/>
      <c r="DC233" s="694"/>
      <c r="DD233" s="694"/>
      <c r="DE233" s="694"/>
      <c r="DF233" s="694"/>
      <c r="DG233" s="695"/>
      <c r="DH233" s="695"/>
      <c r="DI233" s="695"/>
      <c r="DJ233" s="695"/>
      <c r="DK233" s="695"/>
      <c r="DL233" s="695"/>
      <c r="DM233" s="695"/>
      <c r="DN233" s="695"/>
      <c r="DO233" s="695"/>
      <c r="DP233" s="695"/>
      <c r="DQ233" s="695"/>
      <c r="DR233" s="695"/>
      <c r="DS233" s="694"/>
      <c r="DT233" s="694"/>
      <c r="DU233" s="694"/>
      <c r="DV233" s="694"/>
      <c r="DW233" s="694"/>
      <c r="DX233" s="694"/>
      <c r="DY233" s="694"/>
      <c r="DZ233" s="694"/>
      <c r="EA233" s="694"/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4"/>
      <c r="FH233" s="694"/>
      <c r="FI233" s="694"/>
      <c r="FJ233" s="694"/>
      <c r="FK233" s="694"/>
      <c r="FL233" s="694"/>
      <c r="FM233" s="694"/>
      <c r="FN233" s="694"/>
      <c r="FO233" s="694"/>
      <c r="FP233" s="694"/>
      <c r="FQ233" s="697"/>
    </row>
    <row r="234" spans="1:173" s="696" customFormat="1">
      <c r="A234" s="690"/>
      <c r="B234" s="690"/>
      <c r="C234" s="691" t="s">
        <v>3637</v>
      </c>
      <c r="D234" s="691"/>
      <c r="E234" s="640">
        <v>30</v>
      </c>
      <c r="F234" s="692"/>
      <c r="G234" s="692"/>
      <c r="H234" s="692"/>
      <c r="I234" s="692"/>
      <c r="J234" s="692"/>
      <c r="K234" s="692"/>
      <c r="L234" s="692"/>
      <c r="M234" s="692"/>
      <c r="N234" s="692"/>
      <c r="O234" s="692">
        <f t="shared" si="69"/>
        <v>30</v>
      </c>
      <c r="P234" s="692"/>
      <c r="Q234" s="692"/>
      <c r="R234" s="693"/>
      <c r="S234" s="693"/>
      <c r="T234" s="693"/>
      <c r="U234" s="692" t="s">
        <v>1903</v>
      </c>
      <c r="V234" s="692"/>
      <c r="W234" s="692">
        <v>2</v>
      </c>
      <c r="X234" s="692"/>
      <c r="Y234" s="692"/>
      <c r="Z234" s="692"/>
      <c r="AA234" s="692"/>
      <c r="AB234" s="692"/>
      <c r="AC234" s="692"/>
      <c r="AD234" s="692"/>
      <c r="AE234" s="725">
        <v>1</v>
      </c>
      <c r="AF234" s="957"/>
      <c r="AG234" s="692"/>
      <c r="AH234" s="692"/>
      <c r="AI234" s="692"/>
      <c r="AJ234" s="692"/>
      <c r="AK234" s="692"/>
      <c r="AL234" s="692"/>
      <c r="AM234" s="692"/>
      <c r="AN234" s="692"/>
      <c r="AO234" s="692"/>
      <c r="AP234" s="692"/>
      <c r="AQ234" s="692"/>
      <c r="AR234" s="692"/>
      <c r="AS234" s="692"/>
      <c r="AT234" s="692"/>
      <c r="AU234" s="692">
        <v>1</v>
      </c>
      <c r="AV234" s="692"/>
      <c r="AW234" s="692">
        <f t="shared" si="43"/>
        <v>1</v>
      </c>
      <c r="AX234" s="692"/>
      <c r="AY234" s="692"/>
      <c r="AZ234" s="516">
        <f t="shared" si="44"/>
        <v>2</v>
      </c>
      <c r="BA234" s="516">
        <f t="shared" si="45"/>
        <v>0</v>
      </c>
      <c r="BB234" s="516"/>
      <c r="BC234" s="516"/>
      <c r="BD234" s="516">
        <f t="shared" si="46"/>
        <v>1</v>
      </c>
      <c r="BE234" s="516">
        <f t="shared" si="47"/>
        <v>0</v>
      </c>
      <c r="BF234" s="692"/>
      <c r="BG234" s="692"/>
      <c r="BH234" s="692"/>
      <c r="BI234" s="692">
        <f t="shared" si="68"/>
        <v>7</v>
      </c>
      <c r="BJ234" s="692"/>
      <c r="BK234" s="692"/>
      <c r="BL234" s="692"/>
      <c r="BM234" s="692"/>
      <c r="BN234" s="692"/>
      <c r="BO234" s="692"/>
      <c r="BP234" s="692"/>
      <c r="BQ234" s="692">
        <f t="shared" si="49"/>
        <v>1</v>
      </c>
      <c r="BR234" s="692"/>
      <c r="BS234" s="692">
        <f t="shared" si="50"/>
        <v>2</v>
      </c>
      <c r="BT234" s="692">
        <f t="shared" si="51"/>
        <v>0</v>
      </c>
      <c r="BU234" s="692"/>
      <c r="BV234" s="692"/>
      <c r="BW234" s="692"/>
      <c r="BX234" s="692"/>
      <c r="BY234" s="692"/>
      <c r="BZ234" s="692"/>
      <c r="CA234" s="692"/>
      <c r="CB234" s="692">
        <v>1</v>
      </c>
      <c r="CC234" s="692"/>
      <c r="CD234" s="692">
        <f t="shared" si="52"/>
        <v>4</v>
      </c>
      <c r="CE234" s="692"/>
      <c r="CF234" s="692"/>
      <c r="CG234" s="692"/>
      <c r="CH234" s="692"/>
      <c r="CI234" s="692"/>
      <c r="CJ234" s="692"/>
      <c r="CK234" s="692"/>
      <c r="CL234" s="692"/>
      <c r="CM234" s="692"/>
      <c r="CN234" s="692"/>
      <c r="CO234" s="692"/>
      <c r="CP234" s="692"/>
      <c r="CQ234" s="692"/>
      <c r="CR234" s="692"/>
      <c r="CS234" s="692"/>
      <c r="CT234" s="692"/>
      <c r="CU234" s="692"/>
      <c r="CV234" s="692"/>
      <c r="CW234" s="692"/>
      <c r="CX234" s="694"/>
      <c r="CY234" s="694"/>
      <c r="CZ234" s="694"/>
      <c r="DA234" s="694"/>
      <c r="DB234" s="694"/>
      <c r="DC234" s="694"/>
      <c r="DD234" s="694"/>
      <c r="DE234" s="694"/>
      <c r="DF234" s="694"/>
      <c r="DG234" s="695"/>
      <c r="DH234" s="695"/>
      <c r="DI234" s="695"/>
      <c r="DJ234" s="695"/>
      <c r="DK234" s="695"/>
      <c r="DL234" s="695"/>
      <c r="DM234" s="695"/>
      <c r="DN234" s="695"/>
      <c r="DO234" s="695"/>
      <c r="DP234" s="695"/>
      <c r="DQ234" s="695"/>
      <c r="DR234" s="695"/>
      <c r="DS234" s="694"/>
      <c r="DT234" s="694"/>
      <c r="DU234" s="694"/>
      <c r="DV234" s="694"/>
      <c r="DW234" s="694"/>
      <c r="DX234" s="694"/>
      <c r="DY234" s="694"/>
      <c r="DZ234" s="694"/>
      <c r="EA234" s="694"/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4"/>
      <c r="FH234" s="694"/>
      <c r="FI234" s="694"/>
      <c r="FJ234" s="694"/>
      <c r="FK234" s="694"/>
      <c r="FL234" s="694"/>
      <c r="FM234" s="694"/>
      <c r="FN234" s="694"/>
      <c r="FO234" s="694"/>
      <c r="FP234" s="694"/>
      <c r="FQ234" s="697"/>
    </row>
    <row r="235" spans="1:173" s="696" customFormat="1">
      <c r="A235" s="690"/>
      <c r="B235" s="690"/>
      <c r="C235" s="691" t="s">
        <v>3638</v>
      </c>
      <c r="D235" s="691"/>
      <c r="E235" s="640">
        <v>32</v>
      </c>
      <c r="F235" s="692"/>
      <c r="G235" s="692"/>
      <c r="H235" s="692"/>
      <c r="I235" s="692"/>
      <c r="J235" s="692"/>
      <c r="K235" s="692"/>
      <c r="L235" s="692"/>
      <c r="M235" s="692"/>
      <c r="N235" s="692"/>
      <c r="O235" s="692">
        <f t="shared" si="69"/>
        <v>32</v>
      </c>
      <c r="P235" s="692"/>
      <c r="Q235" s="692"/>
      <c r="R235" s="693"/>
      <c r="S235" s="693"/>
      <c r="T235" s="693"/>
      <c r="U235" s="692" t="s">
        <v>2989</v>
      </c>
      <c r="V235" s="692"/>
      <c r="W235" s="692">
        <v>2</v>
      </c>
      <c r="X235" s="692"/>
      <c r="Y235" s="692"/>
      <c r="Z235" s="692"/>
      <c r="AA235" s="692"/>
      <c r="AB235" s="692"/>
      <c r="AC235" s="692"/>
      <c r="AD235" s="692"/>
      <c r="AE235" s="725">
        <v>1</v>
      </c>
      <c r="AF235" s="957"/>
      <c r="AG235" s="692"/>
      <c r="AH235" s="692"/>
      <c r="AI235" s="692"/>
      <c r="AJ235" s="692"/>
      <c r="AK235" s="692"/>
      <c r="AL235" s="692"/>
      <c r="AM235" s="692"/>
      <c r="AN235" s="692"/>
      <c r="AO235" s="692"/>
      <c r="AP235" s="692"/>
      <c r="AQ235" s="692"/>
      <c r="AR235" s="692"/>
      <c r="AS235" s="692"/>
      <c r="AT235" s="692"/>
      <c r="AU235" s="692"/>
      <c r="AV235" s="692"/>
      <c r="AW235" s="692">
        <f t="shared" si="43"/>
        <v>1</v>
      </c>
      <c r="AX235" s="692"/>
      <c r="AY235" s="692"/>
      <c r="AZ235" s="516">
        <f t="shared" si="44"/>
        <v>2</v>
      </c>
      <c r="BA235" s="516">
        <f t="shared" si="45"/>
        <v>0</v>
      </c>
      <c r="BB235" s="516"/>
      <c r="BC235" s="516"/>
      <c r="BD235" s="516">
        <f t="shared" si="46"/>
        <v>2</v>
      </c>
      <c r="BE235" s="516">
        <f t="shared" si="47"/>
        <v>0</v>
      </c>
      <c r="BF235" s="692"/>
      <c r="BG235" s="692"/>
      <c r="BH235" s="692"/>
      <c r="BI235" s="692">
        <f t="shared" si="68"/>
        <v>5</v>
      </c>
      <c r="BJ235" s="692"/>
      <c r="BK235" s="692"/>
      <c r="BL235" s="692"/>
      <c r="BM235" s="692"/>
      <c r="BN235" s="692"/>
      <c r="BO235" s="692"/>
      <c r="BP235" s="692"/>
      <c r="BQ235" s="692">
        <f t="shared" si="49"/>
        <v>0</v>
      </c>
      <c r="BR235" s="692"/>
      <c r="BS235" s="692">
        <f t="shared" si="50"/>
        <v>0</v>
      </c>
      <c r="BT235" s="692">
        <f t="shared" si="51"/>
        <v>0</v>
      </c>
      <c r="BU235" s="692"/>
      <c r="BV235" s="692"/>
      <c r="BW235" s="692"/>
      <c r="BX235" s="692">
        <v>2</v>
      </c>
      <c r="BY235" s="692"/>
      <c r="BZ235" s="692"/>
      <c r="CA235" s="692"/>
      <c r="CB235" s="692">
        <v>1</v>
      </c>
      <c r="CC235" s="692"/>
      <c r="CD235" s="692">
        <f t="shared" si="52"/>
        <v>4</v>
      </c>
      <c r="CE235" s="692"/>
      <c r="CF235" s="692"/>
      <c r="CG235" s="692"/>
      <c r="CH235" s="692"/>
      <c r="CI235" s="692"/>
      <c r="CJ235" s="692"/>
      <c r="CK235" s="692"/>
      <c r="CL235" s="692"/>
      <c r="CM235" s="692"/>
      <c r="CN235" s="692"/>
      <c r="CO235" s="692"/>
      <c r="CP235" s="692"/>
      <c r="CQ235" s="692"/>
      <c r="CR235" s="692"/>
      <c r="CS235" s="692"/>
      <c r="CT235" s="692"/>
      <c r="CU235" s="692"/>
      <c r="CV235" s="692"/>
      <c r="CW235" s="692"/>
      <c r="CX235" s="694"/>
      <c r="CY235" s="694"/>
      <c r="CZ235" s="694"/>
      <c r="DA235" s="694"/>
      <c r="DB235" s="694"/>
      <c r="DC235" s="694"/>
      <c r="DD235" s="694"/>
      <c r="DE235" s="694"/>
      <c r="DF235" s="694"/>
      <c r="DG235" s="695"/>
      <c r="DH235" s="695"/>
      <c r="DI235" s="695"/>
      <c r="DJ235" s="695"/>
      <c r="DK235" s="695"/>
      <c r="DL235" s="695"/>
      <c r="DM235" s="695"/>
      <c r="DN235" s="695"/>
      <c r="DO235" s="695"/>
      <c r="DP235" s="695"/>
      <c r="DQ235" s="695"/>
      <c r="DR235" s="695"/>
      <c r="DS235" s="694"/>
      <c r="DT235" s="694"/>
      <c r="DU235" s="694"/>
      <c r="DV235" s="694"/>
      <c r="DW235" s="694"/>
      <c r="DX235" s="694"/>
      <c r="DY235" s="694"/>
      <c r="DZ235" s="694"/>
      <c r="EA235" s="694"/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4"/>
      <c r="FH235" s="694"/>
      <c r="FI235" s="694"/>
      <c r="FJ235" s="694"/>
      <c r="FK235" s="694"/>
      <c r="FL235" s="694"/>
      <c r="FM235" s="694"/>
      <c r="FN235" s="694"/>
      <c r="FO235" s="694"/>
      <c r="FP235" s="694"/>
      <c r="FQ235" s="697"/>
    </row>
    <row r="236" spans="1:173" s="696" customFormat="1">
      <c r="A236" s="690"/>
      <c r="B236" s="690"/>
      <c r="C236" s="691" t="s">
        <v>3639</v>
      </c>
      <c r="D236" s="691"/>
      <c r="E236" s="640">
        <v>27</v>
      </c>
      <c r="F236" s="692"/>
      <c r="G236" s="692"/>
      <c r="H236" s="692"/>
      <c r="I236" s="692"/>
      <c r="J236" s="692"/>
      <c r="K236" s="692"/>
      <c r="L236" s="692"/>
      <c r="M236" s="692"/>
      <c r="N236" s="692"/>
      <c r="O236" s="692">
        <f t="shared" si="69"/>
        <v>27</v>
      </c>
      <c r="P236" s="692"/>
      <c r="Q236" s="692"/>
      <c r="R236" s="693"/>
      <c r="S236" s="693"/>
      <c r="T236" s="693"/>
      <c r="U236" s="692" t="s">
        <v>2989</v>
      </c>
      <c r="V236" s="692"/>
      <c r="W236" s="692">
        <v>2</v>
      </c>
      <c r="X236" s="692"/>
      <c r="Y236" s="692"/>
      <c r="Z236" s="692"/>
      <c r="AA236" s="692"/>
      <c r="AB236" s="692"/>
      <c r="AC236" s="692"/>
      <c r="AD236" s="692"/>
      <c r="AE236" s="725">
        <v>1</v>
      </c>
      <c r="AF236" s="957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>
        <f t="shared" si="43"/>
        <v>1</v>
      </c>
      <c r="AX236" s="692"/>
      <c r="AY236" s="692"/>
      <c r="AZ236" s="516">
        <f t="shared" si="44"/>
        <v>2</v>
      </c>
      <c r="BA236" s="516">
        <f t="shared" si="45"/>
        <v>0</v>
      </c>
      <c r="BB236" s="516"/>
      <c r="BC236" s="516"/>
      <c r="BD236" s="516">
        <f t="shared" si="46"/>
        <v>2</v>
      </c>
      <c r="BE236" s="516">
        <f t="shared" si="47"/>
        <v>0</v>
      </c>
      <c r="BF236" s="692"/>
      <c r="BG236" s="692"/>
      <c r="BH236" s="692"/>
      <c r="BI236" s="692">
        <f t="shared" si="68"/>
        <v>5</v>
      </c>
      <c r="BJ236" s="692"/>
      <c r="BK236" s="692"/>
      <c r="BL236" s="692"/>
      <c r="BM236" s="692"/>
      <c r="BN236" s="692"/>
      <c r="BO236" s="692"/>
      <c r="BP236" s="692"/>
      <c r="BQ236" s="692">
        <f t="shared" si="49"/>
        <v>0</v>
      </c>
      <c r="BR236" s="692"/>
      <c r="BS236" s="692">
        <f t="shared" si="50"/>
        <v>0</v>
      </c>
      <c r="BT236" s="692">
        <f t="shared" si="51"/>
        <v>0</v>
      </c>
      <c r="BU236" s="692"/>
      <c r="BV236" s="692"/>
      <c r="BW236" s="692"/>
      <c r="BX236" s="692">
        <v>2</v>
      </c>
      <c r="BY236" s="692"/>
      <c r="BZ236" s="692"/>
      <c r="CA236" s="692"/>
      <c r="CB236" s="692">
        <v>1</v>
      </c>
      <c r="CC236" s="692"/>
      <c r="CD236" s="692">
        <f t="shared" si="52"/>
        <v>4</v>
      </c>
      <c r="CE236" s="692"/>
      <c r="CF236" s="692"/>
      <c r="CG236" s="692"/>
      <c r="CH236" s="692"/>
      <c r="CI236" s="692"/>
      <c r="CJ236" s="692"/>
      <c r="CK236" s="692"/>
      <c r="CL236" s="692"/>
      <c r="CM236" s="692"/>
      <c r="CN236" s="692"/>
      <c r="CO236" s="692"/>
      <c r="CP236" s="692"/>
      <c r="CQ236" s="692"/>
      <c r="CR236" s="692"/>
      <c r="CS236" s="692"/>
      <c r="CT236" s="692"/>
      <c r="CU236" s="692"/>
      <c r="CV236" s="692"/>
      <c r="CW236" s="692"/>
      <c r="CX236" s="694"/>
      <c r="CY236" s="694"/>
      <c r="CZ236" s="694"/>
      <c r="DA236" s="694"/>
      <c r="DB236" s="694"/>
      <c r="DC236" s="694"/>
      <c r="DD236" s="694"/>
      <c r="DE236" s="694"/>
      <c r="DF236" s="694"/>
      <c r="DG236" s="695"/>
      <c r="DH236" s="695"/>
      <c r="DI236" s="695"/>
      <c r="DJ236" s="695"/>
      <c r="DK236" s="695"/>
      <c r="DL236" s="695"/>
      <c r="DM236" s="695"/>
      <c r="DN236" s="695"/>
      <c r="DO236" s="695"/>
      <c r="DP236" s="695"/>
      <c r="DQ236" s="695"/>
      <c r="DR236" s="695"/>
      <c r="DS236" s="694"/>
      <c r="DT236" s="694"/>
      <c r="DU236" s="694"/>
      <c r="DV236" s="694"/>
      <c r="DW236" s="694"/>
      <c r="DX236" s="694"/>
      <c r="DY236" s="694"/>
      <c r="DZ236" s="694"/>
      <c r="EA236" s="694"/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4"/>
      <c r="FH236" s="694"/>
      <c r="FI236" s="694"/>
      <c r="FJ236" s="694"/>
      <c r="FK236" s="694"/>
      <c r="FL236" s="694"/>
      <c r="FM236" s="694"/>
      <c r="FN236" s="694"/>
      <c r="FO236" s="694"/>
      <c r="FP236" s="694"/>
      <c r="FQ236" s="697"/>
    </row>
    <row r="237" spans="1:173" s="696" customFormat="1">
      <c r="A237" s="690"/>
      <c r="B237" s="690"/>
      <c r="C237" s="691" t="s">
        <v>3640</v>
      </c>
      <c r="D237" s="691"/>
      <c r="E237" s="640">
        <v>30</v>
      </c>
      <c r="F237" s="692"/>
      <c r="G237" s="692"/>
      <c r="H237" s="692"/>
      <c r="I237" s="692"/>
      <c r="J237" s="692"/>
      <c r="K237" s="692"/>
      <c r="L237" s="692"/>
      <c r="M237" s="692"/>
      <c r="N237" s="692"/>
      <c r="O237" s="692">
        <f t="shared" si="69"/>
        <v>30</v>
      </c>
      <c r="P237" s="692"/>
      <c r="Q237" s="692"/>
      <c r="R237" s="693"/>
      <c r="S237" s="693"/>
      <c r="T237" s="693"/>
      <c r="U237" s="692" t="s">
        <v>1903</v>
      </c>
      <c r="V237" s="692"/>
      <c r="W237" s="692">
        <v>2</v>
      </c>
      <c r="X237" s="692"/>
      <c r="Y237" s="692"/>
      <c r="Z237" s="692"/>
      <c r="AA237" s="692"/>
      <c r="AB237" s="692"/>
      <c r="AC237" s="692"/>
      <c r="AD237" s="692"/>
      <c r="AE237" s="725">
        <v>1</v>
      </c>
      <c r="AF237" s="957"/>
      <c r="AG237" s="692"/>
      <c r="AH237" s="692"/>
      <c r="AI237" s="692"/>
      <c r="AJ237" s="692"/>
      <c r="AK237" s="692"/>
      <c r="AL237" s="692"/>
      <c r="AM237" s="692"/>
      <c r="AN237" s="692"/>
      <c r="AO237" s="692"/>
      <c r="AP237" s="692"/>
      <c r="AQ237" s="692"/>
      <c r="AR237" s="692"/>
      <c r="AS237" s="692"/>
      <c r="AT237" s="692"/>
      <c r="AU237" s="692"/>
      <c r="AV237" s="692"/>
      <c r="AW237" s="692">
        <f t="shared" si="43"/>
        <v>1</v>
      </c>
      <c r="AX237" s="692"/>
      <c r="AY237" s="692"/>
      <c r="AZ237" s="516">
        <f t="shared" si="44"/>
        <v>2</v>
      </c>
      <c r="BA237" s="516">
        <f t="shared" si="45"/>
        <v>0</v>
      </c>
      <c r="BB237" s="516"/>
      <c r="BC237" s="516"/>
      <c r="BD237" s="516">
        <f t="shared" si="46"/>
        <v>1</v>
      </c>
      <c r="BE237" s="516">
        <f t="shared" si="47"/>
        <v>0</v>
      </c>
      <c r="BF237" s="692"/>
      <c r="BG237" s="692"/>
      <c r="BH237" s="692"/>
      <c r="BI237" s="692">
        <f t="shared" si="68"/>
        <v>5</v>
      </c>
      <c r="BJ237" s="692"/>
      <c r="BK237" s="692"/>
      <c r="BL237" s="692"/>
      <c r="BM237" s="692"/>
      <c r="BN237" s="692"/>
      <c r="BO237" s="692"/>
      <c r="BP237" s="692"/>
      <c r="BQ237" s="692">
        <f t="shared" si="49"/>
        <v>1</v>
      </c>
      <c r="BR237" s="692"/>
      <c r="BS237" s="692">
        <f t="shared" si="50"/>
        <v>2</v>
      </c>
      <c r="BT237" s="692">
        <f t="shared" si="51"/>
        <v>0</v>
      </c>
      <c r="BU237" s="692"/>
      <c r="BV237" s="692"/>
      <c r="BW237" s="692"/>
      <c r="BX237" s="692"/>
      <c r="BY237" s="692"/>
      <c r="BZ237" s="692"/>
      <c r="CA237" s="692"/>
      <c r="CB237" s="692">
        <v>1</v>
      </c>
      <c r="CC237" s="692"/>
      <c r="CD237" s="692">
        <f t="shared" si="52"/>
        <v>4</v>
      </c>
      <c r="CE237" s="692"/>
      <c r="CF237" s="692"/>
      <c r="CG237" s="692"/>
      <c r="CH237" s="692"/>
      <c r="CI237" s="692"/>
      <c r="CJ237" s="692"/>
      <c r="CK237" s="692"/>
      <c r="CL237" s="692"/>
      <c r="CM237" s="692"/>
      <c r="CN237" s="692"/>
      <c r="CO237" s="692"/>
      <c r="CP237" s="692"/>
      <c r="CQ237" s="692"/>
      <c r="CR237" s="692"/>
      <c r="CS237" s="692"/>
      <c r="CT237" s="692"/>
      <c r="CU237" s="692"/>
      <c r="CV237" s="692"/>
      <c r="CW237" s="692"/>
      <c r="CX237" s="694"/>
      <c r="CY237" s="694"/>
      <c r="CZ237" s="694"/>
      <c r="DA237" s="694"/>
      <c r="DB237" s="694"/>
      <c r="DC237" s="694"/>
      <c r="DD237" s="694"/>
      <c r="DE237" s="694"/>
      <c r="DF237" s="694"/>
      <c r="DG237" s="695"/>
      <c r="DH237" s="695"/>
      <c r="DI237" s="695"/>
      <c r="DJ237" s="695"/>
      <c r="DK237" s="695"/>
      <c r="DL237" s="695"/>
      <c r="DM237" s="695"/>
      <c r="DN237" s="695"/>
      <c r="DO237" s="695"/>
      <c r="DP237" s="695"/>
      <c r="DQ237" s="695"/>
      <c r="DR237" s="695"/>
      <c r="DS237" s="694"/>
      <c r="DT237" s="694"/>
      <c r="DU237" s="694"/>
      <c r="DV237" s="694"/>
      <c r="DW237" s="694"/>
      <c r="DX237" s="694"/>
      <c r="DY237" s="694"/>
      <c r="DZ237" s="694"/>
      <c r="EA237" s="694"/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4"/>
      <c r="FH237" s="694"/>
      <c r="FI237" s="694"/>
      <c r="FJ237" s="694"/>
      <c r="FK237" s="694"/>
      <c r="FL237" s="694"/>
      <c r="FM237" s="694"/>
      <c r="FN237" s="694"/>
      <c r="FO237" s="694"/>
      <c r="FP237" s="694"/>
      <c r="FQ237" s="697"/>
    </row>
    <row r="238" spans="1:173" s="696" customFormat="1">
      <c r="A238" s="690"/>
      <c r="B238" s="690"/>
      <c r="C238" s="691" t="s">
        <v>3641</v>
      </c>
      <c r="D238" s="691"/>
      <c r="E238" s="640">
        <v>30</v>
      </c>
      <c r="F238" s="692"/>
      <c r="G238" s="692"/>
      <c r="H238" s="692"/>
      <c r="I238" s="692"/>
      <c r="J238" s="692"/>
      <c r="K238" s="692"/>
      <c r="L238" s="692"/>
      <c r="M238" s="692"/>
      <c r="N238" s="692"/>
      <c r="O238" s="692">
        <f t="shared" si="69"/>
        <v>30</v>
      </c>
      <c r="P238" s="692"/>
      <c r="Q238" s="692"/>
      <c r="R238" s="693"/>
      <c r="S238" s="693"/>
      <c r="T238" s="693"/>
      <c r="U238" s="692" t="s">
        <v>1631</v>
      </c>
      <c r="V238" s="692"/>
      <c r="W238" s="692">
        <v>1</v>
      </c>
      <c r="X238" s="692"/>
      <c r="Y238" s="692"/>
      <c r="Z238" s="692">
        <v>1</v>
      </c>
      <c r="AA238" s="692"/>
      <c r="AB238" s="692"/>
      <c r="AC238" s="692"/>
      <c r="AD238" s="692"/>
      <c r="AE238" s="725"/>
      <c r="AF238" s="957"/>
      <c r="AG238" s="692"/>
      <c r="AH238" s="692"/>
      <c r="AI238" s="692"/>
      <c r="AJ238" s="692"/>
      <c r="AK238" s="692"/>
      <c r="AL238" s="692"/>
      <c r="AM238" s="692"/>
      <c r="AN238" s="692"/>
      <c r="AO238" s="692"/>
      <c r="AP238" s="692"/>
      <c r="AQ238" s="692"/>
      <c r="AR238" s="692"/>
      <c r="AS238" s="692"/>
      <c r="AT238" s="692"/>
      <c r="AU238" s="692">
        <v>1</v>
      </c>
      <c r="AV238" s="692"/>
      <c r="AW238" s="692">
        <f t="shared" si="43"/>
        <v>1</v>
      </c>
      <c r="AX238" s="692"/>
      <c r="AY238" s="692"/>
      <c r="AZ238" s="516">
        <f t="shared" si="44"/>
        <v>2</v>
      </c>
      <c r="BA238" s="516">
        <f t="shared" si="45"/>
        <v>0</v>
      </c>
      <c r="BB238" s="516"/>
      <c r="BC238" s="516"/>
      <c r="BD238" s="516">
        <f t="shared" si="46"/>
        <v>1</v>
      </c>
      <c r="BE238" s="516">
        <f t="shared" si="47"/>
        <v>0</v>
      </c>
      <c r="BF238" s="692"/>
      <c r="BG238" s="692"/>
      <c r="BH238" s="692"/>
      <c r="BI238" s="692">
        <f t="shared" si="68"/>
        <v>7</v>
      </c>
      <c r="BJ238" s="692"/>
      <c r="BK238" s="692"/>
      <c r="BL238" s="692"/>
      <c r="BM238" s="692"/>
      <c r="BN238" s="692"/>
      <c r="BO238" s="692"/>
      <c r="BP238" s="692"/>
      <c r="BQ238" s="692">
        <f t="shared" si="49"/>
        <v>0</v>
      </c>
      <c r="BR238" s="692"/>
      <c r="BS238" s="692">
        <f t="shared" si="50"/>
        <v>1</v>
      </c>
      <c r="BT238" s="692">
        <f t="shared" si="51"/>
        <v>0</v>
      </c>
      <c r="BU238" s="692"/>
      <c r="BV238" s="692"/>
      <c r="BW238" s="692"/>
      <c r="BX238" s="692"/>
      <c r="BY238" s="692"/>
      <c r="BZ238" s="692"/>
      <c r="CA238" s="692"/>
      <c r="CB238" s="692">
        <v>1</v>
      </c>
      <c r="CC238" s="692"/>
      <c r="CD238" s="692">
        <f t="shared" si="52"/>
        <v>4</v>
      </c>
      <c r="CE238" s="692"/>
      <c r="CF238" s="692"/>
      <c r="CG238" s="692"/>
      <c r="CH238" s="692"/>
      <c r="CI238" s="692"/>
      <c r="CJ238" s="692"/>
      <c r="CK238" s="692"/>
      <c r="CL238" s="692"/>
      <c r="CM238" s="692"/>
      <c r="CN238" s="692"/>
      <c r="CO238" s="692"/>
      <c r="CP238" s="692"/>
      <c r="CQ238" s="692"/>
      <c r="CR238" s="692"/>
      <c r="CS238" s="692"/>
      <c r="CT238" s="692"/>
      <c r="CU238" s="692"/>
      <c r="CV238" s="692"/>
      <c r="CW238" s="692"/>
      <c r="CX238" s="694"/>
      <c r="CY238" s="694"/>
      <c r="CZ238" s="694"/>
      <c r="DA238" s="694"/>
      <c r="DB238" s="694"/>
      <c r="DC238" s="694"/>
      <c r="DD238" s="694"/>
      <c r="DE238" s="694"/>
      <c r="DF238" s="694"/>
      <c r="DG238" s="695"/>
      <c r="DH238" s="695"/>
      <c r="DI238" s="695"/>
      <c r="DJ238" s="695"/>
      <c r="DK238" s="695"/>
      <c r="DL238" s="695"/>
      <c r="DM238" s="695"/>
      <c r="DN238" s="695"/>
      <c r="DO238" s="695"/>
      <c r="DP238" s="695"/>
      <c r="DQ238" s="695"/>
      <c r="DR238" s="695"/>
      <c r="DS238" s="694"/>
      <c r="DT238" s="694"/>
      <c r="DU238" s="694"/>
      <c r="DV238" s="694"/>
      <c r="DW238" s="694"/>
      <c r="DX238" s="694"/>
      <c r="DY238" s="694"/>
      <c r="DZ238" s="694"/>
      <c r="EA238" s="694"/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4"/>
      <c r="FH238" s="694"/>
      <c r="FI238" s="694"/>
      <c r="FJ238" s="694"/>
      <c r="FK238" s="694"/>
      <c r="FL238" s="694"/>
      <c r="FM238" s="694"/>
      <c r="FN238" s="694"/>
      <c r="FO238" s="694"/>
      <c r="FP238" s="694"/>
      <c r="FQ238" s="697"/>
    </row>
    <row r="239" spans="1:173" s="696" customFormat="1">
      <c r="A239" s="690"/>
      <c r="B239" s="690"/>
      <c r="C239" s="691" t="s">
        <v>3647</v>
      </c>
      <c r="D239" s="691"/>
      <c r="E239" s="640">
        <v>30</v>
      </c>
      <c r="F239" s="692"/>
      <c r="G239" s="692"/>
      <c r="H239" s="692"/>
      <c r="I239" s="692"/>
      <c r="J239" s="692"/>
      <c r="K239" s="692"/>
      <c r="L239" s="692"/>
      <c r="M239" s="692"/>
      <c r="N239" s="692"/>
      <c r="O239" s="692">
        <f t="shared" si="69"/>
        <v>30</v>
      </c>
      <c r="P239" s="692"/>
      <c r="Q239" s="692"/>
      <c r="R239" s="693"/>
      <c r="S239" s="693"/>
      <c r="T239" s="693"/>
      <c r="U239" s="692" t="s">
        <v>2990</v>
      </c>
      <c r="V239" s="692"/>
      <c r="W239" s="692">
        <v>2</v>
      </c>
      <c r="X239" s="692"/>
      <c r="Y239" s="692"/>
      <c r="Z239" s="692"/>
      <c r="AA239" s="692"/>
      <c r="AB239" s="692"/>
      <c r="AC239" s="692"/>
      <c r="AD239" s="692"/>
      <c r="AE239" s="725">
        <v>1</v>
      </c>
      <c r="AF239" s="957"/>
      <c r="AG239" s="692"/>
      <c r="AH239" s="692"/>
      <c r="AI239" s="692"/>
      <c r="AJ239" s="692"/>
      <c r="AK239" s="692"/>
      <c r="AL239" s="692"/>
      <c r="AM239" s="692"/>
      <c r="AN239" s="692"/>
      <c r="AO239" s="692"/>
      <c r="AP239" s="692"/>
      <c r="AQ239" s="692"/>
      <c r="AR239" s="692"/>
      <c r="AS239" s="692"/>
      <c r="AT239" s="692"/>
      <c r="AU239" s="692"/>
      <c r="AV239" s="692"/>
      <c r="AW239" s="692">
        <f t="shared" si="43"/>
        <v>1</v>
      </c>
      <c r="AX239" s="692"/>
      <c r="AY239" s="692"/>
      <c r="AZ239" s="516">
        <f t="shared" si="44"/>
        <v>2</v>
      </c>
      <c r="BA239" s="516">
        <f t="shared" si="45"/>
        <v>0</v>
      </c>
      <c r="BB239" s="516"/>
      <c r="BC239" s="516"/>
      <c r="BD239" s="516">
        <f t="shared" si="46"/>
        <v>1</v>
      </c>
      <c r="BE239" s="516">
        <f t="shared" si="47"/>
        <v>0</v>
      </c>
      <c r="BF239" s="692"/>
      <c r="BG239" s="692"/>
      <c r="BH239" s="692"/>
      <c r="BI239" s="692">
        <f t="shared" si="68"/>
        <v>5</v>
      </c>
      <c r="BJ239" s="692"/>
      <c r="BK239" s="692"/>
      <c r="BL239" s="692"/>
      <c r="BM239" s="692"/>
      <c r="BN239" s="692"/>
      <c r="BO239" s="692"/>
      <c r="BP239" s="692"/>
      <c r="BQ239" s="692">
        <f t="shared" si="49"/>
        <v>0</v>
      </c>
      <c r="BR239" s="692"/>
      <c r="BS239" s="692">
        <f t="shared" si="50"/>
        <v>0</v>
      </c>
      <c r="BT239" s="692">
        <f t="shared" si="51"/>
        <v>0</v>
      </c>
      <c r="BU239" s="692"/>
      <c r="BV239" s="692"/>
      <c r="BW239" s="692"/>
      <c r="BX239" s="692">
        <v>1</v>
      </c>
      <c r="BY239" s="692"/>
      <c r="BZ239" s="692"/>
      <c r="CA239" s="692"/>
      <c r="CB239" s="692">
        <v>1</v>
      </c>
      <c r="CC239" s="692"/>
      <c r="CD239" s="692">
        <f t="shared" si="52"/>
        <v>4</v>
      </c>
      <c r="CE239" s="692"/>
      <c r="CF239" s="692"/>
      <c r="CG239" s="692"/>
      <c r="CH239" s="692"/>
      <c r="CI239" s="692"/>
      <c r="CJ239" s="692"/>
      <c r="CK239" s="692"/>
      <c r="CL239" s="692"/>
      <c r="CM239" s="692"/>
      <c r="CN239" s="692"/>
      <c r="CO239" s="692"/>
      <c r="CP239" s="692"/>
      <c r="CQ239" s="692"/>
      <c r="CR239" s="692"/>
      <c r="CS239" s="692"/>
      <c r="CT239" s="692"/>
      <c r="CU239" s="692"/>
      <c r="CV239" s="692"/>
      <c r="CW239" s="692"/>
      <c r="CX239" s="694"/>
      <c r="CY239" s="694"/>
      <c r="CZ239" s="694"/>
      <c r="DA239" s="694"/>
      <c r="DB239" s="694"/>
      <c r="DC239" s="694"/>
      <c r="DD239" s="694"/>
      <c r="DE239" s="694"/>
      <c r="DF239" s="694"/>
      <c r="DG239" s="695"/>
      <c r="DH239" s="695"/>
      <c r="DI239" s="695"/>
      <c r="DJ239" s="695"/>
      <c r="DK239" s="695"/>
      <c r="DL239" s="695"/>
      <c r="DM239" s="695"/>
      <c r="DN239" s="695"/>
      <c r="DO239" s="695"/>
      <c r="DP239" s="695"/>
      <c r="DQ239" s="695"/>
      <c r="DR239" s="695"/>
      <c r="DS239" s="694"/>
      <c r="DT239" s="694"/>
      <c r="DU239" s="694"/>
      <c r="DV239" s="694"/>
      <c r="DW239" s="694"/>
      <c r="DX239" s="694"/>
      <c r="DY239" s="694"/>
      <c r="DZ239" s="694"/>
      <c r="EA239" s="694"/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4"/>
      <c r="FH239" s="694"/>
      <c r="FI239" s="694"/>
      <c r="FJ239" s="694"/>
      <c r="FK239" s="694"/>
      <c r="FL239" s="694"/>
      <c r="FM239" s="694"/>
      <c r="FN239" s="694"/>
      <c r="FO239" s="694"/>
      <c r="FP239" s="694"/>
      <c r="FQ239" s="697"/>
    </row>
    <row r="240" spans="1:173" s="696" customFormat="1">
      <c r="A240" s="690"/>
      <c r="B240" s="690"/>
      <c r="C240" s="691"/>
      <c r="D240" s="691"/>
      <c r="E240" s="692"/>
      <c r="F240" s="692"/>
      <c r="G240" s="692"/>
      <c r="H240" s="692"/>
      <c r="I240" s="692"/>
      <c r="J240" s="692"/>
      <c r="K240" s="692"/>
      <c r="L240" s="692"/>
      <c r="M240" s="692"/>
      <c r="N240" s="692"/>
      <c r="O240" s="692"/>
      <c r="P240" s="692">
        <f t="shared" si="42"/>
        <v>0</v>
      </c>
      <c r="Q240" s="692"/>
      <c r="R240" s="693"/>
      <c r="S240" s="693"/>
      <c r="T240" s="693"/>
      <c r="U240" s="692"/>
      <c r="V240" s="692"/>
      <c r="W240" s="692"/>
      <c r="X240" s="692"/>
      <c r="Y240" s="692"/>
      <c r="Z240" s="692"/>
      <c r="AA240" s="692"/>
      <c r="AB240" s="692"/>
      <c r="AC240" s="692"/>
      <c r="AD240" s="692"/>
      <c r="AE240" s="725"/>
      <c r="AF240" s="957"/>
      <c r="AG240" s="692"/>
      <c r="AH240" s="692"/>
      <c r="AI240" s="692"/>
      <c r="AJ240" s="692"/>
      <c r="AK240" s="692"/>
      <c r="AL240" s="692"/>
      <c r="AM240" s="692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>
        <f t="shared" si="43"/>
        <v>0</v>
      </c>
      <c r="AX240" s="692"/>
      <c r="AY240" s="692"/>
      <c r="AZ240" s="516"/>
      <c r="BA240" s="516"/>
      <c r="BB240" s="516"/>
      <c r="BC240" s="516"/>
      <c r="BD240" s="516"/>
      <c r="BE240" s="516"/>
      <c r="BF240" s="692"/>
      <c r="BG240" s="692"/>
      <c r="BH240" s="692"/>
      <c r="BI240" s="692">
        <f t="shared" si="68"/>
        <v>0</v>
      </c>
      <c r="BJ240" s="692">
        <f t="shared" si="48"/>
        <v>0</v>
      </c>
      <c r="BK240" s="692"/>
      <c r="BL240" s="692"/>
      <c r="BM240" s="692"/>
      <c r="BN240" s="692"/>
      <c r="BO240" s="692"/>
      <c r="BP240" s="692"/>
      <c r="BQ240" s="692">
        <f t="shared" si="49"/>
        <v>0</v>
      </c>
      <c r="BR240" s="692"/>
      <c r="BS240" s="692">
        <f t="shared" si="50"/>
        <v>0</v>
      </c>
      <c r="BT240" s="692">
        <f t="shared" si="51"/>
        <v>0</v>
      </c>
      <c r="BU240" s="692"/>
      <c r="BV240" s="692"/>
      <c r="BW240" s="692"/>
      <c r="BX240" s="692"/>
      <c r="BY240" s="692"/>
      <c r="BZ240" s="692"/>
      <c r="CA240" s="692"/>
      <c r="CB240" s="692"/>
      <c r="CC240" s="692"/>
      <c r="CD240" s="692">
        <f t="shared" si="52"/>
        <v>0</v>
      </c>
      <c r="CE240" s="692"/>
      <c r="CF240" s="692"/>
      <c r="CG240" s="692"/>
      <c r="CH240" s="692"/>
      <c r="CI240" s="692"/>
      <c r="CJ240" s="692"/>
      <c r="CK240" s="692"/>
      <c r="CL240" s="692"/>
      <c r="CM240" s="692"/>
      <c r="CN240" s="692"/>
      <c r="CO240" s="692"/>
      <c r="CP240" s="692"/>
      <c r="CQ240" s="692"/>
      <c r="CR240" s="692"/>
      <c r="CS240" s="692"/>
      <c r="CT240" s="692"/>
      <c r="CU240" s="692"/>
      <c r="CV240" s="692"/>
      <c r="CW240" s="692"/>
      <c r="CX240" s="694"/>
      <c r="CY240" s="694"/>
      <c r="CZ240" s="694"/>
      <c r="DA240" s="694"/>
      <c r="DB240" s="694"/>
      <c r="DC240" s="694"/>
      <c r="DD240" s="694"/>
      <c r="DE240" s="694"/>
      <c r="DF240" s="694"/>
      <c r="DG240" s="695"/>
      <c r="DH240" s="695"/>
      <c r="DI240" s="695"/>
      <c r="DJ240" s="695"/>
      <c r="DK240" s="695"/>
      <c r="DL240" s="695"/>
      <c r="DM240" s="695"/>
      <c r="DN240" s="695"/>
      <c r="DO240" s="695"/>
      <c r="DP240" s="695"/>
      <c r="DQ240" s="695"/>
      <c r="DR240" s="695"/>
      <c r="DS240" s="694"/>
      <c r="DT240" s="694"/>
      <c r="DU240" s="694"/>
      <c r="DV240" s="694"/>
      <c r="DW240" s="694"/>
      <c r="DX240" s="694"/>
      <c r="DY240" s="694"/>
      <c r="DZ240" s="694"/>
      <c r="EA240" s="694"/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4"/>
      <c r="FH240" s="694"/>
      <c r="FI240" s="694"/>
      <c r="FJ240" s="694"/>
      <c r="FK240" s="694"/>
      <c r="FL240" s="694"/>
      <c r="FM240" s="694"/>
      <c r="FN240" s="694"/>
      <c r="FO240" s="694"/>
      <c r="FP240" s="694"/>
      <c r="FQ240" s="697"/>
    </row>
    <row r="241" spans="1:177" s="696" customFormat="1">
      <c r="A241" s="690"/>
      <c r="B241" s="690"/>
      <c r="C241" s="691"/>
      <c r="D241" s="699" t="s">
        <v>3696</v>
      </c>
      <c r="E241" s="692"/>
      <c r="F241" s="692"/>
      <c r="G241" s="692"/>
      <c r="H241" s="692"/>
      <c r="I241" s="692"/>
      <c r="J241" s="692"/>
      <c r="K241" s="692"/>
      <c r="L241" s="692"/>
      <c r="M241" s="692"/>
      <c r="N241" s="692"/>
      <c r="O241" s="692"/>
      <c r="P241" s="692"/>
      <c r="Q241" s="692"/>
      <c r="R241" s="693"/>
      <c r="S241" s="693"/>
      <c r="T241" s="693"/>
      <c r="U241" s="692"/>
      <c r="V241" s="692"/>
      <c r="W241" s="692"/>
      <c r="X241" s="692"/>
      <c r="Y241" s="692"/>
      <c r="Z241" s="692"/>
      <c r="AA241" s="692"/>
      <c r="AB241" s="692"/>
      <c r="AC241" s="692"/>
      <c r="AD241" s="692"/>
      <c r="AE241" s="725"/>
      <c r="AF241" s="957"/>
      <c r="AG241" s="692"/>
      <c r="AH241" s="692"/>
      <c r="AI241" s="692"/>
      <c r="AJ241" s="692"/>
      <c r="AK241" s="692"/>
      <c r="AL241" s="692"/>
      <c r="AM241" s="692"/>
      <c r="AN241" s="692"/>
      <c r="AO241" s="692"/>
      <c r="AP241" s="692"/>
      <c r="AQ241" s="692"/>
      <c r="AR241" s="692"/>
      <c r="AS241" s="692"/>
      <c r="AT241" s="692"/>
      <c r="AU241" s="692"/>
      <c r="AV241" s="692"/>
      <c r="AW241" s="692">
        <f t="shared" si="43"/>
        <v>0</v>
      </c>
      <c r="AX241" s="692"/>
      <c r="AY241" s="692"/>
      <c r="AZ241" s="516"/>
      <c r="BA241" s="516"/>
      <c r="BB241" s="516"/>
      <c r="BC241" s="516"/>
      <c r="BD241" s="516"/>
      <c r="BE241" s="516"/>
      <c r="BF241" s="692"/>
      <c r="BG241" s="692"/>
      <c r="BH241" s="692"/>
      <c r="BI241" s="692">
        <f t="shared" si="68"/>
        <v>0</v>
      </c>
      <c r="BJ241" s="692">
        <f t="shared" si="48"/>
        <v>0</v>
      </c>
      <c r="BK241" s="692"/>
      <c r="BL241" s="692"/>
      <c r="BM241" s="692"/>
      <c r="BN241" s="692"/>
      <c r="BO241" s="692"/>
      <c r="BP241" s="692"/>
      <c r="BQ241" s="692">
        <f t="shared" si="49"/>
        <v>0</v>
      </c>
      <c r="BR241" s="692"/>
      <c r="BS241" s="692">
        <f t="shared" si="50"/>
        <v>0</v>
      </c>
      <c r="BT241" s="692">
        <f t="shared" si="51"/>
        <v>0</v>
      </c>
      <c r="BU241" s="692"/>
      <c r="BV241" s="692"/>
      <c r="BW241" s="692"/>
      <c r="BX241" s="692"/>
      <c r="BY241" s="692"/>
      <c r="BZ241" s="692"/>
      <c r="CA241" s="692"/>
      <c r="CB241" s="692"/>
      <c r="CC241" s="692"/>
      <c r="CD241" s="692">
        <f t="shared" si="52"/>
        <v>0</v>
      </c>
      <c r="CE241" s="692"/>
      <c r="CF241" s="692"/>
      <c r="CG241" s="692"/>
      <c r="CH241" s="692"/>
      <c r="CI241" s="692"/>
      <c r="CJ241" s="692"/>
      <c r="CK241" s="692"/>
      <c r="CL241" s="692"/>
      <c r="CM241" s="692"/>
      <c r="CN241" s="692"/>
      <c r="CO241" s="692"/>
      <c r="CP241" s="692"/>
      <c r="CQ241" s="692"/>
      <c r="CR241" s="692"/>
      <c r="CS241" s="692"/>
      <c r="CT241" s="692"/>
      <c r="CU241" s="692"/>
      <c r="CV241" s="692"/>
      <c r="CW241" s="692"/>
      <c r="CX241" s="694"/>
      <c r="CY241" s="694"/>
      <c r="CZ241" s="694"/>
      <c r="DA241" s="694"/>
      <c r="DB241" s="694"/>
      <c r="DC241" s="694"/>
      <c r="DD241" s="694"/>
      <c r="DE241" s="694"/>
      <c r="DF241" s="694"/>
      <c r="DG241" s="695"/>
      <c r="DH241" s="695"/>
      <c r="DI241" s="695"/>
      <c r="DJ241" s="695"/>
      <c r="DK241" s="695"/>
      <c r="DL241" s="695"/>
      <c r="DM241" s="695"/>
      <c r="DN241" s="695"/>
      <c r="DO241" s="695"/>
      <c r="DP241" s="695"/>
      <c r="DQ241" s="695"/>
      <c r="DR241" s="695"/>
      <c r="DS241" s="694"/>
      <c r="DT241" s="694"/>
      <c r="DU241" s="694"/>
      <c r="DV241" s="694"/>
      <c r="DW241" s="694"/>
      <c r="DX241" s="694"/>
      <c r="DY241" s="694"/>
      <c r="DZ241" s="694"/>
      <c r="EA241" s="694"/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4"/>
      <c r="FH241" s="694"/>
      <c r="FI241" s="694"/>
      <c r="FJ241" s="694"/>
      <c r="FK241" s="694"/>
      <c r="FL241" s="694"/>
      <c r="FM241" s="694"/>
      <c r="FN241" s="694"/>
      <c r="FO241" s="694"/>
      <c r="FP241" s="694"/>
      <c r="FQ241" s="697"/>
    </row>
    <row r="242" spans="1:177" s="696" customFormat="1">
      <c r="A242" s="690"/>
      <c r="B242" s="690"/>
      <c r="C242" s="691" t="s">
        <v>3811</v>
      </c>
      <c r="D242" s="691"/>
      <c r="E242" s="692">
        <v>5</v>
      </c>
      <c r="F242" s="692"/>
      <c r="G242" s="692"/>
      <c r="H242" s="692"/>
      <c r="I242" s="692"/>
      <c r="J242" s="692"/>
      <c r="K242" s="692"/>
      <c r="L242" s="692"/>
      <c r="M242" s="692"/>
      <c r="N242" s="692"/>
      <c r="O242" s="692">
        <f>E242</f>
        <v>5</v>
      </c>
      <c r="P242" s="692"/>
      <c r="Q242" s="692"/>
      <c r="R242" s="693"/>
      <c r="S242" s="693"/>
      <c r="T242" s="693"/>
      <c r="U242" s="692" t="s">
        <v>2989</v>
      </c>
      <c r="V242" s="692"/>
      <c r="W242" s="692"/>
      <c r="X242" s="692"/>
      <c r="Y242" s="692"/>
      <c r="Z242" s="692"/>
      <c r="AA242" s="692"/>
      <c r="AB242" s="692"/>
      <c r="AC242" s="692"/>
      <c r="AD242" s="692"/>
      <c r="AE242" s="725"/>
      <c r="AF242" s="957"/>
      <c r="AG242" s="692"/>
      <c r="AH242" s="692"/>
      <c r="AI242" s="692"/>
      <c r="AJ242" s="692"/>
      <c r="AK242" s="692"/>
      <c r="AL242" s="692"/>
      <c r="AM242" s="692"/>
      <c r="AN242" s="692"/>
      <c r="AO242" s="692"/>
      <c r="AP242" s="692"/>
      <c r="AQ242" s="692"/>
      <c r="AR242" s="692"/>
      <c r="AS242" s="692"/>
      <c r="AT242" s="692"/>
      <c r="AU242" s="692"/>
      <c r="AV242" s="692"/>
      <c r="AW242" s="692">
        <f t="shared" si="43"/>
        <v>0</v>
      </c>
      <c r="AX242" s="692"/>
      <c r="AY242" s="692"/>
      <c r="AZ242" s="516">
        <f t="shared" si="44"/>
        <v>0</v>
      </c>
      <c r="BA242" s="516">
        <f t="shared" si="45"/>
        <v>0</v>
      </c>
      <c r="BB242" s="516"/>
      <c r="BC242" s="516"/>
      <c r="BD242" s="516">
        <f t="shared" si="46"/>
        <v>2</v>
      </c>
      <c r="BE242" s="516">
        <f t="shared" si="47"/>
        <v>0</v>
      </c>
      <c r="BF242" s="692"/>
      <c r="BG242" s="692"/>
      <c r="BH242" s="692"/>
      <c r="BI242" s="692">
        <f t="shared" si="68"/>
        <v>0</v>
      </c>
      <c r="BJ242" s="692">
        <f t="shared" si="48"/>
        <v>0</v>
      </c>
      <c r="BK242" s="692"/>
      <c r="BL242" s="692"/>
      <c r="BM242" s="692"/>
      <c r="BN242" s="692"/>
      <c r="BO242" s="692"/>
      <c r="BP242" s="692"/>
      <c r="BQ242" s="692">
        <f t="shared" si="49"/>
        <v>0</v>
      </c>
      <c r="BR242" s="692"/>
      <c r="BS242" s="692">
        <f t="shared" si="50"/>
        <v>0</v>
      </c>
      <c r="BT242" s="692">
        <f t="shared" si="51"/>
        <v>0</v>
      </c>
      <c r="BU242" s="692"/>
      <c r="BV242" s="692"/>
      <c r="BW242" s="692"/>
      <c r="BX242" s="692">
        <v>2</v>
      </c>
      <c r="BY242" s="692"/>
      <c r="BZ242" s="692"/>
      <c r="CA242" s="692"/>
      <c r="CB242" s="692"/>
      <c r="CC242" s="692"/>
      <c r="CD242" s="692">
        <f t="shared" si="52"/>
        <v>0</v>
      </c>
      <c r="CE242" s="692"/>
      <c r="CF242" s="692"/>
      <c r="CG242" s="692"/>
      <c r="CH242" s="692"/>
      <c r="CI242" s="692"/>
      <c r="CJ242" s="692"/>
      <c r="CK242" s="692"/>
      <c r="CL242" s="692"/>
      <c r="CM242" s="692"/>
      <c r="CN242" s="692"/>
      <c r="CO242" s="692"/>
      <c r="CP242" s="692"/>
      <c r="CQ242" s="692"/>
      <c r="CR242" s="692"/>
      <c r="CS242" s="692"/>
      <c r="CT242" s="692"/>
      <c r="CU242" s="692"/>
      <c r="CV242" s="692"/>
      <c r="CW242" s="692"/>
      <c r="CX242" s="694"/>
      <c r="CY242" s="694"/>
      <c r="CZ242" s="694"/>
      <c r="DA242" s="694"/>
      <c r="DB242" s="694"/>
      <c r="DC242" s="694"/>
      <c r="DD242" s="694"/>
      <c r="DE242" s="694"/>
      <c r="DF242" s="694"/>
      <c r="DG242" s="695"/>
      <c r="DH242" s="695"/>
      <c r="DI242" s="695"/>
      <c r="DJ242" s="695"/>
      <c r="DK242" s="695"/>
      <c r="DL242" s="695"/>
      <c r="DM242" s="695"/>
      <c r="DN242" s="695"/>
      <c r="DO242" s="695"/>
      <c r="DP242" s="695"/>
      <c r="DQ242" s="695"/>
      <c r="DR242" s="695"/>
      <c r="DS242" s="694"/>
      <c r="DT242" s="694"/>
      <c r="DU242" s="694"/>
      <c r="DV242" s="694"/>
      <c r="DW242" s="694"/>
      <c r="DX242" s="694"/>
      <c r="DY242" s="694"/>
      <c r="DZ242" s="694"/>
      <c r="EA242" s="694"/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4"/>
      <c r="FH242" s="694"/>
      <c r="FI242" s="694"/>
      <c r="FJ242" s="694"/>
      <c r="FK242" s="694"/>
      <c r="FL242" s="694"/>
      <c r="FM242" s="694"/>
      <c r="FN242" s="694"/>
      <c r="FO242" s="694"/>
      <c r="FP242" s="694"/>
      <c r="FQ242" s="697"/>
    </row>
    <row r="243" spans="1:177" s="696" customFormat="1">
      <c r="A243" s="690"/>
      <c r="B243" s="690"/>
      <c r="C243" s="691" t="s">
        <v>3632</v>
      </c>
      <c r="D243" s="691"/>
      <c r="E243" s="692">
        <v>6.8</v>
      </c>
      <c r="F243" s="692"/>
      <c r="G243" s="692"/>
      <c r="H243" s="692"/>
      <c r="I243" s="692"/>
      <c r="J243" s="692"/>
      <c r="K243" s="692"/>
      <c r="L243" s="692"/>
      <c r="M243" s="692"/>
      <c r="N243" s="692"/>
      <c r="O243" s="692">
        <f t="shared" ref="O243:O253" si="70">E243</f>
        <v>6.8</v>
      </c>
      <c r="P243" s="692"/>
      <c r="Q243" s="692"/>
      <c r="R243" s="693"/>
      <c r="S243" s="693"/>
      <c r="T243" s="693"/>
      <c r="U243" s="692" t="s">
        <v>2989</v>
      </c>
      <c r="V243" s="692"/>
      <c r="W243" s="692"/>
      <c r="X243" s="692"/>
      <c r="Y243" s="692"/>
      <c r="Z243" s="692"/>
      <c r="AA243" s="692"/>
      <c r="AB243" s="692"/>
      <c r="AC243" s="692"/>
      <c r="AD243" s="692"/>
      <c r="AE243" s="725"/>
      <c r="AF243" s="957"/>
      <c r="AG243" s="692"/>
      <c r="AH243" s="692"/>
      <c r="AI243" s="692"/>
      <c r="AJ243" s="692"/>
      <c r="AK243" s="692"/>
      <c r="AL243" s="692"/>
      <c r="AM243" s="692"/>
      <c r="AN243" s="692"/>
      <c r="AO243" s="692"/>
      <c r="AP243" s="692"/>
      <c r="AQ243" s="692"/>
      <c r="AR243" s="692"/>
      <c r="AS243" s="692"/>
      <c r="AT243" s="692"/>
      <c r="AU243" s="692"/>
      <c r="AV243" s="692"/>
      <c r="AW243" s="692">
        <f t="shared" si="43"/>
        <v>0</v>
      </c>
      <c r="AX243" s="692"/>
      <c r="AY243" s="692"/>
      <c r="AZ243" s="516">
        <f t="shared" si="44"/>
        <v>0</v>
      </c>
      <c r="BA243" s="516">
        <f t="shared" si="45"/>
        <v>0</v>
      </c>
      <c r="BB243" s="516"/>
      <c r="BC243" s="516"/>
      <c r="BD243" s="516">
        <f t="shared" si="46"/>
        <v>2</v>
      </c>
      <c r="BE243" s="516">
        <f t="shared" si="47"/>
        <v>0</v>
      </c>
      <c r="BF243" s="692"/>
      <c r="BG243" s="692"/>
      <c r="BH243" s="692"/>
      <c r="BI243" s="692">
        <f t="shared" si="68"/>
        <v>0</v>
      </c>
      <c r="BJ243" s="692">
        <f t="shared" si="48"/>
        <v>0</v>
      </c>
      <c r="BK243" s="692"/>
      <c r="BL243" s="692"/>
      <c r="BM243" s="692"/>
      <c r="BN243" s="692"/>
      <c r="BO243" s="692"/>
      <c r="BP243" s="692"/>
      <c r="BQ243" s="692">
        <f t="shared" si="49"/>
        <v>0</v>
      </c>
      <c r="BR243" s="692"/>
      <c r="BS243" s="692">
        <f t="shared" si="50"/>
        <v>0</v>
      </c>
      <c r="BT243" s="692">
        <f t="shared" si="51"/>
        <v>0</v>
      </c>
      <c r="BU243" s="692"/>
      <c r="BV243" s="692"/>
      <c r="BW243" s="692"/>
      <c r="BX243" s="692">
        <v>2</v>
      </c>
      <c r="BY243" s="692"/>
      <c r="BZ243" s="692"/>
      <c r="CA243" s="692"/>
      <c r="CB243" s="692"/>
      <c r="CC243" s="692"/>
      <c r="CD243" s="692">
        <f t="shared" si="52"/>
        <v>0</v>
      </c>
      <c r="CE243" s="692"/>
      <c r="CF243" s="692"/>
      <c r="CG243" s="692"/>
      <c r="CH243" s="692"/>
      <c r="CI243" s="692"/>
      <c r="CJ243" s="692"/>
      <c r="CK243" s="692"/>
      <c r="CL243" s="692"/>
      <c r="CM243" s="692"/>
      <c r="CN243" s="692"/>
      <c r="CO243" s="692"/>
      <c r="CP243" s="692"/>
      <c r="CQ243" s="692"/>
      <c r="CR243" s="692"/>
      <c r="CS243" s="692"/>
      <c r="CT243" s="692"/>
      <c r="CU243" s="692"/>
      <c r="CV243" s="692"/>
      <c r="CW243" s="692"/>
      <c r="CX243" s="694"/>
      <c r="CY243" s="694"/>
      <c r="CZ243" s="694"/>
      <c r="DA243" s="694"/>
      <c r="DB243" s="694"/>
      <c r="DC243" s="694"/>
      <c r="DD243" s="694"/>
      <c r="DE243" s="694"/>
      <c r="DF243" s="694"/>
      <c r="DG243" s="695"/>
      <c r="DH243" s="695"/>
      <c r="DI243" s="695"/>
      <c r="DJ243" s="695"/>
      <c r="DK243" s="695"/>
      <c r="DL243" s="695"/>
      <c r="DM243" s="695"/>
      <c r="DN243" s="695"/>
      <c r="DO243" s="695"/>
      <c r="DP243" s="695"/>
      <c r="DQ243" s="695"/>
      <c r="DR243" s="695"/>
      <c r="DS243" s="694"/>
      <c r="DT243" s="694"/>
      <c r="DU243" s="694"/>
      <c r="DV243" s="694"/>
      <c r="DW243" s="694"/>
      <c r="DX243" s="694"/>
      <c r="DY243" s="694"/>
      <c r="DZ243" s="694"/>
      <c r="EA243" s="694"/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4"/>
      <c r="FH243" s="694"/>
      <c r="FI243" s="694"/>
      <c r="FJ243" s="694"/>
      <c r="FK243" s="694"/>
      <c r="FL243" s="694"/>
      <c r="FM243" s="694"/>
      <c r="FN243" s="694"/>
      <c r="FO243" s="694"/>
      <c r="FP243" s="694"/>
      <c r="FQ243" s="697"/>
    </row>
    <row r="244" spans="1:177" s="696" customFormat="1">
      <c r="A244" s="690"/>
      <c r="B244" s="690"/>
      <c r="C244" s="691" t="s">
        <v>3633</v>
      </c>
      <c r="D244" s="691"/>
      <c r="E244" s="692">
        <v>41.5</v>
      </c>
      <c r="F244" s="692"/>
      <c r="G244" s="692"/>
      <c r="H244" s="692"/>
      <c r="I244" s="692"/>
      <c r="J244" s="692"/>
      <c r="K244" s="692"/>
      <c r="L244" s="692"/>
      <c r="M244" s="692"/>
      <c r="N244" s="692"/>
      <c r="O244" s="692">
        <f t="shared" si="70"/>
        <v>41.5</v>
      </c>
      <c r="P244" s="692"/>
      <c r="Q244" s="692"/>
      <c r="R244" s="693"/>
      <c r="S244" s="693"/>
      <c r="T244" s="693"/>
      <c r="U244" s="692" t="s">
        <v>1903</v>
      </c>
      <c r="V244" s="692"/>
      <c r="W244" s="692"/>
      <c r="X244" s="692"/>
      <c r="Y244" s="692"/>
      <c r="Z244" s="692"/>
      <c r="AA244" s="692"/>
      <c r="AB244" s="692"/>
      <c r="AC244" s="692"/>
      <c r="AD244" s="692"/>
      <c r="AE244" s="725"/>
      <c r="AF244" s="957"/>
      <c r="AG244" s="692"/>
      <c r="AH244" s="692"/>
      <c r="AI244" s="692"/>
      <c r="AJ244" s="692"/>
      <c r="AK244" s="692"/>
      <c r="AL244" s="692"/>
      <c r="AM244" s="692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>
        <f t="shared" si="43"/>
        <v>1</v>
      </c>
      <c r="AX244" s="692"/>
      <c r="AY244" s="692"/>
      <c r="AZ244" s="516">
        <f t="shared" si="44"/>
        <v>2</v>
      </c>
      <c r="BA244" s="516">
        <f t="shared" si="45"/>
        <v>0</v>
      </c>
      <c r="BB244" s="516"/>
      <c r="BC244" s="516"/>
      <c r="BD244" s="516">
        <f t="shared" si="46"/>
        <v>1</v>
      </c>
      <c r="BE244" s="516">
        <f t="shared" si="47"/>
        <v>0</v>
      </c>
      <c r="BF244" s="692"/>
      <c r="BG244" s="692"/>
      <c r="BH244" s="692"/>
      <c r="BI244" s="692">
        <f t="shared" ref="BI244:BI253" si="71">CB244*5+AU244*2</f>
        <v>5</v>
      </c>
      <c r="BJ244" s="692"/>
      <c r="BK244" s="692"/>
      <c r="BL244" s="692"/>
      <c r="BM244" s="692"/>
      <c r="BN244" s="692"/>
      <c r="BO244" s="692"/>
      <c r="BP244" s="692"/>
      <c r="BQ244" s="692">
        <f t="shared" si="49"/>
        <v>1</v>
      </c>
      <c r="BR244" s="692"/>
      <c r="BS244" s="692">
        <f t="shared" si="50"/>
        <v>2</v>
      </c>
      <c r="BT244" s="692">
        <f t="shared" si="51"/>
        <v>0</v>
      </c>
      <c r="BU244" s="692"/>
      <c r="BV244" s="692"/>
      <c r="BW244" s="692"/>
      <c r="BX244" s="692"/>
      <c r="BY244" s="692"/>
      <c r="BZ244" s="692"/>
      <c r="CA244" s="692"/>
      <c r="CB244" s="692">
        <v>1</v>
      </c>
      <c r="CC244" s="692"/>
      <c r="CD244" s="692">
        <f t="shared" si="52"/>
        <v>4</v>
      </c>
      <c r="CE244" s="692"/>
      <c r="CF244" s="692"/>
      <c r="CG244" s="692"/>
      <c r="CH244" s="692"/>
      <c r="CI244" s="692"/>
      <c r="CJ244" s="692"/>
      <c r="CK244" s="692"/>
      <c r="CL244" s="692"/>
      <c r="CM244" s="692"/>
      <c r="CN244" s="692"/>
      <c r="CO244" s="692"/>
      <c r="CP244" s="692"/>
      <c r="CQ244" s="692"/>
      <c r="CR244" s="692"/>
      <c r="CS244" s="692"/>
      <c r="CT244" s="692"/>
      <c r="CU244" s="692"/>
      <c r="CV244" s="692"/>
      <c r="CW244" s="692"/>
      <c r="CX244" s="694"/>
      <c r="CY244" s="694"/>
      <c r="CZ244" s="694"/>
      <c r="DA244" s="694"/>
      <c r="DB244" s="694"/>
      <c r="DC244" s="694"/>
      <c r="DD244" s="694"/>
      <c r="DE244" s="694"/>
      <c r="DF244" s="694"/>
      <c r="DG244" s="695"/>
      <c r="DH244" s="695"/>
      <c r="DI244" s="695"/>
      <c r="DJ244" s="695"/>
      <c r="DK244" s="695"/>
      <c r="DL244" s="695"/>
      <c r="DM244" s="695"/>
      <c r="DN244" s="695"/>
      <c r="DO244" s="695"/>
      <c r="DP244" s="695"/>
      <c r="DQ244" s="695"/>
      <c r="DR244" s="695"/>
      <c r="DS244" s="694"/>
      <c r="DT244" s="694"/>
      <c r="DU244" s="694"/>
      <c r="DV244" s="694"/>
      <c r="DW244" s="694"/>
      <c r="DX244" s="694"/>
      <c r="DY244" s="694"/>
      <c r="DZ244" s="694"/>
      <c r="EA244" s="694"/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4"/>
      <c r="FH244" s="694"/>
      <c r="FI244" s="694"/>
      <c r="FJ244" s="694"/>
      <c r="FK244" s="694"/>
      <c r="FL244" s="694"/>
      <c r="FM244" s="694"/>
      <c r="FN244" s="694"/>
      <c r="FO244" s="694"/>
      <c r="FP244" s="694"/>
      <c r="FQ244" s="697"/>
    </row>
    <row r="245" spans="1:177" s="696" customFormat="1">
      <c r="A245" s="690"/>
      <c r="B245" s="690"/>
      <c r="C245" s="691" t="s">
        <v>3634</v>
      </c>
      <c r="D245" s="691"/>
      <c r="E245" s="692">
        <v>36.9</v>
      </c>
      <c r="F245" s="692"/>
      <c r="G245" s="692"/>
      <c r="H245" s="692"/>
      <c r="I245" s="692"/>
      <c r="J245" s="692"/>
      <c r="K245" s="692"/>
      <c r="L245" s="692"/>
      <c r="M245" s="692"/>
      <c r="N245" s="692"/>
      <c r="O245" s="692">
        <f t="shared" si="70"/>
        <v>36.9</v>
      </c>
      <c r="P245" s="692"/>
      <c r="Q245" s="692"/>
      <c r="R245" s="693"/>
      <c r="S245" s="693"/>
      <c r="T245" s="693"/>
      <c r="U245" s="692" t="s">
        <v>1903</v>
      </c>
      <c r="V245" s="692"/>
      <c r="W245" s="692"/>
      <c r="X245" s="692"/>
      <c r="Y245" s="692"/>
      <c r="Z245" s="692"/>
      <c r="AA245" s="692"/>
      <c r="AB245" s="692"/>
      <c r="AC245" s="692"/>
      <c r="AD245" s="692"/>
      <c r="AE245" s="725"/>
      <c r="AF245" s="957"/>
      <c r="AG245" s="692"/>
      <c r="AH245" s="692"/>
      <c r="AI245" s="692"/>
      <c r="AJ245" s="692"/>
      <c r="AK245" s="692"/>
      <c r="AL245" s="692"/>
      <c r="AM245" s="692"/>
      <c r="AN245" s="692"/>
      <c r="AO245" s="692"/>
      <c r="AP245" s="692"/>
      <c r="AQ245" s="692"/>
      <c r="AR245" s="692"/>
      <c r="AS245" s="692"/>
      <c r="AT245" s="692"/>
      <c r="AU245" s="692"/>
      <c r="AV245" s="692"/>
      <c r="AW245" s="692">
        <f t="shared" si="43"/>
        <v>1</v>
      </c>
      <c r="AX245" s="692"/>
      <c r="AY245" s="692"/>
      <c r="AZ245" s="516">
        <f t="shared" si="44"/>
        <v>2</v>
      </c>
      <c r="BA245" s="516">
        <f t="shared" si="45"/>
        <v>0</v>
      </c>
      <c r="BB245" s="516"/>
      <c r="BC245" s="516"/>
      <c r="BD245" s="516">
        <f t="shared" si="46"/>
        <v>1</v>
      </c>
      <c r="BE245" s="516">
        <f t="shared" si="47"/>
        <v>0</v>
      </c>
      <c r="BF245" s="692"/>
      <c r="BG245" s="692"/>
      <c r="BH245" s="692"/>
      <c r="BI245" s="692">
        <f t="shared" si="71"/>
        <v>5</v>
      </c>
      <c r="BJ245" s="692"/>
      <c r="BK245" s="692"/>
      <c r="BL245" s="692"/>
      <c r="BM245" s="692"/>
      <c r="BN245" s="692"/>
      <c r="BO245" s="692"/>
      <c r="BP245" s="692"/>
      <c r="BQ245" s="692">
        <f t="shared" si="49"/>
        <v>1</v>
      </c>
      <c r="BR245" s="692"/>
      <c r="BS245" s="692">
        <f t="shared" si="50"/>
        <v>2</v>
      </c>
      <c r="BT245" s="692">
        <f t="shared" si="51"/>
        <v>0</v>
      </c>
      <c r="BU245" s="692"/>
      <c r="BV245" s="692"/>
      <c r="BW245" s="692"/>
      <c r="BX245" s="692"/>
      <c r="BY245" s="692"/>
      <c r="BZ245" s="692"/>
      <c r="CA245" s="692"/>
      <c r="CB245" s="692">
        <v>1</v>
      </c>
      <c r="CC245" s="692"/>
      <c r="CD245" s="692">
        <f t="shared" si="52"/>
        <v>4</v>
      </c>
      <c r="CE245" s="692"/>
      <c r="CF245" s="692"/>
      <c r="CG245" s="692"/>
      <c r="CH245" s="692"/>
      <c r="CI245" s="692"/>
      <c r="CJ245" s="692"/>
      <c r="CK245" s="692"/>
      <c r="CL245" s="692"/>
      <c r="CM245" s="692"/>
      <c r="CN245" s="692"/>
      <c r="CO245" s="692"/>
      <c r="CP245" s="692"/>
      <c r="CQ245" s="692"/>
      <c r="CR245" s="692"/>
      <c r="CS245" s="692"/>
      <c r="CT245" s="692"/>
      <c r="CU245" s="692"/>
      <c r="CV245" s="692"/>
      <c r="CW245" s="692"/>
      <c r="CX245" s="694"/>
      <c r="CY245" s="694"/>
      <c r="CZ245" s="694"/>
      <c r="DA245" s="694"/>
      <c r="DB245" s="694"/>
      <c r="DC245" s="694"/>
      <c r="DD245" s="694"/>
      <c r="DE245" s="694"/>
      <c r="DF245" s="694"/>
      <c r="DG245" s="695"/>
      <c r="DH245" s="695"/>
      <c r="DI245" s="695"/>
      <c r="DJ245" s="695"/>
      <c r="DK245" s="695"/>
      <c r="DL245" s="695"/>
      <c r="DM245" s="695"/>
      <c r="DN245" s="695"/>
      <c r="DO245" s="695"/>
      <c r="DP245" s="695"/>
      <c r="DQ245" s="695"/>
      <c r="DR245" s="695"/>
      <c r="DS245" s="694"/>
      <c r="DT245" s="694"/>
      <c r="DU245" s="694"/>
      <c r="DV245" s="694"/>
      <c r="DW245" s="694"/>
      <c r="DX245" s="694"/>
      <c r="DY245" s="694"/>
      <c r="DZ245" s="694"/>
      <c r="EA245" s="694"/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4"/>
      <c r="FH245" s="694"/>
      <c r="FI245" s="694"/>
      <c r="FJ245" s="694"/>
      <c r="FK245" s="694"/>
      <c r="FL245" s="694"/>
      <c r="FM245" s="694"/>
      <c r="FN245" s="694"/>
      <c r="FO245" s="694"/>
      <c r="FP245" s="694"/>
      <c r="FQ245" s="697"/>
    </row>
    <row r="246" spans="1:177" s="696" customFormat="1">
      <c r="A246" s="690"/>
      <c r="B246" s="690"/>
      <c r="C246" s="691" t="s">
        <v>3635</v>
      </c>
      <c r="D246" s="691"/>
      <c r="E246" s="692">
        <v>35.6</v>
      </c>
      <c r="F246" s="692"/>
      <c r="G246" s="692"/>
      <c r="H246" s="692"/>
      <c r="I246" s="692"/>
      <c r="J246" s="692"/>
      <c r="K246" s="692"/>
      <c r="L246" s="692"/>
      <c r="M246" s="692"/>
      <c r="N246" s="692"/>
      <c r="O246" s="692">
        <f t="shared" si="70"/>
        <v>35.6</v>
      </c>
      <c r="P246" s="692"/>
      <c r="Q246" s="692"/>
      <c r="R246" s="693"/>
      <c r="S246" s="693"/>
      <c r="T246" s="693"/>
      <c r="U246" s="692" t="s">
        <v>1631</v>
      </c>
      <c r="V246" s="692"/>
      <c r="W246" s="692"/>
      <c r="X246" s="692"/>
      <c r="Y246" s="692"/>
      <c r="Z246" s="692"/>
      <c r="AA246" s="692"/>
      <c r="AB246" s="692"/>
      <c r="AC246" s="692"/>
      <c r="AD246" s="692"/>
      <c r="AE246" s="725"/>
      <c r="AF246" s="957"/>
      <c r="AG246" s="692"/>
      <c r="AH246" s="692"/>
      <c r="AI246" s="692"/>
      <c r="AJ246" s="692"/>
      <c r="AK246" s="692"/>
      <c r="AL246" s="692"/>
      <c r="AM246" s="692"/>
      <c r="AN246" s="692"/>
      <c r="AO246" s="692"/>
      <c r="AP246" s="692"/>
      <c r="AQ246" s="692"/>
      <c r="AR246" s="692"/>
      <c r="AS246" s="692"/>
      <c r="AT246" s="692"/>
      <c r="AU246" s="692"/>
      <c r="AV246" s="692"/>
      <c r="AW246" s="692">
        <f t="shared" si="43"/>
        <v>0</v>
      </c>
      <c r="AX246" s="692"/>
      <c r="AY246" s="692"/>
      <c r="AZ246" s="516">
        <f t="shared" si="44"/>
        <v>0</v>
      </c>
      <c r="BA246" s="516">
        <f t="shared" si="45"/>
        <v>0</v>
      </c>
      <c r="BB246" s="516"/>
      <c r="BC246" s="516"/>
      <c r="BD246" s="516">
        <f t="shared" si="46"/>
        <v>1</v>
      </c>
      <c r="BE246" s="516">
        <f t="shared" si="47"/>
        <v>0</v>
      </c>
      <c r="BF246" s="692"/>
      <c r="BG246" s="692"/>
      <c r="BH246" s="692"/>
      <c r="BI246" s="692">
        <f t="shared" si="71"/>
        <v>0</v>
      </c>
      <c r="BJ246" s="692"/>
      <c r="BK246" s="692"/>
      <c r="BL246" s="692"/>
      <c r="BM246" s="692"/>
      <c r="BN246" s="692"/>
      <c r="BO246" s="692"/>
      <c r="BP246" s="692"/>
      <c r="BQ246" s="692">
        <f t="shared" si="49"/>
        <v>0</v>
      </c>
      <c r="BR246" s="692"/>
      <c r="BS246" s="692">
        <f t="shared" si="50"/>
        <v>1</v>
      </c>
      <c r="BT246" s="692">
        <f t="shared" si="51"/>
        <v>0</v>
      </c>
      <c r="BU246" s="692"/>
      <c r="BV246" s="692"/>
      <c r="BW246" s="692"/>
      <c r="BX246" s="692"/>
      <c r="BY246" s="692"/>
      <c r="BZ246" s="692"/>
      <c r="CA246" s="692"/>
      <c r="CB246" s="692"/>
      <c r="CC246" s="692"/>
      <c r="CD246" s="692">
        <f t="shared" si="52"/>
        <v>0</v>
      </c>
      <c r="CE246" s="692"/>
      <c r="CF246" s="692"/>
      <c r="CG246" s="692"/>
      <c r="CH246" s="692"/>
      <c r="CI246" s="692"/>
      <c r="CJ246" s="692"/>
      <c r="CK246" s="692"/>
      <c r="CL246" s="692"/>
      <c r="CM246" s="692"/>
      <c r="CN246" s="692"/>
      <c r="CO246" s="692"/>
      <c r="CP246" s="692"/>
      <c r="CQ246" s="692"/>
      <c r="CR246" s="692"/>
      <c r="CS246" s="692"/>
      <c r="CT246" s="692"/>
      <c r="CU246" s="692"/>
      <c r="CV246" s="692"/>
      <c r="CW246" s="692"/>
      <c r="CX246" s="694"/>
      <c r="CY246" s="694"/>
      <c r="CZ246" s="694"/>
      <c r="DA246" s="694"/>
      <c r="DB246" s="694"/>
      <c r="DC246" s="694"/>
      <c r="DD246" s="694"/>
      <c r="DE246" s="694"/>
      <c r="DF246" s="694"/>
      <c r="DG246" s="695"/>
      <c r="DH246" s="695"/>
      <c r="DI246" s="695"/>
      <c r="DJ246" s="695"/>
      <c r="DK246" s="695"/>
      <c r="DL246" s="695"/>
      <c r="DM246" s="695"/>
      <c r="DN246" s="695"/>
      <c r="DO246" s="695"/>
      <c r="DP246" s="695"/>
      <c r="DQ246" s="695"/>
      <c r="DR246" s="695"/>
      <c r="DS246" s="694"/>
      <c r="DT246" s="694"/>
      <c r="DU246" s="694"/>
      <c r="DV246" s="694"/>
      <c r="DW246" s="694"/>
      <c r="DX246" s="694"/>
      <c r="DY246" s="694"/>
      <c r="DZ246" s="694"/>
      <c r="EA246" s="694"/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4"/>
      <c r="FH246" s="694"/>
      <c r="FI246" s="694"/>
      <c r="FJ246" s="694"/>
      <c r="FK246" s="694"/>
      <c r="FL246" s="694"/>
      <c r="FM246" s="694"/>
      <c r="FN246" s="694"/>
      <c r="FO246" s="694"/>
      <c r="FP246" s="694"/>
      <c r="FQ246" s="697"/>
    </row>
    <row r="247" spans="1:177" s="696" customFormat="1">
      <c r="A247" s="690"/>
      <c r="B247" s="690"/>
      <c r="C247" s="691" t="s">
        <v>3636</v>
      </c>
      <c r="D247" s="691"/>
      <c r="E247" s="692">
        <v>35.1</v>
      </c>
      <c r="F247" s="692"/>
      <c r="G247" s="692"/>
      <c r="H247" s="692"/>
      <c r="I247" s="692"/>
      <c r="J247" s="692"/>
      <c r="K247" s="692"/>
      <c r="L247" s="692"/>
      <c r="M247" s="692"/>
      <c r="N247" s="692"/>
      <c r="O247" s="692">
        <f t="shared" si="70"/>
        <v>35.1</v>
      </c>
      <c r="P247" s="692"/>
      <c r="Q247" s="692"/>
      <c r="R247" s="693"/>
      <c r="S247" s="693"/>
      <c r="T247" s="693"/>
      <c r="U247" s="692" t="s">
        <v>1631</v>
      </c>
      <c r="V247" s="692"/>
      <c r="W247" s="692"/>
      <c r="X247" s="692"/>
      <c r="Y247" s="692"/>
      <c r="Z247" s="692"/>
      <c r="AA247" s="692"/>
      <c r="AB247" s="692"/>
      <c r="AC247" s="692"/>
      <c r="AD247" s="692"/>
      <c r="AE247" s="725"/>
      <c r="AF247" s="957"/>
      <c r="AG247" s="692"/>
      <c r="AH247" s="692"/>
      <c r="AI247" s="692"/>
      <c r="AJ247" s="692"/>
      <c r="AK247" s="692"/>
      <c r="AL247" s="692"/>
      <c r="AM247" s="692"/>
      <c r="AN247" s="692"/>
      <c r="AO247" s="692"/>
      <c r="AP247" s="692"/>
      <c r="AQ247" s="692"/>
      <c r="AR247" s="692"/>
      <c r="AS247" s="692"/>
      <c r="AT247" s="692"/>
      <c r="AU247" s="692">
        <v>1</v>
      </c>
      <c r="AV247" s="692"/>
      <c r="AW247" s="692">
        <f t="shared" si="43"/>
        <v>0</v>
      </c>
      <c r="AX247" s="692"/>
      <c r="AY247" s="692"/>
      <c r="AZ247" s="516">
        <f t="shared" si="44"/>
        <v>0</v>
      </c>
      <c r="BA247" s="516">
        <f t="shared" si="45"/>
        <v>0</v>
      </c>
      <c r="BB247" s="516"/>
      <c r="BC247" s="516"/>
      <c r="BD247" s="516">
        <f t="shared" si="46"/>
        <v>1</v>
      </c>
      <c r="BE247" s="516">
        <f t="shared" si="47"/>
        <v>0</v>
      </c>
      <c r="BF247" s="692"/>
      <c r="BG247" s="692"/>
      <c r="BH247" s="692"/>
      <c r="BI247" s="692">
        <f t="shared" si="71"/>
        <v>2</v>
      </c>
      <c r="BJ247" s="692"/>
      <c r="BK247" s="692"/>
      <c r="BL247" s="692"/>
      <c r="BM247" s="692"/>
      <c r="BN247" s="692"/>
      <c r="BO247" s="692"/>
      <c r="BP247" s="692"/>
      <c r="BQ247" s="692">
        <f t="shared" si="49"/>
        <v>0</v>
      </c>
      <c r="BR247" s="692"/>
      <c r="BS247" s="692">
        <f t="shared" si="50"/>
        <v>1</v>
      </c>
      <c r="BT247" s="692">
        <f t="shared" si="51"/>
        <v>0</v>
      </c>
      <c r="BU247" s="692"/>
      <c r="BV247" s="692"/>
      <c r="BW247" s="692"/>
      <c r="BX247" s="692"/>
      <c r="BY247" s="692"/>
      <c r="BZ247" s="692"/>
      <c r="CA247" s="692"/>
      <c r="CB247" s="692"/>
      <c r="CC247" s="692"/>
      <c r="CD247" s="692">
        <f t="shared" si="52"/>
        <v>0</v>
      </c>
      <c r="CE247" s="692"/>
      <c r="CF247" s="692"/>
      <c r="CG247" s="692"/>
      <c r="CH247" s="692"/>
      <c r="CI247" s="692"/>
      <c r="CJ247" s="692"/>
      <c r="CK247" s="692"/>
      <c r="CL247" s="692"/>
      <c r="CM247" s="692"/>
      <c r="CN247" s="692"/>
      <c r="CO247" s="692"/>
      <c r="CP247" s="692"/>
      <c r="CQ247" s="692"/>
      <c r="CR247" s="692"/>
      <c r="CS247" s="692"/>
      <c r="CT247" s="692"/>
      <c r="CU247" s="692"/>
      <c r="CV247" s="692"/>
      <c r="CW247" s="692"/>
      <c r="CX247" s="694"/>
      <c r="CY247" s="694"/>
      <c r="CZ247" s="694"/>
      <c r="DA247" s="694"/>
      <c r="DB247" s="694"/>
      <c r="DC247" s="694"/>
      <c r="DD247" s="694"/>
      <c r="DE247" s="694"/>
      <c r="DF247" s="694"/>
      <c r="DG247" s="695"/>
      <c r="DH247" s="695"/>
      <c r="DI247" s="695"/>
      <c r="DJ247" s="695"/>
      <c r="DK247" s="695"/>
      <c r="DL247" s="695"/>
      <c r="DM247" s="695"/>
      <c r="DN247" s="695"/>
      <c r="DO247" s="695"/>
      <c r="DP247" s="695"/>
      <c r="DQ247" s="695"/>
      <c r="DR247" s="695"/>
      <c r="DS247" s="694"/>
      <c r="DT247" s="694"/>
      <c r="DU247" s="694"/>
      <c r="DV247" s="694"/>
      <c r="DW247" s="694"/>
      <c r="DX247" s="694"/>
      <c r="DY247" s="694"/>
      <c r="DZ247" s="694"/>
      <c r="EA247" s="694"/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4"/>
      <c r="FH247" s="694"/>
      <c r="FI247" s="694"/>
      <c r="FJ247" s="694"/>
      <c r="FK247" s="694"/>
      <c r="FL247" s="694"/>
      <c r="FM247" s="694"/>
      <c r="FN247" s="694"/>
      <c r="FO247" s="694"/>
      <c r="FP247" s="694"/>
      <c r="FQ247" s="697"/>
    </row>
    <row r="248" spans="1:177" s="696" customFormat="1">
      <c r="A248" s="690"/>
      <c r="B248" s="690"/>
      <c r="C248" s="691" t="s">
        <v>3637</v>
      </c>
      <c r="D248" s="691"/>
      <c r="E248" s="692">
        <v>37.799999999999997</v>
      </c>
      <c r="F248" s="692"/>
      <c r="G248" s="692"/>
      <c r="H248" s="692"/>
      <c r="I248" s="692"/>
      <c r="J248" s="692"/>
      <c r="K248" s="692"/>
      <c r="L248" s="692"/>
      <c r="M248" s="692"/>
      <c r="N248" s="692"/>
      <c r="O248" s="692">
        <f t="shared" si="70"/>
        <v>37.799999999999997</v>
      </c>
      <c r="P248" s="692"/>
      <c r="Q248" s="692"/>
      <c r="R248" s="693"/>
      <c r="S248" s="693"/>
      <c r="T248" s="693"/>
      <c r="U248" s="692" t="s">
        <v>1903</v>
      </c>
      <c r="V248" s="692"/>
      <c r="W248" s="692"/>
      <c r="X248" s="692"/>
      <c r="Y248" s="692"/>
      <c r="Z248" s="692"/>
      <c r="AA248" s="692"/>
      <c r="AB248" s="692"/>
      <c r="AC248" s="692"/>
      <c r="AD248" s="692"/>
      <c r="AE248" s="725"/>
      <c r="AF248" s="957"/>
      <c r="AG248" s="692"/>
      <c r="AH248" s="692"/>
      <c r="AI248" s="692"/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>
        <f t="shared" ref="AW248:AW255" si="72">CB248</f>
        <v>1</v>
      </c>
      <c r="AX248" s="692"/>
      <c r="AY248" s="692"/>
      <c r="AZ248" s="516">
        <f t="shared" ref="AZ248:AZ255" si="73">IF(C248&lt;&gt;0,AW248+CB248+CC248,)</f>
        <v>2</v>
      </c>
      <c r="BA248" s="516">
        <f t="shared" ref="BA248:BA255" si="74">IF(D248&lt;&gt;0,AW248+CB248+CC248,)</f>
        <v>0</v>
      </c>
      <c r="BB248" s="516"/>
      <c r="BC248" s="516"/>
      <c r="BD248" s="516">
        <f t="shared" ref="BD248:BD255" si="75">IF(C248&lt;&gt;0,IF(OR(LEN(U248)=1,LEN(U248)=2),1,VALUE(LEFT(U248,1))),)</f>
        <v>1</v>
      </c>
      <c r="BE248" s="516">
        <f t="shared" ref="BE248:BE255" si="76">IF(D248&lt;&gt;0,IF(OR(LEN(U248)=1,LEN(U248)=2),1,VALUE(LEFT(U248,1))),)</f>
        <v>0</v>
      </c>
      <c r="BF248" s="692"/>
      <c r="BG248" s="692"/>
      <c r="BH248" s="692"/>
      <c r="BI248" s="692">
        <f t="shared" si="71"/>
        <v>5</v>
      </c>
      <c r="BJ248" s="692"/>
      <c r="BK248" s="692"/>
      <c r="BL248" s="692"/>
      <c r="BM248" s="692"/>
      <c r="BN248" s="692"/>
      <c r="BO248" s="692"/>
      <c r="BP248" s="692"/>
      <c r="BQ248" s="692">
        <f t="shared" ref="BQ248:BQ255" si="77">IF(U248="G",1,)</f>
        <v>1</v>
      </c>
      <c r="BR248" s="692"/>
      <c r="BS248" s="692">
        <f t="shared" ref="BS248:BS255" si="78">IF(O248&lt;&gt;0,IF(U248="I",1,IF(U248="G",2,)),)</f>
        <v>2</v>
      </c>
      <c r="BT248" s="692">
        <f t="shared" ref="BT248:BT255" si="79">IF(P248&lt;&gt;0,IF(U248="I",1,IF(U248="G",2,)),)</f>
        <v>0</v>
      </c>
      <c r="BU248" s="692"/>
      <c r="BV248" s="692"/>
      <c r="BW248" s="692"/>
      <c r="BX248" s="692"/>
      <c r="BY248" s="692"/>
      <c r="BZ248" s="692"/>
      <c r="CA248" s="692"/>
      <c r="CB248" s="692">
        <v>1</v>
      </c>
      <c r="CC248" s="692"/>
      <c r="CD248" s="692">
        <f t="shared" ref="CD248:CD255" si="80">CB248*4</f>
        <v>4</v>
      </c>
      <c r="CE248" s="692"/>
      <c r="CF248" s="692"/>
      <c r="CG248" s="692"/>
      <c r="CH248" s="692"/>
      <c r="CI248" s="692"/>
      <c r="CJ248" s="692"/>
      <c r="CK248" s="692"/>
      <c r="CL248" s="692"/>
      <c r="CM248" s="692"/>
      <c r="CN248" s="692"/>
      <c r="CO248" s="692"/>
      <c r="CP248" s="692"/>
      <c r="CQ248" s="692"/>
      <c r="CR248" s="692"/>
      <c r="CS248" s="692"/>
      <c r="CT248" s="692"/>
      <c r="CU248" s="692"/>
      <c r="CV248" s="692"/>
      <c r="CW248" s="692"/>
      <c r="CX248" s="694"/>
      <c r="CY248" s="694"/>
      <c r="CZ248" s="694"/>
      <c r="DA248" s="694"/>
      <c r="DB248" s="694"/>
      <c r="DC248" s="694"/>
      <c r="DD248" s="694"/>
      <c r="DE248" s="694"/>
      <c r="DF248" s="694"/>
      <c r="DG248" s="695"/>
      <c r="DH248" s="695"/>
      <c r="DI248" s="695"/>
      <c r="DJ248" s="695"/>
      <c r="DK248" s="695"/>
      <c r="DL248" s="695"/>
      <c r="DM248" s="695"/>
      <c r="DN248" s="695"/>
      <c r="DO248" s="695"/>
      <c r="DP248" s="695"/>
      <c r="DQ248" s="695"/>
      <c r="DR248" s="695"/>
      <c r="DS248" s="694"/>
      <c r="DT248" s="694"/>
      <c r="DU248" s="694"/>
      <c r="DV248" s="694"/>
      <c r="DW248" s="694"/>
      <c r="DX248" s="694"/>
      <c r="DY248" s="694"/>
      <c r="DZ248" s="694"/>
      <c r="EA248" s="694"/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4"/>
      <c r="FH248" s="694"/>
      <c r="FI248" s="694"/>
      <c r="FJ248" s="694"/>
      <c r="FK248" s="694"/>
      <c r="FL248" s="694"/>
      <c r="FM248" s="694"/>
      <c r="FN248" s="694"/>
      <c r="FO248" s="694"/>
      <c r="FP248" s="694"/>
      <c r="FQ248" s="697"/>
    </row>
    <row r="249" spans="1:177" s="696" customFormat="1">
      <c r="A249" s="690"/>
      <c r="B249" s="690"/>
      <c r="C249" s="691" t="s">
        <v>3638</v>
      </c>
      <c r="D249" s="691"/>
      <c r="E249" s="692">
        <v>41.6</v>
      </c>
      <c r="F249" s="692"/>
      <c r="G249" s="692"/>
      <c r="H249" s="692"/>
      <c r="I249" s="692"/>
      <c r="J249" s="692"/>
      <c r="K249" s="692"/>
      <c r="L249" s="692"/>
      <c r="M249" s="692"/>
      <c r="N249" s="692"/>
      <c r="O249" s="692">
        <f t="shared" si="70"/>
        <v>41.6</v>
      </c>
      <c r="P249" s="692"/>
      <c r="Q249" s="692"/>
      <c r="R249" s="693"/>
      <c r="S249" s="693"/>
      <c r="T249" s="693"/>
      <c r="U249" s="692" t="s">
        <v>1903</v>
      </c>
      <c r="V249" s="692"/>
      <c r="W249" s="692"/>
      <c r="X249" s="692"/>
      <c r="Y249" s="692"/>
      <c r="Z249" s="692"/>
      <c r="AA249" s="692"/>
      <c r="AB249" s="692"/>
      <c r="AC249" s="692"/>
      <c r="AD249" s="692"/>
      <c r="AE249" s="725"/>
      <c r="AF249" s="957"/>
      <c r="AG249" s="692"/>
      <c r="AH249" s="692"/>
      <c r="AI249" s="692"/>
      <c r="AJ249" s="692"/>
      <c r="AK249" s="692"/>
      <c r="AL249" s="692"/>
      <c r="AM249" s="692"/>
      <c r="AN249" s="692"/>
      <c r="AO249" s="692"/>
      <c r="AP249" s="692"/>
      <c r="AQ249" s="692"/>
      <c r="AR249" s="692"/>
      <c r="AS249" s="692"/>
      <c r="AT249" s="692"/>
      <c r="AU249" s="692"/>
      <c r="AV249" s="692"/>
      <c r="AW249" s="692">
        <f t="shared" si="72"/>
        <v>1</v>
      </c>
      <c r="AX249" s="692"/>
      <c r="AY249" s="692"/>
      <c r="AZ249" s="516">
        <f t="shared" si="73"/>
        <v>2</v>
      </c>
      <c r="BA249" s="516">
        <f t="shared" si="74"/>
        <v>0</v>
      </c>
      <c r="BB249" s="516"/>
      <c r="BC249" s="516"/>
      <c r="BD249" s="516">
        <f t="shared" si="75"/>
        <v>1</v>
      </c>
      <c r="BE249" s="516">
        <f t="shared" si="76"/>
        <v>0</v>
      </c>
      <c r="BF249" s="692"/>
      <c r="BG249" s="692"/>
      <c r="BH249" s="692"/>
      <c r="BI249" s="692">
        <f t="shared" si="71"/>
        <v>5</v>
      </c>
      <c r="BJ249" s="692"/>
      <c r="BK249" s="692"/>
      <c r="BL249" s="692"/>
      <c r="BM249" s="692"/>
      <c r="BN249" s="692"/>
      <c r="BO249" s="692"/>
      <c r="BP249" s="692"/>
      <c r="BQ249" s="692">
        <f t="shared" si="77"/>
        <v>1</v>
      </c>
      <c r="BR249" s="692"/>
      <c r="BS249" s="692">
        <f t="shared" si="78"/>
        <v>2</v>
      </c>
      <c r="BT249" s="692">
        <f t="shared" si="79"/>
        <v>0</v>
      </c>
      <c r="BU249" s="692"/>
      <c r="BV249" s="692"/>
      <c r="BW249" s="692"/>
      <c r="BX249" s="692"/>
      <c r="BY249" s="692"/>
      <c r="BZ249" s="692"/>
      <c r="CA249" s="692"/>
      <c r="CB249" s="692">
        <v>1</v>
      </c>
      <c r="CC249" s="692"/>
      <c r="CD249" s="692">
        <f t="shared" si="80"/>
        <v>4</v>
      </c>
      <c r="CE249" s="692"/>
      <c r="CF249" s="692"/>
      <c r="CG249" s="692"/>
      <c r="CH249" s="692"/>
      <c r="CI249" s="692"/>
      <c r="CJ249" s="692"/>
      <c r="CK249" s="692"/>
      <c r="CL249" s="692"/>
      <c r="CM249" s="692"/>
      <c r="CN249" s="692"/>
      <c r="CO249" s="692"/>
      <c r="CP249" s="692"/>
      <c r="CQ249" s="692"/>
      <c r="CR249" s="692"/>
      <c r="CS249" s="692"/>
      <c r="CT249" s="692"/>
      <c r="CU249" s="692"/>
      <c r="CV249" s="692"/>
      <c r="CW249" s="692"/>
      <c r="CX249" s="694"/>
      <c r="CY249" s="694"/>
      <c r="CZ249" s="694"/>
      <c r="DA249" s="694"/>
      <c r="DB249" s="694"/>
      <c r="DC249" s="694"/>
      <c r="DD249" s="694"/>
      <c r="DE249" s="694"/>
      <c r="DF249" s="694"/>
      <c r="DG249" s="695"/>
      <c r="DH249" s="695"/>
      <c r="DI249" s="695"/>
      <c r="DJ249" s="695"/>
      <c r="DK249" s="695"/>
      <c r="DL249" s="695"/>
      <c r="DM249" s="695"/>
      <c r="DN249" s="695"/>
      <c r="DO249" s="695"/>
      <c r="DP249" s="695"/>
      <c r="DQ249" s="695"/>
      <c r="DR249" s="695"/>
      <c r="DS249" s="694"/>
      <c r="DT249" s="694"/>
      <c r="DU249" s="694"/>
      <c r="DV249" s="694"/>
      <c r="DW249" s="694"/>
      <c r="DX249" s="694"/>
      <c r="DY249" s="694"/>
      <c r="DZ249" s="694"/>
      <c r="EA249" s="694"/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4"/>
      <c r="FH249" s="694"/>
      <c r="FI249" s="694"/>
      <c r="FJ249" s="694"/>
      <c r="FK249" s="694"/>
      <c r="FL249" s="694"/>
      <c r="FM249" s="694"/>
      <c r="FN249" s="694"/>
      <c r="FO249" s="694"/>
      <c r="FP249" s="694"/>
      <c r="FQ249" s="697"/>
    </row>
    <row r="250" spans="1:177" s="696" customFormat="1">
      <c r="A250" s="690"/>
      <c r="B250" s="690"/>
      <c r="C250" s="691" t="s">
        <v>3639</v>
      </c>
      <c r="D250" s="691"/>
      <c r="E250" s="692">
        <v>40.9</v>
      </c>
      <c r="F250" s="692"/>
      <c r="G250" s="692"/>
      <c r="H250" s="692"/>
      <c r="I250" s="692"/>
      <c r="J250" s="692"/>
      <c r="K250" s="692"/>
      <c r="L250" s="692"/>
      <c r="M250" s="692"/>
      <c r="N250" s="692"/>
      <c r="O250" s="692">
        <f t="shared" si="70"/>
        <v>40.9</v>
      </c>
      <c r="P250" s="692"/>
      <c r="Q250" s="692"/>
      <c r="R250" s="693"/>
      <c r="S250" s="693"/>
      <c r="T250" s="693"/>
      <c r="U250" s="692" t="s">
        <v>1631</v>
      </c>
      <c r="V250" s="692"/>
      <c r="W250" s="692"/>
      <c r="X250" s="692"/>
      <c r="Y250" s="692"/>
      <c r="Z250" s="692"/>
      <c r="AA250" s="692"/>
      <c r="AB250" s="692"/>
      <c r="AC250" s="692"/>
      <c r="AD250" s="692"/>
      <c r="AE250" s="725"/>
      <c r="AF250" s="957"/>
      <c r="AG250" s="692"/>
      <c r="AH250" s="692"/>
      <c r="AI250" s="692"/>
      <c r="AJ250" s="692"/>
      <c r="AK250" s="692"/>
      <c r="AL250" s="692"/>
      <c r="AM250" s="692"/>
      <c r="AN250" s="692"/>
      <c r="AO250" s="692"/>
      <c r="AP250" s="692"/>
      <c r="AQ250" s="692"/>
      <c r="AR250" s="692"/>
      <c r="AS250" s="692"/>
      <c r="AT250" s="692"/>
      <c r="AU250" s="692"/>
      <c r="AV250" s="692"/>
      <c r="AW250" s="692">
        <f t="shared" si="72"/>
        <v>1</v>
      </c>
      <c r="AX250" s="692"/>
      <c r="AY250" s="692"/>
      <c r="AZ250" s="516">
        <f t="shared" si="73"/>
        <v>2</v>
      </c>
      <c r="BA250" s="516">
        <f t="shared" si="74"/>
        <v>0</v>
      </c>
      <c r="BB250" s="516"/>
      <c r="BC250" s="516"/>
      <c r="BD250" s="516">
        <f t="shared" si="75"/>
        <v>1</v>
      </c>
      <c r="BE250" s="516">
        <f t="shared" si="76"/>
        <v>0</v>
      </c>
      <c r="BF250" s="692"/>
      <c r="BG250" s="692"/>
      <c r="BH250" s="692"/>
      <c r="BI250" s="692">
        <f t="shared" si="71"/>
        <v>5</v>
      </c>
      <c r="BJ250" s="692"/>
      <c r="BK250" s="692"/>
      <c r="BL250" s="692"/>
      <c r="BM250" s="692"/>
      <c r="BN250" s="692"/>
      <c r="BO250" s="692"/>
      <c r="BP250" s="692"/>
      <c r="BQ250" s="692">
        <f t="shared" si="77"/>
        <v>0</v>
      </c>
      <c r="BR250" s="692"/>
      <c r="BS250" s="692">
        <f t="shared" si="78"/>
        <v>1</v>
      </c>
      <c r="BT250" s="692">
        <f t="shared" si="79"/>
        <v>0</v>
      </c>
      <c r="BU250" s="692"/>
      <c r="BV250" s="692"/>
      <c r="BW250" s="692"/>
      <c r="BX250" s="692"/>
      <c r="BY250" s="692"/>
      <c r="BZ250" s="692"/>
      <c r="CA250" s="692"/>
      <c r="CB250" s="692">
        <v>1</v>
      </c>
      <c r="CC250" s="692"/>
      <c r="CD250" s="692">
        <f t="shared" si="80"/>
        <v>4</v>
      </c>
      <c r="CE250" s="692"/>
      <c r="CF250" s="692"/>
      <c r="CG250" s="692"/>
      <c r="CH250" s="692"/>
      <c r="CI250" s="692"/>
      <c r="CJ250" s="692"/>
      <c r="CK250" s="692"/>
      <c r="CL250" s="692"/>
      <c r="CM250" s="692"/>
      <c r="CN250" s="692"/>
      <c r="CO250" s="692"/>
      <c r="CP250" s="692"/>
      <c r="CQ250" s="692"/>
      <c r="CR250" s="692"/>
      <c r="CS250" s="692"/>
      <c r="CT250" s="692"/>
      <c r="CU250" s="692"/>
      <c r="CV250" s="692"/>
      <c r="CW250" s="692"/>
      <c r="CX250" s="694"/>
      <c r="CY250" s="694"/>
      <c r="CZ250" s="694"/>
      <c r="DA250" s="694"/>
      <c r="DB250" s="694"/>
      <c r="DC250" s="694"/>
      <c r="DD250" s="694"/>
      <c r="DE250" s="694"/>
      <c r="DF250" s="694"/>
      <c r="DG250" s="695"/>
      <c r="DH250" s="695"/>
      <c r="DI250" s="695"/>
      <c r="DJ250" s="695"/>
      <c r="DK250" s="695"/>
      <c r="DL250" s="695"/>
      <c r="DM250" s="695"/>
      <c r="DN250" s="695"/>
      <c r="DO250" s="695"/>
      <c r="DP250" s="695"/>
      <c r="DQ250" s="695"/>
      <c r="DR250" s="695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4"/>
      <c r="FH250" s="694"/>
      <c r="FI250" s="694"/>
      <c r="FJ250" s="694"/>
      <c r="FK250" s="694"/>
      <c r="FL250" s="694"/>
      <c r="FM250" s="694"/>
      <c r="FN250" s="694"/>
      <c r="FO250" s="694"/>
      <c r="FP250" s="694"/>
      <c r="FQ250" s="697"/>
    </row>
    <row r="251" spans="1:177" s="696" customFormat="1">
      <c r="A251" s="690"/>
      <c r="B251" s="690"/>
      <c r="C251" s="691" t="s">
        <v>3640</v>
      </c>
      <c r="D251" s="691"/>
      <c r="E251" s="692">
        <v>39</v>
      </c>
      <c r="F251" s="692"/>
      <c r="G251" s="692"/>
      <c r="H251" s="692"/>
      <c r="I251" s="692"/>
      <c r="J251" s="692"/>
      <c r="K251" s="692"/>
      <c r="L251" s="692"/>
      <c r="M251" s="692"/>
      <c r="N251" s="692"/>
      <c r="O251" s="692">
        <f t="shared" si="70"/>
        <v>39</v>
      </c>
      <c r="P251" s="692"/>
      <c r="Q251" s="692"/>
      <c r="R251" s="693"/>
      <c r="S251" s="693"/>
      <c r="T251" s="693"/>
      <c r="U251" s="692" t="s">
        <v>1631</v>
      </c>
      <c r="V251" s="692"/>
      <c r="W251" s="692"/>
      <c r="X251" s="692"/>
      <c r="Y251" s="692"/>
      <c r="Z251" s="692"/>
      <c r="AA251" s="692"/>
      <c r="AB251" s="692"/>
      <c r="AC251" s="692"/>
      <c r="AD251" s="692"/>
      <c r="AE251" s="725"/>
      <c r="AF251" s="957"/>
      <c r="AG251" s="692"/>
      <c r="AH251" s="692"/>
      <c r="AI251" s="692"/>
      <c r="AJ251" s="692"/>
      <c r="AK251" s="692"/>
      <c r="AL251" s="692"/>
      <c r="AM251" s="692"/>
      <c r="AN251" s="692"/>
      <c r="AO251" s="692"/>
      <c r="AP251" s="692"/>
      <c r="AQ251" s="692"/>
      <c r="AR251" s="692"/>
      <c r="AS251" s="692"/>
      <c r="AT251" s="692"/>
      <c r="AU251" s="692"/>
      <c r="AV251" s="692"/>
      <c r="AW251" s="692">
        <f t="shared" si="72"/>
        <v>1</v>
      </c>
      <c r="AX251" s="692"/>
      <c r="AY251" s="692"/>
      <c r="AZ251" s="516">
        <f t="shared" si="73"/>
        <v>2</v>
      </c>
      <c r="BA251" s="516">
        <f t="shared" si="74"/>
        <v>0</v>
      </c>
      <c r="BB251" s="516"/>
      <c r="BC251" s="516"/>
      <c r="BD251" s="516">
        <f t="shared" si="75"/>
        <v>1</v>
      </c>
      <c r="BE251" s="516">
        <f t="shared" si="76"/>
        <v>0</v>
      </c>
      <c r="BF251" s="692"/>
      <c r="BG251" s="692"/>
      <c r="BH251" s="692"/>
      <c r="BI251" s="692">
        <f t="shared" si="71"/>
        <v>5</v>
      </c>
      <c r="BJ251" s="692"/>
      <c r="BK251" s="692"/>
      <c r="BL251" s="692"/>
      <c r="BM251" s="692"/>
      <c r="BN251" s="692"/>
      <c r="BO251" s="692"/>
      <c r="BP251" s="692"/>
      <c r="BQ251" s="692">
        <f t="shared" si="77"/>
        <v>0</v>
      </c>
      <c r="BR251" s="692"/>
      <c r="BS251" s="692">
        <f t="shared" si="78"/>
        <v>1</v>
      </c>
      <c r="BT251" s="692">
        <f t="shared" si="79"/>
        <v>0</v>
      </c>
      <c r="BU251" s="692"/>
      <c r="BV251" s="692"/>
      <c r="BW251" s="692"/>
      <c r="BX251" s="692"/>
      <c r="BY251" s="692"/>
      <c r="BZ251" s="692"/>
      <c r="CA251" s="692"/>
      <c r="CB251" s="692">
        <v>1</v>
      </c>
      <c r="CC251" s="692"/>
      <c r="CD251" s="692">
        <f t="shared" si="80"/>
        <v>4</v>
      </c>
      <c r="CE251" s="692"/>
      <c r="CF251" s="692"/>
      <c r="CG251" s="692"/>
      <c r="CH251" s="692"/>
      <c r="CI251" s="692"/>
      <c r="CJ251" s="692"/>
      <c r="CK251" s="692"/>
      <c r="CL251" s="692"/>
      <c r="CM251" s="692"/>
      <c r="CN251" s="692"/>
      <c r="CO251" s="692"/>
      <c r="CP251" s="692"/>
      <c r="CQ251" s="692"/>
      <c r="CR251" s="692"/>
      <c r="CS251" s="692"/>
      <c r="CT251" s="692"/>
      <c r="CU251" s="692"/>
      <c r="CV251" s="692"/>
      <c r="CW251" s="692"/>
      <c r="CX251" s="694"/>
      <c r="CY251" s="694"/>
      <c r="CZ251" s="694"/>
      <c r="DA251" s="694"/>
      <c r="DB251" s="694"/>
      <c r="DC251" s="694"/>
      <c r="DD251" s="694"/>
      <c r="DE251" s="694"/>
      <c r="DF251" s="694"/>
      <c r="DG251" s="695"/>
      <c r="DH251" s="695"/>
      <c r="DI251" s="695"/>
      <c r="DJ251" s="695"/>
      <c r="DK251" s="695"/>
      <c r="DL251" s="695"/>
      <c r="DM251" s="695"/>
      <c r="DN251" s="695"/>
      <c r="DO251" s="695"/>
      <c r="DP251" s="695"/>
      <c r="DQ251" s="695"/>
      <c r="DR251" s="695"/>
      <c r="DS251" s="694"/>
      <c r="DT251" s="694"/>
      <c r="DU251" s="694"/>
      <c r="DV251" s="694"/>
      <c r="DW251" s="694"/>
      <c r="DX251" s="694"/>
      <c r="DY251" s="694"/>
      <c r="DZ251" s="694"/>
      <c r="EA251" s="694"/>
      <c r="EB251" s="694"/>
      <c r="EC251" s="694"/>
      <c r="ED251" s="694"/>
      <c r="EE251" s="694"/>
      <c r="EF251" s="694"/>
      <c r="EG251" s="694"/>
      <c r="EH251" s="694"/>
      <c r="EI251" s="694"/>
      <c r="EJ251" s="694"/>
      <c r="EK251" s="694"/>
      <c r="EL251" s="694"/>
      <c r="EM251" s="694"/>
      <c r="EN251" s="694"/>
      <c r="EO251" s="694"/>
      <c r="EP251" s="694"/>
      <c r="EQ251" s="694"/>
      <c r="ER251" s="694"/>
      <c r="ES251" s="694"/>
      <c r="ET251" s="694"/>
      <c r="EU251" s="694"/>
      <c r="EV251" s="694"/>
      <c r="EW251" s="694"/>
      <c r="EX251" s="694"/>
      <c r="EY251" s="694"/>
      <c r="EZ251" s="694"/>
      <c r="FA251" s="694"/>
      <c r="FB251" s="694"/>
      <c r="FC251" s="694"/>
      <c r="FD251" s="694"/>
      <c r="FE251" s="694"/>
      <c r="FF251" s="694"/>
      <c r="FG251" s="694"/>
      <c r="FH251" s="694"/>
      <c r="FI251" s="694"/>
      <c r="FJ251" s="694"/>
      <c r="FK251" s="694"/>
      <c r="FL251" s="694"/>
      <c r="FM251" s="694"/>
      <c r="FN251" s="694"/>
      <c r="FO251" s="694"/>
      <c r="FP251" s="694"/>
      <c r="FQ251" s="697"/>
    </row>
    <row r="252" spans="1:177" s="696" customFormat="1">
      <c r="A252" s="690"/>
      <c r="B252" s="690"/>
      <c r="C252" s="691" t="s">
        <v>3641</v>
      </c>
      <c r="D252" s="691"/>
      <c r="E252" s="692">
        <v>38.9</v>
      </c>
      <c r="F252" s="692"/>
      <c r="G252" s="692"/>
      <c r="H252" s="692"/>
      <c r="I252" s="692"/>
      <c r="J252" s="692"/>
      <c r="K252" s="692"/>
      <c r="L252" s="692"/>
      <c r="M252" s="692"/>
      <c r="N252" s="692"/>
      <c r="O252" s="692">
        <f t="shared" si="70"/>
        <v>38.9</v>
      </c>
      <c r="P252" s="692"/>
      <c r="Q252" s="692"/>
      <c r="R252" s="693"/>
      <c r="S252" s="693"/>
      <c r="T252" s="693"/>
      <c r="U252" s="692" t="s">
        <v>1631</v>
      </c>
      <c r="V252" s="692"/>
      <c r="W252" s="692"/>
      <c r="X252" s="692"/>
      <c r="Y252" s="692"/>
      <c r="Z252" s="692"/>
      <c r="AA252" s="692"/>
      <c r="AB252" s="692"/>
      <c r="AC252" s="692"/>
      <c r="AD252" s="692"/>
      <c r="AE252" s="725"/>
      <c r="AF252" s="957"/>
      <c r="AG252" s="692"/>
      <c r="AH252" s="692"/>
      <c r="AI252" s="692"/>
      <c r="AJ252" s="692"/>
      <c r="AK252" s="692"/>
      <c r="AL252" s="692"/>
      <c r="AM252" s="692"/>
      <c r="AN252" s="692"/>
      <c r="AO252" s="692"/>
      <c r="AP252" s="692"/>
      <c r="AQ252" s="692"/>
      <c r="AR252" s="692"/>
      <c r="AS252" s="692"/>
      <c r="AT252" s="692"/>
      <c r="AU252" s="692">
        <v>1</v>
      </c>
      <c r="AV252" s="692"/>
      <c r="AW252" s="692">
        <f t="shared" si="72"/>
        <v>1</v>
      </c>
      <c r="AX252" s="692"/>
      <c r="AY252" s="692"/>
      <c r="AZ252" s="516">
        <f t="shared" si="73"/>
        <v>2</v>
      </c>
      <c r="BA252" s="516">
        <f t="shared" si="74"/>
        <v>0</v>
      </c>
      <c r="BB252" s="516"/>
      <c r="BC252" s="516"/>
      <c r="BD252" s="516">
        <f t="shared" si="75"/>
        <v>1</v>
      </c>
      <c r="BE252" s="516">
        <f t="shared" si="76"/>
        <v>0</v>
      </c>
      <c r="BF252" s="692"/>
      <c r="BG252" s="692"/>
      <c r="BH252" s="692"/>
      <c r="BI252" s="692">
        <f t="shared" si="71"/>
        <v>7</v>
      </c>
      <c r="BJ252" s="692"/>
      <c r="BK252" s="692"/>
      <c r="BL252" s="692"/>
      <c r="BM252" s="692"/>
      <c r="BN252" s="692"/>
      <c r="BO252" s="692"/>
      <c r="BP252" s="692"/>
      <c r="BQ252" s="692">
        <f t="shared" si="77"/>
        <v>0</v>
      </c>
      <c r="BR252" s="692"/>
      <c r="BS252" s="692">
        <f t="shared" si="78"/>
        <v>1</v>
      </c>
      <c r="BT252" s="692">
        <f t="shared" si="79"/>
        <v>0</v>
      </c>
      <c r="BU252" s="692"/>
      <c r="BV252" s="692"/>
      <c r="BW252" s="692"/>
      <c r="BX252" s="692"/>
      <c r="BY252" s="692"/>
      <c r="BZ252" s="692"/>
      <c r="CA252" s="692"/>
      <c r="CB252" s="692">
        <v>1</v>
      </c>
      <c r="CC252" s="692"/>
      <c r="CD252" s="692">
        <f t="shared" si="80"/>
        <v>4</v>
      </c>
      <c r="CE252" s="692"/>
      <c r="CF252" s="692"/>
      <c r="CG252" s="692"/>
      <c r="CH252" s="692"/>
      <c r="CI252" s="692"/>
      <c r="CJ252" s="692"/>
      <c r="CK252" s="692"/>
      <c r="CL252" s="692"/>
      <c r="CM252" s="692"/>
      <c r="CN252" s="692"/>
      <c r="CO252" s="692"/>
      <c r="CP252" s="692"/>
      <c r="CQ252" s="692"/>
      <c r="CR252" s="692"/>
      <c r="CS252" s="692"/>
      <c r="CT252" s="692"/>
      <c r="CU252" s="692"/>
      <c r="CV252" s="692"/>
      <c r="CW252" s="692"/>
      <c r="CX252" s="694"/>
      <c r="CY252" s="694"/>
      <c r="CZ252" s="694"/>
      <c r="DA252" s="694"/>
      <c r="DB252" s="694"/>
      <c r="DC252" s="694"/>
      <c r="DD252" s="694"/>
      <c r="DE252" s="694"/>
      <c r="DF252" s="694"/>
      <c r="DG252" s="695"/>
      <c r="DH252" s="695"/>
      <c r="DI252" s="695"/>
      <c r="DJ252" s="695"/>
      <c r="DK252" s="695"/>
      <c r="DL252" s="695"/>
      <c r="DM252" s="695"/>
      <c r="DN252" s="695"/>
      <c r="DO252" s="695"/>
      <c r="DP252" s="695"/>
      <c r="DQ252" s="695"/>
      <c r="DR252" s="695"/>
      <c r="DS252" s="694"/>
      <c r="DT252" s="694"/>
      <c r="DU252" s="694"/>
      <c r="DV252" s="694"/>
      <c r="DW252" s="694"/>
      <c r="DX252" s="694"/>
      <c r="DY252" s="694"/>
      <c r="DZ252" s="694"/>
      <c r="EA252" s="694"/>
      <c r="EB252" s="694"/>
      <c r="EC252" s="694"/>
      <c r="ED252" s="694"/>
      <c r="EE252" s="694"/>
      <c r="EF252" s="694"/>
      <c r="EG252" s="694"/>
      <c r="EH252" s="694"/>
      <c r="EI252" s="694"/>
      <c r="EJ252" s="694"/>
      <c r="EK252" s="694"/>
      <c r="EL252" s="694"/>
      <c r="EM252" s="694"/>
      <c r="EN252" s="694"/>
      <c r="EO252" s="694"/>
      <c r="EP252" s="694"/>
      <c r="EQ252" s="694"/>
      <c r="ER252" s="694"/>
      <c r="ES252" s="694"/>
      <c r="ET252" s="694"/>
      <c r="EU252" s="694"/>
      <c r="EV252" s="694"/>
      <c r="EW252" s="694"/>
      <c r="EX252" s="694"/>
      <c r="EY252" s="694"/>
      <c r="EZ252" s="694"/>
      <c r="FA252" s="694"/>
      <c r="FB252" s="694"/>
      <c r="FC252" s="694"/>
      <c r="FD252" s="694"/>
      <c r="FE252" s="694"/>
      <c r="FF252" s="694"/>
      <c r="FG252" s="694"/>
      <c r="FH252" s="694"/>
      <c r="FI252" s="694"/>
      <c r="FJ252" s="694"/>
      <c r="FK252" s="694"/>
      <c r="FL252" s="694"/>
      <c r="FM252" s="694"/>
      <c r="FN252" s="694"/>
      <c r="FO252" s="694"/>
      <c r="FP252" s="694"/>
      <c r="FQ252" s="697"/>
    </row>
    <row r="253" spans="1:177" s="696" customFormat="1">
      <c r="A253" s="690"/>
      <c r="B253" s="690"/>
      <c r="C253" s="691" t="s">
        <v>3647</v>
      </c>
      <c r="D253" s="691"/>
      <c r="E253" s="692">
        <v>27.9</v>
      </c>
      <c r="F253" s="692"/>
      <c r="G253" s="692"/>
      <c r="H253" s="692"/>
      <c r="I253" s="692"/>
      <c r="J253" s="692"/>
      <c r="K253" s="692"/>
      <c r="L253" s="692"/>
      <c r="M253" s="692"/>
      <c r="N253" s="692"/>
      <c r="O253" s="692">
        <f t="shared" si="70"/>
        <v>27.9</v>
      </c>
      <c r="P253" s="692"/>
      <c r="Q253" s="692"/>
      <c r="R253" s="693"/>
      <c r="S253" s="693"/>
      <c r="T253" s="693"/>
      <c r="U253" s="692" t="s">
        <v>2990</v>
      </c>
      <c r="V253" s="692"/>
      <c r="W253" s="692"/>
      <c r="X253" s="692"/>
      <c r="Y253" s="692"/>
      <c r="Z253" s="692"/>
      <c r="AA253" s="692"/>
      <c r="AB253" s="692"/>
      <c r="AC253" s="692"/>
      <c r="AD253" s="692"/>
      <c r="AE253" s="725"/>
      <c r="AF253" s="957"/>
      <c r="AG253" s="692"/>
      <c r="AH253" s="692"/>
      <c r="AI253" s="692"/>
      <c r="AJ253" s="692"/>
      <c r="AK253" s="692"/>
      <c r="AL253" s="692"/>
      <c r="AM253" s="692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>
        <f t="shared" si="72"/>
        <v>1</v>
      </c>
      <c r="AX253" s="692"/>
      <c r="AY253" s="692"/>
      <c r="AZ253" s="516">
        <f t="shared" si="73"/>
        <v>2</v>
      </c>
      <c r="BA253" s="516">
        <f t="shared" si="74"/>
        <v>0</v>
      </c>
      <c r="BB253" s="516"/>
      <c r="BC253" s="516"/>
      <c r="BD253" s="516">
        <f t="shared" si="75"/>
        <v>1</v>
      </c>
      <c r="BE253" s="516">
        <f t="shared" si="76"/>
        <v>0</v>
      </c>
      <c r="BF253" s="692"/>
      <c r="BG253" s="692"/>
      <c r="BH253" s="692"/>
      <c r="BI253" s="692">
        <f t="shared" si="71"/>
        <v>5</v>
      </c>
      <c r="BJ253" s="692"/>
      <c r="BK253" s="692"/>
      <c r="BL253" s="692"/>
      <c r="BM253" s="692"/>
      <c r="BN253" s="692"/>
      <c r="BO253" s="692"/>
      <c r="BP253" s="692"/>
      <c r="BQ253" s="692">
        <f t="shared" si="77"/>
        <v>0</v>
      </c>
      <c r="BR253" s="692"/>
      <c r="BS253" s="692">
        <f t="shared" si="78"/>
        <v>0</v>
      </c>
      <c r="BT253" s="692">
        <f t="shared" si="79"/>
        <v>0</v>
      </c>
      <c r="BU253" s="692"/>
      <c r="BV253" s="692"/>
      <c r="BW253" s="692"/>
      <c r="BX253" s="692">
        <v>1</v>
      </c>
      <c r="BY253" s="692"/>
      <c r="BZ253" s="692"/>
      <c r="CA253" s="692"/>
      <c r="CB253" s="692">
        <v>1</v>
      </c>
      <c r="CC253" s="692"/>
      <c r="CD253" s="692">
        <f t="shared" si="80"/>
        <v>4</v>
      </c>
      <c r="CE253" s="692"/>
      <c r="CF253" s="692"/>
      <c r="CG253" s="692"/>
      <c r="CH253" s="692"/>
      <c r="CI253" s="692"/>
      <c r="CJ253" s="692"/>
      <c r="CK253" s="692"/>
      <c r="CL253" s="692"/>
      <c r="CM253" s="692"/>
      <c r="CN253" s="692"/>
      <c r="CO253" s="692"/>
      <c r="CP253" s="692"/>
      <c r="CQ253" s="692"/>
      <c r="CR253" s="692"/>
      <c r="CS253" s="692"/>
      <c r="CT253" s="692"/>
      <c r="CU253" s="692"/>
      <c r="CV253" s="692"/>
      <c r="CW253" s="692"/>
      <c r="CX253" s="694"/>
      <c r="CY253" s="694"/>
      <c r="CZ253" s="694"/>
      <c r="DA253" s="694"/>
      <c r="DB253" s="694"/>
      <c r="DC253" s="694"/>
      <c r="DD253" s="694"/>
      <c r="DE253" s="694"/>
      <c r="DF253" s="694"/>
      <c r="DG253" s="695"/>
      <c r="DH253" s="695"/>
      <c r="DI253" s="695"/>
      <c r="DJ253" s="695"/>
      <c r="DK253" s="695"/>
      <c r="DL253" s="695"/>
      <c r="DM253" s="695"/>
      <c r="DN253" s="695"/>
      <c r="DO253" s="695"/>
      <c r="DP253" s="695"/>
      <c r="DQ253" s="695"/>
      <c r="DR253" s="695"/>
      <c r="DS253" s="694"/>
      <c r="DT253" s="694"/>
      <c r="DU253" s="694"/>
      <c r="DV253" s="694"/>
      <c r="DW253" s="694"/>
      <c r="DX253" s="694"/>
      <c r="DY253" s="694"/>
      <c r="DZ253" s="694"/>
      <c r="EA253" s="694"/>
      <c r="EB253" s="694"/>
      <c r="EC253" s="694"/>
      <c r="ED253" s="694"/>
      <c r="EE253" s="694"/>
      <c r="EF253" s="694"/>
      <c r="EG253" s="694"/>
      <c r="EH253" s="694"/>
      <c r="EI253" s="694"/>
      <c r="EJ253" s="694"/>
      <c r="EK253" s="694"/>
      <c r="EL253" s="694"/>
      <c r="EM253" s="694"/>
      <c r="EN253" s="694"/>
      <c r="EO253" s="694"/>
      <c r="EP253" s="694"/>
      <c r="EQ253" s="694"/>
      <c r="ER253" s="694"/>
      <c r="ES253" s="694"/>
      <c r="ET253" s="694"/>
      <c r="EU253" s="694"/>
      <c r="EV253" s="694"/>
      <c r="EW253" s="694"/>
      <c r="EX253" s="694"/>
      <c r="EY253" s="694"/>
      <c r="EZ253" s="694"/>
      <c r="FA253" s="694"/>
      <c r="FB253" s="694"/>
      <c r="FC253" s="694"/>
      <c r="FD253" s="694"/>
      <c r="FE253" s="694"/>
      <c r="FF253" s="694"/>
      <c r="FG253" s="694"/>
      <c r="FH253" s="694"/>
      <c r="FI253" s="694"/>
      <c r="FJ253" s="694"/>
      <c r="FK253" s="694"/>
      <c r="FL253" s="694"/>
      <c r="FM253" s="694"/>
      <c r="FN253" s="694"/>
      <c r="FO253" s="694"/>
      <c r="FP253" s="694"/>
      <c r="FQ253" s="697"/>
    </row>
    <row r="254" spans="1:177" s="696" customFormat="1">
      <c r="A254" s="690"/>
      <c r="B254" s="690"/>
      <c r="C254" s="691"/>
      <c r="D254" s="691"/>
      <c r="E254" s="692"/>
      <c r="F254" s="692"/>
      <c r="G254" s="692"/>
      <c r="H254" s="692"/>
      <c r="I254" s="692"/>
      <c r="J254" s="692"/>
      <c r="K254" s="692"/>
      <c r="L254" s="692"/>
      <c r="M254" s="692"/>
      <c r="N254" s="692"/>
      <c r="O254" s="692"/>
      <c r="P254" s="692"/>
      <c r="Q254" s="692"/>
      <c r="R254" s="693"/>
      <c r="S254" s="693"/>
      <c r="T254" s="693"/>
      <c r="U254" s="692"/>
      <c r="V254" s="692"/>
      <c r="W254" s="692"/>
      <c r="X254" s="692"/>
      <c r="Y254" s="692"/>
      <c r="Z254" s="692"/>
      <c r="AA254" s="692"/>
      <c r="AB254" s="692"/>
      <c r="AC254" s="692"/>
      <c r="AD254" s="692"/>
      <c r="AE254" s="725"/>
      <c r="AF254" s="957"/>
      <c r="AG254" s="692"/>
      <c r="AH254" s="692"/>
      <c r="AI254" s="692"/>
      <c r="AJ254" s="692"/>
      <c r="AK254" s="692"/>
      <c r="AL254" s="692"/>
      <c r="AM254" s="692"/>
      <c r="AN254" s="692"/>
      <c r="AO254" s="692"/>
      <c r="AP254" s="692"/>
      <c r="AQ254" s="692"/>
      <c r="AR254" s="692"/>
      <c r="AS254" s="692"/>
      <c r="AT254" s="692"/>
      <c r="AU254" s="692"/>
      <c r="AV254" s="692"/>
      <c r="AW254" s="692">
        <f t="shared" si="72"/>
        <v>0</v>
      </c>
      <c r="AX254" s="692"/>
      <c r="AY254" s="692"/>
      <c r="AZ254" s="516">
        <f t="shared" si="73"/>
        <v>0</v>
      </c>
      <c r="BA254" s="516">
        <f t="shared" si="74"/>
        <v>0</v>
      </c>
      <c r="BB254" s="516"/>
      <c r="BC254" s="516"/>
      <c r="BD254" s="516">
        <f t="shared" si="75"/>
        <v>0</v>
      </c>
      <c r="BE254" s="516">
        <f t="shared" si="76"/>
        <v>0</v>
      </c>
      <c r="BF254" s="692"/>
      <c r="BG254" s="692"/>
      <c r="BH254" s="692"/>
      <c r="BI254" s="692"/>
      <c r="BJ254" s="692">
        <f>CB254*5+AU254*2</f>
        <v>0</v>
      </c>
      <c r="BK254" s="692"/>
      <c r="BL254" s="692"/>
      <c r="BM254" s="692"/>
      <c r="BN254" s="692"/>
      <c r="BO254" s="692"/>
      <c r="BP254" s="692"/>
      <c r="BQ254" s="692">
        <f t="shared" si="77"/>
        <v>0</v>
      </c>
      <c r="BR254" s="692"/>
      <c r="BS254" s="692">
        <f t="shared" si="78"/>
        <v>0</v>
      </c>
      <c r="BT254" s="692">
        <f t="shared" si="79"/>
        <v>0</v>
      </c>
      <c r="BU254" s="692"/>
      <c r="BV254" s="692"/>
      <c r="BW254" s="692"/>
      <c r="BX254" s="692"/>
      <c r="BY254" s="692"/>
      <c r="BZ254" s="692"/>
      <c r="CA254" s="692"/>
      <c r="CB254" s="692"/>
      <c r="CC254" s="692"/>
      <c r="CD254" s="692">
        <f t="shared" si="80"/>
        <v>0</v>
      </c>
      <c r="CE254" s="692"/>
      <c r="CF254" s="692"/>
      <c r="CG254" s="692"/>
      <c r="CH254" s="692"/>
      <c r="CI254" s="692"/>
      <c r="CJ254" s="692"/>
      <c r="CK254" s="692"/>
      <c r="CL254" s="692"/>
      <c r="CM254" s="692"/>
      <c r="CN254" s="692"/>
      <c r="CO254" s="692"/>
      <c r="CP254" s="692"/>
      <c r="CQ254" s="692"/>
      <c r="CR254" s="692"/>
      <c r="CS254" s="692"/>
      <c r="CT254" s="692"/>
      <c r="CU254" s="692"/>
      <c r="CV254" s="692"/>
      <c r="CW254" s="692"/>
      <c r="CX254" s="694"/>
      <c r="CY254" s="694"/>
      <c r="CZ254" s="694"/>
      <c r="DA254" s="694"/>
      <c r="DB254" s="694"/>
      <c r="DC254" s="694"/>
      <c r="DD254" s="694"/>
      <c r="DE254" s="694"/>
      <c r="DF254" s="694"/>
      <c r="DG254" s="695"/>
      <c r="DH254" s="695"/>
      <c r="DI254" s="695"/>
      <c r="DJ254" s="695"/>
      <c r="DK254" s="695"/>
      <c r="DL254" s="695"/>
      <c r="DM254" s="695"/>
      <c r="DN254" s="695"/>
      <c r="DO254" s="695"/>
      <c r="DP254" s="695"/>
      <c r="DQ254" s="695"/>
      <c r="DR254" s="695"/>
      <c r="DS254" s="694"/>
      <c r="DT254" s="694"/>
      <c r="DU254" s="694"/>
      <c r="DV254" s="694"/>
      <c r="DW254" s="694"/>
      <c r="DX254" s="694"/>
      <c r="DY254" s="694"/>
      <c r="DZ254" s="694"/>
      <c r="EA254" s="694"/>
      <c r="EB254" s="694"/>
      <c r="EC254" s="694"/>
      <c r="ED254" s="694"/>
      <c r="EE254" s="694"/>
      <c r="EF254" s="694"/>
      <c r="EG254" s="694"/>
      <c r="EH254" s="694"/>
      <c r="EI254" s="694"/>
      <c r="EJ254" s="694"/>
      <c r="EK254" s="694"/>
      <c r="EL254" s="694"/>
      <c r="EM254" s="694"/>
      <c r="EN254" s="694"/>
      <c r="EO254" s="694"/>
      <c r="EP254" s="694"/>
      <c r="EQ254" s="694"/>
      <c r="ER254" s="694"/>
      <c r="ES254" s="694"/>
      <c r="ET254" s="694"/>
      <c r="EU254" s="694"/>
      <c r="EV254" s="694"/>
      <c r="EW254" s="694"/>
      <c r="EX254" s="694"/>
      <c r="EY254" s="694"/>
      <c r="EZ254" s="694"/>
      <c r="FA254" s="694"/>
      <c r="FB254" s="694"/>
      <c r="FC254" s="694"/>
      <c r="FD254" s="694"/>
      <c r="FE254" s="694"/>
      <c r="FF254" s="694"/>
      <c r="FG254" s="694"/>
      <c r="FH254" s="694"/>
      <c r="FI254" s="694"/>
      <c r="FJ254" s="694"/>
      <c r="FK254" s="694"/>
      <c r="FL254" s="694"/>
      <c r="FM254" s="694"/>
      <c r="FN254" s="694"/>
      <c r="FO254" s="694"/>
      <c r="FP254" s="694"/>
      <c r="FQ254" s="697"/>
    </row>
    <row r="255" spans="1:177" s="696" customFormat="1">
      <c r="A255" s="690"/>
      <c r="B255" s="690"/>
      <c r="C255" s="691"/>
      <c r="D255" s="691"/>
      <c r="E255" s="692"/>
      <c r="F255" s="692"/>
      <c r="G255" s="692"/>
      <c r="H255" s="692"/>
      <c r="I255" s="692"/>
      <c r="J255" s="692"/>
      <c r="K255" s="692"/>
      <c r="L255" s="692"/>
      <c r="M255" s="692"/>
      <c r="N255" s="692"/>
      <c r="O255" s="692"/>
      <c r="P255" s="692"/>
      <c r="Q255" s="692"/>
      <c r="R255" s="693"/>
      <c r="S255" s="693"/>
      <c r="T255" s="693"/>
      <c r="U255" s="692"/>
      <c r="V255" s="692"/>
      <c r="W255" s="692"/>
      <c r="X255" s="692"/>
      <c r="Y255" s="692"/>
      <c r="Z255" s="692"/>
      <c r="AA255" s="692"/>
      <c r="AB255" s="692"/>
      <c r="AC255" s="692"/>
      <c r="AD255" s="692"/>
      <c r="AE255" s="725"/>
      <c r="AF255" s="957"/>
      <c r="AG255" s="692"/>
      <c r="AH255" s="692"/>
      <c r="AI255" s="692"/>
      <c r="AJ255" s="692"/>
      <c r="AK255" s="692"/>
      <c r="AL255" s="692"/>
      <c r="AM255" s="692"/>
      <c r="AN255" s="692"/>
      <c r="AO255" s="692"/>
      <c r="AP255" s="692"/>
      <c r="AQ255" s="692"/>
      <c r="AR255" s="692"/>
      <c r="AS255" s="692"/>
      <c r="AT255" s="692"/>
      <c r="AU255" s="692"/>
      <c r="AV255" s="692"/>
      <c r="AW255" s="692">
        <f t="shared" si="72"/>
        <v>0</v>
      </c>
      <c r="AX255" s="692"/>
      <c r="AY255" s="692"/>
      <c r="AZ255" s="516">
        <f t="shared" si="73"/>
        <v>0</v>
      </c>
      <c r="BA255" s="516">
        <f t="shared" si="74"/>
        <v>0</v>
      </c>
      <c r="BB255" s="516"/>
      <c r="BC255" s="516"/>
      <c r="BD255" s="516">
        <f t="shared" si="75"/>
        <v>0</v>
      </c>
      <c r="BE255" s="516">
        <f t="shared" si="76"/>
        <v>0</v>
      </c>
      <c r="BF255" s="692"/>
      <c r="BG255" s="692"/>
      <c r="BH255" s="692"/>
      <c r="BI255" s="692"/>
      <c r="BJ255" s="692">
        <f>CB255*5+AU255*2</f>
        <v>0</v>
      </c>
      <c r="BK255" s="692"/>
      <c r="BL255" s="692"/>
      <c r="BM255" s="692"/>
      <c r="BN255" s="692"/>
      <c r="BO255" s="692"/>
      <c r="BP255" s="692"/>
      <c r="BQ255" s="692">
        <f t="shared" si="77"/>
        <v>0</v>
      </c>
      <c r="BR255" s="692"/>
      <c r="BS255" s="692">
        <f t="shared" si="78"/>
        <v>0</v>
      </c>
      <c r="BT255" s="692">
        <f t="shared" si="79"/>
        <v>0</v>
      </c>
      <c r="BU255" s="692"/>
      <c r="BV255" s="692"/>
      <c r="BW255" s="692"/>
      <c r="BX255" s="692"/>
      <c r="BY255" s="692"/>
      <c r="BZ255" s="692"/>
      <c r="CA255" s="692"/>
      <c r="CB255" s="692"/>
      <c r="CC255" s="692"/>
      <c r="CD255" s="692">
        <f t="shared" si="80"/>
        <v>0</v>
      </c>
      <c r="CE255" s="692"/>
      <c r="CF255" s="692"/>
      <c r="CG255" s="692"/>
      <c r="CH255" s="692"/>
      <c r="CI255" s="692"/>
      <c r="CJ255" s="692"/>
      <c r="CK255" s="692"/>
      <c r="CL255" s="692"/>
      <c r="CM255" s="692"/>
      <c r="CN255" s="692"/>
      <c r="CO255" s="692"/>
      <c r="CP255" s="692"/>
      <c r="CQ255" s="692"/>
      <c r="CR255" s="692"/>
      <c r="CS255" s="692"/>
      <c r="CT255" s="692"/>
      <c r="CU255" s="692"/>
      <c r="CV255" s="692"/>
      <c r="CW255" s="692"/>
      <c r="CX255" s="694"/>
      <c r="CY255" s="694"/>
      <c r="CZ255" s="694"/>
      <c r="DA255" s="694"/>
      <c r="DB255" s="694"/>
      <c r="DC255" s="694"/>
      <c r="DD255" s="694"/>
      <c r="DE255" s="694"/>
      <c r="DF255" s="694"/>
      <c r="DG255" s="695"/>
      <c r="DH255" s="695"/>
      <c r="DI255" s="695"/>
      <c r="DJ255" s="695"/>
      <c r="DK255" s="695"/>
      <c r="DL255" s="695"/>
      <c r="DM255" s="695"/>
      <c r="DN255" s="695"/>
      <c r="DO255" s="695"/>
      <c r="DP255" s="695"/>
      <c r="DQ255" s="695"/>
      <c r="DR255" s="695"/>
      <c r="DS255" s="694"/>
      <c r="DT255" s="694"/>
      <c r="DU255" s="694"/>
      <c r="DV255" s="694"/>
      <c r="DW255" s="694"/>
      <c r="DX255" s="694"/>
      <c r="DY255" s="694"/>
      <c r="DZ255" s="694"/>
      <c r="EA255" s="694"/>
      <c r="EB255" s="694"/>
      <c r="EC255" s="694"/>
      <c r="ED255" s="694"/>
      <c r="EE255" s="694"/>
      <c r="EF255" s="694"/>
      <c r="EG255" s="694"/>
      <c r="EH255" s="694"/>
      <c r="EI255" s="694"/>
      <c r="EJ255" s="694"/>
      <c r="EK255" s="694"/>
      <c r="EL255" s="694"/>
      <c r="EM255" s="694"/>
      <c r="EN255" s="694"/>
      <c r="EO255" s="694"/>
      <c r="EP255" s="694"/>
      <c r="EQ255" s="694"/>
      <c r="ER255" s="694"/>
      <c r="ES255" s="694"/>
      <c r="ET255" s="694"/>
      <c r="EU255" s="694"/>
      <c r="EV255" s="694"/>
      <c r="EW255" s="694"/>
      <c r="EX255" s="694"/>
      <c r="EY255" s="694"/>
      <c r="EZ255" s="694"/>
      <c r="FA255" s="694"/>
      <c r="FB255" s="694"/>
      <c r="FC255" s="694"/>
      <c r="FD255" s="694"/>
      <c r="FE255" s="694"/>
      <c r="FF255" s="694"/>
      <c r="FG255" s="694"/>
      <c r="FH255" s="694"/>
      <c r="FI255" s="694"/>
      <c r="FJ255" s="694"/>
      <c r="FK255" s="694"/>
      <c r="FL255" s="694"/>
      <c r="FM255" s="694"/>
      <c r="FN255" s="694"/>
      <c r="FO255" s="694"/>
      <c r="FP255" s="694"/>
      <c r="FQ255" s="697"/>
    </row>
    <row r="256" spans="1:177" s="4" customFormat="1">
      <c r="A256" s="486">
        <f>MATCH(C256,$C$5:$C$700,0)</f>
        <v>252</v>
      </c>
      <c r="B256" s="56"/>
      <c r="C256" s="507" t="s">
        <v>1568</v>
      </c>
      <c r="D256" s="507"/>
      <c r="E256" s="508">
        <f t="shared" ref="E256:AN256" si="81">SUM(E110:E255)</f>
        <v>4021.3000000000011</v>
      </c>
      <c r="F256" s="508">
        <f t="shared" si="81"/>
        <v>0</v>
      </c>
      <c r="G256" s="508">
        <f t="shared" si="81"/>
        <v>0</v>
      </c>
      <c r="H256" s="508">
        <f t="shared" si="81"/>
        <v>0</v>
      </c>
      <c r="I256" s="508">
        <f t="shared" si="81"/>
        <v>0</v>
      </c>
      <c r="J256" s="508">
        <f t="shared" si="81"/>
        <v>0</v>
      </c>
      <c r="K256" s="508">
        <f t="shared" si="81"/>
        <v>0</v>
      </c>
      <c r="L256" s="508">
        <f t="shared" si="81"/>
        <v>0</v>
      </c>
      <c r="M256" s="508">
        <f t="shared" si="81"/>
        <v>0</v>
      </c>
      <c r="N256" s="508">
        <f t="shared" si="81"/>
        <v>0</v>
      </c>
      <c r="O256" s="508">
        <f t="shared" si="81"/>
        <v>1518.9</v>
      </c>
      <c r="P256" s="508">
        <f t="shared" si="81"/>
        <v>2537.4</v>
      </c>
      <c r="Q256" s="508">
        <f t="shared" si="81"/>
        <v>0</v>
      </c>
      <c r="R256" s="508">
        <f t="shared" si="81"/>
        <v>0</v>
      </c>
      <c r="S256" s="508">
        <f t="shared" si="81"/>
        <v>0</v>
      </c>
      <c r="T256" s="509">
        <f t="shared" si="81"/>
        <v>0</v>
      </c>
      <c r="U256" s="509">
        <f t="shared" si="81"/>
        <v>0</v>
      </c>
      <c r="V256" s="509">
        <f t="shared" si="81"/>
        <v>1</v>
      </c>
      <c r="W256" s="509">
        <f t="shared" si="81"/>
        <v>80</v>
      </c>
      <c r="X256" s="509">
        <f t="shared" si="81"/>
        <v>0</v>
      </c>
      <c r="Y256" s="509">
        <f t="shared" si="81"/>
        <v>0</v>
      </c>
      <c r="Z256" s="509">
        <f t="shared" si="81"/>
        <v>31</v>
      </c>
      <c r="AA256" s="509">
        <f>SUM(AA110:AA255)</f>
        <v>0</v>
      </c>
      <c r="AB256" s="509">
        <f t="shared" si="81"/>
        <v>0</v>
      </c>
      <c r="AC256" s="509">
        <f t="shared" si="81"/>
        <v>0</v>
      </c>
      <c r="AD256" s="509">
        <f>SUM(AD110:AD255)</f>
        <v>0</v>
      </c>
      <c r="AE256" s="511">
        <f t="shared" si="81"/>
        <v>25</v>
      </c>
      <c r="AF256" s="958">
        <f>SUM(AF110:AF255)</f>
        <v>0</v>
      </c>
      <c r="AG256" s="509">
        <f t="shared" si="81"/>
        <v>0</v>
      </c>
      <c r="AH256" s="509">
        <f t="shared" si="81"/>
        <v>0</v>
      </c>
      <c r="AI256" s="509">
        <f t="shared" si="81"/>
        <v>0</v>
      </c>
      <c r="AJ256" s="509">
        <f t="shared" si="81"/>
        <v>0</v>
      </c>
      <c r="AK256" s="509">
        <f t="shared" si="81"/>
        <v>0</v>
      </c>
      <c r="AL256" s="509">
        <f t="shared" si="81"/>
        <v>0</v>
      </c>
      <c r="AM256" s="509">
        <f t="shared" si="81"/>
        <v>0</v>
      </c>
      <c r="AN256" s="509">
        <f t="shared" si="81"/>
        <v>0</v>
      </c>
      <c r="AO256" s="509">
        <f t="shared" ref="AO256:BV256" si="82">SUM(AO110:AO255)</f>
        <v>0</v>
      </c>
      <c r="AP256" s="509">
        <f t="shared" si="82"/>
        <v>0</v>
      </c>
      <c r="AQ256" s="509">
        <f t="shared" si="82"/>
        <v>0</v>
      </c>
      <c r="AR256" s="509">
        <f t="shared" si="82"/>
        <v>0</v>
      </c>
      <c r="AS256" s="509">
        <f>SUM(AS110:AS255)</f>
        <v>0</v>
      </c>
      <c r="AT256" s="509">
        <f>SUM(AT110:AT255)</f>
        <v>0</v>
      </c>
      <c r="AU256" s="509">
        <f t="shared" si="82"/>
        <v>24</v>
      </c>
      <c r="AV256" s="509">
        <f t="shared" si="82"/>
        <v>0</v>
      </c>
      <c r="AW256" s="509">
        <f t="shared" si="82"/>
        <v>114</v>
      </c>
      <c r="AX256" s="509">
        <f t="shared" si="82"/>
        <v>0</v>
      </c>
      <c r="AY256" s="509">
        <f t="shared" si="82"/>
        <v>0</v>
      </c>
      <c r="AZ256" s="509">
        <f t="shared" si="82"/>
        <v>176</v>
      </c>
      <c r="BA256" s="509">
        <f t="shared" si="82"/>
        <v>55</v>
      </c>
      <c r="BB256" s="509">
        <f t="shared" si="82"/>
        <v>0</v>
      </c>
      <c r="BC256" s="509">
        <f t="shared" si="82"/>
        <v>0</v>
      </c>
      <c r="BD256" s="509">
        <f t="shared" si="82"/>
        <v>124</v>
      </c>
      <c r="BE256" s="509">
        <f t="shared" si="82"/>
        <v>48</v>
      </c>
      <c r="BF256" s="509">
        <f t="shared" si="82"/>
        <v>2</v>
      </c>
      <c r="BG256" s="509">
        <f t="shared" si="82"/>
        <v>0</v>
      </c>
      <c r="BH256" s="509">
        <f t="shared" si="82"/>
        <v>0</v>
      </c>
      <c r="BI256" s="509">
        <f t="shared" si="82"/>
        <v>186</v>
      </c>
      <c r="BJ256" s="509">
        <f t="shared" si="82"/>
        <v>437</v>
      </c>
      <c r="BK256" s="509">
        <f t="shared" si="82"/>
        <v>0</v>
      </c>
      <c r="BL256" s="509">
        <f t="shared" si="82"/>
        <v>0</v>
      </c>
      <c r="BM256" s="509">
        <f t="shared" si="82"/>
        <v>0</v>
      </c>
      <c r="BN256" s="509">
        <f t="shared" si="82"/>
        <v>0</v>
      </c>
      <c r="BO256" s="509">
        <f t="shared" si="82"/>
        <v>0</v>
      </c>
      <c r="BP256" s="509">
        <f t="shared" si="82"/>
        <v>0</v>
      </c>
      <c r="BQ256" s="509">
        <f t="shared" si="82"/>
        <v>21</v>
      </c>
      <c r="BR256" s="509">
        <f t="shared" si="82"/>
        <v>0</v>
      </c>
      <c r="BS256" s="509">
        <f t="shared" si="82"/>
        <v>37</v>
      </c>
      <c r="BT256" s="509">
        <f t="shared" si="82"/>
        <v>66</v>
      </c>
      <c r="BU256" s="509">
        <f t="shared" si="82"/>
        <v>0</v>
      </c>
      <c r="BV256" s="509">
        <f t="shared" si="82"/>
        <v>0</v>
      </c>
      <c r="BW256" s="509">
        <f t="shared" ref="BW256:DH256" si="83">SUM(BW110:BW255)</f>
        <v>0</v>
      </c>
      <c r="BX256" s="509">
        <f t="shared" si="83"/>
        <v>28</v>
      </c>
      <c r="BY256" s="509">
        <f t="shared" si="83"/>
        <v>67</v>
      </c>
      <c r="BZ256" s="509">
        <f t="shared" si="83"/>
        <v>0</v>
      </c>
      <c r="CA256" s="509">
        <f t="shared" si="83"/>
        <v>0</v>
      </c>
      <c r="CB256" s="509">
        <f t="shared" si="83"/>
        <v>115</v>
      </c>
      <c r="CC256" s="509">
        <f t="shared" si="83"/>
        <v>2</v>
      </c>
      <c r="CD256" s="509">
        <f t="shared" si="83"/>
        <v>460</v>
      </c>
      <c r="CE256" s="509">
        <f t="shared" si="83"/>
        <v>9</v>
      </c>
      <c r="CF256" s="509">
        <f t="shared" si="83"/>
        <v>15</v>
      </c>
      <c r="CG256" s="509">
        <f t="shared" si="83"/>
        <v>12</v>
      </c>
      <c r="CH256" s="509">
        <f t="shared" si="83"/>
        <v>24</v>
      </c>
      <c r="CI256" s="509">
        <f>SUM(CI110:CI255)</f>
        <v>0</v>
      </c>
      <c r="CJ256" s="509">
        <f t="shared" si="83"/>
        <v>26</v>
      </c>
      <c r="CK256" s="509">
        <f t="shared" si="83"/>
        <v>0</v>
      </c>
      <c r="CL256" s="509">
        <f t="shared" si="83"/>
        <v>0</v>
      </c>
      <c r="CM256" s="509">
        <f t="shared" si="83"/>
        <v>0</v>
      </c>
      <c r="CN256" s="509">
        <f t="shared" si="83"/>
        <v>24</v>
      </c>
      <c r="CO256" s="509">
        <f>SUM(CO110:CO255)</f>
        <v>20</v>
      </c>
      <c r="CP256" s="509">
        <f t="shared" si="83"/>
        <v>0</v>
      </c>
      <c r="CQ256" s="509">
        <f t="shared" si="83"/>
        <v>2</v>
      </c>
      <c r="CR256" s="509">
        <f t="shared" si="83"/>
        <v>0</v>
      </c>
      <c r="CS256" s="509">
        <f t="shared" si="83"/>
        <v>0</v>
      </c>
      <c r="CT256" s="509">
        <f t="shared" si="83"/>
        <v>0</v>
      </c>
      <c r="CU256" s="509">
        <f t="shared" si="83"/>
        <v>1</v>
      </c>
      <c r="CV256" s="509">
        <f t="shared" si="83"/>
        <v>1</v>
      </c>
      <c r="CW256" s="509">
        <f t="shared" si="83"/>
        <v>2</v>
      </c>
      <c r="CX256" s="509">
        <f t="shared" si="83"/>
        <v>0</v>
      </c>
      <c r="CY256" s="509">
        <f t="shared" ref="CY256" si="84">SUM(CY110:CY255)</f>
        <v>0</v>
      </c>
      <c r="CZ256" s="509">
        <f>SUM(CZ110:CZ255)</f>
        <v>0</v>
      </c>
      <c r="DA256" s="509">
        <f>SUM(DA110:DA255)</f>
        <v>0</v>
      </c>
      <c r="DB256" s="509">
        <f t="shared" si="83"/>
        <v>0</v>
      </c>
      <c r="DC256" s="509">
        <f t="shared" si="83"/>
        <v>0</v>
      </c>
      <c r="DD256" s="509">
        <f t="shared" si="83"/>
        <v>0</v>
      </c>
      <c r="DE256" s="509">
        <f t="shared" si="83"/>
        <v>0</v>
      </c>
      <c r="DF256" s="509">
        <f t="shared" si="83"/>
        <v>0</v>
      </c>
      <c r="DG256" s="518">
        <f t="shared" si="83"/>
        <v>0</v>
      </c>
      <c r="DH256" s="518">
        <f t="shared" si="83"/>
        <v>0</v>
      </c>
      <c r="DI256" s="518">
        <f t="shared" ref="DI256:EN256" si="85">SUM(DI110:DI255)</f>
        <v>0</v>
      </c>
      <c r="DJ256" s="518">
        <f t="shared" si="85"/>
        <v>0</v>
      </c>
      <c r="DK256" s="518">
        <f t="shared" si="85"/>
        <v>0</v>
      </c>
      <c r="DL256" s="518">
        <f t="shared" si="85"/>
        <v>0</v>
      </c>
      <c r="DM256" s="518">
        <f t="shared" si="85"/>
        <v>0</v>
      </c>
      <c r="DN256" s="518">
        <f t="shared" si="85"/>
        <v>0</v>
      </c>
      <c r="DO256" s="518">
        <f t="shared" si="85"/>
        <v>0</v>
      </c>
      <c r="DP256" s="518">
        <f t="shared" si="85"/>
        <v>0</v>
      </c>
      <c r="DQ256" s="518">
        <f t="shared" si="85"/>
        <v>0</v>
      </c>
      <c r="DR256" s="518">
        <f t="shared" si="85"/>
        <v>0</v>
      </c>
      <c r="DS256" s="509">
        <f t="shared" si="85"/>
        <v>0</v>
      </c>
      <c r="DT256" s="509">
        <f t="shared" si="85"/>
        <v>0</v>
      </c>
      <c r="DU256" s="509">
        <f t="shared" si="85"/>
        <v>0</v>
      </c>
      <c r="DV256" s="509">
        <f t="shared" si="85"/>
        <v>0</v>
      </c>
      <c r="DW256" s="509">
        <f t="shared" si="85"/>
        <v>0</v>
      </c>
      <c r="DX256" s="509">
        <f t="shared" si="85"/>
        <v>0</v>
      </c>
      <c r="DY256" s="509">
        <f t="shared" si="85"/>
        <v>0</v>
      </c>
      <c r="DZ256" s="509">
        <f t="shared" si="85"/>
        <v>0</v>
      </c>
      <c r="EA256" s="509">
        <f t="shared" si="85"/>
        <v>0</v>
      </c>
      <c r="EB256" s="509">
        <f t="shared" si="85"/>
        <v>0</v>
      </c>
      <c r="EC256" s="509">
        <f t="shared" si="85"/>
        <v>0</v>
      </c>
      <c r="ED256" s="509">
        <f t="shared" si="85"/>
        <v>0</v>
      </c>
      <c r="EE256" s="509">
        <f t="shared" si="85"/>
        <v>0</v>
      </c>
      <c r="EF256" s="509">
        <f t="shared" si="85"/>
        <v>0</v>
      </c>
      <c r="EG256" s="509">
        <f t="shared" si="85"/>
        <v>0</v>
      </c>
      <c r="EH256" s="509">
        <f t="shared" si="85"/>
        <v>0</v>
      </c>
      <c r="EI256" s="509">
        <f t="shared" si="85"/>
        <v>0</v>
      </c>
      <c r="EJ256" s="509">
        <f t="shared" si="85"/>
        <v>0</v>
      </c>
      <c r="EK256" s="509">
        <f t="shared" si="85"/>
        <v>0</v>
      </c>
      <c r="EL256" s="509">
        <f t="shared" si="85"/>
        <v>0</v>
      </c>
      <c r="EM256" s="509">
        <f t="shared" si="85"/>
        <v>0</v>
      </c>
      <c r="EN256" s="509">
        <f t="shared" si="85"/>
        <v>0</v>
      </c>
      <c r="EO256" s="509">
        <f t="shared" ref="EO256:FO256" si="86">SUM(EO110:EO255)</f>
        <v>0</v>
      </c>
      <c r="EP256" s="509">
        <f t="shared" si="86"/>
        <v>0</v>
      </c>
      <c r="EQ256" s="509">
        <f t="shared" si="86"/>
        <v>0</v>
      </c>
      <c r="ER256" s="509">
        <f t="shared" si="86"/>
        <v>0</v>
      </c>
      <c r="ES256" s="509">
        <f t="shared" si="86"/>
        <v>0</v>
      </c>
      <c r="ET256" s="509">
        <f t="shared" si="86"/>
        <v>0</v>
      </c>
      <c r="EU256" s="509">
        <f t="shared" si="86"/>
        <v>0</v>
      </c>
      <c r="EV256" s="509">
        <f t="shared" si="86"/>
        <v>0</v>
      </c>
      <c r="EW256" s="509">
        <f t="shared" si="86"/>
        <v>0</v>
      </c>
      <c r="EX256" s="509">
        <f t="shared" si="86"/>
        <v>0</v>
      </c>
      <c r="EY256" s="509">
        <f t="shared" si="86"/>
        <v>0</v>
      </c>
      <c r="EZ256" s="509">
        <f t="shared" si="86"/>
        <v>0</v>
      </c>
      <c r="FA256" s="509">
        <f t="shared" si="86"/>
        <v>0</v>
      </c>
      <c r="FB256" s="509">
        <f t="shared" si="86"/>
        <v>0</v>
      </c>
      <c r="FC256" s="509">
        <f t="shared" si="86"/>
        <v>0</v>
      </c>
      <c r="FD256" s="509">
        <f t="shared" si="86"/>
        <v>0</v>
      </c>
      <c r="FE256" s="509">
        <f t="shared" si="86"/>
        <v>0</v>
      </c>
      <c r="FF256" s="509">
        <f t="shared" si="86"/>
        <v>0</v>
      </c>
      <c r="FG256" s="509">
        <f t="shared" si="86"/>
        <v>0</v>
      </c>
      <c r="FH256" s="509">
        <f t="shared" si="86"/>
        <v>0</v>
      </c>
      <c r="FI256" s="509">
        <f t="shared" si="86"/>
        <v>0</v>
      </c>
      <c r="FJ256" s="509">
        <f t="shared" si="86"/>
        <v>0</v>
      </c>
      <c r="FK256" s="509">
        <f t="shared" si="86"/>
        <v>0</v>
      </c>
      <c r="FL256" s="509">
        <f t="shared" si="86"/>
        <v>0</v>
      </c>
      <c r="FM256" s="509">
        <f t="shared" si="86"/>
        <v>0</v>
      </c>
      <c r="FN256" s="509">
        <f t="shared" si="86"/>
        <v>0</v>
      </c>
      <c r="FO256" s="509">
        <f t="shared" si="86"/>
        <v>0</v>
      </c>
      <c r="FP256" s="509"/>
      <c r="FQ256" s="508"/>
      <c r="FU256" s="4">
        <f>DY256-FM256</f>
        <v>0</v>
      </c>
    </row>
    <row r="257" spans="1:177" s="4" customFormat="1">
      <c r="A257" s="56"/>
      <c r="B257" s="56">
        <v>4</v>
      </c>
      <c r="C257" s="501" t="s">
        <v>3697</v>
      </c>
      <c r="D257" s="502"/>
      <c r="E257" s="503"/>
      <c r="F257" s="503"/>
      <c r="G257" s="503"/>
      <c r="H257" s="503"/>
      <c r="I257" s="503"/>
      <c r="J257" s="503"/>
      <c r="K257" s="503"/>
      <c r="L257" s="503"/>
      <c r="M257" s="503"/>
      <c r="N257" s="503"/>
      <c r="O257" s="503"/>
      <c r="P257" s="503"/>
      <c r="Q257" s="503"/>
      <c r="R257" s="503"/>
      <c r="S257" s="503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954"/>
      <c r="AF257" s="959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504"/>
      <c r="BQ257" s="504"/>
      <c r="BR257" s="504"/>
      <c r="BS257" s="504"/>
      <c r="BT257" s="504"/>
      <c r="BU257" s="504"/>
      <c r="BV257" s="504"/>
      <c r="BW257" s="504"/>
      <c r="BX257" s="504"/>
      <c r="BY257" s="504"/>
      <c r="BZ257" s="504"/>
      <c r="CA257" s="504"/>
      <c r="CB257" s="504"/>
      <c r="CC257" s="504"/>
      <c r="CD257" s="504"/>
      <c r="CE257" s="504"/>
      <c r="CF257" s="504"/>
      <c r="CG257" s="504"/>
      <c r="CH257" s="504"/>
      <c r="CI257" s="504"/>
      <c r="CJ257" s="504"/>
      <c r="CK257" s="504"/>
      <c r="CL257" s="504"/>
      <c r="CM257" s="504"/>
      <c r="CN257" s="504"/>
      <c r="CO257" s="504"/>
      <c r="CP257" s="504"/>
      <c r="CQ257" s="504"/>
      <c r="CR257" s="504"/>
      <c r="CS257" s="504"/>
      <c r="CT257" s="504"/>
      <c r="CU257" s="504"/>
      <c r="CV257" s="504"/>
      <c r="CW257" s="504"/>
      <c r="CX257" s="504"/>
      <c r="CY257" s="504"/>
      <c r="CZ257" s="504"/>
      <c r="DA257" s="504"/>
      <c r="DB257" s="504"/>
      <c r="DC257" s="504"/>
      <c r="DD257" s="504"/>
      <c r="DE257" s="504"/>
      <c r="DF257" s="504"/>
      <c r="DG257" s="519"/>
      <c r="DH257" s="519"/>
      <c r="DI257" s="519"/>
      <c r="DJ257" s="519"/>
      <c r="DK257" s="519"/>
      <c r="DL257" s="519"/>
      <c r="DM257" s="519"/>
      <c r="DN257" s="519"/>
      <c r="DO257" s="519"/>
      <c r="DP257" s="519"/>
      <c r="DQ257" s="519"/>
      <c r="DR257" s="519"/>
      <c r="DS257" s="504"/>
      <c r="DT257" s="504"/>
      <c r="DU257" s="504"/>
      <c r="DV257" s="504"/>
      <c r="DW257" s="504"/>
      <c r="DX257" s="504"/>
      <c r="DY257" s="504"/>
      <c r="DZ257" s="504"/>
      <c r="EA257" s="504"/>
      <c r="EB257" s="504"/>
      <c r="EC257" s="504"/>
      <c r="ED257" s="504"/>
      <c r="EE257" s="504"/>
      <c r="EF257" s="504"/>
      <c r="EG257" s="504"/>
      <c r="EH257" s="504"/>
      <c r="EI257" s="504"/>
      <c r="EJ257" s="504"/>
      <c r="EK257" s="504"/>
      <c r="EL257" s="504"/>
      <c r="EM257" s="504"/>
      <c r="EN257" s="504"/>
      <c r="EO257" s="504"/>
      <c r="EP257" s="504"/>
      <c r="EQ257" s="504"/>
      <c r="ER257" s="504"/>
      <c r="ES257" s="504"/>
      <c r="ET257" s="504"/>
      <c r="EU257" s="504"/>
      <c r="EV257" s="504"/>
      <c r="EW257" s="504"/>
      <c r="EX257" s="504"/>
      <c r="EY257" s="504"/>
      <c r="EZ257" s="504"/>
      <c r="FA257" s="504"/>
      <c r="FB257" s="504"/>
      <c r="FC257" s="504"/>
      <c r="FD257" s="504"/>
      <c r="FE257" s="504"/>
      <c r="FF257" s="504"/>
      <c r="FG257" s="504"/>
      <c r="FH257" s="504"/>
      <c r="FI257" s="504"/>
      <c r="FJ257" s="504"/>
      <c r="FK257" s="504"/>
      <c r="FL257" s="504"/>
      <c r="FM257" s="504"/>
      <c r="FN257" s="504"/>
      <c r="FO257" s="504"/>
      <c r="FP257" s="504"/>
      <c r="FQ257" s="505"/>
      <c r="FU257" s="4">
        <f>DY257-FM257</f>
        <v>0</v>
      </c>
    </row>
    <row r="258" spans="1:177" s="696" customFormat="1">
      <c r="A258" s="690"/>
      <c r="B258" s="690"/>
      <c r="C258" s="691"/>
      <c r="D258" s="691" t="s">
        <v>3698</v>
      </c>
      <c r="E258" s="692"/>
      <c r="F258" s="692"/>
      <c r="G258" s="692"/>
      <c r="H258" s="692"/>
      <c r="I258" s="692"/>
      <c r="J258" s="692"/>
      <c r="K258" s="692"/>
      <c r="L258" s="692"/>
      <c r="M258" s="692"/>
      <c r="N258" s="692"/>
      <c r="O258" s="692"/>
      <c r="P258" s="692">
        <f>E258</f>
        <v>0</v>
      </c>
      <c r="Q258" s="692"/>
      <c r="R258" s="693"/>
      <c r="S258" s="693"/>
      <c r="T258" s="692"/>
      <c r="U258" s="692" t="s">
        <v>2990</v>
      </c>
      <c r="V258" s="692"/>
      <c r="W258" s="692"/>
      <c r="X258" s="692"/>
      <c r="Y258" s="692"/>
      <c r="Z258" s="692"/>
      <c r="AA258" s="692"/>
      <c r="AB258" s="692"/>
      <c r="AC258" s="692"/>
      <c r="AD258" s="692"/>
      <c r="AE258" s="725"/>
      <c r="AF258" s="957"/>
      <c r="AG258" s="692"/>
      <c r="AH258" s="692"/>
      <c r="AI258" s="692"/>
      <c r="AJ258" s="692"/>
      <c r="AK258" s="692"/>
      <c r="AL258" s="692"/>
      <c r="AM258" s="692"/>
      <c r="AN258" s="692"/>
      <c r="AO258" s="692"/>
      <c r="AP258" s="692"/>
      <c r="AQ258" s="692"/>
      <c r="AR258" s="692"/>
      <c r="AS258" s="692"/>
      <c r="AT258" s="692"/>
      <c r="AU258" s="692"/>
      <c r="AV258" s="692"/>
      <c r="AW258" s="692"/>
      <c r="AX258" s="692"/>
      <c r="AY258" s="692"/>
      <c r="AZ258" s="692">
        <f>IF(C258&lt;&gt;0,CC258+CB258+AW258,)</f>
        <v>0</v>
      </c>
      <c r="BA258" s="692">
        <f>IF(D258&lt;&gt;0,CC258+CB258+AW258,)</f>
        <v>0</v>
      </c>
      <c r="BB258" s="692"/>
      <c r="BC258" s="692"/>
      <c r="BD258" s="692"/>
      <c r="BE258" s="692">
        <v>1</v>
      </c>
      <c r="BF258" s="692"/>
      <c r="BG258" s="692"/>
      <c r="BH258" s="692"/>
      <c r="BI258" s="692">
        <f>IF(O258&lt;&gt;0,AU258*2+CB258*5,)</f>
        <v>0</v>
      </c>
      <c r="BJ258" s="692">
        <f>IF(P258&lt;&gt;0,AU258*2+CB258*5,)</f>
        <v>0</v>
      </c>
      <c r="BK258" s="692"/>
      <c r="BL258" s="692"/>
      <c r="BM258" s="692"/>
      <c r="BN258" s="692"/>
      <c r="BO258" s="692"/>
      <c r="BP258" s="692"/>
      <c r="BQ258" s="692">
        <f>IF(U258="G",1,)</f>
        <v>0</v>
      </c>
      <c r="BR258" s="692"/>
      <c r="BS258" s="692">
        <f>IF(O258&lt;&gt;0,IF(U258="I",1,IF(U258="G",2,)),)</f>
        <v>0</v>
      </c>
      <c r="BT258" s="692">
        <f>IF(P258&lt;&gt;0,IF(U258="I",1,IF(U258="G",2,)),)</f>
        <v>0</v>
      </c>
      <c r="BU258" s="692"/>
      <c r="BV258" s="692"/>
      <c r="BW258" s="692"/>
      <c r="BX258" s="692"/>
      <c r="BY258" s="692">
        <v>1</v>
      </c>
      <c r="BZ258" s="692"/>
      <c r="CA258" s="692"/>
      <c r="CB258" s="692"/>
      <c r="CC258" s="692"/>
      <c r="CD258" s="692">
        <f>CB258*4</f>
        <v>0</v>
      </c>
      <c r="CE258" s="692"/>
      <c r="CF258" s="692"/>
      <c r="CG258" s="692"/>
      <c r="CH258" s="692"/>
      <c r="CI258" s="692"/>
      <c r="CJ258" s="692"/>
      <c r="CK258" s="692"/>
      <c r="CL258" s="692"/>
      <c r="CM258" s="692"/>
      <c r="CN258" s="692"/>
      <c r="CO258" s="692"/>
      <c r="CP258" s="692"/>
      <c r="CQ258" s="692"/>
      <c r="CR258" s="692"/>
      <c r="CS258" s="692"/>
      <c r="CT258" s="692"/>
      <c r="CU258" s="692"/>
      <c r="CV258" s="692"/>
      <c r="CW258" s="692"/>
      <c r="CX258" s="694"/>
      <c r="CY258" s="694"/>
      <c r="CZ258" s="694"/>
      <c r="DA258" s="694"/>
      <c r="DB258" s="694"/>
      <c r="DC258" s="694"/>
      <c r="DD258" s="694"/>
      <c r="DE258" s="694"/>
      <c r="DF258" s="694"/>
      <c r="DG258" s="695"/>
      <c r="DH258" s="695"/>
      <c r="DI258" s="695"/>
      <c r="DJ258" s="695"/>
      <c r="DK258" s="695"/>
      <c r="DL258" s="695"/>
      <c r="DM258" s="695"/>
      <c r="DN258" s="695"/>
      <c r="DO258" s="695"/>
      <c r="DP258" s="695"/>
      <c r="DQ258" s="695"/>
      <c r="DR258" s="695"/>
      <c r="DS258" s="694"/>
      <c r="DT258" s="694"/>
      <c r="DU258" s="694"/>
      <c r="DV258" s="694"/>
      <c r="DW258" s="694"/>
      <c r="DX258" s="694"/>
      <c r="DY258" s="694"/>
      <c r="DZ258" s="694"/>
      <c r="EA258" s="694"/>
      <c r="EB258" s="694"/>
      <c r="EC258" s="694"/>
      <c r="ED258" s="694"/>
      <c r="EE258" s="694"/>
      <c r="EF258" s="694"/>
      <c r="EG258" s="694"/>
      <c r="EH258" s="694"/>
      <c r="EI258" s="694"/>
      <c r="EJ258" s="694"/>
      <c r="EK258" s="694"/>
      <c r="EL258" s="694"/>
      <c r="EM258" s="694"/>
      <c r="EN258" s="694"/>
      <c r="EO258" s="694"/>
      <c r="EP258" s="694"/>
      <c r="EQ258" s="694"/>
      <c r="ER258" s="694"/>
      <c r="ES258" s="694"/>
      <c r="ET258" s="694"/>
      <c r="EU258" s="694"/>
      <c r="EV258" s="694"/>
      <c r="EW258" s="694"/>
      <c r="EX258" s="694"/>
      <c r="EY258" s="694"/>
      <c r="EZ258" s="694"/>
      <c r="FA258" s="694"/>
      <c r="FB258" s="694"/>
      <c r="FC258" s="694"/>
      <c r="FD258" s="694"/>
      <c r="FE258" s="694"/>
      <c r="FF258" s="694"/>
      <c r="FG258" s="694"/>
      <c r="FH258" s="694"/>
      <c r="FI258" s="694"/>
      <c r="FJ258" s="694"/>
      <c r="FK258" s="694"/>
      <c r="FL258" s="694"/>
      <c r="FM258" s="694"/>
      <c r="FN258" s="694"/>
      <c r="FO258" s="694"/>
      <c r="FP258" s="694"/>
      <c r="FQ258" s="697"/>
    </row>
    <row r="259" spans="1:177" s="696" customFormat="1">
      <c r="A259" s="690"/>
      <c r="B259" s="690"/>
      <c r="C259" s="691"/>
      <c r="D259" s="691" t="s">
        <v>3699</v>
      </c>
      <c r="E259" s="692">
        <v>38</v>
      </c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692">
        <f t="shared" ref="P259:P276" si="87">E259</f>
        <v>38</v>
      </c>
      <c r="Q259" s="692"/>
      <c r="R259" s="693"/>
      <c r="S259" s="693"/>
      <c r="T259" s="692"/>
      <c r="U259" s="692" t="s">
        <v>2989</v>
      </c>
      <c r="V259" s="692"/>
      <c r="W259" s="692"/>
      <c r="X259" s="692"/>
      <c r="Y259" s="692"/>
      <c r="Z259" s="692"/>
      <c r="AA259" s="692"/>
      <c r="AB259" s="692"/>
      <c r="AC259" s="692"/>
      <c r="AD259" s="692"/>
      <c r="AE259" s="725"/>
      <c r="AF259" s="957"/>
      <c r="AG259" s="692"/>
      <c r="AH259" s="692"/>
      <c r="AI259" s="692"/>
      <c r="AJ259" s="692"/>
      <c r="AK259" s="692"/>
      <c r="AL259" s="692"/>
      <c r="AM259" s="692"/>
      <c r="AN259" s="692"/>
      <c r="AO259" s="692"/>
      <c r="AP259" s="692"/>
      <c r="AQ259" s="692"/>
      <c r="AR259" s="692"/>
      <c r="AS259" s="692"/>
      <c r="AT259" s="692"/>
      <c r="AU259" s="692">
        <v>1</v>
      </c>
      <c r="AV259" s="692"/>
      <c r="AW259" s="692"/>
      <c r="AX259" s="692"/>
      <c r="AY259" s="692"/>
      <c r="AZ259" s="692">
        <f t="shared" ref="AZ259:AZ322" si="88">IF(C259&lt;&gt;0,CC259+CB259+AW259,)</f>
        <v>0</v>
      </c>
      <c r="BA259" s="692">
        <f t="shared" ref="BA259:BA322" si="89">IF(D259&lt;&gt;0,CC259+CB259+AW259,)</f>
        <v>1</v>
      </c>
      <c r="BB259" s="692"/>
      <c r="BC259" s="692"/>
      <c r="BD259" s="692"/>
      <c r="BE259" s="692">
        <v>2</v>
      </c>
      <c r="BF259" s="692"/>
      <c r="BG259" s="692"/>
      <c r="BH259" s="692"/>
      <c r="BI259" s="692">
        <f t="shared" ref="BI259:BI322" si="90">IF(O259&lt;&gt;0,AU259*2+CB259*5,)</f>
        <v>0</v>
      </c>
      <c r="BJ259" s="692">
        <f t="shared" ref="BJ259:BJ322" si="91">IF(P259&lt;&gt;0,AU259*2+CB259*5,)</f>
        <v>7</v>
      </c>
      <c r="BK259" s="692"/>
      <c r="BL259" s="692"/>
      <c r="BM259" s="692"/>
      <c r="BN259" s="692"/>
      <c r="BO259" s="692"/>
      <c r="BP259" s="692"/>
      <c r="BQ259" s="692">
        <f t="shared" ref="BQ259:BQ322" si="92">IF(U259="G",1,)</f>
        <v>0</v>
      </c>
      <c r="BR259" s="692"/>
      <c r="BS259" s="692">
        <f t="shared" ref="BS259:BS322" si="93">IF(O259&lt;&gt;0,IF(U259="I",1,IF(U259="G",2,)),)</f>
        <v>0</v>
      </c>
      <c r="BT259" s="692">
        <f t="shared" ref="BT259:BT322" si="94">IF(P259&lt;&gt;0,IF(U259="I",1,IF(U259="G",2,)),)</f>
        <v>0</v>
      </c>
      <c r="BU259" s="692"/>
      <c r="BV259" s="692"/>
      <c r="BW259" s="692"/>
      <c r="BX259" s="692"/>
      <c r="BY259" s="692">
        <v>2</v>
      </c>
      <c r="BZ259" s="692"/>
      <c r="CA259" s="692"/>
      <c r="CB259" s="692">
        <v>1</v>
      </c>
      <c r="CC259" s="692"/>
      <c r="CD259" s="692">
        <f t="shared" ref="CD259:CD322" si="95">CB259*4</f>
        <v>4</v>
      </c>
      <c r="CE259" s="692"/>
      <c r="CF259" s="692"/>
      <c r="CG259" s="692"/>
      <c r="CH259" s="692"/>
      <c r="CI259" s="692"/>
      <c r="CJ259" s="692"/>
      <c r="CK259" s="692"/>
      <c r="CL259" s="692"/>
      <c r="CM259" s="692"/>
      <c r="CN259" s="692"/>
      <c r="CO259" s="692"/>
      <c r="CP259" s="692"/>
      <c r="CQ259" s="692"/>
      <c r="CR259" s="692"/>
      <c r="CS259" s="692"/>
      <c r="CT259" s="692"/>
      <c r="CU259" s="692"/>
      <c r="CV259" s="692"/>
      <c r="CW259" s="692"/>
      <c r="CX259" s="694"/>
      <c r="CY259" s="694"/>
      <c r="CZ259" s="694"/>
      <c r="DA259" s="694"/>
      <c r="DB259" s="694"/>
      <c r="DC259" s="694"/>
      <c r="DD259" s="694"/>
      <c r="DE259" s="694"/>
      <c r="DF259" s="694"/>
      <c r="DG259" s="695"/>
      <c r="DH259" s="695"/>
      <c r="DI259" s="695"/>
      <c r="DJ259" s="695"/>
      <c r="DK259" s="695"/>
      <c r="DL259" s="695"/>
      <c r="DM259" s="695"/>
      <c r="DN259" s="695"/>
      <c r="DO259" s="695"/>
      <c r="DP259" s="695"/>
      <c r="DQ259" s="695"/>
      <c r="DR259" s="695"/>
      <c r="DS259" s="694"/>
      <c r="DT259" s="694"/>
      <c r="DU259" s="694"/>
      <c r="DV259" s="694"/>
      <c r="DW259" s="694"/>
      <c r="DX259" s="694"/>
      <c r="DY259" s="694"/>
      <c r="DZ259" s="694"/>
      <c r="EA259" s="694"/>
      <c r="EB259" s="694"/>
      <c r="EC259" s="694"/>
      <c r="ED259" s="694"/>
      <c r="EE259" s="694"/>
      <c r="EF259" s="694"/>
      <c r="EG259" s="694"/>
      <c r="EH259" s="694"/>
      <c r="EI259" s="694"/>
      <c r="EJ259" s="694"/>
      <c r="EK259" s="694"/>
      <c r="EL259" s="694"/>
      <c r="EM259" s="694"/>
      <c r="EN259" s="694"/>
      <c r="EO259" s="694"/>
      <c r="EP259" s="694"/>
      <c r="EQ259" s="694"/>
      <c r="ER259" s="694"/>
      <c r="ES259" s="694"/>
      <c r="ET259" s="694"/>
      <c r="EU259" s="694"/>
      <c r="EV259" s="694"/>
      <c r="EW259" s="694"/>
      <c r="EX259" s="694"/>
      <c r="EY259" s="694"/>
      <c r="EZ259" s="694"/>
      <c r="FA259" s="694"/>
      <c r="FB259" s="694"/>
      <c r="FC259" s="694"/>
      <c r="FD259" s="694"/>
      <c r="FE259" s="694"/>
      <c r="FF259" s="694"/>
      <c r="FG259" s="694"/>
      <c r="FH259" s="694"/>
      <c r="FI259" s="694"/>
      <c r="FJ259" s="694"/>
      <c r="FK259" s="694"/>
      <c r="FL259" s="694"/>
      <c r="FM259" s="694"/>
      <c r="FN259" s="694"/>
      <c r="FO259" s="694"/>
      <c r="FP259" s="694"/>
      <c r="FQ259" s="697"/>
    </row>
    <row r="260" spans="1:177" s="696" customFormat="1">
      <c r="A260" s="690"/>
      <c r="B260" s="690"/>
      <c r="C260" s="691"/>
      <c r="D260" s="691" t="s">
        <v>3700</v>
      </c>
      <c r="E260" s="692">
        <v>41.6</v>
      </c>
      <c r="F260" s="692"/>
      <c r="G260" s="692"/>
      <c r="H260" s="692"/>
      <c r="I260" s="692"/>
      <c r="J260" s="692"/>
      <c r="K260" s="692"/>
      <c r="L260" s="692"/>
      <c r="M260" s="692"/>
      <c r="N260" s="692"/>
      <c r="O260" s="692"/>
      <c r="P260" s="692">
        <f t="shared" si="87"/>
        <v>41.6</v>
      </c>
      <c r="Q260" s="692"/>
      <c r="R260" s="693"/>
      <c r="S260" s="693"/>
      <c r="T260" s="692"/>
      <c r="U260" s="692" t="s">
        <v>1631</v>
      </c>
      <c r="V260" s="692"/>
      <c r="W260" s="692"/>
      <c r="X260" s="692"/>
      <c r="Y260" s="692"/>
      <c r="Z260" s="692"/>
      <c r="AA260" s="692"/>
      <c r="AB260" s="692"/>
      <c r="AC260" s="692"/>
      <c r="AD260" s="692"/>
      <c r="AE260" s="725"/>
      <c r="AF260" s="957"/>
      <c r="AG260" s="692"/>
      <c r="AH260" s="692"/>
      <c r="AI260" s="692"/>
      <c r="AJ260" s="692"/>
      <c r="AK260" s="692"/>
      <c r="AL260" s="692"/>
      <c r="AM260" s="692"/>
      <c r="AN260" s="692"/>
      <c r="AO260" s="692"/>
      <c r="AP260" s="692"/>
      <c r="AQ260" s="692"/>
      <c r="AR260" s="692"/>
      <c r="AS260" s="692"/>
      <c r="AT260" s="692"/>
      <c r="AU260" s="692"/>
      <c r="AV260" s="692"/>
      <c r="AW260" s="692">
        <v>1</v>
      </c>
      <c r="AX260" s="692"/>
      <c r="AY260" s="692"/>
      <c r="AZ260" s="692">
        <f t="shared" si="88"/>
        <v>0</v>
      </c>
      <c r="BA260" s="692">
        <f t="shared" si="89"/>
        <v>2</v>
      </c>
      <c r="BB260" s="692"/>
      <c r="BC260" s="692"/>
      <c r="BD260" s="692"/>
      <c r="BE260" s="692">
        <v>1</v>
      </c>
      <c r="BF260" s="692"/>
      <c r="BG260" s="692"/>
      <c r="BH260" s="692"/>
      <c r="BI260" s="692">
        <f t="shared" si="90"/>
        <v>0</v>
      </c>
      <c r="BJ260" s="692">
        <f t="shared" si="91"/>
        <v>5</v>
      </c>
      <c r="BK260" s="692"/>
      <c r="BL260" s="692"/>
      <c r="BM260" s="692"/>
      <c r="BN260" s="692"/>
      <c r="BO260" s="692"/>
      <c r="BP260" s="692"/>
      <c r="BQ260" s="692">
        <f t="shared" si="92"/>
        <v>0</v>
      </c>
      <c r="BR260" s="692"/>
      <c r="BS260" s="692">
        <f t="shared" si="93"/>
        <v>0</v>
      </c>
      <c r="BT260" s="692">
        <f t="shared" si="94"/>
        <v>1</v>
      </c>
      <c r="BU260" s="692"/>
      <c r="BV260" s="692"/>
      <c r="BW260" s="692"/>
      <c r="BX260" s="692"/>
      <c r="BY260" s="692"/>
      <c r="BZ260" s="692"/>
      <c r="CA260" s="692"/>
      <c r="CB260" s="692">
        <v>1</v>
      </c>
      <c r="CC260" s="692"/>
      <c r="CD260" s="692">
        <f t="shared" si="95"/>
        <v>4</v>
      </c>
      <c r="CE260" s="692"/>
      <c r="CF260" s="692"/>
      <c r="CG260" s="692"/>
      <c r="CH260" s="692"/>
      <c r="CI260" s="692"/>
      <c r="CJ260" s="692"/>
      <c r="CK260" s="692"/>
      <c r="CL260" s="692"/>
      <c r="CM260" s="692"/>
      <c r="CN260" s="692"/>
      <c r="CO260" s="692"/>
      <c r="CP260" s="692"/>
      <c r="CQ260" s="692"/>
      <c r="CR260" s="692"/>
      <c r="CS260" s="692"/>
      <c r="CT260" s="692"/>
      <c r="CU260" s="692"/>
      <c r="CV260" s="692"/>
      <c r="CW260" s="692"/>
      <c r="CX260" s="694"/>
      <c r="CY260" s="694"/>
      <c r="CZ260" s="694"/>
      <c r="DA260" s="694"/>
      <c r="DB260" s="694"/>
      <c r="DC260" s="694"/>
      <c r="DD260" s="694"/>
      <c r="DE260" s="694"/>
      <c r="DF260" s="694"/>
      <c r="DG260" s="695"/>
      <c r="DH260" s="695"/>
      <c r="DI260" s="695"/>
      <c r="DJ260" s="695"/>
      <c r="DK260" s="695"/>
      <c r="DL260" s="695"/>
      <c r="DM260" s="695"/>
      <c r="DN260" s="695"/>
      <c r="DO260" s="695"/>
      <c r="DP260" s="695"/>
      <c r="DQ260" s="695"/>
      <c r="DR260" s="695"/>
      <c r="DS260" s="694"/>
      <c r="DT260" s="694"/>
      <c r="DU260" s="694"/>
      <c r="DV260" s="694"/>
      <c r="DW260" s="694"/>
      <c r="DX260" s="694"/>
      <c r="DY260" s="694"/>
      <c r="DZ260" s="694"/>
      <c r="EA260" s="694"/>
      <c r="EB260" s="694"/>
      <c r="EC260" s="694"/>
      <c r="ED260" s="694"/>
      <c r="EE260" s="694"/>
      <c r="EF260" s="694"/>
      <c r="EG260" s="694"/>
      <c r="EH260" s="694"/>
      <c r="EI260" s="694"/>
      <c r="EJ260" s="694"/>
      <c r="EK260" s="694"/>
      <c r="EL260" s="694"/>
      <c r="EM260" s="694"/>
      <c r="EN260" s="694"/>
      <c r="EO260" s="694"/>
      <c r="EP260" s="694"/>
      <c r="EQ260" s="694"/>
      <c r="ER260" s="694"/>
      <c r="ES260" s="694"/>
      <c r="ET260" s="694"/>
      <c r="EU260" s="694"/>
      <c r="EV260" s="694"/>
      <c r="EW260" s="694"/>
      <c r="EX260" s="694"/>
      <c r="EY260" s="694"/>
      <c r="EZ260" s="694"/>
      <c r="FA260" s="694"/>
      <c r="FB260" s="694"/>
      <c r="FC260" s="694"/>
      <c r="FD260" s="694"/>
      <c r="FE260" s="694"/>
      <c r="FF260" s="694"/>
      <c r="FG260" s="694"/>
      <c r="FH260" s="694"/>
      <c r="FI260" s="694"/>
      <c r="FJ260" s="694"/>
      <c r="FK260" s="694"/>
      <c r="FL260" s="694"/>
      <c r="FM260" s="694"/>
      <c r="FN260" s="694"/>
      <c r="FO260" s="694"/>
      <c r="FP260" s="694"/>
      <c r="FQ260" s="697"/>
    </row>
    <row r="261" spans="1:177" s="696" customFormat="1">
      <c r="A261" s="690"/>
      <c r="B261" s="690"/>
      <c r="C261" s="691" t="s">
        <v>3701</v>
      </c>
      <c r="D261" s="691"/>
      <c r="E261" s="692">
        <v>44.8</v>
      </c>
      <c r="F261" s="692"/>
      <c r="G261" s="692"/>
      <c r="H261" s="692"/>
      <c r="I261" s="692"/>
      <c r="J261" s="692"/>
      <c r="K261" s="692"/>
      <c r="L261" s="692"/>
      <c r="M261" s="692"/>
      <c r="N261" s="692"/>
      <c r="O261" s="692"/>
      <c r="P261" s="692">
        <f t="shared" si="87"/>
        <v>44.8</v>
      </c>
      <c r="Q261" s="692"/>
      <c r="R261" s="693"/>
      <c r="S261" s="693"/>
      <c r="T261" s="692"/>
      <c r="U261" s="692" t="s">
        <v>1631</v>
      </c>
      <c r="V261" s="692"/>
      <c r="W261" s="692"/>
      <c r="X261" s="692"/>
      <c r="Y261" s="692"/>
      <c r="Z261" s="692"/>
      <c r="AA261" s="692"/>
      <c r="AB261" s="692"/>
      <c r="AC261" s="692"/>
      <c r="AD261" s="692"/>
      <c r="AE261" s="725"/>
      <c r="AF261" s="957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>
        <v>1</v>
      </c>
      <c r="AX261" s="692"/>
      <c r="AY261" s="692"/>
      <c r="AZ261" s="692">
        <f t="shared" si="88"/>
        <v>2</v>
      </c>
      <c r="BA261" s="692">
        <f t="shared" si="89"/>
        <v>0</v>
      </c>
      <c r="BB261" s="692"/>
      <c r="BC261" s="692"/>
      <c r="BD261" s="692">
        <v>1</v>
      </c>
      <c r="BE261" s="692"/>
      <c r="BF261" s="692"/>
      <c r="BG261" s="692"/>
      <c r="BH261" s="692"/>
      <c r="BI261" s="692">
        <f t="shared" si="90"/>
        <v>0</v>
      </c>
      <c r="BJ261" s="692">
        <f t="shared" si="91"/>
        <v>5</v>
      </c>
      <c r="BK261" s="692"/>
      <c r="BL261" s="692"/>
      <c r="BM261" s="692"/>
      <c r="BN261" s="692"/>
      <c r="BO261" s="692"/>
      <c r="BP261" s="692"/>
      <c r="BQ261" s="692">
        <f t="shared" si="92"/>
        <v>0</v>
      </c>
      <c r="BR261" s="692"/>
      <c r="BS261" s="692">
        <f t="shared" si="93"/>
        <v>0</v>
      </c>
      <c r="BT261" s="692">
        <f t="shared" si="94"/>
        <v>1</v>
      </c>
      <c r="BU261" s="692"/>
      <c r="BV261" s="692"/>
      <c r="BW261" s="692"/>
      <c r="BX261" s="692"/>
      <c r="BY261" s="692"/>
      <c r="BZ261" s="692"/>
      <c r="CA261" s="692"/>
      <c r="CB261" s="692">
        <v>1</v>
      </c>
      <c r="CC261" s="692"/>
      <c r="CD261" s="692">
        <f t="shared" si="95"/>
        <v>4</v>
      </c>
      <c r="CE261" s="692"/>
      <c r="CF261" s="692"/>
      <c r="CG261" s="692"/>
      <c r="CH261" s="692"/>
      <c r="CI261" s="692"/>
      <c r="CJ261" s="692"/>
      <c r="CK261" s="692"/>
      <c r="CL261" s="692"/>
      <c r="CM261" s="692"/>
      <c r="CN261" s="692"/>
      <c r="CO261" s="692"/>
      <c r="CP261" s="692"/>
      <c r="CQ261" s="692"/>
      <c r="CR261" s="692"/>
      <c r="CS261" s="692"/>
      <c r="CT261" s="692"/>
      <c r="CU261" s="692"/>
      <c r="CV261" s="692"/>
      <c r="CW261" s="692"/>
      <c r="CX261" s="694"/>
      <c r="CY261" s="694"/>
      <c r="CZ261" s="694"/>
      <c r="DA261" s="694"/>
      <c r="DB261" s="694"/>
      <c r="DC261" s="694"/>
      <c r="DD261" s="694"/>
      <c r="DE261" s="694"/>
      <c r="DF261" s="694"/>
      <c r="DG261" s="695"/>
      <c r="DH261" s="695"/>
      <c r="DI261" s="695"/>
      <c r="DJ261" s="695"/>
      <c r="DK261" s="695"/>
      <c r="DL261" s="695"/>
      <c r="DM261" s="695"/>
      <c r="DN261" s="695"/>
      <c r="DO261" s="695"/>
      <c r="DP261" s="695"/>
      <c r="DQ261" s="695"/>
      <c r="DR261" s="695"/>
      <c r="DS261" s="694"/>
      <c r="DT261" s="694"/>
      <c r="DU261" s="694"/>
      <c r="DV261" s="694"/>
      <c r="DW261" s="694"/>
      <c r="DX261" s="694"/>
      <c r="DY261" s="694"/>
      <c r="DZ261" s="694"/>
      <c r="EA261" s="694"/>
      <c r="EB261" s="694"/>
      <c r="EC261" s="694"/>
      <c r="ED261" s="694"/>
      <c r="EE261" s="694"/>
      <c r="EF261" s="694"/>
      <c r="EG261" s="694"/>
      <c r="EH261" s="694"/>
      <c r="EI261" s="694"/>
      <c r="EJ261" s="694"/>
      <c r="EK261" s="694"/>
      <c r="EL261" s="694"/>
      <c r="EM261" s="694"/>
      <c r="EN261" s="694"/>
      <c r="EO261" s="694"/>
      <c r="EP261" s="694"/>
      <c r="EQ261" s="694"/>
      <c r="ER261" s="694"/>
      <c r="ES261" s="694"/>
      <c r="ET261" s="694"/>
      <c r="EU261" s="694"/>
      <c r="EV261" s="694"/>
      <c r="EW261" s="694"/>
      <c r="EX261" s="694"/>
      <c r="EY261" s="694"/>
      <c r="EZ261" s="694"/>
      <c r="FA261" s="694"/>
      <c r="FB261" s="694"/>
      <c r="FC261" s="694"/>
      <c r="FD261" s="694"/>
      <c r="FE261" s="694"/>
      <c r="FF261" s="694"/>
      <c r="FG261" s="694"/>
      <c r="FH261" s="694"/>
      <c r="FI261" s="694"/>
      <c r="FJ261" s="694"/>
      <c r="FK261" s="694"/>
      <c r="FL261" s="694"/>
      <c r="FM261" s="694"/>
      <c r="FN261" s="694"/>
      <c r="FO261" s="694"/>
      <c r="FP261" s="694"/>
      <c r="FQ261" s="697"/>
    </row>
    <row r="262" spans="1:177" s="696" customFormat="1">
      <c r="A262" s="690"/>
      <c r="B262" s="690"/>
      <c r="C262" s="691"/>
      <c r="D262" s="691" t="s">
        <v>3702</v>
      </c>
      <c r="E262" s="692">
        <v>10.3</v>
      </c>
      <c r="F262" s="692"/>
      <c r="G262" s="692"/>
      <c r="H262" s="692"/>
      <c r="I262" s="692"/>
      <c r="J262" s="692"/>
      <c r="K262" s="692"/>
      <c r="L262" s="692"/>
      <c r="M262" s="692"/>
      <c r="N262" s="692"/>
      <c r="O262" s="692"/>
      <c r="P262" s="692">
        <f t="shared" si="87"/>
        <v>10.3</v>
      </c>
      <c r="Q262" s="692"/>
      <c r="R262" s="693"/>
      <c r="S262" s="693"/>
      <c r="T262" s="692"/>
      <c r="U262" s="692" t="s">
        <v>1631</v>
      </c>
      <c r="V262" s="692"/>
      <c r="W262" s="692"/>
      <c r="X262" s="692"/>
      <c r="Y262" s="692"/>
      <c r="Z262" s="692"/>
      <c r="AA262" s="692"/>
      <c r="AB262" s="692"/>
      <c r="AC262" s="692"/>
      <c r="AD262" s="692"/>
      <c r="AE262" s="725"/>
      <c r="AF262" s="957"/>
      <c r="AG262" s="692"/>
      <c r="AH262" s="692"/>
      <c r="AI262" s="692"/>
      <c r="AJ262" s="692"/>
      <c r="AK262" s="692"/>
      <c r="AL262" s="692"/>
      <c r="AM262" s="692"/>
      <c r="AN262" s="692"/>
      <c r="AO262" s="692"/>
      <c r="AP262" s="692"/>
      <c r="AQ262" s="692"/>
      <c r="AR262" s="692"/>
      <c r="AS262" s="692"/>
      <c r="AT262" s="692"/>
      <c r="AU262" s="692"/>
      <c r="AV262" s="692"/>
      <c r="AW262" s="692"/>
      <c r="AX262" s="692"/>
      <c r="AY262" s="692"/>
      <c r="AZ262" s="692">
        <f t="shared" si="88"/>
        <v>0</v>
      </c>
      <c r="BA262" s="692">
        <f t="shared" si="89"/>
        <v>1</v>
      </c>
      <c r="BB262" s="692"/>
      <c r="BC262" s="692"/>
      <c r="BD262" s="692"/>
      <c r="BE262" s="692">
        <v>1</v>
      </c>
      <c r="BF262" s="692"/>
      <c r="BG262" s="692"/>
      <c r="BH262" s="692"/>
      <c r="BI262" s="692">
        <f t="shared" si="90"/>
        <v>0</v>
      </c>
      <c r="BJ262" s="692">
        <f t="shared" si="91"/>
        <v>5</v>
      </c>
      <c r="BK262" s="692"/>
      <c r="BL262" s="692"/>
      <c r="BM262" s="692"/>
      <c r="BN262" s="692"/>
      <c r="BO262" s="692"/>
      <c r="BP262" s="692"/>
      <c r="BQ262" s="692">
        <f t="shared" si="92"/>
        <v>0</v>
      </c>
      <c r="BR262" s="692"/>
      <c r="BS262" s="692">
        <f t="shared" si="93"/>
        <v>0</v>
      </c>
      <c r="BT262" s="692">
        <f t="shared" si="94"/>
        <v>1</v>
      </c>
      <c r="BU262" s="692"/>
      <c r="BV262" s="692"/>
      <c r="BW262" s="692"/>
      <c r="BX262" s="692"/>
      <c r="BY262" s="692"/>
      <c r="BZ262" s="692"/>
      <c r="CA262" s="692"/>
      <c r="CB262" s="692">
        <v>1</v>
      </c>
      <c r="CC262" s="692"/>
      <c r="CD262" s="692">
        <f t="shared" si="95"/>
        <v>4</v>
      </c>
      <c r="CE262" s="692"/>
      <c r="CF262" s="692"/>
      <c r="CG262" s="692"/>
      <c r="CH262" s="692"/>
      <c r="CI262" s="692"/>
      <c r="CJ262" s="692"/>
      <c r="CK262" s="692"/>
      <c r="CL262" s="692"/>
      <c r="CM262" s="692"/>
      <c r="CN262" s="692"/>
      <c r="CO262" s="692"/>
      <c r="CP262" s="692"/>
      <c r="CQ262" s="692"/>
      <c r="CR262" s="692"/>
      <c r="CS262" s="692"/>
      <c r="CT262" s="692"/>
      <c r="CU262" s="692"/>
      <c r="CV262" s="692"/>
      <c r="CW262" s="692"/>
      <c r="CX262" s="694"/>
      <c r="CY262" s="694"/>
      <c r="CZ262" s="694"/>
      <c r="DA262" s="694"/>
      <c r="DB262" s="694"/>
      <c r="DC262" s="694"/>
      <c r="DD262" s="694"/>
      <c r="DE262" s="694"/>
      <c r="DF262" s="694"/>
      <c r="DG262" s="695"/>
      <c r="DH262" s="695"/>
      <c r="DI262" s="695"/>
      <c r="DJ262" s="695"/>
      <c r="DK262" s="695"/>
      <c r="DL262" s="695"/>
      <c r="DM262" s="695"/>
      <c r="DN262" s="695"/>
      <c r="DO262" s="695"/>
      <c r="DP262" s="695"/>
      <c r="DQ262" s="695"/>
      <c r="DR262" s="695"/>
      <c r="DS262" s="694"/>
      <c r="DT262" s="694"/>
      <c r="DU262" s="694"/>
      <c r="DV262" s="694"/>
      <c r="DW262" s="694"/>
      <c r="DX262" s="694"/>
      <c r="DY262" s="694"/>
      <c r="DZ262" s="694"/>
      <c r="EA262" s="694"/>
      <c r="EB262" s="694"/>
      <c r="EC262" s="694"/>
      <c r="ED262" s="694"/>
      <c r="EE262" s="694"/>
      <c r="EF262" s="694"/>
      <c r="EG262" s="694"/>
      <c r="EH262" s="694"/>
      <c r="EI262" s="694"/>
      <c r="EJ262" s="694"/>
      <c r="EK262" s="694"/>
      <c r="EL262" s="694"/>
      <c r="EM262" s="694"/>
      <c r="EN262" s="694"/>
      <c r="EO262" s="694"/>
      <c r="EP262" s="694"/>
      <c r="EQ262" s="694"/>
      <c r="ER262" s="694"/>
      <c r="ES262" s="694"/>
      <c r="ET262" s="694"/>
      <c r="EU262" s="694"/>
      <c r="EV262" s="694"/>
      <c r="EW262" s="694"/>
      <c r="EX262" s="694"/>
      <c r="EY262" s="694"/>
      <c r="EZ262" s="694"/>
      <c r="FA262" s="694"/>
      <c r="FB262" s="694"/>
      <c r="FC262" s="694"/>
      <c r="FD262" s="694"/>
      <c r="FE262" s="694"/>
      <c r="FF262" s="694"/>
      <c r="FG262" s="694"/>
      <c r="FH262" s="694"/>
      <c r="FI262" s="694"/>
      <c r="FJ262" s="694"/>
      <c r="FK262" s="694"/>
      <c r="FL262" s="694"/>
      <c r="FM262" s="694"/>
      <c r="FN262" s="694"/>
      <c r="FO262" s="694"/>
      <c r="FP262" s="694"/>
      <c r="FQ262" s="697"/>
    </row>
    <row r="263" spans="1:177" s="696" customFormat="1">
      <c r="A263" s="690"/>
      <c r="B263" s="690"/>
      <c r="C263" s="691"/>
      <c r="D263" s="691" t="s">
        <v>3703</v>
      </c>
      <c r="E263" s="692">
        <v>23.5</v>
      </c>
      <c r="F263" s="692"/>
      <c r="G263" s="692"/>
      <c r="H263" s="692"/>
      <c r="I263" s="692"/>
      <c r="J263" s="692"/>
      <c r="K263" s="692"/>
      <c r="L263" s="692"/>
      <c r="M263" s="692"/>
      <c r="N263" s="692"/>
      <c r="O263" s="692"/>
      <c r="P263" s="692">
        <f t="shared" si="87"/>
        <v>23.5</v>
      </c>
      <c r="Q263" s="692"/>
      <c r="R263" s="693"/>
      <c r="S263" s="693"/>
      <c r="T263" s="692"/>
      <c r="U263" s="692" t="s">
        <v>1631</v>
      </c>
      <c r="V263" s="692"/>
      <c r="W263" s="692"/>
      <c r="X263" s="692"/>
      <c r="Y263" s="692"/>
      <c r="Z263" s="692"/>
      <c r="AA263" s="692"/>
      <c r="AB263" s="692"/>
      <c r="AC263" s="692"/>
      <c r="AD263" s="692"/>
      <c r="AE263" s="725"/>
      <c r="AF263" s="957"/>
      <c r="AG263" s="692"/>
      <c r="AH263" s="692"/>
      <c r="AI263" s="692"/>
      <c r="AJ263" s="692"/>
      <c r="AK263" s="692"/>
      <c r="AL263" s="692"/>
      <c r="AM263" s="692"/>
      <c r="AN263" s="692"/>
      <c r="AO263" s="692"/>
      <c r="AP263" s="692"/>
      <c r="AQ263" s="692"/>
      <c r="AR263" s="692"/>
      <c r="AS263" s="692"/>
      <c r="AT263" s="692"/>
      <c r="AU263" s="692"/>
      <c r="AV263" s="692"/>
      <c r="AW263" s="692">
        <v>1</v>
      </c>
      <c r="AX263" s="692"/>
      <c r="AY263" s="692"/>
      <c r="AZ263" s="692">
        <f t="shared" si="88"/>
        <v>0</v>
      </c>
      <c r="BA263" s="692">
        <f t="shared" si="89"/>
        <v>2</v>
      </c>
      <c r="BB263" s="692"/>
      <c r="BC263" s="692"/>
      <c r="BD263" s="692"/>
      <c r="BE263" s="692">
        <v>1</v>
      </c>
      <c r="BF263" s="692"/>
      <c r="BG263" s="692"/>
      <c r="BH263" s="692"/>
      <c r="BI263" s="692">
        <f t="shared" si="90"/>
        <v>0</v>
      </c>
      <c r="BJ263" s="692">
        <f t="shared" si="91"/>
        <v>5</v>
      </c>
      <c r="BK263" s="692"/>
      <c r="BL263" s="692"/>
      <c r="BM263" s="692"/>
      <c r="BN263" s="692"/>
      <c r="BO263" s="692"/>
      <c r="BP263" s="692"/>
      <c r="BQ263" s="692">
        <f t="shared" si="92"/>
        <v>0</v>
      </c>
      <c r="BR263" s="692"/>
      <c r="BS263" s="692">
        <f t="shared" si="93"/>
        <v>0</v>
      </c>
      <c r="BT263" s="692">
        <f t="shared" si="94"/>
        <v>1</v>
      </c>
      <c r="BU263" s="692"/>
      <c r="BV263" s="692"/>
      <c r="BW263" s="692"/>
      <c r="BX263" s="692"/>
      <c r="BY263" s="692"/>
      <c r="BZ263" s="692"/>
      <c r="CA263" s="692"/>
      <c r="CB263" s="692">
        <v>1</v>
      </c>
      <c r="CC263" s="692"/>
      <c r="CD263" s="692">
        <f t="shared" si="95"/>
        <v>4</v>
      </c>
      <c r="CE263" s="692"/>
      <c r="CF263" s="692"/>
      <c r="CG263" s="692"/>
      <c r="CH263" s="692"/>
      <c r="CI263" s="692"/>
      <c r="CJ263" s="692"/>
      <c r="CK263" s="692"/>
      <c r="CL263" s="692"/>
      <c r="CM263" s="692"/>
      <c r="CN263" s="692"/>
      <c r="CO263" s="692"/>
      <c r="CP263" s="692"/>
      <c r="CQ263" s="692"/>
      <c r="CR263" s="692"/>
      <c r="CS263" s="692"/>
      <c r="CT263" s="692"/>
      <c r="CU263" s="692"/>
      <c r="CV263" s="692"/>
      <c r="CW263" s="692"/>
      <c r="CX263" s="694"/>
      <c r="CY263" s="694"/>
      <c r="CZ263" s="694"/>
      <c r="DA263" s="694"/>
      <c r="DB263" s="694"/>
      <c r="DC263" s="694"/>
      <c r="DD263" s="694"/>
      <c r="DE263" s="694"/>
      <c r="DF263" s="694"/>
      <c r="DG263" s="695"/>
      <c r="DH263" s="695"/>
      <c r="DI263" s="695"/>
      <c r="DJ263" s="695"/>
      <c r="DK263" s="695"/>
      <c r="DL263" s="695"/>
      <c r="DM263" s="695"/>
      <c r="DN263" s="695"/>
      <c r="DO263" s="695"/>
      <c r="DP263" s="695"/>
      <c r="DQ263" s="695"/>
      <c r="DR263" s="695"/>
      <c r="DS263" s="694"/>
      <c r="DT263" s="694"/>
      <c r="DU263" s="694"/>
      <c r="DV263" s="694"/>
      <c r="DW263" s="694"/>
      <c r="DX263" s="694"/>
      <c r="DY263" s="694"/>
      <c r="DZ263" s="694"/>
      <c r="EA263" s="694"/>
      <c r="EB263" s="694"/>
      <c r="EC263" s="694"/>
      <c r="ED263" s="694"/>
      <c r="EE263" s="694"/>
      <c r="EF263" s="694"/>
      <c r="EG263" s="694"/>
      <c r="EH263" s="694"/>
      <c r="EI263" s="694"/>
      <c r="EJ263" s="694"/>
      <c r="EK263" s="694"/>
      <c r="EL263" s="694"/>
      <c r="EM263" s="694"/>
      <c r="EN263" s="694"/>
      <c r="EO263" s="694"/>
      <c r="EP263" s="694"/>
      <c r="EQ263" s="694"/>
      <c r="ER263" s="694"/>
      <c r="ES263" s="694"/>
      <c r="ET263" s="694"/>
      <c r="EU263" s="694"/>
      <c r="EV263" s="694"/>
      <c r="EW263" s="694"/>
      <c r="EX263" s="694"/>
      <c r="EY263" s="694"/>
      <c r="EZ263" s="694"/>
      <c r="FA263" s="694"/>
      <c r="FB263" s="694"/>
      <c r="FC263" s="694"/>
      <c r="FD263" s="694"/>
      <c r="FE263" s="694"/>
      <c r="FF263" s="694"/>
      <c r="FG263" s="694"/>
      <c r="FH263" s="694"/>
      <c r="FI263" s="694"/>
      <c r="FJ263" s="694"/>
      <c r="FK263" s="694"/>
      <c r="FL263" s="694"/>
      <c r="FM263" s="694"/>
      <c r="FN263" s="694"/>
      <c r="FO263" s="694"/>
      <c r="FP263" s="694"/>
      <c r="FQ263" s="697"/>
    </row>
    <row r="264" spans="1:177" s="696" customFormat="1">
      <c r="A264" s="690"/>
      <c r="B264" s="690"/>
      <c r="C264" s="691"/>
      <c r="D264" s="691" t="s">
        <v>3704</v>
      </c>
      <c r="E264" s="692">
        <v>42.7</v>
      </c>
      <c r="F264" s="692"/>
      <c r="G264" s="692"/>
      <c r="H264" s="692"/>
      <c r="I264" s="692"/>
      <c r="J264" s="692"/>
      <c r="K264" s="692"/>
      <c r="L264" s="692"/>
      <c r="M264" s="692"/>
      <c r="N264" s="692"/>
      <c r="O264" s="692"/>
      <c r="P264" s="692">
        <f t="shared" si="87"/>
        <v>42.7</v>
      </c>
      <c r="Q264" s="692"/>
      <c r="R264" s="693"/>
      <c r="S264" s="693"/>
      <c r="T264" s="692"/>
      <c r="U264" s="692" t="s">
        <v>1631</v>
      </c>
      <c r="V264" s="692"/>
      <c r="W264" s="692"/>
      <c r="X264" s="692"/>
      <c r="Y264" s="692"/>
      <c r="Z264" s="692"/>
      <c r="AA264" s="692"/>
      <c r="AB264" s="692"/>
      <c r="AC264" s="692"/>
      <c r="AD264" s="692"/>
      <c r="AE264" s="725"/>
      <c r="AF264" s="957"/>
      <c r="AG264" s="692"/>
      <c r="AH264" s="692"/>
      <c r="AI264" s="692"/>
      <c r="AJ264" s="692"/>
      <c r="AK264" s="692"/>
      <c r="AL264" s="692"/>
      <c r="AM264" s="692"/>
      <c r="AN264" s="692"/>
      <c r="AO264" s="692"/>
      <c r="AP264" s="692"/>
      <c r="AQ264" s="692"/>
      <c r="AR264" s="692"/>
      <c r="AS264" s="692"/>
      <c r="AT264" s="692"/>
      <c r="AU264" s="692"/>
      <c r="AV264" s="692"/>
      <c r="AW264" s="692">
        <v>1</v>
      </c>
      <c r="AX264" s="692"/>
      <c r="AY264" s="692"/>
      <c r="AZ264" s="692">
        <f t="shared" si="88"/>
        <v>0</v>
      </c>
      <c r="BA264" s="692">
        <f t="shared" si="89"/>
        <v>2</v>
      </c>
      <c r="BB264" s="692"/>
      <c r="BC264" s="692"/>
      <c r="BD264" s="692"/>
      <c r="BE264" s="692">
        <v>1</v>
      </c>
      <c r="BF264" s="692"/>
      <c r="BG264" s="692"/>
      <c r="BH264" s="692"/>
      <c r="BI264" s="692">
        <f t="shared" si="90"/>
        <v>0</v>
      </c>
      <c r="BJ264" s="692">
        <f t="shared" si="91"/>
        <v>5</v>
      </c>
      <c r="BK264" s="692"/>
      <c r="BL264" s="692"/>
      <c r="BM264" s="692"/>
      <c r="BN264" s="692"/>
      <c r="BO264" s="692"/>
      <c r="BP264" s="692"/>
      <c r="BQ264" s="692">
        <f t="shared" si="92"/>
        <v>0</v>
      </c>
      <c r="BR264" s="692"/>
      <c r="BS264" s="692">
        <f t="shared" si="93"/>
        <v>0</v>
      </c>
      <c r="BT264" s="692">
        <f t="shared" si="94"/>
        <v>1</v>
      </c>
      <c r="BU264" s="692"/>
      <c r="BV264" s="692"/>
      <c r="BW264" s="692"/>
      <c r="BX264" s="692"/>
      <c r="BY264" s="692"/>
      <c r="BZ264" s="692"/>
      <c r="CA264" s="692"/>
      <c r="CB264" s="692">
        <v>1</v>
      </c>
      <c r="CC264" s="692"/>
      <c r="CD264" s="692">
        <f t="shared" si="95"/>
        <v>4</v>
      </c>
      <c r="CE264" s="692"/>
      <c r="CF264" s="692"/>
      <c r="CG264" s="692"/>
      <c r="CH264" s="692"/>
      <c r="CI264" s="692"/>
      <c r="CJ264" s="692"/>
      <c r="CK264" s="692"/>
      <c r="CL264" s="692"/>
      <c r="CM264" s="692"/>
      <c r="CN264" s="692"/>
      <c r="CO264" s="692"/>
      <c r="CP264" s="692"/>
      <c r="CQ264" s="692"/>
      <c r="CR264" s="692"/>
      <c r="CS264" s="692"/>
      <c r="CT264" s="692"/>
      <c r="CU264" s="692"/>
      <c r="CV264" s="692"/>
      <c r="CW264" s="692"/>
      <c r="CX264" s="694"/>
      <c r="CY264" s="694"/>
      <c r="CZ264" s="694"/>
      <c r="DA264" s="694"/>
      <c r="DB264" s="694"/>
      <c r="DC264" s="694"/>
      <c r="DD264" s="694"/>
      <c r="DE264" s="694"/>
      <c r="DF264" s="694"/>
      <c r="DG264" s="695"/>
      <c r="DH264" s="695"/>
      <c r="DI264" s="695"/>
      <c r="DJ264" s="695"/>
      <c r="DK264" s="695"/>
      <c r="DL264" s="695"/>
      <c r="DM264" s="695"/>
      <c r="DN264" s="695"/>
      <c r="DO264" s="695"/>
      <c r="DP264" s="695"/>
      <c r="DQ264" s="695"/>
      <c r="DR264" s="695"/>
      <c r="DS264" s="694"/>
      <c r="DT264" s="694"/>
      <c r="DU264" s="694"/>
      <c r="DV264" s="694"/>
      <c r="DW264" s="694"/>
      <c r="DX264" s="694"/>
      <c r="DY264" s="694"/>
      <c r="DZ264" s="694"/>
      <c r="EA264" s="694"/>
      <c r="EB264" s="694"/>
      <c r="EC264" s="694"/>
      <c r="ED264" s="694"/>
      <c r="EE264" s="694"/>
      <c r="EF264" s="694"/>
      <c r="EG264" s="694"/>
      <c r="EH264" s="694"/>
      <c r="EI264" s="694"/>
      <c r="EJ264" s="694"/>
      <c r="EK264" s="694"/>
      <c r="EL264" s="694"/>
      <c r="EM264" s="694"/>
      <c r="EN264" s="694"/>
      <c r="EO264" s="694"/>
      <c r="EP264" s="694"/>
      <c r="EQ264" s="694"/>
      <c r="ER264" s="694"/>
      <c r="ES264" s="694"/>
      <c r="ET264" s="694"/>
      <c r="EU264" s="694"/>
      <c r="EV264" s="694"/>
      <c r="EW264" s="694"/>
      <c r="EX264" s="694"/>
      <c r="EY264" s="694"/>
      <c r="EZ264" s="694"/>
      <c r="FA264" s="694"/>
      <c r="FB264" s="694"/>
      <c r="FC264" s="694"/>
      <c r="FD264" s="694"/>
      <c r="FE264" s="694"/>
      <c r="FF264" s="694"/>
      <c r="FG264" s="694"/>
      <c r="FH264" s="694"/>
      <c r="FI264" s="694"/>
      <c r="FJ264" s="694"/>
      <c r="FK264" s="694"/>
      <c r="FL264" s="694"/>
      <c r="FM264" s="694"/>
      <c r="FN264" s="694"/>
      <c r="FO264" s="694"/>
      <c r="FP264" s="694"/>
      <c r="FQ264" s="697"/>
    </row>
    <row r="265" spans="1:177" s="696" customFormat="1">
      <c r="A265" s="690"/>
      <c r="B265" s="690"/>
      <c r="C265" s="691"/>
      <c r="D265" s="691" t="s">
        <v>3705</v>
      </c>
      <c r="E265" s="692">
        <v>37</v>
      </c>
      <c r="F265" s="692"/>
      <c r="G265" s="692"/>
      <c r="H265" s="692"/>
      <c r="I265" s="692"/>
      <c r="J265" s="692"/>
      <c r="K265" s="692"/>
      <c r="L265" s="692"/>
      <c r="M265" s="692"/>
      <c r="N265" s="692"/>
      <c r="O265" s="692"/>
      <c r="P265" s="692">
        <f t="shared" si="87"/>
        <v>37</v>
      </c>
      <c r="Q265" s="692"/>
      <c r="R265" s="693"/>
      <c r="S265" s="693"/>
      <c r="T265" s="692"/>
      <c r="U265" s="692" t="s">
        <v>1903</v>
      </c>
      <c r="V265" s="692"/>
      <c r="W265" s="692"/>
      <c r="X265" s="692"/>
      <c r="Y265" s="692"/>
      <c r="Z265" s="692"/>
      <c r="AA265" s="692"/>
      <c r="AB265" s="692"/>
      <c r="AC265" s="692"/>
      <c r="AD265" s="692"/>
      <c r="AE265" s="725"/>
      <c r="AF265" s="957"/>
      <c r="AG265" s="692"/>
      <c r="AH265" s="692"/>
      <c r="AI265" s="692"/>
      <c r="AJ265" s="692"/>
      <c r="AK265" s="692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>
        <v>1</v>
      </c>
      <c r="AX265" s="692"/>
      <c r="AY265" s="692"/>
      <c r="AZ265" s="692">
        <f t="shared" si="88"/>
        <v>0</v>
      </c>
      <c r="BA265" s="692">
        <f t="shared" si="89"/>
        <v>2</v>
      </c>
      <c r="BB265" s="692"/>
      <c r="BC265" s="692"/>
      <c r="BD265" s="692"/>
      <c r="BE265" s="692">
        <v>1</v>
      </c>
      <c r="BF265" s="692"/>
      <c r="BG265" s="692"/>
      <c r="BH265" s="692"/>
      <c r="BI265" s="692">
        <f t="shared" si="90"/>
        <v>0</v>
      </c>
      <c r="BJ265" s="692">
        <f t="shared" si="91"/>
        <v>5</v>
      </c>
      <c r="BK265" s="692"/>
      <c r="BL265" s="692"/>
      <c r="BM265" s="692"/>
      <c r="BN265" s="692"/>
      <c r="BO265" s="692"/>
      <c r="BP265" s="692"/>
      <c r="BQ265" s="692">
        <f t="shared" si="92"/>
        <v>1</v>
      </c>
      <c r="BR265" s="692"/>
      <c r="BS265" s="692">
        <f t="shared" si="93"/>
        <v>0</v>
      </c>
      <c r="BT265" s="692">
        <f t="shared" si="94"/>
        <v>2</v>
      </c>
      <c r="BU265" s="692"/>
      <c r="BV265" s="692"/>
      <c r="BW265" s="692"/>
      <c r="BX265" s="692"/>
      <c r="BY265" s="692"/>
      <c r="BZ265" s="692"/>
      <c r="CA265" s="692"/>
      <c r="CB265" s="692">
        <v>1</v>
      </c>
      <c r="CC265" s="692"/>
      <c r="CD265" s="692">
        <f t="shared" si="95"/>
        <v>4</v>
      </c>
      <c r="CE265" s="692"/>
      <c r="CF265" s="692"/>
      <c r="CG265" s="692"/>
      <c r="CH265" s="692"/>
      <c r="CI265" s="692"/>
      <c r="CJ265" s="692"/>
      <c r="CK265" s="692"/>
      <c r="CL265" s="692"/>
      <c r="CM265" s="692"/>
      <c r="CN265" s="692"/>
      <c r="CO265" s="692"/>
      <c r="CP265" s="692"/>
      <c r="CQ265" s="692"/>
      <c r="CR265" s="692"/>
      <c r="CS265" s="692"/>
      <c r="CT265" s="692"/>
      <c r="CU265" s="692"/>
      <c r="CV265" s="692"/>
      <c r="CW265" s="692"/>
      <c r="CX265" s="694"/>
      <c r="CY265" s="694"/>
      <c r="CZ265" s="694"/>
      <c r="DA265" s="694"/>
      <c r="DB265" s="694"/>
      <c r="DC265" s="694"/>
      <c r="DD265" s="694"/>
      <c r="DE265" s="694"/>
      <c r="DF265" s="694"/>
      <c r="DG265" s="695"/>
      <c r="DH265" s="695"/>
      <c r="DI265" s="695"/>
      <c r="DJ265" s="695"/>
      <c r="DK265" s="695"/>
      <c r="DL265" s="695"/>
      <c r="DM265" s="695"/>
      <c r="DN265" s="695"/>
      <c r="DO265" s="695"/>
      <c r="DP265" s="695"/>
      <c r="DQ265" s="695"/>
      <c r="DR265" s="695"/>
      <c r="DS265" s="694"/>
      <c r="DT265" s="694"/>
      <c r="DU265" s="694"/>
      <c r="DV265" s="694"/>
      <c r="DW265" s="694"/>
      <c r="DX265" s="694"/>
      <c r="DY265" s="694"/>
      <c r="DZ265" s="694"/>
      <c r="EA265" s="694"/>
      <c r="EB265" s="694"/>
      <c r="EC265" s="694"/>
      <c r="ED265" s="694"/>
      <c r="EE265" s="694"/>
      <c r="EF265" s="694"/>
      <c r="EG265" s="694"/>
      <c r="EH265" s="694"/>
      <c r="EI265" s="694"/>
      <c r="EJ265" s="694"/>
      <c r="EK265" s="694"/>
      <c r="EL265" s="694"/>
      <c r="EM265" s="694"/>
      <c r="EN265" s="694"/>
      <c r="EO265" s="694"/>
      <c r="EP265" s="694"/>
      <c r="EQ265" s="694"/>
      <c r="ER265" s="694"/>
      <c r="ES265" s="694"/>
      <c r="ET265" s="694"/>
      <c r="EU265" s="694"/>
      <c r="EV265" s="694"/>
      <c r="EW265" s="694"/>
      <c r="EX265" s="694"/>
      <c r="EY265" s="694"/>
      <c r="EZ265" s="694"/>
      <c r="FA265" s="694"/>
      <c r="FB265" s="694"/>
      <c r="FC265" s="694"/>
      <c r="FD265" s="694"/>
      <c r="FE265" s="694"/>
      <c r="FF265" s="694"/>
      <c r="FG265" s="694"/>
      <c r="FH265" s="694"/>
      <c r="FI265" s="694"/>
      <c r="FJ265" s="694"/>
      <c r="FK265" s="694"/>
      <c r="FL265" s="694"/>
      <c r="FM265" s="694"/>
      <c r="FN265" s="694"/>
      <c r="FO265" s="694"/>
      <c r="FP265" s="694"/>
      <c r="FQ265" s="697"/>
    </row>
    <row r="266" spans="1:177" s="696" customFormat="1">
      <c r="A266" s="690"/>
      <c r="B266" s="690"/>
      <c r="C266" s="691"/>
      <c r="D266" s="691" t="s">
        <v>3706</v>
      </c>
      <c r="E266" s="692">
        <v>33.799999999999997</v>
      </c>
      <c r="F266" s="692"/>
      <c r="G266" s="692"/>
      <c r="H266" s="692"/>
      <c r="I266" s="692"/>
      <c r="J266" s="692"/>
      <c r="K266" s="692"/>
      <c r="L266" s="692"/>
      <c r="M266" s="692"/>
      <c r="N266" s="692"/>
      <c r="O266" s="692"/>
      <c r="P266" s="692">
        <f t="shared" si="87"/>
        <v>33.799999999999997</v>
      </c>
      <c r="Q266" s="692"/>
      <c r="R266" s="693"/>
      <c r="S266" s="693"/>
      <c r="T266" s="692"/>
      <c r="U266" s="692" t="s">
        <v>1631</v>
      </c>
      <c r="V266" s="692"/>
      <c r="W266" s="692"/>
      <c r="X266" s="692"/>
      <c r="Y266" s="692"/>
      <c r="Z266" s="692"/>
      <c r="AA266" s="692"/>
      <c r="AB266" s="692"/>
      <c r="AC266" s="692"/>
      <c r="AD266" s="692"/>
      <c r="AE266" s="725"/>
      <c r="AF266" s="957"/>
      <c r="AG266" s="692"/>
      <c r="AH266" s="692"/>
      <c r="AI266" s="692"/>
      <c r="AJ266" s="692"/>
      <c r="AK266" s="692"/>
      <c r="AL266" s="692"/>
      <c r="AM266" s="692"/>
      <c r="AN266" s="692"/>
      <c r="AO266" s="692"/>
      <c r="AP266" s="692"/>
      <c r="AQ266" s="692"/>
      <c r="AR266" s="692"/>
      <c r="AS266" s="692"/>
      <c r="AT266" s="692"/>
      <c r="AU266" s="692">
        <v>1</v>
      </c>
      <c r="AV266" s="692"/>
      <c r="AW266" s="692">
        <v>1</v>
      </c>
      <c r="AX266" s="692"/>
      <c r="AY266" s="692"/>
      <c r="AZ266" s="692">
        <f t="shared" si="88"/>
        <v>0</v>
      </c>
      <c r="BA266" s="692">
        <f t="shared" si="89"/>
        <v>2</v>
      </c>
      <c r="BB266" s="692"/>
      <c r="BC266" s="692"/>
      <c r="BD266" s="692"/>
      <c r="BE266" s="692">
        <v>1</v>
      </c>
      <c r="BF266" s="692"/>
      <c r="BG266" s="692"/>
      <c r="BH266" s="692"/>
      <c r="BI266" s="692">
        <f t="shared" si="90"/>
        <v>0</v>
      </c>
      <c r="BJ266" s="692">
        <f t="shared" si="91"/>
        <v>7</v>
      </c>
      <c r="BK266" s="692"/>
      <c r="BL266" s="692"/>
      <c r="BM266" s="692"/>
      <c r="BN266" s="692"/>
      <c r="BO266" s="692"/>
      <c r="BP266" s="692"/>
      <c r="BQ266" s="692">
        <f t="shared" si="92"/>
        <v>0</v>
      </c>
      <c r="BR266" s="692"/>
      <c r="BS266" s="692">
        <f t="shared" si="93"/>
        <v>0</v>
      </c>
      <c r="BT266" s="692">
        <f t="shared" si="94"/>
        <v>1</v>
      </c>
      <c r="BU266" s="692"/>
      <c r="BV266" s="692"/>
      <c r="BW266" s="692"/>
      <c r="BX266" s="692"/>
      <c r="BY266" s="692"/>
      <c r="BZ266" s="692"/>
      <c r="CA266" s="692"/>
      <c r="CB266" s="692">
        <v>1</v>
      </c>
      <c r="CC266" s="692"/>
      <c r="CD266" s="692">
        <f t="shared" si="95"/>
        <v>4</v>
      </c>
      <c r="CE266" s="692"/>
      <c r="CF266" s="692"/>
      <c r="CG266" s="692"/>
      <c r="CH266" s="692"/>
      <c r="CI266" s="692"/>
      <c r="CJ266" s="692"/>
      <c r="CK266" s="692"/>
      <c r="CL266" s="692"/>
      <c r="CM266" s="692"/>
      <c r="CN266" s="692"/>
      <c r="CO266" s="692"/>
      <c r="CP266" s="692"/>
      <c r="CQ266" s="692"/>
      <c r="CR266" s="692"/>
      <c r="CS266" s="692"/>
      <c r="CT266" s="692"/>
      <c r="CU266" s="692"/>
      <c r="CV266" s="692"/>
      <c r="CW266" s="692"/>
      <c r="CX266" s="694"/>
      <c r="CY266" s="694"/>
      <c r="CZ266" s="694"/>
      <c r="DA266" s="694"/>
      <c r="DB266" s="694"/>
      <c r="DC266" s="694"/>
      <c r="DD266" s="694"/>
      <c r="DE266" s="694"/>
      <c r="DF266" s="694"/>
      <c r="DG266" s="695"/>
      <c r="DH266" s="695"/>
      <c r="DI266" s="695"/>
      <c r="DJ266" s="695"/>
      <c r="DK266" s="695"/>
      <c r="DL266" s="695"/>
      <c r="DM266" s="695"/>
      <c r="DN266" s="695"/>
      <c r="DO266" s="695"/>
      <c r="DP266" s="695"/>
      <c r="DQ266" s="695"/>
      <c r="DR266" s="695"/>
      <c r="DS266" s="694"/>
      <c r="DT266" s="694"/>
      <c r="DU266" s="694"/>
      <c r="DV266" s="694"/>
      <c r="DW266" s="694"/>
      <c r="DX266" s="694"/>
      <c r="DY266" s="694"/>
      <c r="DZ266" s="694"/>
      <c r="EA266" s="694"/>
      <c r="EB266" s="694"/>
      <c r="EC266" s="694"/>
      <c r="ED266" s="694"/>
      <c r="EE266" s="694"/>
      <c r="EF266" s="694"/>
      <c r="EG266" s="694"/>
      <c r="EH266" s="694"/>
      <c r="EI266" s="694"/>
      <c r="EJ266" s="694"/>
      <c r="EK266" s="694"/>
      <c r="EL266" s="694"/>
      <c r="EM266" s="694"/>
      <c r="EN266" s="694"/>
      <c r="EO266" s="694"/>
      <c r="EP266" s="694"/>
      <c r="EQ266" s="694"/>
      <c r="ER266" s="694"/>
      <c r="ES266" s="694"/>
      <c r="ET266" s="694"/>
      <c r="EU266" s="694"/>
      <c r="EV266" s="694"/>
      <c r="EW266" s="694"/>
      <c r="EX266" s="694"/>
      <c r="EY266" s="694"/>
      <c r="EZ266" s="694"/>
      <c r="FA266" s="694"/>
      <c r="FB266" s="694"/>
      <c r="FC266" s="694"/>
      <c r="FD266" s="694"/>
      <c r="FE266" s="694"/>
      <c r="FF266" s="694"/>
      <c r="FG266" s="694"/>
      <c r="FH266" s="694"/>
      <c r="FI266" s="694"/>
      <c r="FJ266" s="694"/>
      <c r="FK266" s="694"/>
      <c r="FL266" s="694"/>
      <c r="FM266" s="694"/>
      <c r="FN266" s="694"/>
      <c r="FO266" s="694"/>
      <c r="FP266" s="694"/>
      <c r="FQ266" s="697"/>
    </row>
    <row r="267" spans="1:177" s="696" customFormat="1">
      <c r="A267" s="690"/>
      <c r="B267" s="690"/>
      <c r="C267" s="691"/>
      <c r="D267" s="691" t="s">
        <v>3707</v>
      </c>
      <c r="E267" s="692">
        <v>45.7</v>
      </c>
      <c r="F267" s="692"/>
      <c r="G267" s="692"/>
      <c r="H267" s="692"/>
      <c r="I267" s="692"/>
      <c r="J267" s="692"/>
      <c r="K267" s="692"/>
      <c r="L267" s="692"/>
      <c r="M267" s="692"/>
      <c r="N267" s="692"/>
      <c r="O267" s="692"/>
      <c r="P267" s="692">
        <f t="shared" si="87"/>
        <v>45.7</v>
      </c>
      <c r="Q267" s="692"/>
      <c r="R267" s="693"/>
      <c r="S267" s="693"/>
      <c r="T267" s="692"/>
      <c r="U267" s="692" t="s">
        <v>1903</v>
      </c>
      <c r="V267" s="692"/>
      <c r="W267" s="692"/>
      <c r="X267" s="692"/>
      <c r="Y267" s="692"/>
      <c r="Z267" s="692"/>
      <c r="AA267" s="692"/>
      <c r="AB267" s="692"/>
      <c r="AC267" s="692"/>
      <c r="AD267" s="692"/>
      <c r="AE267" s="725"/>
      <c r="AF267" s="957"/>
      <c r="AG267" s="692"/>
      <c r="AH267" s="692"/>
      <c r="AI267" s="692"/>
      <c r="AJ267" s="692"/>
      <c r="AK267" s="692"/>
      <c r="AL267" s="692"/>
      <c r="AM267" s="692"/>
      <c r="AN267" s="692"/>
      <c r="AO267" s="692"/>
      <c r="AP267" s="692"/>
      <c r="AQ267" s="692"/>
      <c r="AR267" s="692"/>
      <c r="AS267" s="692"/>
      <c r="AT267" s="692"/>
      <c r="AU267" s="692"/>
      <c r="AV267" s="692"/>
      <c r="AW267" s="692">
        <v>1</v>
      </c>
      <c r="AX267" s="692"/>
      <c r="AY267" s="692"/>
      <c r="AZ267" s="692">
        <f t="shared" si="88"/>
        <v>0</v>
      </c>
      <c r="BA267" s="692">
        <f t="shared" si="89"/>
        <v>2</v>
      </c>
      <c r="BB267" s="692"/>
      <c r="BC267" s="692"/>
      <c r="BD267" s="692"/>
      <c r="BE267" s="692">
        <v>1</v>
      </c>
      <c r="BF267" s="692"/>
      <c r="BG267" s="692"/>
      <c r="BH267" s="692"/>
      <c r="BI267" s="692">
        <f t="shared" si="90"/>
        <v>0</v>
      </c>
      <c r="BJ267" s="692">
        <f t="shared" si="91"/>
        <v>5</v>
      </c>
      <c r="BK267" s="692"/>
      <c r="BL267" s="692"/>
      <c r="BM267" s="692"/>
      <c r="BN267" s="692"/>
      <c r="BO267" s="692"/>
      <c r="BP267" s="692"/>
      <c r="BQ267" s="692">
        <f t="shared" si="92"/>
        <v>1</v>
      </c>
      <c r="BR267" s="692"/>
      <c r="BS267" s="692">
        <f t="shared" si="93"/>
        <v>0</v>
      </c>
      <c r="BT267" s="692">
        <f t="shared" si="94"/>
        <v>2</v>
      </c>
      <c r="BU267" s="692"/>
      <c r="BV267" s="692"/>
      <c r="BW267" s="692"/>
      <c r="BX267" s="692"/>
      <c r="BY267" s="692"/>
      <c r="BZ267" s="692"/>
      <c r="CA267" s="692"/>
      <c r="CB267" s="692">
        <v>1</v>
      </c>
      <c r="CC267" s="692"/>
      <c r="CD267" s="692">
        <f t="shared" si="95"/>
        <v>4</v>
      </c>
      <c r="CE267" s="692"/>
      <c r="CF267" s="692"/>
      <c r="CG267" s="692"/>
      <c r="CH267" s="692"/>
      <c r="CI267" s="692"/>
      <c r="CJ267" s="692"/>
      <c r="CK267" s="692"/>
      <c r="CL267" s="692"/>
      <c r="CM267" s="692"/>
      <c r="CN267" s="692"/>
      <c r="CO267" s="692"/>
      <c r="CP267" s="692"/>
      <c r="CQ267" s="692"/>
      <c r="CR267" s="692"/>
      <c r="CS267" s="692"/>
      <c r="CT267" s="692"/>
      <c r="CU267" s="692"/>
      <c r="CV267" s="692"/>
      <c r="CW267" s="692"/>
      <c r="CX267" s="694"/>
      <c r="CY267" s="694"/>
      <c r="CZ267" s="694"/>
      <c r="DA267" s="694"/>
      <c r="DB267" s="694"/>
      <c r="DC267" s="694"/>
      <c r="DD267" s="694"/>
      <c r="DE267" s="694"/>
      <c r="DF267" s="694"/>
      <c r="DG267" s="695"/>
      <c r="DH267" s="695"/>
      <c r="DI267" s="695"/>
      <c r="DJ267" s="695"/>
      <c r="DK267" s="695"/>
      <c r="DL267" s="695"/>
      <c r="DM267" s="695"/>
      <c r="DN267" s="695"/>
      <c r="DO267" s="695"/>
      <c r="DP267" s="695"/>
      <c r="DQ267" s="695"/>
      <c r="DR267" s="695"/>
      <c r="DS267" s="694"/>
      <c r="DT267" s="694"/>
      <c r="DU267" s="694"/>
      <c r="DV267" s="694"/>
      <c r="DW267" s="694"/>
      <c r="DX267" s="694"/>
      <c r="DY267" s="694"/>
      <c r="DZ267" s="694"/>
      <c r="EA267" s="694"/>
      <c r="EB267" s="694"/>
      <c r="EC267" s="694"/>
      <c r="ED267" s="694"/>
      <c r="EE267" s="694"/>
      <c r="EF267" s="694"/>
      <c r="EG267" s="694"/>
      <c r="EH267" s="694"/>
      <c r="EI267" s="694"/>
      <c r="EJ267" s="694"/>
      <c r="EK267" s="694"/>
      <c r="EL267" s="694"/>
      <c r="EM267" s="694"/>
      <c r="EN267" s="694"/>
      <c r="EO267" s="694"/>
      <c r="EP267" s="694"/>
      <c r="EQ267" s="694"/>
      <c r="ER267" s="694"/>
      <c r="ES267" s="694"/>
      <c r="ET267" s="694"/>
      <c r="EU267" s="694"/>
      <c r="EV267" s="694"/>
      <c r="EW267" s="694"/>
      <c r="EX267" s="694"/>
      <c r="EY267" s="694"/>
      <c r="EZ267" s="694"/>
      <c r="FA267" s="694"/>
      <c r="FB267" s="694"/>
      <c r="FC267" s="694"/>
      <c r="FD267" s="694"/>
      <c r="FE267" s="694"/>
      <c r="FF267" s="694"/>
      <c r="FG267" s="694"/>
      <c r="FH267" s="694"/>
      <c r="FI267" s="694"/>
      <c r="FJ267" s="694"/>
      <c r="FK267" s="694"/>
      <c r="FL267" s="694"/>
      <c r="FM267" s="694"/>
      <c r="FN267" s="694"/>
      <c r="FO267" s="694"/>
      <c r="FP267" s="694"/>
      <c r="FQ267" s="697"/>
    </row>
    <row r="268" spans="1:177" s="696" customFormat="1">
      <c r="A268" s="690"/>
      <c r="B268" s="690"/>
      <c r="C268" s="691"/>
      <c r="D268" s="691" t="s">
        <v>3708</v>
      </c>
      <c r="E268" s="692">
        <v>35.9</v>
      </c>
      <c r="F268" s="692"/>
      <c r="G268" s="692"/>
      <c r="H268" s="692"/>
      <c r="I268" s="692"/>
      <c r="J268" s="692"/>
      <c r="K268" s="692"/>
      <c r="L268" s="692"/>
      <c r="M268" s="692"/>
      <c r="N268" s="692"/>
      <c r="O268" s="692"/>
      <c r="P268" s="692">
        <f t="shared" si="87"/>
        <v>35.9</v>
      </c>
      <c r="Q268" s="692"/>
      <c r="R268" s="693"/>
      <c r="S268" s="693"/>
      <c r="T268" s="692"/>
      <c r="U268" s="692" t="s">
        <v>1631</v>
      </c>
      <c r="V268" s="692"/>
      <c r="W268" s="692"/>
      <c r="X268" s="692"/>
      <c r="Y268" s="692"/>
      <c r="Z268" s="692"/>
      <c r="AA268" s="692"/>
      <c r="AB268" s="692"/>
      <c r="AC268" s="692"/>
      <c r="AD268" s="692"/>
      <c r="AE268" s="725"/>
      <c r="AF268" s="957"/>
      <c r="AG268" s="692"/>
      <c r="AH268" s="692"/>
      <c r="AI268" s="692"/>
      <c r="AJ268" s="692"/>
      <c r="AK268" s="692"/>
      <c r="AL268" s="692"/>
      <c r="AM268" s="692"/>
      <c r="AN268" s="692"/>
      <c r="AO268" s="692"/>
      <c r="AP268" s="692"/>
      <c r="AQ268" s="692"/>
      <c r="AR268" s="692"/>
      <c r="AS268" s="692"/>
      <c r="AT268" s="692"/>
      <c r="AU268" s="692"/>
      <c r="AV268" s="692"/>
      <c r="AW268" s="692">
        <v>1</v>
      </c>
      <c r="AX268" s="692"/>
      <c r="AY268" s="692"/>
      <c r="AZ268" s="692">
        <f t="shared" si="88"/>
        <v>0</v>
      </c>
      <c r="BA268" s="692">
        <f t="shared" si="89"/>
        <v>2</v>
      </c>
      <c r="BB268" s="692"/>
      <c r="BC268" s="692"/>
      <c r="BD268" s="692"/>
      <c r="BE268" s="692">
        <v>1</v>
      </c>
      <c r="BF268" s="692"/>
      <c r="BG268" s="692"/>
      <c r="BH268" s="692"/>
      <c r="BI268" s="692">
        <f t="shared" si="90"/>
        <v>0</v>
      </c>
      <c r="BJ268" s="692">
        <f t="shared" si="91"/>
        <v>5</v>
      </c>
      <c r="BK268" s="692"/>
      <c r="BL268" s="692"/>
      <c r="BM268" s="692"/>
      <c r="BN268" s="692"/>
      <c r="BO268" s="692"/>
      <c r="BP268" s="692"/>
      <c r="BQ268" s="692">
        <f t="shared" si="92"/>
        <v>0</v>
      </c>
      <c r="BR268" s="692"/>
      <c r="BS268" s="692">
        <f t="shared" si="93"/>
        <v>0</v>
      </c>
      <c r="BT268" s="692">
        <f t="shared" si="94"/>
        <v>1</v>
      </c>
      <c r="BU268" s="692"/>
      <c r="BV268" s="692"/>
      <c r="BW268" s="692"/>
      <c r="BX268" s="692"/>
      <c r="BY268" s="692"/>
      <c r="BZ268" s="692"/>
      <c r="CA268" s="692"/>
      <c r="CB268" s="692">
        <v>1</v>
      </c>
      <c r="CC268" s="692"/>
      <c r="CD268" s="692">
        <f t="shared" si="95"/>
        <v>4</v>
      </c>
      <c r="CE268" s="692"/>
      <c r="CF268" s="692"/>
      <c r="CG268" s="692"/>
      <c r="CH268" s="692"/>
      <c r="CI268" s="692"/>
      <c r="CJ268" s="692"/>
      <c r="CK268" s="692"/>
      <c r="CL268" s="692"/>
      <c r="CM268" s="692"/>
      <c r="CN268" s="692"/>
      <c r="CO268" s="692"/>
      <c r="CP268" s="692"/>
      <c r="CQ268" s="692"/>
      <c r="CR268" s="692"/>
      <c r="CS268" s="692"/>
      <c r="CT268" s="692"/>
      <c r="CU268" s="692"/>
      <c r="CV268" s="692"/>
      <c r="CW268" s="692"/>
      <c r="CX268" s="694"/>
      <c r="CY268" s="694"/>
      <c r="CZ268" s="694"/>
      <c r="DA268" s="694"/>
      <c r="DB268" s="694"/>
      <c r="DC268" s="694"/>
      <c r="DD268" s="694"/>
      <c r="DE268" s="694"/>
      <c r="DF268" s="694"/>
      <c r="DG268" s="695"/>
      <c r="DH268" s="695"/>
      <c r="DI268" s="695"/>
      <c r="DJ268" s="695"/>
      <c r="DK268" s="695"/>
      <c r="DL268" s="695"/>
      <c r="DM268" s="695"/>
      <c r="DN268" s="695"/>
      <c r="DO268" s="695"/>
      <c r="DP268" s="695"/>
      <c r="DQ268" s="695"/>
      <c r="DR268" s="695"/>
      <c r="DS268" s="694"/>
      <c r="DT268" s="694"/>
      <c r="DU268" s="694"/>
      <c r="DV268" s="694"/>
      <c r="DW268" s="694"/>
      <c r="DX268" s="694"/>
      <c r="DY268" s="694"/>
      <c r="DZ268" s="694"/>
      <c r="EA268" s="694"/>
      <c r="EB268" s="694"/>
      <c r="EC268" s="694"/>
      <c r="ED268" s="694"/>
      <c r="EE268" s="694"/>
      <c r="EF268" s="694"/>
      <c r="EG268" s="694"/>
      <c r="EH268" s="694"/>
      <c r="EI268" s="694"/>
      <c r="EJ268" s="694"/>
      <c r="EK268" s="694"/>
      <c r="EL268" s="694"/>
      <c r="EM268" s="694"/>
      <c r="EN268" s="694"/>
      <c r="EO268" s="694"/>
      <c r="EP268" s="694"/>
      <c r="EQ268" s="694"/>
      <c r="ER268" s="694"/>
      <c r="ES268" s="694"/>
      <c r="ET268" s="694"/>
      <c r="EU268" s="694"/>
      <c r="EV268" s="694"/>
      <c r="EW268" s="694"/>
      <c r="EX268" s="694"/>
      <c r="EY268" s="694"/>
      <c r="EZ268" s="694"/>
      <c r="FA268" s="694"/>
      <c r="FB268" s="694"/>
      <c r="FC268" s="694"/>
      <c r="FD268" s="694"/>
      <c r="FE268" s="694"/>
      <c r="FF268" s="694"/>
      <c r="FG268" s="694"/>
      <c r="FH268" s="694"/>
      <c r="FI268" s="694"/>
      <c r="FJ268" s="694"/>
      <c r="FK268" s="694"/>
      <c r="FL268" s="694"/>
      <c r="FM268" s="694"/>
      <c r="FN268" s="694"/>
      <c r="FO268" s="694"/>
      <c r="FP268" s="694"/>
      <c r="FQ268" s="697"/>
    </row>
    <row r="269" spans="1:177" s="696" customFormat="1">
      <c r="A269" s="690"/>
      <c r="B269" s="690"/>
      <c r="C269" s="691"/>
      <c r="D269" s="691" t="s">
        <v>3709</v>
      </c>
      <c r="E269" s="692">
        <v>42.7</v>
      </c>
      <c r="F269" s="692"/>
      <c r="G269" s="692"/>
      <c r="H269" s="692"/>
      <c r="I269" s="692"/>
      <c r="J269" s="692"/>
      <c r="K269" s="692"/>
      <c r="L269" s="692"/>
      <c r="M269" s="692"/>
      <c r="N269" s="692"/>
      <c r="O269" s="692"/>
      <c r="P269" s="692">
        <f t="shared" si="87"/>
        <v>42.7</v>
      </c>
      <c r="Q269" s="692"/>
      <c r="R269" s="693"/>
      <c r="S269" s="693"/>
      <c r="T269" s="692"/>
      <c r="U269" s="692" t="s">
        <v>3718</v>
      </c>
      <c r="V269" s="692"/>
      <c r="W269" s="692"/>
      <c r="X269" s="692"/>
      <c r="Y269" s="692"/>
      <c r="Z269" s="692"/>
      <c r="AA269" s="692"/>
      <c r="AB269" s="692"/>
      <c r="AC269" s="692"/>
      <c r="AD269" s="692"/>
      <c r="AE269" s="725"/>
      <c r="AF269" s="957"/>
      <c r="AG269" s="692"/>
      <c r="AH269" s="692"/>
      <c r="AI269" s="692"/>
      <c r="AJ269" s="692"/>
      <c r="AK269" s="692"/>
      <c r="AL269" s="692"/>
      <c r="AM269" s="692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>
        <v>1</v>
      </c>
      <c r="AX269" s="692"/>
      <c r="AY269" s="692"/>
      <c r="AZ269" s="692">
        <f t="shared" si="88"/>
        <v>0</v>
      </c>
      <c r="BA269" s="692">
        <f t="shared" si="89"/>
        <v>2</v>
      </c>
      <c r="BB269" s="692"/>
      <c r="BC269" s="692"/>
      <c r="BD269" s="692"/>
      <c r="BE269" s="692">
        <v>3</v>
      </c>
      <c r="BF269" s="692"/>
      <c r="BG269" s="692"/>
      <c r="BH269" s="692"/>
      <c r="BI269" s="692">
        <f t="shared" si="90"/>
        <v>0</v>
      </c>
      <c r="BJ269" s="692">
        <f t="shared" si="91"/>
        <v>5</v>
      </c>
      <c r="BK269" s="692"/>
      <c r="BL269" s="692"/>
      <c r="BM269" s="692"/>
      <c r="BN269" s="692"/>
      <c r="BO269" s="692"/>
      <c r="BP269" s="692"/>
      <c r="BQ269" s="692">
        <f t="shared" si="92"/>
        <v>0</v>
      </c>
      <c r="BR269" s="692"/>
      <c r="BS269" s="692">
        <f t="shared" si="93"/>
        <v>0</v>
      </c>
      <c r="BT269" s="692">
        <f t="shared" si="94"/>
        <v>0</v>
      </c>
      <c r="BU269" s="692"/>
      <c r="BV269" s="692"/>
      <c r="BW269" s="692"/>
      <c r="BX269" s="692">
        <v>1</v>
      </c>
      <c r="BY269" s="692">
        <v>2</v>
      </c>
      <c r="BZ269" s="692"/>
      <c r="CA269" s="692"/>
      <c r="CB269" s="692">
        <v>1</v>
      </c>
      <c r="CC269" s="692"/>
      <c r="CD269" s="692">
        <f t="shared" si="95"/>
        <v>4</v>
      </c>
      <c r="CE269" s="692"/>
      <c r="CF269" s="692"/>
      <c r="CG269" s="692"/>
      <c r="CH269" s="692"/>
      <c r="CI269" s="692"/>
      <c r="CJ269" s="692"/>
      <c r="CK269" s="692"/>
      <c r="CL269" s="692"/>
      <c r="CM269" s="692"/>
      <c r="CN269" s="692">
        <v>8</v>
      </c>
      <c r="CO269" s="692"/>
      <c r="CP269" s="692"/>
      <c r="CQ269" s="692"/>
      <c r="CR269" s="692"/>
      <c r="CS269" s="692"/>
      <c r="CT269" s="692"/>
      <c r="CU269" s="692"/>
      <c r="CV269" s="692"/>
      <c r="CW269" s="692"/>
      <c r="CX269" s="694"/>
      <c r="CY269" s="694"/>
      <c r="CZ269" s="694"/>
      <c r="DA269" s="694"/>
      <c r="DB269" s="694"/>
      <c r="DC269" s="694"/>
      <c r="DD269" s="694"/>
      <c r="DE269" s="694"/>
      <c r="DF269" s="694"/>
      <c r="DG269" s="695"/>
      <c r="DH269" s="695"/>
      <c r="DI269" s="695"/>
      <c r="DJ269" s="695"/>
      <c r="DK269" s="695"/>
      <c r="DL269" s="695"/>
      <c r="DM269" s="695"/>
      <c r="DN269" s="695"/>
      <c r="DO269" s="695"/>
      <c r="DP269" s="695"/>
      <c r="DQ269" s="695"/>
      <c r="DR269" s="695"/>
      <c r="DS269" s="694"/>
      <c r="DT269" s="694"/>
      <c r="DU269" s="694"/>
      <c r="DV269" s="694"/>
      <c r="DW269" s="694"/>
      <c r="DX269" s="694"/>
      <c r="DY269" s="694"/>
      <c r="DZ269" s="694"/>
      <c r="EA269" s="694"/>
      <c r="EB269" s="694"/>
      <c r="EC269" s="694"/>
      <c r="ED269" s="694"/>
      <c r="EE269" s="694"/>
      <c r="EF269" s="694"/>
      <c r="EG269" s="694"/>
      <c r="EH269" s="694"/>
      <c r="EI269" s="694"/>
      <c r="EJ269" s="694"/>
      <c r="EK269" s="694"/>
      <c r="EL269" s="694"/>
      <c r="EM269" s="694"/>
      <c r="EN269" s="694"/>
      <c r="EO269" s="694"/>
      <c r="EP269" s="694"/>
      <c r="EQ269" s="694"/>
      <c r="ER269" s="694"/>
      <c r="ES269" s="694"/>
      <c r="ET269" s="694"/>
      <c r="EU269" s="694"/>
      <c r="EV269" s="694"/>
      <c r="EW269" s="694"/>
      <c r="EX269" s="694"/>
      <c r="EY269" s="694"/>
      <c r="EZ269" s="694"/>
      <c r="FA269" s="694"/>
      <c r="FB269" s="694"/>
      <c r="FC269" s="694"/>
      <c r="FD269" s="694"/>
      <c r="FE269" s="694"/>
      <c r="FF269" s="694"/>
      <c r="FG269" s="694"/>
      <c r="FH269" s="694"/>
      <c r="FI269" s="694"/>
      <c r="FJ269" s="694"/>
      <c r="FK269" s="694"/>
      <c r="FL269" s="694"/>
      <c r="FM269" s="694"/>
      <c r="FN269" s="694"/>
      <c r="FO269" s="694"/>
      <c r="FP269" s="694"/>
      <c r="FQ269" s="697"/>
    </row>
    <row r="270" spans="1:177" s="696" customFormat="1">
      <c r="A270" s="690"/>
      <c r="B270" s="690"/>
      <c r="C270" s="691"/>
      <c r="D270" s="691" t="s">
        <v>3710</v>
      </c>
      <c r="E270" s="692">
        <v>42.4</v>
      </c>
      <c r="F270" s="692"/>
      <c r="G270" s="692"/>
      <c r="H270" s="692"/>
      <c r="I270" s="692"/>
      <c r="J270" s="692"/>
      <c r="K270" s="692"/>
      <c r="L270" s="692"/>
      <c r="M270" s="692"/>
      <c r="N270" s="692"/>
      <c r="O270" s="692"/>
      <c r="P270" s="692">
        <f t="shared" si="87"/>
        <v>42.4</v>
      </c>
      <c r="Q270" s="692"/>
      <c r="R270" s="693"/>
      <c r="S270" s="693"/>
      <c r="T270" s="692"/>
      <c r="U270" s="692" t="s">
        <v>3671</v>
      </c>
      <c r="V270" s="692"/>
      <c r="W270" s="692"/>
      <c r="X270" s="692"/>
      <c r="Y270" s="692"/>
      <c r="Z270" s="692"/>
      <c r="AA270" s="692"/>
      <c r="AB270" s="692"/>
      <c r="AC270" s="692"/>
      <c r="AD270" s="692"/>
      <c r="AE270" s="725"/>
      <c r="AF270" s="957"/>
      <c r="AG270" s="692"/>
      <c r="AH270" s="692"/>
      <c r="AI270" s="692"/>
      <c r="AJ270" s="692"/>
      <c r="AK270" s="692"/>
      <c r="AL270" s="692"/>
      <c r="AM270" s="692"/>
      <c r="AN270" s="692"/>
      <c r="AO270" s="692"/>
      <c r="AP270" s="692"/>
      <c r="AQ270" s="692"/>
      <c r="AR270" s="692"/>
      <c r="AS270" s="692"/>
      <c r="AT270" s="692"/>
      <c r="AU270" s="692"/>
      <c r="AV270" s="692"/>
      <c r="AW270" s="692"/>
      <c r="AX270" s="692"/>
      <c r="AY270" s="692"/>
      <c r="AZ270" s="692">
        <f t="shared" si="88"/>
        <v>0</v>
      </c>
      <c r="BA270" s="692">
        <f t="shared" si="89"/>
        <v>0</v>
      </c>
      <c r="BB270" s="692"/>
      <c r="BC270" s="692"/>
      <c r="BD270" s="692"/>
      <c r="BE270" s="692">
        <v>2</v>
      </c>
      <c r="BF270" s="692"/>
      <c r="BG270" s="692"/>
      <c r="BH270" s="692"/>
      <c r="BI270" s="692">
        <f t="shared" si="90"/>
        <v>0</v>
      </c>
      <c r="BJ270" s="692">
        <f t="shared" si="91"/>
        <v>0</v>
      </c>
      <c r="BK270" s="692"/>
      <c r="BL270" s="692"/>
      <c r="BM270" s="692"/>
      <c r="BN270" s="692"/>
      <c r="BO270" s="692"/>
      <c r="BP270" s="692"/>
      <c r="BQ270" s="692">
        <f t="shared" si="92"/>
        <v>0</v>
      </c>
      <c r="BR270" s="692"/>
      <c r="BS270" s="692">
        <f t="shared" si="93"/>
        <v>0</v>
      </c>
      <c r="BT270" s="692">
        <f t="shared" si="94"/>
        <v>0</v>
      </c>
      <c r="BU270" s="692"/>
      <c r="BV270" s="692"/>
      <c r="BW270" s="692"/>
      <c r="BX270" s="692"/>
      <c r="BY270" s="692">
        <v>2</v>
      </c>
      <c r="BZ270" s="692"/>
      <c r="CA270" s="692"/>
      <c r="CB270" s="692"/>
      <c r="CC270" s="692"/>
      <c r="CD270" s="692">
        <f t="shared" si="95"/>
        <v>0</v>
      </c>
      <c r="CE270" s="692"/>
      <c r="CF270" s="692">
        <v>6</v>
      </c>
      <c r="CG270" s="692"/>
      <c r="CH270" s="692">
        <v>12</v>
      </c>
      <c r="CI270" s="692"/>
      <c r="CJ270" s="692">
        <v>12</v>
      </c>
      <c r="CK270" s="692"/>
      <c r="CL270" s="692"/>
      <c r="CM270" s="692"/>
      <c r="CN270" s="692">
        <v>8</v>
      </c>
      <c r="CO270" s="692">
        <v>12</v>
      </c>
      <c r="CP270" s="692"/>
      <c r="CQ270" s="692"/>
      <c r="CR270" s="692"/>
      <c r="CS270" s="692"/>
      <c r="CT270" s="692"/>
      <c r="CU270" s="692"/>
      <c r="CV270" s="692">
        <v>2</v>
      </c>
      <c r="CW270" s="692"/>
      <c r="CX270" s="694"/>
      <c r="CY270" s="694"/>
      <c r="CZ270" s="694"/>
      <c r="DA270" s="694"/>
      <c r="DB270" s="694"/>
      <c r="DC270" s="694"/>
      <c r="DD270" s="694"/>
      <c r="DE270" s="694"/>
      <c r="DF270" s="694"/>
      <c r="DG270" s="695"/>
      <c r="DH270" s="695"/>
      <c r="DI270" s="695"/>
      <c r="DJ270" s="695"/>
      <c r="DK270" s="695"/>
      <c r="DL270" s="695"/>
      <c r="DM270" s="695"/>
      <c r="DN270" s="695"/>
      <c r="DO270" s="695"/>
      <c r="DP270" s="695"/>
      <c r="DQ270" s="695"/>
      <c r="DR270" s="695"/>
      <c r="DS270" s="694"/>
      <c r="DT270" s="694"/>
      <c r="DU270" s="694"/>
      <c r="DV270" s="694"/>
      <c r="DW270" s="694"/>
      <c r="DX270" s="694"/>
      <c r="DY270" s="694"/>
      <c r="DZ270" s="694"/>
      <c r="EA270" s="694"/>
      <c r="EB270" s="694"/>
      <c r="EC270" s="694"/>
      <c r="ED270" s="694"/>
      <c r="EE270" s="694"/>
      <c r="EF270" s="694"/>
      <c r="EG270" s="694"/>
      <c r="EH270" s="694"/>
      <c r="EI270" s="694"/>
      <c r="EJ270" s="694"/>
      <c r="EK270" s="694"/>
      <c r="EL270" s="694"/>
      <c r="EM270" s="694"/>
      <c r="EN270" s="694"/>
      <c r="EO270" s="694"/>
      <c r="EP270" s="694"/>
      <c r="EQ270" s="694"/>
      <c r="ER270" s="694"/>
      <c r="ES270" s="694"/>
      <c r="ET270" s="694"/>
      <c r="EU270" s="694"/>
      <c r="EV270" s="694"/>
      <c r="EW270" s="694"/>
      <c r="EX270" s="694"/>
      <c r="EY270" s="694"/>
      <c r="EZ270" s="694"/>
      <c r="FA270" s="694"/>
      <c r="FB270" s="694"/>
      <c r="FC270" s="694"/>
      <c r="FD270" s="694"/>
      <c r="FE270" s="694"/>
      <c r="FF270" s="694"/>
      <c r="FG270" s="694"/>
      <c r="FH270" s="694"/>
      <c r="FI270" s="694"/>
      <c r="FJ270" s="694"/>
      <c r="FK270" s="694"/>
      <c r="FL270" s="694"/>
      <c r="FM270" s="694"/>
      <c r="FN270" s="694"/>
      <c r="FO270" s="694"/>
      <c r="FP270" s="694"/>
      <c r="FQ270" s="697"/>
    </row>
    <row r="271" spans="1:177" s="696" customFormat="1">
      <c r="A271" s="690"/>
      <c r="B271" s="690"/>
      <c r="C271" s="691" t="s">
        <v>3711</v>
      </c>
      <c r="D271" s="691"/>
      <c r="E271" s="692">
        <v>36.200000000000003</v>
      </c>
      <c r="F271" s="692"/>
      <c r="G271" s="692"/>
      <c r="H271" s="692"/>
      <c r="I271" s="692"/>
      <c r="J271" s="692"/>
      <c r="K271" s="692"/>
      <c r="L271" s="692"/>
      <c r="M271" s="692"/>
      <c r="N271" s="692"/>
      <c r="O271" s="692"/>
      <c r="P271" s="692">
        <f t="shared" si="87"/>
        <v>36.200000000000003</v>
      </c>
      <c r="Q271" s="692"/>
      <c r="R271" s="693"/>
      <c r="S271" s="693"/>
      <c r="T271" s="692"/>
      <c r="U271" s="692" t="s">
        <v>1631</v>
      </c>
      <c r="V271" s="692"/>
      <c r="W271" s="692"/>
      <c r="X271" s="692"/>
      <c r="Y271" s="692"/>
      <c r="Z271" s="692"/>
      <c r="AA271" s="692"/>
      <c r="AB271" s="692"/>
      <c r="AC271" s="692"/>
      <c r="AD271" s="692"/>
      <c r="AE271" s="725"/>
      <c r="AF271" s="957"/>
      <c r="AG271" s="692"/>
      <c r="AH271" s="692"/>
      <c r="AI271" s="692"/>
      <c r="AJ271" s="692"/>
      <c r="AK271" s="692"/>
      <c r="AL271" s="692"/>
      <c r="AM271" s="692"/>
      <c r="AN271" s="692"/>
      <c r="AO271" s="692"/>
      <c r="AP271" s="692"/>
      <c r="AQ271" s="692"/>
      <c r="AR271" s="692"/>
      <c r="AS271" s="692"/>
      <c r="AT271" s="692"/>
      <c r="AU271" s="692"/>
      <c r="AV271" s="692"/>
      <c r="AW271" s="692">
        <v>1</v>
      </c>
      <c r="AX271" s="692"/>
      <c r="AY271" s="692"/>
      <c r="AZ271" s="692">
        <f t="shared" si="88"/>
        <v>2</v>
      </c>
      <c r="BA271" s="692">
        <f t="shared" si="89"/>
        <v>0</v>
      </c>
      <c r="BB271" s="692"/>
      <c r="BC271" s="692"/>
      <c r="BD271" s="692">
        <v>1</v>
      </c>
      <c r="BE271" s="692"/>
      <c r="BF271" s="692"/>
      <c r="BG271" s="692"/>
      <c r="BH271" s="692"/>
      <c r="BI271" s="692">
        <f t="shared" si="90"/>
        <v>0</v>
      </c>
      <c r="BJ271" s="692">
        <f t="shared" si="91"/>
        <v>5</v>
      </c>
      <c r="BK271" s="692"/>
      <c r="BL271" s="692"/>
      <c r="BM271" s="692"/>
      <c r="BN271" s="692"/>
      <c r="BO271" s="692"/>
      <c r="BP271" s="692"/>
      <c r="BQ271" s="692">
        <f t="shared" si="92"/>
        <v>0</v>
      </c>
      <c r="BR271" s="692"/>
      <c r="BS271" s="692">
        <f t="shared" si="93"/>
        <v>0</v>
      </c>
      <c r="BT271" s="692">
        <f t="shared" si="94"/>
        <v>1</v>
      </c>
      <c r="BU271" s="692"/>
      <c r="BV271" s="692"/>
      <c r="BW271" s="692"/>
      <c r="BX271" s="692"/>
      <c r="BY271" s="692"/>
      <c r="BZ271" s="692"/>
      <c r="CA271" s="692"/>
      <c r="CB271" s="692">
        <v>1</v>
      </c>
      <c r="CC271" s="692"/>
      <c r="CD271" s="692">
        <f t="shared" si="95"/>
        <v>4</v>
      </c>
      <c r="CE271" s="692"/>
      <c r="CF271" s="692"/>
      <c r="CG271" s="692"/>
      <c r="CH271" s="692"/>
      <c r="CI271" s="692"/>
      <c r="CJ271" s="692"/>
      <c r="CK271" s="692"/>
      <c r="CL271" s="692"/>
      <c r="CM271" s="692"/>
      <c r="CN271" s="692"/>
      <c r="CO271" s="692"/>
      <c r="CP271" s="692"/>
      <c r="CQ271" s="692"/>
      <c r="CR271" s="692"/>
      <c r="CS271" s="692"/>
      <c r="CT271" s="692"/>
      <c r="CU271" s="692"/>
      <c r="CV271" s="692"/>
      <c r="CW271" s="692"/>
      <c r="CX271" s="694"/>
      <c r="CY271" s="694"/>
      <c r="CZ271" s="694"/>
      <c r="DA271" s="694"/>
      <c r="DB271" s="694"/>
      <c r="DC271" s="694"/>
      <c r="DD271" s="694"/>
      <c r="DE271" s="694"/>
      <c r="DF271" s="694"/>
      <c r="DG271" s="695"/>
      <c r="DH271" s="695"/>
      <c r="DI271" s="695"/>
      <c r="DJ271" s="695"/>
      <c r="DK271" s="695"/>
      <c r="DL271" s="695"/>
      <c r="DM271" s="695"/>
      <c r="DN271" s="695"/>
      <c r="DO271" s="695"/>
      <c r="DP271" s="695"/>
      <c r="DQ271" s="695"/>
      <c r="DR271" s="695"/>
      <c r="DS271" s="694"/>
      <c r="DT271" s="694"/>
      <c r="DU271" s="694"/>
      <c r="DV271" s="694"/>
      <c r="DW271" s="694"/>
      <c r="DX271" s="694"/>
      <c r="DY271" s="694"/>
      <c r="DZ271" s="694"/>
      <c r="EA271" s="694"/>
      <c r="EB271" s="694"/>
      <c r="EC271" s="694"/>
      <c r="ED271" s="694"/>
      <c r="EE271" s="694"/>
      <c r="EF271" s="694"/>
      <c r="EG271" s="694"/>
      <c r="EH271" s="694"/>
      <c r="EI271" s="694"/>
      <c r="EJ271" s="694"/>
      <c r="EK271" s="694"/>
      <c r="EL271" s="694"/>
      <c r="EM271" s="694"/>
      <c r="EN271" s="694"/>
      <c r="EO271" s="694"/>
      <c r="EP271" s="694"/>
      <c r="EQ271" s="694"/>
      <c r="ER271" s="694"/>
      <c r="ES271" s="694"/>
      <c r="ET271" s="694"/>
      <c r="EU271" s="694"/>
      <c r="EV271" s="694"/>
      <c r="EW271" s="694"/>
      <c r="EX271" s="694"/>
      <c r="EY271" s="694"/>
      <c r="EZ271" s="694"/>
      <c r="FA271" s="694"/>
      <c r="FB271" s="694"/>
      <c r="FC271" s="694"/>
      <c r="FD271" s="694"/>
      <c r="FE271" s="694"/>
      <c r="FF271" s="694"/>
      <c r="FG271" s="694"/>
      <c r="FH271" s="694"/>
      <c r="FI271" s="694"/>
      <c r="FJ271" s="694"/>
      <c r="FK271" s="694"/>
      <c r="FL271" s="694"/>
      <c r="FM271" s="694"/>
      <c r="FN271" s="694"/>
      <c r="FO271" s="694"/>
      <c r="FP271" s="694"/>
      <c r="FQ271" s="697"/>
    </row>
    <row r="272" spans="1:177" s="696" customFormat="1">
      <c r="A272" s="690"/>
      <c r="B272" s="690"/>
      <c r="C272" s="691"/>
      <c r="D272" s="691" t="s">
        <v>3712</v>
      </c>
      <c r="E272" s="692">
        <v>17.399999999999999</v>
      </c>
      <c r="F272" s="692"/>
      <c r="G272" s="692"/>
      <c r="H272" s="692"/>
      <c r="I272" s="692"/>
      <c r="J272" s="692"/>
      <c r="K272" s="692"/>
      <c r="L272" s="692"/>
      <c r="M272" s="692"/>
      <c r="N272" s="692"/>
      <c r="O272" s="692"/>
      <c r="P272" s="692">
        <f t="shared" si="87"/>
        <v>17.399999999999999</v>
      </c>
      <c r="Q272" s="692"/>
      <c r="R272" s="693"/>
      <c r="S272" s="693"/>
      <c r="T272" s="692"/>
      <c r="U272" s="692" t="s">
        <v>3718</v>
      </c>
      <c r="V272" s="692"/>
      <c r="W272" s="692"/>
      <c r="X272" s="692"/>
      <c r="Y272" s="692"/>
      <c r="Z272" s="692"/>
      <c r="AA272" s="692"/>
      <c r="AB272" s="692"/>
      <c r="AC272" s="692"/>
      <c r="AD272" s="692"/>
      <c r="AE272" s="725"/>
      <c r="AF272" s="957"/>
      <c r="AG272" s="692"/>
      <c r="AH272" s="692"/>
      <c r="AI272" s="692"/>
      <c r="AJ272" s="692"/>
      <c r="AK272" s="692"/>
      <c r="AL272" s="692"/>
      <c r="AM272" s="692"/>
      <c r="AN272" s="692"/>
      <c r="AO272" s="692"/>
      <c r="AP272" s="692"/>
      <c r="AQ272" s="692"/>
      <c r="AR272" s="692"/>
      <c r="AS272" s="692"/>
      <c r="AT272" s="692"/>
      <c r="AU272" s="692"/>
      <c r="AV272" s="692"/>
      <c r="AW272" s="692">
        <v>1</v>
      </c>
      <c r="AX272" s="692"/>
      <c r="AY272" s="692"/>
      <c r="AZ272" s="692">
        <f t="shared" si="88"/>
        <v>0</v>
      </c>
      <c r="BA272" s="692">
        <f t="shared" si="89"/>
        <v>2</v>
      </c>
      <c r="BB272" s="692"/>
      <c r="BC272" s="692"/>
      <c r="BD272" s="692"/>
      <c r="BE272" s="692">
        <v>3</v>
      </c>
      <c r="BF272" s="692"/>
      <c r="BG272" s="692"/>
      <c r="BH272" s="692"/>
      <c r="BI272" s="692">
        <f t="shared" si="90"/>
        <v>0</v>
      </c>
      <c r="BJ272" s="692">
        <f t="shared" si="91"/>
        <v>5</v>
      </c>
      <c r="BK272" s="692"/>
      <c r="BL272" s="692"/>
      <c r="BM272" s="692"/>
      <c r="BN272" s="692"/>
      <c r="BO272" s="692"/>
      <c r="BP272" s="692"/>
      <c r="BQ272" s="692">
        <f t="shared" si="92"/>
        <v>0</v>
      </c>
      <c r="BR272" s="692"/>
      <c r="BS272" s="692">
        <f t="shared" si="93"/>
        <v>0</v>
      </c>
      <c r="BT272" s="692">
        <f t="shared" si="94"/>
        <v>0</v>
      </c>
      <c r="BU272" s="692"/>
      <c r="BV272" s="692"/>
      <c r="BW272" s="692"/>
      <c r="BX272" s="692">
        <v>1</v>
      </c>
      <c r="BY272" s="692">
        <v>2</v>
      </c>
      <c r="BZ272" s="692"/>
      <c r="CA272" s="692"/>
      <c r="CB272" s="692">
        <v>1</v>
      </c>
      <c r="CC272" s="692"/>
      <c r="CD272" s="692">
        <f t="shared" si="95"/>
        <v>4</v>
      </c>
      <c r="CE272" s="692"/>
      <c r="CF272" s="692"/>
      <c r="CG272" s="692"/>
      <c r="CH272" s="692"/>
      <c r="CI272" s="692"/>
      <c r="CJ272" s="692"/>
      <c r="CK272" s="692"/>
      <c r="CL272" s="692"/>
      <c r="CM272" s="692"/>
      <c r="CN272" s="692">
        <v>8</v>
      </c>
      <c r="CO272" s="692"/>
      <c r="CP272" s="692"/>
      <c r="CQ272" s="692"/>
      <c r="CR272" s="692"/>
      <c r="CS272" s="692"/>
      <c r="CT272" s="692"/>
      <c r="CU272" s="692"/>
      <c r="CV272" s="692"/>
      <c r="CW272" s="692"/>
      <c r="CX272" s="694"/>
      <c r="CY272" s="694"/>
      <c r="CZ272" s="694"/>
      <c r="DA272" s="694"/>
      <c r="DB272" s="694"/>
      <c r="DC272" s="694"/>
      <c r="DD272" s="694"/>
      <c r="DE272" s="694"/>
      <c r="DF272" s="694"/>
      <c r="DG272" s="695"/>
      <c r="DH272" s="695"/>
      <c r="DI272" s="695"/>
      <c r="DJ272" s="695"/>
      <c r="DK272" s="695"/>
      <c r="DL272" s="695"/>
      <c r="DM272" s="695"/>
      <c r="DN272" s="695"/>
      <c r="DO272" s="695"/>
      <c r="DP272" s="695"/>
      <c r="DQ272" s="695"/>
      <c r="DR272" s="695"/>
      <c r="DS272" s="694"/>
      <c r="DT272" s="694"/>
      <c r="DU272" s="694"/>
      <c r="DV272" s="694"/>
      <c r="DW272" s="694"/>
      <c r="DX272" s="694"/>
      <c r="DY272" s="694"/>
      <c r="DZ272" s="694"/>
      <c r="EA272" s="694"/>
      <c r="EB272" s="694"/>
      <c r="EC272" s="694"/>
      <c r="ED272" s="694"/>
      <c r="EE272" s="694"/>
      <c r="EF272" s="694"/>
      <c r="EG272" s="694"/>
      <c r="EH272" s="694"/>
      <c r="EI272" s="694"/>
      <c r="EJ272" s="694"/>
      <c r="EK272" s="694"/>
      <c r="EL272" s="694"/>
      <c r="EM272" s="694"/>
      <c r="EN272" s="694"/>
      <c r="EO272" s="694"/>
      <c r="EP272" s="694"/>
      <c r="EQ272" s="694"/>
      <c r="ER272" s="694"/>
      <c r="ES272" s="694"/>
      <c r="ET272" s="694"/>
      <c r="EU272" s="694"/>
      <c r="EV272" s="694"/>
      <c r="EW272" s="694"/>
      <c r="EX272" s="694"/>
      <c r="EY272" s="694"/>
      <c r="EZ272" s="694"/>
      <c r="FA272" s="694"/>
      <c r="FB272" s="694"/>
      <c r="FC272" s="694"/>
      <c r="FD272" s="694"/>
      <c r="FE272" s="694"/>
      <c r="FF272" s="694"/>
      <c r="FG272" s="694"/>
      <c r="FH272" s="694"/>
      <c r="FI272" s="694"/>
      <c r="FJ272" s="694"/>
      <c r="FK272" s="694"/>
      <c r="FL272" s="694"/>
      <c r="FM272" s="694"/>
      <c r="FN272" s="694"/>
      <c r="FO272" s="694"/>
      <c r="FP272" s="694"/>
      <c r="FQ272" s="697"/>
    </row>
    <row r="273" spans="1:173" s="696" customFormat="1">
      <c r="A273" s="690"/>
      <c r="B273" s="690"/>
      <c r="C273" s="691"/>
      <c r="D273" s="691" t="s">
        <v>3816</v>
      </c>
      <c r="E273" s="692">
        <v>30.5</v>
      </c>
      <c r="F273" s="692"/>
      <c r="G273" s="692"/>
      <c r="H273" s="692"/>
      <c r="I273" s="692"/>
      <c r="J273" s="692"/>
      <c r="K273" s="692"/>
      <c r="L273" s="692"/>
      <c r="M273" s="692"/>
      <c r="N273" s="692"/>
      <c r="O273" s="692"/>
      <c r="P273" s="692">
        <f t="shared" si="87"/>
        <v>30.5</v>
      </c>
      <c r="Q273" s="692"/>
      <c r="R273" s="693"/>
      <c r="S273" s="693"/>
      <c r="T273" s="692"/>
      <c r="U273" s="692" t="s">
        <v>1631</v>
      </c>
      <c r="V273" s="692"/>
      <c r="W273" s="692"/>
      <c r="X273" s="692"/>
      <c r="Y273" s="692"/>
      <c r="Z273" s="692"/>
      <c r="AA273" s="692"/>
      <c r="AB273" s="692"/>
      <c r="AC273" s="692"/>
      <c r="AD273" s="692"/>
      <c r="AE273" s="725"/>
      <c r="AF273" s="957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>
        <v>1</v>
      </c>
      <c r="AV273" s="692"/>
      <c r="AW273" s="692">
        <v>1</v>
      </c>
      <c r="AX273" s="692"/>
      <c r="AY273" s="692"/>
      <c r="AZ273" s="692">
        <f t="shared" si="88"/>
        <v>0</v>
      </c>
      <c r="BA273" s="692">
        <f t="shared" si="89"/>
        <v>2</v>
      </c>
      <c r="BB273" s="692"/>
      <c r="BC273" s="692"/>
      <c r="BD273" s="692"/>
      <c r="BE273" s="692">
        <v>1</v>
      </c>
      <c r="BF273" s="692"/>
      <c r="BG273" s="692"/>
      <c r="BH273" s="692"/>
      <c r="BI273" s="692">
        <f t="shared" si="90"/>
        <v>0</v>
      </c>
      <c r="BJ273" s="692">
        <f t="shared" si="91"/>
        <v>7</v>
      </c>
      <c r="BK273" s="692"/>
      <c r="BL273" s="692"/>
      <c r="BM273" s="692"/>
      <c r="BN273" s="692"/>
      <c r="BO273" s="692"/>
      <c r="BP273" s="692"/>
      <c r="BQ273" s="692">
        <f t="shared" si="92"/>
        <v>0</v>
      </c>
      <c r="BR273" s="692"/>
      <c r="BS273" s="692">
        <f t="shared" si="93"/>
        <v>0</v>
      </c>
      <c r="BT273" s="692">
        <f t="shared" si="94"/>
        <v>1</v>
      </c>
      <c r="BU273" s="692"/>
      <c r="BV273" s="692"/>
      <c r="BW273" s="692"/>
      <c r="BX273" s="692"/>
      <c r="BY273" s="692"/>
      <c r="BZ273" s="692"/>
      <c r="CA273" s="692"/>
      <c r="CB273" s="692">
        <v>1</v>
      </c>
      <c r="CC273" s="692"/>
      <c r="CD273" s="692">
        <f t="shared" si="95"/>
        <v>4</v>
      </c>
      <c r="CE273" s="692"/>
      <c r="CF273" s="692"/>
      <c r="CG273" s="692"/>
      <c r="CH273" s="692"/>
      <c r="CI273" s="692"/>
      <c r="CJ273" s="692"/>
      <c r="CK273" s="692"/>
      <c r="CL273" s="692"/>
      <c r="CM273" s="692"/>
      <c r="CN273" s="692"/>
      <c r="CO273" s="692"/>
      <c r="CP273" s="692"/>
      <c r="CQ273" s="692"/>
      <c r="CR273" s="692"/>
      <c r="CS273" s="692"/>
      <c r="CT273" s="692"/>
      <c r="CU273" s="692"/>
      <c r="CV273" s="692"/>
      <c r="CW273" s="692"/>
      <c r="CX273" s="694"/>
      <c r="CY273" s="694"/>
      <c r="CZ273" s="694"/>
      <c r="DA273" s="694"/>
      <c r="DB273" s="694"/>
      <c r="DC273" s="694"/>
      <c r="DD273" s="694"/>
      <c r="DE273" s="694"/>
      <c r="DF273" s="694"/>
      <c r="DG273" s="695"/>
      <c r="DH273" s="695"/>
      <c r="DI273" s="695"/>
      <c r="DJ273" s="695"/>
      <c r="DK273" s="695"/>
      <c r="DL273" s="695"/>
      <c r="DM273" s="695"/>
      <c r="DN273" s="695"/>
      <c r="DO273" s="695"/>
      <c r="DP273" s="695"/>
      <c r="DQ273" s="695"/>
      <c r="DR273" s="695"/>
      <c r="DS273" s="694"/>
      <c r="DT273" s="694"/>
      <c r="DU273" s="694"/>
      <c r="DV273" s="694"/>
      <c r="DW273" s="694"/>
      <c r="DX273" s="694"/>
      <c r="DY273" s="694"/>
      <c r="DZ273" s="694"/>
      <c r="EA273" s="694"/>
      <c r="EB273" s="694"/>
      <c r="EC273" s="694"/>
      <c r="ED273" s="694"/>
      <c r="EE273" s="694"/>
      <c r="EF273" s="694"/>
      <c r="EG273" s="694"/>
      <c r="EH273" s="694"/>
      <c r="EI273" s="694"/>
      <c r="EJ273" s="694"/>
      <c r="EK273" s="694"/>
      <c r="EL273" s="694"/>
      <c r="EM273" s="694"/>
      <c r="EN273" s="694"/>
      <c r="EO273" s="694"/>
      <c r="EP273" s="694"/>
      <c r="EQ273" s="694"/>
      <c r="ER273" s="694"/>
      <c r="ES273" s="694"/>
      <c r="ET273" s="694"/>
      <c r="EU273" s="694"/>
      <c r="EV273" s="694"/>
      <c r="EW273" s="694"/>
      <c r="EX273" s="694"/>
      <c r="EY273" s="694"/>
      <c r="EZ273" s="694"/>
      <c r="FA273" s="694"/>
      <c r="FB273" s="694"/>
      <c r="FC273" s="694"/>
      <c r="FD273" s="694"/>
      <c r="FE273" s="694"/>
      <c r="FF273" s="694"/>
      <c r="FG273" s="694"/>
      <c r="FH273" s="694"/>
      <c r="FI273" s="694"/>
      <c r="FJ273" s="694"/>
      <c r="FK273" s="694"/>
      <c r="FL273" s="694"/>
      <c r="FM273" s="694"/>
      <c r="FN273" s="694"/>
      <c r="FO273" s="694"/>
      <c r="FP273" s="694"/>
      <c r="FQ273" s="697"/>
    </row>
    <row r="274" spans="1:173" s="696" customFormat="1">
      <c r="A274" s="690"/>
      <c r="B274" s="690"/>
      <c r="C274" s="691"/>
      <c r="D274" s="691" t="s">
        <v>3713</v>
      </c>
      <c r="E274" s="692">
        <v>30.5</v>
      </c>
      <c r="F274" s="692"/>
      <c r="G274" s="692"/>
      <c r="H274" s="692"/>
      <c r="I274" s="692"/>
      <c r="J274" s="692"/>
      <c r="K274" s="692"/>
      <c r="L274" s="692"/>
      <c r="M274" s="692"/>
      <c r="N274" s="692"/>
      <c r="O274" s="692"/>
      <c r="P274" s="692">
        <f t="shared" si="87"/>
        <v>30.5</v>
      </c>
      <c r="Q274" s="692"/>
      <c r="R274" s="693"/>
      <c r="S274" s="693"/>
      <c r="T274" s="692"/>
      <c r="U274" s="692" t="s">
        <v>1631</v>
      </c>
      <c r="V274" s="692"/>
      <c r="W274" s="692"/>
      <c r="X274" s="692"/>
      <c r="Y274" s="692"/>
      <c r="Z274" s="692"/>
      <c r="AA274" s="692"/>
      <c r="AB274" s="692"/>
      <c r="AC274" s="692"/>
      <c r="AD274" s="692"/>
      <c r="AE274" s="725"/>
      <c r="AF274" s="957"/>
      <c r="AG274" s="692"/>
      <c r="AH274" s="692"/>
      <c r="AI274" s="692"/>
      <c r="AJ274" s="692"/>
      <c r="AK274" s="692"/>
      <c r="AL274" s="692"/>
      <c r="AM274" s="692"/>
      <c r="AN274" s="692"/>
      <c r="AO274" s="692"/>
      <c r="AP274" s="692"/>
      <c r="AQ274" s="692"/>
      <c r="AR274" s="692"/>
      <c r="AS274" s="692"/>
      <c r="AT274" s="692"/>
      <c r="AU274" s="692"/>
      <c r="AV274" s="692"/>
      <c r="AW274" s="692">
        <v>1</v>
      </c>
      <c r="AX274" s="692"/>
      <c r="AY274" s="692"/>
      <c r="AZ274" s="692">
        <f t="shared" si="88"/>
        <v>0</v>
      </c>
      <c r="BA274" s="692">
        <f t="shared" si="89"/>
        <v>2</v>
      </c>
      <c r="BB274" s="692"/>
      <c r="BC274" s="692"/>
      <c r="BD274" s="692"/>
      <c r="BE274" s="692">
        <v>1</v>
      </c>
      <c r="BF274" s="692"/>
      <c r="BG274" s="692"/>
      <c r="BH274" s="692"/>
      <c r="BI274" s="692">
        <f t="shared" si="90"/>
        <v>0</v>
      </c>
      <c r="BJ274" s="692">
        <f t="shared" si="91"/>
        <v>5</v>
      </c>
      <c r="BK274" s="692"/>
      <c r="BL274" s="692"/>
      <c r="BM274" s="692"/>
      <c r="BN274" s="692"/>
      <c r="BO274" s="692"/>
      <c r="BP274" s="692"/>
      <c r="BQ274" s="692">
        <f t="shared" si="92"/>
        <v>0</v>
      </c>
      <c r="BR274" s="692"/>
      <c r="BS274" s="692">
        <f t="shared" si="93"/>
        <v>0</v>
      </c>
      <c r="BT274" s="692">
        <f t="shared" si="94"/>
        <v>1</v>
      </c>
      <c r="BU274" s="692"/>
      <c r="BV274" s="692"/>
      <c r="BW274" s="692"/>
      <c r="BX274" s="692"/>
      <c r="BY274" s="692"/>
      <c r="BZ274" s="692"/>
      <c r="CA274" s="692"/>
      <c r="CB274" s="692">
        <v>1</v>
      </c>
      <c r="CC274" s="692"/>
      <c r="CD274" s="692">
        <f t="shared" si="95"/>
        <v>4</v>
      </c>
      <c r="CE274" s="692"/>
      <c r="CF274" s="692"/>
      <c r="CG274" s="692"/>
      <c r="CH274" s="692"/>
      <c r="CI274" s="692"/>
      <c r="CJ274" s="692"/>
      <c r="CK274" s="692"/>
      <c r="CL274" s="692"/>
      <c r="CM274" s="692"/>
      <c r="CN274" s="692"/>
      <c r="CO274" s="692"/>
      <c r="CP274" s="692"/>
      <c r="CQ274" s="692"/>
      <c r="CR274" s="692"/>
      <c r="CS274" s="692"/>
      <c r="CT274" s="692"/>
      <c r="CU274" s="692"/>
      <c r="CV274" s="692"/>
      <c r="CW274" s="692"/>
      <c r="CX274" s="694"/>
      <c r="CY274" s="694"/>
      <c r="CZ274" s="694"/>
      <c r="DA274" s="694"/>
      <c r="DB274" s="694"/>
      <c r="DC274" s="694"/>
      <c r="DD274" s="694"/>
      <c r="DE274" s="694"/>
      <c r="DF274" s="694"/>
      <c r="DG274" s="695"/>
      <c r="DH274" s="695"/>
      <c r="DI274" s="695"/>
      <c r="DJ274" s="695"/>
      <c r="DK274" s="695"/>
      <c r="DL274" s="695"/>
      <c r="DM274" s="695"/>
      <c r="DN274" s="695"/>
      <c r="DO274" s="695"/>
      <c r="DP274" s="695"/>
      <c r="DQ274" s="695"/>
      <c r="DR274" s="695"/>
      <c r="DS274" s="694"/>
      <c r="DT274" s="694"/>
      <c r="DU274" s="694"/>
      <c r="DV274" s="694"/>
      <c r="DW274" s="694"/>
      <c r="DX274" s="694"/>
      <c r="DY274" s="694"/>
      <c r="DZ274" s="694"/>
      <c r="EA274" s="694"/>
      <c r="EB274" s="694"/>
      <c r="EC274" s="694"/>
      <c r="ED274" s="694"/>
      <c r="EE274" s="694"/>
      <c r="EF274" s="694"/>
      <c r="EG274" s="694"/>
      <c r="EH274" s="694"/>
      <c r="EI274" s="694"/>
      <c r="EJ274" s="694"/>
      <c r="EK274" s="694"/>
      <c r="EL274" s="694"/>
      <c r="EM274" s="694"/>
      <c r="EN274" s="694"/>
      <c r="EO274" s="694"/>
      <c r="EP274" s="694"/>
      <c r="EQ274" s="694"/>
      <c r="ER274" s="694"/>
      <c r="ES274" s="694"/>
      <c r="ET274" s="694"/>
      <c r="EU274" s="694"/>
      <c r="EV274" s="694"/>
      <c r="EW274" s="694"/>
      <c r="EX274" s="694"/>
      <c r="EY274" s="694"/>
      <c r="EZ274" s="694"/>
      <c r="FA274" s="694"/>
      <c r="FB274" s="694"/>
      <c r="FC274" s="694"/>
      <c r="FD274" s="694"/>
      <c r="FE274" s="694"/>
      <c r="FF274" s="694"/>
      <c r="FG274" s="694"/>
      <c r="FH274" s="694"/>
      <c r="FI274" s="694"/>
      <c r="FJ274" s="694"/>
      <c r="FK274" s="694"/>
      <c r="FL274" s="694"/>
      <c r="FM274" s="694"/>
      <c r="FN274" s="694"/>
      <c r="FO274" s="694"/>
      <c r="FP274" s="694"/>
      <c r="FQ274" s="697"/>
    </row>
    <row r="275" spans="1:173" s="696" customFormat="1">
      <c r="A275" s="690"/>
      <c r="B275" s="690"/>
      <c r="C275" s="691"/>
      <c r="D275" s="691" t="s">
        <v>3714</v>
      </c>
      <c r="E275" s="692">
        <v>40</v>
      </c>
      <c r="F275" s="692"/>
      <c r="G275" s="692"/>
      <c r="H275" s="692"/>
      <c r="I275" s="692"/>
      <c r="J275" s="692"/>
      <c r="K275" s="692"/>
      <c r="L275" s="692"/>
      <c r="M275" s="692"/>
      <c r="N275" s="692"/>
      <c r="O275" s="692"/>
      <c r="P275" s="692">
        <f t="shared" si="87"/>
        <v>40</v>
      </c>
      <c r="Q275" s="692"/>
      <c r="R275" s="693"/>
      <c r="S275" s="693"/>
      <c r="T275" s="692"/>
      <c r="U275" s="692" t="s">
        <v>3718</v>
      </c>
      <c r="V275" s="692"/>
      <c r="W275" s="692"/>
      <c r="X275" s="692"/>
      <c r="Y275" s="692"/>
      <c r="Z275" s="692"/>
      <c r="AA275" s="692"/>
      <c r="AB275" s="692"/>
      <c r="AC275" s="692"/>
      <c r="AD275" s="692"/>
      <c r="AE275" s="725"/>
      <c r="AF275" s="957"/>
      <c r="AG275" s="692"/>
      <c r="AH275" s="692"/>
      <c r="AI275" s="692"/>
      <c r="AJ275" s="692"/>
      <c r="AK275" s="692"/>
      <c r="AL275" s="692"/>
      <c r="AM275" s="692"/>
      <c r="AN275" s="692"/>
      <c r="AO275" s="692"/>
      <c r="AP275" s="692"/>
      <c r="AQ275" s="692"/>
      <c r="AR275" s="692"/>
      <c r="AS275" s="692"/>
      <c r="AT275" s="692"/>
      <c r="AU275" s="692"/>
      <c r="AV275" s="692"/>
      <c r="AW275" s="692">
        <v>1</v>
      </c>
      <c r="AX275" s="692"/>
      <c r="AY275" s="692"/>
      <c r="AZ275" s="692">
        <f t="shared" si="88"/>
        <v>0</v>
      </c>
      <c r="BA275" s="692">
        <f t="shared" si="89"/>
        <v>2</v>
      </c>
      <c r="BB275" s="692"/>
      <c r="BC275" s="692"/>
      <c r="BD275" s="692"/>
      <c r="BE275" s="692">
        <v>3</v>
      </c>
      <c r="BF275" s="692"/>
      <c r="BG275" s="692"/>
      <c r="BH275" s="692"/>
      <c r="BI275" s="692">
        <f t="shared" si="90"/>
        <v>0</v>
      </c>
      <c r="BJ275" s="692">
        <f t="shared" si="91"/>
        <v>5</v>
      </c>
      <c r="BK275" s="692"/>
      <c r="BL275" s="692"/>
      <c r="BM275" s="692"/>
      <c r="BN275" s="692"/>
      <c r="BO275" s="692"/>
      <c r="BP275" s="692"/>
      <c r="BQ275" s="692">
        <f t="shared" si="92"/>
        <v>0</v>
      </c>
      <c r="BR275" s="692"/>
      <c r="BS275" s="692">
        <f t="shared" si="93"/>
        <v>0</v>
      </c>
      <c r="BT275" s="692">
        <f t="shared" si="94"/>
        <v>0</v>
      </c>
      <c r="BU275" s="692"/>
      <c r="BV275" s="692"/>
      <c r="BW275" s="692"/>
      <c r="BX275" s="692">
        <v>1</v>
      </c>
      <c r="BY275" s="692">
        <v>2</v>
      </c>
      <c r="BZ275" s="692"/>
      <c r="CA275" s="692"/>
      <c r="CB275" s="692">
        <v>1</v>
      </c>
      <c r="CC275" s="692"/>
      <c r="CD275" s="692">
        <f t="shared" si="95"/>
        <v>4</v>
      </c>
      <c r="CE275" s="692"/>
      <c r="CF275" s="692"/>
      <c r="CG275" s="692"/>
      <c r="CH275" s="692"/>
      <c r="CI275" s="692"/>
      <c r="CJ275" s="692"/>
      <c r="CK275" s="692"/>
      <c r="CL275" s="692"/>
      <c r="CM275" s="692"/>
      <c r="CN275" s="692">
        <v>8</v>
      </c>
      <c r="CO275" s="692"/>
      <c r="CP275" s="692"/>
      <c r="CQ275" s="692"/>
      <c r="CR275" s="692"/>
      <c r="CS275" s="692"/>
      <c r="CT275" s="692"/>
      <c r="CU275" s="692"/>
      <c r="CV275" s="692"/>
      <c r="CW275" s="692"/>
      <c r="CX275" s="694"/>
      <c r="CY275" s="694"/>
      <c r="CZ275" s="694"/>
      <c r="DA275" s="694"/>
      <c r="DB275" s="694"/>
      <c r="DC275" s="694"/>
      <c r="DD275" s="694"/>
      <c r="DE275" s="694"/>
      <c r="DF275" s="694"/>
      <c r="DG275" s="695"/>
      <c r="DH275" s="695"/>
      <c r="DI275" s="695"/>
      <c r="DJ275" s="695"/>
      <c r="DK275" s="695"/>
      <c r="DL275" s="695"/>
      <c r="DM275" s="695"/>
      <c r="DN275" s="695"/>
      <c r="DO275" s="695"/>
      <c r="DP275" s="695"/>
      <c r="DQ275" s="695"/>
      <c r="DR275" s="695"/>
      <c r="DS275" s="694"/>
      <c r="DT275" s="694"/>
      <c r="DU275" s="694"/>
      <c r="DV275" s="694"/>
      <c r="DW275" s="694"/>
      <c r="DX275" s="694"/>
      <c r="DY275" s="694"/>
      <c r="DZ275" s="694"/>
      <c r="EA275" s="694"/>
      <c r="EB275" s="694"/>
      <c r="EC275" s="694"/>
      <c r="ED275" s="694"/>
      <c r="EE275" s="694"/>
      <c r="EF275" s="694"/>
      <c r="EG275" s="694"/>
      <c r="EH275" s="694"/>
      <c r="EI275" s="694"/>
      <c r="EJ275" s="694"/>
      <c r="EK275" s="694"/>
      <c r="EL275" s="694"/>
      <c r="EM275" s="694"/>
      <c r="EN275" s="694"/>
      <c r="EO275" s="694"/>
      <c r="EP275" s="694"/>
      <c r="EQ275" s="694"/>
      <c r="ER275" s="694"/>
      <c r="ES275" s="694"/>
      <c r="ET275" s="694"/>
      <c r="EU275" s="694"/>
      <c r="EV275" s="694"/>
      <c r="EW275" s="694"/>
      <c r="EX275" s="694"/>
      <c r="EY275" s="694"/>
      <c r="EZ275" s="694"/>
      <c r="FA275" s="694"/>
      <c r="FB275" s="694"/>
      <c r="FC275" s="694"/>
      <c r="FD275" s="694"/>
      <c r="FE275" s="694"/>
      <c r="FF275" s="694"/>
      <c r="FG275" s="694"/>
      <c r="FH275" s="694"/>
      <c r="FI275" s="694"/>
      <c r="FJ275" s="694"/>
      <c r="FK275" s="694"/>
      <c r="FL275" s="694"/>
      <c r="FM275" s="694"/>
      <c r="FN275" s="694"/>
      <c r="FO275" s="694"/>
      <c r="FP275" s="694"/>
      <c r="FQ275" s="697"/>
    </row>
    <row r="276" spans="1:173" s="696" customFormat="1">
      <c r="A276" s="690"/>
      <c r="B276" s="690"/>
      <c r="C276" s="691"/>
      <c r="D276" s="691" t="s">
        <v>3663</v>
      </c>
      <c r="E276" s="692">
        <v>53</v>
      </c>
      <c r="F276" s="692"/>
      <c r="G276" s="692"/>
      <c r="H276" s="692"/>
      <c r="I276" s="692"/>
      <c r="J276" s="692"/>
      <c r="K276" s="692"/>
      <c r="L276" s="692"/>
      <c r="M276" s="692"/>
      <c r="N276" s="692"/>
      <c r="O276" s="692"/>
      <c r="P276" s="692">
        <f t="shared" si="87"/>
        <v>53</v>
      </c>
      <c r="Q276" s="692"/>
      <c r="R276" s="693"/>
      <c r="S276" s="693"/>
      <c r="T276" s="692"/>
      <c r="U276" s="692" t="s">
        <v>2990</v>
      </c>
      <c r="V276" s="692"/>
      <c r="W276" s="692"/>
      <c r="X276" s="692"/>
      <c r="Y276" s="692"/>
      <c r="Z276" s="692"/>
      <c r="AA276" s="692"/>
      <c r="AB276" s="692"/>
      <c r="AC276" s="692"/>
      <c r="AD276" s="692"/>
      <c r="AE276" s="725"/>
      <c r="AF276" s="957"/>
      <c r="AG276" s="692"/>
      <c r="AH276" s="692"/>
      <c r="AI276" s="692"/>
      <c r="AJ276" s="692"/>
      <c r="AK276" s="692"/>
      <c r="AL276" s="692"/>
      <c r="AM276" s="692"/>
      <c r="AN276" s="692"/>
      <c r="AO276" s="692"/>
      <c r="AP276" s="692"/>
      <c r="AQ276" s="692"/>
      <c r="AR276" s="692"/>
      <c r="AS276" s="692"/>
      <c r="AT276" s="692"/>
      <c r="AU276" s="692"/>
      <c r="AV276" s="692"/>
      <c r="AW276" s="692"/>
      <c r="AX276" s="692"/>
      <c r="AY276" s="692"/>
      <c r="AZ276" s="692">
        <f t="shared" si="88"/>
        <v>0</v>
      </c>
      <c r="BA276" s="692">
        <f t="shared" si="89"/>
        <v>0</v>
      </c>
      <c r="BB276" s="692"/>
      <c r="BC276" s="692"/>
      <c r="BD276" s="692"/>
      <c r="BE276" s="692">
        <v>1</v>
      </c>
      <c r="BF276" s="692"/>
      <c r="BG276" s="692"/>
      <c r="BH276" s="692"/>
      <c r="BI276" s="692">
        <f t="shared" si="90"/>
        <v>0</v>
      </c>
      <c r="BJ276" s="692">
        <f t="shared" si="91"/>
        <v>0</v>
      </c>
      <c r="BK276" s="692"/>
      <c r="BL276" s="692"/>
      <c r="BM276" s="692"/>
      <c r="BN276" s="692"/>
      <c r="BO276" s="692"/>
      <c r="BP276" s="692"/>
      <c r="BQ276" s="692">
        <f t="shared" si="92"/>
        <v>0</v>
      </c>
      <c r="BR276" s="692"/>
      <c r="BS276" s="692">
        <f t="shared" si="93"/>
        <v>0</v>
      </c>
      <c r="BT276" s="692">
        <f t="shared" si="94"/>
        <v>0</v>
      </c>
      <c r="BU276" s="692"/>
      <c r="BV276" s="692"/>
      <c r="BW276" s="692"/>
      <c r="BX276" s="692"/>
      <c r="BY276" s="692"/>
      <c r="BZ276" s="692"/>
      <c r="CA276" s="692"/>
      <c r="CB276" s="692"/>
      <c r="CC276" s="692"/>
      <c r="CD276" s="692">
        <f t="shared" si="95"/>
        <v>0</v>
      </c>
      <c r="CE276" s="692"/>
      <c r="CF276" s="692"/>
      <c r="CG276" s="692"/>
      <c r="CH276" s="692"/>
      <c r="CI276" s="692"/>
      <c r="CJ276" s="692"/>
      <c r="CK276" s="692"/>
      <c r="CL276" s="692"/>
      <c r="CM276" s="692"/>
      <c r="CN276" s="692"/>
      <c r="CO276" s="692"/>
      <c r="CP276" s="692"/>
      <c r="CQ276" s="692"/>
      <c r="CR276" s="692"/>
      <c r="CS276" s="692"/>
      <c r="CT276" s="692"/>
      <c r="CU276" s="692"/>
      <c r="CV276" s="692"/>
      <c r="CW276" s="692"/>
      <c r="CX276" s="694"/>
      <c r="CY276" s="694"/>
      <c r="CZ276" s="694"/>
      <c r="DA276" s="694"/>
      <c r="DB276" s="694"/>
      <c r="DC276" s="694"/>
      <c r="DD276" s="694"/>
      <c r="DE276" s="694"/>
      <c r="DF276" s="694"/>
      <c r="DG276" s="695"/>
      <c r="DH276" s="695"/>
      <c r="DI276" s="695"/>
      <c r="DJ276" s="695"/>
      <c r="DK276" s="695"/>
      <c r="DL276" s="695"/>
      <c r="DM276" s="695"/>
      <c r="DN276" s="695"/>
      <c r="DO276" s="695"/>
      <c r="DP276" s="695"/>
      <c r="DQ276" s="695"/>
      <c r="DR276" s="695"/>
      <c r="DS276" s="694"/>
      <c r="DT276" s="694"/>
      <c r="DU276" s="694"/>
      <c r="DV276" s="694"/>
      <c r="DW276" s="694"/>
      <c r="DX276" s="694"/>
      <c r="DY276" s="694"/>
      <c r="DZ276" s="694"/>
      <c r="EA276" s="694"/>
      <c r="EB276" s="694"/>
      <c r="EC276" s="694"/>
      <c r="ED276" s="694"/>
      <c r="EE276" s="694"/>
      <c r="EF276" s="694"/>
      <c r="EG276" s="694"/>
      <c r="EH276" s="694"/>
      <c r="EI276" s="694"/>
      <c r="EJ276" s="694"/>
      <c r="EK276" s="694"/>
      <c r="EL276" s="694"/>
      <c r="EM276" s="694"/>
      <c r="EN276" s="694"/>
      <c r="EO276" s="694"/>
      <c r="EP276" s="694"/>
      <c r="EQ276" s="694"/>
      <c r="ER276" s="694"/>
      <c r="ES276" s="694"/>
      <c r="ET276" s="694"/>
      <c r="EU276" s="694"/>
      <c r="EV276" s="694"/>
      <c r="EW276" s="694"/>
      <c r="EX276" s="694"/>
      <c r="EY276" s="694"/>
      <c r="EZ276" s="694"/>
      <c r="FA276" s="694"/>
      <c r="FB276" s="694"/>
      <c r="FC276" s="694"/>
      <c r="FD276" s="694"/>
      <c r="FE276" s="694"/>
      <c r="FF276" s="694"/>
      <c r="FG276" s="694"/>
      <c r="FH276" s="694"/>
      <c r="FI276" s="694"/>
      <c r="FJ276" s="694"/>
      <c r="FK276" s="694"/>
      <c r="FL276" s="694"/>
      <c r="FM276" s="694"/>
      <c r="FN276" s="694"/>
      <c r="FO276" s="694"/>
      <c r="FP276" s="694"/>
      <c r="FQ276" s="697"/>
    </row>
    <row r="277" spans="1:173" s="696" customFormat="1">
      <c r="A277" s="690"/>
      <c r="B277" s="690"/>
      <c r="C277" s="691"/>
      <c r="D277" s="691"/>
      <c r="E277" s="692"/>
      <c r="F277" s="692"/>
      <c r="G277" s="692"/>
      <c r="H277" s="692"/>
      <c r="I277" s="692"/>
      <c r="J277" s="692"/>
      <c r="K277" s="692"/>
      <c r="L277" s="692"/>
      <c r="M277" s="692"/>
      <c r="N277" s="692"/>
      <c r="O277" s="692"/>
      <c r="P277" s="692"/>
      <c r="Q277" s="692"/>
      <c r="R277" s="693"/>
      <c r="S277" s="693"/>
      <c r="T277" s="692"/>
      <c r="U277" s="692"/>
      <c r="V277" s="692"/>
      <c r="W277" s="692"/>
      <c r="X277" s="692"/>
      <c r="Y277" s="692"/>
      <c r="Z277" s="692"/>
      <c r="AA277" s="692"/>
      <c r="AB277" s="692"/>
      <c r="AC277" s="692"/>
      <c r="AD277" s="692"/>
      <c r="AE277" s="725"/>
      <c r="AF277" s="957"/>
      <c r="AG277" s="692"/>
      <c r="AH277" s="692"/>
      <c r="AI277" s="692"/>
      <c r="AJ277" s="692"/>
      <c r="AK277" s="692"/>
      <c r="AL277" s="692"/>
      <c r="AM277" s="692"/>
      <c r="AN277" s="692"/>
      <c r="AO277" s="692"/>
      <c r="AP277" s="692"/>
      <c r="AQ277" s="692"/>
      <c r="AR277" s="692"/>
      <c r="AS277" s="692"/>
      <c r="AT277" s="692"/>
      <c r="AU277" s="692"/>
      <c r="AV277" s="692"/>
      <c r="AW277" s="692"/>
      <c r="AX277" s="692"/>
      <c r="AY277" s="692"/>
      <c r="AZ277" s="692">
        <f t="shared" si="88"/>
        <v>0</v>
      </c>
      <c r="BA277" s="692">
        <f t="shared" si="89"/>
        <v>0</v>
      </c>
      <c r="BB277" s="692"/>
      <c r="BC277" s="692"/>
      <c r="BD277" s="692"/>
      <c r="BE277" s="692"/>
      <c r="BF277" s="692"/>
      <c r="BG277" s="692"/>
      <c r="BH277" s="692"/>
      <c r="BI277" s="692">
        <f t="shared" si="90"/>
        <v>0</v>
      </c>
      <c r="BJ277" s="692">
        <f t="shared" si="91"/>
        <v>0</v>
      </c>
      <c r="BK277" s="692"/>
      <c r="BL277" s="692"/>
      <c r="BM277" s="692"/>
      <c r="BN277" s="692"/>
      <c r="BO277" s="692"/>
      <c r="BP277" s="692"/>
      <c r="BQ277" s="692">
        <f t="shared" si="92"/>
        <v>0</v>
      </c>
      <c r="BR277" s="692"/>
      <c r="BS277" s="692">
        <f t="shared" si="93"/>
        <v>0</v>
      </c>
      <c r="BT277" s="692">
        <f t="shared" si="94"/>
        <v>0</v>
      </c>
      <c r="BU277" s="692"/>
      <c r="BV277" s="692"/>
      <c r="BW277" s="692"/>
      <c r="BX277" s="692"/>
      <c r="BY277" s="692"/>
      <c r="BZ277" s="692"/>
      <c r="CA277" s="692"/>
      <c r="CB277" s="692"/>
      <c r="CC277" s="692"/>
      <c r="CD277" s="692">
        <f t="shared" si="95"/>
        <v>0</v>
      </c>
      <c r="CE277" s="692"/>
      <c r="CF277" s="692"/>
      <c r="CG277" s="692"/>
      <c r="CH277" s="692"/>
      <c r="CI277" s="692"/>
      <c r="CJ277" s="692"/>
      <c r="CK277" s="692"/>
      <c r="CL277" s="692"/>
      <c r="CM277" s="692"/>
      <c r="CN277" s="692"/>
      <c r="CO277" s="692"/>
      <c r="CP277" s="692"/>
      <c r="CQ277" s="692"/>
      <c r="CR277" s="692"/>
      <c r="CS277" s="692"/>
      <c r="CT277" s="692"/>
      <c r="CU277" s="692"/>
      <c r="CV277" s="692"/>
      <c r="CW277" s="692"/>
      <c r="CX277" s="694"/>
      <c r="CY277" s="694"/>
      <c r="CZ277" s="694"/>
      <c r="DA277" s="694"/>
      <c r="DB277" s="694"/>
      <c r="DC277" s="694"/>
      <c r="DD277" s="694"/>
      <c r="DE277" s="694"/>
      <c r="DF277" s="694"/>
      <c r="DG277" s="695"/>
      <c r="DH277" s="695"/>
      <c r="DI277" s="695"/>
      <c r="DJ277" s="695"/>
      <c r="DK277" s="695"/>
      <c r="DL277" s="695"/>
      <c r="DM277" s="695"/>
      <c r="DN277" s="695"/>
      <c r="DO277" s="695"/>
      <c r="DP277" s="695"/>
      <c r="DQ277" s="695"/>
      <c r="DR277" s="695"/>
      <c r="DS277" s="694"/>
      <c r="DT277" s="694"/>
      <c r="DU277" s="694"/>
      <c r="DV277" s="694"/>
      <c r="DW277" s="694"/>
      <c r="DX277" s="694"/>
      <c r="DY277" s="694"/>
      <c r="DZ277" s="694"/>
      <c r="EA277" s="694"/>
      <c r="EB277" s="694"/>
      <c r="EC277" s="694"/>
      <c r="ED277" s="694"/>
      <c r="EE277" s="694"/>
      <c r="EF277" s="694"/>
      <c r="EG277" s="694"/>
      <c r="EH277" s="694"/>
      <c r="EI277" s="694"/>
      <c r="EJ277" s="694"/>
      <c r="EK277" s="694"/>
      <c r="EL277" s="694"/>
      <c r="EM277" s="694"/>
      <c r="EN277" s="694"/>
      <c r="EO277" s="694"/>
      <c r="EP277" s="694"/>
      <c r="EQ277" s="694"/>
      <c r="ER277" s="694"/>
      <c r="ES277" s="694"/>
      <c r="ET277" s="694"/>
      <c r="EU277" s="694"/>
      <c r="EV277" s="694"/>
      <c r="EW277" s="694"/>
      <c r="EX277" s="694"/>
      <c r="EY277" s="694"/>
      <c r="EZ277" s="694"/>
      <c r="FA277" s="694"/>
      <c r="FB277" s="694"/>
      <c r="FC277" s="694"/>
      <c r="FD277" s="694"/>
      <c r="FE277" s="694"/>
      <c r="FF277" s="694"/>
      <c r="FG277" s="694"/>
      <c r="FH277" s="694"/>
      <c r="FI277" s="694"/>
      <c r="FJ277" s="694"/>
      <c r="FK277" s="694"/>
      <c r="FL277" s="694"/>
      <c r="FM277" s="694"/>
      <c r="FN277" s="694"/>
      <c r="FO277" s="694"/>
      <c r="FP277" s="694"/>
      <c r="FQ277" s="697"/>
    </row>
    <row r="278" spans="1:173" s="696" customFormat="1">
      <c r="A278" s="690"/>
      <c r="B278" s="690"/>
      <c r="C278" s="691"/>
      <c r="D278" s="699" t="s">
        <v>3715</v>
      </c>
      <c r="E278" s="692"/>
      <c r="F278" s="692"/>
      <c r="G278" s="692"/>
      <c r="H278" s="692"/>
      <c r="I278" s="692"/>
      <c r="J278" s="692"/>
      <c r="K278" s="692"/>
      <c r="L278" s="692"/>
      <c r="M278" s="692"/>
      <c r="N278" s="692"/>
      <c r="O278" s="692"/>
      <c r="P278" s="692"/>
      <c r="Q278" s="692"/>
      <c r="R278" s="693"/>
      <c r="S278" s="693"/>
      <c r="T278" s="692"/>
      <c r="U278" s="692"/>
      <c r="V278" s="692"/>
      <c r="W278" s="692"/>
      <c r="X278" s="692"/>
      <c r="Y278" s="692"/>
      <c r="Z278" s="692"/>
      <c r="AA278" s="692"/>
      <c r="AB278" s="692"/>
      <c r="AC278" s="692"/>
      <c r="AD278" s="692"/>
      <c r="AE278" s="725"/>
      <c r="AF278" s="957"/>
      <c r="AG278" s="692"/>
      <c r="AH278" s="692"/>
      <c r="AI278" s="692"/>
      <c r="AJ278" s="692"/>
      <c r="AK278" s="692"/>
      <c r="AL278" s="692"/>
      <c r="AM278" s="692"/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/>
      <c r="AX278" s="692"/>
      <c r="AY278" s="692"/>
      <c r="AZ278" s="692">
        <f t="shared" si="88"/>
        <v>0</v>
      </c>
      <c r="BA278" s="692">
        <f t="shared" si="89"/>
        <v>0</v>
      </c>
      <c r="BB278" s="692"/>
      <c r="BC278" s="692"/>
      <c r="BD278" s="692"/>
      <c r="BE278" s="692"/>
      <c r="BF278" s="692"/>
      <c r="BG278" s="692"/>
      <c r="BH278" s="692"/>
      <c r="BI278" s="692">
        <f t="shared" si="90"/>
        <v>0</v>
      </c>
      <c r="BJ278" s="692">
        <f t="shared" si="91"/>
        <v>0</v>
      </c>
      <c r="BK278" s="692"/>
      <c r="BL278" s="692"/>
      <c r="BM278" s="692"/>
      <c r="BN278" s="692"/>
      <c r="BO278" s="692"/>
      <c r="BP278" s="692"/>
      <c r="BQ278" s="692">
        <f t="shared" si="92"/>
        <v>0</v>
      </c>
      <c r="BR278" s="692"/>
      <c r="BS278" s="692">
        <f t="shared" si="93"/>
        <v>0</v>
      </c>
      <c r="BT278" s="692">
        <f t="shared" si="94"/>
        <v>0</v>
      </c>
      <c r="BU278" s="692"/>
      <c r="BV278" s="692"/>
      <c r="BW278" s="692"/>
      <c r="BX278" s="692"/>
      <c r="BY278" s="692"/>
      <c r="BZ278" s="692"/>
      <c r="CA278" s="692"/>
      <c r="CB278" s="692"/>
      <c r="CC278" s="692"/>
      <c r="CD278" s="692">
        <f t="shared" si="95"/>
        <v>0</v>
      </c>
      <c r="CE278" s="692"/>
      <c r="CF278" s="692"/>
      <c r="CG278" s="692"/>
      <c r="CH278" s="692"/>
      <c r="CI278" s="692"/>
      <c r="CJ278" s="692"/>
      <c r="CK278" s="692"/>
      <c r="CL278" s="692"/>
      <c r="CM278" s="692"/>
      <c r="CN278" s="692"/>
      <c r="CO278" s="692"/>
      <c r="CP278" s="692"/>
      <c r="CQ278" s="692"/>
      <c r="CR278" s="692"/>
      <c r="CS278" s="692"/>
      <c r="CT278" s="692"/>
      <c r="CU278" s="692"/>
      <c r="CV278" s="692"/>
      <c r="CW278" s="692"/>
      <c r="CX278" s="694"/>
      <c r="CY278" s="694"/>
      <c r="CZ278" s="694"/>
      <c r="DA278" s="694"/>
      <c r="DB278" s="694"/>
      <c r="DC278" s="694"/>
      <c r="DD278" s="694"/>
      <c r="DE278" s="694"/>
      <c r="DF278" s="694"/>
      <c r="DG278" s="695"/>
      <c r="DH278" s="695"/>
      <c r="DI278" s="695"/>
      <c r="DJ278" s="695"/>
      <c r="DK278" s="695"/>
      <c r="DL278" s="695"/>
      <c r="DM278" s="695"/>
      <c r="DN278" s="695"/>
      <c r="DO278" s="695"/>
      <c r="DP278" s="695"/>
      <c r="DQ278" s="695"/>
      <c r="DR278" s="695"/>
      <c r="DS278" s="694"/>
      <c r="DT278" s="694"/>
      <c r="DU278" s="694"/>
      <c r="DV278" s="694"/>
      <c r="DW278" s="694"/>
      <c r="DX278" s="694"/>
      <c r="DY278" s="694"/>
      <c r="DZ278" s="694"/>
      <c r="EA278" s="694"/>
      <c r="EB278" s="694"/>
      <c r="EC278" s="694"/>
      <c r="ED278" s="694"/>
      <c r="EE278" s="694"/>
      <c r="EF278" s="694"/>
      <c r="EG278" s="694"/>
      <c r="EH278" s="694"/>
      <c r="EI278" s="694"/>
      <c r="EJ278" s="694"/>
      <c r="EK278" s="694"/>
      <c r="EL278" s="694"/>
      <c r="EM278" s="694"/>
      <c r="EN278" s="694"/>
      <c r="EO278" s="694"/>
      <c r="EP278" s="694"/>
      <c r="EQ278" s="694"/>
      <c r="ER278" s="694"/>
      <c r="ES278" s="694"/>
      <c r="ET278" s="694"/>
      <c r="EU278" s="694"/>
      <c r="EV278" s="694"/>
      <c r="EW278" s="694"/>
      <c r="EX278" s="694"/>
      <c r="EY278" s="694"/>
      <c r="EZ278" s="694"/>
      <c r="FA278" s="694"/>
      <c r="FB278" s="694"/>
      <c r="FC278" s="694"/>
      <c r="FD278" s="694"/>
      <c r="FE278" s="694"/>
      <c r="FF278" s="694"/>
      <c r="FG278" s="694"/>
      <c r="FH278" s="694"/>
      <c r="FI278" s="694"/>
      <c r="FJ278" s="694"/>
      <c r="FK278" s="694"/>
      <c r="FL278" s="694"/>
      <c r="FM278" s="694"/>
      <c r="FN278" s="694"/>
      <c r="FO278" s="694"/>
      <c r="FP278" s="694"/>
      <c r="FQ278" s="697"/>
    </row>
    <row r="279" spans="1:173" s="696" customFormat="1">
      <c r="A279" s="690"/>
      <c r="B279" s="690"/>
      <c r="C279" s="691" t="s">
        <v>3632</v>
      </c>
      <c r="D279" s="691"/>
      <c r="E279" s="692">
        <v>42.8</v>
      </c>
      <c r="F279" s="692"/>
      <c r="G279" s="692"/>
      <c r="H279" s="692"/>
      <c r="I279" s="692"/>
      <c r="J279" s="692"/>
      <c r="K279" s="692"/>
      <c r="L279" s="692"/>
      <c r="M279" s="692"/>
      <c r="N279" s="692"/>
      <c r="O279" s="692">
        <f>E279</f>
        <v>42.8</v>
      </c>
      <c r="P279" s="692"/>
      <c r="Q279" s="692"/>
      <c r="R279" s="693"/>
      <c r="S279" s="693"/>
      <c r="T279" s="692"/>
      <c r="U279" s="692" t="s">
        <v>2989</v>
      </c>
      <c r="V279" s="692"/>
      <c r="W279" s="692"/>
      <c r="X279" s="692"/>
      <c r="Y279" s="692"/>
      <c r="Z279" s="692"/>
      <c r="AA279" s="692"/>
      <c r="AB279" s="692"/>
      <c r="AC279" s="692"/>
      <c r="AD279" s="692"/>
      <c r="AE279" s="725"/>
      <c r="AF279" s="957"/>
      <c r="AG279" s="692"/>
      <c r="AH279" s="692"/>
      <c r="AI279" s="692"/>
      <c r="AJ279" s="692"/>
      <c r="AK279" s="692"/>
      <c r="AL279" s="692"/>
      <c r="AM279" s="692"/>
      <c r="AN279" s="692"/>
      <c r="AO279" s="692"/>
      <c r="AP279" s="692"/>
      <c r="AQ279" s="692"/>
      <c r="AR279" s="692"/>
      <c r="AS279" s="692"/>
      <c r="AT279" s="692"/>
      <c r="AU279" s="692">
        <v>1</v>
      </c>
      <c r="AV279" s="692"/>
      <c r="AW279" s="692"/>
      <c r="AX279" s="692"/>
      <c r="AY279" s="692"/>
      <c r="AZ279" s="692">
        <f t="shared" si="88"/>
        <v>1</v>
      </c>
      <c r="BA279" s="692">
        <f t="shared" si="89"/>
        <v>0</v>
      </c>
      <c r="BB279" s="692"/>
      <c r="BC279" s="692"/>
      <c r="BD279" s="692">
        <v>1</v>
      </c>
      <c r="BE279" s="692"/>
      <c r="BF279" s="692"/>
      <c r="BG279" s="692"/>
      <c r="BH279" s="692"/>
      <c r="BI279" s="692">
        <f t="shared" si="90"/>
        <v>7</v>
      </c>
      <c r="BJ279" s="692">
        <f t="shared" si="91"/>
        <v>0</v>
      </c>
      <c r="BK279" s="692"/>
      <c r="BL279" s="692"/>
      <c r="BM279" s="692"/>
      <c r="BN279" s="692"/>
      <c r="BO279" s="692"/>
      <c r="BP279" s="692"/>
      <c r="BQ279" s="692">
        <f t="shared" si="92"/>
        <v>0</v>
      </c>
      <c r="BR279" s="692"/>
      <c r="BS279" s="692">
        <f t="shared" si="93"/>
        <v>0</v>
      </c>
      <c r="BT279" s="692">
        <f t="shared" si="94"/>
        <v>0</v>
      </c>
      <c r="BU279" s="692"/>
      <c r="BV279" s="692"/>
      <c r="BW279" s="692"/>
      <c r="BX279" s="692">
        <v>2</v>
      </c>
      <c r="BY279" s="692"/>
      <c r="BZ279" s="692"/>
      <c r="CA279" s="692"/>
      <c r="CB279" s="692">
        <v>1</v>
      </c>
      <c r="CC279" s="692"/>
      <c r="CD279" s="692">
        <f t="shared" si="95"/>
        <v>4</v>
      </c>
      <c r="CE279" s="692"/>
      <c r="CF279" s="692"/>
      <c r="CG279" s="692"/>
      <c r="CH279" s="692"/>
      <c r="CI279" s="692"/>
      <c r="CJ279" s="692"/>
      <c r="CK279" s="692"/>
      <c r="CL279" s="692"/>
      <c r="CM279" s="692"/>
      <c r="CN279" s="692"/>
      <c r="CO279" s="692"/>
      <c r="CP279" s="692"/>
      <c r="CQ279" s="692"/>
      <c r="CR279" s="692"/>
      <c r="CS279" s="692"/>
      <c r="CT279" s="692"/>
      <c r="CU279" s="692"/>
      <c r="CV279" s="692"/>
      <c r="CW279" s="692"/>
      <c r="CX279" s="694"/>
      <c r="CY279" s="694"/>
      <c r="CZ279" s="694"/>
      <c r="DA279" s="694"/>
      <c r="DB279" s="694"/>
      <c r="DC279" s="694"/>
      <c r="DD279" s="694"/>
      <c r="DE279" s="694"/>
      <c r="DF279" s="694"/>
      <c r="DG279" s="695"/>
      <c r="DH279" s="695"/>
      <c r="DI279" s="695"/>
      <c r="DJ279" s="695"/>
      <c r="DK279" s="695"/>
      <c r="DL279" s="695"/>
      <c r="DM279" s="695"/>
      <c r="DN279" s="695"/>
      <c r="DO279" s="695"/>
      <c r="DP279" s="695"/>
      <c r="DQ279" s="695"/>
      <c r="DR279" s="695"/>
      <c r="DS279" s="694"/>
      <c r="DT279" s="694"/>
      <c r="DU279" s="694"/>
      <c r="DV279" s="694"/>
      <c r="DW279" s="694"/>
      <c r="DX279" s="694"/>
      <c r="DY279" s="694"/>
      <c r="DZ279" s="694"/>
      <c r="EA279" s="694"/>
      <c r="EB279" s="694"/>
      <c r="EC279" s="694"/>
      <c r="ED279" s="694"/>
      <c r="EE279" s="694"/>
      <c r="EF279" s="694"/>
      <c r="EG279" s="694"/>
      <c r="EH279" s="694"/>
      <c r="EI279" s="694"/>
      <c r="EJ279" s="694"/>
      <c r="EK279" s="694"/>
      <c r="EL279" s="694"/>
      <c r="EM279" s="694"/>
      <c r="EN279" s="694"/>
      <c r="EO279" s="694"/>
      <c r="EP279" s="694"/>
      <c r="EQ279" s="694"/>
      <c r="ER279" s="694"/>
      <c r="ES279" s="694"/>
      <c r="ET279" s="694"/>
      <c r="EU279" s="694"/>
      <c r="EV279" s="694"/>
      <c r="EW279" s="694"/>
      <c r="EX279" s="694"/>
      <c r="EY279" s="694"/>
      <c r="EZ279" s="694"/>
      <c r="FA279" s="694"/>
      <c r="FB279" s="694"/>
      <c r="FC279" s="694"/>
      <c r="FD279" s="694"/>
      <c r="FE279" s="694"/>
      <c r="FF279" s="694"/>
      <c r="FG279" s="694"/>
      <c r="FH279" s="694"/>
      <c r="FI279" s="694"/>
      <c r="FJ279" s="694"/>
      <c r="FK279" s="694"/>
      <c r="FL279" s="694"/>
      <c r="FM279" s="694"/>
      <c r="FN279" s="694"/>
      <c r="FO279" s="694"/>
      <c r="FP279" s="694"/>
      <c r="FQ279" s="697"/>
    </row>
    <row r="280" spans="1:173" s="696" customFormat="1">
      <c r="A280" s="690"/>
      <c r="B280" s="690"/>
      <c r="C280" s="691" t="s">
        <v>3633</v>
      </c>
      <c r="D280" s="691"/>
      <c r="E280" s="692">
        <v>44.4</v>
      </c>
      <c r="F280" s="692"/>
      <c r="G280" s="692"/>
      <c r="H280" s="692"/>
      <c r="I280" s="692"/>
      <c r="J280" s="692"/>
      <c r="K280" s="692"/>
      <c r="L280" s="692"/>
      <c r="M280" s="692"/>
      <c r="N280" s="692"/>
      <c r="O280" s="692">
        <f t="shared" ref="O280:O285" si="96">E280</f>
        <v>44.4</v>
      </c>
      <c r="P280" s="692"/>
      <c r="Q280" s="692"/>
      <c r="R280" s="693"/>
      <c r="S280" s="693"/>
      <c r="T280" s="692"/>
      <c r="U280" s="692" t="s">
        <v>1631</v>
      </c>
      <c r="V280" s="692"/>
      <c r="W280" s="692"/>
      <c r="X280" s="692"/>
      <c r="Y280" s="692"/>
      <c r="Z280" s="692"/>
      <c r="AA280" s="692"/>
      <c r="AB280" s="692"/>
      <c r="AC280" s="692"/>
      <c r="AD280" s="692"/>
      <c r="AE280" s="725"/>
      <c r="AF280" s="957"/>
      <c r="AG280" s="692"/>
      <c r="AH280" s="692"/>
      <c r="AI280" s="692"/>
      <c r="AJ280" s="692"/>
      <c r="AK280" s="692"/>
      <c r="AL280" s="692"/>
      <c r="AM280" s="692"/>
      <c r="AN280" s="692"/>
      <c r="AO280" s="692"/>
      <c r="AP280" s="692"/>
      <c r="AQ280" s="692"/>
      <c r="AR280" s="692"/>
      <c r="AS280" s="692"/>
      <c r="AT280" s="692"/>
      <c r="AU280" s="692"/>
      <c r="AV280" s="692"/>
      <c r="AW280" s="692">
        <v>1</v>
      </c>
      <c r="AX280" s="692"/>
      <c r="AY280" s="692"/>
      <c r="AZ280" s="692">
        <f t="shared" si="88"/>
        <v>2</v>
      </c>
      <c r="BA280" s="692">
        <f t="shared" si="89"/>
        <v>0</v>
      </c>
      <c r="BB280" s="692"/>
      <c r="BC280" s="692"/>
      <c r="BD280" s="692">
        <v>1</v>
      </c>
      <c r="BE280" s="692"/>
      <c r="BF280" s="692"/>
      <c r="BG280" s="692"/>
      <c r="BH280" s="692"/>
      <c r="BI280" s="692">
        <f t="shared" si="90"/>
        <v>5</v>
      </c>
      <c r="BJ280" s="692">
        <f t="shared" si="91"/>
        <v>0</v>
      </c>
      <c r="BK280" s="692"/>
      <c r="BL280" s="692"/>
      <c r="BM280" s="692"/>
      <c r="BN280" s="692"/>
      <c r="BO280" s="692"/>
      <c r="BP280" s="692"/>
      <c r="BQ280" s="692">
        <f t="shared" si="92"/>
        <v>0</v>
      </c>
      <c r="BR280" s="692"/>
      <c r="BS280" s="692">
        <f t="shared" si="93"/>
        <v>1</v>
      </c>
      <c r="BT280" s="692">
        <f t="shared" si="94"/>
        <v>0</v>
      </c>
      <c r="BU280" s="692"/>
      <c r="BV280" s="692"/>
      <c r="BW280" s="692"/>
      <c r="BX280" s="692"/>
      <c r="BY280" s="692"/>
      <c r="BZ280" s="692"/>
      <c r="CA280" s="692"/>
      <c r="CB280" s="692">
        <v>1</v>
      </c>
      <c r="CC280" s="692"/>
      <c r="CD280" s="692">
        <f t="shared" si="95"/>
        <v>4</v>
      </c>
      <c r="CE280" s="692"/>
      <c r="CF280" s="692"/>
      <c r="CG280" s="692"/>
      <c r="CH280" s="692"/>
      <c r="CI280" s="692"/>
      <c r="CJ280" s="692"/>
      <c r="CK280" s="692"/>
      <c r="CL280" s="692"/>
      <c r="CM280" s="692"/>
      <c r="CN280" s="692"/>
      <c r="CO280" s="692"/>
      <c r="CP280" s="692"/>
      <c r="CQ280" s="692"/>
      <c r="CR280" s="692"/>
      <c r="CS280" s="692"/>
      <c r="CT280" s="692"/>
      <c r="CU280" s="692"/>
      <c r="CV280" s="692"/>
      <c r="CW280" s="692"/>
      <c r="CX280" s="694"/>
      <c r="CY280" s="694"/>
      <c r="CZ280" s="694"/>
      <c r="DA280" s="694"/>
      <c r="DB280" s="694"/>
      <c r="DC280" s="694"/>
      <c r="DD280" s="694"/>
      <c r="DE280" s="694"/>
      <c r="DF280" s="694"/>
      <c r="DG280" s="695"/>
      <c r="DH280" s="695"/>
      <c r="DI280" s="695"/>
      <c r="DJ280" s="695"/>
      <c r="DK280" s="695"/>
      <c r="DL280" s="695"/>
      <c r="DM280" s="695"/>
      <c r="DN280" s="695"/>
      <c r="DO280" s="695"/>
      <c r="DP280" s="695"/>
      <c r="DQ280" s="695"/>
      <c r="DR280" s="695"/>
      <c r="DS280" s="694"/>
      <c r="DT280" s="694"/>
      <c r="DU280" s="694"/>
      <c r="DV280" s="694"/>
      <c r="DW280" s="694"/>
      <c r="DX280" s="694"/>
      <c r="DY280" s="694"/>
      <c r="DZ280" s="694"/>
      <c r="EA280" s="694"/>
      <c r="EB280" s="694"/>
      <c r="EC280" s="694"/>
      <c r="ED280" s="694"/>
      <c r="EE280" s="694"/>
      <c r="EF280" s="694"/>
      <c r="EG280" s="694"/>
      <c r="EH280" s="694"/>
      <c r="EI280" s="694"/>
      <c r="EJ280" s="694"/>
      <c r="EK280" s="694"/>
      <c r="EL280" s="694"/>
      <c r="EM280" s="694"/>
      <c r="EN280" s="694"/>
      <c r="EO280" s="694"/>
      <c r="EP280" s="694"/>
      <c r="EQ280" s="694"/>
      <c r="ER280" s="694"/>
      <c r="ES280" s="694"/>
      <c r="ET280" s="694"/>
      <c r="EU280" s="694"/>
      <c r="EV280" s="694"/>
      <c r="EW280" s="694"/>
      <c r="EX280" s="694"/>
      <c r="EY280" s="694"/>
      <c r="EZ280" s="694"/>
      <c r="FA280" s="694"/>
      <c r="FB280" s="694"/>
      <c r="FC280" s="694"/>
      <c r="FD280" s="694"/>
      <c r="FE280" s="694"/>
      <c r="FF280" s="694"/>
      <c r="FG280" s="694"/>
      <c r="FH280" s="694"/>
      <c r="FI280" s="694"/>
      <c r="FJ280" s="694"/>
      <c r="FK280" s="694"/>
      <c r="FL280" s="694"/>
      <c r="FM280" s="694"/>
      <c r="FN280" s="694"/>
      <c r="FO280" s="694"/>
      <c r="FP280" s="694"/>
      <c r="FQ280" s="697"/>
    </row>
    <row r="281" spans="1:173" s="696" customFormat="1">
      <c r="A281" s="690"/>
      <c r="B281" s="690"/>
      <c r="C281" s="691" t="s">
        <v>3634</v>
      </c>
      <c r="D281" s="691"/>
      <c r="E281" s="692">
        <v>26</v>
      </c>
      <c r="F281" s="692"/>
      <c r="G281" s="692"/>
      <c r="H281" s="692"/>
      <c r="I281" s="692"/>
      <c r="J281" s="692"/>
      <c r="K281" s="692"/>
      <c r="L281" s="692"/>
      <c r="M281" s="692"/>
      <c r="N281" s="692"/>
      <c r="O281" s="692">
        <f t="shared" si="96"/>
        <v>26</v>
      </c>
      <c r="P281" s="692"/>
      <c r="Q281" s="692"/>
      <c r="R281" s="693"/>
      <c r="S281" s="693"/>
      <c r="T281" s="692"/>
      <c r="U281" s="692" t="s">
        <v>1631</v>
      </c>
      <c r="V281" s="692"/>
      <c r="W281" s="692">
        <v>1</v>
      </c>
      <c r="X281" s="692"/>
      <c r="Y281" s="692"/>
      <c r="Z281" s="692">
        <v>1</v>
      </c>
      <c r="AA281" s="692"/>
      <c r="AB281" s="692"/>
      <c r="AC281" s="692"/>
      <c r="AD281" s="692"/>
      <c r="AE281" s="725"/>
      <c r="AF281" s="957"/>
      <c r="AG281" s="692"/>
      <c r="AH281" s="692"/>
      <c r="AI281" s="692"/>
      <c r="AJ281" s="692"/>
      <c r="AK281" s="692"/>
      <c r="AL281" s="692"/>
      <c r="AM281" s="692"/>
      <c r="AN281" s="692"/>
      <c r="AO281" s="692"/>
      <c r="AP281" s="692"/>
      <c r="AQ281" s="692"/>
      <c r="AR281" s="692"/>
      <c r="AS281" s="692"/>
      <c r="AT281" s="692"/>
      <c r="AU281" s="692"/>
      <c r="AV281" s="692"/>
      <c r="AW281" s="692">
        <v>1</v>
      </c>
      <c r="AX281" s="692"/>
      <c r="AY281" s="692"/>
      <c r="AZ281" s="692">
        <f t="shared" si="88"/>
        <v>2</v>
      </c>
      <c r="BA281" s="692">
        <f t="shared" si="89"/>
        <v>0</v>
      </c>
      <c r="BB281" s="692"/>
      <c r="BC281" s="692"/>
      <c r="BD281" s="692">
        <v>1</v>
      </c>
      <c r="BE281" s="692"/>
      <c r="BF281" s="692"/>
      <c r="BG281" s="692"/>
      <c r="BH281" s="692"/>
      <c r="BI281" s="692">
        <f t="shared" si="90"/>
        <v>5</v>
      </c>
      <c r="BJ281" s="692">
        <f t="shared" si="91"/>
        <v>0</v>
      </c>
      <c r="BK281" s="692"/>
      <c r="BL281" s="692"/>
      <c r="BM281" s="692"/>
      <c r="BN281" s="692"/>
      <c r="BO281" s="692"/>
      <c r="BP281" s="692"/>
      <c r="BQ281" s="692">
        <f t="shared" si="92"/>
        <v>0</v>
      </c>
      <c r="BR281" s="692"/>
      <c r="BS281" s="692">
        <f t="shared" si="93"/>
        <v>1</v>
      </c>
      <c r="BT281" s="692">
        <f t="shared" si="94"/>
        <v>0</v>
      </c>
      <c r="BU281" s="692"/>
      <c r="BV281" s="692"/>
      <c r="BW281" s="692"/>
      <c r="BX281" s="692"/>
      <c r="BY281" s="692"/>
      <c r="BZ281" s="692"/>
      <c r="CA281" s="692"/>
      <c r="CB281" s="692">
        <v>1</v>
      </c>
      <c r="CC281" s="692"/>
      <c r="CD281" s="692">
        <f t="shared" si="95"/>
        <v>4</v>
      </c>
      <c r="CE281" s="692"/>
      <c r="CF281" s="692"/>
      <c r="CG281" s="692"/>
      <c r="CH281" s="692"/>
      <c r="CI281" s="692"/>
      <c r="CJ281" s="692"/>
      <c r="CK281" s="692"/>
      <c r="CL281" s="692"/>
      <c r="CM281" s="692"/>
      <c r="CN281" s="692"/>
      <c r="CO281" s="692"/>
      <c r="CP281" s="692"/>
      <c r="CQ281" s="692"/>
      <c r="CR281" s="692"/>
      <c r="CS281" s="692"/>
      <c r="CT281" s="692"/>
      <c r="CU281" s="692"/>
      <c r="CV281" s="692"/>
      <c r="CW281" s="692"/>
      <c r="CX281" s="694"/>
      <c r="CY281" s="694"/>
      <c r="CZ281" s="694"/>
      <c r="DA281" s="694"/>
      <c r="DB281" s="694"/>
      <c r="DC281" s="694"/>
      <c r="DD281" s="694"/>
      <c r="DE281" s="694"/>
      <c r="DF281" s="694"/>
      <c r="DG281" s="695"/>
      <c r="DH281" s="695"/>
      <c r="DI281" s="695"/>
      <c r="DJ281" s="695"/>
      <c r="DK281" s="695"/>
      <c r="DL281" s="695"/>
      <c r="DM281" s="695"/>
      <c r="DN281" s="695"/>
      <c r="DO281" s="695"/>
      <c r="DP281" s="695"/>
      <c r="DQ281" s="695"/>
      <c r="DR281" s="695"/>
      <c r="DS281" s="694"/>
      <c r="DT281" s="694"/>
      <c r="DU281" s="694"/>
      <c r="DV281" s="694"/>
      <c r="DW281" s="694"/>
      <c r="DX281" s="694"/>
      <c r="DY281" s="694"/>
      <c r="DZ281" s="694"/>
      <c r="EA281" s="694"/>
      <c r="EB281" s="694"/>
      <c r="EC281" s="694"/>
      <c r="ED281" s="694"/>
      <c r="EE281" s="694"/>
      <c r="EF281" s="694"/>
      <c r="EG281" s="694"/>
      <c r="EH281" s="694"/>
      <c r="EI281" s="694"/>
      <c r="EJ281" s="694"/>
      <c r="EK281" s="694"/>
      <c r="EL281" s="694"/>
      <c r="EM281" s="694"/>
      <c r="EN281" s="694"/>
      <c r="EO281" s="694"/>
      <c r="EP281" s="694"/>
      <c r="EQ281" s="694"/>
      <c r="ER281" s="694"/>
      <c r="ES281" s="694"/>
      <c r="ET281" s="694"/>
      <c r="EU281" s="694"/>
      <c r="EV281" s="694"/>
      <c r="EW281" s="694"/>
      <c r="EX281" s="694"/>
      <c r="EY281" s="694"/>
      <c r="EZ281" s="694"/>
      <c r="FA281" s="694"/>
      <c r="FB281" s="694"/>
      <c r="FC281" s="694"/>
      <c r="FD281" s="694"/>
      <c r="FE281" s="694"/>
      <c r="FF281" s="694"/>
      <c r="FG281" s="694"/>
      <c r="FH281" s="694"/>
      <c r="FI281" s="694"/>
      <c r="FJ281" s="694"/>
      <c r="FK281" s="694"/>
      <c r="FL281" s="694"/>
      <c r="FM281" s="694"/>
      <c r="FN281" s="694"/>
      <c r="FO281" s="694"/>
      <c r="FP281" s="694"/>
      <c r="FQ281" s="697"/>
    </row>
    <row r="282" spans="1:173" s="696" customFormat="1">
      <c r="A282" s="690"/>
      <c r="B282" s="690"/>
      <c r="C282" s="691" t="s">
        <v>3635</v>
      </c>
      <c r="D282" s="691"/>
      <c r="E282" s="692">
        <v>25.6</v>
      </c>
      <c r="F282" s="692"/>
      <c r="G282" s="692"/>
      <c r="H282" s="692"/>
      <c r="I282" s="692"/>
      <c r="J282" s="692"/>
      <c r="K282" s="692"/>
      <c r="L282" s="692"/>
      <c r="M282" s="692"/>
      <c r="N282" s="692"/>
      <c r="O282" s="692">
        <f t="shared" si="96"/>
        <v>25.6</v>
      </c>
      <c r="P282" s="692"/>
      <c r="Q282" s="692"/>
      <c r="R282" s="693"/>
      <c r="S282" s="693"/>
      <c r="T282" s="692"/>
      <c r="U282" s="692" t="s">
        <v>1631</v>
      </c>
      <c r="V282" s="692"/>
      <c r="W282" s="692"/>
      <c r="X282" s="692"/>
      <c r="Y282" s="692"/>
      <c r="Z282" s="692"/>
      <c r="AA282" s="692"/>
      <c r="AB282" s="692"/>
      <c r="AC282" s="692"/>
      <c r="AD282" s="692"/>
      <c r="AE282" s="725"/>
      <c r="AF282" s="957"/>
      <c r="AG282" s="692"/>
      <c r="AH282" s="692"/>
      <c r="AI282" s="692"/>
      <c r="AJ282" s="692"/>
      <c r="AK282" s="692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>
        <v>1</v>
      </c>
      <c r="AX282" s="692"/>
      <c r="AY282" s="692"/>
      <c r="AZ282" s="692">
        <f t="shared" si="88"/>
        <v>2</v>
      </c>
      <c r="BA282" s="692">
        <f t="shared" si="89"/>
        <v>0</v>
      </c>
      <c r="BB282" s="692"/>
      <c r="BC282" s="692"/>
      <c r="BD282" s="692">
        <v>1</v>
      </c>
      <c r="BE282" s="692"/>
      <c r="BF282" s="692"/>
      <c r="BG282" s="692"/>
      <c r="BH282" s="692"/>
      <c r="BI282" s="692">
        <f t="shared" si="90"/>
        <v>5</v>
      </c>
      <c r="BJ282" s="692">
        <f t="shared" si="91"/>
        <v>0</v>
      </c>
      <c r="BK282" s="692"/>
      <c r="BL282" s="692"/>
      <c r="BM282" s="692"/>
      <c r="BN282" s="692"/>
      <c r="BO282" s="692"/>
      <c r="BP282" s="692"/>
      <c r="BQ282" s="692">
        <f t="shared" si="92"/>
        <v>0</v>
      </c>
      <c r="BR282" s="692"/>
      <c r="BS282" s="692">
        <f t="shared" si="93"/>
        <v>1</v>
      </c>
      <c r="BT282" s="692">
        <f t="shared" si="94"/>
        <v>0</v>
      </c>
      <c r="BU282" s="692"/>
      <c r="BV282" s="692"/>
      <c r="BW282" s="692"/>
      <c r="BX282" s="692"/>
      <c r="BY282" s="692"/>
      <c r="BZ282" s="692"/>
      <c r="CA282" s="692"/>
      <c r="CB282" s="692">
        <v>1</v>
      </c>
      <c r="CC282" s="692"/>
      <c r="CD282" s="692">
        <f t="shared" si="95"/>
        <v>4</v>
      </c>
      <c r="CE282" s="692"/>
      <c r="CF282" s="692"/>
      <c r="CG282" s="692"/>
      <c r="CH282" s="692"/>
      <c r="CI282" s="692"/>
      <c r="CJ282" s="692"/>
      <c r="CK282" s="692"/>
      <c r="CL282" s="692"/>
      <c r="CM282" s="692"/>
      <c r="CN282" s="692"/>
      <c r="CO282" s="692"/>
      <c r="CP282" s="692"/>
      <c r="CQ282" s="692"/>
      <c r="CR282" s="692"/>
      <c r="CS282" s="692"/>
      <c r="CT282" s="692"/>
      <c r="CU282" s="692"/>
      <c r="CV282" s="692"/>
      <c r="CW282" s="692"/>
      <c r="CX282" s="694"/>
      <c r="CY282" s="694"/>
      <c r="CZ282" s="694"/>
      <c r="DA282" s="694"/>
      <c r="DB282" s="694"/>
      <c r="DC282" s="694"/>
      <c r="DD282" s="694"/>
      <c r="DE282" s="694"/>
      <c r="DF282" s="694"/>
      <c r="DG282" s="695"/>
      <c r="DH282" s="695"/>
      <c r="DI282" s="695"/>
      <c r="DJ282" s="695"/>
      <c r="DK282" s="695"/>
      <c r="DL282" s="695"/>
      <c r="DM282" s="695"/>
      <c r="DN282" s="695"/>
      <c r="DO282" s="695"/>
      <c r="DP282" s="695"/>
      <c r="DQ282" s="695"/>
      <c r="DR282" s="695"/>
      <c r="DS282" s="694"/>
      <c r="DT282" s="694"/>
      <c r="DU282" s="694"/>
      <c r="DV282" s="694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4"/>
      <c r="FH282" s="694"/>
      <c r="FI282" s="694"/>
      <c r="FJ282" s="694"/>
      <c r="FK282" s="694"/>
      <c r="FL282" s="694"/>
      <c r="FM282" s="694"/>
      <c r="FN282" s="694"/>
      <c r="FO282" s="694"/>
      <c r="FP282" s="694"/>
      <c r="FQ282" s="697"/>
    </row>
    <row r="283" spans="1:173" s="696" customFormat="1">
      <c r="A283" s="690"/>
      <c r="B283" s="690"/>
      <c r="C283" s="691" t="s">
        <v>3636</v>
      </c>
      <c r="D283" s="691"/>
      <c r="E283" s="692">
        <v>41.4</v>
      </c>
      <c r="F283" s="692"/>
      <c r="G283" s="692"/>
      <c r="H283" s="692"/>
      <c r="I283" s="692"/>
      <c r="J283" s="692"/>
      <c r="K283" s="692"/>
      <c r="L283" s="692"/>
      <c r="M283" s="692"/>
      <c r="N283" s="692"/>
      <c r="O283" s="692">
        <f t="shared" si="96"/>
        <v>41.4</v>
      </c>
      <c r="P283" s="692"/>
      <c r="Q283" s="692"/>
      <c r="R283" s="693"/>
      <c r="S283" s="693"/>
      <c r="T283" s="692"/>
      <c r="U283" s="692" t="s">
        <v>1631</v>
      </c>
      <c r="V283" s="692"/>
      <c r="W283" s="692"/>
      <c r="X283" s="692"/>
      <c r="Y283" s="692"/>
      <c r="Z283" s="692"/>
      <c r="AA283" s="692"/>
      <c r="AB283" s="692"/>
      <c r="AC283" s="692"/>
      <c r="AD283" s="692"/>
      <c r="AE283" s="725"/>
      <c r="AF283" s="957"/>
      <c r="AG283" s="692"/>
      <c r="AH283" s="692"/>
      <c r="AI283" s="692"/>
      <c r="AJ283" s="692"/>
      <c r="AK283" s="692"/>
      <c r="AL283" s="692"/>
      <c r="AM283" s="692"/>
      <c r="AN283" s="692"/>
      <c r="AO283" s="692"/>
      <c r="AP283" s="692"/>
      <c r="AQ283" s="692"/>
      <c r="AR283" s="692"/>
      <c r="AS283" s="692"/>
      <c r="AT283" s="692"/>
      <c r="AU283" s="692"/>
      <c r="AV283" s="692"/>
      <c r="AW283" s="692">
        <v>1</v>
      </c>
      <c r="AX283" s="692"/>
      <c r="AY283" s="692"/>
      <c r="AZ283" s="692">
        <f t="shared" si="88"/>
        <v>2</v>
      </c>
      <c r="BA283" s="692">
        <f t="shared" si="89"/>
        <v>0</v>
      </c>
      <c r="BB283" s="692"/>
      <c r="BC283" s="692"/>
      <c r="BD283" s="692">
        <v>1</v>
      </c>
      <c r="BE283" s="692"/>
      <c r="BF283" s="692"/>
      <c r="BG283" s="692"/>
      <c r="BH283" s="692"/>
      <c r="BI283" s="692">
        <f t="shared" si="90"/>
        <v>5</v>
      </c>
      <c r="BJ283" s="692">
        <f t="shared" si="91"/>
        <v>0</v>
      </c>
      <c r="BK283" s="692"/>
      <c r="BL283" s="692"/>
      <c r="BM283" s="692"/>
      <c r="BN283" s="692"/>
      <c r="BO283" s="692"/>
      <c r="BP283" s="692"/>
      <c r="BQ283" s="692">
        <f t="shared" si="92"/>
        <v>0</v>
      </c>
      <c r="BR283" s="692"/>
      <c r="BS283" s="692">
        <f t="shared" si="93"/>
        <v>1</v>
      </c>
      <c r="BT283" s="692">
        <f t="shared" si="94"/>
        <v>0</v>
      </c>
      <c r="BU283" s="692"/>
      <c r="BV283" s="692"/>
      <c r="BW283" s="692"/>
      <c r="BX283" s="692"/>
      <c r="BY283" s="692"/>
      <c r="BZ283" s="692"/>
      <c r="CA283" s="692"/>
      <c r="CB283" s="692">
        <v>1</v>
      </c>
      <c r="CC283" s="692"/>
      <c r="CD283" s="692">
        <f t="shared" si="95"/>
        <v>4</v>
      </c>
      <c r="CE283" s="692"/>
      <c r="CF283" s="692"/>
      <c r="CG283" s="692"/>
      <c r="CH283" s="692"/>
      <c r="CI283" s="692"/>
      <c r="CJ283" s="692"/>
      <c r="CK283" s="692"/>
      <c r="CL283" s="692"/>
      <c r="CM283" s="692"/>
      <c r="CN283" s="692"/>
      <c r="CO283" s="692"/>
      <c r="CP283" s="692"/>
      <c r="CQ283" s="692"/>
      <c r="CR283" s="692"/>
      <c r="CS283" s="692"/>
      <c r="CT283" s="692"/>
      <c r="CU283" s="692"/>
      <c r="CV283" s="692"/>
      <c r="CW283" s="692"/>
      <c r="CX283" s="694"/>
      <c r="CY283" s="694"/>
      <c r="CZ283" s="694"/>
      <c r="DA283" s="694"/>
      <c r="DB283" s="694"/>
      <c r="DC283" s="694"/>
      <c r="DD283" s="694"/>
      <c r="DE283" s="694"/>
      <c r="DF283" s="694"/>
      <c r="DG283" s="695"/>
      <c r="DH283" s="695"/>
      <c r="DI283" s="695"/>
      <c r="DJ283" s="695"/>
      <c r="DK283" s="695"/>
      <c r="DL283" s="695"/>
      <c r="DM283" s="695"/>
      <c r="DN283" s="695"/>
      <c r="DO283" s="695"/>
      <c r="DP283" s="695"/>
      <c r="DQ283" s="695"/>
      <c r="DR283" s="695"/>
      <c r="DS283" s="694"/>
      <c r="DT283" s="694"/>
      <c r="DU283" s="694"/>
      <c r="DV283" s="694"/>
      <c r="DW283" s="694"/>
      <c r="DX283" s="694"/>
      <c r="DY283" s="694"/>
      <c r="DZ283" s="694"/>
      <c r="EA283" s="694"/>
      <c r="EB283" s="694"/>
      <c r="EC283" s="694"/>
      <c r="ED283" s="694"/>
      <c r="EE283" s="694"/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4"/>
      <c r="FH283" s="694"/>
      <c r="FI283" s="694"/>
      <c r="FJ283" s="694"/>
      <c r="FK283" s="694"/>
      <c r="FL283" s="694"/>
      <c r="FM283" s="694"/>
      <c r="FN283" s="694"/>
      <c r="FO283" s="694"/>
      <c r="FP283" s="694"/>
      <c r="FQ283" s="697"/>
    </row>
    <row r="284" spans="1:173" s="696" customFormat="1">
      <c r="A284" s="690"/>
      <c r="B284" s="690"/>
      <c r="C284" s="691" t="s">
        <v>3637</v>
      </c>
      <c r="D284" s="691"/>
      <c r="E284" s="692">
        <v>40.700000000000003</v>
      </c>
      <c r="F284" s="692"/>
      <c r="G284" s="692"/>
      <c r="H284" s="692"/>
      <c r="I284" s="692"/>
      <c r="J284" s="692"/>
      <c r="K284" s="692"/>
      <c r="L284" s="692"/>
      <c r="M284" s="692"/>
      <c r="N284" s="692"/>
      <c r="O284" s="692">
        <f t="shared" si="96"/>
        <v>40.700000000000003</v>
      </c>
      <c r="P284" s="692"/>
      <c r="Q284" s="692"/>
      <c r="R284" s="693"/>
      <c r="S284" s="693"/>
      <c r="T284" s="692"/>
      <c r="U284" s="692" t="s">
        <v>1631</v>
      </c>
      <c r="V284" s="692"/>
      <c r="W284" s="692"/>
      <c r="X284" s="692"/>
      <c r="Y284" s="692"/>
      <c r="Z284" s="692"/>
      <c r="AA284" s="692"/>
      <c r="AB284" s="692"/>
      <c r="AC284" s="692"/>
      <c r="AD284" s="692"/>
      <c r="AE284" s="725"/>
      <c r="AF284" s="957"/>
      <c r="AG284" s="692"/>
      <c r="AH284" s="692"/>
      <c r="AI284" s="692"/>
      <c r="AJ284" s="692"/>
      <c r="AK284" s="692"/>
      <c r="AL284" s="692"/>
      <c r="AM284" s="692"/>
      <c r="AN284" s="692"/>
      <c r="AO284" s="692"/>
      <c r="AP284" s="692"/>
      <c r="AQ284" s="692"/>
      <c r="AR284" s="692"/>
      <c r="AS284" s="692"/>
      <c r="AT284" s="692"/>
      <c r="AU284" s="692">
        <v>1</v>
      </c>
      <c r="AV284" s="692"/>
      <c r="AW284" s="692">
        <v>1</v>
      </c>
      <c r="AX284" s="692"/>
      <c r="AY284" s="692"/>
      <c r="AZ284" s="692">
        <f t="shared" si="88"/>
        <v>2</v>
      </c>
      <c r="BA284" s="692">
        <f t="shared" si="89"/>
        <v>0</v>
      </c>
      <c r="BB284" s="692"/>
      <c r="BC284" s="692"/>
      <c r="BD284" s="692">
        <v>1</v>
      </c>
      <c r="BE284" s="692"/>
      <c r="BF284" s="692"/>
      <c r="BG284" s="692"/>
      <c r="BH284" s="692"/>
      <c r="BI284" s="692">
        <f t="shared" si="90"/>
        <v>7</v>
      </c>
      <c r="BJ284" s="692">
        <f t="shared" si="91"/>
        <v>0</v>
      </c>
      <c r="BK284" s="692"/>
      <c r="BL284" s="692"/>
      <c r="BM284" s="692"/>
      <c r="BN284" s="692"/>
      <c r="BO284" s="692"/>
      <c r="BP284" s="692"/>
      <c r="BQ284" s="692">
        <f t="shared" si="92"/>
        <v>0</v>
      </c>
      <c r="BR284" s="692"/>
      <c r="BS284" s="692">
        <f t="shared" si="93"/>
        <v>1</v>
      </c>
      <c r="BT284" s="692">
        <f t="shared" si="94"/>
        <v>0</v>
      </c>
      <c r="BU284" s="692"/>
      <c r="BV284" s="692"/>
      <c r="BW284" s="692"/>
      <c r="BX284" s="692"/>
      <c r="BY284" s="692"/>
      <c r="BZ284" s="692"/>
      <c r="CA284" s="692"/>
      <c r="CB284" s="692">
        <v>1</v>
      </c>
      <c r="CC284" s="692"/>
      <c r="CD284" s="692">
        <f t="shared" si="95"/>
        <v>4</v>
      </c>
      <c r="CE284" s="692"/>
      <c r="CF284" s="692"/>
      <c r="CG284" s="692"/>
      <c r="CH284" s="692"/>
      <c r="CI284" s="692"/>
      <c r="CJ284" s="692"/>
      <c r="CK284" s="692"/>
      <c r="CL284" s="692"/>
      <c r="CM284" s="692"/>
      <c r="CN284" s="692"/>
      <c r="CO284" s="692"/>
      <c r="CP284" s="692"/>
      <c r="CQ284" s="692"/>
      <c r="CR284" s="692"/>
      <c r="CS284" s="692"/>
      <c r="CT284" s="692"/>
      <c r="CU284" s="692"/>
      <c r="CV284" s="692"/>
      <c r="CW284" s="692"/>
      <c r="CX284" s="694"/>
      <c r="CY284" s="694"/>
      <c r="CZ284" s="694"/>
      <c r="DA284" s="694"/>
      <c r="DB284" s="694"/>
      <c r="DC284" s="694"/>
      <c r="DD284" s="694"/>
      <c r="DE284" s="694"/>
      <c r="DF284" s="694"/>
      <c r="DG284" s="695"/>
      <c r="DH284" s="695"/>
      <c r="DI284" s="695"/>
      <c r="DJ284" s="695"/>
      <c r="DK284" s="695"/>
      <c r="DL284" s="695"/>
      <c r="DM284" s="695"/>
      <c r="DN284" s="695"/>
      <c r="DO284" s="695"/>
      <c r="DP284" s="695"/>
      <c r="DQ284" s="695"/>
      <c r="DR284" s="695"/>
      <c r="DS284" s="694"/>
      <c r="DT284" s="694"/>
      <c r="DU284" s="694"/>
      <c r="DV284" s="694"/>
      <c r="DW284" s="694"/>
      <c r="DX284" s="694"/>
      <c r="DY284" s="694"/>
      <c r="DZ284" s="694"/>
      <c r="EA284" s="694"/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4"/>
      <c r="FH284" s="694"/>
      <c r="FI284" s="694"/>
      <c r="FJ284" s="694"/>
      <c r="FK284" s="694"/>
      <c r="FL284" s="694"/>
      <c r="FM284" s="694"/>
      <c r="FN284" s="694"/>
      <c r="FO284" s="694"/>
      <c r="FP284" s="694"/>
      <c r="FQ284" s="697"/>
    </row>
    <row r="285" spans="1:173" s="696" customFormat="1">
      <c r="A285" s="690"/>
      <c r="B285" s="690"/>
      <c r="C285" s="691" t="s">
        <v>3638</v>
      </c>
      <c r="D285" s="691"/>
      <c r="E285" s="692">
        <v>46.4</v>
      </c>
      <c r="F285" s="692"/>
      <c r="G285" s="692"/>
      <c r="H285" s="692"/>
      <c r="I285" s="692"/>
      <c r="J285" s="692"/>
      <c r="K285" s="692"/>
      <c r="L285" s="692"/>
      <c r="M285" s="692"/>
      <c r="N285" s="692"/>
      <c r="O285" s="692">
        <f t="shared" si="96"/>
        <v>46.4</v>
      </c>
      <c r="P285" s="692"/>
      <c r="Q285" s="692"/>
      <c r="R285" s="693"/>
      <c r="S285" s="693"/>
      <c r="T285" s="692"/>
      <c r="U285" s="692" t="s">
        <v>2990</v>
      </c>
      <c r="V285" s="692"/>
      <c r="W285" s="692"/>
      <c r="X285" s="692"/>
      <c r="Y285" s="692"/>
      <c r="Z285" s="692"/>
      <c r="AA285" s="692"/>
      <c r="AB285" s="692"/>
      <c r="AC285" s="692"/>
      <c r="AD285" s="692"/>
      <c r="AE285" s="725"/>
      <c r="AF285" s="957"/>
      <c r="AG285" s="692"/>
      <c r="AH285" s="692"/>
      <c r="AI285" s="692"/>
      <c r="AJ285" s="692"/>
      <c r="AK285" s="692"/>
      <c r="AL285" s="692"/>
      <c r="AM285" s="692"/>
      <c r="AN285" s="692"/>
      <c r="AO285" s="692"/>
      <c r="AP285" s="692"/>
      <c r="AQ285" s="692"/>
      <c r="AR285" s="692"/>
      <c r="AS285" s="692"/>
      <c r="AT285" s="692"/>
      <c r="AU285" s="692"/>
      <c r="AV285" s="692"/>
      <c r="AW285" s="692">
        <v>1</v>
      </c>
      <c r="AX285" s="692"/>
      <c r="AY285" s="692"/>
      <c r="AZ285" s="692">
        <f t="shared" si="88"/>
        <v>2</v>
      </c>
      <c r="BA285" s="692">
        <f t="shared" si="89"/>
        <v>0</v>
      </c>
      <c r="BB285" s="692"/>
      <c r="BC285" s="692"/>
      <c r="BD285" s="692">
        <v>1</v>
      </c>
      <c r="BE285" s="692"/>
      <c r="BF285" s="692"/>
      <c r="BG285" s="692"/>
      <c r="BH285" s="692"/>
      <c r="BI285" s="692">
        <f t="shared" si="90"/>
        <v>5</v>
      </c>
      <c r="BJ285" s="692">
        <f t="shared" si="91"/>
        <v>0</v>
      </c>
      <c r="BK285" s="692"/>
      <c r="BL285" s="692"/>
      <c r="BM285" s="692"/>
      <c r="BN285" s="692"/>
      <c r="BO285" s="692"/>
      <c r="BP285" s="692"/>
      <c r="BQ285" s="692">
        <f t="shared" si="92"/>
        <v>0</v>
      </c>
      <c r="BR285" s="692"/>
      <c r="BS285" s="692">
        <f t="shared" si="93"/>
        <v>0</v>
      </c>
      <c r="BT285" s="692">
        <f t="shared" si="94"/>
        <v>0</v>
      </c>
      <c r="BU285" s="692"/>
      <c r="BV285" s="692"/>
      <c r="BW285" s="692"/>
      <c r="BX285" s="692">
        <v>1</v>
      </c>
      <c r="BY285" s="692"/>
      <c r="BZ285" s="692"/>
      <c r="CA285" s="692"/>
      <c r="CB285" s="692">
        <v>1</v>
      </c>
      <c r="CC285" s="692"/>
      <c r="CD285" s="692">
        <f t="shared" si="95"/>
        <v>4</v>
      </c>
      <c r="CE285" s="692"/>
      <c r="CF285" s="692"/>
      <c r="CG285" s="692"/>
      <c r="CH285" s="692"/>
      <c r="CI285" s="692"/>
      <c r="CJ285" s="692"/>
      <c r="CK285" s="692"/>
      <c r="CL285" s="692"/>
      <c r="CM285" s="692"/>
      <c r="CN285" s="692"/>
      <c r="CO285" s="692"/>
      <c r="CP285" s="692"/>
      <c r="CQ285" s="692"/>
      <c r="CR285" s="692"/>
      <c r="CS285" s="692"/>
      <c r="CT285" s="692"/>
      <c r="CU285" s="692"/>
      <c r="CV285" s="692"/>
      <c r="CW285" s="692"/>
      <c r="CX285" s="694"/>
      <c r="CY285" s="694"/>
      <c r="CZ285" s="694"/>
      <c r="DA285" s="694"/>
      <c r="DB285" s="694"/>
      <c r="DC285" s="694"/>
      <c r="DD285" s="694"/>
      <c r="DE285" s="694"/>
      <c r="DF285" s="694"/>
      <c r="DG285" s="695"/>
      <c r="DH285" s="695"/>
      <c r="DI285" s="695"/>
      <c r="DJ285" s="695"/>
      <c r="DK285" s="695"/>
      <c r="DL285" s="695"/>
      <c r="DM285" s="695"/>
      <c r="DN285" s="695"/>
      <c r="DO285" s="695"/>
      <c r="DP285" s="695"/>
      <c r="DQ285" s="695"/>
      <c r="DR285" s="695"/>
      <c r="DS285" s="694"/>
      <c r="DT285" s="694"/>
      <c r="DU285" s="694"/>
      <c r="DV285" s="694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4"/>
      <c r="FH285" s="694"/>
      <c r="FI285" s="694"/>
      <c r="FJ285" s="694"/>
      <c r="FK285" s="694"/>
      <c r="FL285" s="694"/>
      <c r="FM285" s="694"/>
      <c r="FN285" s="694"/>
      <c r="FO285" s="694"/>
      <c r="FP285" s="694"/>
      <c r="FQ285" s="697"/>
    </row>
    <row r="286" spans="1:173" s="696" customFormat="1">
      <c r="A286" s="690"/>
      <c r="B286" s="690"/>
      <c r="C286" s="691"/>
      <c r="D286" s="691"/>
      <c r="E286" s="692"/>
      <c r="F286" s="692"/>
      <c r="G286" s="692"/>
      <c r="H286" s="692"/>
      <c r="I286" s="692"/>
      <c r="J286" s="692"/>
      <c r="K286" s="692"/>
      <c r="L286" s="692"/>
      <c r="M286" s="692"/>
      <c r="N286" s="692"/>
      <c r="O286" s="692"/>
      <c r="P286" s="692"/>
      <c r="Q286" s="692"/>
      <c r="R286" s="693"/>
      <c r="S286" s="693"/>
      <c r="T286" s="692"/>
      <c r="U286" s="692"/>
      <c r="V286" s="692"/>
      <c r="W286" s="692"/>
      <c r="X286" s="692"/>
      <c r="Y286" s="692"/>
      <c r="Z286" s="692"/>
      <c r="AA286" s="692"/>
      <c r="AB286" s="692"/>
      <c r="AC286" s="692"/>
      <c r="AD286" s="692"/>
      <c r="AE286" s="725"/>
      <c r="AF286" s="957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>
        <f t="shared" si="88"/>
        <v>0</v>
      </c>
      <c r="BA286" s="692">
        <f t="shared" si="89"/>
        <v>0</v>
      </c>
      <c r="BB286" s="692"/>
      <c r="BC286" s="692"/>
      <c r="BD286" s="692"/>
      <c r="BE286" s="692"/>
      <c r="BF286" s="692"/>
      <c r="BG286" s="692"/>
      <c r="BH286" s="692"/>
      <c r="BI286" s="692">
        <f t="shared" si="90"/>
        <v>0</v>
      </c>
      <c r="BJ286" s="692">
        <f t="shared" si="91"/>
        <v>0</v>
      </c>
      <c r="BK286" s="692"/>
      <c r="BL286" s="692"/>
      <c r="BM286" s="692"/>
      <c r="BN286" s="692"/>
      <c r="BO286" s="692"/>
      <c r="BP286" s="692"/>
      <c r="BQ286" s="692">
        <f t="shared" si="92"/>
        <v>0</v>
      </c>
      <c r="BR286" s="692"/>
      <c r="BS286" s="692">
        <f t="shared" si="93"/>
        <v>0</v>
      </c>
      <c r="BT286" s="692">
        <f t="shared" si="94"/>
        <v>0</v>
      </c>
      <c r="BU286" s="692"/>
      <c r="BV286" s="692"/>
      <c r="BW286" s="692"/>
      <c r="BX286" s="692"/>
      <c r="BY286" s="692"/>
      <c r="BZ286" s="692"/>
      <c r="CA286" s="692"/>
      <c r="CB286" s="692"/>
      <c r="CC286" s="692"/>
      <c r="CD286" s="692">
        <f t="shared" si="95"/>
        <v>0</v>
      </c>
      <c r="CE286" s="692"/>
      <c r="CF286" s="692"/>
      <c r="CG286" s="692"/>
      <c r="CH286" s="692"/>
      <c r="CI286" s="692"/>
      <c r="CJ286" s="692"/>
      <c r="CK286" s="692"/>
      <c r="CL286" s="692"/>
      <c r="CM286" s="692"/>
      <c r="CN286" s="692"/>
      <c r="CO286" s="692"/>
      <c r="CP286" s="692"/>
      <c r="CQ286" s="692"/>
      <c r="CR286" s="692"/>
      <c r="CS286" s="692"/>
      <c r="CT286" s="692"/>
      <c r="CU286" s="692"/>
      <c r="CV286" s="692"/>
      <c r="CW286" s="692"/>
      <c r="CX286" s="694"/>
      <c r="CY286" s="694"/>
      <c r="CZ286" s="694"/>
      <c r="DA286" s="694"/>
      <c r="DB286" s="694"/>
      <c r="DC286" s="694"/>
      <c r="DD286" s="694"/>
      <c r="DE286" s="694"/>
      <c r="DF286" s="694"/>
      <c r="DG286" s="695"/>
      <c r="DH286" s="695"/>
      <c r="DI286" s="695"/>
      <c r="DJ286" s="695"/>
      <c r="DK286" s="695"/>
      <c r="DL286" s="695"/>
      <c r="DM286" s="695"/>
      <c r="DN286" s="695"/>
      <c r="DO286" s="695"/>
      <c r="DP286" s="695"/>
      <c r="DQ286" s="695"/>
      <c r="DR286" s="695"/>
      <c r="DS286" s="694"/>
      <c r="DT286" s="694"/>
      <c r="DU286" s="694"/>
      <c r="DV286" s="694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4"/>
      <c r="FH286" s="694"/>
      <c r="FI286" s="694"/>
      <c r="FJ286" s="694"/>
      <c r="FK286" s="694"/>
      <c r="FL286" s="694"/>
      <c r="FM286" s="694"/>
      <c r="FN286" s="694"/>
      <c r="FO286" s="694"/>
      <c r="FP286" s="694"/>
      <c r="FQ286" s="697"/>
    </row>
    <row r="287" spans="1:173" s="696" customFormat="1">
      <c r="A287" s="690"/>
      <c r="B287" s="690"/>
      <c r="C287" s="691"/>
      <c r="D287" s="699" t="s">
        <v>3716</v>
      </c>
      <c r="E287" s="692"/>
      <c r="F287" s="692"/>
      <c r="G287" s="692"/>
      <c r="H287" s="692"/>
      <c r="I287" s="692"/>
      <c r="J287" s="692"/>
      <c r="K287" s="692"/>
      <c r="L287" s="692"/>
      <c r="M287" s="692"/>
      <c r="N287" s="692"/>
      <c r="O287" s="692"/>
      <c r="P287" s="692"/>
      <c r="Q287" s="692"/>
      <c r="R287" s="693"/>
      <c r="S287" s="693"/>
      <c r="T287" s="692"/>
      <c r="U287" s="692"/>
      <c r="V287" s="692"/>
      <c r="W287" s="692"/>
      <c r="X287" s="692"/>
      <c r="Y287" s="692"/>
      <c r="Z287" s="692"/>
      <c r="AA287" s="692"/>
      <c r="AB287" s="692"/>
      <c r="AC287" s="692"/>
      <c r="AD287" s="692"/>
      <c r="AE287" s="725"/>
      <c r="AF287" s="957"/>
      <c r="AG287" s="692"/>
      <c r="AH287" s="692"/>
      <c r="AI287" s="692"/>
      <c r="AJ287" s="692"/>
      <c r="AK287" s="692"/>
      <c r="AL287" s="692"/>
      <c r="AM287" s="692"/>
      <c r="AN287" s="692"/>
      <c r="AO287" s="692"/>
      <c r="AP287" s="692"/>
      <c r="AQ287" s="692"/>
      <c r="AR287" s="692"/>
      <c r="AS287" s="692"/>
      <c r="AT287" s="692"/>
      <c r="AU287" s="692"/>
      <c r="AV287" s="692"/>
      <c r="AW287" s="692"/>
      <c r="AX287" s="692"/>
      <c r="AY287" s="692"/>
      <c r="AZ287" s="692">
        <f t="shared" si="88"/>
        <v>0</v>
      </c>
      <c r="BA287" s="692">
        <f t="shared" si="89"/>
        <v>0</v>
      </c>
      <c r="BB287" s="692"/>
      <c r="BC287" s="692"/>
      <c r="BD287" s="692"/>
      <c r="BE287" s="692"/>
      <c r="BF287" s="692"/>
      <c r="BG287" s="692"/>
      <c r="BH287" s="692"/>
      <c r="BI287" s="692">
        <f t="shared" si="90"/>
        <v>0</v>
      </c>
      <c r="BJ287" s="692">
        <f t="shared" si="91"/>
        <v>0</v>
      </c>
      <c r="BK287" s="692"/>
      <c r="BL287" s="692"/>
      <c r="BM287" s="692"/>
      <c r="BN287" s="692"/>
      <c r="BO287" s="692"/>
      <c r="BP287" s="692"/>
      <c r="BQ287" s="692">
        <f t="shared" si="92"/>
        <v>0</v>
      </c>
      <c r="BR287" s="692"/>
      <c r="BS287" s="692">
        <f t="shared" si="93"/>
        <v>0</v>
      </c>
      <c r="BT287" s="692">
        <f t="shared" si="94"/>
        <v>0</v>
      </c>
      <c r="BU287" s="692"/>
      <c r="BV287" s="692"/>
      <c r="BW287" s="692"/>
      <c r="BX287" s="692"/>
      <c r="BY287" s="692"/>
      <c r="BZ287" s="692"/>
      <c r="CA287" s="692"/>
      <c r="CB287" s="692"/>
      <c r="CC287" s="692"/>
      <c r="CD287" s="692">
        <f t="shared" si="95"/>
        <v>0</v>
      </c>
      <c r="CE287" s="692"/>
      <c r="CF287" s="692"/>
      <c r="CG287" s="692"/>
      <c r="CH287" s="692"/>
      <c r="CI287" s="692"/>
      <c r="CJ287" s="692"/>
      <c r="CK287" s="692"/>
      <c r="CL287" s="692"/>
      <c r="CM287" s="692"/>
      <c r="CN287" s="692"/>
      <c r="CO287" s="692"/>
      <c r="CP287" s="692"/>
      <c r="CQ287" s="692"/>
      <c r="CR287" s="692"/>
      <c r="CS287" s="692"/>
      <c r="CT287" s="692"/>
      <c r="CU287" s="692"/>
      <c r="CV287" s="692"/>
      <c r="CW287" s="692"/>
      <c r="CX287" s="694"/>
      <c r="CY287" s="694"/>
      <c r="CZ287" s="694"/>
      <c r="DA287" s="694"/>
      <c r="DB287" s="694"/>
      <c r="DC287" s="694"/>
      <c r="DD287" s="694"/>
      <c r="DE287" s="694"/>
      <c r="DF287" s="694"/>
      <c r="DG287" s="695"/>
      <c r="DH287" s="695"/>
      <c r="DI287" s="695"/>
      <c r="DJ287" s="695"/>
      <c r="DK287" s="695"/>
      <c r="DL287" s="695"/>
      <c r="DM287" s="695"/>
      <c r="DN287" s="695"/>
      <c r="DO287" s="695"/>
      <c r="DP287" s="695"/>
      <c r="DQ287" s="695"/>
      <c r="DR287" s="695"/>
      <c r="DS287" s="694"/>
      <c r="DT287" s="694"/>
      <c r="DU287" s="694"/>
      <c r="DV287" s="694"/>
      <c r="DW287" s="694"/>
      <c r="DX287" s="694"/>
      <c r="DY287" s="694"/>
      <c r="DZ287" s="694"/>
      <c r="EA287" s="694"/>
      <c r="EB287" s="694"/>
      <c r="EC287" s="694"/>
      <c r="ED287" s="694"/>
      <c r="EE287" s="694"/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4"/>
      <c r="FH287" s="694"/>
      <c r="FI287" s="694"/>
      <c r="FJ287" s="694"/>
      <c r="FK287" s="694"/>
      <c r="FL287" s="694"/>
      <c r="FM287" s="694"/>
      <c r="FN287" s="694"/>
      <c r="FO287" s="694"/>
      <c r="FP287" s="694"/>
      <c r="FQ287" s="697"/>
    </row>
    <row r="288" spans="1:173" s="696" customFormat="1">
      <c r="A288" s="690"/>
      <c r="B288" s="690"/>
      <c r="C288" s="691" t="s">
        <v>3655</v>
      </c>
      <c r="D288" s="691"/>
      <c r="E288" s="692"/>
      <c r="F288" s="692"/>
      <c r="G288" s="692"/>
      <c r="H288" s="692"/>
      <c r="I288" s="692"/>
      <c r="J288" s="692"/>
      <c r="K288" s="692"/>
      <c r="L288" s="692"/>
      <c r="M288" s="692"/>
      <c r="N288" s="692"/>
      <c r="O288" s="692">
        <f>E288</f>
        <v>0</v>
      </c>
      <c r="P288" s="692"/>
      <c r="Q288" s="692"/>
      <c r="R288" s="693"/>
      <c r="S288" s="693"/>
      <c r="T288" s="692"/>
      <c r="U288" s="692" t="s">
        <v>1631</v>
      </c>
      <c r="V288" s="692"/>
      <c r="W288" s="692"/>
      <c r="X288" s="692"/>
      <c r="Y288" s="692"/>
      <c r="Z288" s="692"/>
      <c r="AA288" s="692"/>
      <c r="AB288" s="692"/>
      <c r="AC288" s="692"/>
      <c r="AD288" s="692"/>
      <c r="AE288" s="725"/>
      <c r="AF288" s="957"/>
      <c r="AG288" s="692"/>
      <c r="AH288" s="692"/>
      <c r="AI288" s="692"/>
      <c r="AJ288" s="692"/>
      <c r="AK288" s="692"/>
      <c r="AL288" s="692"/>
      <c r="AM288" s="692"/>
      <c r="AN288" s="692"/>
      <c r="AO288" s="692"/>
      <c r="AP288" s="692"/>
      <c r="AQ288" s="692"/>
      <c r="AR288" s="692"/>
      <c r="AS288" s="692"/>
      <c r="AT288" s="692"/>
      <c r="AU288" s="692">
        <v>1</v>
      </c>
      <c r="AV288" s="692"/>
      <c r="AW288" s="692"/>
      <c r="AX288" s="692"/>
      <c r="AY288" s="692"/>
      <c r="AZ288" s="692">
        <f t="shared" si="88"/>
        <v>0</v>
      </c>
      <c r="BA288" s="692">
        <f t="shared" si="89"/>
        <v>0</v>
      </c>
      <c r="BB288" s="692"/>
      <c r="BC288" s="692"/>
      <c r="BD288" s="692">
        <v>1</v>
      </c>
      <c r="BE288" s="692"/>
      <c r="BF288" s="692"/>
      <c r="BG288" s="692"/>
      <c r="BH288" s="692"/>
      <c r="BI288" s="692">
        <v>2</v>
      </c>
      <c r="BJ288" s="692">
        <f t="shared" si="91"/>
        <v>0</v>
      </c>
      <c r="BK288" s="692"/>
      <c r="BL288" s="692"/>
      <c r="BM288" s="692"/>
      <c r="BN288" s="692"/>
      <c r="BO288" s="692"/>
      <c r="BP288" s="692"/>
      <c r="BQ288" s="692">
        <f t="shared" si="92"/>
        <v>0</v>
      </c>
      <c r="BR288" s="692"/>
      <c r="BS288" s="692">
        <f t="shared" si="93"/>
        <v>0</v>
      </c>
      <c r="BT288" s="692">
        <f t="shared" si="94"/>
        <v>0</v>
      </c>
      <c r="BU288" s="692"/>
      <c r="BV288" s="692"/>
      <c r="BW288" s="692"/>
      <c r="BX288" s="692">
        <v>2</v>
      </c>
      <c r="BY288" s="692"/>
      <c r="BZ288" s="692"/>
      <c r="CA288" s="692"/>
      <c r="CB288" s="692"/>
      <c r="CC288" s="692"/>
      <c r="CD288" s="692">
        <f t="shared" si="95"/>
        <v>0</v>
      </c>
      <c r="CE288" s="692"/>
      <c r="CF288" s="692"/>
      <c r="CG288" s="692"/>
      <c r="CH288" s="692"/>
      <c r="CI288" s="692"/>
      <c r="CJ288" s="692"/>
      <c r="CK288" s="692"/>
      <c r="CL288" s="692"/>
      <c r="CM288" s="692"/>
      <c r="CN288" s="692"/>
      <c r="CO288" s="692"/>
      <c r="CP288" s="692"/>
      <c r="CQ288" s="692"/>
      <c r="CR288" s="692"/>
      <c r="CS288" s="692"/>
      <c r="CT288" s="692"/>
      <c r="CU288" s="692"/>
      <c r="CV288" s="692"/>
      <c r="CW288" s="692"/>
      <c r="CX288" s="694"/>
      <c r="CY288" s="694"/>
      <c r="CZ288" s="694"/>
      <c r="DA288" s="694"/>
      <c r="DB288" s="694"/>
      <c r="DC288" s="694"/>
      <c r="DD288" s="694"/>
      <c r="DE288" s="694"/>
      <c r="DF288" s="694"/>
      <c r="DG288" s="695"/>
      <c r="DH288" s="695"/>
      <c r="DI288" s="695"/>
      <c r="DJ288" s="695"/>
      <c r="DK288" s="695"/>
      <c r="DL288" s="695"/>
      <c r="DM288" s="695"/>
      <c r="DN288" s="695"/>
      <c r="DO288" s="695"/>
      <c r="DP288" s="695"/>
      <c r="DQ288" s="695"/>
      <c r="DR288" s="695"/>
      <c r="DS288" s="694"/>
      <c r="DT288" s="694"/>
      <c r="DU288" s="694"/>
      <c r="DV288" s="694"/>
      <c r="DW288" s="694"/>
      <c r="DX288" s="694"/>
      <c r="DY288" s="694"/>
      <c r="DZ288" s="694"/>
      <c r="EA288" s="694"/>
      <c r="EB288" s="694"/>
      <c r="EC288" s="694"/>
      <c r="ED288" s="694"/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4"/>
      <c r="FH288" s="694"/>
      <c r="FI288" s="694"/>
      <c r="FJ288" s="694"/>
      <c r="FK288" s="694"/>
      <c r="FL288" s="694"/>
      <c r="FM288" s="694"/>
      <c r="FN288" s="694"/>
      <c r="FO288" s="694"/>
      <c r="FP288" s="694"/>
      <c r="FQ288" s="697"/>
    </row>
    <row r="289" spans="1:173" s="696" customFormat="1">
      <c r="A289" s="690"/>
      <c r="B289" s="690"/>
      <c r="C289" s="691" t="s">
        <v>3632</v>
      </c>
      <c r="D289" s="691"/>
      <c r="E289" s="692">
        <v>50</v>
      </c>
      <c r="F289" s="692"/>
      <c r="G289" s="692"/>
      <c r="H289" s="692"/>
      <c r="I289" s="692"/>
      <c r="J289" s="692"/>
      <c r="K289" s="692"/>
      <c r="L289" s="692"/>
      <c r="M289" s="692"/>
      <c r="N289" s="692"/>
      <c r="O289" s="692">
        <f t="shared" ref="O289:O297" si="97">E289</f>
        <v>50</v>
      </c>
      <c r="P289" s="692"/>
      <c r="Q289" s="692"/>
      <c r="R289" s="693"/>
      <c r="S289" s="693"/>
      <c r="T289" s="692"/>
      <c r="U289" s="692" t="s">
        <v>2989</v>
      </c>
      <c r="V289" s="692"/>
      <c r="W289" s="692"/>
      <c r="X289" s="692"/>
      <c r="Y289" s="692"/>
      <c r="Z289" s="692"/>
      <c r="AA289" s="692"/>
      <c r="AB289" s="692"/>
      <c r="AC289" s="692"/>
      <c r="AD289" s="692"/>
      <c r="AE289" s="725"/>
      <c r="AF289" s="957"/>
      <c r="AG289" s="692"/>
      <c r="AH289" s="692"/>
      <c r="AI289" s="692"/>
      <c r="AJ289" s="692"/>
      <c r="AK289" s="692"/>
      <c r="AL289" s="692"/>
      <c r="AM289" s="692"/>
      <c r="AN289" s="692"/>
      <c r="AO289" s="692"/>
      <c r="AP289" s="692"/>
      <c r="AQ289" s="692"/>
      <c r="AR289" s="692"/>
      <c r="AS289" s="692"/>
      <c r="AT289" s="692"/>
      <c r="AU289" s="692"/>
      <c r="AV289" s="692"/>
      <c r="AW289" s="692">
        <v>1</v>
      </c>
      <c r="AX289" s="692"/>
      <c r="AY289" s="692"/>
      <c r="AZ289" s="692">
        <f t="shared" si="88"/>
        <v>2</v>
      </c>
      <c r="BA289" s="692">
        <f t="shared" si="89"/>
        <v>0</v>
      </c>
      <c r="BB289" s="692"/>
      <c r="BC289" s="692"/>
      <c r="BD289" s="692">
        <v>2</v>
      </c>
      <c r="BE289" s="692"/>
      <c r="BF289" s="692"/>
      <c r="BG289" s="692"/>
      <c r="BH289" s="692"/>
      <c r="BI289" s="692">
        <f t="shared" si="90"/>
        <v>5</v>
      </c>
      <c r="BJ289" s="692">
        <f t="shared" si="91"/>
        <v>0</v>
      </c>
      <c r="BK289" s="692"/>
      <c r="BL289" s="692"/>
      <c r="BM289" s="692"/>
      <c r="BN289" s="692"/>
      <c r="BO289" s="692"/>
      <c r="BP289" s="692"/>
      <c r="BQ289" s="692">
        <f t="shared" si="92"/>
        <v>0</v>
      </c>
      <c r="BR289" s="692"/>
      <c r="BS289" s="692">
        <f t="shared" si="93"/>
        <v>0</v>
      </c>
      <c r="BT289" s="692">
        <f t="shared" si="94"/>
        <v>0</v>
      </c>
      <c r="BU289" s="692"/>
      <c r="BV289" s="692"/>
      <c r="BW289" s="692"/>
      <c r="BX289" s="692"/>
      <c r="BY289" s="692"/>
      <c r="BZ289" s="692"/>
      <c r="CA289" s="692"/>
      <c r="CB289" s="692">
        <v>1</v>
      </c>
      <c r="CC289" s="692"/>
      <c r="CD289" s="692">
        <f t="shared" si="95"/>
        <v>4</v>
      </c>
      <c r="CE289" s="692"/>
      <c r="CF289" s="692"/>
      <c r="CG289" s="692"/>
      <c r="CH289" s="692"/>
      <c r="CI289" s="692"/>
      <c r="CJ289" s="692"/>
      <c r="CK289" s="692"/>
      <c r="CL289" s="692"/>
      <c r="CM289" s="692"/>
      <c r="CN289" s="692"/>
      <c r="CO289" s="692"/>
      <c r="CP289" s="692"/>
      <c r="CQ289" s="692"/>
      <c r="CR289" s="692"/>
      <c r="CS289" s="692"/>
      <c r="CT289" s="692"/>
      <c r="CU289" s="692"/>
      <c r="CV289" s="692"/>
      <c r="CW289" s="692"/>
      <c r="CX289" s="694"/>
      <c r="CY289" s="694"/>
      <c r="CZ289" s="694"/>
      <c r="DA289" s="694"/>
      <c r="DB289" s="694"/>
      <c r="DC289" s="694"/>
      <c r="DD289" s="694"/>
      <c r="DE289" s="694"/>
      <c r="DF289" s="694"/>
      <c r="DG289" s="695"/>
      <c r="DH289" s="695"/>
      <c r="DI289" s="695"/>
      <c r="DJ289" s="695"/>
      <c r="DK289" s="695"/>
      <c r="DL289" s="695"/>
      <c r="DM289" s="695"/>
      <c r="DN289" s="695"/>
      <c r="DO289" s="695"/>
      <c r="DP289" s="695"/>
      <c r="DQ289" s="695"/>
      <c r="DR289" s="695"/>
      <c r="DS289" s="694"/>
      <c r="DT289" s="694"/>
      <c r="DU289" s="694"/>
      <c r="DV289" s="694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4"/>
      <c r="FH289" s="694"/>
      <c r="FI289" s="694"/>
      <c r="FJ289" s="694"/>
      <c r="FK289" s="694"/>
      <c r="FL289" s="694"/>
      <c r="FM289" s="694"/>
      <c r="FN289" s="694"/>
      <c r="FO289" s="694"/>
      <c r="FP289" s="694"/>
      <c r="FQ289" s="697"/>
    </row>
    <row r="290" spans="1:173" s="696" customFormat="1">
      <c r="A290" s="690"/>
      <c r="B290" s="690"/>
      <c r="C290" s="691" t="s">
        <v>3633</v>
      </c>
      <c r="D290" s="691"/>
      <c r="E290" s="692">
        <v>36</v>
      </c>
      <c r="F290" s="692"/>
      <c r="G290" s="692"/>
      <c r="H290" s="692"/>
      <c r="I290" s="692"/>
      <c r="J290" s="692"/>
      <c r="K290" s="692"/>
      <c r="L290" s="692"/>
      <c r="M290" s="692"/>
      <c r="N290" s="692"/>
      <c r="O290" s="692">
        <f t="shared" si="97"/>
        <v>36</v>
      </c>
      <c r="P290" s="692"/>
      <c r="Q290" s="692"/>
      <c r="R290" s="693"/>
      <c r="S290" s="693"/>
      <c r="T290" s="692"/>
      <c r="U290" s="692" t="s">
        <v>1631</v>
      </c>
      <c r="V290" s="692"/>
      <c r="W290" s="692"/>
      <c r="X290" s="692"/>
      <c r="Y290" s="692"/>
      <c r="Z290" s="692"/>
      <c r="AA290" s="692"/>
      <c r="AB290" s="692"/>
      <c r="AC290" s="692"/>
      <c r="AD290" s="692"/>
      <c r="AE290" s="725"/>
      <c r="AF290" s="957"/>
      <c r="AG290" s="692"/>
      <c r="AH290" s="692"/>
      <c r="AI290" s="692"/>
      <c r="AJ290" s="692"/>
      <c r="AK290" s="692"/>
      <c r="AL290" s="692"/>
      <c r="AM290" s="692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>
        <v>1</v>
      </c>
      <c r="AX290" s="692"/>
      <c r="AY290" s="692"/>
      <c r="AZ290" s="692">
        <f t="shared" si="88"/>
        <v>2</v>
      </c>
      <c r="BA290" s="692">
        <f t="shared" si="89"/>
        <v>0</v>
      </c>
      <c r="BB290" s="692"/>
      <c r="BC290" s="692"/>
      <c r="BD290" s="692">
        <v>1</v>
      </c>
      <c r="BE290" s="692"/>
      <c r="BF290" s="692"/>
      <c r="BG290" s="692"/>
      <c r="BH290" s="692"/>
      <c r="BI290" s="692">
        <f t="shared" si="90"/>
        <v>5</v>
      </c>
      <c r="BJ290" s="692">
        <f t="shared" si="91"/>
        <v>0</v>
      </c>
      <c r="BK290" s="692"/>
      <c r="BL290" s="692"/>
      <c r="BM290" s="692"/>
      <c r="BN290" s="692"/>
      <c r="BO290" s="692"/>
      <c r="BP290" s="692"/>
      <c r="BQ290" s="692">
        <f t="shared" si="92"/>
        <v>0</v>
      </c>
      <c r="BR290" s="692"/>
      <c r="BS290" s="692">
        <f t="shared" si="93"/>
        <v>1</v>
      </c>
      <c r="BT290" s="692">
        <f t="shared" si="94"/>
        <v>0</v>
      </c>
      <c r="BU290" s="692"/>
      <c r="BV290" s="692"/>
      <c r="BW290" s="692"/>
      <c r="BX290" s="692"/>
      <c r="BY290" s="692"/>
      <c r="BZ290" s="692"/>
      <c r="CA290" s="692"/>
      <c r="CB290" s="692">
        <v>1</v>
      </c>
      <c r="CC290" s="692"/>
      <c r="CD290" s="692">
        <f t="shared" si="95"/>
        <v>4</v>
      </c>
      <c r="CE290" s="692"/>
      <c r="CF290" s="692"/>
      <c r="CG290" s="692"/>
      <c r="CH290" s="692"/>
      <c r="CI290" s="692"/>
      <c r="CJ290" s="692"/>
      <c r="CK290" s="692"/>
      <c r="CL290" s="692"/>
      <c r="CM290" s="692"/>
      <c r="CN290" s="692"/>
      <c r="CO290" s="692"/>
      <c r="CP290" s="692"/>
      <c r="CQ290" s="692"/>
      <c r="CR290" s="692"/>
      <c r="CS290" s="692"/>
      <c r="CT290" s="692"/>
      <c r="CU290" s="692"/>
      <c r="CV290" s="692"/>
      <c r="CW290" s="692"/>
      <c r="CX290" s="694"/>
      <c r="CY290" s="694"/>
      <c r="CZ290" s="694"/>
      <c r="DA290" s="694"/>
      <c r="DB290" s="694"/>
      <c r="DC290" s="694"/>
      <c r="DD290" s="694"/>
      <c r="DE290" s="694"/>
      <c r="DF290" s="694"/>
      <c r="DG290" s="695"/>
      <c r="DH290" s="695"/>
      <c r="DI290" s="695"/>
      <c r="DJ290" s="695"/>
      <c r="DK290" s="695"/>
      <c r="DL290" s="695"/>
      <c r="DM290" s="695"/>
      <c r="DN290" s="695"/>
      <c r="DO290" s="695"/>
      <c r="DP290" s="695"/>
      <c r="DQ290" s="695"/>
      <c r="DR290" s="695"/>
      <c r="DS290" s="694"/>
      <c r="DT290" s="694"/>
      <c r="DU290" s="694"/>
      <c r="DV290" s="694"/>
      <c r="DW290" s="694"/>
      <c r="DX290" s="694"/>
      <c r="DY290" s="694"/>
      <c r="DZ290" s="694"/>
      <c r="EA290" s="694"/>
      <c r="EB290" s="694"/>
      <c r="EC290" s="694"/>
      <c r="ED290" s="694"/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4"/>
      <c r="FH290" s="694"/>
      <c r="FI290" s="694"/>
      <c r="FJ290" s="694"/>
      <c r="FK290" s="694"/>
      <c r="FL290" s="694"/>
      <c r="FM290" s="694"/>
      <c r="FN290" s="694"/>
      <c r="FO290" s="694"/>
      <c r="FP290" s="694"/>
      <c r="FQ290" s="697"/>
    </row>
    <row r="291" spans="1:173" s="696" customFormat="1">
      <c r="A291" s="690"/>
      <c r="B291" s="690"/>
      <c r="C291" s="691" t="s">
        <v>3634</v>
      </c>
      <c r="D291" s="691"/>
      <c r="E291" s="692">
        <v>25</v>
      </c>
      <c r="F291" s="692"/>
      <c r="G291" s="692"/>
      <c r="H291" s="692"/>
      <c r="I291" s="692"/>
      <c r="J291" s="692"/>
      <c r="K291" s="692"/>
      <c r="L291" s="692"/>
      <c r="M291" s="692"/>
      <c r="N291" s="692"/>
      <c r="O291" s="692">
        <f t="shared" si="97"/>
        <v>25</v>
      </c>
      <c r="P291" s="692"/>
      <c r="Q291" s="692"/>
      <c r="R291" s="693"/>
      <c r="S291" s="693"/>
      <c r="T291" s="692"/>
      <c r="U291" s="692" t="s">
        <v>1631</v>
      </c>
      <c r="V291" s="692"/>
      <c r="W291" s="692">
        <v>1</v>
      </c>
      <c r="X291" s="692"/>
      <c r="Y291" s="692"/>
      <c r="Z291" s="692">
        <v>1</v>
      </c>
      <c r="AA291" s="692"/>
      <c r="AB291" s="692"/>
      <c r="AC291" s="692"/>
      <c r="AD291" s="692"/>
      <c r="AE291" s="725"/>
      <c r="AF291" s="957"/>
      <c r="AG291" s="692"/>
      <c r="AH291" s="692"/>
      <c r="AI291" s="692"/>
      <c r="AJ291" s="692"/>
      <c r="AK291" s="692"/>
      <c r="AL291" s="692"/>
      <c r="AM291" s="692"/>
      <c r="AN291" s="692"/>
      <c r="AO291" s="692"/>
      <c r="AP291" s="692"/>
      <c r="AQ291" s="692"/>
      <c r="AR291" s="692"/>
      <c r="AS291" s="692"/>
      <c r="AT291" s="692"/>
      <c r="AU291" s="692"/>
      <c r="AV291" s="692"/>
      <c r="AW291" s="692"/>
      <c r="AX291" s="692"/>
      <c r="AY291" s="692"/>
      <c r="AZ291" s="692">
        <f t="shared" si="88"/>
        <v>0</v>
      </c>
      <c r="BA291" s="692">
        <f t="shared" si="89"/>
        <v>0</v>
      </c>
      <c r="BB291" s="692"/>
      <c r="BC291" s="692"/>
      <c r="BD291" s="692">
        <v>1</v>
      </c>
      <c r="BE291" s="692"/>
      <c r="BF291" s="692"/>
      <c r="BG291" s="692"/>
      <c r="BH291" s="692"/>
      <c r="BI291" s="692">
        <f t="shared" si="90"/>
        <v>0</v>
      </c>
      <c r="BJ291" s="692">
        <f t="shared" si="91"/>
        <v>0</v>
      </c>
      <c r="BK291" s="692"/>
      <c r="BL291" s="692"/>
      <c r="BM291" s="692"/>
      <c r="BN291" s="692"/>
      <c r="BO291" s="692"/>
      <c r="BP291" s="692"/>
      <c r="BQ291" s="692">
        <f t="shared" si="92"/>
        <v>0</v>
      </c>
      <c r="BR291" s="692"/>
      <c r="BS291" s="692">
        <f t="shared" si="93"/>
        <v>1</v>
      </c>
      <c r="BT291" s="692">
        <f t="shared" si="94"/>
        <v>0</v>
      </c>
      <c r="BU291" s="692"/>
      <c r="BV291" s="692"/>
      <c r="BW291" s="692"/>
      <c r="BX291" s="692"/>
      <c r="BY291" s="692"/>
      <c r="BZ291" s="692"/>
      <c r="CA291" s="692"/>
      <c r="CB291" s="692"/>
      <c r="CC291" s="692"/>
      <c r="CD291" s="692">
        <f t="shared" si="95"/>
        <v>0</v>
      </c>
      <c r="CE291" s="692"/>
      <c r="CF291" s="692"/>
      <c r="CG291" s="692"/>
      <c r="CH291" s="692"/>
      <c r="CI291" s="692"/>
      <c r="CJ291" s="692"/>
      <c r="CK291" s="692"/>
      <c r="CL291" s="692"/>
      <c r="CM291" s="692"/>
      <c r="CN291" s="692"/>
      <c r="CO291" s="692"/>
      <c r="CP291" s="692"/>
      <c r="CQ291" s="692"/>
      <c r="CR291" s="692"/>
      <c r="CS291" s="692"/>
      <c r="CT291" s="692"/>
      <c r="CU291" s="692"/>
      <c r="CV291" s="692"/>
      <c r="CW291" s="692"/>
      <c r="CX291" s="694"/>
      <c r="CY291" s="694"/>
      <c r="CZ291" s="694"/>
      <c r="DA291" s="694"/>
      <c r="DB291" s="694"/>
      <c r="DC291" s="694"/>
      <c r="DD291" s="694"/>
      <c r="DE291" s="694"/>
      <c r="DF291" s="694"/>
      <c r="DG291" s="695"/>
      <c r="DH291" s="695"/>
      <c r="DI291" s="695"/>
      <c r="DJ291" s="695"/>
      <c r="DK291" s="695"/>
      <c r="DL291" s="695"/>
      <c r="DM291" s="695"/>
      <c r="DN291" s="695"/>
      <c r="DO291" s="695"/>
      <c r="DP291" s="695"/>
      <c r="DQ291" s="695"/>
      <c r="DR291" s="695"/>
      <c r="DS291" s="694"/>
      <c r="DT291" s="694"/>
      <c r="DU291" s="694"/>
      <c r="DV291" s="694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4"/>
      <c r="FH291" s="694"/>
      <c r="FI291" s="694"/>
      <c r="FJ291" s="694"/>
      <c r="FK291" s="694"/>
      <c r="FL291" s="694"/>
      <c r="FM291" s="694"/>
      <c r="FN291" s="694"/>
      <c r="FO291" s="694"/>
      <c r="FP291" s="694"/>
      <c r="FQ291" s="697"/>
    </row>
    <row r="292" spans="1:173" s="696" customFormat="1">
      <c r="A292" s="690"/>
      <c r="B292" s="690"/>
      <c r="C292" s="691" t="s">
        <v>3635</v>
      </c>
      <c r="D292" s="691"/>
      <c r="E292" s="692">
        <v>24.9</v>
      </c>
      <c r="F292" s="692"/>
      <c r="G292" s="692"/>
      <c r="H292" s="692"/>
      <c r="I292" s="692"/>
      <c r="J292" s="692"/>
      <c r="K292" s="692"/>
      <c r="L292" s="692"/>
      <c r="M292" s="692"/>
      <c r="N292" s="692"/>
      <c r="O292" s="692">
        <f t="shared" si="97"/>
        <v>24.9</v>
      </c>
      <c r="P292" s="692"/>
      <c r="Q292" s="692"/>
      <c r="R292" s="693"/>
      <c r="S292" s="693"/>
      <c r="T292" s="692"/>
      <c r="U292" s="692" t="s">
        <v>1631</v>
      </c>
      <c r="V292" s="692"/>
      <c r="W292" s="692"/>
      <c r="X292" s="692"/>
      <c r="Y292" s="692"/>
      <c r="Z292" s="692"/>
      <c r="AA292" s="692"/>
      <c r="AB292" s="692"/>
      <c r="AC292" s="692"/>
      <c r="AD292" s="692"/>
      <c r="AE292" s="725"/>
      <c r="AF292" s="957"/>
      <c r="AG292" s="692"/>
      <c r="AH292" s="692"/>
      <c r="AI292" s="692"/>
      <c r="AJ292" s="692"/>
      <c r="AK292" s="692"/>
      <c r="AL292" s="692"/>
      <c r="AM292" s="692"/>
      <c r="AN292" s="692"/>
      <c r="AO292" s="692"/>
      <c r="AP292" s="692"/>
      <c r="AQ292" s="692"/>
      <c r="AR292" s="692"/>
      <c r="AS292" s="692"/>
      <c r="AT292" s="692"/>
      <c r="AU292" s="692"/>
      <c r="AV292" s="692"/>
      <c r="AW292" s="692">
        <v>1</v>
      </c>
      <c r="AX292" s="692"/>
      <c r="AY292" s="692"/>
      <c r="AZ292" s="692">
        <f t="shared" si="88"/>
        <v>2</v>
      </c>
      <c r="BA292" s="692">
        <f t="shared" si="89"/>
        <v>0</v>
      </c>
      <c r="BB292" s="692"/>
      <c r="BC292" s="692"/>
      <c r="BD292" s="692">
        <v>1</v>
      </c>
      <c r="BE292" s="692"/>
      <c r="BF292" s="692"/>
      <c r="BG292" s="692"/>
      <c r="BH292" s="692"/>
      <c r="BI292" s="692">
        <f t="shared" si="90"/>
        <v>5</v>
      </c>
      <c r="BJ292" s="692">
        <f t="shared" si="91"/>
        <v>0</v>
      </c>
      <c r="BK292" s="692"/>
      <c r="BL292" s="692"/>
      <c r="BM292" s="692"/>
      <c r="BN292" s="692"/>
      <c r="BO292" s="692"/>
      <c r="BP292" s="692"/>
      <c r="BQ292" s="692">
        <f t="shared" si="92"/>
        <v>0</v>
      </c>
      <c r="BR292" s="692"/>
      <c r="BS292" s="692">
        <f t="shared" si="93"/>
        <v>1</v>
      </c>
      <c r="BT292" s="692">
        <f t="shared" si="94"/>
        <v>0</v>
      </c>
      <c r="BU292" s="692"/>
      <c r="BV292" s="692"/>
      <c r="BW292" s="692"/>
      <c r="BX292" s="692"/>
      <c r="BY292" s="692"/>
      <c r="BZ292" s="692"/>
      <c r="CA292" s="692"/>
      <c r="CB292" s="692">
        <v>1</v>
      </c>
      <c r="CC292" s="692"/>
      <c r="CD292" s="692">
        <f t="shared" si="95"/>
        <v>4</v>
      </c>
      <c r="CE292" s="692"/>
      <c r="CF292" s="692"/>
      <c r="CG292" s="692"/>
      <c r="CH292" s="692"/>
      <c r="CI292" s="692"/>
      <c r="CJ292" s="692"/>
      <c r="CK292" s="692"/>
      <c r="CL292" s="692"/>
      <c r="CM292" s="692"/>
      <c r="CN292" s="692"/>
      <c r="CO292" s="692"/>
      <c r="CP292" s="692"/>
      <c r="CQ292" s="692"/>
      <c r="CR292" s="692"/>
      <c r="CS292" s="692"/>
      <c r="CT292" s="692"/>
      <c r="CU292" s="692"/>
      <c r="CV292" s="692"/>
      <c r="CW292" s="692"/>
      <c r="CX292" s="694"/>
      <c r="CY292" s="694"/>
      <c r="CZ292" s="694"/>
      <c r="DA292" s="694"/>
      <c r="DB292" s="694"/>
      <c r="DC292" s="694"/>
      <c r="DD292" s="694"/>
      <c r="DE292" s="694"/>
      <c r="DF292" s="694"/>
      <c r="DG292" s="695"/>
      <c r="DH292" s="695"/>
      <c r="DI292" s="695"/>
      <c r="DJ292" s="695"/>
      <c r="DK292" s="695"/>
      <c r="DL292" s="695"/>
      <c r="DM292" s="695"/>
      <c r="DN292" s="695"/>
      <c r="DO292" s="695"/>
      <c r="DP292" s="695"/>
      <c r="DQ292" s="695"/>
      <c r="DR292" s="695"/>
      <c r="DS292" s="694"/>
      <c r="DT292" s="694"/>
      <c r="DU292" s="694"/>
      <c r="DV292" s="694"/>
      <c r="DW292" s="694"/>
      <c r="DX292" s="694"/>
      <c r="DY292" s="694"/>
      <c r="DZ292" s="694"/>
      <c r="EA292" s="694"/>
      <c r="EB292" s="694"/>
      <c r="EC292" s="694"/>
      <c r="ED292" s="694"/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4"/>
      <c r="FH292" s="694"/>
      <c r="FI292" s="694"/>
      <c r="FJ292" s="694"/>
      <c r="FK292" s="694"/>
      <c r="FL292" s="694"/>
      <c r="FM292" s="694"/>
      <c r="FN292" s="694"/>
      <c r="FO292" s="694"/>
      <c r="FP292" s="694"/>
      <c r="FQ292" s="697"/>
    </row>
    <row r="293" spans="1:173" s="696" customFormat="1">
      <c r="A293" s="690"/>
      <c r="B293" s="690"/>
      <c r="C293" s="691" t="s">
        <v>3636</v>
      </c>
      <c r="D293" s="691"/>
      <c r="E293" s="692">
        <v>26</v>
      </c>
      <c r="F293" s="692"/>
      <c r="G293" s="692"/>
      <c r="H293" s="692"/>
      <c r="I293" s="692"/>
      <c r="J293" s="692"/>
      <c r="K293" s="692"/>
      <c r="L293" s="692"/>
      <c r="M293" s="692"/>
      <c r="N293" s="692"/>
      <c r="O293" s="692">
        <f t="shared" si="97"/>
        <v>26</v>
      </c>
      <c r="P293" s="692"/>
      <c r="Q293" s="692"/>
      <c r="R293" s="693"/>
      <c r="S293" s="693"/>
      <c r="T293" s="692"/>
      <c r="U293" s="692" t="s">
        <v>1631</v>
      </c>
      <c r="V293" s="692"/>
      <c r="W293" s="692">
        <v>1</v>
      </c>
      <c r="X293" s="692"/>
      <c r="Y293" s="692"/>
      <c r="Z293" s="692">
        <v>1</v>
      </c>
      <c r="AA293" s="692"/>
      <c r="AB293" s="692"/>
      <c r="AC293" s="692"/>
      <c r="AD293" s="692"/>
      <c r="AE293" s="725"/>
      <c r="AF293" s="957"/>
      <c r="AG293" s="692"/>
      <c r="AH293" s="692"/>
      <c r="AI293" s="692"/>
      <c r="AJ293" s="692"/>
      <c r="AK293" s="692"/>
      <c r="AL293" s="692"/>
      <c r="AM293" s="692"/>
      <c r="AN293" s="692"/>
      <c r="AO293" s="692"/>
      <c r="AP293" s="692"/>
      <c r="AQ293" s="692"/>
      <c r="AR293" s="692"/>
      <c r="AS293" s="692"/>
      <c r="AT293" s="692"/>
      <c r="AU293" s="692"/>
      <c r="AV293" s="692"/>
      <c r="AW293" s="692"/>
      <c r="AX293" s="692"/>
      <c r="AY293" s="692"/>
      <c r="AZ293" s="692">
        <f t="shared" si="88"/>
        <v>0</v>
      </c>
      <c r="BA293" s="692">
        <f t="shared" si="89"/>
        <v>0</v>
      </c>
      <c r="BB293" s="692"/>
      <c r="BC293" s="692"/>
      <c r="BD293" s="692">
        <v>1</v>
      </c>
      <c r="BE293" s="692"/>
      <c r="BF293" s="692"/>
      <c r="BG293" s="692"/>
      <c r="BH293" s="692"/>
      <c r="BI293" s="692">
        <f t="shared" si="90"/>
        <v>0</v>
      </c>
      <c r="BJ293" s="692">
        <f t="shared" si="91"/>
        <v>0</v>
      </c>
      <c r="BK293" s="692"/>
      <c r="BL293" s="692"/>
      <c r="BM293" s="692"/>
      <c r="BN293" s="692"/>
      <c r="BO293" s="692"/>
      <c r="BP293" s="692"/>
      <c r="BQ293" s="692">
        <f t="shared" si="92"/>
        <v>0</v>
      </c>
      <c r="BR293" s="692"/>
      <c r="BS293" s="692">
        <f t="shared" si="93"/>
        <v>1</v>
      </c>
      <c r="BT293" s="692">
        <f t="shared" si="94"/>
        <v>0</v>
      </c>
      <c r="BU293" s="692"/>
      <c r="BV293" s="692"/>
      <c r="BW293" s="692"/>
      <c r="BX293" s="692"/>
      <c r="BY293" s="692"/>
      <c r="BZ293" s="692"/>
      <c r="CA293" s="692"/>
      <c r="CB293" s="692"/>
      <c r="CC293" s="692"/>
      <c r="CD293" s="692">
        <f t="shared" si="95"/>
        <v>0</v>
      </c>
      <c r="CE293" s="692"/>
      <c r="CF293" s="692"/>
      <c r="CG293" s="692"/>
      <c r="CH293" s="692"/>
      <c r="CI293" s="692"/>
      <c r="CJ293" s="692"/>
      <c r="CK293" s="692"/>
      <c r="CL293" s="692"/>
      <c r="CM293" s="692"/>
      <c r="CN293" s="692"/>
      <c r="CO293" s="692"/>
      <c r="CP293" s="692"/>
      <c r="CQ293" s="692"/>
      <c r="CR293" s="692"/>
      <c r="CS293" s="692"/>
      <c r="CT293" s="692"/>
      <c r="CU293" s="692"/>
      <c r="CV293" s="692"/>
      <c r="CW293" s="692"/>
      <c r="CX293" s="694"/>
      <c r="CY293" s="694"/>
      <c r="CZ293" s="694"/>
      <c r="DA293" s="694"/>
      <c r="DB293" s="694"/>
      <c r="DC293" s="694"/>
      <c r="DD293" s="694"/>
      <c r="DE293" s="694"/>
      <c r="DF293" s="694"/>
      <c r="DG293" s="695"/>
      <c r="DH293" s="695"/>
      <c r="DI293" s="695"/>
      <c r="DJ293" s="695"/>
      <c r="DK293" s="695"/>
      <c r="DL293" s="695"/>
      <c r="DM293" s="695"/>
      <c r="DN293" s="695"/>
      <c r="DO293" s="695"/>
      <c r="DP293" s="695"/>
      <c r="DQ293" s="695"/>
      <c r="DR293" s="695"/>
      <c r="DS293" s="694"/>
      <c r="DT293" s="694"/>
      <c r="DU293" s="694"/>
      <c r="DV293" s="694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4"/>
      <c r="FH293" s="694"/>
      <c r="FI293" s="694"/>
      <c r="FJ293" s="694"/>
      <c r="FK293" s="694"/>
      <c r="FL293" s="694"/>
      <c r="FM293" s="694"/>
      <c r="FN293" s="694"/>
      <c r="FO293" s="694"/>
      <c r="FP293" s="694"/>
      <c r="FQ293" s="697"/>
    </row>
    <row r="294" spans="1:173" s="696" customFormat="1">
      <c r="A294" s="690"/>
      <c r="B294" s="690"/>
      <c r="C294" s="691" t="s">
        <v>3637</v>
      </c>
      <c r="D294" s="691"/>
      <c r="E294" s="692">
        <v>26</v>
      </c>
      <c r="F294" s="692"/>
      <c r="G294" s="692"/>
      <c r="H294" s="692"/>
      <c r="I294" s="692"/>
      <c r="J294" s="692"/>
      <c r="K294" s="692"/>
      <c r="L294" s="692"/>
      <c r="M294" s="692"/>
      <c r="N294" s="692"/>
      <c r="O294" s="692">
        <f t="shared" si="97"/>
        <v>26</v>
      </c>
      <c r="P294" s="692"/>
      <c r="Q294" s="692"/>
      <c r="R294" s="693"/>
      <c r="S294" s="693"/>
      <c r="T294" s="692"/>
      <c r="U294" s="692" t="s">
        <v>3718</v>
      </c>
      <c r="V294" s="692"/>
      <c r="W294" s="692"/>
      <c r="X294" s="692"/>
      <c r="Y294" s="692"/>
      <c r="Z294" s="692"/>
      <c r="AA294" s="692"/>
      <c r="AB294" s="692"/>
      <c r="AC294" s="692"/>
      <c r="AD294" s="692"/>
      <c r="AE294" s="725"/>
      <c r="AF294" s="957"/>
      <c r="AG294" s="692"/>
      <c r="AH294" s="692"/>
      <c r="AI294" s="692"/>
      <c r="AJ294" s="692"/>
      <c r="AK294" s="692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>
        <v>1</v>
      </c>
      <c r="AV294" s="692"/>
      <c r="AW294" s="692">
        <v>1</v>
      </c>
      <c r="AX294" s="692"/>
      <c r="AY294" s="692"/>
      <c r="AZ294" s="692">
        <f t="shared" si="88"/>
        <v>2</v>
      </c>
      <c r="BA294" s="692">
        <f t="shared" si="89"/>
        <v>0</v>
      </c>
      <c r="BB294" s="692"/>
      <c r="BC294" s="692"/>
      <c r="BD294" s="692">
        <v>3</v>
      </c>
      <c r="BE294" s="692"/>
      <c r="BF294" s="692"/>
      <c r="BG294" s="692"/>
      <c r="BH294" s="692"/>
      <c r="BI294" s="692">
        <f t="shared" si="90"/>
        <v>7</v>
      </c>
      <c r="BJ294" s="692">
        <f t="shared" si="91"/>
        <v>0</v>
      </c>
      <c r="BK294" s="692"/>
      <c r="BL294" s="692"/>
      <c r="BM294" s="692"/>
      <c r="BN294" s="692"/>
      <c r="BO294" s="692"/>
      <c r="BP294" s="692"/>
      <c r="BQ294" s="692">
        <f t="shared" si="92"/>
        <v>0</v>
      </c>
      <c r="BR294" s="692"/>
      <c r="BS294" s="692">
        <f t="shared" si="93"/>
        <v>0</v>
      </c>
      <c r="BT294" s="692">
        <f t="shared" si="94"/>
        <v>0</v>
      </c>
      <c r="BU294" s="692"/>
      <c r="BV294" s="692"/>
      <c r="BW294" s="692"/>
      <c r="BX294" s="692">
        <v>3</v>
      </c>
      <c r="BY294" s="692"/>
      <c r="BZ294" s="692"/>
      <c r="CA294" s="692"/>
      <c r="CB294" s="692">
        <v>1</v>
      </c>
      <c r="CC294" s="692"/>
      <c r="CD294" s="692">
        <f t="shared" si="95"/>
        <v>4</v>
      </c>
      <c r="CE294" s="692"/>
      <c r="CF294" s="692"/>
      <c r="CG294" s="692"/>
      <c r="CH294" s="692"/>
      <c r="CI294" s="692"/>
      <c r="CJ294" s="692"/>
      <c r="CK294" s="692"/>
      <c r="CL294" s="692"/>
      <c r="CM294" s="692">
        <v>8</v>
      </c>
      <c r="CN294" s="692"/>
      <c r="CO294" s="692"/>
      <c r="CP294" s="692"/>
      <c r="CQ294" s="692"/>
      <c r="CR294" s="692"/>
      <c r="CS294" s="692"/>
      <c r="CT294" s="692"/>
      <c r="CU294" s="692"/>
      <c r="CV294" s="692"/>
      <c r="CW294" s="692"/>
      <c r="CX294" s="694"/>
      <c r="CY294" s="694"/>
      <c r="CZ294" s="694"/>
      <c r="DA294" s="694"/>
      <c r="DB294" s="694"/>
      <c r="DC294" s="694"/>
      <c r="DD294" s="694"/>
      <c r="DE294" s="694"/>
      <c r="DF294" s="694"/>
      <c r="DG294" s="695"/>
      <c r="DH294" s="695"/>
      <c r="DI294" s="695"/>
      <c r="DJ294" s="695"/>
      <c r="DK294" s="695"/>
      <c r="DL294" s="695"/>
      <c r="DM294" s="695"/>
      <c r="DN294" s="695"/>
      <c r="DO294" s="695"/>
      <c r="DP294" s="695"/>
      <c r="DQ294" s="695"/>
      <c r="DR294" s="695"/>
      <c r="DS294" s="694"/>
      <c r="DT294" s="694"/>
      <c r="DU294" s="694"/>
      <c r="DV294" s="694"/>
      <c r="DW294" s="694"/>
      <c r="DX294" s="694"/>
      <c r="DY294" s="694"/>
      <c r="DZ294" s="694"/>
      <c r="EA294" s="694"/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4"/>
      <c r="FH294" s="694"/>
      <c r="FI294" s="694"/>
      <c r="FJ294" s="694"/>
      <c r="FK294" s="694"/>
      <c r="FL294" s="694"/>
      <c r="FM294" s="694"/>
      <c r="FN294" s="694"/>
      <c r="FO294" s="694"/>
      <c r="FP294" s="694"/>
      <c r="FQ294" s="697"/>
    </row>
    <row r="295" spans="1:173" s="696" customFormat="1">
      <c r="A295" s="690"/>
      <c r="B295" s="690"/>
      <c r="C295" s="691" t="s">
        <v>3638</v>
      </c>
      <c r="D295" s="691"/>
      <c r="E295" s="692">
        <v>25</v>
      </c>
      <c r="F295" s="692"/>
      <c r="G295" s="692"/>
      <c r="H295" s="692"/>
      <c r="I295" s="692"/>
      <c r="J295" s="692"/>
      <c r="K295" s="692"/>
      <c r="L295" s="692"/>
      <c r="M295" s="692"/>
      <c r="N295" s="692"/>
      <c r="O295" s="692">
        <f t="shared" si="97"/>
        <v>25</v>
      </c>
      <c r="P295" s="692"/>
      <c r="Q295" s="692"/>
      <c r="R295" s="693"/>
      <c r="S295" s="693"/>
      <c r="T295" s="692"/>
      <c r="U295" s="692" t="s">
        <v>1631</v>
      </c>
      <c r="V295" s="692"/>
      <c r="W295" s="692">
        <v>1</v>
      </c>
      <c r="X295" s="692"/>
      <c r="Y295" s="692"/>
      <c r="Z295" s="692">
        <v>1</v>
      </c>
      <c r="AA295" s="692"/>
      <c r="AB295" s="692"/>
      <c r="AC295" s="692"/>
      <c r="AD295" s="692"/>
      <c r="AE295" s="725"/>
      <c r="AF295" s="957"/>
      <c r="AG295" s="692"/>
      <c r="AH295" s="692"/>
      <c r="AI295" s="692"/>
      <c r="AJ295" s="692"/>
      <c r="AK295" s="692"/>
      <c r="AL295" s="692"/>
      <c r="AM295" s="692"/>
      <c r="AN295" s="692"/>
      <c r="AO295" s="692"/>
      <c r="AP295" s="692"/>
      <c r="AQ295" s="692"/>
      <c r="AR295" s="692"/>
      <c r="AS295" s="692"/>
      <c r="AT295" s="692"/>
      <c r="AU295" s="692"/>
      <c r="AV295" s="692"/>
      <c r="AW295" s="692"/>
      <c r="AX295" s="692"/>
      <c r="AY295" s="692"/>
      <c r="AZ295" s="692">
        <f t="shared" si="88"/>
        <v>0</v>
      </c>
      <c r="BA295" s="692">
        <f t="shared" si="89"/>
        <v>0</v>
      </c>
      <c r="BB295" s="692"/>
      <c r="BC295" s="692"/>
      <c r="BD295" s="692">
        <v>1</v>
      </c>
      <c r="BE295" s="692"/>
      <c r="BF295" s="692"/>
      <c r="BG295" s="692"/>
      <c r="BH295" s="692"/>
      <c r="BI295" s="692">
        <f t="shared" si="90"/>
        <v>0</v>
      </c>
      <c r="BJ295" s="692">
        <f t="shared" si="91"/>
        <v>0</v>
      </c>
      <c r="BK295" s="692"/>
      <c r="BL295" s="692"/>
      <c r="BM295" s="692"/>
      <c r="BN295" s="692"/>
      <c r="BO295" s="692"/>
      <c r="BP295" s="692"/>
      <c r="BQ295" s="692">
        <f t="shared" si="92"/>
        <v>0</v>
      </c>
      <c r="BR295" s="692"/>
      <c r="BS295" s="692">
        <f t="shared" si="93"/>
        <v>1</v>
      </c>
      <c r="BT295" s="692">
        <f t="shared" si="94"/>
        <v>0</v>
      </c>
      <c r="BU295" s="692"/>
      <c r="BV295" s="692"/>
      <c r="BW295" s="692"/>
      <c r="BX295" s="692"/>
      <c r="BY295" s="692"/>
      <c r="BZ295" s="692"/>
      <c r="CA295" s="692"/>
      <c r="CB295" s="692"/>
      <c r="CC295" s="692"/>
      <c r="CD295" s="692">
        <f t="shared" si="95"/>
        <v>0</v>
      </c>
      <c r="CE295" s="692"/>
      <c r="CF295" s="692"/>
      <c r="CG295" s="692"/>
      <c r="CH295" s="692"/>
      <c r="CI295" s="692"/>
      <c r="CJ295" s="692"/>
      <c r="CK295" s="692"/>
      <c r="CL295" s="692"/>
      <c r="CM295" s="692"/>
      <c r="CN295" s="692"/>
      <c r="CO295" s="692"/>
      <c r="CP295" s="692"/>
      <c r="CQ295" s="692"/>
      <c r="CR295" s="692"/>
      <c r="CS295" s="692"/>
      <c r="CT295" s="692"/>
      <c r="CU295" s="692"/>
      <c r="CV295" s="692"/>
      <c r="CW295" s="692"/>
      <c r="CX295" s="694"/>
      <c r="CY295" s="694"/>
      <c r="CZ295" s="694"/>
      <c r="DA295" s="694"/>
      <c r="DB295" s="694"/>
      <c r="DC295" s="694"/>
      <c r="DD295" s="694"/>
      <c r="DE295" s="694"/>
      <c r="DF295" s="694"/>
      <c r="DG295" s="695"/>
      <c r="DH295" s="695"/>
      <c r="DI295" s="695"/>
      <c r="DJ295" s="695"/>
      <c r="DK295" s="695"/>
      <c r="DL295" s="695"/>
      <c r="DM295" s="695"/>
      <c r="DN295" s="695"/>
      <c r="DO295" s="695"/>
      <c r="DP295" s="695"/>
      <c r="DQ295" s="695"/>
      <c r="DR295" s="695"/>
      <c r="DS295" s="694"/>
      <c r="DT295" s="694"/>
      <c r="DU295" s="694"/>
      <c r="DV295" s="694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4"/>
      <c r="FH295" s="694"/>
      <c r="FI295" s="694"/>
      <c r="FJ295" s="694"/>
      <c r="FK295" s="694"/>
      <c r="FL295" s="694"/>
      <c r="FM295" s="694"/>
      <c r="FN295" s="694"/>
      <c r="FO295" s="694"/>
      <c r="FP295" s="694"/>
      <c r="FQ295" s="697"/>
    </row>
    <row r="296" spans="1:173" s="696" customFormat="1">
      <c r="A296" s="690"/>
      <c r="B296" s="690"/>
      <c r="C296" s="691" t="s">
        <v>3639</v>
      </c>
      <c r="D296" s="691"/>
      <c r="E296" s="692">
        <v>24.9</v>
      </c>
      <c r="F296" s="692"/>
      <c r="G296" s="692"/>
      <c r="H296" s="692"/>
      <c r="I296" s="692"/>
      <c r="J296" s="692"/>
      <c r="K296" s="692"/>
      <c r="L296" s="692"/>
      <c r="M296" s="692"/>
      <c r="N296" s="692"/>
      <c r="O296" s="692">
        <f t="shared" si="97"/>
        <v>24.9</v>
      </c>
      <c r="P296" s="692"/>
      <c r="Q296" s="692"/>
      <c r="R296" s="693"/>
      <c r="S296" s="693"/>
      <c r="T296" s="692"/>
      <c r="U296" s="692" t="s">
        <v>2990</v>
      </c>
      <c r="V296" s="692"/>
      <c r="W296" s="692"/>
      <c r="X296" s="692"/>
      <c r="Y296" s="692"/>
      <c r="Z296" s="692"/>
      <c r="AA296" s="692"/>
      <c r="AB296" s="692"/>
      <c r="AC296" s="692"/>
      <c r="AD296" s="692"/>
      <c r="AE296" s="725"/>
      <c r="AF296" s="957"/>
      <c r="AG296" s="692"/>
      <c r="AH296" s="692"/>
      <c r="AI296" s="692"/>
      <c r="AJ296" s="692"/>
      <c r="AK296" s="692"/>
      <c r="AL296" s="692"/>
      <c r="AM296" s="692"/>
      <c r="AN296" s="692"/>
      <c r="AO296" s="692"/>
      <c r="AP296" s="692"/>
      <c r="AQ296" s="692"/>
      <c r="AR296" s="692"/>
      <c r="AS296" s="692"/>
      <c r="AT296" s="692"/>
      <c r="AU296" s="692"/>
      <c r="AV296" s="692"/>
      <c r="AW296" s="692">
        <v>1</v>
      </c>
      <c r="AX296" s="692"/>
      <c r="AY296" s="692"/>
      <c r="AZ296" s="692">
        <f t="shared" si="88"/>
        <v>2</v>
      </c>
      <c r="BA296" s="692">
        <f t="shared" si="89"/>
        <v>0</v>
      </c>
      <c r="BB296" s="692"/>
      <c r="BC296" s="692"/>
      <c r="BD296" s="692">
        <v>1</v>
      </c>
      <c r="BE296" s="692"/>
      <c r="BF296" s="692"/>
      <c r="BG296" s="692"/>
      <c r="BH296" s="692"/>
      <c r="BI296" s="692">
        <f t="shared" si="90"/>
        <v>5</v>
      </c>
      <c r="BJ296" s="692">
        <f t="shared" si="91"/>
        <v>0</v>
      </c>
      <c r="BK296" s="692"/>
      <c r="BL296" s="692"/>
      <c r="BM296" s="692"/>
      <c r="BN296" s="692"/>
      <c r="BO296" s="692"/>
      <c r="BP296" s="692"/>
      <c r="BQ296" s="692">
        <f t="shared" si="92"/>
        <v>0</v>
      </c>
      <c r="BR296" s="692"/>
      <c r="BS296" s="692">
        <f t="shared" si="93"/>
        <v>0</v>
      </c>
      <c r="BT296" s="692">
        <f t="shared" si="94"/>
        <v>0</v>
      </c>
      <c r="BU296" s="692"/>
      <c r="BV296" s="692"/>
      <c r="BW296" s="692"/>
      <c r="BX296" s="692">
        <v>1</v>
      </c>
      <c r="BY296" s="692"/>
      <c r="BZ296" s="692"/>
      <c r="CA296" s="692"/>
      <c r="CB296" s="692">
        <v>1</v>
      </c>
      <c r="CC296" s="692"/>
      <c r="CD296" s="692">
        <f t="shared" si="95"/>
        <v>4</v>
      </c>
      <c r="CE296" s="692"/>
      <c r="CF296" s="692"/>
      <c r="CG296" s="692"/>
      <c r="CH296" s="692"/>
      <c r="CI296" s="692"/>
      <c r="CJ296" s="692"/>
      <c r="CK296" s="692"/>
      <c r="CL296" s="692"/>
      <c r="CM296" s="692"/>
      <c r="CN296" s="692"/>
      <c r="CO296" s="692"/>
      <c r="CP296" s="692"/>
      <c r="CQ296" s="692"/>
      <c r="CR296" s="692"/>
      <c r="CS296" s="692"/>
      <c r="CT296" s="692"/>
      <c r="CU296" s="692"/>
      <c r="CV296" s="692"/>
      <c r="CW296" s="692"/>
      <c r="CX296" s="694"/>
      <c r="CY296" s="694"/>
      <c r="CZ296" s="694"/>
      <c r="DA296" s="694"/>
      <c r="DB296" s="694"/>
      <c r="DC296" s="694"/>
      <c r="DD296" s="694"/>
      <c r="DE296" s="694"/>
      <c r="DF296" s="694"/>
      <c r="DG296" s="695"/>
      <c r="DH296" s="695"/>
      <c r="DI296" s="695"/>
      <c r="DJ296" s="695"/>
      <c r="DK296" s="695"/>
      <c r="DL296" s="695"/>
      <c r="DM296" s="695"/>
      <c r="DN296" s="695"/>
      <c r="DO296" s="695"/>
      <c r="DP296" s="695"/>
      <c r="DQ296" s="695"/>
      <c r="DR296" s="695"/>
      <c r="DS296" s="694"/>
      <c r="DT296" s="694"/>
      <c r="DU296" s="694"/>
      <c r="DV296" s="694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4"/>
      <c r="FH296" s="694"/>
      <c r="FI296" s="694"/>
      <c r="FJ296" s="694"/>
      <c r="FK296" s="694"/>
      <c r="FL296" s="694"/>
      <c r="FM296" s="694"/>
      <c r="FN296" s="694"/>
      <c r="FO296" s="694"/>
      <c r="FP296" s="694"/>
      <c r="FQ296" s="697"/>
    </row>
    <row r="297" spans="1:173" s="696" customFormat="1">
      <c r="A297" s="690"/>
      <c r="B297" s="690"/>
      <c r="C297" s="691" t="s">
        <v>3640</v>
      </c>
      <c r="D297" s="691"/>
      <c r="E297" s="692">
        <v>42.1</v>
      </c>
      <c r="F297" s="692"/>
      <c r="G297" s="692"/>
      <c r="H297" s="692"/>
      <c r="I297" s="692"/>
      <c r="J297" s="692"/>
      <c r="K297" s="692"/>
      <c r="L297" s="692"/>
      <c r="M297" s="692"/>
      <c r="N297" s="692"/>
      <c r="O297" s="692">
        <f t="shared" si="97"/>
        <v>42.1</v>
      </c>
      <c r="P297" s="692"/>
      <c r="Q297" s="692"/>
      <c r="R297" s="693"/>
      <c r="S297" s="693"/>
      <c r="T297" s="692"/>
      <c r="U297" s="692" t="s">
        <v>2990</v>
      </c>
      <c r="V297" s="692"/>
      <c r="W297" s="692"/>
      <c r="X297" s="692"/>
      <c r="Y297" s="692"/>
      <c r="Z297" s="692"/>
      <c r="AA297" s="692"/>
      <c r="AB297" s="692"/>
      <c r="AC297" s="692"/>
      <c r="AD297" s="692"/>
      <c r="AE297" s="725"/>
      <c r="AF297" s="957"/>
      <c r="AG297" s="692"/>
      <c r="AH297" s="692"/>
      <c r="AI297" s="692"/>
      <c r="AJ297" s="692"/>
      <c r="AK297" s="692"/>
      <c r="AL297" s="692"/>
      <c r="AM297" s="692"/>
      <c r="AN297" s="692"/>
      <c r="AO297" s="692"/>
      <c r="AP297" s="692"/>
      <c r="AQ297" s="692"/>
      <c r="AR297" s="692"/>
      <c r="AS297" s="692"/>
      <c r="AT297" s="692"/>
      <c r="AU297" s="692"/>
      <c r="AV297" s="692"/>
      <c r="AW297" s="692"/>
      <c r="AX297" s="692"/>
      <c r="AY297" s="692"/>
      <c r="AZ297" s="692">
        <f t="shared" si="88"/>
        <v>0</v>
      </c>
      <c r="BA297" s="692">
        <f t="shared" si="89"/>
        <v>0</v>
      </c>
      <c r="BB297" s="692"/>
      <c r="BC297" s="692"/>
      <c r="BD297" s="692">
        <v>1</v>
      </c>
      <c r="BE297" s="692"/>
      <c r="BF297" s="692"/>
      <c r="BG297" s="692"/>
      <c r="BH297" s="692"/>
      <c r="BI297" s="692">
        <f t="shared" si="90"/>
        <v>0</v>
      </c>
      <c r="BJ297" s="692">
        <f t="shared" si="91"/>
        <v>0</v>
      </c>
      <c r="BK297" s="692"/>
      <c r="BL297" s="692"/>
      <c r="BM297" s="692"/>
      <c r="BN297" s="692"/>
      <c r="BO297" s="692"/>
      <c r="BP297" s="692"/>
      <c r="BQ297" s="692">
        <f t="shared" si="92"/>
        <v>0</v>
      </c>
      <c r="BR297" s="692"/>
      <c r="BS297" s="692">
        <f t="shared" si="93"/>
        <v>0</v>
      </c>
      <c r="BT297" s="692">
        <f t="shared" si="94"/>
        <v>0</v>
      </c>
      <c r="BU297" s="692"/>
      <c r="BV297" s="692"/>
      <c r="BW297" s="692"/>
      <c r="BX297" s="692">
        <v>1</v>
      </c>
      <c r="BY297" s="692"/>
      <c r="BZ297" s="692"/>
      <c r="CA297" s="692"/>
      <c r="CB297" s="692"/>
      <c r="CC297" s="692"/>
      <c r="CD297" s="692">
        <f t="shared" si="95"/>
        <v>0</v>
      </c>
      <c r="CE297" s="692"/>
      <c r="CF297" s="692"/>
      <c r="CG297" s="692"/>
      <c r="CH297" s="692"/>
      <c r="CI297" s="692"/>
      <c r="CJ297" s="692"/>
      <c r="CK297" s="692"/>
      <c r="CL297" s="692"/>
      <c r="CM297" s="692"/>
      <c r="CN297" s="692"/>
      <c r="CO297" s="692"/>
      <c r="CP297" s="692"/>
      <c r="CQ297" s="692"/>
      <c r="CR297" s="692"/>
      <c r="CS297" s="692"/>
      <c r="CT297" s="692"/>
      <c r="CU297" s="692"/>
      <c r="CV297" s="692"/>
      <c r="CW297" s="692"/>
      <c r="CX297" s="694"/>
      <c r="CY297" s="694"/>
      <c r="CZ297" s="694"/>
      <c r="DA297" s="694"/>
      <c r="DB297" s="694"/>
      <c r="DC297" s="694"/>
      <c r="DD297" s="694"/>
      <c r="DE297" s="694"/>
      <c r="DF297" s="694"/>
      <c r="DG297" s="695"/>
      <c r="DH297" s="695"/>
      <c r="DI297" s="695"/>
      <c r="DJ297" s="695"/>
      <c r="DK297" s="695"/>
      <c r="DL297" s="695"/>
      <c r="DM297" s="695"/>
      <c r="DN297" s="695"/>
      <c r="DO297" s="695"/>
      <c r="DP297" s="695"/>
      <c r="DQ297" s="695"/>
      <c r="DR297" s="695"/>
      <c r="DS297" s="694"/>
      <c r="DT297" s="694"/>
      <c r="DU297" s="694"/>
      <c r="DV297" s="694"/>
      <c r="DW297" s="694"/>
      <c r="DX297" s="694"/>
      <c r="DY297" s="694"/>
      <c r="DZ297" s="694"/>
      <c r="EA297" s="694"/>
      <c r="EB297" s="694"/>
      <c r="EC297" s="694"/>
      <c r="ED297" s="694"/>
      <c r="EE297" s="694"/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4"/>
      <c r="FH297" s="694"/>
      <c r="FI297" s="694"/>
      <c r="FJ297" s="694"/>
      <c r="FK297" s="694"/>
      <c r="FL297" s="694"/>
      <c r="FM297" s="694"/>
      <c r="FN297" s="694"/>
      <c r="FO297" s="694"/>
      <c r="FP297" s="694"/>
      <c r="FQ297" s="697"/>
    </row>
    <row r="298" spans="1:173" s="696" customFormat="1">
      <c r="A298" s="690"/>
      <c r="B298" s="690"/>
      <c r="C298" s="691"/>
      <c r="D298" s="691"/>
      <c r="E298" s="692"/>
      <c r="F298" s="692"/>
      <c r="G298" s="692"/>
      <c r="H298" s="692"/>
      <c r="I298" s="692"/>
      <c r="J298" s="692"/>
      <c r="K298" s="692"/>
      <c r="L298" s="692"/>
      <c r="M298" s="692"/>
      <c r="N298" s="692"/>
      <c r="O298" s="692"/>
      <c r="P298" s="692"/>
      <c r="Q298" s="692"/>
      <c r="R298" s="693"/>
      <c r="S298" s="693"/>
      <c r="T298" s="692"/>
      <c r="U298" s="692"/>
      <c r="V298" s="692"/>
      <c r="W298" s="692"/>
      <c r="X298" s="692"/>
      <c r="Y298" s="692"/>
      <c r="Z298" s="692"/>
      <c r="AA298" s="692"/>
      <c r="AB298" s="692"/>
      <c r="AC298" s="692"/>
      <c r="AD298" s="692"/>
      <c r="AE298" s="725"/>
      <c r="AF298" s="957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>
        <f t="shared" si="88"/>
        <v>0</v>
      </c>
      <c r="BA298" s="692">
        <f t="shared" si="89"/>
        <v>0</v>
      </c>
      <c r="BB298" s="692"/>
      <c r="BC298" s="692"/>
      <c r="BD298" s="692"/>
      <c r="BE298" s="692"/>
      <c r="BF298" s="692"/>
      <c r="BG298" s="692"/>
      <c r="BH298" s="692"/>
      <c r="BI298" s="692">
        <f t="shared" si="90"/>
        <v>0</v>
      </c>
      <c r="BJ298" s="692">
        <f t="shared" si="91"/>
        <v>0</v>
      </c>
      <c r="BK298" s="692"/>
      <c r="BL298" s="692"/>
      <c r="BM298" s="692"/>
      <c r="BN298" s="692"/>
      <c r="BO298" s="692"/>
      <c r="BP298" s="692"/>
      <c r="BQ298" s="692">
        <f t="shared" si="92"/>
        <v>0</v>
      </c>
      <c r="BR298" s="692"/>
      <c r="BS298" s="692">
        <f t="shared" si="93"/>
        <v>0</v>
      </c>
      <c r="BT298" s="692">
        <f t="shared" si="94"/>
        <v>0</v>
      </c>
      <c r="BU298" s="692"/>
      <c r="BV298" s="692"/>
      <c r="BW298" s="692"/>
      <c r="BX298" s="692"/>
      <c r="BY298" s="692"/>
      <c r="BZ298" s="692"/>
      <c r="CA298" s="692"/>
      <c r="CB298" s="692"/>
      <c r="CC298" s="692"/>
      <c r="CD298" s="692">
        <f t="shared" si="95"/>
        <v>0</v>
      </c>
      <c r="CE298" s="692"/>
      <c r="CF298" s="692"/>
      <c r="CG298" s="692"/>
      <c r="CH298" s="692"/>
      <c r="CI298" s="692"/>
      <c r="CJ298" s="692"/>
      <c r="CK298" s="692"/>
      <c r="CL298" s="692"/>
      <c r="CM298" s="692"/>
      <c r="CN298" s="692"/>
      <c r="CO298" s="692"/>
      <c r="CP298" s="692"/>
      <c r="CQ298" s="692"/>
      <c r="CR298" s="692"/>
      <c r="CS298" s="692"/>
      <c r="CT298" s="692"/>
      <c r="CU298" s="692"/>
      <c r="CV298" s="692"/>
      <c r="CW298" s="692"/>
      <c r="CX298" s="694"/>
      <c r="CY298" s="694"/>
      <c r="CZ298" s="694"/>
      <c r="DA298" s="694"/>
      <c r="DB298" s="694"/>
      <c r="DC298" s="694"/>
      <c r="DD298" s="694"/>
      <c r="DE298" s="694"/>
      <c r="DF298" s="694"/>
      <c r="DG298" s="695"/>
      <c r="DH298" s="695"/>
      <c r="DI298" s="695"/>
      <c r="DJ298" s="695"/>
      <c r="DK298" s="695"/>
      <c r="DL298" s="695"/>
      <c r="DM298" s="695"/>
      <c r="DN298" s="695"/>
      <c r="DO298" s="695"/>
      <c r="DP298" s="695"/>
      <c r="DQ298" s="695"/>
      <c r="DR298" s="695"/>
      <c r="DS298" s="694"/>
      <c r="DT298" s="694"/>
      <c r="DU298" s="694"/>
      <c r="DV298" s="694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4"/>
      <c r="FH298" s="694"/>
      <c r="FI298" s="694"/>
      <c r="FJ298" s="694"/>
      <c r="FK298" s="694"/>
      <c r="FL298" s="694"/>
      <c r="FM298" s="694"/>
      <c r="FN298" s="694"/>
      <c r="FO298" s="694"/>
      <c r="FP298" s="694"/>
      <c r="FQ298" s="697"/>
    </row>
    <row r="299" spans="1:173" s="696" customFormat="1">
      <c r="A299" s="690"/>
      <c r="B299" s="690"/>
      <c r="C299" s="691"/>
      <c r="D299" s="699" t="s">
        <v>3717</v>
      </c>
      <c r="E299" s="692"/>
      <c r="F299" s="692"/>
      <c r="G299" s="692"/>
      <c r="H299" s="692"/>
      <c r="I299" s="692"/>
      <c r="J299" s="692"/>
      <c r="K299" s="692"/>
      <c r="L299" s="692"/>
      <c r="M299" s="692"/>
      <c r="N299" s="692"/>
      <c r="O299" s="692"/>
      <c r="P299" s="692"/>
      <c r="Q299" s="692"/>
      <c r="R299" s="693"/>
      <c r="S299" s="693"/>
      <c r="T299" s="692"/>
      <c r="U299" s="692"/>
      <c r="V299" s="692"/>
      <c r="W299" s="692"/>
      <c r="X299" s="692"/>
      <c r="Y299" s="692"/>
      <c r="Z299" s="692"/>
      <c r="AA299" s="692"/>
      <c r="AB299" s="692"/>
      <c r="AC299" s="692"/>
      <c r="AD299" s="692"/>
      <c r="AE299" s="725"/>
      <c r="AF299" s="957"/>
      <c r="AG299" s="692"/>
      <c r="AH299" s="692"/>
      <c r="AI299" s="692"/>
      <c r="AJ299" s="692"/>
      <c r="AK299" s="692"/>
      <c r="AL299" s="692"/>
      <c r="AM299" s="692"/>
      <c r="AN299" s="692"/>
      <c r="AO299" s="692"/>
      <c r="AP299" s="692"/>
      <c r="AQ299" s="692"/>
      <c r="AR299" s="692"/>
      <c r="AS299" s="692"/>
      <c r="AT299" s="692"/>
      <c r="AU299" s="692"/>
      <c r="AV299" s="692"/>
      <c r="AW299" s="692"/>
      <c r="AX299" s="692"/>
      <c r="AY299" s="692"/>
      <c r="AZ299" s="692">
        <f t="shared" si="88"/>
        <v>0</v>
      </c>
      <c r="BA299" s="692">
        <f t="shared" si="89"/>
        <v>0</v>
      </c>
      <c r="BB299" s="692"/>
      <c r="BC299" s="692"/>
      <c r="BD299" s="692"/>
      <c r="BE299" s="692"/>
      <c r="BF299" s="692"/>
      <c r="BG299" s="692"/>
      <c r="BH299" s="692"/>
      <c r="BI299" s="692">
        <f t="shared" si="90"/>
        <v>0</v>
      </c>
      <c r="BJ299" s="692">
        <f t="shared" si="91"/>
        <v>0</v>
      </c>
      <c r="BK299" s="692"/>
      <c r="BL299" s="692"/>
      <c r="BM299" s="692"/>
      <c r="BN299" s="692"/>
      <c r="BO299" s="692"/>
      <c r="BP299" s="692"/>
      <c r="BQ299" s="692">
        <f t="shared" si="92"/>
        <v>0</v>
      </c>
      <c r="BR299" s="692"/>
      <c r="BS299" s="692">
        <f t="shared" si="93"/>
        <v>0</v>
      </c>
      <c r="BT299" s="692">
        <f t="shared" si="94"/>
        <v>0</v>
      </c>
      <c r="BU299" s="692"/>
      <c r="BV299" s="692"/>
      <c r="BW299" s="692"/>
      <c r="BX299" s="692"/>
      <c r="BY299" s="692"/>
      <c r="BZ299" s="692"/>
      <c r="CA299" s="692"/>
      <c r="CB299" s="692"/>
      <c r="CC299" s="692"/>
      <c r="CD299" s="692">
        <f t="shared" si="95"/>
        <v>0</v>
      </c>
      <c r="CE299" s="692"/>
      <c r="CF299" s="692"/>
      <c r="CG299" s="692"/>
      <c r="CH299" s="692"/>
      <c r="CI299" s="692"/>
      <c r="CJ299" s="692"/>
      <c r="CK299" s="692"/>
      <c r="CL299" s="692"/>
      <c r="CM299" s="692"/>
      <c r="CN299" s="692"/>
      <c r="CO299" s="692"/>
      <c r="CP299" s="692"/>
      <c r="CQ299" s="692"/>
      <c r="CR299" s="692"/>
      <c r="CS299" s="692"/>
      <c r="CT299" s="692"/>
      <c r="CU299" s="692"/>
      <c r="CV299" s="692"/>
      <c r="CW299" s="692"/>
      <c r="CX299" s="694"/>
      <c r="CY299" s="694"/>
      <c r="CZ299" s="694"/>
      <c r="DA299" s="694"/>
      <c r="DB299" s="694"/>
      <c r="DC299" s="694"/>
      <c r="DD299" s="694"/>
      <c r="DE299" s="694"/>
      <c r="DF299" s="694"/>
      <c r="DG299" s="695"/>
      <c r="DH299" s="695"/>
      <c r="DI299" s="695"/>
      <c r="DJ299" s="695"/>
      <c r="DK299" s="695"/>
      <c r="DL299" s="695"/>
      <c r="DM299" s="695"/>
      <c r="DN299" s="695"/>
      <c r="DO299" s="695"/>
      <c r="DP299" s="695"/>
      <c r="DQ299" s="695"/>
      <c r="DR299" s="695"/>
      <c r="DS299" s="694"/>
      <c r="DT299" s="694"/>
      <c r="DU299" s="694"/>
      <c r="DV299" s="694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4"/>
      <c r="FH299" s="694"/>
      <c r="FI299" s="694"/>
      <c r="FJ299" s="694"/>
      <c r="FK299" s="694"/>
      <c r="FL299" s="694"/>
      <c r="FM299" s="694"/>
      <c r="FN299" s="694"/>
      <c r="FO299" s="694"/>
      <c r="FP299" s="694"/>
      <c r="FQ299" s="697"/>
    </row>
    <row r="300" spans="1:173" s="696" customFormat="1">
      <c r="A300" s="690"/>
      <c r="B300" s="690"/>
      <c r="C300" s="691" t="s">
        <v>3632</v>
      </c>
      <c r="D300" s="691"/>
      <c r="E300" s="692">
        <v>49.5</v>
      </c>
      <c r="F300" s="692"/>
      <c r="G300" s="692"/>
      <c r="H300" s="692"/>
      <c r="I300" s="692"/>
      <c r="J300" s="692"/>
      <c r="K300" s="692"/>
      <c r="L300" s="692"/>
      <c r="M300" s="692"/>
      <c r="N300" s="692"/>
      <c r="O300" s="692">
        <f>E300</f>
        <v>49.5</v>
      </c>
      <c r="P300" s="692"/>
      <c r="Q300" s="692"/>
      <c r="R300" s="693"/>
      <c r="S300" s="693"/>
      <c r="T300" s="692"/>
      <c r="U300" s="692" t="s">
        <v>2990</v>
      </c>
      <c r="V300" s="692"/>
      <c r="W300" s="692"/>
      <c r="X300" s="692"/>
      <c r="Y300" s="692"/>
      <c r="Z300" s="692"/>
      <c r="AA300" s="692"/>
      <c r="AB300" s="692"/>
      <c r="AC300" s="692"/>
      <c r="AD300" s="692"/>
      <c r="AE300" s="725"/>
      <c r="AF300" s="957"/>
      <c r="AG300" s="692"/>
      <c r="AH300" s="692"/>
      <c r="AI300" s="692"/>
      <c r="AJ300" s="692"/>
      <c r="AK300" s="692"/>
      <c r="AL300" s="692"/>
      <c r="AM300" s="692"/>
      <c r="AN300" s="692"/>
      <c r="AO300" s="692"/>
      <c r="AP300" s="692"/>
      <c r="AQ300" s="692"/>
      <c r="AR300" s="692"/>
      <c r="AS300" s="692"/>
      <c r="AT300" s="692"/>
      <c r="AU300" s="692"/>
      <c r="AV300" s="692"/>
      <c r="AW300" s="692">
        <v>1</v>
      </c>
      <c r="AX300" s="692"/>
      <c r="AY300" s="692"/>
      <c r="AZ300" s="692">
        <f t="shared" si="88"/>
        <v>2</v>
      </c>
      <c r="BA300" s="692">
        <f t="shared" si="89"/>
        <v>0</v>
      </c>
      <c r="BB300" s="692"/>
      <c r="BC300" s="692"/>
      <c r="BD300" s="692">
        <v>1</v>
      </c>
      <c r="BE300" s="692"/>
      <c r="BF300" s="692"/>
      <c r="BG300" s="692"/>
      <c r="BH300" s="692"/>
      <c r="BI300" s="692">
        <f t="shared" si="90"/>
        <v>5</v>
      </c>
      <c r="BJ300" s="692">
        <f t="shared" si="91"/>
        <v>0</v>
      </c>
      <c r="BK300" s="692"/>
      <c r="BL300" s="692"/>
      <c r="BM300" s="692"/>
      <c r="BN300" s="692"/>
      <c r="BO300" s="692"/>
      <c r="BP300" s="692"/>
      <c r="BQ300" s="692">
        <f t="shared" si="92"/>
        <v>0</v>
      </c>
      <c r="BR300" s="692"/>
      <c r="BS300" s="692">
        <f t="shared" si="93"/>
        <v>0</v>
      </c>
      <c r="BT300" s="692">
        <f t="shared" si="94"/>
        <v>0</v>
      </c>
      <c r="BU300" s="692"/>
      <c r="BV300" s="692"/>
      <c r="BW300" s="692"/>
      <c r="BX300" s="692">
        <v>1</v>
      </c>
      <c r="BY300" s="692"/>
      <c r="BZ300" s="692"/>
      <c r="CA300" s="692"/>
      <c r="CB300" s="692">
        <v>1</v>
      </c>
      <c r="CC300" s="692"/>
      <c r="CD300" s="692">
        <f t="shared" si="95"/>
        <v>4</v>
      </c>
      <c r="CE300" s="692"/>
      <c r="CF300" s="692"/>
      <c r="CG300" s="692"/>
      <c r="CH300" s="692"/>
      <c r="CI300" s="692"/>
      <c r="CJ300" s="692"/>
      <c r="CK300" s="692"/>
      <c r="CL300" s="692"/>
      <c r="CM300" s="692"/>
      <c r="CN300" s="692"/>
      <c r="CO300" s="692"/>
      <c r="CP300" s="692"/>
      <c r="CQ300" s="692"/>
      <c r="CR300" s="692"/>
      <c r="CS300" s="692"/>
      <c r="CT300" s="692"/>
      <c r="CU300" s="692"/>
      <c r="CV300" s="692"/>
      <c r="CW300" s="692"/>
      <c r="CX300" s="694"/>
      <c r="CY300" s="694"/>
      <c r="CZ300" s="694"/>
      <c r="DA300" s="694"/>
      <c r="DB300" s="694"/>
      <c r="DC300" s="694"/>
      <c r="DD300" s="694"/>
      <c r="DE300" s="694"/>
      <c r="DF300" s="694"/>
      <c r="DG300" s="695"/>
      <c r="DH300" s="695"/>
      <c r="DI300" s="695"/>
      <c r="DJ300" s="695"/>
      <c r="DK300" s="695"/>
      <c r="DL300" s="695"/>
      <c r="DM300" s="695"/>
      <c r="DN300" s="695"/>
      <c r="DO300" s="695"/>
      <c r="DP300" s="695"/>
      <c r="DQ300" s="695"/>
      <c r="DR300" s="695"/>
      <c r="DS300" s="694"/>
      <c r="DT300" s="694"/>
      <c r="DU300" s="694"/>
      <c r="DV300" s="694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4"/>
      <c r="FH300" s="694"/>
      <c r="FI300" s="694"/>
      <c r="FJ300" s="694"/>
      <c r="FK300" s="694"/>
      <c r="FL300" s="694"/>
      <c r="FM300" s="694"/>
      <c r="FN300" s="694"/>
      <c r="FO300" s="694"/>
      <c r="FP300" s="694"/>
      <c r="FQ300" s="697"/>
    </row>
    <row r="301" spans="1:173" s="696" customFormat="1">
      <c r="A301" s="690"/>
      <c r="B301" s="690"/>
      <c r="C301" s="691"/>
      <c r="D301" s="691"/>
      <c r="E301" s="692"/>
      <c r="F301" s="692"/>
      <c r="G301" s="692"/>
      <c r="H301" s="692"/>
      <c r="I301" s="692"/>
      <c r="J301" s="692"/>
      <c r="K301" s="692"/>
      <c r="L301" s="692"/>
      <c r="M301" s="692"/>
      <c r="N301" s="692"/>
      <c r="O301" s="692"/>
      <c r="P301" s="692"/>
      <c r="Q301" s="692"/>
      <c r="R301" s="693"/>
      <c r="S301" s="693"/>
      <c r="T301" s="692"/>
      <c r="U301" s="692"/>
      <c r="V301" s="692"/>
      <c r="W301" s="692"/>
      <c r="X301" s="692"/>
      <c r="Y301" s="692"/>
      <c r="Z301" s="692"/>
      <c r="AA301" s="692"/>
      <c r="AB301" s="692"/>
      <c r="AC301" s="692"/>
      <c r="AD301" s="692"/>
      <c r="AE301" s="725"/>
      <c r="AF301" s="957"/>
      <c r="AG301" s="692"/>
      <c r="AH301" s="692"/>
      <c r="AI301" s="692"/>
      <c r="AJ301" s="692"/>
      <c r="AK301" s="692"/>
      <c r="AL301" s="692"/>
      <c r="AM301" s="692"/>
      <c r="AN301" s="692"/>
      <c r="AO301" s="692"/>
      <c r="AP301" s="692"/>
      <c r="AQ301" s="692"/>
      <c r="AR301" s="692"/>
      <c r="AS301" s="692"/>
      <c r="AT301" s="692"/>
      <c r="AU301" s="692"/>
      <c r="AV301" s="692"/>
      <c r="AW301" s="692"/>
      <c r="AX301" s="692"/>
      <c r="AY301" s="692"/>
      <c r="AZ301" s="692">
        <f t="shared" si="88"/>
        <v>0</v>
      </c>
      <c r="BA301" s="692">
        <f t="shared" si="89"/>
        <v>0</v>
      </c>
      <c r="BB301" s="692"/>
      <c r="BC301" s="692"/>
      <c r="BD301" s="692"/>
      <c r="BE301" s="692"/>
      <c r="BF301" s="692"/>
      <c r="BG301" s="692"/>
      <c r="BH301" s="692"/>
      <c r="BI301" s="692">
        <f t="shared" si="90"/>
        <v>0</v>
      </c>
      <c r="BJ301" s="692">
        <f t="shared" si="91"/>
        <v>0</v>
      </c>
      <c r="BK301" s="692"/>
      <c r="BL301" s="692"/>
      <c r="BM301" s="692"/>
      <c r="BN301" s="692"/>
      <c r="BO301" s="692"/>
      <c r="BP301" s="692"/>
      <c r="BQ301" s="692">
        <f t="shared" si="92"/>
        <v>0</v>
      </c>
      <c r="BR301" s="692"/>
      <c r="BS301" s="692">
        <f t="shared" si="93"/>
        <v>0</v>
      </c>
      <c r="BT301" s="692">
        <f t="shared" si="94"/>
        <v>0</v>
      </c>
      <c r="BU301" s="692"/>
      <c r="BV301" s="692"/>
      <c r="BW301" s="692"/>
      <c r="BX301" s="692"/>
      <c r="BY301" s="692"/>
      <c r="BZ301" s="692"/>
      <c r="CA301" s="692"/>
      <c r="CB301" s="692"/>
      <c r="CC301" s="692"/>
      <c r="CD301" s="692">
        <f t="shared" si="95"/>
        <v>0</v>
      </c>
      <c r="CE301" s="692"/>
      <c r="CF301" s="692"/>
      <c r="CG301" s="692"/>
      <c r="CH301" s="692"/>
      <c r="CI301" s="692"/>
      <c r="CJ301" s="692"/>
      <c r="CK301" s="692"/>
      <c r="CL301" s="692"/>
      <c r="CM301" s="692"/>
      <c r="CN301" s="692"/>
      <c r="CO301" s="692"/>
      <c r="CP301" s="692"/>
      <c r="CQ301" s="692"/>
      <c r="CR301" s="692"/>
      <c r="CS301" s="692"/>
      <c r="CT301" s="692"/>
      <c r="CU301" s="692"/>
      <c r="CV301" s="692"/>
      <c r="CW301" s="692"/>
      <c r="CX301" s="694"/>
      <c r="CY301" s="694"/>
      <c r="CZ301" s="694"/>
      <c r="DA301" s="694"/>
      <c r="DB301" s="694"/>
      <c r="DC301" s="694"/>
      <c r="DD301" s="694"/>
      <c r="DE301" s="694"/>
      <c r="DF301" s="694"/>
      <c r="DG301" s="695"/>
      <c r="DH301" s="695"/>
      <c r="DI301" s="695"/>
      <c r="DJ301" s="695"/>
      <c r="DK301" s="695"/>
      <c r="DL301" s="695"/>
      <c r="DM301" s="695"/>
      <c r="DN301" s="695"/>
      <c r="DO301" s="695"/>
      <c r="DP301" s="695"/>
      <c r="DQ301" s="695"/>
      <c r="DR301" s="695"/>
      <c r="DS301" s="694"/>
      <c r="DT301" s="694"/>
      <c r="DU301" s="694"/>
      <c r="DV301" s="694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4"/>
      <c r="FH301" s="694"/>
      <c r="FI301" s="694"/>
      <c r="FJ301" s="694"/>
      <c r="FK301" s="694"/>
      <c r="FL301" s="694"/>
      <c r="FM301" s="694"/>
      <c r="FN301" s="694"/>
      <c r="FO301" s="694"/>
      <c r="FP301" s="694"/>
      <c r="FQ301" s="697"/>
    </row>
    <row r="302" spans="1:173" s="696" customFormat="1">
      <c r="A302" s="690"/>
      <c r="B302" s="690"/>
      <c r="C302" s="699" t="s">
        <v>3817</v>
      </c>
      <c r="D302" s="691"/>
      <c r="E302" s="692"/>
      <c r="F302" s="692"/>
      <c r="G302" s="692"/>
      <c r="H302" s="692"/>
      <c r="I302" s="692"/>
      <c r="J302" s="692"/>
      <c r="K302" s="692"/>
      <c r="L302" s="692"/>
      <c r="M302" s="692"/>
      <c r="N302" s="692"/>
      <c r="O302" s="692"/>
      <c r="P302" s="692">
        <f>E302</f>
        <v>0</v>
      </c>
      <c r="Q302" s="692"/>
      <c r="R302" s="693"/>
      <c r="S302" s="693"/>
      <c r="T302" s="692"/>
      <c r="U302" s="692" t="s">
        <v>2990</v>
      </c>
      <c r="V302" s="692"/>
      <c r="W302" s="692"/>
      <c r="X302" s="692"/>
      <c r="Y302" s="692"/>
      <c r="Z302" s="692"/>
      <c r="AA302" s="692"/>
      <c r="AB302" s="692"/>
      <c r="AC302" s="692"/>
      <c r="AD302" s="692"/>
      <c r="AE302" s="725"/>
      <c r="AF302" s="957"/>
      <c r="AG302" s="692"/>
      <c r="AH302" s="692"/>
      <c r="AI302" s="692"/>
      <c r="AJ302" s="692"/>
      <c r="AK302" s="692"/>
      <c r="AL302" s="692"/>
      <c r="AM302" s="692"/>
      <c r="AN302" s="692"/>
      <c r="AO302" s="692"/>
      <c r="AP302" s="692"/>
      <c r="AQ302" s="692"/>
      <c r="AR302" s="692"/>
      <c r="AS302" s="692"/>
      <c r="AT302" s="692"/>
      <c r="AU302" s="692"/>
      <c r="AV302" s="692"/>
      <c r="AW302" s="692"/>
      <c r="AX302" s="692"/>
      <c r="AY302" s="692"/>
      <c r="AZ302" s="692">
        <f t="shared" si="88"/>
        <v>0</v>
      </c>
      <c r="BA302" s="692">
        <f t="shared" si="89"/>
        <v>0</v>
      </c>
      <c r="BB302" s="692"/>
      <c r="BC302" s="692"/>
      <c r="BD302" s="692">
        <v>1</v>
      </c>
      <c r="BE302" s="692"/>
      <c r="BF302" s="692"/>
      <c r="BG302" s="692"/>
      <c r="BH302" s="692"/>
      <c r="BI302" s="692">
        <f t="shared" si="90"/>
        <v>0</v>
      </c>
      <c r="BJ302" s="692">
        <f t="shared" si="91"/>
        <v>0</v>
      </c>
      <c r="BK302" s="692"/>
      <c r="BL302" s="692"/>
      <c r="BM302" s="692"/>
      <c r="BN302" s="692"/>
      <c r="BO302" s="692"/>
      <c r="BP302" s="692"/>
      <c r="BQ302" s="692">
        <f t="shared" si="92"/>
        <v>0</v>
      </c>
      <c r="BR302" s="692"/>
      <c r="BS302" s="692">
        <f t="shared" si="93"/>
        <v>0</v>
      </c>
      <c r="BT302" s="692">
        <f t="shared" si="94"/>
        <v>0</v>
      </c>
      <c r="BU302" s="692"/>
      <c r="BV302" s="692"/>
      <c r="BW302" s="692"/>
      <c r="BX302" s="692"/>
      <c r="BY302" s="692">
        <v>1</v>
      </c>
      <c r="BZ302" s="692"/>
      <c r="CA302" s="692"/>
      <c r="CB302" s="692"/>
      <c r="CC302" s="692"/>
      <c r="CD302" s="692">
        <f t="shared" si="95"/>
        <v>0</v>
      </c>
      <c r="CE302" s="692"/>
      <c r="CF302" s="692"/>
      <c r="CG302" s="692"/>
      <c r="CH302" s="692"/>
      <c r="CI302" s="692"/>
      <c r="CJ302" s="692"/>
      <c r="CK302" s="692"/>
      <c r="CL302" s="692"/>
      <c r="CM302" s="692"/>
      <c r="CN302" s="692"/>
      <c r="CO302" s="692"/>
      <c r="CP302" s="692"/>
      <c r="CQ302" s="692"/>
      <c r="CR302" s="692"/>
      <c r="CS302" s="692"/>
      <c r="CT302" s="692"/>
      <c r="CU302" s="692"/>
      <c r="CV302" s="692"/>
      <c r="CW302" s="692"/>
      <c r="CX302" s="694"/>
      <c r="CY302" s="694"/>
      <c r="CZ302" s="694"/>
      <c r="DA302" s="694"/>
      <c r="DB302" s="694"/>
      <c r="DC302" s="694"/>
      <c r="DD302" s="694"/>
      <c r="DE302" s="694"/>
      <c r="DF302" s="694"/>
      <c r="DG302" s="695"/>
      <c r="DH302" s="695"/>
      <c r="DI302" s="695"/>
      <c r="DJ302" s="695"/>
      <c r="DK302" s="695"/>
      <c r="DL302" s="695"/>
      <c r="DM302" s="695"/>
      <c r="DN302" s="695"/>
      <c r="DO302" s="695"/>
      <c r="DP302" s="695"/>
      <c r="DQ302" s="695"/>
      <c r="DR302" s="695"/>
      <c r="DS302" s="694"/>
      <c r="DT302" s="694"/>
      <c r="DU302" s="694"/>
      <c r="DV302" s="694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4"/>
      <c r="FH302" s="694"/>
      <c r="FI302" s="694"/>
      <c r="FJ302" s="694"/>
      <c r="FK302" s="694"/>
      <c r="FL302" s="694"/>
      <c r="FM302" s="694"/>
      <c r="FN302" s="694"/>
      <c r="FO302" s="694"/>
      <c r="FP302" s="694"/>
      <c r="FQ302" s="697"/>
    </row>
    <row r="303" spans="1:173" s="696" customFormat="1">
      <c r="A303" s="690"/>
      <c r="B303" s="690"/>
      <c r="C303" s="691" t="s">
        <v>3632</v>
      </c>
      <c r="D303" s="691"/>
      <c r="E303" s="692">
        <v>29.7</v>
      </c>
      <c r="F303" s="692"/>
      <c r="G303" s="692"/>
      <c r="H303" s="692"/>
      <c r="I303" s="692"/>
      <c r="J303" s="692"/>
      <c r="K303" s="692"/>
      <c r="L303" s="692"/>
      <c r="M303" s="692"/>
      <c r="N303" s="692"/>
      <c r="O303" s="692"/>
      <c r="P303" s="692">
        <f>E303</f>
        <v>29.7</v>
      </c>
      <c r="Q303" s="692"/>
      <c r="R303" s="693"/>
      <c r="S303" s="693"/>
      <c r="T303" s="692"/>
      <c r="U303" s="692" t="s">
        <v>2989</v>
      </c>
      <c r="V303" s="692"/>
      <c r="W303" s="692"/>
      <c r="X303" s="692"/>
      <c r="Y303" s="692"/>
      <c r="Z303" s="692"/>
      <c r="AA303" s="692"/>
      <c r="AB303" s="692"/>
      <c r="AC303" s="692"/>
      <c r="AD303" s="692"/>
      <c r="AE303" s="725"/>
      <c r="AF303" s="957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>
        <f t="shared" si="88"/>
        <v>1</v>
      </c>
      <c r="BA303" s="692">
        <f t="shared" si="89"/>
        <v>0</v>
      </c>
      <c r="BB303" s="692"/>
      <c r="BC303" s="692"/>
      <c r="BD303" s="692">
        <v>2</v>
      </c>
      <c r="BE303" s="692"/>
      <c r="BF303" s="692"/>
      <c r="BG303" s="692"/>
      <c r="BH303" s="692"/>
      <c r="BI303" s="692">
        <f t="shared" si="90"/>
        <v>0</v>
      </c>
      <c r="BJ303" s="692">
        <f t="shared" si="91"/>
        <v>5</v>
      </c>
      <c r="BK303" s="692"/>
      <c r="BL303" s="692"/>
      <c r="BM303" s="692"/>
      <c r="BN303" s="692"/>
      <c r="BO303" s="692"/>
      <c r="BP303" s="692"/>
      <c r="BQ303" s="692">
        <f t="shared" si="92"/>
        <v>0</v>
      </c>
      <c r="BR303" s="692"/>
      <c r="BS303" s="692">
        <f t="shared" si="93"/>
        <v>0</v>
      </c>
      <c r="BT303" s="692">
        <f t="shared" si="94"/>
        <v>0</v>
      </c>
      <c r="BU303" s="692"/>
      <c r="BV303" s="692"/>
      <c r="BW303" s="692"/>
      <c r="BX303" s="692"/>
      <c r="BY303" s="692">
        <v>2</v>
      </c>
      <c r="BZ303" s="692"/>
      <c r="CA303" s="692"/>
      <c r="CB303" s="692">
        <v>1</v>
      </c>
      <c r="CC303" s="692"/>
      <c r="CD303" s="692">
        <f t="shared" si="95"/>
        <v>4</v>
      </c>
      <c r="CE303" s="692"/>
      <c r="CF303" s="692"/>
      <c r="CG303" s="692"/>
      <c r="CH303" s="692"/>
      <c r="CI303" s="692"/>
      <c r="CJ303" s="692"/>
      <c r="CK303" s="692"/>
      <c r="CL303" s="692"/>
      <c r="CM303" s="692"/>
      <c r="CN303" s="692"/>
      <c r="CO303" s="692"/>
      <c r="CP303" s="692"/>
      <c r="CQ303" s="692"/>
      <c r="CR303" s="692"/>
      <c r="CS303" s="692"/>
      <c r="CT303" s="692"/>
      <c r="CU303" s="692"/>
      <c r="CV303" s="692"/>
      <c r="CW303" s="692"/>
      <c r="CX303" s="694"/>
      <c r="CY303" s="694"/>
      <c r="CZ303" s="694"/>
      <c r="DA303" s="694"/>
      <c r="DB303" s="694"/>
      <c r="DC303" s="694"/>
      <c r="DD303" s="694"/>
      <c r="DE303" s="694"/>
      <c r="DF303" s="694"/>
      <c r="DG303" s="695"/>
      <c r="DH303" s="695"/>
      <c r="DI303" s="695"/>
      <c r="DJ303" s="695"/>
      <c r="DK303" s="695"/>
      <c r="DL303" s="695"/>
      <c r="DM303" s="695"/>
      <c r="DN303" s="695"/>
      <c r="DO303" s="695"/>
      <c r="DP303" s="695"/>
      <c r="DQ303" s="695"/>
      <c r="DR303" s="695"/>
      <c r="DS303" s="694"/>
      <c r="DT303" s="694"/>
      <c r="DU303" s="694"/>
      <c r="DV303" s="694"/>
      <c r="DW303" s="694"/>
      <c r="DX303" s="694"/>
      <c r="DY303" s="694"/>
      <c r="DZ303" s="694"/>
      <c r="EA303" s="694"/>
      <c r="EB303" s="694"/>
      <c r="EC303" s="694"/>
      <c r="ED303" s="694"/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4"/>
      <c r="FH303" s="694"/>
      <c r="FI303" s="694"/>
      <c r="FJ303" s="694"/>
      <c r="FK303" s="694"/>
      <c r="FL303" s="694"/>
      <c r="FM303" s="694"/>
      <c r="FN303" s="694"/>
      <c r="FO303" s="694"/>
      <c r="FP303" s="694"/>
      <c r="FQ303" s="697"/>
    </row>
    <row r="304" spans="1:173" s="696" customFormat="1">
      <c r="A304" s="690"/>
      <c r="B304" s="690"/>
      <c r="C304" s="691" t="s">
        <v>3633</v>
      </c>
      <c r="D304" s="691"/>
      <c r="E304" s="692">
        <v>39.4</v>
      </c>
      <c r="F304" s="692"/>
      <c r="G304" s="692"/>
      <c r="H304" s="692"/>
      <c r="I304" s="692"/>
      <c r="J304" s="692"/>
      <c r="K304" s="692"/>
      <c r="L304" s="692"/>
      <c r="M304" s="692"/>
      <c r="N304" s="692"/>
      <c r="O304" s="692"/>
      <c r="P304" s="692">
        <f t="shared" ref="P304:P327" si="98">E304</f>
        <v>39.4</v>
      </c>
      <c r="Q304" s="692"/>
      <c r="R304" s="693"/>
      <c r="S304" s="693"/>
      <c r="T304" s="692"/>
      <c r="U304" s="692" t="s">
        <v>1631</v>
      </c>
      <c r="V304" s="692"/>
      <c r="W304" s="692"/>
      <c r="X304" s="692"/>
      <c r="Y304" s="692"/>
      <c r="Z304" s="692"/>
      <c r="AA304" s="692"/>
      <c r="AB304" s="692"/>
      <c r="AC304" s="692"/>
      <c r="AD304" s="692"/>
      <c r="AE304" s="725"/>
      <c r="AF304" s="957"/>
      <c r="AG304" s="692"/>
      <c r="AH304" s="692"/>
      <c r="AI304" s="692"/>
      <c r="AJ304" s="692"/>
      <c r="AK304" s="692"/>
      <c r="AL304" s="692"/>
      <c r="AM304" s="692"/>
      <c r="AN304" s="692"/>
      <c r="AO304" s="692"/>
      <c r="AP304" s="692"/>
      <c r="AQ304" s="692"/>
      <c r="AR304" s="692"/>
      <c r="AS304" s="692"/>
      <c r="AT304" s="692"/>
      <c r="AU304" s="692">
        <v>1</v>
      </c>
      <c r="AV304" s="692"/>
      <c r="AW304" s="692"/>
      <c r="AX304" s="692"/>
      <c r="AY304" s="692"/>
      <c r="AZ304" s="692">
        <f t="shared" si="88"/>
        <v>0</v>
      </c>
      <c r="BA304" s="692">
        <f t="shared" si="89"/>
        <v>0</v>
      </c>
      <c r="BB304" s="692"/>
      <c r="BC304" s="692"/>
      <c r="BD304" s="692">
        <v>1</v>
      </c>
      <c r="BE304" s="692"/>
      <c r="BF304" s="692"/>
      <c r="BG304" s="692"/>
      <c r="BH304" s="692"/>
      <c r="BI304" s="692">
        <f t="shared" si="90"/>
        <v>0</v>
      </c>
      <c r="BJ304" s="692">
        <f t="shared" si="91"/>
        <v>2</v>
      </c>
      <c r="BK304" s="692"/>
      <c r="BL304" s="692"/>
      <c r="BM304" s="692"/>
      <c r="BN304" s="692"/>
      <c r="BO304" s="692"/>
      <c r="BP304" s="692"/>
      <c r="BQ304" s="692">
        <f t="shared" si="92"/>
        <v>0</v>
      </c>
      <c r="BR304" s="692"/>
      <c r="BS304" s="692">
        <f t="shared" si="93"/>
        <v>0</v>
      </c>
      <c r="BT304" s="692">
        <f t="shared" si="94"/>
        <v>1</v>
      </c>
      <c r="BU304" s="692"/>
      <c r="BV304" s="692"/>
      <c r="BW304" s="692"/>
      <c r="BX304" s="692"/>
      <c r="BY304" s="692"/>
      <c r="BZ304" s="692"/>
      <c r="CA304" s="692"/>
      <c r="CB304" s="692"/>
      <c r="CC304" s="692"/>
      <c r="CD304" s="692">
        <f t="shared" si="95"/>
        <v>0</v>
      </c>
      <c r="CE304" s="692"/>
      <c r="CF304" s="692"/>
      <c r="CG304" s="692"/>
      <c r="CH304" s="692"/>
      <c r="CI304" s="692"/>
      <c r="CJ304" s="692"/>
      <c r="CK304" s="692"/>
      <c r="CL304" s="692"/>
      <c r="CM304" s="692"/>
      <c r="CN304" s="692"/>
      <c r="CO304" s="692"/>
      <c r="CP304" s="692"/>
      <c r="CQ304" s="692"/>
      <c r="CR304" s="692"/>
      <c r="CS304" s="692"/>
      <c r="CT304" s="692"/>
      <c r="CU304" s="692"/>
      <c r="CV304" s="692"/>
      <c r="CW304" s="692"/>
      <c r="CX304" s="694"/>
      <c r="CY304" s="694"/>
      <c r="CZ304" s="694"/>
      <c r="DA304" s="694"/>
      <c r="DB304" s="694"/>
      <c r="DC304" s="694"/>
      <c r="DD304" s="694"/>
      <c r="DE304" s="694"/>
      <c r="DF304" s="694"/>
      <c r="DG304" s="695"/>
      <c r="DH304" s="695"/>
      <c r="DI304" s="695"/>
      <c r="DJ304" s="695"/>
      <c r="DK304" s="695"/>
      <c r="DL304" s="695"/>
      <c r="DM304" s="695"/>
      <c r="DN304" s="695"/>
      <c r="DO304" s="695"/>
      <c r="DP304" s="695"/>
      <c r="DQ304" s="695"/>
      <c r="DR304" s="695"/>
      <c r="DS304" s="694"/>
      <c r="DT304" s="694"/>
      <c r="DU304" s="694"/>
      <c r="DV304" s="694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4"/>
      <c r="FH304" s="694"/>
      <c r="FI304" s="694"/>
      <c r="FJ304" s="694"/>
      <c r="FK304" s="694"/>
      <c r="FL304" s="694"/>
      <c r="FM304" s="694"/>
      <c r="FN304" s="694"/>
      <c r="FO304" s="694"/>
      <c r="FP304" s="694"/>
      <c r="FQ304" s="697"/>
    </row>
    <row r="305" spans="1:173" s="696" customFormat="1">
      <c r="A305" s="690"/>
      <c r="B305" s="690"/>
      <c r="C305" s="691" t="s">
        <v>3634</v>
      </c>
      <c r="D305" s="691"/>
      <c r="E305" s="692">
        <v>38.6</v>
      </c>
      <c r="F305" s="692"/>
      <c r="G305" s="692"/>
      <c r="H305" s="692"/>
      <c r="I305" s="692"/>
      <c r="J305" s="692"/>
      <c r="K305" s="692"/>
      <c r="L305" s="692"/>
      <c r="M305" s="692"/>
      <c r="N305" s="692"/>
      <c r="O305" s="692"/>
      <c r="P305" s="692">
        <f t="shared" si="98"/>
        <v>38.6</v>
      </c>
      <c r="Q305" s="692"/>
      <c r="R305" s="693"/>
      <c r="S305" s="693"/>
      <c r="T305" s="692"/>
      <c r="U305" s="692" t="s">
        <v>1631</v>
      </c>
      <c r="V305" s="692"/>
      <c r="W305" s="692"/>
      <c r="X305" s="692"/>
      <c r="Y305" s="692"/>
      <c r="Z305" s="692"/>
      <c r="AA305" s="692"/>
      <c r="AB305" s="692"/>
      <c r="AC305" s="692"/>
      <c r="AD305" s="692"/>
      <c r="AE305" s="725"/>
      <c r="AF305" s="957"/>
      <c r="AG305" s="692"/>
      <c r="AH305" s="692"/>
      <c r="AI305" s="692"/>
      <c r="AJ305" s="692"/>
      <c r="AK305" s="692"/>
      <c r="AL305" s="692"/>
      <c r="AM305" s="692"/>
      <c r="AN305" s="692"/>
      <c r="AO305" s="692"/>
      <c r="AP305" s="692"/>
      <c r="AQ305" s="692"/>
      <c r="AR305" s="692"/>
      <c r="AS305" s="692"/>
      <c r="AT305" s="692"/>
      <c r="AU305" s="692"/>
      <c r="AV305" s="692"/>
      <c r="AW305" s="692"/>
      <c r="AX305" s="692"/>
      <c r="AY305" s="692"/>
      <c r="AZ305" s="692">
        <f t="shared" si="88"/>
        <v>0</v>
      </c>
      <c r="BA305" s="692">
        <f t="shared" si="89"/>
        <v>0</v>
      </c>
      <c r="BB305" s="692"/>
      <c r="BC305" s="692"/>
      <c r="BD305" s="692">
        <v>1</v>
      </c>
      <c r="BE305" s="692"/>
      <c r="BF305" s="692"/>
      <c r="BG305" s="692"/>
      <c r="BH305" s="692"/>
      <c r="BI305" s="692">
        <f t="shared" si="90"/>
        <v>0</v>
      </c>
      <c r="BJ305" s="692">
        <f t="shared" si="91"/>
        <v>0</v>
      </c>
      <c r="BK305" s="692"/>
      <c r="BL305" s="692"/>
      <c r="BM305" s="692"/>
      <c r="BN305" s="692"/>
      <c r="BO305" s="692"/>
      <c r="BP305" s="692"/>
      <c r="BQ305" s="692">
        <f t="shared" si="92"/>
        <v>0</v>
      </c>
      <c r="BR305" s="692"/>
      <c r="BS305" s="692">
        <f t="shared" si="93"/>
        <v>0</v>
      </c>
      <c r="BT305" s="692">
        <f t="shared" si="94"/>
        <v>1</v>
      </c>
      <c r="BU305" s="692"/>
      <c r="BV305" s="692"/>
      <c r="BW305" s="692"/>
      <c r="BX305" s="692"/>
      <c r="BY305" s="692"/>
      <c r="BZ305" s="692"/>
      <c r="CA305" s="692"/>
      <c r="CB305" s="692"/>
      <c r="CC305" s="692"/>
      <c r="CD305" s="692">
        <f t="shared" si="95"/>
        <v>0</v>
      </c>
      <c r="CE305" s="692"/>
      <c r="CF305" s="692"/>
      <c r="CG305" s="692"/>
      <c r="CH305" s="692"/>
      <c r="CI305" s="692"/>
      <c r="CJ305" s="692"/>
      <c r="CK305" s="692"/>
      <c r="CL305" s="692"/>
      <c r="CM305" s="692"/>
      <c r="CN305" s="692"/>
      <c r="CO305" s="692"/>
      <c r="CP305" s="692"/>
      <c r="CQ305" s="692"/>
      <c r="CR305" s="692"/>
      <c r="CS305" s="692"/>
      <c r="CT305" s="692"/>
      <c r="CU305" s="692"/>
      <c r="CV305" s="692"/>
      <c r="CW305" s="692"/>
      <c r="CX305" s="694"/>
      <c r="CY305" s="694"/>
      <c r="CZ305" s="694"/>
      <c r="DA305" s="694"/>
      <c r="DB305" s="694"/>
      <c r="DC305" s="694"/>
      <c r="DD305" s="694"/>
      <c r="DE305" s="694"/>
      <c r="DF305" s="694"/>
      <c r="DG305" s="695"/>
      <c r="DH305" s="695"/>
      <c r="DI305" s="695"/>
      <c r="DJ305" s="695"/>
      <c r="DK305" s="695"/>
      <c r="DL305" s="695"/>
      <c r="DM305" s="695"/>
      <c r="DN305" s="695"/>
      <c r="DO305" s="695"/>
      <c r="DP305" s="695"/>
      <c r="DQ305" s="695"/>
      <c r="DR305" s="695"/>
      <c r="DS305" s="694"/>
      <c r="DT305" s="694"/>
      <c r="DU305" s="694"/>
      <c r="DV305" s="694"/>
      <c r="DW305" s="694"/>
      <c r="DX305" s="694"/>
      <c r="DY305" s="694"/>
      <c r="DZ305" s="694"/>
      <c r="EA305" s="694"/>
      <c r="EB305" s="694"/>
      <c r="EC305" s="694"/>
      <c r="ED305" s="694"/>
      <c r="EE305" s="694"/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4"/>
      <c r="FH305" s="694"/>
      <c r="FI305" s="694"/>
      <c r="FJ305" s="694"/>
      <c r="FK305" s="694"/>
      <c r="FL305" s="694"/>
      <c r="FM305" s="694"/>
      <c r="FN305" s="694"/>
      <c r="FO305" s="694"/>
      <c r="FP305" s="694"/>
      <c r="FQ305" s="697"/>
    </row>
    <row r="306" spans="1:173" s="696" customFormat="1">
      <c r="A306" s="690"/>
      <c r="B306" s="690"/>
      <c r="C306" s="691" t="s">
        <v>3635</v>
      </c>
      <c r="D306" s="691"/>
      <c r="E306" s="692">
        <v>44.1</v>
      </c>
      <c r="F306" s="692"/>
      <c r="G306" s="692"/>
      <c r="H306" s="692"/>
      <c r="I306" s="692"/>
      <c r="J306" s="692"/>
      <c r="K306" s="692"/>
      <c r="L306" s="692"/>
      <c r="M306" s="692"/>
      <c r="N306" s="692"/>
      <c r="O306" s="692"/>
      <c r="P306" s="692">
        <f t="shared" si="98"/>
        <v>44.1</v>
      </c>
      <c r="Q306" s="692"/>
      <c r="R306" s="693"/>
      <c r="S306" s="693"/>
      <c r="T306" s="692"/>
      <c r="U306" s="692" t="s">
        <v>1631</v>
      </c>
      <c r="V306" s="692"/>
      <c r="W306" s="692"/>
      <c r="X306" s="692"/>
      <c r="Y306" s="692"/>
      <c r="Z306" s="692"/>
      <c r="AA306" s="692"/>
      <c r="AB306" s="692"/>
      <c r="AC306" s="692"/>
      <c r="AD306" s="692"/>
      <c r="AE306" s="725"/>
      <c r="AF306" s="957"/>
      <c r="AG306" s="692"/>
      <c r="AH306" s="692"/>
      <c r="AI306" s="692"/>
      <c r="AJ306" s="692"/>
      <c r="AK306" s="692"/>
      <c r="AL306" s="692"/>
      <c r="AM306" s="692"/>
      <c r="AN306" s="692"/>
      <c r="AO306" s="692"/>
      <c r="AP306" s="692"/>
      <c r="AQ306" s="692"/>
      <c r="AR306" s="692"/>
      <c r="AS306" s="692"/>
      <c r="AT306" s="692"/>
      <c r="AU306" s="692"/>
      <c r="AV306" s="692"/>
      <c r="AW306" s="692">
        <v>1</v>
      </c>
      <c r="AX306" s="692"/>
      <c r="AY306" s="692"/>
      <c r="AZ306" s="692">
        <f t="shared" si="88"/>
        <v>2</v>
      </c>
      <c r="BA306" s="692">
        <f t="shared" si="89"/>
        <v>0</v>
      </c>
      <c r="BB306" s="692"/>
      <c r="BC306" s="692"/>
      <c r="BD306" s="692">
        <v>1</v>
      </c>
      <c r="BE306" s="692"/>
      <c r="BF306" s="692"/>
      <c r="BG306" s="692"/>
      <c r="BH306" s="692"/>
      <c r="BI306" s="692">
        <f t="shared" si="90"/>
        <v>0</v>
      </c>
      <c r="BJ306" s="692">
        <f t="shared" si="91"/>
        <v>5</v>
      </c>
      <c r="BK306" s="692"/>
      <c r="BL306" s="692"/>
      <c r="BM306" s="692"/>
      <c r="BN306" s="692"/>
      <c r="BO306" s="692"/>
      <c r="BP306" s="692"/>
      <c r="BQ306" s="692">
        <f t="shared" si="92"/>
        <v>0</v>
      </c>
      <c r="BR306" s="692"/>
      <c r="BS306" s="692">
        <f t="shared" si="93"/>
        <v>0</v>
      </c>
      <c r="BT306" s="692">
        <f t="shared" si="94"/>
        <v>1</v>
      </c>
      <c r="BU306" s="692"/>
      <c r="BV306" s="692"/>
      <c r="BW306" s="692"/>
      <c r="BX306" s="692"/>
      <c r="BY306" s="692"/>
      <c r="BZ306" s="692"/>
      <c r="CA306" s="692"/>
      <c r="CB306" s="692">
        <v>1</v>
      </c>
      <c r="CC306" s="692"/>
      <c r="CD306" s="692">
        <f t="shared" si="95"/>
        <v>4</v>
      </c>
      <c r="CE306" s="692"/>
      <c r="CF306" s="692"/>
      <c r="CG306" s="692"/>
      <c r="CH306" s="692"/>
      <c r="CI306" s="692"/>
      <c r="CJ306" s="692"/>
      <c r="CK306" s="692"/>
      <c r="CL306" s="692"/>
      <c r="CM306" s="692"/>
      <c r="CN306" s="692"/>
      <c r="CO306" s="692"/>
      <c r="CP306" s="692"/>
      <c r="CQ306" s="692"/>
      <c r="CR306" s="692"/>
      <c r="CS306" s="692"/>
      <c r="CT306" s="692"/>
      <c r="CU306" s="692"/>
      <c r="CV306" s="692"/>
      <c r="CW306" s="692"/>
      <c r="CX306" s="694"/>
      <c r="CY306" s="694"/>
      <c r="CZ306" s="694"/>
      <c r="DA306" s="694"/>
      <c r="DB306" s="694"/>
      <c r="DC306" s="694"/>
      <c r="DD306" s="694"/>
      <c r="DE306" s="694"/>
      <c r="DF306" s="694"/>
      <c r="DG306" s="695"/>
      <c r="DH306" s="695"/>
      <c r="DI306" s="695"/>
      <c r="DJ306" s="695"/>
      <c r="DK306" s="695"/>
      <c r="DL306" s="695"/>
      <c r="DM306" s="695"/>
      <c r="DN306" s="695"/>
      <c r="DO306" s="695"/>
      <c r="DP306" s="695"/>
      <c r="DQ306" s="695"/>
      <c r="DR306" s="695"/>
      <c r="DS306" s="694"/>
      <c r="DT306" s="694"/>
      <c r="DU306" s="694"/>
      <c r="DV306" s="694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4"/>
      <c r="FH306" s="694"/>
      <c r="FI306" s="694"/>
      <c r="FJ306" s="694"/>
      <c r="FK306" s="694"/>
      <c r="FL306" s="694"/>
      <c r="FM306" s="694"/>
      <c r="FN306" s="694"/>
      <c r="FO306" s="694"/>
      <c r="FP306" s="694"/>
      <c r="FQ306" s="697"/>
    </row>
    <row r="307" spans="1:173" s="696" customFormat="1">
      <c r="A307" s="690"/>
      <c r="B307" s="690"/>
      <c r="C307" s="691" t="s">
        <v>3636</v>
      </c>
      <c r="D307" s="691"/>
      <c r="E307" s="692">
        <v>41.8</v>
      </c>
      <c r="F307" s="692"/>
      <c r="G307" s="692"/>
      <c r="H307" s="692"/>
      <c r="I307" s="692"/>
      <c r="J307" s="692"/>
      <c r="K307" s="692"/>
      <c r="L307" s="692"/>
      <c r="M307" s="692"/>
      <c r="N307" s="692"/>
      <c r="O307" s="692"/>
      <c r="P307" s="692">
        <f t="shared" si="98"/>
        <v>41.8</v>
      </c>
      <c r="Q307" s="692"/>
      <c r="R307" s="693"/>
      <c r="S307" s="693"/>
      <c r="T307" s="692"/>
      <c r="U307" s="692" t="s">
        <v>1631</v>
      </c>
      <c r="V307" s="692"/>
      <c r="W307" s="692"/>
      <c r="X307" s="692"/>
      <c r="Y307" s="692"/>
      <c r="Z307" s="692"/>
      <c r="AA307" s="692"/>
      <c r="AB307" s="692"/>
      <c r="AC307" s="692"/>
      <c r="AD307" s="692"/>
      <c r="AE307" s="725"/>
      <c r="AF307" s="957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>
        <v>1</v>
      </c>
      <c r="AV307" s="692"/>
      <c r="AW307" s="692">
        <v>1</v>
      </c>
      <c r="AX307" s="692"/>
      <c r="AY307" s="692"/>
      <c r="AZ307" s="692">
        <f t="shared" si="88"/>
        <v>2</v>
      </c>
      <c r="BA307" s="692">
        <f t="shared" si="89"/>
        <v>0</v>
      </c>
      <c r="BB307" s="692"/>
      <c r="BC307" s="692"/>
      <c r="BD307" s="692">
        <v>1</v>
      </c>
      <c r="BE307" s="692"/>
      <c r="BF307" s="692"/>
      <c r="BG307" s="692"/>
      <c r="BH307" s="692"/>
      <c r="BI307" s="692">
        <f t="shared" si="90"/>
        <v>0</v>
      </c>
      <c r="BJ307" s="692">
        <f t="shared" si="91"/>
        <v>7</v>
      </c>
      <c r="BK307" s="692"/>
      <c r="BL307" s="692"/>
      <c r="BM307" s="692"/>
      <c r="BN307" s="692"/>
      <c r="BO307" s="692"/>
      <c r="BP307" s="692"/>
      <c r="BQ307" s="692">
        <f t="shared" si="92"/>
        <v>0</v>
      </c>
      <c r="BR307" s="692"/>
      <c r="BS307" s="692">
        <f t="shared" si="93"/>
        <v>0</v>
      </c>
      <c r="BT307" s="692">
        <f t="shared" si="94"/>
        <v>1</v>
      </c>
      <c r="BU307" s="692"/>
      <c r="BV307" s="692"/>
      <c r="BW307" s="692"/>
      <c r="BX307" s="692"/>
      <c r="BY307" s="692"/>
      <c r="BZ307" s="692"/>
      <c r="CA307" s="692"/>
      <c r="CB307" s="692">
        <v>1</v>
      </c>
      <c r="CC307" s="692"/>
      <c r="CD307" s="692">
        <f t="shared" si="95"/>
        <v>4</v>
      </c>
      <c r="CE307" s="692"/>
      <c r="CF307" s="692"/>
      <c r="CG307" s="692"/>
      <c r="CH307" s="692"/>
      <c r="CI307" s="692"/>
      <c r="CJ307" s="692"/>
      <c r="CK307" s="692"/>
      <c r="CL307" s="692"/>
      <c r="CM307" s="692"/>
      <c r="CN307" s="692"/>
      <c r="CO307" s="692"/>
      <c r="CP307" s="692"/>
      <c r="CQ307" s="692"/>
      <c r="CR307" s="692"/>
      <c r="CS307" s="692"/>
      <c r="CT307" s="692"/>
      <c r="CU307" s="692"/>
      <c r="CV307" s="692"/>
      <c r="CW307" s="692"/>
      <c r="CX307" s="694"/>
      <c r="CY307" s="694"/>
      <c r="CZ307" s="694"/>
      <c r="DA307" s="694"/>
      <c r="DB307" s="694"/>
      <c r="DC307" s="694"/>
      <c r="DD307" s="694"/>
      <c r="DE307" s="694"/>
      <c r="DF307" s="694"/>
      <c r="DG307" s="695"/>
      <c r="DH307" s="695"/>
      <c r="DI307" s="695"/>
      <c r="DJ307" s="695"/>
      <c r="DK307" s="695"/>
      <c r="DL307" s="695"/>
      <c r="DM307" s="695"/>
      <c r="DN307" s="695"/>
      <c r="DO307" s="695"/>
      <c r="DP307" s="695"/>
      <c r="DQ307" s="695"/>
      <c r="DR307" s="695"/>
      <c r="DS307" s="694"/>
      <c r="DT307" s="694"/>
      <c r="DU307" s="694"/>
      <c r="DV307" s="694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4"/>
      <c r="FH307" s="694"/>
      <c r="FI307" s="694"/>
      <c r="FJ307" s="694"/>
      <c r="FK307" s="694"/>
      <c r="FL307" s="694"/>
      <c r="FM307" s="694"/>
      <c r="FN307" s="694"/>
      <c r="FO307" s="694"/>
      <c r="FP307" s="694"/>
      <c r="FQ307" s="697"/>
    </row>
    <row r="308" spans="1:173" s="696" customFormat="1">
      <c r="A308" s="690"/>
      <c r="B308" s="690"/>
      <c r="C308" s="691"/>
      <c r="D308" s="691" t="s">
        <v>2999</v>
      </c>
      <c r="E308" s="692">
        <v>34.700000000000003</v>
      </c>
      <c r="F308" s="692"/>
      <c r="G308" s="692"/>
      <c r="H308" s="692"/>
      <c r="I308" s="692"/>
      <c r="J308" s="692"/>
      <c r="K308" s="692"/>
      <c r="L308" s="692"/>
      <c r="M308" s="692"/>
      <c r="N308" s="692"/>
      <c r="O308" s="692"/>
      <c r="P308" s="692">
        <f t="shared" si="98"/>
        <v>34.700000000000003</v>
      </c>
      <c r="Q308" s="692"/>
      <c r="R308" s="693"/>
      <c r="S308" s="693"/>
      <c r="T308" s="692"/>
      <c r="U308" s="692" t="s">
        <v>1631</v>
      </c>
      <c r="V308" s="692"/>
      <c r="W308" s="692"/>
      <c r="X308" s="692"/>
      <c r="Y308" s="692"/>
      <c r="Z308" s="692"/>
      <c r="AA308" s="692"/>
      <c r="AB308" s="692"/>
      <c r="AC308" s="692"/>
      <c r="AD308" s="692"/>
      <c r="AE308" s="725"/>
      <c r="AF308" s="957"/>
      <c r="AG308" s="692"/>
      <c r="AH308" s="692"/>
      <c r="AI308" s="692"/>
      <c r="AJ308" s="692"/>
      <c r="AK308" s="692"/>
      <c r="AL308" s="692"/>
      <c r="AM308" s="692"/>
      <c r="AN308" s="692"/>
      <c r="AO308" s="692"/>
      <c r="AP308" s="692"/>
      <c r="AQ308" s="692"/>
      <c r="AR308" s="692"/>
      <c r="AS308" s="692"/>
      <c r="AT308" s="692"/>
      <c r="AU308" s="692"/>
      <c r="AV308" s="692"/>
      <c r="AW308" s="692">
        <v>1</v>
      </c>
      <c r="AX308" s="692"/>
      <c r="AY308" s="692"/>
      <c r="AZ308" s="692">
        <f t="shared" si="88"/>
        <v>0</v>
      </c>
      <c r="BA308" s="692">
        <f t="shared" si="89"/>
        <v>2</v>
      </c>
      <c r="BB308" s="692"/>
      <c r="BC308" s="692"/>
      <c r="BD308" s="692"/>
      <c r="BE308" s="692">
        <v>1</v>
      </c>
      <c r="BF308" s="692"/>
      <c r="BG308" s="692"/>
      <c r="BH308" s="692"/>
      <c r="BI308" s="692">
        <f t="shared" si="90"/>
        <v>0</v>
      </c>
      <c r="BJ308" s="692">
        <f t="shared" si="91"/>
        <v>5</v>
      </c>
      <c r="BK308" s="692"/>
      <c r="BL308" s="692"/>
      <c r="BM308" s="692"/>
      <c r="BN308" s="692"/>
      <c r="BO308" s="692"/>
      <c r="BP308" s="692"/>
      <c r="BQ308" s="692">
        <f t="shared" si="92"/>
        <v>0</v>
      </c>
      <c r="BR308" s="692"/>
      <c r="BS308" s="692">
        <f t="shared" si="93"/>
        <v>0</v>
      </c>
      <c r="BT308" s="692">
        <f t="shared" si="94"/>
        <v>1</v>
      </c>
      <c r="BU308" s="692"/>
      <c r="BV308" s="692"/>
      <c r="BW308" s="692"/>
      <c r="BX308" s="692"/>
      <c r="BY308" s="692"/>
      <c r="BZ308" s="692"/>
      <c r="CA308" s="692"/>
      <c r="CB308" s="692">
        <v>1</v>
      </c>
      <c r="CC308" s="692"/>
      <c r="CD308" s="692">
        <f t="shared" si="95"/>
        <v>4</v>
      </c>
      <c r="CE308" s="692"/>
      <c r="CF308" s="692"/>
      <c r="CG308" s="692"/>
      <c r="CH308" s="692"/>
      <c r="CI308" s="692"/>
      <c r="CJ308" s="692"/>
      <c r="CK308" s="692"/>
      <c r="CL308" s="692"/>
      <c r="CM308" s="692"/>
      <c r="CN308" s="692"/>
      <c r="CO308" s="692"/>
      <c r="CP308" s="692"/>
      <c r="CQ308" s="692"/>
      <c r="CR308" s="692"/>
      <c r="CS308" s="692"/>
      <c r="CT308" s="692"/>
      <c r="CU308" s="692"/>
      <c r="CV308" s="692"/>
      <c r="CW308" s="692"/>
      <c r="CX308" s="694"/>
      <c r="CY308" s="694"/>
      <c r="CZ308" s="694"/>
      <c r="DA308" s="694"/>
      <c r="DB308" s="694"/>
      <c r="DC308" s="694"/>
      <c r="DD308" s="694"/>
      <c r="DE308" s="694"/>
      <c r="DF308" s="694"/>
      <c r="DG308" s="695"/>
      <c r="DH308" s="695"/>
      <c r="DI308" s="695"/>
      <c r="DJ308" s="695"/>
      <c r="DK308" s="695"/>
      <c r="DL308" s="695"/>
      <c r="DM308" s="695"/>
      <c r="DN308" s="695"/>
      <c r="DO308" s="695"/>
      <c r="DP308" s="695"/>
      <c r="DQ308" s="695"/>
      <c r="DR308" s="695"/>
      <c r="DS308" s="694"/>
      <c r="DT308" s="694"/>
      <c r="DU308" s="694"/>
      <c r="DV308" s="694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4"/>
      <c r="FH308" s="694"/>
      <c r="FI308" s="694"/>
      <c r="FJ308" s="694"/>
      <c r="FK308" s="694"/>
      <c r="FL308" s="694"/>
      <c r="FM308" s="694"/>
      <c r="FN308" s="694"/>
      <c r="FO308" s="694"/>
      <c r="FP308" s="694"/>
      <c r="FQ308" s="697"/>
    </row>
    <row r="309" spans="1:173" s="696" customFormat="1">
      <c r="A309" s="690"/>
      <c r="B309" s="690"/>
      <c r="C309" s="691"/>
      <c r="D309" s="691" t="s">
        <v>3000</v>
      </c>
      <c r="E309" s="692">
        <v>39.700000000000003</v>
      </c>
      <c r="F309" s="692"/>
      <c r="G309" s="692"/>
      <c r="H309" s="692"/>
      <c r="I309" s="692"/>
      <c r="J309" s="692"/>
      <c r="K309" s="692"/>
      <c r="L309" s="692"/>
      <c r="M309" s="692"/>
      <c r="N309" s="692"/>
      <c r="O309" s="692"/>
      <c r="P309" s="692">
        <f t="shared" si="98"/>
        <v>39.700000000000003</v>
      </c>
      <c r="Q309" s="692"/>
      <c r="R309" s="693"/>
      <c r="S309" s="693"/>
      <c r="T309" s="692"/>
      <c r="U309" s="692" t="s">
        <v>1631</v>
      </c>
      <c r="V309" s="692"/>
      <c r="W309" s="692"/>
      <c r="X309" s="692"/>
      <c r="Y309" s="692"/>
      <c r="Z309" s="692"/>
      <c r="AA309" s="692"/>
      <c r="AB309" s="692"/>
      <c r="AC309" s="692"/>
      <c r="AD309" s="692"/>
      <c r="AE309" s="725"/>
      <c r="AF309" s="957"/>
      <c r="AG309" s="692"/>
      <c r="AH309" s="692"/>
      <c r="AI309" s="692"/>
      <c r="AJ309" s="692"/>
      <c r="AK309" s="692"/>
      <c r="AL309" s="692"/>
      <c r="AM309" s="692"/>
      <c r="AN309" s="692"/>
      <c r="AO309" s="692"/>
      <c r="AP309" s="692"/>
      <c r="AQ309" s="692"/>
      <c r="AR309" s="692"/>
      <c r="AS309" s="692"/>
      <c r="AT309" s="692"/>
      <c r="AU309" s="692"/>
      <c r="AV309" s="692"/>
      <c r="AW309" s="692">
        <v>1</v>
      </c>
      <c r="AX309" s="692"/>
      <c r="AY309" s="692"/>
      <c r="AZ309" s="692">
        <f t="shared" si="88"/>
        <v>0</v>
      </c>
      <c r="BA309" s="692">
        <f t="shared" si="89"/>
        <v>2</v>
      </c>
      <c r="BB309" s="692"/>
      <c r="BC309" s="692"/>
      <c r="BD309" s="692"/>
      <c r="BE309" s="692">
        <v>1</v>
      </c>
      <c r="BF309" s="692"/>
      <c r="BG309" s="692"/>
      <c r="BH309" s="692"/>
      <c r="BI309" s="692">
        <f t="shared" si="90"/>
        <v>0</v>
      </c>
      <c r="BJ309" s="692">
        <f t="shared" si="91"/>
        <v>5</v>
      </c>
      <c r="BK309" s="692"/>
      <c r="BL309" s="692"/>
      <c r="BM309" s="692"/>
      <c r="BN309" s="692"/>
      <c r="BO309" s="692"/>
      <c r="BP309" s="692"/>
      <c r="BQ309" s="692">
        <f t="shared" si="92"/>
        <v>0</v>
      </c>
      <c r="BR309" s="692"/>
      <c r="BS309" s="692">
        <f t="shared" si="93"/>
        <v>0</v>
      </c>
      <c r="BT309" s="692">
        <f t="shared" si="94"/>
        <v>1</v>
      </c>
      <c r="BU309" s="692"/>
      <c r="BV309" s="692"/>
      <c r="BW309" s="692"/>
      <c r="BX309" s="692"/>
      <c r="BY309" s="692"/>
      <c r="BZ309" s="692"/>
      <c r="CA309" s="692"/>
      <c r="CB309" s="692">
        <v>1</v>
      </c>
      <c r="CC309" s="692"/>
      <c r="CD309" s="692">
        <f t="shared" si="95"/>
        <v>4</v>
      </c>
      <c r="CE309" s="692"/>
      <c r="CF309" s="692"/>
      <c r="CG309" s="692"/>
      <c r="CH309" s="692"/>
      <c r="CI309" s="692"/>
      <c r="CJ309" s="692"/>
      <c r="CK309" s="692"/>
      <c r="CL309" s="692"/>
      <c r="CM309" s="692"/>
      <c r="CN309" s="692"/>
      <c r="CO309" s="692"/>
      <c r="CP309" s="692"/>
      <c r="CQ309" s="692"/>
      <c r="CR309" s="692"/>
      <c r="CS309" s="692"/>
      <c r="CT309" s="692"/>
      <c r="CU309" s="692"/>
      <c r="CV309" s="692"/>
      <c r="CW309" s="692"/>
      <c r="CX309" s="694"/>
      <c r="CY309" s="694"/>
      <c r="CZ309" s="694"/>
      <c r="DA309" s="694"/>
      <c r="DB309" s="694"/>
      <c r="DC309" s="694"/>
      <c r="DD309" s="694"/>
      <c r="DE309" s="694"/>
      <c r="DF309" s="694"/>
      <c r="DG309" s="695"/>
      <c r="DH309" s="695"/>
      <c r="DI309" s="695"/>
      <c r="DJ309" s="695"/>
      <c r="DK309" s="695"/>
      <c r="DL309" s="695"/>
      <c r="DM309" s="695"/>
      <c r="DN309" s="695"/>
      <c r="DO309" s="695"/>
      <c r="DP309" s="695"/>
      <c r="DQ309" s="695"/>
      <c r="DR309" s="695"/>
      <c r="DS309" s="694"/>
      <c r="DT309" s="694"/>
      <c r="DU309" s="694"/>
      <c r="DV309" s="694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4"/>
      <c r="FH309" s="694"/>
      <c r="FI309" s="694"/>
      <c r="FJ309" s="694"/>
      <c r="FK309" s="694"/>
      <c r="FL309" s="694"/>
      <c r="FM309" s="694"/>
      <c r="FN309" s="694"/>
      <c r="FO309" s="694"/>
      <c r="FP309" s="694"/>
      <c r="FQ309" s="697"/>
    </row>
    <row r="310" spans="1:173" s="696" customFormat="1">
      <c r="A310" s="690"/>
      <c r="B310" s="690"/>
      <c r="C310" s="691"/>
      <c r="D310" s="691" t="s">
        <v>3001</v>
      </c>
      <c r="E310" s="692">
        <v>38.6</v>
      </c>
      <c r="F310" s="692"/>
      <c r="G310" s="692"/>
      <c r="H310" s="692"/>
      <c r="I310" s="692"/>
      <c r="J310" s="692"/>
      <c r="K310" s="692"/>
      <c r="L310" s="692"/>
      <c r="M310" s="692"/>
      <c r="N310" s="692"/>
      <c r="O310" s="692"/>
      <c r="P310" s="692">
        <f t="shared" si="98"/>
        <v>38.6</v>
      </c>
      <c r="Q310" s="692"/>
      <c r="R310" s="693"/>
      <c r="S310" s="693"/>
      <c r="T310" s="692"/>
      <c r="U310" s="692" t="s">
        <v>1631</v>
      </c>
      <c r="V310" s="692"/>
      <c r="W310" s="692"/>
      <c r="X310" s="692"/>
      <c r="Y310" s="692"/>
      <c r="Z310" s="692"/>
      <c r="AA310" s="692"/>
      <c r="AB310" s="692"/>
      <c r="AC310" s="692"/>
      <c r="AD310" s="692"/>
      <c r="AE310" s="725"/>
      <c r="AF310" s="957"/>
      <c r="AG310" s="692"/>
      <c r="AH310" s="692"/>
      <c r="AI310" s="692"/>
      <c r="AJ310" s="692"/>
      <c r="AK310" s="692"/>
      <c r="AL310" s="692"/>
      <c r="AM310" s="692"/>
      <c r="AN310" s="692"/>
      <c r="AO310" s="692"/>
      <c r="AP310" s="692"/>
      <c r="AQ310" s="692"/>
      <c r="AR310" s="692"/>
      <c r="AS310" s="692"/>
      <c r="AT310" s="692"/>
      <c r="AU310" s="692"/>
      <c r="AV310" s="692"/>
      <c r="AW310" s="692">
        <v>1</v>
      </c>
      <c r="AX310" s="692"/>
      <c r="AY310" s="692"/>
      <c r="AZ310" s="692">
        <f t="shared" si="88"/>
        <v>0</v>
      </c>
      <c r="BA310" s="692">
        <f t="shared" si="89"/>
        <v>2</v>
      </c>
      <c r="BB310" s="692"/>
      <c r="BC310" s="692"/>
      <c r="BD310" s="692"/>
      <c r="BE310" s="692">
        <v>1</v>
      </c>
      <c r="BF310" s="692"/>
      <c r="BG310" s="692"/>
      <c r="BH310" s="692"/>
      <c r="BI310" s="692">
        <f t="shared" si="90"/>
        <v>0</v>
      </c>
      <c r="BJ310" s="692">
        <f t="shared" si="91"/>
        <v>5</v>
      </c>
      <c r="BK310" s="692"/>
      <c r="BL310" s="692"/>
      <c r="BM310" s="692"/>
      <c r="BN310" s="692"/>
      <c r="BO310" s="692"/>
      <c r="BP310" s="692"/>
      <c r="BQ310" s="692">
        <f t="shared" si="92"/>
        <v>0</v>
      </c>
      <c r="BR310" s="692"/>
      <c r="BS310" s="692">
        <f t="shared" si="93"/>
        <v>0</v>
      </c>
      <c r="BT310" s="692">
        <f t="shared" si="94"/>
        <v>1</v>
      </c>
      <c r="BU310" s="692"/>
      <c r="BV310" s="692"/>
      <c r="BW310" s="692"/>
      <c r="BX310" s="692"/>
      <c r="BY310" s="692"/>
      <c r="BZ310" s="692"/>
      <c r="CA310" s="692"/>
      <c r="CB310" s="692">
        <v>1</v>
      </c>
      <c r="CC310" s="692"/>
      <c r="CD310" s="692">
        <f t="shared" si="95"/>
        <v>4</v>
      </c>
      <c r="CE310" s="692"/>
      <c r="CF310" s="692"/>
      <c r="CG310" s="692"/>
      <c r="CH310" s="692"/>
      <c r="CI310" s="692"/>
      <c r="CJ310" s="692"/>
      <c r="CK310" s="692"/>
      <c r="CL310" s="692"/>
      <c r="CM310" s="692"/>
      <c r="CN310" s="692"/>
      <c r="CO310" s="692"/>
      <c r="CP310" s="692"/>
      <c r="CQ310" s="692"/>
      <c r="CR310" s="692"/>
      <c r="CS310" s="692"/>
      <c r="CT310" s="692"/>
      <c r="CU310" s="692"/>
      <c r="CV310" s="692"/>
      <c r="CW310" s="692"/>
      <c r="CX310" s="694"/>
      <c r="CY310" s="694"/>
      <c r="CZ310" s="694"/>
      <c r="DA310" s="694"/>
      <c r="DB310" s="694"/>
      <c r="DC310" s="694"/>
      <c r="DD310" s="694"/>
      <c r="DE310" s="694"/>
      <c r="DF310" s="694"/>
      <c r="DG310" s="695"/>
      <c r="DH310" s="695"/>
      <c r="DI310" s="695"/>
      <c r="DJ310" s="695"/>
      <c r="DK310" s="695"/>
      <c r="DL310" s="695"/>
      <c r="DM310" s="695"/>
      <c r="DN310" s="695"/>
      <c r="DO310" s="695"/>
      <c r="DP310" s="695"/>
      <c r="DQ310" s="695"/>
      <c r="DR310" s="695"/>
      <c r="DS310" s="694"/>
      <c r="DT310" s="694"/>
      <c r="DU310" s="694"/>
      <c r="DV310" s="694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4"/>
      <c r="FH310" s="694"/>
      <c r="FI310" s="694"/>
      <c r="FJ310" s="694"/>
      <c r="FK310" s="694"/>
      <c r="FL310" s="694"/>
      <c r="FM310" s="694"/>
      <c r="FN310" s="694"/>
      <c r="FO310" s="694"/>
      <c r="FP310" s="694"/>
      <c r="FQ310" s="697"/>
    </row>
    <row r="311" spans="1:173" s="696" customFormat="1">
      <c r="A311" s="690"/>
      <c r="B311" s="690"/>
      <c r="C311" s="691"/>
      <c r="D311" s="691" t="s">
        <v>3002</v>
      </c>
      <c r="E311" s="692">
        <v>39.799999999999997</v>
      </c>
      <c r="F311" s="692"/>
      <c r="G311" s="692"/>
      <c r="H311" s="692"/>
      <c r="I311" s="692"/>
      <c r="J311" s="692"/>
      <c r="K311" s="692"/>
      <c r="L311" s="692"/>
      <c r="M311" s="692"/>
      <c r="N311" s="692"/>
      <c r="O311" s="692"/>
      <c r="P311" s="692">
        <f t="shared" si="98"/>
        <v>39.799999999999997</v>
      </c>
      <c r="Q311" s="692"/>
      <c r="R311" s="693"/>
      <c r="S311" s="693"/>
      <c r="T311" s="692"/>
      <c r="U311" s="692" t="s">
        <v>1631</v>
      </c>
      <c r="V311" s="692"/>
      <c r="W311" s="692"/>
      <c r="X311" s="692"/>
      <c r="Y311" s="692"/>
      <c r="Z311" s="692"/>
      <c r="AA311" s="692"/>
      <c r="AB311" s="692"/>
      <c r="AC311" s="692"/>
      <c r="AD311" s="692"/>
      <c r="AE311" s="725"/>
      <c r="AF311" s="957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>
        <v>1</v>
      </c>
      <c r="AX311" s="692"/>
      <c r="AY311" s="692"/>
      <c r="AZ311" s="692">
        <f t="shared" si="88"/>
        <v>0</v>
      </c>
      <c r="BA311" s="692">
        <f t="shared" si="89"/>
        <v>2</v>
      </c>
      <c r="BB311" s="692"/>
      <c r="BC311" s="692"/>
      <c r="BD311" s="692"/>
      <c r="BE311" s="692">
        <v>1</v>
      </c>
      <c r="BF311" s="692"/>
      <c r="BG311" s="692"/>
      <c r="BH311" s="692"/>
      <c r="BI311" s="692">
        <f t="shared" si="90"/>
        <v>0</v>
      </c>
      <c r="BJ311" s="692">
        <f t="shared" si="91"/>
        <v>5</v>
      </c>
      <c r="BK311" s="692"/>
      <c r="BL311" s="692"/>
      <c r="BM311" s="692"/>
      <c r="BN311" s="692"/>
      <c r="BO311" s="692"/>
      <c r="BP311" s="692"/>
      <c r="BQ311" s="692">
        <f t="shared" si="92"/>
        <v>0</v>
      </c>
      <c r="BR311" s="692"/>
      <c r="BS311" s="692">
        <f t="shared" si="93"/>
        <v>0</v>
      </c>
      <c r="BT311" s="692">
        <f t="shared" si="94"/>
        <v>1</v>
      </c>
      <c r="BU311" s="692"/>
      <c r="BV311" s="692"/>
      <c r="BW311" s="692"/>
      <c r="BX311" s="692"/>
      <c r="BY311" s="692"/>
      <c r="BZ311" s="692"/>
      <c r="CA311" s="692"/>
      <c r="CB311" s="692">
        <v>1</v>
      </c>
      <c r="CC311" s="692"/>
      <c r="CD311" s="692">
        <f t="shared" si="95"/>
        <v>4</v>
      </c>
      <c r="CE311" s="692"/>
      <c r="CF311" s="692"/>
      <c r="CG311" s="692"/>
      <c r="CH311" s="692"/>
      <c r="CI311" s="692"/>
      <c r="CJ311" s="692"/>
      <c r="CK311" s="692"/>
      <c r="CL311" s="692"/>
      <c r="CM311" s="692"/>
      <c r="CN311" s="692"/>
      <c r="CO311" s="692"/>
      <c r="CP311" s="692"/>
      <c r="CQ311" s="692"/>
      <c r="CR311" s="692"/>
      <c r="CS311" s="692"/>
      <c r="CT311" s="692"/>
      <c r="CU311" s="692"/>
      <c r="CV311" s="692"/>
      <c r="CW311" s="692"/>
      <c r="CX311" s="694"/>
      <c r="CY311" s="694"/>
      <c r="CZ311" s="694"/>
      <c r="DA311" s="694"/>
      <c r="DB311" s="694"/>
      <c r="DC311" s="694"/>
      <c r="DD311" s="694"/>
      <c r="DE311" s="694"/>
      <c r="DF311" s="694"/>
      <c r="DG311" s="695"/>
      <c r="DH311" s="695"/>
      <c r="DI311" s="695"/>
      <c r="DJ311" s="695"/>
      <c r="DK311" s="695"/>
      <c r="DL311" s="695"/>
      <c r="DM311" s="695"/>
      <c r="DN311" s="695"/>
      <c r="DO311" s="695"/>
      <c r="DP311" s="695"/>
      <c r="DQ311" s="695"/>
      <c r="DR311" s="695"/>
      <c r="DS311" s="694"/>
      <c r="DT311" s="694"/>
      <c r="DU311" s="694"/>
      <c r="DV311" s="694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4"/>
      <c r="FH311" s="694"/>
      <c r="FI311" s="694"/>
      <c r="FJ311" s="694"/>
      <c r="FK311" s="694"/>
      <c r="FL311" s="694"/>
      <c r="FM311" s="694"/>
      <c r="FN311" s="694"/>
      <c r="FO311" s="694"/>
      <c r="FP311" s="694"/>
      <c r="FQ311" s="697"/>
    </row>
    <row r="312" spans="1:173" s="696" customFormat="1">
      <c r="A312" s="690"/>
      <c r="B312" s="690"/>
      <c r="C312" s="691"/>
      <c r="D312" s="691" t="s">
        <v>3003</v>
      </c>
      <c r="E312" s="692">
        <v>38.5</v>
      </c>
      <c r="F312" s="692"/>
      <c r="G312" s="692"/>
      <c r="H312" s="692"/>
      <c r="I312" s="692"/>
      <c r="J312" s="692"/>
      <c r="K312" s="692"/>
      <c r="L312" s="692"/>
      <c r="M312" s="692"/>
      <c r="N312" s="692"/>
      <c r="O312" s="692"/>
      <c r="P312" s="692">
        <f t="shared" si="98"/>
        <v>38.5</v>
      </c>
      <c r="Q312" s="692"/>
      <c r="R312" s="693"/>
      <c r="S312" s="693"/>
      <c r="T312" s="692"/>
      <c r="U312" s="692" t="s">
        <v>1631</v>
      </c>
      <c r="V312" s="692"/>
      <c r="W312" s="692"/>
      <c r="X312" s="692"/>
      <c r="Y312" s="692"/>
      <c r="Z312" s="692"/>
      <c r="AA312" s="692"/>
      <c r="AB312" s="692"/>
      <c r="AC312" s="692"/>
      <c r="AD312" s="692"/>
      <c r="AE312" s="725"/>
      <c r="AF312" s="957"/>
      <c r="AG312" s="692"/>
      <c r="AH312" s="692"/>
      <c r="AI312" s="692"/>
      <c r="AJ312" s="692"/>
      <c r="AK312" s="692"/>
      <c r="AL312" s="692"/>
      <c r="AM312" s="692"/>
      <c r="AN312" s="692"/>
      <c r="AO312" s="692"/>
      <c r="AP312" s="692"/>
      <c r="AQ312" s="692"/>
      <c r="AR312" s="692"/>
      <c r="AS312" s="692"/>
      <c r="AT312" s="692"/>
      <c r="AU312" s="692">
        <v>1</v>
      </c>
      <c r="AV312" s="692"/>
      <c r="AW312" s="692"/>
      <c r="AX312" s="692"/>
      <c r="AY312" s="692"/>
      <c r="AZ312" s="692">
        <f t="shared" si="88"/>
        <v>0</v>
      </c>
      <c r="BA312" s="692">
        <f t="shared" si="89"/>
        <v>0</v>
      </c>
      <c r="BB312" s="692"/>
      <c r="BC312" s="692"/>
      <c r="BD312" s="692"/>
      <c r="BE312" s="692">
        <v>1</v>
      </c>
      <c r="BF312" s="692"/>
      <c r="BG312" s="692"/>
      <c r="BH312" s="692"/>
      <c r="BI312" s="692">
        <f t="shared" si="90"/>
        <v>0</v>
      </c>
      <c r="BJ312" s="692">
        <f t="shared" si="91"/>
        <v>2</v>
      </c>
      <c r="BK312" s="692"/>
      <c r="BL312" s="692"/>
      <c r="BM312" s="692"/>
      <c r="BN312" s="692"/>
      <c r="BO312" s="692"/>
      <c r="BP312" s="692"/>
      <c r="BQ312" s="692">
        <f t="shared" si="92"/>
        <v>0</v>
      </c>
      <c r="BR312" s="692"/>
      <c r="BS312" s="692">
        <f t="shared" si="93"/>
        <v>0</v>
      </c>
      <c r="BT312" s="692">
        <f t="shared" si="94"/>
        <v>1</v>
      </c>
      <c r="BU312" s="692"/>
      <c r="BV312" s="692"/>
      <c r="BW312" s="692"/>
      <c r="BX312" s="692"/>
      <c r="BY312" s="692"/>
      <c r="BZ312" s="692"/>
      <c r="CA312" s="692"/>
      <c r="CB312" s="692"/>
      <c r="CC312" s="692"/>
      <c r="CD312" s="692">
        <f t="shared" si="95"/>
        <v>0</v>
      </c>
      <c r="CE312" s="692"/>
      <c r="CF312" s="692"/>
      <c r="CG312" s="692"/>
      <c r="CH312" s="692"/>
      <c r="CI312" s="692"/>
      <c r="CJ312" s="692"/>
      <c r="CK312" s="692"/>
      <c r="CL312" s="692"/>
      <c r="CM312" s="692"/>
      <c r="CN312" s="692"/>
      <c r="CO312" s="692"/>
      <c r="CP312" s="692"/>
      <c r="CQ312" s="692"/>
      <c r="CR312" s="692"/>
      <c r="CS312" s="692"/>
      <c r="CT312" s="692"/>
      <c r="CU312" s="692"/>
      <c r="CV312" s="692"/>
      <c r="CW312" s="692"/>
      <c r="CX312" s="694"/>
      <c r="CY312" s="694"/>
      <c r="CZ312" s="694"/>
      <c r="DA312" s="694"/>
      <c r="DB312" s="694"/>
      <c r="DC312" s="694"/>
      <c r="DD312" s="694"/>
      <c r="DE312" s="694"/>
      <c r="DF312" s="694"/>
      <c r="DG312" s="695"/>
      <c r="DH312" s="695"/>
      <c r="DI312" s="695"/>
      <c r="DJ312" s="695"/>
      <c r="DK312" s="695"/>
      <c r="DL312" s="695"/>
      <c r="DM312" s="695"/>
      <c r="DN312" s="695"/>
      <c r="DO312" s="695"/>
      <c r="DP312" s="695"/>
      <c r="DQ312" s="695"/>
      <c r="DR312" s="695"/>
      <c r="DS312" s="694"/>
      <c r="DT312" s="694"/>
      <c r="DU312" s="694"/>
      <c r="DV312" s="694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4"/>
      <c r="FH312" s="694"/>
      <c r="FI312" s="694"/>
      <c r="FJ312" s="694"/>
      <c r="FK312" s="694"/>
      <c r="FL312" s="694"/>
      <c r="FM312" s="694"/>
      <c r="FN312" s="694"/>
      <c r="FO312" s="694"/>
      <c r="FP312" s="694"/>
      <c r="FQ312" s="697"/>
    </row>
    <row r="313" spans="1:173" s="696" customFormat="1">
      <c r="A313" s="690"/>
      <c r="B313" s="690"/>
      <c r="C313" s="691"/>
      <c r="D313" s="691" t="s">
        <v>3004</v>
      </c>
      <c r="E313" s="692">
        <v>40.9</v>
      </c>
      <c r="F313" s="692"/>
      <c r="G313" s="692"/>
      <c r="H313" s="692"/>
      <c r="I313" s="692"/>
      <c r="J313" s="692"/>
      <c r="K313" s="692"/>
      <c r="L313" s="692"/>
      <c r="M313" s="692"/>
      <c r="N313" s="692"/>
      <c r="O313" s="692"/>
      <c r="P313" s="692">
        <f t="shared" si="98"/>
        <v>40.9</v>
      </c>
      <c r="Q313" s="692"/>
      <c r="R313" s="693"/>
      <c r="S313" s="693"/>
      <c r="T313" s="692"/>
      <c r="U313" s="692" t="s">
        <v>1631</v>
      </c>
      <c r="V313" s="692"/>
      <c r="W313" s="692"/>
      <c r="X313" s="692"/>
      <c r="Y313" s="692"/>
      <c r="Z313" s="692"/>
      <c r="AA313" s="692"/>
      <c r="AB313" s="692"/>
      <c r="AC313" s="692"/>
      <c r="AD313" s="692"/>
      <c r="AE313" s="725"/>
      <c r="AF313" s="957"/>
      <c r="AG313" s="692"/>
      <c r="AH313" s="692"/>
      <c r="AI313" s="692"/>
      <c r="AJ313" s="692"/>
      <c r="AK313" s="692"/>
      <c r="AL313" s="692"/>
      <c r="AM313" s="692"/>
      <c r="AN313" s="692"/>
      <c r="AO313" s="692"/>
      <c r="AP313" s="692"/>
      <c r="AQ313" s="692"/>
      <c r="AR313" s="692"/>
      <c r="AS313" s="692"/>
      <c r="AT313" s="692"/>
      <c r="AU313" s="692"/>
      <c r="AV313" s="692"/>
      <c r="AW313" s="692">
        <v>1</v>
      </c>
      <c r="AX313" s="692"/>
      <c r="AY313" s="692"/>
      <c r="AZ313" s="692">
        <f t="shared" si="88"/>
        <v>0</v>
      </c>
      <c r="BA313" s="692">
        <f t="shared" si="89"/>
        <v>2</v>
      </c>
      <c r="BB313" s="692"/>
      <c r="BC313" s="692"/>
      <c r="BD313" s="692"/>
      <c r="BE313" s="692">
        <v>1</v>
      </c>
      <c r="BF313" s="692"/>
      <c r="BG313" s="692"/>
      <c r="BH313" s="692"/>
      <c r="BI313" s="692">
        <f t="shared" si="90"/>
        <v>0</v>
      </c>
      <c r="BJ313" s="692">
        <f t="shared" si="91"/>
        <v>5</v>
      </c>
      <c r="BK313" s="692"/>
      <c r="BL313" s="692"/>
      <c r="BM313" s="692"/>
      <c r="BN313" s="692"/>
      <c r="BO313" s="692"/>
      <c r="BP313" s="692"/>
      <c r="BQ313" s="692">
        <f t="shared" si="92"/>
        <v>0</v>
      </c>
      <c r="BR313" s="692"/>
      <c r="BS313" s="692">
        <f t="shared" si="93"/>
        <v>0</v>
      </c>
      <c r="BT313" s="692">
        <f t="shared" si="94"/>
        <v>1</v>
      </c>
      <c r="BU313" s="692"/>
      <c r="BV313" s="692"/>
      <c r="BW313" s="692"/>
      <c r="BX313" s="692"/>
      <c r="BY313" s="692"/>
      <c r="BZ313" s="692"/>
      <c r="CA313" s="692"/>
      <c r="CB313" s="692">
        <v>1</v>
      </c>
      <c r="CC313" s="692"/>
      <c r="CD313" s="692">
        <f t="shared" si="95"/>
        <v>4</v>
      </c>
      <c r="CE313" s="692"/>
      <c r="CF313" s="692"/>
      <c r="CG313" s="692"/>
      <c r="CH313" s="692"/>
      <c r="CI313" s="692"/>
      <c r="CJ313" s="692"/>
      <c r="CK313" s="692"/>
      <c r="CL313" s="692"/>
      <c r="CM313" s="692"/>
      <c r="CN313" s="692"/>
      <c r="CO313" s="692"/>
      <c r="CP313" s="692"/>
      <c r="CQ313" s="692"/>
      <c r="CR313" s="692"/>
      <c r="CS313" s="692"/>
      <c r="CT313" s="692"/>
      <c r="CU313" s="692"/>
      <c r="CV313" s="692"/>
      <c r="CW313" s="692"/>
      <c r="CX313" s="694"/>
      <c r="CY313" s="694"/>
      <c r="CZ313" s="694"/>
      <c r="DA313" s="694"/>
      <c r="DB313" s="694"/>
      <c r="DC313" s="694"/>
      <c r="DD313" s="694"/>
      <c r="DE313" s="694"/>
      <c r="DF313" s="694"/>
      <c r="DG313" s="695"/>
      <c r="DH313" s="695"/>
      <c r="DI313" s="695"/>
      <c r="DJ313" s="695"/>
      <c r="DK313" s="695"/>
      <c r="DL313" s="695"/>
      <c r="DM313" s="695"/>
      <c r="DN313" s="695"/>
      <c r="DO313" s="695"/>
      <c r="DP313" s="695"/>
      <c r="DQ313" s="695"/>
      <c r="DR313" s="695"/>
      <c r="DS313" s="694"/>
      <c r="DT313" s="694"/>
      <c r="DU313" s="694"/>
      <c r="DV313" s="694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4"/>
      <c r="FH313" s="694"/>
      <c r="FI313" s="694"/>
      <c r="FJ313" s="694"/>
      <c r="FK313" s="694"/>
      <c r="FL313" s="694"/>
      <c r="FM313" s="694"/>
      <c r="FN313" s="694"/>
      <c r="FO313" s="694"/>
      <c r="FP313" s="694"/>
      <c r="FQ313" s="697"/>
    </row>
    <row r="314" spans="1:173" s="696" customFormat="1">
      <c r="A314" s="690"/>
      <c r="B314" s="690"/>
      <c r="C314" s="691"/>
      <c r="D314" s="691" t="s">
        <v>3038</v>
      </c>
      <c r="E314" s="692">
        <v>34.1</v>
      </c>
      <c r="F314" s="692"/>
      <c r="G314" s="692"/>
      <c r="H314" s="692"/>
      <c r="I314" s="692"/>
      <c r="J314" s="692"/>
      <c r="K314" s="692"/>
      <c r="L314" s="692"/>
      <c r="M314" s="692"/>
      <c r="N314" s="692"/>
      <c r="O314" s="692"/>
      <c r="P314" s="692">
        <f t="shared" si="98"/>
        <v>34.1</v>
      </c>
      <c r="Q314" s="692"/>
      <c r="R314" s="693"/>
      <c r="S314" s="693"/>
      <c r="T314" s="692"/>
      <c r="U314" s="692" t="s">
        <v>1631</v>
      </c>
      <c r="V314" s="692"/>
      <c r="W314" s="692"/>
      <c r="X314" s="692"/>
      <c r="Y314" s="692"/>
      <c r="Z314" s="692"/>
      <c r="AA314" s="692"/>
      <c r="AB314" s="692"/>
      <c r="AC314" s="692"/>
      <c r="AD314" s="692"/>
      <c r="AE314" s="725"/>
      <c r="AF314" s="957"/>
      <c r="AG314" s="692"/>
      <c r="AH314" s="692"/>
      <c r="AI314" s="692"/>
      <c r="AJ314" s="692"/>
      <c r="AK314" s="692"/>
      <c r="AL314" s="692"/>
      <c r="AM314" s="692"/>
      <c r="AN314" s="692"/>
      <c r="AO314" s="692"/>
      <c r="AP314" s="692"/>
      <c r="AQ314" s="692"/>
      <c r="AR314" s="692"/>
      <c r="AS314" s="692"/>
      <c r="AT314" s="692"/>
      <c r="AU314" s="692"/>
      <c r="AV314" s="692"/>
      <c r="AW314" s="692">
        <v>1</v>
      </c>
      <c r="AX314" s="692"/>
      <c r="AY314" s="692"/>
      <c r="AZ314" s="692">
        <f t="shared" si="88"/>
        <v>0</v>
      </c>
      <c r="BA314" s="692">
        <f t="shared" si="89"/>
        <v>2</v>
      </c>
      <c r="BB314" s="692"/>
      <c r="BC314" s="692"/>
      <c r="BD314" s="692"/>
      <c r="BE314" s="692">
        <v>1</v>
      </c>
      <c r="BF314" s="692"/>
      <c r="BG314" s="692"/>
      <c r="BH314" s="692"/>
      <c r="BI314" s="692">
        <f t="shared" si="90"/>
        <v>0</v>
      </c>
      <c r="BJ314" s="692">
        <f t="shared" si="91"/>
        <v>5</v>
      </c>
      <c r="BK314" s="692"/>
      <c r="BL314" s="692"/>
      <c r="BM314" s="692"/>
      <c r="BN314" s="692"/>
      <c r="BO314" s="692"/>
      <c r="BP314" s="692"/>
      <c r="BQ314" s="692">
        <f t="shared" si="92"/>
        <v>0</v>
      </c>
      <c r="BR314" s="692"/>
      <c r="BS314" s="692">
        <f t="shared" si="93"/>
        <v>0</v>
      </c>
      <c r="BT314" s="692">
        <f t="shared" si="94"/>
        <v>1</v>
      </c>
      <c r="BU314" s="692"/>
      <c r="BV314" s="692"/>
      <c r="BW314" s="692"/>
      <c r="BX314" s="692"/>
      <c r="BY314" s="692"/>
      <c r="BZ314" s="692"/>
      <c r="CA314" s="692"/>
      <c r="CB314" s="692">
        <v>1</v>
      </c>
      <c r="CC314" s="692"/>
      <c r="CD314" s="692">
        <f t="shared" si="95"/>
        <v>4</v>
      </c>
      <c r="CE314" s="692"/>
      <c r="CF314" s="692"/>
      <c r="CG314" s="692"/>
      <c r="CH314" s="692"/>
      <c r="CI314" s="692"/>
      <c r="CJ314" s="692"/>
      <c r="CK314" s="692"/>
      <c r="CL314" s="692"/>
      <c r="CM314" s="692"/>
      <c r="CN314" s="692"/>
      <c r="CO314" s="692"/>
      <c r="CP314" s="692"/>
      <c r="CQ314" s="692"/>
      <c r="CR314" s="692"/>
      <c r="CS314" s="692"/>
      <c r="CT314" s="692"/>
      <c r="CU314" s="692"/>
      <c r="CV314" s="692"/>
      <c r="CW314" s="692"/>
      <c r="CX314" s="694"/>
      <c r="CY314" s="694"/>
      <c r="CZ314" s="694"/>
      <c r="DA314" s="694"/>
      <c r="DB314" s="694"/>
      <c r="DC314" s="694"/>
      <c r="DD314" s="694"/>
      <c r="DE314" s="694"/>
      <c r="DF314" s="694"/>
      <c r="DG314" s="695"/>
      <c r="DH314" s="695"/>
      <c r="DI314" s="695"/>
      <c r="DJ314" s="695"/>
      <c r="DK314" s="695"/>
      <c r="DL314" s="695"/>
      <c r="DM314" s="695"/>
      <c r="DN314" s="695"/>
      <c r="DO314" s="695"/>
      <c r="DP314" s="695"/>
      <c r="DQ314" s="695"/>
      <c r="DR314" s="695"/>
      <c r="DS314" s="694"/>
      <c r="DT314" s="694"/>
      <c r="DU314" s="694"/>
      <c r="DV314" s="694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4"/>
      <c r="FH314" s="694"/>
      <c r="FI314" s="694"/>
      <c r="FJ314" s="694"/>
      <c r="FK314" s="694"/>
      <c r="FL314" s="694"/>
      <c r="FM314" s="694"/>
      <c r="FN314" s="694"/>
      <c r="FO314" s="694"/>
      <c r="FP314" s="694"/>
      <c r="FQ314" s="697"/>
    </row>
    <row r="315" spans="1:173" s="696" customFormat="1">
      <c r="A315" s="690"/>
      <c r="B315" s="690"/>
      <c r="C315" s="691"/>
      <c r="D315" s="691" t="s">
        <v>3039</v>
      </c>
      <c r="E315" s="692">
        <v>38.9</v>
      </c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>
        <f t="shared" si="98"/>
        <v>38.9</v>
      </c>
      <c r="Q315" s="692"/>
      <c r="R315" s="693"/>
      <c r="S315" s="693"/>
      <c r="T315" s="692"/>
      <c r="U315" s="692" t="s">
        <v>1631</v>
      </c>
      <c r="V315" s="692"/>
      <c r="W315" s="692"/>
      <c r="X315" s="692"/>
      <c r="Y315" s="692"/>
      <c r="Z315" s="692"/>
      <c r="AA315" s="692"/>
      <c r="AB315" s="692"/>
      <c r="AC315" s="692"/>
      <c r="AD315" s="692"/>
      <c r="AE315" s="725"/>
      <c r="AF315" s="957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>
        <v>1</v>
      </c>
      <c r="AX315" s="692"/>
      <c r="AY315" s="692"/>
      <c r="AZ315" s="692">
        <f t="shared" si="88"/>
        <v>0</v>
      </c>
      <c r="BA315" s="692">
        <f t="shared" si="89"/>
        <v>2</v>
      </c>
      <c r="BB315" s="692"/>
      <c r="BC315" s="692"/>
      <c r="BD315" s="692"/>
      <c r="BE315" s="692">
        <v>1</v>
      </c>
      <c r="BF315" s="692"/>
      <c r="BG315" s="692"/>
      <c r="BH315" s="692"/>
      <c r="BI315" s="692">
        <f t="shared" si="90"/>
        <v>0</v>
      </c>
      <c r="BJ315" s="692">
        <f t="shared" si="91"/>
        <v>5</v>
      </c>
      <c r="BK315" s="692"/>
      <c r="BL315" s="692"/>
      <c r="BM315" s="692"/>
      <c r="BN315" s="692"/>
      <c r="BO315" s="692"/>
      <c r="BP315" s="692"/>
      <c r="BQ315" s="692">
        <f t="shared" si="92"/>
        <v>0</v>
      </c>
      <c r="BR315" s="692"/>
      <c r="BS315" s="692">
        <f t="shared" si="93"/>
        <v>0</v>
      </c>
      <c r="BT315" s="692">
        <f t="shared" si="94"/>
        <v>1</v>
      </c>
      <c r="BU315" s="692"/>
      <c r="BV315" s="692"/>
      <c r="BW315" s="692"/>
      <c r="BX315" s="692"/>
      <c r="BY315" s="692"/>
      <c r="BZ315" s="692"/>
      <c r="CA315" s="692"/>
      <c r="CB315" s="692">
        <v>1</v>
      </c>
      <c r="CC315" s="692"/>
      <c r="CD315" s="692">
        <f t="shared" si="95"/>
        <v>4</v>
      </c>
      <c r="CE315" s="692"/>
      <c r="CF315" s="692"/>
      <c r="CG315" s="692"/>
      <c r="CH315" s="692"/>
      <c r="CI315" s="692"/>
      <c r="CJ315" s="692"/>
      <c r="CK315" s="692"/>
      <c r="CL315" s="692"/>
      <c r="CM315" s="692"/>
      <c r="CN315" s="692"/>
      <c r="CO315" s="692"/>
      <c r="CP315" s="692"/>
      <c r="CQ315" s="692"/>
      <c r="CR315" s="692"/>
      <c r="CS315" s="692"/>
      <c r="CT315" s="692"/>
      <c r="CU315" s="692"/>
      <c r="CV315" s="692"/>
      <c r="CW315" s="692"/>
      <c r="CX315" s="694"/>
      <c r="CY315" s="694"/>
      <c r="CZ315" s="694"/>
      <c r="DA315" s="694"/>
      <c r="DB315" s="694"/>
      <c r="DC315" s="694"/>
      <c r="DD315" s="694"/>
      <c r="DE315" s="694"/>
      <c r="DF315" s="694"/>
      <c r="DG315" s="695"/>
      <c r="DH315" s="695"/>
      <c r="DI315" s="695"/>
      <c r="DJ315" s="695"/>
      <c r="DK315" s="695"/>
      <c r="DL315" s="695"/>
      <c r="DM315" s="695"/>
      <c r="DN315" s="695"/>
      <c r="DO315" s="695"/>
      <c r="DP315" s="695"/>
      <c r="DQ315" s="695"/>
      <c r="DR315" s="695"/>
      <c r="DS315" s="694"/>
      <c r="DT315" s="694"/>
      <c r="DU315" s="694"/>
      <c r="DV315" s="694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4"/>
      <c r="FH315" s="694"/>
      <c r="FI315" s="694"/>
      <c r="FJ315" s="694"/>
      <c r="FK315" s="694"/>
      <c r="FL315" s="694"/>
      <c r="FM315" s="694"/>
      <c r="FN315" s="694"/>
      <c r="FO315" s="694"/>
      <c r="FP315" s="694"/>
      <c r="FQ315" s="697"/>
    </row>
    <row r="316" spans="1:173" s="696" customFormat="1">
      <c r="A316" s="690"/>
      <c r="B316" s="690"/>
      <c r="C316" s="691" t="s">
        <v>3818</v>
      </c>
      <c r="D316" s="691"/>
      <c r="E316" s="692">
        <v>41.7</v>
      </c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>
        <f t="shared" si="98"/>
        <v>41.7</v>
      </c>
      <c r="Q316" s="692"/>
      <c r="R316" s="693"/>
      <c r="S316" s="693"/>
      <c r="T316" s="692"/>
      <c r="U316" s="692" t="s">
        <v>1631</v>
      </c>
      <c r="V316" s="692"/>
      <c r="W316" s="692"/>
      <c r="X316" s="692"/>
      <c r="Y316" s="692"/>
      <c r="Z316" s="692"/>
      <c r="AA316" s="692"/>
      <c r="AB316" s="692"/>
      <c r="AC316" s="692"/>
      <c r="AD316" s="692"/>
      <c r="AE316" s="725"/>
      <c r="AF316" s="957"/>
      <c r="AG316" s="692"/>
      <c r="AH316" s="692"/>
      <c r="AI316" s="692"/>
      <c r="AJ316" s="692"/>
      <c r="AK316" s="692"/>
      <c r="AL316" s="692"/>
      <c r="AM316" s="692"/>
      <c r="AN316" s="692"/>
      <c r="AO316" s="692"/>
      <c r="AP316" s="692"/>
      <c r="AQ316" s="692"/>
      <c r="AR316" s="692"/>
      <c r="AS316" s="692"/>
      <c r="AT316" s="692"/>
      <c r="AU316" s="692"/>
      <c r="AV316" s="692"/>
      <c r="AW316" s="692">
        <v>1</v>
      </c>
      <c r="AX316" s="692"/>
      <c r="AY316" s="692"/>
      <c r="AZ316" s="692">
        <f t="shared" si="88"/>
        <v>2</v>
      </c>
      <c r="BA316" s="692">
        <f t="shared" si="89"/>
        <v>0</v>
      </c>
      <c r="BB316" s="692"/>
      <c r="BC316" s="692"/>
      <c r="BD316" s="692">
        <v>1</v>
      </c>
      <c r="BE316" s="692"/>
      <c r="BF316" s="692"/>
      <c r="BG316" s="692"/>
      <c r="BH316" s="692"/>
      <c r="BI316" s="692">
        <f t="shared" si="90"/>
        <v>0</v>
      </c>
      <c r="BJ316" s="692">
        <f t="shared" si="91"/>
        <v>5</v>
      </c>
      <c r="BK316" s="692"/>
      <c r="BL316" s="692"/>
      <c r="BM316" s="692"/>
      <c r="BN316" s="692"/>
      <c r="BO316" s="692"/>
      <c r="BP316" s="692"/>
      <c r="BQ316" s="692">
        <f t="shared" si="92"/>
        <v>0</v>
      </c>
      <c r="BR316" s="692"/>
      <c r="BS316" s="692">
        <f t="shared" si="93"/>
        <v>0</v>
      </c>
      <c r="BT316" s="692">
        <f t="shared" si="94"/>
        <v>1</v>
      </c>
      <c r="BU316" s="692"/>
      <c r="BV316" s="692"/>
      <c r="BW316" s="692"/>
      <c r="BX316" s="692"/>
      <c r="BY316" s="692"/>
      <c r="BZ316" s="692"/>
      <c r="CA316" s="692"/>
      <c r="CB316" s="692">
        <v>1</v>
      </c>
      <c r="CC316" s="692"/>
      <c r="CD316" s="692">
        <f t="shared" si="95"/>
        <v>4</v>
      </c>
      <c r="CE316" s="692"/>
      <c r="CF316" s="692"/>
      <c r="CG316" s="692"/>
      <c r="CH316" s="692"/>
      <c r="CI316" s="692"/>
      <c r="CJ316" s="692"/>
      <c r="CK316" s="692"/>
      <c r="CL316" s="692"/>
      <c r="CM316" s="692"/>
      <c r="CN316" s="692"/>
      <c r="CO316" s="692"/>
      <c r="CP316" s="692"/>
      <c r="CQ316" s="692"/>
      <c r="CR316" s="692"/>
      <c r="CS316" s="692"/>
      <c r="CT316" s="692"/>
      <c r="CU316" s="692"/>
      <c r="CV316" s="692"/>
      <c r="CW316" s="692"/>
      <c r="CX316" s="694"/>
      <c r="CY316" s="694"/>
      <c r="CZ316" s="694"/>
      <c r="DA316" s="694"/>
      <c r="DB316" s="694"/>
      <c r="DC316" s="694"/>
      <c r="DD316" s="694"/>
      <c r="DE316" s="694"/>
      <c r="DF316" s="694"/>
      <c r="DG316" s="695"/>
      <c r="DH316" s="695"/>
      <c r="DI316" s="695"/>
      <c r="DJ316" s="695"/>
      <c r="DK316" s="695"/>
      <c r="DL316" s="695"/>
      <c r="DM316" s="695"/>
      <c r="DN316" s="695"/>
      <c r="DO316" s="695"/>
      <c r="DP316" s="695"/>
      <c r="DQ316" s="695"/>
      <c r="DR316" s="695"/>
      <c r="DS316" s="694"/>
      <c r="DT316" s="694"/>
      <c r="DU316" s="694"/>
      <c r="DV316" s="694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4"/>
      <c r="FH316" s="694"/>
      <c r="FI316" s="694"/>
      <c r="FJ316" s="694"/>
      <c r="FK316" s="694"/>
      <c r="FL316" s="694"/>
      <c r="FM316" s="694"/>
      <c r="FN316" s="694"/>
      <c r="FO316" s="694"/>
      <c r="FP316" s="694"/>
      <c r="FQ316" s="697"/>
    </row>
    <row r="317" spans="1:173" s="696" customFormat="1">
      <c r="A317" s="690"/>
      <c r="B317" s="690"/>
      <c r="C317" s="691"/>
      <c r="D317" s="691" t="s">
        <v>3040</v>
      </c>
      <c r="E317" s="692"/>
      <c r="F317" s="692"/>
      <c r="G317" s="692"/>
      <c r="H317" s="692"/>
      <c r="I317" s="692"/>
      <c r="J317" s="692"/>
      <c r="K317" s="692"/>
      <c r="L317" s="692"/>
      <c r="M317" s="692"/>
      <c r="N317" s="692"/>
      <c r="O317" s="692"/>
      <c r="P317" s="692">
        <f t="shared" si="98"/>
        <v>0</v>
      </c>
      <c r="Q317" s="692"/>
      <c r="R317" s="693"/>
      <c r="S317" s="693"/>
      <c r="T317" s="692"/>
      <c r="U317" s="692" t="s">
        <v>2989</v>
      </c>
      <c r="V317" s="692"/>
      <c r="W317" s="692"/>
      <c r="X317" s="692"/>
      <c r="Y317" s="692"/>
      <c r="Z317" s="692"/>
      <c r="AA317" s="692"/>
      <c r="AB317" s="692"/>
      <c r="AC317" s="692"/>
      <c r="AD317" s="692"/>
      <c r="AE317" s="725"/>
      <c r="AF317" s="957"/>
      <c r="AG317" s="692"/>
      <c r="AH317" s="692"/>
      <c r="AI317" s="692"/>
      <c r="AJ317" s="692"/>
      <c r="AK317" s="692"/>
      <c r="AL317" s="692"/>
      <c r="AM317" s="692"/>
      <c r="AN317" s="692"/>
      <c r="AO317" s="692"/>
      <c r="AP317" s="692"/>
      <c r="AQ317" s="692"/>
      <c r="AR317" s="692"/>
      <c r="AS317" s="692"/>
      <c r="AT317" s="692"/>
      <c r="AU317" s="692"/>
      <c r="AV317" s="692"/>
      <c r="AW317" s="692"/>
      <c r="AX317" s="692"/>
      <c r="AY317" s="692"/>
      <c r="AZ317" s="692">
        <f t="shared" si="88"/>
        <v>0</v>
      </c>
      <c r="BA317" s="692">
        <f t="shared" si="89"/>
        <v>0</v>
      </c>
      <c r="BB317" s="692"/>
      <c r="BC317" s="692"/>
      <c r="BD317" s="692"/>
      <c r="BE317" s="692">
        <v>2</v>
      </c>
      <c r="BF317" s="692"/>
      <c r="BG317" s="692"/>
      <c r="BH317" s="692"/>
      <c r="BI317" s="692">
        <f t="shared" si="90"/>
        <v>0</v>
      </c>
      <c r="BJ317" s="692">
        <f t="shared" si="91"/>
        <v>0</v>
      </c>
      <c r="BK317" s="692"/>
      <c r="BL317" s="692"/>
      <c r="BM317" s="692"/>
      <c r="BN317" s="692"/>
      <c r="BO317" s="692"/>
      <c r="BP317" s="692"/>
      <c r="BQ317" s="692">
        <f t="shared" si="92"/>
        <v>0</v>
      </c>
      <c r="BR317" s="692"/>
      <c r="BS317" s="692">
        <f t="shared" si="93"/>
        <v>0</v>
      </c>
      <c r="BT317" s="692">
        <f t="shared" si="94"/>
        <v>0</v>
      </c>
      <c r="BU317" s="692"/>
      <c r="BV317" s="692"/>
      <c r="BW317" s="692"/>
      <c r="BX317" s="692"/>
      <c r="BY317" s="692">
        <v>2</v>
      </c>
      <c r="BZ317" s="692"/>
      <c r="CA317" s="692"/>
      <c r="CB317" s="692"/>
      <c r="CC317" s="692"/>
      <c r="CD317" s="692">
        <f t="shared" si="95"/>
        <v>0</v>
      </c>
      <c r="CE317" s="692">
        <v>6</v>
      </c>
      <c r="CF317" s="692"/>
      <c r="CG317" s="692">
        <v>12</v>
      </c>
      <c r="CH317" s="692"/>
      <c r="CI317" s="692"/>
      <c r="CJ317" s="692">
        <v>8</v>
      </c>
      <c r="CK317" s="692"/>
      <c r="CL317" s="692"/>
      <c r="CM317" s="692"/>
      <c r="CN317" s="692"/>
      <c r="CO317" s="692">
        <v>8</v>
      </c>
      <c r="CP317" s="692"/>
      <c r="CQ317" s="692"/>
      <c r="CR317" s="692"/>
      <c r="CS317" s="692"/>
      <c r="CT317" s="692"/>
      <c r="CU317" s="692">
        <v>2</v>
      </c>
      <c r="CV317" s="692"/>
      <c r="CW317" s="692"/>
      <c r="CX317" s="694"/>
      <c r="CY317" s="694"/>
      <c r="CZ317" s="694"/>
      <c r="DA317" s="694"/>
      <c r="DB317" s="694"/>
      <c r="DC317" s="694"/>
      <c r="DD317" s="694"/>
      <c r="DE317" s="694"/>
      <c r="DF317" s="694"/>
      <c r="DG317" s="695"/>
      <c r="DH317" s="695"/>
      <c r="DI317" s="695"/>
      <c r="DJ317" s="695"/>
      <c r="DK317" s="695"/>
      <c r="DL317" s="695"/>
      <c r="DM317" s="695"/>
      <c r="DN317" s="695"/>
      <c r="DO317" s="695"/>
      <c r="DP317" s="695"/>
      <c r="DQ317" s="695"/>
      <c r="DR317" s="695"/>
      <c r="DS317" s="694"/>
      <c r="DT317" s="694"/>
      <c r="DU317" s="694"/>
      <c r="DV317" s="694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4"/>
      <c r="FH317" s="694"/>
      <c r="FI317" s="694"/>
      <c r="FJ317" s="694"/>
      <c r="FK317" s="694"/>
      <c r="FL317" s="694"/>
      <c r="FM317" s="694"/>
      <c r="FN317" s="694"/>
      <c r="FO317" s="694"/>
      <c r="FP317" s="694"/>
      <c r="FQ317" s="697"/>
    </row>
    <row r="318" spans="1:173" s="696" customFormat="1">
      <c r="A318" s="690"/>
      <c r="B318" s="690"/>
      <c r="C318" s="691" t="s">
        <v>3632</v>
      </c>
      <c r="D318" s="691"/>
      <c r="E318" s="692">
        <v>34.799999999999997</v>
      </c>
      <c r="F318" s="692"/>
      <c r="G318" s="692"/>
      <c r="H318" s="692"/>
      <c r="I318" s="692"/>
      <c r="J318" s="692"/>
      <c r="K318" s="692"/>
      <c r="L318" s="692"/>
      <c r="M318" s="692"/>
      <c r="N318" s="692"/>
      <c r="O318" s="692"/>
      <c r="P318" s="692">
        <f t="shared" si="98"/>
        <v>34.799999999999997</v>
      </c>
      <c r="Q318" s="692"/>
      <c r="R318" s="693"/>
      <c r="S318" s="693"/>
      <c r="T318" s="692"/>
      <c r="U318" s="692" t="s">
        <v>1631</v>
      </c>
      <c r="V318" s="692"/>
      <c r="W318" s="692"/>
      <c r="X318" s="692"/>
      <c r="Y318" s="692"/>
      <c r="Z318" s="692"/>
      <c r="AA318" s="692"/>
      <c r="AB318" s="692"/>
      <c r="AC318" s="692"/>
      <c r="AD318" s="692"/>
      <c r="AE318" s="725"/>
      <c r="AF318" s="957"/>
      <c r="AG318" s="692"/>
      <c r="AH318" s="692"/>
      <c r="AI318" s="692"/>
      <c r="AJ318" s="692"/>
      <c r="AK318" s="692"/>
      <c r="AL318" s="692"/>
      <c r="AM318" s="692"/>
      <c r="AN318" s="692"/>
      <c r="AO318" s="692"/>
      <c r="AP318" s="692"/>
      <c r="AQ318" s="692"/>
      <c r="AR318" s="692"/>
      <c r="AS318" s="692"/>
      <c r="AT318" s="692"/>
      <c r="AU318" s="692"/>
      <c r="AV318" s="692"/>
      <c r="AW318" s="692">
        <v>1</v>
      </c>
      <c r="AX318" s="692"/>
      <c r="AY318" s="692"/>
      <c r="AZ318" s="692">
        <f t="shared" si="88"/>
        <v>2</v>
      </c>
      <c r="BA318" s="692">
        <f t="shared" si="89"/>
        <v>0</v>
      </c>
      <c r="BB318" s="692"/>
      <c r="BC318" s="692"/>
      <c r="BD318" s="692">
        <v>1</v>
      </c>
      <c r="BE318" s="692"/>
      <c r="BF318" s="692"/>
      <c r="BG318" s="692"/>
      <c r="BH318" s="692"/>
      <c r="BI318" s="692">
        <f t="shared" si="90"/>
        <v>0</v>
      </c>
      <c r="BJ318" s="692">
        <f t="shared" si="91"/>
        <v>5</v>
      </c>
      <c r="BK318" s="692"/>
      <c r="BL318" s="692"/>
      <c r="BM318" s="692"/>
      <c r="BN318" s="692"/>
      <c r="BO318" s="692"/>
      <c r="BP318" s="692"/>
      <c r="BQ318" s="692">
        <f t="shared" si="92"/>
        <v>0</v>
      </c>
      <c r="BR318" s="692"/>
      <c r="BS318" s="692">
        <f t="shared" si="93"/>
        <v>0</v>
      </c>
      <c r="BT318" s="692">
        <f t="shared" si="94"/>
        <v>1</v>
      </c>
      <c r="BU318" s="692"/>
      <c r="BV318" s="692"/>
      <c r="BW318" s="692"/>
      <c r="BX318" s="692"/>
      <c r="BY318" s="692"/>
      <c r="BZ318" s="692"/>
      <c r="CA318" s="692"/>
      <c r="CB318" s="692">
        <v>1</v>
      </c>
      <c r="CC318" s="692"/>
      <c r="CD318" s="692">
        <f t="shared" si="95"/>
        <v>4</v>
      </c>
      <c r="CE318" s="692"/>
      <c r="CF318" s="692"/>
      <c r="CG318" s="692"/>
      <c r="CH318" s="692"/>
      <c r="CI318" s="692"/>
      <c r="CJ318" s="692"/>
      <c r="CK318" s="692"/>
      <c r="CL318" s="692"/>
      <c r="CM318" s="692"/>
      <c r="CN318" s="692"/>
      <c r="CO318" s="692"/>
      <c r="CP318" s="692"/>
      <c r="CQ318" s="692"/>
      <c r="CR318" s="692"/>
      <c r="CS318" s="692"/>
      <c r="CT318" s="692"/>
      <c r="CU318" s="692"/>
      <c r="CV318" s="692"/>
      <c r="CW318" s="692"/>
      <c r="CX318" s="694"/>
      <c r="CY318" s="694"/>
      <c r="CZ318" s="694"/>
      <c r="DA318" s="694"/>
      <c r="DB318" s="694"/>
      <c r="DC318" s="694"/>
      <c r="DD318" s="694"/>
      <c r="DE318" s="694"/>
      <c r="DF318" s="694"/>
      <c r="DG318" s="695"/>
      <c r="DH318" s="695"/>
      <c r="DI318" s="695"/>
      <c r="DJ318" s="695"/>
      <c r="DK318" s="695"/>
      <c r="DL318" s="695"/>
      <c r="DM318" s="695"/>
      <c r="DN318" s="695"/>
      <c r="DO318" s="695"/>
      <c r="DP318" s="695"/>
      <c r="DQ318" s="695"/>
      <c r="DR318" s="695"/>
      <c r="DS318" s="694"/>
      <c r="DT318" s="694"/>
      <c r="DU318" s="694"/>
      <c r="DV318" s="694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4"/>
      <c r="FH318" s="694"/>
      <c r="FI318" s="694"/>
      <c r="FJ318" s="694"/>
      <c r="FK318" s="694"/>
      <c r="FL318" s="694"/>
      <c r="FM318" s="694"/>
      <c r="FN318" s="694"/>
      <c r="FO318" s="694"/>
      <c r="FP318" s="694"/>
      <c r="FQ318" s="697"/>
    </row>
    <row r="319" spans="1:173" s="696" customFormat="1">
      <c r="A319" s="690"/>
      <c r="B319" s="690"/>
      <c r="C319" s="691" t="s">
        <v>3633</v>
      </c>
      <c r="D319" s="691"/>
      <c r="E319" s="692">
        <v>31</v>
      </c>
      <c r="F319" s="692"/>
      <c r="G319" s="692"/>
      <c r="H319" s="692"/>
      <c r="I319" s="692"/>
      <c r="J319" s="692"/>
      <c r="K319" s="692"/>
      <c r="L319" s="692"/>
      <c r="M319" s="692"/>
      <c r="N319" s="692"/>
      <c r="O319" s="692"/>
      <c r="P319" s="692">
        <f t="shared" si="98"/>
        <v>31</v>
      </c>
      <c r="Q319" s="692"/>
      <c r="R319" s="693"/>
      <c r="S319" s="693"/>
      <c r="T319" s="692"/>
      <c r="U319" s="692" t="s">
        <v>1903</v>
      </c>
      <c r="V319" s="692"/>
      <c r="W319" s="692"/>
      <c r="X319" s="692"/>
      <c r="Y319" s="692"/>
      <c r="Z319" s="692"/>
      <c r="AA319" s="692"/>
      <c r="AB319" s="692"/>
      <c r="AC319" s="692"/>
      <c r="AD319" s="692"/>
      <c r="AE319" s="725"/>
      <c r="AF319" s="957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>
        <v>1</v>
      </c>
      <c r="AX319" s="692"/>
      <c r="AY319" s="692"/>
      <c r="AZ319" s="692">
        <f t="shared" si="88"/>
        <v>2</v>
      </c>
      <c r="BA319" s="692">
        <f t="shared" si="89"/>
        <v>0</v>
      </c>
      <c r="BB319" s="692"/>
      <c r="BC319" s="692"/>
      <c r="BD319" s="692">
        <v>1</v>
      </c>
      <c r="BE319" s="692"/>
      <c r="BF319" s="692"/>
      <c r="BG319" s="692"/>
      <c r="BH319" s="692"/>
      <c r="BI319" s="692">
        <f t="shared" si="90"/>
        <v>0</v>
      </c>
      <c r="BJ319" s="692">
        <f t="shared" si="91"/>
        <v>5</v>
      </c>
      <c r="BK319" s="692"/>
      <c r="BL319" s="692"/>
      <c r="BM319" s="692"/>
      <c r="BN319" s="692"/>
      <c r="BO319" s="692"/>
      <c r="BP319" s="692"/>
      <c r="BQ319" s="692">
        <f t="shared" si="92"/>
        <v>1</v>
      </c>
      <c r="BR319" s="692"/>
      <c r="BS319" s="692">
        <f t="shared" si="93"/>
        <v>0</v>
      </c>
      <c r="BT319" s="692">
        <f t="shared" si="94"/>
        <v>2</v>
      </c>
      <c r="BU319" s="692"/>
      <c r="BV319" s="692"/>
      <c r="BW319" s="692"/>
      <c r="BX319" s="692"/>
      <c r="BY319" s="692"/>
      <c r="BZ319" s="692"/>
      <c r="CA319" s="692"/>
      <c r="CB319" s="692">
        <v>1</v>
      </c>
      <c r="CC319" s="692"/>
      <c r="CD319" s="692">
        <f t="shared" si="95"/>
        <v>4</v>
      </c>
      <c r="CE319" s="692"/>
      <c r="CF319" s="692"/>
      <c r="CG319" s="692"/>
      <c r="CH319" s="692"/>
      <c r="CI319" s="692"/>
      <c r="CJ319" s="692"/>
      <c r="CK319" s="692"/>
      <c r="CL319" s="692"/>
      <c r="CM319" s="692"/>
      <c r="CN319" s="692"/>
      <c r="CO319" s="692"/>
      <c r="CP319" s="692"/>
      <c r="CQ319" s="692"/>
      <c r="CR319" s="692"/>
      <c r="CS319" s="692"/>
      <c r="CT319" s="692"/>
      <c r="CU319" s="692"/>
      <c r="CV319" s="692"/>
      <c r="CW319" s="692"/>
      <c r="CX319" s="694"/>
      <c r="CY319" s="694"/>
      <c r="CZ319" s="694"/>
      <c r="DA319" s="694"/>
      <c r="DB319" s="694"/>
      <c r="DC319" s="694"/>
      <c r="DD319" s="694"/>
      <c r="DE319" s="694"/>
      <c r="DF319" s="694"/>
      <c r="DG319" s="695"/>
      <c r="DH319" s="695"/>
      <c r="DI319" s="695"/>
      <c r="DJ319" s="695"/>
      <c r="DK319" s="695"/>
      <c r="DL319" s="695"/>
      <c r="DM319" s="695"/>
      <c r="DN319" s="695"/>
      <c r="DO319" s="695"/>
      <c r="DP319" s="695"/>
      <c r="DQ319" s="695"/>
      <c r="DR319" s="695"/>
      <c r="DS319" s="694"/>
      <c r="DT319" s="694"/>
      <c r="DU319" s="694"/>
      <c r="DV319" s="694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4"/>
      <c r="FH319" s="694"/>
      <c r="FI319" s="694"/>
      <c r="FJ319" s="694"/>
      <c r="FK319" s="694"/>
      <c r="FL319" s="694"/>
      <c r="FM319" s="694"/>
      <c r="FN319" s="694"/>
      <c r="FO319" s="694"/>
      <c r="FP319" s="694"/>
      <c r="FQ319" s="697"/>
    </row>
    <row r="320" spans="1:173" s="696" customFormat="1">
      <c r="A320" s="690"/>
      <c r="B320" s="690"/>
      <c r="C320" s="691" t="s">
        <v>3634</v>
      </c>
      <c r="D320" s="691"/>
      <c r="E320" s="692">
        <v>30.1</v>
      </c>
      <c r="F320" s="692"/>
      <c r="G320" s="692"/>
      <c r="H320" s="692"/>
      <c r="I320" s="692"/>
      <c r="J320" s="692"/>
      <c r="K320" s="692"/>
      <c r="L320" s="692"/>
      <c r="M320" s="692"/>
      <c r="N320" s="692"/>
      <c r="O320" s="692"/>
      <c r="P320" s="692">
        <f t="shared" si="98"/>
        <v>30.1</v>
      </c>
      <c r="Q320" s="692"/>
      <c r="R320" s="693"/>
      <c r="S320" s="693"/>
      <c r="T320" s="692"/>
      <c r="U320" s="692" t="s">
        <v>2989</v>
      </c>
      <c r="V320" s="692"/>
      <c r="W320" s="692"/>
      <c r="X320" s="692"/>
      <c r="Y320" s="692"/>
      <c r="Z320" s="692"/>
      <c r="AA320" s="692"/>
      <c r="AB320" s="692"/>
      <c r="AC320" s="692"/>
      <c r="AD320" s="692"/>
      <c r="AE320" s="725"/>
      <c r="AF320" s="957"/>
      <c r="AG320" s="692"/>
      <c r="AH320" s="692"/>
      <c r="AI320" s="692"/>
      <c r="AJ320" s="692"/>
      <c r="AK320" s="692"/>
      <c r="AL320" s="692"/>
      <c r="AM320" s="692"/>
      <c r="AN320" s="692"/>
      <c r="AO320" s="692"/>
      <c r="AP320" s="692"/>
      <c r="AQ320" s="692"/>
      <c r="AR320" s="692"/>
      <c r="AS320" s="692"/>
      <c r="AT320" s="692"/>
      <c r="AU320" s="692"/>
      <c r="AV320" s="692"/>
      <c r="AW320" s="692">
        <v>1</v>
      </c>
      <c r="AX320" s="692"/>
      <c r="AY320" s="692"/>
      <c r="AZ320" s="692">
        <f t="shared" si="88"/>
        <v>2</v>
      </c>
      <c r="BA320" s="692">
        <f t="shared" si="89"/>
        <v>0</v>
      </c>
      <c r="BB320" s="692"/>
      <c r="BC320" s="692"/>
      <c r="BD320" s="692">
        <v>2</v>
      </c>
      <c r="BE320" s="692"/>
      <c r="BF320" s="692"/>
      <c r="BG320" s="692"/>
      <c r="BH320" s="692"/>
      <c r="BI320" s="692">
        <f t="shared" si="90"/>
        <v>0</v>
      </c>
      <c r="BJ320" s="692">
        <f t="shared" si="91"/>
        <v>5</v>
      </c>
      <c r="BK320" s="692"/>
      <c r="BL320" s="692"/>
      <c r="BM320" s="692"/>
      <c r="BN320" s="692"/>
      <c r="BO320" s="692"/>
      <c r="BP320" s="692"/>
      <c r="BQ320" s="692">
        <f t="shared" si="92"/>
        <v>0</v>
      </c>
      <c r="BR320" s="692"/>
      <c r="BS320" s="692">
        <f t="shared" si="93"/>
        <v>0</v>
      </c>
      <c r="BT320" s="692">
        <f t="shared" si="94"/>
        <v>0</v>
      </c>
      <c r="BU320" s="692"/>
      <c r="BV320" s="692"/>
      <c r="BW320" s="692"/>
      <c r="BX320" s="692"/>
      <c r="BY320" s="692">
        <v>2</v>
      </c>
      <c r="BZ320" s="692"/>
      <c r="CA320" s="692"/>
      <c r="CB320" s="692">
        <v>1</v>
      </c>
      <c r="CC320" s="692"/>
      <c r="CD320" s="692">
        <f t="shared" si="95"/>
        <v>4</v>
      </c>
      <c r="CE320" s="692"/>
      <c r="CF320" s="692"/>
      <c r="CG320" s="692"/>
      <c r="CH320" s="692"/>
      <c r="CI320" s="692"/>
      <c r="CJ320" s="692"/>
      <c r="CK320" s="692"/>
      <c r="CL320" s="692"/>
      <c r="CM320" s="692"/>
      <c r="CN320" s="692"/>
      <c r="CO320" s="692"/>
      <c r="CP320" s="692"/>
      <c r="CQ320" s="692"/>
      <c r="CR320" s="692"/>
      <c r="CS320" s="692"/>
      <c r="CT320" s="692"/>
      <c r="CU320" s="692"/>
      <c r="CV320" s="692"/>
      <c r="CW320" s="692"/>
      <c r="CX320" s="694"/>
      <c r="CY320" s="694"/>
      <c r="CZ320" s="694"/>
      <c r="DA320" s="694"/>
      <c r="DB320" s="694"/>
      <c r="DC320" s="694"/>
      <c r="DD320" s="694"/>
      <c r="DE320" s="694"/>
      <c r="DF320" s="694"/>
      <c r="DG320" s="695"/>
      <c r="DH320" s="695"/>
      <c r="DI320" s="695"/>
      <c r="DJ320" s="695"/>
      <c r="DK320" s="695"/>
      <c r="DL320" s="695"/>
      <c r="DM320" s="695"/>
      <c r="DN320" s="695"/>
      <c r="DO320" s="695"/>
      <c r="DP320" s="695"/>
      <c r="DQ320" s="695"/>
      <c r="DR320" s="695"/>
      <c r="DS320" s="694"/>
      <c r="DT320" s="694"/>
      <c r="DU320" s="694"/>
      <c r="DV320" s="694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4"/>
      <c r="FH320" s="694"/>
      <c r="FI320" s="694"/>
      <c r="FJ320" s="694"/>
      <c r="FK320" s="694"/>
      <c r="FL320" s="694"/>
      <c r="FM320" s="694"/>
      <c r="FN320" s="694"/>
      <c r="FO320" s="694"/>
      <c r="FP320" s="694"/>
      <c r="FQ320" s="697"/>
    </row>
    <row r="321" spans="1:177" s="696" customFormat="1">
      <c r="A321" s="690"/>
      <c r="B321" s="690"/>
      <c r="C321" s="691" t="s">
        <v>3635</v>
      </c>
      <c r="D321" s="691"/>
      <c r="E321" s="692">
        <v>13.6</v>
      </c>
      <c r="F321" s="692"/>
      <c r="G321" s="692"/>
      <c r="H321" s="692"/>
      <c r="I321" s="692"/>
      <c r="J321" s="692"/>
      <c r="K321" s="692"/>
      <c r="L321" s="692"/>
      <c r="M321" s="692"/>
      <c r="N321" s="692"/>
      <c r="O321" s="692"/>
      <c r="P321" s="692">
        <f t="shared" si="98"/>
        <v>13.6</v>
      </c>
      <c r="Q321" s="692"/>
      <c r="R321" s="693"/>
      <c r="S321" s="693"/>
      <c r="T321" s="692"/>
      <c r="U321" s="692" t="s">
        <v>2989</v>
      </c>
      <c r="V321" s="692"/>
      <c r="W321" s="692"/>
      <c r="X321" s="692"/>
      <c r="Y321" s="692"/>
      <c r="Z321" s="692"/>
      <c r="AA321" s="692"/>
      <c r="AB321" s="692"/>
      <c r="AC321" s="692"/>
      <c r="AD321" s="692"/>
      <c r="AE321" s="725"/>
      <c r="AF321" s="957"/>
      <c r="AG321" s="692"/>
      <c r="AH321" s="692"/>
      <c r="AI321" s="692"/>
      <c r="AJ321" s="692"/>
      <c r="AK321" s="692"/>
      <c r="AL321" s="692"/>
      <c r="AM321" s="692"/>
      <c r="AN321" s="692"/>
      <c r="AO321" s="692"/>
      <c r="AP321" s="692"/>
      <c r="AQ321" s="692"/>
      <c r="AR321" s="692"/>
      <c r="AS321" s="692"/>
      <c r="AT321" s="692"/>
      <c r="AU321" s="692"/>
      <c r="AV321" s="692"/>
      <c r="AW321" s="692"/>
      <c r="AX321" s="692"/>
      <c r="AY321" s="692"/>
      <c r="AZ321" s="692">
        <f t="shared" si="88"/>
        <v>1</v>
      </c>
      <c r="BA321" s="692">
        <f t="shared" si="89"/>
        <v>0</v>
      </c>
      <c r="BB321" s="692"/>
      <c r="BC321" s="692"/>
      <c r="BD321" s="692">
        <v>2</v>
      </c>
      <c r="BE321" s="692"/>
      <c r="BF321" s="692"/>
      <c r="BG321" s="692"/>
      <c r="BH321" s="692"/>
      <c r="BI321" s="692">
        <f t="shared" si="90"/>
        <v>0</v>
      </c>
      <c r="BJ321" s="692">
        <f t="shared" si="91"/>
        <v>5</v>
      </c>
      <c r="BK321" s="692"/>
      <c r="BL321" s="692"/>
      <c r="BM321" s="692"/>
      <c r="BN321" s="692"/>
      <c r="BO321" s="692"/>
      <c r="BP321" s="692"/>
      <c r="BQ321" s="692">
        <f t="shared" si="92"/>
        <v>0</v>
      </c>
      <c r="BR321" s="692"/>
      <c r="BS321" s="692">
        <f t="shared" si="93"/>
        <v>0</v>
      </c>
      <c r="BT321" s="692">
        <f t="shared" si="94"/>
        <v>0</v>
      </c>
      <c r="BU321" s="692"/>
      <c r="BV321" s="692"/>
      <c r="BW321" s="692"/>
      <c r="BX321" s="692"/>
      <c r="BY321" s="692">
        <v>2</v>
      </c>
      <c r="BZ321" s="692"/>
      <c r="CA321" s="692"/>
      <c r="CB321" s="692">
        <v>1</v>
      </c>
      <c r="CC321" s="692"/>
      <c r="CD321" s="692">
        <f t="shared" si="95"/>
        <v>4</v>
      </c>
      <c r="CE321" s="692"/>
      <c r="CF321" s="692"/>
      <c r="CG321" s="692"/>
      <c r="CH321" s="692"/>
      <c r="CI321" s="692"/>
      <c r="CJ321" s="692"/>
      <c r="CK321" s="692"/>
      <c r="CL321" s="692"/>
      <c r="CM321" s="692"/>
      <c r="CN321" s="692"/>
      <c r="CO321" s="692"/>
      <c r="CP321" s="692"/>
      <c r="CQ321" s="692"/>
      <c r="CR321" s="692"/>
      <c r="CS321" s="692"/>
      <c r="CT321" s="692"/>
      <c r="CU321" s="692"/>
      <c r="CV321" s="692"/>
      <c r="CW321" s="692"/>
      <c r="CX321" s="694"/>
      <c r="CY321" s="694"/>
      <c r="CZ321" s="694"/>
      <c r="DA321" s="694"/>
      <c r="DB321" s="694"/>
      <c r="DC321" s="694"/>
      <c r="DD321" s="694"/>
      <c r="DE321" s="694"/>
      <c r="DF321" s="694"/>
      <c r="DG321" s="695"/>
      <c r="DH321" s="695"/>
      <c r="DI321" s="695"/>
      <c r="DJ321" s="695"/>
      <c r="DK321" s="695"/>
      <c r="DL321" s="695"/>
      <c r="DM321" s="695"/>
      <c r="DN321" s="695"/>
      <c r="DO321" s="695"/>
      <c r="DP321" s="695"/>
      <c r="DQ321" s="695"/>
      <c r="DR321" s="695"/>
      <c r="DS321" s="694"/>
      <c r="DT321" s="694"/>
      <c r="DU321" s="694"/>
      <c r="DV321" s="694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4"/>
      <c r="FH321" s="694"/>
      <c r="FI321" s="694"/>
      <c r="FJ321" s="694"/>
      <c r="FK321" s="694"/>
      <c r="FL321" s="694"/>
      <c r="FM321" s="694"/>
      <c r="FN321" s="694"/>
      <c r="FO321" s="694"/>
      <c r="FP321" s="694"/>
      <c r="FQ321" s="697"/>
    </row>
    <row r="322" spans="1:177" s="696" customFormat="1">
      <c r="A322" s="690"/>
      <c r="B322" s="690"/>
      <c r="C322" s="691" t="s">
        <v>3636</v>
      </c>
      <c r="D322" s="691"/>
      <c r="E322" s="692">
        <v>30.2</v>
      </c>
      <c r="F322" s="692"/>
      <c r="G322" s="692"/>
      <c r="H322" s="692"/>
      <c r="I322" s="692"/>
      <c r="J322" s="692"/>
      <c r="K322" s="692"/>
      <c r="L322" s="692"/>
      <c r="M322" s="692"/>
      <c r="N322" s="692"/>
      <c r="O322" s="692"/>
      <c r="P322" s="692">
        <f t="shared" si="98"/>
        <v>30.2</v>
      </c>
      <c r="Q322" s="692"/>
      <c r="R322" s="693"/>
      <c r="S322" s="693"/>
      <c r="T322" s="692"/>
      <c r="U322" s="692" t="s">
        <v>1903</v>
      </c>
      <c r="V322" s="692"/>
      <c r="W322" s="692"/>
      <c r="X322" s="692"/>
      <c r="Y322" s="692"/>
      <c r="Z322" s="692"/>
      <c r="AA322" s="692"/>
      <c r="AB322" s="692"/>
      <c r="AC322" s="692"/>
      <c r="AD322" s="692"/>
      <c r="AE322" s="725"/>
      <c r="AF322" s="957"/>
      <c r="AG322" s="692"/>
      <c r="AH322" s="692"/>
      <c r="AI322" s="692"/>
      <c r="AJ322" s="692"/>
      <c r="AK322" s="692"/>
      <c r="AL322" s="692"/>
      <c r="AM322" s="692"/>
      <c r="AN322" s="692"/>
      <c r="AO322" s="692"/>
      <c r="AP322" s="692"/>
      <c r="AQ322" s="692"/>
      <c r="AR322" s="692"/>
      <c r="AS322" s="692"/>
      <c r="AT322" s="692"/>
      <c r="AU322" s="692">
        <v>1</v>
      </c>
      <c r="AV322" s="692"/>
      <c r="AW322" s="692"/>
      <c r="AX322" s="692"/>
      <c r="AY322" s="692"/>
      <c r="AZ322" s="692">
        <f t="shared" si="88"/>
        <v>0</v>
      </c>
      <c r="BA322" s="692">
        <f t="shared" si="89"/>
        <v>0</v>
      </c>
      <c r="BB322" s="692"/>
      <c r="BC322" s="692"/>
      <c r="BD322" s="692">
        <v>1</v>
      </c>
      <c r="BE322" s="692"/>
      <c r="BF322" s="692"/>
      <c r="BG322" s="692"/>
      <c r="BH322" s="692"/>
      <c r="BI322" s="692">
        <f t="shared" si="90"/>
        <v>0</v>
      </c>
      <c r="BJ322" s="692">
        <f t="shared" si="91"/>
        <v>2</v>
      </c>
      <c r="BK322" s="692"/>
      <c r="BL322" s="692"/>
      <c r="BM322" s="692"/>
      <c r="BN322" s="692"/>
      <c r="BO322" s="692"/>
      <c r="BP322" s="692"/>
      <c r="BQ322" s="692">
        <f t="shared" si="92"/>
        <v>1</v>
      </c>
      <c r="BR322" s="692"/>
      <c r="BS322" s="692">
        <f t="shared" si="93"/>
        <v>0</v>
      </c>
      <c r="BT322" s="692">
        <f t="shared" si="94"/>
        <v>2</v>
      </c>
      <c r="BU322" s="692"/>
      <c r="BV322" s="692"/>
      <c r="BW322" s="692"/>
      <c r="BX322" s="692"/>
      <c r="BY322" s="692"/>
      <c r="BZ322" s="692"/>
      <c r="CA322" s="692"/>
      <c r="CB322" s="692"/>
      <c r="CC322" s="692"/>
      <c r="CD322" s="692">
        <f t="shared" si="95"/>
        <v>0</v>
      </c>
      <c r="CE322" s="692"/>
      <c r="CF322" s="692"/>
      <c r="CG322" s="692"/>
      <c r="CH322" s="692"/>
      <c r="CI322" s="692"/>
      <c r="CJ322" s="692"/>
      <c r="CK322" s="692"/>
      <c r="CL322" s="692"/>
      <c r="CM322" s="692"/>
      <c r="CN322" s="692"/>
      <c r="CO322" s="692"/>
      <c r="CP322" s="692"/>
      <c r="CQ322" s="692"/>
      <c r="CR322" s="692"/>
      <c r="CS322" s="692"/>
      <c r="CT322" s="692"/>
      <c r="CU322" s="692"/>
      <c r="CV322" s="692"/>
      <c r="CW322" s="692"/>
      <c r="CX322" s="694"/>
      <c r="CY322" s="694"/>
      <c r="CZ322" s="694"/>
      <c r="DA322" s="694"/>
      <c r="DB322" s="694"/>
      <c r="DC322" s="694"/>
      <c r="DD322" s="694"/>
      <c r="DE322" s="694"/>
      <c r="DF322" s="694"/>
      <c r="DG322" s="695"/>
      <c r="DH322" s="695"/>
      <c r="DI322" s="695"/>
      <c r="DJ322" s="695"/>
      <c r="DK322" s="695"/>
      <c r="DL322" s="695"/>
      <c r="DM322" s="695"/>
      <c r="DN322" s="695"/>
      <c r="DO322" s="695"/>
      <c r="DP322" s="695"/>
      <c r="DQ322" s="695"/>
      <c r="DR322" s="695"/>
      <c r="DS322" s="694"/>
      <c r="DT322" s="694"/>
      <c r="DU322" s="694"/>
      <c r="DV322" s="694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4"/>
      <c r="FH322" s="694"/>
      <c r="FI322" s="694"/>
      <c r="FJ322" s="694"/>
      <c r="FK322" s="694"/>
      <c r="FL322" s="694"/>
      <c r="FM322" s="694"/>
      <c r="FN322" s="694"/>
      <c r="FO322" s="694"/>
      <c r="FP322" s="694"/>
      <c r="FQ322" s="697"/>
    </row>
    <row r="323" spans="1:177" s="696" customFormat="1">
      <c r="A323" s="690"/>
      <c r="B323" s="690"/>
      <c r="C323" s="691" t="s">
        <v>3637</v>
      </c>
      <c r="D323" s="691"/>
      <c r="E323" s="692">
        <v>36.9</v>
      </c>
      <c r="F323" s="692"/>
      <c r="G323" s="692"/>
      <c r="H323" s="692"/>
      <c r="I323" s="692"/>
      <c r="J323" s="692"/>
      <c r="K323" s="692"/>
      <c r="L323" s="692"/>
      <c r="M323" s="692"/>
      <c r="N323" s="692"/>
      <c r="O323" s="692"/>
      <c r="P323" s="692">
        <f t="shared" si="98"/>
        <v>36.9</v>
      </c>
      <c r="Q323" s="692"/>
      <c r="R323" s="693"/>
      <c r="S323" s="693"/>
      <c r="T323" s="692"/>
      <c r="U323" s="692" t="s">
        <v>1631</v>
      </c>
      <c r="V323" s="692"/>
      <c r="W323" s="692"/>
      <c r="X323" s="692"/>
      <c r="Y323" s="692"/>
      <c r="Z323" s="692"/>
      <c r="AA323" s="692"/>
      <c r="AB323" s="692"/>
      <c r="AC323" s="692"/>
      <c r="AD323" s="692"/>
      <c r="AE323" s="725"/>
      <c r="AF323" s="957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>
        <v>1</v>
      </c>
      <c r="AX323" s="692"/>
      <c r="AY323" s="692"/>
      <c r="AZ323" s="692">
        <f t="shared" ref="AZ323:AZ328" si="99">IF(C323&lt;&gt;0,CC323+CB323+AW323,)</f>
        <v>2</v>
      </c>
      <c r="BA323" s="692">
        <f t="shared" ref="BA323:BA328" si="100">IF(D323&lt;&gt;0,CC323+CB323+AW323,)</f>
        <v>0</v>
      </c>
      <c r="BB323" s="692"/>
      <c r="BC323" s="692"/>
      <c r="BD323" s="692">
        <v>1</v>
      </c>
      <c r="BE323" s="692"/>
      <c r="BF323" s="692"/>
      <c r="BG323" s="692"/>
      <c r="BH323" s="692"/>
      <c r="BI323" s="692">
        <f t="shared" ref="BI323:BI328" si="101">IF(O323&lt;&gt;0,AU323*2+CB323*5,)</f>
        <v>0</v>
      </c>
      <c r="BJ323" s="692">
        <f t="shared" ref="BJ323:BJ328" si="102">IF(P323&lt;&gt;0,AU323*2+CB323*5,)</f>
        <v>5</v>
      </c>
      <c r="BK323" s="692"/>
      <c r="BL323" s="692"/>
      <c r="BM323" s="692"/>
      <c r="BN323" s="692"/>
      <c r="BO323" s="692"/>
      <c r="BP323" s="692"/>
      <c r="BQ323" s="692">
        <f t="shared" ref="BQ323:BQ328" si="103">IF(U323="G",1,)</f>
        <v>0</v>
      </c>
      <c r="BR323" s="692"/>
      <c r="BS323" s="692">
        <f t="shared" ref="BS323:BS328" si="104">IF(O323&lt;&gt;0,IF(U323="I",1,IF(U323="G",2,)),)</f>
        <v>0</v>
      </c>
      <c r="BT323" s="692">
        <f t="shared" ref="BT323:BT328" si="105">IF(P323&lt;&gt;0,IF(U323="I",1,IF(U323="G",2,)),)</f>
        <v>1</v>
      </c>
      <c r="BU323" s="692"/>
      <c r="BV323" s="692"/>
      <c r="BW323" s="692"/>
      <c r="BX323" s="692"/>
      <c r="BY323" s="692"/>
      <c r="BZ323" s="692"/>
      <c r="CA323" s="692"/>
      <c r="CB323" s="692">
        <v>1</v>
      </c>
      <c r="CC323" s="692"/>
      <c r="CD323" s="692">
        <f t="shared" ref="CD323:CD328" si="106">CB323*4</f>
        <v>4</v>
      </c>
      <c r="CE323" s="692"/>
      <c r="CF323" s="692"/>
      <c r="CG323" s="692"/>
      <c r="CH323" s="692"/>
      <c r="CI323" s="692"/>
      <c r="CJ323" s="692"/>
      <c r="CK323" s="692"/>
      <c r="CL323" s="692"/>
      <c r="CM323" s="692"/>
      <c r="CN323" s="692"/>
      <c r="CO323" s="692"/>
      <c r="CP323" s="692"/>
      <c r="CQ323" s="692"/>
      <c r="CR323" s="692"/>
      <c r="CS323" s="692"/>
      <c r="CT323" s="692"/>
      <c r="CU323" s="692"/>
      <c r="CV323" s="692"/>
      <c r="CW323" s="692"/>
      <c r="CX323" s="694"/>
      <c r="CY323" s="694"/>
      <c r="CZ323" s="694"/>
      <c r="DA323" s="694"/>
      <c r="DB323" s="694"/>
      <c r="DC323" s="694"/>
      <c r="DD323" s="694"/>
      <c r="DE323" s="694"/>
      <c r="DF323" s="694"/>
      <c r="DG323" s="695"/>
      <c r="DH323" s="695"/>
      <c r="DI323" s="695"/>
      <c r="DJ323" s="695"/>
      <c r="DK323" s="695"/>
      <c r="DL323" s="695"/>
      <c r="DM323" s="695"/>
      <c r="DN323" s="695"/>
      <c r="DO323" s="695"/>
      <c r="DP323" s="695"/>
      <c r="DQ323" s="695"/>
      <c r="DR323" s="695"/>
      <c r="DS323" s="694"/>
      <c r="DT323" s="694"/>
      <c r="DU323" s="694"/>
      <c r="DV323" s="694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4"/>
      <c r="FH323" s="694"/>
      <c r="FI323" s="694"/>
      <c r="FJ323" s="694"/>
      <c r="FK323" s="694"/>
      <c r="FL323" s="694"/>
      <c r="FM323" s="694"/>
      <c r="FN323" s="694"/>
      <c r="FO323" s="694"/>
      <c r="FP323" s="694"/>
      <c r="FQ323" s="697"/>
    </row>
    <row r="324" spans="1:177" s="696" customFormat="1">
      <c r="A324" s="690"/>
      <c r="B324" s="690"/>
      <c r="C324" s="691" t="s">
        <v>3638</v>
      </c>
      <c r="D324" s="691"/>
      <c r="E324" s="692">
        <v>37.299999999999997</v>
      </c>
      <c r="F324" s="692"/>
      <c r="G324" s="692"/>
      <c r="H324" s="692"/>
      <c r="I324" s="692"/>
      <c r="J324" s="692"/>
      <c r="K324" s="692"/>
      <c r="L324" s="692"/>
      <c r="M324" s="692"/>
      <c r="N324" s="692"/>
      <c r="O324" s="692"/>
      <c r="P324" s="692">
        <f t="shared" si="98"/>
        <v>37.299999999999997</v>
      </c>
      <c r="Q324" s="692"/>
      <c r="R324" s="693"/>
      <c r="S324" s="693"/>
      <c r="T324" s="692"/>
      <c r="U324" s="692" t="s">
        <v>2989</v>
      </c>
      <c r="V324" s="692"/>
      <c r="W324" s="692"/>
      <c r="X324" s="692"/>
      <c r="Y324" s="692"/>
      <c r="Z324" s="692"/>
      <c r="AA324" s="692"/>
      <c r="AB324" s="692"/>
      <c r="AC324" s="692"/>
      <c r="AD324" s="692"/>
      <c r="AE324" s="725"/>
      <c r="AF324" s="957"/>
      <c r="AG324" s="692"/>
      <c r="AH324" s="692"/>
      <c r="AI324" s="692"/>
      <c r="AJ324" s="692"/>
      <c r="AK324" s="692"/>
      <c r="AL324" s="692"/>
      <c r="AM324" s="692">
        <v>1</v>
      </c>
      <c r="AN324" s="692"/>
      <c r="AO324" s="692"/>
      <c r="AP324" s="692"/>
      <c r="AQ324" s="692">
        <v>1</v>
      </c>
      <c r="AR324" s="692"/>
      <c r="AS324" s="692"/>
      <c r="AT324" s="692"/>
      <c r="AU324" s="692"/>
      <c r="AV324" s="692"/>
      <c r="AW324" s="692">
        <v>1</v>
      </c>
      <c r="AX324" s="692"/>
      <c r="AY324" s="692"/>
      <c r="AZ324" s="692">
        <f t="shared" si="99"/>
        <v>2</v>
      </c>
      <c r="BA324" s="692">
        <f t="shared" si="100"/>
        <v>0</v>
      </c>
      <c r="BB324" s="692"/>
      <c r="BC324" s="692"/>
      <c r="BD324" s="692">
        <v>2</v>
      </c>
      <c r="BE324" s="692"/>
      <c r="BF324" s="692"/>
      <c r="BG324" s="692"/>
      <c r="BH324" s="692"/>
      <c r="BI324" s="692">
        <f t="shared" si="101"/>
        <v>0</v>
      </c>
      <c r="BJ324" s="692">
        <f t="shared" si="102"/>
        <v>5</v>
      </c>
      <c r="BK324" s="692"/>
      <c r="BL324" s="692"/>
      <c r="BM324" s="692"/>
      <c r="BN324" s="692"/>
      <c r="BO324" s="692"/>
      <c r="BP324" s="692"/>
      <c r="BQ324" s="692">
        <f t="shared" si="103"/>
        <v>0</v>
      </c>
      <c r="BR324" s="692"/>
      <c r="BS324" s="692">
        <f t="shared" si="104"/>
        <v>0</v>
      </c>
      <c r="BT324" s="692">
        <f t="shared" si="105"/>
        <v>0</v>
      </c>
      <c r="BU324" s="692"/>
      <c r="BV324" s="692"/>
      <c r="BW324" s="692"/>
      <c r="BX324" s="692"/>
      <c r="BY324" s="692">
        <v>2</v>
      </c>
      <c r="BZ324" s="692"/>
      <c r="CA324" s="692"/>
      <c r="CB324" s="692">
        <v>1</v>
      </c>
      <c r="CC324" s="692"/>
      <c r="CD324" s="692">
        <f t="shared" si="106"/>
        <v>4</v>
      </c>
      <c r="CE324" s="692"/>
      <c r="CF324" s="692"/>
      <c r="CG324" s="692"/>
      <c r="CH324" s="692"/>
      <c r="CI324" s="692"/>
      <c r="CJ324" s="692"/>
      <c r="CK324" s="692"/>
      <c r="CL324" s="692"/>
      <c r="CM324" s="692"/>
      <c r="CN324" s="692"/>
      <c r="CO324" s="692"/>
      <c r="CP324" s="692"/>
      <c r="CQ324" s="692"/>
      <c r="CR324" s="692"/>
      <c r="CS324" s="692"/>
      <c r="CT324" s="692"/>
      <c r="CU324" s="692"/>
      <c r="CV324" s="692"/>
      <c r="CW324" s="692"/>
      <c r="CX324" s="694"/>
      <c r="CY324" s="694"/>
      <c r="CZ324" s="694"/>
      <c r="DA324" s="694"/>
      <c r="DB324" s="694"/>
      <c r="DC324" s="694"/>
      <c r="DD324" s="694"/>
      <c r="DE324" s="694"/>
      <c r="DF324" s="694"/>
      <c r="DG324" s="695"/>
      <c r="DH324" s="695"/>
      <c r="DI324" s="695"/>
      <c r="DJ324" s="695"/>
      <c r="DK324" s="695"/>
      <c r="DL324" s="695"/>
      <c r="DM324" s="695"/>
      <c r="DN324" s="695"/>
      <c r="DO324" s="695"/>
      <c r="DP324" s="695"/>
      <c r="DQ324" s="695"/>
      <c r="DR324" s="695"/>
      <c r="DS324" s="694"/>
      <c r="DT324" s="694"/>
      <c r="DU324" s="694"/>
      <c r="DV324" s="694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4"/>
      <c r="FH324" s="694"/>
      <c r="FI324" s="694"/>
      <c r="FJ324" s="694"/>
      <c r="FK324" s="694"/>
      <c r="FL324" s="694"/>
      <c r="FM324" s="694"/>
      <c r="FN324" s="694"/>
      <c r="FO324" s="694"/>
      <c r="FP324" s="694"/>
      <c r="FQ324" s="697"/>
    </row>
    <row r="325" spans="1:177" s="696" customFormat="1">
      <c r="A325" s="690"/>
      <c r="B325" s="690"/>
      <c r="C325" s="691" t="s">
        <v>3639</v>
      </c>
      <c r="D325" s="691"/>
      <c r="E325" s="692">
        <v>34.1</v>
      </c>
      <c r="F325" s="692"/>
      <c r="G325" s="692"/>
      <c r="H325" s="692"/>
      <c r="I325" s="692"/>
      <c r="J325" s="692"/>
      <c r="K325" s="692"/>
      <c r="L325" s="692"/>
      <c r="M325" s="692"/>
      <c r="N325" s="692"/>
      <c r="O325" s="692"/>
      <c r="P325" s="692">
        <f t="shared" si="98"/>
        <v>34.1</v>
      </c>
      <c r="Q325" s="692"/>
      <c r="R325" s="693"/>
      <c r="S325" s="693"/>
      <c r="T325" s="692"/>
      <c r="U325" s="692" t="s">
        <v>1903</v>
      </c>
      <c r="V325" s="692"/>
      <c r="W325" s="692"/>
      <c r="X325" s="692"/>
      <c r="Y325" s="692"/>
      <c r="Z325" s="692"/>
      <c r="AA325" s="692"/>
      <c r="AB325" s="692"/>
      <c r="AC325" s="692"/>
      <c r="AD325" s="692"/>
      <c r="AE325" s="725"/>
      <c r="AF325" s="957"/>
      <c r="AG325" s="692"/>
      <c r="AH325" s="692"/>
      <c r="AI325" s="692"/>
      <c r="AJ325" s="692"/>
      <c r="AK325" s="692"/>
      <c r="AL325" s="692"/>
      <c r="AM325" s="692"/>
      <c r="AN325" s="692"/>
      <c r="AO325" s="692"/>
      <c r="AP325" s="692"/>
      <c r="AQ325" s="692"/>
      <c r="AR325" s="692"/>
      <c r="AS325" s="692"/>
      <c r="AT325" s="692"/>
      <c r="AU325" s="692"/>
      <c r="AV325" s="692"/>
      <c r="AW325" s="692"/>
      <c r="AX325" s="692"/>
      <c r="AY325" s="692"/>
      <c r="AZ325" s="692">
        <f t="shared" si="99"/>
        <v>0</v>
      </c>
      <c r="BA325" s="692">
        <f t="shared" si="100"/>
        <v>0</v>
      </c>
      <c r="BB325" s="692"/>
      <c r="BC325" s="692"/>
      <c r="BD325" s="692">
        <v>1</v>
      </c>
      <c r="BE325" s="692"/>
      <c r="BF325" s="692"/>
      <c r="BG325" s="692"/>
      <c r="BH325" s="692"/>
      <c r="BI325" s="692">
        <f t="shared" si="101"/>
        <v>0</v>
      </c>
      <c r="BJ325" s="692">
        <f t="shared" si="102"/>
        <v>0</v>
      </c>
      <c r="BK325" s="692"/>
      <c r="BL325" s="692"/>
      <c r="BM325" s="692"/>
      <c r="BN325" s="692"/>
      <c r="BO325" s="692"/>
      <c r="BP325" s="692"/>
      <c r="BQ325" s="692">
        <f t="shared" si="103"/>
        <v>1</v>
      </c>
      <c r="BR325" s="692"/>
      <c r="BS325" s="692">
        <f t="shared" si="104"/>
        <v>0</v>
      </c>
      <c r="BT325" s="692">
        <f t="shared" si="105"/>
        <v>2</v>
      </c>
      <c r="BU325" s="692"/>
      <c r="BV325" s="692"/>
      <c r="BW325" s="692"/>
      <c r="BX325" s="692"/>
      <c r="BY325" s="692"/>
      <c r="BZ325" s="692"/>
      <c r="CA325" s="692"/>
      <c r="CB325" s="692"/>
      <c r="CC325" s="692"/>
      <c r="CD325" s="692">
        <f t="shared" si="106"/>
        <v>0</v>
      </c>
      <c r="CE325" s="692"/>
      <c r="CF325" s="692"/>
      <c r="CG325" s="692"/>
      <c r="CH325" s="692"/>
      <c r="CI325" s="692"/>
      <c r="CJ325" s="692"/>
      <c r="CK325" s="692"/>
      <c r="CL325" s="692"/>
      <c r="CM325" s="692"/>
      <c r="CN325" s="692"/>
      <c r="CO325" s="692"/>
      <c r="CP325" s="692"/>
      <c r="CQ325" s="692"/>
      <c r="CR325" s="692"/>
      <c r="CS325" s="692"/>
      <c r="CT325" s="692"/>
      <c r="CU325" s="692"/>
      <c r="CV325" s="692"/>
      <c r="CW325" s="692"/>
      <c r="CX325" s="694"/>
      <c r="CY325" s="694"/>
      <c r="CZ325" s="694"/>
      <c r="DA325" s="694"/>
      <c r="DB325" s="694"/>
      <c r="DC325" s="694"/>
      <c r="DD325" s="694"/>
      <c r="DE325" s="694"/>
      <c r="DF325" s="694"/>
      <c r="DG325" s="695"/>
      <c r="DH325" s="695"/>
      <c r="DI325" s="695"/>
      <c r="DJ325" s="695"/>
      <c r="DK325" s="695"/>
      <c r="DL325" s="695"/>
      <c r="DM325" s="695"/>
      <c r="DN325" s="695"/>
      <c r="DO325" s="695"/>
      <c r="DP325" s="695"/>
      <c r="DQ325" s="695"/>
      <c r="DR325" s="695"/>
      <c r="DS325" s="694"/>
      <c r="DT325" s="694"/>
      <c r="DU325" s="694"/>
      <c r="DV325" s="694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4"/>
      <c r="FH325" s="694"/>
      <c r="FI325" s="694"/>
      <c r="FJ325" s="694"/>
      <c r="FK325" s="694"/>
      <c r="FL325" s="694"/>
      <c r="FM325" s="694"/>
      <c r="FN325" s="694"/>
      <c r="FO325" s="694"/>
      <c r="FP325" s="694"/>
      <c r="FQ325" s="697"/>
    </row>
    <row r="326" spans="1:177" s="696" customFormat="1">
      <c r="A326" s="690"/>
      <c r="B326" s="690"/>
      <c r="C326" s="691" t="s">
        <v>3640</v>
      </c>
      <c r="D326" s="691"/>
      <c r="E326" s="692">
        <v>33.4</v>
      </c>
      <c r="F326" s="692"/>
      <c r="G326" s="692"/>
      <c r="H326" s="692"/>
      <c r="I326" s="692"/>
      <c r="J326" s="692"/>
      <c r="K326" s="692"/>
      <c r="L326" s="692"/>
      <c r="M326" s="692"/>
      <c r="N326" s="692"/>
      <c r="O326" s="692"/>
      <c r="P326" s="692">
        <f t="shared" si="98"/>
        <v>33.4</v>
      </c>
      <c r="Q326" s="692"/>
      <c r="R326" s="693"/>
      <c r="S326" s="693"/>
      <c r="T326" s="692"/>
      <c r="U326" s="692" t="s">
        <v>1631</v>
      </c>
      <c r="V326" s="692"/>
      <c r="W326" s="692"/>
      <c r="X326" s="692"/>
      <c r="Y326" s="692"/>
      <c r="Z326" s="692"/>
      <c r="AA326" s="692"/>
      <c r="AB326" s="692"/>
      <c r="AC326" s="692"/>
      <c r="AD326" s="692"/>
      <c r="AE326" s="725"/>
      <c r="AF326" s="957"/>
      <c r="AG326" s="692"/>
      <c r="AH326" s="692"/>
      <c r="AI326" s="692"/>
      <c r="AJ326" s="692"/>
      <c r="AK326" s="692"/>
      <c r="AL326" s="692"/>
      <c r="AM326" s="692"/>
      <c r="AN326" s="692"/>
      <c r="AO326" s="692"/>
      <c r="AP326" s="692"/>
      <c r="AQ326" s="692"/>
      <c r="AR326" s="692"/>
      <c r="AS326" s="692"/>
      <c r="AT326" s="692"/>
      <c r="AU326" s="692">
        <v>1</v>
      </c>
      <c r="AV326" s="692"/>
      <c r="AW326" s="692">
        <v>1</v>
      </c>
      <c r="AX326" s="692"/>
      <c r="AY326" s="692"/>
      <c r="AZ326" s="692">
        <f t="shared" si="99"/>
        <v>2</v>
      </c>
      <c r="BA326" s="692">
        <f t="shared" si="100"/>
        <v>0</v>
      </c>
      <c r="BB326" s="692"/>
      <c r="BC326" s="692"/>
      <c r="BD326" s="692">
        <v>1</v>
      </c>
      <c r="BE326" s="692"/>
      <c r="BF326" s="692"/>
      <c r="BG326" s="692"/>
      <c r="BH326" s="692"/>
      <c r="BI326" s="692">
        <f t="shared" si="101"/>
        <v>0</v>
      </c>
      <c r="BJ326" s="692">
        <f t="shared" si="102"/>
        <v>7</v>
      </c>
      <c r="BK326" s="692"/>
      <c r="BL326" s="692"/>
      <c r="BM326" s="692"/>
      <c r="BN326" s="692"/>
      <c r="BO326" s="692"/>
      <c r="BP326" s="692"/>
      <c r="BQ326" s="692">
        <f t="shared" si="103"/>
        <v>0</v>
      </c>
      <c r="BR326" s="692"/>
      <c r="BS326" s="692">
        <f t="shared" si="104"/>
        <v>0</v>
      </c>
      <c r="BT326" s="692">
        <f t="shared" si="105"/>
        <v>1</v>
      </c>
      <c r="BU326" s="692"/>
      <c r="BV326" s="692"/>
      <c r="BW326" s="692"/>
      <c r="BX326" s="692"/>
      <c r="BY326" s="692"/>
      <c r="BZ326" s="692"/>
      <c r="CA326" s="692"/>
      <c r="CB326" s="692">
        <v>1</v>
      </c>
      <c r="CC326" s="692"/>
      <c r="CD326" s="692">
        <f t="shared" si="106"/>
        <v>4</v>
      </c>
      <c r="CE326" s="692"/>
      <c r="CF326" s="692"/>
      <c r="CG326" s="692"/>
      <c r="CH326" s="692"/>
      <c r="CI326" s="692"/>
      <c r="CJ326" s="692"/>
      <c r="CK326" s="692"/>
      <c r="CL326" s="692"/>
      <c r="CM326" s="692"/>
      <c r="CN326" s="692"/>
      <c r="CO326" s="692"/>
      <c r="CP326" s="692"/>
      <c r="CQ326" s="692"/>
      <c r="CR326" s="692"/>
      <c r="CS326" s="692"/>
      <c r="CT326" s="692"/>
      <c r="CU326" s="692"/>
      <c r="CV326" s="692"/>
      <c r="CW326" s="692"/>
      <c r="CX326" s="694"/>
      <c r="CY326" s="694"/>
      <c r="CZ326" s="694"/>
      <c r="DA326" s="694"/>
      <c r="DB326" s="694"/>
      <c r="DC326" s="694"/>
      <c r="DD326" s="694"/>
      <c r="DE326" s="694"/>
      <c r="DF326" s="694"/>
      <c r="DG326" s="695"/>
      <c r="DH326" s="695"/>
      <c r="DI326" s="695"/>
      <c r="DJ326" s="695"/>
      <c r="DK326" s="695"/>
      <c r="DL326" s="695"/>
      <c r="DM326" s="695"/>
      <c r="DN326" s="695"/>
      <c r="DO326" s="695"/>
      <c r="DP326" s="695"/>
      <c r="DQ326" s="695"/>
      <c r="DR326" s="695"/>
      <c r="DS326" s="694"/>
      <c r="DT326" s="694"/>
      <c r="DU326" s="694"/>
      <c r="DV326" s="694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4"/>
      <c r="FH326" s="694"/>
      <c r="FI326" s="694"/>
      <c r="FJ326" s="694"/>
      <c r="FK326" s="694"/>
      <c r="FL326" s="694"/>
      <c r="FM326" s="694"/>
      <c r="FN326" s="694"/>
      <c r="FO326" s="694"/>
      <c r="FP326" s="694"/>
      <c r="FQ326" s="697"/>
    </row>
    <row r="327" spans="1:177" s="696" customFormat="1">
      <c r="A327" s="690"/>
      <c r="B327" s="690"/>
      <c r="C327" s="691" t="s">
        <v>3641</v>
      </c>
      <c r="D327" s="691"/>
      <c r="E327" s="692">
        <v>33.6</v>
      </c>
      <c r="F327" s="692"/>
      <c r="G327" s="692"/>
      <c r="H327" s="692"/>
      <c r="I327" s="692"/>
      <c r="J327" s="692"/>
      <c r="K327" s="692"/>
      <c r="L327" s="692"/>
      <c r="M327" s="692"/>
      <c r="N327" s="692"/>
      <c r="O327" s="692"/>
      <c r="P327" s="692">
        <f t="shared" si="98"/>
        <v>33.6</v>
      </c>
      <c r="Q327" s="692"/>
      <c r="R327" s="693"/>
      <c r="S327" s="693"/>
      <c r="T327" s="692"/>
      <c r="U327" s="692" t="s">
        <v>2990</v>
      </c>
      <c r="V327" s="692"/>
      <c r="W327" s="692"/>
      <c r="X327" s="692"/>
      <c r="Y327" s="692"/>
      <c r="Z327" s="692"/>
      <c r="AA327" s="692"/>
      <c r="AB327" s="692"/>
      <c r="AC327" s="692"/>
      <c r="AD327" s="692"/>
      <c r="AE327" s="725"/>
      <c r="AF327" s="957"/>
      <c r="AG327" s="692"/>
      <c r="AH327" s="692"/>
      <c r="AI327" s="692"/>
      <c r="AJ327" s="692"/>
      <c r="AK327" s="692"/>
      <c r="AL327" s="692"/>
      <c r="AM327" s="692"/>
      <c r="AN327" s="692"/>
      <c r="AO327" s="692"/>
      <c r="AP327" s="692"/>
      <c r="AQ327" s="692"/>
      <c r="AR327" s="692"/>
      <c r="AS327" s="692"/>
      <c r="AT327" s="692"/>
      <c r="AU327" s="692"/>
      <c r="AV327" s="692"/>
      <c r="AW327" s="692">
        <v>1</v>
      </c>
      <c r="AX327" s="692"/>
      <c r="AY327" s="692"/>
      <c r="AZ327" s="692">
        <f t="shared" si="99"/>
        <v>2</v>
      </c>
      <c r="BA327" s="692">
        <f t="shared" si="100"/>
        <v>0</v>
      </c>
      <c r="BB327" s="692"/>
      <c r="BC327" s="692"/>
      <c r="BD327" s="692">
        <v>1</v>
      </c>
      <c r="BE327" s="692"/>
      <c r="BF327" s="692"/>
      <c r="BG327" s="692"/>
      <c r="BH327" s="692"/>
      <c r="BI327" s="692">
        <f t="shared" si="101"/>
        <v>0</v>
      </c>
      <c r="BJ327" s="692">
        <f t="shared" si="102"/>
        <v>5</v>
      </c>
      <c r="BK327" s="692"/>
      <c r="BL327" s="692"/>
      <c r="BM327" s="692"/>
      <c r="BN327" s="692"/>
      <c r="BO327" s="692"/>
      <c r="BP327" s="692"/>
      <c r="BQ327" s="692">
        <f t="shared" si="103"/>
        <v>0</v>
      </c>
      <c r="BR327" s="692"/>
      <c r="BS327" s="692">
        <f t="shared" si="104"/>
        <v>0</v>
      </c>
      <c r="BT327" s="692">
        <f t="shared" si="105"/>
        <v>0</v>
      </c>
      <c r="BU327" s="692"/>
      <c r="BV327" s="692"/>
      <c r="BW327" s="692"/>
      <c r="BX327" s="692"/>
      <c r="BY327" s="692">
        <v>1</v>
      </c>
      <c r="BZ327" s="692"/>
      <c r="CA327" s="692"/>
      <c r="CB327" s="692">
        <v>1</v>
      </c>
      <c r="CC327" s="692"/>
      <c r="CD327" s="692">
        <f t="shared" si="106"/>
        <v>4</v>
      </c>
      <c r="CE327" s="692"/>
      <c r="CF327" s="692"/>
      <c r="CG327" s="692"/>
      <c r="CH327" s="692"/>
      <c r="CI327" s="692"/>
      <c r="CJ327" s="692"/>
      <c r="CK327" s="692"/>
      <c r="CL327" s="692"/>
      <c r="CM327" s="692"/>
      <c r="CN327" s="692"/>
      <c r="CO327" s="692"/>
      <c r="CP327" s="692"/>
      <c r="CQ327" s="692"/>
      <c r="CR327" s="692"/>
      <c r="CS327" s="692"/>
      <c r="CT327" s="692"/>
      <c r="CU327" s="692"/>
      <c r="CV327" s="692"/>
      <c r="CW327" s="692"/>
      <c r="CX327" s="694"/>
      <c r="CY327" s="694"/>
      <c r="CZ327" s="694"/>
      <c r="DA327" s="694"/>
      <c r="DB327" s="694"/>
      <c r="DC327" s="694"/>
      <c r="DD327" s="694"/>
      <c r="DE327" s="694"/>
      <c r="DF327" s="694"/>
      <c r="DG327" s="695"/>
      <c r="DH327" s="695"/>
      <c r="DI327" s="695"/>
      <c r="DJ327" s="695"/>
      <c r="DK327" s="695"/>
      <c r="DL327" s="695"/>
      <c r="DM327" s="695"/>
      <c r="DN327" s="695"/>
      <c r="DO327" s="695"/>
      <c r="DP327" s="695"/>
      <c r="DQ327" s="695"/>
      <c r="DR327" s="695"/>
      <c r="DS327" s="694"/>
      <c r="DT327" s="694"/>
      <c r="DU327" s="694"/>
      <c r="DV327" s="694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4"/>
      <c r="FH327" s="694"/>
      <c r="FI327" s="694"/>
      <c r="FJ327" s="694"/>
      <c r="FK327" s="694"/>
      <c r="FL327" s="694"/>
      <c r="FM327" s="694"/>
      <c r="FN327" s="694"/>
      <c r="FO327" s="694"/>
      <c r="FP327" s="694"/>
      <c r="FQ327" s="697"/>
    </row>
    <row r="328" spans="1:177" s="696" customFormat="1">
      <c r="A328" s="690"/>
      <c r="B328" s="690"/>
      <c r="C328" s="691"/>
      <c r="D328" s="691"/>
      <c r="E328" s="692"/>
      <c r="F328" s="692"/>
      <c r="G328" s="692"/>
      <c r="H328" s="692"/>
      <c r="I328" s="692"/>
      <c r="J328" s="692"/>
      <c r="K328" s="692"/>
      <c r="L328" s="692"/>
      <c r="M328" s="692"/>
      <c r="N328" s="692"/>
      <c r="O328" s="692"/>
      <c r="P328" s="692"/>
      <c r="Q328" s="692"/>
      <c r="R328" s="693"/>
      <c r="S328" s="693"/>
      <c r="T328" s="692"/>
      <c r="U328" s="692"/>
      <c r="V328" s="692"/>
      <c r="W328" s="692"/>
      <c r="X328" s="692"/>
      <c r="Y328" s="692"/>
      <c r="Z328" s="692"/>
      <c r="AA328" s="692"/>
      <c r="AB328" s="692"/>
      <c r="AC328" s="692"/>
      <c r="AD328" s="692"/>
      <c r="AE328" s="725"/>
      <c r="AF328" s="957"/>
      <c r="AG328" s="692"/>
      <c r="AH328" s="692"/>
      <c r="AI328" s="692"/>
      <c r="AJ328" s="692"/>
      <c r="AK328" s="692"/>
      <c r="AL328" s="692"/>
      <c r="AM328" s="692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/>
      <c r="AX328" s="692"/>
      <c r="AY328" s="692"/>
      <c r="AZ328" s="692">
        <f t="shared" si="99"/>
        <v>0</v>
      </c>
      <c r="BA328" s="692">
        <f t="shared" si="100"/>
        <v>0</v>
      </c>
      <c r="BB328" s="692"/>
      <c r="BC328" s="692"/>
      <c r="BD328" s="692"/>
      <c r="BE328" s="692"/>
      <c r="BF328" s="692"/>
      <c r="BG328" s="692"/>
      <c r="BH328" s="692"/>
      <c r="BI328" s="692">
        <f t="shared" si="101"/>
        <v>0</v>
      </c>
      <c r="BJ328" s="692">
        <f t="shared" si="102"/>
        <v>0</v>
      </c>
      <c r="BK328" s="692"/>
      <c r="BL328" s="692"/>
      <c r="BM328" s="692"/>
      <c r="BN328" s="692"/>
      <c r="BO328" s="692"/>
      <c r="BP328" s="692"/>
      <c r="BQ328" s="692">
        <f t="shared" si="103"/>
        <v>0</v>
      </c>
      <c r="BR328" s="692"/>
      <c r="BS328" s="692">
        <f t="shared" si="104"/>
        <v>0</v>
      </c>
      <c r="BT328" s="692">
        <f t="shared" si="105"/>
        <v>0</v>
      </c>
      <c r="BU328" s="692"/>
      <c r="BV328" s="692"/>
      <c r="BW328" s="692"/>
      <c r="BX328" s="692"/>
      <c r="BY328" s="692"/>
      <c r="BZ328" s="692"/>
      <c r="CA328" s="692"/>
      <c r="CB328" s="692"/>
      <c r="CC328" s="692"/>
      <c r="CD328" s="692">
        <f t="shared" si="106"/>
        <v>0</v>
      </c>
      <c r="CE328" s="692"/>
      <c r="CF328" s="692"/>
      <c r="CG328" s="692"/>
      <c r="CH328" s="692"/>
      <c r="CI328" s="692"/>
      <c r="CJ328" s="692"/>
      <c r="CK328" s="692"/>
      <c r="CL328" s="692"/>
      <c r="CM328" s="692"/>
      <c r="CN328" s="692"/>
      <c r="CO328" s="692"/>
      <c r="CP328" s="692"/>
      <c r="CQ328" s="692"/>
      <c r="CR328" s="692"/>
      <c r="CS328" s="692"/>
      <c r="CT328" s="692"/>
      <c r="CU328" s="692"/>
      <c r="CV328" s="692"/>
      <c r="CW328" s="692"/>
      <c r="CX328" s="694"/>
      <c r="CY328" s="694"/>
      <c r="CZ328" s="694"/>
      <c r="DA328" s="694"/>
      <c r="DB328" s="694"/>
      <c r="DC328" s="694"/>
      <c r="DD328" s="694"/>
      <c r="DE328" s="694"/>
      <c r="DF328" s="694"/>
      <c r="DG328" s="695"/>
      <c r="DH328" s="695"/>
      <c r="DI328" s="695"/>
      <c r="DJ328" s="695"/>
      <c r="DK328" s="695"/>
      <c r="DL328" s="695"/>
      <c r="DM328" s="695"/>
      <c r="DN328" s="695"/>
      <c r="DO328" s="695"/>
      <c r="DP328" s="695"/>
      <c r="DQ328" s="695"/>
      <c r="DR328" s="695"/>
      <c r="DS328" s="694"/>
      <c r="DT328" s="694"/>
      <c r="DU328" s="694"/>
      <c r="DV328" s="694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4"/>
      <c r="FH328" s="694"/>
      <c r="FI328" s="694"/>
      <c r="FJ328" s="694"/>
      <c r="FK328" s="694"/>
      <c r="FL328" s="694"/>
      <c r="FM328" s="694"/>
      <c r="FN328" s="694"/>
      <c r="FO328" s="694"/>
      <c r="FP328" s="694"/>
      <c r="FQ328" s="697"/>
    </row>
    <row r="329" spans="1:177" s="4" customFormat="1">
      <c r="A329" s="486">
        <f>MATCH(C329,$C$5:$C$700,0)</f>
        <v>325</v>
      </c>
      <c r="B329" s="56"/>
      <c r="C329" s="507" t="s">
        <v>3075</v>
      </c>
      <c r="D329" s="507"/>
      <c r="E329" s="508">
        <f t="shared" ref="E329:AK329" si="107">SUM(E258:E328)</f>
        <v>2098.1999999999994</v>
      </c>
      <c r="F329" s="508">
        <f t="shared" si="107"/>
        <v>0</v>
      </c>
      <c r="G329" s="508">
        <f t="shared" si="107"/>
        <v>0</v>
      </c>
      <c r="H329" s="508">
        <f t="shared" si="107"/>
        <v>0</v>
      </c>
      <c r="I329" s="508">
        <f t="shared" si="107"/>
        <v>0</v>
      </c>
      <c r="J329" s="508">
        <f t="shared" si="107"/>
        <v>0</v>
      </c>
      <c r="K329" s="508">
        <f t="shared" si="107"/>
        <v>0</v>
      </c>
      <c r="L329" s="508">
        <f t="shared" si="107"/>
        <v>0</v>
      </c>
      <c r="M329" s="508">
        <f t="shared" si="107"/>
        <v>0</v>
      </c>
      <c r="N329" s="508">
        <f t="shared" si="107"/>
        <v>0</v>
      </c>
      <c r="O329" s="508">
        <f t="shared" si="107"/>
        <v>596.69999999999993</v>
      </c>
      <c r="P329" s="508">
        <f t="shared" si="107"/>
        <v>1501.5</v>
      </c>
      <c r="Q329" s="508">
        <f t="shared" si="107"/>
        <v>0</v>
      </c>
      <c r="R329" s="508">
        <f t="shared" si="107"/>
        <v>0</v>
      </c>
      <c r="S329" s="508">
        <f t="shared" si="107"/>
        <v>0</v>
      </c>
      <c r="T329" s="509">
        <f t="shared" si="107"/>
        <v>0</v>
      </c>
      <c r="U329" s="509">
        <f t="shared" si="107"/>
        <v>0</v>
      </c>
      <c r="V329" s="509">
        <f t="shared" si="107"/>
        <v>0</v>
      </c>
      <c r="W329" s="509">
        <f t="shared" si="107"/>
        <v>4</v>
      </c>
      <c r="X329" s="509">
        <f t="shared" si="107"/>
        <v>0</v>
      </c>
      <c r="Y329" s="509">
        <f t="shared" si="107"/>
        <v>0</v>
      </c>
      <c r="Z329" s="509">
        <f t="shared" si="107"/>
        <v>4</v>
      </c>
      <c r="AA329" s="509">
        <f t="shared" si="107"/>
        <v>0</v>
      </c>
      <c r="AB329" s="509">
        <f t="shared" si="107"/>
        <v>0</v>
      </c>
      <c r="AC329" s="509">
        <f t="shared" si="107"/>
        <v>0</v>
      </c>
      <c r="AD329" s="509">
        <f t="shared" si="107"/>
        <v>0</v>
      </c>
      <c r="AE329" s="511">
        <f t="shared" si="107"/>
        <v>0</v>
      </c>
      <c r="AF329" s="958">
        <f t="shared" si="107"/>
        <v>0</v>
      </c>
      <c r="AG329" s="509">
        <f t="shared" si="107"/>
        <v>0</v>
      </c>
      <c r="AH329" s="509">
        <f t="shared" si="107"/>
        <v>0</v>
      </c>
      <c r="AI329" s="509">
        <f t="shared" si="107"/>
        <v>0</v>
      </c>
      <c r="AJ329" s="509">
        <f t="shared" si="107"/>
        <v>0</v>
      </c>
      <c r="AK329" s="509">
        <f t="shared" si="107"/>
        <v>0</v>
      </c>
      <c r="AL329" s="509">
        <f t="shared" ref="AL329:BQ329" si="108">SUM(AL258:AL328)</f>
        <v>0</v>
      </c>
      <c r="AM329" s="509">
        <f t="shared" si="108"/>
        <v>1</v>
      </c>
      <c r="AN329" s="509">
        <f t="shared" si="108"/>
        <v>0</v>
      </c>
      <c r="AO329" s="509">
        <f t="shared" si="108"/>
        <v>0</v>
      </c>
      <c r="AP329" s="509">
        <f t="shared" si="108"/>
        <v>0</v>
      </c>
      <c r="AQ329" s="509">
        <f t="shared" si="108"/>
        <v>1</v>
      </c>
      <c r="AR329" s="509">
        <f t="shared" si="108"/>
        <v>0</v>
      </c>
      <c r="AS329" s="509">
        <f t="shared" si="108"/>
        <v>0</v>
      </c>
      <c r="AT329" s="509">
        <f t="shared" si="108"/>
        <v>0</v>
      </c>
      <c r="AU329" s="509">
        <f t="shared" si="108"/>
        <v>12</v>
      </c>
      <c r="AV329" s="509">
        <f t="shared" si="108"/>
        <v>0</v>
      </c>
      <c r="AW329" s="509">
        <f t="shared" si="108"/>
        <v>43</v>
      </c>
      <c r="AX329" s="509">
        <f t="shared" si="108"/>
        <v>0</v>
      </c>
      <c r="AY329" s="509">
        <f t="shared" si="108"/>
        <v>0</v>
      </c>
      <c r="AZ329" s="509">
        <f t="shared" si="108"/>
        <v>51</v>
      </c>
      <c r="BA329" s="509">
        <f t="shared" si="108"/>
        <v>40</v>
      </c>
      <c r="BB329" s="509">
        <f t="shared" si="108"/>
        <v>0</v>
      </c>
      <c r="BC329" s="509">
        <f t="shared" si="108"/>
        <v>0</v>
      </c>
      <c r="BD329" s="509">
        <f t="shared" si="108"/>
        <v>44</v>
      </c>
      <c r="BE329" s="509">
        <f t="shared" si="108"/>
        <v>35</v>
      </c>
      <c r="BF329" s="509">
        <f t="shared" si="108"/>
        <v>0</v>
      </c>
      <c r="BG329" s="509">
        <f t="shared" si="108"/>
        <v>0</v>
      </c>
      <c r="BH329" s="509">
        <f t="shared" si="108"/>
        <v>0</v>
      </c>
      <c r="BI329" s="509">
        <f t="shared" si="108"/>
        <v>73</v>
      </c>
      <c r="BJ329" s="509">
        <f t="shared" si="108"/>
        <v>191</v>
      </c>
      <c r="BK329" s="509">
        <f t="shared" si="108"/>
        <v>0</v>
      </c>
      <c r="BL329" s="509">
        <f t="shared" si="108"/>
        <v>0</v>
      </c>
      <c r="BM329" s="509">
        <f t="shared" si="108"/>
        <v>0</v>
      </c>
      <c r="BN329" s="509">
        <f t="shared" si="108"/>
        <v>0</v>
      </c>
      <c r="BO329" s="509">
        <f t="shared" si="108"/>
        <v>0</v>
      </c>
      <c r="BP329" s="509">
        <f t="shared" si="108"/>
        <v>0</v>
      </c>
      <c r="BQ329" s="509">
        <f t="shared" si="108"/>
        <v>5</v>
      </c>
      <c r="BR329" s="509">
        <f t="shared" ref="BR329:DA329" si="109">SUM(BR258:BR328)</f>
        <v>0</v>
      </c>
      <c r="BS329" s="509">
        <f t="shared" si="109"/>
        <v>10</v>
      </c>
      <c r="BT329" s="509">
        <f t="shared" si="109"/>
        <v>36</v>
      </c>
      <c r="BU329" s="509">
        <f t="shared" si="109"/>
        <v>0</v>
      </c>
      <c r="BV329" s="509">
        <f t="shared" si="109"/>
        <v>0</v>
      </c>
      <c r="BW329" s="509">
        <f t="shared" si="109"/>
        <v>0</v>
      </c>
      <c r="BX329" s="509">
        <f t="shared" si="109"/>
        <v>14</v>
      </c>
      <c r="BY329" s="509">
        <f t="shared" si="109"/>
        <v>23</v>
      </c>
      <c r="BZ329" s="509">
        <f t="shared" si="109"/>
        <v>0</v>
      </c>
      <c r="CA329" s="509">
        <f t="shared" si="109"/>
        <v>0</v>
      </c>
      <c r="CB329" s="509">
        <f t="shared" si="109"/>
        <v>48</v>
      </c>
      <c r="CC329" s="509">
        <f t="shared" si="109"/>
        <v>0</v>
      </c>
      <c r="CD329" s="509">
        <f t="shared" si="109"/>
        <v>192</v>
      </c>
      <c r="CE329" s="509">
        <f t="shared" si="109"/>
        <v>6</v>
      </c>
      <c r="CF329" s="509">
        <f t="shared" si="109"/>
        <v>6</v>
      </c>
      <c r="CG329" s="509">
        <f t="shared" si="109"/>
        <v>12</v>
      </c>
      <c r="CH329" s="509">
        <f t="shared" si="109"/>
        <v>12</v>
      </c>
      <c r="CI329" s="509">
        <f t="shared" si="109"/>
        <v>0</v>
      </c>
      <c r="CJ329" s="509">
        <f t="shared" si="109"/>
        <v>20</v>
      </c>
      <c r="CK329" s="509">
        <f t="shared" si="109"/>
        <v>0</v>
      </c>
      <c r="CL329" s="509">
        <f t="shared" si="109"/>
        <v>0</v>
      </c>
      <c r="CM329" s="509">
        <f t="shared" si="109"/>
        <v>8</v>
      </c>
      <c r="CN329" s="509">
        <f t="shared" si="109"/>
        <v>32</v>
      </c>
      <c r="CO329" s="509">
        <f t="shared" si="109"/>
        <v>20</v>
      </c>
      <c r="CP329" s="509">
        <f t="shared" si="109"/>
        <v>0</v>
      </c>
      <c r="CQ329" s="509">
        <f t="shared" si="109"/>
        <v>0</v>
      </c>
      <c r="CR329" s="509">
        <f t="shared" si="109"/>
        <v>0</v>
      </c>
      <c r="CS329" s="509">
        <f t="shared" si="109"/>
        <v>0</v>
      </c>
      <c r="CT329" s="509">
        <f t="shared" si="109"/>
        <v>0</v>
      </c>
      <c r="CU329" s="509">
        <f t="shared" si="109"/>
        <v>2</v>
      </c>
      <c r="CV329" s="509">
        <f t="shared" si="109"/>
        <v>2</v>
      </c>
      <c r="CW329" s="509">
        <f t="shared" si="109"/>
        <v>0</v>
      </c>
      <c r="CX329" s="509">
        <f>SUM(CX258:CX328)</f>
        <v>0</v>
      </c>
      <c r="CY329" s="509">
        <f>SUM(CY258:CY328)</f>
        <v>0</v>
      </c>
      <c r="CZ329" s="509">
        <f t="shared" si="109"/>
        <v>0</v>
      </c>
      <c r="DA329" s="509">
        <f t="shared" si="109"/>
        <v>0</v>
      </c>
      <c r="DB329" s="509">
        <f t="shared" ref="DB329:EG329" si="110">SUM(DB258:DB328)</f>
        <v>0</v>
      </c>
      <c r="DC329" s="509">
        <f t="shared" si="110"/>
        <v>0</v>
      </c>
      <c r="DD329" s="509">
        <f t="shared" si="110"/>
        <v>0</v>
      </c>
      <c r="DE329" s="509">
        <f t="shared" si="110"/>
        <v>0</v>
      </c>
      <c r="DF329" s="509">
        <f t="shared" si="110"/>
        <v>0</v>
      </c>
      <c r="DG329" s="518">
        <f t="shared" si="110"/>
        <v>0</v>
      </c>
      <c r="DH329" s="518">
        <f t="shared" si="110"/>
        <v>0</v>
      </c>
      <c r="DI329" s="518">
        <f t="shared" si="110"/>
        <v>0</v>
      </c>
      <c r="DJ329" s="518">
        <f t="shared" si="110"/>
        <v>0</v>
      </c>
      <c r="DK329" s="518">
        <f t="shared" si="110"/>
        <v>0</v>
      </c>
      <c r="DL329" s="518">
        <f t="shared" si="110"/>
        <v>0</v>
      </c>
      <c r="DM329" s="518">
        <f t="shared" si="110"/>
        <v>0</v>
      </c>
      <c r="DN329" s="518">
        <f t="shared" si="110"/>
        <v>0</v>
      </c>
      <c r="DO329" s="518">
        <f t="shared" si="110"/>
        <v>0</v>
      </c>
      <c r="DP329" s="518">
        <f t="shared" si="110"/>
        <v>0</v>
      </c>
      <c r="DQ329" s="518">
        <f t="shared" si="110"/>
        <v>0</v>
      </c>
      <c r="DR329" s="518">
        <f t="shared" si="110"/>
        <v>0</v>
      </c>
      <c r="DS329" s="509">
        <f t="shared" si="110"/>
        <v>0</v>
      </c>
      <c r="DT329" s="509">
        <f t="shared" si="110"/>
        <v>0</v>
      </c>
      <c r="DU329" s="509">
        <f t="shared" si="110"/>
        <v>0</v>
      </c>
      <c r="DV329" s="509">
        <f t="shared" si="110"/>
        <v>0</v>
      </c>
      <c r="DW329" s="509">
        <f t="shared" si="110"/>
        <v>0</v>
      </c>
      <c r="DX329" s="509">
        <f t="shared" si="110"/>
        <v>0</v>
      </c>
      <c r="DY329" s="509">
        <f t="shared" si="110"/>
        <v>0</v>
      </c>
      <c r="DZ329" s="509">
        <f t="shared" si="110"/>
        <v>0</v>
      </c>
      <c r="EA329" s="509">
        <f t="shared" si="110"/>
        <v>0</v>
      </c>
      <c r="EB329" s="509">
        <f t="shared" si="110"/>
        <v>0</v>
      </c>
      <c r="EC329" s="509">
        <f t="shared" si="110"/>
        <v>0</v>
      </c>
      <c r="ED329" s="509">
        <f t="shared" si="110"/>
        <v>0</v>
      </c>
      <c r="EE329" s="509">
        <f t="shared" si="110"/>
        <v>0</v>
      </c>
      <c r="EF329" s="509">
        <f t="shared" si="110"/>
        <v>0</v>
      </c>
      <c r="EG329" s="509">
        <f t="shared" si="110"/>
        <v>0</v>
      </c>
      <c r="EH329" s="509">
        <f t="shared" ref="EH329:FM329" si="111">SUM(EH258:EH328)</f>
        <v>0</v>
      </c>
      <c r="EI329" s="509">
        <f t="shared" si="111"/>
        <v>0</v>
      </c>
      <c r="EJ329" s="509">
        <f t="shared" si="111"/>
        <v>0</v>
      </c>
      <c r="EK329" s="509">
        <f t="shared" si="111"/>
        <v>0</v>
      </c>
      <c r="EL329" s="509">
        <f t="shared" si="111"/>
        <v>0</v>
      </c>
      <c r="EM329" s="509">
        <f t="shared" si="111"/>
        <v>0</v>
      </c>
      <c r="EN329" s="509">
        <f t="shared" si="111"/>
        <v>0</v>
      </c>
      <c r="EO329" s="509">
        <f t="shared" si="111"/>
        <v>0</v>
      </c>
      <c r="EP329" s="509">
        <f t="shared" si="111"/>
        <v>0</v>
      </c>
      <c r="EQ329" s="509">
        <f t="shared" si="111"/>
        <v>0</v>
      </c>
      <c r="ER329" s="509">
        <f t="shared" si="111"/>
        <v>0</v>
      </c>
      <c r="ES329" s="509">
        <f t="shared" si="111"/>
        <v>0</v>
      </c>
      <c r="ET329" s="509">
        <f t="shared" si="111"/>
        <v>0</v>
      </c>
      <c r="EU329" s="509">
        <f t="shared" si="111"/>
        <v>0</v>
      </c>
      <c r="EV329" s="509">
        <f t="shared" si="111"/>
        <v>0</v>
      </c>
      <c r="EW329" s="509">
        <f t="shared" si="111"/>
        <v>0</v>
      </c>
      <c r="EX329" s="509">
        <f t="shared" si="111"/>
        <v>0</v>
      </c>
      <c r="EY329" s="509">
        <f t="shared" si="111"/>
        <v>0</v>
      </c>
      <c r="EZ329" s="509">
        <f t="shared" si="111"/>
        <v>0</v>
      </c>
      <c r="FA329" s="509">
        <f t="shared" si="111"/>
        <v>0</v>
      </c>
      <c r="FB329" s="509">
        <f t="shared" si="111"/>
        <v>0</v>
      </c>
      <c r="FC329" s="509">
        <f t="shared" si="111"/>
        <v>0</v>
      </c>
      <c r="FD329" s="509">
        <f t="shared" si="111"/>
        <v>0</v>
      </c>
      <c r="FE329" s="509">
        <f t="shared" si="111"/>
        <v>0</v>
      </c>
      <c r="FF329" s="509">
        <f t="shared" si="111"/>
        <v>0</v>
      </c>
      <c r="FG329" s="509">
        <f t="shared" si="111"/>
        <v>0</v>
      </c>
      <c r="FH329" s="509">
        <f t="shared" si="111"/>
        <v>0</v>
      </c>
      <c r="FI329" s="509">
        <f t="shared" si="111"/>
        <v>0</v>
      </c>
      <c r="FJ329" s="509">
        <f t="shared" si="111"/>
        <v>0</v>
      </c>
      <c r="FK329" s="509">
        <f t="shared" si="111"/>
        <v>0</v>
      </c>
      <c r="FL329" s="509">
        <f t="shared" si="111"/>
        <v>0</v>
      </c>
      <c r="FM329" s="509">
        <f t="shared" si="111"/>
        <v>0</v>
      </c>
      <c r="FN329" s="509">
        <f>SUM(FN258:FN328)</f>
        <v>0</v>
      </c>
      <c r="FO329" s="509">
        <f>SUM(FO258:FO328)</f>
        <v>0</v>
      </c>
      <c r="FP329" s="509"/>
      <c r="FQ329" s="508"/>
      <c r="FU329" s="4">
        <f>DY329-FM329</f>
        <v>0</v>
      </c>
    </row>
    <row r="330" spans="1:177" s="4" customFormat="1">
      <c r="A330" s="56"/>
      <c r="B330" s="56">
        <v>5</v>
      </c>
      <c r="C330" s="501" t="s">
        <v>3723</v>
      </c>
      <c r="D330" s="502"/>
      <c r="E330" s="503"/>
      <c r="F330" s="503"/>
      <c r="G330" s="503"/>
      <c r="H330" s="503"/>
      <c r="I330" s="503"/>
      <c r="J330" s="503"/>
      <c r="K330" s="503"/>
      <c r="L330" s="503"/>
      <c r="M330" s="503"/>
      <c r="N330" s="503"/>
      <c r="O330" s="503"/>
      <c r="P330" s="503"/>
      <c r="Q330" s="503"/>
      <c r="R330" s="503"/>
      <c r="S330" s="503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954"/>
      <c r="AF330" s="959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504"/>
      <c r="BQ330" s="504"/>
      <c r="BR330" s="504"/>
      <c r="BS330" s="504"/>
      <c r="BT330" s="504"/>
      <c r="BU330" s="504"/>
      <c r="BV330" s="504"/>
      <c r="BW330" s="504"/>
      <c r="BX330" s="504"/>
      <c r="BY330" s="504"/>
      <c r="BZ330" s="504"/>
      <c r="CA330" s="504"/>
      <c r="CB330" s="504"/>
      <c r="CC330" s="504"/>
      <c r="CD330" s="504"/>
      <c r="CE330" s="504"/>
      <c r="CF330" s="504"/>
      <c r="CG330" s="504"/>
      <c r="CH330" s="504"/>
      <c r="CI330" s="504"/>
      <c r="CJ330" s="504"/>
      <c r="CK330" s="504"/>
      <c r="CL330" s="504"/>
      <c r="CM330" s="504"/>
      <c r="CN330" s="504"/>
      <c r="CO330" s="504"/>
      <c r="CP330" s="504"/>
      <c r="CQ330" s="504"/>
      <c r="CR330" s="504"/>
      <c r="CS330" s="504"/>
      <c r="CT330" s="504"/>
      <c r="CU330" s="504"/>
      <c r="CV330" s="504"/>
      <c r="CW330" s="504"/>
      <c r="CX330" s="504"/>
      <c r="CY330" s="504"/>
      <c r="CZ330" s="504"/>
      <c r="DA330" s="504"/>
      <c r="DB330" s="504"/>
      <c r="DC330" s="504"/>
      <c r="DD330" s="504"/>
      <c r="DE330" s="504"/>
      <c r="DF330" s="504"/>
      <c r="DG330" s="519"/>
      <c r="DH330" s="519"/>
      <c r="DI330" s="519"/>
      <c r="DJ330" s="519"/>
      <c r="DK330" s="519"/>
      <c r="DL330" s="519"/>
      <c r="DM330" s="519"/>
      <c r="DN330" s="519"/>
      <c r="DO330" s="519"/>
      <c r="DP330" s="519"/>
      <c r="DQ330" s="519"/>
      <c r="DR330" s="519"/>
      <c r="DS330" s="504"/>
      <c r="DT330" s="504"/>
      <c r="DU330" s="504"/>
      <c r="DV330" s="504"/>
      <c r="DW330" s="504"/>
      <c r="DX330" s="504"/>
      <c r="DY330" s="504"/>
      <c r="DZ330" s="504"/>
      <c r="EA330" s="504"/>
      <c r="EB330" s="504"/>
      <c r="EC330" s="504"/>
      <c r="ED330" s="504"/>
      <c r="EE330" s="504"/>
      <c r="EF330" s="504"/>
      <c r="EG330" s="504"/>
      <c r="EH330" s="504"/>
      <c r="EI330" s="504"/>
      <c r="EJ330" s="504"/>
      <c r="EK330" s="504"/>
      <c r="EL330" s="504"/>
      <c r="EM330" s="504"/>
      <c r="EN330" s="504"/>
      <c r="EO330" s="504"/>
      <c r="EP330" s="504"/>
      <c r="EQ330" s="504"/>
      <c r="ER330" s="504"/>
      <c r="ES330" s="504"/>
      <c r="ET330" s="504"/>
      <c r="EU330" s="504"/>
      <c r="EV330" s="504"/>
      <c r="EW330" s="504"/>
      <c r="EX330" s="504"/>
      <c r="EY330" s="504"/>
      <c r="EZ330" s="504"/>
      <c r="FA330" s="504"/>
      <c r="FB330" s="504"/>
      <c r="FC330" s="504"/>
      <c r="FD330" s="504"/>
      <c r="FE330" s="504"/>
      <c r="FF330" s="504"/>
      <c r="FG330" s="504"/>
      <c r="FH330" s="504"/>
      <c r="FI330" s="504"/>
      <c r="FJ330" s="504"/>
      <c r="FK330" s="504"/>
      <c r="FL330" s="504"/>
      <c r="FM330" s="504"/>
      <c r="FN330" s="504"/>
      <c r="FO330" s="504"/>
      <c r="FP330" s="504"/>
      <c r="FQ330" s="505"/>
      <c r="FU330" s="4">
        <f>DY330-FM330</f>
        <v>0</v>
      </c>
    </row>
    <row r="331" spans="1:177" s="696" customFormat="1">
      <c r="A331" s="690"/>
      <c r="B331" s="690"/>
      <c r="C331" s="691" t="s">
        <v>3632</v>
      </c>
      <c r="D331" s="691"/>
      <c r="E331" s="692"/>
      <c r="F331" s="692"/>
      <c r="G331" s="692"/>
      <c r="H331" s="692"/>
      <c r="I331" s="692"/>
      <c r="J331" s="692"/>
      <c r="K331" s="692"/>
      <c r="L331" s="692"/>
      <c r="M331" s="692"/>
      <c r="N331" s="692"/>
      <c r="O331" s="692"/>
      <c r="P331" s="692"/>
      <c r="Q331" s="692"/>
      <c r="R331" s="693"/>
      <c r="S331" s="693"/>
      <c r="T331" s="692"/>
      <c r="U331" s="692" t="s">
        <v>2990</v>
      </c>
      <c r="V331" s="692"/>
      <c r="W331" s="692"/>
      <c r="X331" s="692"/>
      <c r="Y331" s="692"/>
      <c r="Z331" s="692"/>
      <c r="AA331" s="692"/>
      <c r="AB331" s="692"/>
      <c r="AC331" s="692"/>
      <c r="AD331" s="692"/>
      <c r="AE331" s="725"/>
      <c r="AF331" s="957"/>
      <c r="AG331" s="692"/>
      <c r="AH331" s="692"/>
      <c r="AI331" s="692"/>
      <c r="AJ331" s="692"/>
      <c r="AK331" s="692"/>
      <c r="AL331" s="692"/>
      <c r="AM331" s="692"/>
      <c r="AN331" s="692"/>
      <c r="AO331" s="692"/>
      <c r="AP331" s="692"/>
      <c r="AQ331" s="692"/>
      <c r="AR331" s="692"/>
      <c r="AS331" s="692"/>
      <c r="AT331" s="692"/>
      <c r="AU331" s="692"/>
      <c r="AV331" s="692"/>
      <c r="AW331" s="692"/>
      <c r="AX331" s="692"/>
      <c r="AY331" s="692"/>
      <c r="AZ331" s="692">
        <f>AW331+CB331</f>
        <v>0</v>
      </c>
      <c r="BA331" s="692"/>
      <c r="BB331" s="692"/>
      <c r="BC331" s="692"/>
      <c r="BD331" s="692">
        <v>1</v>
      </c>
      <c r="BE331" s="692"/>
      <c r="BF331" s="692"/>
      <c r="BG331" s="692"/>
      <c r="BH331" s="692"/>
      <c r="BI331" s="692">
        <f>AU331*2+CB331*5</f>
        <v>0</v>
      </c>
      <c r="BJ331" s="692"/>
      <c r="BK331" s="692"/>
      <c r="BL331" s="692"/>
      <c r="BM331" s="692"/>
      <c r="BN331" s="692"/>
      <c r="BO331" s="692"/>
      <c r="BP331" s="692"/>
      <c r="BQ331" s="692">
        <f>IF(U331="G",1,)</f>
        <v>0</v>
      </c>
      <c r="BR331" s="692"/>
      <c r="BS331" s="692">
        <f>IF(U331="I",1,IF(U331="G",2,))</f>
        <v>0</v>
      </c>
      <c r="BT331" s="692"/>
      <c r="BU331" s="692"/>
      <c r="BV331" s="692"/>
      <c r="BW331" s="692"/>
      <c r="BX331" s="692"/>
      <c r="BY331" s="692"/>
      <c r="BZ331" s="692"/>
      <c r="CA331" s="692"/>
      <c r="CB331" s="692"/>
      <c r="CC331" s="692"/>
      <c r="CD331" s="692">
        <f>CB331*4</f>
        <v>0</v>
      </c>
      <c r="CE331" s="692"/>
      <c r="CF331" s="692"/>
      <c r="CG331" s="692"/>
      <c r="CH331" s="692"/>
      <c r="CI331" s="692"/>
      <c r="CJ331" s="692"/>
      <c r="CK331" s="692"/>
      <c r="CL331" s="692"/>
      <c r="CM331" s="692"/>
      <c r="CN331" s="692"/>
      <c r="CO331" s="692"/>
      <c r="CP331" s="692"/>
      <c r="CQ331" s="692"/>
      <c r="CR331" s="692"/>
      <c r="CS331" s="692"/>
      <c r="CT331" s="692"/>
      <c r="CU331" s="692"/>
      <c r="CV331" s="692"/>
      <c r="CW331" s="692"/>
      <c r="CX331" s="694"/>
      <c r="CY331" s="694"/>
      <c r="CZ331" s="694"/>
      <c r="DA331" s="694"/>
      <c r="DB331" s="694"/>
      <c r="DC331" s="694"/>
      <c r="DD331" s="694"/>
      <c r="DE331" s="694"/>
      <c r="DF331" s="694"/>
      <c r="DG331" s="695"/>
      <c r="DH331" s="695"/>
      <c r="DI331" s="695"/>
      <c r="DJ331" s="695"/>
      <c r="DK331" s="695"/>
      <c r="DL331" s="695"/>
      <c r="DM331" s="695"/>
      <c r="DN331" s="695"/>
      <c r="DO331" s="695"/>
      <c r="DP331" s="695"/>
      <c r="DQ331" s="695"/>
      <c r="DR331" s="695"/>
      <c r="DS331" s="694"/>
      <c r="DT331" s="694"/>
      <c r="DU331" s="694"/>
      <c r="DV331" s="694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4"/>
      <c r="FH331" s="694"/>
      <c r="FI331" s="694"/>
      <c r="FJ331" s="694"/>
      <c r="FK331" s="694"/>
      <c r="FL331" s="694"/>
      <c r="FM331" s="694"/>
      <c r="FN331" s="694"/>
      <c r="FO331" s="694"/>
      <c r="FP331" s="694"/>
      <c r="FQ331" s="697"/>
    </row>
    <row r="332" spans="1:177" s="696" customFormat="1">
      <c r="A332" s="690"/>
      <c r="B332" s="690"/>
      <c r="C332" s="691" t="s">
        <v>3633</v>
      </c>
      <c r="D332" s="691"/>
      <c r="E332" s="692">
        <v>24.9</v>
      </c>
      <c r="F332" s="692"/>
      <c r="G332" s="692"/>
      <c r="H332" s="692"/>
      <c r="I332" s="692"/>
      <c r="J332" s="692"/>
      <c r="K332" s="692"/>
      <c r="L332" s="692"/>
      <c r="M332" s="692"/>
      <c r="N332" s="692"/>
      <c r="O332" s="692">
        <f>E332</f>
        <v>24.9</v>
      </c>
      <c r="P332" s="692"/>
      <c r="Q332" s="692"/>
      <c r="R332" s="693"/>
      <c r="S332" s="693"/>
      <c r="T332" s="692"/>
      <c r="U332" s="692" t="s">
        <v>1631</v>
      </c>
      <c r="V332" s="692"/>
      <c r="W332" s="692"/>
      <c r="X332" s="692"/>
      <c r="Y332" s="692"/>
      <c r="Z332" s="692"/>
      <c r="AA332" s="692"/>
      <c r="AB332" s="692"/>
      <c r="AC332" s="692"/>
      <c r="AD332" s="692"/>
      <c r="AE332" s="725"/>
      <c r="AF332" s="957"/>
      <c r="AG332" s="692"/>
      <c r="AH332" s="692"/>
      <c r="AI332" s="692"/>
      <c r="AJ332" s="692"/>
      <c r="AK332" s="692"/>
      <c r="AL332" s="692"/>
      <c r="AM332" s="692"/>
      <c r="AN332" s="692"/>
      <c r="AO332" s="692"/>
      <c r="AP332" s="692"/>
      <c r="AQ332" s="692"/>
      <c r="AR332" s="692"/>
      <c r="AS332" s="692"/>
      <c r="AT332" s="692"/>
      <c r="AU332" s="692">
        <v>1</v>
      </c>
      <c r="AV332" s="692"/>
      <c r="AW332" s="692"/>
      <c r="AX332" s="692"/>
      <c r="AY332" s="692"/>
      <c r="AZ332" s="692">
        <f t="shared" ref="AZ332:AZ355" si="112">AW332+CB332</f>
        <v>1</v>
      </c>
      <c r="BA332" s="692"/>
      <c r="BB332" s="692"/>
      <c r="BC332" s="692"/>
      <c r="BD332" s="692">
        <v>1</v>
      </c>
      <c r="BE332" s="692"/>
      <c r="BF332" s="692"/>
      <c r="BG332" s="692"/>
      <c r="BH332" s="692"/>
      <c r="BI332" s="692">
        <f t="shared" ref="BI332:BI355" si="113">AU332*2+CB332*5</f>
        <v>7</v>
      </c>
      <c r="BJ332" s="692"/>
      <c r="BK332" s="692"/>
      <c r="BL332" s="692"/>
      <c r="BM332" s="692"/>
      <c r="BN332" s="692"/>
      <c r="BO332" s="692"/>
      <c r="BP332" s="692"/>
      <c r="BQ332" s="692">
        <f t="shared" ref="BQ332:BQ355" si="114">IF(U332="G",1,)</f>
        <v>0</v>
      </c>
      <c r="BR332" s="692"/>
      <c r="BS332" s="692">
        <f t="shared" ref="BS332:BS355" si="115">IF(U332="I",1,IF(U332="G",2,))</f>
        <v>1</v>
      </c>
      <c r="BT332" s="692"/>
      <c r="BU332" s="692"/>
      <c r="BV332" s="692"/>
      <c r="BW332" s="692"/>
      <c r="BX332" s="692">
        <v>1</v>
      </c>
      <c r="BY332" s="692"/>
      <c r="BZ332" s="692"/>
      <c r="CA332" s="692"/>
      <c r="CB332" s="692">
        <v>1</v>
      </c>
      <c r="CC332" s="692"/>
      <c r="CD332" s="692">
        <f t="shared" ref="CD332:CD355" si="116">CB332*4</f>
        <v>4</v>
      </c>
      <c r="CE332" s="692"/>
      <c r="CF332" s="692"/>
      <c r="CG332" s="692"/>
      <c r="CH332" s="692"/>
      <c r="CI332" s="692"/>
      <c r="CJ332" s="692"/>
      <c r="CK332" s="692"/>
      <c r="CL332" s="692"/>
      <c r="CM332" s="692"/>
      <c r="CN332" s="692"/>
      <c r="CO332" s="692"/>
      <c r="CP332" s="692"/>
      <c r="CQ332" s="692"/>
      <c r="CR332" s="692"/>
      <c r="CS332" s="692"/>
      <c r="CT332" s="692"/>
      <c r="CU332" s="692"/>
      <c r="CV332" s="692"/>
      <c r="CW332" s="692"/>
      <c r="CX332" s="694"/>
      <c r="CY332" s="694"/>
      <c r="CZ332" s="694"/>
      <c r="DA332" s="694"/>
      <c r="DB332" s="694"/>
      <c r="DC332" s="694"/>
      <c r="DD332" s="694"/>
      <c r="DE332" s="694"/>
      <c r="DF332" s="694"/>
      <c r="DG332" s="695"/>
      <c r="DH332" s="695"/>
      <c r="DI332" s="695"/>
      <c r="DJ332" s="695"/>
      <c r="DK332" s="695"/>
      <c r="DL332" s="695"/>
      <c r="DM332" s="695"/>
      <c r="DN332" s="695"/>
      <c r="DO332" s="695"/>
      <c r="DP332" s="695"/>
      <c r="DQ332" s="695"/>
      <c r="DR332" s="695"/>
      <c r="DS332" s="694"/>
      <c r="DT332" s="694"/>
      <c r="DU332" s="694"/>
      <c r="DV332" s="694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4"/>
      <c r="FH332" s="694"/>
      <c r="FI332" s="694"/>
      <c r="FJ332" s="694"/>
      <c r="FK332" s="694"/>
      <c r="FL332" s="694"/>
      <c r="FM332" s="694"/>
      <c r="FN332" s="694"/>
      <c r="FO332" s="694"/>
      <c r="FP332" s="694"/>
      <c r="FQ332" s="697"/>
    </row>
    <row r="333" spans="1:177" s="696" customFormat="1">
      <c r="A333" s="690"/>
      <c r="B333" s="690"/>
      <c r="C333" s="691" t="s">
        <v>3634</v>
      </c>
      <c r="D333" s="691"/>
      <c r="E333" s="692">
        <v>33.9</v>
      </c>
      <c r="F333" s="692"/>
      <c r="G333" s="692"/>
      <c r="H333" s="692"/>
      <c r="I333" s="692"/>
      <c r="J333" s="692"/>
      <c r="K333" s="692"/>
      <c r="L333" s="692"/>
      <c r="M333" s="692"/>
      <c r="N333" s="692"/>
      <c r="O333" s="692">
        <f t="shared" ref="O333:O352" si="117">E333</f>
        <v>33.9</v>
      </c>
      <c r="P333" s="692"/>
      <c r="Q333" s="692"/>
      <c r="R333" s="693"/>
      <c r="S333" s="693"/>
      <c r="T333" s="692"/>
      <c r="U333" s="692" t="s">
        <v>1631</v>
      </c>
      <c r="V333" s="692"/>
      <c r="W333" s="692"/>
      <c r="X333" s="692"/>
      <c r="Y333" s="692"/>
      <c r="Z333" s="692"/>
      <c r="AA333" s="692"/>
      <c r="AB333" s="692"/>
      <c r="AC333" s="692"/>
      <c r="AD333" s="692"/>
      <c r="AE333" s="725"/>
      <c r="AF333" s="957"/>
      <c r="AG333" s="692"/>
      <c r="AH333" s="692"/>
      <c r="AI333" s="692"/>
      <c r="AJ333" s="692"/>
      <c r="AK333" s="692"/>
      <c r="AL333" s="692"/>
      <c r="AM333" s="692"/>
      <c r="AN333" s="692"/>
      <c r="AO333" s="692"/>
      <c r="AP333" s="692"/>
      <c r="AQ333" s="692"/>
      <c r="AR333" s="692"/>
      <c r="AS333" s="692"/>
      <c r="AT333" s="692"/>
      <c r="AU333" s="692"/>
      <c r="AV333" s="692"/>
      <c r="AW333" s="692"/>
      <c r="AX333" s="692"/>
      <c r="AY333" s="692"/>
      <c r="AZ333" s="692"/>
      <c r="BA333" s="692">
        <v>1</v>
      </c>
      <c r="BB333" s="692"/>
      <c r="BC333" s="692"/>
      <c r="BD333" s="692"/>
      <c r="BE333" s="692">
        <v>1</v>
      </c>
      <c r="BF333" s="692"/>
      <c r="BG333" s="692"/>
      <c r="BH333" s="692"/>
      <c r="BI333" s="692">
        <f t="shared" si="113"/>
        <v>5</v>
      </c>
      <c r="BJ333" s="692"/>
      <c r="BK333" s="692"/>
      <c r="BL333" s="692"/>
      <c r="BM333" s="692"/>
      <c r="BN333" s="692"/>
      <c r="BO333" s="692"/>
      <c r="BP333" s="692"/>
      <c r="BQ333" s="692">
        <f t="shared" si="114"/>
        <v>0</v>
      </c>
      <c r="BR333" s="692"/>
      <c r="BS333" s="692">
        <f t="shared" si="115"/>
        <v>1</v>
      </c>
      <c r="BT333" s="692"/>
      <c r="BU333" s="692"/>
      <c r="BV333" s="692"/>
      <c r="BW333" s="692"/>
      <c r="BX333" s="692"/>
      <c r="BY333" s="692"/>
      <c r="BZ333" s="692"/>
      <c r="CA333" s="692"/>
      <c r="CB333" s="692">
        <v>1</v>
      </c>
      <c r="CC333" s="692"/>
      <c r="CD333" s="692">
        <f t="shared" si="116"/>
        <v>4</v>
      </c>
      <c r="CE333" s="692"/>
      <c r="CF333" s="692"/>
      <c r="CG333" s="692"/>
      <c r="CH333" s="692"/>
      <c r="CI333" s="692"/>
      <c r="CJ333" s="692"/>
      <c r="CK333" s="692"/>
      <c r="CL333" s="692"/>
      <c r="CM333" s="692"/>
      <c r="CN333" s="692"/>
      <c r="CO333" s="692"/>
      <c r="CP333" s="692"/>
      <c r="CQ333" s="692"/>
      <c r="CR333" s="692"/>
      <c r="CS333" s="692"/>
      <c r="CT333" s="692"/>
      <c r="CU333" s="692"/>
      <c r="CV333" s="692"/>
      <c r="CW333" s="692"/>
      <c r="CX333" s="694"/>
      <c r="CY333" s="694"/>
      <c r="CZ333" s="694"/>
      <c r="DA333" s="694"/>
      <c r="DB333" s="694"/>
      <c r="DC333" s="694"/>
      <c r="DD333" s="694"/>
      <c r="DE333" s="694"/>
      <c r="DF333" s="694"/>
      <c r="DG333" s="695"/>
      <c r="DH333" s="695"/>
      <c r="DI333" s="695"/>
      <c r="DJ333" s="695"/>
      <c r="DK333" s="695"/>
      <c r="DL333" s="695"/>
      <c r="DM333" s="695"/>
      <c r="DN333" s="695"/>
      <c r="DO333" s="695"/>
      <c r="DP333" s="695"/>
      <c r="DQ333" s="695"/>
      <c r="DR333" s="695"/>
      <c r="DS333" s="694"/>
      <c r="DT333" s="694"/>
      <c r="DU333" s="694"/>
      <c r="DV333" s="694"/>
      <c r="DW333" s="694"/>
      <c r="DX333" s="694"/>
      <c r="DY333" s="694"/>
      <c r="DZ333" s="694"/>
      <c r="EA333" s="694"/>
      <c r="EB333" s="694"/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4"/>
      <c r="FH333" s="694"/>
      <c r="FI333" s="694"/>
      <c r="FJ333" s="694"/>
      <c r="FK333" s="694"/>
      <c r="FL333" s="694"/>
      <c r="FM333" s="694"/>
      <c r="FN333" s="694"/>
      <c r="FO333" s="694"/>
      <c r="FP333" s="694"/>
      <c r="FQ333" s="697"/>
    </row>
    <row r="334" spans="1:177" s="696" customFormat="1">
      <c r="A334" s="690"/>
      <c r="B334" s="690"/>
      <c r="C334" s="691" t="s">
        <v>3635</v>
      </c>
      <c r="D334" s="691"/>
      <c r="E334" s="692">
        <v>37.6</v>
      </c>
      <c r="F334" s="692"/>
      <c r="G334" s="692"/>
      <c r="H334" s="692"/>
      <c r="I334" s="692"/>
      <c r="J334" s="692"/>
      <c r="K334" s="692"/>
      <c r="L334" s="692"/>
      <c r="M334" s="692"/>
      <c r="N334" s="692"/>
      <c r="O334" s="692">
        <f t="shared" si="117"/>
        <v>37.6</v>
      </c>
      <c r="P334" s="692"/>
      <c r="Q334" s="692"/>
      <c r="R334" s="693"/>
      <c r="S334" s="693"/>
      <c r="T334" s="692"/>
      <c r="U334" s="692" t="s">
        <v>1631</v>
      </c>
      <c r="V334" s="692"/>
      <c r="W334" s="692"/>
      <c r="X334" s="692"/>
      <c r="Y334" s="692"/>
      <c r="Z334" s="692"/>
      <c r="AA334" s="692"/>
      <c r="AB334" s="692"/>
      <c r="AC334" s="692"/>
      <c r="AD334" s="692"/>
      <c r="AE334" s="725"/>
      <c r="AF334" s="957"/>
      <c r="AG334" s="692"/>
      <c r="AH334" s="692"/>
      <c r="AI334" s="692"/>
      <c r="AJ334" s="692"/>
      <c r="AK334" s="692"/>
      <c r="AL334" s="692"/>
      <c r="AM334" s="692"/>
      <c r="AN334" s="692"/>
      <c r="AO334" s="692"/>
      <c r="AP334" s="692"/>
      <c r="AQ334" s="692"/>
      <c r="AR334" s="692"/>
      <c r="AS334" s="692"/>
      <c r="AT334" s="692"/>
      <c r="AU334" s="692"/>
      <c r="AV334" s="692"/>
      <c r="AW334" s="692">
        <v>1</v>
      </c>
      <c r="AX334" s="692"/>
      <c r="AY334" s="692"/>
      <c r="AZ334" s="692"/>
      <c r="BA334" s="692">
        <v>2</v>
      </c>
      <c r="BB334" s="692"/>
      <c r="BC334" s="692"/>
      <c r="BD334" s="692"/>
      <c r="BE334" s="692">
        <v>1</v>
      </c>
      <c r="BF334" s="692"/>
      <c r="BG334" s="692"/>
      <c r="BH334" s="692"/>
      <c r="BI334" s="692">
        <f t="shared" si="113"/>
        <v>5</v>
      </c>
      <c r="BJ334" s="692"/>
      <c r="BK334" s="692"/>
      <c r="BL334" s="692"/>
      <c r="BM334" s="692"/>
      <c r="BN334" s="692"/>
      <c r="BO334" s="692"/>
      <c r="BP334" s="692"/>
      <c r="BQ334" s="692">
        <f t="shared" si="114"/>
        <v>0</v>
      </c>
      <c r="BR334" s="692"/>
      <c r="BS334" s="692">
        <f t="shared" si="115"/>
        <v>1</v>
      </c>
      <c r="BT334" s="692"/>
      <c r="BU334" s="692"/>
      <c r="BV334" s="692"/>
      <c r="BW334" s="692"/>
      <c r="BX334" s="692"/>
      <c r="BY334" s="692"/>
      <c r="BZ334" s="692"/>
      <c r="CA334" s="692"/>
      <c r="CB334" s="692">
        <v>1</v>
      </c>
      <c r="CC334" s="692"/>
      <c r="CD334" s="692">
        <f t="shared" si="116"/>
        <v>4</v>
      </c>
      <c r="CE334" s="692"/>
      <c r="CF334" s="692"/>
      <c r="CG334" s="692"/>
      <c r="CH334" s="692"/>
      <c r="CI334" s="692"/>
      <c r="CJ334" s="692"/>
      <c r="CK334" s="692"/>
      <c r="CL334" s="692"/>
      <c r="CM334" s="692"/>
      <c r="CN334" s="692"/>
      <c r="CO334" s="692"/>
      <c r="CP334" s="692"/>
      <c r="CQ334" s="692"/>
      <c r="CR334" s="692"/>
      <c r="CS334" s="692"/>
      <c r="CT334" s="692"/>
      <c r="CU334" s="692"/>
      <c r="CV334" s="692"/>
      <c r="CW334" s="692"/>
      <c r="CX334" s="694"/>
      <c r="CY334" s="694"/>
      <c r="CZ334" s="694"/>
      <c r="DA334" s="694"/>
      <c r="DB334" s="694"/>
      <c r="DC334" s="694"/>
      <c r="DD334" s="694"/>
      <c r="DE334" s="694"/>
      <c r="DF334" s="694"/>
      <c r="DG334" s="695"/>
      <c r="DH334" s="695"/>
      <c r="DI334" s="695"/>
      <c r="DJ334" s="695"/>
      <c r="DK334" s="695"/>
      <c r="DL334" s="695"/>
      <c r="DM334" s="695"/>
      <c r="DN334" s="695"/>
      <c r="DO334" s="695"/>
      <c r="DP334" s="695"/>
      <c r="DQ334" s="695"/>
      <c r="DR334" s="695"/>
      <c r="DS334" s="694"/>
      <c r="DT334" s="694"/>
      <c r="DU334" s="694"/>
      <c r="DV334" s="694"/>
      <c r="DW334" s="694"/>
      <c r="DX334" s="694"/>
      <c r="DY334" s="694"/>
      <c r="DZ334" s="694"/>
      <c r="EA334" s="694"/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4"/>
      <c r="FH334" s="694"/>
      <c r="FI334" s="694"/>
      <c r="FJ334" s="694"/>
      <c r="FK334" s="694"/>
      <c r="FL334" s="694"/>
      <c r="FM334" s="694"/>
      <c r="FN334" s="694"/>
      <c r="FO334" s="694"/>
      <c r="FP334" s="694"/>
      <c r="FQ334" s="697"/>
    </row>
    <row r="335" spans="1:177" s="696" customFormat="1">
      <c r="A335" s="690"/>
      <c r="B335" s="690"/>
      <c r="C335" s="691" t="s">
        <v>3636</v>
      </c>
      <c r="D335" s="691"/>
      <c r="E335" s="692">
        <v>36</v>
      </c>
      <c r="F335" s="692"/>
      <c r="G335" s="692"/>
      <c r="H335" s="692"/>
      <c r="I335" s="692"/>
      <c r="J335" s="692"/>
      <c r="K335" s="692"/>
      <c r="L335" s="692"/>
      <c r="M335" s="692"/>
      <c r="N335" s="692"/>
      <c r="O335" s="692">
        <f t="shared" si="117"/>
        <v>36</v>
      </c>
      <c r="P335" s="692"/>
      <c r="Q335" s="692"/>
      <c r="R335" s="693"/>
      <c r="S335" s="693"/>
      <c r="T335" s="692"/>
      <c r="U335" s="692" t="s">
        <v>1631</v>
      </c>
      <c r="V335" s="692"/>
      <c r="W335" s="692"/>
      <c r="X335" s="692"/>
      <c r="Y335" s="692"/>
      <c r="Z335" s="692"/>
      <c r="AA335" s="692"/>
      <c r="AB335" s="692"/>
      <c r="AC335" s="692"/>
      <c r="AD335" s="692"/>
      <c r="AE335" s="725"/>
      <c r="AF335" s="957"/>
      <c r="AG335" s="692"/>
      <c r="AH335" s="692"/>
      <c r="AI335" s="692"/>
      <c r="AJ335" s="692"/>
      <c r="AK335" s="692"/>
      <c r="AL335" s="692"/>
      <c r="AM335" s="692"/>
      <c r="AN335" s="692"/>
      <c r="AO335" s="692"/>
      <c r="AP335" s="692"/>
      <c r="AQ335" s="692"/>
      <c r="AR335" s="692"/>
      <c r="AS335" s="692"/>
      <c r="AT335" s="692"/>
      <c r="AU335" s="692"/>
      <c r="AV335" s="692"/>
      <c r="AW335" s="692">
        <v>1</v>
      </c>
      <c r="AX335" s="692"/>
      <c r="AY335" s="692"/>
      <c r="AZ335" s="692"/>
      <c r="BA335" s="692">
        <v>2</v>
      </c>
      <c r="BB335" s="692"/>
      <c r="BC335" s="692"/>
      <c r="BD335" s="692"/>
      <c r="BE335" s="692">
        <v>1</v>
      </c>
      <c r="BF335" s="692"/>
      <c r="BG335" s="692"/>
      <c r="BH335" s="692"/>
      <c r="BI335" s="692">
        <f t="shared" si="113"/>
        <v>5</v>
      </c>
      <c r="BJ335" s="692"/>
      <c r="BK335" s="692"/>
      <c r="BL335" s="692"/>
      <c r="BM335" s="692"/>
      <c r="BN335" s="692"/>
      <c r="BO335" s="692"/>
      <c r="BP335" s="692"/>
      <c r="BQ335" s="692">
        <f t="shared" si="114"/>
        <v>0</v>
      </c>
      <c r="BR335" s="692"/>
      <c r="BS335" s="692">
        <f t="shared" si="115"/>
        <v>1</v>
      </c>
      <c r="BT335" s="692"/>
      <c r="BU335" s="692"/>
      <c r="BV335" s="692"/>
      <c r="BW335" s="692"/>
      <c r="BX335" s="692"/>
      <c r="BY335" s="692"/>
      <c r="BZ335" s="692"/>
      <c r="CA335" s="692"/>
      <c r="CB335" s="692">
        <v>1</v>
      </c>
      <c r="CC335" s="692"/>
      <c r="CD335" s="692">
        <f t="shared" si="116"/>
        <v>4</v>
      </c>
      <c r="CE335" s="692"/>
      <c r="CF335" s="692"/>
      <c r="CG335" s="692"/>
      <c r="CH335" s="692"/>
      <c r="CI335" s="692"/>
      <c r="CJ335" s="692"/>
      <c r="CK335" s="692"/>
      <c r="CL335" s="692"/>
      <c r="CM335" s="692"/>
      <c r="CN335" s="692"/>
      <c r="CO335" s="692"/>
      <c r="CP335" s="692"/>
      <c r="CQ335" s="692"/>
      <c r="CR335" s="692"/>
      <c r="CS335" s="692"/>
      <c r="CT335" s="692"/>
      <c r="CU335" s="692"/>
      <c r="CV335" s="692"/>
      <c r="CW335" s="692"/>
      <c r="CX335" s="694"/>
      <c r="CY335" s="694"/>
      <c r="CZ335" s="694"/>
      <c r="DA335" s="694"/>
      <c r="DB335" s="694"/>
      <c r="DC335" s="694"/>
      <c r="DD335" s="694"/>
      <c r="DE335" s="694"/>
      <c r="DF335" s="694"/>
      <c r="DG335" s="695"/>
      <c r="DH335" s="695"/>
      <c r="DI335" s="695"/>
      <c r="DJ335" s="695"/>
      <c r="DK335" s="695"/>
      <c r="DL335" s="695"/>
      <c r="DM335" s="695"/>
      <c r="DN335" s="695"/>
      <c r="DO335" s="695"/>
      <c r="DP335" s="695"/>
      <c r="DQ335" s="695"/>
      <c r="DR335" s="695"/>
      <c r="DS335" s="694"/>
      <c r="DT335" s="694"/>
      <c r="DU335" s="694"/>
      <c r="DV335" s="694"/>
      <c r="DW335" s="694"/>
      <c r="DX335" s="694"/>
      <c r="DY335" s="694"/>
      <c r="DZ335" s="694"/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4"/>
      <c r="FH335" s="694"/>
      <c r="FI335" s="694"/>
      <c r="FJ335" s="694"/>
      <c r="FK335" s="694"/>
      <c r="FL335" s="694"/>
      <c r="FM335" s="694"/>
      <c r="FN335" s="694"/>
      <c r="FO335" s="694"/>
      <c r="FP335" s="694"/>
      <c r="FQ335" s="697"/>
    </row>
    <row r="336" spans="1:177" s="696" customFormat="1">
      <c r="A336" s="690"/>
      <c r="B336" s="690"/>
      <c r="C336" s="691" t="s">
        <v>3637</v>
      </c>
      <c r="D336" s="691"/>
      <c r="E336" s="692">
        <v>47.8</v>
      </c>
      <c r="F336" s="692"/>
      <c r="G336" s="692"/>
      <c r="H336" s="692"/>
      <c r="I336" s="692"/>
      <c r="J336" s="692"/>
      <c r="K336" s="692"/>
      <c r="L336" s="692"/>
      <c r="M336" s="692"/>
      <c r="N336" s="692"/>
      <c r="O336" s="692">
        <f t="shared" si="117"/>
        <v>47.8</v>
      </c>
      <c r="P336" s="692"/>
      <c r="Q336" s="692"/>
      <c r="R336" s="693"/>
      <c r="S336" s="693"/>
      <c r="T336" s="692"/>
      <c r="U336" s="692" t="s">
        <v>1903</v>
      </c>
      <c r="V336" s="692"/>
      <c r="W336" s="692"/>
      <c r="X336" s="692"/>
      <c r="Y336" s="692"/>
      <c r="Z336" s="692"/>
      <c r="AA336" s="692"/>
      <c r="AB336" s="692"/>
      <c r="AC336" s="692"/>
      <c r="AD336" s="692"/>
      <c r="AE336" s="725"/>
      <c r="AF336" s="957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>
        <v>1</v>
      </c>
      <c r="AX336" s="692"/>
      <c r="AY336" s="692"/>
      <c r="AZ336" s="692"/>
      <c r="BA336" s="692">
        <v>2</v>
      </c>
      <c r="BB336" s="692"/>
      <c r="BC336" s="692"/>
      <c r="BD336" s="692"/>
      <c r="BE336" s="692">
        <v>1</v>
      </c>
      <c r="BF336" s="692"/>
      <c r="BG336" s="692"/>
      <c r="BH336" s="692"/>
      <c r="BI336" s="692">
        <f t="shared" si="113"/>
        <v>5</v>
      </c>
      <c r="BJ336" s="692"/>
      <c r="BK336" s="692"/>
      <c r="BL336" s="692"/>
      <c r="BM336" s="692"/>
      <c r="BN336" s="692"/>
      <c r="BO336" s="692"/>
      <c r="BP336" s="692"/>
      <c r="BQ336" s="692">
        <f t="shared" si="114"/>
        <v>1</v>
      </c>
      <c r="BR336" s="692"/>
      <c r="BS336" s="692">
        <f t="shared" si="115"/>
        <v>2</v>
      </c>
      <c r="BT336" s="692"/>
      <c r="BU336" s="692"/>
      <c r="BV336" s="692"/>
      <c r="BW336" s="692"/>
      <c r="BX336" s="692"/>
      <c r="BY336" s="692"/>
      <c r="BZ336" s="692"/>
      <c r="CA336" s="692"/>
      <c r="CB336" s="692">
        <v>1</v>
      </c>
      <c r="CC336" s="692"/>
      <c r="CD336" s="692">
        <f t="shared" si="116"/>
        <v>4</v>
      </c>
      <c r="CE336" s="692"/>
      <c r="CF336" s="692"/>
      <c r="CG336" s="692"/>
      <c r="CH336" s="692"/>
      <c r="CI336" s="692"/>
      <c r="CJ336" s="692"/>
      <c r="CK336" s="692"/>
      <c r="CL336" s="692"/>
      <c r="CM336" s="692"/>
      <c r="CN336" s="692"/>
      <c r="CO336" s="692"/>
      <c r="CP336" s="692"/>
      <c r="CQ336" s="692"/>
      <c r="CR336" s="692"/>
      <c r="CS336" s="692"/>
      <c r="CT336" s="692"/>
      <c r="CU336" s="692"/>
      <c r="CV336" s="692"/>
      <c r="CW336" s="692"/>
      <c r="CX336" s="694"/>
      <c r="CY336" s="694"/>
      <c r="CZ336" s="694"/>
      <c r="DA336" s="694"/>
      <c r="DB336" s="694"/>
      <c r="DC336" s="694"/>
      <c r="DD336" s="694"/>
      <c r="DE336" s="694"/>
      <c r="DF336" s="694"/>
      <c r="DG336" s="695"/>
      <c r="DH336" s="695"/>
      <c r="DI336" s="695"/>
      <c r="DJ336" s="695"/>
      <c r="DK336" s="695"/>
      <c r="DL336" s="695"/>
      <c r="DM336" s="695"/>
      <c r="DN336" s="695"/>
      <c r="DO336" s="695"/>
      <c r="DP336" s="695"/>
      <c r="DQ336" s="695"/>
      <c r="DR336" s="695"/>
      <c r="DS336" s="694"/>
      <c r="DT336" s="694"/>
      <c r="DU336" s="694"/>
      <c r="DV336" s="694"/>
      <c r="DW336" s="694"/>
      <c r="DX336" s="694"/>
      <c r="DY336" s="694"/>
      <c r="DZ336" s="694"/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4"/>
      <c r="FH336" s="694"/>
      <c r="FI336" s="694"/>
      <c r="FJ336" s="694"/>
      <c r="FK336" s="694"/>
      <c r="FL336" s="694"/>
      <c r="FM336" s="694"/>
      <c r="FN336" s="694"/>
      <c r="FO336" s="694"/>
      <c r="FP336" s="694"/>
      <c r="FQ336" s="697"/>
    </row>
    <row r="337" spans="1:173" s="696" customFormat="1">
      <c r="A337" s="690"/>
      <c r="B337" s="690"/>
      <c r="C337" s="691" t="s">
        <v>3638</v>
      </c>
      <c r="D337" s="691"/>
      <c r="E337" s="692">
        <v>38</v>
      </c>
      <c r="F337" s="692"/>
      <c r="G337" s="692"/>
      <c r="H337" s="692"/>
      <c r="I337" s="692"/>
      <c r="J337" s="692"/>
      <c r="K337" s="692"/>
      <c r="L337" s="692"/>
      <c r="M337" s="692"/>
      <c r="N337" s="692"/>
      <c r="O337" s="692">
        <f t="shared" si="117"/>
        <v>38</v>
      </c>
      <c r="P337" s="692"/>
      <c r="Q337" s="692"/>
      <c r="R337" s="693"/>
      <c r="S337" s="693"/>
      <c r="T337" s="692"/>
      <c r="U337" s="692" t="s">
        <v>3718</v>
      </c>
      <c r="V337" s="692"/>
      <c r="W337" s="692"/>
      <c r="X337" s="692"/>
      <c r="Y337" s="692"/>
      <c r="Z337" s="692"/>
      <c r="AA337" s="692"/>
      <c r="AB337" s="692"/>
      <c r="AC337" s="692"/>
      <c r="AD337" s="692"/>
      <c r="AE337" s="725"/>
      <c r="AF337" s="957"/>
      <c r="AG337" s="692"/>
      <c r="AH337" s="692"/>
      <c r="AI337" s="692"/>
      <c r="AJ337" s="692"/>
      <c r="AK337" s="692"/>
      <c r="AL337" s="692"/>
      <c r="AM337" s="692"/>
      <c r="AN337" s="692"/>
      <c r="AO337" s="692"/>
      <c r="AP337" s="692"/>
      <c r="AQ337" s="692"/>
      <c r="AR337" s="692"/>
      <c r="AS337" s="692"/>
      <c r="AT337" s="692"/>
      <c r="AU337" s="692">
        <v>1</v>
      </c>
      <c r="AV337" s="692"/>
      <c r="AW337" s="692"/>
      <c r="AX337" s="692"/>
      <c r="AY337" s="692"/>
      <c r="AZ337" s="692">
        <f t="shared" si="112"/>
        <v>1</v>
      </c>
      <c r="BA337" s="692"/>
      <c r="BB337" s="692"/>
      <c r="BC337" s="692"/>
      <c r="BD337" s="692">
        <v>3</v>
      </c>
      <c r="BE337" s="692"/>
      <c r="BF337" s="692"/>
      <c r="BG337" s="692"/>
      <c r="BH337" s="692"/>
      <c r="BI337" s="692">
        <f t="shared" si="113"/>
        <v>7</v>
      </c>
      <c r="BJ337" s="692"/>
      <c r="BK337" s="692"/>
      <c r="BL337" s="692"/>
      <c r="BM337" s="692"/>
      <c r="BN337" s="692"/>
      <c r="BO337" s="692"/>
      <c r="BP337" s="692"/>
      <c r="BQ337" s="692">
        <f t="shared" si="114"/>
        <v>0</v>
      </c>
      <c r="BR337" s="692"/>
      <c r="BS337" s="692">
        <f t="shared" si="115"/>
        <v>0</v>
      </c>
      <c r="BT337" s="692"/>
      <c r="BU337" s="692"/>
      <c r="BV337" s="692"/>
      <c r="BW337" s="692"/>
      <c r="BX337" s="692">
        <v>3</v>
      </c>
      <c r="BY337" s="692"/>
      <c r="BZ337" s="692"/>
      <c r="CA337" s="692"/>
      <c r="CB337" s="692">
        <v>1</v>
      </c>
      <c r="CC337" s="692"/>
      <c r="CD337" s="692">
        <f t="shared" si="116"/>
        <v>4</v>
      </c>
      <c r="CE337" s="692"/>
      <c r="CF337" s="692"/>
      <c r="CG337" s="692"/>
      <c r="CH337" s="692"/>
      <c r="CI337" s="692"/>
      <c r="CJ337" s="692"/>
      <c r="CK337" s="692"/>
      <c r="CL337" s="692"/>
      <c r="CM337" s="692">
        <v>8</v>
      </c>
      <c r="CN337" s="692"/>
      <c r="CO337" s="692"/>
      <c r="CP337" s="692"/>
      <c r="CQ337" s="692"/>
      <c r="CR337" s="692"/>
      <c r="CS337" s="692"/>
      <c r="CT337" s="692"/>
      <c r="CU337" s="692"/>
      <c r="CV337" s="692"/>
      <c r="CW337" s="692"/>
      <c r="CX337" s="694"/>
      <c r="CY337" s="694"/>
      <c r="CZ337" s="694"/>
      <c r="DA337" s="694"/>
      <c r="DB337" s="694"/>
      <c r="DC337" s="694"/>
      <c r="DD337" s="694"/>
      <c r="DE337" s="694"/>
      <c r="DF337" s="694"/>
      <c r="DG337" s="695"/>
      <c r="DH337" s="695"/>
      <c r="DI337" s="695"/>
      <c r="DJ337" s="695"/>
      <c r="DK337" s="695"/>
      <c r="DL337" s="695"/>
      <c r="DM337" s="695"/>
      <c r="DN337" s="695"/>
      <c r="DO337" s="695"/>
      <c r="DP337" s="695"/>
      <c r="DQ337" s="695"/>
      <c r="DR337" s="695"/>
      <c r="DS337" s="694"/>
      <c r="DT337" s="694"/>
      <c r="DU337" s="694"/>
      <c r="DV337" s="694"/>
      <c r="DW337" s="694"/>
      <c r="DX337" s="694"/>
      <c r="DY337" s="694"/>
      <c r="DZ337" s="694"/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4"/>
      <c r="FH337" s="694"/>
      <c r="FI337" s="694"/>
      <c r="FJ337" s="694"/>
      <c r="FK337" s="694"/>
      <c r="FL337" s="694"/>
      <c r="FM337" s="694"/>
      <c r="FN337" s="694"/>
      <c r="FO337" s="694"/>
      <c r="FP337" s="694"/>
      <c r="FQ337" s="697"/>
    </row>
    <row r="338" spans="1:173" s="696" customFormat="1">
      <c r="A338" s="690"/>
      <c r="B338" s="690"/>
      <c r="C338" s="691" t="s">
        <v>3639</v>
      </c>
      <c r="D338" s="691"/>
      <c r="E338" s="692">
        <v>29.7</v>
      </c>
      <c r="F338" s="692"/>
      <c r="G338" s="692"/>
      <c r="H338" s="692"/>
      <c r="I338" s="692"/>
      <c r="J338" s="692"/>
      <c r="K338" s="692"/>
      <c r="L338" s="692"/>
      <c r="M338" s="692"/>
      <c r="N338" s="692"/>
      <c r="O338" s="692">
        <f t="shared" si="117"/>
        <v>29.7</v>
      </c>
      <c r="P338" s="692"/>
      <c r="Q338" s="692"/>
      <c r="R338" s="693"/>
      <c r="S338" s="693"/>
      <c r="T338" s="692"/>
      <c r="U338" s="692" t="s">
        <v>3718</v>
      </c>
      <c r="V338" s="692"/>
      <c r="W338" s="692"/>
      <c r="X338" s="692"/>
      <c r="Y338" s="692"/>
      <c r="Z338" s="692"/>
      <c r="AA338" s="692"/>
      <c r="AB338" s="692"/>
      <c r="AC338" s="692"/>
      <c r="AD338" s="692"/>
      <c r="AE338" s="725"/>
      <c r="AF338" s="957"/>
      <c r="AG338" s="692"/>
      <c r="AH338" s="692"/>
      <c r="AI338" s="692"/>
      <c r="AJ338" s="692"/>
      <c r="AK338" s="692"/>
      <c r="AL338" s="692"/>
      <c r="AM338" s="692"/>
      <c r="AN338" s="692"/>
      <c r="AO338" s="692"/>
      <c r="AP338" s="692"/>
      <c r="AQ338" s="692"/>
      <c r="AR338" s="692"/>
      <c r="AS338" s="692"/>
      <c r="AT338" s="692"/>
      <c r="AU338" s="692"/>
      <c r="AV338" s="692"/>
      <c r="AW338" s="692">
        <v>1</v>
      </c>
      <c r="AX338" s="692"/>
      <c r="AY338" s="692"/>
      <c r="AZ338" s="692">
        <f t="shared" si="112"/>
        <v>2</v>
      </c>
      <c r="BA338" s="692"/>
      <c r="BB338" s="692"/>
      <c r="BC338" s="692"/>
      <c r="BD338" s="692">
        <v>2</v>
      </c>
      <c r="BE338" s="692"/>
      <c r="BF338" s="692">
        <v>1</v>
      </c>
      <c r="BG338" s="692"/>
      <c r="BH338" s="692"/>
      <c r="BI338" s="692">
        <f t="shared" si="113"/>
        <v>5</v>
      </c>
      <c r="BJ338" s="692"/>
      <c r="BK338" s="692"/>
      <c r="BL338" s="692"/>
      <c r="BM338" s="692"/>
      <c r="BN338" s="692"/>
      <c r="BO338" s="692"/>
      <c r="BP338" s="692"/>
      <c r="BQ338" s="692">
        <f t="shared" si="114"/>
        <v>0</v>
      </c>
      <c r="BR338" s="692"/>
      <c r="BS338" s="692">
        <f t="shared" si="115"/>
        <v>0</v>
      </c>
      <c r="BT338" s="692"/>
      <c r="BU338" s="692"/>
      <c r="BV338" s="692"/>
      <c r="BW338" s="692"/>
      <c r="BX338" s="692">
        <v>3</v>
      </c>
      <c r="BY338" s="692"/>
      <c r="BZ338" s="692"/>
      <c r="CA338" s="692"/>
      <c r="CB338" s="692">
        <v>1</v>
      </c>
      <c r="CC338" s="692"/>
      <c r="CD338" s="692">
        <f t="shared" si="116"/>
        <v>4</v>
      </c>
      <c r="CE338" s="692"/>
      <c r="CF338" s="692"/>
      <c r="CG338" s="692"/>
      <c r="CH338" s="692"/>
      <c r="CI338" s="692"/>
      <c r="CJ338" s="692"/>
      <c r="CK338" s="692"/>
      <c r="CL338" s="692"/>
      <c r="CM338" s="692">
        <v>8</v>
      </c>
      <c r="CN338" s="692"/>
      <c r="CO338" s="692"/>
      <c r="CP338" s="692"/>
      <c r="CQ338" s="692"/>
      <c r="CR338" s="692"/>
      <c r="CS338" s="692"/>
      <c r="CT338" s="692"/>
      <c r="CU338" s="692"/>
      <c r="CV338" s="692"/>
      <c r="CW338" s="692"/>
      <c r="CX338" s="694"/>
      <c r="CY338" s="694"/>
      <c r="CZ338" s="694"/>
      <c r="DA338" s="694"/>
      <c r="DB338" s="694"/>
      <c r="DC338" s="694"/>
      <c r="DD338" s="694"/>
      <c r="DE338" s="694"/>
      <c r="DF338" s="694"/>
      <c r="DG338" s="695"/>
      <c r="DH338" s="695"/>
      <c r="DI338" s="695"/>
      <c r="DJ338" s="695"/>
      <c r="DK338" s="695"/>
      <c r="DL338" s="695"/>
      <c r="DM338" s="695"/>
      <c r="DN338" s="695"/>
      <c r="DO338" s="695"/>
      <c r="DP338" s="695"/>
      <c r="DQ338" s="695"/>
      <c r="DR338" s="695"/>
      <c r="DS338" s="694"/>
      <c r="DT338" s="694"/>
      <c r="DU338" s="694"/>
      <c r="DV338" s="694"/>
      <c r="DW338" s="694"/>
      <c r="DX338" s="694"/>
      <c r="DY338" s="694"/>
      <c r="DZ338" s="694"/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/>
      <c r="FB338" s="694"/>
      <c r="FC338" s="694"/>
      <c r="FD338" s="694"/>
      <c r="FE338" s="694"/>
      <c r="FF338" s="694"/>
      <c r="FG338" s="694"/>
      <c r="FH338" s="694"/>
      <c r="FI338" s="694"/>
      <c r="FJ338" s="694"/>
      <c r="FK338" s="694"/>
      <c r="FL338" s="694"/>
      <c r="FM338" s="694"/>
      <c r="FN338" s="694"/>
      <c r="FO338" s="694"/>
      <c r="FP338" s="694"/>
      <c r="FQ338" s="697"/>
    </row>
    <row r="339" spans="1:173" s="696" customFormat="1">
      <c r="A339" s="690"/>
      <c r="B339" s="690"/>
      <c r="C339" s="691" t="s">
        <v>3640</v>
      </c>
      <c r="D339" s="691"/>
      <c r="E339" s="692">
        <v>38.5</v>
      </c>
      <c r="F339" s="692"/>
      <c r="G339" s="692"/>
      <c r="H339" s="692"/>
      <c r="I339" s="692"/>
      <c r="J339" s="692"/>
      <c r="K339" s="692"/>
      <c r="L339" s="692"/>
      <c r="M339" s="692"/>
      <c r="N339" s="692"/>
      <c r="O339" s="692">
        <f t="shared" si="117"/>
        <v>38.5</v>
      </c>
      <c r="P339" s="692"/>
      <c r="Q339" s="692"/>
      <c r="R339" s="693"/>
      <c r="S339" s="693"/>
      <c r="T339" s="692"/>
      <c r="U339" s="692" t="s">
        <v>1903</v>
      </c>
      <c r="V339" s="692"/>
      <c r="W339" s="692"/>
      <c r="X339" s="692"/>
      <c r="Y339" s="692"/>
      <c r="Z339" s="692"/>
      <c r="AA339" s="692"/>
      <c r="AB339" s="692"/>
      <c r="AC339" s="692"/>
      <c r="AD339" s="692"/>
      <c r="AE339" s="725"/>
      <c r="AF339" s="957"/>
      <c r="AG339" s="692"/>
      <c r="AH339" s="692"/>
      <c r="AI339" s="692"/>
      <c r="AJ339" s="692"/>
      <c r="AK339" s="692"/>
      <c r="AL339" s="692"/>
      <c r="AM339" s="692"/>
      <c r="AN339" s="692"/>
      <c r="AO339" s="692"/>
      <c r="AP339" s="692"/>
      <c r="AQ339" s="692"/>
      <c r="AR339" s="692"/>
      <c r="AS339" s="692"/>
      <c r="AT339" s="692"/>
      <c r="AU339" s="692"/>
      <c r="AV339" s="692"/>
      <c r="AW339" s="692">
        <v>1</v>
      </c>
      <c r="AX339" s="692"/>
      <c r="AY339" s="692"/>
      <c r="AZ339" s="692"/>
      <c r="BA339" s="692">
        <v>2</v>
      </c>
      <c r="BB339" s="692"/>
      <c r="BC339" s="692"/>
      <c r="BD339" s="692"/>
      <c r="BE339" s="692">
        <v>1</v>
      </c>
      <c r="BF339" s="692"/>
      <c r="BG339" s="692"/>
      <c r="BH339" s="692"/>
      <c r="BI339" s="692">
        <f t="shared" si="113"/>
        <v>5</v>
      </c>
      <c r="BJ339" s="692"/>
      <c r="BK339" s="692"/>
      <c r="BL339" s="692"/>
      <c r="BM339" s="692"/>
      <c r="BN339" s="692"/>
      <c r="BO339" s="692"/>
      <c r="BP339" s="692"/>
      <c r="BQ339" s="692">
        <f t="shared" si="114"/>
        <v>1</v>
      </c>
      <c r="BR339" s="692"/>
      <c r="BS339" s="692">
        <f t="shared" si="115"/>
        <v>2</v>
      </c>
      <c r="BT339" s="692"/>
      <c r="BU339" s="692"/>
      <c r="BV339" s="692"/>
      <c r="BW339" s="692"/>
      <c r="BX339" s="692"/>
      <c r="BY339" s="692"/>
      <c r="BZ339" s="692"/>
      <c r="CA339" s="692"/>
      <c r="CB339" s="692">
        <v>1</v>
      </c>
      <c r="CC339" s="692"/>
      <c r="CD339" s="692">
        <f t="shared" si="116"/>
        <v>4</v>
      </c>
      <c r="CE339" s="692"/>
      <c r="CF339" s="692"/>
      <c r="CG339" s="692"/>
      <c r="CH339" s="692"/>
      <c r="CI339" s="692"/>
      <c r="CJ339" s="692"/>
      <c r="CK339" s="692"/>
      <c r="CL339" s="692"/>
      <c r="CM339" s="692"/>
      <c r="CN339" s="692"/>
      <c r="CO339" s="692"/>
      <c r="CP339" s="692"/>
      <c r="CQ339" s="692"/>
      <c r="CR339" s="692"/>
      <c r="CS339" s="692"/>
      <c r="CT339" s="692"/>
      <c r="CU339" s="692"/>
      <c r="CV339" s="692"/>
      <c r="CW339" s="692"/>
      <c r="CX339" s="694"/>
      <c r="CY339" s="694"/>
      <c r="CZ339" s="694"/>
      <c r="DA339" s="694"/>
      <c r="DB339" s="694"/>
      <c r="DC339" s="694"/>
      <c r="DD339" s="694"/>
      <c r="DE339" s="694"/>
      <c r="DF339" s="694"/>
      <c r="DG339" s="695"/>
      <c r="DH339" s="695"/>
      <c r="DI339" s="695"/>
      <c r="DJ339" s="695"/>
      <c r="DK339" s="695"/>
      <c r="DL339" s="695"/>
      <c r="DM339" s="695"/>
      <c r="DN339" s="695"/>
      <c r="DO339" s="695"/>
      <c r="DP339" s="695"/>
      <c r="DQ339" s="695"/>
      <c r="DR339" s="695"/>
      <c r="DS339" s="694"/>
      <c r="DT339" s="694"/>
      <c r="DU339" s="694"/>
      <c r="DV339" s="694"/>
      <c r="DW339" s="694"/>
      <c r="DX339" s="694"/>
      <c r="DY339" s="694"/>
      <c r="DZ339" s="694"/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4"/>
      <c r="FH339" s="694"/>
      <c r="FI339" s="694"/>
      <c r="FJ339" s="694"/>
      <c r="FK339" s="694"/>
      <c r="FL339" s="694"/>
      <c r="FM339" s="694"/>
      <c r="FN339" s="694"/>
      <c r="FO339" s="694"/>
      <c r="FP339" s="694"/>
      <c r="FQ339" s="697"/>
    </row>
    <row r="340" spans="1:173" s="696" customFormat="1">
      <c r="A340" s="690"/>
      <c r="B340" s="690"/>
      <c r="C340" s="691" t="s">
        <v>3815</v>
      </c>
      <c r="D340" s="691"/>
      <c r="E340" s="692"/>
      <c r="F340" s="692"/>
      <c r="G340" s="692"/>
      <c r="H340" s="692"/>
      <c r="I340" s="692"/>
      <c r="J340" s="692"/>
      <c r="K340" s="692"/>
      <c r="L340" s="692"/>
      <c r="M340" s="692"/>
      <c r="N340" s="692"/>
      <c r="O340" s="692"/>
      <c r="P340" s="692"/>
      <c r="Q340" s="692"/>
      <c r="R340" s="693"/>
      <c r="S340" s="693"/>
      <c r="T340" s="692"/>
      <c r="U340" s="692" t="s">
        <v>1631</v>
      </c>
      <c r="V340" s="692"/>
      <c r="W340" s="692"/>
      <c r="X340" s="692"/>
      <c r="Y340" s="692"/>
      <c r="Z340" s="692"/>
      <c r="AA340" s="692"/>
      <c r="AB340" s="692"/>
      <c r="AC340" s="692"/>
      <c r="AD340" s="692"/>
      <c r="AE340" s="725"/>
      <c r="AF340" s="957"/>
      <c r="AG340" s="692"/>
      <c r="AH340" s="692"/>
      <c r="AI340" s="692"/>
      <c r="AJ340" s="692"/>
      <c r="AK340" s="692"/>
      <c r="AL340" s="692"/>
      <c r="AM340" s="692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>
        <v>1</v>
      </c>
      <c r="AX340" s="692"/>
      <c r="AY340" s="692"/>
      <c r="AZ340" s="692">
        <f t="shared" si="112"/>
        <v>2</v>
      </c>
      <c r="BA340" s="692"/>
      <c r="BB340" s="692"/>
      <c r="BC340" s="692"/>
      <c r="BD340" s="692">
        <v>1</v>
      </c>
      <c r="BE340" s="692"/>
      <c r="BF340" s="692"/>
      <c r="BG340" s="692"/>
      <c r="BH340" s="692"/>
      <c r="BI340" s="692">
        <f t="shared" si="113"/>
        <v>5</v>
      </c>
      <c r="BJ340" s="692"/>
      <c r="BK340" s="692"/>
      <c r="BL340" s="692"/>
      <c r="BM340" s="692"/>
      <c r="BN340" s="692"/>
      <c r="BO340" s="692"/>
      <c r="BP340" s="692"/>
      <c r="BQ340" s="692">
        <f t="shared" si="114"/>
        <v>0</v>
      </c>
      <c r="BR340" s="692"/>
      <c r="BS340" s="692">
        <f t="shared" si="115"/>
        <v>1</v>
      </c>
      <c r="BT340" s="692"/>
      <c r="BU340" s="692"/>
      <c r="BV340" s="692"/>
      <c r="BW340" s="692"/>
      <c r="BX340" s="692"/>
      <c r="BY340" s="692"/>
      <c r="BZ340" s="692"/>
      <c r="CA340" s="692"/>
      <c r="CB340" s="692">
        <v>1</v>
      </c>
      <c r="CC340" s="692"/>
      <c r="CD340" s="692">
        <f t="shared" si="116"/>
        <v>4</v>
      </c>
      <c r="CE340" s="692"/>
      <c r="CF340" s="692"/>
      <c r="CG340" s="692"/>
      <c r="CH340" s="692"/>
      <c r="CI340" s="692"/>
      <c r="CJ340" s="692"/>
      <c r="CK340" s="692"/>
      <c r="CL340" s="692"/>
      <c r="CM340" s="692"/>
      <c r="CN340" s="692"/>
      <c r="CO340" s="692"/>
      <c r="CP340" s="692"/>
      <c r="CQ340" s="692"/>
      <c r="CR340" s="692"/>
      <c r="CS340" s="692"/>
      <c r="CT340" s="692"/>
      <c r="CU340" s="692"/>
      <c r="CV340" s="692"/>
      <c r="CW340" s="692"/>
      <c r="CX340" s="694"/>
      <c r="CY340" s="694"/>
      <c r="CZ340" s="694"/>
      <c r="DA340" s="694"/>
      <c r="DB340" s="694"/>
      <c r="DC340" s="694"/>
      <c r="DD340" s="694"/>
      <c r="DE340" s="694"/>
      <c r="DF340" s="694"/>
      <c r="DG340" s="695"/>
      <c r="DH340" s="695"/>
      <c r="DI340" s="695"/>
      <c r="DJ340" s="695"/>
      <c r="DK340" s="695"/>
      <c r="DL340" s="695"/>
      <c r="DM340" s="695"/>
      <c r="DN340" s="695"/>
      <c r="DO340" s="695"/>
      <c r="DP340" s="695"/>
      <c r="DQ340" s="695"/>
      <c r="DR340" s="695"/>
      <c r="DS340" s="694"/>
      <c r="DT340" s="694"/>
      <c r="DU340" s="694"/>
      <c r="DV340" s="694"/>
      <c r="DW340" s="694"/>
      <c r="DX340" s="694"/>
      <c r="DY340" s="694"/>
      <c r="DZ340" s="694"/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4"/>
      <c r="FH340" s="694"/>
      <c r="FI340" s="694"/>
      <c r="FJ340" s="694"/>
      <c r="FK340" s="694"/>
      <c r="FL340" s="694"/>
      <c r="FM340" s="694"/>
      <c r="FN340" s="694"/>
      <c r="FO340" s="694"/>
      <c r="FP340" s="694"/>
      <c r="FQ340" s="697"/>
    </row>
    <row r="341" spans="1:173" s="696" customFormat="1">
      <c r="A341" s="690"/>
      <c r="B341" s="690"/>
      <c r="C341" s="691" t="s">
        <v>3641</v>
      </c>
      <c r="D341" s="691"/>
      <c r="E341" s="692">
        <v>37</v>
      </c>
      <c r="F341" s="692"/>
      <c r="G341" s="692"/>
      <c r="H341" s="692"/>
      <c r="I341" s="692"/>
      <c r="J341" s="692"/>
      <c r="K341" s="692"/>
      <c r="L341" s="692"/>
      <c r="M341" s="692"/>
      <c r="N341" s="692"/>
      <c r="O341" s="692">
        <f t="shared" si="117"/>
        <v>37</v>
      </c>
      <c r="P341" s="692"/>
      <c r="Q341" s="692"/>
      <c r="R341" s="693"/>
      <c r="S341" s="693"/>
      <c r="T341" s="692"/>
      <c r="U341" s="692" t="s">
        <v>2989</v>
      </c>
      <c r="V341" s="692"/>
      <c r="W341" s="692"/>
      <c r="X341" s="692"/>
      <c r="Y341" s="692"/>
      <c r="Z341" s="692"/>
      <c r="AA341" s="692"/>
      <c r="AB341" s="692"/>
      <c r="AC341" s="692"/>
      <c r="AD341" s="692"/>
      <c r="AE341" s="725"/>
      <c r="AF341" s="957"/>
      <c r="AG341" s="692"/>
      <c r="AH341" s="692"/>
      <c r="AI341" s="692"/>
      <c r="AJ341" s="692"/>
      <c r="AK341" s="692"/>
      <c r="AL341" s="692"/>
      <c r="AM341" s="692"/>
      <c r="AN341" s="692"/>
      <c r="AO341" s="692"/>
      <c r="AP341" s="692"/>
      <c r="AQ341" s="692"/>
      <c r="AR341" s="692"/>
      <c r="AS341" s="692"/>
      <c r="AT341" s="692"/>
      <c r="AU341" s="692"/>
      <c r="AV341" s="692"/>
      <c r="AW341" s="692">
        <v>1</v>
      </c>
      <c r="AX341" s="692"/>
      <c r="AY341" s="692"/>
      <c r="AZ341" s="692">
        <f t="shared" si="112"/>
        <v>1</v>
      </c>
      <c r="BA341" s="692"/>
      <c r="BB341" s="692"/>
      <c r="BC341" s="692"/>
      <c r="BD341" s="692"/>
      <c r="BE341" s="692">
        <v>2</v>
      </c>
      <c r="BF341" s="692"/>
      <c r="BG341" s="692"/>
      <c r="BH341" s="692"/>
      <c r="BI341" s="692">
        <f t="shared" si="113"/>
        <v>0</v>
      </c>
      <c r="BJ341" s="692"/>
      <c r="BK341" s="692"/>
      <c r="BL341" s="692"/>
      <c r="BM341" s="692"/>
      <c r="BN341" s="692"/>
      <c r="BO341" s="692"/>
      <c r="BP341" s="692"/>
      <c r="BQ341" s="692">
        <f t="shared" si="114"/>
        <v>0</v>
      </c>
      <c r="BR341" s="692"/>
      <c r="BS341" s="692">
        <f t="shared" si="115"/>
        <v>0</v>
      </c>
      <c r="BT341" s="692"/>
      <c r="BU341" s="692"/>
      <c r="BV341" s="692"/>
      <c r="BW341" s="692"/>
      <c r="BX341" s="692">
        <v>2</v>
      </c>
      <c r="BY341" s="692"/>
      <c r="BZ341" s="692"/>
      <c r="CA341" s="692"/>
      <c r="CB341" s="692"/>
      <c r="CC341" s="692"/>
      <c r="CD341" s="692">
        <f t="shared" si="116"/>
        <v>0</v>
      </c>
      <c r="CE341" s="692">
        <v>6</v>
      </c>
      <c r="CF341" s="692"/>
      <c r="CG341" s="692">
        <v>12</v>
      </c>
      <c r="CH341" s="692"/>
      <c r="CI341" s="692">
        <v>8</v>
      </c>
      <c r="CJ341" s="692"/>
      <c r="CK341" s="692"/>
      <c r="CL341" s="692"/>
      <c r="CM341" s="692"/>
      <c r="CN341" s="692"/>
      <c r="CO341" s="692">
        <v>8</v>
      </c>
      <c r="CP341" s="692"/>
      <c r="CQ341" s="692"/>
      <c r="CR341" s="692"/>
      <c r="CS341" s="692"/>
      <c r="CT341" s="692"/>
      <c r="CU341" s="692">
        <v>2</v>
      </c>
      <c r="CV341" s="692"/>
      <c r="CW341" s="692"/>
      <c r="CX341" s="694"/>
      <c r="CY341" s="694"/>
      <c r="CZ341" s="694"/>
      <c r="DA341" s="694"/>
      <c r="DB341" s="694"/>
      <c r="DC341" s="694"/>
      <c r="DD341" s="694"/>
      <c r="DE341" s="694"/>
      <c r="DF341" s="694"/>
      <c r="DG341" s="695"/>
      <c r="DH341" s="695"/>
      <c r="DI341" s="695"/>
      <c r="DJ341" s="695"/>
      <c r="DK341" s="695"/>
      <c r="DL341" s="695"/>
      <c r="DM341" s="695"/>
      <c r="DN341" s="695"/>
      <c r="DO341" s="695"/>
      <c r="DP341" s="695"/>
      <c r="DQ341" s="695"/>
      <c r="DR341" s="695"/>
      <c r="DS341" s="694"/>
      <c r="DT341" s="694"/>
      <c r="DU341" s="694"/>
      <c r="DV341" s="694"/>
      <c r="DW341" s="694"/>
      <c r="DX341" s="694"/>
      <c r="DY341" s="694"/>
      <c r="DZ341" s="694"/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4"/>
      <c r="FH341" s="694"/>
      <c r="FI341" s="694"/>
      <c r="FJ341" s="694"/>
      <c r="FK341" s="694"/>
      <c r="FL341" s="694"/>
      <c r="FM341" s="694"/>
      <c r="FN341" s="694"/>
      <c r="FO341" s="694"/>
      <c r="FP341" s="694"/>
      <c r="FQ341" s="697"/>
    </row>
    <row r="342" spans="1:173" s="696" customFormat="1">
      <c r="A342" s="690"/>
      <c r="B342" s="690"/>
      <c r="C342" s="691" t="s">
        <v>3647</v>
      </c>
      <c r="D342" s="691"/>
      <c r="E342" s="692">
        <v>40.299999999999997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>
        <f t="shared" si="117"/>
        <v>40.299999999999997</v>
      </c>
      <c r="P342" s="692"/>
      <c r="Q342" s="692"/>
      <c r="R342" s="693"/>
      <c r="S342" s="693"/>
      <c r="T342" s="692"/>
      <c r="U342" s="692" t="s">
        <v>1903</v>
      </c>
      <c r="V342" s="692"/>
      <c r="W342" s="692"/>
      <c r="X342" s="692"/>
      <c r="Y342" s="692"/>
      <c r="Z342" s="692"/>
      <c r="AA342" s="692"/>
      <c r="AB342" s="692"/>
      <c r="AC342" s="692"/>
      <c r="AD342" s="692"/>
      <c r="AE342" s="725"/>
      <c r="AF342" s="957"/>
      <c r="AG342" s="692"/>
      <c r="AH342" s="692"/>
      <c r="AI342" s="692"/>
      <c r="AJ342" s="692"/>
      <c r="AK342" s="692"/>
      <c r="AL342" s="692"/>
      <c r="AM342" s="692"/>
      <c r="AN342" s="692"/>
      <c r="AO342" s="692"/>
      <c r="AP342" s="692"/>
      <c r="AQ342" s="692"/>
      <c r="AR342" s="692"/>
      <c r="AS342" s="692"/>
      <c r="AT342" s="692"/>
      <c r="AU342" s="692"/>
      <c r="AV342" s="692"/>
      <c r="AW342" s="692">
        <v>1</v>
      </c>
      <c r="AX342" s="692"/>
      <c r="AY342" s="692"/>
      <c r="AZ342" s="692">
        <f t="shared" si="112"/>
        <v>2</v>
      </c>
      <c r="BA342" s="692"/>
      <c r="BB342" s="692"/>
      <c r="BC342" s="692"/>
      <c r="BD342" s="692">
        <v>1</v>
      </c>
      <c r="BE342" s="692"/>
      <c r="BF342" s="692"/>
      <c r="BG342" s="692"/>
      <c r="BH342" s="692"/>
      <c r="BI342" s="692">
        <f t="shared" si="113"/>
        <v>5</v>
      </c>
      <c r="BJ342" s="692"/>
      <c r="BK342" s="692"/>
      <c r="BL342" s="692"/>
      <c r="BM342" s="692"/>
      <c r="BN342" s="692"/>
      <c r="BO342" s="692"/>
      <c r="BP342" s="692"/>
      <c r="BQ342" s="692">
        <f t="shared" si="114"/>
        <v>1</v>
      </c>
      <c r="BR342" s="692"/>
      <c r="BS342" s="692">
        <f t="shared" si="115"/>
        <v>2</v>
      </c>
      <c r="BT342" s="692"/>
      <c r="BU342" s="692"/>
      <c r="BV342" s="692"/>
      <c r="BW342" s="692"/>
      <c r="BX342" s="692"/>
      <c r="BY342" s="692"/>
      <c r="BZ342" s="692"/>
      <c r="CA342" s="692"/>
      <c r="CB342" s="692">
        <v>1</v>
      </c>
      <c r="CC342" s="692"/>
      <c r="CD342" s="692">
        <f t="shared" si="116"/>
        <v>4</v>
      </c>
      <c r="CE342" s="692"/>
      <c r="CF342" s="692"/>
      <c r="CG342" s="692"/>
      <c r="CH342" s="692"/>
      <c r="CI342" s="692"/>
      <c r="CJ342" s="692"/>
      <c r="CK342" s="692"/>
      <c r="CL342" s="692"/>
      <c r="CM342" s="692"/>
      <c r="CN342" s="692"/>
      <c r="CO342" s="692"/>
      <c r="CP342" s="692"/>
      <c r="CQ342" s="692"/>
      <c r="CR342" s="692"/>
      <c r="CS342" s="692"/>
      <c r="CT342" s="692"/>
      <c r="CU342" s="692"/>
      <c r="CV342" s="692"/>
      <c r="CW342" s="692"/>
      <c r="CX342" s="694"/>
      <c r="CY342" s="694"/>
      <c r="CZ342" s="694"/>
      <c r="DA342" s="694"/>
      <c r="DB342" s="694"/>
      <c r="DC342" s="694"/>
      <c r="DD342" s="694"/>
      <c r="DE342" s="694"/>
      <c r="DF342" s="694"/>
      <c r="DG342" s="695"/>
      <c r="DH342" s="695"/>
      <c r="DI342" s="695"/>
      <c r="DJ342" s="695"/>
      <c r="DK342" s="695"/>
      <c r="DL342" s="695"/>
      <c r="DM342" s="695"/>
      <c r="DN342" s="695"/>
      <c r="DO342" s="695"/>
      <c r="DP342" s="695"/>
      <c r="DQ342" s="695"/>
      <c r="DR342" s="695"/>
      <c r="DS342" s="694"/>
      <c r="DT342" s="694"/>
      <c r="DU342" s="694"/>
      <c r="DV342" s="694"/>
      <c r="DW342" s="694"/>
      <c r="DX342" s="694"/>
      <c r="DY342" s="694"/>
      <c r="DZ342" s="694"/>
      <c r="EA342" s="694"/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4"/>
      <c r="FH342" s="694"/>
      <c r="FI342" s="694"/>
      <c r="FJ342" s="694"/>
      <c r="FK342" s="694"/>
      <c r="FL342" s="694"/>
      <c r="FM342" s="694"/>
      <c r="FN342" s="694"/>
      <c r="FO342" s="694"/>
      <c r="FP342" s="694"/>
      <c r="FQ342" s="697"/>
    </row>
    <row r="343" spans="1:173" s="696" customFormat="1">
      <c r="A343" s="690"/>
      <c r="B343" s="690"/>
      <c r="C343" s="691" t="s">
        <v>3648</v>
      </c>
      <c r="D343" s="691"/>
      <c r="E343" s="692">
        <v>41.9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>
        <f t="shared" si="117"/>
        <v>41.9</v>
      </c>
      <c r="P343" s="692"/>
      <c r="Q343" s="692"/>
      <c r="R343" s="693"/>
      <c r="S343" s="693"/>
      <c r="T343" s="692"/>
      <c r="U343" s="692" t="s">
        <v>2989</v>
      </c>
      <c r="V343" s="692">
        <v>2</v>
      </c>
      <c r="W343" s="692"/>
      <c r="X343" s="692"/>
      <c r="Y343" s="692"/>
      <c r="Z343" s="692"/>
      <c r="AA343" s="692"/>
      <c r="AB343" s="692"/>
      <c r="AC343" s="692"/>
      <c r="AD343" s="692"/>
      <c r="AE343" s="725"/>
      <c r="AF343" s="957">
        <v>1</v>
      </c>
      <c r="AG343" s="692"/>
      <c r="AH343" s="692"/>
      <c r="AI343" s="692"/>
      <c r="AJ343" s="692"/>
      <c r="AK343" s="692"/>
      <c r="AL343" s="692"/>
      <c r="AM343" s="692">
        <v>1</v>
      </c>
      <c r="AN343" s="692"/>
      <c r="AO343" s="692"/>
      <c r="AP343" s="692"/>
      <c r="AQ343" s="692"/>
      <c r="AR343" s="692"/>
      <c r="AS343" s="692"/>
      <c r="AT343" s="692"/>
      <c r="AU343" s="692">
        <v>1</v>
      </c>
      <c r="AV343" s="692"/>
      <c r="AW343" s="692">
        <v>1</v>
      </c>
      <c r="AX343" s="692"/>
      <c r="AY343" s="692"/>
      <c r="AZ343" s="692">
        <f t="shared" si="112"/>
        <v>2</v>
      </c>
      <c r="BA343" s="692"/>
      <c r="BB343" s="692"/>
      <c r="BC343" s="692"/>
      <c r="BD343" s="692">
        <v>1</v>
      </c>
      <c r="BE343" s="692"/>
      <c r="BF343" s="692">
        <v>1</v>
      </c>
      <c r="BG343" s="692"/>
      <c r="BH343" s="692"/>
      <c r="BI343" s="692">
        <f t="shared" si="113"/>
        <v>7</v>
      </c>
      <c r="BJ343" s="692"/>
      <c r="BK343" s="692"/>
      <c r="BL343" s="692"/>
      <c r="BM343" s="692"/>
      <c r="BN343" s="692"/>
      <c r="BO343" s="692"/>
      <c r="BP343" s="692"/>
      <c r="BQ343" s="692">
        <f t="shared" si="114"/>
        <v>0</v>
      </c>
      <c r="BR343" s="692"/>
      <c r="BS343" s="692">
        <f t="shared" si="115"/>
        <v>0</v>
      </c>
      <c r="BT343" s="692"/>
      <c r="BU343" s="692"/>
      <c r="BV343" s="692"/>
      <c r="BW343" s="692"/>
      <c r="BX343" s="692">
        <v>2</v>
      </c>
      <c r="BY343" s="692"/>
      <c r="BZ343" s="692"/>
      <c r="CA343" s="692"/>
      <c r="CB343" s="692">
        <v>1</v>
      </c>
      <c r="CC343" s="692"/>
      <c r="CD343" s="692">
        <f t="shared" si="116"/>
        <v>4</v>
      </c>
      <c r="CE343" s="692"/>
      <c r="CF343" s="692"/>
      <c r="CG343" s="692"/>
      <c r="CH343" s="692"/>
      <c r="CI343" s="692"/>
      <c r="CJ343" s="692"/>
      <c r="CK343" s="692"/>
      <c r="CL343" s="692"/>
      <c r="CM343" s="692"/>
      <c r="CN343" s="692"/>
      <c r="CO343" s="692"/>
      <c r="CP343" s="692"/>
      <c r="CQ343" s="692"/>
      <c r="CR343" s="692"/>
      <c r="CS343" s="692"/>
      <c r="CT343" s="692"/>
      <c r="CU343" s="692"/>
      <c r="CV343" s="692"/>
      <c r="CW343" s="692"/>
      <c r="CX343" s="694"/>
      <c r="CY343" s="694"/>
      <c r="CZ343" s="694"/>
      <c r="DA343" s="694"/>
      <c r="DB343" s="694"/>
      <c r="DC343" s="694"/>
      <c r="DD343" s="694"/>
      <c r="DE343" s="694"/>
      <c r="DF343" s="694"/>
      <c r="DG343" s="695"/>
      <c r="DH343" s="695"/>
      <c r="DI343" s="695"/>
      <c r="DJ343" s="695"/>
      <c r="DK343" s="695"/>
      <c r="DL343" s="695"/>
      <c r="DM343" s="695"/>
      <c r="DN343" s="695"/>
      <c r="DO343" s="695"/>
      <c r="DP343" s="695"/>
      <c r="DQ343" s="695"/>
      <c r="DR343" s="695"/>
      <c r="DS343" s="694"/>
      <c r="DT343" s="694"/>
      <c r="DU343" s="694"/>
      <c r="DV343" s="694"/>
      <c r="DW343" s="694"/>
      <c r="DX343" s="694"/>
      <c r="DY343" s="694"/>
      <c r="DZ343" s="694"/>
      <c r="EA343" s="694"/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4"/>
      <c r="FH343" s="694"/>
      <c r="FI343" s="694"/>
      <c r="FJ343" s="694"/>
      <c r="FK343" s="694"/>
      <c r="FL343" s="694"/>
      <c r="FM343" s="694"/>
      <c r="FN343" s="694"/>
      <c r="FO343" s="694"/>
      <c r="FP343" s="694"/>
      <c r="FQ343" s="693" t="s">
        <v>3990</v>
      </c>
    </row>
    <row r="344" spans="1:173" s="696" customFormat="1">
      <c r="A344" s="690"/>
      <c r="B344" s="690"/>
      <c r="C344" s="691" t="s">
        <v>3649</v>
      </c>
      <c r="D344" s="691"/>
      <c r="E344" s="692">
        <v>41.2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>
        <f t="shared" si="117"/>
        <v>41.2</v>
      </c>
      <c r="P344" s="692"/>
      <c r="Q344" s="692"/>
      <c r="R344" s="693"/>
      <c r="S344" s="693"/>
      <c r="T344" s="692"/>
      <c r="U344" s="692" t="s">
        <v>1631</v>
      </c>
      <c r="V344" s="692"/>
      <c r="W344" s="692"/>
      <c r="X344" s="692"/>
      <c r="Y344" s="692"/>
      <c r="Z344" s="692"/>
      <c r="AA344" s="692"/>
      <c r="AB344" s="692"/>
      <c r="AC344" s="692"/>
      <c r="AD344" s="692"/>
      <c r="AE344" s="725"/>
      <c r="AF344" s="957"/>
      <c r="AG344" s="692"/>
      <c r="AH344" s="692"/>
      <c r="AI344" s="692"/>
      <c r="AJ344" s="692"/>
      <c r="AK344" s="692"/>
      <c r="AL344" s="692"/>
      <c r="AM344" s="692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>
        <v>1</v>
      </c>
      <c r="AX344" s="692"/>
      <c r="AY344" s="692"/>
      <c r="AZ344" s="692">
        <f t="shared" si="112"/>
        <v>2</v>
      </c>
      <c r="BA344" s="692"/>
      <c r="BB344" s="692"/>
      <c r="BC344" s="692"/>
      <c r="BD344" s="692">
        <v>1</v>
      </c>
      <c r="BE344" s="692"/>
      <c r="BF344" s="692"/>
      <c r="BG344" s="692"/>
      <c r="BH344" s="692"/>
      <c r="BI344" s="692">
        <f t="shared" si="113"/>
        <v>5</v>
      </c>
      <c r="BJ344" s="692"/>
      <c r="BK344" s="692"/>
      <c r="BL344" s="692"/>
      <c r="BM344" s="692"/>
      <c r="BN344" s="692"/>
      <c r="BO344" s="692"/>
      <c r="BP344" s="692"/>
      <c r="BQ344" s="692">
        <f t="shared" si="114"/>
        <v>0</v>
      </c>
      <c r="BR344" s="692"/>
      <c r="BS344" s="692">
        <f t="shared" si="115"/>
        <v>1</v>
      </c>
      <c r="BT344" s="692"/>
      <c r="BU344" s="692"/>
      <c r="BV344" s="692"/>
      <c r="BW344" s="692"/>
      <c r="BX344" s="692"/>
      <c r="BY344" s="692"/>
      <c r="BZ344" s="692"/>
      <c r="CA344" s="692"/>
      <c r="CB344" s="692">
        <v>1</v>
      </c>
      <c r="CC344" s="692"/>
      <c r="CD344" s="692">
        <f t="shared" si="116"/>
        <v>4</v>
      </c>
      <c r="CE344" s="692"/>
      <c r="CF344" s="692"/>
      <c r="CG344" s="692"/>
      <c r="CH344" s="692"/>
      <c r="CI344" s="692"/>
      <c r="CJ344" s="692"/>
      <c r="CK344" s="692"/>
      <c r="CL344" s="692"/>
      <c r="CM344" s="692"/>
      <c r="CN344" s="692"/>
      <c r="CO344" s="692"/>
      <c r="CP344" s="692"/>
      <c r="CQ344" s="692"/>
      <c r="CR344" s="692"/>
      <c r="CS344" s="692"/>
      <c r="CT344" s="692"/>
      <c r="CU344" s="692"/>
      <c r="CV344" s="692"/>
      <c r="CW344" s="692"/>
      <c r="CX344" s="694"/>
      <c r="CY344" s="694"/>
      <c r="CZ344" s="694"/>
      <c r="DA344" s="694"/>
      <c r="DB344" s="694"/>
      <c r="DC344" s="694"/>
      <c r="DD344" s="694"/>
      <c r="DE344" s="694"/>
      <c r="DF344" s="694"/>
      <c r="DG344" s="695"/>
      <c r="DH344" s="695"/>
      <c r="DI344" s="695"/>
      <c r="DJ344" s="695"/>
      <c r="DK344" s="695"/>
      <c r="DL344" s="695"/>
      <c r="DM344" s="695"/>
      <c r="DN344" s="695"/>
      <c r="DO344" s="695"/>
      <c r="DP344" s="695"/>
      <c r="DQ344" s="695"/>
      <c r="DR344" s="695"/>
      <c r="DS344" s="694"/>
      <c r="DT344" s="694"/>
      <c r="DU344" s="694"/>
      <c r="DV344" s="694"/>
      <c r="DW344" s="694"/>
      <c r="DX344" s="694"/>
      <c r="DY344" s="694"/>
      <c r="DZ344" s="694"/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4"/>
      <c r="FH344" s="694"/>
      <c r="FI344" s="694"/>
      <c r="FJ344" s="694"/>
      <c r="FK344" s="694"/>
      <c r="FL344" s="694"/>
      <c r="FM344" s="694"/>
      <c r="FN344" s="694"/>
      <c r="FO344" s="694"/>
      <c r="FP344" s="694"/>
      <c r="FQ344" s="697"/>
    </row>
    <row r="345" spans="1:173" s="696" customFormat="1">
      <c r="A345" s="690"/>
      <c r="B345" s="690"/>
      <c r="C345" s="691" t="s">
        <v>3650</v>
      </c>
      <c r="D345" s="691"/>
      <c r="E345" s="692">
        <v>44.5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>
        <f t="shared" si="117"/>
        <v>44.5</v>
      </c>
      <c r="P345" s="692"/>
      <c r="Q345" s="692"/>
      <c r="R345" s="693"/>
      <c r="S345" s="693"/>
      <c r="T345" s="692"/>
      <c r="U345" s="692" t="s">
        <v>3718</v>
      </c>
      <c r="V345" s="692"/>
      <c r="W345" s="692"/>
      <c r="X345" s="692"/>
      <c r="Y345" s="692"/>
      <c r="Z345" s="692"/>
      <c r="AA345" s="692"/>
      <c r="AB345" s="692"/>
      <c r="AC345" s="692"/>
      <c r="AD345" s="692"/>
      <c r="AE345" s="725"/>
      <c r="AF345" s="957"/>
      <c r="AG345" s="692"/>
      <c r="AH345" s="692"/>
      <c r="AI345" s="692"/>
      <c r="AJ345" s="692"/>
      <c r="AK345" s="692"/>
      <c r="AL345" s="692"/>
      <c r="AM345" s="692"/>
      <c r="AN345" s="692"/>
      <c r="AO345" s="692"/>
      <c r="AP345" s="692"/>
      <c r="AQ345" s="692"/>
      <c r="AR345" s="692"/>
      <c r="AS345" s="692"/>
      <c r="AT345" s="692"/>
      <c r="AU345" s="692"/>
      <c r="AV345" s="692"/>
      <c r="AW345" s="692">
        <v>1</v>
      </c>
      <c r="AX345" s="692"/>
      <c r="AY345" s="692"/>
      <c r="AZ345" s="692">
        <f t="shared" si="112"/>
        <v>2</v>
      </c>
      <c r="BA345" s="692"/>
      <c r="BB345" s="692"/>
      <c r="BC345" s="692"/>
      <c r="BD345" s="692">
        <v>3</v>
      </c>
      <c r="BE345" s="692"/>
      <c r="BF345" s="692"/>
      <c r="BG345" s="692"/>
      <c r="BH345" s="692"/>
      <c r="BI345" s="692">
        <f t="shared" si="113"/>
        <v>5</v>
      </c>
      <c r="BJ345" s="692"/>
      <c r="BK345" s="692"/>
      <c r="BL345" s="692"/>
      <c r="BM345" s="692"/>
      <c r="BN345" s="692"/>
      <c r="BO345" s="692"/>
      <c r="BP345" s="692"/>
      <c r="BQ345" s="692">
        <f t="shared" si="114"/>
        <v>0</v>
      </c>
      <c r="BR345" s="692"/>
      <c r="BS345" s="692">
        <f t="shared" si="115"/>
        <v>0</v>
      </c>
      <c r="BT345" s="692"/>
      <c r="BU345" s="692"/>
      <c r="BV345" s="692"/>
      <c r="BW345" s="692"/>
      <c r="BX345" s="692">
        <v>3</v>
      </c>
      <c r="BY345" s="692"/>
      <c r="BZ345" s="692"/>
      <c r="CA345" s="692"/>
      <c r="CB345" s="692">
        <v>1</v>
      </c>
      <c r="CC345" s="692"/>
      <c r="CD345" s="692">
        <f t="shared" si="116"/>
        <v>4</v>
      </c>
      <c r="CE345" s="692"/>
      <c r="CF345" s="692"/>
      <c r="CG345" s="692"/>
      <c r="CH345" s="692"/>
      <c r="CI345" s="692"/>
      <c r="CJ345" s="692"/>
      <c r="CK345" s="692"/>
      <c r="CL345" s="692"/>
      <c r="CM345" s="692">
        <v>8</v>
      </c>
      <c r="CN345" s="692"/>
      <c r="CO345" s="692"/>
      <c r="CP345" s="692"/>
      <c r="CQ345" s="692"/>
      <c r="CR345" s="692"/>
      <c r="CS345" s="692"/>
      <c r="CT345" s="692"/>
      <c r="CU345" s="692"/>
      <c r="CV345" s="692"/>
      <c r="CW345" s="692"/>
      <c r="CX345" s="694"/>
      <c r="CY345" s="694"/>
      <c r="CZ345" s="694"/>
      <c r="DA345" s="694"/>
      <c r="DB345" s="694"/>
      <c r="DC345" s="694"/>
      <c r="DD345" s="694"/>
      <c r="DE345" s="694"/>
      <c r="DF345" s="694"/>
      <c r="DG345" s="695"/>
      <c r="DH345" s="695"/>
      <c r="DI345" s="695"/>
      <c r="DJ345" s="695"/>
      <c r="DK345" s="695"/>
      <c r="DL345" s="695"/>
      <c r="DM345" s="695"/>
      <c r="DN345" s="695"/>
      <c r="DO345" s="695"/>
      <c r="DP345" s="695"/>
      <c r="DQ345" s="695"/>
      <c r="DR345" s="695"/>
      <c r="DS345" s="694"/>
      <c r="DT345" s="694"/>
      <c r="DU345" s="694"/>
      <c r="DV345" s="694"/>
      <c r="DW345" s="694"/>
      <c r="DX345" s="694"/>
      <c r="DY345" s="694"/>
      <c r="DZ345" s="694"/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4"/>
      <c r="FH345" s="694"/>
      <c r="FI345" s="694"/>
      <c r="FJ345" s="694"/>
      <c r="FK345" s="694"/>
      <c r="FL345" s="694"/>
      <c r="FM345" s="694"/>
      <c r="FN345" s="694"/>
      <c r="FO345" s="694"/>
      <c r="FP345" s="694"/>
      <c r="FQ345" s="697"/>
    </row>
    <row r="346" spans="1:173" s="696" customFormat="1">
      <c r="A346" s="690"/>
      <c r="B346" s="690"/>
      <c r="C346" s="691" t="s">
        <v>3651</v>
      </c>
      <c r="D346" s="691"/>
      <c r="E346" s="692">
        <v>43.9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>
        <f t="shared" si="117"/>
        <v>43.9</v>
      </c>
      <c r="P346" s="692"/>
      <c r="Q346" s="692"/>
      <c r="R346" s="693"/>
      <c r="S346" s="693"/>
      <c r="T346" s="692"/>
      <c r="U346" s="692" t="s">
        <v>1903</v>
      </c>
      <c r="V346" s="692"/>
      <c r="W346" s="692"/>
      <c r="X346" s="692"/>
      <c r="Y346" s="692"/>
      <c r="Z346" s="692"/>
      <c r="AA346" s="692"/>
      <c r="AB346" s="692"/>
      <c r="AC346" s="692"/>
      <c r="AD346" s="692"/>
      <c r="AE346" s="725"/>
      <c r="AF346" s="957"/>
      <c r="AG346" s="692"/>
      <c r="AH346" s="692"/>
      <c r="AI346" s="692"/>
      <c r="AJ346" s="692"/>
      <c r="AK346" s="692"/>
      <c r="AL346" s="692"/>
      <c r="AM346" s="692"/>
      <c r="AN346" s="692"/>
      <c r="AO346" s="692"/>
      <c r="AP346" s="692"/>
      <c r="AQ346" s="692"/>
      <c r="AR346" s="692"/>
      <c r="AS346" s="692"/>
      <c r="AT346" s="692"/>
      <c r="AU346" s="692"/>
      <c r="AV346" s="692"/>
      <c r="AW346" s="692">
        <v>1</v>
      </c>
      <c r="AX346" s="692"/>
      <c r="AY346" s="692"/>
      <c r="AZ346" s="692">
        <f t="shared" si="112"/>
        <v>2</v>
      </c>
      <c r="BA346" s="692"/>
      <c r="BB346" s="692"/>
      <c r="BC346" s="692"/>
      <c r="BD346" s="692">
        <v>1</v>
      </c>
      <c r="BE346" s="692"/>
      <c r="BF346" s="692"/>
      <c r="BG346" s="692"/>
      <c r="BH346" s="692"/>
      <c r="BI346" s="692">
        <f t="shared" si="113"/>
        <v>5</v>
      </c>
      <c r="BJ346" s="692"/>
      <c r="BK346" s="692"/>
      <c r="BL346" s="692"/>
      <c r="BM346" s="692"/>
      <c r="BN346" s="692"/>
      <c r="BO346" s="692"/>
      <c r="BP346" s="692"/>
      <c r="BQ346" s="692">
        <f t="shared" si="114"/>
        <v>1</v>
      </c>
      <c r="BR346" s="692"/>
      <c r="BS346" s="692">
        <f t="shared" si="115"/>
        <v>2</v>
      </c>
      <c r="BT346" s="692"/>
      <c r="BU346" s="692"/>
      <c r="BV346" s="692"/>
      <c r="BW346" s="692"/>
      <c r="BX346" s="692"/>
      <c r="BY346" s="692"/>
      <c r="BZ346" s="692"/>
      <c r="CA346" s="692"/>
      <c r="CB346" s="692">
        <v>1</v>
      </c>
      <c r="CC346" s="692"/>
      <c r="CD346" s="692">
        <f t="shared" si="116"/>
        <v>4</v>
      </c>
      <c r="CE346" s="692"/>
      <c r="CF346" s="692"/>
      <c r="CG346" s="692"/>
      <c r="CH346" s="692"/>
      <c r="CI346" s="692"/>
      <c r="CJ346" s="692"/>
      <c r="CK346" s="692"/>
      <c r="CL346" s="692"/>
      <c r="CM346" s="692"/>
      <c r="CN346" s="692"/>
      <c r="CO346" s="692"/>
      <c r="CP346" s="692"/>
      <c r="CQ346" s="692"/>
      <c r="CR346" s="692"/>
      <c r="CS346" s="692"/>
      <c r="CT346" s="692"/>
      <c r="CU346" s="692"/>
      <c r="CV346" s="692"/>
      <c r="CW346" s="692"/>
      <c r="CX346" s="694"/>
      <c r="CY346" s="694"/>
      <c r="CZ346" s="694"/>
      <c r="DA346" s="694"/>
      <c r="DB346" s="694"/>
      <c r="DC346" s="694"/>
      <c r="DD346" s="694"/>
      <c r="DE346" s="694"/>
      <c r="DF346" s="694"/>
      <c r="DG346" s="695"/>
      <c r="DH346" s="695"/>
      <c r="DI346" s="695"/>
      <c r="DJ346" s="695"/>
      <c r="DK346" s="695"/>
      <c r="DL346" s="695"/>
      <c r="DM346" s="695"/>
      <c r="DN346" s="695"/>
      <c r="DO346" s="695"/>
      <c r="DP346" s="695"/>
      <c r="DQ346" s="695"/>
      <c r="DR346" s="695"/>
      <c r="DS346" s="694"/>
      <c r="DT346" s="694"/>
      <c r="DU346" s="694"/>
      <c r="DV346" s="694"/>
      <c r="DW346" s="694"/>
      <c r="DX346" s="694"/>
      <c r="DY346" s="694"/>
      <c r="DZ346" s="694"/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4"/>
      <c r="FH346" s="694"/>
      <c r="FI346" s="694"/>
      <c r="FJ346" s="694"/>
      <c r="FK346" s="694"/>
      <c r="FL346" s="694"/>
      <c r="FM346" s="694"/>
      <c r="FN346" s="694"/>
      <c r="FO346" s="694"/>
      <c r="FP346" s="694"/>
      <c r="FQ346" s="697"/>
    </row>
    <row r="347" spans="1:173" s="696" customFormat="1">
      <c r="A347" s="690"/>
      <c r="B347" s="690"/>
      <c r="C347" s="691" t="s">
        <v>3652</v>
      </c>
      <c r="D347" s="691"/>
      <c r="E347" s="692">
        <v>35.1</v>
      </c>
      <c r="F347" s="692"/>
      <c r="G347" s="692"/>
      <c r="H347" s="692"/>
      <c r="I347" s="692"/>
      <c r="J347" s="692"/>
      <c r="K347" s="692"/>
      <c r="L347" s="692"/>
      <c r="M347" s="692"/>
      <c r="N347" s="692"/>
      <c r="O347" s="692">
        <f t="shared" si="117"/>
        <v>35.1</v>
      </c>
      <c r="P347" s="692"/>
      <c r="Q347" s="692"/>
      <c r="R347" s="693"/>
      <c r="S347" s="693"/>
      <c r="T347" s="692"/>
      <c r="U347" s="692" t="s">
        <v>2990</v>
      </c>
      <c r="V347" s="692"/>
      <c r="W347" s="692"/>
      <c r="X347" s="692"/>
      <c r="Y347" s="692"/>
      <c r="Z347" s="692"/>
      <c r="AA347" s="692"/>
      <c r="AB347" s="692"/>
      <c r="AC347" s="692"/>
      <c r="AD347" s="692"/>
      <c r="AE347" s="725"/>
      <c r="AF347" s="957"/>
      <c r="AG347" s="692"/>
      <c r="AH347" s="692"/>
      <c r="AI347" s="692"/>
      <c r="AJ347" s="692"/>
      <c r="AK347" s="692"/>
      <c r="AL347" s="692"/>
      <c r="AM347" s="692"/>
      <c r="AN347" s="692"/>
      <c r="AO347" s="692"/>
      <c r="AP347" s="692"/>
      <c r="AQ347" s="692"/>
      <c r="AR347" s="692"/>
      <c r="AS347" s="692"/>
      <c r="AT347" s="692"/>
      <c r="AU347" s="692">
        <v>1</v>
      </c>
      <c r="AV347" s="692"/>
      <c r="AW347" s="692">
        <v>1</v>
      </c>
      <c r="AX347" s="692"/>
      <c r="AY347" s="692"/>
      <c r="AZ347" s="692">
        <f t="shared" si="112"/>
        <v>2</v>
      </c>
      <c r="BA347" s="692"/>
      <c r="BB347" s="692"/>
      <c r="BC347" s="692"/>
      <c r="BD347" s="692">
        <v>1</v>
      </c>
      <c r="BE347" s="692"/>
      <c r="BF347" s="692"/>
      <c r="BG347" s="692"/>
      <c r="BH347" s="692"/>
      <c r="BI347" s="692">
        <f t="shared" si="113"/>
        <v>7</v>
      </c>
      <c r="BJ347" s="692"/>
      <c r="BK347" s="692"/>
      <c r="BL347" s="692"/>
      <c r="BM347" s="692"/>
      <c r="BN347" s="692"/>
      <c r="BO347" s="692"/>
      <c r="BP347" s="692"/>
      <c r="BQ347" s="692">
        <f t="shared" si="114"/>
        <v>0</v>
      </c>
      <c r="BR347" s="692"/>
      <c r="BS347" s="692">
        <f t="shared" si="115"/>
        <v>0</v>
      </c>
      <c r="BT347" s="692"/>
      <c r="BU347" s="692"/>
      <c r="BV347" s="692"/>
      <c r="BW347" s="692"/>
      <c r="BX347" s="692">
        <v>1</v>
      </c>
      <c r="BY347" s="692"/>
      <c r="BZ347" s="692"/>
      <c r="CA347" s="692"/>
      <c r="CB347" s="692">
        <v>1</v>
      </c>
      <c r="CC347" s="692"/>
      <c r="CD347" s="692">
        <f t="shared" si="116"/>
        <v>4</v>
      </c>
      <c r="CE347" s="692"/>
      <c r="CF347" s="692"/>
      <c r="CG347" s="692"/>
      <c r="CH347" s="692"/>
      <c r="CI347" s="692"/>
      <c r="CJ347" s="692"/>
      <c r="CK347" s="692"/>
      <c r="CL347" s="692"/>
      <c r="CM347" s="692"/>
      <c r="CN347" s="692"/>
      <c r="CO347" s="692"/>
      <c r="CP347" s="692"/>
      <c r="CQ347" s="692"/>
      <c r="CR347" s="692"/>
      <c r="CS347" s="692"/>
      <c r="CT347" s="692"/>
      <c r="CU347" s="692"/>
      <c r="CV347" s="692"/>
      <c r="CW347" s="692"/>
      <c r="CX347" s="694"/>
      <c r="CY347" s="694"/>
      <c r="CZ347" s="694"/>
      <c r="DA347" s="694"/>
      <c r="DB347" s="694"/>
      <c r="DC347" s="694"/>
      <c r="DD347" s="694"/>
      <c r="DE347" s="694"/>
      <c r="DF347" s="694"/>
      <c r="DG347" s="695"/>
      <c r="DH347" s="695"/>
      <c r="DI347" s="695"/>
      <c r="DJ347" s="695"/>
      <c r="DK347" s="695"/>
      <c r="DL347" s="695"/>
      <c r="DM347" s="695"/>
      <c r="DN347" s="695"/>
      <c r="DO347" s="695"/>
      <c r="DP347" s="695"/>
      <c r="DQ347" s="695"/>
      <c r="DR347" s="695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4"/>
      <c r="FH347" s="694"/>
      <c r="FI347" s="694"/>
      <c r="FJ347" s="694"/>
      <c r="FK347" s="694"/>
      <c r="FL347" s="694"/>
      <c r="FM347" s="694"/>
      <c r="FN347" s="694"/>
      <c r="FO347" s="694"/>
      <c r="FP347" s="694"/>
      <c r="FQ347" s="697"/>
    </row>
    <row r="348" spans="1:173" s="696" customFormat="1">
      <c r="A348" s="690"/>
      <c r="B348" s="690"/>
      <c r="C348" s="691" t="s">
        <v>3653</v>
      </c>
      <c r="D348" s="691"/>
      <c r="E348" s="692">
        <v>33.6</v>
      </c>
      <c r="F348" s="692"/>
      <c r="G348" s="692"/>
      <c r="H348" s="692"/>
      <c r="I348" s="692"/>
      <c r="J348" s="692"/>
      <c r="K348" s="692"/>
      <c r="L348" s="692"/>
      <c r="M348" s="692"/>
      <c r="N348" s="692"/>
      <c r="O348" s="692">
        <f t="shared" si="117"/>
        <v>33.6</v>
      </c>
      <c r="P348" s="692"/>
      <c r="Q348" s="692"/>
      <c r="R348" s="693"/>
      <c r="S348" s="693"/>
      <c r="T348" s="692"/>
      <c r="U348" s="692" t="s">
        <v>1631</v>
      </c>
      <c r="V348" s="692"/>
      <c r="W348" s="692"/>
      <c r="X348" s="692"/>
      <c r="Y348" s="692"/>
      <c r="Z348" s="692"/>
      <c r="AA348" s="692"/>
      <c r="AB348" s="692"/>
      <c r="AC348" s="692"/>
      <c r="AD348" s="692"/>
      <c r="AE348" s="725"/>
      <c r="AF348" s="957"/>
      <c r="AG348" s="692"/>
      <c r="AH348" s="692"/>
      <c r="AI348" s="692"/>
      <c r="AJ348" s="692"/>
      <c r="AK348" s="692"/>
      <c r="AL348" s="692"/>
      <c r="AM348" s="692"/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>
        <v>1</v>
      </c>
      <c r="AX348" s="692"/>
      <c r="AY348" s="692"/>
      <c r="AZ348" s="692">
        <f t="shared" si="112"/>
        <v>2</v>
      </c>
      <c r="BA348" s="692"/>
      <c r="BB348" s="692"/>
      <c r="BC348" s="692"/>
      <c r="BD348" s="692">
        <v>1</v>
      </c>
      <c r="BE348" s="692"/>
      <c r="BF348" s="692"/>
      <c r="BG348" s="692"/>
      <c r="BH348" s="692"/>
      <c r="BI348" s="692">
        <f t="shared" si="113"/>
        <v>5</v>
      </c>
      <c r="BJ348" s="692"/>
      <c r="BK348" s="692"/>
      <c r="BL348" s="692"/>
      <c r="BM348" s="692"/>
      <c r="BN348" s="692"/>
      <c r="BO348" s="692"/>
      <c r="BP348" s="692"/>
      <c r="BQ348" s="692">
        <f t="shared" si="114"/>
        <v>0</v>
      </c>
      <c r="BR348" s="692"/>
      <c r="BS348" s="692">
        <f t="shared" si="115"/>
        <v>1</v>
      </c>
      <c r="BT348" s="692"/>
      <c r="BU348" s="692"/>
      <c r="BV348" s="692"/>
      <c r="BW348" s="692"/>
      <c r="BX348" s="692"/>
      <c r="BY348" s="692"/>
      <c r="BZ348" s="692"/>
      <c r="CA348" s="692"/>
      <c r="CB348" s="692">
        <v>1</v>
      </c>
      <c r="CC348" s="692"/>
      <c r="CD348" s="692">
        <f t="shared" si="116"/>
        <v>4</v>
      </c>
      <c r="CE348" s="692"/>
      <c r="CF348" s="692"/>
      <c r="CG348" s="692"/>
      <c r="CH348" s="692"/>
      <c r="CI348" s="692"/>
      <c r="CJ348" s="692"/>
      <c r="CK348" s="692"/>
      <c r="CL348" s="692"/>
      <c r="CM348" s="692"/>
      <c r="CN348" s="692"/>
      <c r="CO348" s="692"/>
      <c r="CP348" s="692"/>
      <c r="CQ348" s="692"/>
      <c r="CR348" s="692"/>
      <c r="CS348" s="692"/>
      <c r="CT348" s="692"/>
      <c r="CU348" s="692"/>
      <c r="CV348" s="692"/>
      <c r="CW348" s="692"/>
      <c r="CX348" s="694"/>
      <c r="CY348" s="694"/>
      <c r="CZ348" s="694"/>
      <c r="DA348" s="694"/>
      <c r="DB348" s="694"/>
      <c r="DC348" s="694"/>
      <c r="DD348" s="694"/>
      <c r="DE348" s="694"/>
      <c r="DF348" s="694"/>
      <c r="DG348" s="695"/>
      <c r="DH348" s="695"/>
      <c r="DI348" s="695"/>
      <c r="DJ348" s="695"/>
      <c r="DK348" s="695"/>
      <c r="DL348" s="695"/>
      <c r="DM348" s="695"/>
      <c r="DN348" s="695"/>
      <c r="DO348" s="695"/>
      <c r="DP348" s="695"/>
      <c r="DQ348" s="695"/>
      <c r="DR348" s="695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4"/>
      <c r="FH348" s="694"/>
      <c r="FI348" s="694"/>
      <c r="FJ348" s="694"/>
      <c r="FK348" s="694"/>
      <c r="FL348" s="694"/>
      <c r="FM348" s="694"/>
      <c r="FN348" s="694"/>
      <c r="FO348" s="694"/>
      <c r="FP348" s="694"/>
      <c r="FQ348" s="697"/>
    </row>
    <row r="349" spans="1:173" s="696" customFormat="1">
      <c r="A349" s="690"/>
      <c r="B349" s="690"/>
      <c r="C349" s="691" t="s">
        <v>3654</v>
      </c>
      <c r="D349" s="691"/>
      <c r="E349" s="692">
        <v>33.1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>
        <f t="shared" si="117"/>
        <v>33.1</v>
      </c>
      <c r="P349" s="692"/>
      <c r="Q349" s="692"/>
      <c r="R349" s="693"/>
      <c r="S349" s="693"/>
      <c r="T349" s="692"/>
      <c r="U349" s="692" t="s">
        <v>2990</v>
      </c>
      <c r="V349" s="692"/>
      <c r="W349" s="692"/>
      <c r="X349" s="692"/>
      <c r="Y349" s="692"/>
      <c r="Z349" s="692"/>
      <c r="AA349" s="692"/>
      <c r="AB349" s="692"/>
      <c r="AC349" s="692"/>
      <c r="AD349" s="692"/>
      <c r="AE349" s="725"/>
      <c r="AF349" s="957"/>
      <c r="AG349" s="692"/>
      <c r="AH349" s="692"/>
      <c r="AI349" s="692"/>
      <c r="AJ349" s="692"/>
      <c r="AK349" s="692"/>
      <c r="AL349" s="692"/>
      <c r="AM349" s="692"/>
      <c r="AN349" s="692"/>
      <c r="AO349" s="692"/>
      <c r="AP349" s="692"/>
      <c r="AQ349" s="692"/>
      <c r="AR349" s="692"/>
      <c r="AS349" s="692"/>
      <c r="AT349" s="692"/>
      <c r="AU349" s="692">
        <v>1</v>
      </c>
      <c r="AV349" s="692"/>
      <c r="AW349" s="692"/>
      <c r="AX349" s="692"/>
      <c r="AY349" s="692"/>
      <c r="AZ349" s="692">
        <f t="shared" si="112"/>
        <v>1</v>
      </c>
      <c r="BA349" s="692"/>
      <c r="BB349" s="692"/>
      <c r="BC349" s="692"/>
      <c r="BD349" s="692">
        <v>1</v>
      </c>
      <c r="BE349" s="692"/>
      <c r="BF349" s="692"/>
      <c r="BG349" s="692"/>
      <c r="BH349" s="692"/>
      <c r="BI349" s="692">
        <f t="shared" si="113"/>
        <v>7</v>
      </c>
      <c r="BJ349" s="692"/>
      <c r="BK349" s="692"/>
      <c r="BL349" s="692"/>
      <c r="BM349" s="692"/>
      <c r="BN349" s="692"/>
      <c r="BO349" s="692"/>
      <c r="BP349" s="692"/>
      <c r="BQ349" s="692">
        <f t="shared" si="114"/>
        <v>0</v>
      </c>
      <c r="BR349" s="692"/>
      <c r="BS349" s="692">
        <f t="shared" si="115"/>
        <v>0</v>
      </c>
      <c r="BT349" s="692"/>
      <c r="BU349" s="692"/>
      <c r="BV349" s="692"/>
      <c r="BW349" s="692"/>
      <c r="BX349" s="692">
        <v>1</v>
      </c>
      <c r="BY349" s="692"/>
      <c r="BZ349" s="692"/>
      <c r="CA349" s="692"/>
      <c r="CB349" s="692">
        <v>1</v>
      </c>
      <c r="CC349" s="692"/>
      <c r="CD349" s="692">
        <f t="shared" si="116"/>
        <v>4</v>
      </c>
      <c r="CE349" s="692"/>
      <c r="CF349" s="692"/>
      <c r="CG349" s="692"/>
      <c r="CH349" s="692"/>
      <c r="CI349" s="692"/>
      <c r="CJ349" s="692"/>
      <c r="CK349" s="692"/>
      <c r="CL349" s="692"/>
      <c r="CM349" s="692"/>
      <c r="CN349" s="692"/>
      <c r="CO349" s="692"/>
      <c r="CP349" s="692"/>
      <c r="CQ349" s="692"/>
      <c r="CR349" s="692"/>
      <c r="CS349" s="692"/>
      <c r="CT349" s="692"/>
      <c r="CU349" s="692"/>
      <c r="CV349" s="692"/>
      <c r="CW349" s="692"/>
      <c r="CX349" s="694"/>
      <c r="CY349" s="694"/>
      <c r="CZ349" s="694"/>
      <c r="DA349" s="694"/>
      <c r="DB349" s="694"/>
      <c r="DC349" s="694"/>
      <c r="DD349" s="694"/>
      <c r="DE349" s="694"/>
      <c r="DF349" s="694"/>
      <c r="DG349" s="695"/>
      <c r="DH349" s="695"/>
      <c r="DI349" s="695"/>
      <c r="DJ349" s="695"/>
      <c r="DK349" s="695"/>
      <c r="DL349" s="695"/>
      <c r="DM349" s="695"/>
      <c r="DN349" s="695"/>
      <c r="DO349" s="695"/>
      <c r="DP349" s="695"/>
      <c r="DQ349" s="695"/>
      <c r="DR349" s="695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4"/>
      <c r="FH349" s="694"/>
      <c r="FI349" s="694"/>
      <c r="FJ349" s="694"/>
      <c r="FK349" s="694"/>
      <c r="FL349" s="694"/>
      <c r="FM349" s="694"/>
      <c r="FN349" s="694"/>
      <c r="FO349" s="694"/>
      <c r="FP349" s="694"/>
      <c r="FQ349" s="697"/>
    </row>
    <row r="350" spans="1:173" s="696" customFormat="1">
      <c r="A350" s="690"/>
      <c r="B350" s="690"/>
      <c r="C350" s="691" t="s">
        <v>3655</v>
      </c>
      <c r="D350" s="691"/>
      <c r="E350" s="692">
        <v>32.799999999999997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>
        <f t="shared" si="117"/>
        <v>32.799999999999997</v>
      </c>
      <c r="P350" s="692"/>
      <c r="Q350" s="692"/>
      <c r="R350" s="693"/>
      <c r="S350" s="693"/>
      <c r="T350" s="692"/>
      <c r="U350" s="692" t="s">
        <v>1631</v>
      </c>
      <c r="V350" s="692"/>
      <c r="W350" s="692"/>
      <c r="X350" s="692"/>
      <c r="Y350" s="692"/>
      <c r="Z350" s="692"/>
      <c r="AA350" s="692"/>
      <c r="AB350" s="692"/>
      <c r="AC350" s="692"/>
      <c r="AD350" s="692"/>
      <c r="AE350" s="725"/>
      <c r="AF350" s="957"/>
      <c r="AG350" s="692"/>
      <c r="AH350" s="692"/>
      <c r="AI350" s="692"/>
      <c r="AJ350" s="692"/>
      <c r="AK350" s="692"/>
      <c r="AL350" s="692"/>
      <c r="AM350" s="692"/>
      <c r="AN350" s="692"/>
      <c r="AO350" s="692"/>
      <c r="AP350" s="692"/>
      <c r="AQ350" s="692"/>
      <c r="AR350" s="692"/>
      <c r="AS350" s="692"/>
      <c r="AT350" s="692"/>
      <c r="AU350" s="692"/>
      <c r="AV350" s="692"/>
      <c r="AW350" s="692">
        <v>1</v>
      </c>
      <c r="AX350" s="692"/>
      <c r="AY350" s="692"/>
      <c r="AZ350" s="692">
        <f t="shared" si="112"/>
        <v>2</v>
      </c>
      <c r="BA350" s="692"/>
      <c r="BB350" s="692"/>
      <c r="BC350" s="692"/>
      <c r="BD350" s="692">
        <v>1</v>
      </c>
      <c r="BE350" s="692"/>
      <c r="BF350" s="692"/>
      <c r="BG350" s="692"/>
      <c r="BH350" s="692"/>
      <c r="BI350" s="692">
        <f t="shared" si="113"/>
        <v>5</v>
      </c>
      <c r="BJ350" s="692"/>
      <c r="BK350" s="692"/>
      <c r="BL350" s="692"/>
      <c r="BM350" s="692"/>
      <c r="BN350" s="692"/>
      <c r="BO350" s="692"/>
      <c r="BP350" s="692"/>
      <c r="BQ350" s="692">
        <f t="shared" si="114"/>
        <v>0</v>
      </c>
      <c r="BR350" s="692"/>
      <c r="BS350" s="692">
        <f t="shared" si="115"/>
        <v>1</v>
      </c>
      <c r="BT350" s="692"/>
      <c r="BU350" s="692"/>
      <c r="BV350" s="692"/>
      <c r="BW350" s="692"/>
      <c r="BX350" s="692"/>
      <c r="BY350" s="692"/>
      <c r="BZ350" s="692"/>
      <c r="CA350" s="692"/>
      <c r="CB350" s="692">
        <v>1</v>
      </c>
      <c r="CC350" s="692"/>
      <c r="CD350" s="692">
        <f t="shared" si="116"/>
        <v>4</v>
      </c>
      <c r="CE350" s="692"/>
      <c r="CF350" s="692"/>
      <c r="CG350" s="692"/>
      <c r="CH350" s="692"/>
      <c r="CI350" s="692"/>
      <c r="CJ350" s="692"/>
      <c r="CK350" s="692"/>
      <c r="CL350" s="692"/>
      <c r="CM350" s="692"/>
      <c r="CN350" s="692"/>
      <c r="CO350" s="692"/>
      <c r="CP350" s="692"/>
      <c r="CQ350" s="692"/>
      <c r="CR350" s="692"/>
      <c r="CS350" s="692"/>
      <c r="CT350" s="692"/>
      <c r="CU350" s="692"/>
      <c r="CV350" s="692"/>
      <c r="CW350" s="692"/>
      <c r="CX350" s="694"/>
      <c r="CY350" s="694"/>
      <c r="CZ350" s="694"/>
      <c r="DA350" s="694"/>
      <c r="DB350" s="694"/>
      <c r="DC350" s="694"/>
      <c r="DD350" s="694"/>
      <c r="DE350" s="694"/>
      <c r="DF350" s="694"/>
      <c r="DG350" s="695"/>
      <c r="DH350" s="695"/>
      <c r="DI350" s="695"/>
      <c r="DJ350" s="695"/>
      <c r="DK350" s="695"/>
      <c r="DL350" s="695"/>
      <c r="DM350" s="695"/>
      <c r="DN350" s="695"/>
      <c r="DO350" s="695"/>
      <c r="DP350" s="695"/>
      <c r="DQ350" s="695"/>
      <c r="DR350" s="695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4"/>
      <c r="FH350" s="694"/>
      <c r="FI350" s="694"/>
      <c r="FJ350" s="694"/>
      <c r="FK350" s="694"/>
      <c r="FL350" s="694"/>
      <c r="FM350" s="694"/>
      <c r="FN350" s="694"/>
      <c r="FO350" s="694"/>
      <c r="FP350" s="694"/>
      <c r="FQ350" s="697"/>
    </row>
    <row r="351" spans="1:173" s="696" customFormat="1">
      <c r="A351" s="690"/>
      <c r="B351" s="690"/>
      <c r="C351" s="691" t="s">
        <v>3656</v>
      </c>
      <c r="D351" s="691"/>
      <c r="E351" s="692">
        <v>36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>
        <f t="shared" si="117"/>
        <v>36</v>
      </c>
      <c r="P351" s="692"/>
      <c r="Q351" s="692"/>
      <c r="R351" s="693"/>
      <c r="S351" s="693"/>
      <c r="T351" s="692"/>
      <c r="U351" s="692" t="s">
        <v>2990</v>
      </c>
      <c r="V351" s="692"/>
      <c r="W351" s="692"/>
      <c r="X351" s="692"/>
      <c r="Y351" s="692"/>
      <c r="Z351" s="692"/>
      <c r="AA351" s="692"/>
      <c r="AB351" s="692"/>
      <c r="AC351" s="692"/>
      <c r="AD351" s="692"/>
      <c r="AE351" s="725"/>
      <c r="AF351" s="957"/>
      <c r="AG351" s="692"/>
      <c r="AH351" s="692"/>
      <c r="AI351" s="692"/>
      <c r="AJ351" s="692"/>
      <c r="AK351" s="692"/>
      <c r="AL351" s="692"/>
      <c r="AM351" s="692"/>
      <c r="AN351" s="692"/>
      <c r="AO351" s="692"/>
      <c r="AP351" s="692"/>
      <c r="AQ351" s="692"/>
      <c r="AR351" s="692"/>
      <c r="AS351" s="692"/>
      <c r="AT351" s="692"/>
      <c r="AU351" s="692"/>
      <c r="AV351" s="692"/>
      <c r="AW351" s="692">
        <v>1</v>
      </c>
      <c r="AX351" s="692"/>
      <c r="AY351" s="692"/>
      <c r="AZ351" s="692">
        <f t="shared" si="112"/>
        <v>2</v>
      </c>
      <c r="BA351" s="692"/>
      <c r="BB351" s="692"/>
      <c r="BC351" s="692"/>
      <c r="BD351" s="692">
        <v>1</v>
      </c>
      <c r="BE351" s="692"/>
      <c r="BF351" s="692"/>
      <c r="BG351" s="692"/>
      <c r="BH351" s="692"/>
      <c r="BI351" s="692">
        <f t="shared" si="113"/>
        <v>5</v>
      </c>
      <c r="BJ351" s="692"/>
      <c r="BK351" s="692"/>
      <c r="BL351" s="692"/>
      <c r="BM351" s="692"/>
      <c r="BN351" s="692"/>
      <c r="BO351" s="692"/>
      <c r="BP351" s="692"/>
      <c r="BQ351" s="692">
        <f t="shared" si="114"/>
        <v>0</v>
      </c>
      <c r="BR351" s="692"/>
      <c r="BS351" s="692">
        <f t="shared" si="115"/>
        <v>0</v>
      </c>
      <c r="BT351" s="692"/>
      <c r="BU351" s="692"/>
      <c r="BV351" s="692"/>
      <c r="BW351" s="692"/>
      <c r="BX351" s="692">
        <v>1</v>
      </c>
      <c r="BY351" s="692"/>
      <c r="BZ351" s="692"/>
      <c r="CA351" s="692"/>
      <c r="CB351" s="692">
        <v>1</v>
      </c>
      <c r="CC351" s="692"/>
      <c r="CD351" s="692">
        <f t="shared" si="116"/>
        <v>4</v>
      </c>
      <c r="CE351" s="692"/>
      <c r="CF351" s="692"/>
      <c r="CG351" s="692"/>
      <c r="CH351" s="692"/>
      <c r="CI351" s="692"/>
      <c r="CJ351" s="692"/>
      <c r="CK351" s="692"/>
      <c r="CL351" s="692"/>
      <c r="CM351" s="692"/>
      <c r="CN351" s="692"/>
      <c r="CO351" s="692"/>
      <c r="CP351" s="692"/>
      <c r="CQ351" s="692"/>
      <c r="CR351" s="692"/>
      <c r="CS351" s="692"/>
      <c r="CT351" s="692"/>
      <c r="CU351" s="692"/>
      <c r="CV351" s="692"/>
      <c r="CW351" s="692"/>
      <c r="CX351" s="694"/>
      <c r="CY351" s="694"/>
      <c r="CZ351" s="694"/>
      <c r="DA351" s="694"/>
      <c r="DB351" s="694"/>
      <c r="DC351" s="694"/>
      <c r="DD351" s="694"/>
      <c r="DE351" s="694"/>
      <c r="DF351" s="694"/>
      <c r="DG351" s="695"/>
      <c r="DH351" s="695"/>
      <c r="DI351" s="695"/>
      <c r="DJ351" s="695"/>
      <c r="DK351" s="695"/>
      <c r="DL351" s="695"/>
      <c r="DM351" s="695"/>
      <c r="DN351" s="695"/>
      <c r="DO351" s="695"/>
      <c r="DP351" s="695"/>
      <c r="DQ351" s="695"/>
      <c r="DR351" s="695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4"/>
      <c r="FH351" s="694"/>
      <c r="FI351" s="694"/>
      <c r="FJ351" s="694"/>
      <c r="FK351" s="694"/>
      <c r="FL351" s="694"/>
      <c r="FM351" s="694"/>
      <c r="FN351" s="694"/>
      <c r="FO351" s="694"/>
      <c r="FP351" s="694"/>
      <c r="FQ351" s="697"/>
    </row>
    <row r="352" spans="1:173" s="696" customFormat="1">
      <c r="A352" s="690"/>
      <c r="B352" s="690"/>
      <c r="C352" s="691" t="s">
        <v>3719</v>
      </c>
      <c r="D352" s="691"/>
      <c r="E352" s="692">
        <v>39.299999999999997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>
        <f t="shared" si="117"/>
        <v>39.299999999999997</v>
      </c>
      <c r="P352" s="692"/>
      <c r="Q352" s="692"/>
      <c r="R352" s="693"/>
      <c r="S352" s="693"/>
      <c r="T352" s="692"/>
      <c r="U352" s="692" t="s">
        <v>2990</v>
      </c>
      <c r="V352" s="692"/>
      <c r="W352" s="692"/>
      <c r="X352" s="692"/>
      <c r="Y352" s="692"/>
      <c r="Z352" s="692"/>
      <c r="AA352" s="692"/>
      <c r="AB352" s="692"/>
      <c r="AC352" s="692"/>
      <c r="AD352" s="692"/>
      <c r="AE352" s="725"/>
      <c r="AF352" s="957"/>
      <c r="AG352" s="692"/>
      <c r="AH352" s="692"/>
      <c r="AI352" s="692"/>
      <c r="AJ352" s="692"/>
      <c r="AK352" s="692"/>
      <c r="AL352" s="692"/>
      <c r="AM352" s="692"/>
      <c r="AN352" s="692"/>
      <c r="AO352" s="692"/>
      <c r="AP352" s="692"/>
      <c r="AQ352" s="692"/>
      <c r="AR352" s="692"/>
      <c r="AS352" s="692"/>
      <c r="AT352" s="692"/>
      <c r="AU352" s="692"/>
      <c r="AV352" s="692"/>
      <c r="AW352" s="692"/>
      <c r="AX352" s="692"/>
      <c r="AY352" s="692"/>
      <c r="AZ352" s="692">
        <f t="shared" si="112"/>
        <v>1</v>
      </c>
      <c r="BA352" s="692"/>
      <c r="BB352" s="692"/>
      <c r="BC352" s="692"/>
      <c r="BD352" s="692">
        <v>1</v>
      </c>
      <c r="BE352" s="692"/>
      <c r="BF352" s="692"/>
      <c r="BG352" s="692"/>
      <c r="BH352" s="692"/>
      <c r="BI352" s="692">
        <f t="shared" si="113"/>
        <v>5</v>
      </c>
      <c r="BJ352" s="692"/>
      <c r="BK352" s="692"/>
      <c r="BL352" s="692"/>
      <c r="BM352" s="692"/>
      <c r="BN352" s="692"/>
      <c r="BO352" s="692"/>
      <c r="BP352" s="692"/>
      <c r="BQ352" s="692">
        <f t="shared" si="114"/>
        <v>0</v>
      </c>
      <c r="BR352" s="692"/>
      <c r="BS352" s="692">
        <f t="shared" si="115"/>
        <v>0</v>
      </c>
      <c r="BT352" s="692"/>
      <c r="BU352" s="692"/>
      <c r="BV352" s="692"/>
      <c r="BW352" s="692"/>
      <c r="BX352" s="692">
        <v>1</v>
      </c>
      <c r="BY352" s="692"/>
      <c r="BZ352" s="692"/>
      <c r="CA352" s="692"/>
      <c r="CB352" s="692">
        <v>1</v>
      </c>
      <c r="CC352" s="692"/>
      <c r="CD352" s="692">
        <f t="shared" si="116"/>
        <v>4</v>
      </c>
      <c r="CE352" s="692"/>
      <c r="CF352" s="692"/>
      <c r="CG352" s="692"/>
      <c r="CH352" s="692"/>
      <c r="CI352" s="692"/>
      <c r="CJ352" s="692"/>
      <c r="CK352" s="692"/>
      <c r="CL352" s="692"/>
      <c r="CM352" s="692"/>
      <c r="CN352" s="692"/>
      <c r="CO352" s="692"/>
      <c r="CP352" s="692"/>
      <c r="CQ352" s="692"/>
      <c r="CR352" s="692"/>
      <c r="CS352" s="692"/>
      <c r="CT352" s="692"/>
      <c r="CU352" s="692"/>
      <c r="CV352" s="692"/>
      <c r="CW352" s="692"/>
      <c r="CX352" s="694"/>
      <c r="CY352" s="694"/>
      <c r="CZ352" s="694"/>
      <c r="DA352" s="694"/>
      <c r="DB352" s="694"/>
      <c r="DC352" s="694"/>
      <c r="DD352" s="694"/>
      <c r="DE352" s="694"/>
      <c r="DF352" s="694"/>
      <c r="DG352" s="695"/>
      <c r="DH352" s="695"/>
      <c r="DI352" s="695"/>
      <c r="DJ352" s="695"/>
      <c r="DK352" s="695"/>
      <c r="DL352" s="695"/>
      <c r="DM352" s="695"/>
      <c r="DN352" s="695"/>
      <c r="DO352" s="695"/>
      <c r="DP352" s="695"/>
      <c r="DQ352" s="695"/>
      <c r="DR352" s="695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4"/>
      <c r="FH352" s="694"/>
      <c r="FI352" s="694"/>
      <c r="FJ352" s="694"/>
      <c r="FK352" s="694"/>
      <c r="FL352" s="694"/>
      <c r="FM352" s="694"/>
      <c r="FN352" s="694"/>
      <c r="FO352" s="694"/>
      <c r="FP352" s="694"/>
      <c r="FQ352" s="697"/>
    </row>
    <row r="353" spans="1:177" s="696" customFormat="1">
      <c r="A353" s="690"/>
      <c r="B353" s="690"/>
      <c r="C353" s="691"/>
      <c r="D353" s="691"/>
      <c r="E353" s="692"/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/>
      <c r="V353" s="692"/>
      <c r="W353" s="692"/>
      <c r="X353" s="692"/>
      <c r="Y353" s="692"/>
      <c r="Z353" s="692"/>
      <c r="AA353" s="692"/>
      <c r="AB353" s="692"/>
      <c r="AC353" s="692"/>
      <c r="AD353" s="692"/>
      <c r="AE353" s="725"/>
      <c r="AF353" s="957"/>
      <c r="AG353" s="692"/>
      <c r="AH353" s="692"/>
      <c r="AI353" s="692"/>
      <c r="AJ353" s="692"/>
      <c r="AK353" s="692"/>
      <c r="AL353" s="692"/>
      <c r="AM353" s="692"/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/>
      <c r="AX353" s="692"/>
      <c r="AY353" s="692"/>
      <c r="AZ353" s="692"/>
      <c r="BA353" s="692"/>
      <c r="BB353" s="692"/>
      <c r="BC353" s="692"/>
      <c r="BD353" s="692"/>
      <c r="BE353" s="692"/>
      <c r="BF353" s="692"/>
      <c r="BG353" s="692"/>
      <c r="BH353" s="692"/>
      <c r="BI353" s="692"/>
      <c r="BJ353" s="692"/>
      <c r="BK353" s="692"/>
      <c r="BL353" s="692"/>
      <c r="BM353" s="692"/>
      <c r="BN353" s="692"/>
      <c r="BO353" s="692"/>
      <c r="BP353" s="692"/>
      <c r="BQ353" s="692"/>
      <c r="BR353" s="692"/>
      <c r="BS353" s="692"/>
      <c r="BT353" s="692"/>
      <c r="BU353" s="692"/>
      <c r="BV353" s="692"/>
      <c r="BW353" s="692"/>
      <c r="BX353" s="692"/>
      <c r="BY353" s="692"/>
      <c r="BZ353" s="692"/>
      <c r="CA353" s="692"/>
      <c r="CB353" s="692"/>
      <c r="CC353" s="692"/>
      <c r="CD353" s="692"/>
      <c r="CE353" s="692"/>
      <c r="CF353" s="692"/>
      <c r="CG353" s="692"/>
      <c r="CH353" s="692"/>
      <c r="CI353" s="692"/>
      <c r="CJ353" s="692"/>
      <c r="CK353" s="692"/>
      <c r="CL353" s="692"/>
      <c r="CM353" s="692"/>
      <c r="CN353" s="692"/>
      <c r="CO353" s="692"/>
      <c r="CP353" s="692"/>
      <c r="CQ353" s="692"/>
      <c r="CR353" s="692"/>
      <c r="CS353" s="692"/>
      <c r="CT353" s="692"/>
      <c r="CU353" s="692"/>
      <c r="CV353" s="692"/>
      <c r="CW353" s="692"/>
      <c r="CX353" s="694"/>
      <c r="CY353" s="694"/>
      <c r="CZ353" s="694"/>
      <c r="DA353" s="694"/>
      <c r="DB353" s="694"/>
      <c r="DC353" s="694"/>
      <c r="DD353" s="694"/>
      <c r="DE353" s="694"/>
      <c r="DF353" s="694"/>
      <c r="DG353" s="695"/>
      <c r="DH353" s="695"/>
      <c r="DI353" s="695"/>
      <c r="DJ353" s="695"/>
      <c r="DK353" s="695"/>
      <c r="DL353" s="695"/>
      <c r="DM353" s="695"/>
      <c r="DN353" s="695"/>
      <c r="DO353" s="695"/>
      <c r="DP353" s="695"/>
      <c r="DQ353" s="695"/>
      <c r="DR353" s="695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4"/>
      <c r="FH353" s="694"/>
      <c r="FI353" s="694"/>
      <c r="FJ353" s="694"/>
      <c r="FK353" s="694"/>
      <c r="FL353" s="694"/>
      <c r="FM353" s="694"/>
      <c r="FN353" s="694"/>
      <c r="FO353" s="694"/>
      <c r="FP353" s="694"/>
      <c r="FQ353" s="697"/>
    </row>
    <row r="354" spans="1:177" s="696" customFormat="1">
      <c r="A354" s="690"/>
      <c r="B354" s="690"/>
      <c r="C354" s="699" t="s">
        <v>3992</v>
      </c>
      <c r="D354" s="691"/>
      <c r="E354" s="692"/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2990</v>
      </c>
      <c r="V354" s="692">
        <v>2</v>
      </c>
      <c r="W354" s="692"/>
      <c r="X354" s="692"/>
      <c r="Y354" s="692"/>
      <c r="Z354" s="692"/>
      <c r="AA354" s="692"/>
      <c r="AB354" s="692"/>
      <c r="AC354" s="692"/>
      <c r="AD354" s="692"/>
      <c r="AE354" s="725"/>
      <c r="AF354" s="957">
        <v>1</v>
      </c>
      <c r="AG354" s="692"/>
      <c r="AH354" s="692"/>
      <c r="AI354" s="692"/>
      <c r="AJ354" s="692"/>
      <c r="AK354" s="692"/>
      <c r="AL354" s="692"/>
      <c r="AM354" s="692"/>
      <c r="AN354" s="692"/>
      <c r="AO354" s="692"/>
      <c r="AP354" s="692"/>
      <c r="AQ354" s="692"/>
      <c r="AR354" s="692"/>
      <c r="AS354" s="692"/>
      <c r="AT354" s="692"/>
      <c r="AU354" s="692"/>
      <c r="AV354" s="692"/>
      <c r="AW354" s="692"/>
      <c r="AX354" s="692"/>
      <c r="AY354" s="692"/>
      <c r="AZ354" s="692"/>
      <c r="BA354" s="692"/>
      <c r="BB354" s="692"/>
      <c r="BC354" s="692"/>
      <c r="BD354" s="692"/>
      <c r="BE354" s="692"/>
      <c r="BF354" s="692"/>
      <c r="BG354" s="692"/>
      <c r="BH354" s="692"/>
      <c r="BI354" s="692"/>
      <c r="BJ354" s="692"/>
      <c r="BK354" s="692"/>
      <c r="BL354" s="692"/>
      <c r="BM354" s="692"/>
      <c r="BN354" s="692"/>
      <c r="BO354" s="692"/>
      <c r="BP354" s="692"/>
      <c r="BQ354" s="692"/>
      <c r="BR354" s="692"/>
      <c r="BS354" s="692"/>
      <c r="BT354" s="692"/>
      <c r="BU354" s="692"/>
      <c r="BV354" s="692"/>
      <c r="BW354" s="692"/>
      <c r="BX354" s="692"/>
      <c r="BY354" s="692"/>
      <c r="BZ354" s="692"/>
      <c r="CA354" s="692"/>
      <c r="CB354" s="692"/>
      <c r="CC354" s="692"/>
      <c r="CD354" s="692"/>
      <c r="CE354" s="692"/>
      <c r="CF354" s="692"/>
      <c r="CG354" s="692"/>
      <c r="CH354" s="692"/>
      <c r="CI354" s="692"/>
      <c r="CJ354" s="692"/>
      <c r="CK354" s="692"/>
      <c r="CL354" s="692"/>
      <c r="CM354" s="692"/>
      <c r="CN354" s="692"/>
      <c r="CO354" s="692"/>
      <c r="CP354" s="692"/>
      <c r="CQ354" s="692"/>
      <c r="CR354" s="692"/>
      <c r="CS354" s="692"/>
      <c r="CT354" s="692"/>
      <c r="CU354" s="692"/>
      <c r="CV354" s="692"/>
      <c r="CW354" s="692"/>
      <c r="CX354" s="694"/>
      <c r="CY354" s="694"/>
      <c r="CZ354" s="694"/>
      <c r="DA354" s="694"/>
      <c r="DB354" s="694"/>
      <c r="DC354" s="694"/>
      <c r="DD354" s="694"/>
      <c r="DE354" s="694"/>
      <c r="DF354" s="694"/>
      <c r="DG354" s="695"/>
      <c r="DH354" s="695"/>
      <c r="DI354" s="695"/>
      <c r="DJ354" s="695"/>
      <c r="DK354" s="695"/>
      <c r="DL354" s="695"/>
      <c r="DM354" s="695"/>
      <c r="DN354" s="695"/>
      <c r="DO354" s="695"/>
      <c r="DP354" s="695"/>
      <c r="DQ354" s="695"/>
      <c r="DR354" s="695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4"/>
      <c r="FH354" s="694"/>
      <c r="FI354" s="694"/>
      <c r="FJ354" s="694"/>
      <c r="FK354" s="694"/>
      <c r="FL354" s="694"/>
      <c r="FM354" s="694"/>
      <c r="FN354" s="694"/>
      <c r="FO354" s="694"/>
      <c r="FP354" s="694"/>
      <c r="FQ354" s="697"/>
    </row>
    <row r="355" spans="1:177" s="696" customFormat="1">
      <c r="A355" s="690"/>
      <c r="B355" s="690"/>
      <c r="C355" s="691"/>
      <c r="D355" s="691"/>
      <c r="E355" s="692"/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/>
      <c r="V355" s="692"/>
      <c r="W355" s="692"/>
      <c r="X355" s="692"/>
      <c r="Y355" s="692"/>
      <c r="Z355" s="692"/>
      <c r="AA355" s="692"/>
      <c r="AB355" s="692"/>
      <c r="AC355" s="692"/>
      <c r="AD355" s="692"/>
      <c r="AE355" s="725"/>
      <c r="AF355" s="957"/>
      <c r="AG355" s="692"/>
      <c r="AH355" s="692"/>
      <c r="AI355" s="692"/>
      <c r="AJ355" s="692"/>
      <c r="AK355" s="692"/>
      <c r="AL355" s="692"/>
      <c r="AM355" s="692"/>
      <c r="AN355" s="692"/>
      <c r="AO355" s="692"/>
      <c r="AP355" s="692"/>
      <c r="AQ355" s="692"/>
      <c r="AR355" s="692"/>
      <c r="AS355" s="692"/>
      <c r="AT355" s="692"/>
      <c r="AU355" s="692"/>
      <c r="AV355" s="692"/>
      <c r="AW355" s="692"/>
      <c r="AX355" s="692"/>
      <c r="AY355" s="692"/>
      <c r="AZ355" s="692">
        <f t="shared" si="112"/>
        <v>0</v>
      </c>
      <c r="BA355" s="692"/>
      <c r="BB355" s="692"/>
      <c r="BC355" s="692"/>
      <c r="BD355" s="692"/>
      <c r="BE355" s="692"/>
      <c r="BF355" s="692"/>
      <c r="BG355" s="692"/>
      <c r="BH355" s="692"/>
      <c r="BI355" s="692">
        <f t="shared" si="113"/>
        <v>0</v>
      </c>
      <c r="BJ355" s="692"/>
      <c r="BK355" s="692"/>
      <c r="BL355" s="692"/>
      <c r="BM355" s="692"/>
      <c r="BN355" s="692"/>
      <c r="BO355" s="692"/>
      <c r="BP355" s="692"/>
      <c r="BQ355" s="692">
        <f t="shared" si="114"/>
        <v>0</v>
      </c>
      <c r="BR355" s="692"/>
      <c r="BS355" s="692">
        <f t="shared" si="115"/>
        <v>0</v>
      </c>
      <c r="BT355" s="692"/>
      <c r="BU355" s="692"/>
      <c r="BV355" s="692"/>
      <c r="BW355" s="692"/>
      <c r="BX355" s="692"/>
      <c r="BY355" s="692"/>
      <c r="BZ355" s="692"/>
      <c r="CA355" s="692"/>
      <c r="CB355" s="692"/>
      <c r="CC355" s="692"/>
      <c r="CD355" s="692">
        <f t="shared" si="116"/>
        <v>0</v>
      </c>
      <c r="CE355" s="692"/>
      <c r="CF355" s="692"/>
      <c r="CG355" s="692"/>
      <c r="CH355" s="692"/>
      <c r="CI355" s="692"/>
      <c r="CJ355" s="692"/>
      <c r="CK355" s="692"/>
      <c r="CL355" s="692"/>
      <c r="CM355" s="692"/>
      <c r="CN355" s="692"/>
      <c r="CO355" s="692"/>
      <c r="CP355" s="692"/>
      <c r="CQ355" s="692"/>
      <c r="CR355" s="692"/>
      <c r="CS355" s="692"/>
      <c r="CT355" s="692"/>
      <c r="CU355" s="692"/>
      <c r="CV355" s="692"/>
      <c r="CW355" s="692"/>
      <c r="CX355" s="694"/>
      <c r="CY355" s="694"/>
      <c r="CZ355" s="694"/>
      <c r="DA355" s="694"/>
      <c r="DB355" s="694"/>
      <c r="DC355" s="694"/>
      <c r="DD355" s="694"/>
      <c r="DE355" s="694"/>
      <c r="DF355" s="694"/>
      <c r="DG355" s="695"/>
      <c r="DH355" s="695"/>
      <c r="DI355" s="695"/>
      <c r="DJ355" s="695"/>
      <c r="DK355" s="695"/>
      <c r="DL355" s="695"/>
      <c r="DM355" s="695"/>
      <c r="DN355" s="695"/>
      <c r="DO355" s="695"/>
      <c r="DP355" s="695"/>
      <c r="DQ355" s="695"/>
      <c r="DR355" s="695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4"/>
      <c r="FH355" s="694"/>
      <c r="FI355" s="694"/>
      <c r="FJ355" s="694"/>
      <c r="FK355" s="694"/>
      <c r="FL355" s="694"/>
      <c r="FM355" s="694"/>
      <c r="FN355" s="694"/>
      <c r="FO355" s="694"/>
      <c r="FP355" s="694"/>
      <c r="FQ355" s="697"/>
    </row>
    <row r="356" spans="1:177" s="4" customFormat="1">
      <c r="A356" s="486">
        <f>MATCH(C356,$C$5:$C$700,0)</f>
        <v>352</v>
      </c>
      <c r="B356" s="56"/>
      <c r="C356" s="507" t="s">
        <v>3076</v>
      </c>
      <c r="D356" s="507"/>
      <c r="E356" s="508">
        <f t="shared" ref="E356:AK356" si="118">SUM(E331:E355)</f>
        <v>745.09999999999991</v>
      </c>
      <c r="F356" s="508">
        <f t="shared" si="118"/>
        <v>0</v>
      </c>
      <c r="G356" s="508">
        <f t="shared" si="118"/>
        <v>0</v>
      </c>
      <c r="H356" s="508">
        <f t="shared" si="118"/>
        <v>0</v>
      </c>
      <c r="I356" s="508">
        <f t="shared" si="118"/>
        <v>0</v>
      </c>
      <c r="J356" s="508">
        <f t="shared" si="118"/>
        <v>0</v>
      </c>
      <c r="K356" s="508">
        <f t="shared" si="118"/>
        <v>0</v>
      </c>
      <c r="L356" s="508">
        <f t="shared" si="118"/>
        <v>0</v>
      </c>
      <c r="M356" s="508">
        <f t="shared" si="118"/>
        <v>0</v>
      </c>
      <c r="N356" s="508">
        <f t="shared" si="118"/>
        <v>0</v>
      </c>
      <c r="O356" s="508">
        <f t="shared" si="118"/>
        <v>745.09999999999991</v>
      </c>
      <c r="P356" s="508">
        <f t="shared" si="118"/>
        <v>0</v>
      </c>
      <c r="Q356" s="508">
        <f t="shared" si="118"/>
        <v>0</v>
      </c>
      <c r="R356" s="508">
        <f t="shared" si="118"/>
        <v>0</v>
      </c>
      <c r="S356" s="508">
        <f t="shared" si="118"/>
        <v>0</v>
      </c>
      <c r="T356" s="509">
        <f t="shared" si="118"/>
        <v>0</v>
      </c>
      <c r="U356" s="509">
        <f t="shared" si="118"/>
        <v>0</v>
      </c>
      <c r="V356" s="509">
        <f t="shared" si="118"/>
        <v>4</v>
      </c>
      <c r="W356" s="509">
        <f t="shared" si="118"/>
        <v>0</v>
      </c>
      <c r="X356" s="509">
        <f t="shared" si="118"/>
        <v>0</v>
      </c>
      <c r="Y356" s="509">
        <f t="shared" si="118"/>
        <v>0</v>
      </c>
      <c r="Z356" s="509">
        <f t="shared" si="118"/>
        <v>0</v>
      </c>
      <c r="AA356" s="509">
        <f t="shared" si="118"/>
        <v>0</v>
      </c>
      <c r="AB356" s="509">
        <f t="shared" si="118"/>
        <v>0</v>
      </c>
      <c r="AC356" s="509">
        <f t="shared" si="118"/>
        <v>0</v>
      </c>
      <c r="AD356" s="509">
        <f t="shared" si="118"/>
        <v>0</v>
      </c>
      <c r="AE356" s="511">
        <f t="shared" si="118"/>
        <v>0</v>
      </c>
      <c r="AF356" s="958">
        <f t="shared" si="118"/>
        <v>2</v>
      </c>
      <c r="AG356" s="509">
        <f t="shared" si="118"/>
        <v>0</v>
      </c>
      <c r="AH356" s="509">
        <f t="shared" si="118"/>
        <v>0</v>
      </c>
      <c r="AI356" s="509">
        <f t="shared" si="118"/>
        <v>0</v>
      </c>
      <c r="AJ356" s="509">
        <f t="shared" si="118"/>
        <v>0</v>
      </c>
      <c r="AK356" s="509">
        <f t="shared" si="118"/>
        <v>0</v>
      </c>
      <c r="AL356" s="509">
        <f t="shared" ref="AL356:BQ356" si="119">SUM(AL331:AL355)</f>
        <v>0</v>
      </c>
      <c r="AM356" s="509">
        <f t="shared" si="119"/>
        <v>1</v>
      </c>
      <c r="AN356" s="509">
        <f t="shared" si="119"/>
        <v>0</v>
      </c>
      <c r="AO356" s="509">
        <f t="shared" si="119"/>
        <v>0</v>
      </c>
      <c r="AP356" s="509">
        <f t="shared" si="119"/>
        <v>0</v>
      </c>
      <c r="AQ356" s="509">
        <f t="shared" si="119"/>
        <v>0</v>
      </c>
      <c r="AR356" s="509">
        <f t="shared" si="119"/>
        <v>0</v>
      </c>
      <c r="AS356" s="509">
        <f t="shared" si="119"/>
        <v>0</v>
      </c>
      <c r="AT356" s="509">
        <f t="shared" si="119"/>
        <v>0</v>
      </c>
      <c r="AU356" s="509">
        <f t="shared" si="119"/>
        <v>5</v>
      </c>
      <c r="AV356" s="509">
        <f t="shared" si="119"/>
        <v>0</v>
      </c>
      <c r="AW356" s="509">
        <f t="shared" si="119"/>
        <v>16</v>
      </c>
      <c r="AX356" s="509">
        <f t="shared" si="119"/>
        <v>0</v>
      </c>
      <c r="AY356" s="509">
        <f t="shared" si="119"/>
        <v>0</v>
      </c>
      <c r="AZ356" s="509">
        <f t="shared" si="119"/>
        <v>27</v>
      </c>
      <c r="BA356" s="509">
        <f t="shared" si="119"/>
        <v>9</v>
      </c>
      <c r="BB356" s="509">
        <f t="shared" si="119"/>
        <v>0</v>
      </c>
      <c r="BC356" s="509">
        <f t="shared" si="119"/>
        <v>0</v>
      </c>
      <c r="BD356" s="509">
        <f t="shared" si="119"/>
        <v>21</v>
      </c>
      <c r="BE356" s="509">
        <f t="shared" si="119"/>
        <v>7</v>
      </c>
      <c r="BF356" s="509">
        <f t="shared" si="119"/>
        <v>2</v>
      </c>
      <c r="BG356" s="509">
        <f t="shared" si="119"/>
        <v>0</v>
      </c>
      <c r="BH356" s="509">
        <f t="shared" si="119"/>
        <v>0</v>
      </c>
      <c r="BI356" s="509">
        <f t="shared" si="119"/>
        <v>110</v>
      </c>
      <c r="BJ356" s="509">
        <f t="shared" si="119"/>
        <v>0</v>
      </c>
      <c r="BK356" s="509">
        <f t="shared" si="119"/>
        <v>0</v>
      </c>
      <c r="BL356" s="509">
        <f t="shared" si="119"/>
        <v>0</v>
      </c>
      <c r="BM356" s="509">
        <f t="shared" si="119"/>
        <v>0</v>
      </c>
      <c r="BN356" s="509">
        <f t="shared" si="119"/>
        <v>0</v>
      </c>
      <c r="BO356" s="509">
        <f t="shared" si="119"/>
        <v>0</v>
      </c>
      <c r="BP356" s="509">
        <f t="shared" si="119"/>
        <v>0</v>
      </c>
      <c r="BQ356" s="509">
        <f t="shared" si="119"/>
        <v>4</v>
      </c>
      <c r="BR356" s="509">
        <f t="shared" ref="BR356:DA356" si="120">SUM(BR331:BR355)</f>
        <v>0</v>
      </c>
      <c r="BS356" s="509">
        <f t="shared" si="120"/>
        <v>16</v>
      </c>
      <c r="BT356" s="509">
        <f t="shared" si="120"/>
        <v>0</v>
      </c>
      <c r="BU356" s="509">
        <f t="shared" si="120"/>
        <v>0</v>
      </c>
      <c r="BV356" s="509">
        <f t="shared" si="120"/>
        <v>0</v>
      </c>
      <c r="BW356" s="509">
        <f t="shared" si="120"/>
        <v>0</v>
      </c>
      <c r="BX356" s="509">
        <f t="shared" si="120"/>
        <v>18</v>
      </c>
      <c r="BY356" s="509">
        <f t="shared" si="120"/>
        <v>0</v>
      </c>
      <c r="BZ356" s="509">
        <f t="shared" si="120"/>
        <v>0</v>
      </c>
      <c r="CA356" s="509">
        <f t="shared" si="120"/>
        <v>0</v>
      </c>
      <c r="CB356" s="509">
        <f t="shared" si="120"/>
        <v>20</v>
      </c>
      <c r="CC356" s="509">
        <f t="shared" si="120"/>
        <v>0</v>
      </c>
      <c r="CD356" s="509">
        <f t="shared" si="120"/>
        <v>80</v>
      </c>
      <c r="CE356" s="509">
        <f t="shared" si="120"/>
        <v>6</v>
      </c>
      <c r="CF356" s="509">
        <f t="shared" si="120"/>
        <v>0</v>
      </c>
      <c r="CG356" s="509">
        <f t="shared" si="120"/>
        <v>12</v>
      </c>
      <c r="CH356" s="509">
        <f t="shared" si="120"/>
        <v>0</v>
      </c>
      <c r="CI356" s="509">
        <f t="shared" si="120"/>
        <v>8</v>
      </c>
      <c r="CJ356" s="509">
        <f t="shared" si="120"/>
        <v>0</v>
      </c>
      <c r="CK356" s="509">
        <f t="shared" si="120"/>
        <v>0</v>
      </c>
      <c r="CL356" s="509">
        <f t="shared" si="120"/>
        <v>0</v>
      </c>
      <c r="CM356" s="509">
        <f t="shared" si="120"/>
        <v>24</v>
      </c>
      <c r="CN356" s="509">
        <f t="shared" si="120"/>
        <v>0</v>
      </c>
      <c r="CO356" s="509">
        <f t="shared" si="120"/>
        <v>8</v>
      </c>
      <c r="CP356" s="509">
        <f t="shared" si="120"/>
        <v>0</v>
      </c>
      <c r="CQ356" s="509">
        <f t="shared" si="120"/>
        <v>0</v>
      </c>
      <c r="CR356" s="509">
        <f t="shared" si="120"/>
        <v>0</v>
      </c>
      <c r="CS356" s="509">
        <f t="shared" si="120"/>
        <v>0</v>
      </c>
      <c r="CT356" s="509">
        <f t="shared" si="120"/>
        <v>0</v>
      </c>
      <c r="CU356" s="509">
        <f t="shared" si="120"/>
        <v>2</v>
      </c>
      <c r="CV356" s="509">
        <f t="shared" si="120"/>
        <v>0</v>
      </c>
      <c r="CW356" s="509">
        <f t="shared" si="120"/>
        <v>0</v>
      </c>
      <c r="CX356" s="509">
        <f>SUM(CX331:CX355)</f>
        <v>0</v>
      </c>
      <c r="CY356" s="509">
        <f>SUM(CY331:CY355)</f>
        <v>0</v>
      </c>
      <c r="CZ356" s="509">
        <f t="shared" si="120"/>
        <v>0</v>
      </c>
      <c r="DA356" s="509">
        <f t="shared" si="120"/>
        <v>0</v>
      </c>
      <c r="DB356" s="509">
        <f t="shared" ref="DB356:EG356" si="121">SUM(DB331:DB355)</f>
        <v>0</v>
      </c>
      <c r="DC356" s="509">
        <f t="shared" si="121"/>
        <v>0</v>
      </c>
      <c r="DD356" s="509">
        <f t="shared" si="121"/>
        <v>0</v>
      </c>
      <c r="DE356" s="509">
        <f t="shared" si="121"/>
        <v>0</v>
      </c>
      <c r="DF356" s="509">
        <f t="shared" si="121"/>
        <v>0</v>
      </c>
      <c r="DG356" s="518">
        <f t="shared" si="121"/>
        <v>0</v>
      </c>
      <c r="DH356" s="518">
        <f t="shared" si="121"/>
        <v>0</v>
      </c>
      <c r="DI356" s="518">
        <f t="shared" si="121"/>
        <v>0</v>
      </c>
      <c r="DJ356" s="518">
        <f t="shared" si="121"/>
        <v>0</v>
      </c>
      <c r="DK356" s="518">
        <f t="shared" si="121"/>
        <v>0</v>
      </c>
      <c r="DL356" s="518">
        <f t="shared" si="121"/>
        <v>0</v>
      </c>
      <c r="DM356" s="518">
        <f t="shared" si="121"/>
        <v>0</v>
      </c>
      <c r="DN356" s="518">
        <f t="shared" si="121"/>
        <v>0</v>
      </c>
      <c r="DO356" s="518">
        <f t="shared" si="121"/>
        <v>0</v>
      </c>
      <c r="DP356" s="518">
        <f t="shared" si="121"/>
        <v>0</v>
      </c>
      <c r="DQ356" s="518">
        <f t="shared" si="121"/>
        <v>0</v>
      </c>
      <c r="DR356" s="518">
        <f t="shared" si="121"/>
        <v>0</v>
      </c>
      <c r="DS356" s="509">
        <f t="shared" si="121"/>
        <v>0</v>
      </c>
      <c r="DT356" s="509">
        <f t="shared" si="121"/>
        <v>0</v>
      </c>
      <c r="DU356" s="509">
        <f t="shared" si="121"/>
        <v>0</v>
      </c>
      <c r="DV356" s="509">
        <f t="shared" si="121"/>
        <v>0</v>
      </c>
      <c r="DW356" s="509">
        <f t="shared" si="121"/>
        <v>0</v>
      </c>
      <c r="DX356" s="509">
        <f t="shared" si="121"/>
        <v>0</v>
      </c>
      <c r="DY356" s="509">
        <f t="shared" si="121"/>
        <v>0</v>
      </c>
      <c r="DZ356" s="509">
        <f t="shared" si="121"/>
        <v>0</v>
      </c>
      <c r="EA356" s="509">
        <f t="shared" si="121"/>
        <v>0</v>
      </c>
      <c r="EB356" s="509">
        <f t="shared" si="121"/>
        <v>0</v>
      </c>
      <c r="EC356" s="509">
        <f t="shared" si="121"/>
        <v>0</v>
      </c>
      <c r="ED356" s="509">
        <f t="shared" si="121"/>
        <v>0</v>
      </c>
      <c r="EE356" s="509">
        <f t="shared" si="121"/>
        <v>0</v>
      </c>
      <c r="EF356" s="509">
        <f t="shared" si="121"/>
        <v>0</v>
      </c>
      <c r="EG356" s="509">
        <f t="shared" si="121"/>
        <v>0</v>
      </c>
      <c r="EH356" s="509">
        <f t="shared" ref="EH356:FM356" si="122">SUM(EH331:EH355)</f>
        <v>0</v>
      </c>
      <c r="EI356" s="509">
        <f t="shared" si="122"/>
        <v>0</v>
      </c>
      <c r="EJ356" s="509">
        <f t="shared" si="122"/>
        <v>0</v>
      </c>
      <c r="EK356" s="509">
        <f t="shared" si="122"/>
        <v>0</v>
      </c>
      <c r="EL356" s="509">
        <f t="shared" si="122"/>
        <v>0</v>
      </c>
      <c r="EM356" s="509">
        <f t="shared" si="122"/>
        <v>0</v>
      </c>
      <c r="EN356" s="509">
        <f t="shared" si="122"/>
        <v>0</v>
      </c>
      <c r="EO356" s="509">
        <f t="shared" si="122"/>
        <v>0</v>
      </c>
      <c r="EP356" s="509">
        <f t="shared" si="122"/>
        <v>0</v>
      </c>
      <c r="EQ356" s="509">
        <f t="shared" si="122"/>
        <v>0</v>
      </c>
      <c r="ER356" s="509">
        <f t="shared" si="122"/>
        <v>0</v>
      </c>
      <c r="ES356" s="509">
        <f t="shared" si="122"/>
        <v>0</v>
      </c>
      <c r="ET356" s="509">
        <f t="shared" si="122"/>
        <v>0</v>
      </c>
      <c r="EU356" s="509">
        <f t="shared" si="122"/>
        <v>0</v>
      </c>
      <c r="EV356" s="509">
        <f t="shared" si="122"/>
        <v>0</v>
      </c>
      <c r="EW356" s="509">
        <f t="shared" si="122"/>
        <v>0</v>
      </c>
      <c r="EX356" s="509">
        <f t="shared" si="122"/>
        <v>0</v>
      </c>
      <c r="EY356" s="509">
        <f t="shared" si="122"/>
        <v>0</v>
      </c>
      <c r="EZ356" s="509">
        <f t="shared" si="122"/>
        <v>0</v>
      </c>
      <c r="FA356" s="509">
        <f t="shared" si="122"/>
        <v>0</v>
      </c>
      <c r="FB356" s="509">
        <f t="shared" si="122"/>
        <v>0</v>
      </c>
      <c r="FC356" s="509">
        <f t="shared" si="122"/>
        <v>0</v>
      </c>
      <c r="FD356" s="509">
        <f t="shared" si="122"/>
        <v>0</v>
      </c>
      <c r="FE356" s="509">
        <f t="shared" si="122"/>
        <v>0</v>
      </c>
      <c r="FF356" s="509">
        <f t="shared" si="122"/>
        <v>0</v>
      </c>
      <c r="FG356" s="509">
        <f t="shared" si="122"/>
        <v>0</v>
      </c>
      <c r="FH356" s="509">
        <f t="shared" si="122"/>
        <v>0</v>
      </c>
      <c r="FI356" s="509">
        <f t="shared" si="122"/>
        <v>0</v>
      </c>
      <c r="FJ356" s="509">
        <f t="shared" si="122"/>
        <v>0</v>
      </c>
      <c r="FK356" s="509">
        <f t="shared" si="122"/>
        <v>0</v>
      </c>
      <c r="FL356" s="509">
        <f t="shared" si="122"/>
        <v>0</v>
      </c>
      <c r="FM356" s="509">
        <f t="shared" si="122"/>
        <v>0</v>
      </c>
      <c r="FN356" s="509">
        <f>SUM(FN331:FN355)</f>
        <v>0</v>
      </c>
      <c r="FO356" s="509">
        <f>SUM(FO331:FO355)</f>
        <v>0</v>
      </c>
      <c r="FP356" s="509"/>
      <c r="FQ356" s="508"/>
      <c r="FU356" s="4">
        <f>DY356-FM356</f>
        <v>0</v>
      </c>
    </row>
    <row r="357" spans="1:177" s="4" customFormat="1">
      <c r="A357" s="56"/>
      <c r="B357" s="56">
        <v>6</v>
      </c>
      <c r="C357" s="501" t="s">
        <v>3728</v>
      </c>
      <c r="D357" s="502"/>
      <c r="E357" s="503"/>
      <c r="F357" s="503"/>
      <c r="G357" s="503"/>
      <c r="H357" s="503"/>
      <c r="I357" s="503"/>
      <c r="J357" s="503"/>
      <c r="K357" s="503"/>
      <c r="L357" s="503"/>
      <c r="M357" s="503"/>
      <c r="N357" s="503"/>
      <c r="O357" s="503"/>
      <c r="P357" s="503"/>
      <c r="Q357" s="503"/>
      <c r="R357" s="503"/>
      <c r="S357" s="503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954"/>
      <c r="AF357" s="959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504"/>
      <c r="BQ357" s="504"/>
      <c r="BR357" s="504"/>
      <c r="BS357" s="504"/>
      <c r="BT357" s="504"/>
      <c r="BU357" s="504"/>
      <c r="BV357" s="504"/>
      <c r="BW357" s="504"/>
      <c r="BX357" s="504"/>
      <c r="BY357" s="504"/>
      <c r="BZ357" s="504"/>
      <c r="CA357" s="504"/>
      <c r="CB357" s="504"/>
      <c r="CC357" s="504"/>
      <c r="CD357" s="504"/>
      <c r="CE357" s="504"/>
      <c r="CF357" s="504"/>
      <c r="CG357" s="504"/>
      <c r="CH357" s="504"/>
      <c r="CI357" s="504"/>
      <c r="CJ357" s="504"/>
      <c r="CK357" s="504"/>
      <c r="CL357" s="504"/>
      <c r="CM357" s="504"/>
      <c r="CN357" s="504"/>
      <c r="CO357" s="504"/>
      <c r="CP357" s="504"/>
      <c r="CQ357" s="504"/>
      <c r="CR357" s="504"/>
      <c r="CS357" s="504"/>
      <c r="CT357" s="504"/>
      <c r="CU357" s="504"/>
      <c r="CV357" s="504"/>
      <c r="CW357" s="504"/>
      <c r="CX357" s="504"/>
      <c r="CY357" s="504"/>
      <c r="CZ357" s="504"/>
      <c r="DA357" s="504"/>
      <c r="DB357" s="504"/>
      <c r="DC357" s="504"/>
      <c r="DD357" s="504"/>
      <c r="DE357" s="504"/>
      <c r="DF357" s="504"/>
      <c r="DG357" s="519"/>
      <c r="DH357" s="519"/>
      <c r="DI357" s="519"/>
      <c r="DJ357" s="519"/>
      <c r="DK357" s="519"/>
      <c r="DL357" s="519"/>
      <c r="DM357" s="519"/>
      <c r="DN357" s="519"/>
      <c r="DO357" s="519"/>
      <c r="DP357" s="519"/>
      <c r="DQ357" s="519"/>
      <c r="DR357" s="519"/>
      <c r="DS357" s="504"/>
      <c r="DT357" s="504"/>
      <c r="DU357" s="504"/>
      <c r="DV357" s="504"/>
      <c r="DW357" s="504"/>
      <c r="DX357" s="504"/>
      <c r="DY357" s="504"/>
      <c r="DZ357" s="504"/>
      <c r="EA357" s="504"/>
      <c r="EB357" s="504"/>
      <c r="EC357" s="504"/>
      <c r="ED357" s="504"/>
      <c r="EE357" s="504"/>
      <c r="EF357" s="504"/>
      <c r="EG357" s="504"/>
      <c r="EH357" s="504"/>
      <c r="EI357" s="504"/>
      <c r="EJ357" s="504"/>
      <c r="EK357" s="504"/>
      <c r="EL357" s="504"/>
      <c r="EM357" s="504"/>
      <c r="EN357" s="504"/>
      <c r="EO357" s="504"/>
      <c r="EP357" s="504"/>
      <c r="EQ357" s="504"/>
      <c r="ER357" s="504"/>
      <c r="ES357" s="504"/>
      <c r="ET357" s="504"/>
      <c r="EU357" s="504"/>
      <c r="EV357" s="504"/>
      <c r="EW357" s="504"/>
      <c r="EX357" s="504"/>
      <c r="EY357" s="504"/>
      <c r="EZ357" s="504"/>
      <c r="FA357" s="504"/>
      <c r="FB357" s="504"/>
      <c r="FC357" s="504"/>
      <c r="FD357" s="504"/>
      <c r="FE357" s="504"/>
      <c r="FF357" s="504"/>
      <c r="FG357" s="504"/>
      <c r="FH357" s="504"/>
      <c r="FI357" s="504"/>
      <c r="FJ357" s="504"/>
      <c r="FK357" s="504"/>
      <c r="FL357" s="504"/>
      <c r="FM357" s="504"/>
      <c r="FN357" s="504"/>
      <c r="FO357" s="504"/>
      <c r="FP357" s="504"/>
      <c r="FQ357" s="505"/>
      <c r="FU357" s="4">
        <f>DY357-FM357</f>
        <v>0</v>
      </c>
    </row>
    <row r="358" spans="1:177" s="696" customFormat="1">
      <c r="A358" s="690"/>
      <c r="B358" s="690"/>
      <c r="C358" s="691"/>
      <c r="D358" s="691" t="s">
        <v>3760</v>
      </c>
      <c r="E358" s="692"/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>
        <f>E358</f>
        <v>0</v>
      </c>
      <c r="Q358" s="692"/>
      <c r="R358" s="693"/>
      <c r="S358" s="693"/>
      <c r="T358" s="692"/>
      <c r="U358" s="692" t="s">
        <v>2990</v>
      </c>
      <c r="V358" s="692"/>
      <c r="W358" s="692"/>
      <c r="X358" s="692"/>
      <c r="Y358" s="692"/>
      <c r="Z358" s="692"/>
      <c r="AA358" s="692"/>
      <c r="AB358" s="692"/>
      <c r="AC358" s="692"/>
      <c r="AD358" s="692"/>
      <c r="AE358" s="725"/>
      <c r="AF358" s="957"/>
      <c r="AG358" s="692"/>
      <c r="AH358" s="692"/>
      <c r="AI358" s="692"/>
      <c r="AJ358" s="692"/>
      <c r="AK358" s="692"/>
      <c r="AL358" s="692"/>
      <c r="AM358" s="692"/>
      <c r="AN358" s="692"/>
      <c r="AO358" s="692"/>
      <c r="AP358" s="692"/>
      <c r="AQ358" s="692"/>
      <c r="AR358" s="692"/>
      <c r="AS358" s="692"/>
      <c r="AT358" s="692"/>
      <c r="AU358" s="692"/>
      <c r="AV358" s="692"/>
      <c r="AW358" s="692"/>
      <c r="AX358" s="692"/>
      <c r="AY358" s="692"/>
      <c r="AZ358" s="692"/>
      <c r="BA358" s="692">
        <f>AW358+CB358+CC358</f>
        <v>0</v>
      </c>
      <c r="BB358" s="692"/>
      <c r="BC358" s="692"/>
      <c r="BD358" s="692"/>
      <c r="BE358" s="692"/>
      <c r="BF358" s="692"/>
      <c r="BG358" s="692"/>
      <c r="BH358" s="692"/>
      <c r="BI358" s="692"/>
      <c r="BJ358" s="692">
        <f>CB358*5+AU358*2</f>
        <v>0</v>
      </c>
      <c r="BK358" s="692"/>
      <c r="BL358" s="692"/>
      <c r="BM358" s="692"/>
      <c r="BN358" s="692"/>
      <c r="BO358" s="692"/>
      <c r="BP358" s="692"/>
      <c r="BQ358" s="692"/>
      <c r="BR358" s="692"/>
      <c r="BS358" s="692"/>
      <c r="BT358" s="692">
        <f t="shared" ref="BT358:BT396" si="123">IF(U358="I",1,IF(U358="G",2,))</f>
        <v>0</v>
      </c>
      <c r="BU358" s="692"/>
      <c r="BV358" s="692"/>
      <c r="BW358" s="692"/>
      <c r="BX358" s="692"/>
      <c r="BY358" s="692"/>
      <c r="BZ358" s="692"/>
      <c r="CA358" s="692"/>
      <c r="CB358" s="692"/>
      <c r="CC358" s="692"/>
      <c r="CD358" s="692">
        <f>CB358*4</f>
        <v>0</v>
      </c>
      <c r="CE358" s="692"/>
      <c r="CF358" s="692"/>
      <c r="CG358" s="692"/>
      <c r="CH358" s="692"/>
      <c r="CI358" s="692"/>
      <c r="CJ358" s="692"/>
      <c r="CK358" s="692"/>
      <c r="CL358" s="692"/>
      <c r="CM358" s="692"/>
      <c r="CN358" s="692"/>
      <c r="CO358" s="692"/>
      <c r="CP358" s="692"/>
      <c r="CQ358" s="692"/>
      <c r="CR358" s="692"/>
      <c r="CS358" s="692"/>
      <c r="CT358" s="692"/>
      <c r="CU358" s="692"/>
      <c r="CV358" s="692"/>
      <c r="CW358" s="692"/>
      <c r="CX358" s="694"/>
      <c r="CY358" s="694"/>
      <c r="CZ358" s="694"/>
      <c r="DA358" s="694"/>
      <c r="DB358" s="694"/>
      <c r="DC358" s="694"/>
      <c r="DD358" s="694"/>
      <c r="DE358" s="694"/>
      <c r="DF358" s="694"/>
      <c r="DG358" s="695"/>
      <c r="DH358" s="695"/>
      <c r="DI358" s="695"/>
      <c r="DJ358" s="695"/>
      <c r="DK358" s="695"/>
      <c r="DL358" s="695"/>
      <c r="DM358" s="695"/>
      <c r="DN358" s="695"/>
      <c r="DO358" s="695"/>
      <c r="DP358" s="695"/>
      <c r="DQ358" s="695"/>
      <c r="DR358" s="695"/>
      <c r="DS358" s="694"/>
      <c r="DT358" s="694"/>
      <c r="DU358" s="692"/>
      <c r="DV358" s="692"/>
      <c r="DW358" s="692"/>
      <c r="DX358" s="692"/>
      <c r="DY358" s="692"/>
      <c r="DZ358" s="692"/>
      <c r="EA358" s="692"/>
      <c r="EB358" s="692"/>
      <c r="EC358" s="692"/>
      <c r="ED358" s="692"/>
      <c r="EE358" s="692"/>
      <c r="EF358" s="692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4"/>
      <c r="FH358" s="694"/>
      <c r="FI358" s="694"/>
      <c r="FJ358" s="694"/>
      <c r="FK358" s="694"/>
      <c r="FL358" s="694"/>
      <c r="FM358" s="694"/>
      <c r="FN358" s="694"/>
      <c r="FO358" s="694"/>
      <c r="FP358" s="694"/>
      <c r="FQ358" s="697"/>
    </row>
    <row r="359" spans="1:177" s="696" customFormat="1">
      <c r="A359" s="690"/>
      <c r="B359" s="690"/>
      <c r="C359" s="691"/>
      <c r="D359" s="691" t="s">
        <v>3761</v>
      </c>
      <c r="E359" s="692">
        <v>38.200000000000003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>
        <f t="shared" ref="P359:P381" si="124">E359</f>
        <v>38.200000000000003</v>
      </c>
      <c r="Q359" s="692"/>
      <c r="R359" s="693"/>
      <c r="S359" s="693"/>
      <c r="T359" s="692"/>
      <c r="U359" s="692" t="s">
        <v>2989</v>
      </c>
      <c r="V359" s="692"/>
      <c r="W359" s="692"/>
      <c r="X359" s="692"/>
      <c r="Y359" s="692"/>
      <c r="Z359" s="692"/>
      <c r="AA359" s="692"/>
      <c r="AB359" s="692"/>
      <c r="AC359" s="692"/>
      <c r="AD359" s="692"/>
      <c r="AE359" s="725"/>
      <c r="AF359" s="957"/>
      <c r="AG359" s="692"/>
      <c r="AH359" s="692"/>
      <c r="AI359" s="692"/>
      <c r="AJ359" s="692"/>
      <c r="AK359" s="692"/>
      <c r="AL359" s="692"/>
      <c r="AM359" s="692"/>
      <c r="AN359" s="692"/>
      <c r="AO359" s="692"/>
      <c r="AP359" s="692"/>
      <c r="AQ359" s="692"/>
      <c r="AR359" s="692"/>
      <c r="AS359" s="692"/>
      <c r="AT359" s="692"/>
      <c r="AU359" s="692">
        <v>1</v>
      </c>
      <c r="AV359" s="692"/>
      <c r="AW359" s="692"/>
      <c r="AX359" s="692"/>
      <c r="AY359" s="692"/>
      <c r="AZ359" s="692"/>
      <c r="BA359" s="692">
        <f t="shared" ref="BA359:BA380" si="125">AW359+CB359+CC359</f>
        <v>1</v>
      </c>
      <c r="BB359" s="692"/>
      <c r="BC359" s="692"/>
      <c r="BD359" s="692"/>
      <c r="BE359" s="692">
        <v>2</v>
      </c>
      <c r="BF359" s="692"/>
      <c r="BG359" s="692"/>
      <c r="BH359" s="692"/>
      <c r="BI359" s="692"/>
      <c r="BJ359" s="692">
        <f t="shared" ref="BJ359:BJ396" si="126">CB359*5+AU359*2</f>
        <v>7</v>
      </c>
      <c r="BK359" s="692"/>
      <c r="BL359" s="692"/>
      <c r="BM359" s="692"/>
      <c r="BN359" s="692"/>
      <c r="BO359" s="692"/>
      <c r="BP359" s="692"/>
      <c r="BQ359" s="692"/>
      <c r="BR359" s="692"/>
      <c r="BS359" s="692"/>
      <c r="BT359" s="692">
        <f t="shared" si="123"/>
        <v>0</v>
      </c>
      <c r="BU359" s="692"/>
      <c r="BV359" s="692"/>
      <c r="BW359" s="692"/>
      <c r="BX359" s="692"/>
      <c r="BY359" s="692">
        <v>1</v>
      </c>
      <c r="BZ359" s="692"/>
      <c r="CA359" s="692"/>
      <c r="CB359" s="692">
        <v>1</v>
      </c>
      <c r="CC359" s="692"/>
      <c r="CD359" s="692">
        <f t="shared" ref="CD359:CD422" si="127">CB359*4</f>
        <v>4</v>
      </c>
      <c r="CE359" s="692"/>
      <c r="CF359" s="692"/>
      <c r="CG359" s="692"/>
      <c r="CH359" s="692"/>
      <c r="CI359" s="692"/>
      <c r="CJ359" s="692"/>
      <c r="CK359" s="692"/>
      <c r="CL359" s="692"/>
      <c r="CM359" s="692"/>
      <c r="CN359" s="692"/>
      <c r="CO359" s="692"/>
      <c r="CP359" s="692"/>
      <c r="CQ359" s="692"/>
      <c r="CR359" s="692"/>
      <c r="CS359" s="692"/>
      <c r="CT359" s="692"/>
      <c r="CU359" s="692"/>
      <c r="CV359" s="692"/>
      <c r="CW359" s="692"/>
      <c r="CX359" s="694"/>
      <c r="CY359" s="694"/>
      <c r="CZ359" s="694"/>
      <c r="DA359" s="694"/>
      <c r="DB359" s="694"/>
      <c r="DC359" s="694"/>
      <c r="DD359" s="694"/>
      <c r="DE359" s="694"/>
      <c r="DF359" s="694"/>
      <c r="DG359" s="695"/>
      <c r="DH359" s="695"/>
      <c r="DI359" s="695"/>
      <c r="DJ359" s="695"/>
      <c r="DK359" s="695"/>
      <c r="DL359" s="695"/>
      <c r="DM359" s="695"/>
      <c r="DN359" s="695"/>
      <c r="DO359" s="695"/>
      <c r="DP359" s="695"/>
      <c r="DQ359" s="695"/>
      <c r="DR359" s="695"/>
      <c r="DS359" s="694"/>
      <c r="DT359" s="694"/>
      <c r="DU359" s="692"/>
      <c r="DV359" s="692"/>
      <c r="DW359" s="692"/>
      <c r="DX359" s="692"/>
      <c r="DY359" s="692"/>
      <c r="DZ359" s="692"/>
      <c r="EA359" s="692"/>
      <c r="EB359" s="692"/>
      <c r="EC359" s="692"/>
      <c r="ED359" s="692"/>
      <c r="EE359" s="692"/>
      <c r="EF359" s="692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4"/>
      <c r="FH359" s="694"/>
      <c r="FI359" s="694"/>
      <c r="FJ359" s="694"/>
      <c r="FK359" s="694"/>
      <c r="FL359" s="694"/>
      <c r="FM359" s="694"/>
      <c r="FN359" s="694"/>
      <c r="FO359" s="694"/>
      <c r="FP359" s="694"/>
      <c r="FQ359" s="697"/>
    </row>
    <row r="360" spans="1:177" s="696" customFormat="1">
      <c r="A360" s="690"/>
      <c r="B360" s="690"/>
      <c r="C360" s="691"/>
      <c r="D360" s="691" t="s">
        <v>3762</v>
      </c>
      <c r="E360" s="692">
        <v>43.1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>
        <f t="shared" si="124"/>
        <v>43.1</v>
      </c>
      <c r="Q360" s="692"/>
      <c r="R360" s="693"/>
      <c r="S360" s="693"/>
      <c r="T360" s="692"/>
      <c r="U360" s="692" t="s">
        <v>1631</v>
      </c>
      <c r="V360" s="692"/>
      <c r="W360" s="692"/>
      <c r="X360" s="692"/>
      <c r="Y360" s="692"/>
      <c r="Z360" s="692"/>
      <c r="AA360" s="692"/>
      <c r="AB360" s="692"/>
      <c r="AC360" s="692"/>
      <c r="AD360" s="692"/>
      <c r="AE360" s="725"/>
      <c r="AF360" s="957"/>
      <c r="AG360" s="692"/>
      <c r="AH360" s="692"/>
      <c r="AI360" s="692"/>
      <c r="AJ360" s="692"/>
      <c r="AK360" s="692"/>
      <c r="AL360" s="692"/>
      <c r="AM360" s="692"/>
      <c r="AN360" s="692"/>
      <c r="AO360" s="692"/>
      <c r="AP360" s="692"/>
      <c r="AQ360" s="692"/>
      <c r="AR360" s="692"/>
      <c r="AS360" s="692"/>
      <c r="AT360" s="692"/>
      <c r="AU360" s="692"/>
      <c r="AV360" s="692"/>
      <c r="AW360" s="692"/>
      <c r="AX360" s="692"/>
      <c r="AY360" s="692"/>
      <c r="AZ360" s="692"/>
      <c r="BA360" s="692">
        <f t="shared" si="125"/>
        <v>1</v>
      </c>
      <c r="BB360" s="692"/>
      <c r="BC360" s="692"/>
      <c r="BD360" s="692"/>
      <c r="BE360" s="692"/>
      <c r="BF360" s="692"/>
      <c r="BG360" s="692"/>
      <c r="BH360" s="692"/>
      <c r="BI360" s="692"/>
      <c r="BJ360" s="692">
        <f t="shared" si="126"/>
        <v>5</v>
      </c>
      <c r="BK360" s="692"/>
      <c r="BL360" s="692"/>
      <c r="BM360" s="692"/>
      <c r="BN360" s="692"/>
      <c r="BO360" s="692"/>
      <c r="BP360" s="692"/>
      <c r="BQ360" s="692"/>
      <c r="BR360" s="692"/>
      <c r="BS360" s="692"/>
      <c r="BT360" s="692">
        <f t="shared" si="123"/>
        <v>1</v>
      </c>
      <c r="BU360" s="692"/>
      <c r="BV360" s="692"/>
      <c r="BW360" s="692"/>
      <c r="BX360" s="692"/>
      <c r="BY360" s="692">
        <v>2</v>
      </c>
      <c r="BZ360" s="692"/>
      <c r="CA360" s="692"/>
      <c r="CB360" s="692">
        <v>1</v>
      </c>
      <c r="CC360" s="692"/>
      <c r="CD360" s="692">
        <f t="shared" si="127"/>
        <v>4</v>
      </c>
      <c r="CE360" s="692"/>
      <c r="CF360" s="692"/>
      <c r="CG360" s="692"/>
      <c r="CH360" s="692"/>
      <c r="CI360" s="692"/>
      <c r="CJ360" s="692"/>
      <c r="CK360" s="692"/>
      <c r="CL360" s="692"/>
      <c r="CM360" s="692"/>
      <c r="CN360" s="692"/>
      <c r="CO360" s="692"/>
      <c r="CP360" s="692"/>
      <c r="CQ360" s="692"/>
      <c r="CR360" s="692"/>
      <c r="CS360" s="692"/>
      <c r="CT360" s="692"/>
      <c r="CU360" s="692"/>
      <c r="CV360" s="692"/>
      <c r="CW360" s="692"/>
      <c r="CX360" s="694"/>
      <c r="CY360" s="694"/>
      <c r="CZ360" s="694"/>
      <c r="DA360" s="694"/>
      <c r="DB360" s="694"/>
      <c r="DC360" s="694"/>
      <c r="DD360" s="694"/>
      <c r="DE360" s="694"/>
      <c r="DF360" s="694"/>
      <c r="DG360" s="695"/>
      <c r="DH360" s="695"/>
      <c r="DI360" s="695"/>
      <c r="DJ360" s="695"/>
      <c r="DK360" s="695"/>
      <c r="DL360" s="695"/>
      <c r="DM360" s="695"/>
      <c r="DN360" s="695"/>
      <c r="DO360" s="695"/>
      <c r="DP360" s="695"/>
      <c r="DQ360" s="695"/>
      <c r="DR360" s="695"/>
      <c r="DS360" s="694"/>
      <c r="DT360" s="694"/>
      <c r="DU360" s="692"/>
      <c r="DV360" s="692"/>
      <c r="DW360" s="692"/>
      <c r="DX360" s="692"/>
      <c r="DY360" s="692"/>
      <c r="DZ360" s="692"/>
      <c r="EA360" s="692"/>
      <c r="EB360" s="692"/>
      <c r="EC360" s="692"/>
      <c r="ED360" s="692"/>
      <c r="EE360" s="692"/>
      <c r="EF360" s="692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4"/>
      <c r="FH360" s="694"/>
      <c r="FI360" s="694"/>
      <c r="FJ360" s="694"/>
      <c r="FK360" s="694"/>
      <c r="FL360" s="694"/>
      <c r="FM360" s="694"/>
      <c r="FN360" s="694"/>
      <c r="FO360" s="694"/>
      <c r="FP360" s="694"/>
      <c r="FQ360" s="697"/>
    </row>
    <row r="361" spans="1:177" s="696" customFormat="1">
      <c r="A361" s="690"/>
      <c r="B361" s="690"/>
      <c r="C361" s="691"/>
      <c r="D361" s="691" t="s">
        <v>3763</v>
      </c>
      <c r="E361" s="692">
        <v>41.3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>
        <f t="shared" si="124"/>
        <v>41.3</v>
      </c>
      <c r="Q361" s="692"/>
      <c r="R361" s="693"/>
      <c r="S361" s="693"/>
      <c r="T361" s="692"/>
      <c r="U361" s="692" t="s">
        <v>1631</v>
      </c>
      <c r="V361" s="692"/>
      <c r="W361" s="692"/>
      <c r="X361" s="692"/>
      <c r="Y361" s="692"/>
      <c r="Z361" s="692"/>
      <c r="AA361" s="692"/>
      <c r="AB361" s="692"/>
      <c r="AC361" s="692"/>
      <c r="AD361" s="692"/>
      <c r="AE361" s="725"/>
      <c r="AF361" s="957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>
        <f t="shared" si="125"/>
        <v>1</v>
      </c>
      <c r="BB361" s="692"/>
      <c r="BC361" s="692"/>
      <c r="BD361" s="692"/>
      <c r="BE361" s="692"/>
      <c r="BF361" s="692"/>
      <c r="BG361" s="692"/>
      <c r="BH361" s="692"/>
      <c r="BI361" s="692"/>
      <c r="BJ361" s="692">
        <f t="shared" si="126"/>
        <v>5</v>
      </c>
      <c r="BK361" s="692"/>
      <c r="BL361" s="692"/>
      <c r="BM361" s="692"/>
      <c r="BN361" s="692"/>
      <c r="BO361" s="692"/>
      <c r="BP361" s="692"/>
      <c r="BQ361" s="692"/>
      <c r="BR361" s="692"/>
      <c r="BS361" s="692"/>
      <c r="BT361" s="692">
        <f t="shared" si="123"/>
        <v>1</v>
      </c>
      <c r="BU361" s="692"/>
      <c r="BV361" s="692"/>
      <c r="BW361" s="692"/>
      <c r="BX361" s="692"/>
      <c r="BY361" s="692"/>
      <c r="BZ361" s="692"/>
      <c r="CA361" s="692"/>
      <c r="CB361" s="692">
        <v>1</v>
      </c>
      <c r="CC361" s="692"/>
      <c r="CD361" s="692">
        <f t="shared" si="127"/>
        <v>4</v>
      </c>
      <c r="CE361" s="692"/>
      <c r="CF361" s="692"/>
      <c r="CG361" s="692"/>
      <c r="CH361" s="692"/>
      <c r="CI361" s="692"/>
      <c r="CJ361" s="692"/>
      <c r="CK361" s="692"/>
      <c r="CL361" s="692"/>
      <c r="CM361" s="692"/>
      <c r="CN361" s="692"/>
      <c r="CO361" s="692"/>
      <c r="CP361" s="692"/>
      <c r="CQ361" s="692"/>
      <c r="CR361" s="692"/>
      <c r="CS361" s="692"/>
      <c r="CT361" s="692"/>
      <c r="CU361" s="692"/>
      <c r="CV361" s="692"/>
      <c r="CW361" s="692"/>
      <c r="CX361" s="694"/>
      <c r="CY361" s="694"/>
      <c r="CZ361" s="694"/>
      <c r="DA361" s="694"/>
      <c r="DB361" s="694"/>
      <c r="DC361" s="694"/>
      <c r="DD361" s="694"/>
      <c r="DE361" s="694"/>
      <c r="DF361" s="694"/>
      <c r="DG361" s="695"/>
      <c r="DH361" s="695"/>
      <c r="DI361" s="695"/>
      <c r="DJ361" s="695"/>
      <c r="DK361" s="695"/>
      <c r="DL361" s="695"/>
      <c r="DM361" s="695"/>
      <c r="DN361" s="695"/>
      <c r="DO361" s="695"/>
      <c r="DP361" s="695"/>
      <c r="DQ361" s="695"/>
      <c r="DR361" s="695"/>
      <c r="DS361" s="694"/>
      <c r="DT361" s="694"/>
      <c r="DU361" s="692"/>
      <c r="DV361" s="692"/>
      <c r="DW361" s="692"/>
      <c r="DX361" s="692"/>
      <c r="DY361" s="692"/>
      <c r="DZ361" s="692"/>
      <c r="EA361" s="692"/>
      <c r="EB361" s="692"/>
      <c r="EC361" s="692"/>
      <c r="ED361" s="692"/>
      <c r="EE361" s="692"/>
      <c r="EF361" s="692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4"/>
      <c r="FH361" s="694"/>
      <c r="FI361" s="694"/>
      <c r="FJ361" s="694"/>
      <c r="FK361" s="694"/>
      <c r="FL361" s="694"/>
      <c r="FM361" s="694"/>
      <c r="FN361" s="694"/>
      <c r="FO361" s="694"/>
      <c r="FP361" s="694"/>
      <c r="FQ361" s="697"/>
    </row>
    <row r="362" spans="1:177" s="696" customFormat="1">
      <c r="A362" s="690"/>
      <c r="B362" s="690"/>
      <c r="C362" s="691"/>
      <c r="D362" s="691" t="s">
        <v>3764</v>
      </c>
      <c r="E362" s="692">
        <v>42.8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>
        <f t="shared" si="124"/>
        <v>42.8</v>
      </c>
      <c r="Q362" s="692"/>
      <c r="R362" s="693"/>
      <c r="S362" s="693"/>
      <c r="T362" s="692"/>
      <c r="U362" s="692" t="s">
        <v>1631</v>
      </c>
      <c r="V362" s="692"/>
      <c r="W362" s="692"/>
      <c r="X362" s="692"/>
      <c r="Y362" s="692"/>
      <c r="Z362" s="692"/>
      <c r="AA362" s="692"/>
      <c r="AB362" s="692"/>
      <c r="AC362" s="692"/>
      <c r="AD362" s="692"/>
      <c r="AE362" s="725"/>
      <c r="AF362" s="957"/>
      <c r="AG362" s="692"/>
      <c r="AH362" s="692"/>
      <c r="AI362" s="692"/>
      <c r="AJ362" s="692"/>
      <c r="AK362" s="692"/>
      <c r="AL362" s="692"/>
      <c r="AM362" s="692"/>
      <c r="AN362" s="692"/>
      <c r="AO362" s="692"/>
      <c r="AP362" s="692"/>
      <c r="AQ362" s="692"/>
      <c r="AR362" s="692"/>
      <c r="AS362" s="692"/>
      <c r="AT362" s="692"/>
      <c r="AU362" s="692">
        <v>1</v>
      </c>
      <c r="AV362" s="692"/>
      <c r="AW362" s="692"/>
      <c r="AX362" s="692"/>
      <c r="AY362" s="692"/>
      <c r="AZ362" s="692"/>
      <c r="BA362" s="692">
        <f t="shared" si="125"/>
        <v>1</v>
      </c>
      <c r="BB362" s="692"/>
      <c r="BC362" s="692"/>
      <c r="BD362" s="692"/>
      <c r="BE362" s="692"/>
      <c r="BF362" s="692"/>
      <c r="BG362" s="692"/>
      <c r="BH362" s="692"/>
      <c r="BI362" s="692"/>
      <c r="BJ362" s="692">
        <f t="shared" si="126"/>
        <v>7</v>
      </c>
      <c r="BK362" s="692"/>
      <c r="BL362" s="692"/>
      <c r="BM362" s="692"/>
      <c r="BN362" s="692"/>
      <c r="BO362" s="692"/>
      <c r="BP362" s="692"/>
      <c r="BQ362" s="692"/>
      <c r="BR362" s="692"/>
      <c r="BS362" s="692"/>
      <c r="BT362" s="692">
        <f t="shared" si="123"/>
        <v>1</v>
      </c>
      <c r="BU362" s="692"/>
      <c r="BV362" s="692"/>
      <c r="BW362" s="692"/>
      <c r="BX362" s="692"/>
      <c r="BY362" s="692"/>
      <c r="BZ362" s="692"/>
      <c r="CA362" s="692"/>
      <c r="CB362" s="692">
        <v>1</v>
      </c>
      <c r="CC362" s="692"/>
      <c r="CD362" s="692">
        <f t="shared" si="127"/>
        <v>4</v>
      </c>
      <c r="CE362" s="692"/>
      <c r="CF362" s="692"/>
      <c r="CG362" s="692"/>
      <c r="CH362" s="692"/>
      <c r="CI362" s="692"/>
      <c r="CJ362" s="692"/>
      <c r="CK362" s="692"/>
      <c r="CL362" s="692"/>
      <c r="CM362" s="692"/>
      <c r="CN362" s="692"/>
      <c r="CO362" s="692"/>
      <c r="CP362" s="692"/>
      <c r="CQ362" s="692"/>
      <c r="CR362" s="692"/>
      <c r="CS362" s="692"/>
      <c r="CT362" s="692"/>
      <c r="CU362" s="692"/>
      <c r="CV362" s="692"/>
      <c r="CW362" s="692"/>
      <c r="CX362" s="694"/>
      <c r="CY362" s="694"/>
      <c r="CZ362" s="694"/>
      <c r="DA362" s="694"/>
      <c r="DB362" s="694"/>
      <c r="DC362" s="694"/>
      <c r="DD362" s="694"/>
      <c r="DE362" s="694"/>
      <c r="DF362" s="694"/>
      <c r="DG362" s="695"/>
      <c r="DH362" s="695"/>
      <c r="DI362" s="695"/>
      <c r="DJ362" s="695"/>
      <c r="DK362" s="695"/>
      <c r="DL362" s="695"/>
      <c r="DM362" s="695"/>
      <c r="DN362" s="695"/>
      <c r="DO362" s="695"/>
      <c r="DP362" s="695"/>
      <c r="DQ362" s="695"/>
      <c r="DR362" s="695"/>
      <c r="DS362" s="694"/>
      <c r="DT362" s="694"/>
      <c r="DU362" s="692"/>
      <c r="DV362" s="692"/>
      <c r="DW362" s="692"/>
      <c r="DX362" s="692"/>
      <c r="DY362" s="692"/>
      <c r="DZ362" s="692"/>
      <c r="EA362" s="692"/>
      <c r="EB362" s="692"/>
      <c r="EC362" s="692"/>
      <c r="ED362" s="692"/>
      <c r="EE362" s="692"/>
      <c r="EF362" s="692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4"/>
      <c r="FH362" s="694"/>
      <c r="FI362" s="694"/>
      <c r="FJ362" s="694"/>
      <c r="FK362" s="694"/>
      <c r="FL362" s="694"/>
      <c r="FM362" s="694"/>
      <c r="FN362" s="694"/>
      <c r="FO362" s="694"/>
      <c r="FP362" s="694"/>
      <c r="FQ362" s="697"/>
    </row>
    <row r="363" spans="1:177" s="696" customFormat="1">
      <c r="A363" s="690"/>
      <c r="B363" s="690"/>
      <c r="C363" s="691"/>
      <c r="D363" s="691" t="s">
        <v>3765</v>
      </c>
      <c r="E363" s="692">
        <v>40.1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>
        <f t="shared" si="124"/>
        <v>40.1</v>
      </c>
      <c r="Q363" s="692"/>
      <c r="R363" s="693"/>
      <c r="S363" s="693"/>
      <c r="T363" s="692"/>
      <c r="U363" s="692" t="s">
        <v>3718</v>
      </c>
      <c r="V363" s="692"/>
      <c r="W363" s="692"/>
      <c r="X363" s="692"/>
      <c r="Y363" s="692"/>
      <c r="Z363" s="692"/>
      <c r="AA363" s="692"/>
      <c r="AB363" s="692"/>
      <c r="AC363" s="692"/>
      <c r="AD363" s="692"/>
      <c r="AE363" s="725"/>
      <c r="AF363" s="957"/>
      <c r="AG363" s="692"/>
      <c r="AH363" s="692"/>
      <c r="AI363" s="692"/>
      <c r="AJ363" s="692"/>
      <c r="AK363" s="692"/>
      <c r="AL363" s="692"/>
      <c r="AM363" s="692"/>
      <c r="AN363" s="692"/>
      <c r="AO363" s="692"/>
      <c r="AP363" s="692"/>
      <c r="AQ363" s="692"/>
      <c r="AR363" s="692"/>
      <c r="AS363" s="692"/>
      <c r="AT363" s="692"/>
      <c r="AU363" s="692"/>
      <c r="AV363" s="692"/>
      <c r="AW363" s="692"/>
      <c r="AX363" s="692"/>
      <c r="AY363" s="692"/>
      <c r="AZ363" s="692"/>
      <c r="BA363" s="692">
        <f t="shared" si="125"/>
        <v>2</v>
      </c>
      <c r="BB363" s="692"/>
      <c r="BC363" s="692"/>
      <c r="BD363" s="692"/>
      <c r="BE363" s="692">
        <v>3</v>
      </c>
      <c r="BF363" s="692"/>
      <c r="BG363" s="692"/>
      <c r="BH363" s="692"/>
      <c r="BI363" s="692"/>
      <c r="BJ363" s="692">
        <f t="shared" si="126"/>
        <v>5</v>
      </c>
      <c r="BK363" s="692"/>
      <c r="BL363" s="692"/>
      <c r="BM363" s="692"/>
      <c r="BN363" s="692"/>
      <c r="BO363" s="692"/>
      <c r="BP363" s="692"/>
      <c r="BQ363" s="692"/>
      <c r="BR363" s="692"/>
      <c r="BS363" s="692"/>
      <c r="BT363" s="692">
        <f t="shared" si="123"/>
        <v>0</v>
      </c>
      <c r="BU363" s="692"/>
      <c r="BV363" s="692"/>
      <c r="BW363" s="692"/>
      <c r="BX363" s="692"/>
      <c r="BY363" s="692">
        <v>3</v>
      </c>
      <c r="BZ363" s="692"/>
      <c r="CA363" s="692"/>
      <c r="CB363" s="692">
        <v>1</v>
      </c>
      <c r="CC363" s="692">
        <v>1</v>
      </c>
      <c r="CD363" s="692">
        <f t="shared" si="127"/>
        <v>4</v>
      </c>
      <c r="CE363" s="692">
        <v>6</v>
      </c>
      <c r="CF363" s="692"/>
      <c r="CG363" s="692">
        <v>6</v>
      </c>
      <c r="CH363" s="692"/>
      <c r="CI363" s="692"/>
      <c r="CJ363" s="692">
        <v>3</v>
      </c>
      <c r="CK363" s="692"/>
      <c r="CL363" s="692"/>
      <c r="CM363" s="692"/>
      <c r="CN363" s="692">
        <v>8</v>
      </c>
      <c r="CO363" s="692"/>
      <c r="CP363" s="692"/>
      <c r="CQ363" s="692">
        <v>1</v>
      </c>
      <c r="CR363" s="692"/>
      <c r="CS363" s="692"/>
      <c r="CT363" s="692"/>
      <c r="CU363" s="692"/>
      <c r="CV363" s="692"/>
      <c r="CW363" s="692"/>
      <c r="CX363" s="694"/>
      <c r="CY363" s="694"/>
      <c r="CZ363" s="694"/>
      <c r="DA363" s="694"/>
      <c r="DB363" s="694"/>
      <c r="DC363" s="694"/>
      <c r="DD363" s="694"/>
      <c r="DE363" s="694"/>
      <c r="DF363" s="694"/>
      <c r="DG363" s="695"/>
      <c r="DH363" s="695"/>
      <c r="DI363" s="695"/>
      <c r="DJ363" s="695"/>
      <c r="DK363" s="695"/>
      <c r="DL363" s="695"/>
      <c r="DM363" s="695"/>
      <c r="DN363" s="695"/>
      <c r="DO363" s="695"/>
      <c r="DP363" s="695"/>
      <c r="DQ363" s="695"/>
      <c r="DR363" s="695"/>
      <c r="DS363" s="694"/>
      <c r="DT363" s="694"/>
      <c r="DU363" s="692"/>
      <c r="DV363" s="692"/>
      <c r="DW363" s="692"/>
      <c r="DX363" s="692"/>
      <c r="DY363" s="692"/>
      <c r="DZ363" s="692"/>
      <c r="EA363" s="692"/>
      <c r="EB363" s="692"/>
      <c r="EC363" s="692"/>
      <c r="ED363" s="692"/>
      <c r="EE363" s="692"/>
      <c r="EF363" s="692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4"/>
      <c r="FH363" s="694"/>
      <c r="FI363" s="694"/>
      <c r="FJ363" s="694"/>
      <c r="FK363" s="694"/>
      <c r="FL363" s="694"/>
      <c r="FM363" s="694"/>
      <c r="FN363" s="694"/>
      <c r="FO363" s="694"/>
      <c r="FP363" s="694"/>
      <c r="FQ363" s="697"/>
    </row>
    <row r="364" spans="1:177" s="696" customFormat="1">
      <c r="A364" s="690"/>
      <c r="B364" s="690"/>
      <c r="C364" s="691"/>
      <c r="D364" s="691" t="s">
        <v>3767</v>
      </c>
      <c r="E364" s="692">
        <v>39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>
        <f t="shared" si="124"/>
        <v>39</v>
      </c>
      <c r="Q364" s="692"/>
      <c r="R364" s="693"/>
      <c r="S364" s="693"/>
      <c r="T364" s="692"/>
      <c r="U364" s="692" t="s">
        <v>1631</v>
      </c>
      <c r="V364" s="692"/>
      <c r="W364" s="692"/>
      <c r="X364" s="692"/>
      <c r="Y364" s="692"/>
      <c r="Z364" s="692"/>
      <c r="AA364" s="692"/>
      <c r="AB364" s="692"/>
      <c r="AC364" s="692"/>
      <c r="AD364" s="692"/>
      <c r="AE364" s="725"/>
      <c r="AF364" s="957"/>
      <c r="AG364" s="692"/>
      <c r="AH364" s="692"/>
      <c r="AI364" s="692"/>
      <c r="AJ364" s="692"/>
      <c r="AK364" s="692"/>
      <c r="AL364" s="692"/>
      <c r="AM364" s="692"/>
      <c r="AN364" s="692"/>
      <c r="AO364" s="692"/>
      <c r="AP364" s="692"/>
      <c r="AQ364" s="692"/>
      <c r="AR364" s="692"/>
      <c r="AS364" s="692"/>
      <c r="AT364" s="692"/>
      <c r="AU364" s="692"/>
      <c r="AV364" s="692"/>
      <c r="AW364" s="692"/>
      <c r="AX364" s="692"/>
      <c r="AY364" s="692"/>
      <c r="AZ364" s="692"/>
      <c r="BA364" s="692">
        <f t="shared" si="125"/>
        <v>1</v>
      </c>
      <c r="BB364" s="692"/>
      <c r="BC364" s="692"/>
      <c r="BD364" s="692"/>
      <c r="BE364" s="692"/>
      <c r="BF364" s="692"/>
      <c r="BG364" s="692"/>
      <c r="BH364" s="692"/>
      <c r="BI364" s="692"/>
      <c r="BJ364" s="692">
        <f t="shared" si="126"/>
        <v>5</v>
      </c>
      <c r="BK364" s="692"/>
      <c r="BL364" s="692"/>
      <c r="BM364" s="692"/>
      <c r="BN364" s="692"/>
      <c r="BO364" s="692"/>
      <c r="BP364" s="692"/>
      <c r="BQ364" s="692"/>
      <c r="BR364" s="692"/>
      <c r="BS364" s="692"/>
      <c r="BT364" s="692">
        <f t="shared" si="123"/>
        <v>1</v>
      </c>
      <c r="BU364" s="692"/>
      <c r="BV364" s="692"/>
      <c r="BW364" s="692"/>
      <c r="BX364" s="692"/>
      <c r="BY364" s="692"/>
      <c r="BZ364" s="692"/>
      <c r="CA364" s="692"/>
      <c r="CB364" s="692">
        <v>1</v>
      </c>
      <c r="CC364" s="692"/>
      <c r="CD364" s="692">
        <f t="shared" si="127"/>
        <v>4</v>
      </c>
      <c r="CE364" s="692"/>
      <c r="CF364" s="692"/>
      <c r="CG364" s="692"/>
      <c r="CH364" s="692"/>
      <c r="CI364" s="692"/>
      <c r="CJ364" s="692"/>
      <c r="CK364" s="692"/>
      <c r="CL364" s="692"/>
      <c r="CM364" s="692"/>
      <c r="CN364" s="692"/>
      <c r="CO364" s="692"/>
      <c r="CP364" s="692"/>
      <c r="CQ364" s="692"/>
      <c r="CR364" s="692"/>
      <c r="CS364" s="692"/>
      <c r="CT364" s="692"/>
      <c r="CU364" s="692"/>
      <c r="CV364" s="692"/>
      <c r="CW364" s="692"/>
      <c r="CX364" s="694"/>
      <c r="CY364" s="694"/>
      <c r="CZ364" s="694"/>
      <c r="DA364" s="694"/>
      <c r="DB364" s="694"/>
      <c r="DC364" s="694"/>
      <c r="DD364" s="694"/>
      <c r="DE364" s="694"/>
      <c r="DF364" s="694"/>
      <c r="DG364" s="695"/>
      <c r="DH364" s="695"/>
      <c r="DI364" s="695"/>
      <c r="DJ364" s="695"/>
      <c r="DK364" s="695"/>
      <c r="DL364" s="695"/>
      <c r="DM364" s="695"/>
      <c r="DN364" s="695"/>
      <c r="DO364" s="695"/>
      <c r="DP364" s="695"/>
      <c r="DQ364" s="695"/>
      <c r="DR364" s="695"/>
      <c r="DS364" s="694"/>
      <c r="DT364" s="694"/>
      <c r="DU364" s="692"/>
      <c r="DV364" s="692"/>
      <c r="DW364" s="692"/>
      <c r="DX364" s="692"/>
      <c r="DY364" s="692"/>
      <c r="DZ364" s="692"/>
      <c r="EA364" s="692"/>
      <c r="EB364" s="692"/>
      <c r="EC364" s="692"/>
      <c r="ED364" s="692"/>
      <c r="EE364" s="692"/>
      <c r="EF364" s="692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4"/>
      <c r="FH364" s="694"/>
      <c r="FI364" s="694"/>
      <c r="FJ364" s="694"/>
      <c r="FK364" s="694"/>
      <c r="FL364" s="694"/>
      <c r="FM364" s="694"/>
      <c r="FN364" s="694"/>
      <c r="FO364" s="694"/>
      <c r="FP364" s="694"/>
      <c r="FQ364" s="697"/>
    </row>
    <row r="365" spans="1:177" s="696" customFormat="1">
      <c r="A365" s="690"/>
      <c r="B365" s="690"/>
      <c r="C365" s="691"/>
      <c r="D365" s="691" t="s">
        <v>3766</v>
      </c>
      <c r="E365" s="692">
        <v>45.3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>
        <f t="shared" si="124"/>
        <v>45.3</v>
      </c>
      <c r="Q365" s="692"/>
      <c r="R365" s="693"/>
      <c r="S365" s="693"/>
      <c r="T365" s="692"/>
      <c r="U365" s="692" t="s">
        <v>1631</v>
      </c>
      <c r="V365" s="692"/>
      <c r="W365" s="692"/>
      <c r="X365" s="692"/>
      <c r="Y365" s="692"/>
      <c r="Z365" s="692"/>
      <c r="AA365" s="692"/>
      <c r="AB365" s="692"/>
      <c r="AC365" s="692"/>
      <c r="AD365" s="692"/>
      <c r="AE365" s="725"/>
      <c r="AF365" s="957"/>
      <c r="AG365" s="692"/>
      <c r="AH365" s="692"/>
      <c r="AI365" s="692"/>
      <c r="AJ365" s="692"/>
      <c r="AK365" s="692"/>
      <c r="AL365" s="692"/>
      <c r="AM365" s="692"/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/>
      <c r="AX365" s="692"/>
      <c r="AY365" s="692"/>
      <c r="AZ365" s="692"/>
      <c r="BA365" s="692">
        <f t="shared" si="125"/>
        <v>1</v>
      </c>
      <c r="BB365" s="692"/>
      <c r="BC365" s="692"/>
      <c r="BD365" s="692"/>
      <c r="BE365" s="692"/>
      <c r="BF365" s="692"/>
      <c r="BG365" s="692"/>
      <c r="BH365" s="692"/>
      <c r="BI365" s="692"/>
      <c r="BJ365" s="692">
        <f t="shared" si="126"/>
        <v>5</v>
      </c>
      <c r="BK365" s="692"/>
      <c r="BL365" s="692"/>
      <c r="BM365" s="692"/>
      <c r="BN365" s="692"/>
      <c r="BO365" s="692"/>
      <c r="BP365" s="692"/>
      <c r="BQ365" s="692"/>
      <c r="BR365" s="692"/>
      <c r="BS365" s="692"/>
      <c r="BT365" s="692">
        <f t="shared" si="123"/>
        <v>1</v>
      </c>
      <c r="BU365" s="692"/>
      <c r="BV365" s="692"/>
      <c r="BW365" s="692"/>
      <c r="BX365" s="692"/>
      <c r="BY365" s="692"/>
      <c r="BZ365" s="692"/>
      <c r="CA365" s="692"/>
      <c r="CB365" s="692">
        <v>1</v>
      </c>
      <c r="CC365" s="692"/>
      <c r="CD365" s="692">
        <f t="shared" si="127"/>
        <v>4</v>
      </c>
      <c r="CE365" s="692"/>
      <c r="CF365" s="692"/>
      <c r="CG365" s="692"/>
      <c r="CH365" s="692"/>
      <c r="CI365" s="692"/>
      <c r="CJ365" s="692"/>
      <c r="CK365" s="692"/>
      <c r="CL365" s="692"/>
      <c r="CM365" s="692"/>
      <c r="CN365" s="692"/>
      <c r="CO365" s="692"/>
      <c r="CP365" s="692"/>
      <c r="CQ365" s="692"/>
      <c r="CR365" s="692"/>
      <c r="CS365" s="692"/>
      <c r="CT365" s="692"/>
      <c r="CU365" s="692"/>
      <c r="CV365" s="692"/>
      <c r="CW365" s="692"/>
      <c r="CX365" s="694"/>
      <c r="CY365" s="694"/>
      <c r="CZ365" s="694"/>
      <c r="DA365" s="694"/>
      <c r="DB365" s="694"/>
      <c r="DC365" s="694"/>
      <c r="DD365" s="694"/>
      <c r="DE365" s="694"/>
      <c r="DF365" s="694"/>
      <c r="DG365" s="695"/>
      <c r="DH365" s="695"/>
      <c r="DI365" s="695"/>
      <c r="DJ365" s="695"/>
      <c r="DK365" s="695"/>
      <c r="DL365" s="695"/>
      <c r="DM365" s="695"/>
      <c r="DN365" s="695"/>
      <c r="DO365" s="695"/>
      <c r="DP365" s="695"/>
      <c r="DQ365" s="695"/>
      <c r="DR365" s="695"/>
      <c r="DS365" s="694"/>
      <c r="DT365" s="694"/>
      <c r="DU365" s="692"/>
      <c r="DV365" s="692"/>
      <c r="DW365" s="692"/>
      <c r="DX365" s="692"/>
      <c r="DY365" s="692"/>
      <c r="DZ365" s="692"/>
      <c r="EA365" s="692"/>
      <c r="EB365" s="692"/>
      <c r="EC365" s="692"/>
      <c r="ED365" s="692"/>
      <c r="EE365" s="692"/>
      <c r="EF365" s="692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4"/>
      <c r="FH365" s="694"/>
      <c r="FI365" s="694"/>
      <c r="FJ365" s="694"/>
      <c r="FK365" s="694"/>
      <c r="FL365" s="694"/>
      <c r="FM365" s="694"/>
      <c r="FN365" s="694"/>
      <c r="FO365" s="694"/>
      <c r="FP365" s="694"/>
      <c r="FQ365" s="697"/>
    </row>
    <row r="366" spans="1:177" s="696" customFormat="1">
      <c r="A366" s="690"/>
      <c r="B366" s="690"/>
      <c r="C366" s="691"/>
      <c r="D366" s="691" t="s">
        <v>3768</v>
      </c>
      <c r="E366" s="692">
        <v>34.200000000000003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>
        <f t="shared" si="124"/>
        <v>34.200000000000003</v>
      </c>
      <c r="Q366" s="692"/>
      <c r="R366" s="693"/>
      <c r="S366" s="693"/>
      <c r="T366" s="692"/>
      <c r="U366" s="692" t="s">
        <v>1631</v>
      </c>
      <c r="V366" s="692"/>
      <c r="W366" s="692"/>
      <c r="X366" s="692"/>
      <c r="Y366" s="692"/>
      <c r="Z366" s="692"/>
      <c r="AA366" s="692"/>
      <c r="AB366" s="692"/>
      <c r="AC366" s="692"/>
      <c r="AD366" s="692"/>
      <c r="AE366" s="725"/>
      <c r="AF366" s="957"/>
      <c r="AG366" s="692"/>
      <c r="AH366" s="692"/>
      <c r="AI366" s="692"/>
      <c r="AJ366" s="692"/>
      <c r="AK366" s="692"/>
      <c r="AL366" s="692"/>
      <c r="AM366" s="692"/>
      <c r="AN366" s="692"/>
      <c r="AO366" s="692"/>
      <c r="AP366" s="692"/>
      <c r="AQ366" s="692"/>
      <c r="AR366" s="692"/>
      <c r="AS366" s="692"/>
      <c r="AT366" s="692"/>
      <c r="AU366" s="692"/>
      <c r="AV366" s="692"/>
      <c r="AW366" s="692"/>
      <c r="AX366" s="692"/>
      <c r="AY366" s="692"/>
      <c r="AZ366" s="692"/>
      <c r="BA366" s="692">
        <f t="shared" si="125"/>
        <v>1</v>
      </c>
      <c r="BB366" s="692"/>
      <c r="BC366" s="692"/>
      <c r="BD366" s="692"/>
      <c r="BE366" s="692"/>
      <c r="BF366" s="692"/>
      <c r="BG366" s="692"/>
      <c r="BH366" s="692"/>
      <c r="BI366" s="692"/>
      <c r="BJ366" s="692">
        <f t="shared" si="126"/>
        <v>5</v>
      </c>
      <c r="BK366" s="692"/>
      <c r="BL366" s="692"/>
      <c r="BM366" s="692"/>
      <c r="BN366" s="692"/>
      <c r="BO366" s="692"/>
      <c r="BP366" s="692"/>
      <c r="BQ366" s="692"/>
      <c r="BR366" s="692"/>
      <c r="BS366" s="692"/>
      <c r="BT366" s="692">
        <f t="shared" si="123"/>
        <v>1</v>
      </c>
      <c r="BU366" s="692"/>
      <c r="BV366" s="692"/>
      <c r="BW366" s="692"/>
      <c r="BX366" s="692"/>
      <c r="BY366" s="692"/>
      <c r="BZ366" s="692"/>
      <c r="CA366" s="692"/>
      <c r="CB366" s="692">
        <v>1</v>
      </c>
      <c r="CC366" s="692"/>
      <c r="CD366" s="692">
        <f t="shared" si="127"/>
        <v>4</v>
      </c>
      <c r="CE366" s="692"/>
      <c r="CF366" s="692"/>
      <c r="CG366" s="692"/>
      <c r="CH366" s="692"/>
      <c r="CI366" s="692"/>
      <c r="CJ366" s="692"/>
      <c r="CK366" s="692"/>
      <c r="CL366" s="692"/>
      <c r="CM366" s="692"/>
      <c r="CN366" s="692"/>
      <c r="CO366" s="692"/>
      <c r="CP366" s="692"/>
      <c r="CQ366" s="692"/>
      <c r="CR366" s="692"/>
      <c r="CS366" s="692"/>
      <c r="CT366" s="692"/>
      <c r="CU366" s="692"/>
      <c r="CV366" s="692"/>
      <c r="CW366" s="692"/>
      <c r="CX366" s="694"/>
      <c r="CY366" s="694"/>
      <c r="CZ366" s="694"/>
      <c r="DA366" s="694"/>
      <c r="DB366" s="694"/>
      <c r="DC366" s="694"/>
      <c r="DD366" s="694"/>
      <c r="DE366" s="694"/>
      <c r="DF366" s="694"/>
      <c r="DG366" s="695"/>
      <c r="DH366" s="695"/>
      <c r="DI366" s="695"/>
      <c r="DJ366" s="695"/>
      <c r="DK366" s="695"/>
      <c r="DL366" s="695"/>
      <c r="DM366" s="695"/>
      <c r="DN366" s="695"/>
      <c r="DO366" s="695"/>
      <c r="DP366" s="695"/>
      <c r="DQ366" s="695"/>
      <c r="DR366" s="695"/>
      <c r="DS366" s="694"/>
      <c r="DT366" s="694"/>
      <c r="DU366" s="692"/>
      <c r="DV366" s="692"/>
      <c r="DW366" s="692"/>
      <c r="DX366" s="692"/>
      <c r="DY366" s="692"/>
      <c r="DZ366" s="692"/>
      <c r="EA366" s="692"/>
      <c r="EB366" s="692"/>
      <c r="EC366" s="692"/>
      <c r="ED366" s="692"/>
      <c r="EE366" s="692"/>
      <c r="EF366" s="692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4"/>
      <c r="FH366" s="694"/>
      <c r="FI366" s="694"/>
      <c r="FJ366" s="694"/>
      <c r="FK366" s="694"/>
      <c r="FL366" s="694"/>
      <c r="FM366" s="694"/>
      <c r="FN366" s="694"/>
      <c r="FO366" s="694"/>
      <c r="FP366" s="694"/>
      <c r="FQ366" s="697"/>
    </row>
    <row r="367" spans="1:177" s="696" customFormat="1">
      <c r="A367" s="690"/>
      <c r="B367" s="690"/>
      <c r="C367" s="691"/>
      <c r="D367" s="691" t="s">
        <v>3769</v>
      </c>
      <c r="E367" s="692">
        <v>35.4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>
        <f t="shared" si="124"/>
        <v>35.4</v>
      </c>
      <c r="Q367" s="692"/>
      <c r="R367" s="693"/>
      <c r="S367" s="693"/>
      <c r="T367" s="692"/>
      <c r="U367" s="692" t="s">
        <v>2989</v>
      </c>
      <c r="V367" s="692"/>
      <c r="W367" s="692"/>
      <c r="X367" s="692"/>
      <c r="Y367" s="692"/>
      <c r="Z367" s="692"/>
      <c r="AA367" s="692"/>
      <c r="AB367" s="692"/>
      <c r="AC367" s="692"/>
      <c r="AD367" s="692"/>
      <c r="AE367" s="725"/>
      <c r="AF367" s="957"/>
      <c r="AG367" s="692"/>
      <c r="AH367" s="692"/>
      <c r="AI367" s="692"/>
      <c r="AJ367" s="692"/>
      <c r="AK367" s="692"/>
      <c r="AL367" s="692"/>
      <c r="AM367" s="692"/>
      <c r="AN367" s="692"/>
      <c r="AO367" s="692"/>
      <c r="AP367" s="692"/>
      <c r="AQ367" s="692"/>
      <c r="AR367" s="692"/>
      <c r="AS367" s="692"/>
      <c r="AT367" s="692"/>
      <c r="AU367" s="692"/>
      <c r="AV367" s="692"/>
      <c r="AW367" s="692"/>
      <c r="AX367" s="692"/>
      <c r="AY367" s="692"/>
      <c r="AZ367" s="692"/>
      <c r="BA367" s="692">
        <f t="shared" si="125"/>
        <v>1</v>
      </c>
      <c r="BB367" s="692"/>
      <c r="BC367" s="692"/>
      <c r="BD367" s="692"/>
      <c r="BE367" s="692"/>
      <c r="BF367" s="692"/>
      <c r="BG367" s="692"/>
      <c r="BH367" s="692"/>
      <c r="BI367" s="692"/>
      <c r="BJ367" s="692">
        <f t="shared" si="126"/>
        <v>5</v>
      </c>
      <c r="BK367" s="692"/>
      <c r="BL367" s="692"/>
      <c r="BM367" s="692"/>
      <c r="BN367" s="692"/>
      <c r="BO367" s="692"/>
      <c r="BP367" s="692"/>
      <c r="BQ367" s="692"/>
      <c r="BR367" s="692"/>
      <c r="BS367" s="692"/>
      <c r="BT367" s="692">
        <f t="shared" si="123"/>
        <v>0</v>
      </c>
      <c r="BU367" s="692"/>
      <c r="BV367" s="692"/>
      <c r="BW367" s="692"/>
      <c r="BX367" s="692"/>
      <c r="BY367" s="692">
        <v>2</v>
      </c>
      <c r="BZ367" s="692"/>
      <c r="CA367" s="692"/>
      <c r="CB367" s="692">
        <v>1</v>
      </c>
      <c r="CC367" s="692"/>
      <c r="CD367" s="692">
        <f t="shared" si="127"/>
        <v>4</v>
      </c>
      <c r="CE367" s="692"/>
      <c r="CF367" s="692">
        <v>6</v>
      </c>
      <c r="CG367" s="692"/>
      <c r="CH367" s="692">
        <v>12</v>
      </c>
      <c r="CI367" s="692"/>
      <c r="CJ367" s="692">
        <v>8</v>
      </c>
      <c r="CK367" s="692"/>
      <c r="CL367" s="692"/>
      <c r="CM367" s="692"/>
      <c r="CN367" s="692"/>
      <c r="CO367" s="692">
        <v>2</v>
      </c>
      <c r="CP367" s="692"/>
      <c r="CQ367" s="692"/>
      <c r="CR367" s="692"/>
      <c r="CS367" s="692"/>
      <c r="CT367" s="692"/>
      <c r="CU367" s="692"/>
      <c r="CV367" s="692"/>
      <c r="CW367" s="692">
        <v>2</v>
      </c>
      <c r="CX367" s="694"/>
      <c r="CY367" s="694"/>
      <c r="CZ367" s="694"/>
      <c r="DA367" s="694"/>
      <c r="DB367" s="694"/>
      <c r="DC367" s="694"/>
      <c r="DD367" s="694"/>
      <c r="DE367" s="694"/>
      <c r="DF367" s="694"/>
      <c r="DG367" s="695"/>
      <c r="DH367" s="695"/>
      <c r="DI367" s="695"/>
      <c r="DJ367" s="695"/>
      <c r="DK367" s="695"/>
      <c r="DL367" s="695"/>
      <c r="DM367" s="695"/>
      <c r="DN367" s="695"/>
      <c r="DO367" s="695"/>
      <c r="DP367" s="695"/>
      <c r="DQ367" s="695"/>
      <c r="DR367" s="695"/>
      <c r="DS367" s="694"/>
      <c r="DT367" s="694"/>
      <c r="DU367" s="692"/>
      <c r="DV367" s="692"/>
      <c r="DW367" s="692"/>
      <c r="DX367" s="692"/>
      <c r="DY367" s="692"/>
      <c r="DZ367" s="692"/>
      <c r="EA367" s="692"/>
      <c r="EB367" s="692"/>
      <c r="EC367" s="692"/>
      <c r="ED367" s="692"/>
      <c r="EE367" s="692"/>
      <c r="EF367" s="692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4"/>
      <c r="FH367" s="694"/>
      <c r="FI367" s="694"/>
      <c r="FJ367" s="694"/>
      <c r="FK367" s="694"/>
      <c r="FL367" s="694"/>
      <c r="FM367" s="694"/>
      <c r="FN367" s="694"/>
      <c r="FO367" s="694"/>
      <c r="FP367" s="694"/>
      <c r="FQ367" s="697"/>
    </row>
    <row r="368" spans="1:177" s="696" customFormat="1">
      <c r="A368" s="690"/>
      <c r="B368" s="690"/>
      <c r="C368" s="691" t="s">
        <v>3771</v>
      </c>
      <c r="D368" s="691"/>
      <c r="E368" s="692"/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>
        <f t="shared" si="124"/>
        <v>0</v>
      </c>
      <c r="Q368" s="692"/>
      <c r="R368" s="693"/>
      <c r="S368" s="693"/>
      <c r="T368" s="692"/>
      <c r="U368" s="692" t="s">
        <v>3718</v>
      </c>
      <c r="V368" s="692"/>
      <c r="W368" s="692"/>
      <c r="X368" s="692"/>
      <c r="Y368" s="692"/>
      <c r="Z368" s="692"/>
      <c r="AA368" s="692"/>
      <c r="AB368" s="692"/>
      <c r="AC368" s="692"/>
      <c r="AD368" s="692"/>
      <c r="AE368" s="725"/>
      <c r="AF368" s="957"/>
      <c r="AG368" s="692"/>
      <c r="AH368" s="692"/>
      <c r="AI368" s="692"/>
      <c r="AJ368" s="692"/>
      <c r="AK368" s="692"/>
      <c r="AL368" s="692"/>
      <c r="AM368" s="692"/>
      <c r="AN368" s="692"/>
      <c r="AO368" s="692"/>
      <c r="AP368" s="692"/>
      <c r="AQ368" s="692"/>
      <c r="AR368" s="692"/>
      <c r="AS368" s="692"/>
      <c r="AT368" s="692"/>
      <c r="AU368" s="692"/>
      <c r="AV368" s="692"/>
      <c r="AW368" s="692"/>
      <c r="AX368" s="692"/>
      <c r="AY368" s="692"/>
      <c r="AZ368" s="692"/>
      <c r="BA368" s="692">
        <f t="shared" si="125"/>
        <v>1</v>
      </c>
      <c r="BB368" s="692"/>
      <c r="BC368" s="692"/>
      <c r="BD368" s="692">
        <v>3</v>
      </c>
      <c r="BE368" s="692"/>
      <c r="BF368" s="692"/>
      <c r="BG368" s="692"/>
      <c r="BH368" s="692"/>
      <c r="BI368" s="692"/>
      <c r="BJ368" s="692">
        <f t="shared" si="126"/>
        <v>5</v>
      </c>
      <c r="BK368" s="692"/>
      <c r="BL368" s="692"/>
      <c r="BM368" s="692"/>
      <c r="BN368" s="692"/>
      <c r="BO368" s="692"/>
      <c r="BP368" s="692"/>
      <c r="BQ368" s="692"/>
      <c r="BR368" s="692"/>
      <c r="BS368" s="692"/>
      <c r="BT368" s="692">
        <f t="shared" si="123"/>
        <v>0</v>
      </c>
      <c r="BU368" s="692"/>
      <c r="BV368" s="692"/>
      <c r="BW368" s="692"/>
      <c r="BX368" s="692"/>
      <c r="BY368" s="692">
        <v>2</v>
      </c>
      <c r="BZ368" s="692"/>
      <c r="CA368" s="692"/>
      <c r="CB368" s="692">
        <v>1</v>
      </c>
      <c r="CC368" s="692"/>
      <c r="CD368" s="692">
        <f t="shared" si="127"/>
        <v>4</v>
      </c>
      <c r="CE368" s="692"/>
      <c r="CF368" s="692"/>
      <c r="CG368" s="692"/>
      <c r="CH368" s="692"/>
      <c r="CI368" s="692"/>
      <c r="CJ368" s="692"/>
      <c r="CK368" s="692"/>
      <c r="CL368" s="692"/>
      <c r="CM368" s="692"/>
      <c r="CN368" s="692"/>
      <c r="CO368" s="692"/>
      <c r="CP368" s="692"/>
      <c r="CQ368" s="692"/>
      <c r="CR368" s="692"/>
      <c r="CS368" s="692"/>
      <c r="CT368" s="692"/>
      <c r="CU368" s="692"/>
      <c r="CV368" s="692"/>
      <c r="CW368" s="692"/>
      <c r="CX368" s="694"/>
      <c r="CY368" s="694"/>
      <c r="CZ368" s="694"/>
      <c r="DA368" s="694"/>
      <c r="DB368" s="694"/>
      <c r="DC368" s="694"/>
      <c r="DD368" s="694"/>
      <c r="DE368" s="694"/>
      <c r="DF368" s="694"/>
      <c r="DG368" s="695"/>
      <c r="DH368" s="695"/>
      <c r="DI368" s="695"/>
      <c r="DJ368" s="695"/>
      <c r="DK368" s="695"/>
      <c r="DL368" s="695"/>
      <c r="DM368" s="695"/>
      <c r="DN368" s="695"/>
      <c r="DO368" s="695"/>
      <c r="DP368" s="695"/>
      <c r="DQ368" s="695"/>
      <c r="DR368" s="695"/>
      <c r="DS368" s="694"/>
      <c r="DT368" s="694"/>
      <c r="DU368" s="692"/>
      <c r="DV368" s="692"/>
      <c r="DW368" s="692"/>
      <c r="DX368" s="692"/>
      <c r="DY368" s="692"/>
      <c r="DZ368" s="692"/>
      <c r="EA368" s="692"/>
      <c r="EB368" s="692"/>
      <c r="EC368" s="692"/>
      <c r="ED368" s="692"/>
      <c r="EE368" s="692"/>
      <c r="EF368" s="692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4"/>
      <c r="FH368" s="694"/>
      <c r="FI368" s="694"/>
      <c r="FJ368" s="694"/>
      <c r="FK368" s="694"/>
      <c r="FL368" s="694"/>
      <c r="FM368" s="694"/>
      <c r="FN368" s="694"/>
      <c r="FO368" s="694"/>
      <c r="FP368" s="694"/>
      <c r="FQ368" s="697"/>
    </row>
    <row r="369" spans="1:173" s="696" customFormat="1">
      <c r="A369" s="690"/>
      <c r="B369" s="690"/>
      <c r="C369" s="691"/>
      <c r="D369" s="691" t="s">
        <v>3770</v>
      </c>
      <c r="E369" s="692">
        <v>45.9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>
        <f t="shared" si="124"/>
        <v>45.9</v>
      </c>
      <c r="Q369" s="692"/>
      <c r="R369" s="693"/>
      <c r="S369" s="693"/>
      <c r="T369" s="692"/>
      <c r="U369" s="692" t="s">
        <v>1631</v>
      </c>
      <c r="V369" s="692"/>
      <c r="W369" s="692"/>
      <c r="X369" s="692"/>
      <c r="Y369" s="692"/>
      <c r="Z369" s="692"/>
      <c r="AA369" s="692"/>
      <c r="AB369" s="692"/>
      <c r="AC369" s="692"/>
      <c r="AD369" s="692"/>
      <c r="AE369" s="725"/>
      <c r="AF369" s="957"/>
      <c r="AG369" s="692"/>
      <c r="AH369" s="692"/>
      <c r="AI369" s="692"/>
      <c r="AJ369" s="692"/>
      <c r="AK369" s="692"/>
      <c r="AL369" s="692"/>
      <c r="AM369" s="692"/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/>
      <c r="AX369" s="692"/>
      <c r="AY369" s="692"/>
      <c r="AZ369" s="692"/>
      <c r="BA369" s="692">
        <f t="shared" si="125"/>
        <v>1</v>
      </c>
      <c r="BB369" s="692"/>
      <c r="BC369" s="692"/>
      <c r="BD369" s="692"/>
      <c r="BE369" s="692"/>
      <c r="BF369" s="692"/>
      <c r="BG369" s="692"/>
      <c r="BH369" s="692"/>
      <c r="BI369" s="692"/>
      <c r="BJ369" s="692">
        <f t="shared" si="126"/>
        <v>5</v>
      </c>
      <c r="BK369" s="692"/>
      <c r="BL369" s="692"/>
      <c r="BM369" s="692"/>
      <c r="BN369" s="692"/>
      <c r="BO369" s="692"/>
      <c r="BP369" s="692"/>
      <c r="BQ369" s="692"/>
      <c r="BR369" s="692"/>
      <c r="BS369" s="692"/>
      <c r="BT369" s="692">
        <f t="shared" si="123"/>
        <v>1</v>
      </c>
      <c r="BU369" s="692"/>
      <c r="BV369" s="692"/>
      <c r="BW369" s="692"/>
      <c r="BX369" s="692"/>
      <c r="BY369" s="692"/>
      <c r="BZ369" s="692"/>
      <c r="CA369" s="692"/>
      <c r="CB369" s="692">
        <v>1</v>
      </c>
      <c r="CC369" s="692"/>
      <c r="CD369" s="692">
        <f t="shared" si="127"/>
        <v>4</v>
      </c>
      <c r="CE369" s="692"/>
      <c r="CF369" s="692"/>
      <c r="CG369" s="692"/>
      <c r="CH369" s="692"/>
      <c r="CI369" s="692"/>
      <c r="CJ369" s="692"/>
      <c r="CK369" s="692"/>
      <c r="CL369" s="692"/>
      <c r="CM369" s="692"/>
      <c r="CN369" s="692"/>
      <c r="CO369" s="692"/>
      <c r="CP369" s="692"/>
      <c r="CQ369" s="692"/>
      <c r="CR369" s="692"/>
      <c r="CS369" s="692"/>
      <c r="CT369" s="692"/>
      <c r="CU369" s="692"/>
      <c r="CV369" s="692"/>
      <c r="CW369" s="692"/>
      <c r="CX369" s="694"/>
      <c r="CY369" s="694"/>
      <c r="CZ369" s="694"/>
      <c r="DA369" s="694"/>
      <c r="DB369" s="694"/>
      <c r="DC369" s="694"/>
      <c r="DD369" s="694"/>
      <c r="DE369" s="694"/>
      <c r="DF369" s="694"/>
      <c r="DG369" s="695"/>
      <c r="DH369" s="695"/>
      <c r="DI369" s="695"/>
      <c r="DJ369" s="695"/>
      <c r="DK369" s="695"/>
      <c r="DL369" s="695"/>
      <c r="DM369" s="695"/>
      <c r="DN369" s="695"/>
      <c r="DO369" s="695"/>
      <c r="DP369" s="695"/>
      <c r="DQ369" s="695"/>
      <c r="DR369" s="695"/>
      <c r="DS369" s="694"/>
      <c r="DT369" s="694"/>
      <c r="DU369" s="692"/>
      <c r="DV369" s="692"/>
      <c r="DW369" s="692"/>
      <c r="DX369" s="692"/>
      <c r="DY369" s="692"/>
      <c r="DZ369" s="692"/>
      <c r="EA369" s="692"/>
      <c r="EB369" s="692"/>
      <c r="EC369" s="692"/>
      <c r="ED369" s="692"/>
      <c r="EE369" s="692"/>
      <c r="EF369" s="692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4"/>
      <c r="FH369" s="694"/>
      <c r="FI369" s="694"/>
      <c r="FJ369" s="694"/>
      <c r="FK369" s="694"/>
      <c r="FL369" s="694"/>
      <c r="FM369" s="694"/>
      <c r="FN369" s="694"/>
      <c r="FO369" s="694"/>
      <c r="FP369" s="694"/>
      <c r="FQ369" s="697"/>
    </row>
    <row r="370" spans="1:173" s="696" customFormat="1">
      <c r="A370" s="690"/>
      <c r="B370" s="690"/>
      <c r="C370" s="691"/>
      <c r="D370" s="691" t="s">
        <v>3772</v>
      </c>
      <c r="E370" s="692">
        <v>39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>
        <f t="shared" si="124"/>
        <v>39</v>
      </c>
      <c r="Q370" s="692"/>
      <c r="R370" s="693"/>
      <c r="S370" s="693"/>
      <c r="T370" s="692"/>
      <c r="U370" s="692" t="s">
        <v>1631</v>
      </c>
      <c r="V370" s="692"/>
      <c r="W370" s="692"/>
      <c r="X370" s="692"/>
      <c r="Y370" s="692"/>
      <c r="Z370" s="692"/>
      <c r="AA370" s="692"/>
      <c r="AB370" s="692"/>
      <c r="AC370" s="692"/>
      <c r="AD370" s="692"/>
      <c r="AE370" s="725"/>
      <c r="AF370" s="957"/>
      <c r="AG370" s="692"/>
      <c r="AH370" s="692"/>
      <c r="AI370" s="692"/>
      <c r="AJ370" s="692"/>
      <c r="AK370" s="692"/>
      <c r="AL370" s="692"/>
      <c r="AM370" s="692"/>
      <c r="AN370" s="692"/>
      <c r="AO370" s="692"/>
      <c r="AP370" s="692"/>
      <c r="AQ370" s="692"/>
      <c r="AR370" s="692"/>
      <c r="AS370" s="692"/>
      <c r="AT370" s="692"/>
      <c r="AU370" s="692"/>
      <c r="AV370" s="692"/>
      <c r="AW370" s="692"/>
      <c r="AX370" s="692"/>
      <c r="AY370" s="692"/>
      <c r="AZ370" s="692"/>
      <c r="BA370" s="692">
        <f t="shared" si="125"/>
        <v>1</v>
      </c>
      <c r="BB370" s="692"/>
      <c r="BC370" s="692"/>
      <c r="BD370" s="692"/>
      <c r="BE370" s="692"/>
      <c r="BF370" s="692"/>
      <c r="BG370" s="692"/>
      <c r="BH370" s="692"/>
      <c r="BI370" s="692"/>
      <c r="BJ370" s="692">
        <f t="shared" si="126"/>
        <v>5</v>
      </c>
      <c r="BK370" s="692"/>
      <c r="BL370" s="692"/>
      <c r="BM370" s="692"/>
      <c r="BN370" s="692"/>
      <c r="BO370" s="692"/>
      <c r="BP370" s="692"/>
      <c r="BQ370" s="692"/>
      <c r="BR370" s="692"/>
      <c r="BS370" s="692"/>
      <c r="BT370" s="692">
        <f t="shared" si="123"/>
        <v>1</v>
      </c>
      <c r="BU370" s="692"/>
      <c r="BV370" s="692"/>
      <c r="BW370" s="692"/>
      <c r="BX370" s="692"/>
      <c r="BY370" s="692"/>
      <c r="BZ370" s="692"/>
      <c r="CA370" s="692"/>
      <c r="CB370" s="692">
        <v>1</v>
      </c>
      <c r="CC370" s="692"/>
      <c r="CD370" s="692">
        <f t="shared" si="127"/>
        <v>4</v>
      </c>
      <c r="CE370" s="692"/>
      <c r="CF370" s="692"/>
      <c r="CG370" s="692"/>
      <c r="CH370" s="692"/>
      <c r="CI370" s="692"/>
      <c r="CJ370" s="692"/>
      <c r="CK370" s="692"/>
      <c r="CL370" s="692"/>
      <c r="CM370" s="692"/>
      <c r="CN370" s="692"/>
      <c r="CO370" s="692"/>
      <c r="CP370" s="692"/>
      <c r="CQ370" s="692"/>
      <c r="CR370" s="692"/>
      <c r="CS370" s="692"/>
      <c r="CT370" s="692"/>
      <c r="CU370" s="692"/>
      <c r="CV370" s="692"/>
      <c r="CW370" s="692"/>
      <c r="CX370" s="694"/>
      <c r="CY370" s="694"/>
      <c r="CZ370" s="694"/>
      <c r="DA370" s="694"/>
      <c r="DB370" s="694"/>
      <c r="DC370" s="694"/>
      <c r="DD370" s="694"/>
      <c r="DE370" s="694"/>
      <c r="DF370" s="694"/>
      <c r="DG370" s="695"/>
      <c r="DH370" s="695"/>
      <c r="DI370" s="695"/>
      <c r="DJ370" s="695"/>
      <c r="DK370" s="695"/>
      <c r="DL370" s="695"/>
      <c r="DM370" s="695"/>
      <c r="DN370" s="695"/>
      <c r="DO370" s="695"/>
      <c r="DP370" s="695"/>
      <c r="DQ370" s="695"/>
      <c r="DR370" s="695"/>
      <c r="DS370" s="694"/>
      <c r="DT370" s="694"/>
      <c r="DU370" s="692"/>
      <c r="DV370" s="692"/>
      <c r="DW370" s="692"/>
      <c r="DX370" s="692"/>
      <c r="DY370" s="692"/>
      <c r="DZ370" s="692"/>
      <c r="EA370" s="692"/>
      <c r="EB370" s="692"/>
      <c r="EC370" s="692"/>
      <c r="ED370" s="692"/>
      <c r="EE370" s="692"/>
      <c r="EF370" s="692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4"/>
      <c r="FH370" s="694"/>
      <c r="FI370" s="694"/>
      <c r="FJ370" s="694"/>
      <c r="FK370" s="694"/>
      <c r="FL370" s="694"/>
      <c r="FM370" s="694"/>
      <c r="FN370" s="694"/>
      <c r="FO370" s="694"/>
      <c r="FP370" s="694"/>
      <c r="FQ370" s="697"/>
    </row>
    <row r="371" spans="1:173" s="696" customFormat="1">
      <c r="A371" s="690"/>
      <c r="B371" s="690"/>
      <c r="C371" s="691"/>
      <c r="D371" s="691" t="s">
        <v>3773</v>
      </c>
      <c r="E371" s="692">
        <v>39.700000000000003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>
        <f t="shared" si="124"/>
        <v>39.700000000000003</v>
      </c>
      <c r="Q371" s="692"/>
      <c r="R371" s="693"/>
      <c r="S371" s="693"/>
      <c r="T371" s="692"/>
      <c r="U371" s="692" t="s">
        <v>1631</v>
      </c>
      <c r="V371" s="692"/>
      <c r="W371" s="692"/>
      <c r="X371" s="692"/>
      <c r="Y371" s="692"/>
      <c r="Z371" s="692"/>
      <c r="AA371" s="692"/>
      <c r="AB371" s="692"/>
      <c r="AC371" s="692"/>
      <c r="AD371" s="692"/>
      <c r="AE371" s="725"/>
      <c r="AF371" s="957"/>
      <c r="AG371" s="692"/>
      <c r="AH371" s="692"/>
      <c r="AI371" s="692"/>
      <c r="AJ371" s="692"/>
      <c r="AK371" s="692"/>
      <c r="AL371" s="692"/>
      <c r="AM371" s="692"/>
      <c r="AN371" s="692"/>
      <c r="AO371" s="692"/>
      <c r="AP371" s="692"/>
      <c r="AQ371" s="692"/>
      <c r="AR371" s="692"/>
      <c r="AS371" s="692"/>
      <c r="AT371" s="692"/>
      <c r="AU371" s="692"/>
      <c r="AV371" s="692"/>
      <c r="AW371" s="692"/>
      <c r="AX371" s="692"/>
      <c r="AY371" s="692"/>
      <c r="AZ371" s="692"/>
      <c r="BA371" s="692">
        <f t="shared" si="125"/>
        <v>0</v>
      </c>
      <c r="BB371" s="692"/>
      <c r="BC371" s="692"/>
      <c r="BD371" s="692"/>
      <c r="BE371" s="692"/>
      <c r="BF371" s="692"/>
      <c r="BG371" s="692"/>
      <c r="BH371" s="692"/>
      <c r="BI371" s="692"/>
      <c r="BJ371" s="692">
        <f t="shared" si="126"/>
        <v>0</v>
      </c>
      <c r="BK371" s="692"/>
      <c r="BL371" s="692"/>
      <c r="BM371" s="692"/>
      <c r="BN371" s="692"/>
      <c r="BO371" s="692"/>
      <c r="BP371" s="692"/>
      <c r="BQ371" s="692"/>
      <c r="BR371" s="692"/>
      <c r="BS371" s="692"/>
      <c r="BT371" s="692">
        <f t="shared" si="123"/>
        <v>1</v>
      </c>
      <c r="BU371" s="692"/>
      <c r="BV371" s="692"/>
      <c r="BW371" s="692"/>
      <c r="BX371" s="692"/>
      <c r="BY371" s="692"/>
      <c r="BZ371" s="692"/>
      <c r="CA371" s="692"/>
      <c r="CB371" s="692"/>
      <c r="CC371" s="692"/>
      <c r="CD371" s="692">
        <f t="shared" si="127"/>
        <v>0</v>
      </c>
      <c r="CE371" s="692"/>
      <c r="CF371" s="692"/>
      <c r="CG371" s="692"/>
      <c r="CH371" s="692"/>
      <c r="CI371" s="692"/>
      <c r="CJ371" s="692"/>
      <c r="CK371" s="692"/>
      <c r="CL371" s="692"/>
      <c r="CM371" s="692"/>
      <c r="CN371" s="692"/>
      <c r="CO371" s="692"/>
      <c r="CP371" s="692"/>
      <c r="CQ371" s="692"/>
      <c r="CR371" s="692"/>
      <c r="CS371" s="692"/>
      <c r="CT371" s="692"/>
      <c r="CU371" s="692"/>
      <c r="CV371" s="692"/>
      <c r="CW371" s="692"/>
      <c r="CX371" s="694"/>
      <c r="CY371" s="694"/>
      <c r="CZ371" s="694"/>
      <c r="DA371" s="694"/>
      <c r="DB371" s="694"/>
      <c r="DC371" s="694"/>
      <c r="DD371" s="694"/>
      <c r="DE371" s="694"/>
      <c r="DF371" s="694"/>
      <c r="DG371" s="695"/>
      <c r="DH371" s="695"/>
      <c r="DI371" s="695"/>
      <c r="DJ371" s="695"/>
      <c r="DK371" s="695"/>
      <c r="DL371" s="695"/>
      <c r="DM371" s="695"/>
      <c r="DN371" s="695"/>
      <c r="DO371" s="695"/>
      <c r="DP371" s="695"/>
      <c r="DQ371" s="695"/>
      <c r="DR371" s="695"/>
      <c r="DS371" s="694"/>
      <c r="DT371" s="694"/>
      <c r="DU371" s="692"/>
      <c r="DV371" s="692"/>
      <c r="DW371" s="692"/>
      <c r="DX371" s="692"/>
      <c r="DY371" s="692"/>
      <c r="DZ371" s="692"/>
      <c r="EA371" s="692"/>
      <c r="EB371" s="692"/>
      <c r="EC371" s="692"/>
      <c r="ED371" s="692"/>
      <c r="EE371" s="692"/>
      <c r="EF371" s="692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4"/>
      <c r="FH371" s="694"/>
      <c r="FI371" s="694"/>
      <c r="FJ371" s="694"/>
      <c r="FK371" s="694"/>
      <c r="FL371" s="694"/>
      <c r="FM371" s="694"/>
      <c r="FN371" s="694"/>
      <c r="FO371" s="694"/>
      <c r="FP371" s="694"/>
      <c r="FQ371" s="697"/>
    </row>
    <row r="372" spans="1:173" s="696" customFormat="1">
      <c r="A372" s="690"/>
      <c r="B372" s="690"/>
      <c r="C372" s="691"/>
      <c r="D372" s="691" t="s">
        <v>3774</v>
      </c>
      <c r="E372" s="692">
        <v>43.6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>
        <f t="shared" si="124"/>
        <v>43.6</v>
      </c>
      <c r="Q372" s="692"/>
      <c r="R372" s="693"/>
      <c r="S372" s="693"/>
      <c r="T372" s="692"/>
      <c r="U372" s="692" t="s">
        <v>1631</v>
      </c>
      <c r="V372" s="692"/>
      <c r="W372" s="692"/>
      <c r="X372" s="692"/>
      <c r="Y372" s="692"/>
      <c r="Z372" s="692"/>
      <c r="AA372" s="692"/>
      <c r="AB372" s="692"/>
      <c r="AC372" s="692"/>
      <c r="AD372" s="692"/>
      <c r="AE372" s="725"/>
      <c r="AF372" s="957"/>
      <c r="AG372" s="692"/>
      <c r="AH372" s="692"/>
      <c r="AI372" s="692"/>
      <c r="AJ372" s="692"/>
      <c r="AK372" s="692"/>
      <c r="AL372" s="692"/>
      <c r="AM372" s="692"/>
      <c r="AN372" s="692"/>
      <c r="AO372" s="692"/>
      <c r="AP372" s="692"/>
      <c r="AQ372" s="692"/>
      <c r="AR372" s="692"/>
      <c r="AS372" s="692"/>
      <c r="AT372" s="692"/>
      <c r="AU372" s="692">
        <v>1</v>
      </c>
      <c r="AV372" s="692"/>
      <c r="AW372" s="692"/>
      <c r="AX372" s="692"/>
      <c r="AY372" s="692"/>
      <c r="AZ372" s="692"/>
      <c r="BA372" s="692">
        <f t="shared" si="125"/>
        <v>0</v>
      </c>
      <c r="BB372" s="692"/>
      <c r="BC372" s="692"/>
      <c r="BD372" s="692"/>
      <c r="BE372" s="692"/>
      <c r="BF372" s="692"/>
      <c r="BG372" s="692"/>
      <c r="BH372" s="692"/>
      <c r="BI372" s="692"/>
      <c r="BJ372" s="692">
        <f t="shared" si="126"/>
        <v>2</v>
      </c>
      <c r="BK372" s="692"/>
      <c r="BL372" s="692"/>
      <c r="BM372" s="692"/>
      <c r="BN372" s="692"/>
      <c r="BO372" s="692"/>
      <c r="BP372" s="692"/>
      <c r="BQ372" s="692"/>
      <c r="BR372" s="692"/>
      <c r="BS372" s="692"/>
      <c r="BT372" s="692">
        <f t="shared" si="123"/>
        <v>1</v>
      </c>
      <c r="BU372" s="692"/>
      <c r="BV372" s="692"/>
      <c r="BW372" s="692"/>
      <c r="BX372" s="692"/>
      <c r="BY372" s="692"/>
      <c r="BZ372" s="692"/>
      <c r="CA372" s="692"/>
      <c r="CB372" s="692"/>
      <c r="CC372" s="692"/>
      <c r="CD372" s="692">
        <f t="shared" si="127"/>
        <v>0</v>
      </c>
      <c r="CE372" s="692"/>
      <c r="CF372" s="692"/>
      <c r="CG372" s="692"/>
      <c r="CH372" s="692"/>
      <c r="CI372" s="692"/>
      <c r="CJ372" s="692"/>
      <c r="CK372" s="692"/>
      <c r="CL372" s="692"/>
      <c r="CM372" s="692"/>
      <c r="CN372" s="692"/>
      <c r="CO372" s="692"/>
      <c r="CP372" s="692"/>
      <c r="CQ372" s="692"/>
      <c r="CR372" s="692"/>
      <c r="CS372" s="692"/>
      <c r="CT372" s="692"/>
      <c r="CU372" s="692"/>
      <c r="CV372" s="692"/>
      <c r="CW372" s="692"/>
      <c r="CX372" s="694"/>
      <c r="CY372" s="694"/>
      <c r="CZ372" s="694"/>
      <c r="DA372" s="694"/>
      <c r="DB372" s="694"/>
      <c r="DC372" s="694"/>
      <c r="DD372" s="694"/>
      <c r="DE372" s="694"/>
      <c r="DF372" s="694"/>
      <c r="DG372" s="695"/>
      <c r="DH372" s="695"/>
      <c r="DI372" s="695"/>
      <c r="DJ372" s="695"/>
      <c r="DK372" s="695"/>
      <c r="DL372" s="695"/>
      <c r="DM372" s="695"/>
      <c r="DN372" s="695"/>
      <c r="DO372" s="695"/>
      <c r="DP372" s="695"/>
      <c r="DQ372" s="695"/>
      <c r="DR372" s="695"/>
      <c r="DS372" s="694"/>
      <c r="DT372" s="694"/>
      <c r="DU372" s="692"/>
      <c r="DV372" s="692"/>
      <c r="DW372" s="692"/>
      <c r="DX372" s="692"/>
      <c r="DY372" s="692"/>
      <c r="DZ372" s="692"/>
      <c r="EA372" s="692"/>
      <c r="EB372" s="692"/>
      <c r="EC372" s="692"/>
      <c r="ED372" s="692"/>
      <c r="EE372" s="692"/>
      <c r="EF372" s="692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4"/>
      <c r="FH372" s="694"/>
      <c r="FI372" s="694"/>
      <c r="FJ372" s="694"/>
      <c r="FK372" s="694"/>
      <c r="FL372" s="694"/>
      <c r="FM372" s="694"/>
      <c r="FN372" s="694"/>
      <c r="FO372" s="694"/>
      <c r="FP372" s="694"/>
      <c r="FQ372" s="697"/>
    </row>
    <row r="373" spans="1:173" s="696" customFormat="1">
      <c r="A373" s="690"/>
      <c r="B373" s="690"/>
      <c r="C373" s="691"/>
      <c r="D373" s="691" t="s">
        <v>3775</v>
      </c>
      <c r="E373" s="692">
        <v>11.5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>
        <f t="shared" si="124"/>
        <v>11.5</v>
      </c>
      <c r="Q373" s="692"/>
      <c r="R373" s="693"/>
      <c r="S373" s="693"/>
      <c r="T373" s="692"/>
      <c r="U373" s="692" t="s">
        <v>3718</v>
      </c>
      <c r="V373" s="692"/>
      <c r="W373" s="692"/>
      <c r="X373" s="692"/>
      <c r="Y373" s="692"/>
      <c r="Z373" s="692"/>
      <c r="AA373" s="692"/>
      <c r="AB373" s="692"/>
      <c r="AC373" s="692"/>
      <c r="AD373" s="692"/>
      <c r="AE373" s="725"/>
      <c r="AF373" s="957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>
        <f t="shared" si="125"/>
        <v>1</v>
      </c>
      <c r="BB373" s="692"/>
      <c r="BC373" s="692"/>
      <c r="BD373" s="692"/>
      <c r="BE373" s="692">
        <v>3</v>
      </c>
      <c r="BF373" s="692"/>
      <c r="BG373" s="692"/>
      <c r="BH373" s="692"/>
      <c r="BI373" s="692"/>
      <c r="BJ373" s="692">
        <f t="shared" si="126"/>
        <v>0</v>
      </c>
      <c r="BK373" s="692"/>
      <c r="BL373" s="692"/>
      <c r="BM373" s="692"/>
      <c r="BN373" s="692"/>
      <c r="BO373" s="692"/>
      <c r="BP373" s="692"/>
      <c r="BQ373" s="692"/>
      <c r="BR373" s="692"/>
      <c r="BS373" s="692"/>
      <c r="BT373" s="692">
        <f t="shared" si="123"/>
        <v>0</v>
      </c>
      <c r="BU373" s="692"/>
      <c r="BV373" s="692"/>
      <c r="BW373" s="692"/>
      <c r="BX373" s="692"/>
      <c r="BY373" s="692">
        <v>3</v>
      </c>
      <c r="BZ373" s="692"/>
      <c r="CA373" s="692"/>
      <c r="CB373" s="692"/>
      <c r="CC373" s="692">
        <v>1</v>
      </c>
      <c r="CD373" s="692">
        <f t="shared" si="127"/>
        <v>0</v>
      </c>
      <c r="CE373" s="692">
        <v>6</v>
      </c>
      <c r="CF373" s="692"/>
      <c r="CG373" s="692">
        <v>6</v>
      </c>
      <c r="CH373" s="692"/>
      <c r="CI373" s="692"/>
      <c r="CJ373" s="692">
        <v>3</v>
      </c>
      <c r="CK373" s="692"/>
      <c r="CL373" s="692"/>
      <c r="CM373" s="692"/>
      <c r="CN373" s="692">
        <v>8</v>
      </c>
      <c r="CO373" s="692"/>
      <c r="CP373" s="692"/>
      <c r="CQ373" s="692">
        <v>1</v>
      </c>
      <c r="CR373" s="692"/>
      <c r="CS373" s="692"/>
      <c r="CT373" s="692"/>
      <c r="CU373" s="692"/>
      <c r="CV373" s="692"/>
      <c r="CW373" s="692"/>
      <c r="CX373" s="694"/>
      <c r="CY373" s="694"/>
      <c r="CZ373" s="694"/>
      <c r="DA373" s="694"/>
      <c r="DB373" s="694"/>
      <c r="DC373" s="694"/>
      <c r="DD373" s="694"/>
      <c r="DE373" s="694"/>
      <c r="DF373" s="694"/>
      <c r="DG373" s="695"/>
      <c r="DH373" s="695"/>
      <c r="DI373" s="695"/>
      <c r="DJ373" s="695"/>
      <c r="DK373" s="695"/>
      <c r="DL373" s="695"/>
      <c r="DM373" s="695"/>
      <c r="DN373" s="695"/>
      <c r="DO373" s="695"/>
      <c r="DP373" s="695"/>
      <c r="DQ373" s="695"/>
      <c r="DR373" s="695"/>
      <c r="DS373" s="694"/>
      <c r="DT373" s="694"/>
      <c r="DU373" s="692"/>
      <c r="DV373" s="692"/>
      <c r="DW373" s="692"/>
      <c r="DX373" s="692"/>
      <c r="DY373" s="692"/>
      <c r="DZ373" s="692"/>
      <c r="EA373" s="692"/>
      <c r="EB373" s="692"/>
      <c r="EC373" s="692"/>
      <c r="ED373" s="692"/>
      <c r="EE373" s="692"/>
      <c r="EF373" s="692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4"/>
      <c r="FH373" s="694"/>
      <c r="FI373" s="694"/>
      <c r="FJ373" s="694"/>
      <c r="FK373" s="694"/>
      <c r="FL373" s="694"/>
      <c r="FM373" s="694"/>
      <c r="FN373" s="694"/>
      <c r="FO373" s="694"/>
      <c r="FP373" s="694"/>
      <c r="FQ373" s="697"/>
    </row>
    <row r="374" spans="1:173" s="696" customFormat="1">
      <c r="A374" s="690"/>
      <c r="B374" s="690"/>
      <c r="C374" s="691" t="s">
        <v>3776</v>
      </c>
      <c r="D374" s="691"/>
      <c r="E374" s="692">
        <v>22.7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>
        <f t="shared" si="124"/>
        <v>22.7</v>
      </c>
      <c r="Q374" s="692"/>
      <c r="R374" s="693"/>
      <c r="S374" s="693"/>
      <c r="T374" s="692"/>
      <c r="U374" s="692" t="s">
        <v>1631</v>
      </c>
      <c r="V374" s="692"/>
      <c r="W374" s="692"/>
      <c r="X374" s="692"/>
      <c r="Y374" s="692"/>
      <c r="Z374" s="692"/>
      <c r="AA374" s="692"/>
      <c r="AB374" s="692"/>
      <c r="AC374" s="692"/>
      <c r="AD374" s="692"/>
      <c r="AE374" s="725"/>
      <c r="AF374" s="957"/>
      <c r="AG374" s="692"/>
      <c r="AH374" s="692"/>
      <c r="AI374" s="692"/>
      <c r="AJ374" s="692"/>
      <c r="AK374" s="692"/>
      <c r="AL374" s="692"/>
      <c r="AM374" s="692"/>
      <c r="AN374" s="692"/>
      <c r="AO374" s="692"/>
      <c r="AP374" s="692"/>
      <c r="AQ374" s="692"/>
      <c r="AR374" s="692"/>
      <c r="AS374" s="692"/>
      <c r="AT374" s="692"/>
      <c r="AU374" s="692"/>
      <c r="AV374" s="692"/>
      <c r="AW374" s="692"/>
      <c r="AX374" s="692"/>
      <c r="AY374" s="692"/>
      <c r="AZ374" s="692"/>
      <c r="BA374" s="692">
        <f t="shared" si="125"/>
        <v>1</v>
      </c>
      <c r="BB374" s="692"/>
      <c r="BC374" s="692"/>
      <c r="BD374" s="692"/>
      <c r="BE374" s="692"/>
      <c r="BF374" s="692"/>
      <c r="BG374" s="692"/>
      <c r="BH374" s="692"/>
      <c r="BI374" s="692"/>
      <c r="BJ374" s="692">
        <f t="shared" si="126"/>
        <v>5</v>
      </c>
      <c r="BK374" s="692"/>
      <c r="BL374" s="692"/>
      <c r="BM374" s="692"/>
      <c r="BN374" s="692"/>
      <c r="BO374" s="692"/>
      <c r="BP374" s="692"/>
      <c r="BQ374" s="692"/>
      <c r="BR374" s="692"/>
      <c r="BS374" s="692"/>
      <c r="BT374" s="692">
        <f t="shared" si="123"/>
        <v>1</v>
      </c>
      <c r="BU374" s="692"/>
      <c r="BV374" s="692"/>
      <c r="BW374" s="692"/>
      <c r="BX374" s="692"/>
      <c r="BY374" s="692"/>
      <c r="BZ374" s="692"/>
      <c r="CA374" s="692"/>
      <c r="CB374" s="692">
        <v>1</v>
      </c>
      <c r="CC374" s="692"/>
      <c r="CD374" s="692">
        <f t="shared" si="127"/>
        <v>4</v>
      </c>
      <c r="CE374" s="692"/>
      <c r="CF374" s="692"/>
      <c r="CG374" s="692"/>
      <c r="CH374" s="692"/>
      <c r="CI374" s="692"/>
      <c r="CJ374" s="692"/>
      <c r="CK374" s="692"/>
      <c r="CL374" s="692"/>
      <c r="CM374" s="692"/>
      <c r="CN374" s="692"/>
      <c r="CO374" s="692"/>
      <c r="CP374" s="692"/>
      <c r="CQ374" s="692"/>
      <c r="CR374" s="692"/>
      <c r="CS374" s="692"/>
      <c r="CT374" s="692"/>
      <c r="CU374" s="692"/>
      <c r="CV374" s="692"/>
      <c r="CW374" s="692"/>
      <c r="CX374" s="694"/>
      <c r="CY374" s="694"/>
      <c r="CZ374" s="694"/>
      <c r="DA374" s="694"/>
      <c r="DB374" s="694"/>
      <c r="DC374" s="694"/>
      <c r="DD374" s="694"/>
      <c r="DE374" s="694"/>
      <c r="DF374" s="694"/>
      <c r="DG374" s="695"/>
      <c r="DH374" s="695"/>
      <c r="DI374" s="695"/>
      <c r="DJ374" s="695"/>
      <c r="DK374" s="695"/>
      <c r="DL374" s="695"/>
      <c r="DM374" s="695"/>
      <c r="DN374" s="695"/>
      <c r="DO374" s="695"/>
      <c r="DP374" s="695"/>
      <c r="DQ374" s="695"/>
      <c r="DR374" s="695"/>
      <c r="DS374" s="694"/>
      <c r="DT374" s="694"/>
      <c r="DU374" s="692"/>
      <c r="DV374" s="692"/>
      <c r="DW374" s="692"/>
      <c r="DX374" s="692"/>
      <c r="DY374" s="692"/>
      <c r="DZ374" s="692"/>
      <c r="EA374" s="692"/>
      <c r="EB374" s="692"/>
      <c r="EC374" s="692"/>
      <c r="ED374" s="692"/>
      <c r="EE374" s="692"/>
      <c r="EF374" s="692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4"/>
      <c r="FH374" s="694"/>
      <c r="FI374" s="694"/>
      <c r="FJ374" s="694"/>
      <c r="FK374" s="694"/>
      <c r="FL374" s="694"/>
      <c r="FM374" s="694"/>
      <c r="FN374" s="694"/>
      <c r="FO374" s="694"/>
      <c r="FP374" s="694"/>
      <c r="FQ374" s="697"/>
    </row>
    <row r="375" spans="1:173" s="696" customFormat="1">
      <c r="A375" s="690"/>
      <c r="B375" s="690"/>
      <c r="C375" s="691"/>
      <c r="D375" s="691" t="s">
        <v>3777</v>
      </c>
      <c r="E375" s="692">
        <v>17.7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>
        <f t="shared" si="124"/>
        <v>17.7</v>
      </c>
      <c r="Q375" s="692"/>
      <c r="R375" s="693"/>
      <c r="S375" s="693"/>
      <c r="T375" s="692"/>
      <c r="U375" s="692" t="s">
        <v>1631</v>
      </c>
      <c r="V375" s="692"/>
      <c r="W375" s="692"/>
      <c r="X375" s="692"/>
      <c r="Y375" s="692"/>
      <c r="Z375" s="692"/>
      <c r="AA375" s="692"/>
      <c r="AB375" s="692"/>
      <c r="AC375" s="692"/>
      <c r="AD375" s="692"/>
      <c r="AE375" s="725"/>
      <c r="AF375" s="957"/>
      <c r="AG375" s="692"/>
      <c r="AH375" s="692"/>
      <c r="AI375" s="692"/>
      <c r="AJ375" s="692"/>
      <c r="AK375" s="692"/>
      <c r="AL375" s="692"/>
      <c r="AM375" s="692"/>
      <c r="AN375" s="692"/>
      <c r="AO375" s="692"/>
      <c r="AP375" s="692"/>
      <c r="AQ375" s="692"/>
      <c r="AR375" s="692"/>
      <c r="AS375" s="692"/>
      <c r="AT375" s="692"/>
      <c r="AU375" s="692"/>
      <c r="AV375" s="692"/>
      <c r="AW375" s="692"/>
      <c r="AX375" s="692"/>
      <c r="AY375" s="692"/>
      <c r="AZ375" s="692"/>
      <c r="BA375" s="692">
        <f t="shared" si="125"/>
        <v>0</v>
      </c>
      <c r="BB375" s="692"/>
      <c r="BC375" s="692"/>
      <c r="BD375" s="692"/>
      <c r="BE375" s="692"/>
      <c r="BF375" s="692"/>
      <c r="BG375" s="692"/>
      <c r="BH375" s="692"/>
      <c r="BI375" s="692"/>
      <c r="BJ375" s="692">
        <f t="shared" si="126"/>
        <v>0</v>
      </c>
      <c r="BK375" s="692"/>
      <c r="BL375" s="692"/>
      <c r="BM375" s="692"/>
      <c r="BN375" s="692"/>
      <c r="BO375" s="692"/>
      <c r="BP375" s="692"/>
      <c r="BQ375" s="692"/>
      <c r="BR375" s="692"/>
      <c r="BS375" s="692"/>
      <c r="BT375" s="692">
        <f t="shared" si="123"/>
        <v>1</v>
      </c>
      <c r="BU375" s="692"/>
      <c r="BV375" s="692"/>
      <c r="BW375" s="692"/>
      <c r="BX375" s="692"/>
      <c r="BY375" s="692"/>
      <c r="BZ375" s="692"/>
      <c r="CA375" s="692"/>
      <c r="CB375" s="692"/>
      <c r="CC375" s="692"/>
      <c r="CD375" s="692">
        <f t="shared" si="127"/>
        <v>0</v>
      </c>
      <c r="CE375" s="692"/>
      <c r="CF375" s="692"/>
      <c r="CG375" s="692"/>
      <c r="CH375" s="692"/>
      <c r="CI375" s="692"/>
      <c r="CJ375" s="692"/>
      <c r="CK375" s="692"/>
      <c r="CL375" s="692"/>
      <c r="CM375" s="692"/>
      <c r="CN375" s="692"/>
      <c r="CO375" s="692"/>
      <c r="CP375" s="692"/>
      <c r="CQ375" s="692"/>
      <c r="CR375" s="692"/>
      <c r="CS375" s="692"/>
      <c r="CT375" s="692"/>
      <c r="CU375" s="692"/>
      <c r="CV375" s="692"/>
      <c r="CW375" s="692"/>
      <c r="CX375" s="694"/>
      <c r="CY375" s="694"/>
      <c r="CZ375" s="694"/>
      <c r="DA375" s="694"/>
      <c r="DB375" s="694"/>
      <c r="DC375" s="694"/>
      <c r="DD375" s="694"/>
      <c r="DE375" s="694"/>
      <c r="DF375" s="694"/>
      <c r="DG375" s="695"/>
      <c r="DH375" s="695"/>
      <c r="DI375" s="695"/>
      <c r="DJ375" s="695"/>
      <c r="DK375" s="695"/>
      <c r="DL375" s="695"/>
      <c r="DM375" s="695"/>
      <c r="DN375" s="695"/>
      <c r="DO375" s="695"/>
      <c r="DP375" s="695"/>
      <c r="DQ375" s="695"/>
      <c r="DR375" s="695"/>
      <c r="DS375" s="694"/>
      <c r="DT375" s="694"/>
      <c r="DU375" s="692"/>
      <c r="DV375" s="692"/>
      <c r="DW375" s="692"/>
      <c r="DX375" s="692"/>
      <c r="DY375" s="692"/>
      <c r="DZ375" s="692"/>
      <c r="EA375" s="692"/>
      <c r="EB375" s="692"/>
      <c r="EC375" s="692"/>
      <c r="ED375" s="692"/>
      <c r="EE375" s="692"/>
      <c r="EF375" s="692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4"/>
      <c r="FH375" s="694"/>
      <c r="FI375" s="694"/>
      <c r="FJ375" s="694"/>
      <c r="FK375" s="694"/>
      <c r="FL375" s="694"/>
      <c r="FM375" s="694"/>
      <c r="FN375" s="694"/>
      <c r="FO375" s="694"/>
      <c r="FP375" s="694"/>
      <c r="FQ375" s="697"/>
    </row>
    <row r="376" spans="1:173" s="696" customFormat="1">
      <c r="A376" s="690"/>
      <c r="B376" s="690"/>
      <c r="C376" s="691"/>
      <c r="D376" s="691" t="s">
        <v>3778</v>
      </c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>
        <f t="shared" si="124"/>
        <v>34</v>
      </c>
      <c r="Q376" s="692"/>
      <c r="R376" s="693"/>
      <c r="S376" s="693"/>
      <c r="T376" s="692"/>
      <c r="U376" s="692" t="s">
        <v>1631</v>
      </c>
      <c r="V376" s="692"/>
      <c r="W376" s="692"/>
      <c r="X376" s="692"/>
      <c r="Y376" s="692"/>
      <c r="Z376" s="692"/>
      <c r="AA376" s="692"/>
      <c r="AB376" s="692"/>
      <c r="AC376" s="692"/>
      <c r="AD376" s="692"/>
      <c r="AE376" s="725"/>
      <c r="AF376" s="957"/>
      <c r="AG376" s="692"/>
      <c r="AH376" s="692"/>
      <c r="AI376" s="692"/>
      <c r="AJ376" s="692"/>
      <c r="AK376" s="692"/>
      <c r="AL376" s="692"/>
      <c r="AM376" s="692"/>
      <c r="AN376" s="692"/>
      <c r="AO376" s="692"/>
      <c r="AP376" s="692"/>
      <c r="AQ376" s="692"/>
      <c r="AR376" s="692"/>
      <c r="AS376" s="692"/>
      <c r="AT376" s="692"/>
      <c r="AU376" s="692"/>
      <c r="AV376" s="692"/>
      <c r="AW376" s="692"/>
      <c r="AX376" s="692"/>
      <c r="AY376" s="692"/>
      <c r="AZ376" s="692"/>
      <c r="BA376" s="692">
        <f t="shared" si="125"/>
        <v>1</v>
      </c>
      <c r="BB376" s="692"/>
      <c r="BC376" s="692"/>
      <c r="BD376" s="692"/>
      <c r="BE376" s="692"/>
      <c r="BF376" s="692"/>
      <c r="BG376" s="692"/>
      <c r="BH376" s="692"/>
      <c r="BI376" s="692"/>
      <c r="BJ376" s="692">
        <f t="shared" si="126"/>
        <v>5</v>
      </c>
      <c r="BK376" s="692"/>
      <c r="BL376" s="692"/>
      <c r="BM376" s="692"/>
      <c r="BN376" s="692"/>
      <c r="BO376" s="692"/>
      <c r="BP376" s="692"/>
      <c r="BQ376" s="692"/>
      <c r="BR376" s="692"/>
      <c r="BS376" s="692"/>
      <c r="BT376" s="692">
        <f t="shared" si="123"/>
        <v>1</v>
      </c>
      <c r="BU376" s="692"/>
      <c r="BV376" s="692"/>
      <c r="BW376" s="692"/>
      <c r="BX376" s="692"/>
      <c r="BY376" s="692"/>
      <c r="BZ376" s="692"/>
      <c r="CA376" s="692"/>
      <c r="CB376" s="692">
        <v>1</v>
      </c>
      <c r="CC376" s="692"/>
      <c r="CD376" s="692">
        <f t="shared" si="127"/>
        <v>4</v>
      </c>
      <c r="CE376" s="692"/>
      <c r="CF376" s="692"/>
      <c r="CG376" s="692"/>
      <c r="CH376" s="692"/>
      <c r="CI376" s="692"/>
      <c r="CJ376" s="692"/>
      <c r="CK376" s="692"/>
      <c r="CL376" s="692"/>
      <c r="CM376" s="692"/>
      <c r="CN376" s="692"/>
      <c r="CO376" s="692"/>
      <c r="CP376" s="692"/>
      <c r="CQ376" s="692"/>
      <c r="CR376" s="692"/>
      <c r="CS376" s="692"/>
      <c r="CT376" s="692"/>
      <c r="CU376" s="692"/>
      <c r="CV376" s="692"/>
      <c r="CW376" s="692"/>
      <c r="CX376" s="694"/>
      <c r="CY376" s="694"/>
      <c r="CZ376" s="694"/>
      <c r="DA376" s="694"/>
      <c r="DB376" s="694"/>
      <c r="DC376" s="694"/>
      <c r="DD376" s="694"/>
      <c r="DE376" s="694"/>
      <c r="DF376" s="694"/>
      <c r="DG376" s="695"/>
      <c r="DH376" s="695"/>
      <c r="DI376" s="695"/>
      <c r="DJ376" s="695"/>
      <c r="DK376" s="695"/>
      <c r="DL376" s="695"/>
      <c r="DM376" s="695"/>
      <c r="DN376" s="695"/>
      <c r="DO376" s="695"/>
      <c r="DP376" s="695"/>
      <c r="DQ376" s="695"/>
      <c r="DR376" s="695"/>
      <c r="DS376" s="694"/>
      <c r="DT376" s="694"/>
      <c r="DU376" s="694"/>
      <c r="DV376" s="694"/>
      <c r="DW376" s="694"/>
      <c r="DX376" s="694"/>
      <c r="DY376" s="694"/>
      <c r="DZ376" s="694"/>
      <c r="EA376" s="694"/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4"/>
      <c r="FH376" s="694"/>
      <c r="FI376" s="694"/>
      <c r="FJ376" s="694"/>
      <c r="FK376" s="694"/>
      <c r="FL376" s="694"/>
      <c r="FM376" s="694"/>
      <c r="FN376" s="694"/>
      <c r="FO376" s="694"/>
      <c r="FP376" s="694"/>
      <c r="FQ376" s="697"/>
    </row>
    <row r="377" spans="1:173" s="696" customFormat="1">
      <c r="A377" s="690"/>
      <c r="B377" s="690"/>
      <c r="C377" s="691"/>
      <c r="D377" s="691" t="s">
        <v>3779</v>
      </c>
      <c r="E377" s="692">
        <v>35.200000000000003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>
        <f t="shared" si="124"/>
        <v>35.200000000000003</v>
      </c>
      <c r="Q377" s="692"/>
      <c r="R377" s="693"/>
      <c r="S377" s="693"/>
      <c r="T377" s="692"/>
      <c r="U377" s="692" t="s">
        <v>1631</v>
      </c>
      <c r="V377" s="692"/>
      <c r="W377" s="692"/>
      <c r="X377" s="692"/>
      <c r="Y377" s="692"/>
      <c r="Z377" s="692"/>
      <c r="AA377" s="692"/>
      <c r="AB377" s="692"/>
      <c r="AC377" s="692"/>
      <c r="AD377" s="692"/>
      <c r="AE377" s="725"/>
      <c r="AF377" s="957"/>
      <c r="AG377" s="692"/>
      <c r="AH377" s="692"/>
      <c r="AI377" s="692"/>
      <c r="AJ377" s="692"/>
      <c r="AK377" s="692"/>
      <c r="AL377" s="692"/>
      <c r="AM377" s="692"/>
      <c r="AN377" s="692"/>
      <c r="AO377" s="692"/>
      <c r="AP377" s="692"/>
      <c r="AQ377" s="692"/>
      <c r="AR377" s="692"/>
      <c r="AS377" s="692"/>
      <c r="AT377" s="692"/>
      <c r="AU377" s="692"/>
      <c r="AV377" s="692"/>
      <c r="AW377" s="692"/>
      <c r="AX377" s="692"/>
      <c r="AY377" s="692"/>
      <c r="AZ377" s="692"/>
      <c r="BA377" s="692">
        <f t="shared" si="125"/>
        <v>0</v>
      </c>
      <c r="BB377" s="692"/>
      <c r="BC377" s="692"/>
      <c r="BD377" s="692"/>
      <c r="BE377" s="692"/>
      <c r="BF377" s="692"/>
      <c r="BG377" s="692"/>
      <c r="BH377" s="692"/>
      <c r="BI377" s="692"/>
      <c r="BJ377" s="692">
        <f t="shared" si="126"/>
        <v>0</v>
      </c>
      <c r="BK377" s="692"/>
      <c r="BL377" s="692"/>
      <c r="BM377" s="692"/>
      <c r="BN377" s="692"/>
      <c r="BO377" s="692"/>
      <c r="BP377" s="692"/>
      <c r="BQ377" s="692"/>
      <c r="BR377" s="692"/>
      <c r="BS377" s="692"/>
      <c r="BT377" s="692">
        <f t="shared" si="123"/>
        <v>1</v>
      </c>
      <c r="BU377" s="692"/>
      <c r="BV377" s="692"/>
      <c r="BW377" s="692"/>
      <c r="BX377" s="692"/>
      <c r="BY377" s="692"/>
      <c r="BZ377" s="692"/>
      <c r="CA377" s="692"/>
      <c r="CB377" s="692"/>
      <c r="CC377" s="692"/>
      <c r="CD377" s="692">
        <f t="shared" si="127"/>
        <v>0</v>
      </c>
      <c r="CE377" s="692"/>
      <c r="CF377" s="692"/>
      <c r="CG377" s="692"/>
      <c r="CH377" s="692"/>
      <c r="CI377" s="692"/>
      <c r="CJ377" s="692"/>
      <c r="CK377" s="692"/>
      <c r="CL377" s="692"/>
      <c r="CM377" s="692"/>
      <c r="CN377" s="692"/>
      <c r="CO377" s="692"/>
      <c r="CP377" s="692"/>
      <c r="CQ377" s="692"/>
      <c r="CR377" s="692"/>
      <c r="CS377" s="692"/>
      <c r="CT377" s="692"/>
      <c r="CU377" s="692"/>
      <c r="CV377" s="692"/>
      <c r="CW377" s="692"/>
      <c r="CX377" s="694"/>
      <c r="CY377" s="694"/>
      <c r="CZ377" s="694"/>
      <c r="DA377" s="694"/>
      <c r="DB377" s="694"/>
      <c r="DC377" s="694"/>
      <c r="DD377" s="694"/>
      <c r="DE377" s="694"/>
      <c r="DF377" s="694"/>
      <c r="DG377" s="695"/>
      <c r="DH377" s="695"/>
      <c r="DI377" s="695"/>
      <c r="DJ377" s="695"/>
      <c r="DK377" s="695"/>
      <c r="DL377" s="695"/>
      <c r="DM377" s="695"/>
      <c r="DN377" s="695"/>
      <c r="DO377" s="695"/>
      <c r="DP377" s="695"/>
      <c r="DQ377" s="695"/>
      <c r="DR377" s="695"/>
      <c r="DS377" s="694"/>
      <c r="DT377" s="694"/>
      <c r="DU377" s="694"/>
      <c r="DV377" s="694"/>
      <c r="DW377" s="694"/>
      <c r="DX377" s="694"/>
      <c r="DY377" s="694"/>
      <c r="DZ377" s="694"/>
      <c r="EA377" s="694"/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4"/>
      <c r="FH377" s="694"/>
      <c r="FI377" s="694"/>
      <c r="FJ377" s="694"/>
      <c r="FK377" s="694"/>
      <c r="FL377" s="694"/>
      <c r="FM377" s="694"/>
      <c r="FN377" s="694"/>
      <c r="FO377" s="694"/>
      <c r="FP377" s="694"/>
      <c r="FQ377" s="697"/>
    </row>
    <row r="378" spans="1:173" s="696" customFormat="1">
      <c r="A378" s="690"/>
      <c r="B378" s="690"/>
      <c r="C378" s="691"/>
      <c r="D378" s="691" t="s">
        <v>3780</v>
      </c>
      <c r="E378" s="692">
        <v>44.1</v>
      </c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>
        <f t="shared" si="124"/>
        <v>44.1</v>
      </c>
      <c r="Q378" s="692"/>
      <c r="R378" s="693"/>
      <c r="S378" s="693"/>
      <c r="T378" s="692"/>
      <c r="U378" s="692" t="s">
        <v>1631</v>
      </c>
      <c r="V378" s="692"/>
      <c r="W378" s="692"/>
      <c r="X378" s="692"/>
      <c r="Y378" s="692"/>
      <c r="Z378" s="692"/>
      <c r="AA378" s="692"/>
      <c r="AB378" s="692"/>
      <c r="AC378" s="692"/>
      <c r="AD378" s="692"/>
      <c r="AE378" s="725"/>
      <c r="AF378" s="957"/>
      <c r="AG378" s="692"/>
      <c r="AH378" s="692"/>
      <c r="AI378" s="692"/>
      <c r="AJ378" s="692"/>
      <c r="AK378" s="692"/>
      <c r="AL378" s="692"/>
      <c r="AM378" s="692"/>
      <c r="AN378" s="692"/>
      <c r="AO378" s="692"/>
      <c r="AP378" s="692"/>
      <c r="AQ378" s="692"/>
      <c r="AR378" s="692"/>
      <c r="AS378" s="692"/>
      <c r="AT378" s="692"/>
      <c r="AU378" s="692">
        <v>1</v>
      </c>
      <c r="AV378" s="692"/>
      <c r="AW378" s="692"/>
      <c r="AX378" s="692"/>
      <c r="AY378" s="692"/>
      <c r="AZ378" s="692"/>
      <c r="BA378" s="692">
        <f t="shared" si="125"/>
        <v>1</v>
      </c>
      <c r="BB378" s="692"/>
      <c r="BC378" s="692"/>
      <c r="BD378" s="692"/>
      <c r="BE378" s="692"/>
      <c r="BF378" s="692"/>
      <c r="BG378" s="692"/>
      <c r="BH378" s="692"/>
      <c r="BI378" s="692"/>
      <c r="BJ378" s="692">
        <f t="shared" si="126"/>
        <v>7</v>
      </c>
      <c r="BK378" s="692"/>
      <c r="BL378" s="692"/>
      <c r="BM378" s="692"/>
      <c r="BN378" s="692"/>
      <c r="BO378" s="692"/>
      <c r="BP378" s="692"/>
      <c r="BQ378" s="692"/>
      <c r="BR378" s="692"/>
      <c r="BS378" s="692"/>
      <c r="BT378" s="692">
        <f t="shared" si="123"/>
        <v>1</v>
      </c>
      <c r="BU378" s="692"/>
      <c r="BV378" s="692"/>
      <c r="BW378" s="692"/>
      <c r="BX378" s="692"/>
      <c r="BY378" s="692"/>
      <c r="BZ378" s="692"/>
      <c r="CA378" s="692"/>
      <c r="CB378" s="692">
        <v>1</v>
      </c>
      <c r="CC378" s="692"/>
      <c r="CD378" s="692">
        <f t="shared" si="127"/>
        <v>4</v>
      </c>
      <c r="CE378" s="692"/>
      <c r="CF378" s="692"/>
      <c r="CG378" s="692"/>
      <c r="CH378" s="692"/>
      <c r="CI378" s="692"/>
      <c r="CJ378" s="692"/>
      <c r="CK378" s="692"/>
      <c r="CL378" s="692"/>
      <c r="CM378" s="692"/>
      <c r="CN378" s="692"/>
      <c r="CO378" s="692"/>
      <c r="CP378" s="692"/>
      <c r="CQ378" s="692"/>
      <c r="CR378" s="692"/>
      <c r="CS378" s="692"/>
      <c r="CT378" s="692"/>
      <c r="CU378" s="692"/>
      <c r="CV378" s="692"/>
      <c r="CW378" s="692"/>
      <c r="CX378" s="694"/>
      <c r="CY378" s="694"/>
      <c r="CZ378" s="694"/>
      <c r="DA378" s="694"/>
      <c r="DB378" s="694"/>
      <c r="DC378" s="694"/>
      <c r="DD378" s="694"/>
      <c r="DE378" s="694"/>
      <c r="DF378" s="694"/>
      <c r="DG378" s="695"/>
      <c r="DH378" s="695"/>
      <c r="DI378" s="695"/>
      <c r="DJ378" s="695"/>
      <c r="DK378" s="695"/>
      <c r="DL378" s="695"/>
      <c r="DM378" s="695"/>
      <c r="DN378" s="695"/>
      <c r="DO378" s="695"/>
      <c r="DP378" s="695"/>
      <c r="DQ378" s="695"/>
      <c r="DR378" s="695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4"/>
      <c r="FH378" s="694"/>
      <c r="FI378" s="694"/>
      <c r="FJ378" s="694"/>
      <c r="FK378" s="694"/>
      <c r="FL378" s="694"/>
      <c r="FM378" s="694"/>
      <c r="FN378" s="694"/>
      <c r="FO378" s="694"/>
      <c r="FP378" s="694"/>
      <c r="FQ378" s="697"/>
    </row>
    <row r="379" spans="1:173" s="696" customFormat="1">
      <c r="A379" s="690"/>
      <c r="B379" s="690"/>
      <c r="C379" s="691"/>
      <c r="D379" s="691" t="s">
        <v>3781</v>
      </c>
      <c r="E379" s="692">
        <v>44</v>
      </c>
      <c r="F379" s="692"/>
      <c r="G379" s="692"/>
      <c r="H379" s="692"/>
      <c r="I379" s="692"/>
      <c r="J379" s="692"/>
      <c r="K379" s="692"/>
      <c r="L379" s="692"/>
      <c r="M379" s="692"/>
      <c r="N379" s="692"/>
      <c r="O379" s="692"/>
      <c r="P379" s="692">
        <f t="shared" si="124"/>
        <v>44</v>
      </c>
      <c r="Q379" s="692"/>
      <c r="R379" s="693"/>
      <c r="S379" s="693"/>
      <c r="T379" s="692"/>
      <c r="U379" s="692" t="s">
        <v>1631</v>
      </c>
      <c r="V379" s="692"/>
      <c r="W379" s="692"/>
      <c r="X379" s="692"/>
      <c r="Y379" s="692"/>
      <c r="Z379" s="692"/>
      <c r="AA379" s="692"/>
      <c r="AB379" s="692"/>
      <c r="AC379" s="692"/>
      <c r="AD379" s="692"/>
      <c r="AE379" s="725"/>
      <c r="AF379" s="957"/>
      <c r="AG379" s="692"/>
      <c r="AH379" s="692"/>
      <c r="AI379" s="692"/>
      <c r="AJ379" s="692"/>
      <c r="AK379" s="692"/>
      <c r="AL379" s="692"/>
      <c r="AM379" s="692"/>
      <c r="AN379" s="692"/>
      <c r="AO379" s="692"/>
      <c r="AP379" s="692"/>
      <c r="AQ379" s="692"/>
      <c r="AR379" s="692"/>
      <c r="AS379" s="692"/>
      <c r="AT379" s="692"/>
      <c r="AU379" s="692"/>
      <c r="AV379" s="692"/>
      <c r="AW379" s="692"/>
      <c r="AX379" s="692"/>
      <c r="AY379" s="692"/>
      <c r="AZ379" s="692"/>
      <c r="BA379" s="692">
        <f t="shared" si="125"/>
        <v>1</v>
      </c>
      <c r="BB379" s="692"/>
      <c r="BC379" s="692"/>
      <c r="BD379" s="692"/>
      <c r="BE379" s="692"/>
      <c r="BF379" s="692"/>
      <c r="BG379" s="692"/>
      <c r="BH379" s="692"/>
      <c r="BI379" s="692"/>
      <c r="BJ379" s="692">
        <f t="shared" si="126"/>
        <v>5</v>
      </c>
      <c r="BK379" s="692"/>
      <c r="BL379" s="692"/>
      <c r="BM379" s="692"/>
      <c r="BN379" s="692"/>
      <c r="BO379" s="692"/>
      <c r="BP379" s="692"/>
      <c r="BQ379" s="692"/>
      <c r="BR379" s="692"/>
      <c r="BS379" s="692"/>
      <c r="BT379" s="692">
        <f t="shared" si="123"/>
        <v>1</v>
      </c>
      <c r="BU379" s="692"/>
      <c r="BV379" s="692"/>
      <c r="BW379" s="692"/>
      <c r="BX379" s="692"/>
      <c r="BY379" s="692"/>
      <c r="BZ379" s="692"/>
      <c r="CA379" s="692"/>
      <c r="CB379" s="692">
        <v>1</v>
      </c>
      <c r="CC379" s="692"/>
      <c r="CD379" s="692">
        <f t="shared" si="127"/>
        <v>4</v>
      </c>
      <c r="CE379" s="692"/>
      <c r="CF379" s="692"/>
      <c r="CG379" s="692"/>
      <c r="CH379" s="692"/>
      <c r="CI379" s="692"/>
      <c r="CJ379" s="692"/>
      <c r="CK379" s="692"/>
      <c r="CL379" s="692"/>
      <c r="CM379" s="692"/>
      <c r="CN379" s="692"/>
      <c r="CO379" s="692"/>
      <c r="CP379" s="692"/>
      <c r="CQ379" s="692"/>
      <c r="CR379" s="692"/>
      <c r="CS379" s="692"/>
      <c r="CT379" s="692"/>
      <c r="CU379" s="692"/>
      <c r="CV379" s="692"/>
      <c r="CW379" s="692"/>
      <c r="CX379" s="694"/>
      <c r="CY379" s="694"/>
      <c r="CZ379" s="694"/>
      <c r="DA379" s="694"/>
      <c r="DB379" s="694"/>
      <c r="DC379" s="694"/>
      <c r="DD379" s="694"/>
      <c r="DE379" s="694"/>
      <c r="DF379" s="694"/>
      <c r="DG379" s="695"/>
      <c r="DH379" s="695"/>
      <c r="DI379" s="695"/>
      <c r="DJ379" s="695"/>
      <c r="DK379" s="695"/>
      <c r="DL379" s="695"/>
      <c r="DM379" s="695"/>
      <c r="DN379" s="695"/>
      <c r="DO379" s="695"/>
      <c r="DP379" s="695"/>
      <c r="DQ379" s="695"/>
      <c r="DR379" s="695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4"/>
      <c r="FH379" s="694"/>
      <c r="FI379" s="694"/>
      <c r="FJ379" s="694"/>
      <c r="FK379" s="694"/>
      <c r="FL379" s="694"/>
      <c r="FM379" s="694"/>
      <c r="FN379" s="694"/>
      <c r="FO379" s="694"/>
      <c r="FP379" s="694"/>
      <c r="FQ379" s="697"/>
    </row>
    <row r="380" spans="1:173" s="696" customFormat="1">
      <c r="A380" s="690"/>
      <c r="B380" s="690"/>
      <c r="C380" s="691"/>
      <c r="D380" s="691" t="s">
        <v>3782</v>
      </c>
      <c r="E380" s="692">
        <v>23.2</v>
      </c>
      <c r="F380" s="692"/>
      <c r="G380" s="692"/>
      <c r="H380" s="692"/>
      <c r="I380" s="692"/>
      <c r="J380" s="692"/>
      <c r="K380" s="692"/>
      <c r="L380" s="692"/>
      <c r="M380" s="692"/>
      <c r="N380" s="692"/>
      <c r="O380" s="692"/>
      <c r="P380" s="692">
        <f t="shared" si="124"/>
        <v>23.2</v>
      </c>
      <c r="Q380" s="692"/>
      <c r="R380" s="693"/>
      <c r="S380" s="693"/>
      <c r="T380" s="692"/>
      <c r="U380" s="692" t="s">
        <v>2989</v>
      </c>
      <c r="V380" s="692"/>
      <c r="W380" s="692"/>
      <c r="X380" s="692"/>
      <c r="Y380" s="692"/>
      <c r="Z380" s="692"/>
      <c r="AA380" s="692"/>
      <c r="AB380" s="692"/>
      <c r="AC380" s="692"/>
      <c r="AD380" s="692"/>
      <c r="AE380" s="725"/>
      <c r="AF380" s="957"/>
      <c r="AG380" s="692"/>
      <c r="AH380" s="692"/>
      <c r="AI380" s="692"/>
      <c r="AJ380" s="692"/>
      <c r="AK380" s="692"/>
      <c r="AL380" s="692"/>
      <c r="AM380" s="692"/>
      <c r="AN380" s="692"/>
      <c r="AO380" s="692"/>
      <c r="AP380" s="692"/>
      <c r="AQ380" s="692"/>
      <c r="AR380" s="692"/>
      <c r="AS380" s="692"/>
      <c r="AT380" s="692"/>
      <c r="AU380" s="692"/>
      <c r="AV380" s="692"/>
      <c r="AW380" s="692"/>
      <c r="AX380" s="692"/>
      <c r="AY380" s="692"/>
      <c r="AZ380" s="692"/>
      <c r="BA380" s="692">
        <f t="shared" si="125"/>
        <v>0</v>
      </c>
      <c r="BB380" s="692"/>
      <c r="BC380" s="692"/>
      <c r="BD380" s="692"/>
      <c r="BE380" s="692">
        <v>2</v>
      </c>
      <c r="BF380" s="692"/>
      <c r="BG380" s="692"/>
      <c r="BH380" s="692"/>
      <c r="BI380" s="692"/>
      <c r="BJ380" s="692">
        <f t="shared" si="126"/>
        <v>0</v>
      </c>
      <c r="BK380" s="692"/>
      <c r="BL380" s="692"/>
      <c r="BM380" s="692"/>
      <c r="BN380" s="692"/>
      <c r="BO380" s="692"/>
      <c r="BP380" s="692"/>
      <c r="BQ380" s="692"/>
      <c r="BR380" s="692"/>
      <c r="BS380" s="692"/>
      <c r="BT380" s="692">
        <f t="shared" si="123"/>
        <v>0</v>
      </c>
      <c r="BU380" s="692"/>
      <c r="BV380" s="692"/>
      <c r="BW380" s="692"/>
      <c r="BX380" s="692"/>
      <c r="BY380" s="692">
        <v>2</v>
      </c>
      <c r="BZ380" s="692"/>
      <c r="CA380" s="692"/>
      <c r="CB380" s="692"/>
      <c r="CC380" s="692"/>
      <c r="CD380" s="692">
        <f t="shared" si="127"/>
        <v>0</v>
      </c>
      <c r="CE380" s="692"/>
      <c r="CF380" s="692"/>
      <c r="CG380" s="692"/>
      <c r="CH380" s="692"/>
      <c r="CI380" s="692"/>
      <c r="CJ380" s="692"/>
      <c r="CK380" s="692"/>
      <c r="CL380" s="692"/>
      <c r="CM380" s="692"/>
      <c r="CN380" s="692"/>
      <c r="CO380" s="692"/>
      <c r="CP380" s="692"/>
      <c r="CQ380" s="692"/>
      <c r="CR380" s="692"/>
      <c r="CS380" s="692"/>
      <c r="CT380" s="692"/>
      <c r="CU380" s="692"/>
      <c r="CV380" s="692"/>
      <c r="CW380" s="692"/>
      <c r="CX380" s="694"/>
      <c r="CY380" s="694"/>
      <c r="CZ380" s="694"/>
      <c r="DA380" s="694"/>
      <c r="DB380" s="694"/>
      <c r="DC380" s="694"/>
      <c r="DD380" s="694"/>
      <c r="DE380" s="694"/>
      <c r="DF380" s="694"/>
      <c r="DG380" s="695"/>
      <c r="DH380" s="695"/>
      <c r="DI380" s="695"/>
      <c r="DJ380" s="695"/>
      <c r="DK380" s="695"/>
      <c r="DL380" s="695"/>
      <c r="DM380" s="695"/>
      <c r="DN380" s="695"/>
      <c r="DO380" s="695"/>
      <c r="DP380" s="695"/>
      <c r="DQ380" s="695"/>
      <c r="DR380" s="695"/>
      <c r="DS380" s="694"/>
      <c r="DT380" s="694"/>
      <c r="DU380" s="694"/>
      <c r="DV380" s="694"/>
      <c r="DW380" s="694"/>
      <c r="DX380" s="694"/>
      <c r="DY380" s="694"/>
      <c r="DZ380" s="694"/>
      <c r="EA380" s="694"/>
      <c r="EB380" s="694"/>
      <c r="EC380" s="694"/>
      <c r="ED380" s="694"/>
      <c r="EE380" s="694"/>
      <c r="EF380" s="694"/>
      <c r="EG380" s="694"/>
      <c r="EH380" s="694"/>
      <c r="EI380" s="694"/>
      <c r="EJ380" s="694"/>
      <c r="EK380" s="694"/>
      <c r="EL380" s="694"/>
      <c r="EM380" s="694"/>
      <c r="EN380" s="694"/>
      <c r="EO380" s="694"/>
      <c r="EP380" s="694"/>
      <c r="EQ380" s="694"/>
      <c r="ER380" s="694"/>
      <c r="ES380" s="694"/>
      <c r="ET380" s="694"/>
      <c r="EU380" s="694"/>
      <c r="EV380" s="694"/>
      <c r="EW380" s="694"/>
      <c r="EX380" s="694"/>
      <c r="EY380" s="694"/>
      <c r="EZ380" s="694"/>
      <c r="FA380" s="694"/>
      <c r="FB380" s="694"/>
      <c r="FC380" s="694"/>
      <c r="FD380" s="694"/>
      <c r="FE380" s="694"/>
      <c r="FF380" s="694"/>
      <c r="FG380" s="694"/>
      <c r="FH380" s="694"/>
      <c r="FI380" s="694"/>
      <c r="FJ380" s="694"/>
      <c r="FK380" s="694"/>
      <c r="FL380" s="694"/>
      <c r="FM380" s="694"/>
      <c r="FN380" s="694"/>
      <c r="FO380" s="694"/>
      <c r="FP380" s="694"/>
      <c r="FQ380" s="697"/>
    </row>
    <row r="381" spans="1:173" s="696" customFormat="1">
      <c r="A381" s="690"/>
      <c r="B381" s="690"/>
      <c r="C381" s="691"/>
      <c r="D381" s="691" t="s">
        <v>3783</v>
      </c>
      <c r="E381" s="692">
        <v>12.4</v>
      </c>
      <c r="F381" s="692"/>
      <c r="G381" s="692"/>
      <c r="H381" s="692"/>
      <c r="I381" s="692"/>
      <c r="J381" s="692"/>
      <c r="K381" s="692"/>
      <c r="L381" s="692"/>
      <c r="M381" s="692"/>
      <c r="N381" s="692"/>
      <c r="O381" s="692"/>
      <c r="P381" s="692">
        <f t="shared" si="124"/>
        <v>12.4</v>
      </c>
      <c r="Q381" s="692"/>
      <c r="R381" s="693"/>
      <c r="S381" s="693"/>
      <c r="T381" s="692"/>
      <c r="U381" s="692" t="s">
        <v>2990</v>
      </c>
      <c r="V381" s="692"/>
      <c r="W381" s="692"/>
      <c r="X381" s="692"/>
      <c r="Y381" s="692"/>
      <c r="Z381" s="692"/>
      <c r="AA381" s="692"/>
      <c r="AB381" s="692"/>
      <c r="AC381" s="692"/>
      <c r="AD381" s="692"/>
      <c r="AE381" s="725"/>
      <c r="AF381" s="957"/>
      <c r="AG381" s="692"/>
      <c r="AH381" s="692"/>
      <c r="AI381" s="692"/>
      <c r="AJ381" s="692"/>
      <c r="AK381" s="692"/>
      <c r="AL381" s="692"/>
      <c r="AM381" s="692"/>
      <c r="AN381" s="692"/>
      <c r="AO381" s="692"/>
      <c r="AP381" s="692"/>
      <c r="AQ381" s="692"/>
      <c r="AR381" s="692"/>
      <c r="AS381" s="692"/>
      <c r="AT381" s="692"/>
      <c r="AU381" s="692"/>
      <c r="AV381" s="692"/>
      <c r="AW381" s="692"/>
      <c r="AX381" s="692"/>
      <c r="AY381" s="692"/>
      <c r="AZ381" s="692"/>
      <c r="BA381" s="692">
        <f>AW381+CB381+CC381</f>
        <v>0</v>
      </c>
      <c r="BB381" s="692"/>
      <c r="BC381" s="692"/>
      <c r="BD381" s="692"/>
      <c r="BE381" s="692"/>
      <c r="BF381" s="692"/>
      <c r="BG381" s="692"/>
      <c r="BH381" s="692"/>
      <c r="BI381" s="692"/>
      <c r="BJ381" s="692">
        <f t="shared" si="126"/>
        <v>0</v>
      </c>
      <c r="BK381" s="692"/>
      <c r="BL381" s="692"/>
      <c r="BM381" s="692"/>
      <c r="BN381" s="692"/>
      <c r="BO381" s="692"/>
      <c r="BP381" s="692"/>
      <c r="BQ381" s="692"/>
      <c r="BR381" s="692"/>
      <c r="BS381" s="692"/>
      <c r="BT381" s="692">
        <f t="shared" si="123"/>
        <v>0</v>
      </c>
      <c r="BU381" s="692"/>
      <c r="BV381" s="692"/>
      <c r="BW381" s="692"/>
      <c r="BX381" s="692"/>
      <c r="BY381" s="692">
        <v>1</v>
      </c>
      <c r="BZ381" s="692"/>
      <c r="CA381" s="692"/>
      <c r="CB381" s="692"/>
      <c r="CC381" s="692"/>
      <c r="CD381" s="692">
        <f t="shared" si="127"/>
        <v>0</v>
      </c>
      <c r="CE381" s="692"/>
      <c r="CF381" s="692"/>
      <c r="CG381" s="692"/>
      <c r="CH381" s="692"/>
      <c r="CI381" s="692"/>
      <c r="CJ381" s="692"/>
      <c r="CK381" s="692"/>
      <c r="CL381" s="692"/>
      <c r="CM381" s="692"/>
      <c r="CN381" s="692"/>
      <c r="CO381" s="692"/>
      <c r="CP381" s="692"/>
      <c r="CQ381" s="692"/>
      <c r="CR381" s="692"/>
      <c r="CS381" s="692"/>
      <c r="CT381" s="692"/>
      <c r="CU381" s="692"/>
      <c r="CV381" s="692"/>
      <c r="CW381" s="692"/>
      <c r="CX381" s="694"/>
      <c r="CY381" s="694"/>
      <c r="CZ381" s="694"/>
      <c r="DA381" s="694"/>
      <c r="DB381" s="694"/>
      <c r="DC381" s="694"/>
      <c r="DD381" s="694"/>
      <c r="DE381" s="694"/>
      <c r="DF381" s="694"/>
      <c r="DG381" s="695"/>
      <c r="DH381" s="695"/>
      <c r="DI381" s="695"/>
      <c r="DJ381" s="695"/>
      <c r="DK381" s="695"/>
      <c r="DL381" s="695"/>
      <c r="DM381" s="695"/>
      <c r="DN381" s="695"/>
      <c r="DO381" s="695"/>
      <c r="DP381" s="695"/>
      <c r="DQ381" s="695"/>
      <c r="DR381" s="695"/>
      <c r="DS381" s="694"/>
      <c r="DT381" s="694"/>
      <c r="DU381" s="694"/>
      <c r="DV381" s="694"/>
      <c r="DW381" s="694"/>
      <c r="DX381" s="694"/>
      <c r="DY381" s="694"/>
      <c r="DZ381" s="694"/>
      <c r="EA381" s="694"/>
      <c r="EB381" s="694"/>
      <c r="EC381" s="694"/>
      <c r="ED381" s="694"/>
      <c r="EE381" s="694"/>
      <c r="EF381" s="694"/>
      <c r="EG381" s="694"/>
      <c r="EH381" s="694"/>
      <c r="EI381" s="694"/>
      <c r="EJ381" s="694"/>
      <c r="EK381" s="694"/>
      <c r="EL381" s="694"/>
      <c r="EM381" s="694"/>
      <c r="EN381" s="694"/>
      <c r="EO381" s="694"/>
      <c r="EP381" s="694"/>
      <c r="EQ381" s="694"/>
      <c r="ER381" s="694"/>
      <c r="ES381" s="694"/>
      <c r="ET381" s="694"/>
      <c r="EU381" s="694"/>
      <c r="EV381" s="694"/>
      <c r="EW381" s="694"/>
      <c r="EX381" s="694"/>
      <c r="EY381" s="694"/>
      <c r="EZ381" s="694"/>
      <c r="FA381" s="694"/>
      <c r="FB381" s="694"/>
      <c r="FC381" s="694"/>
      <c r="FD381" s="694"/>
      <c r="FE381" s="694"/>
      <c r="FF381" s="694"/>
      <c r="FG381" s="694"/>
      <c r="FH381" s="694"/>
      <c r="FI381" s="694"/>
      <c r="FJ381" s="694"/>
      <c r="FK381" s="694"/>
      <c r="FL381" s="694"/>
      <c r="FM381" s="694"/>
      <c r="FN381" s="694"/>
      <c r="FO381" s="694"/>
      <c r="FP381" s="694"/>
      <c r="FQ381" s="697"/>
    </row>
    <row r="382" spans="1:173" s="696" customFormat="1">
      <c r="A382" s="690"/>
      <c r="B382" s="690"/>
      <c r="C382" s="691"/>
      <c r="D382" s="691"/>
      <c r="E382" s="692"/>
      <c r="F382" s="692"/>
      <c r="G382" s="692"/>
      <c r="H382" s="692"/>
      <c r="I382" s="692"/>
      <c r="J382" s="692"/>
      <c r="K382" s="692"/>
      <c r="L382" s="692"/>
      <c r="M382" s="692"/>
      <c r="N382" s="692"/>
      <c r="O382" s="692"/>
      <c r="P382" s="692"/>
      <c r="Q382" s="692"/>
      <c r="R382" s="693"/>
      <c r="S382" s="693"/>
      <c r="T382" s="692"/>
      <c r="U382" s="692"/>
      <c r="V382" s="692"/>
      <c r="W382" s="692"/>
      <c r="X382" s="692"/>
      <c r="Y382" s="692"/>
      <c r="Z382" s="692"/>
      <c r="AA382" s="692"/>
      <c r="AB382" s="692"/>
      <c r="AC382" s="692"/>
      <c r="AD382" s="692"/>
      <c r="AE382" s="725"/>
      <c r="AF382" s="957"/>
      <c r="AG382" s="692"/>
      <c r="AH382" s="692"/>
      <c r="AI382" s="692"/>
      <c r="AJ382" s="692"/>
      <c r="AK382" s="692"/>
      <c r="AL382" s="692"/>
      <c r="AM382" s="692"/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/>
      <c r="AX382" s="692"/>
      <c r="AY382" s="692"/>
      <c r="AZ382" s="692"/>
      <c r="BA382" s="692"/>
      <c r="BB382" s="692"/>
      <c r="BC382" s="692"/>
      <c r="BD382" s="692"/>
      <c r="BE382" s="692"/>
      <c r="BF382" s="692"/>
      <c r="BG382" s="692"/>
      <c r="BH382" s="692"/>
      <c r="BI382" s="692"/>
      <c r="BJ382" s="692">
        <f t="shared" si="126"/>
        <v>0</v>
      </c>
      <c r="BK382" s="692"/>
      <c r="BL382" s="692"/>
      <c r="BM382" s="692"/>
      <c r="BN382" s="692"/>
      <c r="BO382" s="692"/>
      <c r="BP382" s="692"/>
      <c r="BQ382" s="692"/>
      <c r="BR382" s="692"/>
      <c r="BS382" s="692"/>
      <c r="BT382" s="692">
        <f t="shared" si="123"/>
        <v>0</v>
      </c>
      <c r="BU382" s="692"/>
      <c r="BV382" s="692"/>
      <c r="BW382" s="692"/>
      <c r="BX382" s="692"/>
      <c r="BY382" s="692"/>
      <c r="BZ382" s="692"/>
      <c r="CA382" s="692"/>
      <c r="CB382" s="692"/>
      <c r="CC382" s="692"/>
      <c r="CD382" s="692">
        <f t="shared" si="127"/>
        <v>0</v>
      </c>
      <c r="CE382" s="692"/>
      <c r="CF382" s="692"/>
      <c r="CG382" s="692"/>
      <c r="CH382" s="692"/>
      <c r="CI382" s="692"/>
      <c r="CJ382" s="692"/>
      <c r="CK382" s="692"/>
      <c r="CL382" s="692"/>
      <c r="CM382" s="692"/>
      <c r="CN382" s="692"/>
      <c r="CO382" s="692"/>
      <c r="CP382" s="692"/>
      <c r="CQ382" s="692"/>
      <c r="CR382" s="692"/>
      <c r="CS382" s="692"/>
      <c r="CT382" s="692"/>
      <c r="CU382" s="692"/>
      <c r="CV382" s="692"/>
      <c r="CW382" s="692"/>
      <c r="CX382" s="694"/>
      <c r="CY382" s="694"/>
      <c r="CZ382" s="694"/>
      <c r="DA382" s="694"/>
      <c r="DB382" s="694"/>
      <c r="DC382" s="694"/>
      <c r="DD382" s="694"/>
      <c r="DE382" s="694"/>
      <c r="DF382" s="694"/>
      <c r="DG382" s="695"/>
      <c r="DH382" s="695"/>
      <c r="DI382" s="695"/>
      <c r="DJ382" s="695"/>
      <c r="DK382" s="695"/>
      <c r="DL382" s="695"/>
      <c r="DM382" s="695"/>
      <c r="DN382" s="695"/>
      <c r="DO382" s="695"/>
      <c r="DP382" s="695"/>
      <c r="DQ382" s="695"/>
      <c r="DR382" s="695"/>
      <c r="DS382" s="694"/>
      <c r="DT382" s="694"/>
      <c r="DU382" s="694"/>
      <c r="DV382" s="694"/>
      <c r="DW382" s="694"/>
      <c r="DX382" s="694"/>
      <c r="DY382" s="694"/>
      <c r="DZ382" s="694"/>
      <c r="EA382" s="694"/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4"/>
      <c r="FH382" s="694"/>
      <c r="FI382" s="694"/>
      <c r="FJ382" s="694"/>
      <c r="FK382" s="694"/>
      <c r="FL382" s="694"/>
      <c r="FM382" s="694"/>
      <c r="FN382" s="694"/>
      <c r="FO382" s="694"/>
      <c r="FP382" s="694"/>
      <c r="FQ382" s="697"/>
    </row>
    <row r="383" spans="1:173" s="696" customFormat="1">
      <c r="A383" s="690"/>
      <c r="B383" s="690"/>
      <c r="C383" s="691"/>
      <c r="D383" s="699" t="s">
        <v>3731</v>
      </c>
      <c r="E383" s="692"/>
      <c r="F383" s="692"/>
      <c r="G383" s="692"/>
      <c r="H383" s="692"/>
      <c r="I383" s="692"/>
      <c r="J383" s="692"/>
      <c r="K383" s="692"/>
      <c r="L383" s="692"/>
      <c r="M383" s="692"/>
      <c r="N383" s="692"/>
      <c r="O383" s="692"/>
      <c r="P383" s="692"/>
      <c r="Q383" s="692"/>
      <c r="R383" s="693"/>
      <c r="S383" s="693"/>
      <c r="T383" s="692"/>
      <c r="U383" s="692"/>
      <c r="V383" s="692"/>
      <c r="W383" s="692"/>
      <c r="X383" s="692"/>
      <c r="Y383" s="692"/>
      <c r="Z383" s="692"/>
      <c r="AA383" s="692"/>
      <c r="AB383" s="692"/>
      <c r="AC383" s="692"/>
      <c r="AD383" s="692"/>
      <c r="AE383" s="725"/>
      <c r="AF383" s="957"/>
      <c r="AG383" s="692"/>
      <c r="AH383" s="692"/>
      <c r="AI383" s="692"/>
      <c r="AJ383" s="692"/>
      <c r="AK383" s="692"/>
      <c r="AL383" s="692"/>
      <c r="AM383" s="692"/>
      <c r="AN383" s="692"/>
      <c r="AO383" s="692"/>
      <c r="AP383" s="692"/>
      <c r="AQ383" s="692"/>
      <c r="AR383" s="692"/>
      <c r="AS383" s="692"/>
      <c r="AT383" s="692"/>
      <c r="AU383" s="692"/>
      <c r="AV383" s="692"/>
      <c r="AW383" s="692"/>
      <c r="AX383" s="692"/>
      <c r="AY383" s="692"/>
      <c r="AZ383" s="692"/>
      <c r="BA383" s="692"/>
      <c r="BB383" s="692"/>
      <c r="BC383" s="692"/>
      <c r="BD383" s="692"/>
      <c r="BE383" s="692"/>
      <c r="BF383" s="692"/>
      <c r="BG383" s="692"/>
      <c r="BH383" s="692"/>
      <c r="BI383" s="692"/>
      <c r="BJ383" s="692">
        <f t="shared" si="126"/>
        <v>0</v>
      </c>
      <c r="BK383" s="692"/>
      <c r="BL383" s="692"/>
      <c r="BM383" s="692"/>
      <c r="BN383" s="692"/>
      <c r="BO383" s="692"/>
      <c r="BP383" s="692"/>
      <c r="BQ383" s="692"/>
      <c r="BR383" s="692"/>
      <c r="BS383" s="692"/>
      <c r="BT383" s="692">
        <f t="shared" si="123"/>
        <v>0</v>
      </c>
      <c r="BU383" s="692"/>
      <c r="BV383" s="692"/>
      <c r="BW383" s="692"/>
      <c r="BX383" s="692"/>
      <c r="BY383" s="692"/>
      <c r="BZ383" s="692"/>
      <c r="CA383" s="692"/>
      <c r="CB383" s="692"/>
      <c r="CC383" s="692"/>
      <c r="CD383" s="692">
        <f t="shared" si="127"/>
        <v>0</v>
      </c>
      <c r="CE383" s="692"/>
      <c r="CF383" s="692"/>
      <c r="CG383" s="692"/>
      <c r="CH383" s="692"/>
      <c r="CI383" s="692"/>
      <c r="CJ383" s="692"/>
      <c r="CK383" s="692"/>
      <c r="CL383" s="692"/>
      <c r="CM383" s="692"/>
      <c r="CN383" s="692"/>
      <c r="CO383" s="692"/>
      <c r="CP383" s="692"/>
      <c r="CQ383" s="692"/>
      <c r="CR383" s="692"/>
      <c r="CS383" s="692"/>
      <c r="CT383" s="692"/>
      <c r="CU383" s="692"/>
      <c r="CV383" s="692"/>
      <c r="CW383" s="692"/>
      <c r="CX383" s="694"/>
      <c r="CY383" s="694"/>
      <c r="CZ383" s="694"/>
      <c r="DA383" s="694"/>
      <c r="DB383" s="694"/>
      <c r="DC383" s="694"/>
      <c r="DD383" s="694"/>
      <c r="DE383" s="694"/>
      <c r="DF383" s="694"/>
      <c r="DG383" s="695"/>
      <c r="DH383" s="695"/>
      <c r="DI383" s="695"/>
      <c r="DJ383" s="695"/>
      <c r="DK383" s="695"/>
      <c r="DL383" s="695"/>
      <c r="DM383" s="695"/>
      <c r="DN383" s="695"/>
      <c r="DO383" s="695"/>
      <c r="DP383" s="695"/>
      <c r="DQ383" s="695"/>
      <c r="DR383" s="695"/>
      <c r="DS383" s="694"/>
      <c r="DT383" s="694"/>
      <c r="DU383" s="694"/>
      <c r="DV383" s="694"/>
      <c r="DW383" s="694"/>
      <c r="DX383" s="694"/>
      <c r="DY383" s="694"/>
      <c r="DZ383" s="694"/>
      <c r="EA383" s="694"/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4"/>
      <c r="FH383" s="694"/>
      <c r="FI383" s="694"/>
      <c r="FJ383" s="694"/>
      <c r="FK383" s="694"/>
      <c r="FL383" s="694"/>
      <c r="FM383" s="694"/>
      <c r="FN383" s="694"/>
      <c r="FO383" s="694"/>
      <c r="FP383" s="694"/>
      <c r="FQ383" s="697"/>
    </row>
    <row r="384" spans="1:173" s="696" customFormat="1">
      <c r="A384" s="690"/>
      <c r="B384" s="690"/>
      <c r="C384" s="691" t="s">
        <v>3632</v>
      </c>
      <c r="D384" s="691"/>
      <c r="E384" s="692">
        <v>14.6</v>
      </c>
      <c r="F384" s="692"/>
      <c r="G384" s="692"/>
      <c r="H384" s="692"/>
      <c r="I384" s="692"/>
      <c r="J384" s="692"/>
      <c r="K384" s="692"/>
      <c r="L384" s="692"/>
      <c r="M384" s="692"/>
      <c r="N384" s="692"/>
      <c r="O384" s="692"/>
      <c r="P384" s="692">
        <f>E384</f>
        <v>14.6</v>
      </c>
      <c r="Q384" s="692"/>
      <c r="R384" s="693"/>
      <c r="S384" s="693"/>
      <c r="T384" s="692"/>
      <c r="U384" s="692" t="s">
        <v>2989</v>
      </c>
      <c r="V384" s="692"/>
      <c r="W384" s="692"/>
      <c r="X384" s="692"/>
      <c r="Y384" s="692"/>
      <c r="Z384" s="692"/>
      <c r="AA384" s="692"/>
      <c r="AB384" s="692"/>
      <c r="AC384" s="692"/>
      <c r="AD384" s="692"/>
      <c r="AE384" s="725"/>
      <c r="AF384" s="957"/>
      <c r="AG384" s="692"/>
      <c r="AH384" s="692"/>
      <c r="AI384" s="692"/>
      <c r="AJ384" s="692"/>
      <c r="AK384" s="692"/>
      <c r="AL384" s="692"/>
      <c r="AM384" s="692"/>
      <c r="AN384" s="692"/>
      <c r="AO384" s="692"/>
      <c r="AP384" s="692"/>
      <c r="AQ384" s="692"/>
      <c r="AR384" s="692"/>
      <c r="AS384" s="692"/>
      <c r="AT384" s="692"/>
      <c r="AU384" s="692"/>
      <c r="AV384" s="692"/>
      <c r="AW384" s="692"/>
      <c r="AX384" s="692"/>
      <c r="AY384" s="692"/>
      <c r="AZ384" s="692"/>
      <c r="BA384" s="692"/>
      <c r="BB384" s="692"/>
      <c r="BC384" s="692"/>
      <c r="BD384" s="692"/>
      <c r="BE384" s="692"/>
      <c r="BF384" s="692"/>
      <c r="BG384" s="692"/>
      <c r="BH384" s="692"/>
      <c r="BI384" s="692"/>
      <c r="BJ384" s="692">
        <v>2</v>
      </c>
      <c r="BK384" s="692"/>
      <c r="BL384" s="692"/>
      <c r="BM384" s="692"/>
      <c r="BN384" s="692"/>
      <c r="BO384" s="692"/>
      <c r="BP384" s="692"/>
      <c r="BQ384" s="692"/>
      <c r="BR384" s="692"/>
      <c r="BS384" s="692"/>
      <c r="BT384" s="692">
        <f t="shared" si="123"/>
        <v>0</v>
      </c>
      <c r="BU384" s="692"/>
      <c r="BV384" s="692"/>
      <c r="BW384" s="692"/>
      <c r="BX384" s="692"/>
      <c r="BY384" s="692">
        <v>2</v>
      </c>
      <c r="BZ384" s="692"/>
      <c r="CA384" s="692"/>
      <c r="CB384" s="692"/>
      <c r="CC384" s="692"/>
      <c r="CD384" s="692">
        <f t="shared" si="127"/>
        <v>0</v>
      </c>
      <c r="CE384" s="692"/>
      <c r="CF384" s="692"/>
      <c r="CG384" s="692"/>
      <c r="CH384" s="692"/>
      <c r="CI384" s="692"/>
      <c r="CJ384" s="692"/>
      <c r="CK384" s="692"/>
      <c r="CL384" s="692"/>
      <c r="CM384" s="692"/>
      <c r="CN384" s="692"/>
      <c r="CO384" s="692"/>
      <c r="CP384" s="692"/>
      <c r="CQ384" s="692"/>
      <c r="CR384" s="692"/>
      <c r="CS384" s="692"/>
      <c r="CT384" s="692"/>
      <c r="CU384" s="692"/>
      <c r="CV384" s="692"/>
      <c r="CW384" s="692"/>
      <c r="CX384" s="694"/>
      <c r="CY384" s="694"/>
      <c r="CZ384" s="694">
        <v>1</v>
      </c>
      <c r="DA384" s="694"/>
      <c r="DB384" s="694"/>
      <c r="DC384" s="694"/>
      <c r="DD384" s="694"/>
      <c r="DE384" s="694"/>
      <c r="DF384" s="694"/>
      <c r="DG384" s="695"/>
      <c r="DH384" s="695"/>
      <c r="DI384" s="695"/>
      <c r="DJ384" s="695"/>
      <c r="DK384" s="695"/>
      <c r="DL384" s="695"/>
      <c r="DM384" s="695"/>
      <c r="DN384" s="695"/>
      <c r="DO384" s="695"/>
      <c r="DP384" s="695"/>
      <c r="DQ384" s="695"/>
      <c r="DR384" s="695"/>
      <c r="DS384" s="694"/>
      <c r="DT384" s="694"/>
      <c r="DU384" s="694"/>
      <c r="DV384" s="694"/>
      <c r="DW384" s="694"/>
      <c r="DX384" s="694"/>
      <c r="DY384" s="694"/>
      <c r="DZ384" s="694"/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4"/>
      <c r="FH384" s="694"/>
      <c r="FI384" s="694"/>
      <c r="FJ384" s="694"/>
      <c r="FK384" s="694"/>
      <c r="FL384" s="694"/>
      <c r="FM384" s="694"/>
      <c r="FN384" s="694"/>
      <c r="FO384" s="694"/>
      <c r="FP384" s="694"/>
      <c r="FQ384" s="697"/>
    </row>
    <row r="385" spans="1:173" s="696" customFormat="1">
      <c r="A385" s="690"/>
      <c r="B385" s="690"/>
      <c r="C385" s="691" t="s">
        <v>3633</v>
      </c>
      <c r="D385" s="691"/>
      <c r="E385" s="692">
        <v>39.299999999999997</v>
      </c>
      <c r="F385" s="692"/>
      <c r="G385" s="692"/>
      <c r="H385" s="692"/>
      <c r="I385" s="692"/>
      <c r="J385" s="692"/>
      <c r="K385" s="692"/>
      <c r="L385" s="692"/>
      <c r="M385" s="692"/>
      <c r="N385" s="692"/>
      <c r="O385" s="692"/>
      <c r="P385" s="692">
        <f t="shared" ref="P385:P396" si="128">E385</f>
        <v>39.299999999999997</v>
      </c>
      <c r="Q385" s="692"/>
      <c r="R385" s="693"/>
      <c r="S385" s="693"/>
      <c r="T385" s="692"/>
      <c r="U385" s="692" t="s">
        <v>1631</v>
      </c>
      <c r="V385" s="692"/>
      <c r="W385" s="692"/>
      <c r="X385" s="692"/>
      <c r="Y385" s="692"/>
      <c r="Z385" s="692"/>
      <c r="AA385" s="692"/>
      <c r="AB385" s="692"/>
      <c r="AC385" s="692"/>
      <c r="AD385" s="692"/>
      <c r="AE385" s="725"/>
      <c r="AF385" s="957"/>
      <c r="AG385" s="692"/>
      <c r="AH385" s="692"/>
      <c r="AI385" s="692"/>
      <c r="AJ385" s="692"/>
      <c r="AK385" s="692"/>
      <c r="AL385" s="692"/>
      <c r="AM385" s="692"/>
      <c r="AN385" s="692"/>
      <c r="AO385" s="692"/>
      <c r="AP385" s="692"/>
      <c r="AQ385" s="692"/>
      <c r="AR385" s="692"/>
      <c r="AS385" s="692"/>
      <c r="AT385" s="692"/>
      <c r="AU385" s="692"/>
      <c r="AV385" s="692"/>
      <c r="AW385" s="692"/>
      <c r="AX385" s="692"/>
      <c r="AY385" s="692"/>
      <c r="AZ385" s="692"/>
      <c r="BA385" s="692"/>
      <c r="BB385" s="692"/>
      <c r="BC385" s="692"/>
      <c r="BD385" s="692"/>
      <c r="BE385" s="692"/>
      <c r="BF385" s="692"/>
      <c r="BG385" s="692"/>
      <c r="BH385" s="692"/>
      <c r="BI385" s="692"/>
      <c r="BJ385" s="692">
        <f t="shared" si="126"/>
        <v>5</v>
      </c>
      <c r="BK385" s="692"/>
      <c r="BL385" s="692"/>
      <c r="BM385" s="692"/>
      <c r="BN385" s="692"/>
      <c r="BO385" s="692"/>
      <c r="BP385" s="692"/>
      <c r="BQ385" s="692"/>
      <c r="BR385" s="692"/>
      <c r="BS385" s="692"/>
      <c r="BT385" s="692">
        <f t="shared" si="123"/>
        <v>1</v>
      </c>
      <c r="BU385" s="692"/>
      <c r="BV385" s="692"/>
      <c r="BW385" s="692"/>
      <c r="BX385" s="692"/>
      <c r="BY385" s="692"/>
      <c r="BZ385" s="692"/>
      <c r="CA385" s="692"/>
      <c r="CB385" s="692">
        <v>1</v>
      </c>
      <c r="CC385" s="692"/>
      <c r="CD385" s="692">
        <f t="shared" si="127"/>
        <v>4</v>
      </c>
      <c r="CE385" s="692"/>
      <c r="CF385" s="692"/>
      <c r="CG385" s="692"/>
      <c r="CH385" s="692"/>
      <c r="CI385" s="692"/>
      <c r="CJ385" s="692"/>
      <c r="CK385" s="692"/>
      <c r="CL385" s="692"/>
      <c r="CM385" s="692"/>
      <c r="CN385" s="692"/>
      <c r="CO385" s="692"/>
      <c r="CP385" s="692"/>
      <c r="CQ385" s="692"/>
      <c r="CR385" s="692"/>
      <c r="CS385" s="692"/>
      <c r="CT385" s="692"/>
      <c r="CU385" s="692"/>
      <c r="CV385" s="692"/>
      <c r="CW385" s="692"/>
      <c r="CX385" s="694"/>
      <c r="CY385" s="694"/>
      <c r="CZ385" s="694"/>
      <c r="DA385" s="694"/>
      <c r="DB385" s="694"/>
      <c r="DC385" s="694"/>
      <c r="DD385" s="694"/>
      <c r="DE385" s="694"/>
      <c r="DF385" s="694"/>
      <c r="DG385" s="695"/>
      <c r="DH385" s="695"/>
      <c r="DI385" s="695"/>
      <c r="DJ385" s="695"/>
      <c r="DK385" s="695"/>
      <c r="DL385" s="695"/>
      <c r="DM385" s="695"/>
      <c r="DN385" s="695"/>
      <c r="DO385" s="695"/>
      <c r="DP385" s="695"/>
      <c r="DQ385" s="695"/>
      <c r="DR385" s="695"/>
      <c r="DS385" s="694"/>
      <c r="DT385" s="694"/>
      <c r="DU385" s="694"/>
      <c r="DV385" s="694"/>
      <c r="DW385" s="694"/>
      <c r="DX385" s="694"/>
      <c r="DY385" s="694"/>
      <c r="DZ385" s="694"/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4"/>
      <c r="FH385" s="694"/>
      <c r="FI385" s="694"/>
      <c r="FJ385" s="694"/>
      <c r="FK385" s="694"/>
      <c r="FL385" s="694"/>
      <c r="FM385" s="694"/>
      <c r="FN385" s="694"/>
      <c r="FO385" s="694"/>
      <c r="FP385" s="694"/>
      <c r="FQ385" s="697"/>
    </row>
    <row r="386" spans="1:173" s="696" customFormat="1">
      <c r="A386" s="690"/>
      <c r="B386" s="690"/>
      <c r="C386" s="691" t="s">
        <v>3634</v>
      </c>
      <c r="D386" s="691"/>
      <c r="E386" s="692">
        <v>41.3</v>
      </c>
      <c r="F386" s="692"/>
      <c r="G386" s="692"/>
      <c r="H386" s="692"/>
      <c r="I386" s="692"/>
      <c r="J386" s="692"/>
      <c r="K386" s="692"/>
      <c r="L386" s="692"/>
      <c r="M386" s="692"/>
      <c r="N386" s="692"/>
      <c r="O386" s="692"/>
      <c r="P386" s="692">
        <f t="shared" si="128"/>
        <v>41.3</v>
      </c>
      <c r="Q386" s="692"/>
      <c r="R386" s="693"/>
      <c r="S386" s="693"/>
      <c r="T386" s="692"/>
      <c r="U386" s="692" t="s">
        <v>1631</v>
      </c>
      <c r="V386" s="692"/>
      <c r="W386" s="692"/>
      <c r="X386" s="692"/>
      <c r="Y386" s="692"/>
      <c r="Z386" s="692"/>
      <c r="AA386" s="692"/>
      <c r="AB386" s="692"/>
      <c r="AC386" s="692"/>
      <c r="AD386" s="692"/>
      <c r="AE386" s="725"/>
      <c r="AF386" s="957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/>
      <c r="BB386" s="692"/>
      <c r="BC386" s="692"/>
      <c r="BD386" s="692"/>
      <c r="BE386" s="692"/>
      <c r="BF386" s="692"/>
      <c r="BG386" s="692"/>
      <c r="BH386" s="692"/>
      <c r="BI386" s="692"/>
      <c r="BJ386" s="692">
        <f t="shared" si="126"/>
        <v>5</v>
      </c>
      <c r="BK386" s="692"/>
      <c r="BL386" s="692"/>
      <c r="BM386" s="692"/>
      <c r="BN386" s="692"/>
      <c r="BO386" s="692"/>
      <c r="BP386" s="692"/>
      <c r="BQ386" s="692"/>
      <c r="BR386" s="692"/>
      <c r="BS386" s="692"/>
      <c r="BT386" s="692">
        <f t="shared" si="123"/>
        <v>1</v>
      </c>
      <c r="BU386" s="692"/>
      <c r="BV386" s="692"/>
      <c r="BW386" s="692"/>
      <c r="BX386" s="692"/>
      <c r="BY386" s="692"/>
      <c r="BZ386" s="692"/>
      <c r="CA386" s="692"/>
      <c r="CB386" s="692">
        <v>1</v>
      </c>
      <c r="CC386" s="692"/>
      <c r="CD386" s="692">
        <f t="shared" si="127"/>
        <v>4</v>
      </c>
      <c r="CE386" s="692"/>
      <c r="CF386" s="692"/>
      <c r="CG386" s="692"/>
      <c r="CH386" s="692"/>
      <c r="CI386" s="692"/>
      <c r="CJ386" s="692"/>
      <c r="CK386" s="692"/>
      <c r="CL386" s="692"/>
      <c r="CM386" s="692"/>
      <c r="CN386" s="692"/>
      <c r="CO386" s="692"/>
      <c r="CP386" s="692"/>
      <c r="CQ386" s="692"/>
      <c r="CR386" s="692"/>
      <c r="CS386" s="692"/>
      <c r="CT386" s="692"/>
      <c r="CU386" s="692"/>
      <c r="CV386" s="692"/>
      <c r="CW386" s="692"/>
      <c r="CX386" s="694"/>
      <c r="CY386" s="694"/>
      <c r="CZ386" s="694"/>
      <c r="DA386" s="694"/>
      <c r="DB386" s="694"/>
      <c r="DC386" s="694"/>
      <c r="DD386" s="694"/>
      <c r="DE386" s="694"/>
      <c r="DF386" s="694"/>
      <c r="DG386" s="695"/>
      <c r="DH386" s="695"/>
      <c r="DI386" s="695"/>
      <c r="DJ386" s="695"/>
      <c r="DK386" s="695"/>
      <c r="DL386" s="695"/>
      <c r="DM386" s="695"/>
      <c r="DN386" s="695"/>
      <c r="DO386" s="695"/>
      <c r="DP386" s="695"/>
      <c r="DQ386" s="695"/>
      <c r="DR386" s="695"/>
      <c r="DS386" s="694"/>
      <c r="DT386" s="694"/>
      <c r="DU386" s="694"/>
      <c r="DV386" s="694"/>
      <c r="DW386" s="694"/>
      <c r="DX386" s="694"/>
      <c r="DY386" s="694"/>
      <c r="DZ386" s="694"/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/>
      <c r="EY386" s="694"/>
      <c r="EZ386" s="694"/>
      <c r="FA386" s="694"/>
      <c r="FB386" s="694"/>
      <c r="FC386" s="694"/>
      <c r="FD386" s="694"/>
      <c r="FE386" s="694"/>
      <c r="FF386" s="694"/>
      <c r="FG386" s="694"/>
      <c r="FH386" s="694"/>
      <c r="FI386" s="694"/>
      <c r="FJ386" s="694"/>
      <c r="FK386" s="694"/>
      <c r="FL386" s="694"/>
      <c r="FM386" s="694"/>
      <c r="FN386" s="694"/>
      <c r="FO386" s="694"/>
      <c r="FP386" s="694"/>
      <c r="FQ386" s="697"/>
    </row>
    <row r="387" spans="1:173" s="696" customFormat="1">
      <c r="A387" s="690"/>
      <c r="B387" s="690"/>
      <c r="C387" s="691" t="s">
        <v>3635</v>
      </c>
      <c r="D387" s="691"/>
      <c r="E387" s="692">
        <v>36.1</v>
      </c>
      <c r="F387" s="692"/>
      <c r="G387" s="692"/>
      <c r="H387" s="692"/>
      <c r="I387" s="692"/>
      <c r="J387" s="692"/>
      <c r="K387" s="692"/>
      <c r="L387" s="692"/>
      <c r="M387" s="692"/>
      <c r="N387" s="692"/>
      <c r="O387" s="692"/>
      <c r="P387" s="692">
        <f t="shared" si="128"/>
        <v>36.1</v>
      </c>
      <c r="Q387" s="692"/>
      <c r="R387" s="693"/>
      <c r="S387" s="693"/>
      <c r="T387" s="692"/>
      <c r="U387" s="692" t="s">
        <v>1631</v>
      </c>
      <c r="V387" s="692"/>
      <c r="W387" s="692"/>
      <c r="X387" s="692"/>
      <c r="Y387" s="692"/>
      <c r="Z387" s="692"/>
      <c r="AA387" s="692"/>
      <c r="AB387" s="692"/>
      <c r="AC387" s="692"/>
      <c r="AD387" s="692"/>
      <c r="AE387" s="725"/>
      <c r="AF387" s="957"/>
      <c r="AG387" s="692"/>
      <c r="AH387" s="692"/>
      <c r="AI387" s="692"/>
      <c r="AJ387" s="692"/>
      <c r="AK387" s="692"/>
      <c r="AL387" s="692"/>
      <c r="AM387" s="692"/>
      <c r="AN387" s="692"/>
      <c r="AO387" s="692"/>
      <c r="AP387" s="692"/>
      <c r="AQ387" s="692"/>
      <c r="AR387" s="692"/>
      <c r="AS387" s="692"/>
      <c r="AT387" s="692"/>
      <c r="AU387" s="692">
        <v>1</v>
      </c>
      <c r="AV387" s="692"/>
      <c r="AW387" s="692">
        <v>1</v>
      </c>
      <c r="AX387" s="692"/>
      <c r="AY387" s="692"/>
      <c r="AZ387" s="692"/>
      <c r="BA387" s="692"/>
      <c r="BB387" s="692"/>
      <c r="BC387" s="692"/>
      <c r="BD387" s="692"/>
      <c r="BE387" s="692"/>
      <c r="BF387" s="692"/>
      <c r="BG387" s="692"/>
      <c r="BH387" s="692"/>
      <c r="BI387" s="692"/>
      <c r="BJ387" s="692">
        <f t="shared" si="126"/>
        <v>7</v>
      </c>
      <c r="BK387" s="692"/>
      <c r="BL387" s="692"/>
      <c r="BM387" s="692"/>
      <c r="BN387" s="692"/>
      <c r="BO387" s="692"/>
      <c r="BP387" s="692"/>
      <c r="BQ387" s="692"/>
      <c r="BR387" s="692"/>
      <c r="BS387" s="692"/>
      <c r="BT387" s="692">
        <f t="shared" si="123"/>
        <v>1</v>
      </c>
      <c r="BU387" s="692"/>
      <c r="BV387" s="692"/>
      <c r="BW387" s="692"/>
      <c r="BX387" s="692"/>
      <c r="BY387" s="692"/>
      <c r="BZ387" s="692"/>
      <c r="CA387" s="692"/>
      <c r="CB387" s="692">
        <v>1</v>
      </c>
      <c r="CC387" s="692"/>
      <c r="CD387" s="692">
        <f t="shared" si="127"/>
        <v>4</v>
      </c>
      <c r="CE387" s="692"/>
      <c r="CF387" s="692"/>
      <c r="CG387" s="692"/>
      <c r="CH387" s="692"/>
      <c r="CI387" s="692"/>
      <c r="CJ387" s="692"/>
      <c r="CK387" s="692"/>
      <c r="CL387" s="692"/>
      <c r="CM387" s="692"/>
      <c r="CN387" s="692"/>
      <c r="CO387" s="692"/>
      <c r="CP387" s="692"/>
      <c r="CQ387" s="692"/>
      <c r="CR387" s="692"/>
      <c r="CS387" s="692"/>
      <c r="CT387" s="692"/>
      <c r="CU387" s="692"/>
      <c r="CV387" s="692"/>
      <c r="CW387" s="692"/>
      <c r="CX387" s="694"/>
      <c r="CY387" s="694"/>
      <c r="CZ387" s="694"/>
      <c r="DA387" s="694"/>
      <c r="DB387" s="694"/>
      <c r="DC387" s="694"/>
      <c r="DD387" s="694"/>
      <c r="DE387" s="694"/>
      <c r="DF387" s="694"/>
      <c r="DG387" s="695"/>
      <c r="DH387" s="695"/>
      <c r="DI387" s="695"/>
      <c r="DJ387" s="695"/>
      <c r="DK387" s="695"/>
      <c r="DL387" s="695"/>
      <c r="DM387" s="695"/>
      <c r="DN387" s="695"/>
      <c r="DO387" s="695"/>
      <c r="DP387" s="695"/>
      <c r="DQ387" s="695"/>
      <c r="DR387" s="695"/>
      <c r="DS387" s="694"/>
      <c r="DT387" s="694"/>
      <c r="DU387" s="694"/>
      <c r="DV387" s="694"/>
      <c r="DW387" s="694"/>
      <c r="DX387" s="694"/>
      <c r="DY387" s="694"/>
      <c r="DZ387" s="694"/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4"/>
      <c r="FH387" s="694"/>
      <c r="FI387" s="694"/>
      <c r="FJ387" s="694"/>
      <c r="FK387" s="694"/>
      <c r="FL387" s="694"/>
      <c r="FM387" s="694"/>
      <c r="FN387" s="694"/>
      <c r="FO387" s="694"/>
      <c r="FP387" s="694"/>
      <c r="FQ387" s="697"/>
    </row>
    <row r="388" spans="1:173" s="696" customFormat="1">
      <c r="A388" s="690"/>
      <c r="B388" s="690"/>
      <c r="C388" s="691" t="s">
        <v>3636</v>
      </c>
      <c r="D388" s="691"/>
      <c r="E388" s="692">
        <v>43.2</v>
      </c>
      <c r="F388" s="692"/>
      <c r="G388" s="692"/>
      <c r="H388" s="692"/>
      <c r="I388" s="692"/>
      <c r="J388" s="692"/>
      <c r="K388" s="692"/>
      <c r="L388" s="692"/>
      <c r="M388" s="692"/>
      <c r="N388" s="692"/>
      <c r="O388" s="692"/>
      <c r="P388" s="692">
        <f t="shared" si="128"/>
        <v>43.2</v>
      </c>
      <c r="Q388" s="692"/>
      <c r="R388" s="693"/>
      <c r="S388" s="693"/>
      <c r="T388" s="692"/>
      <c r="U388" s="692" t="s">
        <v>1631</v>
      </c>
      <c r="V388" s="692"/>
      <c r="W388" s="692"/>
      <c r="X388" s="692"/>
      <c r="Y388" s="692"/>
      <c r="Z388" s="692"/>
      <c r="AA388" s="692"/>
      <c r="AB388" s="692"/>
      <c r="AC388" s="692"/>
      <c r="AD388" s="692"/>
      <c r="AE388" s="725"/>
      <c r="AF388" s="957"/>
      <c r="AG388" s="692"/>
      <c r="AH388" s="692"/>
      <c r="AI388" s="692"/>
      <c r="AJ388" s="692"/>
      <c r="AK388" s="692"/>
      <c r="AL388" s="692"/>
      <c r="AM388" s="692"/>
      <c r="AN388" s="692"/>
      <c r="AO388" s="692"/>
      <c r="AP388" s="692"/>
      <c r="AQ388" s="692"/>
      <c r="AR388" s="692"/>
      <c r="AS388" s="692"/>
      <c r="AT388" s="692"/>
      <c r="AU388" s="692"/>
      <c r="AV388" s="692"/>
      <c r="AW388" s="692"/>
      <c r="AX388" s="692"/>
      <c r="AY388" s="692"/>
      <c r="AZ388" s="692"/>
      <c r="BA388" s="692"/>
      <c r="BB388" s="692"/>
      <c r="BC388" s="692"/>
      <c r="BD388" s="692"/>
      <c r="BE388" s="692"/>
      <c r="BF388" s="692"/>
      <c r="BG388" s="692"/>
      <c r="BH388" s="692"/>
      <c r="BI388" s="692"/>
      <c r="BJ388" s="692">
        <f t="shared" si="126"/>
        <v>5</v>
      </c>
      <c r="BK388" s="692"/>
      <c r="BL388" s="692"/>
      <c r="BM388" s="692"/>
      <c r="BN388" s="692"/>
      <c r="BO388" s="692"/>
      <c r="BP388" s="692"/>
      <c r="BQ388" s="692"/>
      <c r="BR388" s="692"/>
      <c r="BS388" s="692"/>
      <c r="BT388" s="692">
        <f t="shared" si="123"/>
        <v>1</v>
      </c>
      <c r="BU388" s="692"/>
      <c r="BV388" s="692"/>
      <c r="BW388" s="692"/>
      <c r="BX388" s="692"/>
      <c r="BY388" s="692"/>
      <c r="BZ388" s="692"/>
      <c r="CA388" s="692"/>
      <c r="CB388" s="692">
        <v>1</v>
      </c>
      <c r="CC388" s="692"/>
      <c r="CD388" s="692">
        <f t="shared" si="127"/>
        <v>4</v>
      </c>
      <c r="CE388" s="692"/>
      <c r="CF388" s="692"/>
      <c r="CG388" s="692"/>
      <c r="CH388" s="692"/>
      <c r="CI388" s="692"/>
      <c r="CJ388" s="692"/>
      <c r="CK388" s="692"/>
      <c r="CL388" s="692"/>
      <c r="CM388" s="692"/>
      <c r="CN388" s="692"/>
      <c r="CO388" s="692"/>
      <c r="CP388" s="692"/>
      <c r="CQ388" s="692"/>
      <c r="CR388" s="692"/>
      <c r="CS388" s="692"/>
      <c r="CT388" s="692"/>
      <c r="CU388" s="692"/>
      <c r="CV388" s="692"/>
      <c r="CW388" s="692"/>
      <c r="CX388" s="694"/>
      <c r="CY388" s="694"/>
      <c r="CZ388" s="694"/>
      <c r="DA388" s="694"/>
      <c r="DB388" s="694"/>
      <c r="DC388" s="694"/>
      <c r="DD388" s="694"/>
      <c r="DE388" s="694"/>
      <c r="DF388" s="694"/>
      <c r="DG388" s="695"/>
      <c r="DH388" s="695"/>
      <c r="DI388" s="695"/>
      <c r="DJ388" s="695"/>
      <c r="DK388" s="695"/>
      <c r="DL388" s="695"/>
      <c r="DM388" s="695"/>
      <c r="DN388" s="695"/>
      <c r="DO388" s="695"/>
      <c r="DP388" s="695"/>
      <c r="DQ388" s="695"/>
      <c r="DR388" s="695"/>
      <c r="DS388" s="694"/>
      <c r="DT388" s="694"/>
      <c r="DU388" s="694"/>
      <c r="DV388" s="694"/>
      <c r="DW388" s="694"/>
      <c r="DX388" s="694"/>
      <c r="DY388" s="694"/>
      <c r="DZ388" s="694"/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4"/>
      <c r="FH388" s="694"/>
      <c r="FI388" s="694"/>
      <c r="FJ388" s="694"/>
      <c r="FK388" s="694"/>
      <c r="FL388" s="694"/>
      <c r="FM388" s="694"/>
      <c r="FN388" s="694"/>
      <c r="FO388" s="694"/>
      <c r="FP388" s="694"/>
      <c r="FQ388" s="697"/>
    </row>
    <row r="389" spans="1:173" s="696" customFormat="1">
      <c r="A389" s="690"/>
      <c r="B389" s="690"/>
      <c r="C389" s="691" t="s">
        <v>3637</v>
      </c>
      <c r="D389" s="691"/>
      <c r="E389" s="692">
        <v>38.799999999999997</v>
      </c>
      <c r="F389" s="692"/>
      <c r="G389" s="692"/>
      <c r="H389" s="692"/>
      <c r="I389" s="692"/>
      <c r="J389" s="692"/>
      <c r="K389" s="692"/>
      <c r="L389" s="692"/>
      <c r="M389" s="692"/>
      <c r="N389" s="692"/>
      <c r="O389" s="692"/>
      <c r="P389" s="692">
        <f t="shared" si="128"/>
        <v>38.799999999999997</v>
      </c>
      <c r="Q389" s="692"/>
      <c r="R389" s="693"/>
      <c r="S389" s="693"/>
      <c r="T389" s="692"/>
      <c r="U389" s="692" t="s">
        <v>1631</v>
      </c>
      <c r="V389" s="692"/>
      <c r="W389" s="692"/>
      <c r="X389" s="692"/>
      <c r="Y389" s="692"/>
      <c r="Z389" s="692"/>
      <c r="AA389" s="692"/>
      <c r="AB389" s="692"/>
      <c r="AC389" s="692"/>
      <c r="AD389" s="692"/>
      <c r="AE389" s="725"/>
      <c r="AF389" s="957"/>
      <c r="AG389" s="692"/>
      <c r="AH389" s="692"/>
      <c r="AI389" s="692"/>
      <c r="AJ389" s="692"/>
      <c r="AK389" s="692"/>
      <c r="AL389" s="692"/>
      <c r="AM389" s="692"/>
      <c r="AN389" s="692"/>
      <c r="AO389" s="692"/>
      <c r="AP389" s="692"/>
      <c r="AQ389" s="692"/>
      <c r="AR389" s="692"/>
      <c r="AS389" s="692"/>
      <c r="AT389" s="692"/>
      <c r="AU389" s="692"/>
      <c r="AV389" s="692"/>
      <c r="AW389" s="692">
        <v>1</v>
      </c>
      <c r="AX389" s="692"/>
      <c r="AY389" s="692"/>
      <c r="AZ389" s="692"/>
      <c r="BA389" s="692"/>
      <c r="BB389" s="692"/>
      <c r="BC389" s="692"/>
      <c r="BD389" s="692"/>
      <c r="BE389" s="692"/>
      <c r="BF389" s="692"/>
      <c r="BG389" s="692"/>
      <c r="BH389" s="692"/>
      <c r="BI389" s="692"/>
      <c r="BJ389" s="692">
        <f t="shared" si="126"/>
        <v>5</v>
      </c>
      <c r="BK389" s="692"/>
      <c r="BL389" s="692"/>
      <c r="BM389" s="692"/>
      <c r="BN389" s="692"/>
      <c r="BO389" s="692"/>
      <c r="BP389" s="692"/>
      <c r="BQ389" s="692"/>
      <c r="BR389" s="692"/>
      <c r="BS389" s="692"/>
      <c r="BT389" s="692">
        <f t="shared" si="123"/>
        <v>1</v>
      </c>
      <c r="BU389" s="692"/>
      <c r="BV389" s="692"/>
      <c r="BW389" s="692"/>
      <c r="BX389" s="692"/>
      <c r="BY389" s="692"/>
      <c r="BZ389" s="692"/>
      <c r="CA389" s="692"/>
      <c r="CB389" s="692">
        <v>1</v>
      </c>
      <c r="CC389" s="692"/>
      <c r="CD389" s="692">
        <f t="shared" si="127"/>
        <v>4</v>
      </c>
      <c r="CE389" s="692"/>
      <c r="CF389" s="692"/>
      <c r="CG389" s="692"/>
      <c r="CH389" s="692"/>
      <c r="CI389" s="692"/>
      <c r="CJ389" s="692"/>
      <c r="CK389" s="692"/>
      <c r="CL389" s="692"/>
      <c r="CM389" s="692"/>
      <c r="CN389" s="692"/>
      <c r="CO389" s="692"/>
      <c r="CP389" s="692"/>
      <c r="CQ389" s="692"/>
      <c r="CR389" s="692"/>
      <c r="CS389" s="692"/>
      <c r="CT389" s="692"/>
      <c r="CU389" s="692"/>
      <c r="CV389" s="692"/>
      <c r="CW389" s="692"/>
      <c r="CX389" s="694"/>
      <c r="CY389" s="694"/>
      <c r="CZ389" s="694"/>
      <c r="DA389" s="694"/>
      <c r="DB389" s="694"/>
      <c r="DC389" s="694"/>
      <c r="DD389" s="694"/>
      <c r="DE389" s="694"/>
      <c r="DF389" s="694"/>
      <c r="DG389" s="695"/>
      <c r="DH389" s="695"/>
      <c r="DI389" s="695"/>
      <c r="DJ389" s="695"/>
      <c r="DK389" s="695"/>
      <c r="DL389" s="695"/>
      <c r="DM389" s="695"/>
      <c r="DN389" s="695"/>
      <c r="DO389" s="695"/>
      <c r="DP389" s="695"/>
      <c r="DQ389" s="695"/>
      <c r="DR389" s="695"/>
      <c r="DS389" s="694"/>
      <c r="DT389" s="694"/>
      <c r="DU389" s="694"/>
      <c r="DV389" s="694"/>
      <c r="DW389" s="694"/>
      <c r="DX389" s="694"/>
      <c r="DY389" s="694"/>
      <c r="DZ389" s="694"/>
      <c r="EA389" s="694"/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4"/>
      <c r="FH389" s="694"/>
      <c r="FI389" s="694"/>
      <c r="FJ389" s="694"/>
      <c r="FK389" s="694"/>
      <c r="FL389" s="694"/>
      <c r="FM389" s="694"/>
      <c r="FN389" s="694"/>
      <c r="FO389" s="694"/>
      <c r="FP389" s="694"/>
      <c r="FQ389" s="697"/>
    </row>
    <row r="390" spans="1:173" s="696" customFormat="1">
      <c r="A390" s="690"/>
      <c r="B390" s="690"/>
      <c r="C390" s="691" t="s">
        <v>3638</v>
      </c>
      <c r="D390" s="691"/>
      <c r="E390" s="692">
        <v>32.6</v>
      </c>
      <c r="F390" s="692"/>
      <c r="G390" s="692"/>
      <c r="H390" s="692"/>
      <c r="I390" s="692"/>
      <c r="J390" s="692"/>
      <c r="K390" s="692"/>
      <c r="L390" s="692"/>
      <c r="M390" s="692"/>
      <c r="N390" s="692"/>
      <c r="O390" s="692"/>
      <c r="P390" s="692">
        <f t="shared" si="128"/>
        <v>32.6</v>
      </c>
      <c r="Q390" s="692"/>
      <c r="R390" s="693"/>
      <c r="S390" s="693"/>
      <c r="T390" s="692"/>
      <c r="U390" s="692" t="s">
        <v>1903</v>
      </c>
      <c r="V390" s="422">
        <v>2</v>
      </c>
      <c r="W390" s="422"/>
      <c r="X390" s="692"/>
      <c r="Y390" s="692"/>
      <c r="Z390" s="692"/>
      <c r="AA390" s="692"/>
      <c r="AB390" s="692"/>
      <c r="AC390" s="692"/>
      <c r="AD390" s="692"/>
      <c r="AE390" s="725"/>
      <c r="AF390" s="957">
        <v>1</v>
      </c>
      <c r="AG390" s="692"/>
      <c r="AH390" s="692"/>
      <c r="AI390" s="692"/>
      <c r="AJ390" s="692"/>
      <c r="AK390" s="692"/>
      <c r="AL390" s="692"/>
      <c r="AM390" s="692"/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/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>
        <f t="shared" si="126"/>
        <v>5</v>
      </c>
      <c r="BK390" s="692"/>
      <c r="BL390" s="692"/>
      <c r="BM390" s="692"/>
      <c r="BN390" s="692"/>
      <c r="BO390" s="692"/>
      <c r="BP390" s="692"/>
      <c r="BQ390" s="692"/>
      <c r="BR390" s="692"/>
      <c r="BS390" s="692"/>
      <c r="BT390" s="692">
        <f t="shared" si="123"/>
        <v>2</v>
      </c>
      <c r="BU390" s="692"/>
      <c r="BV390" s="692"/>
      <c r="BW390" s="692"/>
      <c r="BX390" s="692"/>
      <c r="BY390" s="692"/>
      <c r="BZ390" s="692"/>
      <c r="CA390" s="692"/>
      <c r="CB390" s="692">
        <v>1</v>
      </c>
      <c r="CC390" s="692"/>
      <c r="CD390" s="692">
        <f t="shared" si="127"/>
        <v>4</v>
      </c>
      <c r="CE390" s="692"/>
      <c r="CF390" s="692"/>
      <c r="CG390" s="692"/>
      <c r="CH390" s="692"/>
      <c r="CI390" s="692"/>
      <c r="CJ390" s="692"/>
      <c r="CK390" s="692"/>
      <c r="CL390" s="692"/>
      <c r="CM390" s="692"/>
      <c r="CN390" s="692"/>
      <c r="CO390" s="692"/>
      <c r="CP390" s="692"/>
      <c r="CQ390" s="692"/>
      <c r="CR390" s="692"/>
      <c r="CS390" s="692"/>
      <c r="CT390" s="692"/>
      <c r="CU390" s="692"/>
      <c r="CV390" s="692"/>
      <c r="CW390" s="692"/>
      <c r="CX390" s="694"/>
      <c r="CY390" s="694"/>
      <c r="CZ390" s="694"/>
      <c r="DA390" s="694"/>
      <c r="DB390" s="694"/>
      <c r="DC390" s="694"/>
      <c r="DD390" s="694"/>
      <c r="DE390" s="694"/>
      <c r="DF390" s="694"/>
      <c r="DG390" s="695"/>
      <c r="DH390" s="695"/>
      <c r="DI390" s="695"/>
      <c r="DJ390" s="695"/>
      <c r="DK390" s="695"/>
      <c r="DL390" s="695"/>
      <c r="DM390" s="695"/>
      <c r="DN390" s="695"/>
      <c r="DO390" s="695"/>
      <c r="DP390" s="695"/>
      <c r="DQ390" s="695"/>
      <c r="DR390" s="695"/>
      <c r="DS390" s="694"/>
      <c r="DT390" s="694"/>
      <c r="DU390" s="694"/>
      <c r="DV390" s="694"/>
      <c r="DW390" s="694"/>
      <c r="DX390" s="694"/>
      <c r="DY390" s="694"/>
      <c r="DZ390" s="694"/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4"/>
      <c r="FH390" s="694"/>
      <c r="FI390" s="694"/>
      <c r="FJ390" s="694"/>
      <c r="FK390" s="694"/>
      <c r="FL390" s="694"/>
      <c r="FM390" s="694"/>
      <c r="FN390" s="694"/>
      <c r="FO390" s="694"/>
      <c r="FP390" s="694"/>
      <c r="FQ390" s="697"/>
    </row>
    <row r="391" spans="1:173" s="696" customFormat="1">
      <c r="A391" s="690"/>
      <c r="B391" s="690"/>
      <c r="C391" s="691" t="s">
        <v>3639</v>
      </c>
      <c r="D391" s="699"/>
      <c r="E391" s="692">
        <v>36</v>
      </c>
      <c r="F391" s="692"/>
      <c r="G391" s="692"/>
      <c r="H391" s="692"/>
      <c r="I391" s="692"/>
      <c r="J391" s="692"/>
      <c r="K391" s="692"/>
      <c r="L391" s="692"/>
      <c r="M391" s="692"/>
      <c r="N391" s="692"/>
      <c r="O391" s="692"/>
      <c r="P391" s="692">
        <f t="shared" si="128"/>
        <v>36</v>
      </c>
      <c r="Q391" s="692"/>
      <c r="R391" s="693"/>
      <c r="S391" s="693"/>
      <c r="T391" s="692"/>
      <c r="U391" s="692" t="s">
        <v>1631</v>
      </c>
      <c r="V391" s="692"/>
      <c r="W391" s="692"/>
      <c r="X391" s="692"/>
      <c r="Y391" s="692"/>
      <c r="Z391" s="692"/>
      <c r="AA391" s="692"/>
      <c r="AB391" s="692"/>
      <c r="AC391" s="692"/>
      <c r="AD391" s="692"/>
      <c r="AE391" s="725"/>
      <c r="AF391" s="957"/>
      <c r="AG391" s="692"/>
      <c r="AH391" s="692"/>
      <c r="AI391" s="692"/>
      <c r="AJ391" s="692"/>
      <c r="AK391" s="692"/>
      <c r="AL391" s="692"/>
      <c r="AM391" s="692"/>
      <c r="AN391" s="692"/>
      <c r="AO391" s="692"/>
      <c r="AP391" s="692"/>
      <c r="AQ391" s="692"/>
      <c r="AR391" s="692"/>
      <c r="AS391" s="692"/>
      <c r="AT391" s="692"/>
      <c r="AU391" s="692">
        <v>1</v>
      </c>
      <c r="AV391" s="692"/>
      <c r="AW391" s="692"/>
      <c r="AX391" s="692"/>
      <c r="AY391" s="692"/>
      <c r="AZ391" s="692"/>
      <c r="BA391" s="692"/>
      <c r="BB391" s="692"/>
      <c r="BC391" s="692"/>
      <c r="BD391" s="692"/>
      <c r="BE391" s="692"/>
      <c r="BF391" s="692"/>
      <c r="BG391" s="692"/>
      <c r="BH391" s="692"/>
      <c r="BI391" s="692"/>
      <c r="BJ391" s="692">
        <f t="shared" si="126"/>
        <v>7</v>
      </c>
      <c r="BK391" s="692"/>
      <c r="BL391" s="692"/>
      <c r="BM391" s="692"/>
      <c r="BN391" s="692"/>
      <c r="BO391" s="692"/>
      <c r="BP391" s="692"/>
      <c r="BQ391" s="692"/>
      <c r="BR391" s="692"/>
      <c r="BS391" s="692"/>
      <c r="BT391" s="692">
        <f t="shared" si="123"/>
        <v>1</v>
      </c>
      <c r="BU391" s="692"/>
      <c r="BV391" s="692"/>
      <c r="BW391" s="692"/>
      <c r="BX391" s="692"/>
      <c r="BY391" s="692"/>
      <c r="BZ391" s="692"/>
      <c r="CA391" s="692"/>
      <c r="CB391" s="692">
        <v>1</v>
      </c>
      <c r="CC391" s="692"/>
      <c r="CD391" s="692">
        <f t="shared" si="127"/>
        <v>4</v>
      </c>
      <c r="CE391" s="692"/>
      <c r="CF391" s="692"/>
      <c r="CG391" s="692"/>
      <c r="CH391" s="692"/>
      <c r="CI391" s="692"/>
      <c r="CJ391" s="692"/>
      <c r="CK391" s="692"/>
      <c r="CL391" s="692"/>
      <c r="CM391" s="692"/>
      <c r="CN391" s="692"/>
      <c r="CO391" s="692"/>
      <c r="CP391" s="692"/>
      <c r="CQ391" s="692"/>
      <c r="CR391" s="692"/>
      <c r="CS391" s="692"/>
      <c r="CT391" s="692"/>
      <c r="CU391" s="692"/>
      <c r="CV391" s="692"/>
      <c r="CW391" s="692"/>
      <c r="CX391" s="694"/>
      <c r="CY391" s="694"/>
      <c r="CZ391" s="694"/>
      <c r="DA391" s="694"/>
      <c r="DB391" s="694"/>
      <c r="DC391" s="694"/>
      <c r="DD391" s="694"/>
      <c r="DE391" s="694"/>
      <c r="DF391" s="694"/>
      <c r="DG391" s="695"/>
      <c r="DH391" s="695"/>
      <c r="DI391" s="695"/>
      <c r="DJ391" s="695"/>
      <c r="DK391" s="695"/>
      <c r="DL391" s="695"/>
      <c r="DM391" s="695"/>
      <c r="DN391" s="695"/>
      <c r="DO391" s="695"/>
      <c r="DP391" s="695"/>
      <c r="DQ391" s="695"/>
      <c r="DR391" s="695"/>
      <c r="DS391" s="694"/>
      <c r="DT391" s="694"/>
      <c r="DU391" s="694"/>
      <c r="DV391" s="694"/>
      <c r="DW391" s="694"/>
      <c r="DX391" s="694"/>
      <c r="DY391" s="694"/>
      <c r="DZ391" s="694"/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/>
      <c r="FB391" s="694"/>
      <c r="FC391" s="694"/>
      <c r="FD391" s="694"/>
      <c r="FE391" s="694"/>
      <c r="FF391" s="694"/>
      <c r="FG391" s="694"/>
      <c r="FH391" s="694"/>
      <c r="FI391" s="694"/>
      <c r="FJ391" s="694"/>
      <c r="FK391" s="694"/>
      <c r="FL391" s="694"/>
      <c r="FM391" s="694"/>
      <c r="FN391" s="694"/>
      <c r="FO391" s="694"/>
      <c r="FP391" s="694"/>
      <c r="FQ391" s="697"/>
    </row>
    <row r="392" spans="1:173" s="696" customFormat="1">
      <c r="A392" s="690"/>
      <c r="B392" s="690"/>
      <c r="C392" s="691" t="s">
        <v>3640</v>
      </c>
      <c r="D392" s="691"/>
      <c r="E392" s="692">
        <v>30.5</v>
      </c>
      <c r="F392" s="692"/>
      <c r="G392" s="692"/>
      <c r="H392" s="692"/>
      <c r="I392" s="692"/>
      <c r="J392" s="692"/>
      <c r="K392" s="692"/>
      <c r="L392" s="692"/>
      <c r="M392" s="692"/>
      <c r="N392" s="692"/>
      <c r="O392" s="692"/>
      <c r="P392" s="692">
        <f t="shared" si="128"/>
        <v>30.5</v>
      </c>
      <c r="Q392" s="692"/>
      <c r="R392" s="693"/>
      <c r="S392" s="693"/>
      <c r="T392" s="692"/>
      <c r="U392" s="692" t="s">
        <v>2989</v>
      </c>
      <c r="V392" s="422">
        <v>2</v>
      </c>
      <c r="W392" s="422"/>
      <c r="X392" s="692"/>
      <c r="Y392" s="692"/>
      <c r="Z392" s="692"/>
      <c r="AA392" s="692"/>
      <c r="AB392" s="692"/>
      <c r="AC392" s="692"/>
      <c r="AD392" s="692"/>
      <c r="AE392" s="725"/>
      <c r="AF392" s="957">
        <v>1</v>
      </c>
      <c r="AG392" s="692"/>
      <c r="AH392" s="692"/>
      <c r="AI392" s="692"/>
      <c r="AJ392" s="692"/>
      <c r="AK392" s="692"/>
      <c r="AL392" s="692"/>
      <c r="AM392" s="692"/>
      <c r="AN392" s="692"/>
      <c r="AO392" s="692"/>
      <c r="AP392" s="692"/>
      <c r="AQ392" s="692"/>
      <c r="AR392" s="692"/>
      <c r="AS392" s="692"/>
      <c r="AT392" s="692"/>
      <c r="AU392" s="692"/>
      <c r="AV392" s="692"/>
      <c r="AW392" s="692"/>
      <c r="AX392" s="692"/>
      <c r="AY392" s="692"/>
      <c r="AZ392" s="692"/>
      <c r="BA392" s="692"/>
      <c r="BB392" s="692"/>
      <c r="BC392" s="692"/>
      <c r="BD392" s="692"/>
      <c r="BE392" s="692"/>
      <c r="BF392" s="692"/>
      <c r="BG392" s="692"/>
      <c r="BH392" s="692"/>
      <c r="BI392" s="692"/>
      <c r="BJ392" s="692">
        <f t="shared" si="126"/>
        <v>5</v>
      </c>
      <c r="BK392" s="692"/>
      <c r="BL392" s="692"/>
      <c r="BM392" s="692"/>
      <c r="BN392" s="692"/>
      <c r="BO392" s="692"/>
      <c r="BP392" s="692"/>
      <c r="BQ392" s="692"/>
      <c r="BR392" s="692"/>
      <c r="BS392" s="692"/>
      <c r="BT392" s="692">
        <f t="shared" si="123"/>
        <v>0</v>
      </c>
      <c r="BU392" s="692"/>
      <c r="BV392" s="692"/>
      <c r="BW392" s="692"/>
      <c r="BX392" s="692"/>
      <c r="BY392" s="692">
        <v>2</v>
      </c>
      <c r="BZ392" s="692"/>
      <c r="CA392" s="692"/>
      <c r="CB392" s="692">
        <v>1</v>
      </c>
      <c r="CC392" s="692"/>
      <c r="CD392" s="692">
        <f t="shared" si="127"/>
        <v>4</v>
      </c>
      <c r="CE392" s="692"/>
      <c r="CF392" s="692"/>
      <c r="CG392" s="692"/>
      <c r="CH392" s="692"/>
      <c r="CI392" s="692"/>
      <c r="CJ392" s="692"/>
      <c r="CK392" s="692"/>
      <c r="CL392" s="692"/>
      <c r="CM392" s="692"/>
      <c r="CN392" s="692"/>
      <c r="CO392" s="692"/>
      <c r="CP392" s="692"/>
      <c r="CQ392" s="692"/>
      <c r="CR392" s="692"/>
      <c r="CS392" s="692"/>
      <c r="CT392" s="692"/>
      <c r="CU392" s="692"/>
      <c r="CV392" s="692"/>
      <c r="CW392" s="692"/>
      <c r="CX392" s="694"/>
      <c r="CY392" s="694"/>
      <c r="CZ392" s="694"/>
      <c r="DA392" s="694"/>
      <c r="DB392" s="694"/>
      <c r="DC392" s="694"/>
      <c r="DD392" s="694"/>
      <c r="DE392" s="694"/>
      <c r="DF392" s="694"/>
      <c r="DG392" s="695"/>
      <c r="DH392" s="695"/>
      <c r="DI392" s="695"/>
      <c r="DJ392" s="695"/>
      <c r="DK392" s="695"/>
      <c r="DL392" s="695"/>
      <c r="DM392" s="695"/>
      <c r="DN392" s="695"/>
      <c r="DO392" s="695"/>
      <c r="DP392" s="695"/>
      <c r="DQ392" s="695"/>
      <c r="DR392" s="695"/>
      <c r="DS392" s="694"/>
      <c r="DT392" s="694"/>
      <c r="DU392" s="694"/>
      <c r="DV392" s="694"/>
      <c r="DW392" s="694"/>
      <c r="DX392" s="694"/>
      <c r="DY392" s="694"/>
      <c r="DZ392" s="694"/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4"/>
      <c r="FH392" s="694"/>
      <c r="FI392" s="694"/>
      <c r="FJ392" s="694"/>
      <c r="FK392" s="694"/>
      <c r="FL392" s="694"/>
      <c r="FM392" s="694"/>
      <c r="FN392" s="694"/>
      <c r="FO392" s="694"/>
      <c r="FP392" s="694"/>
      <c r="FQ392" s="697"/>
    </row>
    <row r="393" spans="1:173" s="696" customFormat="1">
      <c r="A393" s="690"/>
      <c r="B393" s="690"/>
      <c r="C393" s="691" t="s">
        <v>3641</v>
      </c>
      <c r="D393" s="699"/>
      <c r="E393" s="692">
        <v>24</v>
      </c>
      <c r="F393" s="692"/>
      <c r="G393" s="692"/>
      <c r="H393" s="692"/>
      <c r="I393" s="692"/>
      <c r="J393" s="692"/>
      <c r="K393" s="692"/>
      <c r="L393" s="692"/>
      <c r="M393" s="692"/>
      <c r="N393" s="692"/>
      <c r="O393" s="692"/>
      <c r="P393" s="692">
        <f t="shared" si="128"/>
        <v>24</v>
      </c>
      <c r="Q393" s="692"/>
      <c r="R393" s="693"/>
      <c r="S393" s="693"/>
      <c r="T393" s="692"/>
      <c r="U393" s="692" t="s">
        <v>2989</v>
      </c>
      <c r="V393" s="692"/>
      <c r="W393" s="692">
        <v>2</v>
      </c>
      <c r="X393" s="692"/>
      <c r="Y393" s="692"/>
      <c r="Z393" s="692"/>
      <c r="AA393" s="692"/>
      <c r="AB393" s="692"/>
      <c r="AC393" s="692"/>
      <c r="AD393" s="692"/>
      <c r="AE393" s="725"/>
      <c r="AF393" s="957">
        <v>1</v>
      </c>
      <c r="AG393" s="692"/>
      <c r="AH393" s="692"/>
      <c r="AI393" s="692"/>
      <c r="AJ393" s="692"/>
      <c r="AK393" s="692"/>
      <c r="AL393" s="692"/>
      <c r="AM393" s="692"/>
      <c r="AN393" s="692"/>
      <c r="AO393" s="692"/>
      <c r="AP393" s="692"/>
      <c r="AQ393" s="692"/>
      <c r="AR393" s="692"/>
      <c r="AS393" s="692"/>
      <c r="AT393" s="692"/>
      <c r="AU393" s="692"/>
      <c r="AV393" s="692"/>
      <c r="AW393" s="692">
        <v>1</v>
      </c>
      <c r="AX393" s="692"/>
      <c r="AY393" s="692"/>
      <c r="AZ393" s="692"/>
      <c r="BA393" s="692"/>
      <c r="BB393" s="692"/>
      <c r="BC393" s="692"/>
      <c r="BD393" s="692"/>
      <c r="BE393" s="692"/>
      <c r="BF393" s="692"/>
      <c r="BG393" s="692"/>
      <c r="BH393" s="692"/>
      <c r="BI393" s="692"/>
      <c r="BJ393" s="692">
        <f t="shared" si="126"/>
        <v>5</v>
      </c>
      <c r="BK393" s="692"/>
      <c r="BL393" s="692"/>
      <c r="BM393" s="692"/>
      <c r="BN393" s="692"/>
      <c r="BO393" s="692"/>
      <c r="BP393" s="692"/>
      <c r="BQ393" s="692"/>
      <c r="BR393" s="692"/>
      <c r="BS393" s="692"/>
      <c r="BT393" s="692">
        <f t="shared" si="123"/>
        <v>0</v>
      </c>
      <c r="BU393" s="692"/>
      <c r="BV393" s="692"/>
      <c r="BW393" s="692"/>
      <c r="BX393" s="692"/>
      <c r="BY393" s="692">
        <v>2</v>
      </c>
      <c r="BZ393" s="692"/>
      <c r="CA393" s="692"/>
      <c r="CB393" s="692">
        <v>1</v>
      </c>
      <c r="CC393" s="692"/>
      <c r="CD393" s="692">
        <f t="shared" si="127"/>
        <v>4</v>
      </c>
      <c r="CE393" s="692"/>
      <c r="CF393" s="692"/>
      <c r="CG393" s="692"/>
      <c r="CH393" s="692"/>
      <c r="CI393" s="692"/>
      <c r="CJ393" s="692"/>
      <c r="CK393" s="692"/>
      <c r="CL393" s="692"/>
      <c r="CM393" s="692"/>
      <c r="CN393" s="692"/>
      <c r="CO393" s="692"/>
      <c r="CP393" s="692"/>
      <c r="CQ393" s="692"/>
      <c r="CR393" s="692"/>
      <c r="CS393" s="692"/>
      <c r="CT393" s="692"/>
      <c r="CU393" s="692"/>
      <c r="CV393" s="692"/>
      <c r="CW393" s="692"/>
      <c r="CX393" s="694"/>
      <c r="CY393" s="694"/>
      <c r="CZ393" s="694"/>
      <c r="DA393" s="694"/>
      <c r="DB393" s="694"/>
      <c r="DC393" s="694"/>
      <c r="DD393" s="694"/>
      <c r="DE393" s="694"/>
      <c r="DF393" s="694"/>
      <c r="DG393" s="695"/>
      <c r="DH393" s="695"/>
      <c r="DI393" s="695"/>
      <c r="DJ393" s="695"/>
      <c r="DK393" s="695"/>
      <c r="DL393" s="695"/>
      <c r="DM393" s="695"/>
      <c r="DN393" s="695"/>
      <c r="DO393" s="695"/>
      <c r="DP393" s="695"/>
      <c r="DQ393" s="695"/>
      <c r="DR393" s="695"/>
      <c r="DS393" s="694"/>
      <c r="DT393" s="694"/>
      <c r="DU393" s="694"/>
      <c r="DV393" s="694"/>
      <c r="DW393" s="694"/>
      <c r="DX393" s="694"/>
      <c r="DY393" s="694"/>
      <c r="DZ393" s="694"/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4"/>
      <c r="FH393" s="694"/>
      <c r="FI393" s="694"/>
      <c r="FJ393" s="694"/>
      <c r="FK393" s="694"/>
      <c r="FL393" s="694"/>
      <c r="FM393" s="694"/>
      <c r="FN393" s="694"/>
      <c r="FO393" s="694"/>
      <c r="FP393" s="694"/>
      <c r="FQ393" s="697"/>
    </row>
    <row r="394" spans="1:173" s="696" customFormat="1">
      <c r="A394" s="690"/>
      <c r="B394" s="690"/>
      <c r="C394" s="691" t="s">
        <v>3647</v>
      </c>
      <c r="D394" s="691"/>
      <c r="E394" s="692">
        <v>27.5</v>
      </c>
      <c r="F394" s="692"/>
      <c r="G394" s="692"/>
      <c r="H394" s="692"/>
      <c r="I394" s="692"/>
      <c r="J394" s="692"/>
      <c r="K394" s="692"/>
      <c r="L394" s="692"/>
      <c r="M394" s="692"/>
      <c r="N394" s="692"/>
      <c r="O394" s="692"/>
      <c r="P394" s="692">
        <f t="shared" si="128"/>
        <v>27.5</v>
      </c>
      <c r="Q394" s="692"/>
      <c r="R394" s="693"/>
      <c r="S394" s="693"/>
      <c r="T394" s="692"/>
      <c r="U394" s="692" t="s">
        <v>1631</v>
      </c>
      <c r="V394" s="692"/>
      <c r="W394" s="692"/>
      <c r="X394" s="692"/>
      <c r="Y394" s="692"/>
      <c r="Z394" s="692"/>
      <c r="AA394" s="692"/>
      <c r="AB394" s="692"/>
      <c r="AC394" s="692"/>
      <c r="AD394" s="692"/>
      <c r="AE394" s="725"/>
      <c r="AF394" s="957"/>
      <c r="AG394" s="692"/>
      <c r="AH394" s="692"/>
      <c r="AI394" s="692"/>
      <c r="AJ394" s="692"/>
      <c r="AK394" s="692"/>
      <c r="AL394" s="692"/>
      <c r="AM394" s="692"/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/>
      <c r="AX394" s="692"/>
      <c r="AY394" s="692"/>
      <c r="AZ394" s="692"/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>
        <f t="shared" si="126"/>
        <v>5</v>
      </c>
      <c r="BK394" s="692"/>
      <c r="BL394" s="692"/>
      <c r="BM394" s="692"/>
      <c r="BN394" s="692"/>
      <c r="BO394" s="692"/>
      <c r="BP394" s="692"/>
      <c r="BQ394" s="692"/>
      <c r="BR394" s="692"/>
      <c r="BS394" s="692"/>
      <c r="BT394" s="692">
        <f t="shared" si="123"/>
        <v>1</v>
      </c>
      <c r="BU394" s="692"/>
      <c r="BV394" s="692"/>
      <c r="BW394" s="692"/>
      <c r="BX394" s="692"/>
      <c r="BY394" s="692"/>
      <c r="BZ394" s="692"/>
      <c r="CA394" s="692"/>
      <c r="CB394" s="692">
        <v>1</v>
      </c>
      <c r="CC394" s="692"/>
      <c r="CD394" s="692">
        <f t="shared" si="127"/>
        <v>4</v>
      </c>
      <c r="CE394" s="692"/>
      <c r="CF394" s="692"/>
      <c r="CG394" s="692"/>
      <c r="CH394" s="692"/>
      <c r="CI394" s="692"/>
      <c r="CJ394" s="692"/>
      <c r="CK394" s="692"/>
      <c r="CL394" s="692"/>
      <c r="CM394" s="692"/>
      <c r="CN394" s="692"/>
      <c r="CO394" s="692"/>
      <c r="CP394" s="692"/>
      <c r="CQ394" s="692"/>
      <c r="CR394" s="692"/>
      <c r="CS394" s="692"/>
      <c r="CT394" s="692"/>
      <c r="CU394" s="692"/>
      <c r="CV394" s="692"/>
      <c r="CW394" s="692"/>
      <c r="CX394" s="694"/>
      <c r="CY394" s="694"/>
      <c r="CZ394" s="694"/>
      <c r="DA394" s="694"/>
      <c r="DB394" s="694"/>
      <c r="DC394" s="694"/>
      <c r="DD394" s="694"/>
      <c r="DE394" s="694"/>
      <c r="DF394" s="694"/>
      <c r="DG394" s="695"/>
      <c r="DH394" s="695"/>
      <c r="DI394" s="695"/>
      <c r="DJ394" s="695"/>
      <c r="DK394" s="695"/>
      <c r="DL394" s="695"/>
      <c r="DM394" s="695"/>
      <c r="DN394" s="695"/>
      <c r="DO394" s="695"/>
      <c r="DP394" s="695"/>
      <c r="DQ394" s="695"/>
      <c r="DR394" s="695"/>
      <c r="DS394" s="694"/>
      <c r="DT394" s="694"/>
      <c r="DU394" s="694"/>
      <c r="DV394" s="694"/>
      <c r="DW394" s="694"/>
      <c r="DX394" s="694"/>
      <c r="DY394" s="694"/>
      <c r="DZ394" s="694"/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4"/>
      <c r="FH394" s="694"/>
      <c r="FI394" s="694"/>
      <c r="FJ394" s="694"/>
      <c r="FK394" s="694"/>
      <c r="FL394" s="694"/>
      <c r="FM394" s="694"/>
      <c r="FN394" s="694"/>
      <c r="FO394" s="694"/>
      <c r="FP394" s="694"/>
      <c r="FQ394" s="697"/>
    </row>
    <row r="395" spans="1:173" s="696" customFormat="1">
      <c r="A395" s="690"/>
      <c r="B395" s="690"/>
      <c r="C395" s="691" t="s">
        <v>3648</v>
      </c>
      <c r="D395" s="691"/>
      <c r="E395" s="692">
        <v>38.299999999999997</v>
      </c>
      <c r="F395" s="692"/>
      <c r="G395" s="692"/>
      <c r="H395" s="692"/>
      <c r="I395" s="692"/>
      <c r="J395" s="692"/>
      <c r="K395" s="692"/>
      <c r="L395" s="692"/>
      <c r="M395" s="692"/>
      <c r="N395" s="692"/>
      <c r="O395" s="692"/>
      <c r="P395" s="692">
        <f t="shared" si="128"/>
        <v>38.299999999999997</v>
      </c>
      <c r="Q395" s="692"/>
      <c r="R395" s="693"/>
      <c r="S395" s="693"/>
      <c r="T395" s="692"/>
      <c r="U395" s="692" t="s">
        <v>1631</v>
      </c>
      <c r="V395" s="692"/>
      <c r="W395" s="692"/>
      <c r="X395" s="692"/>
      <c r="Y395" s="692"/>
      <c r="Z395" s="692"/>
      <c r="AA395" s="692"/>
      <c r="AB395" s="692"/>
      <c r="AC395" s="692"/>
      <c r="AD395" s="692"/>
      <c r="AE395" s="725"/>
      <c r="AF395" s="957"/>
      <c r="AG395" s="692"/>
      <c r="AH395" s="692"/>
      <c r="AI395" s="692"/>
      <c r="AJ395" s="692"/>
      <c r="AK395" s="692"/>
      <c r="AL395" s="692"/>
      <c r="AM395" s="692"/>
      <c r="AN395" s="692"/>
      <c r="AO395" s="692"/>
      <c r="AP395" s="692"/>
      <c r="AQ395" s="692"/>
      <c r="AR395" s="692"/>
      <c r="AS395" s="692"/>
      <c r="AT395" s="692"/>
      <c r="AU395" s="692"/>
      <c r="AV395" s="692"/>
      <c r="AW395" s="692">
        <v>1</v>
      </c>
      <c r="AX395" s="692"/>
      <c r="AY395" s="692"/>
      <c r="AZ395" s="692"/>
      <c r="BA395" s="692"/>
      <c r="BB395" s="692"/>
      <c r="BC395" s="692"/>
      <c r="BD395" s="692"/>
      <c r="BE395" s="692"/>
      <c r="BF395" s="692"/>
      <c r="BG395" s="692"/>
      <c r="BH395" s="692"/>
      <c r="BI395" s="692"/>
      <c r="BJ395" s="692">
        <f t="shared" si="126"/>
        <v>5</v>
      </c>
      <c r="BK395" s="692"/>
      <c r="BL395" s="692"/>
      <c r="BM395" s="692"/>
      <c r="BN395" s="692"/>
      <c r="BO395" s="692"/>
      <c r="BP395" s="692"/>
      <c r="BQ395" s="692"/>
      <c r="BR395" s="692"/>
      <c r="BS395" s="692"/>
      <c r="BT395" s="692">
        <f t="shared" si="123"/>
        <v>1</v>
      </c>
      <c r="BU395" s="692"/>
      <c r="BV395" s="692"/>
      <c r="BW395" s="692"/>
      <c r="BX395" s="692"/>
      <c r="BY395" s="692"/>
      <c r="BZ395" s="692"/>
      <c r="CA395" s="692"/>
      <c r="CB395" s="692">
        <v>1</v>
      </c>
      <c r="CC395" s="692"/>
      <c r="CD395" s="692">
        <f t="shared" si="127"/>
        <v>4</v>
      </c>
      <c r="CE395" s="692"/>
      <c r="CF395" s="692"/>
      <c r="CG395" s="692"/>
      <c r="CH395" s="692"/>
      <c r="CI395" s="692"/>
      <c r="CJ395" s="692"/>
      <c r="CK395" s="692"/>
      <c r="CL395" s="692"/>
      <c r="CM395" s="692"/>
      <c r="CN395" s="692"/>
      <c r="CO395" s="692"/>
      <c r="CP395" s="692"/>
      <c r="CQ395" s="692"/>
      <c r="CR395" s="692"/>
      <c r="CS395" s="692"/>
      <c r="CT395" s="692"/>
      <c r="CU395" s="692"/>
      <c r="CV395" s="692"/>
      <c r="CW395" s="692"/>
      <c r="CX395" s="694"/>
      <c r="CY395" s="694"/>
      <c r="CZ395" s="694"/>
      <c r="DA395" s="694"/>
      <c r="DB395" s="694"/>
      <c r="DC395" s="694"/>
      <c r="DD395" s="694"/>
      <c r="DE395" s="694"/>
      <c r="DF395" s="694"/>
      <c r="DG395" s="695"/>
      <c r="DH395" s="695"/>
      <c r="DI395" s="695"/>
      <c r="DJ395" s="695"/>
      <c r="DK395" s="695"/>
      <c r="DL395" s="695"/>
      <c r="DM395" s="695"/>
      <c r="DN395" s="695"/>
      <c r="DO395" s="695"/>
      <c r="DP395" s="695"/>
      <c r="DQ395" s="695"/>
      <c r="DR395" s="695"/>
      <c r="DS395" s="694"/>
      <c r="DT395" s="694"/>
      <c r="DU395" s="694"/>
      <c r="DV395" s="694"/>
      <c r="DW395" s="694"/>
      <c r="DX395" s="694"/>
      <c r="DY395" s="694"/>
      <c r="DZ395" s="694"/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4"/>
      <c r="FH395" s="694"/>
      <c r="FI395" s="694"/>
      <c r="FJ395" s="694"/>
      <c r="FK395" s="694"/>
      <c r="FL395" s="694"/>
      <c r="FM395" s="694"/>
      <c r="FN395" s="694"/>
      <c r="FO395" s="694"/>
      <c r="FP395" s="694"/>
      <c r="FQ395" s="697"/>
    </row>
    <row r="396" spans="1:173" s="696" customFormat="1">
      <c r="A396" s="690"/>
      <c r="B396" s="690"/>
      <c r="C396" s="691" t="s">
        <v>3649</v>
      </c>
      <c r="D396" s="691"/>
      <c r="E396" s="692">
        <v>40.4</v>
      </c>
      <c r="F396" s="692"/>
      <c r="G396" s="692"/>
      <c r="H396" s="692"/>
      <c r="I396" s="692"/>
      <c r="J396" s="692"/>
      <c r="K396" s="692"/>
      <c r="L396" s="692"/>
      <c r="M396" s="692"/>
      <c r="N396" s="692"/>
      <c r="O396" s="692"/>
      <c r="P396" s="692">
        <f t="shared" si="128"/>
        <v>40.4</v>
      </c>
      <c r="Q396" s="692"/>
      <c r="R396" s="693"/>
      <c r="S396" s="693"/>
      <c r="T396" s="692"/>
      <c r="U396" s="692" t="s">
        <v>2990</v>
      </c>
      <c r="V396" s="692"/>
      <c r="W396" s="692"/>
      <c r="X396" s="692"/>
      <c r="Y396" s="692"/>
      <c r="Z396" s="692"/>
      <c r="AA396" s="692"/>
      <c r="AB396" s="692"/>
      <c r="AC396" s="692"/>
      <c r="AD396" s="692"/>
      <c r="AE396" s="725"/>
      <c r="AF396" s="957"/>
      <c r="AG396" s="692"/>
      <c r="AH396" s="692"/>
      <c r="AI396" s="692"/>
      <c r="AJ396" s="692"/>
      <c r="AK396" s="692"/>
      <c r="AL396" s="692"/>
      <c r="AM396" s="692"/>
      <c r="AN396" s="692"/>
      <c r="AO396" s="692"/>
      <c r="AP396" s="692"/>
      <c r="AQ396" s="692"/>
      <c r="AR396" s="692"/>
      <c r="AS396" s="692"/>
      <c r="AT396" s="692"/>
      <c r="AU396" s="692">
        <v>1</v>
      </c>
      <c r="AV396" s="692"/>
      <c r="AW396" s="692">
        <v>1</v>
      </c>
      <c r="AX396" s="692"/>
      <c r="AY396" s="692"/>
      <c r="AZ396" s="692"/>
      <c r="BA396" s="692"/>
      <c r="BB396" s="692"/>
      <c r="BC396" s="692"/>
      <c r="BD396" s="692"/>
      <c r="BE396" s="692"/>
      <c r="BF396" s="692"/>
      <c r="BG396" s="692"/>
      <c r="BH396" s="692"/>
      <c r="BI396" s="692"/>
      <c r="BJ396" s="692">
        <f t="shared" si="126"/>
        <v>7</v>
      </c>
      <c r="BK396" s="692"/>
      <c r="BL396" s="692"/>
      <c r="BM396" s="692"/>
      <c r="BN396" s="692"/>
      <c r="BO396" s="692"/>
      <c r="BP396" s="692"/>
      <c r="BQ396" s="692"/>
      <c r="BR396" s="692"/>
      <c r="BS396" s="692"/>
      <c r="BT396" s="692">
        <f t="shared" si="123"/>
        <v>0</v>
      </c>
      <c r="BU396" s="692"/>
      <c r="BV396" s="692"/>
      <c r="BW396" s="692"/>
      <c r="BX396" s="692"/>
      <c r="BY396" s="692">
        <v>1</v>
      </c>
      <c r="BZ396" s="692"/>
      <c r="CA396" s="692"/>
      <c r="CB396" s="692">
        <v>1</v>
      </c>
      <c r="CC396" s="692"/>
      <c r="CD396" s="692">
        <f t="shared" si="127"/>
        <v>4</v>
      </c>
      <c r="CE396" s="692"/>
      <c r="CF396" s="692"/>
      <c r="CG396" s="692"/>
      <c r="CH396" s="692"/>
      <c r="CI396" s="692"/>
      <c r="CJ396" s="692"/>
      <c r="CK396" s="692"/>
      <c r="CL396" s="692"/>
      <c r="CM396" s="692"/>
      <c r="CN396" s="692"/>
      <c r="CO396" s="692"/>
      <c r="CP396" s="692"/>
      <c r="CQ396" s="692"/>
      <c r="CR396" s="692"/>
      <c r="CS396" s="692"/>
      <c r="CT396" s="692"/>
      <c r="CU396" s="692"/>
      <c r="CV396" s="692"/>
      <c r="CW396" s="692"/>
      <c r="CX396" s="694"/>
      <c r="CY396" s="694"/>
      <c r="CZ396" s="694"/>
      <c r="DA396" s="694"/>
      <c r="DB396" s="694"/>
      <c r="DC396" s="694"/>
      <c r="DD396" s="694"/>
      <c r="DE396" s="694"/>
      <c r="DF396" s="694"/>
      <c r="DG396" s="695"/>
      <c r="DH396" s="695"/>
      <c r="DI396" s="695"/>
      <c r="DJ396" s="695"/>
      <c r="DK396" s="695"/>
      <c r="DL396" s="695"/>
      <c r="DM396" s="695"/>
      <c r="DN396" s="695"/>
      <c r="DO396" s="695"/>
      <c r="DP396" s="695"/>
      <c r="DQ396" s="695"/>
      <c r="DR396" s="695"/>
      <c r="DS396" s="694"/>
      <c r="DT396" s="694"/>
      <c r="DU396" s="694"/>
      <c r="DV396" s="694"/>
      <c r="DW396" s="694"/>
      <c r="DX396" s="694"/>
      <c r="DY396" s="694"/>
      <c r="DZ396" s="694"/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4"/>
      <c r="FH396" s="694"/>
      <c r="FI396" s="694"/>
      <c r="FJ396" s="694"/>
      <c r="FK396" s="694"/>
      <c r="FL396" s="694"/>
      <c r="FM396" s="694"/>
      <c r="FN396" s="694"/>
      <c r="FO396" s="694"/>
      <c r="FP396" s="694"/>
      <c r="FQ396" s="697"/>
    </row>
    <row r="397" spans="1:173" s="696" customFormat="1">
      <c r="A397" s="690"/>
      <c r="B397" s="690"/>
      <c r="C397" s="691"/>
      <c r="D397" s="691"/>
      <c r="E397" s="692"/>
      <c r="F397" s="692"/>
      <c r="G397" s="692"/>
      <c r="H397" s="692"/>
      <c r="I397" s="692"/>
      <c r="J397" s="692"/>
      <c r="K397" s="692"/>
      <c r="L397" s="692"/>
      <c r="M397" s="692"/>
      <c r="N397" s="692"/>
      <c r="O397" s="692"/>
      <c r="P397" s="692"/>
      <c r="Q397" s="692"/>
      <c r="R397" s="693"/>
      <c r="S397" s="693"/>
      <c r="T397" s="692"/>
      <c r="U397" s="692"/>
      <c r="V397" s="692"/>
      <c r="W397" s="692"/>
      <c r="X397" s="692"/>
      <c r="Y397" s="692"/>
      <c r="Z397" s="692"/>
      <c r="AA397" s="692"/>
      <c r="AB397" s="692"/>
      <c r="AC397" s="692"/>
      <c r="AD397" s="692"/>
      <c r="AE397" s="725"/>
      <c r="AF397" s="957"/>
      <c r="AG397" s="692"/>
      <c r="AH397" s="692"/>
      <c r="AI397" s="692"/>
      <c r="AJ397" s="692"/>
      <c r="AK397" s="692"/>
      <c r="AL397" s="692"/>
      <c r="AM397" s="692"/>
      <c r="AN397" s="692"/>
      <c r="AO397" s="692"/>
      <c r="AP397" s="692"/>
      <c r="AQ397" s="692"/>
      <c r="AR397" s="692"/>
      <c r="AS397" s="692"/>
      <c r="AT397" s="692"/>
      <c r="AU397" s="692"/>
      <c r="AV397" s="692"/>
      <c r="AW397" s="692"/>
      <c r="AX397" s="692"/>
      <c r="AY397" s="692"/>
      <c r="AZ397" s="692"/>
      <c r="BA397" s="692"/>
      <c r="BB397" s="692"/>
      <c r="BC397" s="692"/>
      <c r="BD397" s="692"/>
      <c r="BE397" s="692"/>
      <c r="BF397" s="692"/>
      <c r="BG397" s="692"/>
      <c r="BH397" s="692"/>
      <c r="BI397" s="692"/>
      <c r="BJ397" s="692"/>
      <c r="BK397" s="692"/>
      <c r="BL397" s="692"/>
      <c r="BM397" s="692"/>
      <c r="BN397" s="692"/>
      <c r="BO397" s="692"/>
      <c r="BP397" s="692"/>
      <c r="BQ397" s="692"/>
      <c r="BR397" s="692"/>
      <c r="BS397" s="692"/>
      <c r="BT397" s="692"/>
      <c r="BU397" s="692"/>
      <c r="BV397" s="692"/>
      <c r="BW397" s="692"/>
      <c r="BX397" s="692"/>
      <c r="BY397" s="692"/>
      <c r="BZ397" s="692"/>
      <c r="CA397" s="692"/>
      <c r="CB397" s="692"/>
      <c r="CC397" s="692"/>
      <c r="CD397" s="692">
        <f t="shared" si="127"/>
        <v>0</v>
      </c>
      <c r="CE397" s="692"/>
      <c r="CF397" s="692"/>
      <c r="CG397" s="692"/>
      <c r="CH397" s="692"/>
      <c r="CI397" s="692"/>
      <c r="CJ397" s="692"/>
      <c r="CK397" s="692"/>
      <c r="CL397" s="692"/>
      <c r="CM397" s="692"/>
      <c r="CN397" s="692"/>
      <c r="CO397" s="692"/>
      <c r="CP397" s="692"/>
      <c r="CQ397" s="692"/>
      <c r="CR397" s="692"/>
      <c r="CS397" s="692"/>
      <c r="CT397" s="692"/>
      <c r="CU397" s="692"/>
      <c r="CV397" s="692"/>
      <c r="CW397" s="692"/>
      <c r="CX397" s="694"/>
      <c r="CY397" s="694"/>
      <c r="CZ397" s="694"/>
      <c r="DA397" s="694"/>
      <c r="DB397" s="694"/>
      <c r="DC397" s="694"/>
      <c r="DD397" s="694"/>
      <c r="DE397" s="694"/>
      <c r="DF397" s="694"/>
      <c r="DG397" s="695"/>
      <c r="DH397" s="695"/>
      <c r="DI397" s="695"/>
      <c r="DJ397" s="695"/>
      <c r="DK397" s="695"/>
      <c r="DL397" s="695"/>
      <c r="DM397" s="695"/>
      <c r="DN397" s="695"/>
      <c r="DO397" s="695"/>
      <c r="DP397" s="695"/>
      <c r="DQ397" s="695"/>
      <c r="DR397" s="695"/>
      <c r="DS397" s="694"/>
      <c r="DT397" s="694"/>
      <c r="DU397" s="694"/>
      <c r="DV397" s="694"/>
      <c r="DW397" s="694"/>
      <c r="DX397" s="694"/>
      <c r="DY397" s="694"/>
      <c r="DZ397" s="694"/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4"/>
      <c r="FH397" s="694"/>
      <c r="FI397" s="694"/>
      <c r="FJ397" s="694"/>
      <c r="FK397" s="694"/>
      <c r="FL397" s="694"/>
      <c r="FM397" s="694"/>
      <c r="FN397" s="694"/>
      <c r="FO397" s="694"/>
      <c r="FP397" s="694"/>
      <c r="FQ397" s="697"/>
    </row>
    <row r="398" spans="1:173" s="696" customFormat="1">
      <c r="A398" s="690"/>
      <c r="B398" s="690"/>
      <c r="C398" s="699" t="s">
        <v>3758</v>
      </c>
      <c r="D398" s="691"/>
      <c r="E398" s="692"/>
      <c r="F398" s="692"/>
      <c r="G398" s="692"/>
      <c r="H398" s="692"/>
      <c r="I398" s="692"/>
      <c r="J398" s="692"/>
      <c r="K398" s="692"/>
      <c r="L398" s="692"/>
      <c r="M398" s="692"/>
      <c r="N398" s="692"/>
      <c r="O398" s="692"/>
      <c r="P398" s="692"/>
      <c r="Q398" s="692"/>
      <c r="R398" s="693"/>
      <c r="S398" s="693"/>
      <c r="T398" s="692"/>
      <c r="U398" s="692"/>
      <c r="V398" s="692"/>
      <c r="W398" s="692"/>
      <c r="X398" s="692"/>
      <c r="Y398" s="692"/>
      <c r="Z398" s="692"/>
      <c r="AA398" s="692"/>
      <c r="AB398" s="692"/>
      <c r="AC398" s="692"/>
      <c r="AD398" s="692"/>
      <c r="AE398" s="725"/>
      <c r="AF398" s="957"/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/>
      <c r="BB398" s="692"/>
      <c r="BC398" s="692"/>
      <c r="BD398" s="692">
        <v>1</v>
      </c>
      <c r="BE398" s="692"/>
      <c r="BF398" s="692"/>
      <c r="BG398" s="692"/>
      <c r="BH398" s="692"/>
      <c r="BI398" s="692"/>
      <c r="BJ398" s="692"/>
      <c r="BK398" s="692"/>
      <c r="BL398" s="692"/>
      <c r="BM398" s="692"/>
      <c r="BN398" s="692"/>
      <c r="BO398" s="692"/>
      <c r="BP398" s="692"/>
      <c r="BQ398" s="692"/>
      <c r="BR398" s="692"/>
      <c r="BS398" s="692"/>
      <c r="BT398" s="692"/>
      <c r="BU398" s="692"/>
      <c r="BV398" s="692">
        <v>1</v>
      </c>
      <c r="BW398" s="692"/>
      <c r="BX398" s="692"/>
      <c r="BY398" s="692"/>
      <c r="BZ398" s="692"/>
      <c r="CA398" s="692"/>
      <c r="CB398" s="692"/>
      <c r="CC398" s="692"/>
      <c r="CD398" s="692">
        <f t="shared" si="127"/>
        <v>0</v>
      </c>
      <c r="CE398" s="692"/>
      <c r="CF398" s="692"/>
      <c r="CG398" s="692"/>
      <c r="CH398" s="692"/>
      <c r="CI398" s="692"/>
      <c r="CJ398" s="692"/>
      <c r="CK398" s="692"/>
      <c r="CL398" s="692"/>
      <c r="CM398" s="692"/>
      <c r="CN398" s="692"/>
      <c r="CO398" s="692"/>
      <c r="CP398" s="692"/>
      <c r="CQ398" s="692"/>
      <c r="CR398" s="692"/>
      <c r="CS398" s="692"/>
      <c r="CT398" s="692"/>
      <c r="CU398" s="692"/>
      <c r="CV398" s="692"/>
      <c r="CW398" s="692"/>
      <c r="CX398" s="694"/>
      <c r="CY398" s="694"/>
      <c r="CZ398" s="694"/>
      <c r="DA398" s="694"/>
      <c r="DB398" s="694"/>
      <c r="DC398" s="694"/>
      <c r="DD398" s="694"/>
      <c r="DE398" s="694"/>
      <c r="DF398" s="694"/>
      <c r="DG398" s="695"/>
      <c r="DH398" s="695"/>
      <c r="DI398" s="695"/>
      <c r="DJ398" s="695"/>
      <c r="DK398" s="695"/>
      <c r="DL398" s="695"/>
      <c r="DM398" s="695"/>
      <c r="DN398" s="695"/>
      <c r="DO398" s="695"/>
      <c r="DP398" s="695"/>
      <c r="DQ398" s="695"/>
      <c r="DR398" s="695"/>
      <c r="DS398" s="694"/>
      <c r="DT398" s="694"/>
      <c r="DU398" s="694"/>
      <c r="DV398" s="694"/>
      <c r="DW398" s="694"/>
      <c r="DX398" s="694"/>
      <c r="DY398" s="694"/>
      <c r="DZ398" s="694"/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4"/>
      <c r="FH398" s="694"/>
      <c r="FI398" s="694"/>
      <c r="FJ398" s="694"/>
      <c r="FK398" s="694"/>
      <c r="FL398" s="694"/>
      <c r="FM398" s="694"/>
      <c r="FN398" s="694"/>
      <c r="FO398" s="694"/>
      <c r="FP398" s="694"/>
      <c r="FQ398" s="697"/>
    </row>
    <row r="399" spans="1:173" s="696" customFormat="1">
      <c r="A399" s="690"/>
      <c r="B399" s="690"/>
      <c r="C399" s="691" t="s">
        <v>3632</v>
      </c>
      <c r="D399" s="691"/>
      <c r="E399" s="692">
        <v>26.8</v>
      </c>
      <c r="F399" s="692"/>
      <c r="G399" s="692"/>
      <c r="H399" s="692"/>
      <c r="I399" s="692">
        <f>E399</f>
        <v>26.8</v>
      </c>
      <c r="J399" s="692"/>
      <c r="K399" s="692"/>
      <c r="L399" s="692"/>
      <c r="M399" s="692"/>
      <c r="N399" s="692"/>
      <c r="O399" s="692"/>
      <c r="P399" s="692"/>
      <c r="Q399" s="692"/>
      <c r="R399" s="693"/>
      <c r="S399" s="693"/>
      <c r="T399" s="692"/>
      <c r="U399" s="692" t="s">
        <v>2989</v>
      </c>
      <c r="V399" s="692"/>
      <c r="W399" s="692"/>
      <c r="X399" s="692"/>
      <c r="Y399" s="692"/>
      <c r="Z399" s="692"/>
      <c r="AA399" s="692"/>
      <c r="AB399" s="692"/>
      <c r="AC399" s="692"/>
      <c r="AD399" s="692"/>
      <c r="AE399" s="725"/>
      <c r="AF399" s="957"/>
      <c r="AG399" s="692"/>
      <c r="AH399" s="692"/>
      <c r="AI399" s="692"/>
      <c r="AJ399" s="692"/>
      <c r="AK399" s="692"/>
      <c r="AL399" s="692"/>
      <c r="AM399" s="692"/>
      <c r="AN399" s="692"/>
      <c r="AO399" s="692"/>
      <c r="AP399" s="692"/>
      <c r="AQ399" s="692"/>
      <c r="AR399" s="692"/>
      <c r="AS399" s="692"/>
      <c r="AT399" s="692"/>
      <c r="AU399" s="692"/>
      <c r="AV399" s="692"/>
      <c r="AW399" s="692"/>
      <c r="AX399" s="692"/>
      <c r="AY399" s="692"/>
      <c r="AZ399" s="692"/>
      <c r="BA399" s="692"/>
      <c r="BB399" s="692"/>
      <c r="BC399" s="692"/>
      <c r="BD399" s="692">
        <v>2</v>
      </c>
      <c r="BE399" s="692"/>
      <c r="BF399" s="692"/>
      <c r="BG399" s="692"/>
      <c r="BH399" s="692"/>
      <c r="BI399" s="692"/>
      <c r="BJ399" s="692"/>
      <c r="BK399" s="692"/>
      <c r="BL399" s="692"/>
      <c r="BM399" s="692"/>
      <c r="BN399" s="692"/>
      <c r="BO399" s="692"/>
      <c r="BP399" s="692"/>
      <c r="BQ399" s="692"/>
      <c r="BR399" s="692"/>
      <c r="BS399" s="692"/>
      <c r="BT399" s="692"/>
      <c r="BU399" s="692"/>
      <c r="BV399" s="692">
        <v>2</v>
      </c>
      <c r="BW399" s="692"/>
      <c r="BX399" s="692"/>
      <c r="BY399" s="692"/>
      <c r="BZ399" s="692"/>
      <c r="CA399" s="692"/>
      <c r="CB399" s="692"/>
      <c r="CC399" s="692"/>
      <c r="CD399" s="692">
        <f t="shared" si="127"/>
        <v>0</v>
      </c>
      <c r="CE399" s="692"/>
      <c r="CF399" s="692"/>
      <c r="CG399" s="692"/>
      <c r="CH399" s="692"/>
      <c r="CI399" s="692"/>
      <c r="CJ399" s="692"/>
      <c r="CK399" s="692"/>
      <c r="CL399" s="692">
        <f>CZ399*2</f>
        <v>2</v>
      </c>
      <c r="CM399" s="692"/>
      <c r="CN399" s="692"/>
      <c r="CO399" s="692"/>
      <c r="CP399" s="692"/>
      <c r="CQ399" s="692"/>
      <c r="CR399" s="692"/>
      <c r="CS399" s="692"/>
      <c r="CT399" s="692"/>
      <c r="CU399" s="692"/>
      <c r="CV399" s="692"/>
      <c r="CW399" s="692"/>
      <c r="CX399" s="694"/>
      <c r="CY399" s="694"/>
      <c r="CZ399" s="694">
        <v>1</v>
      </c>
      <c r="DA399" s="694"/>
      <c r="DB399" s="694"/>
      <c r="DC399" s="694"/>
      <c r="DD399" s="694"/>
      <c r="DE399" s="694"/>
      <c r="DF399" s="694"/>
      <c r="DG399" s="695"/>
      <c r="DH399" s="695"/>
      <c r="DI399" s="695"/>
      <c r="DJ399" s="695"/>
      <c r="DK399" s="695"/>
      <c r="DL399" s="695"/>
      <c r="DM399" s="695"/>
      <c r="DN399" s="695"/>
      <c r="DO399" s="695"/>
      <c r="DP399" s="695"/>
      <c r="DQ399" s="695"/>
      <c r="DR399" s="695"/>
      <c r="DS399" s="694"/>
      <c r="DT399" s="694"/>
      <c r="DU399" s="694"/>
      <c r="DV399" s="694"/>
      <c r="DW399" s="694"/>
      <c r="DX399" s="694"/>
      <c r="DY399" s="694"/>
      <c r="DZ399" s="694"/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4"/>
      <c r="FH399" s="694"/>
      <c r="FI399" s="694"/>
      <c r="FJ399" s="694"/>
      <c r="FK399" s="694"/>
      <c r="FL399" s="694"/>
      <c r="FM399" s="694"/>
      <c r="FN399" s="694"/>
      <c r="FO399" s="694"/>
      <c r="FP399" s="694"/>
      <c r="FQ399" s="697"/>
    </row>
    <row r="400" spans="1:173" s="696" customFormat="1">
      <c r="A400" s="690"/>
      <c r="B400" s="690"/>
      <c r="C400" s="691" t="s">
        <v>3633</v>
      </c>
      <c r="D400" s="691"/>
      <c r="E400" s="692">
        <v>23.5</v>
      </c>
      <c r="F400" s="692"/>
      <c r="G400" s="692"/>
      <c r="H400" s="692"/>
      <c r="I400" s="692">
        <f t="shared" ref="I400:I405" si="129">E400</f>
        <v>23.5</v>
      </c>
      <c r="J400" s="692"/>
      <c r="K400" s="692"/>
      <c r="L400" s="692"/>
      <c r="M400" s="692"/>
      <c r="N400" s="692"/>
      <c r="O400" s="692"/>
      <c r="P400" s="692"/>
      <c r="Q400" s="692"/>
      <c r="R400" s="693"/>
      <c r="S400" s="693"/>
      <c r="T400" s="692"/>
      <c r="U400" s="692" t="s">
        <v>1631</v>
      </c>
      <c r="V400" s="692"/>
      <c r="W400" s="692"/>
      <c r="X400" s="692"/>
      <c r="Y400" s="692"/>
      <c r="Z400" s="692"/>
      <c r="AA400" s="692"/>
      <c r="AB400" s="692"/>
      <c r="AC400" s="692"/>
      <c r="AD400" s="692"/>
      <c r="AE400" s="725"/>
      <c r="AF400" s="957"/>
      <c r="AG400" s="692"/>
      <c r="AH400" s="692"/>
      <c r="AI400" s="692"/>
      <c r="AJ400" s="692"/>
      <c r="AK400" s="692"/>
      <c r="AL400" s="692"/>
      <c r="AM400" s="692"/>
      <c r="AN400" s="692"/>
      <c r="AO400" s="692"/>
      <c r="AP400" s="692"/>
      <c r="AQ400" s="692"/>
      <c r="AR400" s="692"/>
      <c r="AS400" s="692"/>
      <c r="AT400" s="692"/>
      <c r="AU400" s="692"/>
      <c r="AV400" s="692"/>
      <c r="AW400" s="692">
        <v>1</v>
      </c>
      <c r="AX400" s="692"/>
      <c r="AY400" s="692"/>
      <c r="AZ400" s="692"/>
      <c r="BA400" s="692"/>
      <c r="BB400" s="692"/>
      <c r="BC400" s="692"/>
      <c r="BD400" s="692"/>
      <c r="BE400" s="692"/>
      <c r="BF400" s="692"/>
      <c r="BG400" s="692"/>
      <c r="BH400" s="692"/>
      <c r="BI400" s="692"/>
      <c r="BJ400" s="692"/>
      <c r="BK400" s="692"/>
      <c r="BL400" s="692"/>
      <c r="BM400" s="692"/>
      <c r="BN400" s="692"/>
      <c r="BO400" s="692"/>
      <c r="BP400" s="692"/>
      <c r="BQ400" s="692"/>
      <c r="BR400" s="692"/>
      <c r="BS400" s="692"/>
      <c r="BT400" s="692"/>
      <c r="BU400" s="692"/>
      <c r="BV400" s="692"/>
      <c r="BW400" s="692"/>
      <c r="BX400" s="692"/>
      <c r="BY400" s="692"/>
      <c r="BZ400" s="692"/>
      <c r="CA400" s="692"/>
      <c r="CB400" s="692"/>
      <c r="CC400" s="692"/>
      <c r="CD400" s="692">
        <f t="shared" si="127"/>
        <v>0</v>
      </c>
      <c r="CE400" s="692"/>
      <c r="CF400" s="692"/>
      <c r="CG400" s="692"/>
      <c r="CH400" s="692"/>
      <c r="CI400" s="692"/>
      <c r="CJ400" s="692"/>
      <c r="CK400" s="692"/>
      <c r="CL400" s="692">
        <f t="shared" ref="CL400:CL463" si="130">CZ400*2</f>
        <v>0</v>
      </c>
      <c r="CM400" s="692"/>
      <c r="CN400" s="692"/>
      <c r="CO400" s="692"/>
      <c r="CP400" s="692"/>
      <c r="CQ400" s="692"/>
      <c r="CR400" s="692"/>
      <c r="CS400" s="692"/>
      <c r="CT400" s="692"/>
      <c r="CU400" s="692"/>
      <c r="CV400" s="692"/>
      <c r="CW400" s="692"/>
      <c r="CX400" s="694"/>
      <c r="CY400" s="694"/>
      <c r="CZ400" s="694"/>
      <c r="DA400" s="694"/>
      <c r="DB400" s="694"/>
      <c r="DC400" s="694"/>
      <c r="DD400" s="694"/>
      <c r="DE400" s="694"/>
      <c r="DF400" s="694"/>
      <c r="DG400" s="695"/>
      <c r="DH400" s="695"/>
      <c r="DI400" s="695"/>
      <c r="DJ400" s="695"/>
      <c r="DK400" s="695"/>
      <c r="DL400" s="695"/>
      <c r="DM400" s="695"/>
      <c r="DN400" s="695"/>
      <c r="DO400" s="695"/>
      <c r="DP400" s="695"/>
      <c r="DQ400" s="695"/>
      <c r="DR400" s="695"/>
      <c r="DS400" s="694"/>
      <c r="DT400" s="694"/>
      <c r="DU400" s="694"/>
      <c r="DV400" s="694"/>
      <c r="DW400" s="694"/>
      <c r="DX400" s="694"/>
      <c r="DY400" s="694"/>
      <c r="DZ400" s="694"/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4"/>
      <c r="FH400" s="694"/>
      <c r="FI400" s="694"/>
      <c r="FJ400" s="694"/>
      <c r="FK400" s="694"/>
      <c r="FL400" s="694"/>
      <c r="FM400" s="692"/>
      <c r="FN400" s="694"/>
      <c r="FO400" s="694"/>
      <c r="FP400" s="694"/>
      <c r="FQ400" s="697"/>
    </row>
    <row r="401" spans="1:173" s="696" customFormat="1">
      <c r="A401" s="690"/>
      <c r="B401" s="690"/>
      <c r="C401" s="691" t="s">
        <v>3634</v>
      </c>
      <c r="D401" s="691"/>
      <c r="E401" s="692">
        <v>35.9</v>
      </c>
      <c r="F401" s="692"/>
      <c r="G401" s="692"/>
      <c r="H401" s="692"/>
      <c r="I401" s="692">
        <f t="shared" si="129"/>
        <v>35.9</v>
      </c>
      <c r="J401" s="692"/>
      <c r="K401" s="692"/>
      <c r="L401" s="692"/>
      <c r="M401" s="692"/>
      <c r="N401" s="692"/>
      <c r="O401" s="692"/>
      <c r="P401" s="692"/>
      <c r="Q401" s="692"/>
      <c r="R401" s="693"/>
      <c r="S401" s="693"/>
      <c r="T401" s="692"/>
      <c r="U401" s="692" t="s">
        <v>1631</v>
      </c>
      <c r="V401" s="692"/>
      <c r="W401" s="692"/>
      <c r="X401" s="692"/>
      <c r="Y401" s="692"/>
      <c r="Z401" s="692"/>
      <c r="AA401" s="692"/>
      <c r="AB401" s="692"/>
      <c r="AC401" s="692"/>
      <c r="AD401" s="692"/>
      <c r="AE401" s="725"/>
      <c r="AF401" s="957"/>
      <c r="AG401" s="692"/>
      <c r="AH401" s="692"/>
      <c r="AI401" s="692"/>
      <c r="AJ401" s="692"/>
      <c r="AK401" s="692"/>
      <c r="AL401" s="692"/>
      <c r="AM401" s="692"/>
      <c r="AN401" s="692"/>
      <c r="AO401" s="692"/>
      <c r="AP401" s="692"/>
      <c r="AQ401" s="692"/>
      <c r="AR401" s="692"/>
      <c r="AS401" s="692"/>
      <c r="AT401" s="692"/>
      <c r="AU401" s="692"/>
      <c r="AV401" s="692"/>
      <c r="AW401" s="692">
        <v>1</v>
      </c>
      <c r="AX401" s="692"/>
      <c r="AY401" s="692"/>
      <c r="AZ401" s="692"/>
      <c r="BA401" s="692"/>
      <c r="BB401" s="692"/>
      <c r="BC401" s="692"/>
      <c r="BD401" s="692"/>
      <c r="BE401" s="692"/>
      <c r="BF401" s="692"/>
      <c r="BG401" s="692"/>
      <c r="BH401" s="692"/>
      <c r="BI401" s="692"/>
      <c r="BJ401" s="692"/>
      <c r="BK401" s="692"/>
      <c r="BL401" s="692"/>
      <c r="BM401" s="692"/>
      <c r="BN401" s="692"/>
      <c r="BO401" s="692"/>
      <c r="BP401" s="692"/>
      <c r="BQ401" s="692"/>
      <c r="BR401" s="692"/>
      <c r="BS401" s="692"/>
      <c r="BT401" s="692"/>
      <c r="BU401" s="692"/>
      <c r="BV401" s="692"/>
      <c r="BW401" s="692"/>
      <c r="BX401" s="692"/>
      <c r="BY401" s="692"/>
      <c r="BZ401" s="692"/>
      <c r="CA401" s="692"/>
      <c r="CB401" s="692"/>
      <c r="CC401" s="692"/>
      <c r="CD401" s="692">
        <f t="shared" si="127"/>
        <v>0</v>
      </c>
      <c r="CE401" s="692"/>
      <c r="CF401" s="692"/>
      <c r="CG401" s="692"/>
      <c r="CH401" s="692"/>
      <c r="CI401" s="692"/>
      <c r="CJ401" s="692"/>
      <c r="CK401" s="692"/>
      <c r="CL401" s="692">
        <f t="shared" si="130"/>
        <v>0</v>
      </c>
      <c r="CM401" s="692"/>
      <c r="CN401" s="692"/>
      <c r="CO401" s="692"/>
      <c r="CP401" s="692"/>
      <c r="CQ401" s="692"/>
      <c r="CR401" s="692"/>
      <c r="CS401" s="692"/>
      <c r="CT401" s="692"/>
      <c r="CU401" s="692"/>
      <c r="CV401" s="692"/>
      <c r="CW401" s="692"/>
      <c r="CX401" s="694"/>
      <c r="CY401" s="694"/>
      <c r="CZ401" s="694"/>
      <c r="DA401" s="694"/>
      <c r="DB401" s="694"/>
      <c r="DC401" s="694"/>
      <c r="DD401" s="694"/>
      <c r="DE401" s="694"/>
      <c r="DF401" s="694"/>
      <c r="DG401" s="695"/>
      <c r="DH401" s="695"/>
      <c r="DI401" s="695"/>
      <c r="DJ401" s="695"/>
      <c r="DK401" s="695"/>
      <c r="DL401" s="695"/>
      <c r="DM401" s="695"/>
      <c r="DN401" s="695"/>
      <c r="DO401" s="695"/>
      <c r="DP401" s="695"/>
      <c r="DQ401" s="695"/>
      <c r="DR401" s="695"/>
      <c r="DS401" s="694"/>
      <c r="DT401" s="694"/>
      <c r="DU401" s="694"/>
      <c r="DV401" s="694"/>
      <c r="DW401" s="694"/>
      <c r="DX401" s="694"/>
      <c r="DY401" s="694"/>
      <c r="DZ401" s="694"/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4"/>
      <c r="FH401" s="694"/>
      <c r="FI401" s="694"/>
      <c r="FJ401" s="694"/>
      <c r="FK401" s="694"/>
      <c r="FL401" s="694"/>
      <c r="FM401" s="692"/>
      <c r="FN401" s="694"/>
      <c r="FO401" s="694"/>
      <c r="FP401" s="694"/>
      <c r="FQ401" s="697"/>
    </row>
    <row r="402" spans="1:173" s="696" customFormat="1">
      <c r="A402" s="690"/>
      <c r="B402" s="690"/>
      <c r="C402" s="691" t="s">
        <v>3635</v>
      </c>
      <c r="D402" s="691"/>
      <c r="E402" s="692">
        <v>33.1</v>
      </c>
      <c r="F402" s="692"/>
      <c r="G402" s="692"/>
      <c r="H402" s="692"/>
      <c r="I402" s="692">
        <f t="shared" si="129"/>
        <v>33.1</v>
      </c>
      <c r="J402" s="692"/>
      <c r="K402" s="692"/>
      <c r="L402" s="692"/>
      <c r="M402" s="692"/>
      <c r="N402" s="692"/>
      <c r="O402" s="692"/>
      <c r="P402" s="692"/>
      <c r="Q402" s="692"/>
      <c r="R402" s="693"/>
      <c r="S402" s="693"/>
      <c r="T402" s="692"/>
      <c r="U402" s="692" t="s">
        <v>1631</v>
      </c>
      <c r="V402" s="692"/>
      <c r="W402" s="692"/>
      <c r="X402" s="692"/>
      <c r="Y402" s="692"/>
      <c r="Z402" s="692"/>
      <c r="AA402" s="692"/>
      <c r="AB402" s="692"/>
      <c r="AC402" s="692"/>
      <c r="AD402" s="692"/>
      <c r="AE402" s="725"/>
      <c r="AF402" s="957"/>
      <c r="AG402" s="692"/>
      <c r="AH402" s="692"/>
      <c r="AI402" s="692"/>
      <c r="AJ402" s="692"/>
      <c r="AK402" s="692"/>
      <c r="AL402" s="692"/>
      <c r="AM402" s="692"/>
      <c r="AN402" s="692"/>
      <c r="AO402" s="692"/>
      <c r="AP402" s="692"/>
      <c r="AQ402" s="692"/>
      <c r="AR402" s="692"/>
      <c r="AS402" s="692"/>
      <c r="AT402" s="692"/>
      <c r="AU402" s="692"/>
      <c r="AV402" s="692"/>
      <c r="AW402" s="692">
        <v>1</v>
      </c>
      <c r="AX402" s="692"/>
      <c r="AY402" s="692"/>
      <c r="AZ402" s="692"/>
      <c r="BA402" s="692"/>
      <c r="BB402" s="692"/>
      <c r="BC402" s="692"/>
      <c r="BD402" s="692"/>
      <c r="BE402" s="692"/>
      <c r="BF402" s="692"/>
      <c r="BG402" s="692"/>
      <c r="BH402" s="692"/>
      <c r="BI402" s="692"/>
      <c r="BJ402" s="692"/>
      <c r="BK402" s="692"/>
      <c r="BL402" s="692"/>
      <c r="BM402" s="692"/>
      <c r="BN402" s="692"/>
      <c r="BO402" s="692"/>
      <c r="BP402" s="692"/>
      <c r="BQ402" s="692"/>
      <c r="BR402" s="692"/>
      <c r="BS402" s="692"/>
      <c r="BT402" s="692"/>
      <c r="BU402" s="692"/>
      <c r="BV402" s="692"/>
      <c r="BW402" s="692"/>
      <c r="BX402" s="692"/>
      <c r="BY402" s="692"/>
      <c r="BZ402" s="692"/>
      <c r="CA402" s="692"/>
      <c r="CB402" s="692"/>
      <c r="CC402" s="692"/>
      <c r="CD402" s="692">
        <f t="shared" si="127"/>
        <v>0</v>
      </c>
      <c r="CE402" s="692"/>
      <c r="CF402" s="692"/>
      <c r="CG402" s="692"/>
      <c r="CH402" s="692"/>
      <c r="CI402" s="692"/>
      <c r="CJ402" s="692"/>
      <c r="CK402" s="692"/>
      <c r="CL402" s="692">
        <v>2</v>
      </c>
      <c r="CM402" s="692"/>
      <c r="CN402" s="692"/>
      <c r="CO402" s="692"/>
      <c r="CP402" s="692"/>
      <c r="CQ402" s="692"/>
      <c r="CR402" s="692"/>
      <c r="CS402" s="692"/>
      <c r="CT402" s="692"/>
      <c r="CU402" s="692"/>
      <c r="CV402" s="692"/>
      <c r="CW402" s="692"/>
      <c r="CX402" s="694"/>
      <c r="CY402" s="694"/>
      <c r="CZ402" s="694"/>
      <c r="DA402" s="694"/>
      <c r="DB402" s="694"/>
      <c r="DC402" s="694"/>
      <c r="DD402" s="694"/>
      <c r="DE402" s="694"/>
      <c r="DF402" s="694"/>
      <c r="DG402" s="695"/>
      <c r="DH402" s="695"/>
      <c r="DI402" s="695"/>
      <c r="DJ402" s="695"/>
      <c r="DK402" s="695"/>
      <c r="DL402" s="695"/>
      <c r="DM402" s="695"/>
      <c r="DN402" s="695"/>
      <c r="DO402" s="695"/>
      <c r="DP402" s="695"/>
      <c r="DQ402" s="695"/>
      <c r="DR402" s="695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4"/>
      <c r="FH402" s="694"/>
      <c r="FI402" s="694"/>
      <c r="FJ402" s="694"/>
      <c r="FK402" s="694"/>
      <c r="FL402" s="694"/>
      <c r="FM402" s="692"/>
      <c r="FN402" s="694"/>
      <c r="FO402" s="694"/>
      <c r="FP402" s="694"/>
      <c r="FQ402" s="697"/>
    </row>
    <row r="403" spans="1:173" s="696" customFormat="1">
      <c r="A403" s="690"/>
      <c r="B403" s="690"/>
      <c r="C403" s="691" t="s">
        <v>3636</v>
      </c>
      <c r="D403" s="691"/>
      <c r="E403" s="692">
        <v>32.799999999999997</v>
      </c>
      <c r="F403" s="692"/>
      <c r="G403" s="692"/>
      <c r="H403" s="692"/>
      <c r="I403" s="692">
        <f t="shared" si="129"/>
        <v>32.799999999999997</v>
      </c>
      <c r="J403" s="692"/>
      <c r="K403" s="692"/>
      <c r="L403" s="692"/>
      <c r="M403" s="692"/>
      <c r="N403" s="692"/>
      <c r="O403" s="692"/>
      <c r="P403" s="692"/>
      <c r="Q403" s="692"/>
      <c r="R403" s="693"/>
      <c r="S403" s="693"/>
      <c r="T403" s="692"/>
      <c r="U403" s="692" t="s">
        <v>1631</v>
      </c>
      <c r="V403" s="692"/>
      <c r="W403" s="692"/>
      <c r="X403" s="692"/>
      <c r="Y403" s="692"/>
      <c r="Z403" s="692"/>
      <c r="AA403" s="692"/>
      <c r="AB403" s="692"/>
      <c r="AC403" s="692"/>
      <c r="AD403" s="692"/>
      <c r="AE403" s="725"/>
      <c r="AF403" s="957"/>
      <c r="AG403" s="692"/>
      <c r="AH403" s="692"/>
      <c r="AI403" s="692"/>
      <c r="AJ403" s="692"/>
      <c r="AK403" s="692"/>
      <c r="AL403" s="692"/>
      <c r="AM403" s="692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>
        <v>1</v>
      </c>
      <c r="AX403" s="692"/>
      <c r="AY403" s="692"/>
      <c r="AZ403" s="692"/>
      <c r="BA403" s="692"/>
      <c r="BB403" s="692"/>
      <c r="BC403" s="692"/>
      <c r="BD403" s="692"/>
      <c r="BE403" s="692"/>
      <c r="BF403" s="692"/>
      <c r="BG403" s="692"/>
      <c r="BH403" s="692"/>
      <c r="BI403" s="692"/>
      <c r="BJ403" s="692"/>
      <c r="BK403" s="692"/>
      <c r="BL403" s="692"/>
      <c r="BM403" s="692"/>
      <c r="BN403" s="692"/>
      <c r="BO403" s="692"/>
      <c r="BP403" s="692"/>
      <c r="BQ403" s="692"/>
      <c r="BR403" s="692"/>
      <c r="BS403" s="692"/>
      <c r="BT403" s="692"/>
      <c r="BU403" s="692"/>
      <c r="BV403" s="692"/>
      <c r="BW403" s="692"/>
      <c r="BX403" s="692"/>
      <c r="BY403" s="692"/>
      <c r="BZ403" s="692"/>
      <c r="CA403" s="692"/>
      <c r="CB403" s="692"/>
      <c r="CC403" s="692"/>
      <c r="CD403" s="692">
        <f t="shared" si="127"/>
        <v>0</v>
      </c>
      <c r="CE403" s="692"/>
      <c r="CF403" s="692"/>
      <c r="CG403" s="692"/>
      <c r="CH403" s="692"/>
      <c r="CI403" s="692"/>
      <c r="CJ403" s="692"/>
      <c r="CK403" s="692"/>
      <c r="CL403" s="692">
        <v>2</v>
      </c>
      <c r="CM403" s="692"/>
      <c r="CN403" s="692"/>
      <c r="CO403" s="692"/>
      <c r="CP403" s="692"/>
      <c r="CQ403" s="692"/>
      <c r="CR403" s="692"/>
      <c r="CS403" s="692"/>
      <c r="CT403" s="692"/>
      <c r="CU403" s="692"/>
      <c r="CV403" s="692"/>
      <c r="CW403" s="692"/>
      <c r="CX403" s="694"/>
      <c r="CY403" s="694"/>
      <c r="CZ403" s="694"/>
      <c r="DA403" s="694"/>
      <c r="DB403" s="694"/>
      <c r="DC403" s="694"/>
      <c r="DD403" s="694"/>
      <c r="DE403" s="694"/>
      <c r="DF403" s="694"/>
      <c r="DG403" s="695"/>
      <c r="DH403" s="695"/>
      <c r="DI403" s="695"/>
      <c r="DJ403" s="695"/>
      <c r="DK403" s="695"/>
      <c r="DL403" s="695"/>
      <c r="DM403" s="695"/>
      <c r="DN403" s="695"/>
      <c r="DO403" s="695"/>
      <c r="DP403" s="695"/>
      <c r="DQ403" s="695"/>
      <c r="DR403" s="695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4"/>
      <c r="FH403" s="694"/>
      <c r="FI403" s="694"/>
      <c r="FJ403" s="694"/>
      <c r="FK403" s="694"/>
      <c r="FL403" s="694"/>
      <c r="FM403" s="692"/>
      <c r="FN403" s="694"/>
      <c r="FO403" s="694"/>
      <c r="FP403" s="694"/>
      <c r="FQ403" s="697"/>
    </row>
    <row r="404" spans="1:173" s="696" customFormat="1">
      <c r="A404" s="690"/>
      <c r="B404" s="690"/>
      <c r="C404" s="691" t="s">
        <v>3637</v>
      </c>
      <c r="D404" s="691"/>
      <c r="E404" s="692">
        <v>31.2</v>
      </c>
      <c r="F404" s="692"/>
      <c r="G404" s="692"/>
      <c r="H404" s="692"/>
      <c r="I404" s="692">
        <f t="shared" si="129"/>
        <v>31.2</v>
      </c>
      <c r="J404" s="692"/>
      <c r="K404" s="692"/>
      <c r="L404" s="692"/>
      <c r="M404" s="692"/>
      <c r="N404" s="692"/>
      <c r="O404" s="692"/>
      <c r="P404" s="692"/>
      <c r="Q404" s="692"/>
      <c r="R404" s="693"/>
      <c r="S404" s="693"/>
      <c r="T404" s="692"/>
      <c r="U404" s="692" t="s">
        <v>1631</v>
      </c>
      <c r="V404" s="692"/>
      <c r="W404" s="692"/>
      <c r="X404" s="692"/>
      <c r="Y404" s="692"/>
      <c r="Z404" s="692"/>
      <c r="AA404" s="692"/>
      <c r="AB404" s="692"/>
      <c r="AC404" s="692"/>
      <c r="AD404" s="692"/>
      <c r="AE404" s="725"/>
      <c r="AF404" s="957"/>
      <c r="AG404" s="692"/>
      <c r="AH404" s="692"/>
      <c r="AI404" s="692"/>
      <c r="AJ404" s="692"/>
      <c r="AK404" s="692"/>
      <c r="AL404" s="692"/>
      <c r="AM404" s="692"/>
      <c r="AN404" s="692"/>
      <c r="AO404" s="692"/>
      <c r="AP404" s="692"/>
      <c r="AQ404" s="692"/>
      <c r="AR404" s="692"/>
      <c r="AS404" s="692"/>
      <c r="AT404" s="692"/>
      <c r="AU404" s="692"/>
      <c r="AV404" s="692"/>
      <c r="AW404" s="692">
        <v>1</v>
      </c>
      <c r="AX404" s="692"/>
      <c r="AY404" s="692"/>
      <c r="AZ404" s="692"/>
      <c r="BA404" s="692"/>
      <c r="BB404" s="692"/>
      <c r="BC404" s="692"/>
      <c r="BD404" s="692">
        <v>1</v>
      </c>
      <c r="BE404" s="692"/>
      <c r="BF404" s="692"/>
      <c r="BG404" s="692"/>
      <c r="BH404" s="692"/>
      <c r="BI404" s="692"/>
      <c r="BJ404" s="692"/>
      <c r="BK404" s="692"/>
      <c r="BL404" s="692"/>
      <c r="BM404" s="692"/>
      <c r="BN404" s="692"/>
      <c r="BO404" s="692"/>
      <c r="BP404" s="692"/>
      <c r="BQ404" s="692"/>
      <c r="BR404" s="692"/>
      <c r="BS404" s="692"/>
      <c r="BT404" s="692"/>
      <c r="BU404" s="692"/>
      <c r="BV404" s="692"/>
      <c r="BW404" s="692"/>
      <c r="BX404" s="692"/>
      <c r="BY404" s="692"/>
      <c r="BZ404" s="692"/>
      <c r="CA404" s="692"/>
      <c r="CB404" s="692"/>
      <c r="CC404" s="692"/>
      <c r="CD404" s="692">
        <f t="shared" si="127"/>
        <v>0</v>
      </c>
      <c r="CE404" s="692"/>
      <c r="CF404" s="692"/>
      <c r="CG404" s="692"/>
      <c r="CH404" s="692"/>
      <c r="CI404" s="692"/>
      <c r="CJ404" s="692"/>
      <c r="CK404" s="692"/>
      <c r="CL404" s="692">
        <v>4</v>
      </c>
      <c r="CM404" s="692"/>
      <c r="CN404" s="692"/>
      <c r="CO404" s="692"/>
      <c r="CP404" s="692"/>
      <c r="CQ404" s="692"/>
      <c r="CR404" s="692"/>
      <c r="CS404" s="692"/>
      <c r="CT404" s="692"/>
      <c r="CU404" s="692"/>
      <c r="CV404" s="692"/>
      <c r="CW404" s="692"/>
      <c r="CX404" s="694"/>
      <c r="CY404" s="694"/>
      <c r="CZ404" s="694">
        <v>1</v>
      </c>
      <c r="DA404" s="694"/>
      <c r="DB404" s="694"/>
      <c r="DC404" s="694"/>
      <c r="DD404" s="694"/>
      <c r="DE404" s="694"/>
      <c r="DF404" s="694"/>
      <c r="DG404" s="695"/>
      <c r="DH404" s="695"/>
      <c r="DI404" s="695"/>
      <c r="DJ404" s="695"/>
      <c r="DK404" s="695"/>
      <c r="DL404" s="695"/>
      <c r="DM404" s="695"/>
      <c r="DN404" s="695"/>
      <c r="DO404" s="695"/>
      <c r="DP404" s="695"/>
      <c r="DQ404" s="695"/>
      <c r="DR404" s="695"/>
      <c r="DS404" s="694"/>
      <c r="DT404" s="694"/>
      <c r="DU404" s="694"/>
      <c r="DV404" s="694"/>
      <c r="DW404" s="694"/>
      <c r="DX404" s="694"/>
      <c r="DY404" s="694"/>
      <c r="DZ404" s="694"/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4"/>
      <c r="FH404" s="694"/>
      <c r="FI404" s="694"/>
      <c r="FJ404" s="694"/>
      <c r="FK404" s="694"/>
      <c r="FL404" s="694"/>
      <c r="FM404" s="692"/>
      <c r="FN404" s="694"/>
      <c r="FO404" s="694"/>
      <c r="FP404" s="694"/>
      <c r="FQ404" s="697"/>
    </row>
    <row r="405" spans="1:173" s="696" customFormat="1">
      <c r="A405" s="690"/>
      <c r="B405" s="690"/>
      <c r="C405" s="691" t="s">
        <v>3638</v>
      </c>
      <c r="D405" s="691"/>
      <c r="E405" s="692">
        <v>26.6</v>
      </c>
      <c r="F405" s="692"/>
      <c r="G405" s="692"/>
      <c r="H405" s="692"/>
      <c r="I405" s="692">
        <f t="shared" si="129"/>
        <v>26.6</v>
      </c>
      <c r="J405" s="692"/>
      <c r="K405" s="692"/>
      <c r="L405" s="692"/>
      <c r="M405" s="692"/>
      <c r="N405" s="692"/>
      <c r="O405" s="692"/>
      <c r="P405" s="692"/>
      <c r="Q405" s="692"/>
      <c r="R405" s="693"/>
      <c r="S405" s="693"/>
      <c r="T405" s="692"/>
      <c r="U405" s="692" t="s">
        <v>2990</v>
      </c>
      <c r="V405" s="692"/>
      <c r="W405" s="692"/>
      <c r="X405" s="692"/>
      <c r="Y405" s="692"/>
      <c r="Z405" s="692"/>
      <c r="AA405" s="692"/>
      <c r="AB405" s="692"/>
      <c r="AC405" s="692"/>
      <c r="AD405" s="692"/>
      <c r="AE405" s="725"/>
      <c r="AF405" s="957"/>
      <c r="AG405" s="692"/>
      <c r="AH405" s="692"/>
      <c r="AI405" s="692"/>
      <c r="AJ405" s="692"/>
      <c r="AK405" s="692"/>
      <c r="AL405" s="692"/>
      <c r="AM405" s="692"/>
      <c r="AN405" s="692"/>
      <c r="AO405" s="692"/>
      <c r="AP405" s="692"/>
      <c r="AQ405" s="692"/>
      <c r="AR405" s="692"/>
      <c r="AS405" s="692"/>
      <c r="AT405" s="692"/>
      <c r="AU405" s="692"/>
      <c r="AV405" s="692"/>
      <c r="AW405" s="692"/>
      <c r="AX405" s="692"/>
      <c r="AY405" s="692"/>
      <c r="AZ405" s="692"/>
      <c r="BA405" s="692"/>
      <c r="BB405" s="692"/>
      <c r="BC405" s="692"/>
      <c r="BD405" s="692"/>
      <c r="BE405" s="692"/>
      <c r="BF405" s="692"/>
      <c r="BG405" s="692"/>
      <c r="BH405" s="692"/>
      <c r="BI405" s="692"/>
      <c r="BJ405" s="692"/>
      <c r="BK405" s="692"/>
      <c r="BL405" s="692"/>
      <c r="BM405" s="692"/>
      <c r="BN405" s="692"/>
      <c r="BO405" s="692"/>
      <c r="BP405" s="692"/>
      <c r="BQ405" s="692"/>
      <c r="BR405" s="692"/>
      <c r="BS405" s="692"/>
      <c r="BT405" s="692"/>
      <c r="BU405" s="692"/>
      <c r="BV405" s="692">
        <v>1</v>
      </c>
      <c r="BW405" s="692"/>
      <c r="BX405" s="692"/>
      <c r="BY405" s="692"/>
      <c r="BZ405" s="692"/>
      <c r="CA405" s="692"/>
      <c r="CB405" s="692"/>
      <c r="CC405" s="692"/>
      <c r="CD405" s="692">
        <f t="shared" si="127"/>
        <v>0</v>
      </c>
      <c r="CE405" s="692"/>
      <c r="CF405" s="692"/>
      <c r="CG405" s="692"/>
      <c r="CH405" s="692"/>
      <c r="CI405" s="692"/>
      <c r="CJ405" s="692"/>
      <c r="CK405" s="692"/>
      <c r="CL405" s="692">
        <v>2</v>
      </c>
      <c r="CM405" s="692"/>
      <c r="CN405" s="692"/>
      <c r="CO405" s="692"/>
      <c r="CP405" s="692"/>
      <c r="CQ405" s="692"/>
      <c r="CR405" s="692"/>
      <c r="CS405" s="692"/>
      <c r="CT405" s="692"/>
      <c r="CU405" s="692"/>
      <c r="CV405" s="692"/>
      <c r="CW405" s="692"/>
      <c r="CX405" s="694"/>
      <c r="CY405" s="694"/>
      <c r="CZ405" s="694"/>
      <c r="DA405" s="694"/>
      <c r="DB405" s="694"/>
      <c r="DC405" s="694"/>
      <c r="DD405" s="694"/>
      <c r="DE405" s="694"/>
      <c r="DF405" s="694"/>
      <c r="DG405" s="695"/>
      <c r="DH405" s="695"/>
      <c r="DI405" s="695"/>
      <c r="DJ405" s="695"/>
      <c r="DK405" s="695"/>
      <c r="DL405" s="695"/>
      <c r="DM405" s="695"/>
      <c r="DN405" s="695"/>
      <c r="DO405" s="695"/>
      <c r="DP405" s="695"/>
      <c r="DQ405" s="695"/>
      <c r="DR405" s="695"/>
      <c r="DS405" s="694"/>
      <c r="DT405" s="694"/>
      <c r="DU405" s="694"/>
      <c r="DV405" s="694"/>
      <c r="DW405" s="694"/>
      <c r="DX405" s="694"/>
      <c r="DY405" s="694"/>
      <c r="DZ405" s="694"/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4"/>
      <c r="FH405" s="694"/>
      <c r="FI405" s="694"/>
      <c r="FJ405" s="694"/>
      <c r="FK405" s="694"/>
      <c r="FL405" s="694"/>
      <c r="FM405" s="692"/>
      <c r="FN405" s="694"/>
      <c r="FO405" s="694"/>
      <c r="FP405" s="694"/>
      <c r="FQ405" s="697"/>
    </row>
    <row r="406" spans="1:173" s="696" customFormat="1">
      <c r="A406" s="690"/>
      <c r="B406" s="690"/>
      <c r="C406" s="691"/>
      <c r="D406" s="691"/>
      <c r="E406" s="692"/>
      <c r="F406" s="692"/>
      <c r="G406" s="692"/>
      <c r="H406" s="692"/>
      <c r="I406" s="692"/>
      <c r="J406" s="692"/>
      <c r="K406" s="692"/>
      <c r="L406" s="692"/>
      <c r="M406" s="692"/>
      <c r="N406" s="692"/>
      <c r="O406" s="692"/>
      <c r="P406" s="692"/>
      <c r="Q406" s="692"/>
      <c r="R406" s="693"/>
      <c r="S406" s="693"/>
      <c r="T406" s="692"/>
      <c r="U406" s="692"/>
      <c r="V406" s="692"/>
      <c r="W406" s="692"/>
      <c r="X406" s="692"/>
      <c r="Y406" s="692"/>
      <c r="Z406" s="692"/>
      <c r="AA406" s="692"/>
      <c r="AB406" s="692"/>
      <c r="AC406" s="692"/>
      <c r="AD406" s="692"/>
      <c r="AE406" s="725"/>
      <c r="AF406" s="957"/>
      <c r="AG406" s="692"/>
      <c r="AH406" s="692"/>
      <c r="AI406" s="692"/>
      <c r="AJ406" s="692"/>
      <c r="AK406" s="692"/>
      <c r="AL406" s="692"/>
      <c r="AM406" s="692"/>
      <c r="AN406" s="692"/>
      <c r="AO406" s="692"/>
      <c r="AP406" s="692"/>
      <c r="AQ406" s="692"/>
      <c r="AR406" s="692"/>
      <c r="AS406" s="692"/>
      <c r="AT406" s="692"/>
      <c r="AU406" s="692"/>
      <c r="AV406" s="692"/>
      <c r="AW406" s="692"/>
      <c r="AX406" s="692"/>
      <c r="AY406" s="692"/>
      <c r="AZ406" s="692"/>
      <c r="BA406" s="692"/>
      <c r="BB406" s="692"/>
      <c r="BC406" s="692"/>
      <c r="BD406" s="692"/>
      <c r="BE406" s="692"/>
      <c r="BF406" s="692"/>
      <c r="BG406" s="692"/>
      <c r="BH406" s="692"/>
      <c r="BI406" s="692"/>
      <c r="BJ406" s="692"/>
      <c r="BK406" s="692"/>
      <c r="BL406" s="692"/>
      <c r="BM406" s="692"/>
      <c r="BN406" s="692"/>
      <c r="BO406" s="692"/>
      <c r="BP406" s="692"/>
      <c r="BQ406" s="692"/>
      <c r="BR406" s="692"/>
      <c r="BS406" s="692"/>
      <c r="BT406" s="692"/>
      <c r="BU406" s="692"/>
      <c r="BV406" s="692"/>
      <c r="BW406" s="692"/>
      <c r="BX406" s="692"/>
      <c r="BY406" s="692"/>
      <c r="BZ406" s="692"/>
      <c r="CA406" s="692"/>
      <c r="CB406" s="692"/>
      <c r="CC406" s="692"/>
      <c r="CD406" s="692">
        <f t="shared" si="127"/>
        <v>0</v>
      </c>
      <c r="CE406" s="692"/>
      <c r="CF406" s="692"/>
      <c r="CG406" s="692"/>
      <c r="CH406" s="692"/>
      <c r="CI406" s="692"/>
      <c r="CJ406" s="692"/>
      <c r="CK406" s="692"/>
      <c r="CL406" s="692">
        <f t="shared" si="130"/>
        <v>0</v>
      </c>
      <c r="CM406" s="692"/>
      <c r="CN406" s="692"/>
      <c r="CO406" s="692"/>
      <c r="CP406" s="692"/>
      <c r="CQ406" s="692"/>
      <c r="CR406" s="692"/>
      <c r="CS406" s="692"/>
      <c r="CT406" s="692"/>
      <c r="CU406" s="692"/>
      <c r="CV406" s="692"/>
      <c r="CW406" s="692"/>
      <c r="CX406" s="694"/>
      <c r="CY406" s="694"/>
      <c r="CZ406" s="694"/>
      <c r="DA406" s="694"/>
      <c r="DB406" s="694"/>
      <c r="DC406" s="694"/>
      <c r="DD406" s="694"/>
      <c r="DE406" s="694"/>
      <c r="DF406" s="694"/>
      <c r="DG406" s="695"/>
      <c r="DH406" s="695"/>
      <c r="DI406" s="695"/>
      <c r="DJ406" s="695"/>
      <c r="DK406" s="695"/>
      <c r="DL406" s="695"/>
      <c r="DM406" s="695"/>
      <c r="DN406" s="695"/>
      <c r="DO406" s="695"/>
      <c r="DP406" s="695"/>
      <c r="DQ406" s="695"/>
      <c r="DR406" s="695"/>
      <c r="DS406" s="694"/>
      <c r="DT406" s="694"/>
      <c r="DU406" s="694"/>
      <c r="DV406" s="694"/>
      <c r="DW406" s="694"/>
      <c r="DX406" s="694"/>
      <c r="DY406" s="694"/>
      <c r="DZ406" s="694"/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4"/>
      <c r="FH406" s="694"/>
      <c r="FI406" s="694"/>
      <c r="FJ406" s="694"/>
      <c r="FK406" s="694"/>
      <c r="FL406" s="694"/>
      <c r="FM406" s="694"/>
      <c r="FN406" s="694"/>
      <c r="FO406" s="694"/>
      <c r="FP406" s="694"/>
      <c r="FQ406" s="697"/>
    </row>
    <row r="407" spans="1:173" s="696" customFormat="1">
      <c r="A407" s="690"/>
      <c r="B407" s="690"/>
      <c r="C407" s="691"/>
      <c r="D407" s="699" t="s">
        <v>3759</v>
      </c>
      <c r="E407" s="692"/>
      <c r="F407" s="692"/>
      <c r="G407" s="692"/>
      <c r="H407" s="692"/>
      <c r="I407" s="692"/>
      <c r="J407" s="692"/>
      <c r="K407" s="692"/>
      <c r="L407" s="692"/>
      <c r="M407" s="692"/>
      <c r="N407" s="692"/>
      <c r="O407" s="692"/>
      <c r="P407" s="692"/>
      <c r="Q407" s="692"/>
      <c r="R407" s="693"/>
      <c r="S407" s="693"/>
      <c r="T407" s="692"/>
      <c r="U407" s="692"/>
      <c r="V407" s="692"/>
      <c r="W407" s="692"/>
      <c r="X407" s="692"/>
      <c r="Y407" s="692"/>
      <c r="Z407" s="692"/>
      <c r="AA407" s="692"/>
      <c r="AB407" s="692"/>
      <c r="AC407" s="692"/>
      <c r="AD407" s="692"/>
      <c r="AE407" s="725"/>
      <c r="AF407" s="957"/>
      <c r="AG407" s="692"/>
      <c r="AH407" s="692"/>
      <c r="AI407" s="692"/>
      <c r="AJ407" s="692"/>
      <c r="AK407" s="692"/>
      <c r="AL407" s="692"/>
      <c r="AM407" s="692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/>
      <c r="AX407" s="692"/>
      <c r="AY407" s="692"/>
      <c r="AZ407" s="692"/>
      <c r="BA407" s="692"/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692"/>
      <c r="BL407" s="692"/>
      <c r="BM407" s="692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  <c r="BX407" s="692"/>
      <c r="BY407" s="692"/>
      <c r="BZ407" s="692"/>
      <c r="CA407" s="692"/>
      <c r="CB407" s="692"/>
      <c r="CC407" s="692"/>
      <c r="CD407" s="692">
        <f t="shared" si="127"/>
        <v>0</v>
      </c>
      <c r="CE407" s="692"/>
      <c r="CF407" s="692"/>
      <c r="CG407" s="692"/>
      <c r="CH407" s="692"/>
      <c r="CI407" s="692"/>
      <c r="CJ407" s="692"/>
      <c r="CK407" s="692"/>
      <c r="CL407" s="692">
        <f t="shared" si="130"/>
        <v>0</v>
      </c>
      <c r="CM407" s="692"/>
      <c r="CN407" s="692"/>
      <c r="CO407" s="692"/>
      <c r="CP407" s="692"/>
      <c r="CQ407" s="692"/>
      <c r="CR407" s="692"/>
      <c r="CS407" s="692"/>
      <c r="CT407" s="692"/>
      <c r="CU407" s="692"/>
      <c r="CV407" s="692"/>
      <c r="CW407" s="692"/>
      <c r="CX407" s="694"/>
      <c r="CY407" s="694"/>
      <c r="CZ407" s="694"/>
      <c r="DA407" s="694"/>
      <c r="DB407" s="694"/>
      <c r="DC407" s="694"/>
      <c r="DD407" s="694"/>
      <c r="DE407" s="694"/>
      <c r="DF407" s="694"/>
      <c r="DG407" s="695"/>
      <c r="DH407" s="695"/>
      <c r="DI407" s="695"/>
      <c r="DJ407" s="695"/>
      <c r="DK407" s="695"/>
      <c r="DL407" s="695"/>
      <c r="DM407" s="695"/>
      <c r="DN407" s="695"/>
      <c r="DO407" s="695"/>
      <c r="DP407" s="695"/>
      <c r="DQ407" s="695"/>
      <c r="DR407" s="695"/>
      <c r="DS407" s="694"/>
      <c r="DT407" s="694"/>
      <c r="DU407" s="694"/>
      <c r="DV407" s="694"/>
      <c r="DW407" s="694"/>
      <c r="DX407" s="694"/>
      <c r="DY407" s="694"/>
      <c r="DZ407" s="694"/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4"/>
      <c r="FH407" s="694"/>
      <c r="FI407" s="694"/>
      <c r="FJ407" s="694"/>
      <c r="FK407" s="694"/>
      <c r="FL407" s="694"/>
      <c r="FM407" s="694"/>
      <c r="FN407" s="694"/>
      <c r="FO407" s="694"/>
      <c r="FP407" s="694"/>
      <c r="FQ407" s="697"/>
    </row>
    <row r="408" spans="1:173" s="696" customFormat="1">
      <c r="A408" s="690"/>
      <c r="B408" s="690"/>
      <c r="C408" s="691" t="s">
        <v>3632</v>
      </c>
      <c r="D408" s="691"/>
      <c r="E408" s="692">
        <v>36.5</v>
      </c>
      <c r="F408" s="692"/>
      <c r="G408" s="692"/>
      <c r="H408" s="692"/>
      <c r="I408" s="692"/>
      <c r="J408" s="692"/>
      <c r="K408" s="692"/>
      <c r="L408" s="692"/>
      <c r="M408" s="692"/>
      <c r="N408" s="692"/>
      <c r="O408" s="692"/>
      <c r="P408" s="692">
        <f>E408</f>
        <v>36.5</v>
      </c>
      <c r="Q408" s="692"/>
      <c r="R408" s="693"/>
      <c r="S408" s="693"/>
      <c r="T408" s="692"/>
      <c r="U408" s="692" t="s">
        <v>1631</v>
      </c>
      <c r="V408" s="692"/>
      <c r="W408" s="692"/>
      <c r="X408" s="692"/>
      <c r="Y408" s="692"/>
      <c r="Z408" s="692"/>
      <c r="AA408" s="692"/>
      <c r="AB408" s="692"/>
      <c r="AC408" s="692"/>
      <c r="AD408" s="692"/>
      <c r="AE408" s="725"/>
      <c r="AF408" s="957"/>
      <c r="AG408" s="692"/>
      <c r="AH408" s="692"/>
      <c r="AI408" s="692"/>
      <c r="AJ408" s="692"/>
      <c r="AK408" s="692"/>
      <c r="AL408" s="692"/>
      <c r="AM408" s="692"/>
      <c r="AN408" s="692"/>
      <c r="AO408" s="692"/>
      <c r="AP408" s="692"/>
      <c r="AQ408" s="692"/>
      <c r="AR408" s="692"/>
      <c r="AS408" s="692"/>
      <c r="AT408" s="692"/>
      <c r="AU408" s="692"/>
      <c r="AV408" s="692"/>
      <c r="AW408" s="692"/>
      <c r="AX408" s="692"/>
      <c r="AY408" s="692"/>
      <c r="AZ408" s="692">
        <f>AW408+CB408+CC408</f>
        <v>0</v>
      </c>
      <c r="BA408" s="692"/>
      <c r="BB408" s="692"/>
      <c r="BC408" s="692"/>
      <c r="BD408" s="692"/>
      <c r="BE408" s="692">
        <v>2</v>
      </c>
      <c r="BF408" s="692"/>
      <c r="BG408" s="692"/>
      <c r="BH408" s="692"/>
      <c r="BI408" s="692"/>
      <c r="BJ408" s="692">
        <f>AU408*2+CB408*5</f>
        <v>0</v>
      </c>
      <c r="BK408" s="692"/>
      <c r="BL408" s="692"/>
      <c r="BM408" s="692"/>
      <c r="BN408" s="692"/>
      <c r="BO408" s="692"/>
      <c r="BP408" s="692"/>
      <c r="BQ408" s="692"/>
      <c r="BR408" s="692"/>
      <c r="BS408" s="692"/>
      <c r="BT408" s="692">
        <f>IF(U408="I",1,IF(U408="G",2,))</f>
        <v>1</v>
      </c>
      <c r="BU408" s="692"/>
      <c r="BV408" s="692"/>
      <c r="BW408" s="692"/>
      <c r="BX408" s="692"/>
      <c r="BY408" s="692"/>
      <c r="BZ408" s="692"/>
      <c r="CA408" s="692"/>
      <c r="CB408" s="692"/>
      <c r="CC408" s="692"/>
      <c r="CD408" s="692">
        <f t="shared" si="127"/>
        <v>0</v>
      </c>
      <c r="CE408" s="692"/>
      <c r="CF408" s="692"/>
      <c r="CG408" s="692"/>
      <c r="CH408" s="692"/>
      <c r="CI408" s="692"/>
      <c r="CJ408" s="692"/>
      <c r="CK408" s="692"/>
      <c r="CL408" s="692">
        <f t="shared" si="130"/>
        <v>0</v>
      </c>
      <c r="CM408" s="692"/>
      <c r="CN408" s="692"/>
      <c r="CO408" s="692"/>
      <c r="CP408" s="692"/>
      <c r="CQ408" s="692"/>
      <c r="CR408" s="692"/>
      <c r="CS408" s="692"/>
      <c r="CT408" s="692"/>
      <c r="CU408" s="692"/>
      <c r="CV408" s="692"/>
      <c r="CW408" s="692"/>
      <c r="CX408" s="694"/>
      <c r="CY408" s="694"/>
      <c r="CZ408" s="694"/>
      <c r="DA408" s="694"/>
      <c r="DB408" s="694"/>
      <c r="DC408" s="694"/>
      <c r="DD408" s="694"/>
      <c r="DE408" s="694"/>
      <c r="DF408" s="694"/>
      <c r="DG408" s="695"/>
      <c r="DH408" s="695"/>
      <c r="DI408" s="695"/>
      <c r="DJ408" s="695"/>
      <c r="DK408" s="695"/>
      <c r="DL408" s="695"/>
      <c r="DM408" s="695"/>
      <c r="DN408" s="695"/>
      <c r="DO408" s="695"/>
      <c r="DP408" s="695"/>
      <c r="DQ408" s="695"/>
      <c r="DR408" s="695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4"/>
      <c r="FH408" s="694"/>
      <c r="FI408" s="694"/>
      <c r="FJ408" s="694"/>
      <c r="FK408" s="694"/>
      <c r="FL408" s="694"/>
      <c r="FM408" s="694"/>
      <c r="FN408" s="694"/>
      <c r="FO408" s="694"/>
      <c r="FP408" s="694"/>
      <c r="FQ408" s="697"/>
    </row>
    <row r="409" spans="1:173" s="696" customFormat="1">
      <c r="A409" s="690"/>
      <c r="B409" s="690"/>
      <c r="C409" s="691" t="s">
        <v>3633</v>
      </c>
      <c r="D409" s="691"/>
      <c r="E409" s="692">
        <v>34.799999999999997</v>
      </c>
      <c r="F409" s="692"/>
      <c r="G409" s="692"/>
      <c r="H409" s="692"/>
      <c r="I409" s="692"/>
      <c r="J409" s="692"/>
      <c r="K409" s="692"/>
      <c r="L409" s="692"/>
      <c r="M409" s="692"/>
      <c r="N409" s="692"/>
      <c r="O409" s="692"/>
      <c r="P409" s="692">
        <f t="shared" ref="P409:P417" si="131">E409</f>
        <v>34.799999999999997</v>
      </c>
      <c r="Q409" s="692"/>
      <c r="R409" s="693"/>
      <c r="S409" s="693"/>
      <c r="T409" s="692"/>
      <c r="U409" s="692" t="s">
        <v>1631</v>
      </c>
      <c r="V409" s="692"/>
      <c r="W409" s="692"/>
      <c r="X409" s="692"/>
      <c r="Y409" s="692"/>
      <c r="Z409" s="692"/>
      <c r="AA409" s="692"/>
      <c r="AB409" s="692"/>
      <c r="AC409" s="692"/>
      <c r="AD409" s="692"/>
      <c r="AE409" s="725"/>
      <c r="AF409" s="957"/>
      <c r="AG409" s="692"/>
      <c r="AH409" s="692"/>
      <c r="AI409" s="692"/>
      <c r="AJ409" s="692"/>
      <c r="AK409" s="692"/>
      <c r="AL409" s="692"/>
      <c r="AM409" s="692"/>
      <c r="AN409" s="692"/>
      <c r="AO409" s="692"/>
      <c r="AP409" s="692"/>
      <c r="AQ409" s="692"/>
      <c r="AR409" s="692"/>
      <c r="AS409" s="692"/>
      <c r="AT409" s="692"/>
      <c r="AU409" s="692"/>
      <c r="AV409" s="692"/>
      <c r="AW409" s="692"/>
      <c r="AX409" s="692"/>
      <c r="AY409" s="692"/>
      <c r="AZ409" s="692">
        <f t="shared" ref="AZ409:AZ428" si="132">AW409+CB409+CC409</f>
        <v>0</v>
      </c>
      <c r="BA409" s="692"/>
      <c r="BB409" s="692"/>
      <c r="BC409" s="692"/>
      <c r="BD409" s="692">
        <v>1</v>
      </c>
      <c r="BE409" s="692"/>
      <c r="BF409" s="692"/>
      <c r="BG409" s="692"/>
      <c r="BH409" s="692"/>
      <c r="BI409" s="692"/>
      <c r="BJ409" s="692">
        <f t="shared" ref="BJ409:BJ428" si="133">AU409*2+CB409*5</f>
        <v>0</v>
      </c>
      <c r="BK409" s="692"/>
      <c r="BL409" s="692"/>
      <c r="BM409" s="692"/>
      <c r="BN409" s="692"/>
      <c r="BO409" s="692"/>
      <c r="BP409" s="692"/>
      <c r="BQ409" s="692"/>
      <c r="BR409" s="692"/>
      <c r="BS409" s="692"/>
      <c r="BT409" s="692">
        <f t="shared" ref="BT409:BT428" si="134">IF(U409="I",1,IF(U409="G",2,))</f>
        <v>1</v>
      </c>
      <c r="BU409" s="692"/>
      <c r="BV409" s="692"/>
      <c r="BW409" s="692"/>
      <c r="BX409" s="692"/>
      <c r="BY409" s="692"/>
      <c r="BZ409" s="692"/>
      <c r="CA409" s="692"/>
      <c r="CB409" s="692"/>
      <c r="CC409" s="692"/>
      <c r="CD409" s="692">
        <f t="shared" si="127"/>
        <v>0</v>
      </c>
      <c r="CE409" s="692"/>
      <c r="CF409" s="692"/>
      <c r="CG409" s="692"/>
      <c r="CH409" s="692"/>
      <c r="CI409" s="692"/>
      <c r="CJ409" s="692"/>
      <c r="CK409" s="692"/>
      <c r="CL409" s="692">
        <f t="shared" si="130"/>
        <v>0</v>
      </c>
      <c r="CM409" s="692"/>
      <c r="CN409" s="692"/>
      <c r="CO409" s="692"/>
      <c r="CP409" s="692"/>
      <c r="CQ409" s="692"/>
      <c r="CR409" s="692"/>
      <c r="CS409" s="692"/>
      <c r="CT409" s="692"/>
      <c r="CU409" s="692"/>
      <c r="CV409" s="692"/>
      <c r="CW409" s="692"/>
      <c r="CX409" s="694"/>
      <c r="CY409" s="694"/>
      <c r="CZ409" s="694"/>
      <c r="DA409" s="694"/>
      <c r="DB409" s="694"/>
      <c r="DC409" s="694"/>
      <c r="DD409" s="694"/>
      <c r="DE409" s="694"/>
      <c r="DF409" s="694"/>
      <c r="DG409" s="695"/>
      <c r="DH409" s="695"/>
      <c r="DI409" s="695"/>
      <c r="DJ409" s="695"/>
      <c r="DK409" s="695"/>
      <c r="DL409" s="695"/>
      <c r="DM409" s="695"/>
      <c r="DN409" s="695"/>
      <c r="DO409" s="695"/>
      <c r="DP409" s="695"/>
      <c r="DQ409" s="695"/>
      <c r="DR409" s="695"/>
      <c r="DS409" s="694"/>
      <c r="DT409" s="694"/>
      <c r="DU409" s="694"/>
      <c r="DV409" s="694"/>
      <c r="DW409" s="694"/>
      <c r="DX409" s="694"/>
      <c r="DY409" s="694"/>
      <c r="DZ409" s="694"/>
      <c r="EA409" s="694"/>
      <c r="EB409" s="694"/>
      <c r="EC409" s="694"/>
      <c r="ED409" s="694"/>
      <c r="EE409" s="694"/>
      <c r="EF409" s="694"/>
      <c r="EG409" s="694"/>
      <c r="EH409" s="694"/>
      <c r="EI409" s="694"/>
      <c r="EJ409" s="694"/>
      <c r="EK409" s="694"/>
      <c r="EL409" s="694"/>
      <c r="EM409" s="694"/>
      <c r="EN409" s="694"/>
      <c r="EO409" s="694"/>
      <c r="EP409" s="694"/>
      <c r="EQ409" s="694"/>
      <c r="ER409" s="694"/>
      <c r="ES409" s="694"/>
      <c r="ET409" s="694"/>
      <c r="EU409" s="694"/>
      <c r="EV409" s="694"/>
      <c r="EW409" s="694"/>
      <c r="EX409" s="694"/>
      <c r="EY409" s="694"/>
      <c r="EZ409" s="694"/>
      <c r="FA409" s="694"/>
      <c r="FB409" s="694"/>
      <c r="FC409" s="694"/>
      <c r="FD409" s="694"/>
      <c r="FE409" s="694"/>
      <c r="FF409" s="694"/>
      <c r="FG409" s="694"/>
      <c r="FH409" s="694"/>
      <c r="FI409" s="694"/>
      <c r="FJ409" s="694"/>
      <c r="FK409" s="694"/>
      <c r="FL409" s="694"/>
      <c r="FM409" s="694"/>
      <c r="FN409" s="694"/>
      <c r="FO409" s="694"/>
      <c r="FP409" s="694"/>
      <c r="FQ409" s="697"/>
    </row>
    <row r="410" spans="1:173" s="696" customFormat="1">
      <c r="A410" s="690"/>
      <c r="B410" s="690"/>
      <c r="C410" s="691" t="s">
        <v>3634</v>
      </c>
      <c r="D410" s="691"/>
      <c r="E410" s="692">
        <v>27.1</v>
      </c>
      <c r="F410" s="692"/>
      <c r="G410" s="692"/>
      <c r="H410" s="692"/>
      <c r="I410" s="692"/>
      <c r="J410" s="692"/>
      <c r="K410" s="692"/>
      <c r="L410" s="692"/>
      <c r="M410" s="692"/>
      <c r="N410" s="692"/>
      <c r="O410" s="692"/>
      <c r="P410" s="692">
        <f t="shared" si="131"/>
        <v>27.1</v>
      </c>
      <c r="Q410" s="692"/>
      <c r="R410" s="693"/>
      <c r="S410" s="693"/>
      <c r="T410" s="692"/>
      <c r="U410" s="692" t="s">
        <v>3718</v>
      </c>
      <c r="V410" s="692"/>
      <c r="W410" s="692"/>
      <c r="X410" s="692"/>
      <c r="Y410" s="692"/>
      <c r="Z410" s="692"/>
      <c r="AA410" s="692"/>
      <c r="AB410" s="692"/>
      <c r="AC410" s="692"/>
      <c r="AD410" s="692"/>
      <c r="AE410" s="725"/>
      <c r="AF410" s="957"/>
      <c r="AG410" s="692"/>
      <c r="AH410" s="692"/>
      <c r="AI410" s="692"/>
      <c r="AJ410" s="692"/>
      <c r="AK410" s="692"/>
      <c r="AL410" s="692"/>
      <c r="AM410" s="692"/>
      <c r="AN410" s="692"/>
      <c r="AO410" s="692"/>
      <c r="AP410" s="692"/>
      <c r="AQ410" s="692"/>
      <c r="AR410" s="692"/>
      <c r="AS410" s="692"/>
      <c r="AT410" s="692"/>
      <c r="AU410" s="692">
        <v>1</v>
      </c>
      <c r="AV410" s="692"/>
      <c r="AW410" s="692">
        <v>1</v>
      </c>
      <c r="AX410" s="692"/>
      <c r="AY410" s="692"/>
      <c r="AZ410" s="692">
        <f t="shared" si="132"/>
        <v>2</v>
      </c>
      <c r="BA410" s="692"/>
      <c r="BB410" s="692"/>
      <c r="BC410" s="692"/>
      <c r="BD410" s="692">
        <v>3</v>
      </c>
      <c r="BE410" s="692"/>
      <c r="BF410" s="692"/>
      <c r="BG410" s="692"/>
      <c r="BH410" s="692"/>
      <c r="BI410" s="692"/>
      <c r="BJ410" s="692">
        <f t="shared" si="133"/>
        <v>7</v>
      </c>
      <c r="BK410" s="692"/>
      <c r="BL410" s="692"/>
      <c r="BM410" s="692"/>
      <c r="BN410" s="692"/>
      <c r="BO410" s="692"/>
      <c r="BP410" s="692"/>
      <c r="BQ410" s="692"/>
      <c r="BR410" s="692"/>
      <c r="BS410" s="692"/>
      <c r="BT410" s="692">
        <f t="shared" si="134"/>
        <v>0</v>
      </c>
      <c r="BU410" s="692"/>
      <c r="BV410" s="692"/>
      <c r="BW410" s="692"/>
      <c r="BX410" s="692"/>
      <c r="BY410" s="692">
        <v>3</v>
      </c>
      <c r="BZ410" s="692"/>
      <c r="CA410" s="692"/>
      <c r="CB410" s="692">
        <v>1</v>
      </c>
      <c r="CC410" s="692"/>
      <c r="CD410" s="692">
        <f t="shared" si="127"/>
        <v>4</v>
      </c>
      <c r="CE410" s="692"/>
      <c r="CF410" s="692"/>
      <c r="CG410" s="692"/>
      <c r="CH410" s="692"/>
      <c r="CI410" s="692"/>
      <c r="CJ410" s="692"/>
      <c r="CK410" s="692"/>
      <c r="CL410" s="692">
        <f t="shared" si="130"/>
        <v>0</v>
      </c>
      <c r="CM410" s="692"/>
      <c r="CN410" s="692"/>
      <c r="CO410" s="692"/>
      <c r="CP410" s="692"/>
      <c r="CQ410" s="692"/>
      <c r="CR410" s="692"/>
      <c r="CS410" s="692"/>
      <c r="CT410" s="692"/>
      <c r="CU410" s="692"/>
      <c r="CV410" s="692"/>
      <c r="CW410" s="692"/>
      <c r="CX410" s="694"/>
      <c r="CY410" s="694"/>
      <c r="CZ410" s="694"/>
      <c r="DA410" s="694"/>
      <c r="DB410" s="694"/>
      <c r="DC410" s="694"/>
      <c r="DD410" s="694"/>
      <c r="DE410" s="694"/>
      <c r="DF410" s="694"/>
      <c r="DG410" s="695"/>
      <c r="DH410" s="695"/>
      <c r="DI410" s="695"/>
      <c r="DJ410" s="695"/>
      <c r="DK410" s="695"/>
      <c r="DL410" s="695"/>
      <c r="DM410" s="695"/>
      <c r="DN410" s="695"/>
      <c r="DO410" s="695"/>
      <c r="DP410" s="695"/>
      <c r="DQ410" s="695"/>
      <c r="DR410" s="695"/>
      <c r="DS410" s="694"/>
      <c r="DT410" s="694"/>
      <c r="DU410" s="694"/>
      <c r="DV410" s="694"/>
      <c r="DW410" s="694"/>
      <c r="DX410" s="694"/>
      <c r="DY410" s="694"/>
      <c r="DZ410" s="694"/>
      <c r="EA410" s="694"/>
      <c r="EB410" s="694"/>
      <c r="EC410" s="694"/>
      <c r="ED410" s="694"/>
      <c r="EE410" s="694"/>
      <c r="EF410" s="694"/>
      <c r="EG410" s="694"/>
      <c r="EH410" s="694"/>
      <c r="EI410" s="694"/>
      <c r="EJ410" s="694"/>
      <c r="EK410" s="694"/>
      <c r="EL410" s="694"/>
      <c r="EM410" s="694"/>
      <c r="EN410" s="694"/>
      <c r="EO410" s="694"/>
      <c r="EP410" s="694"/>
      <c r="EQ410" s="694"/>
      <c r="ER410" s="694"/>
      <c r="ES410" s="694"/>
      <c r="ET410" s="694"/>
      <c r="EU410" s="694"/>
      <c r="EV410" s="694"/>
      <c r="EW410" s="694"/>
      <c r="EX410" s="694"/>
      <c r="EY410" s="694"/>
      <c r="EZ410" s="694"/>
      <c r="FA410" s="694"/>
      <c r="FB410" s="694"/>
      <c r="FC410" s="694"/>
      <c r="FD410" s="694"/>
      <c r="FE410" s="694"/>
      <c r="FF410" s="694"/>
      <c r="FG410" s="694"/>
      <c r="FH410" s="694"/>
      <c r="FI410" s="694"/>
      <c r="FJ410" s="694"/>
      <c r="FK410" s="694"/>
      <c r="FL410" s="694"/>
      <c r="FM410" s="694"/>
      <c r="FN410" s="694"/>
      <c r="FO410" s="694"/>
      <c r="FP410" s="694"/>
      <c r="FQ410" s="697"/>
    </row>
    <row r="411" spans="1:173" s="696" customFormat="1">
      <c r="A411" s="690"/>
      <c r="B411" s="690"/>
      <c r="C411" s="691" t="s">
        <v>3635</v>
      </c>
      <c r="D411" s="691"/>
      <c r="E411" s="692">
        <v>40.5</v>
      </c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>
        <f t="shared" si="131"/>
        <v>40.5</v>
      </c>
      <c r="Q411" s="692"/>
      <c r="R411" s="693"/>
      <c r="S411" s="693"/>
      <c r="T411" s="692"/>
      <c r="U411" s="692" t="s">
        <v>1631</v>
      </c>
      <c r="V411" s="692"/>
      <c r="W411" s="692"/>
      <c r="X411" s="692"/>
      <c r="Y411" s="692"/>
      <c r="Z411" s="692"/>
      <c r="AA411" s="692"/>
      <c r="AB411" s="692"/>
      <c r="AC411" s="692"/>
      <c r="AD411" s="692"/>
      <c r="AE411" s="725"/>
      <c r="AF411" s="957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>
        <v>1</v>
      </c>
      <c r="AX411" s="692"/>
      <c r="AY411" s="692"/>
      <c r="AZ411" s="692">
        <f t="shared" si="132"/>
        <v>2</v>
      </c>
      <c r="BA411" s="692"/>
      <c r="BB411" s="692"/>
      <c r="BC411" s="692"/>
      <c r="BD411" s="692">
        <v>1</v>
      </c>
      <c r="BE411" s="692"/>
      <c r="BF411" s="692"/>
      <c r="BG411" s="692"/>
      <c r="BH411" s="692"/>
      <c r="BI411" s="692"/>
      <c r="BJ411" s="692">
        <f t="shared" si="133"/>
        <v>5</v>
      </c>
      <c r="BK411" s="692"/>
      <c r="BL411" s="692"/>
      <c r="BM411" s="692"/>
      <c r="BN411" s="692"/>
      <c r="BO411" s="692"/>
      <c r="BP411" s="692"/>
      <c r="BQ411" s="692"/>
      <c r="BR411" s="692"/>
      <c r="BS411" s="692"/>
      <c r="BT411" s="692">
        <f t="shared" si="134"/>
        <v>1</v>
      </c>
      <c r="BU411" s="692"/>
      <c r="BV411" s="692"/>
      <c r="BW411" s="692"/>
      <c r="BX411" s="692"/>
      <c r="BY411" s="692"/>
      <c r="BZ411" s="692"/>
      <c r="CA411" s="692"/>
      <c r="CB411" s="692">
        <v>1</v>
      </c>
      <c r="CC411" s="692"/>
      <c r="CD411" s="692">
        <f t="shared" si="127"/>
        <v>4</v>
      </c>
      <c r="CE411" s="692"/>
      <c r="CF411" s="692"/>
      <c r="CG411" s="692"/>
      <c r="CH411" s="692"/>
      <c r="CI411" s="692"/>
      <c r="CJ411" s="692"/>
      <c r="CK411" s="692"/>
      <c r="CL411" s="692">
        <f t="shared" si="130"/>
        <v>0</v>
      </c>
      <c r="CM411" s="692"/>
      <c r="CN411" s="692"/>
      <c r="CO411" s="692"/>
      <c r="CP411" s="692"/>
      <c r="CQ411" s="692"/>
      <c r="CR411" s="692"/>
      <c r="CS411" s="692"/>
      <c r="CT411" s="692"/>
      <c r="CU411" s="692"/>
      <c r="CV411" s="692"/>
      <c r="CW411" s="692"/>
      <c r="CX411" s="694"/>
      <c r="CY411" s="694"/>
      <c r="CZ411" s="694"/>
      <c r="DA411" s="694"/>
      <c r="DB411" s="694"/>
      <c r="DC411" s="694"/>
      <c r="DD411" s="694"/>
      <c r="DE411" s="694"/>
      <c r="DF411" s="694"/>
      <c r="DG411" s="695"/>
      <c r="DH411" s="695"/>
      <c r="DI411" s="695"/>
      <c r="DJ411" s="695"/>
      <c r="DK411" s="695"/>
      <c r="DL411" s="695"/>
      <c r="DM411" s="695"/>
      <c r="DN411" s="695"/>
      <c r="DO411" s="695"/>
      <c r="DP411" s="695"/>
      <c r="DQ411" s="695"/>
      <c r="DR411" s="695"/>
      <c r="DS411" s="694"/>
      <c r="DT411" s="694"/>
      <c r="DU411" s="694"/>
      <c r="DV411" s="694"/>
      <c r="DW411" s="694"/>
      <c r="DX411" s="694"/>
      <c r="DY411" s="694"/>
      <c r="DZ411" s="694"/>
      <c r="EA411" s="694"/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/>
      <c r="FA411" s="694"/>
      <c r="FB411" s="694"/>
      <c r="FC411" s="694"/>
      <c r="FD411" s="694"/>
      <c r="FE411" s="694"/>
      <c r="FF411" s="694"/>
      <c r="FG411" s="694"/>
      <c r="FH411" s="694"/>
      <c r="FI411" s="694"/>
      <c r="FJ411" s="694"/>
      <c r="FK411" s="694"/>
      <c r="FL411" s="694"/>
      <c r="FM411" s="694"/>
      <c r="FN411" s="694"/>
      <c r="FO411" s="694"/>
      <c r="FP411" s="694"/>
      <c r="FQ411" s="697"/>
    </row>
    <row r="412" spans="1:173" s="696" customFormat="1">
      <c r="A412" s="690"/>
      <c r="B412" s="690"/>
      <c r="C412" s="691" t="s">
        <v>3636</v>
      </c>
      <c r="D412" s="691"/>
      <c r="E412" s="692">
        <v>35.6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>
        <f t="shared" si="131"/>
        <v>35.6</v>
      </c>
      <c r="Q412" s="692"/>
      <c r="R412" s="693"/>
      <c r="S412" s="693"/>
      <c r="T412" s="692"/>
      <c r="U412" s="692" t="s">
        <v>1631</v>
      </c>
      <c r="V412" s="692"/>
      <c r="W412" s="692"/>
      <c r="X412" s="692"/>
      <c r="Y412" s="692"/>
      <c r="Z412" s="692"/>
      <c r="AA412" s="692"/>
      <c r="AB412" s="692"/>
      <c r="AC412" s="692"/>
      <c r="AD412" s="692"/>
      <c r="AE412" s="725"/>
      <c r="AF412" s="957"/>
      <c r="AG412" s="692"/>
      <c r="AH412" s="692"/>
      <c r="AI412" s="692"/>
      <c r="AJ412" s="692"/>
      <c r="AK412" s="692"/>
      <c r="AL412" s="692"/>
      <c r="AM412" s="692"/>
      <c r="AN412" s="692"/>
      <c r="AO412" s="692"/>
      <c r="AP412" s="692"/>
      <c r="AQ412" s="692"/>
      <c r="AR412" s="692"/>
      <c r="AS412" s="692"/>
      <c r="AT412" s="692"/>
      <c r="AU412" s="692"/>
      <c r="AV412" s="692"/>
      <c r="AW412" s="692">
        <v>1</v>
      </c>
      <c r="AX412" s="692"/>
      <c r="AY412" s="692"/>
      <c r="AZ412" s="692">
        <f t="shared" si="132"/>
        <v>2</v>
      </c>
      <c r="BA412" s="692"/>
      <c r="BB412" s="692"/>
      <c r="BC412" s="692"/>
      <c r="BD412" s="692">
        <v>1</v>
      </c>
      <c r="BE412" s="692"/>
      <c r="BF412" s="692"/>
      <c r="BG412" s="692"/>
      <c r="BH412" s="692"/>
      <c r="BI412" s="692"/>
      <c r="BJ412" s="692">
        <f t="shared" si="133"/>
        <v>5</v>
      </c>
      <c r="BK412" s="692"/>
      <c r="BL412" s="692"/>
      <c r="BM412" s="692"/>
      <c r="BN412" s="692"/>
      <c r="BO412" s="692"/>
      <c r="BP412" s="692"/>
      <c r="BQ412" s="692"/>
      <c r="BR412" s="692"/>
      <c r="BS412" s="692"/>
      <c r="BT412" s="692">
        <f t="shared" si="134"/>
        <v>1</v>
      </c>
      <c r="BU412" s="692"/>
      <c r="BV412" s="692"/>
      <c r="BW412" s="692"/>
      <c r="BX412" s="692"/>
      <c r="BY412" s="692"/>
      <c r="BZ412" s="692"/>
      <c r="CA412" s="692"/>
      <c r="CB412" s="692">
        <v>1</v>
      </c>
      <c r="CC412" s="692"/>
      <c r="CD412" s="692">
        <f t="shared" si="127"/>
        <v>4</v>
      </c>
      <c r="CE412" s="692"/>
      <c r="CF412" s="692"/>
      <c r="CG412" s="692"/>
      <c r="CH412" s="692"/>
      <c r="CI412" s="692"/>
      <c r="CJ412" s="692"/>
      <c r="CK412" s="692"/>
      <c r="CL412" s="692">
        <f t="shared" si="130"/>
        <v>0</v>
      </c>
      <c r="CM412" s="692"/>
      <c r="CN412" s="692"/>
      <c r="CO412" s="692"/>
      <c r="CP412" s="692"/>
      <c r="CQ412" s="692"/>
      <c r="CR412" s="692"/>
      <c r="CS412" s="692"/>
      <c r="CT412" s="692"/>
      <c r="CU412" s="692"/>
      <c r="CV412" s="692"/>
      <c r="CW412" s="692"/>
      <c r="CX412" s="694"/>
      <c r="CY412" s="694"/>
      <c r="CZ412" s="694"/>
      <c r="DA412" s="694"/>
      <c r="DB412" s="694"/>
      <c r="DC412" s="694"/>
      <c r="DD412" s="694"/>
      <c r="DE412" s="694"/>
      <c r="DF412" s="694"/>
      <c r="DG412" s="695"/>
      <c r="DH412" s="695"/>
      <c r="DI412" s="695"/>
      <c r="DJ412" s="695"/>
      <c r="DK412" s="695"/>
      <c r="DL412" s="695"/>
      <c r="DM412" s="695"/>
      <c r="DN412" s="695"/>
      <c r="DO412" s="695"/>
      <c r="DP412" s="695"/>
      <c r="DQ412" s="695"/>
      <c r="DR412" s="695"/>
      <c r="DS412" s="694"/>
      <c r="DT412" s="694"/>
      <c r="DU412" s="694"/>
      <c r="DV412" s="694"/>
      <c r="DW412" s="694"/>
      <c r="DX412" s="694"/>
      <c r="DY412" s="694"/>
      <c r="DZ412" s="694"/>
      <c r="EA412" s="694"/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4"/>
      <c r="FH412" s="694"/>
      <c r="FI412" s="694"/>
      <c r="FJ412" s="694"/>
      <c r="FK412" s="694"/>
      <c r="FL412" s="694"/>
      <c r="FM412" s="694"/>
      <c r="FN412" s="694"/>
      <c r="FO412" s="694"/>
      <c r="FP412" s="694"/>
      <c r="FQ412" s="697"/>
    </row>
    <row r="413" spans="1:173" s="696" customFormat="1">
      <c r="A413" s="690"/>
      <c r="B413" s="690"/>
      <c r="C413" s="691" t="s">
        <v>3637</v>
      </c>
      <c r="D413" s="691"/>
      <c r="E413" s="692">
        <v>42.2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>
        <f t="shared" si="131"/>
        <v>42.2</v>
      </c>
      <c r="Q413" s="692"/>
      <c r="R413" s="693"/>
      <c r="S413" s="693"/>
      <c r="T413" s="692"/>
      <c r="U413" s="692" t="s">
        <v>1631</v>
      </c>
      <c r="V413" s="692"/>
      <c r="W413" s="692"/>
      <c r="X413" s="692"/>
      <c r="Y413" s="692"/>
      <c r="Z413" s="692"/>
      <c r="AA413" s="692"/>
      <c r="AB413" s="692"/>
      <c r="AC413" s="692"/>
      <c r="AD413" s="692"/>
      <c r="AE413" s="725"/>
      <c r="AF413" s="957"/>
      <c r="AG413" s="692"/>
      <c r="AH413" s="692"/>
      <c r="AI413" s="692"/>
      <c r="AJ413" s="692"/>
      <c r="AK413" s="692"/>
      <c r="AL413" s="692"/>
      <c r="AM413" s="692"/>
      <c r="AN413" s="692"/>
      <c r="AO413" s="692"/>
      <c r="AP413" s="692"/>
      <c r="AQ413" s="692"/>
      <c r="AR413" s="692"/>
      <c r="AS413" s="692"/>
      <c r="AT413" s="692"/>
      <c r="AU413" s="692"/>
      <c r="AV413" s="692"/>
      <c r="AW413" s="692">
        <v>1</v>
      </c>
      <c r="AX413" s="692"/>
      <c r="AY413" s="692"/>
      <c r="AZ413" s="692">
        <f t="shared" si="132"/>
        <v>2</v>
      </c>
      <c r="BA413" s="692"/>
      <c r="BB413" s="692"/>
      <c r="BC413" s="692"/>
      <c r="BD413" s="692">
        <v>1</v>
      </c>
      <c r="BE413" s="692"/>
      <c r="BF413" s="692"/>
      <c r="BG413" s="692"/>
      <c r="BH413" s="692"/>
      <c r="BI413" s="692"/>
      <c r="BJ413" s="692">
        <f t="shared" si="133"/>
        <v>5</v>
      </c>
      <c r="BK413" s="692"/>
      <c r="BL413" s="692"/>
      <c r="BM413" s="692"/>
      <c r="BN413" s="692"/>
      <c r="BO413" s="692"/>
      <c r="BP413" s="692"/>
      <c r="BQ413" s="692"/>
      <c r="BR413" s="692"/>
      <c r="BS413" s="692"/>
      <c r="BT413" s="692">
        <f t="shared" si="134"/>
        <v>1</v>
      </c>
      <c r="BU413" s="692"/>
      <c r="BV413" s="692"/>
      <c r="BW413" s="692"/>
      <c r="BX413" s="692"/>
      <c r="BY413" s="692"/>
      <c r="BZ413" s="692"/>
      <c r="CA413" s="692"/>
      <c r="CB413" s="692">
        <v>1</v>
      </c>
      <c r="CC413" s="692"/>
      <c r="CD413" s="692">
        <f t="shared" si="127"/>
        <v>4</v>
      </c>
      <c r="CE413" s="692"/>
      <c r="CF413" s="692"/>
      <c r="CG413" s="692"/>
      <c r="CH413" s="692"/>
      <c r="CI413" s="692"/>
      <c r="CJ413" s="692"/>
      <c r="CK413" s="692"/>
      <c r="CL413" s="692">
        <f t="shared" si="130"/>
        <v>0</v>
      </c>
      <c r="CM413" s="692"/>
      <c r="CN413" s="692"/>
      <c r="CO413" s="692"/>
      <c r="CP413" s="692"/>
      <c r="CQ413" s="692"/>
      <c r="CR413" s="692"/>
      <c r="CS413" s="692"/>
      <c r="CT413" s="692"/>
      <c r="CU413" s="692"/>
      <c r="CV413" s="692"/>
      <c r="CW413" s="692"/>
      <c r="CX413" s="694"/>
      <c r="CY413" s="694"/>
      <c r="CZ413" s="694"/>
      <c r="DA413" s="694"/>
      <c r="DB413" s="694"/>
      <c r="DC413" s="694"/>
      <c r="DD413" s="694"/>
      <c r="DE413" s="694"/>
      <c r="DF413" s="694"/>
      <c r="DG413" s="695"/>
      <c r="DH413" s="695"/>
      <c r="DI413" s="695"/>
      <c r="DJ413" s="695"/>
      <c r="DK413" s="695"/>
      <c r="DL413" s="695"/>
      <c r="DM413" s="695"/>
      <c r="DN413" s="695"/>
      <c r="DO413" s="695"/>
      <c r="DP413" s="695"/>
      <c r="DQ413" s="695"/>
      <c r="DR413" s="695"/>
      <c r="DS413" s="694"/>
      <c r="DT413" s="694"/>
      <c r="DU413" s="694"/>
      <c r="DV413" s="694"/>
      <c r="DW413" s="694"/>
      <c r="DX413" s="694"/>
      <c r="DY413" s="694"/>
      <c r="DZ413" s="694"/>
      <c r="EA413" s="694"/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4"/>
      <c r="FH413" s="694"/>
      <c r="FI413" s="694"/>
      <c r="FJ413" s="694"/>
      <c r="FK413" s="694"/>
      <c r="FL413" s="694"/>
      <c r="FM413" s="694"/>
      <c r="FN413" s="694"/>
      <c r="FO413" s="694"/>
      <c r="FP413" s="694"/>
      <c r="FQ413" s="697"/>
    </row>
    <row r="414" spans="1:173" s="696" customFormat="1">
      <c r="A414" s="690"/>
      <c r="B414" s="690"/>
      <c r="C414" s="691" t="s">
        <v>3638</v>
      </c>
      <c r="D414" s="691"/>
      <c r="E414" s="692">
        <v>29.1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>
        <f t="shared" si="131"/>
        <v>29.1</v>
      </c>
      <c r="Q414" s="692"/>
      <c r="R414" s="693"/>
      <c r="S414" s="693"/>
      <c r="T414" s="692"/>
      <c r="U414" s="692" t="s">
        <v>1631</v>
      </c>
      <c r="V414" s="692"/>
      <c r="W414" s="692"/>
      <c r="X414" s="692"/>
      <c r="Y414" s="692"/>
      <c r="Z414" s="692"/>
      <c r="AA414" s="692"/>
      <c r="AB414" s="692"/>
      <c r="AC414" s="692"/>
      <c r="AD414" s="692"/>
      <c r="AE414" s="725"/>
      <c r="AF414" s="957"/>
      <c r="AG414" s="692"/>
      <c r="AH414" s="692"/>
      <c r="AI414" s="692"/>
      <c r="AJ414" s="692"/>
      <c r="AK414" s="692"/>
      <c r="AL414" s="692"/>
      <c r="AM414" s="692"/>
      <c r="AN414" s="692"/>
      <c r="AO414" s="692"/>
      <c r="AP414" s="692"/>
      <c r="AQ414" s="692"/>
      <c r="AR414" s="692"/>
      <c r="AS414" s="692"/>
      <c r="AT414" s="692"/>
      <c r="AU414" s="692"/>
      <c r="AV414" s="692"/>
      <c r="AW414" s="692">
        <v>1</v>
      </c>
      <c r="AX414" s="692"/>
      <c r="AY414" s="692"/>
      <c r="AZ414" s="692">
        <f t="shared" si="132"/>
        <v>2</v>
      </c>
      <c r="BA414" s="692"/>
      <c r="BB414" s="692"/>
      <c r="BC414" s="692"/>
      <c r="BD414" s="692">
        <v>1</v>
      </c>
      <c r="BE414" s="692"/>
      <c r="BF414" s="692"/>
      <c r="BG414" s="692"/>
      <c r="BH414" s="692"/>
      <c r="BI414" s="692"/>
      <c r="BJ414" s="692">
        <f t="shared" si="133"/>
        <v>5</v>
      </c>
      <c r="BK414" s="692"/>
      <c r="BL414" s="692"/>
      <c r="BM414" s="692"/>
      <c r="BN414" s="692"/>
      <c r="BO414" s="692"/>
      <c r="BP414" s="692"/>
      <c r="BQ414" s="692"/>
      <c r="BR414" s="692"/>
      <c r="BS414" s="692"/>
      <c r="BT414" s="692">
        <f t="shared" si="134"/>
        <v>1</v>
      </c>
      <c r="BU414" s="692"/>
      <c r="BV414" s="692"/>
      <c r="BW414" s="692"/>
      <c r="BX414" s="692"/>
      <c r="BY414" s="692"/>
      <c r="BZ414" s="692"/>
      <c r="CA414" s="692"/>
      <c r="CB414" s="692">
        <v>1</v>
      </c>
      <c r="CC414" s="692"/>
      <c r="CD414" s="692">
        <f t="shared" si="127"/>
        <v>4</v>
      </c>
      <c r="CE414" s="692"/>
      <c r="CF414" s="692"/>
      <c r="CG414" s="692"/>
      <c r="CH414" s="692"/>
      <c r="CI414" s="692"/>
      <c r="CJ414" s="692"/>
      <c r="CK414" s="692"/>
      <c r="CL414" s="692">
        <f t="shared" si="130"/>
        <v>0</v>
      </c>
      <c r="CM414" s="692"/>
      <c r="CN414" s="692"/>
      <c r="CO414" s="692"/>
      <c r="CP414" s="692"/>
      <c r="CQ414" s="692"/>
      <c r="CR414" s="692"/>
      <c r="CS414" s="692"/>
      <c r="CT414" s="692"/>
      <c r="CU414" s="692"/>
      <c r="CV414" s="692"/>
      <c r="CW414" s="692"/>
      <c r="CX414" s="694"/>
      <c r="CY414" s="694"/>
      <c r="CZ414" s="694"/>
      <c r="DA414" s="694"/>
      <c r="DB414" s="694"/>
      <c r="DC414" s="694"/>
      <c r="DD414" s="694"/>
      <c r="DE414" s="694"/>
      <c r="DF414" s="694"/>
      <c r="DG414" s="695"/>
      <c r="DH414" s="695"/>
      <c r="DI414" s="695"/>
      <c r="DJ414" s="695"/>
      <c r="DK414" s="695"/>
      <c r="DL414" s="695"/>
      <c r="DM414" s="695"/>
      <c r="DN414" s="695"/>
      <c r="DO414" s="695"/>
      <c r="DP414" s="695"/>
      <c r="DQ414" s="695"/>
      <c r="DR414" s="695"/>
      <c r="DS414" s="694"/>
      <c r="DT414" s="694"/>
      <c r="DU414" s="694"/>
      <c r="DV414" s="694"/>
      <c r="DW414" s="694"/>
      <c r="DX414" s="694"/>
      <c r="DY414" s="694"/>
      <c r="DZ414" s="694"/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4"/>
      <c r="FH414" s="694"/>
      <c r="FI414" s="694"/>
      <c r="FJ414" s="694"/>
      <c r="FK414" s="694"/>
      <c r="FL414" s="694"/>
      <c r="FM414" s="694"/>
      <c r="FN414" s="694"/>
      <c r="FO414" s="694"/>
      <c r="FP414" s="694"/>
      <c r="FQ414" s="697"/>
    </row>
    <row r="415" spans="1:173" s="696" customFormat="1">
      <c r="A415" s="690"/>
      <c r="B415" s="690"/>
      <c r="C415" s="691" t="s">
        <v>3639</v>
      </c>
      <c r="D415" s="699"/>
      <c r="E415" s="692">
        <v>33.6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>
        <f t="shared" si="131"/>
        <v>33.6</v>
      </c>
      <c r="Q415" s="692"/>
      <c r="R415" s="693"/>
      <c r="S415" s="693"/>
      <c r="T415" s="692"/>
      <c r="U415" s="692" t="s">
        <v>1631</v>
      </c>
      <c r="V415" s="692"/>
      <c r="W415" s="692"/>
      <c r="X415" s="692"/>
      <c r="Y415" s="692"/>
      <c r="Z415" s="692"/>
      <c r="AA415" s="692"/>
      <c r="AB415" s="692"/>
      <c r="AC415" s="692"/>
      <c r="AD415" s="692"/>
      <c r="AE415" s="725"/>
      <c r="AF415" s="957"/>
      <c r="AG415" s="692"/>
      <c r="AH415" s="692"/>
      <c r="AI415" s="692"/>
      <c r="AJ415" s="692"/>
      <c r="AK415" s="692"/>
      <c r="AL415" s="692"/>
      <c r="AM415" s="692"/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/>
      <c r="AX415" s="692"/>
      <c r="AY415" s="692"/>
      <c r="AZ415" s="692">
        <f t="shared" si="132"/>
        <v>1</v>
      </c>
      <c r="BA415" s="692"/>
      <c r="BB415" s="692"/>
      <c r="BC415" s="692"/>
      <c r="BD415" s="692">
        <v>1</v>
      </c>
      <c r="BE415" s="692"/>
      <c r="BF415" s="692"/>
      <c r="BG415" s="692"/>
      <c r="BH415" s="692"/>
      <c r="BI415" s="692"/>
      <c r="BJ415" s="692">
        <f t="shared" si="133"/>
        <v>5</v>
      </c>
      <c r="BK415" s="692"/>
      <c r="BL415" s="692"/>
      <c r="BM415" s="692"/>
      <c r="BN415" s="692"/>
      <c r="BO415" s="692"/>
      <c r="BP415" s="692"/>
      <c r="BQ415" s="692"/>
      <c r="BR415" s="692"/>
      <c r="BS415" s="692"/>
      <c r="BT415" s="692">
        <f t="shared" si="134"/>
        <v>1</v>
      </c>
      <c r="BU415" s="692"/>
      <c r="BV415" s="692"/>
      <c r="BW415" s="692"/>
      <c r="BX415" s="692"/>
      <c r="BY415" s="692"/>
      <c r="BZ415" s="692"/>
      <c r="CA415" s="692"/>
      <c r="CB415" s="692">
        <v>1</v>
      </c>
      <c r="CC415" s="692"/>
      <c r="CD415" s="692">
        <f t="shared" si="127"/>
        <v>4</v>
      </c>
      <c r="CE415" s="692"/>
      <c r="CF415" s="692"/>
      <c r="CG415" s="692"/>
      <c r="CH415" s="692"/>
      <c r="CI415" s="692"/>
      <c r="CJ415" s="692"/>
      <c r="CK415" s="692"/>
      <c r="CL415" s="692">
        <f t="shared" si="130"/>
        <v>0</v>
      </c>
      <c r="CM415" s="692"/>
      <c r="CN415" s="692"/>
      <c r="CO415" s="692"/>
      <c r="CP415" s="692"/>
      <c r="CQ415" s="692"/>
      <c r="CR415" s="692"/>
      <c r="CS415" s="692"/>
      <c r="CT415" s="692"/>
      <c r="CU415" s="692"/>
      <c r="CV415" s="692"/>
      <c r="CW415" s="692"/>
      <c r="CX415" s="694"/>
      <c r="CY415" s="694"/>
      <c r="CZ415" s="694"/>
      <c r="DA415" s="694"/>
      <c r="DB415" s="694"/>
      <c r="DC415" s="694"/>
      <c r="DD415" s="694"/>
      <c r="DE415" s="694"/>
      <c r="DF415" s="694"/>
      <c r="DG415" s="695"/>
      <c r="DH415" s="695"/>
      <c r="DI415" s="695"/>
      <c r="DJ415" s="695"/>
      <c r="DK415" s="695"/>
      <c r="DL415" s="695"/>
      <c r="DM415" s="695"/>
      <c r="DN415" s="695"/>
      <c r="DO415" s="695"/>
      <c r="DP415" s="695"/>
      <c r="DQ415" s="695"/>
      <c r="DR415" s="695"/>
      <c r="DS415" s="694"/>
      <c r="DT415" s="694"/>
      <c r="DU415" s="694"/>
      <c r="DV415" s="694"/>
      <c r="DW415" s="694"/>
      <c r="DX415" s="694"/>
      <c r="DY415" s="694"/>
      <c r="DZ415" s="694"/>
      <c r="EA415" s="694"/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4"/>
      <c r="FH415" s="694"/>
      <c r="FI415" s="694"/>
      <c r="FJ415" s="694"/>
      <c r="FK415" s="694"/>
      <c r="FL415" s="694"/>
      <c r="FM415" s="694"/>
      <c r="FN415" s="694"/>
      <c r="FO415" s="694"/>
      <c r="FP415" s="694"/>
      <c r="FQ415" s="697"/>
    </row>
    <row r="416" spans="1:173" s="696" customFormat="1">
      <c r="A416" s="690"/>
      <c r="B416" s="690"/>
      <c r="C416" s="691" t="s">
        <v>3640</v>
      </c>
      <c r="D416" s="691"/>
      <c r="E416" s="692">
        <v>33.700000000000003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>
        <f t="shared" si="131"/>
        <v>33.700000000000003</v>
      </c>
      <c r="Q416" s="692"/>
      <c r="R416" s="693"/>
      <c r="S416" s="693"/>
      <c r="T416" s="692"/>
      <c r="U416" s="692" t="s">
        <v>1631</v>
      </c>
      <c r="V416" s="692"/>
      <c r="W416" s="692"/>
      <c r="X416" s="692"/>
      <c r="Y416" s="692"/>
      <c r="Z416" s="692"/>
      <c r="AA416" s="692"/>
      <c r="AB416" s="692"/>
      <c r="AC416" s="692"/>
      <c r="AD416" s="692"/>
      <c r="AE416" s="725"/>
      <c r="AF416" s="957"/>
      <c r="AG416" s="692"/>
      <c r="AH416" s="692"/>
      <c r="AI416" s="692"/>
      <c r="AJ416" s="692"/>
      <c r="AK416" s="692"/>
      <c r="AL416" s="692"/>
      <c r="AM416" s="692"/>
      <c r="AN416" s="692"/>
      <c r="AO416" s="692"/>
      <c r="AP416" s="692"/>
      <c r="AQ416" s="692"/>
      <c r="AR416" s="692"/>
      <c r="AS416" s="692"/>
      <c r="AT416" s="692"/>
      <c r="AU416" s="692">
        <v>1</v>
      </c>
      <c r="AV416" s="692"/>
      <c r="AW416" s="692"/>
      <c r="AX416" s="692"/>
      <c r="AY416" s="692"/>
      <c r="AZ416" s="692">
        <f t="shared" si="132"/>
        <v>0</v>
      </c>
      <c r="BA416" s="692"/>
      <c r="BB416" s="692"/>
      <c r="BC416" s="692"/>
      <c r="BD416" s="692">
        <v>1</v>
      </c>
      <c r="BE416" s="692"/>
      <c r="BF416" s="692"/>
      <c r="BG416" s="692"/>
      <c r="BH416" s="692"/>
      <c r="BI416" s="692"/>
      <c r="BJ416" s="692">
        <f t="shared" si="133"/>
        <v>2</v>
      </c>
      <c r="BK416" s="692"/>
      <c r="BL416" s="692"/>
      <c r="BM416" s="692"/>
      <c r="BN416" s="692"/>
      <c r="BO416" s="692"/>
      <c r="BP416" s="692"/>
      <c r="BQ416" s="692"/>
      <c r="BR416" s="692"/>
      <c r="BS416" s="692"/>
      <c r="BT416" s="692">
        <f t="shared" si="134"/>
        <v>1</v>
      </c>
      <c r="BU416" s="692"/>
      <c r="BV416" s="692"/>
      <c r="BW416" s="692"/>
      <c r="BX416" s="692"/>
      <c r="BY416" s="692"/>
      <c r="BZ416" s="692"/>
      <c r="CA416" s="692"/>
      <c r="CB416" s="692"/>
      <c r="CC416" s="692"/>
      <c r="CD416" s="692">
        <f t="shared" si="127"/>
        <v>0</v>
      </c>
      <c r="CE416" s="692"/>
      <c r="CF416" s="692"/>
      <c r="CG416" s="692"/>
      <c r="CH416" s="692"/>
      <c r="CI416" s="692"/>
      <c r="CJ416" s="692"/>
      <c r="CK416" s="692"/>
      <c r="CL416" s="692">
        <f t="shared" si="130"/>
        <v>0</v>
      </c>
      <c r="CM416" s="692"/>
      <c r="CN416" s="692"/>
      <c r="CO416" s="692"/>
      <c r="CP416" s="692"/>
      <c r="CQ416" s="692"/>
      <c r="CR416" s="692"/>
      <c r="CS416" s="692"/>
      <c r="CT416" s="692"/>
      <c r="CU416" s="692"/>
      <c r="CV416" s="692"/>
      <c r="CW416" s="692"/>
      <c r="CX416" s="694"/>
      <c r="CY416" s="694"/>
      <c r="CZ416" s="694"/>
      <c r="DA416" s="694"/>
      <c r="DB416" s="694"/>
      <c r="DC416" s="694"/>
      <c r="DD416" s="694"/>
      <c r="DE416" s="694"/>
      <c r="DF416" s="694"/>
      <c r="DG416" s="695"/>
      <c r="DH416" s="695"/>
      <c r="DI416" s="695"/>
      <c r="DJ416" s="695"/>
      <c r="DK416" s="695"/>
      <c r="DL416" s="695"/>
      <c r="DM416" s="695"/>
      <c r="DN416" s="695"/>
      <c r="DO416" s="695"/>
      <c r="DP416" s="695"/>
      <c r="DQ416" s="695"/>
      <c r="DR416" s="695"/>
      <c r="DS416" s="694"/>
      <c r="DT416" s="694"/>
      <c r="DU416" s="694"/>
      <c r="DV416" s="694"/>
      <c r="DW416" s="694"/>
      <c r="DX416" s="694"/>
      <c r="DY416" s="694"/>
      <c r="DZ416" s="694"/>
      <c r="EA416" s="694"/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4"/>
      <c r="FH416" s="694"/>
      <c r="FI416" s="694"/>
      <c r="FJ416" s="694"/>
      <c r="FK416" s="694"/>
      <c r="FL416" s="694"/>
      <c r="FM416" s="694"/>
      <c r="FN416" s="694"/>
      <c r="FO416" s="694"/>
      <c r="FP416" s="694"/>
      <c r="FQ416" s="697"/>
    </row>
    <row r="417" spans="1:173" s="696" customFormat="1">
      <c r="A417" s="690"/>
      <c r="B417" s="690"/>
      <c r="C417" s="691" t="s">
        <v>3641</v>
      </c>
      <c r="D417" s="699"/>
      <c r="E417" s="692">
        <v>34.4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>
        <f t="shared" si="131"/>
        <v>34.4</v>
      </c>
      <c r="Q417" s="692"/>
      <c r="R417" s="693"/>
      <c r="S417" s="693"/>
      <c r="T417" s="692"/>
      <c r="U417" s="692" t="s">
        <v>2990</v>
      </c>
      <c r="V417" s="692"/>
      <c r="W417" s="692"/>
      <c r="X417" s="692"/>
      <c r="Y417" s="692"/>
      <c r="Z417" s="692"/>
      <c r="AA417" s="692"/>
      <c r="AB417" s="692"/>
      <c r="AC417" s="692"/>
      <c r="AD417" s="692"/>
      <c r="AE417" s="725"/>
      <c r="AF417" s="957"/>
      <c r="AG417" s="692"/>
      <c r="AH417" s="692"/>
      <c r="AI417" s="692"/>
      <c r="AJ417" s="692"/>
      <c r="AK417" s="692"/>
      <c r="AL417" s="692"/>
      <c r="AM417" s="692"/>
      <c r="AN417" s="692"/>
      <c r="AO417" s="692"/>
      <c r="AP417" s="692"/>
      <c r="AQ417" s="692"/>
      <c r="AR417" s="692"/>
      <c r="AS417" s="692"/>
      <c r="AT417" s="692"/>
      <c r="AU417" s="692"/>
      <c r="AV417" s="692"/>
      <c r="AW417" s="692">
        <v>1</v>
      </c>
      <c r="AX417" s="692"/>
      <c r="AY417" s="692"/>
      <c r="AZ417" s="692">
        <f t="shared" si="132"/>
        <v>2</v>
      </c>
      <c r="BA417" s="692"/>
      <c r="BB417" s="692"/>
      <c r="BC417" s="692"/>
      <c r="BD417" s="692">
        <v>1</v>
      </c>
      <c r="BE417" s="692"/>
      <c r="BF417" s="692"/>
      <c r="BG417" s="692"/>
      <c r="BH417" s="692"/>
      <c r="BI417" s="692"/>
      <c r="BJ417" s="692">
        <f t="shared" si="133"/>
        <v>5</v>
      </c>
      <c r="BK417" s="692"/>
      <c r="BL417" s="692"/>
      <c r="BM417" s="692"/>
      <c r="BN417" s="692"/>
      <c r="BO417" s="692"/>
      <c r="BP417" s="692"/>
      <c r="BQ417" s="692"/>
      <c r="BR417" s="692"/>
      <c r="BS417" s="692"/>
      <c r="BT417" s="692">
        <f t="shared" si="134"/>
        <v>0</v>
      </c>
      <c r="BU417" s="692"/>
      <c r="BV417" s="692"/>
      <c r="BW417" s="692"/>
      <c r="BX417" s="692"/>
      <c r="BY417" s="692">
        <v>1</v>
      </c>
      <c r="BZ417" s="692"/>
      <c r="CA417" s="692"/>
      <c r="CB417" s="692">
        <v>1</v>
      </c>
      <c r="CC417" s="692"/>
      <c r="CD417" s="692">
        <f t="shared" si="127"/>
        <v>4</v>
      </c>
      <c r="CE417" s="692"/>
      <c r="CF417" s="692"/>
      <c r="CG417" s="692"/>
      <c r="CH417" s="692"/>
      <c r="CI417" s="692"/>
      <c r="CJ417" s="692"/>
      <c r="CK417" s="692"/>
      <c r="CL417" s="692">
        <f t="shared" si="130"/>
        <v>0</v>
      </c>
      <c r="CM417" s="692"/>
      <c r="CN417" s="692"/>
      <c r="CO417" s="692"/>
      <c r="CP417" s="692"/>
      <c r="CQ417" s="692"/>
      <c r="CR417" s="692"/>
      <c r="CS417" s="692"/>
      <c r="CT417" s="692"/>
      <c r="CU417" s="692"/>
      <c r="CV417" s="692"/>
      <c r="CW417" s="692"/>
      <c r="CX417" s="694"/>
      <c r="CY417" s="694"/>
      <c r="CZ417" s="694"/>
      <c r="DA417" s="694"/>
      <c r="DB417" s="694"/>
      <c r="DC417" s="694"/>
      <c r="DD417" s="694"/>
      <c r="DE417" s="694"/>
      <c r="DF417" s="694"/>
      <c r="DG417" s="695"/>
      <c r="DH417" s="695"/>
      <c r="DI417" s="695"/>
      <c r="DJ417" s="695"/>
      <c r="DK417" s="695"/>
      <c r="DL417" s="695"/>
      <c r="DM417" s="695"/>
      <c r="DN417" s="695"/>
      <c r="DO417" s="695"/>
      <c r="DP417" s="695"/>
      <c r="DQ417" s="695"/>
      <c r="DR417" s="695"/>
      <c r="DS417" s="694"/>
      <c r="DT417" s="694"/>
      <c r="DU417" s="694"/>
      <c r="DV417" s="694"/>
      <c r="DW417" s="694"/>
      <c r="DX417" s="694"/>
      <c r="DY417" s="694"/>
      <c r="DZ417" s="694"/>
      <c r="EA417" s="694"/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4"/>
      <c r="FH417" s="694"/>
      <c r="FI417" s="694"/>
      <c r="FJ417" s="694"/>
      <c r="FK417" s="694"/>
      <c r="FL417" s="694"/>
      <c r="FM417" s="694"/>
      <c r="FN417" s="694"/>
      <c r="FO417" s="694"/>
      <c r="FP417" s="694"/>
      <c r="FQ417" s="697"/>
    </row>
    <row r="418" spans="1:173" s="696" customFormat="1">
      <c r="A418" s="690"/>
      <c r="B418" s="690"/>
      <c r="C418" s="691" t="s">
        <v>3647</v>
      </c>
      <c r="D418" s="691"/>
      <c r="E418" s="692">
        <v>39.799999999999997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>
        <f>E418</f>
        <v>39.799999999999997</v>
      </c>
      <c r="P418" s="692"/>
      <c r="Q418" s="692"/>
      <c r="R418" s="693"/>
      <c r="S418" s="693"/>
      <c r="T418" s="692"/>
      <c r="U418" s="692" t="s">
        <v>1631</v>
      </c>
      <c r="V418" s="692"/>
      <c r="W418" s="692"/>
      <c r="X418" s="692"/>
      <c r="Y418" s="692"/>
      <c r="Z418" s="692"/>
      <c r="AA418" s="692"/>
      <c r="AB418" s="692"/>
      <c r="AC418" s="692"/>
      <c r="AD418" s="692"/>
      <c r="AE418" s="725"/>
      <c r="AF418" s="957"/>
      <c r="AG418" s="692"/>
      <c r="AH418" s="692"/>
      <c r="AI418" s="692"/>
      <c r="AJ418" s="692"/>
      <c r="AK418" s="692"/>
      <c r="AL418" s="692"/>
      <c r="AM418" s="692"/>
      <c r="AN418" s="692"/>
      <c r="AO418" s="692"/>
      <c r="AP418" s="692"/>
      <c r="AQ418" s="692"/>
      <c r="AR418" s="692"/>
      <c r="AS418" s="692"/>
      <c r="AT418" s="692"/>
      <c r="AU418" s="692"/>
      <c r="AV418" s="692"/>
      <c r="AW418" s="692"/>
      <c r="AX418" s="692"/>
      <c r="AY418" s="692"/>
      <c r="AZ418" s="692">
        <f t="shared" si="132"/>
        <v>1</v>
      </c>
      <c r="BA418" s="692"/>
      <c r="BB418" s="692"/>
      <c r="BC418" s="692"/>
      <c r="BD418" s="692">
        <v>1</v>
      </c>
      <c r="BE418" s="692"/>
      <c r="BF418" s="692"/>
      <c r="BG418" s="692"/>
      <c r="BH418" s="692"/>
      <c r="BI418" s="692"/>
      <c r="BJ418" s="692">
        <f t="shared" si="133"/>
        <v>5</v>
      </c>
      <c r="BK418" s="692"/>
      <c r="BL418" s="692"/>
      <c r="BM418" s="692"/>
      <c r="BN418" s="692"/>
      <c r="BO418" s="692"/>
      <c r="BP418" s="692"/>
      <c r="BQ418" s="692"/>
      <c r="BR418" s="692"/>
      <c r="BS418" s="692"/>
      <c r="BT418" s="692">
        <f t="shared" si="134"/>
        <v>1</v>
      </c>
      <c r="BU418" s="692"/>
      <c r="BV418" s="692"/>
      <c r="BW418" s="692"/>
      <c r="BX418" s="692"/>
      <c r="BY418" s="692"/>
      <c r="BZ418" s="692"/>
      <c r="CA418" s="692"/>
      <c r="CB418" s="692">
        <v>1</v>
      </c>
      <c r="CC418" s="692"/>
      <c r="CD418" s="692">
        <f t="shared" si="127"/>
        <v>4</v>
      </c>
      <c r="CE418" s="692"/>
      <c r="CF418" s="692"/>
      <c r="CG418" s="692"/>
      <c r="CH418" s="692"/>
      <c r="CI418" s="692"/>
      <c r="CJ418" s="692"/>
      <c r="CK418" s="692"/>
      <c r="CL418" s="692">
        <f t="shared" si="130"/>
        <v>0</v>
      </c>
      <c r="CM418" s="692"/>
      <c r="CN418" s="692"/>
      <c r="CO418" s="692"/>
      <c r="CP418" s="692"/>
      <c r="CQ418" s="692"/>
      <c r="CR418" s="692"/>
      <c r="CS418" s="692"/>
      <c r="CT418" s="692"/>
      <c r="CU418" s="692"/>
      <c r="CV418" s="692"/>
      <c r="CW418" s="692"/>
      <c r="CX418" s="694"/>
      <c r="CY418" s="694"/>
      <c r="CZ418" s="694"/>
      <c r="DA418" s="694"/>
      <c r="DB418" s="694"/>
      <c r="DC418" s="694"/>
      <c r="DD418" s="694"/>
      <c r="DE418" s="694"/>
      <c r="DF418" s="694"/>
      <c r="DG418" s="695"/>
      <c r="DH418" s="695"/>
      <c r="DI418" s="695"/>
      <c r="DJ418" s="695"/>
      <c r="DK418" s="695"/>
      <c r="DL418" s="695"/>
      <c r="DM418" s="695"/>
      <c r="DN418" s="695"/>
      <c r="DO418" s="695"/>
      <c r="DP418" s="695"/>
      <c r="DQ418" s="695"/>
      <c r="DR418" s="695"/>
      <c r="DS418" s="694"/>
      <c r="DT418" s="694"/>
      <c r="DU418" s="694"/>
      <c r="DV418" s="694"/>
      <c r="DW418" s="694"/>
      <c r="DX418" s="694"/>
      <c r="DY418" s="694"/>
      <c r="DZ418" s="694"/>
      <c r="EA418" s="694"/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4"/>
      <c r="FH418" s="694"/>
      <c r="FI418" s="694"/>
      <c r="FJ418" s="694"/>
      <c r="FK418" s="694"/>
      <c r="FL418" s="694"/>
      <c r="FM418" s="694"/>
      <c r="FN418" s="694"/>
      <c r="FO418" s="694"/>
      <c r="FP418" s="694"/>
      <c r="FQ418" s="697"/>
    </row>
    <row r="419" spans="1:173" s="696" customFormat="1">
      <c r="A419" s="690"/>
      <c r="B419" s="690"/>
      <c r="C419" s="691" t="s">
        <v>3648</v>
      </c>
      <c r="D419" s="691"/>
      <c r="E419" s="692">
        <v>35</v>
      </c>
      <c r="F419" s="692"/>
      <c r="G419" s="692"/>
      <c r="H419" s="692"/>
      <c r="I419" s="692"/>
      <c r="J419" s="692"/>
      <c r="K419" s="692"/>
      <c r="L419" s="692"/>
      <c r="M419" s="692"/>
      <c r="N419" s="692"/>
      <c r="O419" s="692">
        <f t="shared" ref="O419:O428" si="135">E419</f>
        <v>35</v>
      </c>
      <c r="P419" s="692"/>
      <c r="Q419" s="692"/>
      <c r="R419" s="693"/>
      <c r="S419" s="693"/>
      <c r="T419" s="692"/>
      <c r="U419" s="692" t="s">
        <v>1631</v>
      </c>
      <c r="V419" s="692"/>
      <c r="W419" s="692"/>
      <c r="X419" s="692"/>
      <c r="Y419" s="692"/>
      <c r="Z419" s="692"/>
      <c r="AA419" s="692"/>
      <c r="AB419" s="692"/>
      <c r="AC419" s="692"/>
      <c r="AD419" s="692"/>
      <c r="AE419" s="725"/>
      <c r="AF419" s="957"/>
      <c r="AG419" s="692"/>
      <c r="AH419" s="692"/>
      <c r="AI419" s="692"/>
      <c r="AJ419" s="692"/>
      <c r="AK419" s="692"/>
      <c r="AL419" s="692"/>
      <c r="AM419" s="692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>
        <v>1</v>
      </c>
      <c r="AX419" s="692"/>
      <c r="AY419" s="692"/>
      <c r="AZ419" s="692">
        <f t="shared" si="132"/>
        <v>2</v>
      </c>
      <c r="BA419" s="692"/>
      <c r="BB419" s="692"/>
      <c r="BC419" s="692"/>
      <c r="BD419" s="692">
        <v>1</v>
      </c>
      <c r="BE419" s="692"/>
      <c r="BF419" s="692"/>
      <c r="BG419" s="692"/>
      <c r="BH419" s="692"/>
      <c r="BI419" s="692"/>
      <c r="BJ419" s="692">
        <f t="shared" si="133"/>
        <v>5</v>
      </c>
      <c r="BK419" s="692"/>
      <c r="BL419" s="692"/>
      <c r="BM419" s="692"/>
      <c r="BN419" s="692"/>
      <c r="BO419" s="692"/>
      <c r="BP419" s="692"/>
      <c r="BQ419" s="692"/>
      <c r="BR419" s="692"/>
      <c r="BS419" s="692"/>
      <c r="BT419" s="692">
        <f t="shared" si="134"/>
        <v>1</v>
      </c>
      <c r="BU419" s="692"/>
      <c r="BV419" s="692"/>
      <c r="BW419" s="692"/>
      <c r="BX419" s="692"/>
      <c r="BY419" s="692"/>
      <c r="BZ419" s="692"/>
      <c r="CA419" s="692"/>
      <c r="CB419" s="692">
        <v>1</v>
      </c>
      <c r="CC419" s="692"/>
      <c r="CD419" s="692">
        <f t="shared" si="127"/>
        <v>4</v>
      </c>
      <c r="CE419" s="692"/>
      <c r="CF419" s="692"/>
      <c r="CG419" s="692"/>
      <c r="CH419" s="692"/>
      <c r="CI419" s="692"/>
      <c r="CJ419" s="692"/>
      <c r="CK419" s="692"/>
      <c r="CL419" s="692">
        <f t="shared" si="130"/>
        <v>0</v>
      </c>
      <c r="CM419" s="692"/>
      <c r="CN419" s="692"/>
      <c r="CO419" s="692"/>
      <c r="CP419" s="692"/>
      <c r="CQ419" s="692"/>
      <c r="CR419" s="692"/>
      <c r="CS419" s="692"/>
      <c r="CT419" s="692"/>
      <c r="CU419" s="692"/>
      <c r="CV419" s="692"/>
      <c r="CW419" s="692"/>
      <c r="CX419" s="694"/>
      <c r="CY419" s="694"/>
      <c r="CZ419" s="694"/>
      <c r="DA419" s="694"/>
      <c r="DB419" s="694"/>
      <c r="DC419" s="694"/>
      <c r="DD419" s="694"/>
      <c r="DE419" s="694"/>
      <c r="DF419" s="694"/>
      <c r="DG419" s="695"/>
      <c r="DH419" s="695"/>
      <c r="DI419" s="695"/>
      <c r="DJ419" s="695"/>
      <c r="DK419" s="695"/>
      <c r="DL419" s="695"/>
      <c r="DM419" s="695"/>
      <c r="DN419" s="695"/>
      <c r="DO419" s="695"/>
      <c r="DP419" s="695"/>
      <c r="DQ419" s="695"/>
      <c r="DR419" s="695"/>
      <c r="DS419" s="694"/>
      <c r="DT419" s="694"/>
      <c r="DU419" s="694"/>
      <c r="DV419" s="694"/>
      <c r="DW419" s="694"/>
      <c r="DX419" s="694"/>
      <c r="DY419" s="694"/>
      <c r="DZ419" s="694"/>
      <c r="EA419" s="694"/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4"/>
      <c r="FH419" s="694"/>
      <c r="FI419" s="694"/>
      <c r="FJ419" s="694"/>
      <c r="FK419" s="694"/>
      <c r="FL419" s="694"/>
      <c r="FM419" s="694"/>
      <c r="FN419" s="694"/>
      <c r="FO419" s="694"/>
      <c r="FP419" s="694"/>
      <c r="FQ419" s="697"/>
    </row>
    <row r="420" spans="1:173" s="696" customFormat="1">
      <c r="A420" s="690"/>
      <c r="B420" s="690"/>
      <c r="C420" s="691" t="s">
        <v>3649</v>
      </c>
      <c r="D420" s="691"/>
      <c r="E420" s="692">
        <v>35.5</v>
      </c>
      <c r="F420" s="692"/>
      <c r="G420" s="692"/>
      <c r="H420" s="692"/>
      <c r="I420" s="692"/>
      <c r="J420" s="692"/>
      <c r="K420" s="692"/>
      <c r="L420" s="692"/>
      <c r="M420" s="692"/>
      <c r="N420" s="692"/>
      <c r="O420" s="692">
        <f t="shared" si="135"/>
        <v>35.5</v>
      </c>
      <c r="P420" s="692"/>
      <c r="Q420" s="692"/>
      <c r="R420" s="693"/>
      <c r="S420" s="693"/>
      <c r="T420" s="692"/>
      <c r="U420" s="692" t="s">
        <v>1631</v>
      </c>
      <c r="V420" s="692"/>
      <c r="W420" s="692"/>
      <c r="X420" s="692"/>
      <c r="Y420" s="692"/>
      <c r="Z420" s="692"/>
      <c r="AA420" s="692"/>
      <c r="AB420" s="692"/>
      <c r="AC420" s="692"/>
      <c r="AD420" s="692"/>
      <c r="AE420" s="725"/>
      <c r="AF420" s="957"/>
      <c r="AG420" s="692"/>
      <c r="AH420" s="692"/>
      <c r="AI420" s="692"/>
      <c r="AJ420" s="692"/>
      <c r="AK420" s="692"/>
      <c r="AL420" s="692"/>
      <c r="AM420" s="692"/>
      <c r="AN420" s="692"/>
      <c r="AO420" s="692"/>
      <c r="AP420" s="692"/>
      <c r="AQ420" s="692"/>
      <c r="AR420" s="692"/>
      <c r="AS420" s="692"/>
      <c r="AT420" s="692"/>
      <c r="AU420" s="692"/>
      <c r="AV420" s="692"/>
      <c r="AW420" s="692"/>
      <c r="AX420" s="692"/>
      <c r="AY420" s="692"/>
      <c r="AZ420" s="692">
        <f t="shared" si="132"/>
        <v>0</v>
      </c>
      <c r="BA420" s="692"/>
      <c r="BB420" s="692"/>
      <c r="BC420" s="692"/>
      <c r="BD420" s="692">
        <v>1</v>
      </c>
      <c r="BE420" s="692"/>
      <c r="BF420" s="692"/>
      <c r="BG420" s="692"/>
      <c r="BH420" s="692"/>
      <c r="BI420" s="692"/>
      <c r="BJ420" s="692">
        <f t="shared" si="133"/>
        <v>0</v>
      </c>
      <c r="BK420" s="692"/>
      <c r="BL420" s="692"/>
      <c r="BM420" s="692"/>
      <c r="BN420" s="692"/>
      <c r="BO420" s="692"/>
      <c r="BP420" s="692"/>
      <c r="BQ420" s="692"/>
      <c r="BR420" s="692"/>
      <c r="BS420" s="692"/>
      <c r="BT420" s="692">
        <f t="shared" si="134"/>
        <v>1</v>
      </c>
      <c r="BU420" s="692"/>
      <c r="BV420" s="692"/>
      <c r="BW420" s="692"/>
      <c r="BX420" s="692"/>
      <c r="BY420" s="692"/>
      <c r="BZ420" s="692"/>
      <c r="CA420" s="692"/>
      <c r="CB420" s="692"/>
      <c r="CC420" s="692"/>
      <c r="CD420" s="692">
        <f t="shared" si="127"/>
        <v>0</v>
      </c>
      <c r="CE420" s="692"/>
      <c r="CF420" s="692"/>
      <c r="CG420" s="692"/>
      <c r="CH420" s="692"/>
      <c r="CI420" s="692"/>
      <c r="CJ420" s="692"/>
      <c r="CK420" s="692"/>
      <c r="CL420" s="692">
        <f t="shared" si="130"/>
        <v>0</v>
      </c>
      <c r="CM420" s="692"/>
      <c r="CN420" s="692"/>
      <c r="CO420" s="692"/>
      <c r="CP420" s="692"/>
      <c r="CQ420" s="692"/>
      <c r="CR420" s="692"/>
      <c r="CS420" s="692"/>
      <c r="CT420" s="692"/>
      <c r="CU420" s="692"/>
      <c r="CV420" s="692"/>
      <c r="CW420" s="692"/>
      <c r="CX420" s="694"/>
      <c r="CY420" s="694"/>
      <c r="CZ420" s="694"/>
      <c r="DA420" s="694"/>
      <c r="DB420" s="694"/>
      <c r="DC420" s="694"/>
      <c r="DD420" s="694"/>
      <c r="DE420" s="694"/>
      <c r="DF420" s="694"/>
      <c r="DG420" s="695"/>
      <c r="DH420" s="695"/>
      <c r="DI420" s="695"/>
      <c r="DJ420" s="695"/>
      <c r="DK420" s="695"/>
      <c r="DL420" s="695"/>
      <c r="DM420" s="695"/>
      <c r="DN420" s="695"/>
      <c r="DO420" s="695"/>
      <c r="DP420" s="695"/>
      <c r="DQ420" s="695"/>
      <c r="DR420" s="695"/>
      <c r="DS420" s="694"/>
      <c r="DT420" s="694"/>
      <c r="DU420" s="694"/>
      <c r="DV420" s="694"/>
      <c r="DW420" s="694"/>
      <c r="DX420" s="694"/>
      <c r="DY420" s="694"/>
      <c r="DZ420" s="694"/>
      <c r="EA420" s="694"/>
      <c r="EB420" s="694"/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4"/>
      <c r="FH420" s="694"/>
      <c r="FI420" s="694"/>
      <c r="FJ420" s="694"/>
      <c r="FK420" s="694"/>
      <c r="FL420" s="694"/>
      <c r="FM420" s="694"/>
      <c r="FN420" s="694"/>
      <c r="FO420" s="694"/>
      <c r="FP420" s="694"/>
      <c r="FQ420" s="697"/>
    </row>
    <row r="421" spans="1:173" s="696" customFormat="1">
      <c r="A421" s="690"/>
      <c r="B421" s="690"/>
      <c r="C421" s="691" t="s">
        <v>3650</v>
      </c>
      <c r="D421" s="691"/>
      <c r="E421" s="692">
        <v>31</v>
      </c>
      <c r="F421" s="692"/>
      <c r="G421" s="692"/>
      <c r="H421" s="692"/>
      <c r="I421" s="692"/>
      <c r="J421" s="692"/>
      <c r="K421" s="692"/>
      <c r="L421" s="692"/>
      <c r="M421" s="692"/>
      <c r="N421" s="692"/>
      <c r="O421" s="692">
        <f t="shared" si="135"/>
        <v>31</v>
      </c>
      <c r="P421" s="692"/>
      <c r="Q421" s="692"/>
      <c r="R421" s="693"/>
      <c r="S421" s="693"/>
      <c r="T421" s="692"/>
      <c r="U421" s="692" t="s">
        <v>1631</v>
      </c>
      <c r="V421" s="692"/>
      <c r="W421" s="692"/>
      <c r="X421" s="692"/>
      <c r="Y421" s="692"/>
      <c r="Z421" s="692"/>
      <c r="AA421" s="692"/>
      <c r="AB421" s="692"/>
      <c r="AC421" s="692"/>
      <c r="AD421" s="692"/>
      <c r="AE421" s="725"/>
      <c r="AF421" s="957"/>
      <c r="AG421" s="692"/>
      <c r="AH421" s="692"/>
      <c r="AI421" s="692"/>
      <c r="AJ421" s="692"/>
      <c r="AK421" s="692"/>
      <c r="AL421" s="692"/>
      <c r="AM421" s="692"/>
      <c r="AN421" s="692"/>
      <c r="AO421" s="692"/>
      <c r="AP421" s="692"/>
      <c r="AQ421" s="692"/>
      <c r="AR421" s="692"/>
      <c r="AS421" s="692"/>
      <c r="AT421" s="692"/>
      <c r="AU421" s="692">
        <v>1</v>
      </c>
      <c r="AV421" s="692"/>
      <c r="AW421" s="692">
        <v>1</v>
      </c>
      <c r="AX421" s="692"/>
      <c r="AY421" s="692"/>
      <c r="AZ421" s="692">
        <f t="shared" si="132"/>
        <v>2</v>
      </c>
      <c r="BA421" s="692"/>
      <c r="BB421" s="692"/>
      <c r="BC421" s="692"/>
      <c r="BD421" s="692">
        <v>1</v>
      </c>
      <c r="BE421" s="692"/>
      <c r="BF421" s="692"/>
      <c r="BG421" s="692"/>
      <c r="BH421" s="692"/>
      <c r="BI421" s="692"/>
      <c r="BJ421" s="692">
        <f t="shared" si="133"/>
        <v>7</v>
      </c>
      <c r="BK421" s="692"/>
      <c r="BL421" s="692"/>
      <c r="BM421" s="692"/>
      <c r="BN421" s="692"/>
      <c r="BO421" s="692"/>
      <c r="BP421" s="692"/>
      <c r="BQ421" s="692"/>
      <c r="BR421" s="692"/>
      <c r="BS421" s="692"/>
      <c r="BT421" s="692">
        <f t="shared" si="134"/>
        <v>1</v>
      </c>
      <c r="BU421" s="692"/>
      <c r="BV421" s="692"/>
      <c r="BW421" s="692"/>
      <c r="BX421" s="692"/>
      <c r="BY421" s="692"/>
      <c r="BZ421" s="692"/>
      <c r="CA421" s="692"/>
      <c r="CB421" s="692">
        <v>1</v>
      </c>
      <c r="CC421" s="692"/>
      <c r="CD421" s="692">
        <f t="shared" si="127"/>
        <v>4</v>
      </c>
      <c r="CE421" s="692"/>
      <c r="CF421" s="692"/>
      <c r="CG421" s="692"/>
      <c r="CH421" s="692"/>
      <c r="CI421" s="692"/>
      <c r="CJ421" s="692"/>
      <c r="CK421" s="692"/>
      <c r="CL421" s="692">
        <f t="shared" si="130"/>
        <v>0</v>
      </c>
      <c r="CM421" s="692"/>
      <c r="CN421" s="692"/>
      <c r="CO421" s="692"/>
      <c r="CP421" s="692"/>
      <c r="CQ421" s="692"/>
      <c r="CR421" s="692"/>
      <c r="CS421" s="692"/>
      <c r="CT421" s="692"/>
      <c r="CU421" s="692"/>
      <c r="CV421" s="692"/>
      <c r="CW421" s="692"/>
      <c r="CX421" s="694"/>
      <c r="CY421" s="694"/>
      <c r="CZ421" s="694"/>
      <c r="DA421" s="694"/>
      <c r="DB421" s="694"/>
      <c r="DC421" s="694"/>
      <c r="DD421" s="694"/>
      <c r="DE421" s="694"/>
      <c r="DF421" s="694"/>
      <c r="DG421" s="695"/>
      <c r="DH421" s="695"/>
      <c r="DI421" s="695"/>
      <c r="DJ421" s="695"/>
      <c r="DK421" s="695"/>
      <c r="DL421" s="695"/>
      <c r="DM421" s="695"/>
      <c r="DN421" s="695"/>
      <c r="DO421" s="695"/>
      <c r="DP421" s="695"/>
      <c r="DQ421" s="695"/>
      <c r="DR421" s="695"/>
      <c r="DS421" s="694"/>
      <c r="DT421" s="694"/>
      <c r="DU421" s="694"/>
      <c r="DV421" s="694"/>
      <c r="DW421" s="694"/>
      <c r="DX421" s="694"/>
      <c r="DY421" s="694"/>
      <c r="DZ421" s="694"/>
      <c r="EA421" s="694"/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4"/>
      <c r="FH421" s="694"/>
      <c r="FI421" s="694"/>
      <c r="FJ421" s="694"/>
      <c r="FK421" s="694"/>
      <c r="FL421" s="694"/>
      <c r="FM421" s="694"/>
      <c r="FN421" s="694"/>
      <c r="FO421" s="694"/>
      <c r="FP421" s="694"/>
      <c r="FQ421" s="697"/>
    </row>
    <row r="422" spans="1:173" s="696" customFormat="1">
      <c r="A422" s="690"/>
      <c r="B422" s="690"/>
      <c r="C422" s="691" t="s">
        <v>3651</v>
      </c>
      <c r="D422" s="691"/>
      <c r="E422" s="692">
        <v>38.200000000000003</v>
      </c>
      <c r="F422" s="692"/>
      <c r="G422" s="692"/>
      <c r="H422" s="692"/>
      <c r="I422" s="692"/>
      <c r="J422" s="692"/>
      <c r="K422" s="692"/>
      <c r="L422" s="692"/>
      <c r="M422" s="692"/>
      <c r="N422" s="692"/>
      <c r="O422" s="692">
        <f t="shared" si="135"/>
        <v>38.200000000000003</v>
      </c>
      <c r="P422" s="692"/>
      <c r="Q422" s="692"/>
      <c r="R422" s="693"/>
      <c r="S422" s="693"/>
      <c r="T422" s="692"/>
      <c r="U422" s="692" t="s">
        <v>1631</v>
      </c>
      <c r="V422" s="692"/>
      <c r="W422" s="692"/>
      <c r="X422" s="692"/>
      <c r="Y422" s="692"/>
      <c r="Z422" s="692"/>
      <c r="AA422" s="692"/>
      <c r="AB422" s="692"/>
      <c r="AC422" s="692"/>
      <c r="AD422" s="692"/>
      <c r="AE422" s="725"/>
      <c r="AF422" s="957"/>
      <c r="AG422" s="692"/>
      <c r="AH422" s="692"/>
      <c r="AI422" s="692"/>
      <c r="AJ422" s="692"/>
      <c r="AK422" s="692"/>
      <c r="AL422" s="692"/>
      <c r="AM422" s="692"/>
      <c r="AN422" s="692"/>
      <c r="AO422" s="692"/>
      <c r="AP422" s="692"/>
      <c r="AQ422" s="692"/>
      <c r="AR422" s="692"/>
      <c r="AS422" s="692"/>
      <c r="AT422" s="692"/>
      <c r="AU422" s="692"/>
      <c r="AV422" s="692"/>
      <c r="AW422" s="692">
        <v>1</v>
      </c>
      <c r="AX422" s="692"/>
      <c r="AY422" s="692"/>
      <c r="AZ422" s="692">
        <f t="shared" si="132"/>
        <v>2</v>
      </c>
      <c r="BA422" s="692"/>
      <c r="BB422" s="692"/>
      <c r="BC422" s="692"/>
      <c r="BD422" s="692">
        <v>1</v>
      </c>
      <c r="BE422" s="692"/>
      <c r="BF422" s="692"/>
      <c r="BG422" s="692"/>
      <c r="BH422" s="692"/>
      <c r="BI422" s="692"/>
      <c r="BJ422" s="692">
        <f t="shared" si="133"/>
        <v>5</v>
      </c>
      <c r="BK422" s="692"/>
      <c r="BL422" s="692"/>
      <c r="BM422" s="692"/>
      <c r="BN422" s="692"/>
      <c r="BO422" s="692"/>
      <c r="BP422" s="692"/>
      <c r="BQ422" s="692"/>
      <c r="BR422" s="692"/>
      <c r="BS422" s="692"/>
      <c r="BT422" s="692">
        <f t="shared" si="134"/>
        <v>1</v>
      </c>
      <c r="BU422" s="692"/>
      <c r="BV422" s="692"/>
      <c r="BW422" s="692"/>
      <c r="BX422" s="692"/>
      <c r="BY422" s="692"/>
      <c r="BZ422" s="692"/>
      <c r="CA422" s="692"/>
      <c r="CB422" s="692">
        <v>1</v>
      </c>
      <c r="CC422" s="692"/>
      <c r="CD422" s="692">
        <f t="shared" si="127"/>
        <v>4</v>
      </c>
      <c r="CE422" s="692"/>
      <c r="CF422" s="692"/>
      <c r="CG422" s="692"/>
      <c r="CH422" s="692"/>
      <c r="CI422" s="692"/>
      <c r="CJ422" s="692"/>
      <c r="CK422" s="692"/>
      <c r="CL422" s="692">
        <f t="shared" si="130"/>
        <v>0</v>
      </c>
      <c r="CM422" s="692"/>
      <c r="CN422" s="692"/>
      <c r="CO422" s="692"/>
      <c r="CP422" s="692"/>
      <c r="CQ422" s="692"/>
      <c r="CR422" s="692"/>
      <c r="CS422" s="692"/>
      <c r="CT422" s="692"/>
      <c r="CU422" s="692"/>
      <c r="CV422" s="692"/>
      <c r="CW422" s="692"/>
      <c r="CX422" s="694"/>
      <c r="CY422" s="694"/>
      <c r="CZ422" s="694"/>
      <c r="DA422" s="694"/>
      <c r="DB422" s="694"/>
      <c r="DC422" s="694"/>
      <c r="DD422" s="694"/>
      <c r="DE422" s="694"/>
      <c r="DF422" s="694"/>
      <c r="DG422" s="695"/>
      <c r="DH422" s="695"/>
      <c r="DI422" s="695"/>
      <c r="DJ422" s="695"/>
      <c r="DK422" s="695"/>
      <c r="DL422" s="695"/>
      <c r="DM422" s="695"/>
      <c r="DN422" s="695"/>
      <c r="DO422" s="695"/>
      <c r="DP422" s="695"/>
      <c r="DQ422" s="695"/>
      <c r="DR422" s="695"/>
      <c r="DS422" s="694"/>
      <c r="DT422" s="694"/>
      <c r="DU422" s="694"/>
      <c r="DV422" s="694"/>
      <c r="DW422" s="694"/>
      <c r="DX422" s="694"/>
      <c r="DY422" s="694"/>
      <c r="DZ422" s="694"/>
      <c r="EA422" s="694"/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4"/>
      <c r="FH422" s="694"/>
      <c r="FI422" s="694"/>
      <c r="FJ422" s="694"/>
      <c r="FK422" s="694"/>
      <c r="FL422" s="694"/>
      <c r="FM422" s="694"/>
      <c r="FN422" s="694"/>
      <c r="FO422" s="694"/>
      <c r="FP422" s="694"/>
      <c r="FQ422" s="697"/>
    </row>
    <row r="423" spans="1:173" s="696" customFormat="1">
      <c r="A423" s="690"/>
      <c r="B423" s="690"/>
      <c r="C423" s="691" t="s">
        <v>3652</v>
      </c>
      <c r="D423" s="691"/>
      <c r="E423" s="692">
        <v>25</v>
      </c>
      <c r="F423" s="692"/>
      <c r="G423" s="692"/>
      <c r="H423" s="692"/>
      <c r="I423" s="692"/>
      <c r="J423" s="692"/>
      <c r="K423" s="692"/>
      <c r="L423" s="692"/>
      <c r="M423" s="692"/>
      <c r="N423" s="692"/>
      <c r="O423" s="692">
        <f t="shared" si="135"/>
        <v>25</v>
      </c>
      <c r="P423" s="692"/>
      <c r="Q423" s="692"/>
      <c r="R423" s="693"/>
      <c r="S423" s="693"/>
      <c r="T423" s="692"/>
      <c r="U423" s="692" t="s">
        <v>1631</v>
      </c>
      <c r="V423" s="692">
        <v>1</v>
      </c>
      <c r="W423" s="692"/>
      <c r="X423" s="692"/>
      <c r="Y423" s="692"/>
      <c r="Z423" s="692"/>
      <c r="AA423" s="692">
        <v>1</v>
      </c>
      <c r="AB423" s="692"/>
      <c r="AC423" s="692"/>
      <c r="AD423" s="692"/>
      <c r="AE423" s="725"/>
      <c r="AF423" s="957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>
        <f t="shared" si="132"/>
        <v>0</v>
      </c>
      <c r="BA423" s="692"/>
      <c r="BB423" s="692"/>
      <c r="BC423" s="692"/>
      <c r="BD423" s="692">
        <v>1</v>
      </c>
      <c r="BE423" s="692"/>
      <c r="BF423" s="692"/>
      <c r="BG423" s="692"/>
      <c r="BH423" s="692"/>
      <c r="BI423" s="692"/>
      <c r="BJ423" s="692">
        <f t="shared" si="133"/>
        <v>0</v>
      </c>
      <c r="BK423" s="692"/>
      <c r="BL423" s="692"/>
      <c r="BM423" s="692"/>
      <c r="BN423" s="692"/>
      <c r="BO423" s="692"/>
      <c r="BP423" s="692"/>
      <c r="BQ423" s="692"/>
      <c r="BR423" s="692"/>
      <c r="BS423" s="692"/>
      <c r="BT423" s="692">
        <f t="shared" si="134"/>
        <v>1</v>
      </c>
      <c r="BU423" s="692"/>
      <c r="BV423" s="692"/>
      <c r="BW423" s="692"/>
      <c r="BX423" s="692"/>
      <c r="BY423" s="692"/>
      <c r="BZ423" s="692"/>
      <c r="CA423" s="692"/>
      <c r="CB423" s="692"/>
      <c r="CC423" s="692"/>
      <c r="CD423" s="692">
        <f t="shared" ref="CD423:CD429" si="136">CB423*4</f>
        <v>0</v>
      </c>
      <c r="CE423" s="692"/>
      <c r="CF423" s="692"/>
      <c r="CG423" s="692"/>
      <c r="CH423" s="692"/>
      <c r="CI423" s="692"/>
      <c r="CJ423" s="692"/>
      <c r="CK423" s="692"/>
      <c r="CL423" s="692">
        <f t="shared" si="130"/>
        <v>0</v>
      </c>
      <c r="CM423" s="692"/>
      <c r="CN423" s="692"/>
      <c r="CO423" s="692"/>
      <c r="CP423" s="692"/>
      <c r="CQ423" s="692"/>
      <c r="CR423" s="692"/>
      <c r="CS423" s="692"/>
      <c r="CT423" s="692"/>
      <c r="CU423" s="692"/>
      <c r="CV423" s="692"/>
      <c r="CW423" s="692"/>
      <c r="CX423" s="694"/>
      <c r="CY423" s="694"/>
      <c r="CZ423" s="694"/>
      <c r="DA423" s="694"/>
      <c r="DB423" s="694"/>
      <c r="DC423" s="694"/>
      <c r="DD423" s="694"/>
      <c r="DE423" s="694"/>
      <c r="DF423" s="694"/>
      <c r="DG423" s="695"/>
      <c r="DH423" s="695"/>
      <c r="DI423" s="695"/>
      <c r="DJ423" s="695"/>
      <c r="DK423" s="695"/>
      <c r="DL423" s="695"/>
      <c r="DM423" s="695"/>
      <c r="DN423" s="695"/>
      <c r="DO423" s="695"/>
      <c r="DP423" s="695"/>
      <c r="DQ423" s="695"/>
      <c r="DR423" s="695"/>
      <c r="DS423" s="694"/>
      <c r="DT423" s="694"/>
      <c r="DU423" s="694"/>
      <c r="DV423" s="694"/>
      <c r="DW423" s="694"/>
      <c r="DX423" s="694"/>
      <c r="DY423" s="694"/>
      <c r="DZ423" s="694"/>
      <c r="EA423" s="694"/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4"/>
      <c r="FH423" s="694"/>
      <c r="FI423" s="694"/>
      <c r="FJ423" s="694"/>
      <c r="FK423" s="694"/>
      <c r="FL423" s="694"/>
      <c r="FM423" s="694"/>
      <c r="FN423" s="694"/>
      <c r="FO423" s="694"/>
      <c r="FP423" s="694"/>
      <c r="FQ423" s="697"/>
    </row>
    <row r="424" spans="1:173" s="696" customFormat="1">
      <c r="A424" s="690"/>
      <c r="B424" s="690"/>
      <c r="C424" s="691" t="s">
        <v>3653</v>
      </c>
      <c r="D424" s="691"/>
      <c r="E424" s="692">
        <v>25.6</v>
      </c>
      <c r="F424" s="692"/>
      <c r="G424" s="692"/>
      <c r="H424" s="692"/>
      <c r="I424" s="692"/>
      <c r="J424" s="692"/>
      <c r="K424" s="692"/>
      <c r="L424" s="692"/>
      <c r="M424" s="692"/>
      <c r="N424" s="692"/>
      <c r="O424" s="692">
        <f t="shared" si="135"/>
        <v>25.6</v>
      </c>
      <c r="P424" s="692"/>
      <c r="Q424" s="692"/>
      <c r="R424" s="693"/>
      <c r="S424" s="693"/>
      <c r="T424" s="692"/>
      <c r="U424" s="692" t="s">
        <v>1631</v>
      </c>
      <c r="V424" s="692"/>
      <c r="W424" s="692"/>
      <c r="X424" s="692"/>
      <c r="Y424" s="692"/>
      <c r="Z424" s="692"/>
      <c r="AA424" s="692"/>
      <c r="AB424" s="692"/>
      <c r="AC424" s="692"/>
      <c r="AD424" s="692"/>
      <c r="AE424" s="725"/>
      <c r="AF424" s="957"/>
      <c r="AG424" s="692"/>
      <c r="AH424" s="692"/>
      <c r="AI424" s="692"/>
      <c r="AJ424" s="692"/>
      <c r="AK424" s="692"/>
      <c r="AL424" s="692"/>
      <c r="AM424" s="692"/>
      <c r="AN424" s="692"/>
      <c r="AO424" s="692"/>
      <c r="AP424" s="692"/>
      <c r="AQ424" s="692"/>
      <c r="AR424" s="692"/>
      <c r="AS424" s="692"/>
      <c r="AT424" s="692"/>
      <c r="AU424" s="692"/>
      <c r="AV424" s="692"/>
      <c r="AW424" s="692">
        <v>1</v>
      </c>
      <c r="AX424" s="692"/>
      <c r="AY424" s="692"/>
      <c r="AZ424" s="692">
        <f t="shared" si="132"/>
        <v>2</v>
      </c>
      <c r="BA424" s="692"/>
      <c r="BB424" s="692"/>
      <c r="BC424" s="692"/>
      <c r="BD424" s="692">
        <v>1</v>
      </c>
      <c r="BE424" s="692"/>
      <c r="BF424" s="692"/>
      <c r="BG424" s="692"/>
      <c r="BH424" s="692"/>
      <c r="BI424" s="692"/>
      <c r="BJ424" s="692">
        <f t="shared" si="133"/>
        <v>5</v>
      </c>
      <c r="BK424" s="692"/>
      <c r="BL424" s="692"/>
      <c r="BM424" s="692"/>
      <c r="BN424" s="692"/>
      <c r="BO424" s="692"/>
      <c r="BP424" s="692"/>
      <c r="BQ424" s="692"/>
      <c r="BR424" s="692"/>
      <c r="BS424" s="692"/>
      <c r="BT424" s="692">
        <f t="shared" si="134"/>
        <v>1</v>
      </c>
      <c r="BU424" s="692"/>
      <c r="BV424" s="692"/>
      <c r="BW424" s="692"/>
      <c r="BX424" s="692"/>
      <c r="BY424" s="692"/>
      <c r="BZ424" s="692"/>
      <c r="CA424" s="692"/>
      <c r="CB424" s="692">
        <v>1</v>
      </c>
      <c r="CC424" s="692"/>
      <c r="CD424" s="692">
        <f t="shared" si="136"/>
        <v>4</v>
      </c>
      <c r="CE424" s="692"/>
      <c r="CF424" s="692"/>
      <c r="CG424" s="692"/>
      <c r="CH424" s="692"/>
      <c r="CI424" s="692"/>
      <c r="CJ424" s="692"/>
      <c r="CK424" s="692"/>
      <c r="CL424" s="692">
        <f t="shared" si="130"/>
        <v>0</v>
      </c>
      <c r="CM424" s="692"/>
      <c r="CN424" s="692"/>
      <c r="CO424" s="692"/>
      <c r="CP424" s="692"/>
      <c r="CQ424" s="692"/>
      <c r="CR424" s="692"/>
      <c r="CS424" s="692"/>
      <c r="CT424" s="692"/>
      <c r="CU424" s="692"/>
      <c r="CV424" s="692"/>
      <c r="CW424" s="692"/>
      <c r="CX424" s="694"/>
      <c r="CY424" s="694"/>
      <c r="CZ424" s="694"/>
      <c r="DA424" s="694"/>
      <c r="DB424" s="694"/>
      <c r="DC424" s="694"/>
      <c r="DD424" s="694"/>
      <c r="DE424" s="694"/>
      <c r="DF424" s="694"/>
      <c r="DG424" s="695"/>
      <c r="DH424" s="695"/>
      <c r="DI424" s="695"/>
      <c r="DJ424" s="695"/>
      <c r="DK424" s="695"/>
      <c r="DL424" s="695"/>
      <c r="DM424" s="695"/>
      <c r="DN424" s="695"/>
      <c r="DO424" s="695"/>
      <c r="DP424" s="695"/>
      <c r="DQ424" s="695"/>
      <c r="DR424" s="695"/>
      <c r="DS424" s="694"/>
      <c r="DT424" s="694"/>
      <c r="DU424" s="694"/>
      <c r="DV424" s="694"/>
      <c r="DW424" s="694"/>
      <c r="DX424" s="694"/>
      <c r="DY424" s="694"/>
      <c r="DZ424" s="694"/>
      <c r="EA424" s="694"/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4"/>
      <c r="FH424" s="694"/>
      <c r="FI424" s="694"/>
      <c r="FJ424" s="694"/>
      <c r="FK424" s="694"/>
      <c r="FL424" s="694"/>
      <c r="FM424" s="692"/>
      <c r="FN424" s="694"/>
      <c r="FO424" s="694"/>
      <c r="FP424" s="694"/>
      <c r="FQ424" s="697"/>
    </row>
    <row r="425" spans="1:173" s="696" customFormat="1">
      <c r="A425" s="690"/>
      <c r="B425" s="690"/>
      <c r="C425" s="691" t="s">
        <v>3654</v>
      </c>
      <c r="D425" s="691"/>
      <c r="E425" s="692">
        <v>39</v>
      </c>
      <c r="F425" s="692"/>
      <c r="G425" s="692"/>
      <c r="H425" s="692"/>
      <c r="I425" s="692"/>
      <c r="J425" s="692"/>
      <c r="K425" s="692"/>
      <c r="L425" s="692"/>
      <c r="M425" s="692"/>
      <c r="N425" s="692"/>
      <c r="O425" s="692">
        <f t="shared" si="135"/>
        <v>39</v>
      </c>
      <c r="P425" s="692"/>
      <c r="Q425" s="692"/>
      <c r="R425" s="693"/>
      <c r="S425" s="693"/>
      <c r="T425" s="692"/>
      <c r="U425" s="692" t="s">
        <v>1631</v>
      </c>
      <c r="V425" s="692"/>
      <c r="W425" s="692"/>
      <c r="X425" s="692"/>
      <c r="Y425" s="692"/>
      <c r="Z425" s="692"/>
      <c r="AA425" s="692"/>
      <c r="AB425" s="692"/>
      <c r="AC425" s="692"/>
      <c r="AD425" s="692"/>
      <c r="AE425" s="725"/>
      <c r="AF425" s="957"/>
      <c r="AG425" s="692"/>
      <c r="AH425" s="692"/>
      <c r="AI425" s="692"/>
      <c r="AJ425" s="692"/>
      <c r="AK425" s="692"/>
      <c r="AL425" s="692"/>
      <c r="AM425" s="692"/>
      <c r="AN425" s="692"/>
      <c r="AO425" s="692"/>
      <c r="AP425" s="692"/>
      <c r="AQ425" s="692"/>
      <c r="AR425" s="692"/>
      <c r="AS425" s="692"/>
      <c r="AT425" s="692"/>
      <c r="AU425" s="692">
        <v>1</v>
      </c>
      <c r="AV425" s="692"/>
      <c r="AW425" s="692">
        <v>1</v>
      </c>
      <c r="AX425" s="692"/>
      <c r="AY425" s="692"/>
      <c r="AZ425" s="692">
        <f t="shared" si="132"/>
        <v>2</v>
      </c>
      <c r="BA425" s="692"/>
      <c r="BB425" s="692"/>
      <c r="BC425" s="692"/>
      <c r="BD425" s="692">
        <v>1</v>
      </c>
      <c r="BE425" s="692"/>
      <c r="BF425" s="692"/>
      <c r="BG425" s="692"/>
      <c r="BH425" s="692"/>
      <c r="BI425" s="692"/>
      <c r="BJ425" s="692">
        <f t="shared" si="133"/>
        <v>7</v>
      </c>
      <c r="BK425" s="692"/>
      <c r="BL425" s="692"/>
      <c r="BM425" s="692"/>
      <c r="BN425" s="692"/>
      <c r="BO425" s="692"/>
      <c r="BP425" s="692"/>
      <c r="BQ425" s="692"/>
      <c r="BR425" s="692"/>
      <c r="BS425" s="692"/>
      <c r="BT425" s="692">
        <f t="shared" si="134"/>
        <v>1</v>
      </c>
      <c r="BU425" s="692"/>
      <c r="BV425" s="692"/>
      <c r="BW425" s="692"/>
      <c r="BX425" s="692"/>
      <c r="BY425" s="692"/>
      <c r="BZ425" s="692"/>
      <c r="CA425" s="692"/>
      <c r="CB425" s="692">
        <v>1</v>
      </c>
      <c r="CC425" s="692"/>
      <c r="CD425" s="692">
        <f t="shared" si="136"/>
        <v>4</v>
      </c>
      <c r="CE425" s="692"/>
      <c r="CF425" s="692"/>
      <c r="CG425" s="692"/>
      <c r="CH425" s="692"/>
      <c r="CI425" s="692"/>
      <c r="CJ425" s="692"/>
      <c r="CK425" s="692"/>
      <c r="CL425" s="692">
        <f t="shared" si="130"/>
        <v>0</v>
      </c>
      <c r="CM425" s="692"/>
      <c r="CN425" s="692"/>
      <c r="CO425" s="692"/>
      <c r="CP425" s="692"/>
      <c r="CQ425" s="692"/>
      <c r="CR425" s="692"/>
      <c r="CS425" s="692"/>
      <c r="CT425" s="692"/>
      <c r="CU425" s="692"/>
      <c r="CV425" s="692"/>
      <c r="CW425" s="692"/>
      <c r="CX425" s="694"/>
      <c r="CY425" s="694"/>
      <c r="CZ425" s="694"/>
      <c r="DA425" s="694"/>
      <c r="DB425" s="694"/>
      <c r="DC425" s="694"/>
      <c r="DD425" s="694"/>
      <c r="DE425" s="694"/>
      <c r="DF425" s="694"/>
      <c r="DG425" s="695"/>
      <c r="DH425" s="695"/>
      <c r="DI425" s="695"/>
      <c r="DJ425" s="695"/>
      <c r="DK425" s="695"/>
      <c r="DL425" s="695"/>
      <c r="DM425" s="695"/>
      <c r="DN425" s="695"/>
      <c r="DO425" s="695"/>
      <c r="DP425" s="695"/>
      <c r="DQ425" s="695"/>
      <c r="DR425" s="695"/>
      <c r="DS425" s="694"/>
      <c r="DT425" s="694"/>
      <c r="DU425" s="694"/>
      <c r="DV425" s="694"/>
      <c r="DW425" s="694"/>
      <c r="DX425" s="694"/>
      <c r="DY425" s="694"/>
      <c r="DZ425" s="694"/>
      <c r="EA425" s="694"/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4"/>
      <c r="FH425" s="694"/>
      <c r="FI425" s="694"/>
      <c r="FJ425" s="694"/>
      <c r="FK425" s="694"/>
      <c r="FL425" s="694"/>
      <c r="FM425" s="692"/>
      <c r="FN425" s="694"/>
      <c r="FO425" s="694"/>
      <c r="FP425" s="694"/>
      <c r="FQ425" s="697"/>
    </row>
    <row r="426" spans="1:173" s="696" customFormat="1">
      <c r="A426" s="690"/>
      <c r="B426" s="690"/>
      <c r="C426" s="691" t="s">
        <v>3655</v>
      </c>
      <c r="D426" s="691"/>
      <c r="E426" s="692">
        <v>46.1</v>
      </c>
      <c r="F426" s="692"/>
      <c r="G426" s="692"/>
      <c r="H426" s="692"/>
      <c r="I426" s="692"/>
      <c r="J426" s="692"/>
      <c r="K426" s="692"/>
      <c r="L426" s="692"/>
      <c r="M426" s="692"/>
      <c r="N426" s="692"/>
      <c r="O426" s="692">
        <f t="shared" si="135"/>
        <v>46.1</v>
      </c>
      <c r="P426" s="692"/>
      <c r="Q426" s="692"/>
      <c r="R426" s="693"/>
      <c r="S426" s="693"/>
      <c r="T426" s="692"/>
      <c r="U426" s="692" t="s">
        <v>2989</v>
      </c>
      <c r="V426" s="692"/>
      <c r="W426" s="692"/>
      <c r="X426" s="692"/>
      <c r="Y426" s="692"/>
      <c r="Z426" s="692"/>
      <c r="AA426" s="692"/>
      <c r="AB426" s="692"/>
      <c r="AC426" s="692"/>
      <c r="AD426" s="692"/>
      <c r="AE426" s="725"/>
      <c r="AF426" s="957"/>
      <c r="AG426" s="692"/>
      <c r="AH426" s="692"/>
      <c r="AI426" s="692"/>
      <c r="AJ426" s="692"/>
      <c r="AK426" s="692"/>
      <c r="AL426" s="692"/>
      <c r="AM426" s="692"/>
      <c r="AN426" s="692"/>
      <c r="AO426" s="692"/>
      <c r="AP426" s="692"/>
      <c r="AQ426" s="692"/>
      <c r="AR426" s="692"/>
      <c r="AS426" s="692"/>
      <c r="AT426" s="692"/>
      <c r="AU426" s="692"/>
      <c r="AV426" s="692"/>
      <c r="AW426" s="692">
        <v>1</v>
      </c>
      <c r="AX426" s="692"/>
      <c r="AY426" s="692"/>
      <c r="AZ426" s="692">
        <f t="shared" si="132"/>
        <v>2</v>
      </c>
      <c r="BA426" s="692"/>
      <c r="BB426" s="692"/>
      <c r="BC426" s="692"/>
      <c r="BD426" s="692">
        <v>1</v>
      </c>
      <c r="BE426" s="692"/>
      <c r="BF426" s="692">
        <v>1</v>
      </c>
      <c r="BG426" s="692"/>
      <c r="BH426" s="692"/>
      <c r="BI426" s="692"/>
      <c r="BJ426" s="692">
        <f t="shared" si="133"/>
        <v>5</v>
      </c>
      <c r="BK426" s="692"/>
      <c r="BL426" s="692"/>
      <c r="BM426" s="692"/>
      <c r="BN426" s="692"/>
      <c r="BO426" s="692"/>
      <c r="BP426" s="692"/>
      <c r="BQ426" s="692"/>
      <c r="BR426" s="692"/>
      <c r="BS426" s="692"/>
      <c r="BT426" s="692">
        <f t="shared" si="134"/>
        <v>0</v>
      </c>
      <c r="BU426" s="692"/>
      <c r="BV426" s="692"/>
      <c r="BW426" s="692"/>
      <c r="BX426" s="692"/>
      <c r="BY426" s="692">
        <v>2</v>
      </c>
      <c r="BZ426" s="692"/>
      <c r="CA426" s="692"/>
      <c r="CB426" s="692">
        <v>1</v>
      </c>
      <c r="CC426" s="692"/>
      <c r="CD426" s="692">
        <f t="shared" si="136"/>
        <v>4</v>
      </c>
      <c r="CE426" s="692"/>
      <c r="CF426" s="692"/>
      <c r="CG426" s="692"/>
      <c r="CH426" s="692"/>
      <c r="CI426" s="692"/>
      <c r="CJ426" s="692"/>
      <c r="CK426" s="692"/>
      <c r="CL426" s="692">
        <f t="shared" si="130"/>
        <v>0</v>
      </c>
      <c r="CM426" s="692"/>
      <c r="CN426" s="692"/>
      <c r="CO426" s="692"/>
      <c r="CP426" s="692"/>
      <c r="CQ426" s="692"/>
      <c r="CR426" s="692"/>
      <c r="CS426" s="692"/>
      <c r="CT426" s="692"/>
      <c r="CU426" s="692"/>
      <c r="CV426" s="692"/>
      <c r="CW426" s="692"/>
      <c r="CX426" s="694"/>
      <c r="CY426" s="694"/>
      <c r="CZ426" s="694"/>
      <c r="DA426" s="694"/>
      <c r="DB426" s="694"/>
      <c r="DC426" s="694"/>
      <c r="DD426" s="694"/>
      <c r="DE426" s="694"/>
      <c r="DF426" s="694"/>
      <c r="DG426" s="695"/>
      <c r="DH426" s="695"/>
      <c r="DI426" s="695"/>
      <c r="DJ426" s="695"/>
      <c r="DK426" s="695"/>
      <c r="DL426" s="695"/>
      <c r="DM426" s="695"/>
      <c r="DN426" s="695"/>
      <c r="DO426" s="695"/>
      <c r="DP426" s="695"/>
      <c r="DQ426" s="695"/>
      <c r="DR426" s="695"/>
      <c r="DS426" s="694"/>
      <c r="DT426" s="694"/>
      <c r="DU426" s="694"/>
      <c r="DV426" s="694"/>
      <c r="DW426" s="694"/>
      <c r="DX426" s="694"/>
      <c r="DY426" s="694"/>
      <c r="DZ426" s="694"/>
      <c r="EA426" s="694"/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4"/>
      <c r="FH426" s="694"/>
      <c r="FI426" s="694"/>
      <c r="FJ426" s="694"/>
      <c r="FK426" s="694"/>
      <c r="FL426" s="694"/>
      <c r="FM426" s="692"/>
      <c r="FN426" s="694"/>
      <c r="FO426" s="694"/>
      <c r="FP426" s="694"/>
      <c r="FQ426" s="697"/>
    </row>
    <row r="427" spans="1:173" s="696" customFormat="1">
      <c r="A427" s="690"/>
      <c r="B427" s="690"/>
      <c r="C427" s="691" t="s">
        <v>3656</v>
      </c>
      <c r="D427" s="691"/>
      <c r="E427" s="692">
        <v>34</v>
      </c>
      <c r="F427" s="692"/>
      <c r="G427" s="692"/>
      <c r="H427" s="692"/>
      <c r="I427" s="692"/>
      <c r="J427" s="692"/>
      <c r="K427" s="692"/>
      <c r="L427" s="692"/>
      <c r="M427" s="692"/>
      <c r="N427" s="692"/>
      <c r="O427" s="692">
        <f t="shared" si="135"/>
        <v>34</v>
      </c>
      <c r="P427" s="692"/>
      <c r="Q427" s="692"/>
      <c r="R427" s="693"/>
      <c r="S427" s="693"/>
      <c r="T427" s="692"/>
      <c r="U427" s="692" t="s">
        <v>1631</v>
      </c>
      <c r="V427" s="692"/>
      <c r="W427" s="692"/>
      <c r="X427" s="692"/>
      <c r="Y427" s="692"/>
      <c r="Z427" s="692"/>
      <c r="AA427" s="692"/>
      <c r="AB427" s="692"/>
      <c r="AC427" s="692"/>
      <c r="AD427" s="692"/>
      <c r="AE427" s="725"/>
      <c r="AF427" s="957"/>
      <c r="AG427" s="692"/>
      <c r="AH427" s="692"/>
      <c r="AI427" s="692"/>
      <c r="AJ427" s="692"/>
      <c r="AK427" s="692"/>
      <c r="AL427" s="692"/>
      <c r="AM427" s="692"/>
      <c r="AN427" s="692"/>
      <c r="AO427" s="692"/>
      <c r="AP427" s="692"/>
      <c r="AQ427" s="692"/>
      <c r="AR427" s="692"/>
      <c r="AS427" s="692"/>
      <c r="AT427" s="692"/>
      <c r="AU427" s="692"/>
      <c r="AV427" s="692"/>
      <c r="AW427" s="692">
        <v>1</v>
      </c>
      <c r="AX427" s="692"/>
      <c r="AY427" s="692"/>
      <c r="AZ427" s="692">
        <f t="shared" si="132"/>
        <v>2</v>
      </c>
      <c r="BA427" s="692"/>
      <c r="BB427" s="692"/>
      <c r="BC427" s="692"/>
      <c r="BD427" s="692">
        <v>1</v>
      </c>
      <c r="BE427" s="692"/>
      <c r="BF427" s="692"/>
      <c r="BG427" s="692"/>
      <c r="BH427" s="692"/>
      <c r="BI427" s="692"/>
      <c r="BJ427" s="692">
        <f t="shared" si="133"/>
        <v>5</v>
      </c>
      <c r="BK427" s="692"/>
      <c r="BL427" s="692"/>
      <c r="BM427" s="692"/>
      <c r="BN427" s="692"/>
      <c r="BO427" s="692"/>
      <c r="BP427" s="692"/>
      <c r="BQ427" s="692"/>
      <c r="BR427" s="692"/>
      <c r="BS427" s="692"/>
      <c r="BT427" s="692">
        <f t="shared" si="134"/>
        <v>1</v>
      </c>
      <c r="BU427" s="692"/>
      <c r="BV427" s="692"/>
      <c r="BW427" s="692"/>
      <c r="BX427" s="692"/>
      <c r="BY427" s="692"/>
      <c r="BZ427" s="692"/>
      <c r="CA427" s="692"/>
      <c r="CB427" s="692">
        <v>1</v>
      </c>
      <c r="CC427" s="692"/>
      <c r="CD427" s="692">
        <f t="shared" si="136"/>
        <v>4</v>
      </c>
      <c r="CE427" s="692"/>
      <c r="CF427" s="692"/>
      <c r="CG427" s="692"/>
      <c r="CH427" s="692"/>
      <c r="CI427" s="692"/>
      <c r="CJ427" s="692"/>
      <c r="CK427" s="692"/>
      <c r="CL427" s="692">
        <f t="shared" si="130"/>
        <v>0</v>
      </c>
      <c r="CM427" s="692"/>
      <c r="CN427" s="692"/>
      <c r="CO427" s="692"/>
      <c r="CP427" s="692"/>
      <c r="CQ427" s="692"/>
      <c r="CR427" s="692"/>
      <c r="CS427" s="692"/>
      <c r="CT427" s="692"/>
      <c r="CU427" s="692"/>
      <c r="CV427" s="692"/>
      <c r="CW427" s="692"/>
      <c r="CX427" s="694"/>
      <c r="CY427" s="694"/>
      <c r="CZ427" s="694"/>
      <c r="DA427" s="694"/>
      <c r="DB427" s="694"/>
      <c r="DC427" s="694"/>
      <c r="DD427" s="694"/>
      <c r="DE427" s="694"/>
      <c r="DF427" s="694"/>
      <c r="DG427" s="695"/>
      <c r="DH427" s="695"/>
      <c r="DI427" s="695"/>
      <c r="DJ427" s="695"/>
      <c r="DK427" s="695"/>
      <c r="DL427" s="695"/>
      <c r="DM427" s="695"/>
      <c r="DN427" s="695"/>
      <c r="DO427" s="695"/>
      <c r="DP427" s="695"/>
      <c r="DQ427" s="695"/>
      <c r="DR427" s="695"/>
      <c r="DS427" s="694"/>
      <c r="DT427" s="694"/>
      <c r="DU427" s="694"/>
      <c r="DV427" s="694"/>
      <c r="DW427" s="694"/>
      <c r="DX427" s="694"/>
      <c r="DY427" s="694"/>
      <c r="DZ427" s="694"/>
      <c r="EA427" s="694"/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4"/>
      <c r="FH427" s="694"/>
      <c r="FI427" s="694"/>
      <c r="FJ427" s="694"/>
      <c r="FK427" s="694"/>
      <c r="FL427" s="694"/>
      <c r="FM427" s="692"/>
      <c r="FN427" s="694"/>
      <c r="FO427" s="694"/>
      <c r="FP427" s="694"/>
      <c r="FQ427" s="697"/>
    </row>
    <row r="428" spans="1:173" s="696" customFormat="1">
      <c r="A428" s="690"/>
      <c r="B428" s="690"/>
      <c r="C428" s="691" t="s">
        <v>3719</v>
      </c>
      <c r="D428" s="691"/>
      <c r="E428" s="692">
        <v>37.299999999999997</v>
      </c>
      <c r="F428" s="692"/>
      <c r="G428" s="692"/>
      <c r="H428" s="692"/>
      <c r="I428" s="692"/>
      <c r="J428" s="692"/>
      <c r="K428" s="692"/>
      <c r="L428" s="692"/>
      <c r="M428" s="692"/>
      <c r="N428" s="692"/>
      <c r="O428" s="692">
        <f t="shared" si="135"/>
        <v>37.299999999999997</v>
      </c>
      <c r="P428" s="692"/>
      <c r="Q428" s="692"/>
      <c r="R428" s="693"/>
      <c r="S428" s="693"/>
      <c r="T428" s="692"/>
      <c r="U428" s="692" t="s">
        <v>2990</v>
      </c>
      <c r="V428" s="692"/>
      <c r="W428" s="692">
        <v>2</v>
      </c>
      <c r="X428" s="692"/>
      <c r="Y428" s="692"/>
      <c r="Z428" s="692"/>
      <c r="AA428" s="692"/>
      <c r="AB428" s="692"/>
      <c r="AC428" s="692"/>
      <c r="AD428" s="692"/>
      <c r="AE428" s="725"/>
      <c r="AF428" s="957">
        <v>1</v>
      </c>
      <c r="AG428" s="692"/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>
        <f t="shared" si="132"/>
        <v>0</v>
      </c>
      <c r="BA428" s="692"/>
      <c r="BB428" s="692"/>
      <c r="BC428" s="692"/>
      <c r="BD428" s="692"/>
      <c r="BE428" s="692"/>
      <c r="BF428" s="692">
        <v>1</v>
      </c>
      <c r="BG428" s="692"/>
      <c r="BH428" s="692"/>
      <c r="BI428" s="692"/>
      <c r="BJ428" s="692">
        <f t="shared" si="133"/>
        <v>0</v>
      </c>
      <c r="BK428" s="692"/>
      <c r="BL428" s="692"/>
      <c r="BM428" s="692"/>
      <c r="BN428" s="692"/>
      <c r="BO428" s="692"/>
      <c r="BP428" s="692"/>
      <c r="BQ428" s="692"/>
      <c r="BR428" s="692"/>
      <c r="BS428" s="692"/>
      <c r="BT428" s="692">
        <f t="shared" si="134"/>
        <v>0</v>
      </c>
      <c r="BU428" s="692"/>
      <c r="BV428" s="692"/>
      <c r="BW428" s="692"/>
      <c r="BX428" s="692"/>
      <c r="BY428" s="692">
        <v>1</v>
      </c>
      <c r="BZ428" s="692"/>
      <c r="CA428" s="692"/>
      <c r="CB428" s="692"/>
      <c r="CC428" s="692"/>
      <c r="CD428" s="692">
        <f t="shared" si="136"/>
        <v>0</v>
      </c>
      <c r="CE428" s="692"/>
      <c r="CF428" s="692"/>
      <c r="CG428" s="692"/>
      <c r="CH428" s="692"/>
      <c r="CI428" s="692"/>
      <c r="CJ428" s="692"/>
      <c r="CK428" s="692"/>
      <c r="CL428" s="692">
        <f t="shared" si="130"/>
        <v>0</v>
      </c>
      <c r="CM428" s="692"/>
      <c r="CN428" s="692"/>
      <c r="CO428" s="692"/>
      <c r="CP428" s="692"/>
      <c r="CQ428" s="692"/>
      <c r="CR428" s="692"/>
      <c r="CS428" s="692"/>
      <c r="CT428" s="692"/>
      <c r="CU428" s="692"/>
      <c r="CV428" s="692"/>
      <c r="CW428" s="692"/>
      <c r="CX428" s="694"/>
      <c r="CY428" s="694"/>
      <c r="CZ428" s="694"/>
      <c r="DA428" s="694"/>
      <c r="DB428" s="694"/>
      <c r="DC428" s="694"/>
      <c r="DD428" s="694"/>
      <c r="DE428" s="694"/>
      <c r="DF428" s="694"/>
      <c r="DG428" s="695"/>
      <c r="DH428" s="695"/>
      <c r="DI428" s="695"/>
      <c r="DJ428" s="695"/>
      <c r="DK428" s="695"/>
      <c r="DL428" s="695"/>
      <c r="DM428" s="695"/>
      <c r="DN428" s="695"/>
      <c r="DO428" s="695"/>
      <c r="DP428" s="695"/>
      <c r="DQ428" s="695"/>
      <c r="DR428" s="695"/>
      <c r="DS428" s="694"/>
      <c r="DT428" s="694"/>
      <c r="DU428" s="694"/>
      <c r="DV428" s="694"/>
      <c r="DW428" s="694"/>
      <c r="DX428" s="694"/>
      <c r="DY428" s="694"/>
      <c r="DZ428" s="694"/>
      <c r="EA428" s="694"/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4"/>
      <c r="FH428" s="694"/>
      <c r="FI428" s="694"/>
      <c r="FJ428" s="694"/>
      <c r="FK428" s="694"/>
      <c r="FL428" s="694"/>
      <c r="FM428" s="692"/>
      <c r="FN428" s="694"/>
      <c r="FO428" s="694"/>
      <c r="FP428" s="694"/>
      <c r="FQ428" s="697"/>
    </row>
    <row r="429" spans="1:173" s="696" customFormat="1">
      <c r="A429" s="690"/>
      <c r="B429" s="690"/>
      <c r="C429" s="691"/>
      <c r="D429" s="691"/>
      <c r="E429" s="692"/>
      <c r="F429" s="692"/>
      <c r="G429" s="692"/>
      <c r="H429" s="692"/>
      <c r="I429" s="692"/>
      <c r="J429" s="692"/>
      <c r="K429" s="692"/>
      <c r="L429" s="692"/>
      <c r="M429" s="692"/>
      <c r="N429" s="692"/>
      <c r="O429" s="692"/>
      <c r="P429" s="692"/>
      <c r="Q429" s="692"/>
      <c r="R429" s="693"/>
      <c r="S429" s="693"/>
      <c r="T429" s="692"/>
      <c r="U429" s="692"/>
      <c r="V429" s="692"/>
      <c r="W429" s="692"/>
      <c r="X429" s="692"/>
      <c r="Y429" s="692"/>
      <c r="Z429" s="692"/>
      <c r="AA429" s="692"/>
      <c r="AB429" s="692"/>
      <c r="AC429" s="692"/>
      <c r="AD429" s="692"/>
      <c r="AE429" s="725"/>
      <c r="AF429" s="957"/>
      <c r="AG429" s="692"/>
      <c r="AH429" s="692"/>
      <c r="AI429" s="692"/>
      <c r="AJ429" s="692"/>
      <c r="AK429" s="692"/>
      <c r="AL429" s="692"/>
      <c r="AM429" s="692"/>
      <c r="AN429" s="692"/>
      <c r="AO429" s="692"/>
      <c r="AP429" s="692"/>
      <c r="AQ429" s="692"/>
      <c r="AR429" s="692"/>
      <c r="AS429" s="692"/>
      <c r="AT429" s="692"/>
      <c r="AU429" s="692"/>
      <c r="AV429" s="692"/>
      <c r="AW429" s="692"/>
      <c r="AX429" s="692"/>
      <c r="AY429" s="692"/>
      <c r="AZ429" s="692"/>
      <c r="BA429" s="692"/>
      <c r="BB429" s="692"/>
      <c r="BC429" s="692"/>
      <c r="BD429" s="692"/>
      <c r="BE429" s="692"/>
      <c r="BF429" s="692"/>
      <c r="BG429" s="692"/>
      <c r="BH429" s="692"/>
      <c r="BI429" s="692"/>
      <c r="BJ429" s="692"/>
      <c r="BK429" s="692"/>
      <c r="BL429" s="692"/>
      <c r="BM429" s="692"/>
      <c r="BN429" s="692"/>
      <c r="BO429" s="692"/>
      <c r="BP429" s="692"/>
      <c r="BQ429" s="692"/>
      <c r="BR429" s="692"/>
      <c r="BS429" s="692"/>
      <c r="BT429" s="692"/>
      <c r="BU429" s="692"/>
      <c r="BV429" s="692"/>
      <c r="BW429" s="692"/>
      <c r="BX429" s="692"/>
      <c r="BY429" s="692"/>
      <c r="BZ429" s="692"/>
      <c r="CA429" s="692"/>
      <c r="CB429" s="692"/>
      <c r="CC429" s="692"/>
      <c r="CD429" s="692">
        <f t="shared" si="136"/>
        <v>0</v>
      </c>
      <c r="CE429" s="692"/>
      <c r="CF429" s="692"/>
      <c r="CG429" s="692"/>
      <c r="CH429" s="692"/>
      <c r="CI429" s="692"/>
      <c r="CJ429" s="692"/>
      <c r="CK429" s="692"/>
      <c r="CL429" s="692">
        <f t="shared" si="130"/>
        <v>0</v>
      </c>
      <c r="CM429" s="692"/>
      <c r="CN429" s="692"/>
      <c r="CO429" s="692"/>
      <c r="CP429" s="692"/>
      <c r="CQ429" s="692"/>
      <c r="CR429" s="692"/>
      <c r="CS429" s="692"/>
      <c r="CT429" s="692"/>
      <c r="CU429" s="692"/>
      <c r="CV429" s="692"/>
      <c r="CW429" s="692"/>
      <c r="CX429" s="694"/>
      <c r="CY429" s="694"/>
      <c r="CZ429" s="694"/>
      <c r="DA429" s="694"/>
      <c r="DB429" s="694"/>
      <c r="DC429" s="694"/>
      <c r="DD429" s="694"/>
      <c r="DE429" s="694"/>
      <c r="DF429" s="694"/>
      <c r="DG429" s="695"/>
      <c r="DH429" s="695"/>
      <c r="DI429" s="695"/>
      <c r="DJ429" s="695"/>
      <c r="DK429" s="695"/>
      <c r="DL429" s="695"/>
      <c r="DM429" s="695"/>
      <c r="DN429" s="695"/>
      <c r="DO429" s="695"/>
      <c r="DP429" s="695"/>
      <c r="DQ429" s="695"/>
      <c r="DR429" s="695"/>
      <c r="DS429" s="694"/>
      <c r="DT429" s="694"/>
      <c r="DU429" s="694"/>
      <c r="DV429" s="694"/>
      <c r="DW429" s="694"/>
      <c r="DX429" s="694"/>
      <c r="DY429" s="694"/>
      <c r="DZ429" s="694"/>
      <c r="EA429" s="694"/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4"/>
      <c r="FH429" s="694"/>
      <c r="FI429" s="694"/>
      <c r="FJ429" s="694"/>
      <c r="FK429" s="694"/>
      <c r="FL429" s="694"/>
      <c r="FM429" s="692"/>
      <c r="FN429" s="694"/>
      <c r="FO429" s="694"/>
      <c r="FP429" s="694"/>
      <c r="FQ429" s="697"/>
    </row>
    <row r="430" spans="1:173" s="706" customFormat="1">
      <c r="A430" s="700"/>
      <c r="B430" s="700"/>
      <c r="C430" s="701"/>
      <c r="D430" s="702" t="s">
        <v>3006</v>
      </c>
      <c r="E430" s="703"/>
      <c r="F430" s="703"/>
      <c r="G430" s="703"/>
      <c r="H430" s="703"/>
      <c r="I430" s="703"/>
      <c r="J430" s="703"/>
      <c r="K430" s="703"/>
      <c r="L430" s="703"/>
      <c r="M430" s="703"/>
      <c r="N430" s="703"/>
      <c r="O430" s="703"/>
      <c r="P430" s="703"/>
      <c r="Q430" s="703"/>
      <c r="R430" s="704"/>
      <c r="S430" s="704"/>
      <c r="T430" s="703"/>
      <c r="U430" s="703" t="s">
        <v>3718</v>
      </c>
      <c r="V430" s="703"/>
      <c r="W430" s="703"/>
      <c r="X430" s="703"/>
      <c r="Y430" s="703"/>
      <c r="Z430" s="703"/>
      <c r="AA430" s="703"/>
      <c r="AB430" s="703"/>
      <c r="AC430" s="703"/>
      <c r="AD430" s="703"/>
      <c r="AE430" s="766"/>
      <c r="AF430" s="960"/>
      <c r="AG430" s="703"/>
      <c r="AH430" s="703"/>
      <c r="AI430" s="703"/>
      <c r="AJ430" s="703"/>
      <c r="AK430" s="703"/>
      <c r="AL430" s="703"/>
      <c r="AM430" s="703"/>
      <c r="AN430" s="703"/>
      <c r="AO430" s="703"/>
      <c r="AP430" s="703"/>
      <c r="AQ430" s="703"/>
      <c r="AR430" s="703"/>
      <c r="AS430" s="703"/>
      <c r="AT430" s="703"/>
      <c r="AU430" s="703"/>
      <c r="AV430" s="703"/>
      <c r="AW430" s="703">
        <f>IF(OR(U430="I",U430="G"),1,)</f>
        <v>0</v>
      </c>
      <c r="AX430" s="703"/>
      <c r="AY430" s="703"/>
      <c r="AZ430" s="703">
        <f>IF(OR(U430="I",U430="G"),1,)</f>
        <v>0</v>
      </c>
      <c r="BA430" s="703"/>
      <c r="BB430" s="703"/>
      <c r="BC430" s="703"/>
      <c r="BD430" s="703"/>
      <c r="BE430" s="703">
        <v>3</v>
      </c>
      <c r="BF430" s="703"/>
      <c r="BG430" s="703"/>
      <c r="BH430" s="703"/>
      <c r="BI430" s="703"/>
      <c r="BJ430" s="703">
        <f>CD430</f>
        <v>0</v>
      </c>
      <c r="BK430" s="703"/>
      <c r="BL430" s="703"/>
      <c r="BM430" s="703"/>
      <c r="BN430" s="703"/>
      <c r="BO430" s="703"/>
      <c r="BP430" s="703"/>
      <c r="BQ430" s="703"/>
      <c r="BR430" s="703"/>
      <c r="BS430" s="703"/>
      <c r="BT430" s="703"/>
      <c r="BU430" s="703"/>
      <c r="BV430" s="703">
        <v>3</v>
      </c>
      <c r="BW430" s="703"/>
      <c r="BX430" s="703"/>
      <c r="BY430" s="703">
        <v>3</v>
      </c>
      <c r="BZ430" s="703"/>
      <c r="CA430" s="703"/>
      <c r="CB430" s="703"/>
      <c r="CC430" s="703"/>
      <c r="CD430" s="703">
        <f t="shared" ref="CD430:CD477" si="137">DA430</f>
        <v>0</v>
      </c>
      <c r="CE430" s="703"/>
      <c r="CF430" s="703">
        <v>6</v>
      </c>
      <c r="CG430" s="703"/>
      <c r="CH430" s="703">
        <v>12</v>
      </c>
      <c r="CI430" s="703">
        <v>2</v>
      </c>
      <c r="CJ430" s="703">
        <v>6</v>
      </c>
      <c r="CK430" s="703"/>
      <c r="CL430" s="703">
        <f t="shared" si="130"/>
        <v>0</v>
      </c>
      <c r="CM430" s="703"/>
      <c r="CN430" s="703">
        <v>6</v>
      </c>
      <c r="CO430" s="703">
        <v>6</v>
      </c>
      <c r="CP430" s="703"/>
      <c r="CQ430" s="703"/>
      <c r="CR430" s="703"/>
      <c r="CS430" s="703"/>
      <c r="CT430" s="703"/>
      <c r="CU430" s="703"/>
      <c r="CV430" s="703"/>
      <c r="CW430" s="703"/>
      <c r="CX430" s="703"/>
      <c r="CY430" s="703"/>
      <c r="CZ430" s="703"/>
      <c r="DA430" s="703"/>
      <c r="DB430" s="703"/>
      <c r="DC430" s="703"/>
      <c r="DD430" s="703"/>
      <c r="DE430" s="703"/>
      <c r="DF430" s="703"/>
      <c r="DG430" s="705"/>
      <c r="DH430" s="705"/>
      <c r="DI430" s="705"/>
      <c r="DJ430" s="705"/>
      <c r="DK430" s="705"/>
      <c r="DL430" s="705"/>
      <c r="DM430" s="705"/>
      <c r="DN430" s="705"/>
      <c r="DO430" s="705"/>
      <c r="DP430" s="705"/>
      <c r="DQ430" s="705"/>
      <c r="DR430" s="705"/>
      <c r="DS430" s="703"/>
      <c r="DT430" s="703"/>
      <c r="DU430" s="703"/>
      <c r="DV430" s="703"/>
      <c r="DW430" s="703"/>
      <c r="DX430" s="703"/>
      <c r="DY430" s="703"/>
      <c r="DZ430" s="703"/>
      <c r="EA430" s="703"/>
      <c r="EB430" s="703"/>
      <c r="EC430" s="703"/>
      <c r="ED430" s="703"/>
      <c r="EE430" s="703"/>
      <c r="EF430" s="703"/>
      <c r="EG430" s="703"/>
      <c r="EH430" s="703"/>
      <c r="EI430" s="703"/>
      <c r="EJ430" s="703"/>
      <c r="EK430" s="703"/>
      <c r="EL430" s="703"/>
      <c r="EM430" s="703"/>
      <c r="EN430" s="703"/>
      <c r="EO430" s="703"/>
      <c r="EP430" s="703"/>
      <c r="EQ430" s="703"/>
      <c r="ER430" s="703"/>
      <c r="ES430" s="703"/>
      <c r="ET430" s="703"/>
      <c r="EU430" s="703"/>
      <c r="EV430" s="703"/>
      <c r="EW430" s="703"/>
      <c r="EX430" s="703"/>
      <c r="EY430" s="703"/>
      <c r="EZ430" s="703"/>
      <c r="FA430" s="703"/>
      <c r="FB430" s="703"/>
      <c r="FC430" s="703"/>
      <c r="FD430" s="703"/>
      <c r="FE430" s="703"/>
      <c r="FF430" s="703"/>
      <c r="FG430" s="703"/>
      <c r="FH430" s="703"/>
      <c r="FI430" s="703"/>
      <c r="FJ430" s="703"/>
      <c r="FK430" s="703"/>
      <c r="FL430" s="703"/>
      <c r="FM430" s="703"/>
      <c r="FN430" s="703"/>
      <c r="FO430" s="703"/>
      <c r="FP430" s="703"/>
      <c r="FQ430" s="704"/>
    </row>
    <row r="431" spans="1:173" s="706" customFormat="1">
      <c r="A431" s="700"/>
      <c r="B431" s="700"/>
      <c r="C431" s="701" t="s">
        <v>3637</v>
      </c>
      <c r="D431" s="701"/>
      <c r="E431" s="703">
        <v>35.700000000000003</v>
      </c>
      <c r="F431" s="703"/>
      <c r="G431" s="703"/>
      <c r="H431" s="703"/>
      <c r="I431" s="703">
        <f>E431</f>
        <v>35.700000000000003</v>
      </c>
      <c r="J431" s="703"/>
      <c r="K431" s="703"/>
      <c r="L431" s="703"/>
      <c r="M431" s="703"/>
      <c r="N431" s="703"/>
      <c r="O431" s="703"/>
      <c r="P431" s="703"/>
      <c r="Q431" s="703"/>
      <c r="R431" s="704"/>
      <c r="S431" s="704"/>
      <c r="T431" s="703"/>
      <c r="U431" s="703" t="s">
        <v>1631</v>
      </c>
      <c r="V431" s="703"/>
      <c r="W431" s="703"/>
      <c r="X431" s="703"/>
      <c r="Y431" s="703"/>
      <c r="Z431" s="703"/>
      <c r="AA431" s="703"/>
      <c r="AB431" s="703"/>
      <c r="AC431" s="703"/>
      <c r="AD431" s="703"/>
      <c r="AE431" s="766"/>
      <c r="AF431" s="960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>
        <f t="shared" ref="AW431:AW478" si="138">IF(OR(U431="I",U431="G"),1,)</f>
        <v>1</v>
      </c>
      <c r="AX431" s="703"/>
      <c r="AY431" s="703"/>
      <c r="AZ431" s="703">
        <f t="shared" ref="AZ431:AZ478" si="139">IF(OR(U431="I",U431="G"),1,)</f>
        <v>1</v>
      </c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>
        <f t="shared" ref="BJ431:BJ478" si="140">CD431</f>
        <v>1</v>
      </c>
      <c r="BK431" s="703"/>
      <c r="BL431" s="703"/>
      <c r="BM431" s="703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  <c r="BX431" s="703"/>
      <c r="BY431" s="703"/>
      <c r="BZ431" s="703"/>
      <c r="CA431" s="703"/>
      <c r="CB431" s="703"/>
      <c r="CC431" s="703"/>
      <c r="CD431" s="703">
        <f t="shared" si="137"/>
        <v>1</v>
      </c>
      <c r="CE431" s="703"/>
      <c r="CF431" s="703"/>
      <c r="CG431" s="703"/>
      <c r="CH431" s="703"/>
      <c r="CI431" s="703"/>
      <c r="CJ431" s="703"/>
      <c r="CK431" s="703"/>
      <c r="CL431" s="703">
        <f t="shared" si="130"/>
        <v>0</v>
      </c>
      <c r="CM431" s="703"/>
      <c r="CN431" s="703"/>
      <c r="CO431" s="703"/>
      <c r="CP431" s="703"/>
      <c r="CQ431" s="703"/>
      <c r="CR431" s="703"/>
      <c r="CS431" s="703"/>
      <c r="CT431" s="703"/>
      <c r="CU431" s="703"/>
      <c r="CV431" s="703"/>
      <c r="CW431" s="703"/>
      <c r="CX431" s="703"/>
      <c r="CY431" s="703"/>
      <c r="CZ431" s="703"/>
      <c r="DA431" s="703">
        <v>1</v>
      </c>
      <c r="DB431" s="703"/>
      <c r="DC431" s="703"/>
      <c r="DD431" s="703"/>
      <c r="DE431" s="703"/>
      <c r="DF431" s="703"/>
      <c r="DG431" s="705"/>
      <c r="DH431" s="705"/>
      <c r="DI431" s="705"/>
      <c r="DJ431" s="705"/>
      <c r="DK431" s="705"/>
      <c r="DL431" s="705"/>
      <c r="DM431" s="705"/>
      <c r="DN431" s="705"/>
      <c r="DO431" s="705"/>
      <c r="DP431" s="705"/>
      <c r="DQ431" s="705"/>
      <c r="DR431" s="705"/>
      <c r="DS431" s="703"/>
      <c r="DT431" s="703"/>
      <c r="DU431" s="703"/>
      <c r="DV431" s="703"/>
      <c r="DW431" s="703"/>
      <c r="DX431" s="703"/>
      <c r="DY431" s="703"/>
      <c r="DZ431" s="703"/>
      <c r="EA431" s="703"/>
      <c r="EB431" s="703"/>
      <c r="EC431" s="703"/>
      <c r="ED431" s="703"/>
      <c r="EE431" s="703"/>
      <c r="EF431" s="703"/>
      <c r="EG431" s="703"/>
      <c r="EH431" s="703"/>
      <c r="EI431" s="703"/>
      <c r="EJ431" s="703"/>
      <c r="EK431" s="703"/>
      <c r="EL431" s="703"/>
      <c r="EM431" s="703"/>
      <c r="EN431" s="703"/>
      <c r="EO431" s="703"/>
      <c r="EP431" s="703"/>
      <c r="EQ431" s="703"/>
      <c r="ER431" s="703"/>
      <c r="ES431" s="703"/>
      <c r="ET431" s="703"/>
      <c r="EU431" s="703"/>
      <c r="EV431" s="703"/>
      <c r="EW431" s="703"/>
      <c r="EX431" s="703"/>
      <c r="EY431" s="703"/>
      <c r="EZ431" s="703"/>
      <c r="FA431" s="703"/>
      <c r="FB431" s="703"/>
      <c r="FC431" s="703"/>
      <c r="FD431" s="703"/>
      <c r="FE431" s="703"/>
      <c r="FF431" s="703"/>
      <c r="FG431" s="703"/>
      <c r="FH431" s="703"/>
      <c r="FI431" s="703"/>
      <c r="FJ431" s="703"/>
      <c r="FK431" s="703"/>
      <c r="FL431" s="703"/>
      <c r="FM431" s="703"/>
      <c r="FN431" s="703"/>
      <c r="FO431" s="703"/>
      <c r="FP431" s="703"/>
      <c r="FQ431" s="704"/>
    </row>
    <row r="432" spans="1:173" s="706" customFormat="1">
      <c r="A432" s="700"/>
      <c r="B432" s="700"/>
      <c r="C432" s="701" t="s">
        <v>3638</v>
      </c>
      <c r="D432" s="701"/>
      <c r="E432" s="703">
        <v>38.1</v>
      </c>
      <c r="F432" s="703"/>
      <c r="G432" s="703"/>
      <c r="H432" s="703"/>
      <c r="I432" s="703">
        <f t="shared" ref="I432:I447" si="141">E432</f>
        <v>38.1</v>
      </c>
      <c r="J432" s="703"/>
      <c r="K432" s="703"/>
      <c r="L432" s="703"/>
      <c r="M432" s="703"/>
      <c r="N432" s="703"/>
      <c r="O432" s="703"/>
      <c r="P432" s="703"/>
      <c r="Q432" s="703"/>
      <c r="R432" s="704"/>
      <c r="S432" s="704"/>
      <c r="T432" s="703"/>
      <c r="U432" s="703" t="s">
        <v>1631</v>
      </c>
      <c r="V432" s="703"/>
      <c r="W432" s="703"/>
      <c r="X432" s="703"/>
      <c r="Y432" s="703"/>
      <c r="Z432" s="703"/>
      <c r="AA432" s="703"/>
      <c r="AB432" s="703"/>
      <c r="AC432" s="703"/>
      <c r="AD432" s="703"/>
      <c r="AE432" s="766"/>
      <c r="AF432" s="960"/>
      <c r="AG432" s="703"/>
      <c r="AH432" s="703"/>
      <c r="AI432" s="703"/>
      <c r="AJ432" s="703"/>
      <c r="AK432" s="703"/>
      <c r="AL432" s="703"/>
      <c r="AM432" s="703"/>
      <c r="AN432" s="703"/>
      <c r="AO432" s="703"/>
      <c r="AP432" s="703"/>
      <c r="AQ432" s="703"/>
      <c r="AR432" s="703"/>
      <c r="AS432" s="703"/>
      <c r="AT432" s="703"/>
      <c r="AU432" s="703"/>
      <c r="AV432" s="703"/>
      <c r="AW432" s="703">
        <f t="shared" si="138"/>
        <v>1</v>
      </c>
      <c r="AX432" s="703"/>
      <c r="AY432" s="703"/>
      <c r="AZ432" s="703">
        <f t="shared" si="139"/>
        <v>1</v>
      </c>
      <c r="BA432" s="703"/>
      <c r="BB432" s="703"/>
      <c r="BC432" s="703"/>
      <c r="BD432" s="703"/>
      <c r="BE432" s="703"/>
      <c r="BF432" s="703"/>
      <c r="BG432" s="703"/>
      <c r="BH432" s="703"/>
      <c r="BI432" s="703"/>
      <c r="BJ432" s="703">
        <f t="shared" si="140"/>
        <v>1</v>
      </c>
      <c r="BK432" s="703"/>
      <c r="BL432" s="703"/>
      <c r="BM432" s="703"/>
      <c r="BN432" s="703"/>
      <c r="BO432" s="703"/>
      <c r="BP432" s="703"/>
      <c r="BQ432" s="703"/>
      <c r="BR432" s="703"/>
      <c r="BS432" s="703"/>
      <c r="BT432" s="703"/>
      <c r="BU432" s="703"/>
      <c r="BV432" s="703"/>
      <c r="BW432" s="703"/>
      <c r="BX432" s="703"/>
      <c r="BY432" s="703"/>
      <c r="BZ432" s="703"/>
      <c r="CA432" s="703"/>
      <c r="CB432" s="703"/>
      <c r="CC432" s="703"/>
      <c r="CD432" s="703">
        <f t="shared" si="137"/>
        <v>1</v>
      </c>
      <c r="CE432" s="703"/>
      <c r="CF432" s="703"/>
      <c r="CG432" s="703"/>
      <c r="CH432" s="703"/>
      <c r="CI432" s="703"/>
      <c r="CJ432" s="703"/>
      <c r="CK432" s="703"/>
      <c r="CL432" s="703">
        <f t="shared" si="130"/>
        <v>0</v>
      </c>
      <c r="CM432" s="703"/>
      <c r="CN432" s="703"/>
      <c r="CO432" s="703"/>
      <c r="CP432" s="703"/>
      <c r="CQ432" s="703"/>
      <c r="CR432" s="703"/>
      <c r="CS432" s="703"/>
      <c r="CT432" s="703"/>
      <c r="CU432" s="703"/>
      <c r="CV432" s="703"/>
      <c r="CW432" s="703"/>
      <c r="CX432" s="703"/>
      <c r="CY432" s="703"/>
      <c r="CZ432" s="703"/>
      <c r="DA432" s="703">
        <v>1</v>
      </c>
      <c r="DB432" s="703"/>
      <c r="DC432" s="703"/>
      <c r="DD432" s="703"/>
      <c r="DE432" s="703"/>
      <c r="DF432" s="703"/>
      <c r="DG432" s="705"/>
      <c r="DH432" s="705"/>
      <c r="DI432" s="705"/>
      <c r="DJ432" s="705"/>
      <c r="DK432" s="705"/>
      <c r="DL432" s="705"/>
      <c r="DM432" s="705"/>
      <c r="DN432" s="705"/>
      <c r="DO432" s="705"/>
      <c r="DP432" s="705"/>
      <c r="DQ432" s="705"/>
      <c r="DR432" s="705"/>
      <c r="DS432" s="703"/>
      <c r="DT432" s="703"/>
      <c r="DU432" s="703"/>
      <c r="DV432" s="703"/>
      <c r="DW432" s="703"/>
      <c r="DX432" s="703"/>
      <c r="DY432" s="703"/>
      <c r="DZ432" s="703"/>
      <c r="EA432" s="703"/>
      <c r="EB432" s="703"/>
      <c r="EC432" s="703"/>
      <c r="ED432" s="703"/>
      <c r="EE432" s="703"/>
      <c r="EF432" s="703"/>
      <c r="EG432" s="703"/>
      <c r="EH432" s="703"/>
      <c r="EI432" s="703"/>
      <c r="EJ432" s="703"/>
      <c r="EK432" s="703"/>
      <c r="EL432" s="703"/>
      <c r="EM432" s="703"/>
      <c r="EN432" s="703"/>
      <c r="EO432" s="703"/>
      <c r="EP432" s="703"/>
      <c r="EQ432" s="703"/>
      <c r="ER432" s="703"/>
      <c r="ES432" s="703"/>
      <c r="ET432" s="703"/>
      <c r="EU432" s="703"/>
      <c r="EV432" s="703"/>
      <c r="EW432" s="703"/>
      <c r="EX432" s="703"/>
      <c r="EY432" s="703"/>
      <c r="EZ432" s="703"/>
      <c r="FA432" s="703"/>
      <c r="FB432" s="703"/>
      <c r="FC432" s="703"/>
      <c r="FD432" s="703"/>
      <c r="FE432" s="703"/>
      <c r="FF432" s="703"/>
      <c r="FG432" s="703"/>
      <c r="FH432" s="703"/>
      <c r="FI432" s="703"/>
      <c r="FJ432" s="703"/>
      <c r="FK432" s="703"/>
      <c r="FL432" s="703"/>
      <c r="FM432" s="703"/>
      <c r="FN432" s="703"/>
      <c r="FO432" s="703"/>
      <c r="FP432" s="703"/>
      <c r="FQ432" s="704"/>
    </row>
    <row r="433" spans="1:173" s="706" customFormat="1">
      <c r="A433" s="700"/>
      <c r="B433" s="700"/>
      <c r="C433" s="701" t="s">
        <v>3639</v>
      </c>
      <c r="D433" s="701"/>
      <c r="E433" s="703">
        <v>40.5</v>
      </c>
      <c r="F433" s="703"/>
      <c r="G433" s="703"/>
      <c r="H433" s="703"/>
      <c r="I433" s="703">
        <f t="shared" si="141"/>
        <v>40.5</v>
      </c>
      <c r="J433" s="703"/>
      <c r="K433" s="703"/>
      <c r="L433" s="703"/>
      <c r="M433" s="703"/>
      <c r="N433" s="703"/>
      <c r="O433" s="703"/>
      <c r="P433" s="703"/>
      <c r="Q433" s="703"/>
      <c r="R433" s="704"/>
      <c r="S433" s="704"/>
      <c r="T433" s="703"/>
      <c r="U433" s="703" t="s">
        <v>1631</v>
      </c>
      <c r="V433" s="703"/>
      <c r="W433" s="703"/>
      <c r="X433" s="703"/>
      <c r="Y433" s="703"/>
      <c r="Z433" s="703"/>
      <c r="AA433" s="703"/>
      <c r="AB433" s="703"/>
      <c r="AC433" s="703"/>
      <c r="AD433" s="703"/>
      <c r="AE433" s="766"/>
      <c r="AF433" s="960"/>
      <c r="AG433" s="703"/>
      <c r="AH433" s="703"/>
      <c r="AI433" s="703"/>
      <c r="AJ433" s="703"/>
      <c r="AK433" s="703"/>
      <c r="AL433" s="703"/>
      <c r="AM433" s="703"/>
      <c r="AN433" s="703"/>
      <c r="AO433" s="703"/>
      <c r="AP433" s="703"/>
      <c r="AQ433" s="703"/>
      <c r="AR433" s="703"/>
      <c r="AS433" s="703"/>
      <c r="AT433" s="703"/>
      <c r="AU433" s="703"/>
      <c r="AV433" s="703"/>
      <c r="AW433" s="703">
        <f t="shared" si="138"/>
        <v>1</v>
      </c>
      <c r="AX433" s="703"/>
      <c r="AY433" s="703"/>
      <c r="AZ433" s="703">
        <f t="shared" si="139"/>
        <v>1</v>
      </c>
      <c r="BA433" s="703"/>
      <c r="BB433" s="703"/>
      <c r="BC433" s="703"/>
      <c r="BD433" s="703"/>
      <c r="BE433" s="703"/>
      <c r="BF433" s="703"/>
      <c r="BG433" s="703"/>
      <c r="BH433" s="703"/>
      <c r="BI433" s="703"/>
      <c r="BJ433" s="703">
        <f t="shared" si="140"/>
        <v>1</v>
      </c>
      <c r="BK433" s="703"/>
      <c r="BL433" s="703"/>
      <c r="BM433" s="703"/>
      <c r="BN433" s="703"/>
      <c r="BO433" s="703"/>
      <c r="BP433" s="703"/>
      <c r="BQ433" s="703"/>
      <c r="BR433" s="703"/>
      <c r="BS433" s="703"/>
      <c r="BT433" s="703"/>
      <c r="BU433" s="703"/>
      <c r="BV433" s="703"/>
      <c r="BW433" s="703"/>
      <c r="BX433" s="703"/>
      <c r="BY433" s="703"/>
      <c r="BZ433" s="703"/>
      <c r="CA433" s="703"/>
      <c r="CB433" s="703"/>
      <c r="CC433" s="703"/>
      <c r="CD433" s="703">
        <f t="shared" si="137"/>
        <v>1</v>
      </c>
      <c r="CE433" s="703"/>
      <c r="CF433" s="703"/>
      <c r="CG433" s="703"/>
      <c r="CH433" s="703"/>
      <c r="CI433" s="703"/>
      <c r="CJ433" s="703"/>
      <c r="CK433" s="703"/>
      <c r="CL433" s="703">
        <f t="shared" si="130"/>
        <v>0</v>
      </c>
      <c r="CM433" s="703"/>
      <c r="CN433" s="703"/>
      <c r="CO433" s="703"/>
      <c r="CP433" s="703"/>
      <c r="CQ433" s="703"/>
      <c r="CR433" s="703"/>
      <c r="CS433" s="703"/>
      <c r="CT433" s="703"/>
      <c r="CU433" s="703"/>
      <c r="CV433" s="703"/>
      <c r="CW433" s="703"/>
      <c r="CX433" s="703"/>
      <c r="CY433" s="703"/>
      <c r="CZ433" s="703"/>
      <c r="DA433" s="703">
        <v>1</v>
      </c>
      <c r="DB433" s="703"/>
      <c r="DC433" s="703"/>
      <c r="DD433" s="703"/>
      <c r="DE433" s="703"/>
      <c r="DF433" s="703"/>
      <c r="DG433" s="705"/>
      <c r="DH433" s="705"/>
      <c r="DI433" s="705"/>
      <c r="DJ433" s="705"/>
      <c r="DK433" s="705"/>
      <c r="DL433" s="705"/>
      <c r="DM433" s="705"/>
      <c r="DN433" s="705"/>
      <c r="DO433" s="705"/>
      <c r="DP433" s="705"/>
      <c r="DQ433" s="705"/>
      <c r="DR433" s="705"/>
      <c r="DS433" s="703"/>
      <c r="DT433" s="703"/>
      <c r="DU433" s="703"/>
      <c r="DV433" s="703"/>
      <c r="DW433" s="703"/>
      <c r="DX433" s="703"/>
      <c r="DY433" s="703"/>
      <c r="DZ433" s="703"/>
      <c r="EA433" s="703"/>
      <c r="EB433" s="703"/>
      <c r="EC433" s="703"/>
      <c r="ED433" s="703"/>
      <c r="EE433" s="703"/>
      <c r="EF433" s="703"/>
      <c r="EG433" s="703"/>
      <c r="EH433" s="703"/>
      <c r="EI433" s="703"/>
      <c r="EJ433" s="703"/>
      <c r="EK433" s="703"/>
      <c r="EL433" s="703"/>
      <c r="EM433" s="703"/>
      <c r="EN433" s="703"/>
      <c r="EO433" s="703"/>
      <c r="EP433" s="703"/>
      <c r="EQ433" s="703"/>
      <c r="ER433" s="703"/>
      <c r="ES433" s="703"/>
      <c r="ET433" s="703"/>
      <c r="EU433" s="703"/>
      <c r="EV433" s="703"/>
      <c r="EW433" s="703"/>
      <c r="EX433" s="703"/>
      <c r="EY433" s="703"/>
      <c r="EZ433" s="703"/>
      <c r="FA433" s="703"/>
      <c r="FB433" s="703"/>
      <c r="FC433" s="703"/>
      <c r="FD433" s="703"/>
      <c r="FE433" s="703"/>
      <c r="FF433" s="703"/>
      <c r="FG433" s="703"/>
      <c r="FH433" s="703"/>
      <c r="FI433" s="703"/>
      <c r="FJ433" s="703"/>
      <c r="FK433" s="703"/>
      <c r="FL433" s="703"/>
      <c r="FM433" s="703"/>
      <c r="FN433" s="703"/>
      <c r="FO433" s="703"/>
      <c r="FP433" s="703"/>
      <c r="FQ433" s="704"/>
    </row>
    <row r="434" spans="1:173" s="706" customFormat="1">
      <c r="A434" s="700"/>
      <c r="B434" s="700"/>
      <c r="C434" s="701" t="s">
        <v>3640</v>
      </c>
      <c r="D434" s="701"/>
      <c r="E434" s="703">
        <v>30.7</v>
      </c>
      <c r="F434" s="703"/>
      <c r="G434" s="703"/>
      <c r="H434" s="703"/>
      <c r="I434" s="703">
        <f t="shared" si="141"/>
        <v>30.7</v>
      </c>
      <c r="J434" s="703"/>
      <c r="K434" s="703"/>
      <c r="L434" s="703"/>
      <c r="M434" s="703"/>
      <c r="N434" s="703"/>
      <c r="O434" s="703"/>
      <c r="P434" s="703"/>
      <c r="Q434" s="703"/>
      <c r="R434" s="704"/>
      <c r="S434" s="704"/>
      <c r="T434" s="703"/>
      <c r="U434" s="703" t="s">
        <v>1631</v>
      </c>
      <c r="V434" s="703"/>
      <c r="W434" s="703"/>
      <c r="X434" s="703"/>
      <c r="Y434" s="703"/>
      <c r="Z434" s="703"/>
      <c r="AA434" s="703"/>
      <c r="AB434" s="703"/>
      <c r="AC434" s="703"/>
      <c r="AD434" s="703"/>
      <c r="AE434" s="766"/>
      <c r="AF434" s="960"/>
      <c r="AG434" s="703"/>
      <c r="AH434" s="703"/>
      <c r="AI434" s="703"/>
      <c r="AJ434" s="703"/>
      <c r="AK434" s="703"/>
      <c r="AL434" s="703"/>
      <c r="AM434" s="703"/>
      <c r="AN434" s="703"/>
      <c r="AO434" s="703"/>
      <c r="AP434" s="703"/>
      <c r="AQ434" s="703"/>
      <c r="AR434" s="703"/>
      <c r="AS434" s="703"/>
      <c r="AT434" s="703"/>
      <c r="AU434" s="703"/>
      <c r="AV434" s="703"/>
      <c r="AW434" s="703">
        <f t="shared" si="138"/>
        <v>1</v>
      </c>
      <c r="AX434" s="703"/>
      <c r="AY434" s="703"/>
      <c r="AZ434" s="703">
        <f t="shared" si="139"/>
        <v>1</v>
      </c>
      <c r="BA434" s="703"/>
      <c r="BB434" s="703"/>
      <c r="BC434" s="703"/>
      <c r="BD434" s="703"/>
      <c r="BE434" s="703"/>
      <c r="BF434" s="703"/>
      <c r="BG434" s="703"/>
      <c r="BH434" s="703"/>
      <c r="BI434" s="703"/>
      <c r="BJ434" s="703">
        <f t="shared" si="140"/>
        <v>0</v>
      </c>
      <c r="BK434" s="703"/>
      <c r="BL434" s="703"/>
      <c r="BM434" s="703"/>
      <c r="BN434" s="703"/>
      <c r="BO434" s="703"/>
      <c r="BP434" s="703"/>
      <c r="BQ434" s="703"/>
      <c r="BR434" s="703"/>
      <c r="BS434" s="703"/>
      <c r="BT434" s="703"/>
      <c r="BU434" s="703"/>
      <c r="BV434" s="703"/>
      <c r="BW434" s="703"/>
      <c r="BX434" s="703"/>
      <c r="BY434" s="703"/>
      <c r="BZ434" s="703"/>
      <c r="CA434" s="703"/>
      <c r="CB434" s="703"/>
      <c r="CC434" s="703"/>
      <c r="CD434" s="703">
        <f t="shared" si="137"/>
        <v>0</v>
      </c>
      <c r="CE434" s="703"/>
      <c r="CF434" s="703"/>
      <c r="CG434" s="703"/>
      <c r="CH434" s="703"/>
      <c r="CI434" s="703"/>
      <c r="CJ434" s="703"/>
      <c r="CK434" s="703"/>
      <c r="CL434" s="703">
        <f t="shared" si="130"/>
        <v>0</v>
      </c>
      <c r="CM434" s="703"/>
      <c r="CN434" s="703"/>
      <c r="CO434" s="703"/>
      <c r="CP434" s="703"/>
      <c r="CQ434" s="703"/>
      <c r="CR434" s="703"/>
      <c r="CS434" s="703"/>
      <c r="CT434" s="703"/>
      <c r="CU434" s="703"/>
      <c r="CV434" s="703"/>
      <c r="CW434" s="703"/>
      <c r="CX434" s="703"/>
      <c r="CY434" s="703"/>
      <c r="CZ434" s="703"/>
      <c r="DA434" s="703"/>
      <c r="DB434" s="703"/>
      <c r="DC434" s="703"/>
      <c r="DD434" s="703"/>
      <c r="DE434" s="703"/>
      <c r="DF434" s="703"/>
      <c r="DG434" s="705"/>
      <c r="DH434" s="705"/>
      <c r="DI434" s="705"/>
      <c r="DJ434" s="705"/>
      <c r="DK434" s="705"/>
      <c r="DL434" s="705"/>
      <c r="DM434" s="705"/>
      <c r="DN434" s="705"/>
      <c r="DO434" s="705"/>
      <c r="DP434" s="705"/>
      <c r="DQ434" s="705"/>
      <c r="DR434" s="705"/>
      <c r="DS434" s="703"/>
      <c r="DT434" s="703"/>
      <c r="DU434" s="703"/>
      <c r="DV434" s="703"/>
      <c r="DW434" s="703"/>
      <c r="DX434" s="703"/>
      <c r="DY434" s="703"/>
      <c r="DZ434" s="703"/>
      <c r="EA434" s="703"/>
      <c r="EB434" s="703"/>
      <c r="EC434" s="703"/>
      <c r="ED434" s="703"/>
      <c r="EE434" s="703"/>
      <c r="EF434" s="703"/>
      <c r="EG434" s="703"/>
      <c r="EH434" s="703"/>
      <c r="EI434" s="703"/>
      <c r="EJ434" s="703"/>
      <c r="EK434" s="703"/>
      <c r="EL434" s="703"/>
      <c r="EM434" s="703"/>
      <c r="EN434" s="703"/>
      <c r="EO434" s="703"/>
      <c r="EP434" s="703"/>
      <c r="EQ434" s="703"/>
      <c r="ER434" s="703"/>
      <c r="ES434" s="703"/>
      <c r="ET434" s="703"/>
      <c r="EU434" s="703"/>
      <c r="EV434" s="703"/>
      <c r="EW434" s="703"/>
      <c r="EX434" s="703"/>
      <c r="EY434" s="703"/>
      <c r="EZ434" s="703"/>
      <c r="FA434" s="703"/>
      <c r="FB434" s="703"/>
      <c r="FC434" s="703"/>
      <c r="FD434" s="703"/>
      <c r="FE434" s="703"/>
      <c r="FF434" s="703"/>
      <c r="FG434" s="703"/>
      <c r="FH434" s="703"/>
      <c r="FI434" s="703"/>
      <c r="FJ434" s="703"/>
      <c r="FK434" s="703"/>
      <c r="FL434" s="703"/>
      <c r="FM434" s="703"/>
      <c r="FN434" s="703"/>
      <c r="FO434" s="703"/>
      <c r="FP434" s="703"/>
      <c r="FQ434" s="704"/>
    </row>
    <row r="435" spans="1:173" s="706" customFormat="1">
      <c r="A435" s="700"/>
      <c r="B435" s="700"/>
      <c r="C435" s="701" t="s">
        <v>3641</v>
      </c>
      <c r="D435" s="701"/>
      <c r="E435" s="703">
        <v>36.1</v>
      </c>
      <c r="F435" s="703"/>
      <c r="G435" s="703"/>
      <c r="H435" s="703"/>
      <c r="I435" s="703">
        <f t="shared" si="141"/>
        <v>36.1</v>
      </c>
      <c r="J435" s="703"/>
      <c r="K435" s="703"/>
      <c r="L435" s="703"/>
      <c r="M435" s="703"/>
      <c r="N435" s="703"/>
      <c r="O435" s="703"/>
      <c r="P435" s="703"/>
      <c r="Q435" s="703"/>
      <c r="R435" s="704"/>
      <c r="S435" s="704"/>
      <c r="T435" s="703"/>
      <c r="U435" s="703" t="s">
        <v>1631</v>
      </c>
      <c r="V435" s="703"/>
      <c r="W435" s="703"/>
      <c r="X435" s="703"/>
      <c r="Y435" s="703"/>
      <c r="Z435" s="703"/>
      <c r="AA435" s="703"/>
      <c r="AB435" s="703"/>
      <c r="AC435" s="703"/>
      <c r="AD435" s="703"/>
      <c r="AE435" s="766"/>
      <c r="AF435" s="960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>
        <f t="shared" si="138"/>
        <v>1</v>
      </c>
      <c r="AX435" s="703"/>
      <c r="AY435" s="703"/>
      <c r="AZ435" s="703">
        <f t="shared" si="139"/>
        <v>1</v>
      </c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>
        <f t="shared" si="140"/>
        <v>1</v>
      </c>
      <c r="BK435" s="703"/>
      <c r="BL435" s="703"/>
      <c r="BM435" s="703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  <c r="BX435" s="703"/>
      <c r="BY435" s="703"/>
      <c r="BZ435" s="703"/>
      <c r="CA435" s="703"/>
      <c r="CB435" s="703"/>
      <c r="CC435" s="703"/>
      <c r="CD435" s="703">
        <f t="shared" si="137"/>
        <v>1</v>
      </c>
      <c r="CE435" s="703"/>
      <c r="CF435" s="703"/>
      <c r="CG435" s="703"/>
      <c r="CH435" s="703"/>
      <c r="CI435" s="703"/>
      <c r="CJ435" s="703"/>
      <c r="CK435" s="703"/>
      <c r="CL435" s="703">
        <f t="shared" si="130"/>
        <v>2</v>
      </c>
      <c r="CM435" s="703"/>
      <c r="CN435" s="703"/>
      <c r="CO435" s="703"/>
      <c r="CP435" s="703"/>
      <c r="CQ435" s="703"/>
      <c r="CR435" s="703"/>
      <c r="CS435" s="703"/>
      <c r="CT435" s="703"/>
      <c r="CU435" s="703"/>
      <c r="CV435" s="703"/>
      <c r="CW435" s="703"/>
      <c r="CX435" s="703"/>
      <c r="CY435" s="703"/>
      <c r="CZ435" s="703">
        <v>1</v>
      </c>
      <c r="DA435" s="703">
        <v>1</v>
      </c>
      <c r="DB435" s="703"/>
      <c r="DC435" s="703"/>
      <c r="DD435" s="703"/>
      <c r="DE435" s="703"/>
      <c r="DF435" s="703"/>
      <c r="DG435" s="705"/>
      <c r="DH435" s="705"/>
      <c r="DI435" s="705"/>
      <c r="DJ435" s="705"/>
      <c r="DK435" s="705"/>
      <c r="DL435" s="705"/>
      <c r="DM435" s="705"/>
      <c r="DN435" s="705"/>
      <c r="DO435" s="705"/>
      <c r="DP435" s="705"/>
      <c r="DQ435" s="705"/>
      <c r="DR435" s="705"/>
      <c r="DS435" s="703"/>
      <c r="DT435" s="703"/>
      <c r="DU435" s="703"/>
      <c r="DV435" s="703"/>
      <c r="DW435" s="703"/>
      <c r="DX435" s="703"/>
      <c r="DY435" s="703"/>
      <c r="DZ435" s="703"/>
      <c r="EA435" s="703"/>
      <c r="EB435" s="703"/>
      <c r="EC435" s="703"/>
      <c r="ED435" s="703"/>
      <c r="EE435" s="703"/>
      <c r="EF435" s="703"/>
      <c r="EG435" s="703"/>
      <c r="EH435" s="703"/>
      <c r="EI435" s="703"/>
      <c r="EJ435" s="703"/>
      <c r="EK435" s="703"/>
      <c r="EL435" s="703"/>
      <c r="EM435" s="703"/>
      <c r="EN435" s="703"/>
      <c r="EO435" s="703"/>
      <c r="EP435" s="703"/>
      <c r="EQ435" s="703"/>
      <c r="ER435" s="703"/>
      <c r="ES435" s="703"/>
      <c r="ET435" s="703"/>
      <c r="EU435" s="703"/>
      <c r="EV435" s="703"/>
      <c r="EW435" s="703"/>
      <c r="EX435" s="703"/>
      <c r="EY435" s="703"/>
      <c r="EZ435" s="703"/>
      <c r="FA435" s="703"/>
      <c r="FB435" s="703"/>
      <c r="FC435" s="703"/>
      <c r="FD435" s="703"/>
      <c r="FE435" s="703"/>
      <c r="FF435" s="703"/>
      <c r="FG435" s="703"/>
      <c r="FH435" s="703"/>
      <c r="FI435" s="703"/>
      <c r="FJ435" s="703"/>
      <c r="FK435" s="703"/>
      <c r="FL435" s="703"/>
      <c r="FM435" s="703"/>
      <c r="FN435" s="703"/>
      <c r="FO435" s="703"/>
      <c r="FP435" s="703"/>
      <c r="FQ435" s="704"/>
    </row>
    <row r="436" spans="1:173" s="706" customFormat="1">
      <c r="A436" s="700"/>
      <c r="B436" s="700"/>
      <c r="C436" s="701" t="s">
        <v>3647</v>
      </c>
      <c r="D436" s="701"/>
      <c r="E436" s="703">
        <v>28.1</v>
      </c>
      <c r="F436" s="703"/>
      <c r="G436" s="703"/>
      <c r="H436" s="703"/>
      <c r="I436" s="703">
        <f t="shared" si="141"/>
        <v>28.1</v>
      </c>
      <c r="J436" s="703"/>
      <c r="K436" s="703"/>
      <c r="L436" s="703"/>
      <c r="M436" s="703"/>
      <c r="N436" s="703"/>
      <c r="O436" s="703"/>
      <c r="P436" s="703"/>
      <c r="Q436" s="703"/>
      <c r="R436" s="704"/>
      <c r="S436" s="704"/>
      <c r="T436" s="703"/>
      <c r="U436" s="703" t="s">
        <v>2989</v>
      </c>
      <c r="V436" s="703"/>
      <c r="W436" s="703"/>
      <c r="X436" s="703"/>
      <c r="Y436" s="703"/>
      <c r="Z436" s="703"/>
      <c r="AA436" s="703"/>
      <c r="AB436" s="703"/>
      <c r="AC436" s="703"/>
      <c r="AD436" s="703"/>
      <c r="AE436" s="766"/>
      <c r="AF436" s="960"/>
      <c r="AG436" s="703"/>
      <c r="AH436" s="703"/>
      <c r="AI436" s="703"/>
      <c r="AJ436" s="703"/>
      <c r="AK436" s="703"/>
      <c r="AL436" s="703"/>
      <c r="AM436" s="703"/>
      <c r="AN436" s="703"/>
      <c r="AO436" s="703"/>
      <c r="AP436" s="703"/>
      <c r="AQ436" s="703"/>
      <c r="AR436" s="703"/>
      <c r="AS436" s="703"/>
      <c r="AT436" s="703"/>
      <c r="AU436" s="703"/>
      <c r="AV436" s="703"/>
      <c r="AW436" s="703">
        <f t="shared" si="138"/>
        <v>0</v>
      </c>
      <c r="AX436" s="703"/>
      <c r="AY436" s="703"/>
      <c r="AZ436" s="703">
        <f t="shared" si="139"/>
        <v>0</v>
      </c>
      <c r="BA436" s="703"/>
      <c r="BB436" s="703"/>
      <c r="BC436" s="703"/>
      <c r="BD436" s="703">
        <v>2</v>
      </c>
      <c r="BE436" s="703"/>
      <c r="BF436" s="703"/>
      <c r="BG436" s="703"/>
      <c r="BH436" s="703"/>
      <c r="BI436" s="703"/>
      <c r="BJ436" s="703">
        <f t="shared" si="140"/>
        <v>0</v>
      </c>
      <c r="BK436" s="703"/>
      <c r="BL436" s="703"/>
      <c r="BM436" s="703"/>
      <c r="BN436" s="703"/>
      <c r="BO436" s="703"/>
      <c r="BP436" s="703"/>
      <c r="BQ436" s="703"/>
      <c r="BR436" s="703"/>
      <c r="BS436" s="703"/>
      <c r="BT436" s="703"/>
      <c r="BU436" s="703"/>
      <c r="BV436" s="703">
        <v>2</v>
      </c>
      <c r="BW436" s="703"/>
      <c r="BX436" s="703"/>
      <c r="BY436" s="703"/>
      <c r="BZ436" s="703"/>
      <c r="CA436" s="703"/>
      <c r="CB436" s="703"/>
      <c r="CC436" s="703"/>
      <c r="CD436" s="703">
        <f t="shared" si="137"/>
        <v>0</v>
      </c>
      <c r="CE436" s="703"/>
      <c r="CF436" s="703"/>
      <c r="CG436" s="703"/>
      <c r="CH436" s="703"/>
      <c r="CI436" s="703"/>
      <c r="CJ436" s="703"/>
      <c r="CK436" s="703"/>
      <c r="CL436" s="703">
        <f t="shared" si="130"/>
        <v>0</v>
      </c>
      <c r="CM436" s="703"/>
      <c r="CN436" s="703"/>
      <c r="CO436" s="703"/>
      <c r="CP436" s="703"/>
      <c r="CQ436" s="703"/>
      <c r="CR436" s="703"/>
      <c r="CS436" s="703"/>
      <c r="CT436" s="703"/>
      <c r="CU436" s="703"/>
      <c r="CV436" s="703"/>
      <c r="CW436" s="703"/>
      <c r="CX436" s="703"/>
      <c r="CY436" s="703"/>
      <c r="CZ436" s="703"/>
      <c r="DA436" s="703"/>
      <c r="DB436" s="703"/>
      <c r="DC436" s="703"/>
      <c r="DD436" s="703"/>
      <c r="DE436" s="703"/>
      <c r="DF436" s="703"/>
      <c r="DG436" s="705"/>
      <c r="DH436" s="705"/>
      <c r="DI436" s="705"/>
      <c r="DJ436" s="705"/>
      <c r="DK436" s="705"/>
      <c r="DL436" s="705"/>
      <c r="DM436" s="705"/>
      <c r="DN436" s="705"/>
      <c r="DO436" s="705"/>
      <c r="DP436" s="705"/>
      <c r="DQ436" s="705"/>
      <c r="DR436" s="705"/>
      <c r="DS436" s="703"/>
      <c r="DT436" s="703"/>
      <c r="DU436" s="703"/>
      <c r="DV436" s="703"/>
      <c r="DW436" s="703"/>
      <c r="DX436" s="703"/>
      <c r="DY436" s="703"/>
      <c r="DZ436" s="703"/>
      <c r="EA436" s="703"/>
      <c r="EB436" s="703"/>
      <c r="EC436" s="703"/>
      <c r="ED436" s="703"/>
      <c r="EE436" s="703"/>
      <c r="EF436" s="703"/>
      <c r="EG436" s="703"/>
      <c r="EH436" s="703"/>
      <c r="EI436" s="703"/>
      <c r="EJ436" s="703"/>
      <c r="EK436" s="703"/>
      <c r="EL436" s="703"/>
      <c r="EM436" s="703"/>
      <c r="EN436" s="703"/>
      <c r="EO436" s="703"/>
      <c r="EP436" s="703"/>
      <c r="EQ436" s="703"/>
      <c r="ER436" s="703"/>
      <c r="ES436" s="703"/>
      <c r="ET436" s="703"/>
      <c r="EU436" s="703"/>
      <c r="EV436" s="703"/>
      <c r="EW436" s="703"/>
      <c r="EX436" s="703"/>
      <c r="EY436" s="703"/>
      <c r="EZ436" s="703"/>
      <c r="FA436" s="703"/>
      <c r="FB436" s="703"/>
      <c r="FC436" s="703"/>
      <c r="FD436" s="703"/>
      <c r="FE436" s="703"/>
      <c r="FF436" s="703"/>
      <c r="FG436" s="703"/>
      <c r="FH436" s="703"/>
      <c r="FI436" s="703"/>
      <c r="FJ436" s="703"/>
      <c r="FK436" s="703"/>
      <c r="FL436" s="703"/>
      <c r="FM436" s="703"/>
      <c r="FN436" s="703"/>
      <c r="FO436" s="703"/>
      <c r="FP436" s="703"/>
      <c r="FQ436" s="704"/>
    </row>
    <row r="437" spans="1:173" s="706" customFormat="1">
      <c r="A437" s="700"/>
      <c r="B437" s="700"/>
      <c r="C437" s="701" t="s">
        <v>3840</v>
      </c>
      <c r="D437" s="702"/>
      <c r="E437" s="703">
        <v>35.700000000000003</v>
      </c>
      <c r="F437" s="703"/>
      <c r="G437" s="703"/>
      <c r="H437" s="703"/>
      <c r="I437" s="703">
        <f t="shared" si="141"/>
        <v>35.700000000000003</v>
      </c>
      <c r="J437" s="703"/>
      <c r="K437" s="703"/>
      <c r="L437" s="703"/>
      <c r="M437" s="703"/>
      <c r="N437" s="703"/>
      <c r="O437" s="703"/>
      <c r="P437" s="703"/>
      <c r="Q437" s="703"/>
      <c r="R437" s="704"/>
      <c r="S437" s="704"/>
      <c r="T437" s="703"/>
      <c r="U437" s="703" t="s">
        <v>2989</v>
      </c>
      <c r="V437" s="703"/>
      <c r="W437" s="703"/>
      <c r="X437" s="703"/>
      <c r="Y437" s="703"/>
      <c r="Z437" s="703"/>
      <c r="AA437" s="703"/>
      <c r="AB437" s="703"/>
      <c r="AC437" s="703"/>
      <c r="AD437" s="703"/>
      <c r="AE437" s="766"/>
      <c r="AF437" s="960"/>
      <c r="AG437" s="703"/>
      <c r="AH437" s="703"/>
      <c r="AI437" s="703"/>
      <c r="AJ437" s="703"/>
      <c r="AK437" s="703"/>
      <c r="AL437" s="703"/>
      <c r="AM437" s="703"/>
      <c r="AN437" s="703"/>
      <c r="AO437" s="703"/>
      <c r="AP437" s="703"/>
      <c r="AQ437" s="703"/>
      <c r="AR437" s="703"/>
      <c r="AS437" s="703"/>
      <c r="AT437" s="703"/>
      <c r="AU437" s="703"/>
      <c r="AV437" s="703"/>
      <c r="AW437" s="703">
        <f t="shared" si="138"/>
        <v>0</v>
      </c>
      <c r="AX437" s="703"/>
      <c r="AY437" s="703"/>
      <c r="AZ437" s="703">
        <f t="shared" si="139"/>
        <v>0</v>
      </c>
      <c r="BA437" s="703"/>
      <c r="BB437" s="703"/>
      <c r="BC437" s="703"/>
      <c r="BD437" s="703">
        <v>2</v>
      </c>
      <c r="BE437" s="703"/>
      <c r="BF437" s="703"/>
      <c r="BG437" s="703"/>
      <c r="BH437" s="703"/>
      <c r="BI437" s="703"/>
      <c r="BJ437" s="703">
        <f t="shared" si="140"/>
        <v>0</v>
      </c>
      <c r="BK437" s="703"/>
      <c r="BL437" s="703"/>
      <c r="BM437" s="703"/>
      <c r="BN437" s="703"/>
      <c r="BO437" s="703"/>
      <c r="BP437" s="703"/>
      <c r="BQ437" s="703"/>
      <c r="BR437" s="703"/>
      <c r="BS437" s="703"/>
      <c r="BT437" s="703"/>
      <c r="BU437" s="703"/>
      <c r="BV437" s="703">
        <v>2</v>
      </c>
      <c r="BW437" s="703"/>
      <c r="BX437" s="703"/>
      <c r="BY437" s="703"/>
      <c r="BZ437" s="703"/>
      <c r="CA437" s="703"/>
      <c r="CB437" s="703"/>
      <c r="CC437" s="703"/>
      <c r="CD437" s="703">
        <f t="shared" si="137"/>
        <v>0</v>
      </c>
      <c r="CE437" s="703"/>
      <c r="CF437" s="703"/>
      <c r="CG437" s="703"/>
      <c r="CH437" s="703"/>
      <c r="CI437" s="703"/>
      <c r="CJ437" s="703"/>
      <c r="CK437" s="703"/>
      <c r="CL437" s="703">
        <f t="shared" si="130"/>
        <v>0</v>
      </c>
      <c r="CM437" s="703"/>
      <c r="CN437" s="703"/>
      <c r="CO437" s="703"/>
      <c r="CP437" s="703"/>
      <c r="CQ437" s="703"/>
      <c r="CR437" s="703"/>
      <c r="CS437" s="703"/>
      <c r="CT437" s="703"/>
      <c r="CU437" s="703"/>
      <c r="CV437" s="703"/>
      <c r="CW437" s="703"/>
      <c r="CX437" s="703"/>
      <c r="CY437" s="703"/>
      <c r="CZ437" s="703"/>
      <c r="DA437" s="703"/>
      <c r="DB437" s="703"/>
      <c r="DC437" s="703"/>
      <c r="DD437" s="703"/>
      <c r="DE437" s="703"/>
      <c r="DF437" s="703"/>
      <c r="DG437" s="705"/>
      <c r="DH437" s="705"/>
      <c r="DI437" s="705"/>
      <c r="DJ437" s="705"/>
      <c r="DK437" s="705"/>
      <c r="DL437" s="705"/>
      <c r="DM437" s="705"/>
      <c r="DN437" s="705"/>
      <c r="DO437" s="705"/>
      <c r="DP437" s="705"/>
      <c r="DQ437" s="705"/>
      <c r="DR437" s="705"/>
      <c r="DS437" s="703"/>
      <c r="DT437" s="703"/>
      <c r="DU437" s="703"/>
      <c r="DV437" s="703"/>
      <c r="DW437" s="703"/>
      <c r="DX437" s="703"/>
      <c r="DY437" s="703"/>
      <c r="DZ437" s="703"/>
      <c r="EA437" s="703"/>
      <c r="EB437" s="703"/>
      <c r="EC437" s="703"/>
      <c r="ED437" s="703"/>
      <c r="EE437" s="703"/>
      <c r="EF437" s="703"/>
      <c r="EG437" s="703"/>
      <c r="EH437" s="703"/>
      <c r="EI437" s="703"/>
      <c r="EJ437" s="703"/>
      <c r="EK437" s="703"/>
      <c r="EL437" s="703"/>
      <c r="EM437" s="703"/>
      <c r="EN437" s="703"/>
      <c r="EO437" s="703"/>
      <c r="EP437" s="703"/>
      <c r="EQ437" s="703"/>
      <c r="ER437" s="703"/>
      <c r="ES437" s="703"/>
      <c r="ET437" s="703"/>
      <c r="EU437" s="703"/>
      <c r="EV437" s="703"/>
      <c r="EW437" s="703"/>
      <c r="EX437" s="703"/>
      <c r="EY437" s="703"/>
      <c r="EZ437" s="703"/>
      <c r="FA437" s="703"/>
      <c r="FB437" s="703"/>
      <c r="FC437" s="703"/>
      <c r="FD437" s="703"/>
      <c r="FE437" s="703"/>
      <c r="FF437" s="703"/>
      <c r="FG437" s="703"/>
      <c r="FH437" s="703"/>
      <c r="FI437" s="703"/>
      <c r="FJ437" s="703"/>
      <c r="FK437" s="703"/>
      <c r="FL437" s="703"/>
      <c r="FM437" s="703"/>
      <c r="FN437" s="703"/>
      <c r="FO437" s="703"/>
      <c r="FP437" s="703"/>
      <c r="FQ437" s="704"/>
    </row>
    <row r="438" spans="1:173" s="706" customFormat="1">
      <c r="A438" s="700"/>
      <c r="B438" s="700"/>
      <c r="C438" s="701" t="s">
        <v>3841</v>
      </c>
      <c r="D438" s="701"/>
      <c r="E438" s="703">
        <v>35.700000000000003</v>
      </c>
      <c r="F438" s="703"/>
      <c r="G438" s="703"/>
      <c r="H438" s="703"/>
      <c r="I438" s="703">
        <f t="shared" si="141"/>
        <v>35.700000000000003</v>
      </c>
      <c r="J438" s="703"/>
      <c r="K438" s="703"/>
      <c r="L438" s="703"/>
      <c r="M438" s="703"/>
      <c r="N438" s="703"/>
      <c r="O438" s="703"/>
      <c r="P438" s="703"/>
      <c r="Q438" s="703"/>
      <c r="R438" s="704"/>
      <c r="S438" s="704"/>
      <c r="T438" s="703"/>
      <c r="U438" s="703" t="s">
        <v>1631</v>
      </c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66"/>
      <c r="AF438" s="960"/>
      <c r="AG438" s="703"/>
      <c r="AH438" s="703"/>
      <c r="AI438" s="703"/>
      <c r="AJ438" s="703"/>
      <c r="AK438" s="703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>
        <f t="shared" si="138"/>
        <v>1</v>
      </c>
      <c r="AX438" s="703"/>
      <c r="AY438" s="703"/>
      <c r="AZ438" s="703">
        <f t="shared" si="139"/>
        <v>1</v>
      </c>
      <c r="BA438" s="703"/>
      <c r="BB438" s="703"/>
      <c r="BC438" s="703"/>
      <c r="BD438" s="703"/>
      <c r="BE438" s="703"/>
      <c r="BF438" s="703"/>
      <c r="BG438" s="703"/>
      <c r="BH438" s="703"/>
      <c r="BI438" s="703"/>
      <c r="BJ438" s="703">
        <f t="shared" si="140"/>
        <v>0</v>
      </c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03"/>
      <c r="BV438" s="703"/>
      <c r="BW438" s="703"/>
      <c r="BX438" s="703"/>
      <c r="BY438" s="703"/>
      <c r="BZ438" s="703"/>
      <c r="CA438" s="703"/>
      <c r="CB438" s="703"/>
      <c r="CC438" s="703"/>
      <c r="CD438" s="703">
        <f t="shared" si="137"/>
        <v>0</v>
      </c>
      <c r="CE438" s="703"/>
      <c r="CF438" s="703"/>
      <c r="CG438" s="703"/>
      <c r="CH438" s="703"/>
      <c r="CI438" s="703"/>
      <c r="CJ438" s="703"/>
      <c r="CK438" s="703"/>
      <c r="CL438" s="703">
        <f t="shared" si="130"/>
        <v>2</v>
      </c>
      <c r="CM438" s="703"/>
      <c r="CN438" s="703"/>
      <c r="CO438" s="703"/>
      <c r="CP438" s="703"/>
      <c r="CQ438" s="703"/>
      <c r="CR438" s="703"/>
      <c r="CS438" s="703"/>
      <c r="CT438" s="703"/>
      <c r="CU438" s="703"/>
      <c r="CV438" s="703"/>
      <c r="CW438" s="703"/>
      <c r="CX438" s="703"/>
      <c r="CY438" s="703"/>
      <c r="CZ438" s="703">
        <v>1</v>
      </c>
      <c r="DA438" s="703"/>
      <c r="DB438" s="703"/>
      <c r="DC438" s="703"/>
      <c r="DD438" s="703"/>
      <c r="DE438" s="703"/>
      <c r="DF438" s="703"/>
      <c r="DG438" s="705"/>
      <c r="DH438" s="705"/>
      <c r="DI438" s="705"/>
      <c r="DJ438" s="705"/>
      <c r="DK438" s="705"/>
      <c r="DL438" s="705"/>
      <c r="DM438" s="705"/>
      <c r="DN438" s="705"/>
      <c r="DO438" s="705"/>
      <c r="DP438" s="705"/>
      <c r="DQ438" s="705"/>
      <c r="DR438" s="705"/>
      <c r="DS438" s="703"/>
      <c r="DT438" s="703"/>
      <c r="DU438" s="703"/>
      <c r="DV438" s="703"/>
      <c r="DW438" s="703"/>
      <c r="DX438" s="703"/>
      <c r="DY438" s="703"/>
      <c r="DZ438" s="703"/>
      <c r="EA438" s="703"/>
      <c r="EB438" s="703"/>
      <c r="EC438" s="703"/>
      <c r="ED438" s="703"/>
      <c r="EE438" s="703"/>
      <c r="EF438" s="703"/>
      <c r="EG438" s="703"/>
      <c r="EH438" s="703"/>
      <c r="EI438" s="703"/>
      <c r="EJ438" s="703"/>
      <c r="EK438" s="703"/>
      <c r="EL438" s="703"/>
      <c r="EM438" s="703"/>
      <c r="EN438" s="703"/>
      <c r="EO438" s="703"/>
      <c r="EP438" s="703"/>
      <c r="EQ438" s="703"/>
      <c r="ER438" s="703"/>
      <c r="ES438" s="703"/>
      <c r="ET438" s="703"/>
      <c r="EU438" s="703"/>
      <c r="EV438" s="703"/>
      <c r="EW438" s="703"/>
      <c r="EX438" s="703"/>
      <c r="EY438" s="703"/>
      <c r="EZ438" s="703"/>
      <c r="FA438" s="703"/>
      <c r="FB438" s="703"/>
      <c r="FC438" s="703"/>
      <c r="FD438" s="703"/>
      <c r="FE438" s="703"/>
      <c r="FF438" s="703"/>
      <c r="FG438" s="703"/>
      <c r="FH438" s="703"/>
      <c r="FI438" s="703"/>
      <c r="FJ438" s="703"/>
      <c r="FK438" s="703"/>
      <c r="FL438" s="703"/>
      <c r="FM438" s="703"/>
      <c r="FN438" s="703"/>
      <c r="FO438" s="703"/>
      <c r="FP438" s="703"/>
      <c r="FQ438" s="704"/>
    </row>
    <row r="439" spans="1:173" s="706" customFormat="1">
      <c r="A439" s="700"/>
      <c r="B439" s="700"/>
      <c r="C439" s="701" t="s">
        <v>3842</v>
      </c>
      <c r="D439" s="702"/>
      <c r="E439" s="703">
        <v>34</v>
      </c>
      <c r="F439" s="703"/>
      <c r="G439" s="703"/>
      <c r="H439" s="703"/>
      <c r="I439" s="703">
        <f t="shared" si="141"/>
        <v>34</v>
      </c>
      <c r="J439" s="703"/>
      <c r="K439" s="703"/>
      <c r="L439" s="703"/>
      <c r="M439" s="703"/>
      <c r="N439" s="703"/>
      <c r="O439" s="703"/>
      <c r="P439" s="703"/>
      <c r="Q439" s="703"/>
      <c r="R439" s="704"/>
      <c r="S439" s="704"/>
      <c r="T439" s="703"/>
      <c r="U439" s="703" t="s">
        <v>1903</v>
      </c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66"/>
      <c r="AF439" s="960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>
        <f t="shared" si="138"/>
        <v>1</v>
      </c>
      <c r="AX439" s="703"/>
      <c r="AY439" s="703"/>
      <c r="AZ439" s="703">
        <f t="shared" si="139"/>
        <v>1</v>
      </c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>
        <f t="shared" si="140"/>
        <v>0</v>
      </c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  <c r="BX439" s="703"/>
      <c r="BY439" s="703"/>
      <c r="BZ439" s="703"/>
      <c r="CA439" s="703"/>
      <c r="CB439" s="703"/>
      <c r="CC439" s="703"/>
      <c r="CD439" s="703">
        <f t="shared" si="137"/>
        <v>0</v>
      </c>
      <c r="CE439" s="703"/>
      <c r="CF439" s="703"/>
      <c r="CG439" s="703"/>
      <c r="CH439" s="703"/>
      <c r="CI439" s="703"/>
      <c r="CJ439" s="703"/>
      <c r="CK439" s="703"/>
      <c r="CL439" s="703">
        <f t="shared" si="130"/>
        <v>0</v>
      </c>
      <c r="CM439" s="703"/>
      <c r="CN439" s="703"/>
      <c r="CO439" s="703"/>
      <c r="CP439" s="703"/>
      <c r="CQ439" s="703"/>
      <c r="CR439" s="703"/>
      <c r="CS439" s="703"/>
      <c r="CT439" s="703"/>
      <c r="CU439" s="703"/>
      <c r="CV439" s="703"/>
      <c r="CW439" s="703"/>
      <c r="CX439" s="703"/>
      <c r="CY439" s="703"/>
      <c r="CZ439" s="703"/>
      <c r="DA439" s="703"/>
      <c r="DB439" s="703"/>
      <c r="DC439" s="703"/>
      <c r="DD439" s="703"/>
      <c r="DE439" s="703"/>
      <c r="DF439" s="703"/>
      <c r="DG439" s="705"/>
      <c r="DH439" s="705"/>
      <c r="DI439" s="705"/>
      <c r="DJ439" s="705"/>
      <c r="DK439" s="705"/>
      <c r="DL439" s="705"/>
      <c r="DM439" s="705"/>
      <c r="DN439" s="705"/>
      <c r="DO439" s="705"/>
      <c r="DP439" s="705"/>
      <c r="DQ439" s="705"/>
      <c r="DR439" s="705"/>
      <c r="DS439" s="703"/>
      <c r="DT439" s="703"/>
      <c r="DU439" s="703"/>
      <c r="DV439" s="703"/>
      <c r="DW439" s="703"/>
      <c r="DX439" s="703"/>
      <c r="DY439" s="703"/>
      <c r="DZ439" s="703"/>
      <c r="EA439" s="703"/>
      <c r="EB439" s="703"/>
      <c r="EC439" s="703"/>
      <c r="ED439" s="703"/>
      <c r="EE439" s="703"/>
      <c r="EF439" s="703"/>
      <c r="EG439" s="703"/>
      <c r="EH439" s="703"/>
      <c r="EI439" s="703"/>
      <c r="EJ439" s="703"/>
      <c r="EK439" s="703"/>
      <c r="EL439" s="703"/>
      <c r="EM439" s="703"/>
      <c r="EN439" s="703"/>
      <c r="EO439" s="703"/>
      <c r="EP439" s="703"/>
      <c r="EQ439" s="703"/>
      <c r="ER439" s="703"/>
      <c r="ES439" s="703"/>
      <c r="ET439" s="703"/>
      <c r="EU439" s="703"/>
      <c r="EV439" s="703"/>
      <c r="EW439" s="703"/>
      <c r="EX439" s="703"/>
      <c r="EY439" s="703"/>
      <c r="EZ439" s="703"/>
      <c r="FA439" s="703"/>
      <c r="FB439" s="703"/>
      <c r="FC439" s="703"/>
      <c r="FD439" s="703"/>
      <c r="FE439" s="703"/>
      <c r="FF439" s="703"/>
      <c r="FG439" s="703"/>
      <c r="FH439" s="703"/>
      <c r="FI439" s="703"/>
      <c r="FJ439" s="703"/>
      <c r="FK439" s="703"/>
      <c r="FL439" s="703"/>
      <c r="FM439" s="703"/>
      <c r="FN439" s="703"/>
      <c r="FO439" s="703"/>
      <c r="FP439" s="703"/>
      <c r="FQ439" s="704"/>
    </row>
    <row r="440" spans="1:173" s="706" customFormat="1">
      <c r="A440" s="700"/>
      <c r="B440" s="700"/>
      <c r="C440" s="701" t="s">
        <v>3843</v>
      </c>
      <c r="D440" s="701"/>
      <c r="E440" s="703">
        <v>33.6</v>
      </c>
      <c r="F440" s="703"/>
      <c r="G440" s="703"/>
      <c r="H440" s="703"/>
      <c r="I440" s="703">
        <f t="shared" si="141"/>
        <v>33.6</v>
      </c>
      <c r="J440" s="703"/>
      <c r="K440" s="703"/>
      <c r="L440" s="703"/>
      <c r="M440" s="703"/>
      <c r="N440" s="703"/>
      <c r="O440" s="703"/>
      <c r="P440" s="703"/>
      <c r="Q440" s="703"/>
      <c r="R440" s="704"/>
      <c r="S440" s="704"/>
      <c r="T440" s="703"/>
      <c r="U440" s="703" t="s">
        <v>1903</v>
      </c>
      <c r="V440" s="703"/>
      <c r="W440" s="703"/>
      <c r="X440" s="703"/>
      <c r="Y440" s="703"/>
      <c r="Z440" s="703"/>
      <c r="AA440" s="703"/>
      <c r="AB440" s="703"/>
      <c r="AC440" s="703"/>
      <c r="AD440" s="703"/>
      <c r="AE440" s="766"/>
      <c r="AF440" s="960"/>
      <c r="AG440" s="703"/>
      <c r="AH440" s="703"/>
      <c r="AI440" s="703"/>
      <c r="AJ440" s="703"/>
      <c r="AK440" s="703"/>
      <c r="AL440" s="703"/>
      <c r="AM440" s="703"/>
      <c r="AN440" s="703"/>
      <c r="AO440" s="703"/>
      <c r="AP440" s="703"/>
      <c r="AQ440" s="703"/>
      <c r="AR440" s="703"/>
      <c r="AS440" s="703"/>
      <c r="AT440" s="703"/>
      <c r="AU440" s="703"/>
      <c r="AV440" s="703"/>
      <c r="AW440" s="703">
        <f t="shared" si="138"/>
        <v>1</v>
      </c>
      <c r="AX440" s="703"/>
      <c r="AY440" s="703"/>
      <c r="AZ440" s="703">
        <f t="shared" si="139"/>
        <v>1</v>
      </c>
      <c r="BA440" s="703"/>
      <c r="BB440" s="703"/>
      <c r="BC440" s="703"/>
      <c r="BD440" s="703"/>
      <c r="BE440" s="703"/>
      <c r="BF440" s="703"/>
      <c r="BG440" s="703"/>
      <c r="BH440" s="703"/>
      <c r="BI440" s="703"/>
      <c r="BJ440" s="703">
        <f t="shared" si="140"/>
        <v>0</v>
      </c>
      <c r="BK440" s="703"/>
      <c r="BL440" s="703"/>
      <c r="BM440" s="703"/>
      <c r="BN440" s="703"/>
      <c r="BO440" s="703"/>
      <c r="BP440" s="703"/>
      <c r="BQ440" s="703"/>
      <c r="BR440" s="703"/>
      <c r="BS440" s="703"/>
      <c r="BT440" s="703"/>
      <c r="BU440" s="703"/>
      <c r="BV440" s="703"/>
      <c r="BW440" s="703"/>
      <c r="BX440" s="703"/>
      <c r="BY440" s="703"/>
      <c r="BZ440" s="703"/>
      <c r="CA440" s="703"/>
      <c r="CB440" s="703"/>
      <c r="CC440" s="703"/>
      <c r="CD440" s="703">
        <f t="shared" si="137"/>
        <v>0</v>
      </c>
      <c r="CE440" s="703"/>
      <c r="CF440" s="703"/>
      <c r="CG440" s="703"/>
      <c r="CH440" s="703"/>
      <c r="CI440" s="703"/>
      <c r="CJ440" s="703"/>
      <c r="CK440" s="703"/>
      <c r="CL440" s="703">
        <f t="shared" si="130"/>
        <v>0</v>
      </c>
      <c r="CM440" s="703"/>
      <c r="CN440" s="703"/>
      <c r="CO440" s="703"/>
      <c r="CP440" s="703"/>
      <c r="CQ440" s="703"/>
      <c r="CR440" s="703"/>
      <c r="CS440" s="703"/>
      <c r="CT440" s="703"/>
      <c r="CU440" s="703"/>
      <c r="CV440" s="703"/>
      <c r="CW440" s="703"/>
      <c r="CX440" s="703"/>
      <c r="CY440" s="703"/>
      <c r="CZ440" s="703"/>
      <c r="DA440" s="703"/>
      <c r="DB440" s="703"/>
      <c r="DC440" s="703"/>
      <c r="DD440" s="703"/>
      <c r="DE440" s="703"/>
      <c r="DF440" s="703"/>
      <c r="DG440" s="705"/>
      <c r="DH440" s="705"/>
      <c r="DI440" s="705"/>
      <c r="DJ440" s="705"/>
      <c r="DK440" s="705"/>
      <c r="DL440" s="705"/>
      <c r="DM440" s="705"/>
      <c r="DN440" s="705"/>
      <c r="DO440" s="705"/>
      <c r="DP440" s="705"/>
      <c r="DQ440" s="705"/>
      <c r="DR440" s="705"/>
      <c r="DS440" s="703"/>
      <c r="DT440" s="703"/>
      <c r="DU440" s="703"/>
      <c r="DV440" s="703"/>
      <c r="DW440" s="703"/>
      <c r="DX440" s="703"/>
      <c r="DY440" s="703"/>
      <c r="DZ440" s="703"/>
      <c r="EA440" s="703"/>
      <c r="EB440" s="703"/>
      <c r="EC440" s="703"/>
      <c r="ED440" s="703"/>
      <c r="EE440" s="703"/>
      <c r="EF440" s="703"/>
      <c r="EG440" s="703"/>
      <c r="EH440" s="703"/>
      <c r="EI440" s="703"/>
      <c r="EJ440" s="703"/>
      <c r="EK440" s="703"/>
      <c r="EL440" s="703"/>
      <c r="EM440" s="703"/>
      <c r="EN440" s="703"/>
      <c r="EO440" s="703"/>
      <c r="EP440" s="703"/>
      <c r="EQ440" s="703"/>
      <c r="ER440" s="703"/>
      <c r="ES440" s="703"/>
      <c r="ET440" s="703"/>
      <c r="EU440" s="703"/>
      <c r="EV440" s="703"/>
      <c r="EW440" s="703"/>
      <c r="EX440" s="703"/>
      <c r="EY440" s="703"/>
      <c r="EZ440" s="703"/>
      <c r="FA440" s="703"/>
      <c r="FB440" s="703"/>
      <c r="FC440" s="703"/>
      <c r="FD440" s="703"/>
      <c r="FE440" s="703"/>
      <c r="FF440" s="703"/>
      <c r="FG440" s="703"/>
      <c r="FH440" s="703"/>
      <c r="FI440" s="703"/>
      <c r="FJ440" s="703"/>
      <c r="FK440" s="703"/>
      <c r="FL440" s="703"/>
      <c r="FM440" s="703"/>
      <c r="FN440" s="703"/>
      <c r="FO440" s="703"/>
      <c r="FP440" s="703"/>
      <c r="FQ440" s="704"/>
    </row>
    <row r="441" spans="1:173" s="706" customFormat="1">
      <c r="A441" s="700"/>
      <c r="B441" s="700"/>
      <c r="C441" s="701" t="s">
        <v>3844</v>
      </c>
      <c r="D441" s="701"/>
      <c r="E441" s="703">
        <v>42.6</v>
      </c>
      <c r="F441" s="703"/>
      <c r="G441" s="703"/>
      <c r="H441" s="703"/>
      <c r="I441" s="703">
        <f t="shared" si="141"/>
        <v>42.6</v>
      </c>
      <c r="J441" s="703"/>
      <c r="K441" s="703"/>
      <c r="L441" s="703"/>
      <c r="M441" s="703"/>
      <c r="N441" s="703"/>
      <c r="O441" s="703"/>
      <c r="P441" s="703"/>
      <c r="Q441" s="703"/>
      <c r="R441" s="704"/>
      <c r="S441" s="704"/>
      <c r="T441" s="703"/>
      <c r="U441" s="703" t="s">
        <v>1903</v>
      </c>
      <c r="V441" s="703"/>
      <c r="W441" s="703"/>
      <c r="X441" s="703"/>
      <c r="Y441" s="703"/>
      <c r="Z441" s="703"/>
      <c r="AA441" s="703"/>
      <c r="AB441" s="703"/>
      <c r="AC441" s="703"/>
      <c r="AD441" s="703"/>
      <c r="AE441" s="766"/>
      <c r="AF441" s="960"/>
      <c r="AG441" s="703"/>
      <c r="AH441" s="703"/>
      <c r="AI441" s="703"/>
      <c r="AJ441" s="703"/>
      <c r="AK441" s="703"/>
      <c r="AL441" s="703"/>
      <c r="AM441" s="703"/>
      <c r="AN441" s="703"/>
      <c r="AO441" s="703"/>
      <c r="AP441" s="703"/>
      <c r="AQ441" s="703"/>
      <c r="AR441" s="703"/>
      <c r="AS441" s="703"/>
      <c r="AT441" s="703"/>
      <c r="AU441" s="703"/>
      <c r="AV441" s="703"/>
      <c r="AW441" s="703">
        <f t="shared" si="138"/>
        <v>1</v>
      </c>
      <c r="AX441" s="703"/>
      <c r="AY441" s="703"/>
      <c r="AZ441" s="703">
        <f t="shared" si="139"/>
        <v>1</v>
      </c>
      <c r="BA441" s="703"/>
      <c r="BB441" s="703"/>
      <c r="BC441" s="703"/>
      <c r="BD441" s="703"/>
      <c r="BE441" s="703"/>
      <c r="BF441" s="703"/>
      <c r="BG441" s="703"/>
      <c r="BH441" s="703"/>
      <c r="BI441" s="703"/>
      <c r="BJ441" s="703">
        <f t="shared" si="140"/>
        <v>0</v>
      </c>
      <c r="BK441" s="703"/>
      <c r="BL441" s="703"/>
      <c r="BM441" s="703"/>
      <c r="BN441" s="703"/>
      <c r="BO441" s="703"/>
      <c r="BP441" s="703"/>
      <c r="BQ441" s="703"/>
      <c r="BR441" s="703"/>
      <c r="BS441" s="703"/>
      <c r="BT441" s="703"/>
      <c r="BU441" s="703"/>
      <c r="BV441" s="703"/>
      <c r="BW441" s="703"/>
      <c r="BX441" s="703"/>
      <c r="BY441" s="703"/>
      <c r="BZ441" s="703"/>
      <c r="CA441" s="703"/>
      <c r="CB441" s="703"/>
      <c r="CC441" s="703"/>
      <c r="CD441" s="703">
        <f t="shared" si="137"/>
        <v>0</v>
      </c>
      <c r="CE441" s="703"/>
      <c r="CF441" s="703"/>
      <c r="CG441" s="703"/>
      <c r="CH441" s="703"/>
      <c r="CI441" s="703"/>
      <c r="CJ441" s="703"/>
      <c r="CK441" s="703"/>
      <c r="CL441" s="703">
        <f t="shared" si="130"/>
        <v>0</v>
      </c>
      <c r="CM441" s="703"/>
      <c r="CN441" s="703"/>
      <c r="CO441" s="703"/>
      <c r="CP441" s="703"/>
      <c r="CQ441" s="703"/>
      <c r="CR441" s="703"/>
      <c r="CS441" s="703"/>
      <c r="CT441" s="703"/>
      <c r="CU441" s="703"/>
      <c r="CV441" s="703"/>
      <c r="CW441" s="703"/>
      <c r="CX441" s="703"/>
      <c r="CY441" s="703"/>
      <c r="CZ441" s="703"/>
      <c r="DA441" s="703"/>
      <c r="DB441" s="703"/>
      <c r="DC441" s="703"/>
      <c r="DD441" s="703"/>
      <c r="DE441" s="703"/>
      <c r="DF441" s="703"/>
      <c r="DG441" s="705"/>
      <c r="DH441" s="705"/>
      <c r="DI441" s="705"/>
      <c r="DJ441" s="705"/>
      <c r="DK441" s="705"/>
      <c r="DL441" s="705"/>
      <c r="DM441" s="705"/>
      <c r="DN441" s="705"/>
      <c r="DO441" s="705"/>
      <c r="DP441" s="705"/>
      <c r="DQ441" s="705"/>
      <c r="DR441" s="705"/>
      <c r="DS441" s="703"/>
      <c r="DT441" s="703"/>
      <c r="DU441" s="703"/>
      <c r="DV441" s="703"/>
      <c r="DW441" s="703"/>
      <c r="DX441" s="703"/>
      <c r="DY441" s="703"/>
      <c r="DZ441" s="703"/>
      <c r="EA441" s="703"/>
      <c r="EB441" s="703"/>
      <c r="EC441" s="703"/>
      <c r="ED441" s="703"/>
      <c r="EE441" s="703"/>
      <c r="EF441" s="703"/>
      <c r="EG441" s="703"/>
      <c r="EH441" s="703"/>
      <c r="EI441" s="703"/>
      <c r="EJ441" s="703"/>
      <c r="EK441" s="703"/>
      <c r="EL441" s="703"/>
      <c r="EM441" s="703"/>
      <c r="EN441" s="703"/>
      <c r="EO441" s="703"/>
      <c r="EP441" s="703"/>
      <c r="EQ441" s="703"/>
      <c r="ER441" s="703"/>
      <c r="ES441" s="703"/>
      <c r="ET441" s="703"/>
      <c r="EU441" s="703"/>
      <c r="EV441" s="703"/>
      <c r="EW441" s="703"/>
      <c r="EX441" s="703"/>
      <c r="EY441" s="703"/>
      <c r="EZ441" s="703"/>
      <c r="FA441" s="703"/>
      <c r="FB441" s="703"/>
      <c r="FC441" s="703"/>
      <c r="FD441" s="703"/>
      <c r="FE441" s="703"/>
      <c r="FF441" s="703"/>
      <c r="FG441" s="703"/>
      <c r="FH441" s="703"/>
      <c r="FI441" s="703"/>
      <c r="FJ441" s="703"/>
      <c r="FK441" s="703"/>
      <c r="FL441" s="703"/>
      <c r="FM441" s="703"/>
      <c r="FN441" s="703"/>
      <c r="FO441" s="703"/>
      <c r="FP441" s="703"/>
      <c r="FQ441" s="704"/>
    </row>
    <row r="442" spans="1:173" s="706" customFormat="1">
      <c r="A442" s="700"/>
      <c r="B442" s="700"/>
      <c r="C442" s="701" t="s">
        <v>3845</v>
      </c>
      <c r="D442" s="701"/>
      <c r="E442" s="703">
        <v>30.8</v>
      </c>
      <c r="F442" s="703"/>
      <c r="G442" s="703"/>
      <c r="H442" s="703"/>
      <c r="I442" s="703">
        <f t="shared" si="141"/>
        <v>30.8</v>
      </c>
      <c r="J442" s="703"/>
      <c r="K442" s="703"/>
      <c r="L442" s="703"/>
      <c r="M442" s="703"/>
      <c r="N442" s="703"/>
      <c r="O442" s="703"/>
      <c r="P442" s="703"/>
      <c r="Q442" s="703"/>
      <c r="R442" s="704"/>
      <c r="S442" s="704"/>
      <c r="T442" s="703"/>
      <c r="U442" s="703" t="s">
        <v>1903</v>
      </c>
      <c r="V442" s="703"/>
      <c r="W442" s="703"/>
      <c r="X442" s="703"/>
      <c r="Y442" s="703"/>
      <c r="Z442" s="703"/>
      <c r="AA442" s="703"/>
      <c r="AB442" s="703"/>
      <c r="AC442" s="703"/>
      <c r="AD442" s="703"/>
      <c r="AE442" s="766"/>
      <c r="AF442" s="960"/>
      <c r="AG442" s="703"/>
      <c r="AH442" s="703"/>
      <c r="AI442" s="703"/>
      <c r="AJ442" s="703"/>
      <c r="AK442" s="703"/>
      <c r="AL442" s="703"/>
      <c r="AM442" s="703"/>
      <c r="AN442" s="703"/>
      <c r="AO442" s="703"/>
      <c r="AP442" s="703"/>
      <c r="AQ442" s="703"/>
      <c r="AR442" s="703"/>
      <c r="AS442" s="703"/>
      <c r="AT442" s="703"/>
      <c r="AU442" s="703"/>
      <c r="AV442" s="703"/>
      <c r="AW442" s="703">
        <f t="shared" si="138"/>
        <v>1</v>
      </c>
      <c r="AX442" s="703"/>
      <c r="AY442" s="703"/>
      <c r="AZ442" s="703">
        <f t="shared" si="139"/>
        <v>1</v>
      </c>
      <c r="BA442" s="703"/>
      <c r="BB442" s="703"/>
      <c r="BC442" s="703"/>
      <c r="BD442" s="703"/>
      <c r="BE442" s="703"/>
      <c r="BF442" s="703"/>
      <c r="BG442" s="703"/>
      <c r="BH442" s="703"/>
      <c r="BI442" s="703"/>
      <c r="BJ442" s="703">
        <f t="shared" si="140"/>
        <v>0</v>
      </c>
      <c r="BK442" s="703"/>
      <c r="BL442" s="703"/>
      <c r="BM442" s="703"/>
      <c r="BN442" s="703"/>
      <c r="BO442" s="703"/>
      <c r="BP442" s="703"/>
      <c r="BQ442" s="703"/>
      <c r="BR442" s="703"/>
      <c r="BS442" s="703"/>
      <c r="BT442" s="703"/>
      <c r="BU442" s="703"/>
      <c r="BV442" s="703"/>
      <c r="BW442" s="703"/>
      <c r="BX442" s="703"/>
      <c r="BY442" s="703"/>
      <c r="BZ442" s="703"/>
      <c r="CA442" s="703"/>
      <c r="CB442" s="703"/>
      <c r="CC442" s="703"/>
      <c r="CD442" s="703">
        <f t="shared" si="137"/>
        <v>0</v>
      </c>
      <c r="CE442" s="703"/>
      <c r="CF442" s="703"/>
      <c r="CG442" s="703"/>
      <c r="CH442" s="703"/>
      <c r="CI442" s="703"/>
      <c r="CJ442" s="703"/>
      <c r="CK442" s="703"/>
      <c r="CL442" s="703">
        <f t="shared" si="130"/>
        <v>2</v>
      </c>
      <c r="CM442" s="703"/>
      <c r="CN442" s="703"/>
      <c r="CO442" s="703"/>
      <c r="CP442" s="703"/>
      <c r="CQ442" s="703"/>
      <c r="CR442" s="703"/>
      <c r="CS442" s="703"/>
      <c r="CT442" s="703"/>
      <c r="CU442" s="703"/>
      <c r="CV442" s="703"/>
      <c r="CW442" s="703"/>
      <c r="CX442" s="703"/>
      <c r="CY442" s="703"/>
      <c r="CZ442" s="703">
        <v>1</v>
      </c>
      <c r="DA442" s="703"/>
      <c r="DB442" s="703"/>
      <c r="DC442" s="703"/>
      <c r="DD442" s="703"/>
      <c r="DE442" s="703"/>
      <c r="DF442" s="703"/>
      <c r="DG442" s="705"/>
      <c r="DH442" s="705"/>
      <c r="DI442" s="705"/>
      <c r="DJ442" s="705"/>
      <c r="DK442" s="705"/>
      <c r="DL442" s="705"/>
      <c r="DM442" s="705"/>
      <c r="DN442" s="705"/>
      <c r="DO442" s="705"/>
      <c r="DP442" s="705"/>
      <c r="DQ442" s="705"/>
      <c r="DR442" s="705"/>
      <c r="DS442" s="703"/>
      <c r="DT442" s="703"/>
      <c r="DU442" s="703"/>
      <c r="DV442" s="703"/>
      <c r="DW442" s="703"/>
      <c r="DX442" s="703"/>
      <c r="DY442" s="703"/>
      <c r="DZ442" s="703"/>
      <c r="EA442" s="703"/>
      <c r="EB442" s="703"/>
      <c r="EC442" s="703"/>
      <c r="ED442" s="703"/>
      <c r="EE442" s="703"/>
      <c r="EF442" s="703"/>
      <c r="EG442" s="703"/>
      <c r="EH442" s="703"/>
      <c r="EI442" s="703"/>
      <c r="EJ442" s="703"/>
      <c r="EK442" s="703"/>
      <c r="EL442" s="703"/>
      <c r="EM442" s="703"/>
      <c r="EN442" s="703"/>
      <c r="EO442" s="703"/>
      <c r="EP442" s="703"/>
      <c r="EQ442" s="703"/>
      <c r="ER442" s="703"/>
      <c r="ES442" s="703"/>
      <c r="ET442" s="703"/>
      <c r="EU442" s="703"/>
      <c r="EV442" s="703"/>
      <c r="EW442" s="703"/>
      <c r="EX442" s="703"/>
      <c r="EY442" s="703"/>
      <c r="EZ442" s="703"/>
      <c r="FA442" s="703"/>
      <c r="FB442" s="703"/>
      <c r="FC442" s="703"/>
      <c r="FD442" s="703"/>
      <c r="FE442" s="703"/>
      <c r="FF442" s="703"/>
      <c r="FG442" s="703"/>
      <c r="FH442" s="703"/>
      <c r="FI442" s="703"/>
      <c r="FJ442" s="703"/>
      <c r="FK442" s="703"/>
      <c r="FL442" s="703"/>
      <c r="FM442" s="703"/>
      <c r="FN442" s="703"/>
      <c r="FO442" s="703"/>
      <c r="FP442" s="703"/>
      <c r="FQ442" s="704"/>
    </row>
    <row r="443" spans="1:173" s="706" customFormat="1">
      <c r="A443" s="700"/>
      <c r="B443" s="700"/>
      <c r="C443" s="701" t="s">
        <v>3846</v>
      </c>
      <c r="D443" s="701"/>
      <c r="E443" s="703">
        <v>33.799999999999997</v>
      </c>
      <c r="F443" s="703"/>
      <c r="G443" s="703"/>
      <c r="H443" s="703"/>
      <c r="I443" s="703">
        <f t="shared" si="141"/>
        <v>33.799999999999997</v>
      </c>
      <c r="J443" s="703"/>
      <c r="K443" s="703"/>
      <c r="L443" s="703"/>
      <c r="M443" s="703"/>
      <c r="N443" s="703"/>
      <c r="O443" s="703"/>
      <c r="P443" s="703"/>
      <c r="Q443" s="703"/>
      <c r="R443" s="704"/>
      <c r="S443" s="704"/>
      <c r="T443" s="703"/>
      <c r="U443" s="703" t="s">
        <v>1631</v>
      </c>
      <c r="V443" s="703"/>
      <c r="W443" s="703"/>
      <c r="X443" s="703"/>
      <c r="Y443" s="703"/>
      <c r="Z443" s="703"/>
      <c r="AA443" s="703"/>
      <c r="AB443" s="703"/>
      <c r="AC443" s="703"/>
      <c r="AD443" s="703"/>
      <c r="AE443" s="766"/>
      <c r="AF443" s="960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>
        <f t="shared" si="138"/>
        <v>1</v>
      </c>
      <c r="AX443" s="703"/>
      <c r="AY443" s="703"/>
      <c r="AZ443" s="703">
        <f t="shared" si="139"/>
        <v>1</v>
      </c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>
        <f t="shared" si="140"/>
        <v>0</v>
      </c>
      <c r="BK443" s="703"/>
      <c r="BL443" s="703"/>
      <c r="BM443" s="703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  <c r="BX443" s="703"/>
      <c r="BY443" s="703"/>
      <c r="BZ443" s="703"/>
      <c r="CA443" s="703"/>
      <c r="CB443" s="703"/>
      <c r="CC443" s="703"/>
      <c r="CD443" s="703">
        <f t="shared" si="137"/>
        <v>0</v>
      </c>
      <c r="CE443" s="703"/>
      <c r="CF443" s="703"/>
      <c r="CG443" s="703"/>
      <c r="CH443" s="703"/>
      <c r="CI443" s="703"/>
      <c r="CJ443" s="703"/>
      <c r="CK443" s="703"/>
      <c r="CL443" s="703">
        <f t="shared" si="130"/>
        <v>0</v>
      </c>
      <c r="CM443" s="703"/>
      <c r="CN443" s="703"/>
      <c r="CO443" s="703"/>
      <c r="CP443" s="703"/>
      <c r="CQ443" s="703"/>
      <c r="CR443" s="703"/>
      <c r="CS443" s="703"/>
      <c r="CT443" s="703"/>
      <c r="CU443" s="703"/>
      <c r="CV443" s="703"/>
      <c r="CW443" s="703"/>
      <c r="CX443" s="703"/>
      <c r="CY443" s="703"/>
      <c r="CZ443" s="703"/>
      <c r="DA443" s="703"/>
      <c r="DB443" s="703"/>
      <c r="DC443" s="703"/>
      <c r="DD443" s="703"/>
      <c r="DE443" s="703"/>
      <c r="DF443" s="703"/>
      <c r="DG443" s="705"/>
      <c r="DH443" s="705"/>
      <c r="DI443" s="705"/>
      <c r="DJ443" s="705"/>
      <c r="DK443" s="705"/>
      <c r="DL443" s="705"/>
      <c r="DM443" s="705"/>
      <c r="DN443" s="705"/>
      <c r="DO443" s="705"/>
      <c r="DP443" s="705"/>
      <c r="DQ443" s="705"/>
      <c r="DR443" s="705"/>
      <c r="DS443" s="703"/>
      <c r="DT443" s="703"/>
      <c r="DU443" s="703"/>
      <c r="DV443" s="703"/>
      <c r="DW443" s="703"/>
      <c r="DX443" s="703"/>
      <c r="DY443" s="703"/>
      <c r="DZ443" s="703"/>
      <c r="EA443" s="703"/>
      <c r="EB443" s="703"/>
      <c r="EC443" s="703"/>
      <c r="ED443" s="703"/>
      <c r="EE443" s="703"/>
      <c r="EF443" s="703"/>
      <c r="EG443" s="703"/>
      <c r="EH443" s="703"/>
      <c r="EI443" s="703"/>
      <c r="EJ443" s="703"/>
      <c r="EK443" s="703"/>
      <c r="EL443" s="703"/>
      <c r="EM443" s="703"/>
      <c r="EN443" s="703"/>
      <c r="EO443" s="703"/>
      <c r="EP443" s="703"/>
      <c r="EQ443" s="703"/>
      <c r="ER443" s="703"/>
      <c r="ES443" s="703"/>
      <c r="ET443" s="703"/>
      <c r="EU443" s="703"/>
      <c r="EV443" s="703"/>
      <c r="EW443" s="703"/>
      <c r="EX443" s="703"/>
      <c r="EY443" s="703"/>
      <c r="EZ443" s="703"/>
      <c r="FA443" s="703"/>
      <c r="FB443" s="703"/>
      <c r="FC443" s="703"/>
      <c r="FD443" s="703"/>
      <c r="FE443" s="703"/>
      <c r="FF443" s="703"/>
      <c r="FG443" s="703"/>
      <c r="FH443" s="703"/>
      <c r="FI443" s="703"/>
      <c r="FJ443" s="703"/>
      <c r="FK443" s="703"/>
      <c r="FL443" s="703"/>
      <c r="FM443" s="703"/>
      <c r="FN443" s="703"/>
      <c r="FO443" s="703"/>
      <c r="FP443" s="703"/>
      <c r="FQ443" s="704"/>
    </row>
    <row r="444" spans="1:173" s="706" customFormat="1">
      <c r="A444" s="700"/>
      <c r="B444" s="700"/>
      <c r="C444" s="701" t="s">
        <v>3847</v>
      </c>
      <c r="D444" s="701"/>
      <c r="E444" s="703">
        <v>35</v>
      </c>
      <c r="F444" s="703"/>
      <c r="G444" s="703"/>
      <c r="H444" s="703"/>
      <c r="I444" s="703">
        <f t="shared" si="141"/>
        <v>35</v>
      </c>
      <c r="J444" s="703"/>
      <c r="K444" s="703"/>
      <c r="L444" s="703"/>
      <c r="M444" s="703"/>
      <c r="N444" s="703"/>
      <c r="O444" s="703"/>
      <c r="P444" s="703"/>
      <c r="Q444" s="703"/>
      <c r="R444" s="704"/>
      <c r="S444" s="704"/>
      <c r="T444" s="703"/>
      <c r="U444" s="703" t="s">
        <v>1903</v>
      </c>
      <c r="V444" s="703"/>
      <c r="W444" s="703"/>
      <c r="X444" s="703"/>
      <c r="Y444" s="703"/>
      <c r="Z444" s="703"/>
      <c r="AA444" s="703"/>
      <c r="AB444" s="703"/>
      <c r="AC444" s="703"/>
      <c r="AD444" s="703"/>
      <c r="AE444" s="766"/>
      <c r="AF444" s="960"/>
      <c r="AG444" s="703"/>
      <c r="AH444" s="703"/>
      <c r="AI444" s="703"/>
      <c r="AJ444" s="703"/>
      <c r="AK444" s="703"/>
      <c r="AL444" s="703"/>
      <c r="AM444" s="703"/>
      <c r="AN444" s="703"/>
      <c r="AO444" s="703"/>
      <c r="AP444" s="703"/>
      <c r="AQ444" s="703"/>
      <c r="AR444" s="703"/>
      <c r="AS444" s="703"/>
      <c r="AT444" s="703"/>
      <c r="AU444" s="703"/>
      <c r="AV444" s="703"/>
      <c r="AW444" s="703">
        <f t="shared" si="138"/>
        <v>1</v>
      </c>
      <c r="AX444" s="703"/>
      <c r="AY444" s="703"/>
      <c r="AZ444" s="703">
        <f t="shared" si="139"/>
        <v>1</v>
      </c>
      <c r="BA444" s="703"/>
      <c r="BB444" s="703"/>
      <c r="BC444" s="703"/>
      <c r="BD444" s="703"/>
      <c r="BE444" s="703"/>
      <c r="BF444" s="703"/>
      <c r="BG444" s="703"/>
      <c r="BH444" s="703"/>
      <c r="BI444" s="703"/>
      <c r="BJ444" s="703">
        <f t="shared" si="140"/>
        <v>0</v>
      </c>
      <c r="BK444" s="703"/>
      <c r="BL444" s="703"/>
      <c r="BM444" s="703"/>
      <c r="BN444" s="703"/>
      <c r="BO444" s="703"/>
      <c r="BP444" s="703"/>
      <c r="BQ444" s="703"/>
      <c r="BR444" s="703"/>
      <c r="BS444" s="703"/>
      <c r="BT444" s="703"/>
      <c r="BU444" s="703"/>
      <c r="BV444" s="703"/>
      <c r="BW444" s="703"/>
      <c r="BX444" s="703"/>
      <c r="BY444" s="703"/>
      <c r="BZ444" s="703"/>
      <c r="CA444" s="703"/>
      <c r="CB444" s="703"/>
      <c r="CC444" s="703"/>
      <c r="CD444" s="703">
        <f t="shared" si="137"/>
        <v>0</v>
      </c>
      <c r="CE444" s="703"/>
      <c r="CF444" s="703"/>
      <c r="CG444" s="703"/>
      <c r="CH444" s="703"/>
      <c r="CI444" s="703"/>
      <c r="CJ444" s="703"/>
      <c r="CK444" s="703"/>
      <c r="CL444" s="703">
        <f t="shared" si="130"/>
        <v>0</v>
      </c>
      <c r="CM444" s="703"/>
      <c r="CN444" s="703"/>
      <c r="CO444" s="703"/>
      <c r="CP444" s="703"/>
      <c r="CQ444" s="703"/>
      <c r="CR444" s="703"/>
      <c r="CS444" s="703"/>
      <c r="CT444" s="703"/>
      <c r="CU444" s="703"/>
      <c r="CV444" s="703"/>
      <c r="CW444" s="703"/>
      <c r="CX444" s="703"/>
      <c r="CY444" s="703"/>
      <c r="CZ444" s="703"/>
      <c r="DA444" s="703"/>
      <c r="DB444" s="703"/>
      <c r="DC444" s="703"/>
      <c r="DD444" s="703"/>
      <c r="DE444" s="703"/>
      <c r="DF444" s="703"/>
      <c r="DG444" s="705"/>
      <c r="DH444" s="705"/>
      <c r="DI444" s="705"/>
      <c r="DJ444" s="705"/>
      <c r="DK444" s="705"/>
      <c r="DL444" s="705"/>
      <c r="DM444" s="705"/>
      <c r="DN444" s="705"/>
      <c r="DO444" s="705"/>
      <c r="DP444" s="705"/>
      <c r="DQ444" s="705"/>
      <c r="DR444" s="705"/>
      <c r="DS444" s="703"/>
      <c r="DT444" s="703"/>
      <c r="DU444" s="703"/>
      <c r="DV444" s="703"/>
      <c r="DW444" s="703"/>
      <c r="DX444" s="703"/>
      <c r="DY444" s="703"/>
      <c r="DZ444" s="703"/>
      <c r="EA444" s="703"/>
      <c r="EB444" s="703"/>
      <c r="EC444" s="703"/>
      <c r="ED444" s="703"/>
      <c r="EE444" s="703"/>
      <c r="EF444" s="703"/>
      <c r="EG444" s="703"/>
      <c r="EH444" s="703"/>
      <c r="EI444" s="703"/>
      <c r="EJ444" s="703"/>
      <c r="EK444" s="703"/>
      <c r="EL444" s="703"/>
      <c r="EM444" s="703"/>
      <c r="EN444" s="703"/>
      <c r="EO444" s="703"/>
      <c r="EP444" s="703"/>
      <c r="EQ444" s="703"/>
      <c r="ER444" s="703"/>
      <c r="ES444" s="703"/>
      <c r="ET444" s="703"/>
      <c r="EU444" s="703"/>
      <c r="EV444" s="703"/>
      <c r="EW444" s="703"/>
      <c r="EX444" s="703"/>
      <c r="EY444" s="703"/>
      <c r="EZ444" s="703"/>
      <c r="FA444" s="703"/>
      <c r="FB444" s="703"/>
      <c r="FC444" s="703"/>
      <c r="FD444" s="703"/>
      <c r="FE444" s="703"/>
      <c r="FF444" s="703"/>
      <c r="FG444" s="703"/>
      <c r="FH444" s="703"/>
      <c r="FI444" s="703"/>
      <c r="FJ444" s="703"/>
      <c r="FK444" s="703"/>
      <c r="FL444" s="703"/>
      <c r="FM444" s="703"/>
      <c r="FN444" s="703"/>
      <c r="FO444" s="703"/>
      <c r="FP444" s="703"/>
      <c r="FQ444" s="704"/>
    </row>
    <row r="445" spans="1:173" s="706" customFormat="1">
      <c r="A445" s="700"/>
      <c r="B445" s="700"/>
      <c r="C445" s="701" t="s">
        <v>3848</v>
      </c>
      <c r="D445" s="701"/>
      <c r="E445" s="703">
        <v>36</v>
      </c>
      <c r="F445" s="703"/>
      <c r="G445" s="703"/>
      <c r="H445" s="703"/>
      <c r="I445" s="703">
        <f t="shared" si="141"/>
        <v>36</v>
      </c>
      <c r="J445" s="703"/>
      <c r="K445" s="703"/>
      <c r="L445" s="703"/>
      <c r="M445" s="703"/>
      <c r="N445" s="703"/>
      <c r="O445" s="703"/>
      <c r="P445" s="703"/>
      <c r="Q445" s="703"/>
      <c r="R445" s="704"/>
      <c r="S445" s="704"/>
      <c r="T445" s="703"/>
      <c r="U445" s="703" t="s">
        <v>1903</v>
      </c>
      <c r="V445" s="703"/>
      <c r="W445" s="703"/>
      <c r="X445" s="703"/>
      <c r="Y445" s="703"/>
      <c r="Z445" s="703"/>
      <c r="AA445" s="703"/>
      <c r="AB445" s="703"/>
      <c r="AC445" s="703"/>
      <c r="AD445" s="703"/>
      <c r="AE445" s="766"/>
      <c r="AF445" s="960"/>
      <c r="AG445" s="703"/>
      <c r="AH445" s="703"/>
      <c r="AI445" s="703"/>
      <c r="AJ445" s="703"/>
      <c r="AK445" s="703"/>
      <c r="AL445" s="703"/>
      <c r="AM445" s="703"/>
      <c r="AN445" s="703"/>
      <c r="AO445" s="703"/>
      <c r="AP445" s="703"/>
      <c r="AQ445" s="703"/>
      <c r="AR445" s="703"/>
      <c r="AS445" s="703"/>
      <c r="AT445" s="703"/>
      <c r="AU445" s="703"/>
      <c r="AV445" s="703"/>
      <c r="AW445" s="703">
        <f t="shared" si="138"/>
        <v>1</v>
      </c>
      <c r="AX445" s="703"/>
      <c r="AY445" s="703"/>
      <c r="AZ445" s="703">
        <f t="shared" si="139"/>
        <v>1</v>
      </c>
      <c r="BA445" s="703"/>
      <c r="BB445" s="703"/>
      <c r="BC445" s="703"/>
      <c r="BD445" s="703"/>
      <c r="BE445" s="703"/>
      <c r="BF445" s="703"/>
      <c r="BG445" s="703"/>
      <c r="BH445" s="703"/>
      <c r="BI445" s="703"/>
      <c r="BJ445" s="703">
        <f t="shared" si="140"/>
        <v>0</v>
      </c>
      <c r="BK445" s="703"/>
      <c r="BL445" s="703"/>
      <c r="BM445" s="703"/>
      <c r="BN445" s="703"/>
      <c r="BO445" s="703"/>
      <c r="BP445" s="703"/>
      <c r="BQ445" s="703"/>
      <c r="BR445" s="703"/>
      <c r="BS445" s="703"/>
      <c r="BT445" s="703"/>
      <c r="BU445" s="703"/>
      <c r="BV445" s="703"/>
      <c r="BW445" s="703"/>
      <c r="BX445" s="703"/>
      <c r="BY445" s="703"/>
      <c r="BZ445" s="703"/>
      <c r="CA445" s="703"/>
      <c r="CB445" s="703"/>
      <c r="CC445" s="703"/>
      <c r="CD445" s="703">
        <f t="shared" si="137"/>
        <v>0</v>
      </c>
      <c r="CE445" s="703"/>
      <c r="CF445" s="703"/>
      <c r="CG445" s="703"/>
      <c r="CH445" s="703"/>
      <c r="CI445" s="703"/>
      <c r="CJ445" s="703"/>
      <c r="CK445" s="703"/>
      <c r="CL445" s="703">
        <f t="shared" si="130"/>
        <v>0</v>
      </c>
      <c r="CM445" s="703"/>
      <c r="CN445" s="703"/>
      <c r="CO445" s="703"/>
      <c r="CP445" s="703"/>
      <c r="CQ445" s="703"/>
      <c r="CR445" s="703"/>
      <c r="CS445" s="703"/>
      <c r="CT445" s="703"/>
      <c r="CU445" s="703"/>
      <c r="CV445" s="703"/>
      <c r="CW445" s="703"/>
      <c r="CX445" s="703"/>
      <c r="CY445" s="703"/>
      <c r="CZ445" s="703"/>
      <c r="DA445" s="703"/>
      <c r="DB445" s="703"/>
      <c r="DC445" s="703"/>
      <c r="DD445" s="703"/>
      <c r="DE445" s="703"/>
      <c r="DF445" s="703"/>
      <c r="DG445" s="705"/>
      <c r="DH445" s="705"/>
      <c r="DI445" s="705"/>
      <c r="DJ445" s="705"/>
      <c r="DK445" s="705"/>
      <c r="DL445" s="705"/>
      <c r="DM445" s="705"/>
      <c r="DN445" s="705"/>
      <c r="DO445" s="705"/>
      <c r="DP445" s="705"/>
      <c r="DQ445" s="705"/>
      <c r="DR445" s="705"/>
      <c r="DS445" s="703"/>
      <c r="DT445" s="703"/>
      <c r="DU445" s="703"/>
      <c r="DV445" s="703"/>
      <c r="DW445" s="703"/>
      <c r="DX445" s="703"/>
      <c r="DY445" s="703"/>
      <c r="DZ445" s="703"/>
      <c r="EA445" s="703"/>
      <c r="EB445" s="703"/>
      <c r="EC445" s="703"/>
      <c r="ED445" s="703"/>
      <c r="EE445" s="703"/>
      <c r="EF445" s="703"/>
      <c r="EG445" s="703"/>
      <c r="EH445" s="703"/>
      <c r="EI445" s="703"/>
      <c r="EJ445" s="703"/>
      <c r="EK445" s="703"/>
      <c r="EL445" s="703"/>
      <c r="EM445" s="703"/>
      <c r="EN445" s="703"/>
      <c r="EO445" s="703"/>
      <c r="EP445" s="703"/>
      <c r="EQ445" s="703"/>
      <c r="ER445" s="703"/>
      <c r="ES445" s="703"/>
      <c r="ET445" s="703"/>
      <c r="EU445" s="703"/>
      <c r="EV445" s="703"/>
      <c r="EW445" s="703"/>
      <c r="EX445" s="703"/>
      <c r="EY445" s="703"/>
      <c r="EZ445" s="703"/>
      <c r="FA445" s="703"/>
      <c r="FB445" s="703"/>
      <c r="FC445" s="703"/>
      <c r="FD445" s="703"/>
      <c r="FE445" s="703"/>
      <c r="FF445" s="703"/>
      <c r="FG445" s="703"/>
      <c r="FH445" s="703"/>
      <c r="FI445" s="703"/>
      <c r="FJ445" s="703"/>
      <c r="FK445" s="703"/>
      <c r="FL445" s="703"/>
      <c r="FM445" s="703"/>
      <c r="FN445" s="703"/>
      <c r="FO445" s="703"/>
      <c r="FP445" s="703"/>
      <c r="FQ445" s="704"/>
    </row>
    <row r="446" spans="1:173" s="706" customFormat="1">
      <c r="A446" s="700"/>
      <c r="B446" s="700"/>
      <c r="C446" s="701" t="s">
        <v>3849</v>
      </c>
      <c r="D446" s="701"/>
      <c r="E446" s="703">
        <v>32.4</v>
      </c>
      <c r="F446" s="703"/>
      <c r="G446" s="703"/>
      <c r="H446" s="703"/>
      <c r="I446" s="703">
        <f t="shared" si="141"/>
        <v>32.4</v>
      </c>
      <c r="J446" s="703"/>
      <c r="K446" s="703"/>
      <c r="L446" s="703"/>
      <c r="M446" s="703"/>
      <c r="N446" s="703"/>
      <c r="O446" s="703"/>
      <c r="P446" s="703"/>
      <c r="Q446" s="703"/>
      <c r="R446" s="704"/>
      <c r="S446" s="704"/>
      <c r="T446" s="703"/>
      <c r="U446" s="703" t="s">
        <v>1631</v>
      </c>
      <c r="V446" s="703"/>
      <c r="W446" s="703"/>
      <c r="X446" s="703"/>
      <c r="Y446" s="703"/>
      <c r="Z446" s="703"/>
      <c r="AA446" s="703"/>
      <c r="AB446" s="703"/>
      <c r="AC446" s="703"/>
      <c r="AD446" s="703"/>
      <c r="AE446" s="766"/>
      <c r="AF446" s="960"/>
      <c r="AG446" s="703"/>
      <c r="AH446" s="703"/>
      <c r="AI446" s="703"/>
      <c r="AJ446" s="703"/>
      <c r="AK446" s="703"/>
      <c r="AL446" s="703"/>
      <c r="AM446" s="703"/>
      <c r="AN446" s="703"/>
      <c r="AO446" s="703"/>
      <c r="AP446" s="703"/>
      <c r="AQ446" s="703"/>
      <c r="AR446" s="703"/>
      <c r="AS446" s="703"/>
      <c r="AT446" s="703"/>
      <c r="AU446" s="703"/>
      <c r="AV446" s="703"/>
      <c r="AW446" s="703">
        <f t="shared" si="138"/>
        <v>1</v>
      </c>
      <c r="AX446" s="703"/>
      <c r="AY446" s="703"/>
      <c r="AZ446" s="703">
        <f t="shared" si="139"/>
        <v>1</v>
      </c>
      <c r="BA446" s="703"/>
      <c r="BB446" s="703"/>
      <c r="BC446" s="703"/>
      <c r="BD446" s="703"/>
      <c r="BE446" s="703"/>
      <c r="BF446" s="703"/>
      <c r="BG446" s="703"/>
      <c r="BH446" s="703"/>
      <c r="BI446" s="703"/>
      <c r="BJ446" s="703">
        <f t="shared" si="140"/>
        <v>0</v>
      </c>
      <c r="BK446" s="703"/>
      <c r="BL446" s="703"/>
      <c r="BM446" s="703"/>
      <c r="BN446" s="703"/>
      <c r="BO446" s="703"/>
      <c r="BP446" s="703"/>
      <c r="BQ446" s="703"/>
      <c r="BR446" s="703"/>
      <c r="BS446" s="703"/>
      <c r="BT446" s="703"/>
      <c r="BU446" s="703"/>
      <c r="BV446" s="703"/>
      <c r="BW446" s="703"/>
      <c r="BX446" s="703"/>
      <c r="BY446" s="703"/>
      <c r="BZ446" s="703"/>
      <c r="CA446" s="703"/>
      <c r="CB446" s="703"/>
      <c r="CC446" s="703"/>
      <c r="CD446" s="703">
        <f t="shared" si="137"/>
        <v>0</v>
      </c>
      <c r="CE446" s="703"/>
      <c r="CF446" s="703"/>
      <c r="CG446" s="703"/>
      <c r="CH446" s="703"/>
      <c r="CI446" s="703"/>
      <c r="CJ446" s="703"/>
      <c r="CK446" s="703"/>
      <c r="CL446" s="703">
        <f t="shared" si="130"/>
        <v>0</v>
      </c>
      <c r="CM446" s="703"/>
      <c r="CN446" s="703"/>
      <c r="CO446" s="703"/>
      <c r="CP446" s="703"/>
      <c r="CQ446" s="703"/>
      <c r="CR446" s="703"/>
      <c r="CS446" s="703"/>
      <c r="CT446" s="703"/>
      <c r="CU446" s="703"/>
      <c r="CV446" s="703"/>
      <c r="CW446" s="703"/>
      <c r="CX446" s="703"/>
      <c r="CY446" s="703"/>
      <c r="CZ446" s="703"/>
      <c r="DA446" s="703"/>
      <c r="DB446" s="703"/>
      <c r="DC446" s="703"/>
      <c r="DD446" s="703"/>
      <c r="DE446" s="703"/>
      <c r="DF446" s="703"/>
      <c r="DG446" s="705"/>
      <c r="DH446" s="705"/>
      <c r="DI446" s="705"/>
      <c r="DJ446" s="705"/>
      <c r="DK446" s="705"/>
      <c r="DL446" s="705"/>
      <c r="DM446" s="705"/>
      <c r="DN446" s="705"/>
      <c r="DO446" s="705"/>
      <c r="DP446" s="705"/>
      <c r="DQ446" s="705"/>
      <c r="DR446" s="705"/>
      <c r="DS446" s="703"/>
      <c r="DT446" s="703"/>
      <c r="DU446" s="703"/>
      <c r="DV446" s="703"/>
      <c r="DW446" s="703"/>
      <c r="DX446" s="703"/>
      <c r="DY446" s="703"/>
      <c r="DZ446" s="703"/>
      <c r="EA446" s="703"/>
      <c r="EB446" s="703"/>
      <c r="EC446" s="703"/>
      <c r="ED446" s="703"/>
      <c r="EE446" s="703"/>
      <c r="EF446" s="703"/>
      <c r="EG446" s="703"/>
      <c r="EH446" s="703"/>
      <c r="EI446" s="703"/>
      <c r="EJ446" s="703"/>
      <c r="EK446" s="703"/>
      <c r="EL446" s="703"/>
      <c r="EM446" s="703"/>
      <c r="EN446" s="703"/>
      <c r="EO446" s="703"/>
      <c r="EP446" s="703"/>
      <c r="EQ446" s="703"/>
      <c r="ER446" s="703"/>
      <c r="ES446" s="703"/>
      <c r="ET446" s="703"/>
      <c r="EU446" s="703"/>
      <c r="EV446" s="703"/>
      <c r="EW446" s="703"/>
      <c r="EX446" s="703"/>
      <c r="EY446" s="703"/>
      <c r="EZ446" s="703"/>
      <c r="FA446" s="703"/>
      <c r="FB446" s="703"/>
      <c r="FC446" s="703"/>
      <c r="FD446" s="703"/>
      <c r="FE446" s="703"/>
      <c r="FF446" s="703"/>
      <c r="FG446" s="703"/>
      <c r="FH446" s="703"/>
      <c r="FI446" s="703"/>
      <c r="FJ446" s="703"/>
      <c r="FK446" s="703"/>
      <c r="FL446" s="703"/>
      <c r="FM446" s="703"/>
      <c r="FN446" s="703"/>
      <c r="FO446" s="703"/>
      <c r="FP446" s="703"/>
      <c r="FQ446" s="704"/>
    </row>
    <row r="447" spans="1:173" s="706" customFormat="1">
      <c r="A447" s="700"/>
      <c r="B447" s="700"/>
      <c r="C447" s="701" t="s">
        <v>3850</v>
      </c>
      <c r="D447" s="701"/>
      <c r="E447" s="703">
        <v>37.700000000000003</v>
      </c>
      <c r="F447" s="703"/>
      <c r="G447" s="703"/>
      <c r="H447" s="703"/>
      <c r="I447" s="703">
        <f t="shared" si="141"/>
        <v>37.700000000000003</v>
      </c>
      <c r="J447" s="703"/>
      <c r="K447" s="703"/>
      <c r="L447" s="703"/>
      <c r="M447" s="703"/>
      <c r="N447" s="703"/>
      <c r="O447" s="703"/>
      <c r="P447" s="703"/>
      <c r="Q447" s="703"/>
      <c r="R447" s="704"/>
      <c r="S447" s="704"/>
      <c r="T447" s="703"/>
      <c r="U447" s="703" t="s">
        <v>2990</v>
      </c>
      <c r="V447" s="703"/>
      <c r="W447" s="703"/>
      <c r="X447" s="703"/>
      <c r="Y447" s="703"/>
      <c r="Z447" s="703"/>
      <c r="AA447" s="703"/>
      <c r="AB447" s="703"/>
      <c r="AC447" s="703"/>
      <c r="AD447" s="703"/>
      <c r="AE447" s="766"/>
      <c r="AF447" s="960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>
        <f t="shared" si="138"/>
        <v>0</v>
      </c>
      <c r="AX447" s="703"/>
      <c r="AY447" s="703"/>
      <c r="AZ447" s="703">
        <f t="shared" si="139"/>
        <v>0</v>
      </c>
      <c r="BA447" s="703"/>
      <c r="BB447" s="703"/>
      <c r="BC447" s="703"/>
      <c r="BD447" s="703">
        <v>1</v>
      </c>
      <c r="BE447" s="703"/>
      <c r="BF447" s="703"/>
      <c r="BG447" s="703"/>
      <c r="BH447" s="703"/>
      <c r="BI447" s="703"/>
      <c r="BJ447" s="703">
        <f t="shared" si="140"/>
        <v>0</v>
      </c>
      <c r="BK447" s="703"/>
      <c r="BL447" s="703"/>
      <c r="BM447" s="703"/>
      <c r="BN447" s="703"/>
      <c r="BO447" s="703"/>
      <c r="BP447" s="703"/>
      <c r="BQ447" s="703"/>
      <c r="BR447" s="703"/>
      <c r="BS447" s="703"/>
      <c r="BT447" s="703"/>
      <c r="BU447" s="703"/>
      <c r="BV447" s="703">
        <v>1</v>
      </c>
      <c r="BW447" s="703"/>
      <c r="BX447" s="703"/>
      <c r="BY447" s="703"/>
      <c r="BZ447" s="703"/>
      <c r="CA447" s="703"/>
      <c r="CB447" s="703"/>
      <c r="CC447" s="703"/>
      <c r="CD447" s="703">
        <f t="shared" si="137"/>
        <v>0</v>
      </c>
      <c r="CE447" s="703"/>
      <c r="CF447" s="703"/>
      <c r="CG447" s="703"/>
      <c r="CH447" s="703"/>
      <c r="CI447" s="703"/>
      <c r="CJ447" s="703"/>
      <c r="CK447" s="703"/>
      <c r="CL447" s="703">
        <f t="shared" si="130"/>
        <v>2</v>
      </c>
      <c r="CM447" s="703"/>
      <c r="CN447" s="703"/>
      <c r="CO447" s="703"/>
      <c r="CP447" s="703"/>
      <c r="CQ447" s="703"/>
      <c r="CR447" s="703"/>
      <c r="CS447" s="703"/>
      <c r="CT447" s="703"/>
      <c r="CU447" s="703"/>
      <c r="CV447" s="703"/>
      <c r="CW447" s="703"/>
      <c r="CX447" s="703"/>
      <c r="CY447" s="703"/>
      <c r="CZ447" s="703">
        <v>1</v>
      </c>
      <c r="DA447" s="703"/>
      <c r="DB447" s="703"/>
      <c r="DC447" s="703"/>
      <c r="DD447" s="703"/>
      <c r="DE447" s="703"/>
      <c r="DF447" s="703"/>
      <c r="DG447" s="705"/>
      <c r="DH447" s="705"/>
      <c r="DI447" s="705"/>
      <c r="DJ447" s="705"/>
      <c r="DK447" s="705"/>
      <c r="DL447" s="705"/>
      <c r="DM447" s="705"/>
      <c r="DN447" s="705"/>
      <c r="DO447" s="705"/>
      <c r="DP447" s="705"/>
      <c r="DQ447" s="705"/>
      <c r="DR447" s="705"/>
      <c r="DS447" s="703"/>
      <c r="DT447" s="703"/>
      <c r="DU447" s="703"/>
      <c r="DV447" s="703"/>
      <c r="DW447" s="703"/>
      <c r="DX447" s="703"/>
      <c r="DY447" s="703"/>
      <c r="DZ447" s="703"/>
      <c r="EA447" s="703"/>
      <c r="EB447" s="703"/>
      <c r="EC447" s="703"/>
      <c r="ED447" s="703"/>
      <c r="EE447" s="703"/>
      <c r="EF447" s="703"/>
      <c r="EG447" s="703"/>
      <c r="EH447" s="703"/>
      <c r="EI447" s="703"/>
      <c r="EJ447" s="703"/>
      <c r="EK447" s="703"/>
      <c r="EL447" s="703"/>
      <c r="EM447" s="703"/>
      <c r="EN447" s="703"/>
      <c r="EO447" s="703"/>
      <c r="EP447" s="703"/>
      <c r="EQ447" s="703"/>
      <c r="ER447" s="703"/>
      <c r="ES447" s="703"/>
      <c r="ET447" s="703"/>
      <c r="EU447" s="703"/>
      <c r="EV447" s="703"/>
      <c r="EW447" s="703"/>
      <c r="EX447" s="703"/>
      <c r="EY447" s="703"/>
      <c r="EZ447" s="703"/>
      <c r="FA447" s="703"/>
      <c r="FB447" s="703"/>
      <c r="FC447" s="703"/>
      <c r="FD447" s="703"/>
      <c r="FE447" s="703"/>
      <c r="FF447" s="703"/>
      <c r="FG447" s="703"/>
      <c r="FH447" s="703"/>
      <c r="FI447" s="703"/>
      <c r="FJ447" s="703"/>
      <c r="FK447" s="703"/>
      <c r="FL447" s="703"/>
      <c r="FM447" s="703"/>
      <c r="FN447" s="703"/>
      <c r="FO447" s="703"/>
      <c r="FP447" s="703"/>
      <c r="FQ447" s="704"/>
    </row>
    <row r="448" spans="1:173" s="706" customFormat="1">
      <c r="A448" s="700"/>
      <c r="B448" s="700"/>
      <c r="C448" s="701"/>
      <c r="D448" s="701"/>
      <c r="E448" s="703"/>
      <c r="F448" s="703"/>
      <c r="G448" s="703"/>
      <c r="H448" s="703"/>
      <c r="I448" s="703"/>
      <c r="J448" s="703"/>
      <c r="K448" s="703"/>
      <c r="L448" s="703"/>
      <c r="M448" s="703"/>
      <c r="N448" s="703"/>
      <c r="O448" s="703"/>
      <c r="P448" s="703"/>
      <c r="Q448" s="703"/>
      <c r="R448" s="704"/>
      <c r="S448" s="704"/>
      <c r="T448" s="703"/>
      <c r="U448" s="703"/>
      <c r="V448" s="703"/>
      <c r="W448" s="703"/>
      <c r="X448" s="703"/>
      <c r="Y448" s="703"/>
      <c r="Z448" s="703"/>
      <c r="AA448" s="703"/>
      <c r="AB448" s="703"/>
      <c r="AC448" s="703"/>
      <c r="AD448" s="703"/>
      <c r="AE448" s="766"/>
      <c r="AF448" s="960"/>
      <c r="AG448" s="703"/>
      <c r="AH448" s="703"/>
      <c r="AI448" s="703"/>
      <c r="AJ448" s="703"/>
      <c r="AK448" s="703"/>
      <c r="AL448" s="703"/>
      <c r="AM448" s="703"/>
      <c r="AN448" s="703"/>
      <c r="AO448" s="703"/>
      <c r="AP448" s="703"/>
      <c r="AQ448" s="703"/>
      <c r="AR448" s="703"/>
      <c r="AS448" s="703"/>
      <c r="AT448" s="703"/>
      <c r="AU448" s="703"/>
      <c r="AV448" s="703"/>
      <c r="AW448" s="703">
        <f t="shared" si="138"/>
        <v>0</v>
      </c>
      <c r="AX448" s="703"/>
      <c r="AY448" s="703"/>
      <c r="AZ448" s="703">
        <f t="shared" si="139"/>
        <v>0</v>
      </c>
      <c r="BA448" s="703"/>
      <c r="BB448" s="703"/>
      <c r="BC448" s="703"/>
      <c r="BD448" s="703"/>
      <c r="BE448" s="703"/>
      <c r="BF448" s="703"/>
      <c r="BG448" s="703"/>
      <c r="BH448" s="703"/>
      <c r="BI448" s="703"/>
      <c r="BJ448" s="703">
        <f t="shared" si="140"/>
        <v>0</v>
      </c>
      <c r="BK448" s="703"/>
      <c r="BL448" s="703"/>
      <c r="BM448" s="703"/>
      <c r="BN448" s="703"/>
      <c r="BO448" s="703"/>
      <c r="BP448" s="703"/>
      <c r="BQ448" s="703"/>
      <c r="BR448" s="703"/>
      <c r="BS448" s="703"/>
      <c r="BT448" s="703"/>
      <c r="BU448" s="703"/>
      <c r="BV448" s="703"/>
      <c r="BW448" s="703"/>
      <c r="BX448" s="703"/>
      <c r="BY448" s="703"/>
      <c r="BZ448" s="703"/>
      <c r="CA448" s="703"/>
      <c r="CB448" s="703"/>
      <c r="CC448" s="703"/>
      <c r="CD448" s="703">
        <f t="shared" si="137"/>
        <v>0</v>
      </c>
      <c r="CE448" s="703"/>
      <c r="CF448" s="703"/>
      <c r="CG448" s="703"/>
      <c r="CH448" s="703"/>
      <c r="CI448" s="703"/>
      <c r="CJ448" s="703"/>
      <c r="CK448" s="703"/>
      <c r="CL448" s="703">
        <f t="shared" si="130"/>
        <v>0</v>
      </c>
      <c r="CM448" s="703"/>
      <c r="CN448" s="703"/>
      <c r="CO448" s="703"/>
      <c r="CP448" s="703"/>
      <c r="CQ448" s="703"/>
      <c r="CR448" s="703"/>
      <c r="CS448" s="703"/>
      <c r="CT448" s="703"/>
      <c r="CU448" s="703"/>
      <c r="CV448" s="703"/>
      <c r="CW448" s="703"/>
      <c r="CX448" s="703"/>
      <c r="CY448" s="703"/>
      <c r="CZ448" s="703"/>
      <c r="DA448" s="703"/>
      <c r="DB448" s="703"/>
      <c r="DC448" s="703"/>
      <c r="DD448" s="703"/>
      <c r="DE448" s="703"/>
      <c r="DF448" s="703"/>
      <c r="DG448" s="705"/>
      <c r="DH448" s="705"/>
      <c r="DI448" s="705"/>
      <c r="DJ448" s="705"/>
      <c r="DK448" s="705"/>
      <c r="DL448" s="705"/>
      <c r="DM448" s="705"/>
      <c r="DN448" s="705"/>
      <c r="DO448" s="705"/>
      <c r="DP448" s="705"/>
      <c r="DQ448" s="705"/>
      <c r="DR448" s="705"/>
      <c r="DS448" s="703"/>
      <c r="DT448" s="703"/>
      <c r="DU448" s="703"/>
      <c r="DV448" s="703"/>
      <c r="DW448" s="703"/>
      <c r="DX448" s="703"/>
      <c r="DY448" s="703"/>
      <c r="DZ448" s="703"/>
      <c r="EA448" s="703"/>
      <c r="EB448" s="703"/>
      <c r="EC448" s="703"/>
      <c r="ED448" s="703"/>
      <c r="EE448" s="703"/>
      <c r="EF448" s="703"/>
      <c r="EG448" s="703"/>
      <c r="EH448" s="703"/>
      <c r="EI448" s="703"/>
      <c r="EJ448" s="703"/>
      <c r="EK448" s="703"/>
      <c r="EL448" s="703"/>
      <c r="EM448" s="703"/>
      <c r="EN448" s="703"/>
      <c r="EO448" s="703"/>
      <c r="EP448" s="703"/>
      <c r="EQ448" s="703"/>
      <c r="ER448" s="703"/>
      <c r="ES448" s="703"/>
      <c r="ET448" s="703"/>
      <c r="EU448" s="703"/>
      <c r="EV448" s="703"/>
      <c r="EW448" s="703"/>
      <c r="EX448" s="703"/>
      <c r="EY448" s="703"/>
      <c r="EZ448" s="703"/>
      <c r="FA448" s="703"/>
      <c r="FB448" s="703"/>
      <c r="FC448" s="703"/>
      <c r="FD448" s="703"/>
      <c r="FE448" s="703"/>
      <c r="FF448" s="703"/>
      <c r="FG448" s="703"/>
      <c r="FH448" s="703"/>
      <c r="FI448" s="703"/>
      <c r="FJ448" s="703"/>
      <c r="FK448" s="703"/>
      <c r="FL448" s="703"/>
      <c r="FM448" s="703"/>
      <c r="FN448" s="703"/>
      <c r="FO448" s="703"/>
      <c r="FP448" s="703"/>
      <c r="FQ448" s="704"/>
    </row>
    <row r="449" spans="1:173" s="706" customFormat="1">
      <c r="A449" s="700"/>
      <c r="B449" s="700"/>
      <c r="C449" s="701"/>
      <c r="D449" s="702" t="s">
        <v>3851</v>
      </c>
      <c r="E449" s="703"/>
      <c r="F449" s="703"/>
      <c r="G449" s="703"/>
      <c r="H449" s="703"/>
      <c r="I449" s="703"/>
      <c r="J449" s="703"/>
      <c r="K449" s="703"/>
      <c r="L449" s="703"/>
      <c r="M449" s="703"/>
      <c r="N449" s="703"/>
      <c r="O449" s="703"/>
      <c r="P449" s="703"/>
      <c r="Q449" s="703"/>
      <c r="R449" s="704"/>
      <c r="S449" s="704"/>
      <c r="T449" s="703"/>
      <c r="U449" s="703"/>
      <c r="V449" s="703"/>
      <c r="W449" s="703"/>
      <c r="X449" s="703"/>
      <c r="Y449" s="703"/>
      <c r="Z449" s="703"/>
      <c r="AA449" s="703"/>
      <c r="AB449" s="703"/>
      <c r="AC449" s="703"/>
      <c r="AD449" s="703"/>
      <c r="AE449" s="766"/>
      <c r="AF449" s="960"/>
      <c r="AG449" s="703"/>
      <c r="AH449" s="703"/>
      <c r="AI449" s="703"/>
      <c r="AJ449" s="703"/>
      <c r="AK449" s="703"/>
      <c r="AL449" s="703"/>
      <c r="AM449" s="703"/>
      <c r="AN449" s="703"/>
      <c r="AO449" s="703"/>
      <c r="AP449" s="703"/>
      <c r="AQ449" s="703"/>
      <c r="AR449" s="703"/>
      <c r="AS449" s="703"/>
      <c r="AT449" s="703"/>
      <c r="AU449" s="703"/>
      <c r="AV449" s="703"/>
      <c r="AW449" s="703">
        <f t="shared" si="138"/>
        <v>0</v>
      </c>
      <c r="AX449" s="703"/>
      <c r="AY449" s="703"/>
      <c r="AZ449" s="703">
        <f t="shared" si="139"/>
        <v>0</v>
      </c>
      <c r="BA449" s="703"/>
      <c r="BB449" s="703"/>
      <c r="BC449" s="703"/>
      <c r="BD449" s="703"/>
      <c r="BE449" s="703"/>
      <c r="BF449" s="703"/>
      <c r="BG449" s="703"/>
      <c r="BH449" s="703"/>
      <c r="BI449" s="703"/>
      <c r="BJ449" s="703">
        <f t="shared" si="140"/>
        <v>0</v>
      </c>
      <c r="BK449" s="703"/>
      <c r="BL449" s="703"/>
      <c r="BM449" s="703"/>
      <c r="BN449" s="703"/>
      <c r="BO449" s="703"/>
      <c r="BP449" s="703"/>
      <c r="BQ449" s="703"/>
      <c r="BR449" s="703"/>
      <c r="BS449" s="703"/>
      <c r="BT449" s="703"/>
      <c r="BU449" s="703"/>
      <c r="BV449" s="703"/>
      <c r="BW449" s="703"/>
      <c r="BX449" s="703"/>
      <c r="BY449" s="703"/>
      <c r="BZ449" s="703"/>
      <c r="CA449" s="703"/>
      <c r="CB449" s="703"/>
      <c r="CC449" s="703"/>
      <c r="CD449" s="703">
        <f t="shared" si="137"/>
        <v>0</v>
      </c>
      <c r="CE449" s="703"/>
      <c r="CF449" s="703"/>
      <c r="CG449" s="703"/>
      <c r="CH449" s="703"/>
      <c r="CI449" s="703"/>
      <c r="CJ449" s="703"/>
      <c r="CK449" s="703"/>
      <c r="CL449" s="703">
        <f t="shared" si="130"/>
        <v>0</v>
      </c>
      <c r="CM449" s="703"/>
      <c r="CN449" s="703"/>
      <c r="CO449" s="703"/>
      <c r="CP449" s="703"/>
      <c r="CQ449" s="703"/>
      <c r="CR449" s="703"/>
      <c r="CS449" s="703"/>
      <c r="CT449" s="703"/>
      <c r="CU449" s="703"/>
      <c r="CV449" s="703"/>
      <c r="CW449" s="703"/>
      <c r="CX449" s="703"/>
      <c r="CY449" s="703"/>
      <c r="CZ449" s="703"/>
      <c r="DA449" s="703"/>
      <c r="DB449" s="703"/>
      <c r="DC449" s="703"/>
      <c r="DD449" s="703"/>
      <c r="DE449" s="703"/>
      <c r="DF449" s="703"/>
      <c r="DG449" s="705"/>
      <c r="DH449" s="705"/>
      <c r="DI449" s="705"/>
      <c r="DJ449" s="705"/>
      <c r="DK449" s="705"/>
      <c r="DL449" s="705"/>
      <c r="DM449" s="705"/>
      <c r="DN449" s="705"/>
      <c r="DO449" s="705"/>
      <c r="DP449" s="705"/>
      <c r="DQ449" s="705"/>
      <c r="DR449" s="705"/>
      <c r="DS449" s="703"/>
      <c r="DT449" s="703"/>
      <c r="DU449" s="703"/>
      <c r="DV449" s="703"/>
      <c r="DW449" s="703"/>
      <c r="DX449" s="703"/>
      <c r="DY449" s="703"/>
      <c r="DZ449" s="703"/>
      <c r="EA449" s="703"/>
      <c r="EB449" s="703"/>
      <c r="EC449" s="703"/>
      <c r="ED449" s="703"/>
      <c r="EE449" s="703"/>
      <c r="EF449" s="703"/>
      <c r="EG449" s="703"/>
      <c r="EH449" s="703"/>
      <c r="EI449" s="703"/>
      <c r="EJ449" s="703"/>
      <c r="EK449" s="703"/>
      <c r="EL449" s="703"/>
      <c r="EM449" s="703"/>
      <c r="EN449" s="703"/>
      <c r="EO449" s="703"/>
      <c r="EP449" s="703"/>
      <c r="EQ449" s="703"/>
      <c r="ER449" s="703"/>
      <c r="ES449" s="703"/>
      <c r="ET449" s="703"/>
      <c r="EU449" s="703"/>
      <c r="EV449" s="703"/>
      <c r="EW449" s="703"/>
      <c r="EX449" s="703"/>
      <c r="EY449" s="703"/>
      <c r="EZ449" s="703"/>
      <c r="FA449" s="703"/>
      <c r="FB449" s="703"/>
      <c r="FC449" s="703"/>
      <c r="FD449" s="703"/>
      <c r="FE449" s="703"/>
      <c r="FF449" s="703"/>
      <c r="FG449" s="703"/>
      <c r="FH449" s="703"/>
      <c r="FI449" s="703"/>
      <c r="FJ449" s="703"/>
      <c r="FK449" s="703"/>
      <c r="FL449" s="703"/>
      <c r="FM449" s="703"/>
      <c r="FN449" s="703"/>
      <c r="FO449" s="703"/>
      <c r="FP449" s="703"/>
      <c r="FQ449" s="704"/>
    </row>
    <row r="450" spans="1:173" s="706" customFormat="1">
      <c r="A450" s="700"/>
      <c r="B450" s="700"/>
      <c r="C450" s="701" t="s">
        <v>3648</v>
      </c>
      <c r="D450" s="701"/>
      <c r="E450" s="703">
        <v>33</v>
      </c>
      <c r="F450" s="703"/>
      <c r="G450" s="703"/>
      <c r="H450" s="703"/>
      <c r="I450" s="703">
        <f>E450</f>
        <v>33</v>
      </c>
      <c r="J450" s="703"/>
      <c r="K450" s="703"/>
      <c r="L450" s="703"/>
      <c r="M450" s="703"/>
      <c r="N450" s="703"/>
      <c r="O450" s="703"/>
      <c r="P450" s="703"/>
      <c r="Q450" s="703"/>
      <c r="R450" s="704"/>
      <c r="S450" s="704"/>
      <c r="T450" s="703"/>
      <c r="U450" s="703" t="s">
        <v>2989</v>
      </c>
      <c r="V450" s="703"/>
      <c r="W450" s="703"/>
      <c r="X450" s="703"/>
      <c r="Y450" s="703"/>
      <c r="Z450" s="703"/>
      <c r="AA450" s="703"/>
      <c r="AB450" s="703"/>
      <c r="AC450" s="703"/>
      <c r="AD450" s="703"/>
      <c r="AE450" s="766"/>
      <c r="AF450" s="960"/>
      <c r="AG450" s="703"/>
      <c r="AH450" s="703"/>
      <c r="AI450" s="703"/>
      <c r="AJ450" s="703"/>
      <c r="AK450" s="703"/>
      <c r="AL450" s="703"/>
      <c r="AM450" s="703"/>
      <c r="AN450" s="703"/>
      <c r="AO450" s="703"/>
      <c r="AP450" s="703"/>
      <c r="AQ450" s="703"/>
      <c r="AR450" s="703"/>
      <c r="AS450" s="703"/>
      <c r="AT450" s="703"/>
      <c r="AU450" s="703"/>
      <c r="AV450" s="703"/>
      <c r="AW450" s="703">
        <f t="shared" si="138"/>
        <v>0</v>
      </c>
      <c r="AX450" s="703"/>
      <c r="AY450" s="703"/>
      <c r="AZ450" s="703">
        <f t="shared" si="139"/>
        <v>0</v>
      </c>
      <c r="BA450" s="703"/>
      <c r="BB450" s="703"/>
      <c r="BC450" s="703"/>
      <c r="BD450" s="703">
        <v>2</v>
      </c>
      <c r="BE450" s="703"/>
      <c r="BF450" s="703"/>
      <c r="BG450" s="703"/>
      <c r="BH450" s="703"/>
      <c r="BI450" s="703"/>
      <c r="BJ450" s="703">
        <f t="shared" si="140"/>
        <v>0</v>
      </c>
      <c r="BK450" s="703"/>
      <c r="BL450" s="703"/>
      <c r="BM450" s="703"/>
      <c r="BN450" s="703"/>
      <c r="BO450" s="703"/>
      <c r="BP450" s="703"/>
      <c r="BQ450" s="703"/>
      <c r="BR450" s="703"/>
      <c r="BS450" s="703"/>
      <c r="BT450" s="703"/>
      <c r="BU450" s="703"/>
      <c r="BV450" s="703">
        <v>2</v>
      </c>
      <c r="BW450" s="703"/>
      <c r="BX450" s="703"/>
      <c r="BY450" s="703"/>
      <c r="BZ450" s="703"/>
      <c r="CA450" s="703"/>
      <c r="CB450" s="703"/>
      <c r="CC450" s="703"/>
      <c r="CD450" s="703">
        <f t="shared" si="137"/>
        <v>0</v>
      </c>
      <c r="CE450" s="703"/>
      <c r="CF450" s="703">
        <v>2</v>
      </c>
      <c r="CG450" s="703"/>
      <c r="CH450" s="703">
        <v>2</v>
      </c>
      <c r="CI450" s="703"/>
      <c r="CJ450" s="703">
        <v>6</v>
      </c>
      <c r="CK450" s="703"/>
      <c r="CL450" s="703">
        <f t="shared" si="130"/>
        <v>2</v>
      </c>
      <c r="CM450" s="703"/>
      <c r="CN450" s="703"/>
      <c r="CO450" s="703"/>
      <c r="CP450" s="703"/>
      <c r="CQ450" s="703"/>
      <c r="CR450" s="703"/>
      <c r="CS450" s="703"/>
      <c r="CT450" s="703"/>
      <c r="CU450" s="703"/>
      <c r="CV450" s="703"/>
      <c r="CW450" s="703"/>
      <c r="CX450" s="703"/>
      <c r="CY450" s="703"/>
      <c r="CZ450" s="703">
        <v>1</v>
      </c>
      <c r="DA450" s="703"/>
      <c r="DB450" s="703"/>
      <c r="DC450" s="703"/>
      <c r="DD450" s="703"/>
      <c r="DE450" s="703"/>
      <c r="DF450" s="703"/>
      <c r="DG450" s="705"/>
      <c r="DH450" s="705"/>
      <c r="DI450" s="705"/>
      <c r="DJ450" s="705"/>
      <c r="DK450" s="705"/>
      <c r="DL450" s="705"/>
      <c r="DM450" s="705"/>
      <c r="DN450" s="705"/>
      <c r="DO450" s="705"/>
      <c r="DP450" s="705"/>
      <c r="DQ450" s="705"/>
      <c r="DR450" s="705"/>
      <c r="DS450" s="703"/>
      <c r="DT450" s="703"/>
      <c r="DU450" s="703"/>
      <c r="DV450" s="703"/>
      <c r="DW450" s="703"/>
      <c r="DX450" s="703"/>
      <c r="DY450" s="703"/>
      <c r="DZ450" s="703"/>
      <c r="EA450" s="703"/>
      <c r="EB450" s="703"/>
      <c r="EC450" s="703"/>
      <c r="ED450" s="703"/>
      <c r="EE450" s="703"/>
      <c r="EF450" s="703"/>
      <c r="EG450" s="703"/>
      <c r="EH450" s="703"/>
      <c r="EI450" s="703"/>
      <c r="EJ450" s="703"/>
      <c r="EK450" s="703"/>
      <c r="EL450" s="703"/>
      <c r="EM450" s="703"/>
      <c r="EN450" s="703"/>
      <c r="EO450" s="703"/>
      <c r="EP450" s="703"/>
      <c r="EQ450" s="703"/>
      <c r="ER450" s="703"/>
      <c r="ES450" s="703"/>
      <c r="ET450" s="703"/>
      <c r="EU450" s="703"/>
      <c r="EV450" s="703"/>
      <c r="EW450" s="703"/>
      <c r="EX450" s="703"/>
      <c r="EY450" s="703"/>
      <c r="EZ450" s="703"/>
      <c r="FA450" s="703"/>
      <c r="FB450" s="703"/>
      <c r="FC450" s="703"/>
      <c r="FD450" s="703"/>
      <c r="FE450" s="703"/>
      <c r="FF450" s="703"/>
      <c r="FG450" s="703"/>
      <c r="FH450" s="703"/>
      <c r="FI450" s="703"/>
      <c r="FJ450" s="703"/>
      <c r="FK450" s="703"/>
      <c r="FL450" s="703"/>
      <c r="FM450" s="703"/>
      <c r="FN450" s="703"/>
      <c r="FO450" s="703"/>
      <c r="FP450" s="703"/>
      <c r="FQ450" s="704"/>
    </row>
    <row r="451" spans="1:173" s="706" customFormat="1">
      <c r="A451" s="700"/>
      <c r="B451" s="700"/>
      <c r="C451" s="701" t="s">
        <v>3649</v>
      </c>
      <c r="D451" s="701"/>
      <c r="E451" s="703">
        <v>36.9</v>
      </c>
      <c r="F451" s="703"/>
      <c r="G451" s="703"/>
      <c r="H451" s="703"/>
      <c r="I451" s="703">
        <f t="shared" ref="I451:I462" si="142">E451</f>
        <v>36.9</v>
      </c>
      <c r="J451" s="703"/>
      <c r="K451" s="703"/>
      <c r="L451" s="703"/>
      <c r="M451" s="703"/>
      <c r="N451" s="703"/>
      <c r="O451" s="703"/>
      <c r="P451" s="703"/>
      <c r="Q451" s="703"/>
      <c r="R451" s="704"/>
      <c r="S451" s="704"/>
      <c r="T451" s="703"/>
      <c r="U451" s="703" t="s">
        <v>1631</v>
      </c>
      <c r="V451" s="703"/>
      <c r="W451" s="703"/>
      <c r="X451" s="703"/>
      <c r="Y451" s="703"/>
      <c r="Z451" s="703"/>
      <c r="AA451" s="703"/>
      <c r="AB451" s="703"/>
      <c r="AC451" s="703"/>
      <c r="AD451" s="703"/>
      <c r="AE451" s="766"/>
      <c r="AF451" s="960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>
        <f t="shared" si="138"/>
        <v>1</v>
      </c>
      <c r="AX451" s="703"/>
      <c r="AY451" s="703"/>
      <c r="AZ451" s="703">
        <f t="shared" si="139"/>
        <v>1</v>
      </c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>
        <f t="shared" si="140"/>
        <v>1</v>
      </c>
      <c r="BK451" s="703"/>
      <c r="BL451" s="703"/>
      <c r="BM451" s="703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  <c r="BX451" s="703"/>
      <c r="BY451" s="703"/>
      <c r="BZ451" s="703"/>
      <c r="CA451" s="703"/>
      <c r="CB451" s="703"/>
      <c r="CC451" s="703"/>
      <c r="CD451" s="703">
        <f t="shared" si="137"/>
        <v>1</v>
      </c>
      <c r="CE451" s="703"/>
      <c r="CF451" s="703"/>
      <c r="CG451" s="703"/>
      <c r="CH451" s="703"/>
      <c r="CI451" s="703"/>
      <c r="CJ451" s="703"/>
      <c r="CK451" s="703"/>
      <c r="CL451" s="703">
        <f t="shared" si="130"/>
        <v>0</v>
      </c>
      <c r="CM451" s="703"/>
      <c r="CN451" s="703"/>
      <c r="CO451" s="703"/>
      <c r="CP451" s="703"/>
      <c r="CQ451" s="703"/>
      <c r="CR451" s="703"/>
      <c r="CS451" s="703"/>
      <c r="CT451" s="703"/>
      <c r="CU451" s="703"/>
      <c r="CV451" s="703"/>
      <c r="CW451" s="703"/>
      <c r="CX451" s="703"/>
      <c r="CY451" s="703"/>
      <c r="CZ451" s="703"/>
      <c r="DA451" s="703">
        <v>1</v>
      </c>
      <c r="DB451" s="703"/>
      <c r="DC451" s="703"/>
      <c r="DD451" s="703"/>
      <c r="DE451" s="703"/>
      <c r="DF451" s="703"/>
      <c r="DG451" s="705"/>
      <c r="DH451" s="705"/>
      <c r="DI451" s="705"/>
      <c r="DJ451" s="705"/>
      <c r="DK451" s="705"/>
      <c r="DL451" s="705"/>
      <c r="DM451" s="705"/>
      <c r="DN451" s="705"/>
      <c r="DO451" s="705"/>
      <c r="DP451" s="705"/>
      <c r="DQ451" s="705"/>
      <c r="DR451" s="705"/>
      <c r="DS451" s="703"/>
      <c r="DT451" s="703"/>
      <c r="DU451" s="703"/>
      <c r="DV451" s="703"/>
      <c r="DW451" s="703"/>
      <c r="DX451" s="703"/>
      <c r="DY451" s="703"/>
      <c r="DZ451" s="703"/>
      <c r="EA451" s="703"/>
      <c r="EB451" s="703"/>
      <c r="EC451" s="703"/>
      <c r="ED451" s="703"/>
      <c r="EE451" s="703"/>
      <c r="EF451" s="703"/>
      <c r="EG451" s="703"/>
      <c r="EH451" s="703"/>
      <c r="EI451" s="703"/>
      <c r="EJ451" s="703"/>
      <c r="EK451" s="703"/>
      <c r="EL451" s="703"/>
      <c r="EM451" s="703"/>
      <c r="EN451" s="703"/>
      <c r="EO451" s="703"/>
      <c r="EP451" s="703"/>
      <c r="EQ451" s="703"/>
      <c r="ER451" s="703"/>
      <c r="ES451" s="703"/>
      <c r="ET451" s="703"/>
      <c r="EU451" s="703"/>
      <c r="EV451" s="703"/>
      <c r="EW451" s="703"/>
      <c r="EX451" s="703"/>
      <c r="EY451" s="703"/>
      <c r="EZ451" s="703"/>
      <c r="FA451" s="703"/>
      <c r="FB451" s="703"/>
      <c r="FC451" s="703"/>
      <c r="FD451" s="703"/>
      <c r="FE451" s="703"/>
      <c r="FF451" s="703"/>
      <c r="FG451" s="703"/>
      <c r="FH451" s="703"/>
      <c r="FI451" s="703"/>
      <c r="FJ451" s="703"/>
      <c r="FK451" s="703"/>
      <c r="FL451" s="703"/>
      <c r="FM451" s="703"/>
      <c r="FN451" s="703"/>
      <c r="FO451" s="703"/>
      <c r="FP451" s="703"/>
      <c r="FQ451" s="704"/>
    </row>
    <row r="452" spans="1:173" s="706" customFormat="1">
      <c r="A452" s="700"/>
      <c r="B452" s="700"/>
      <c r="C452" s="701" t="s">
        <v>3650</v>
      </c>
      <c r="D452" s="701"/>
      <c r="E452" s="703">
        <v>35.200000000000003</v>
      </c>
      <c r="F452" s="703"/>
      <c r="G452" s="703"/>
      <c r="H452" s="703"/>
      <c r="I452" s="703">
        <f t="shared" si="142"/>
        <v>35.200000000000003</v>
      </c>
      <c r="J452" s="703"/>
      <c r="K452" s="703"/>
      <c r="L452" s="703"/>
      <c r="M452" s="703"/>
      <c r="N452" s="703"/>
      <c r="O452" s="703"/>
      <c r="P452" s="703"/>
      <c r="Q452" s="703"/>
      <c r="R452" s="704"/>
      <c r="S452" s="704"/>
      <c r="T452" s="703"/>
      <c r="U452" s="703" t="s">
        <v>1631</v>
      </c>
      <c r="V452" s="703"/>
      <c r="W452" s="703"/>
      <c r="X452" s="703"/>
      <c r="Y452" s="703"/>
      <c r="Z452" s="703"/>
      <c r="AA452" s="703"/>
      <c r="AB452" s="703"/>
      <c r="AC452" s="703"/>
      <c r="AD452" s="703"/>
      <c r="AE452" s="766"/>
      <c r="AF452" s="960"/>
      <c r="AG452" s="703"/>
      <c r="AH452" s="703"/>
      <c r="AI452" s="703"/>
      <c r="AJ452" s="703"/>
      <c r="AK452" s="703"/>
      <c r="AL452" s="703"/>
      <c r="AM452" s="703"/>
      <c r="AN452" s="703"/>
      <c r="AO452" s="703"/>
      <c r="AP452" s="703"/>
      <c r="AQ452" s="703"/>
      <c r="AR452" s="703"/>
      <c r="AS452" s="703"/>
      <c r="AT452" s="703"/>
      <c r="AU452" s="703"/>
      <c r="AV452" s="703"/>
      <c r="AW452" s="703">
        <f t="shared" si="138"/>
        <v>1</v>
      </c>
      <c r="AX452" s="703"/>
      <c r="AY452" s="703"/>
      <c r="AZ452" s="703">
        <f t="shared" si="139"/>
        <v>1</v>
      </c>
      <c r="BA452" s="703"/>
      <c r="BB452" s="703"/>
      <c r="BC452" s="703"/>
      <c r="BD452" s="703"/>
      <c r="BE452" s="703"/>
      <c r="BF452" s="703"/>
      <c r="BG452" s="703"/>
      <c r="BH452" s="703"/>
      <c r="BI452" s="703"/>
      <c r="BJ452" s="703">
        <f t="shared" si="140"/>
        <v>0</v>
      </c>
      <c r="BK452" s="703"/>
      <c r="BL452" s="703"/>
      <c r="BM452" s="703"/>
      <c r="BN452" s="703"/>
      <c r="BO452" s="703"/>
      <c r="BP452" s="703"/>
      <c r="BQ452" s="703"/>
      <c r="BR452" s="703"/>
      <c r="BS452" s="703"/>
      <c r="BT452" s="703"/>
      <c r="BU452" s="703"/>
      <c r="BV452" s="703"/>
      <c r="BW452" s="703"/>
      <c r="BX452" s="703"/>
      <c r="BY452" s="703"/>
      <c r="BZ452" s="703"/>
      <c r="CA452" s="703"/>
      <c r="CB452" s="703"/>
      <c r="CC452" s="703"/>
      <c r="CD452" s="703">
        <f t="shared" si="137"/>
        <v>0</v>
      </c>
      <c r="CE452" s="703"/>
      <c r="CF452" s="703"/>
      <c r="CG452" s="703"/>
      <c r="CH452" s="703"/>
      <c r="CI452" s="703"/>
      <c r="CJ452" s="703"/>
      <c r="CK452" s="703"/>
      <c r="CL452" s="703">
        <f t="shared" si="130"/>
        <v>0</v>
      </c>
      <c r="CM452" s="703"/>
      <c r="CN452" s="703"/>
      <c r="CO452" s="703"/>
      <c r="CP452" s="703"/>
      <c r="CQ452" s="703"/>
      <c r="CR452" s="703"/>
      <c r="CS452" s="703"/>
      <c r="CT452" s="703"/>
      <c r="CU452" s="703"/>
      <c r="CV452" s="703"/>
      <c r="CW452" s="703"/>
      <c r="CX452" s="703"/>
      <c r="CY452" s="703"/>
      <c r="CZ452" s="703"/>
      <c r="DA452" s="703"/>
      <c r="DB452" s="703"/>
      <c r="DC452" s="703"/>
      <c r="DD452" s="703"/>
      <c r="DE452" s="703"/>
      <c r="DF452" s="703"/>
      <c r="DG452" s="705"/>
      <c r="DH452" s="705"/>
      <c r="DI452" s="705"/>
      <c r="DJ452" s="705"/>
      <c r="DK452" s="705"/>
      <c r="DL452" s="705"/>
      <c r="DM452" s="705"/>
      <c r="DN452" s="705"/>
      <c r="DO452" s="705"/>
      <c r="DP452" s="705"/>
      <c r="DQ452" s="705"/>
      <c r="DR452" s="705"/>
      <c r="DS452" s="703"/>
      <c r="DT452" s="703"/>
      <c r="DU452" s="703"/>
      <c r="DV452" s="703"/>
      <c r="DW452" s="703"/>
      <c r="DX452" s="703"/>
      <c r="DY452" s="703"/>
      <c r="DZ452" s="703"/>
      <c r="EA452" s="703"/>
      <c r="EB452" s="703"/>
      <c r="EC452" s="703"/>
      <c r="ED452" s="703"/>
      <c r="EE452" s="703"/>
      <c r="EF452" s="703"/>
      <c r="EG452" s="703"/>
      <c r="EH452" s="703"/>
      <c r="EI452" s="703"/>
      <c r="EJ452" s="703"/>
      <c r="EK452" s="703"/>
      <c r="EL452" s="703"/>
      <c r="EM452" s="703"/>
      <c r="EN452" s="703"/>
      <c r="EO452" s="703"/>
      <c r="EP452" s="703"/>
      <c r="EQ452" s="703"/>
      <c r="ER452" s="703"/>
      <c r="ES452" s="703"/>
      <c r="ET452" s="703"/>
      <c r="EU452" s="703"/>
      <c r="EV452" s="703"/>
      <c r="EW452" s="703"/>
      <c r="EX452" s="703"/>
      <c r="EY452" s="703"/>
      <c r="EZ452" s="703"/>
      <c r="FA452" s="703"/>
      <c r="FB452" s="703"/>
      <c r="FC452" s="703"/>
      <c r="FD452" s="703"/>
      <c r="FE452" s="703"/>
      <c r="FF452" s="703"/>
      <c r="FG452" s="703"/>
      <c r="FH452" s="703"/>
      <c r="FI452" s="703"/>
      <c r="FJ452" s="703"/>
      <c r="FK452" s="703"/>
      <c r="FL452" s="703"/>
      <c r="FM452" s="703"/>
      <c r="FN452" s="703"/>
      <c r="FO452" s="703"/>
      <c r="FP452" s="703"/>
      <c r="FQ452" s="704"/>
    </row>
    <row r="453" spans="1:173" s="706" customFormat="1">
      <c r="A453" s="700"/>
      <c r="B453" s="700"/>
      <c r="C453" s="701" t="s">
        <v>3651</v>
      </c>
      <c r="D453" s="701"/>
      <c r="E453" s="703">
        <v>34.6</v>
      </c>
      <c r="F453" s="703"/>
      <c r="G453" s="703"/>
      <c r="H453" s="703"/>
      <c r="I453" s="703">
        <f t="shared" si="142"/>
        <v>34.6</v>
      </c>
      <c r="J453" s="703"/>
      <c r="K453" s="703"/>
      <c r="L453" s="703"/>
      <c r="M453" s="703"/>
      <c r="N453" s="703"/>
      <c r="O453" s="703"/>
      <c r="P453" s="703"/>
      <c r="Q453" s="703"/>
      <c r="R453" s="704"/>
      <c r="S453" s="704"/>
      <c r="T453" s="703"/>
      <c r="U453" s="703" t="s">
        <v>1631</v>
      </c>
      <c r="V453" s="703"/>
      <c r="W453" s="703"/>
      <c r="X453" s="703"/>
      <c r="Y453" s="703"/>
      <c r="Z453" s="703"/>
      <c r="AA453" s="703"/>
      <c r="AB453" s="703"/>
      <c r="AC453" s="703"/>
      <c r="AD453" s="703"/>
      <c r="AE453" s="766"/>
      <c r="AF453" s="960"/>
      <c r="AG453" s="703"/>
      <c r="AH453" s="703"/>
      <c r="AI453" s="703"/>
      <c r="AJ453" s="703"/>
      <c r="AK453" s="703"/>
      <c r="AL453" s="703"/>
      <c r="AM453" s="703"/>
      <c r="AN453" s="703"/>
      <c r="AO453" s="703"/>
      <c r="AP453" s="703"/>
      <c r="AQ453" s="703"/>
      <c r="AR453" s="703"/>
      <c r="AS453" s="703"/>
      <c r="AT453" s="703"/>
      <c r="AU453" s="703"/>
      <c r="AV453" s="703"/>
      <c r="AW453" s="703">
        <f t="shared" si="138"/>
        <v>1</v>
      </c>
      <c r="AX453" s="703"/>
      <c r="AY453" s="703"/>
      <c r="AZ453" s="703">
        <f t="shared" si="139"/>
        <v>1</v>
      </c>
      <c r="BA453" s="703"/>
      <c r="BB453" s="703"/>
      <c r="BC453" s="703"/>
      <c r="BD453" s="703"/>
      <c r="BE453" s="703"/>
      <c r="BF453" s="703"/>
      <c r="BG453" s="703"/>
      <c r="BH453" s="703"/>
      <c r="BI453" s="703"/>
      <c r="BJ453" s="703">
        <f t="shared" si="140"/>
        <v>1</v>
      </c>
      <c r="BK453" s="703"/>
      <c r="BL453" s="703"/>
      <c r="BM453" s="703"/>
      <c r="BN453" s="703"/>
      <c r="BO453" s="703"/>
      <c r="BP453" s="703"/>
      <c r="BQ453" s="703"/>
      <c r="BR453" s="703"/>
      <c r="BS453" s="703"/>
      <c r="BT453" s="703"/>
      <c r="BU453" s="703"/>
      <c r="BV453" s="703"/>
      <c r="BW453" s="703"/>
      <c r="BX453" s="703"/>
      <c r="BY453" s="703"/>
      <c r="BZ453" s="703"/>
      <c r="CA453" s="703"/>
      <c r="CB453" s="703"/>
      <c r="CC453" s="703"/>
      <c r="CD453" s="703">
        <f t="shared" si="137"/>
        <v>1</v>
      </c>
      <c r="CE453" s="703"/>
      <c r="CF453" s="703"/>
      <c r="CG453" s="703"/>
      <c r="CH453" s="703"/>
      <c r="CI453" s="703"/>
      <c r="CJ453" s="703"/>
      <c r="CK453" s="703"/>
      <c r="CL453" s="703">
        <f t="shared" si="130"/>
        <v>0</v>
      </c>
      <c r="CM453" s="703"/>
      <c r="CN453" s="703"/>
      <c r="CO453" s="703"/>
      <c r="CP453" s="703"/>
      <c r="CQ453" s="703"/>
      <c r="CR453" s="703"/>
      <c r="CS453" s="703"/>
      <c r="CT453" s="703"/>
      <c r="CU453" s="703"/>
      <c r="CV453" s="703"/>
      <c r="CW453" s="703"/>
      <c r="CX453" s="703"/>
      <c r="CY453" s="703"/>
      <c r="CZ453" s="703"/>
      <c r="DA453" s="703">
        <v>1</v>
      </c>
      <c r="DB453" s="703"/>
      <c r="DC453" s="703"/>
      <c r="DD453" s="703"/>
      <c r="DE453" s="703"/>
      <c r="DF453" s="703"/>
      <c r="DG453" s="705"/>
      <c r="DH453" s="705"/>
      <c r="DI453" s="705"/>
      <c r="DJ453" s="705"/>
      <c r="DK453" s="705"/>
      <c r="DL453" s="705"/>
      <c r="DM453" s="705"/>
      <c r="DN453" s="705"/>
      <c r="DO453" s="705"/>
      <c r="DP453" s="705"/>
      <c r="DQ453" s="705"/>
      <c r="DR453" s="705"/>
      <c r="DS453" s="703"/>
      <c r="DT453" s="703"/>
      <c r="DU453" s="703"/>
      <c r="DV453" s="703"/>
      <c r="DW453" s="703"/>
      <c r="DX453" s="703"/>
      <c r="DY453" s="703"/>
      <c r="DZ453" s="703"/>
      <c r="EA453" s="703"/>
      <c r="EB453" s="703"/>
      <c r="EC453" s="703"/>
      <c r="ED453" s="703"/>
      <c r="EE453" s="703"/>
      <c r="EF453" s="703"/>
      <c r="EG453" s="703"/>
      <c r="EH453" s="703"/>
      <c r="EI453" s="703"/>
      <c r="EJ453" s="703"/>
      <c r="EK453" s="703"/>
      <c r="EL453" s="703"/>
      <c r="EM453" s="703"/>
      <c r="EN453" s="703"/>
      <c r="EO453" s="703"/>
      <c r="EP453" s="703"/>
      <c r="EQ453" s="703"/>
      <c r="ER453" s="703"/>
      <c r="ES453" s="703"/>
      <c r="ET453" s="703"/>
      <c r="EU453" s="703"/>
      <c r="EV453" s="703"/>
      <c r="EW453" s="703"/>
      <c r="EX453" s="703"/>
      <c r="EY453" s="703"/>
      <c r="EZ453" s="703"/>
      <c r="FA453" s="703"/>
      <c r="FB453" s="703"/>
      <c r="FC453" s="703"/>
      <c r="FD453" s="703"/>
      <c r="FE453" s="703"/>
      <c r="FF453" s="703"/>
      <c r="FG453" s="703"/>
      <c r="FH453" s="703"/>
      <c r="FI453" s="703"/>
      <c r="FJ453" s="703"/>
      <c r="FK453" s="703"/>
      <c r="FL453" s="703"/>
      <c r="FM453" s="703"/>
      <c r="FN453" s="703"/>
      <c r="FO453" s="703"/>
      <c r="FP453" s="703"/>
      <c r="FQ453" s="704"/>
    </row>
    <row r="454" spans="1:173" s="706" customFormat="1">
      <c r="A454" s="700"/>
      <c r="B454" s="700"/>
      <c r="C454" s="701" t="s">
        <v>3652</v>
      </c>
      <c r="D454" s="701"/>
      <c r="E454" s="703">
        <v>35.1</v>
      </c>
      <c r="F454" s="703"/>
      <c r="G454" s="703"/>
      <c r="H454" s="703"/>
      <c r="I454" s="703">
        <f t="shared" si="142"/>
        <v>35.1</v>
      </c>
      <c r="J454" s="703"/>
      <c r="K454" s="703"/>
      <c r="L454" s="703"/>
      <c r="M454" s="703"/>
      <c r="N454" s="703"/>
      <c r="O454" s="703"/>
      <c r="P454" s="703"/>
      <c r="Q454" s="703"/>
      <c r="R454" s="704"/>
      <c r="S454" s="704"/>
      <c r="T454" s="703"/>
      <c r="U454" s="703" t="s">
        <v>1903</v>
      </c>
      <c r="V454" s="703"/>
      <c r="W454" s="703"/>
      <c r="X454" s="703"/>
      <c r="Y454" s="703"/>
      <c r="Z454" s="703"/>
      <c r="AA454" s="703"/>
      <c r="AB454" s="703"/>
      <c r="AC454" s="703"/>
      <c r="AD454" s="703"/>
      <c r="AE454" s="766"/>
      <c r="AF454" s="960"/>
      <c r="AG454" s="703"/>
      <c r="AH454" s="703"/>
      <c r="AI454" s="703"/>
      <c r="AJ454" s="703"/>
      <c r="AK454" s="703"/>
      <c r="AL454" s="703"/>
      <c r="AM454" s="703"/>
      <c r="AN454" s="703"/>
      <c r="AO454" s="703"/>
      <c r="AP454" s="703"/>
      <c r="AQ454" s="703"/>
      <c r="AR454" s="703"/>
      <c r="AS454" s="703"/>
      <c r="AT454" s="703"/>
      <c r="AU454" s="703"/>
      <c r="AV454" s="703"/>
      <c r="AW454" s="703">
        <f t="shared" si="138"/>
        <v>1</v>
      </c>
      <c r="AX454" s="703"/>
      <c r="AY454" s="703"/>
      <c r="AZ454" s="703">
        <f t="shared" si="139"/>
        <v>1</v>
      </c>
      <c r="BA454" s="703"/>
      <c r="BB454" s="703"/>
      <c r="BC454" s="703"/>
      <c r="BD454" s="703"/>
      <c r="BE454" s="703"/>
      <c r="BF454" s="703"/>
      <c r="BG454" s="703"/>
      <c r="BH454" s="703"/>
      <c r="BI454" s="703"/>
      <c r="BJ454" s="703">
        <f t="shared" si="140"/>
        <v>1</v>
      </c>
      <c r="BK454" s="703"/>
      <c r="BL454" s="703"/>
      <c r="BM454" s="703"/>
      <c r="BN454" s="703"/>
      <c r="BO454" s="703"/>
      <c r="BP454" s="703"/>
      <c r="BQ454" s="703"/>
      <c r="BR454" s="703"/>
      <c r="BS454" s="703"/>
      <c r="BT454" s="703"/>
      <c r="BU454" s="703"/>
      <c r="BV454" s="703"/>
      <c r="BW454" s="703"/>
      <c r="BX454" s="703"/>
      <c r="BY454" s="703"/>
      <c r="BZ454" s="703"/>
      <c r="CA454" s="703"/>
      <c r="CB454" s="703"/>
      <c r="CC454" s="703"/>
      <c r="CD454" s="703">
        <f t="shared" si="137"/>
        <v>1</v>
      </c>
      <c r="CE454" s="703"/>
      <c r="CF454" s="703"/>
      <c r="CG454" s="703"/>
      <c r="CH454" s="703"/>
      <c r="CI454" s="703"/>
      <c r="CJ454" s="703"/>
      <c r="CK454" s="703"/>
      <c r="CL454" s="703">
        <f t="shared" si="130"/>
        <v>0</v>
      </c>
      <c r="CM454" s="703"/>
      <c r="CN454" s="703"/>
      <c r="CO454" s="703"/>
      <c r="CP454" s="703"/>
      <c r="CQ454" s="703"/>
      <c r="CR454" s="703"/>
      <c r="CS454" s="703"/>
      <c r="CT454" s="703"/>
      <c r="CU454" s="703"/>
      <c r="CV454" s="703"/>
      <c r="CW454" s="703"/>
      <c r="CX454" s="703"/>
      <c r="CY454" s="703"/>
      <c r="CZ454" s="703"/>
      <c r="DA454" s="703">
        <v>1</v>
      </c>
      <c r="DB454" s="703"/>
      <c r="DC454" s="703"/>
      <c r="DD454" s="703"/>
      <c r="DE454" s="703"/>
      <c r="DF454" s="703"/>
      <c r="DG454" s="705"/>
      <c r="DH454" s="705"/>
      <c r="DI454" s="705"/>
      <c r="DJ454" s="705"/>
      <c r="DK454" s="705"/>
      <c r="DL454" s="705"/>
      <c r="DM454" s="705"/>
      <c r="DN454" s="705"/>
      <c r="DO454" s="705"/>
      <c r="DP454" s="705"/>
      <c r="DQ454" s="705"/>
      <c r="DR454" s="705"/>
      <c r="DS454" s="703"/>
      <c r="DT454" s="703"/>
      <c r="DU454" s="703"/>
      <c r="DV454" s="703"/>
      <c r="DW454" s="703"/>
      <c r="DX454" s="703"/>
      <c r="DY454" s="703"/>
      <c r="DZ454" s="703"/>
      <c r="EA454" s="703"/>
      <c r="EB454" s="703"/>
      <c r="EC454" s="703"/>
      <c r="ED454" s="703"/>
      <c r="EE454" s="703"/>
      <c r="EF454" s="703"/>
      <c r="EG454" s="703"/>
      <c r="EH454" s="703"/>
      <c r="EI454" s="703"/>
      <c r="EJ454" s="703"/>
      <c r="EK454" s="703"/>
      <c r="EL454" s="703"/>
      <c r="EM454" s="703"/>
      <c r="EN454" s="703"/>
      <c r="EO454" s="703"/>
      <c r="EP454" s="703"/>
      <c r="EQ454" s="703"/>
      <c r="ER454" s="703"/>
      <c r="ES454" s="703"/>
      <c r="ET454" s="703"/>
      <c r="EU454" s="703"/>
      <c r="EV454" s="703"/>
      <c r="EW454" s="703"/>
      <c r="EX454" s="703"/>
      <c r="EY454" s="703"/>
      <c r="EZ454" s="703"/>
      <c r="FA454" s="703"/>
      <c r="FB454" s="703"/>
      <c r="FC454" s="703"/>
      <c r="FD454" s="703"/>
      <c r="FE454" s="703"/>
      <c r="FF454" s="703"/>
      <c r="FG454" s="703"/>
      <c r="FH454" s="703"/>
      <c r="FI454" s="703"/>
      <c r="FJ454" s="703"/>
      <c r="FK454" s="703"/>
      <c r="FL454" s="703"/>
      <c r="FM454" s="703"/>
      <c r="FN454" s="703"/>
      <c r="FO454" s="703"/>
      <c r="FP454" s="703"/>
      <c r="FQ454" s="704"/>
    </row>
    <row r="455" spans="1:173" s="706" customFormat="1">
      <c r="A455" s="700"/>
      <c r="B455" s="700"/>
      <c r="C455" s="701" t="s">
        <v>3653</v>
      </c>
      <c r="D455" s="701"/>
      <c r="E455" s="703">
        <v>35.700000000000003</v>
      </c>
      <c r="F455" s="703"/>
      <c r="G455" s="703"/>
      <c r="H455" s="703"/>
      <c r="I455" s="703">
        <f t="shared" si="142"/>
        <v>35.700000000000003</v>
      </c>
      <c r="J455" s="703"/>
      <c r="K455" s="703"/>
      <c r="L455" s="703"/>
      <c r="M455" s="703"/>
      <c r="N455" s="703"/>
      <c r="O455" s="703"/>
      <c r="P455" s="703"/>
      <c r="Q455" s="703"/>
      <c r="R455" s="704"/>
      <c r="S455" s="704"/>
      <c r="T455" s="703"/>
      <c r="U455" s="703" t="s">
        <v>1903</v>
      </c>
      <c r="V455" s="703"/>
      <c r="W455" s="703"/>
      <c r="X455" s="703"/>
      <c r="Y455" s="703"/>
      <c r="Z455" s="703"/>
      <c r="AA455" s="703"/>
      <c r="AB455" s="703"/>
      <c r="AC455" s="703"/>
      <c r="AD455" s="703"/>
      <c r="AE455" s="766"/>
      <c r="AF455" s="960"/>
      <c r="AG455" s="703"/>
      <c r="AH455" s="703"/>
      <c r="AI455" s="703"/>
      <c r="AJ455" s="703"/>
      <c r="AK455" s="703"/>
      <c r="AL455" s="703"/>
      <c r="AM455" s="703"/>
      <c r="AN455" s="703"/>
      <c r="AO455" s="703"/>
      <c r="AP455" s="703"/>
      <c r="AQ455" s="703"/>
      <c r="AR455" s="703"/>
      <c r="AS455" s="703"/>
      <c r="AT455" s="703"/>
      <c r="AU455" s="703"/>
      <c r="AV455" s="703"/>
      <c r="AW455" s="703">
        <f t="shared" si="138"/>
        <v>1</v>
      </c>
      <c r="AX455" s="703"/>
      <c r="AY455" s="703"/>
      <c r="AZ455" s="703">
        <f t="shared" si="139"/>
        <v>1</v>
      </c>
      <c r="BA455" s="703"/>
      <c r="BB455" s="703"/>
      <c r="BC455" s="703"/>
      <c r="BD455" s="703"/>
      <c r="BE455" s="703"/>
      <c r="BF455" s="703"/>
      <c r="BG455" s="703"/>
      <c r="BH455" s="703"/>
      <c r="BI455" s="703"/>
      <c r="BJ455" s="703">
        <f t="shared" si="140"/>
        <v>0</v>
      </c>
      <c r="BK455" s="703"/>
      <c r="BL455" s="703"/>
      <c r="BM455" s="703"/>
      <c r="BN455" s="703"/>
      <c r="BO455" s="703"/>
      <c r="BP455" s="703"/>
      <c r="BQ455" s="703"/>
      <c r="BR455" s="703"/>
      <c r="BS455" s="703"/>
      <c r="BT455" s="703"/>
      <c r="BU455" s="703"/>
      <c r="BV455" s="703"/>
      <c r="BW455" s="703"/>
      <c r="BX455" s="703"/>
      <c r="BY455" s="703"/>
      <c r="BZ455" s="703"/>
      <c r="CA455" s="703"/>
      <c r="CB455" s="703"/>
      <c r="CC455" s="703"/>
      <c r="CD455" s="703">
        <f t="shared" si="137"/>
        <v>0</v>
      </c>
      <c r="CE455" s="703"/>
      <c r="CF455" s="703"/>
      <c r="CG455" s="703"/>
      <c r="CH455" s="703"/>
      <c r="CI455" s="703"/>
      <c r="CJ455" s="703"/>
      <c r="CK455" s="703"/>
      <c r="CL455" s="703">
        <f t="shared" si="130"/>
        <v>0</v>
      </c>
      <c r="CM455" s="703"/>
      <c r="CN455" s="703"/>
      <c r="CO455" s="703"/>
      <c r="CP455" s="703"/>
      <c r="CQ455" s="703"/>
      <c r="CR455" s="703"/>
      <c r="CS455" s="703"/>
      <c r="CT455" s="703"/>
      <c r="CU455" s="703"/>
      <c r="CV455" s="703"/>
      <c r="CW455" s="703"/>
      <c r="CX455" s="703"/>
      <c r="CY455" s="703"/>
      <c r="CZ455" s="703"/>
      <c r="DA455" s="703"/>
      <c r="DB455" s="703"/>
      <c r="DC455" s="703"/>
      <c r="DD455" s="703"/>
      <c r="DE455" s="703"/>
      <c r="DF455" s="703"/>
      <c r="DG455" s="705"/>
      <c r="DH455" s="705"/>
      <c r="DI455" s="705"/>
      <c r="DJ455" s="705"/>
      <c r="DK455" s="705"/>
      <c r="DL455" s="705"/>
      <c r="DM455" s="705"/>
      <c r="DN455" s="705"/>
      <c r="DO455" s="705"/>
      <c r="DP455" s="705"/>
      <c r="DQ455" s="705"/>
      <c r="DR455" s="705"/>
      <c r="DS455" s="703"/>
      <c r="DT455" s="703"/>
      <c r="DU455" s="703"/>
      <c r="DV455" s="703"/>
      <c r="DW455" s="703"/>
      <c r="DX455" s="703"/>
      <c r="DY455" s="703"/>
      <c r="DZ455" s="703"/>
      <c r="EA455" s="703"/>
      <c r="EB455" s="703"/>
      <c r="EC455" s="703"/>
      <c r="ED455" s="703"/>
      <c r="EE455" s="703"/>
      <c r="EF455" s="703"/>
      <c r="EG455" s="703"/>
      <c r="EH455" s="703"/>
      <c r="EI455" s="703"/>
      <c r="EJ455" s="703"/>
      <c r="EK455" s="703"/>
      <c r="EL455" s="703"/>
      <c r="EM455" s="703"/>
      <c r="EN455" s="703"/>
      <c r="EO455" s="703"/>
      <c r="EP455" s="703"/>
      <c r="EQ455" s="703"/>
      <c r="ER455" s="703"/>
      <c r="ES455" s="703"/>
      <c r="ET455" s="703"/>
      <c r="EU455" s="703"/>
      <c r="EV455" s="703"/>
      <c r="EW455" s="703"/>
      <c r="EX455" s="703"/>
      <c r="EY455" s="703"/>
      <c r="EZ455" s="703"/>
      <c r="FA455" s="703"/>
      <c r="FB455" s="703"/>
      <c r="FC455" s="703"/>
      <c r="FD455" s="703"/>
      <c r="FE455" s="703"/>
      <c r="FF455" s="703"/>
      <c r="FG455" s="703"/>
      <c r="FH455" s="703"/>
      <c r="FI455" s="703"/>
      <c r="FJ455" s="703"/>
      <c r="FK455" s="703"/>
      <c r="FL455" s="703"/>
      <c r="FM455" s="703"/>
      <c r="FN455" s="703"/>
      <c r="FO455" s="703"/>
      <c r="FP455" s="703"/>
      <c r="FQ455" s="704"/>
    </row>
    <row r="456" spans="1:173" s="706" customFormat="1">
      <c r="A456" s="700"/>
      <c r="B456" s="700"/>
      <c r="C456" s="701" t="s">
        <v>3654</v>
      </c>
      <c r="D456" s="701"/>
      <c r="E456" s="703">
        <v>34.5</v>
      </c>
      <c r="F456" s="703"/>
      <c r="G456" s="703"/>
      <c r="H456" s="703"/>
      <c r="I456" s="703">
        <f t="shared" si="142"/>
        <v>34.5</v>
      </c>
      <c r="J456" s="703"/>
      <c r="K456" s="703"/>
      <c r="L456" s="703"/>
      <c r="M456" s="703"/>
      <c r="N456" s="703"/>
      <c r="O456" s="703"/>
      <c r="P456" s="703"/>
      <c r="Q456" s="703"/>
      <c r="R456" s="704"/>
      <c r="S456" s="704"/>
      <c r="T456" s="703"/>
      <c r="U456" s="703" t="s">
        <v>1903</v>
      </c>
      <c r="V456" s="703"/>
      <c r="W456" s="703"/>
      <c r="X456" s="703"/>
      <c r="Y456" s="703"/>
      <c r="Z456" s="703"/>
      <c r="AA456" s="703"/>
      <c r="AB456" s="703"/>
      <c r="AC456" s="703"/>
      <c r="AD456" s="703"/>
      <c r="AE456" s="766"/>
      <c r="AF456" s="960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>
        <f t="shared" si="138"/>
        <v>1</v>
      </c>
      <c r="AX456" s="703"/>
      <c r="AY456" s="703"/>
      <c r="AZ456" s="703">
        <f t="shared" si="139"/>
        <v>1</v>
      </c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>
        <f t="shared" si="140"/>
        <v>1</v>
      </c>
      <c r="BK456" s="703"/>
      <c r="BL456" s="703"/>
      <c r="BM456" s="703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  <c r="BX456" s="703"/>
      <c r="BY456" s="703"/>
      <c r="BZ456" s="703"/>
      <c r="CA456" s="703"/>
      <c r="CB456" s="703"/>
      <c r="CC456" s="703"/>
      <c r="CD456" s="703">
        <f t="shared" si="137"/>
        <v>1</v>
      </c>
      <c r="CE456" s="703"/>
      <c r="CF456" s="703"/>
      <c r="CG456" s="703"/>
      <c r="CH456" s="703"/>
      <c r="CI456" s="703"/>
      <c r="CJ456" s="703"/>
      <c r="CK456" s="703"/>
      <c r="CL456" s="703">
        <f t="shared" si="130"/>
        <v>0</v>
      </c>
      <c r="CM456" s="703"/>
      <c r="CN456" s="703"/>
      <c r="CO456" s="703"/>
      <c r="CP456" s="703"/>
      <c r="CQ456" s="703"/>
      <c r="CR456" s="703"/>
      <c r="CS456" s="703"/>
      <c r="CT456" s="703"/>
      <c r="CU456" s="703"/>
      <c r="CV456" s="703"/>
      <c r="CW456" s="703"/>
      <c r="CX456" s="703"/>
      <c r="CY456" s="703"/>
      <c r="CZ456" s="703"/>
      <c r="DA456" s="703">
        <v>1</v>
      </c>
      <c r="DB456" s="703"/>
      <c r="DC456" s="703"/>
      <c r="DD456" s="703"/>
      <c r="DE456" s="703"/>
      <c r="DF456" s="703"/>
      <c r="DG456" s="705"/>
      <c r="DH456" s="705"/>
      <c r="DI456" s="705"/>
      <c r="DJ456" s="705"/>
      <c r="DK456" s="705"/>
      <c r="DL456" s="705"/>
      <c r="DM456" s="705"/>
      <c r="DN456" s="705"/>
      <c r="DO456" s="705"/>
      <c r="DP456" s="705"/>
      <c r="DQ456" s="705"/>
      <c r="DR456" s="705"/>
      <c r="DS456" s="703"/>
      <c r="DT456" s="703"/>
      <c r="DU456" s="703"/>
      <c r="DV456" s="703"/>
      <c r="DW456" s="703"/>
      <c r="DX456" s="703"/>
      <c r="DY456" s="703"/>
      <c r="DZ456" s="703"/>
      <c r="EA456" s="703"/>
      <c r="EB456" s="703"/>
      <c r="EC456" s="703"/>
      <c r="ED456" s="703"/>
      <c r="EE456" s="703"/>
      <c r="EF456" s="703"/>
      <c r="EG456" s="703"/>
      <c r="EH456" s="703"/>
      <c r="EI456" s="703"/>
      <c r="EJ456" s="703"/>
      <c r="EK456" s="703"/>
      <c r="EL456" s="703"/>
      <c r="EM456" s="703"/>
      <c r="EN456" s="703"/>
      <c r="EO456" s="703"/>
      <c r="EP456" s="703"/>
      <c r="EQ456" s="703"/>
      <c r="ER456" s="703"/>
      <c r="ES456" s="703"/>
      <c r="ET456" s="703"/>
      <c r="EU456" s="703"/>
      <c r="EV456" s="703"/>
      <c r="EW456" s="703"/>
      <c r="EX456" s="703"/>
      <c r="EY456" s="703"/>
      <c r="EZ456" s="703"/>
      <c r="FA456" s="703"/>
      <c r="FB456" s="703"/>
      <c r="FC456" s="703"/>
      <c r="FD456" s="703"/>
      <c r="FE456" s="703"/>
      <c r="FF456" s="703"/>
      <c r="FG456" s="703"/>
      <c r="FH456" s="703"/>
      <c r="FI456" s="703"/>
      <c r="FJ456" s="703"/>
      <c r="FK456" s="703"/>
      <c r="FL456" s="703"/>
      <c r="FM456" s="703"/>
      <c r="FN456" s="703"/>
      <c r="FO456" s="703"/>
      <c r="FP456" s="703"/>
      <c r="FQ456" s="704"/>
    </row>
    <row r="457" spans="1:173" s="706" customFormat="1">
      <c r="A457" s="700"/>
      <c r="B457" s="700"/>
      <c r="C457" s="701" t="s">
        <v>3655</v>
      </c>
      <c r="D457" s="701"/>
      <c r="E457" s="703">
        <v>30.3</v>
      </c>
      <c r="F457" s="703"/>
      <c r="G457" s="703"/>
      <c r="H457" s="703"/>
      <c r="I457" s="703">
        <f t="shared" si="142"/>
        <v>30.3</v>
      </c>
      <c r="J457" s="703"/>
      <c r="K457" s="703"/>
      <c r="L457" s="703"/>
      <c r="M457" s="703"/>
      <c r="N457" s="703"/>
      <c r="O457" s="703"/>
      <c r="P457" s="703"/>
      <c r="Q457" s="703"/>
      <c r="R457" s="704"/>
      <c r="S457" s="704"/>
      <c r="T457" s="703"/>
      <c r="U457" s="703" t="s">
        <v>1631</v>
      </c>
      <c r="V457" s="703"/>
      <c r="W457" s="703"/>
      <c r="X457" s="703"/>
      <c r="Y457" s="703"/>
      <c r="Z457" s="703"/>
      <c r="AA457" s="703"/>
      <c r="AB457" s="703"/>
      <c r="AC457" s="703"/>
      <c r="AD457" s="703"/>
      <c r="AE457" s="766"/>
      <c r="AF457" s="960"/>
      <c r="AG457" s="703"/>
      <c r="AH457" s="703"/>
      <c r="AI457" s="703"/>
      <c r="AJ457" s="703"/>
      <c r="AK457" s="703"/>
      <c r="AL457" s="703"/>
      <c r="AM457" s="703"/>
      <c r="AN457" s="703"/>
      <c r="AO457" s="703"/>
      <c r="AP457" s="703"/>
      <c r="AQ457" s="703"/>
      <c r="AR457" s="703"/>
      <c r="AS457" s="703"/>
      <c r="AT457" s="703"/>
      <c r="AU457" s="703"/>
      <c r="AV457" s="703"/>
      <c r="AW457" s="703">
        <f t="shared" si="138"/>
        <v>1</v>
      </c>
      <c r="AX457" s="703"/>
      <c r="AY457" s="703"/>
      <c r="AZ457" s="703">
        <f t="shared" si="139"/>
        <v>1</v>
      </c>
      <c r="BA457" s="703"/>
      <c r="BB457" s="703"/>
      <c r="BC457" s="703"/>
      <c r="BD457" s="703"/>
      <c r="BE457" s="703"/>
      <c r="BF457" s="703"/>
      <c r="BG457" s="703"/>
      <c r="BH457" s="703"/>
      <c r="BI457" s="703"/>
      <c r="BJ457" s="703">
        <f t="shared" si="140"/>
        <v>1</v>
      </c>
      <c r="BK457" s="703"/>
      <c r="BL457" s="703"/>
      <c r="BM457" s="703"/>
      <c r="BN457" s="703"/>
      <c r="BO457" s="703"/>
      <c r="BP457" s="703"/>
      <c r="BQ457" s="703"/>
      <c r="BR457" s="703"/>
      <c r="BS457" s="703"/>
      <c r="BT457" s="703"/>
      <c r="BU457" s="703"/>
      <c r="BV457" s="703"/>
      <c r="BW457" s="703"/>
      <c r="BX457" s="703"/>
      <c r="BY457" s="703"/>
      <c r="BZ457" s="703"/>
      <c r="CA457" s="703"/>
      <c r="CB457" s="703"/>
      <c r="CC457" s="703"/>
      <c r="CD457" s="703">
        <f t="shared" si="137"/>
        <v>1</v>
      </c>
      <c r="CE457" s="703"/>
      <c r="CF457" s="703"/>
      <c r="CG457" s="703"/>
      <c r="CH457" s="703"/>
      <c r="CI457" s="703"/>
      <c r="CJ457" s="703"/>
      <c r="CK457" s="703"/>
      <c r="CL457" s="703">
        <f t="shared" si="130"/>
        <v>2</v>
      </c>
      <c r="CM457" s="703"/>
      <c r="CN457" s="703"/>
      <c r="CO457" s="703"/>
      <c r="CP457" s="703"/>
      <c r="CQ457" s="703"/>
      <c r="CR457" s="703"/>
      <c r="CS457" s="703"/>
      <c r="CT457" s="703"/>
      <c r="CU457" s="703"/>
      <c r="CV457" s="703"/>
      <c r="CW457" s="703"/>
      <c r="CX457" s="703"/>
      <c r="CY457" s="703"/>
      <c r="CZ457" s="703">
        <v>1</v>
      </c>
      <c r="DA457" s="703">
        <v>1</v>
      </c>
      <c r="DB457" s="703"/>
      <c r="DC457" s="703"/>
      <c r="DD457" s="703"/>
      <c r="DE457" s="703"/>
      <c r="DF457" s="703"/>
      <c r="DG457" s="705"/>
      <c r="DH457" s="705"/>
      <c r="DI457" s="705"/>
      <c r="DJ457" s="705"/>
      <c r="DK457" s="705"/>
      <c r="DL457" s="705"/>
      <c r="DM457" s="705"/>
      <c r="DN457" s="705"/>
      <c r="DO457" s="705"/>
      <c r="DP457" s="705"/>
      <c r="DQ457" s="705"/>
      <c r="DR457" s="705"/>
      <c r="DS457" s="703"/>
      <c r="DT457" s="703"/>
      <c r="DU457" s="703"/>
      <c r="DV457" s="703"/>
      <c r="DW457" s="703"/>
      <c r="DX457" s="703"/>
      <c r="DY457" s="703"/>
      <c r="DZ457" s="703"/>
      <c r="EA457" s="703"/>
      <c r="EB457" s="703"/>
      <c r="EC457" s="703"/>
      <c r="ED457" s="703"/>
      <c r="EE457" s="703"/>
      <c r="EF457" s="703"/>
      <c r="EG457" s="703"/>
      <c r="EH457" s="703"/>
      <c r="EI457" s="703"/>
      <c r="EJ457" s="703"/>
      <c r="EK457" s="703"/>
      <c r="EL457" s="703"/>
      <c r="EM457" s="703"/>
      <c r="EN457" s="703"/>
      <c r="EO457" s="703"/>
      <c r="EP457" s="703"/>
      <c r="EQ457" s="703"/>
      <c r="ER457" s="703"/>
      <c r="ES457" s="703"/>
      <c r="ET457" s="703"/>
      <c r="EU457" s="703"/>
      <c r="EV457" s="703"/>
      <c r="EW457" s="703"/>
      <c r="EX457" s="703"/>
      <c r="EY457" s="703"/>
      <c r="EZ457" s="703"/>
      <c r="FA457" s="703"/>
      <c r="FB457" s="703"/>
      <c r="FC457" s="703"/>
      <c r="FD457" s="703"/>
      <c r="FE457" s="703"/>
      <c r="FF457" s="703"/>
      <c r="FG457" s="703"/>
      <c r="FH457" s="703"/>
      <c r="FI457" s="703"/>
      <c r="FJ457" s="703"/>
      <c r="FK457" s="703"/>
      <c r="FL457" s="703"/>
      <c r="FM457" s="703"/>
      <c r="FN457" s="703"/>
      <c r="FO457" s="703"/>
      <c r="FP457" s="703"/>
      <c r="FQ457" s="704"/>
    </row>
    <row r="458" spans="1:173" s="706" customFormat="1">
      <c r="A458" s="700"/>
      <c r="B458" s="700"/>
      <c r="C458" s="701" t="s">
        <v>3656</v>
      </c>
      <c r="D458" s="701"/>
      <c r="E458" s="703">
        <v>39.4</v>
      </c>
      <c r="F458" s="703"/>
      <c r="G458" s="703"/>
      <c r="H458" s="703"/>
      <c r="I458" s="703">
        <f t="shared" si="142"/>
        <v>39.4</v>
      </c>
      <c r="J458" s="703"/>
      <c r="K458" s="703"/>
      <c r="L458" s="703"/>
      <c r="M458" s="703"/>
      <c r="N458" s="703"/>
      <c r="O458" s="703"/>
      <c r="P458" s="703"/>
      <c r="Q458" s="703"/>
      <c r="R458" s="704"/>
      <c r="S458" s="704"/>
      <c r="T458" s="703"/>
      <c r="U458" s="703" t="s">
        <v>1631</v>
      </c>
      <c r="V458" s="703"/>
      <c r="W458" s="703"/>
      <c r="X458" s="703"/>
      <c r="Y458" s="703"/>
      <c r="Z458" s="703"/>
      <c r="AA458" s="703"/>
      <c r="AB458" s="703"/>
      <c r="AC458" s="703"/>
      <c r="AD458" s="703"/>
      <c r="AE458" s="766"/>
      <c r="AF458" s="960"/>
      <c r="AG458" s="703"/>
      <c r="AH458" s="703"/>
      <c r="AI458" s="703"/>
      <c r="AJ458" s="703"/>
      <c r="AK458" s="703"/>
      <c r="AL458" s="703"/>
      <c r="AM458" s="703"/>
      <c r="AN458" s="703"/>
      <c r="AO458" s="703"/>
      <c r="AP458" s="703"/>
      <c r="AQ458" s="703"/>
      <c r="AR458" s="703"/>
      <c r="AS458" s="703"/>
      <c r="AT458" s="703"/>
      <c r="AU458" s="703"/>
      <c r="AV458" s="703"/>
      <c r="AW458" s="703">
        <f t="shared" si="138"/>
        <v>1</v>
      </c>
      <c r="AX458" s="703"/>
      <c r="AY458" s="703"/>
      <c r="AZ458" s="703">
        <f t="shared" si="139"/>
        <v>1</v>
      </c>
      <c r="BA458" s="703"/>
      <c r="BB458" s="703"/>
      <c r="BC458" s="703"/>
      <c r="BD458" s="703"/>
      <c r="BE458" s="703"/>
      <c r="BF458" s="703"/>
      <c r="BG458" s="703"/>
      <c r="BH458" s="703"/>
      <c r="BI458" s="703"/>
      <c r="BJ458" s="703">
        <f t="shared" si="140"/>
        <v>1</v>
      </c>
      <c r="BK458" s="703"/>
      <c r="BL458" s="703"/>
      <c r="BM458" s="703"/>
      <c r="BN458" s="703"/>
      <c r="BO458" s="703"/>
      <c r="BP458" s="703"/>
      <c r="BQ458" s="703"/>
      <c r="BR458" s="703"/>
      <c r="BS458" s="703"/>
      <c r="BT458" s="703"/>
      <c r="BU458" s="703"/>
      <c r="BV458" s="703"/>
      <c r="BW458" s="703"/>
      <c r="BX458" s="703"/>
      <c r="BY458" s="703"/>
      <c r="BZ458" s="703"/>
      <c r="CA458" s="703"/>
      <c r="CB458" s="703"/>
      <c r="CC458" s="703"/>
      <c r="CD458" s="703">
        <f t="shared" si="137"/>
        <v>1</v>
      </c>
      <c r="CE458" s="703"/>
      <c r="CF458" s="703"/>
      <c r="CG458" s="703"/>
      <c r="CH458" s="703"/>
      <c r="CI458" s="703"/>
      <c r="CJ458" s="703"/>
      <c r="CK458" s="703"/>
      <c r="CL458" s="703">
        <f t="shared" si="130"/>
        <v>0</v>
      </c>
      <c r="CM458" s="703"/>
      <c r="CN458" s="703"/>
      <c r="CO458" s="703"/>
      <c r="CP458" s="703"/>
      <c r="CQ458" s="703"/>
      <c r="CR458" s="703"/>
      <c r="CS458" s="703"/>
      <c r="CT458" s="703"/>
      <c r="CU458" s="703"/>
      <c r="CV458" s="703"/>
      <c r="CW458" s="703"/>
      <c r="CX458" s="703"/>
      <c r="CY458" s="703"/>
      <c r="CZ458" s="703"/>
      <c r="DA458" s="703">
        <v>1</v>
      </c>
      <c r="DB458" s="703"/>
      <c r="DC458" s="703"/>
      <c r="DD458" s="703"/>
      <c r="DE458" s="703"/>
      <c r="DF458" s="703"/>
      <c r="DG458" s="705"/>
      <c r="DH458" s="705"/>
      <c r="DI458" s="705"/>
      <c r="DJ458" s="705"/>
      <c r="DK458" s="705"/>
      <c r="DL458" s="705"/>
      <c r="DM458" s="705"/>
      <c r="DN458" s="705"/>
      <c r="DO458" s="705"/>
      <c r="DP458" s="705"/>
      <c r="DQ458" s="705"/>
      <c r="DR458" s="705"/>
      <c r="DS458" s="703"/>
      <c r="DT458" s="703"/>
      <c r="DU458" s="703"/>
      <c r="DV458" s="703"/>
      <c r="DW458" s="703"/>
      <c r="DX458" s="703"/>
      <c r="DY458" s="703"/>
      <c r="DZ458" s="703"/>
      <c r="EA458" s="703"/>
      <c r="EB458" s="703"/>
      <c r="EC458" s="703"/>
      <c r="ED458" s="703"/>
      <c r="EE458" s="703"/>
      <c r="EF458" s="703"/>
      <c r="EG458" s="703"/>
      <c r="EH458" s="703"/>
      <c r="EI458" s="703"/>
      <c r="EJ458" s="703"/>
      <c r="EK458" s="703"/>
      <c r="EL458" s="703"/>
      <c r="EM458" s="703"/>
      <c r="EN458" s="703"/>
      <c r="EO458" s="703"/>
      <c r="EP458" s="703"/>
      <c r="EQ458" s="703"/>
      <c r="ER458" s="703"/>
      <c r="ES458" s="703"/>
      <c r="ET458" s="703"/>
      <c r="EU458" s="703"/>
      <c r="EV458" s="703"/>
      <c r="EW458" s="703"/>
      <c r="EX458" s="703"/>
      <c r="EY458" s="703"/>
      <c r="EZ458" s="703"/>
      <c r="FA458" s="703"/>
      <c r="FB458" s="703"/>
      <c r="FC458" s="703"/>
      <c r="FD458" s="703"/>
      <c r="FE458" s="703"/>
      <c r="FF458" s="703"/>
      <c r="FG458" s="703"/>
      <c r="FH458" s="703"/>
      <c r="FI458" s="703"/>
      <c r="FJ458" s="703"/>
      <c r="FK458" s="703"/>
      <c r="FL458" s="703"/>
      <c r="FM458" s="703"/>
      <c r="FN458" s="703"/>
      <c r="FO458" s="703"/>
      <c r="FP458" s="703"/>
      <c r="FQ458" s="704"/>
    </row>
    <row r="459" spans="1:173" s="706" customFormat="1">
      <c r="A459" s="700"/>
      <c r="B459" s="700"/>
      <c r="C459" s="701" t="s">
        <v>3719</v>
      </c>
      <c r="D459" s="702"/>
      <c r="E459" s="703">
        <v>37.4</v>
      </c>
      <c r="F459" s="703"/>
      <c r="G459" s="703"/>
      <c r="H459" s="703"/>
      <c r="I459" s="703">
        <f t="shared" si="142"/>
        <v>37.4</v>
      </c>
      <c r="J459" s="703"/>
      <c r="K459" s="703"/>
      <c r="L459" s="703"/>
      <c r="M459" s="703"/>
      <c r="N459" s="703"/>
      <c r="O459" s="703"/>
      <c r="P459" s="703"/>
      <c r="Q459" s="703"/>
      <c r="R459" s="704"/>
      <c r="S459" s="704"/>
      <c r="T459" s="703"/>
      <c r="U459" s="703" t="s">
        <v>1903</v>
      </c>
      <c r="V459" s="703"/>
      <c r="W459" s="703"/>
      <c r="X459" s="703"/>
      <c r="Y459" s="703"/>
      <c r="Z459" s="703"/>
      <c r="AA459" s="703"/>
      <c r="AB459" s="703"/>
      <c r="AC459" s="703"/>
      <c r="AD459" s="703"/>
      <c r="AE459" s="766"/>
      <c r="AF459" s="960"/>
      <c r="AG459" s="703"/>
      <c r="AH459" s="703"/>
      <c r="AI459" s="703"/>
      <c r="AJ459" s="703"/>
      <c r="AK459" s="703"/>
      <c r="AL459" s="703"/>
      <c r="AM459" s="703"/>
      <c r="AN459" s="703"/>
      <c r="AO459" s="703"/>
      <c r="AP459" s="703"/>
      <c r="AQ459" s="703"/>
      <c r="AR459" s="703"/>
      <c r="AS459" s="703"/>
      <c r="AT459" s="703"/>
      <c r="AU459" s="703"/>
      <c r="AV459" s="703"/>
      <c r="AW459" s="703">
        <f t="shared" si="138"/>
        <v>1</v>
      </c>
      <c r="AX459" s="703"/>
      <c r="AY459" s="703"/>
      <c r="AZ459" s="703">
        <f t="shared" si="139"/>
        <v>1</v>
      </c>
      <c r="BA459" s="703"/>
      <c r="BB459" s="703"/>
      <c r="BC459" s="703"/>
      <c r="BD459" s="703"/>
      <c r="BE459" s="703"/>
      <c r="BF459" s="703"/>
      <c r="BG459" s="703"/>
      <c r="BH459" s="703"/>
      <c r="BI459" s="703"/>
      <c r="BJ459" s="703">
        <f t="shared" si="140"/>
        <v>1</v>
      </c>
      <c r="BK459" s="703"/>
      <c r="BL459" s="703"/>
      <c r="BM459" s="703"/>
      <c r="BN459" s="703"/>
      <c r="BO459" s="703"/>
      <c r="BP459" s="703"/>
      <c r="BQ459" s="703"/>
      <c r="BR459" s="703"/>
      <c r="BS459" s="703"/>
      <c r="BT459" s="703"/>
      <c r="BU459" s="703"/>
      <c r="BV459" s="703"/>
      <c r="BW459" s="703"/>
      <c r="BX459" s="703"/>
      <c r="BY459" s="703"/>
      <c r="BZ459" s="703"/>
      <c r="CA459" s="703"/>
      <c r="CB459" s="703"/>
      <c r="CC459" s="703"/>
      <c r="CD459" s="703">
        <f t="shared" si="137"/>
        <v>1</v>
      </c>
      <c r="CE459" s="703"/>
      <c r="CF459" s="703"/>
      <c r="CG459" s="703"/>
      <c r="CH459" s="703"/>
      <c r="CI459" s="703"/>
      <c r="CJ459" s="703"/>
      <c r="CK459" s="703"/>
      <c r="CL459" s="703">
        <f t="shared" si="130"/>
        <v>0</v>
      </c>
      <c r="CM459" s="703"/>
      <c r="CN459" s="703"/>
      <c r="CO459" s="703"/>
      <c r="CP459" s="703"/>
      <c r="CQ459" s="703"/>
      <c r="CR459" s="703"/>
      <c r="CS459" s="703"/>
      <c r="CT459" s="703"/>
      <c r="CU459" s="703"/>
      <c r="CV459" s="703"/>
      <c r="CW459" s="703"/>
      <c r="CX459" s="703"/>
      <c r="CY459" s="703"/>
      <c r="CZ459" s="703"/>
      <c r="DA459" s="703">
        <v>1</v>
      </c>
      <c r="DB459" s="703"/>
      <c r="DC459" s="703"/>
      <c r="DD459" s="703"/>
      <c r="DE459" s="703"/>
      <c r="DF459" s="703"/>
      <c r="DG459" s="705"/>
      <c r="DH459" s="705"/>
      <c r="DI459" s="705"/>
      <c r="DJ459" s="705"/>
      <c r="DK459" s="705"/>
      <c r="DL459" s="705"/>
      <c r="DM459" s="705"/>
      <c r="DN459" s="705"/>
      <c r="DO459" s="705"/>
      <c r="DP459" s="705"/>
      <c r="DQ459" s="705"/>
      <c r="DR459" s="705"/>
      <c r="DS459" s="703"/>
      <c r="DT459" s="703"/>
      <c r="DU459" s="703"/>
      <c r="DV459" s="703"/>
      <c r="DW459" s="703"/>
      <c r="DX459" s="703"/>
      <c r="DY459" s="703"/>
      <c r="DZ459" s="703"/>
      <c r="EA459" s="703"/>
      <c r="EB459" s="703"/>
      <c r="EC459" s="703"/>
      <c r="ED459" s="703"/>
      <c r="EE459" s="703"/>
      <c r="EF459" s="703"/>
      <c r="EG459" s="703"/>
      <c r="EH459" s="703"/>
      <c r="EI459" s="703"/>
      <c r="EJ459" s="703"/>
      <c r="EK459" s="703"/>
      <c r="EL459" s="703"/>
      <c r="EM459" s="703"/>
      <c r="EN459" s="703"/>
      <c r="EO459" s="703"/>
      <c r="EP459" s="703"/>
      <c r="EQ459" s="703"/>
      <c r="ER459" s="703"/>
      <c r="ES459" s="703"/>
      <c r="ET459" s="703"/>
      <c r="EU459" s="703"/>
      <c r="EV459" s="703"/>
      <c r="EW459" s="703"/>
      <c r="EX459" s="703"/>
      <c r="EY459" s="703"/>
      <c r="EZ459" s="703"/>
      <c r="FA459" s="703"/>
      <c r="FB459" s="703"/>
      <c r="FC459" s="703"/>
      <c r="FD459" s="703"/>
      <c r="FE459" s="703"/>
      <c r="FF459" s="703"/>
      <c r="FG459" s="703"/>
      <c r="FH459" s="703"/>
      <c r="FI459" s="703"/>
      <c r="FJ459" s="703"/>
      <c r="FK459" s="703"/>
      <c r="FL459" s="703"/>
      <c r="FM459" s="703"/>
      <c r="FN459" s="703"/>
      <c r="FO459" s="703"/>
      <c r="FP459" s="703"/>
      <c r="FQ459" s="704"/>
    </row>
    <row r="460" spans="1:173" s="706" customFormat="1">
      <c r="A460" s="700"/>
      <c r="B460" s="700"/>
      <c r="C460" s="701" t="s">
        <v>3720</v>
      </c>
      <c r="D460" s="701"/>
      <c r="E460" s="703">
        <v>32.700000000000003</v>
      </c>
      <c r="F460" s="703"/>
      <c r="G460" s="703"/>
      <c r="H460" s="703"/>
      <c r="I460" s="703">
        <f t="shared" si="142"/>
        <v>32.700000000000003</v>
      </c>
      <c r="J460" s="703"/>
      <c r="K460" s="703"/>
      <c r="L460" s="703"/>
      <c r="M460" s="703"/>
      <c r="N460" s="703"/>
      <c r="O460" s="703"/>
      <c r="P460" s="703"/>
      <c r="Q460" s="703"/>
      <c r="R460" s="704"/>
      <c r="S460" s="704"/>
      <c r="T460" s="703"/>
      <c r="U460" s="703" t="s">
        <v>1631</v>
      </c>
      <c r="V460" s="703"/>
      <c r="W460" s="703"/>
      <c r="X460" s="703"/>
      <c r="Y460" s="703"/>
      <c r="Z460" s="703"/>
      <c r="AA460" s="703"/>
      <c r="AB460" s="703"/>
      <c r="AC460" s="703"/>
      <c r="AD460" s="703"/>
      <c r="AE460" s="766"/>
      <c r="AF460" s="960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>
        <f t="shared" si="138"/>
        <v>1</v>
      </c>
      <c r="AX460" s="703"/>
      <c r="AY460" s="703"/>
      <c r="AZ460" s="703">
        <f t="shared" si="139"/>
        <v>1</v>
      </c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>
        <f t="shared" si="140"/>
        <v>1</v>
      </c>
      <c r="BK460" s="703"/>
      <c r="BL460" s="703"/>
      <c r="BM460" s="703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  <c r="BX460" s="703"/>
      <c r="BY460" s="703"/>
      <c r="BZ460" s="703"/>
      <c r="CA460" s="703"/>
      <c r="CB460" s="703"/>
      <c r="CC460" s="703"/>
      <c r="CD460" s="703">
        <f t="shared" si="137"/>
        <v>1</v>
      </c>
      <c r="CE460" s="703"/>
      <c r="CF460" s="703"/>
      <c r="CG460" s="703"/>
      <c r="CH460" s="703"/>
      <c r="CI460" s="703"/>
      <c r="CJ460" s="703"/>
      <c r="CK460" s="703"/>
      <c r="CL460" s="703">
        <f t="shared" si="130"/>
        <v>0</v>
      </c>
      <c r="CM460" s="703"/>
      <c r="CN460" s="703"/>
      <c r="CO460" s="703"/>
      <c r="CP460" s="703"/>
      <c r="CQ460" s="703"/>
      <c r="CR460" s="703"/>
      <c r="CS460" s="703"/>
      <c r="CT460" s="703"/>
      <c r="CU460" s="703"/>
      <c r="CV460" s="703"/>
      <c r="CW460" s="703"/>
      <c r="CX460" s="703"/>
      <c r="CY460" s="703"/>
      <c r="CZ460" s="703"/>
      <c r="DA460" s="703">
        <v>1</v>
      </c>
      <c r="DB460" s="703"/>
      <c r="DC460" s="703"/>
      <c r="DD460" s="703"/>
      <c r="DE460" s="703"/>
      <c r="DF460" s="703"/>
      <c r="DG460" s="705"/>
      <c r="DH460" s="705"/>
      <c r="DI460" s="705"/>
      <c r="DJ460" s="705"/>
      <c r="DK460" s="705"/>
      <c r="DL460" s="705"/>
      <c r="DM460" s="705"/>
      <c r="DN460" s="705"/>
      <c r="DO460" s="705"/>
      <c r="DP460" s="705"/>
      <c r="DQ460" s="705"/>
      <c r="DR460" s="705"/>
      <c r="DS460" s="703"/>
      <c r="DT460" s="703"/>
      <c r="DU460" s="703"/>
      <c r="DV460" s="703"/>
      <c r="DW460" s="703"/>
      <c r="DX460" s="703"/>
      <c r="DY460" s="703"/>
      <c r="DZ460" s="703"/>
      <c r="EA460" s="703"/>
      <c r="EB460" s="703"/>
      <c r="EC460" s="703"/>
      <c r="ED460" s="703"/>
      <c r="EE460" s="703"/>
      <c r="EF460" s="703"/>
      <c r="EG460" s="703"/>
      <c r="EH460" s="703"/>
      <c r="EI460" s="703"/>
      <c r="EJ460" s="703"/>
      <c r="EK460" s="703"/>
      <c r="EL460" s="703"/>
      <c r="EM460" s="703"/>
      <c r="EN460" s="703"/>
      <c r="EO460" s="703"/>
      <c r="EP460" s="703"/>
      <c r="EQ460" s="703"/>
      <c r="ER460" s="703"/>
      <c r="ES460" s="703"/>
      <c r="ET460" s="703"/>
      <c r="EU460" s="703"/>
      <c r="EV460" s="703"/>
      <c r="EW460" s="703"/>
      <c r="EX460" s="703"/>
      <c r="EY460" s="703"/>
      <c r="EZ460" s="703"/>
      <c r="FA460" s="703"/>
      <c r="FB460" s="703"/>
      <c r="FC460" s="703"/>
      <c r="FD460" s="703"/>
      <c r="FE460" s="703"/>
      <c r="FF460" s="703"/>
      <c r="FG460" s="703"/>
      <c r="FH460" s="703"/>
      <c r="FI460" s="703"/>
      <c r="FJ460" s="703"/>
      <c r="FK460" s="703"/>
      <c r="FL460" s="703"/>
      <c r="FM460" s="703"/>
      <c r="FN460" s="703"/>
      <c r="FO460" s="703"/>
      <c r="FP460" s="703"/>
      <c r="FQ460" s="704"/>
    </row>
    <row r="461" spans="1:173" s="706" customFormat="1">
      <c r="A461" s="700"/>
      <c r="B461" s="700"/>
      <c r="C461" s="701" t="s">
        <v>3721</v>
      </c>
      <c r="D461" s="702"/>
      <c r="E461" s="703">
        <v>36.5</v>
      </c>
      <c r="F461" s="703"/>
      <c r="G461" s="703"/>
      <c r="H461" s="703"/>
      <c r="I461" s="703">
        <f t="shared" si="142"/>
        <v>36.5</v>
      </c>
      <c r="J461" s="703"/>
      <c r="K461" s="703"/>
      <c r="L461" s="703"/>
      <c r="M461" s="703"/>
      <c r="N461" s="703"/>
      <c r="O461" s="703"/>
      <c r="P461" s="703"/>
      <c r="Q461" s="703"/>
      <c r="R461" s="704"/>
      <c r="S461" s="704"/>
      <c r="T461" s="703"/>
      <c r="U461" s="703" t="s">
        <v>1631</v>
      </c>
      <c r="V461" s="703"/>
      <c r="W461" s="703"/>
      <c r="X461" s="703"/>
      <c r="Y461" s="703"/>
      <c r="Z461" s="703"/>
      <c r="AA461" s="703"/>
      <c r="AB461" s="703"/>
      <c r="AC461" s="703"/>
      <c r="AD461" s="703"/>
      <c r="AE461" s="766"/>
      <c r="AF461" s="960"/>
      <c r="AG461" s="703"/>
      <c r="AH461" s="703"/>
      <c r="AI461" s="703"/>
      <c r="AJ461" s="703"/>
      <c r="AK461" s="703"/>
      <c r="AL461" s="703"/>
      <c r="AM461" s="703"/>
      <c r="AN461" s="703"/>
      <c r="AO461" s="703"/>
      <c r="AP461" s="703"/>
      <c r="AQ461" s="703"/>
      <c r="AR461" s="703"/>
      <c r="AS461" s="703"/>
      <c r="AT461" s="703"/>
      <c r="AU461" s="703"/>
      <c r="AV461" s="703"/>
      <c r="AW461" s="703">
        <f t="shared" si="138"/>
        <v>1</v>
      </c>
      <c r="AX461" s="703"/>
      <c r="AY461" s="703"/>
      <c r="AZ461" s="703">
        <f t="shared" si="139"/>
        <v>1</v>
      </c>
      <c r="BA461" s="703"/>
      <c r="BB461" s="703"/>
      <c r="BC461" s="703"/>
      <c r="BD461" s="703"/>
      <c r="BE461" s="703"/>
      <c r="BF461" s="703"/>
      <c r="BG461" s="703"/>
      <c r="BH461" s="703"/>
      <c r="BI461" s="703"/>
      <c r="BJ461" s="703">
        <f t="shared" si="140"/>
        <v>1</v>
      </c>
      <c r="BK461" s="703"/>
      <c r="BL461" s="703"/>
      <c r="BM461" s="703"/>
      <c r="BN461" s="703"/>
      <c r="BO461" s="703"/>
      <c r="BP461" s="703"/>
      <c r="BQ461" s="703"/>
      <c r="BR461" s="703"/>
      <c r="BS461" s="703"/>
      <c r="BT461" s="703"/>
      <c r="BU461" s="703"/>
      <c r="BV461" s="703"/>
      <c r="BW461" s="703"/>
      <c r="BX461" s="703"/>
      <c r="BY461" s="703"/>
      <c r="BZ461" s="703"/>
      <c r="CA461" s="703"/>
      <c r="CB461" s="703"/>
      <c r="CC461" s="703"/>
      <c r="CD461" s="703">
        <f t="shared" si="137"/>
        <v>1</v>
      </c>
      <c r="CE461" s="703"/>
      <c r="CF461" s="703"/>
      <c r="CG461" s="703"/>
      <c r="CH461" s="703"/>
      <c r="CI461" s="703"/>
      <c r="CJ461" s="703"/>
      <c r="CK461" s="703"/>
      <c r="CL461" s="703">
        <f t="shared" si="130"/>
        <v>0</v>
      </c>
      <c r="CM461" s="703"/>
      <c r="CN461" s="703"/>
      <c r="CO461" s="703"/>
      <c r="CP461" s="703"/>
      <c r="CQ461" s="703"/>
      <c r="CR461" s="703"/>
      <c r="CS461" s="703"/>
      <c r="CT461" s="703"/>
      <c r="CU461" s="703"/>
      <c r="CV461" s="703"/>
      <c r="CW461" s="703"/>
      <c r="CX461" s="703"/>
      <c r="CY461" s="703"/>
      <c r="CZ461" s="703"/>
      <c r="DA461" s="703">
        <v>1</v>
      </c>
      <c r="DB461" s="703"/>
      <c r="DC461" s="703"/>
      <c r="DD461" s="703"/>
      <c r="DE461" s="703"/>
      <c r="DF461" s="703"/>
      <c r="DG461" s="705"/>
      <c r="DH461" s="705"/>
      <c r="DI461" s="705"/>
      <c r="DJ461" s="705"/>
      <c r="DK461" s="705"/>
      <c r="DL461" s="705"/>
      <c r="DM461" s="705"/>
      <c r="DN461" s="705"/>
      <c r="DO461" s="705"/>
      <c r="DP461" s="705"/>
      <c r="DQ461" s="705"/>
      <c r="DR461" s="705"/>
      <c r="DS461" s="703"/>
      <c r="DT461" s="703"/>
      <c r="DU461" s="703"/>
      <c r="DV461" s="703"/>
      <c r="DW461" s="703"/>
      <c r="DX461" s="703"/>
      <c r="DY461" s="703"/>
      <c r="DZ461" s="703"/>
      <c r="EA461" s="703"/>
      <c r="EB461" s="703"/>
      <c r="EC461" s="703"/>
      <c r="ED461" s="703"/>
      <c r="EE461" s="703"/>
      <c r="EF461" s="703"/>
      <c r="EG461" s="703"/>
      <c r="EH461" s="703"/>
      <c r="EI461" s="703"/>
      <c r="EJ461" s="703"/>
      <c r="EK461" s="703"/>
      <c r="EL461" s="703"/>
      <c r="EM461" s="703"/>
      <c r="EN461" s="703"/>
      <c r="EO461" s="703"/>
      <c r="EP461" s="703"/>
      <c r="EQ461" s="703"/>
      <c r="ER461" s="703"/>
      <c r="ES461" s="703"/>
      <c r="ET461" s="703"/>
      <c r="EU461" s="703"/>
      <c r="EV461" s="703"/>
      <c r="EW461" s="703"/>
      <c r="EX461" s="703"/>
      <c r="EY461" s="703"/>
      <c r="EZ461" s="703"/>
      <c r="FA461" s="703"/>
      <c r="FB461" s="703"/>
      <c r="FC461" s="703"/>
      <c r="FD461" s="703"/>
      <c r="FE461" s="703"/>
      <c r="FF461" s="703"/>
      <c r="FG461" s="703"/>
      <c r="FH461" s="703"/>
      <c r="FI461" s="703"/>
      <c r="FJ461" s="703"/>
      <c r="FK461" s="703"/>
      <c r="FL461" s="703"/>
      <c r="FM461" s="703"/>
      <c r="FN461" s="703"/>
      <c r="FO461" s="703"/>
      <c r="FP461" s="703"/>
      <c r="FQ461" s="704"/>
    </row>
    <row r="462" spans="1:173" s="706" customFormat="1">
      <c r="A462" s="700"/>
      <c r="B462" s="700"/>
      <c r="C462" s="701" t="s">
        <v>3722</v>
      </c>
      <c r="D462" s="701"/>
      <c r="E462" s="703">
        <v>33.4</v>
      </c>
      <c r="F462" s="703"/>
      <c r="G462" s="703"/>
      <c r="H462" s="703"/>
      <c r="I462" s="703">
        <f t="shared" si="142"/>
        <v>33.4</v>
      </c>
      <c r="J462" s="703"/>
      <c r="K462" s="703"/>
      <c r="L462" s="703"/>
      <c r="M462" s="703"/>
      <c r="N462" s="703"/>
      <c r="O462" s="703"/>
      <c r="P462" s="703"/>
      <c r="Q462" s="703"/>
      <c r="R462" s="704"/>
      <c r="S462" s="704"/>
      <c r="T462" s="703"/>
      <c r="U462" s="703" t="s">
        <v>2990</v>
      </c>
      <c r="V462" s="703"/>
      <c r="W462" s="703"/>
      <c r="X462" s="703"/>
      <c r="Y462" s="703"/>
      <c r="Z462" s="703"/>
      <c r="AA462" s="703"/>
      <c r="AB462" s="703"/>
      <c r="AC462" s="703"/>
      <c r="AD462" s="703"/>
      <c r="AE462" s="766"/>
      <c r="AF462" s="960"/>
      <c r="AG462" s="703"/>
      <c r="AH462" s="703"/>
      <c r="AI462" s="703"/>
      <c r="AJ462" s="703"/>
      <c r="AK462" s="703"/>
      <c r="AL462" s="703"/>
      <c r="AM462" s="703"/>
      <c r="AN462" s="703"/>
      <c r="AO462" s="703"/>
      <c r="AP462" s="703"/>
      <c r="AQ462" s="703"/>
      <c r="AR462" s="703"/>
      <c r="AS462" s="703"/>
      <c r="AT462" s="703"/>
      <c r="AU462" s="703"/>
      <c r="AV462" s="703"/>
      <c r="AW462" s="703">
        <f t="shared" si="138"/>
        <v>0</v>
      </c>
      <c r="AX462" s="703"/>
      <c r="AY462" s="703"/>
      <c r="AZ462" s="703">
        <f t="shared" si="139"/>
        <v>0</v>
      </c>
      <c r="BA462" s="703"/>
      <c r="BB462" s="703"/>
      <c r="BC462" s="703"/>
      <c r="BD462" s="703">
        <v>1</v>
      </c>
      <c r="BE462" s="703"/>
      <c r="BF462" s="703"/>
      <c r="BG462" s="703"/>
      <c r="BH462" s="703"/>
      <c r="BI462" s="703"/>
      <c r="BJ462" s="703">
        <f t="shared" si="140"/>
        <v>0</v>
      </c>
      <c r="BK462" s="703"/>
      <c r="BL462" s="703"/>
      <c r="BM462" s="703"/>
      <c r="BN462" s="703"/>
      <c r="BO462" s="703"/>
      <c r="BP462" s="703"/>
      <c r="BQ462" s="703"/>
      <c r="BR462" s="703"/>
      <c r="BS462" s="703"/>
      <c r="BT462" s="703"/>
      <c r="BU462" s="703"/>
      <c r="BV462" s="703">
        <v>1</v>
      </c>
      <c r="BW462" s="703"/>
      <c r="BX462" s="703"/>
      <c r="BY462" s="703"/>
      <c r="BZ462" s="703"/>
      <c r="CA462" s="703"/>
      <c r="CB462" s="703"/>
      <c r="CC462" s="703"/>
      <c r="CD462" s="703">
        <f t="shared" si="137"/>
        <v>0</v>
      </c>
      <c r="CE462" s="703"/>
      <c r="CF462" s="703"/>
      <c r="CG462" s="703"/>
      <c r="CH462" s="703"/>
      <c r="CI462" s="703"/>
      <c r="CJ462" s="703"/>
      <c r="CK462" s="703"/>
      <c r="CL462" s="703">
        <f t="shared" si="130"/>
        <v>2</v>
      </c>
      <c r="CM462" s="703"/>
      <c r="CN462" s="703"/>
      <c r="CO462" s="703"/>
      <c r="CP462" s="703"/>
      <c r="CQ462" s="703"/>
      <c r="CR462" s="703"/>
      <c r="CS462" s="703"/>
      <c r="CT462" s="703"/>
      <c r="CU462" s="703"/>
      <c r="CV462" s="703"/>
      <c r="CW462" s="703"/>
      <c r="CX462" s="703"/>
      <c r="CY462" s="703"/>
      <c r="CZ462" s="703">
        <v>1</v>
      </c>
      <c r="DA462" s="703"/>
      <c r="DB462" s="703"/>
      <c r="DC462" s="703"/>
      <c r="DD462" s="703"/>
      <c r="DE462" s="703"/>
      <c r="DF462" s="703"/>
      <c r="DG462" s="705"/>
      <c r="DH462" s="705"/>
      <c r="DI462" s="705"/>
      <c r="DJ462" s="705"/>
      <c r="DK462" s="705"/>
      <c r="DL462" s="705"/>
      <c r="DM462" s="705"/>
      <c r="DN462" s="705"/>
      <c r="DO462" s="705"/>
      <c r="DP462" s="705"/>
      <c r="DQ462" s="705"/>
      <c r="DR462" s="705"/>
      <c r="DS462" s="703"/>
      <c r="DT462" s="703"/>
      <c r="DU462" s="703"/>
      <c r="DV462" s="703"/>
      <c r="DW462" s="703"/>
      <c r="DX462" s="703"/>
      <c r="DY462" s="703"/>
      <c r="DZ462" s="703"/>
      <c r="EA462" s="703"/>
      <c r="EB462" s="703"/>
      <c r="EC462" s="703"/>
      <c r="ED462" s="703"/>
      <c r="EE462" s="703"/>
      <c r="EF462" s="703"/>
      <c r="EG462" s="703"/>
      <c r="EH462" s="703"/>
      <c r="EI462" s="703"/>
      <c r="EJ462" s="703"/>
      <c r="EK462" s="703"/>
      <c r="EL462" s="703"/>
      <c r="EM462" s="703"/>
      <c r="EN462" s="703"/>
      <c r="EO462" s="703"/>
      <c r="EP462" s="703"/>
      <c r="EQ462" s="703"/>
      <c r="ER462" s="703"/>
      <c r="ES462" s="703"/>
      <c r="ET462" s="703"/>
      <c r="EU462" s="703"/>
      <c r="EV462" s="703"/>
      <c r="EW462" s="703"/>
      <c r="EX462" s="703"/>
      <c r="EY462" s="703"/>
      <c r="EZ462" s="703"/>
      <c r="FA462" s="703"/>
      <c r="FB462" s="703"/>
      <c r="FC462" s="703"/>
      <c r="FD462" s="703"/>
      <c r="FE462" s="703"/>
      <c r="FF462" s="703"/>
      <c r="FG462" s="703"/>
      <c r="FH462" s="703"/>
      <c r="FI462" s="703"/>
      <c r="FJ462" s="703"/>
      <c r="FK462" s="703"/>
      <c r="FL462" s="703"/>
      <c r="FM462" s="703"/>
      <c r="FN462" s="703"/>
      <c r="FO462" s="703"/>
      <c r="FP462" s="703"/>
      <c r="FQ462" s="704"/>
    </row>
    <row r="463" spans="1:173" s="706" customFormat="1">
      <c r="A463" s="700"/>
      <c r="B463" s="700"/>
      <c r="C463" s="701"/>
      <c r="D463" s="701"/>
      <c r="E463" s="703"/>
      <c r="F463" s="703"/>
      <c r="G463" s="703"/>
      <c r="H463" s="703"/>
      <c r="I463" s="703"/>
      <c r="J463" s="703"/>
      <c r="K463" s="703"/>
      <c r="L463" s="703"/>
      <c r="M463" s="703"/>
      <c r="N463" s="703"/>
      <c r="O463" s="703"/>
      <c r="P463" s="703"/>
      <c r="Q463" s="703"/>
      <c r="R463" s="704"/>
      <c r="S463" s="704"/>
      <c r="T463" s="703"/>
      <c r="U463" s="703"/>
      <c r="V463" s="703"/>
      <c r="W463" s="703"/>
      <c r="X463" s="703"/>
      <c r="Y463" s="703"/>
      <c r="Z463" s="703"/>
      <c r="AA463" s="703"/>
      <c r="AB463" s="703"/>
      <c r="AC463" s="703"/>
      <c r="AD463" s="703"/>
      <c r="AE463" s="766"/>
      <c r="AF463" s="960"/>
      <c r="AG463" s="703"/>
      <c r="AH463" s="703"/>
      <c r="AI463" s="703"/>
      <c r="AJ463" s="703"/>
      <c r="AK463" s="703"/>
      <c r="AL463" s="703"/>
      <c r="AM463" s="703"/>
      <c r="AN463" s="703"/>
      <c r="AO463" s="703"/>
      <c r="AP463" s="703"/>
      <c r="AQ463" s="703"/>
      <c r="AR463" s="703"/>
      <c r="AS463" s="703"/>
      <c r="AT463" s="703"/>
      <c r="AU463" s="703"/>
      <c r="AV463" s="703"/>
      <c r="AW463" s="703">
        <f t="shared" si="138"/>
        <v>0</v>
      </c>
      <c r="AX463" s="703"/>
      <c r="AY463" s="703"/>
      <c r="AZ463" s="703">
        <f t="shared" si="139"/>
        <v>0</v>
      </c>
      <c r="BA463" s="703"/>
      <c r="BB463" s="703"/>
      <c r="BC463" s="703"/>
      <c r="BD463" s="703"/>
      <c r="BE463" s="703"/>
      <c r="BF463" s="703"/>
      <c r="BG463" s="703"/>
      <c r="BH463" s="703"/>
      <c r="BI463" s="703"/>
      <c r="BJ463" s="703">
        <f t="shared" si="140"/>
        <v>0</v>
      </c>
      <c r="BK463" s="703"/>
      <c r="BL463" s="703"/>
      <c r="BM463" s="703"/>
      <c r="BN463" s="703"/>
      <c r="BO463" s="703"/>
      <c r="BP463" s="703"/>
      <c r="BQ463" s="703"/>
      <c r="BR463" s="703"/>
      <c r="BS463" s="703"/>
      <c r="BT463" s="703"/>
      <c r="BU463" s="703"/>
      <c r="BV463" s="703"/>
      <c r="BW463" s="703"/>
      <c r="BX463" s="703"/>
      <c r="BY463" s="703"/>
      <c r="BZ463" s="703"/>
      <c r="CA463" s="703"/>
      <c r="CB463" s="703"/>
      <c r="CC463" s="703"/>
      <c r="CD463" s="703">
        <f t="shared" si="137"/>
        <v>0</v>
      </c>
      <c r="CE463" s="703"/>
      <c r="CF463" s="703"/>
      <c r="CG463" s="703"/>
      <c r="CH463" s="703"/>
      <c r="CI463" s="703"/>
      <c r="CJ463" s="703"/>
      <c r="CK463" s="703"/>
      <c r="CL463" s="703">
        <f t="shared" si="130"/>
        <v>0</v>
      </c>
      <c r="CM463" s="703"/>
      <c r="CN463" s="703"/>
      <c r="CO463" s="703"/>
      <c r="CP463" s="703"/>
      <c r="CQ463" s="703"/>
      <c r="CR463" s="703"/>
      <c r="CS463" s="703"/>
      <c r="CT463" s="703"/>
      <c r="CU463" s="703"/>
      <c r="CV463" s="703"/>
      <c r="CW463" s="703"/>
      <c r="CX463" s="703"/>
      <c r="CY463" s="703"/>
      <c r="CZ463" s="703"/>
      <c r="DA463" s="703"/>
      <c r="DB463" s="703"/>
      <c r="DC463" s="703"/>
      <c r="DD463" s="703"/>
      <c r="DE463" s="703"/>
      <c r="DF463" s="703"/>
      <c r="DG463" s="705"/>
      <c r="DH463" s="705"/>
      <c r="DI463" s="705"/>
      <c r="DJ463" s="705"/>
      <c r="DK463" s="705"/>
      <c r="DL463" s="705"/>
      <c r="DM463" s="705"/>
      <c r="DN463" s="705"/>
      <c r="DO463" s="705"/>
      <c r="DP463" s="705"/>
      <c r="DQ463" s="705"/>
      <c r="DR463" s="705"/>
      <c r="DS463" s="703"/>
      <c r="DT463" s="703"/>
      <c r="DU463" s="703"/>
      <c r="DV463" s="703"/>
      <c r="DW463" s="703"/>
      <c r="DX463" s="703"/>
      <c r="DY463" s="703"/>
      <c r="DZ463" s="703"/>
      <c r="EA463" s="703"/>
      <c r="EB463" s="703"/>
      <c r="EC463" s="703"/>
      <c r="ED463" s="703"/>
      <c r="EE463" s="703"/>
      <c r="EF463" s="703"/>
      <c r="EG463" s="703"/>
      <c r="EH463" s="703"/>
      <c r="EI463" s="703"/>
      <c r="EJ463" s="703"/>
      <c r="EK463" s="703"/>
      <c r="EL463" s="703"/>
      <c r="EM463" s="703"/>
      <c r="EN463" s="703"/>
      <c r="EO463" s="703"/>
      <c r="EP463" s="703"/>
      <c r="EQ463" s="703"/>
      <c r="ER463" s="703"/>
      <c r="ES463" s="703"/>
      <c r="ET463" s="703"/>
      <c r="EU463" s="703"/>
      <c r="EV463" s="703"/>
      <c r="EW463" s="703"/>
      <c r="EX463" s="703"/>
      <c r="EY463" s="703"/>
      <c r="EZ463" s="703"/>
      <c r="FA463" s="703"/>
      <c r="FB463" s="703"/>
      <c r="FC463" s="703"/>
      <c r="FD463" s="703"/>
      <c r="FE463" s="703"/>
      <c r="FF463" s="703"/>
      <c r="FG463" s="703"/>
      <c r="FH463" s="703"/>
      <c r="FI463" s="703"/>
      <c r="FJ463" s="703"/>
      <c r="FK463" s="703"/>
      <c r="FL463" s="703"/>
      <c r="FM463" s="703"/>
      <c r="FN463" s="703"/>
      <c r="FO463" s="703"/>
      <c r="FP463" s="703"/>
      <c r="FQ463" s="704"/>
    </row>
    <row r="464" spans="1:173" s="706" customFormat="1">
      <c r="A464" s="700"/>
      <c r="B464" s="700"/>
      <c r="C464" s="701"/>
      <c r="D464" s="702" t="s">
        <v>3851</v>
      </c>
      <c r="E464" s="703"/>
      <c r="F464" s="703"/>
      <c r="G464" s="703"/>
      <c r="H464" s="703"/>
      <c r="I464" s="703"/>
      <c r="J464" s="703"/>
      <c r="K464" s="703"/>
      <c r="L464" s="703"/>
      <c r="M464" s="703"/>
      <c r="N464" s="703"/>
      <c r="O464" s="703"/>
      <c r="P464" s="703"/>
      <c r="Q464" s="703"/>
      <c r="R464" s="704"/>
      <c r="S464" s="704"/>
      <c r="T464" s="703"/>
      <c r="U464" s="703"/>
      <c r="V464" s="703"/>
      <c r="W464" s="703"/>
      <c r="X464" s="703"/>
      <c r="Y464" s="703"/>
      <c r="Z464" s="703"/>
      <c r="AA464" s="703"/>
      <c r="AB464" s="703"/>
      <c r="AC464" s="703"/>
      <c r="AD464" s="703"/>
      <c r="AE464" s="766"/>
      <c r="AF464" s="960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>
        <f t="shared" si="138"/>
        <v>0</v>
      </c>
      <c r="AX464" s="703"/>
      <c r="AY464" s="703"/>
      <c r="AZ464" s="703">
        <f t="shared" si="139"/>
        <v>0</v>
      </c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>
        <f t="shared" si="140"/>
        <v>0</v>
      </c>
      <c r="BK464" s="703"/>
      <c r="BL464" s="703"/>
      <c r="BM464" s="703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  <c r="BX464" s="703"/>
      <c r="BY464" s="703"/>
      <c r="BZ464" s="703"/>
      <c r="CA464" s="703"/>
      <c r="CB464" s="703"/>
      <c r="CC464" s="703"/>
      <c r="CD464" s="703">
        <f t="shared" si="137"/>
        <v>0</v>
      </c>
      <c r="CE464" s="703"/>
      <c r="CF464" s="703"/>
      <c r="CG464" s="703"/>
      <c r="CH464" s="703"/>
      <c r="CI464" s="703"/>
      <c r="CJ464" s="703"/>
      <c r="CK464" s="703"/>
      <c r="CL464" s="703">
        <f t="shared" ref="CL464:CL477" si="143">CZ464*2</f>
        <v>0</v>
      </c>
      <c r="CM464" s="703"/>
      <c r="CN464" s="703"/>
      <c r="CO464" s="703"/>
      <c r="CP464" s="703"/>
      <c r="CQ464" s="703"/>
      <c r="CR464" s="703"/>
      <c r="CS464" s="703"/>
      <c r="CT464" s="703"/>
      <c r="CU464" s="703"/>
      <c r="CV464" s="703"/>
      <c r="CW464" s="703"/>
      <c r="CX464" s="703"/>
      <c r="CY464" s="703"/>
      <c r="CZ464" s="703"/>
      <c r="DA464" s="703"/>
      <c r="DB464" s="703"/>
      <c r="DC464" s="703"/>
      <c r="DD464" s="703"/>
      <c r="DE464" s="703"/>
      <c r="DF464" s="703"/>
      <c r="DG464" s="705"/>
      <c r="DH464" s="705"/>
      <c r="DI464" s="705"/>
      <c r="DJ464" s="705"/>
      <c r="DK464" s="705"/>
      <c r="DL464" s="705"/>
      <c r="DM464" s="705"/>
      <c r="DN464" s="705"/>
      <c r="DO464" s="705"/>
      <c r="DP464" s="705"/>
      <c r="DQ464" s="705"/>
      <c r="DR464" s="705"/>
      <c r="DS464" s="703"/>
      <c r="DT464" s="703"/>
      <c r="DU464" s="703"/>
      <c r="DV464" s="703"/>
      <c r="DW464" s="703"/>
      <c r="DX464" s="703"/>
      <c r="DY464" s="703"/>
      <c r="DZ464" s="703"/>
      <c r="EA464" s="703"/>
      <c r="EB464" s="703"/>
      <c r="EC464" s="703"/>
      <c r="ED464" s="703"/>
      <c r="EE464" s="703"/>
      <c r="EF464" s="703"/>
      <c r="EG464" s="703"/>
      <c r="EH464" s="703"/>
      <c r="EI464" s="703"/>
      <c r="EJ464" s="703"/>
      <c r="EK464" s="703"/>
      <c r="EL464" s="703"/>
      <c r="EM464" s="703"/>
      <c r="EN464" s="703"/>
      <c r="EO464" s="703"/>
      <c r="EP464" s="703"/>
      <c r="EQ464" s="703"/>
      <c r="ER464" s="703"/>
      <c r="ES464" s="703"/>
      <c r="ET464" s="703"/>
      <c r="EU464" s="703"/>
      <c r="EV464" s="703"/>
      <c r="EW464" s="703"/>
      <c r="EX464" s="703"/>
      <c r="EY464" s="703"/>
      <c r="EZ464" s="703"/>
      <c r="FA464" s="703"/>
      <c r="FB464" s="703"/>
      <c r="FC464" s="703"/>
      <c r="FD464" s="703"/>
      <c r="FE464" s="703"/>
      <c r="FF464" s="703"/>
      <c r="FG464" s="703"/>
      <c r="FH464" s="703"/>
      <c r="FI464" s="703"/>
      <c r="FJ464" s="703"/>
      <c r="FK464" s="703"/>
      <c r="FL464" s="703"/>
      <c r="FM464" s="703"/>
      <c r="FN464" s="703"/>
      <c r="FO464" s="703"/>
      <c r="FP464" s="703"/>
      <c r="FQ464" s="704"/>
    </row>
    <row r="465" spans="1:177" s="706" customFormat="1">
      <c r="A465" s="700"/>
      <c r="B465" s="700"/>
      <c r="C465" s="701" t="s">
        <v>3635</v>
      </c>
      <c r="D465" s="701"/>
      <c r="E465" s="703">
        <v>38.1</v>
      </c>
      <c r="F465" s="703"/>
      <c r="G465" s="703"/>
      <c r="H465" s="703"/>
      <c r="I465" s="703">
        <f>E465</f>
        <v>38.1</v>
      </c>
      <c r="J465" s="703"/>
      <c r="K465" s="703"/>
      <c r="L465" s="703"/>
      <c r="M465" s="703"/>
      <c r="N465" s="703"/>
      <c r="O465" s="703"/>
      <c r="P465" s="703"/>
      <c r="Q465" s="703"/>
      <c r="R465" s="704"/>
      <c r="S465" s="704"/>
      <c r="T465" s="703"/>
      <c r="U465" s="703" t="s">
        <v>1631</v>
      </c>
      <c r="V465" s="703"/>
      <c r="W465" s="703"/>
      <c r="X465" s="703"/>
      <c r="Y465" s="703"/>
      <c r="Z465" s="703"/>
      <c r="AA465" s="703"/>
      <c r="AB465" s="703"/>
      <c r="AC465" s="703"/>
      <c r="AD465" s="703"/>
      <c r="AE465" s="766"/>
      <c r="AF465" s="960"/>
      <c r="AG465" s="703"/>
      <c r="AH465" s="703"/>
      <c r="AI465" s="703"/>
      <c r="AJ465" s="703"/>
      <c r="AK465" s="703"/>
      <c r="AL465" s="703"/>
      <c r="AM465" s="703"/>
      <c r="AN465" s="703"/>
      <c r="AO465" s="703"/>
      <c r="AP465" s="703"/>
      <c r="AQ465" s="703"/>
      <c r="AR465" s="703"/>
      <c r="AS465" s="703"/>
      <c r="AT465" s="703"/>
      <c r="AU465" s="703"/>
      <c r="AV465" s="703"/>
      <c r="AW465" s="703">
        <f t="shared" si="138"/>
        <v>1</v>
      </c>
      <c r="AX465" s="703"/>
      <c r="AY465" s="703"/>
      <c r="AZ465" s="703">
        <f t="shared" si="139"/>
        <v>1</v>
      </c>
      <c r="BA465" s="703"/>
      <c r="BB465" s="703"/>
      <c r="BC465" s="703"/>
      <c r="BD465" s="703"/>
      <c r="BE465" s="703"/>
      <c r="BF465" s="703"/>
      <c r="BG465" s="703"/>
      <c r="BH465" s="703"/>
      <c r="BI465" s="703"/>
      <c r="BJ465" s="703">
        <f t="shared" si="140"/>
        <v>1</v>
      </c>
      <c r="BK465" s="703"/>
      <c r="BL465" s="703"/>
      <c r="BM465" s="703"/>
      <c r="BN465" s="703"/>
      <c r="BO465" s="703"/>
      <c r="BP465" s="703"/>
      <c r="BQ465" s="703"/>
      <c r="BR465" s="703"/>
      <c r="BS465" s="703"/>
      <c r="BT465" s="703"/>
      <c r="BU465" s="703"/>
      <c r="BV465" s="703"/>
      <c r="BW465" s="703"/>
      <c r="BX465" s="703"/>
      <c r="BY465" s="703"/>
      <c r="BZ465" s="703"/>
      <c r="CA465" s="703"/>
      <c r="CB465" s="703"/>
      <c r="CC465" s="703"/>
      <c r="CD465" s="703">
        <f t="shared" si="137"/>
        <v>1</v>
      </c>
      <c r="CE465" s="703"/>
      <c r="CF465" s="703"/>
      <c r="CG465" s="703"/>
      <c r="CH465" s="703"/>
      <c r="CI465" s="703"/>
      <c r="CJ465" s="703"/>
      <c r="CK465" s="703"/>
      <c r="CL465" s="703">
        <f t="shared" si="143"/>
        <v>2</v>
      </c>
      <c r="CM465" s="703"/>
      <c r="CN465" s="703"/>
      <c r="CO465" s="703"/>
      <c r="CP465" s="703"/>
      <c r="CQ465" s="703"/>
      <c r="CR465" s="703"/>
      <c r="CS465" s="703"/>
      <c r="CT465" s="703"/>
      <c r="CU465" s="703"/>
      <c r="CV465" s="703"/>
      <c r="CW465" s="703"/>
      <c r="CX465" s="703"/>
      <c r="CY465" s="703"/>
      <c r="CZ465" s="703">
        <v>1</v>
      </c>
      <c r="DA465" s="703">
        <v>1</v>
      </c>
      <c r="DB465" s="703"/>
      <c r="DC465" s="703"/>
      <c r="DD465" s="703"/>
      <c r="DE465" s="703"/>
      <c r="DF465" s="703"/>
      <c r="DG465" s="705"/>
      <c r="DH465" s="705"/>
      <c r="DI465" s="705"/>
      <c r="DJ465" s="705"/>
      <c r="DK465" s="705"/>
      <c r="DL465" s="705"/>
      <c r="DM465" s="705"/>
      <c r="DN465" s="705"/>
      <c r="DO465" s="705"/>
      <c r="DP465" s="705"/>
      <c r="DQ465" s="705"/>
      <c r="DR465" s="705"/>
      <c r="DS465" s="703"/>
      <c r="DT465" s="703"/>
      <c r="DU465" s="703"/>
      <c r="DV465" s="703"/>
      <c r="DW465" s="703"/>
      <c r="DX465" s="703"/>
      <c r="DY465" s="703"/>
      <c r="DZ465" s="703"/>
      <c r="EA465" s="703"/>
      <c r="EB465" s="703"/>
      <c r="EC465" s="703"/>
      <c r="ED465" s="703"/>
      <c r="EE465" s="703"/>
      <c r="EF465" s="703"/>
      <c r="EG465" s="703"/>
      <c r="EH465" s="703"/>
      <c r="EI465" s="703"/>
      <c r="EJ465" s="703"/>
      <c r="EK465" s="703"/>
      <c r="EL465" s="703"/>
      <c r="EM465" s="703"/>
      <c r="EN465" s="703"/>
      <c r="EO465" s="703"/>
      <c r="EP465" s="703"/>
      <c r="EQ465" s="703"/>
      <c r="ER465" s="703"/>
      <c r="ES465" s="703"/>
      <c r="ET465" s="703"/>
      <c r="EU465" s="703"/>
      <c r="EV465" s="703"/>
      <c r="EW465" s="703"/>
      <c r="EX465" s="703"/>
      <c r="EY465" s="703"/>
      <c r="EZ465" s="703"/>
      <c r="FA465" s="703"/>
      <c r="FB465" s="703"/>
      <c r="FC465" s="703"/>
      <c r="FD465" s="703"/>
      <c r="FE465" s="703"/>
      <c r="FF465" s="703"/>
      <c r="FG465" s="703"/>
      <c r="FH465" s="703"/>
      <c r="FI465" s="703"/>
      <c r="FJ465" s="703"/>
      <c r="FK465" s="703"/>
      <c r="FL465" s="703"/>
      <c r="FM465" s="703"/>
      <c r="FN465" s="703"/>
      <c r="FO465" s="703"/>
      <c r="FP465" s="703"/>
      <c r="FQ465" s="704"/>
    </row>
    <row r="466" spans="1:177" s="706" customFormat="1">
      <c r="A466" s="700"/>
      <c r="B466" s="700"/>
      <c r="C466" s="701" t="s">
        <v>3634</v>
      </c>
      <c r="D466" s="701"/>
      <c r="E466" s="703">
        <v>35.4</v>
      </c>
      <c r="F466" s="703"/>
      <c r="G466" s="703"/>
      <c r="H466" s="703"/>
      <c r="I466" s="703">
        <f t="shared" ref="I466:I478" si="144">E466</f>
        <v>35.4</v>
      </c>
      <c r="J466" s="703"/>
      <c r="K466" s="703"/>
      <c r="L466" s="703"/>
      <c r="M466" s="703"/>
      <c r="N466" s="703"/>
      <c r="O466" s="703"/>
      <c r="P466" s="703"/>
      <c r="Q466" s="703"/>
      <c r="R466" s="704"/>
      <c r="S466" s="704"/>
      <c r="T466" s="703"/>
      <c r="U466" s="703" t="s">
        <v>1631</v>
      </c>
      <c r="V466" s="703"/>
      <c r="W466" s="703"/>
      <c r="X466" s="703"/>
      <c r="Y466" s="703"/>
      <c r="Z466" s="703"/>
      <c r="AA466" s="703"/>
      <c r="AB466" s="703"/>
      <c r="AC466" s="703"/>
      <c r="AD466" s="703"/>
      <c r="AE466" s="766"/>
      <c r="AF466" s="960"/>
      <c r="AG466" s="703"/>
      <c r="AH466" s="703"/>
      <c r="AI466" s="703"/>
      <c r="AJ466" s="703"/>
      <c r="AK466" s="703"/>
      <c r="AL466" s="703"/>
      <c r="AM466" s="703"/>
      <c r="AN466" s="703"/>
      <c r="AO466" s="703"/>
      <c r="AP466" s="703"/>
      <c r="AQ466" s="703"/>
      <c r="AR466" s="703"/>
      <c r="AS466" s="703"/>
      <c r="AT466" s="703"/>
      <c r="AU466" s="703"/>
      <c r="AV466" s="703"/>
      <c r="AW466" s="703">
        <f t="shared" si="138"/>
        <v>1</v>
      </c>
      <c r="AX466" s="703"/>
      <c r="AY466" s="703"/>
      <c r="AZ466" s="703">
        <f t="shared" si="139"/>
        <v>1</v>
      </c>
      <c r="BA466" s="703"/>
      <c r="BB466" s="703"/>
      <c r="BC466" s="703"/>
      <c r="BD466" s="703"/>
      <c r="BE466" s="703"/>
      <c r="BF466" s="703"/>
      <c r="BG466" s="703"/>
      <c r="BH466" s="703"/>
      <c r="BI466" s="703"/>
      <c r="BJ466" s="703">
        <f t="shared" si="140"/>
        <v>1</v>
      </c>
      <c r="BK466" s="703"/>
      <c r="BL466" s="703"/>
      <c r="BM466" s="703"/>
      <c r="BN466" s="703"/>
      <c r="BO466" s="703"/>
      <c r="BP466" s="703"/>
      <c r="BQ466" s="703"/>
      <c r="BR466" s="703"/>
      <c r="BS466" s="703"/>
      <c r="BT466" s="703"/>
      <c r="BU466" s="703"/>
      <c r="BV466" s="703"/>
      <c r="BW466" s="703"/>
      <c r="BX466" s="703"/>
      <c r="BY466" s="703"/>
      <c r="BZ466" s="703"/>
      <c r="CA466" s="703"/>
      <c r="CB466" s="703"/>
      <c r="CC466" s="703"/>
      <c r="CD466" s="703">
        <f t="shared" si="137"/>
        <v>1</v>
      </c>
      <c r="CE466" s="703"/>
      <c r="CF466" s="703"/>
      <c r="CG466" s="703"/>
      <c r="CH466" s="703"/>
      <c r="CI466" s="703"/>
      <c r="CJ466" s="703"/>
      <c r="CK466" s="703"/>
      <c r="CL466" s="703">
        <f t="shared" si="143"/>
        <v>0</v>
      </c>
      <c r="CM466" s="703"/>
      <c r="CN466" s="703"/>
      <c r="CO466" s="703"/>
      <c r="CP466" s="703"/>
      <c r="CQ466" s="703"/>
      <c r="CR466" s="703"/>
      <c r="CS466" s="703"/>
      <c r="CT466" s="703"/>
      <c r="CU466" s="703"/>
      <c r="CV466" s="703"/>
      <c r="CW466" s="703"/>
      <c r="CX466" s="703"/>
      <c r="CY466" s="703"/>
      <c r="CZ466" s="703"/>
      <c r="DA466" s="703">
        <v>1</v>
      </c>
      <c r="DB466" s="703"/>
      <c r="DC466" s="703"/>
      <c r="DD466" s="703"/>
      <c r="DE466" s="703"/>
      <c r="DF466" s="703"/>
      <c r="DG466" s="705"/>
      <c r="DH466" s="705"/>
      <c r="DI466" s="705"/>
      <c r="DJ466" s="705"/>
      <c r="DK466" s="705"/>
      <c r="DL466" s="705"/>
      <c r="DM466" s="705"/>
      <c r="DN466" s="705"/>
      <c r="DO466" s="705"/>
      <c r="DP466" s="705"/>
      <c r="DQ466" s="705"/>
      <c r="DR466" s="705"/>
      <c r="DS466" s="703"/>
      <c r="DT466" s="703"/>
      <c r="DU466" s="703"/>
      <c r="DV466" s="703"/>
      <c r="DW466" s="703"/>
      <c r="DX466" s="703"/>
      <c r="DY466" s="703"/>
      <c r="DZ466" s="703"/>
      <c r="EA466" s="703"/>
      <c r="EB466" s="703"/>
      <c r="EC466" s="703"/>
      <c r="ED466" s="703"/>
      <c r="EE466" s="703"/>
      <c r="EF466" s="703"/>
      <c r="EG466" s="703"/>
      <c r="EH466" s="703"/>
      <c r="EI466" s="703"/>
      <c r="EJ466" s="703"/>
      <c r="EK466" s="703"/>
      <c r="EL466" s="703"/>
      <c r="EM466" s="703"/>
      <c r="EN466" s="703"/>
      <c r="EO466" s="703"/>
      <c r="EP466" s="703"/>
      <c r="EQ466" s="703"/>
      <c r="ER466" s="703"/>
      <c r="ES466" s="703"/>
      <c r="ET466" s="703"/>
      <c r="EU466" s="703"/>
      <c r="EV466" s="703"/>
      <c r="EW466" s="703"/>
      <c r="EX466" s="703"/>
      <c r="EY466" s="703"/>
      <c r="EZ466" s="703"/>
      <c r="FA466" s="703"/>
      <c r="FB466" s="703"/>
      <c r="FC466" s="703"/>
      <c r="FD466" s="703"/>
      <c r="FE466" s="703"/>
      <c r="FF466" s="703"/>
      <c r="FG466" s="703"/>
      <c r="FH466" s="703"/>
      <c r="FI466" s="703"/>
      <c r="FJ466" s="703"/>
      <c r="FK466" s="703"/>
      <c r="FL466" s="703"/>
      <c r="FM466" s="703"/>
      <c r="FN466" s="703"/>
      <c r="FO466" s="703"/>
      <c r="FP466" s="703"/>
      <c r="FQ466" s="704"/>
    </row>
    <row r="467" spans="1:177" s="706" customFormat="1">
      <c r="A467" s="700"/>
      <c r="B467" s="700"/>
      <c r="C467" s="701" t="s">
        <v>3633</v>
      </c>
      <c r="D467" s="701"/>
      <c r="E467" s="703">
        <v>38.1</v>
      </c>
      <c r="F467" s="703"/>
      <c r="G467" s="703"/>
      <c r="H467" s="703"/>
      <c r="I467" s="703">
        <f t="shared" si="144"/>
        <v>38.1</v>
      </c>
      <c r="J467" s="703"/>
      <c r="K467" s="703"/>
      <c r="L467" s="703"/>
      <c r="M467" s="703"/>
      <c r="N467" s="703"/>
      <c r="O467" s="703"/>
      <c r="P467" s="703"/>
      <c r="Q467" s="703"/>
      <c r="R467" s="704"/>
      <c r="S467" s="704"/>
      <c r="T467" s="703"/>
      <c r="U467" s="703" t="s">
        <v>1631</v>
      </c>
      <c r="V467" s="703"/>
      <c r="W467" s="703"/>
      <c r="X467" s="703"/>
      <c r="Y467" s="703"/>
      <c r="Z467" s="703"/>
      <c r="AA467" s="703"/>
      <c r="AB467" s="703"/>
      <c r="AC467" s="703"/>
      <c r="AD467" s="703"/>
      <c r="AE467" s="766"/>
      <c r="AF467" s="960"/>
      <c r="AG467" s="703"/>
      <c r="AH467" s="703"/>
      <c r="AI467" s="703"/>
      <c r="AJ467" s="703"/>
      <c r="AK467" s="703"/>
      <c r="AL467" s="703"/>
      <c r="AM467" s="703"/>
      <c r="AN467" s="703"/>
      <c r="AO467" s="703"/>
      <c r="AP467" s="703"/>
      <c r="AQ467" s="703"/>
      <c r="AR467" s="703"/>
      <c r="AS467" s="703"/>
      <c r="AT467" s="703"/>
      <c r="AU467" s="703"/>
      <c r="AV467" s="703"/>
      <c r="AW467" s="703">
        <f t="shared" si="138"/>
        <v>1</v>
      </c>
      <c r="AX467" s="703"/>
      <c r="AY467" s="703"/>
      <c r="AZ467" s="703">
        <f t="shared" si="139"/>
        <v>1</v>
      </c>
      <c r="BA467" s="703"/>
      <c r="BB467" s="703"/>
      <c r="BC467" s="703"/>
      <c r="BD467" s="703"/>
      <c r="BE467" s="703"/>
      <c r="BF467" s="703"/>
      <c r="BG467" s="703"/>
      <c r="BH467" s="703"/>
      <c r="BI467" s="703"/>
      <c r="BJ467" s="703">
        <f t="shared" si="140"/>
        <v>1</v>
      </c>
      <c r="BK467" s="703"/>
      <c r="BL467" s="703"/>
      <c r="BM467" s="703"/>
      <c r="BN467" s="703"/>
      <c r="BO467" s="703"/>
      <c r="BP467" s="703"/>
      <c r="BQ467" s="703"/>
      <c r="BR467" s="703"/>
      <c r="BS467" s="703"/>
      <c r="BT467" s="703"/>
      <c r="BU467" s="703"/>
      <c r="BV467" s="703"/>
      <c r="BW467" s="703"/>
      <c r="BX467" s="703"/>
      <c r="BY467" s="703"/>
      <c r="BZ467" s="703"/>
      <c r="CA467" s="703"/>
      <c r="CB467" s="703"/>
      <c r="CC467" s="703"/>
      <c r="CD467" s="703">
        <f t="shared" si="137"/>
        <v>1</v>
      </c>
      <c r="CE467" s="703"/>
      <c r="CF467" s="703"/>
      <c r="CG467" s="703"/>
      <c r="CH467" s="703"/>
      <c r="CI467" s="703"/>
      <c r="CJ467" s="703"/>
      <c r="CK467" s="703"/>
      <c r="CL467" s="703">
        <f t="shared" si="143"/>
        <v>0</v>
      </c>
      <c r="CM467" s="703"/>
      <c r="CN467" s="703"/>
      <c r="CO467" s="703"/>
      <c r="CP467" s="703"/>
      <c r="CQ467" s="703"/>
      <c r="CR467" s="703"/>
      <c r="CS467" s="703"/>
      <c r="CT467" s="703"/>
      <c r="CU467" s="703"/>
      <c r="CV467" s="703"/>
      <c r="CW467" s="703"/>
      <c r="CX467" s="703"/>
      <c r="CY467" s="703"/>
      <c r="CZ467" s="703"/>
      <c r="DA467" s="703">
        <v>1</v>
      </c>
      <c r="DB467" s="703"/>
      <c r="DC467" s="703"/>
      <c r="DD467" s="703"/>
      <c r="DE467" s="703"/>
      <c r="DF467" s="703"/>
      <c r="DG467" s="705"/>
      <c r="DH467" s="705"/>
      <c r="DI467" s="705"/>
      <c r="DJ467" s="705"/>
      <c r="DK467" s="705"/>
      <c r="DL467" s="705"/>
      <c r="DM467" s="705"/>
      <c r="DN467" s="705"/>
      <c r="DO467" s="705"/>
      <c r="DP467" s="705"/>
      <c r="DQ467" s="705"/>
      <c r="DR467" s="705"/>
      <c r="DS467" s="703"/>
      <c r="DT467" s="703"/>
      <c r="DU467" s="703"/>
      <c r="DV467" s="703"/>
      <c r="DW467" s="703"/>
      <c r="DX467" s="703"/>
      <c r="DY467" s="703"/>
      <c r="DZ467" s="703"/>
      <c r="EA467" s="703"/>
      <c r="EB467" s="703"/>
      <c r="EC467" s="703"/>
      <c r="ED467" s="703"/>
      <c r="EE467" s="703"/>
      <c r="EF467" s="703"/>
      <c r="EG467" s="703"/>
      <c r="EH467" s="703"/>
      <c r="EI467" s="703"/>
      <c r="EJ467" s="703"/>
      <c r="EK467" s="703"/>
      <c r="EL467" s="703"/>
      <c r="EM467" s="703"/>
      <c r="EN467" s="703"/>
      <c r="EO467" s="703"/>
      <c r="EP467" s="703"/>
      <c r="EQ467" s="703"/>
      <c r="ER467" s="703"/>
      <c r="ES467" s="703"/>
      <c r="ET467" s="703"/>
      <c r="EU467" s="703"/>
      <c r="EV467" s="703"/>
      <c r="EW467" s="703"/>
      <c r="EX467" s="703"/>
      <c r="EY467" s="703"/>
      <c r="EZ467" s="703"/>
      <c r="FA467" s="703"/>
      <c r="FB467" s="703"/>
      <c r="FC467" s="703"/>
      <c r="FD467" s="703"/>
      <c r="FE467" s="703"/>
      <c r="FF467" s="703"/>
      <c r="FG467" s="703"/>
      <c r="FH467" s="703"/>
      <c r="FI467" s="703"/>
      <c r="FJ467" s="703"/>
      <c r="FK467" s="703"/>
      <c r="FL467" s="703"/>
      <c r="FM467" s="703"/>
      <c r="FN467" s="703"/>
      <c r="FO467" s="703"/>
      <c r="FP467" s="703"/>
      <c r="FQ467" s="704"/>
    </row>
    <row r="468" spans="1:177" s="706" customFormat="1">
      <c r="A468" s="700"/>
      <c r="B468" s="700"/>
      <c r="C468" s="701" t="s">
        <v>3632</v>
      </c>
      <c r="D468" s="701"/>
      <c r="E468" s="703">
        <v>42.8</v>
      </c>
      <c r="F468" s="703"/>
      <c r="G468" s="703"/>
      <c r="H468" s="703"/>
      <c r="I468" s="703">
        <f t="shared" si="144"/>
        <v>42.8</v>
      </c>
      <c r="J468" s="703"/>
      <c r="K468" s="703"/>
      <c r="L468" s="703"/>
      <c r="M468" s="703"/>
      <c r="N468" s="703"/>
      <c r="O468" s="703"/>
      <c r="P468" s="703"/>
      <c r="Q468" s="703"/>
      <c r="R468" s="704"/>
      <c r="S468" s="704"/>
      <c r="T468" s="703"/>
      <c r="U468" s="703" t="s">
        <v>2989</v>
      </c>
      <c r="V468" s="703"/>
      <c r="W468" s="703"/>
      <c r="X468" s="703"/>
      <c r="Y468" s="703"/>
      <c r="Z468" s="703"/>
      <c r="AA468" s="703"/>
      <c r="AB468" s="703"/>
      <c r="AC468" s="703"/>
      <c r="AD468" s="703"/>
      <c r="AE468" s="766"/>
      <c r="AF468" s="960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>
        <f t="shared" si="138"/>
        <v>0</v>
      </c>
      <c r="AX468" s="703"/>
      <c r="AY468" s="703"/>
      <c r="AZ468" s="703">
        <f t="shared" si="139"/>
        <v>0</v>
      </c>
      <c r="BA468" s="703"/>
      <c r="BB468" s="703"/>
      <c r="BC468" s="703"/>
      <c r="BD468" s="703">
        <v>2</v>
      </c>
      <c r="BE468" s="703"/>
      <c r="BF468" s="703"/>
      <c r="BG468" s="703"/>
      <c r="BH468" s="703"/>
      <c r="BI468" s="703"/>
      <c r="BJ468" s="703">
        <f t="shared" si="140"/>
        <v>1</v>
      </c>
      <c r="BK468" s="703"/>
      <c r="BL468" s="703"/>
      <c r="BM468" s="703"/>
      <c r="BN468" s="703"/>
      <c r="BO468" s="703"/>
      <c r="BP468" s="703"/>
      <c r="BQ468" s="703"/>
      <c r="BR468" s="703"/>
      <c r="BS468" s="703"/>
      <c r="BT468" s="703"/>
      <c r="BU468" s="703"/>
      <c r="BV468" s="703">
        <v>2</v>
      </c>
      <c r="BW468" s="703"/>
      <c r="BX468" s="703"/>
      <c r="BY468" s="703"/>
      <c r="BZ468" s="703"/>
      <c r="CA468" s="703"/>
      <c r="CB468" s="703"/>
      <c r="CC468" s="703"/>
      <c r="CD468" s="703">
        <f t="shared" si="137"/>
        <v>1</v>
      </c>
      <c r="CE468" s="703"/>
      <c r="CF468" s="703"/>
      <c r="CG468" s="703"/>
      <c r="CH468" s="703"/>
      <c r="CI468" s="703"/>
      <c r="CJ468" s="703">
        <v>3</v>
      </c>
      <c r="CK468" s="703"/>
      <c r="CL468" s="703">
        <f t="shared" si="143"/>
        <v>0</v>
      </c>
      <c r="CM468" s="703"/>
      <c r="CN468" s="703"/>
      <c r="CO468" s="703"/>
      <c r="CP468" s="703"/>
      <c r="CQ468" s="703"/>
      <c r="CR468" s="703"/>
      <c r="CS468" s="703"/>
      <c r="CT468" s="703"/>
      <c r="CU468" s="703"/>
      <c r="CV468" s="703"/>
      <c r="CW468" s="703"/>
      <c r="CX468" s="703"/>
      <c r="CY468" s="703"/>
      <c r="CZ468" s="703"/>
      <c r="DA468" s="703">
        <v>1</v>
      </c>
      <c r="DB468" s="703"/>
      <c r="DC468" s="703"/>
      <c r="DD468" s="703"/>
      <c r="DE468" s="703"/>
      <c r="DF468" s="703"/>
      <c r="DG468" s="705"/>
      <c r="DH468" s="705"/>
      <c r="DI468" s="705"/>
      <c r="DJ468" s="705"/>
      <c r="DK468" s="705"/>
      <c r="DL468" s="705"/>
      <c r="DM468" s="705"/>
      <c r="DN468" s="705"/>
      <c r="DO468" s="705"/>
      <c r="DP468" s="705"/>
      <c r="DQ468" s="705"/>
      <c r="DR468" s="705"/>
      <c r="DS468" s="703"/>
      <c r="DT468" s="703"/>
      <c r="DU468" s="703"/>
      <c r="DV468" s="703"/>
      <c r="DW468" s="703"/>
      <c r="DX468" s="703"/>
      <c r="DY468" s="703"/>
      <c r="DZ468" s="703"/>
      <c r="EA468" s="703"/>
      <c r="EB468" s="703"/>
      <c r="EC468" s="703"/>
      <c r="ED468" s="703"/>
      <c r="EE468" s="703"/>
      <c r="EF468" s="703"/>
      <c r="EG468" s="703"/>
      <c r="EH468" s="703"/>
      <c r="EI468" s="703"/>
      <c r="EJ468" s="703"/>
      <c r="EK468" s="703"/>
      <c r="EL468" s="703"/>
      <c r="EM468" s="703"/>
      <c r="EN468" s="703"/>
      <c r="EO468" s="703"/>
      <c r="EP468" s="703"/>
      <c r="EQ468" s="703"/>
      <c r="ER468" s="703"/>
      <c r="ES468" s="703"/>
      <c r="ET468" s="703"/>
      <c r="EU468" s="703"/>
      <c r="EV468" s="703"/>
      <c r="EW468" s="703"/>
      <c r="EX468" s="703"/>
      <c r="EY468" s="703"/>
      <c r="EZ468" s="703"/>
      <c r="FA468" s="703"/>
      <c r="FB468" s="703"/>
      <c r="FC468" s="703"/>
      <c r="FD468" s="703"/>
      <c r="FE468" s="703"/>
      <c r="FF468" s="703"/>
      <c r="FG468" s="703"/>
      <c r="FH468" s="703"/>
      <c r="FI468" s="703"/>
      <c r="FJ468" s="703"/>
      <c r="FK468" s="703"/>
      <c r="FL468" s="703"/>
      <c r="FM468" s="703"/>
      <c r="FN468" s="703"/>
      <c r="FO468" s="703"/>
      <c r="FP468" s="703"/>
      <c r="FQ468" s="704"/>
    </row>
    <row r="469" spans="1:177" s="706" customFormat="1">
      <c r="A469" s="700"/>
      <c r="B469" s="700"/>
      <c r="C469" s="701" t="s">
        <v>3852</v>
      </c>
      <c r="D469" s="701"/>
      <c r="E469" s="703">
        <v>44.5</v>
      </c>
      <c r="F469" s="703"/>
      <c r="G469" s="703"/>
      <c r="H469" s="703"/>
      <c r="I469" s="703">
        <f t="shared" si="144"/>
        <v>44.5</v>
      </c>
      <c r="J469" s="703"/>
      <c r="K469" s="703"/>
      <c r="L469" s="703"/>
      <c r="M469" s="703"/>
      <c r="N469" s="703"/>
      <c r="O469" s="703"/>
      <c r="P469" s="703"/>
      <c r="Q469" s="703"/>
      <c r="R469" s="704"/>
      <c r="S469" s="704"/>
      <c r="T469" s="703"/>
      <c r="U469" s="703" t="s">
        <v>1631</v>
      </c>
      <c r="V469" s="703"/>
      <c r="W469" s="703"/>
      <c r="X469" s="703"/>
      <c r="Y469" s="703"/>
      <c r="Z469" s="703"/>
      <c r="AA469" s="703"/>
      <c r="AB469" s="703"/>
      <c r="AC469" s="703"/>
      <c r="AD469" s="703"/>
      <c r="AE469" s="766"/>
      <c r="AF469" s="960"/>
      <c r="AG469" s="703"/>
      <c r="AH469" s="703"/>
      <c r="AI469" s="703"/>
      <c r="AJ469" s="703"/>
      <c r="AK469" s="703"/>
      <c r="AL469" s="703"/>
      <c r="AM469" s="703"/>
      <c r="AN469" s="703"/>
      <c r="AO469" s="703"/>
      <c r="AP469" s="703"/>
      <c r="AQ469" s="703"/>
      <c r="AR469" s="703"/>
      <c r="AS469" s="703"/>
      <c r="AT469" s="703"/>
      <c r="AU469" s="703"/>
      <c r="AV469" s="703"/>
      <c r="AW469" s="703">
        <f t="shared" si="138"/>
        <v>1</v>
      </c>
      <c r="AX469" s="703"/>
      <c r="AY469" s="703"/>
      <c r="AZ469" s="703">
        <f t="shared" si="139"/>
        <v>1</v>
      </c>
      <c r="BA469" s="703"/>
      <c r="BB469" s="703"/>
      <c r="BC469" s="703"/>
      <c r="BD469" s="703"/>
      <c r="BE469" s="703"/>
      <c r="BF469" s="703"/>
      <c r="BG469" s="703"/>
      <c r="BH469" s="703"/>
      <c r="BI469" s="703"/>
      <c r="BJ469" s="703">
        <f t="shared" si="140"/>
        <v>1</v>
      </c>
      <c r="BK469" s="703"/>
      <c r="BL469" s="703"/>
      <c r="BM469" s="703"/>
      <c r="BN469" s="703"/>
      <c r="BO469" s="703"/>
      <c r="BP469" s="703"/>
      <c r="BQ469" s="703"/>
      <c r="BR469" s="703"/>
      <c r="BS469" s="703"/>
      <c r="BT469" s="703"/>
      <c r="BU469" s="703"/>
      <c r="BV469" s="703"/>
      <c r="BW469" s="703"/>
      <c r="BX469" s="703"/>
      <c r="BY469" s="703"/>
      <c r="BZ469" s="703"/>
      <c r="CA469" s="703"/>
      <c r="CB469" s="703"/>
      <c r="CC469" s="703"/>
      <c r="CD469" s="703">
        <f t="shared" si="137"/>
        <v>1</v>
      </c>
      <c r="CE469" s="703"/>
      <c r="CF469" s="703"/>
      <c r="CG469" s="703"/>
      <c r="CH469" s="703"/>
      <c r="CI469" s="703"/>
      <c r="CJ469" s="703"/>
      <c r="CK469" s="703"/>
      <c r="CL469" s="703">
        <f t="shared" si="143"/>
        <v>2</v>
      </c>
      <c r="CM469" s="703"/>
      <c r="CN469" s="703"/>
      <c r="CO469" s="703"/>
      <c r="CP469" s="703"/>
      <c r="CQ469" s="703"/>
      <c r="CR469" s="703"/>
      <c r="CS469" s="703"/>
      <c r="CT469" s="703"/>
      <c r="CU469" s="703"/>
      <c r="CV469" s="703"/>
      <c r="CW469" s="703"/>
      <c r="CX469" s="703"/>
      <c r="CY469" s="703"/>
      <c r="CZ469" s="703">
        <v>1</v>
      </c>
      <c r="DA469" s="703">
        <v>1</v>
      </c>
      <c r="DB469" s="703"/>
      <c r="DC469" s="703"/>
      <c r="DD469" s="703"/>
      <c r="DE469" s="703"/>
      <c r="DF469" s="703"/>
      <c r="DG469" s="705"/>
      <c r="DH469" s="705"/>
      <c r="DI469" s="705"/>
      <c r="DJ469" s="705"/>
      <c r="DK469" s="705"/>
      <c r="DL469" s="705"/>
      <c r="DM469" s="705"/>
      <c r="DN469" s="705"/>
      <c r="DO469" s="705"/>
      <c r="DP469" s="705"/>
      <c r="DQ469" s="705"/>
      <c r="DR469" s="705"/>
      <c r="DS469" s="703"/>
      <c r="DT469" s="703"/>
      <c r="DU469" s="703"/>
      <c r="DV469" s="703"/>
      <c r="DW469" s="703"/>
      <c r="DX469" s="703"/>
      <c r="DY469" s="703"/>
      <c r="DZ469" s="703"/>
      <c r="EA469" s="703"/>
      <c r="EB469" s="703"/>
      <c r="EC469" s="703"/>
      <c r="ED469" s="703"/>
      <c r="EE469" s="703"/>
      <c r="EF469" s="703"/>
      <c r="EG469" s="703"/>
      <c r="EH469" s="703"/>
      <c r="EI469" s="703"/>
      <c r="EJ469" s="703"/>
      <c r="EK469" s="703"/>
      <c r="EL469" s="703"/>
      <c r="EM469" s="703"/>
      <c r="EN469" s="703"/>
      <c r="EO469" s="703"/>
      <c r="EP469" s="703"/>
      <c r="EQ469" s="703"/>
      <c r="ER469" s="703"/>
      <c r="ES469" s="703"/>
      <c r="ET469" s="703"/>
      <c r="EU469" s="703"/>
      <c r="EV469" s="703"/>
      <c r="EW469" s="703"/>
      <c r="EX469" s="703"/>
      <c r="EY469" s="703"/>
      <c r="EZ469" s="703"/>
      <c r="FA469" s="703"/>
      <c r="FB469" s="703"/>
      <c r="FC469" s="703"/>
      <c r="FD469" s="703"/>
      <c r="FE469" s="703"/>
      <c r="FF469" s="703"/>
      <c r="FG469" s="703"/>
      <c r="FH469" s="703"/>
      <c r="FI469" s="703"/>
      <c r="FJ469" s="703"/>
      <c r="FK469" s="703"/>
      <c r="FL469" s="703"/>
      <c r="FM469" s="703"/>
      <c r="FN469" s="703"/>
      <c r="FO469" s="703"/>
      <c r="FP469" s="703"/>
      <c r="FQ469" s="704"/>
    </row>
    <row r="470" spans="1:177" s="706" customFormat="1">
      <c r="A470" s="700"/>
      <c r="B470" s="700"/>
      <c r="C470" s="701" t="s">
        <v>3853</v>
      </c>
      <c r="D470" s="701"/>
      <c r="E470" s="703">
        <v>37.299999999999997</v>
      </c>
      <c r="F470" s="703"/>
      <c r="G470" s="703"/>
      <c r="H470" s="703"/>
      <c r="I470" s="703">
        <f t="shared" si="144"/>
        <v>37.299999999999997</v>
      </c>
      <c r="J470" s="703"/>
      <c r="K470" s="703"/>
      <c r="L470" s="703"/>
      <c r="M470" s="703"/>
      <c r="N470" s="703"/>
      <c r="O470" s="703"/>
      <c r="P470" s="703"/>
      <c r="Q470" s="703"/>
      <c r="R470" s="704"/>
      <c r="S470" s="704"/>
      <c r="T470" s="703"/>
      <c r="U470" s="703" t="s">
        <v>1631</v>
      </c>
      <c r="V470" s="703"/>
      <c r="W470" s="703"/>
      <c r="X470" s="703"/>
      <c r="Y470" s="703"/>
      <c r="Z470" s="703"/>
      <c r="AA470" s="703"/>
      <c r="AB470" s="703"/>
      <c r="AC470" s="703"/>
      <c r="AD470" s="703"/>
      <c r="AE470" s="766"/>
      <c r="AF470" s="960"/>
      <c r="AG470" s="703"/>
      <c r="AH470" s="703"/>
      <c r="AI470" s="703"/>
      <c r="AJ470" s="703"/>
      <c r="AK470" s="703"/>
      <c r="AL470" s="703"/>
      <c r="AM470" s="703"/>
      <c r="AN470" s="703"/>
      <c r="AO470" s="703"/>
      <c r="AP470" s="703"/>
      <c r="AQ470" s="703"/>
      <c r="AR470" s="703"/>
      <c r="AS470" s="703"/>
      <c r="AT470" s="703"/>
      <c r="AU470" s="703"/>
      <c r="AV470" s="703"/>
      <c r="AW470" s="703">
        <f t="shared" si="138"/>
        <v>1</v>
      </c>
      <c r="AX470" s="703"/>
      <c r="AY470" s="703"/>
      <c r="AZ470" s="703">
        <f t="shared" si="139"/>
        <v>1</v>
      </c>
      <c r="BA470" s="703"/>
      <c r="BB470" s="703"/>
      <c r="BC470" s="703"/>
      <c r="BD470" s="703"/>
      <c r="BE470" s="703"/>
      <c r="BF470" s="703"/>
      <c r="BG470" s="703"/>
      <c r="BH470" s="703"/>
      <c r="BI470" s="703"/>
      <c r="BJ470" s="703">
        <f t="shared" si="140"/>
        <v>1</v>
      </c>
      <c r="BK470" s="703"/>
      <c r="BL470" s="703"/>
      <c r="BM470" s="703"/>
      <c r="BN470" s="703"/>
      <c r="BO470" s="703"/>
      <c r="BP470" s="703"/>
      <c r="BQ470" s="703"/>
      <c r="BR470" s="703"/>
      <c r="BS470" s="703"/>
      <c r="BT470" s="703"/>
      <c r="BU470" s="703"/>
      <c r="BV470" s="703"/>
      <c r="BW470" s="703"/>
      <c r="BX470" s="703"/>
      <c r="BY470" s="703"/>
      <c r="BZ470" s="703"/>
      <c r="CA470" s="703"/>
      <c r="CB470" s="703"/>
      <c r="CC470" s="703"/>
      <c r="CD470" s="703">
        <f t="shared" si="137"/>
        <v>1</v>
      </c>
      <c r="CE470" s="703"/>
      <c r="CF470" s="703"/>
      <c r="CG470" s="703"/>
      <c r="CH470" s="703"/>
      <c r="CI470" s="703"/>
      <c r="CJ470" s="703"/>
      <c r="CK470" s="703"/>
      <c r="CL470" s="703">
        <f t="shared" si="143"/>
        <v>0</v>
      </c>
      <c r="CM470" s="703"/>
      <c r="CN470" s="703"/>
      <c r="CO470" s="703"/>
      <c r="CP470" s="703"/>
      <c r="CQ470" s="703"/>
      <c r="CR470" s="703"/>
      <c r="CS470" s="703"/>
      <c r="CT470" s="703"/>
      <c r="CU470" s="703"/>
      <c r="CV470" s="703"/>
      <c r="CW470" s="703"/>
      <c r="CX470" s="703"/>
      <c r="CY470" s="703"/>
      <c r="CZ470" s="703"/>
      <c r="DA470" s="703">
        <v>1</v>
      </c>
      <c r="DB470" s="703"/>
      <c r="DC470" s="703"/>
      <c r="DD470" s="703"/>
      <c r="DE470" s="703"/>
      <c r="DF470" s="703"/>
      <c r="DG470" s="705"/>
      <c r="DH470" s="705"/>
      <c r="DI470" s="705"/>
      <c r="DJ470" s="705"/>
      <c r="DK470" s="705"/>
      <c r="DL470" s="705"/>
      <c r="DM470" s="705"/>
      <c r="DN470" s="705"/>
      <c r="DO470" s="705"/>
      <c r="DP470" s="705"/>
      <c r="DQ470" s="705"/>
      <c r="DR470" s="705"/>
      <c r="DS470" s="703"/>
      <c r="DT470" s="703"/>
      <c r="DU470" s="703"/>
      <c r="DV470" s="703"/>
      <c r="DW470" s="703"/>
      <c r="DX470" s="703"/>
      <c r="DY470" s="703"/>
      <c r="DZ470" s="703"/>
      <c r="EA470" s="703"/>
      <c r="EB470" s="703"/>
      <c r="EC470" s="703"/>
      <c r="ED470" s="703"/>
      <c r="EE470" s="703"/>
      <c r="EF470" s="703"/>
      <c r="EG470" s="703"/>
      <c r="EH470" s="703"/>
      <c r="EI470" s="703"/>
      <c r="EJ470" s="703"/>
      <c r="EK470" s="703"/>
      <c r="EL470" s="703"/>
      <c r="EM470" s="703"/>
      <c r="EN470" s="703"/>
      <c r="EO470" s="703"/>
      <c r="EP470" s="703"/>
      <c r="EQ470" s="703"/>
      <c r="ER470" s="703"/>
      <c r="ES470" s="703"/>
      <c r="ET470" s="703"/>
      <c r="EU470" s="703"/>
      <c r="EV470" s="703"/>
      <c r="EW470" s="703"/>
      <c r="EX470" s="703"/>
      <c r="EY470" s="703"/>
      <c r="EZ470" s="703"/>
      <c r="FA470" s="703"/>
      <c r="FB470" s="703"/>
      <c r="FC470" s="703"/>
      <c r="FD470" s="703"/>
      <c r="FE470" s="703"/>
      <c r="FF470" s="703"/>
      <c r="FG470" s="703"/>
      <c r="FH470" s="703"/>
      <c r="FI470" s="703"/>
      <c r="FJ470" s="703"/>
      <c r="FK470" s="703"/>
      <c r="FL470" s="703"/>
      <c r="FM470" s="703"/>
      <c r="FN470" s="703"/>
      <c r="FO470" s="703"/>
      <c r="FP470" s="703"/>
      <c r="FQ470" s="704"/>
    </row>
    <row r="471" spans="1:177" s="706" customFormat="1">
      <c r="A471" s="700"/>
      <c r="B471" s="700"/>
      <c r="C471" s="701" t="s">
        <v>3854</v>
      </c>
      <c r="D471" s="701"/>
      <c r="E471" s="703">
        <v>42.3</v>
      </c>
      <c r="F471" s="703"/>
      <c r="G471" s="703"/>
      <c r="H471" s="703"/>
      <c r="I471" s="703">
        <f t="shared" si="144"/>
        <v>42.3</v>
      </c>
      <c r="J471" s="703"/>
      <c r="K471" s="703"/>
      <c r="L471" s="703"/>
      <c r="M471" s="703"/>
      <c r="N471" s="703"/>
      <c r="O471" s="703"/>
      <c r="P471" s="703"/>
      <c r="Q471" s="703"/>
      <c r="R471" s="704"/>
      <c r="S471" s="704"/>
      <c r="T471" s="703"/>
      <c r="U471" s="703" t="s">
        <v>1631</v>
      </c>
      <c r="V471" s="703"/>
      <c r="W471" s="703"/>
      <c r="X471" s="703"/>
      <c r="Y471" s="703"/>
      <c r="Z471" s="703"/>
      <c r="AA471" s="703"/>
      <c r="AB471" s="703"/>
      <c r="AC471" s="703"/>
      <c r="AD471" s="703"/>
      <c r="AE471" s="766"/>
      <c r="AF471" s="960"/>
      <c r="AG471" s="703"/>
      <c r="AH471" s="703"/>
      <c r="AI471" s="703"/>
      <c r="AJ471" s="703"/>
      <c r="AK471" s="703"/>
      <c r="AL471" s="703"/>
      <c r="AM471" s="703"/>
      <c r="AN471" s="703"/>
      <c r="AO471" s="703"/>
      <c r="AP471" s="703"/>
      <c r="AQ471" s="703"/>
      <c r="AR471" s="703"/>
      <c r="AS471" s="703"/>
      <c r="AT471" s="703"/>
      <c r="AU471" s="703"/>
      <c r="AV471" s="703"/>
      <c r="AW471" s="703">
        <f t="shared" si="138"/>
        <v>1</v>
      </c>
      <c r="AX471" s="703"/>
      <c r="AY471" s="703"/>
      <c r="AZ471" s="703">
        <f t="shared" si="139"/>
        <v>1</v>
      </c>
      <c r="BA471" s="703"/>
      <c r="BB471" s="703"/>
      <c r="BC471" s="703"/>
      <c r="BD471" s="703"/>
      <c r="BE471" s="703"/>
      <c r="BF471" s="703"/>
      <c r="BG471" s="703"/>
      <c r="BH471" s="703"/>
      <c r="BI471" s="703"/>
      <c r="BJ471" s="703">
        <f t="shared" si="140"/>
        <v>0</v>
      </c>
      <c r="BK471" s="703"/>
      <c r="BL471" s="703"/>
      <c r="BM471" s="703"/>
      <c r="BN471" s="703"/>
      <c r="BO471" s="703"/>
      <c r="BP471" s="703"/>
      <c r="BQ471" s="703"/>
      <c r="BR471" s="703"/>
      <c r="BS471" s="703"/>
      <c r="BT471" s="703"/>
      <c r="BU471" s="703"/>
      <c r="BV471" s="703"/>
      <c r="BW471" s="703"/>
      <c r="BX471" s="703"/>
      <c r="BY471" s="703"/>
      <c r="BZ471" s="703"/>
      <c r="CA471" s="703"/>
      <c r="CB471" s="703"/>
      <c r="CC471" s="703"/>
      <c r="CD471" s="703">
        <f t="shared" si="137"/>
        <v>0</v>
      </c>
      <c r="CE471" s="703"/>
      <c r="CF471" s="703"/>
      <c r="CG471" s="703"/>
      <c r="CH471" s="703"/>
      <c r="CI471" s="703"/>
      <c r="CJ471" s="703"/>
      <c r="CK471" s="703"/>
      <c r="CL471" s="703">
        <f t="shared" si="143"/>
        <v>0</v>
      </c>
      <c r="CM471" s="703"/>
      <c r="CN471" s="703"/>
      <c r="CO471" s="703"/>
      <c r="CP471" s="703"/>
      <c r="CQ471" s="703"/>
      <c r="CR471" s="703"/>
      <c r="CS471" s="703"/>
      <c r="CT471" s="703"/>
      <c r="CU471" s="703"/>
      <c r="CV471" s="703"/>
      <c r="CW471" s="703"/>
      <c r="CX471" s="703"/>
      <c r="CY471" s="703"/>
      <c r="CZ471" s="703"/>
      <c r="DA471" s="703"/>
      <c r="DB471" s="703"/>
      <c r="DC471" s="703"/>
      <c r="DD471" s="703"/>
      <c r="DE471" s="703"/>
      <c r="DF471" s="703"/>
      <c r="DG471" s="705"/>
      <c r="DH471" s="705"/>
      <c r="DI471" s="705"/>
      <c r="DJ471" s="705"/>
      <c r="DK471" s="705"/>
      <c r="DL471" s="705"/>
      <c r="DM471" s="705"/>
      <c r="DN471" s="705"/>
      <c r="DO471" s="705"/>
      <c r="DP471" s="705"/>
      <c r="DQ471" s="705"/>
      <c r="DR471" s="705"/>
      <c r="DS471" s="703"/>
      <c r="DT471" s="703"/>
      <c r="DU471" s="703"/>
      <c r="DV471" s="703"/>
      <c r="DW471" s="703"/>
      <c r="DX471" s="703"/>
      <c r="DY471" s="703"/>
      <c r="DZ471" s="703"/>
      <c r="EA471" s="703"/>
      <c r="EB471" s="703"/>
      <c r="EC471" s="703"/>
      <c r="ED471" s="703"/>
      <c r="EE471" s="703"/>
      <c r="EF471" s="703"/>
      <c r="EG471" s="703"/>
      <c r="EH471" s="703"/>
      <c r="EI471" s="703"/>
      <c r="EJ471" s="703"/>
      <c r="EK471" s="703"/>
      <c r="EL471" s="703"/>
      <c r="EM471" s="703"/>
      <c r="EN471" s="703"/>
      <c r="EO471" s="703"/>
      <c r="EP471" s="703"/>
      <c r="EQ471" s="703"/>
      <c r="ER471" s="703"/>
      <c r="ES471" s="703"/>
      <c r="ET471" s="703"/>
      <c r="EU471" s="703"/>
      <c r="EV471" s="703"/>
      <c r="EW471" s="703"/>
      <c r="EX471" s="703"/>
      <c r="EY471" s="703"/>
      <c r="EZ471" s="703"/>
      <c r="FA471" s="703"/>
      <c r="FB471" s="703"/>
      <c r="FC471" s="703"/>
      <c r="FD471" s="703"/>
      <c r="FE471" s="703"/>
      <c r="FF471" s="703"/>
      <c r="FG471" s="703"/>
      <c r="FH471" s="703"/>
      <c r="FI471" s="703"/>
      <c r="FJ471" s="703"/>
      <c r="FK471" s="703"/>
      <c r="FL471" s="703"/>
      <c r="FM471" s="703"/>
      <c r="FN471" s="703"/>
      <c r="FO471" s="703"/>
      <c r="FP471" s="703"/>
      <c r="FQ471" s="704"/>
    </row>
    <row r="472" spans="1:177" s="706" customFormat="1">
      <c r="A472" s="700"/>
      <c r="B472" s="700"/>
      <c r="C472" s="701" t="s">
        <v>3855</v>
      </c>
      <c r="D472" s="701"/>
      <c r="E472" s="703">
        <v>26.2</v>
      </c>
      <c r="F472" s="703"/>
      <c r="G472" s="703"/>
      <c r="H472" s="703"/>
      <c r="I472" s="703">
        <f t="shared" si="144"/>
        <v>26.2</v>
      </c>
      <c r="J472" s="703"/>
      <c r="K472" s="703"/>
      <c r="L472" s="703"/>
      <c r="M472" s="703"/>
      <c r="N472" s="703"/>
      <c r="O472" s="703"/>
      <c r="P472" s="703"/>
      <c r="Q472" s="703"/>
      <c r="R472" s="704"/>
      <c r="S472" s="704"/>
      <c r="T472" s="703"/>
      <c r="U472" s="703" t="s">
        <v>1631</v>
      </c>
      <c r="V472" s="703"/>
      <c r="W472" s="703"/>
      <c r="X472" s="703"/>
      <c r="Y472" s="703"/>
      <c r="Z472" s="703"/>
      <c r="AA472" s="703"/>
      <c r="AB472" s="703"/>
      <c r="AC472" s="703"/>
      <c r="AD472" s="703"/>
      <c r="AE472" s="766"/>
      <c r="AF472" s="960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>
        <f t="shared" si="138"/>
        <v>1</v>
      </c>
      <c r="AX472" s="703"/>
      <c r="AY472" s="703"/>
      <c r="AZ472" s="703">
        <f t="shared" si="139"/>
        <v>1</v>
      </c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>
        <f t="shared" si="140"/>
        <v>2</v>
      </c>
      <c r="BK472" s="703"/>
      <c r="BL472" s="703"/>
      <c r="BM472" s="703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  <c r="BX472" s="703"/>
      <c r="BY472" s="703"/>
      <c r="BZ472" s="703"/>
      <c r="CA472" s="703"/>
      <c r="CB472" s="703"/>
      <c r="CC472" s="703"/>
      <c r="CD472" s="703">
        <f t="shared" si="137"/>
        <v>2</v>
      </c>
      <c r="CE472" s="703"/>
      <c r="CF472" s="703"/>
      <c r="CG472" s="703"/>
      <c r="CH472" s="703"/>
      <c r="CI472" s="703"/>
      <c r="CJ472" s="703"/>
      <c r="CK472" s="703"/>
      <c r="CL472" s="703">
        <f t="shared" si="143"/>
        <v>0</v>
      </c>
      <c r="CM472" s="703"/>
      <c r="CN472" s="703"/>
      <c r="CO472" s="703"/>
      <c r="CP472" s="703"/>
      <c r="CQ472" s="703"/>
      <c r="CR472" s="703"/>
      <c r="CS472" s="703"/>
      <c r="CT472" s="703"/>
      <c r="CU472" s="703"/>
      <c r="CV472" s="703"/>
      <c r="CW472" s="703"/>
      <c r="CX472" s="703"/>
      <c r="CY472" s="703"/>
      <c r="CZ472" s="703"/>
      <c r="DA472" s="703">
        <v>2</v>
      </c>
      <c r="DB472" s="703"/>
      <c r="DC472" s="703"/>
      <c r="DD472" s="703"/>
      <c r="DE472" s="703"/>
      <c r="DF472" s="703"/>
      <c r="DG472" s="705"/>
      <c r="DH472" s="705"/>
      <c r="DI472" s="705"/>
      <c r="DJ472" s="705"/>
      <c r="DK472" s="705"/>
      <c r="DL472" s="705"/>
      <c r="DM472" s="705"/>
      <c r="DN472" s="705"/>
      <c r="DO472" s="705"/>
      <c r="DP472" s="705"/>
      <c r="DQ472" s="705"/>
      <c r="DR472" s="705"/>
      <c r="DS472" s="703"/>
      <c r="DT472" s="703"/>
      <c r="DU472" s="703"/>
      <c r="DV472" s="703"/>
      <c r="DW472" s="703"/>
      <c r="DX472" s="703"/>
      <c r="DY472" s="703"/>
      <c r="DZ472" s="703"/>
      <c r="EA472" s="703"/>
      <c r="EB472" s="703"/>
      <c r="EC472" s="703"/>
      <c r="ED472" s="703"/>
      <c r="EE472" s="703"/>
      <c r="EF472" s="703"/>
      <c r="EG472" s="703"/>
      <c r="EH472" s="703"/>
      <c r="EI472" s="703"/>
      <c r="EJ472" s="703"/>
      <c r="EK472" s="703"/>
      <c r="EL472" s="703"/>
      <c r="EM472" s="703"/>
      <c r="EN472" s="703"/>
      <c r="EO472" s="703"/>
      <c r="EP472" s="703"/>
      <c r="EQ472" s="703"/>
      <c r="ER472" s="703"/>
      <c r="ES472" s="703"/>
      <c r="ET472" s="703"/>
      <c r="EU472" s="703"/>
      <c r="EV472" s="703"/>
      <c r="EW472" s="703"/>
      <c r="EX472" s="703"/>
      <c r="EY472" s="703"/>
      <c r="EZ472" s="703"/>
      <c r="FA472" s="703"/>
      <c r="FB472" s="703"/>
      <c r="FC472" s="703"/>
      <c r="FD472" s="703"/>
      <c r="FE472" s="703"/>
      <c r="FF472" s="703"/>
      <c r="FG472" s="703"/>
      <c r="FH472" s="703"/>
      <c r="FI472" s="703"/>
      <c r="FJ472" s="703"/>
      <c r="FK472" s="703"/>
      <c r="FL472" s="703"/>
      <c r="FM472" s="703"/>
      <c r="FN472" s="703"/>
      <c r="FO472" s="703"/>
      <c r="FP472" s="703"/>
      <c r="FQ472" s="704"/>
    </row>
    <row r="473" spans="1:177" s="706" customFormat="1">
      <c r="A473" s="700"/>
      <c r="B473" s="700"/>
      <c r="C473" s="701" t="s">
        <v>3856</v>
      </c>
      <c r="D473" s="701"/>
      <c r="E473" s="703">
        <v>41.8</v>
      </c>
      <c r="F473" s="703"/>
      <c r="G473" s="703"/>
      <c r="H473" s="703"/>
      <c r="I473" s="703">
        <f t="shared" si="144"/>
        <v>41.8</v>
      </c>
      <c r="J473" s="703"/>
      <c r="K473" s="703"/>
      <c r="L473" s="703"/>
      <c r="M473" s="703"/>
      <c r="N473" s="703"/>
      <c r="O473" s="703"/>
      <c r="P473" s="703"/>
      <c r="Q473" s="703"/>
      <c r="R473" s="704"/>
      <c r="S473" s="704"/>
      <c r="T473" s="703"/>
      <c r="U473" s="703" t="s">
        <v>1631</v>
      </c>
      <c r="V473" s="703"/>
      <c r="W473" s="703"/>
      <c r="X473" s="703"/>
      <c r="Y473" s="703"/>
      <c r="Z473" s="703"/>
      <c r="AA473" s="703"/>
      <c r="AB473" s="703"/>
      <c r="AC473" s="703"/>
      <c r="AD473" s="703"/>
      <c r="AE473" s="766"/>
      <c r="AF473" s="960"/>
      <c r="AG473" s="703"/>
      <c r="AH473" s="703"/>
      <c r="AI473" s="703"/>
      <c r="AJ473" s="703"/>
      <c r="AK473" s="703"/>
      <c r="AL473" s="703"/>
      <c r="AM473" s="703"/>
      <c r="AN473" s="703"/>
      <c r="AO473" s="703"/>
      <c r="AP473" s="703"/>
      <c r="AQ473" s="703"/>
      <c r="AR473" s="703"/>
      <c r="AS473" s="703"/>
      <c r="AT473" s="703"/>
      <c r="AU473" s="703"/>
      <c r="AV473" s="703"/>
      <c r="AW473" s="703">
        <f t="shared" si="138"/>
        <v>1</v>
      </c>
      <c r="AX473" s="703"/>
      <c r="AY473" s="703"/>
      <c r="AZ473" s="703">
        <f t="shared" si="139"/>
        <v>1</v>
      </c>
      <c r="BA473" s="703"/>
      <c r="BB473" s="703"/>
      <c r="BC473" s="703"/>
      <c r="BD473" s="703"/>
      <c r="BE473" s="703"/>
      <c r="BF473" s="703"/>
      <c r="BG473" s="703"/>
      <c r="BH473" s="703"/>
      <c r="BI473" s="703"/>
      <c r="BJ473" s="703">
        <f t="shared" si="140"/>
        <v>1</v>
      </c>
      <c r="BK473" s="703"/>
      <c r="BL473" s="703"/>
      <c r="BM473" s="703"/>
      <c r="BN473" s="703"/>
      <c r="BO473" s="703"/>
      <c r="BP473" s="703"/>
      <c r="BQ473" s="703"/>
      <c r="BR473" s="703"/>
      <c r="BS473" s="703"/>
      <c r="BT473" s="703"/>
      <c r="BU473" s="703"/>
      <c r="BV473" s="703"/>
      <c r="BW473" s="703"/>
      <c r="BX473" s="703"/>
      <c r="BY473" s="703"/>
      <c r="BZ473" s="703"/>
      <c r="CA473" s="703"/>
      <c r="CB473" s="703"/>
      <c r="CC473" s="703"/>
      <c r="CD473" s="703">
        <f t="shared" si="137"/>
        <v>1</v>
      </c>
      <c r="CE473" s="703"/>
      <c r="CF473" s="703"/>
      <c r="CG473" s="703"/>
      <c r="CH473" s="703"/>
      <c r="CI473" s="703"/>
      <c r="CJ473" s="703"/>
      <c r="CK473" s="703"/>
      <c r="CL473" s="703">
        <f t="shared" si="143"/>
        <v>0</v>
      </c>
      <c r="CM473" s="703"/>
      <c r="CN473" s="703"/>
      <c r="CO473" s="703"/>
      <c r="CP473" s="703"/>
      <c r="CQ473" s="703"/>
      <c r="CR473" s="703"/>
      <c r="CS473" s="703"/>
      <c r="CT473" s="703"/>
      <c r="CU473" s="703"/>
      <c r="CV473" s="703"/>
      <c r="CW473" s="703"/>
      <c r="CX473" s="703"/>
      <c r="CY473" s="703"/>
      <c r="CZ473" s="703"/>
      <c r="DA473" s="703">
        <v>1</v>
      </c>
      <c r="DB473" s="703"/>
      <c r="DC473" s="703"/>
      <c r="DD473" s="703"/>
      <c r="DE473" s="703"/>
      <c r="DF473" s="703"/>
      <c r="DG473" s="705"/>
      <c r="DH473" s="705"/>
      <c r="DI473" s="705"/>
      <c r="DJ473" s="705"/>
      <c r="DK473" s="705"/>
      <c r="DL473" s="705"/>
      <c r="DM473" s="705"/>
      <c r="DN473" s="705"/>
      <c r="DO473" s="705"/>
      <c r="DP473" s="705"/>
      <c r="DQ473" s="705"/>
      <c r="DR473" s="705"/>
      <c r="DS473" s="703"/>
      <c r="DT473" s="703"/>
      <c r="DU473" s="703"/>
      <c r="DV473" s="703"/>
      <c r="DW473" s="703"/>
      <c r="DX473" s="703"/>
      <c r="DY473" s="703"/>
      <c r="DZ473" s="703"/>
      <c r="EA473" s="703"/>
      <c r="EB473" s="703"/>
      <c r="EC473" s="703"/>
      <c r="ED473" s="703"/>
      <c r="EE473" s="703"/>
      <c r="EF473" s="703"/>
      <c r="EG473" s="703"/>
      <c r="EH473" s="703"/>
      <c r="EI473" s="703"/>
      <c r="EJ473" s="703"/>
      <c r="EK473" s="703"/>
      <c r="EL473" s="703"/>
      <c r="EM473" s="703"/>
      <c r="EN473" s="703"/>
      <c r="EO473" s="703"/>
      <c r="EP473" s="703"/>
      <c r="EQ473" s="703"/>
      <c r="ER473" s="703"/>
      <c r="ES473" s="703"/>
      <c r="ET473" s="703"/>
      <c r="EU473" s="703"/>
      <c r="EV473" s="703"/>
      <c r="EW473" s="703"/>
      <c r="EX473" s="703"/>
      <c r="EY473" s="703"/>
      <c r="EZ473" s="703"/>
      <c r="FA473" s="703"/>
      <c r="FB473" s="703"/>
      <c r="FC473" s="703"/>
      <c r="FD473" s="703"/>
      <c r="FE473" s="703"/>
      <c r="FF473" s="703"/>
      <c r="FG473" s="703"/>
      <c r="FH473" s="703"/>
      <c r="FI473" s="703"/>
      <c r="FJ473" s="703"/>
      <c r="FK473" s="703"/>
      <c r="FL473" s="703"/>
      <c r="FM473" s="703"/>
      <c r="FN473" s="703"/>
      <c r="FO473" s="703"/>
      <c r="FP473" s="703"/>
      <c r="FQ473" s="704"/>
    </row>
    <row r="474" spans="1:177" s="706" customFormat="1">
      <c r="A474" s="700"/>
      <c r="B474" s="700"/>
      <c r="C474" s="701" t="s">
        <v>3857</v>
      </c>
      <c r="D474" s="701"/>
      <c r="E474" s="703">
        <v>34.5</v>
      </c>
      <c r="F474" s="703"/>
      <c r="G474" s="703"/>
      <c r="H474" s="703"/>
      <c r="I474" s="703">
        <f t="shared" si="144"/>
        <v>34.5</v>
      </c>
      <c r="J474" s="703"/>
      <c r="K474" s="703"/>
      <c r="L474" s="703"/>
      <c r="M474" s="703"/>
      <c r="N474" s="703"/>
      <c r="O474" s="703"/>
      <c r="P474" s="703"/>
      <c r="Q474" s="703"/>
      <c r="R474" s="704"/>
      <c r="S474" s="704"/>
      <c r="T474" s="703"/>
      <c r="U474" s="703" t="s">
        <v>1631</v>
      </c>
      <c r="V474" s="703"/>
      <c r="W474" s="703"/>
      <c r="X474" s="703"/>
      <c r="Y474" s="703"/>
      <c r="Z474" s="703"/>
      <c r="AA474" s="703"/>
      <c r="AB474" s="703"/>
      <c r="AC474" s="703"/>
      <c r="AD474" s="703"/>
      <c r="AE474" s="766"/>
      <c r="AF474" s="960"/>
      <c r="AG474" s="703"/>
      <c r="AH474" s="703"/>
      <c r="AI474" s="703"/>
      <c r="AJ474" s="703"/>
      <c r="AK474" s="703"/>
      <c r="AL474" s="703"/>
      <c r="AM474" s="703"/>
      <c r="AN474" s="703"/>
      <c r="AO474" s="703"/>
      <c r="AP474" s="703"/>
      <c r="AQ474" s="703"/>
      <c r="AR474" s="703"/>
      <c r="AS474" s="703"/>
      <c r="AT474" s="703"/>
      <c r="AU474" s="703"/>
      <c r="AV474" s="703"/>
      <c r="AW474" s="703">
        <f t="shared" si="138"/>
        <v>1</v>
      </c>
      <c r="AX474" s="703"/>
      <c r="AY474" s="703"/>
      <c r="AZ474" s="703">
        <f t="shared" si="139"/>
        <v>1</v>
      </c>
      <c r="BA474" s="703"/>
      <c r="BB474" s="703"/>
      <c r="BC474" s="703"/>
      <c r="BD474" s="703"/>
      <c r="BE474" s="703"/>
      <c r="BF474" s="703"/>
      <c r="BG474" s="703"/>
      <c r="BH474" s="703"/>
      <c r="BI474" s="703"/>
      <c r="BJ474" s="703">
        <f t="shared" si="140"/>
        <v>0</v>
      </c>
      <c r="BK474" s="703"/>
      <c r="BL474" s="703"/>
      <c r="BM474" s="703"/>
      <c r="BN474" s="703"/>
      <c r="BO474" s="703"/>
      <c r="BP474" s="703"/>
      <c r="BQ474" s="703"/>
      <c r="BR474" s="703"/>
      <c r="BS474" s="703"/>
      <c r="BT474" s="703"/>
      <c r="BU474" s="703"/>
      <c r="BV474" s="703"/>
      <c r="BW474" s="703"/>
      <c r="BX474" s="703"/>
      <c r="BY474" s="703"/>
      <c r="BZ474" s="703"/>
      <c r="CA474" s="703"/>
      <c r="CB474" s="703"/>
      <c r="CC474" s="703"/>
      <c r="CD474" s="703">
        <f t="shared" si="137"/>
        <v>0</v>
      </c>
      <c r="CE474" s="703"/>
      <c r="CF474" s="703"/>
      <c r="CG474" s="703"/>
      <c r="CH474" s="703"/>
      <c r="CI474" s="703"/>
      <c r="CJ474" s="703"/>
      <c r="CK474" s="703"/>
      <c r="CL474" s="703">
        <f t="shared" si="143"/>
        <v>2</v>
      </c>
      <c r="CM474" s="703"/>
      <c r="CN474" s="703"/>
      <c r="CO474" s="703"/>
      <c r="CP474" s="703"/>
      <c r="CQ474" s="703"/>
      <c r="CR474" s="703"/>
      <c r="CS474" s="703"/>
      <c r="CT474" s="703"/>
      <c r="CU474" s="703"/>
      <c r="CV474" s="703"/>
      <c r="CW474" s="703"/>
      <c r="CX474" s="703"/>
      <c r="CY474" s="703"/>
      <c r="CZ474" s="703">
        <v>1</v>
      </c>
      <c r="DA474" s="703"/>
      <c r="DB474" s="703"/>
      <c r="DC474" s="703"/>
      <c r="DD474" s="703"/>
      <c r="DE474" s="703"/>
      <c r="DF474" s="703"/>
      <c r="DG474" s="705"/>
      <c r="DH474" s="705"/>
      <c r="DI474" s="705"/>
      <c r="DJ474" s="705"/>
      <c r="DK474" s="705"/>
      <c r="DL474" s="705"/>
      <c r="DM474" s="705"/>
      <c r="DN474" s="705"/>
      <c r="DO474" s="705"/>
      <c r="DP474" s="705"/>
      <c r="DQ474" s="705"/>
      <c r="DR474" s="705"/>
      <c r="DS474" s="703"/>
      <c r="DT474" s="703"/>
      <c r="DU474" s="703"/>
      <c r="DV474" s="703"/>
      <c r="DW474" s="703"/>
      <c r="DX474" s="703"/>
      <c r="DY474" s="703"/>
      <c r="DZ474" s="703"/>
      <c r="EA474" s="703"/>
      <c r="EB474" s="703"/>
      <c r="EC474" s="703"/>
      <c r="ED474" s="703"/>
      <c r="EE474" s="703"/>
      <c r="EF474" s="703"/>
      <c r="EG474" s="703"/>
      <c r="EH474" s="703"/>
      <c r="EI474" s="703"/>
      <c r="EJ474" s="703"/>
      <c r="EK474" s="703"/>
      <c r="EL474" s="703"/>
      <c r="EM474" s="703"/>
      <c r="EN474" s="703"/>
      <c r="EO474" s="703"/>
      <c r="EP474" s="703"/>
      <c r="EQ474" s="703"/>
      <c r="ER474" s="703"/>
      <c r="ES474" s="703"/>
      <c r="ET474" s="703"/>
      <c r="EU474" s="703"/>
      <c r="EV474" s="703"/>
      <c r="EW474" s="703"/>
      <c r="EX474" s="703"/>
      <c r="EY474" s="703"/>
      <c r="EZ474" s="703"/>
      <c r="FA474" s="703"/>
      <c r="FB474" s="703"/>
      <c r="FC474" s="703"/>
      <c r="FD474" s="703"/>
      <c r="FE474" s="703"/>
      <c r="FF474" s="703"/>
      <c r="FG474" s="703"/>
      <c r="FH474" s="703"/>
      <c r="FI474" s="703"/>
      <c r="FJ474" s="703"/>
      <c r="FK474" s="703"/>
      <c r="FL474" s="703"/>
      <c r="FM474" s="703"/>
      <c r="FN474" s="703"/>
      <c r="FO474" s="703"/>
      <c r="FP474" s="703"/>
      <c r="FQ474" s="704"/>
    </row>
    <row r="475" spans="1:177" s="706" customFormat="1">
      <c r="A475" s="700"/>
      <c r="B475" s="700"/>
      <c r="C475" s="701" t="s">
        <v>3858</v>
      </c>
      <c r="D475" s="701"/>
      <c r="E475" s="703">
        <v>33.200000000000003</v>
      </c>
      <c r="F475" s="703"/>
      <c r="G475" s="703"/>
      <c r="H475" s="703"/>
      <c r="I475" s="703">
        <f t="shared" si="144"/>
        <v>33.200000000000003</v>
      </c>
      <c r="J475" s="703"/>
      <c r="K475" s="703"/>
      <c r="L475" s="703"/>
      <c r="M475" s="703"/>
      <c r="N475" s="703"/>
      <c r="O475" s="703"/>
      <c r="P475" s="703"/>
      <c r="Q475" s="703"/>
      <c r="R475" s="704"/>
      <c r="S475" s="704"/>
      <c r="T475" s="703"/>
      <c r="U475" s="703" t="s">
        <v>1631</v>
      </c>
      <c r="V475" s="703"/>
      <c r="W475" s="703"/>
      <c r="X475" s="703"/>
      <c r="Y475" s="703"/>
      <c r="Z475" s="703"/>
      <c r="AA475" s="703"/>
      <c r="AB475" s="703"/>
      <c r="AC475" s="703"/>
      <c r="AD475" s="703"/>
      <c r="AE475" s="766"/>
      <c r="AF475" s="960"/>
      <c r="AG475" s="703"/>
      <c r="AH475" s="703"/>
      <c r="AI475" s="703"/>
      <c r="AJ475" s="703"/>
      <c r="AK475" s="703"/>
      <c r="AL475" s="703"/>
      <c r="AM475" s="703"/>
      <c r="AN475" s="703"/>
      <c r="AO475" s="703"/>
      <c r="AP475" s="703"/>
      <c r="AQ475" s="703"/>
      <c r="AR475" s="703"/>
      <c r="AS475" s="703"/>
      <c r="AT475" s="703"/>
      <c r="AU475" s="703"/>
      <c r="AV475" s="703"/>
      <c r="AW475" s="703">
        <f t="shared" si="138"/>
        <v>1</v>
      </c>
      <c r="AX475" s="703"/>
      <c r="AY475" s="703"/>
      <c r="AZ475" s="703">
        <f t="shared" si="139"/>
        <v>1</v>
      </c>
      <c r="BA475" s="703"/>
      <c r="BB475" s="703"/>
      <c r="BC475" s="703"/>
      <c r="BD475" s="703"/>
      <c r="BE475" s="703"/>
      <c r="BF475" s="703"/>
      <c r="BG475" s="703"/>
      <c r="BH475" s="703"/>
      <c r="BI475" s="703"/>
      <c r="BJ475" s="703">
        <f t="shared" si="140"/>
        <v>1</v>
      </c>
      <c r="BK475" s="703"/>
      <c r="BL475" s="703"/>
      <c r="BM475" s="703"/>
      <c r="BN475" s="703"/>
      <c r="BO475" s="703"/>
      <c r="BP475" s="703"/>
      <c r="BQ475" s="703"/>
      <c r="BR475" s="703"/>
      <c r="BS475" s="703"/>
      <c r="BT475" s="703"/>
      <c r="BU475" s="703"/>
      <c r="BV475" s="703"/>
      <c r="BW475" s="703"/>
      <c r="BX475" s="703"/>
      <c r="BY475" s="703"/>
      <c r="BZ475" s="703"/>
      <c r="CA475" s="703"/>
      <c r="CB475" s="703"/>
      <c r="CC475" s="703"/>
      <c r="CD475" s="703">
        <f t="shared" si="137"/>
        <v>1</v>
      </c>
      <c r="CE475" s="703"/>
      <c r="CF475" s="703"/>
      <c r="CG475" s="703"/>
      <c r="CH475" s="703"/>
      <c r="CI475" s="703"/>
      <c r="CJ475" s="703"/>
      <c r="CK475" s="703"/>
      <c r="CL475" s="703">
        <f t="shared" si="143"/>
        <v>0</v>
      </c>
      <c r="CM475" s="703"/>
      <c r="CN475" s="703"/>
      <c r="CO475" s="703"/>
      <c r="CP475" s="703"/>
      <c r="CQ475" s="703"/>
      <c r="CR475" s="703"/>
      <c r="CS475" s="703"/>
      <c r="CT475" s="703"/>
      <c r="CU475" s="703"/>
      <c r="CV475" s="703"/>
      <c r="CW475" s="703"/>
      <c r="CX475" s="703"/>
      <c r="CY475" s="703"/>
      <c r="CZ475" s="703"/>
      <c r="DA475" s="703">
        <v>1</v>
      </c>
      <c r="DB475" s="703"/>
      <c r="DC475" s="703"/>
      <c r="DD475" s="703"/>
      <c r="DE475" s="703"/>
      <c r="DF475" s="703"/>
      <c r="DG475" s="705"/>
      <c r="DH475" s="705"/>
      <c r="DI475" s="705"/>
      <c r="DJ475" s="705"/>
      <c r="DK475" s="705"/>
      <c r="DL475" s="705"/>
      <c r="DM475" s="705"/>
      <c r="DN475" s="705"/>
      <c r="DO475" s="705"/>
      <c r="DP475" s="705"/>
      <c r="DQ475" s="705"/>
      <c r="DR475" s="705"/>
      <c r="DS475" s="703"/>
      <c r="DT475" s="703"/>
      <c r="DU475" s="703"/>
      <c r="DV475" s="703"/>
      <c r="DW475" s="703"/>
      <c r="DX475" s="703"/>
      <c r="DY475" s="703"/>
      <c r="DZ475" s="703"/>
      <c r="EA475" s="703"/>
      <c r="EB475" s="703"/>
      <c r="EC475" s="703"/>
      <c r="ED475" s="703"/>
      <c r="EE475" s="703"/>
      <c r="EF475" s="703"/>
      <c r="EG475" s="703"/>
      <c r="EH475" s="703"/>
      <c r="EI475" s="703"/>
      <c r="EJ475" s="703"/>
      <c r="EK475" s="703"/>
      <c r="EL475" s="703"/>
      <c r="EM475" s="703"/>
      <c r="EN475" s="703"/>
      <c r="EO475" s="703"/>
      <c r="EP475" s="703"/>
      <c r="EQ475" s="703"/>
      <c r="ER475" s="703"/>
      <c r="ES475" s="703"/>
      <c r="ET475" s="703"/>
      <c r="EU475" s="703"/>
      <c r="EV475" s="703"/>
      <c r="EW475" s="703"/>
      <c r="EX475" s="703"/>
      <c r="EY475" s="703"/>
      <c r="EZ475" s="703"/>
      <c r="FA475" s="703"/>
      <c r="FB475" s="703"/>
      <c r="FC475" s="703"/>
      <c r="FD475" s="703"/>
      <c r="FE475" s="703"/>
      <c r="FF475" s="703"/>
      <c r="FG475" s="703"/>
      <c r="FH475" s="703"/>
      <c r="FI475" s="703"/>
      <c r="FJ475" s="703"/>
      <c r="FK475" s="703"/>
      <c r="FL475" s="703"/>
      <c r="FM475" s="703"/>
      <c r="FN475" s="703"/>
      <c r="FO475" s="703"/>
      <c r="FP475" s="703"/>
      <c r="FQ475" s="704"/>
    </row>
    <row r="476" spans="1:177" s="706" customFormat="1">
      <c r="A476" s="700"/>
      <c r="B476" s="700"/>
      <c r="C476" s="701" t="s">
        <v>3859</v>
      </c>
      <c r="D476" s="701"/>
      <c r="E476" s="703">
        <v>41.1</v>
      </c>
      <c r="F476" s="703"/>
      <c r="G476" s="703"/>
      <c r="H476" s="703"/>
      <c r="I476" s="703">
        <f t="shared" si="144"/>
        <v>41.1</v>
      </c>
      <c r="J476" s="703"/>
      <c r="K476" s="703"/>
      <c r="L476" s="703"/>
      <c r="M476" s="703"/>
      <c r="N476" s="703"/>
      <c r="O476" s="703"/>
      <c r="P476" s="703"/>
      <c r="Q476" s="703"/>
      <c r="R476" s="704"/>
      <c r="S476" s="704"/>
      <c r="T476" s="703"/>
      <c r="U476" s="703" t="s">
        <v>1631</v>
      </c>
      <c r="V476" s="703"/>
      <c r="W476" s="703"/>
      <c r="X476" s="703"/>
      <c r="Y476" s="703"/>
      <c r="Z476" s="703"/>
      <c r="AA476" s="703"/>
      <c r="AB476" s="703"/>
      <c r="AC476" s="703"/>
      <c r="AD476" s="703"/>
      <c r="AE476" s="766"/>
      <c r="AF476" s="960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>
        <f t="shared" si="138"/>
        <v>1</v>
      </c>
      <c r="AX476" s="703"/>
      <c r="AY476" s="703"/>
      <c r="AZ476" s="703">
        <f t="shared" si="139"/>
        <v>1</v>
      </c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>
        <f t="shared" si="140"/>
        <v>1</v>
      </c>
      <c r="BK476" s="703"/>
      <c r="BL476" s="703"/>
      <c r="BM476" s="703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  <c r="BX476" s="703"/>
      <c r="BY476" s="703"/>
      <c r="BZ476" s="703"/>
      <c r="CA476" s="703"/>
      <c r="CB476" s="703"/>
      <c r="CC476" s="703"/>
      <c r="CD476" s="703">
        <f t="shared" si="137"/>
        <v>1</v>
      </c>
      <c r="CE476" s="703"/>
      <c r="CF476" s="703"/>
      <c r="CG476" s="703"/>
      <c r="CH476" s="703"/>
      <c r="CI476" s="703"/>
      <c r="CJ476" s="703"/>
      <c r="CK476" s="703"/>
      <c r="CL476" s="703">
        <f t="shared" si="143"/>
        <v>0</v>
      </c>
      <c r="CM476" s="703"/>
      <c r="CN476" s="703"/>
      <c r="CO476" s="703"/>
      <c r="CP476" s="703"/>
      <c r="CQ476" s="703"/>
      <c r="CR476" s="703"/>
      <c r="CS476" s="703"/>
      <c r="CT476" s="703"/>
      <c r="CU476" s="703"/>
      <c r="CV476" s="703"/>
      <c r="CW476" s="703"/>
      <c r="CX476" s="703"/>
      <c r="CY476" s="703"/>
      <c r="CZ476" s="703"/>
      <c r="DA476" s="703">
        <v>1</v>
      </c>
      <c r="DB476" s="703"/>
      <c r="DC476" s="703"/>
      <c r="DD476" s="703"/>
      <c r="DE476" s="703"/>
      <c r="DF476" s="703"/>
      <c r="DG476" s="705"/>
      <c r="DH476" s="705"/>
      <c r="DI476" s="705"/>
      <c r="DJ476" s="705"/>
      <c r="DK476" s="705"/>
      <c r="DL476" s="705"/>
      <c r="DM476" s="705"/>
      <c r="DN476" s="705"/>
      <c r="DO476" s="705"/>
      <c r="DP476" s="705"/>
      <c r="DQ476" s="705"/>
      <c r="DR476" s="705"/>
      <c r="DS476" s="703"/>
      <c r="DT476" s="703"/>
      <c r="DU476" s="703"/>
      <c r="DV476" s="703"/>
      <c r="DW476" s="703"/>
      <c r="DX476" s="703"/>
      <c r="DY476" s="703"/>
      <c r="DZ476" s="703"/>
      <c r="EA476" s="703"/>
      <c r="EB476" s="703"/>
      <c r="EC476" s="703"/>
      <c r="ED476" s="703"/>
      <c r="EE476" s="703"/>
      <c r="EF476" s="703"/>
      <c r="EG476" s="703"/>
      <c r="EH476" s="703"/>
      <c r="EI476" s="703"/>
      <c r="EJ476" s="703"/>
      <c r="EK476" s="703"/>
      <c r="EL476" s="703"/>
      <c r="EM476" s="703"/>
      <c r="EN476" s="703"/>
      <c r="EO476" s="703"/>
      <c r="EP476" s="703"/>
      <c r="EQ476" s="703"/>
      <c r="ER476" s="703"/>
      <c r="ES476" s="703"/>
      <c r="ET476" s="703"/>
      <c r="EU476" s="703"/>
      <c r="EV476" s="703"/>
      <c r="EW476" s="703"/>
      <c r="EX476" s="703"/>
      <c r="EY476" s="703"/>
      <c r="EZ476" s="703"/>
      <c r="FA476" s="703"/>
      <c r="FB476" s="703"/>
      <c r="FC476" s="703"/>
      <c r="FD476" s="703"/>
      <c r="FE476" s="703"/>
      <c r="FF476" s="703"/>
      <c r="FG476" s="703"/>
      <c r="FH476" s="703"/>
      <c r="FI476" s="703"/>
      <c r="FJ476" s="703"/>
      <c r="FK476" s="703"/>
      <c r="FL476" s="703"/>
      <c r="FM476" s="703"/>
      <c r="FN476" s="703"/>
      <c r="FO476" s="703"/>
      <c r="FP476" s="703"/>
      <c r="FQ476" s="704"/>
    </row>
    <row r="477" spans="1:177" s="706" customFormat="1">
      <c r="A477" s="700"/>
      <c r="B477" s="700"/>
      <c r="C477" s="701" t="s">
        <v>3860</v>
      </c>
      <c r="D477" s="701"/>
      <c r="E477" s="703">
        <v>41.2</v>
      </c>
      <c r="F477" s="703"/>
      <c r="G477" s="703"/>
      <c r="H477" s="703"/>
      <c r="I477" s="703">
        <f t="shared" si="144"/>
        <v>41.2</v>
      </c>
      <c r="J477" s="703"/>
      <c r="K477" s="703"/>
      <c r="L477" s="703"/>
      <c r="M477" s="703"/>
      <c r="N477" s="703"/>
      <c r="O477" s="703"/>
      <c r="P477" s="703"/>
      <c r="Q477" s="703"/>
      <c r="R477" s="704"/>
      <c r="S477" s="704"/>
      <c r="T477" s="703"/>
      <c r="U477" s="703" t="s">
        <v>1631</v>
      </c>
      <c r="V477" s="703"/>
      <c r="W477" s="703"/>
      <c r="X477" s="703"/>
      <c r="Y477" s="703"/>
      <c r="Z477" s="703"/>
      <c r="AA477" s="703"/>
      <c r="AB477" s="703"/>
      <c r="AC477" s="703"/>
      <c r="AD477" s="703"/>
      <c r="AE477" s="766"/>
      <c r="AF477" s="960"/>
      <c r="AG477" s="703"/>
      <c r="AH477" s="703"/>
      <c r="AI477" s="703"/>
      <c r="AJ477" s="703"/>
      <c r="AK477" s="703"/>
      <c r="AL477" s="703"/>
      <c r="AM477" s="703"/>
      <c r="AN477" s="703"/>
      <c r="AO477" s="703"/>
      <c r="AP477" s="703"/>
      <c r="AQ477" s="703"/>
      <c r="AR477" s="703"/>
      <c r="AS477" s="703"/>
      <c r="AT477" s="703"/>
      <c r="AU477" s="703"/>
      <c r="AV477" s="703"/>
      <c r="AW477" s="703">
        <f t="shared" si="138"/>
        <v>1</v>
      </c>
      <c r="AX477" s="703"/>
      <c r="AY477" s="703"/>
      <c r="AZ477" s="703">
        <f t="shared" si="139"/>
        <v>1</v>
      </c>
      <c r="BA477" s="703"/>
      <c r="BB477" s="703"/>
      <c r="BC477" s="703"/>
      <c r="BD477" s="703"/>
      <c r="BE477" s="703"/>
      <c r="BF477" s="703"/>
      <c r="BG477" s="703"/>
      <c r="BH477" s="703"/>
      <c r="BI477" s="703"/>
      <c r="BJ477" s="703">
        <f t="shared" si="140"/>
        <v>0</v>
      </c>
      <c r="BK477" s="703"/>
      <c r="BL477" s="703"/>
      <c r="BM477" s="703"/>
      <c r="BN477" s="703"/>
      <c r="BO477" s="703"/>
      <c r="BP477" s="703"/>
      <c r="BQ477" s="703"/>
      <c r="BR477" s="703"/>
      <c r="BS477" s="703"/>
      <c r="BT477" s="703"/>
      <c r="BU477" s="703"/>
      <c r="BV477" s="703"/>
      <c r="BW477" s="703"/>
      <c r="BX477" s="703"/>
      <c r="BY477" s="703"/>
      <c r="BZ477" s="703"/>
      <c r="CA477" s="703"/>
      <c r="CB477" s="703"/>
      <c r="CC477" s="703"/>
      <c r="CD477" s="703">
        <f t="shared" si="137"/>
        <v>0</v>
      </c>
      <c r="CE477" s="703"/>
      <c r="CF477" s="703"/>
      <c r="CG477" s="703"/>
      <c r="CH477" s="703"/>
      <c r="CI477" s="703"/>
      <c r="CJ477" s="703"/>
      <c r="CK477" s="703"/>
      <c r="CL477" s="703">
        <f t="shared" si="143"/>
        <v>2</v>
      </c>
      <c r="CM477" s="703"/>
      <c r="CN477" s="703"/>
      <c r="CO477" s="703"/>
      <c r="CP477" s="703"/>
      <c r="CQ477" s="703"/>
      <c r="CR477" s="703"/>
      <c r="CS477" s="703"/>
      <c r="CT477" s="703"/>
      <c r="CU477" s="703"/>
      <c r="CV477" s="703"/>
      <c r="CW477" s="703"/>
      <c r="CX477" s="703"/>
      <c r="CY477" s="703"/>
      <c r="CZ477" s="703">
        <v>1</v>
      </c>
      <c r="DA477" s="703"/>
      <c r="DB477" s="703"/>
      <c r="DC477" s="703"/>
      <c r="DD477" s="703"/>
      <c r="DE477" s="703"/>
      <c r="DF477" s="703"/>
      <c r="DG477" s="705"/>
      <c r="DH477" s="705"/>
      <c r="DI477" s="705"/>
      <c r="DJ477" s="705"/>
      <c r="DK477" s="705"/>
      <c r="DL477" s="705"/>
      <c r="DM477" s="705"/>
      <c r="DN477" s="705"/>
      <c r="DO477" s="705"/>
      <c r="DP477" s="705"/>
      <c r="DQ477" s="705"/>
      <c r="DR477" s="705"/>
      <c r="DS477" s="703"/>
      <c r="DT477" s="703"/>
      <c r="DU477" s="703"/>
      <c r="DV477" s="703"/>
      <c r="DW477" s="703"/>
      <c r="DX477" s="703"/>
      <c r="DY477" s="703"/>
      <c r="DZ477" s="703"/>
      <c r="EA477" s="703"/>
      <c r="EB477" s="703"/>
      <c r="EC477" s="703"/>
      <c r="ED477" s="703"/>
      <c r="EE477" s="703"/>
      <c r="EF477" s="703"/>
      <c r="EG477" s="703"/>
      <c r="EH477" s="703"/>
      <c r="EI477" s="703"/>
      <c r="EJ477" s="703"/>
      <c r="EK477" s="703"/>
      <c r="EL477" s="703"/>
      <c r="EM477" s="703"/>
      <c r="EN477" s="703"/>
      <c r="EO477" s="703"/>
      <c r="EP477" s="703"/>
      <c r="EQ477" s="703"/>
      <c r="ER477" s="703"/>
      <c r="ES477" s="703"/>
      <c r="ET477" s="703"/>
      <c r="EU477" s="703"/>
      <c r="EV477" s="703"/>
      <c r="EW477" s="703"/>
      <c r="EX477" s="703"/>
      <c r="EY477" s="703"/>
      <c r="EZ477" s="703"/>
      <c r="FA477" s="703"/>
      <c r="FB477" s="703"/>
      <c r="FC477" s="703"/>
      <c r="FD477" s="703"/>
      <c r="FE477" s="703"/>
      <c r="FF477" s="703"/>
      <c r="FG477" s="703"/>
      <c r="FH477" s="703"/>
      <c r="FI477" s="703"/>
      <c r="FJ477" s="703"/>
      <c r="FK477" s="703"/>
      <c r="FL477" s="703"/>
      <c r="FM477" s="703"/>
      <c r="FN477" s="703"/>
      <c r="FO477" s="703"/>
      <c r="FP477" s="703"/>
      <c r="FQ477" s="704"/>
    </row>
    <row r="478" spans="1:177" s="706" customFormat="1">
      <c r="A478" s="700"/>
      <c r="B478" s="700"/>
      <c r="C478" s="701" t="s">
        <v>3840</v>
      </c>
      <c r="D478" s="701"/>
      <c r="E478" s="703">
        <v>49.1</v>
      </c>
      <c r="F478" s="703"/>
      <c r="G478" s="703"/>
      <c r="H478" s="703"/>
      <c r="I478" s="703">
        <f t="shared" si="144"/>
        <v>49.1</v>
      </c>
      <c r="J478" s="703"/>
      <c r="K478" s="703"/>
      <c r="L478" s="703"/>
      <c r="M478" s="703"/>
      <c r="N478" s="703"/>
      <c r="O478" s="703"/>
      <c r="P478" s="703"/>
      <c r="Q478" s="703"/>
      <c r="R478" s="704"/>
      <c r="S478" s="704"/>
      <c r="T478" s="703"/>
      <c r="U478" s="703" t="s">
        <v>2990</v>
      </c>
      <c r="V478" s="703"/>
      <c r="W478" s="703"/>
      <c r="X478" s="703"/>
      <c r="Y478" s="703"/>
      <c r="Z478" s="703"/>
      <c r="AA478" s="703"/>
      <c r="AB478" s="703"/>
      <c r="AC478" s="703"/>
      <c r="AD478" s="703"/>
      <c r="AE478" s="766"/>
      <c r="AF478" s="960"/>
      <c r="AG478" s="703"/>
      <c r="AH478" s="703"/>
      <c r="AI478" s="703"/>
      <c r="AJ478" s="703"/>
      <c r="AK478" s="703"/>
      <c r="AL478" s="703"/>
      <c r="AM478" s="703"/>
      <c r="AN478" s="703"/>
      <c r="AO478" s="703"/>
      <c r="AP478" s="703"/>
      <c r="AQ478" s="703"/>
      <c r="AR478" s="703"/>
      <c r="AS478" s="703"/>
      <c r="AT478" s="703"/>
      <c r="AU478" s="703"/>
      <c r="AV478" s="703"/>
      <c r="AW478" s="703">
        <f t="shared" si="138"/>
        <v>0</v>
      </c>
      <c r="AX478" s="703"/>
      <c r="AY478" s="703"/>
      <c r="AZ478" s="703">
        <f t="shared" si="139"/>
        <v>0</v>
      </c>
      <c r="BA478" s="703"/>
      <c r="BB478" s="703"/>
      <c r="BC478" s="703"/>
      <c r="BD478" s="703">
        <v>1</v>
      </c>
      <c r="BE478" s="703"/>
      <c r="BF478" s="703"/>
      <c r="BG478" s="703"/>
      <c r="BH478" s="703"/>
      <c r="BI478" s="703"/>
      <c r="BJ478" s="703">
        <f t="shared" si="140"/>
        <v>0</v>
      </c>
      <c r="BK478" s="703"/>
      <c r="BL478" s="703"/>
      <c r="BM478" s="703"/>
      <c r="BN478" s="703"/>
      <c r="BO478" s="703"/>
      <c r="BP478" s="703"/>
      <c r="BQ478" s="703"/>
      <c r="BR478" s="703"/>
      <c r="BS478" s="703"/>
      <c r="BT478" s="703"/>
      <c r="BU478" s="703"/>
      <c r="BV478" s="703">
        <v>1</v>
      </c>
      <c r="BW478" s="703"/>
      <c r="BX478" s="703"/>
      <c r="BY478" s="703"/>
      <c r="BZ478" s="703"/>
      <c r="CA478" s="703"/>
      <c r="CB478" s="703"/>
      <c r="CC478" s="703"/>
      <c r="CD478" s="703">
        <f>DA478</f>
        <v>0</v>
      </c>
      <c r="CE478" s="703"/>
      <c r="CF478" s="703"/>
      <c r="CG478" s="703"/>
      <c r="CH478" s="703"/>
      <c r="CI478" s="703"/>
      <c r="CJ478" s="703"/>
      <c r="CK478" s="703"/>
      <c r="CL478" s="703"/>
      <c r="CM478" s="703"/>
      <c r="CN478" s="703"/>
      <c r="CO478" s="703"/>
      <c r="CP478" s="703"/>
      <c r="CQ478" s="703"/>
      <c r="CR478" s="703"/>
      <c r="CS478" s="703"/>
      <c r="CT478" s="703"/>
      <c r="CU478" s="703"/>
      <c r="CV478" s="703"/>
      <c r="CW478" s="703"/>
      <c r="CX478" s="703"/>
      <c r="CY478" s="703"/>
      <c r="CZ478" s="703"/>
      <c r="DA478" s="703"/>
      <c r="DB478" s="703"/>
      <c r="DC478" s="703"/>
      <c r="DD478" s="703"/>
      <c r="DE478" s="703"/>
      <c r="DF478" s="703"/>
      <c r="DG478" s="705"/>
      <c r="DH478" s="705"/>
      <c r="DI478" s="705"/>
      <c r="DJ478" s="705"/>
      <c r="DK478" s="705"/>
      <c r="DL478" s="705"/>
      <c r="DM478" s="705"/>
      <c r="DN478" s="705"/>
      <c r="DO478" s="705"/>
      <c r="DP478" s="705"/>
      <c r="DQ478" s="705"/>
      <c r="DR478" s="705"/>
      <c r="DS478" s="703"/>
      <c r="DT478" s="703"/>
      <c r="DU478" s="703"/>
      <c r="DV478" s="703"/>
      <c r="DW478" s="703"/>
      <c r="DX478" s="703"/>
      <c r="DY478" s="703"/>
      <c r="DZ478" s="703"/>
      <c r="EA478" s="703"/>
      <c r="EB478" s="703"/>
      <c r="EC478" s="703"/>
      <c r="ED478" s="703"/>
      <c r="EE478" s="703"/>
      <c r="EF478" s="703"/>
      <c r="EG478" s="703"/>
      <c r="EH478" s="703"/>
      <c r="EI478" s="703"/>
      <c r="EJ478" s="703"/>
      <c r="EK478" s="703"/>
      <c r="EL478" s="703"/>
      <c r="EM478" s="703"/>
      <c r="EN478" s="703"/>
      <c r="EO478" s="703"/>
      <c r="EP478" s="703"/>
      <c r="EQ478" s="703"/>
      <c r="ER478" s="703"/>
      <c r="ES478" s="703"/>
      <c r="ET478" s="703"/>
      <c r="EU478" s="703"/>
      <c r="EV478" s="703"/>
      <c r="EW478" s="703"/>
      <c r="EX478" s="703"/>
      <c r="EY478" s="703"/>
      <c r="EZ478" s="703"/>
      <c r="FA478" s="703"/>
      <c r="FB478" s="703"/>
      <c r="FC478" s="703"/>
      <c r="FD478" s="703"/>
      <c r="FE478" s="703"/>
      <c r="FF478" s="703"/>
      <c r="FG478" s="703"/>
      <c r="FH478" s="703"/>
      <c r="FI478" s="703"/>
      <c r="FJ478" s="703"/>
      <c r="FK478" s="703"/>
      <c r="FL478" s="703"/>
      <c r="FM478" s="703"/>
      <c r="FN478" s="703"/>
      <c r="FO478" s="703"/>
      <c r="FP478" s="703"/>
      <c r="FQ478" s="704"/>
    </row>
    <row r="479" spans="1:177" s="4" customFormat="1">
      <c r="A479" s="486">
        <f>MATCH(C479,$C$5:$C$700,0)</f>
        <v>475</v>
      </c>
      <c r="B479" s="56"/>
      <c r="C479" s="507" t="s">
        <v>3077</v>
      </c>
      <c r="D479" s="507"/>
      <c r="E479" s="508">
        <f t="shared" ref="E479:AK479" si="145">SUM(E358:E478)</f>
        <v>3755.6999999999989</v>
      </c>
      <c r="F479" s="508">
        <f t="shared" si="145"/>
        <v>0</v>
      </c>
      <c r="G479" s="508">
        <f t="shared" si="145"/>
        <v>0</v>
      </c>
      <c r="H479" s="508">
        <f t="shared" si="145"/>
        <v>0</v>
      </c>
      <c r="I479" s="508">
        <f t="shared" si="145"/>
        <v>1806.7</v>
      </c>
      <c r="J479" s="508">
        <f t="shared" si="145"/>
        <v>0</v>
      </c>
      <c r="K479" s="508">
        <f t="shared" si="145"/>
        <v>0</v>
      </c>
      <c r="L479" s="508">
        <f t="shared" si="145"/>
        <v>0</v>
      </c>
      <c r="M479" s="508">
        <f t="shared" si="145"/>
        <v>0</v>
      </c>
      <c r="N479" s="508">
        <f t="shared" si="145"/>
        <v>0</v>
      </c>
      <c r="O479" s="508">
        <f t="shared" si="145"/>
        <v>386.50000000000006</v>
      </c>
      <c r="P479" s="508">
        <f t="shared" si="145"/>
        <v>1562.5</v>
      </c>
      <c r="Q479" s="508">
        <f t="shared" si="145"/>
        <v>0</v>
      </c>
      <c r="R479" s="508">
        <f t="shared" si="145"/>
        <v>0</v>
      </c>
      <c r="S479" s="508">
        <f t="shared" si="145"/>
        <v>0</v>
      </c>
      <c r="T479" s="509">
        <f t="shared" si="145"/>
        <v>0</v>
      </c>
      <c r="U479" s="509">
        <f t="shared" si="145"/>
        <v>0</v>
      </c>
      <c r="V479" s="509">
        <f t="shared" si="145"/>
        <v>5</v>
      </c>
      <c r="W479" s="509">
        <f t="shared" si="145"/>
        <v>4</v>
      </c>
      <c r="X479" s="509">
        <f t="shared" si="145"/>
        <v>0</v>
      </c>
      <c r="Y479" s="509">
        <f t="shared" si="145"/>
        <v>0</v>
      </c>
      <c r="Z479" s="509">
        <f t="shared" si="145"/>
        <v>0</v>
      </c>
      <c r="AA479" s="509">
        <f t="shared" si="145"/>
        <v>1</v>
      </c>
      <c r="AB479" s="509">
        <f t="shared" si="145"/>
        <v>0</v>
      </c>
      <c r="AC479" s="509">
        <f t="shared" si="145"/>
        <v>0</v>
      </c>
      <c r="AD479" s="509">
        <f t="shared" si="145"/>
        <v>0</v>
      </c>
      <c r="AE479" s="511">
        <f t="shared" si="145"/>
        <v>0</v>
      </c>
      <c r="AF479" s="958">
        <f t="shared" si="145"/>
        <v>4</v>
      </c>
      <c r="AG479" s="509">
        <f t="shared" si="145"/>
        <v>0</v>
      </c>
      <c r="AH479" s="509">
        <f t="shared" si="145"/>
        <v>0</v>
      </c>
      <c r="AI479" s="509">
        <f t="shared" si="145"/>
        <v>0</v>
      </c>
      <c r="AJ479" s="509">
        <f t="shared" si="145"/>
        <v>0</v>
      </c>
      <c r="AK479" s="509">
        <f t="shared" si="145"/>
        <v>0</v>
      </c>
      <c r="AL479" s="509">
        <f t="shared" ref="AL479:BQ479" si="146">SUM(AL358:AL478)</f>
        <v>0</v>
      </c>
      <c r="AM479" s="509">
        <f t="shared" si="146"/>
        <v>0</v>
      </c>
      <c r="AN479" s="509">
        <f t="shared" si="146"/>
        <v>0</v>
      </c>
      <c r="AO479" s="509">
        <f t="shared" si="146"/>
        <v>0</v>
      </c>
      <c r="AP479" s="509">
        <f t="shared" si="146"/>
        <v>0</v>
      </c>
      <c r="AQ479" s="509">
        <f t="shared" si="146"/>
        <v>0</v>
      </c>
      <c r="AR479" s="509">
        <f t="shared" si="146"/>
        <v>0</v>
      </c>
      <c r="AS479" s="509">
        <f t="shared" si="146"/>
        <v>0</v>
      </c>
      <c r="AT479" s="509">
        <f t="shared" si="146"/>
        <v>0</v>
      </c>
      <c r="AU479" s="509">
        <f t="shared" si="146"/>
        <v>11</v>
      </c>
      <c r="AV479" s="509">
        <f t="shared" si="146"/>
        <v>0</v>
      </c>
      <c r="AW479" s="509">
        <f t="shared" si="146"/>
        <v>60</v>
      </c>
      <c r="AX479" s="509">
        <f t="shared" si="146"/>
        <v>0</v>
      </c>
      <c r="AY479" s="509">
        <f t="shared" si="146"/>
        <v>0</v>
      </c>
      <c r="AZ479" s="509">
        <f t="shared" si="146"/>
        <v>65</v>
      </c>
      <c r="BA479" s="509">
        <f t="shared" si="146"/>
        <v>18</v>
      </c>
      <c r="BB479" s="509">
        <f t="shared" si="146"/>
        <v>0</v>
      </c>
      <c r="BC479" s="509">
        <f t="shared" si="146"/>
        <v>0</v>
      </c>
      <c r="BD479" s="509">
        <f t="shared" si="146"/>
        <v>39</v>
      </c>
      <c r="BE479" s="509">
        <f t="shared" si="146"/>
        <v>15</v>
      </c>
      <c r="BF479" s="509">
        <f t="shared" si="146"/>
        <v>2</v>
      </c>
      <c r="BG479" s="509">
        <f t="shared" si="146"/>
        <v>0</v>
      </c>
      <c r="BH479" s="509">
        <f t="shared" si="146"/>
        <v>0</v>
      </c>
      <c r="BI479" s="509">
        <f t="shared" si="146"/>
        <v>0</v>
      </c>
      <c r="BJ479" s="509">
        <f t="shared" si="146"/>
        <v>263</v>
      </c>
      <c r="BK479" s="509">
        <f t="shared" si="146"/>
        <v>0</v>
      </c>
      <c r="BL479" s="509">
        <f t="shared" si="146"/>
        <v>0</v>
      </c>
      <c r="BM479" s="509">
        <f t="shared" si="146"/>
        <v>0</v>
      </c>
      <c r="BN479" s="509">
        <f t="shared" si="146"/>
        <v>0</v>
      </c>
      <c r="BO479" s="509">
        <f t="shared" si="146"/>
        <v>0</v>
      </c>
      <c r="BP479" s="509">
        <f t="shared" si="146"/>
        <v>0</v>
      </c>
      <c r="BQ479" s="509">
        <f t="shared" si="146"/>
        <v>0</v>
      </c>
      <c r="BR479" s="509">
        <f t="shared" ref="BR479:CX479" si="147">SUM(BR358:BR478)</f>
        <v>0</v>
      </c>
      <c r="BS479" s="509">
        <f t="shared" si="147"/>
        <v>0</v>
      </c>
      <c r="BT479" s="509">
        <f t="shared" si="147"/>
        <v>43</v>
      </c>
      <c r="BU479" s="509">
        <f t="shared" si="147"/>
        <v>0</v>
      </c>
      <c r="BV479" s="509">
        <f t="shared" si="147"/>
        <v>18</v>
      </c>
      <c r="BW479" s="509">
        <f t="shared" si="147"/>
        <v>0</v>
      </c>
      <c r="BX479" s="509">
        <f t="shared" si="147"/>
        <v>0</v>
      </c>
      <c r="BY479" s="509">
        <f t="shared" si="147"/>
        <v>33</v>
      </c>
      <c r="BZ479" s="509">
        <f t="shared" si="147"/>
        <v>0</v>
      </c>
      <c r="CA479" s="509">
        <f t="shared" si="147"/>
        <v>0</v>
      </c>
      <c r="CB479" s="509">
        <f t="shared" si="147"/>
        <v>43</v>
      </c>
      <c r="CC479" s="509">
        <f t="shared" si="147"/>
        <v>2</v>
      </c>
      <c r="CD479" s="509">
        <f t="shared" si="147"/>
        <v>196</v>
      </c>
      <c r="CE479" s="509">
        <f t="shared" si="147"/>
        <v>12</v>
      </c>
      <c r="CF479" s="509">
        <f t="shared" si="147"/>
        <v>14</v>
      </c>
      <c r="CG479" s="509">
        <f t="shared" si="147"/>
        <v>12</v>
      </c>
      <c r="CH479" s="509">
        <f t="shared" si="147"/>
        <v>26</v>
      </c>
      <c r="CI479" s="509">
        <f t="shared" si="147"/>
        <v>2</v>
      </c>
      <c r="CJ479" s="509">
        <f t="shared" si="147"/>
        <v>29</v>
      </c>
      <c r="CK479" s="509">
        <f t="shared" si="147"/>
        <v>0</v>
      </c>
      <c r="CL479" s="509">
        <f t="shared" si="147"/>
        <v>34</v>
      </c>
      <c r="CM479" s="509">
        <f t="shared" si="147"/>
        <v>0</v>
      </c>
      <c r="CN479" s="509">
        <f t="shared" si="147"/>
        <v>22</v>
      </c>
      <c r="CO479" s="509">
        <f t="shared" si="147"/>
        <v>8</v>
      </c>
      <c r="CP479" s="509">
        <f t="shared" si="147"/>
        <v>0</v>
      </c>
      <c r="CQ479" s="509">
        <f t="shared" si="147"/>
        <v>2</v>
      </c>
      <c r="CR479" s="509">
        <f t="shared" si="147"/>
        <v>0</v>
      </c>
      <c r="CS479" s="509">
        <f t="shared" si="147"/>
        <v>0</v>
      </c>
      <c r="CT479" s="509">
        <f t="shared" si="147"/>
        <v>0</v>
      </c>
      <c r="CU479" s="509">
        <f t="shared" si="147"/>
        <v>0</v>
      </c>
      <c r="CV479" s="509">
        <f t="shared" si="147"/>
        <v>0</v>
      </c>
      <c r="CW479" s="509">
        <f t="shared" si="147"/>
        <v>2</v>
      </c>
      <c r="CX479" s="509">
        <f t="shared" si="147"/>
        <v>0</v>
      </c>
      <c r="CY479" s="509">
        <f t="shared" ref="CY479" si="148">SUM(CY358:CY478)</f>
        <v>0</v>
      </c>
      <c r="CZ479" s="509">
        <f t="shared" ref="CZ479:EF479" si="149">SUM(CZ358:CZ478)</f>
        <v>14</v>
      </c>
      <c r="DA479" s="509">
        <f t="shared" si="149"/>
        <v>24</v>
      </c>
      <c r="DB479" s="509">
        <f t="shared" si="149"/>
        <v>0</v>
      </c>
      <c r="DC479" s="509">
        <f t="shared" si="149"/>
        <v>0</v>
      </c>
      <c r="DD479" s="509">
        <f t="shared" si="149"/>
        <v>0</v>
      </c>
      <c r="DE479" s="509">
        <f t="shared" si="149"/>
        <v>0</v>
      </c>
      <c r="DF479" s="509">
        <f t="shared" si="149"/>
        <v>0</v>
      </c>
      <c r="DG479" s="518">
        <f t="shared" si="149"/>
        <v>0</v>
      </c>
      <c r="DH479" s="518">
        <f t="shared" si="149"/>
        <v>0</v>
      </c>
      <c r="DI479" s="518">
        <f t="shared" si="149"/>
        <v>0</v>
      </c>
      <c r="DJ479" s="518">
        <f t="shared" si="149"/>
        <v>0</v>
      </c>
      <c r="DK479" s="518">
        <f t="shared" si="149"/>
        <v>0</v>
      </c>
      <c r="DL479" s="518">
        <f t="shared" si="149"/>
        <v>0</v>
      </c>
      <c r="DM479" s="518">
        <f t="shared" si="149"/>
        <v>0</v>
      </c>
      <c r="DN479" s="518">
        <f t="shared" si="149"/>
        <v>0</v>
      </c>
      <c r="DO479" s="518">
        <f t="shared" si="149"/>
        <v>0</v>
      </c>
      <c r="DP479" s="518">
        <f t="shared" si="149"/>
        <v>0</v>
      </c>
      <c r="DQ479" s="518">
        <f t="shared" si="149"/>
        <v>0</v>
      </c>
      <c r="DR479" s="518">
        <f t="shared" si="149"/>
        <v>0</v>
      </c>
      <c r="DS479" s="509">
        <f t="shared" si="149"/>
        <v>0</v>
      </c>
      <c r="DT479" s="509">
        <f t="shared" si="149"/>
        <v>0</v>
      </c>
      <c r="DU479" s="509">
        <f t="shared" si="149"/>
        <v>0</v>
      </c>
      <c r="DV479" s="509">
        <f t="shared" si="149"/>
        <v>0</v>
      </c>
      <c r="DW479" s="509">
        <f t="shared" si="149"/>
        <v>0</v>
      </c>
      <c r="DX479" s="509">
        <f t="shared" si="149"/>
        <v>0</v>
      </c>
      <c r="DY479" s="509">
        <f t="shared" si="149"/>
        <v>0</v>
      </c>
      <c r="DZ479" s="509">
        <f t="shared" si="149"/>
        <v>0</v>
      </c>
      <c r="EA479" s="509">
        <f t="shared" si="149"/>
        <v>0</v>
      </c>
      <c r="EB479" s="509">
        <f t="shared" si="149"/>
        <v>0</v>
      </c>
      <c r="EC479" s="509">
        <f t="shared" si="149"/>
        <v>0</v>
      </c>
      <c r="ED479" s="509">
        <f t="shared" si="149"/>
        <v>0</v>
      </c>
      <c r="EE479" s="509">
        <f t="shared" si="149"/>
        <v>0</v>
      </c>
      <c r="EF479" s="509">
        <f t="shared" si="149"/>
        <v>0</v>
      </c>
      <c r="EG479" s="509">
        <f t="shared" ref="EG479:FL479" si="150">SUM(EG358:EG478)</f>
        <v>0</v>
      </c>
      <c r="EH479" s="509">
        <f t="shared" si="150"/>
        <v>0</v>
      </c>
      <c r="EI479" s="509">
        <f t="shared" si="150"/>
        <v>0</v>
      </c>
      <c r="EJ479" s="509">
        <f t="shared" si="150"/>
        <v>0</v>
      </c>
      <c r="EK479" s="509">
        <f t="shared" si="150"/>
        <v>0</v>
      </c>
      <c r="EL479" s="509">
        <f t="shared" si="150"/>
        <v>0</v>
      </c>
      <c r="EM479" s="509">
        <f t="shared" si="150"/>
        <v>0</v>
      </c>
      <c r="EN479" s="509">
        <f t="shared" si="150"/>
        <v>0</v>
      </c>
      <c r="EO479" s="509">
        <f t="shared" si="150"/>
        <v>0</v>
      </c>
      <c r="EP479" s="509">
        <f t="shared" si="150"/>
        <v>0</v>
      </c>
      <c r="EQ479" s="509">
        <f t="shared" si="150"/>
        <v>0</v>
      </c>
      <c r="ER479" s="509">
        <f t="shared" si="150"/>
        <v>0</v>
      </c>
      <c r="ES479" s="509">
        <f t="shared" si="150"/>
        <v>0</v>
      </c>
      <c r="ET479" s="509">
        <f t="shared" si="150"/>
        <v>0</v>
      </c>
      <c r="EU479" s="509">
        <f t="shared" si="150"/>
        <v>0</v>
      </c>
      <c r="EV479" s="509">
        <f t="shared" si="150"/>
        <v>0</v>
      </c>
      <c r="EW479" s="509">
        <f t="shared" si="150"/>
        <v>0</v>
      </c>
      <c r="EX479" s="509">
        <f t="shared" si="150"/>
        <v>0</v>
      </c>
      <c r="EY479" s="509">
        <f t="shared" si="150"/>
        <v>0</v>
      </c>
      <c r="EZ479" s="509">
        <f t="shared" si="150"/>
        <v>0</v>
      </c>
      <c r="FA479" s="509">
        <f t="shared" si="150"/>
        <v>0</v>
      </c>
      <c r="FB479" s="509">
        <f t="shared" si="150"/>
        <v>0</v>
      </c>
      <c r="FC479" s="509">
        <f t="shared" si="150"/>
        <v>0</v>
      </c>
      <c r="FD479" s="509">
        <f t="shared" si="150"/>
        <v>0</v>
      </c>
      <c r="FE479" s="509">
        <f t="shared" si="150"/>
        <v>0</v>
      </c>
      <c r="FF479" s="509">
        <f t="shared" si="150"/>
        <v>0</v>
      </c>
      <c r="FG479" s="509">
        <f t="shared" si="150"/>
        <v>0</v>
      </c>
      <c r="FH479" s="509">
        <f t="shared" si="150"/>
        <v>0</v>
      </c>
      <c r="FI479" s="509">
        <f t="shared" si="150"/>
        <v>0</v>
      </c>
      <c r="FJ479" s="509">
        <f t="shared" si="150"/>
        <v>0</v>
      </c>
      <c r="FK479" s="509">
        <f t="shared" si="150"/>
        <v>0</v>
      </c>
      <c r="FL479" s="509">
        <f t="shared" si="150"/>
        <v>0</v>
      </c>
      <c r="FM479" s="509">
        <f>SUM(FM358:FM478)</f>
        <v>0</v>
      </c>
      <c r="FN479" s="509">
        <f>SUM(FN358:FN478)</f>
        <v>0</v>
      </c>
      <c r="FO479" s="509">
        <f>SUM(FO358:FO478)</f>
        <v>0</v>
      </c>
      <c r="FP479" s="509"/>
      <c r="FQ479" s="508"/>
      <c r="FU479" s="4">
        <f>DY479-FM479</f>
        <v>0</v>
      </c>
    </row>
    <row r="480" spans="1:177" s="4" customFormat="1">
      <c r="A480" s="56"/>
      <c r="B480" s="56">
        <v>7</v>
      </c>
      <c r="C480" s="501" t="s">
        <v>3729</v>
      </c>
      <c r="D480" s="502"/>
      <c r="E480" s="503"/>
      <c r="F480" s="503"/>
      <c r="G480" s="503"/>
      <c r="H480" s="503"/>
      <c r="I480" s="503"/>
      <c r="J480" s="503"/>
      <c r="K480" s="503"/>
      <c r="L480" s="503"/>
      <c r="M480" s="503"/>
      <c r="N480" s="503"/>
      <c r="O480" s="503"/>
      <c r="P480" s="503"/>
      <c r="Q480" s="503"/>
      <c r="R480" s="503"/>
      <c r="S480" s="503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954"/>
      <c r="AF480" s="959"/>
      <c r="AG480" s="504"/>
      <c r="AH480" s="504"/>
      <c r="AI480" s="504"/>
      <c r="AJ480" s="504"/>
      <c r="AK480" s="504"/>
      <c r="AL480" s="504"/>
      <c r="AM480" s="504"/>
      <c r="AN480" s="504"/>
      <c r="AO480" s="504"/>
      <c r="AP480" s="504"/>
      <c r="AQ480" s="504"/>
      <c r="AR480" s="504"/>
      <c r="AS480" s="504"/>
      <c r="AT480" s="504"/>
      <c r="AU480" s="504"/>
      <c r="AV480" s="504"/>
      <c r="AW480" s="504"/>
      <c r="AX480" s="504"/>
      <c r="AY480" s="504"/>
      <c r="AZ480" s="504"/>
      <c r="BA480" s="504"/>
      <c r="BB480" s="504"/>
      <c r="BC480" s="504"/>
      <c r="BD480" s="504"/>
      <c r="BE480" s="504"/>
      <c r="BF480" s="504"/>
      <c r="BG480" s="504"/>
      <c r="BH480" s="504"/>
      <c r="BI480" s="504"/>
      <c r="BJ480" s="504"/>
      <c r="BK480" s="504"/>
      <c r="BL480" s="504"/>
      <c r="BM480" s="504"/>
      <c r="BN480" s="504"/>
      <c r="BO480" s="504"/>
      <c r="BP480" s="504"/>
      <c r="BQ480" s="504"/>
      <c r="BR480" s="504"/>
      <c r="BS480" s="504"/>
      <c r="BT480" s="504"/>
      <c r="BU480" s="504"/>
      <c r="BV480" s="504"/>
      <c r="BW480" s="504"/>
      <c r="BX480" s="504"/>
      <c r="BY480" s="504"/>
      <c r="BZ480" s="504"/>
      <c r="CA480" s="504"/>
      <c r="CB480" s="504"/>
      <c r="CC480" s="504"/>
      <c r="CD480" s="504"/>
      <c r="CE480" s="504"/>
      <c r="CF480" s="504"/>
      <c r="CG480" s="504"/>
      <c r="CH480" s="504"/>
      <c r="CI480" s="504"/>
      <c r="CJ480" s="504"/>
      <c r="CK480" s="504"/>
      <c r="CL480" s="504"/>
      <c r="CM480" s="504"/>
      <c r="CN480" s="504"/>
      <c r="CO480" s="504"/>
      <c r="CP480" s="504"/>
      <c r="CQ480" s="504"/>
      <c r="CR480" s="504"/>
      <c r="CS480" s="504"/>
      <c r="CT480" s="504"/>
      <c r="CU480" s="504"/>
      <c r="CV480" s="504"/>
      <c r="CW480" s="504"/>
      <c r="CX480" s="504"/>
      <c r="CY480" s="504"/>
      <c r="CZ480" s="504"/>
      <c r="DA480" s="504"/>
      <c r="DB480" s="504"/>
      <c r="DC480" s="504"/>
      <c r="DD480" s="504"/>
      <c r="DE480" s="504"/>
      <c r="DF480" s="504"/>
      <c r="DG480" s="519"/>
      <c r="DH480" s="519"/>
      <c r="DI480" s="519"/>
      <c r="DJ480" s="519"/>
      <c r="DK480" s="519"/>
      <c r="DL480" s="519"/>
      <c r="DM480" s="519"/>
      <c r="DN480" s="519"/>
      <c r="DO480" s="519"/>
      <c r="DP480" s="519"/>
      <c r="DQ480" s="519"/>
      <c r="DR480" s="519"/>
      <c r="DS480" s="504"/>
      <c r="DT480" s="504"/>
      <c r="DU480" s="504"/>
      <c r="DV480" s="504"/>
      <c r="DW480" s="504"/>
      <c r="DX480" s="504"/>
      <c r="DY480" s="504"/>
      <c r="DZ480" s="504"/>
      <c r="EA480" s="504"/>
      <c r="EB480" s="504"/>
      <c r="EC480" s="504"/>
      <c r="ED480" s="504"/>
      <c r="EE480" s="504"/>
      <c r="EF480" s="504"/>
      <c r="EG480" s="504"/>
      <c r="EH480" s="504"/>
      <c r="EI480" s="504"/>
      <c r="EJ480" s="504"/>
      <c r="EK480" s="504"/>
      <c r="EL480" s="504"/>
      <c r="EM480" s="504"/>
      <c r="EN480" s="504"/>
      <c r="EO480" s="504"/>
      <c r="EP480" s="504"/>
      <c r="EQ480" s="504"/>
      <c r="ER480" s="504"/>
      <c r="ES480" s="504"/>
      <c r="ET480" s="504"/>
      <c r="EU480" s="504"/>
      <c r="EV480" s="504"/>
      <c r="EW480" s="504"/>
      <c r="EX480" s="504"/>
      <c r="EY480" s="504"/>
      <c r="EZ480" s="504"/>
      <c r="FA480" s="504"/>
      <c r="FB480" s="504"/>
      <c r="FC480" s="504"/>
      <c r="FD480" s="504"/>
      <c r="FE480" s="504"/>
      <c r="FF480" s="504"/>
      <c r="FG480" s="504"/>
      <c r="FH480" s="504"/>
      <c r="FI480" s="504"/>
      <c r="FJ480" s="504"/>
      <c r="FK480" s="504"/>
      <c r="FL480" s="504"/>
      <c r="FM480" s="504"/>
      <c r="FN480" s="504"/>
      <c r="FO480" s="504"/>
      <c r="FP480" s="504"/>
      <c r="FQ480" s="505"/>
      <c r="FU480" s="4">
        <f>DY480-FM480</f>
        <v>0</v>
      </c>
    </row>
    <row r="481" spans="1:173" s="696" customFormat="1">
      <c r="A481" s="690"/>
      <c r="B481" s="690"/>
      <c r="C481" s="691"/>
      <c r="D481" s="691" t="s">
        <v>3674</v>
      </c>
      <c r="E481" s="692"/>
      <c r="F481" s="692"/>
      <c r="G481" s="692"/>
      <c r="H481" s="692"/>
      <c r="I481" s="692"/>
      <c r="J481" s="692"/>
      <c r="K481" s="692"/>
      <c r="L481" s="692"/>
      <c r="M481" s="692">
        <f>E481</f>
        <v>0</v>
      </c>
      <c r="N481" s="692"/>
      <c r="O481" s="692"/>
      <c r="P481" s="692"/>
      <c r="Q481" s="692"/>
      <c r="R481" s="693"/>
      <c r="S481" s="693"/>
      <c r="T481" s="692"/>
      <c r="U481" s="692" t="s">
        <v>2990</v>
      </c>
      <c r="V481" s="692"/>
      <c r="W481" s="692"/>
      <c r="X481" s="692"/>
      <c r="Y481" s="692"/>
      <c r="Z481" s="692"/>
      <c r="AA481" s="692"/>
      <c r="AB481" s="692"/>
      <c r="AC481" s="692"/>
      <c r="AD481" s="692"/>
      <c r="AE481" s="725"/>
      <c r="AF481" s="957"/>
      <c r="AG481" s="692"/>
      <c r="AH481" s="692"/>
      <c r="AI481" s="692"/>
      <c r="AJ481" s="692"/>
      <c r="AK481" s="692"/>
      <c r="AL481" s="692"/>
      <c r="AM481" s="692"/>
      <c r="AN481" s="692"/>
      <c r="AO481" s="692"/>
      <c r="AP481" s="692"/>
      <c r="AQ481" s="692"/>
      <c r="AR481" s="692"/>
      <c r="AS481" s="692"/>
      <c r="AT481" s="692"/>
      <c r="AU481" s="692"/>
      <c r="AV481" s="692"/>
      <c r="AW481" s="692"/>
      <c r="AX481" s="692"/>
      <c r="AY481" s="692"/>
      <c r="AZ481" s="692">
        <f>AW481+CB481+CC481</f>
        <v>0</v>
      </c>
      <c r="BA481" s="692"/>
      <c r="BB481" s="692"/>
      <c r="BC481" s="692"/>
      <c r="BD481" s="692"/>
      <c r="BE481" s="692">
        <v>1</v>
      </c>
      <c r="BF481" s="692"/>
      <c r="BG481" s="692"/>
      <c r="BH481" s="692"/>
      <c r="BI481" s="692">
        <v>0</v>
      </c>
      <c r="BJ481" s="692"/>
      <c r="BK481" s="692"/>
      <c r="BL481" s="692"/>
      <c r="BM481" s="692"/>
      <c r="BN481" s="692"/>
      <c r="BO481" s="692"/>
      <c r="BP481" s="692"/>
      <c r="BQ481" s="692">
        <f>IF(U481="G",1,)</f>
        <v>0</v>
      </c>
      <c r="BR481" s="692"/>
      <c r="BS481" s="692">
        <v>0</v>
      </c>
      <c r="BT481" s="692"/>
      <c r="BU481" s="692"/>
      <c r="BV481" s="692"/>
      <c r="BW481" s="692"/>
      <c r="BX481" s="692">
        <v>1</v>
      </c>
      <c r="BY481" s="692"/>
      <c r="BZ481" s="692"/>
      <c r="CA481" s="692"/>
      <c r="CB481" s="692"/>
      <c r="CC481" s="692"/>
      <c r="CD481" s="692">
        <f>CB481*4</f>
        <v>0</v>
      </c>
      <c r="CE481" s="692"/>
      <c r="CF481" s="692"/>
      <c r="CG481" s="692"/>
      <c r="CH481" s="692"/>
      <c r="CI481" s="692"/>
      <c r="CJ481" s="692"/>
      <c r="CK481" s="692"/>
      <c r="CL481" s="692"/>
      <c r="CM481" s="692"/>
      <c r="CN481" s="692">
        <v>6</v>
      </c>
      <c r="CO481" s="692">
        <v>3</v>
      </c>
      <c r="CP481" s="692"/>
      <c r="CQ481" s="692"/>
      <c r="CR481" s="692"/>
      <c r="CS481" s="692"/>
      <c r="CT481" s="692"/>
      <c r="CU481" s="692"/>
      <c r="CV481" s="692"/>
      <c r="CW481" s="692"/>
      <c r="CX481" s="694"/>
      <c r="CY481" s="694"/>
      <c r="CZ481" s="694"/>
      <c r="DA481" s="694"/>
      <c r="DB481" s="694"/>
      <c r="DC481" s="694"/>
      <c r="DD481" s="694"/>
      <c r="DE481" s="694"/>
      <c r="DF481" s="694"/>
      <c r="DG481" s="695"/>
      <c r="DH481" s="695"/>
      <c r="DI481" s="695"/>
      <c r="DJ481" s="695"/>
      <c r="DK481" s="695"/>
      <c r="DL481" s="695"/>
      <c r="DM481" s="695"/>
      <c r="DN481" s="695"/>
      <c r="DO481" s="695"/>
      <c r="DP481" s="695"/>
      <c r="DQ481" s="695"/>
      <c r="DR481" s="695"/>
      <c r="DS481" s="694"/>
      <c r="DT481" s="694"/>
      <c r="DU481" s="694"/>
      <c r="DV481" s="694"/>
      <c r="DW481" s="694"/>
      <c r="DX481" s="694"/>
      <c r="DY481" s="694"/>
      <c r="DZ481" s="694"/>
      <c r="EA481" s="694"/>
      <c r="EB481" s="694"/>
      <c r="EC481" s="694"/>
      <c r="ED481" s="694"/>
      <c r="EE481" s="694"/>
      <c r="EF481" s="694"/>
      <c r="EG481" s="694"/>
      <c r="EH481" s="694"/>
      <c r="EI481" s="694"/>
      <c r="EJ481" s="694"/>
      <c r="EK481" s="694"/>
      <c r="EL481" s="694"/>
      <c r="EM481" s="694"/>
      <c r="EN481" s="694"/>
      <c r="EO481" s="694"/>
      <c r="EP481" s="694"/>
      <c r="EQ481" s="694"/>
      <c r="ER481" s="694"/>
      <c r="ES481" s="694"/>
      <c r="ET481" s="694"/>
      <c r="EU481" s="694"/>
      <c r="EV481" s="694"/>
      <c r="EW481" s="694"/>
      <c r="EX481" s="694"/>
      <c r="EY481" s="694"/>
      <c r="EZ481" s="694"/>
      <c r="FA481" s="694"/>
      <c r="FB481" s="694"/>
      <c r="FC481" s="694"/>
      <c r="FD481" s="694"/>
      <c r="FE481" s="694"/>
      <c r="FF481" s="694"/>
      <c r="FG481" s="694"/>
      <c r="FH481" s="694"/>
      <c r="FI481" s="694"/>
      <c r="FJ481" s="694"/>
      <c r="FK481" s="694"/>
      <c r="FL481" s="694"/>
      <c r="FM481" s="694"/>
      <c r="FN481" s="694"/>
      <c r="FO481" s="694"/>
      <c r="FP481" s="694"/>
      <c r="FQ481" s="697"/>
    </row>
    <row r="482" spans="1:173" s="696" customFormat="1">
      <c r="A482" s="690"/>
      <c r="B482" s="690"/>
      <c r="C482" s="691"/>
      <c r="D482" s="691" t="s">
        <v>3675</v>
      </c>
      <c r="E482" s="692">
        <v>46</v>
      </c>
      <c r="F482" s="692"/>
      <c r="G482" s="692"/>
      <c r="H482" s="692"/>
      <c r="I482" s="692"/>
      <c r="J482" s="692"/>
      <c r="K482" s="692"/>
      <c r="L482" s="692"/>
      <c r="M482" s="692"/>
      <c r="N482" s="692"/>
      <c r="O482" s="692">
        <f>E482</f>
        <v>46</v>
      </c>
      <c r="P482" s="692"/>
      <c r="Q482" s="692"/>
      <c r="R482" s="693"/>
      <c r="S482" s="693"/>
      <c r="T482" s="692"/>
      <c r="U482" s="692" t="s">
        <v>2989</v>
      </c>
      <c r="V482" s="692"/>
      <c r="W482" s="692"/>
      <c r="X482" s="692"/>
      <c r="Y482" s="692"/>
      <c r="Z482" s="692"/>
      <c r="AA482" s="692"/>
      <c r="AB482" s="692"/>
      <c r="AC482" s="692"/>
      <c r="AD482" s="692"/>
      <c r="AE482" s="725"/>
      <c r="AF482" s="957"/>
      <c r="AG482" s="692"/>
      <c r="AH482" s="692"/>
      <c r="AI482" s="692"/>
      <c r="AJ482" s="692"/>
      <c r="AK482" s="692"/>
      <c r="AL482" s="692"/>
      <c r="AM482" s="692"/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2"/>
      <c r="AX482" s="692"/>
      <c r="AY482" s="692"/>
      <c r="AZ482" s="692">
        <f t="shared" ref="AZ482:AZ506" si="151">AW482+CB482+CC482</f>
        <v>1</v>
      </c>
      <c r="BA482" s="692"/>
      <c r="BB482" s="692"/>
      <c r="BC482" s="692"/>
      <c r="BD482" s="692"/>
      <c r="BE482" s="692">
        <v>2</v>
      </c>
      <c r="BF482" s="692"/>
      <c r="BG482" s="692"/>
      <c r="BH482" s="692"/>
      <c r="BI482" s="692">
        <v>0</v>
      </c>
      <c r="BJ482" s="692"/>
      <c r="BK482" s="692"/>
      <c r="BL482" s="692"/>
      <c r="BM482" s="692"/>
      <c r="BN482" s="692"/>
      <c r="BO482" s="692"/>
      <c r="BP482" s="692"/>
      <c r="BQ482" s="692">
        <f t="shared" ref="BQ482:BQ506" si="152">IF(U482="G",1,)</f>
        <v>0</v>
      </c>
      <c r="BR482" s="692"/>
      <c r="BS482" s="692">
        <v>0</v>
      </c>
      <c r="BT482" s="692"/>
      <c r="BU482" s="692"/>
      <c r="BV482" s="692"/>
      <c r="BW482" s="692"/>
      <c r="BX482" s="692">
        <v>2</v>
      </c>
      <c r="BY482" s="692"/>
      <c r="BZ482" s="692"/>
      <c r="CA482" s="692"/>
      <c r="CB482" s="692"/>
      <c r="CC482" s="692">
        <v>1</v>
      </c>
      <c r="CD482" s="692">
        <f t="shared" ref="CD482:CD506" si="153">CB482*4</f>
        <v>0</v>
      </c>
      <c r="CE482" s="692"/>
      <c r="CF482" s="692">
        <v>4</v>
      </c>
      <c r="CG482" s="692"/>
      <c r="CH482" s="692">
        <v>4</v>
      </c>
      <c r="CI482" s="692"/>
      <c r="CJ482" s="692"/>
      <c r="CK482" s="692"/>
      <c r="CL482" s="692"/>
      <c r="CM482" s="692"/>
      <c r="CN482" s="692"/>
      <c r="CO482" s="692"/>
      <c r="CP482" s="692"/>
      <c r="CQ482" s="692"/>
      <c r="CR482" s="692">
        <v>1</v>
      </c>
      <c r="CS482" s="692"/>
      <c r="CT482" s="692"/>
      <c r="CU482" s="692"/>
      <c r="CV482" s="692"/>
      <c r="CW482" s="692"/>
      <c r="CX482" s="694"/>
      <c r="CY482" s="694"/>
      <c r="CZ482" s="694"/>
      <c r="DA482" s="694"/>
      <c r="DB482" s="694"/>
      <c r="DC482" s="694"/>
      <c r="DD482" s="694"/>
      <c r="DE482" s="694"/>
      <c r="DF482" s="694"/>
      <c r="DG482" s="695"/>
      <c r="DH482" s="695"/>
      <c r="DI482" s="695"/>
      <c r="DJ482" s="695"/>
      <c r="DK482" s="695"/>
      <c r="DL482" s="695"/>
      <c r="DM482" s="695"/>
      <c r="DN482" s="695"/>
      <c r="DO482" s="695"/>
      <c r="DP482" s="695"/>
      <c r="DQ482" s="695"/>
      <c r="DR482" s="695"/>
      <c r="DS482" s="694"/>
      <c r="DT482" s="694"/>
      <c r="DU482" s="694"/>
      <c r="DV482" s="694"/>
      <c r="DW482" s="694"/>
      <c r="DX482" s="694"/>
      <c r="DY482" s="694"/>
      <c r="DZ482" s="694"/>
      <c r="EA482" s="694"/>
      <c r="EB482" s="694"/>
      <c r="EC482" s="694"/>
      <c r="ED482" s="694"/>
      <c r="EE482" s="694"/>
      <c r="EF482" s="694"/>
      <c r="EG482" s="694"/>
      <c r="EH482" s="694"/>
      <c r="EI482" s="694"/>
      <c r="EJ482" s="694"/>
      <c r="EK482" s="694"/>
      <c r="EL482" s="694"/>
      <c r="EM482" s="694"/>
      <c r="EN482" s="694"/>
      <c r="EO482" s="694"/>
      <c r="EP482" s="694"/>
      <c r="EQ482" s="694"/>
      <c r="ER482" s="694"/>
      <c r="ES482" s="694"/>
      <c r="ET482" s="694"/>
      <c r="EU482" s="694"/>
      <c r="EV482" s="694"/>
      <c r="EW482" s="694"/>
      <c r="EX482" s="694"/>
      <c r="EY482" s="694"/>
      <c r="EZ482" s="694"/>
      <c r="FA482" s="694"/>
      <c r="FB482" s="694"/>
      <c r="FC482" s="694"/>
      <c r="FD482" s="694"/>
      <c r="FE482" s="694"/>
      <c r="FF482" s="694"/>
      <c r="FG482" s="694"/>
      <c r="FH482" s="694"/>
      <c r="FI482" s="694"/>
      <c r="FJ482" s="694"/>
      <c r="FK482" s="694"/>
      <c r="FL482" s="694"/>
      <c r="FM482" s="694"/>
      <c r="FN482" s="694"/>
      <c r="FO482" s="694"/>
      <c r="FP482" s="694"/>
      <c r="FQ482" s="697"/>
    </row>
    <row r="483" spans="1:173" s="696" customFormat="1">
      <c r="A483" s="690"/>
      <c r="B483" s="690"/>
      <c r="C483" s="691" t="s">
        <v>3632</v>
      </c>
      <c r="D483" s="691"/>
      <c r="E483" s="692">
        <v>14.6</v>
      </c>
      <c r="F483" s="692"/>
      <c r="G483" s="692"/>
      <c r="H483" s="692"/>
      <c r="I483" s="692"/>
      <c r="J483" s="692"/>
      <c r="K483" s="692"/>
      <c r="L483" s="692"/>
      <c r="M483" s="692"/>
      <c r="N483" s="692"/>
      <c r="O483" s="692">
        <f t="shared" ref="O483:O505" si="154">E483</f>
        <v>14.6</v>
      </c>
      <c r="P483" s="692"/>
      <c r="Q483" s="692"/>
      <c r="R483" s="693"/>
      <c r="S483" s="693"/>
      <c r="T483" s="692"/>
      <c r="U483" s="692" t="s">
        <v>2989</v>
      </c>
      <c r="V483" s="692"/>
      <c r="W483" s="692">
        <v>2</v>
      </c>
      <c r="X483" s="692"/>
      <c r="Y483" s="692"/>
      <c r="Z483" s="692"/>
      <c r="AA483" s="692"/>
      <c r="AB483" s="692"/>
      <c r="AC483" s="692"/>
      <c r="AD483" s="692"/>
      <c r="AE483" s="725"/>
      <c r="AF483" s="957">
        <v>1</v>
      </c>
      <c r="AG483" s="692"/>
      <c r="AH483" s="692"/>
      <c r="AI483" s="692"/>
      <c r="AJ483" s="692"/>
      <c r="AK483" s="692"/>
      <c r="AL483" s="692"/>
      <c r="AM483" s="692"/>
      <c r="AN483" s="692"/>
      <c r="AO483" s="692"/>
      <c r="AP483" s="692"/>
      <c r="AQ483" s="692"/>
      <c r="AR483" s="692"/>
      <c r="AS483" s="692"/>
      <c r="AT483" s="692"/>
      <c r="AU483" s="692"/>
      <c r="AV483" s="692"/>
      <c r="AW483" s="692"/>
      <c r="AX483" s="692"/>
      <c r="AY483" s="692"/>
      <c r="AZ483" s="692">
        <f t="shared" si="151"/>
        <v>0</v>
      </c>
      <c r="BA483" s="692"/>
      <c r="BB483" s="692"/>
      <c r="BC483" s="692"/>
      <c r="BD483" s="692"/>
      <c r="BE483" s="692"/>
      <c r="BF483" s="692">
        <v>2</v>
      </c>
      <c r="BG483" s="692"/>
      <c r="BH483" s="692"/>
      <c r="BI483" s="692">
        <v>0</v>
      </c>
      <c r="BJ483" s="692"/>
      <c r="BK483" s="692"/>
      <c r="BL483" s="692"/>
      <c r="BM483" s="692"/>
      <c r="BN483" s="692"/>
      <c r="BO483" s="692"/>
      <c r="BP483" s="692"/>
      <c r="BQ483" s="692">
        <f t="shared" si="152"/>
        <v>0</v>
      </c>
      <c r="BR483" s="692"/>
      <c r="BS483" s="692">
        <v>0</v>
      </c>
      <c r="BT483" s="692"/>
      <c r="BU483" s="692"/>
      <c r="BV483" s="692"/>
      <c r="BW483" s="692"/>
      <c r="BX483" s="692">
        <v>2</v>
      </c>
      <c r="BY483" s="692"/>
      <c r="BZ483" s="692"/>
      <c r="CA483" s="692"/>
      <c r="CB483" s="692"/>
      <c r="CC483" s="692"/>
      <c r="CD483" s="692">
        <f t="shared" si="153"/>
        <v>0</v>
      </c>
      <c r="CE483" s="692"/>
      <c r="CF483" s="692"/>
      <c r="CG483" s="692"/>
      <c r="CH483" s="692"/>
      <c r="CI483" s="692"/>
      <c r="CJ483" s="692"/>
      <c r="CK483" s="692"/>
      <c r="CL483" s="692"/>
      <c r="CM483" s="692"/>
      <c r="CN483" s="692"/>
      <c r="CO483" s="692"/>
      <c r="CP483" s="692"/>
      <c r="CQ483" s="692"/>
      <c r="CR483" s="692"/>
      <c r="CS483" s="692"/>
      <c r="CT483" s="692"/>
      <c r="CU483" s="692"/>
      <c r="CV483" s="692"/>
      <c r="CW483" s="692"/>
      <c r="CX483" s="694"/>
      <c r="CY483" s="694"/>
      <c r="CZ483" s="694"/>
      <c r="DA483" s="694"/>
      <c r="DB483" s="694"/>
      <c r="DC483" s="694"/>
      <c r="DD483" s="694"/>
      <c r="DE483" s="694"/>
      <c r="DF483" s="694"/>
      <c r="DG483" s="695"/>
      <c r="DH483" s="695"/>
      <c r="DI483" s="695"/>
      <c r="DJ483" s="695"/>
      <c r="DK483" s="695"/>
      <c r="DL483" s="695"/>
      <c r="DM483" s="695"/>
      <c r="DN483" s="695"/>
      <c r="DO483" s="695"/>
      <c r="DP483" s="695"/>
      <c r="DQ483" s="695"/>
      <c r="DR483" s="695"/>
      <c r="DS483" s="694"/>
      <c r="DT483" s="694"/>
      <c r="DU483" s="694"/>
      <c r="DV483" s="694"/>
      <c r="DW483" s="694"/>
      <c r="DX483" s="694"/>
      <c r="DY483" s="694"/>
      <c r="DZ483" s="694"/>
      <c r="EA483" s="694"/>
      <c r="EB483" s="694"/>
      <c r="EC483" s="694"/>
      <c r="ED483" s="694"/>
      <c r="EE483" s="694"/>
      <c r="EF483" s="694"/>
      <c r="EG483" s="694"/>
      <c r="EH483" s="694"/>
      <c r="EI483" s="694"/>
      <c r="EJ483" s="694"/>
      <c r="EK483" s="694"/>
      <c r="EL483" s="694"/>
      <c r="EM483" s="694"/>
      <c r="EN483" s="694"/>
      <c r="EO483" s="694"/>
      <c r="EP483" s="694"/>
      <c r="EQ483" s="694"/>
      <c r="ER483" s="694"/>
      <c r="ES483" s="694"/>
      <c r="ET483" s="694"/>
      <c r="EU483" s="694"/>
      <c r="EV483" s="694"/>
      <c r="EW483" s="694"/>
      <c r="EX483" s="694"/>
      <c r="EY483" s="694"/>
      <c r="EZ483" s="694"/>
      <c r="FA483" s="694"/>
      <c r="FB483" s="694"/>
      <c r="FC483" s="694"/>
      <c r="FD483" s="694"/>
      <c r="FE483" s="694"/>
      <c r="FF483" s="694"/>
      <c r="FG483" s="694"/>
      <c r="FH483" s="694"/>
      <c r="FI483" s="694"/>
      <c r="FJ483" s="694"/>
      <c r="FK483" s="694"/>
      <c r="FL483" s="694"/>
      <c r="FM483" s="694"/>
      <c r="FN483" s="694"/>
      <c r="FO483" s="694"/>
      <c r="FP483" s="694"/>
      <c r="FQ483" s="697"/>
    </row>
    <row r="484" spans="1:173" s="696" customFormat="1">
      <c r="A484" s="690"/>
      <c r="B484" s="690"/>
      <c r="C484" s="691" t="s">
        <v>3633</v>
      </c>
      <c r="D484" s="691"/>
      <c r="E484" s="692">
        <v>39.799999999999997</v>
      </c>
      <c r="F484" s="692"/>
      <c r="G484" s="692"/>
      <c r="H484" s="692"/>
      <c r="I484" s="692"/>
      <c r="J484" s="692"/>
      <c r="K484" s="692"/>
      <c r="L484" s="692"/>
      <c r="M484" s="692"/>
      <c r="N484" s="692"/>
      <c r="O484" s="692">
        <f t="shared" si="154"/>
        <v>39.799999999999997</v>
      </c>
      <c r="P484" s="692"/>
      <c r="Q484" s="692"/>
      <c r="R484" s="693"/>
      <c r="S484" s="693"/>
      <c r="T484" s="692"/>
      <c r="U484" s="692" t="s">
        <v>1631</v>
      </c>
      <c r="V484" s="692"/>
      <c r="W484" s="692"/>
      <c r="X484" s="692"/>
      <c r="Y484" s="692"/>
      <c r="Z484" s="692"/>
      <c r="AA484" s="692"/>
      <c r="AB484" s="692"/>
      <c r="AC484" s="692"/>
      <c r="AD484" s="692"/>
      <c r="AE484" s="725"/>
      <c r="AF484" s="957"/>
      <c r="AG484" s="692"/>
      <c r="AH484" s="692"/>
      <c r="AI484" s="692"/>
      <c r="AJ484" s="692"/>
      <c r="AK484" s="692"/>
      <c r="AL484" s="692"/>
      <c r="AM484" s="692"/>
      <c r="AN484" s="692"/>
      <c r="AO484" s="692"/>
      <c r="AP484" s="692"/>
      <c r="AQ484" s="692"/>
      <c r="AR484" s="692"/>
      <c r="AS484" s="692"/>
      <c r="AT484" s="692"/>
      <c r="AU484" s="692"/>
      <c r="AV484" s="692"/>
      <c r="AW484" s="692"/>
      <c r="AX484" s="692"/>
      <c r="AY484" s="692"/>
      <c r="AZ484" s="692">
        <f t="shared" si="151"/>
        <v>0</v>
      </c>
      <c r="BA484" s="692"/>
      <c r="BB484" s="692"/>
      <c r="BC484" s="692"/>
      <c r="BD484" s="692">
        <v>1</v>
      </c>
      <c r="BE484" s="692"/>
      <c r="BF484" s="692"/>
      <c r="BG484" s="692"/>
      <c r="BH484" s="692"/>
      <c r="BI484" s="692">
        <v>0</v>
      </c>
      <c r="BJ484" s="692"/>
      <c r="BK484" s="692"/>
      <c r="BL484" s="692"/>
      <c r="BM484" s="692"/>
      <c r="BN484" s="692"/>
      <c r="BO484" s="692"/>
      <c r="BP484" s="692"/>
      <c r="BQ484" s="692">
        <f t="shared" si="152"/>
        <v>0</v>
      </c>
      <c r="BR484" s="692"/>
      <c r="BS484" s="692">
        <v>1</v>
      </c>
      <c r="BT484" s="692"/>
      <c r="BU484" s="692"/>
      <c r="BV484" s="692"/>
      <c r="BW484" s="692"/>
      <c r="BX484" s="692"/>
      <c r="BY484" s="692"/>
      <c r="BZ484" s="692"/>
      <c r="CA484" s="692"/>
      <c r="CB484" s="692"/>
      <c r="CC484" s="692"/>
      <c r="CD484" s="692">
        <f t="shared" si="153"/>
        <v>0</v>
      </c>
      <c r="CE484" s="692"/>
      <c r="CF484" s="692"/>
      <c r="CG484" s="692"/>
      <c r="CH484" s="692"/>
      <c r="CI484" s="692"/>
      <c r="CJ484" s="692"/>
      <c r="CK484" s="692"/>
      <c r="CL484" s="692"/>
      <c r="CM484" s="692"/>
      <c r="CN484" s="692"/>
      <c r="CO484" s="692"/>
      <c r="CP484" s="692"/>
      <c r="CQ484" s="692"/>
      <c r="CR484" s="692"/>
      <c r="CS484" s="692"/>
      <c r="CT484" s="692"/>
      <c r="CU484" s="692"/>
      <c r="CV484" s="692"/>
      <c r="CW484" s="692"/>
      <c r="CX484" s="694"/>
      <c r="CY484" s="694"/>
      <c r="CZ484" s="694"/>
      <c r="DA484" s="694"/>
      <c r="DB484" s="694"/>
      <c r="DC484" s="694"/>
      <c r="DD484" s="694"/>
      <c r="DE484" s="694"/>
      <c r="DF484" s="694"/>
      <c r="DG484" s="695"/>
      <c r="DH484" s="695"/>
      <c r="DI484" s="695"/>
      <c r="DJ484" s="695"/>
      <c r="DK484" s="695"/>
      <c r="DL484" s="695"/>
      <c r="DM484" s="695"/>
      <c r="DN484" s="695"/>
      <c r="DO484" s="695"/>
      <c r="DP484" s="695"/>
      <c r="DQ484" s="695"/>
      <c r="DR484" s="695"/>
      <c r="DS484" s="694"/>
      <c r="DT484" s="694"/>
      <c r="DU484" s="694"/>
      <c r="DV484" s="694"/>
      <c r="DW484" s="694"/>
      <c r="DX484" s="694"/>
      <c r="DY484" s="694"/>
      <c r="DZ484" s="694"/>
      <c r="EA484" s="694"/>
      <c r="EB484" s="694"/>
      <c r="EC484" s="694"/>
      <c r="ED484" s="694"/>
      <c r="EE484" s="694"/>
      <c r="EF484" s="694"/>
      <c r="EG484" s="694"/>
      <c r="EH484" s="694"/>
      <c r="EI484" s="694"/>
      <c r="EJ484" s="694"/>
      <c r="EK484" s="694"/>
      <c r="EL484" s="694"/>
      <c r="EM484" s="694"/>
      <c r="EN484" s="694"/>
      <c r="EO484" s="694"/>
      <c r="EP484" s="694"/>
      <c r="EQ484" s="694"/>
      <c r="ER484" s="694"/>
      <c r="ES484" s="694"/>
      <c r="ET484" s="694"/>
      <c r="EU484" s="694"/>
      <c r="EV484" s="694"/>
      <c r="EW484" s="694"/>
      <c r="EX484" s="694"/>
      <c r="EY484" s="694"/>
      <c r="EZ484" s="694"/>
      <c r="FA484" s="694"/>
      <c r="FB484" s="694"/>
      <c r="FC484" s="694"/>
      <c r="FD484" s="694"/>
      <c r="FE484" s="694"/>
      <c r="FF484" s="694"/>
      <c r="FG484" s="694"/>
      <c r="FH484" s="694"/>
      <c r="FI484" s="694"/>
      <c r="FJ484" s="694"/>
      <c r="FK484" s="694"/>
      <c r="FL484" s="694"/>
      <c r="FM484" s="694"/>
      <c r="FN484" s="694"/>
      <c r="FO484" s="694"/>
      <c r="FP484" s="694"/>
      <c r="FQ484" s="697"/>
    </row>
    <row r="485" spans="1:173" s="696" customFormat="1">
      <c r="A485" s="690"/>
      <c r="B485" s="690"/>
      <c r="C485" s="691" t="s">
        <v>3634</v>
      </c>
      <c r="D485" s="691"/>
      <c r="E485" s="692">
        <v>39.700000000000003</v>
      </c>
      <c r="F485" s="692"/>
      <c r="G485" s="692"/>
      <c r="H485" s="692"/>
      <c r="I485" s="692"/>
      <c r="J485" s="692"/>
      <c r="K485" s="692"/>
      <c r="L485" s="692"/>
      <c r="M485" s="692"/>
      <c r="N485" s="692"/>
      <c r="O485" s="692">
        <f t="shared" si="154"/>
        <v>39.700000000000003</v>
      </c>
      <c r="P485" s="692"/>
      <c r="Q485" s="692"/>
      <c r="R485" s="693"/>
      <c r="S485" s="693"/>
      <c r="T485" s="692"/>
      <c r="U485" s="692" t="s">
        <v>1903</v>
      </c>
      <c r="V485" s="692"/>
      <c r="W485" s="692"/>
      <c r="X485" s="692"/>
      <c r="Y485" s="692"/>
      <c r="Z485" s="692"/>
      <c r="AA485" s="692"/>
      <c r="AB485" s="692"/>
      <c r="AC485" s="692"/>
      <c r="AD485" s="692"/>
      <c r="AE485" s="725"/>
      <c r="AF485" s="957"/>
      <c r="AG485" s="692"/>
      <c r="AH485" s="692"/>
      <c r="AI485" s="692"/>
      <c r="AJ485" s="692"/>
      <c r="AK485" s="692"/>
      <c r="AL485" s="692"/>
      <c r="AM485" s="692"/>
      <c r="AN485" s="692"/>
      <c r="AO485" s="692"/>
      <c r="AP485" s="692"/>
      <c r="AQ485" s="692"/>
      <c r="AR485" s="692"/>
      <c r="AS485" s="692"/>
      <c r="AT485" s="692"/>
      <c r="AU485" s="692">
        <v>1</v>
      </c>
      <c r="AV485" s="692"/>
      <c r="AW485" s="692">
        <v>1</v>
      </c>
      <c r="AX485" s="692"/>
      <c r="AY485" s="692"/>
      <c r="AZ485" s="692">
        <f t="shared" si="151"/>
        <v>2</v>
      </c>
      <c r="BA485" s="692"/>
      <c r="BB485" s="692"/>
      <c r="BC485" s="692"/>
      <c r="BD485" s="692">
        <v>1</v>
      </c>
      <c r="BE485" s="692"/>
      <c r="BF485" s="692"/>
      <c r="BG485" s="692"/>
      <c r="BH485" s="692"/>
      <c r="BI485" s="692">
        <v>7</v>
      </c>
      <c r="BJ485" s="692"/>
      <c r="BK485" s="692"/>
      <c r="BL485" s="692"/>
      <c r="BM485" s="692"/>
      <c r="BN485" s="692"/>
      <c r="BO485" s="692"/>
      <c r="BP485" s="692"/>
      <c r="BQ485" s="692">
        <f t="shared" si="152"/>
        <v>1</v>
      </c>
      <c r="BR485" s="692"/>
      <c r="BS485" s="692">
        <v>2</v>
      </c>
      <c r="BT485" s="692"/>
      <c r="BU485" s="692"/>
      <c r="BV485" s="692"/>
      <c r="BW485" s="692"/>
      <c r="BX485" s="692"/>
      <c r="BY485" s="692"/>
      <c r="BZ485" s="692"/>
      <c r="CA485" s="692"/>
      <c r="CB485" s="692">
        <v>1</v>
      </c>
      <c r="CC485" s="692"/>
      <c r="CD485" s="692">
        <f t="shared" si="153"/>
        <v>4</v>
      </c>
      <c r="CE485" s="692"/>
      <c r="CF485" s="692"/>
      <c r="CG485" s="692"/>
      <c r="CH485" s="692"/>
      <c r="CI485" s="692"/>
      <c r="CJ485" s="692"/>
      <c r="CK485" s="692"/>
      <c r="CL485" s="692"/>
      <c r="CM485" s="692"/>
      <c r="CN485" s="692"/>
      <c r="CO485" s="692"/>
      <c r="CP485" s="692"/>
      <c r="CQ485" s="692"/>
      <c r="CR485" s="692"/>
      <c r="CS485" s="692"/>
      <c r="CT485" s="692"/>
      <c r="CU485" s="692"/>
      <c r="CV485" s="692"/>
      <c r="CW485" s="692"/>
      <c r="CX485" s="694"/>
      <c r="CY485" s="694"/>
      <c r="CZ485" s="694"/>
      <c r="DA485" s="694"/>
      <c r="DB485" s="694"/>
      <c r="DC485" s="694"/>
      <c r="DD485" s="694"/>
      <c r="DE485" s="694"/>
      <c r="DF485" s="694"/>
      <c r="DG485" s="695"/>
      <c r="DH485" s="695"/>
      <c r="DI485" s="695"/>
      <c r="DJ485" s="695"/>
      <c r="DK485" s="695"/>
      <c r="DL485" s="695"/>
      <c r="DM485" s="695"/>
      <c r="DN485" s="695"/>
      <c r="DO485" s="695"/>
      <c r="DP485" s="695"/>
      <c r="DQ485" s="695"/>
      <c r="DR485" s="695"/>
      <c r="DS485" s="694"/>
      <c r="DT485" s="694"/>
      <c r="DU485" s="694"/>
      <c r="DV485" s="694"/>
      <c r="DW485" s="694"/>
      <c r="DX485" s="694"/>
      <c r="DY485" s="694"/>
      <c r="DZ485" s="694"/>
      <c r="EA485" s="694"/>
      <c r="EB485" s="694"/>
      <c r="EC485" s="694"/>
      <c r="ED485" s="694"/>
      <c r="EE485" s="694"/>
      <c r="EF485" s="694"/>
      <c r="EG485" s="694"/>
      <c r="EH485" s="694"/>
      <c r="EI485" s="694"/>
      <c r="EJ485" s="694"/>
      <c r="EK485" s="694"/>
      <c r="EL485" s="694"/>
      <c r="EM485" s="694"/>
      <c r="EN485" s="694"/>
      <c r="EO485" s="694"/>
      <c r="EP485" s="694"/>
      <c r="EQ485" s="694"/>
      <c r="ER485" s="694"/>
      <c r="ES485" s="694"/>
      <c r="ET485" s="694"/>
      <c r="EU485" s="694"/>
      <c r="EV485" s="694"/>
      <c r="EW485" s="694"/>
      <c r="EX485" s="694"/>
      <c r="EY485" s="694"/>
      <c r="EZ485" s="694"/>
      <c r="FA485" s="694"/>
      <c r="FB485" s="694"/>
      <c r="FC485" s="694"/>
      <c r="FD485" s="694"/>
      <c r="FE485" s="694"/>
      <c r="FF485" s="694"/>
      <c r="FG485" s="694"/>
      <c r="FH485" s="694"/>
      <c r="FI485" s="694"/>
      <c r="FJ485" s="694"/>
      <c r="FK485" s="694"/>
      <c r="FL485" s="694"/>
      <c r="FM485" s="694"/>
      <c r="FN485" s="694"/>
      <c r="FO485" s="694"/>
      <c r="FP485" s="694"/>
      <c r="FQ485" s="697"/>
    </row>
    <row r="486" spans="1:173" s="696" customFormat="1">
      <c r="A486" s="690"/>
      <c r="B486" s="690"/>
      <c r="C486" s="691" t="s">
        <v>3635</v>
      </c>
      <c r="D486" s="691"/>
      <c r="E486" s="692">
        <v>35.4</v>
      </c>
      <c r="F486" s="692"/>
      <c r="G486" s="692"/>
      <c r="H486" s="692"/>
      <c r="I486" s="692"/>
      <c r="J486" s="692"/>
      <c r="K486" s="692"/>
      <c r="L486" s="692"/>
      <c r="M486" s="692"/>
      <c r="N486" s="692"/>
      <c r="O486" s="692">
        <f t="shared" si="154"/>
        <v>35.4</v>
      </c>
      <c r="P486" s="692"/>
      <c r="Q486" s="692"/>
      <c r="R486" s="693"/>
      <c r="S486" s="693"/>
      <c r="T486" s="692"/>
      <c r="U486" s="692" t="s">
        <v>1903</v>
      </c>
      <c r="V486" s="692"/>
      <c r="W486" s="692">
        <v>2</v>
      </c>
      <c r="X486" s="692"/>
      <c r="Y486" s="692"/>
      <c r="Z486" s="692"/>
      <c r="AA486" s="692"/>
      <c r="AB486" s="692"/>
      <c r="AC486" s="692"/>
      <c r="AD486" s="692"/>
      <c r="AE486" s="725"/>
      <c r="AF486" s="957">
        <v>1</v>
      </c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>
        <v>1</v>
      </c>
      <c r="AX486" s="692"/>
      <c r="AY486" s="692"/>
      <c r="AZ486" s="692">
        <f t="shared" si="151"/>
        <v>2</v>
      </c>
      <c r="BA486" s="692"/>
      <c r="BB486" s="692"/>
      <c r="BC486" s="692"/>
      <c r="BD486" s="692"/>
      <c r="BE486" s="692"/>
      <c r="BF486" s="692">
        <v>1</v>
      </c>
      <c r="BG486" s="692"/>
      <c r="BH486" s="692"/>
      <c r="BI486" s="692">
        <v>5</v>
      </c>
      <c r="BJ486" s="692"/>
      <c r="BK486" s="692"/>
      <c r="BL486" s="692"/>
      <c r="BM486" s="692"/>
      <c r="BN486" s="692"/>
      <c r="BO486" s="692"/>
      <c r="BP486" s="692"/>
      <c r="BQ486" s="692">
        <f t="shared" si="152"/>
        <v>1</v>
      </c>
      <c r="BR486" s="692"/>
      <c r="BS486" s="692">
        <v>2</v>
      </c>
      <c r="BT486" s="692"/>
      <c r="BU486" s="692"/>
      <c r="BV486" s="692"/>
      <c r="BW486" s="692"/>
      <c r="BX486" s="692"/>
      <c r="BY486" s="692"/>
      <c r="BZ486" s="692"/>
      <c r="CA486" s="692"/>
      <c r="CB486" s="692">
        <v>1</v>
      </c>
      <c r="CC486" s="692"/>
      <c r="CD486" s="692">
        <f t="shared" si="153"/>
        <v>4</v>
      </c>
      <c r="CE486" s="692"/>
      <c r="CF486" s="692"/>
      <c r="CG486" s="692"/>
      <c r="CH486" s="692"/>
      <c r="CI486" s="692"/>
      <c r="CJ486" s="692"/>
      <c r="CK486" s="692"/>
      <c r="CL486" s="692"/>
      <c r="CM486" s="692"/>
      <c r="CN486" s="692"/>
      <c r="CO486" s="692"/>
      <c r="CP486" s="692"/>
      <c r="CQ486" s="692"/>
      <c r="CR486" s="692"/>
      <c r="CS486" s="692"/>
      <c r="CT486" s="692"/>
      <c r="CU486" s="692"/>
      <c r="CV486" s="692"/>
      <c r="CW486" s="692"/>
      <c r="CX486" s="694"/>
      <c r="CY486" s="694"/>
      <c r="CZ486" s="694"/>
      <c r="DA486" s="694"/>
      <c r="DB486" s="694"/>
      <c r="DC486" s="694"/>
      <c r="DD486" s="694"/>
      <c r="DE486" s="694"/>
      <c r="DF486" s="694"/>
      <c r="DG486" s="695"/>
      <c r="DH486" s="695"/>
      <c r="DI486" s="695"/>
      <c r="DJ486" s="695"/>
      <c r="DK486" s="695"/>
      <c r="DL486" s="695"/>
      <c r="DM486" s="695"/>
      <c r="DN486" s="695"/>
      <c r="DO486" s="695"/>
      <c r="DP486" s="695"/>
      <c r="DQ486" s="695"/>
      <c r="DR486" s="695"/>
      <c r="DS486" s="694"/>
      <c r="DT486" s="694"/>
      <c r="DU486" s="694"/>
      <c r="DV486" s="694"/>
      <c r="DW486" s="694"/>
      <c r="DX486" s="694"/>
      <c r="DY486" s="694"/>
      <c r="DZ486" s="694"/>
      <c r="EA486" s="694"/>
      <c r="EB486" s="694"/>
      <c r="EC486" s="694"/>
      <c r="ED486" s="694"/>
      <c r="EE486" s="694"/>
      <c r="EF486" s="694"/>
      <c r="EG486" s="694"/>
      <c r="EH486" s="694"/>
      <c r="EI486" s="694"/>
      <c r="EJ486" s="694"/>
      <c r="EK486" s="694"/>
      <c r="EL486" s="694"/>
      <c r="EM486" s="694"/>
      <c r="EN486" s="694"/>
      <c r="EO486" s="694"/>
      <c r="EP486" s="694"/>
      <c r="EQ486" s="694"/>
      <c r="ER486" s="694"/>
      <c r="ES486" s="694"/>
      <c r="ET486" s="694"/>
      <c r="EU486" s="694"/>
      <c r="EV486" s="694"/>
      <c r="EW486" s="694"/>
      <c r="EX486" s="694"/>
      <c r="EY486" s="694"/>
      <c r="EZ486" s="694"/>
      <c r="FA486" s="694"/>
      <c r="FB486" s="694"/>
      <c r="FC486" s="694"/>
      <c r="FD486" s="694"/>
      <c r="FE486" s="694"/>
      <c r="FF486" s="694"/>
      <c r="FG486" s="694"/>
      <c r="FH486" s="694"/>
      <c r="FI486" s="694"/>
      <c r="FJ486" s="694"/>
      <c r="FK486" s="694"/>
      <c r="FL486" s="694"/>
      <c r="FM486" s="694"/>
      <c r="FN486" s="694"/>
      <c r="FO486" s="694"/>
      <c r="FP486" s="694"/>
      <c r="FQ486" s="697"/>
    </row>
    <row r="487" spans="1:173" s="696" customFormat="1">
      <c r="A487" s="690"/>
      <c r="B487" s="690"/>
      <c r="C487" s="691" t="s">
        <v>3636</v>
      </c>
      <c r="D487" s="691"/>
      <c r="E487" s="692">
        <v>37.4</v>
      </c>
      <c r="F487" s="692"/>
      <c r="G487" s="692"/>
      <c r="H487" s="692"/>
      <c r="I487" s="692"/>
      <c r="J487" s="692"/>
      <c r="K487" s="692"/>
      <c r="L487" s="692"/>
      <c r="M487" s="692"/>
      <c r="N487" s="692"/>
      <c r="O487" s="692">
        <f t="shared" si="154"/>
        <v>37.4</v>
      </c>
      <c r="P487" s="692"/>
      <c r="Q487" s="692"/>
      <c r="R487" s="693"/>
      <c r="S487" s="693"/>
      <c r="T487" s="692"/>
      <c r="U487" s="692" t="s">
        <v>1903</v>
      </c>
      <c r="V487" s="692"/>
      <c r="W487" s="692"/>
      <c r="X487" s="692"/>
      <c r="Y487" s="692"/>
      <c r="Z487" s="692"/>
      <c r="AA487" s="692"/>
      <c r="AB487" s="692"/>
      <c r="AC487" s="692"/>
      <c r="AD487" s="692"/>
      <c r="AE487" s="725"/>
      <c r="AF487" s="957"/>
      <c r="AG487" s="692"/>
      <c r="AH487" s="692"/>
      <c r="AI487" s="692"/>
      <c r="AJ487" s="692"/>
      <c r="AK487" s="692"/>
      <c r="AL487" s="692"/>
      <c r="AM487" s="692"/>
      <c r="AN487" s="692"/>
      <c r="AO487" s="692"/>
      <c r="AP487" s="692"/>
      <c r="AQ487" s="692"/>
      <c r="AR487" s="692"/>
      <c r="AS487" s="692"/>
      <c r="AT487" s="692"/>
      <c r="AU487" s="692"/>
      <c r="AV487" s="692"/>
      <c r="AW487" s="692">
        <v>1</v>
      </c>
      <c r="AX487" s="692"/>
      <c r="AY487" s="692"/>
      <c r="AZ487" s="692">
        <f t="shared" si="151"/>
        <v>2</v>
      </c>
      <c r="BA487" s="692"/>
      <c r="BB487" s="692"/>
      <c r="BC487" s="692"/>
      <c r="BD487" s="692">
        <v>1</v>
      </c>
      <c r="BE487" s="692"/>
      <c r="BF487" s="692"/>
      <c r="BG487" s="692"/>
      <c r="BH487" s="692"/>
      <c r="BI487" s="692">
        <v>5</v>
      </c>
      <c r="BJ487" s="692"/>
      <c r="BK487" s="692"/>
      <c r="BL487" s="692"/>
      <c r="BM487" s="692"/>
      <c r="BN487" s="692"/>
      <c r="BO487" s="692"/>
      <c r="BP487" s="692"/>
      <c r="BQ487" s="692">
        <f t="shared" si="152"/>
        <v>1</v>
      </c>
      <c r="BR487" s="692"/>
      <c r="BS487" s="692">
        <v>2</v>
      </c>
      <c r="BT487" s="692"/>
      <c r="BU487" s="692"/>
      <c r="BV487" s="692"/>
      <c r="BW487" s="692"/>
      <c r="BX487" s="692"/>
      <c r="BY487" s="692"/>
      <c r="BZ487" s="692"/>
      <c r="CA487" s="692"/>
      <c r="CB487" s="692">
        <v>1</v>
      </c>
      <c r="CC487" s="692"/>
      <c r="CD487" s="692">
        <f t="shared" si="153"/>
        <v>4</v>
      </c>
      <c r="CE487" s="692"/>
      <c r="CF487" s="692"/>
      <c r="CG487" s="692"/>
      <c r="CH487" s="692"/>
      <c r="CI487" s="692"/>
      <c r="CJ487" s="692"/>
      <c r="CK487" s="692"/>
      <c r="CL487" s="692"/>
      <c r="CM487" s="692"/>
      <c r="CN487" s="692"/>
      <c r="CO487" s="692"/>
      <c r="CP487" s="692"/>
      <c r="CQ487" s="692"/>
      <c r="CR487" s="692"/>
      <c r="CS487" s="692"/>
      <c r="CT487" s="692"/>
      <c r="CU487" s="692"/>
      <c r="CV487" s="692"/>
      <c r="CW487" s="692"/>
      <c r="CX487" s="694"/>
      <c r="CY487" s="694"/>
      <c r="CZ487" s="694"/>
      <c r="DA487" s="694"/>
      <c r="DB487" s="694"/>
      <c r="DC487" s="694"/>
      <c r="DD487" s="694"/>
      <c r="DE487" s="694"/>
      <c r="DF487" s="694"/>
      <c r="DG487" s="695"/>
      <c r="DH487" s="695"/>
      <c r="DI487" s="695"/>
      <c r="DJ487" s="695"/>
      <c r="DK487" s="695"/>
      <c r="DL487" s="695"/>
      <c r="DM487" s="695"/>
      <c r="DN487" s="695"/>
      <c r="DO487" s="695"/>
      <c r="DP487" s="695"/>
      <c r="DQ487" s="695"/>
      <c r="DR487" s="695"/>
      <c r="DS487" s="694"/>
      <c r="DT487" s="694"/>
      <c r="DU487" s="694"/>
      <c r="DV487" s="694"/>
      <c r="DW487" s="694"/>
      <c r="DX487" s="694"/>
      <c r="DY487" s="694"/>
      <c r="DZ487" s="694"/>
      <c r="EA487" s="694"/>
      <c r="EB487" s="694"/>
      <c r="EC487" s="694"/>
      <c r="ED487" s="694"/>
      <c r="EE487" s="694"/>
      <c r="EF487" s="694"/>
      <c r="EG487" s="694"/>
      <c r="EH487" s="694"/>
      <c r="EI487" s="694"/>
      <c r="EJ487" s="694"/>
      <c r="EK487" s="694"/>
      <c r="EL487" s="694"/>
      <c r="EM487" s="694"/>
      <c r="EN487" s="694"/>
      <c r="EO487" s="694"/>
      <c r="EP487" s="694"/>
      <c r="EQ487" s="694"/>
      <c r="ER487" s="694"/>
      <c r="ES487" s="694"/>
      <c r="ET487" s="694"/>
      <c r="EU487" s="694"/>
      <c r="EV487" s="694"/>
      <c r="EW487" s="694"/>
      <c r="EX487" s="694"/>
      <c r="EY487" s="694"/>
      <c r="EZ487" s="694"/>
      <c r="FA487" s="694"/>
      <c r="FB487" s="694"/>
      <c r="FC487" s="694"/>
      <c r="FD487" s="694"/>
      <c r="FE487" s="694"/>
      <c r="FF487" s="694"/>
      <c r="FG487" s="694"/>
      <c r="FH487" s="694"/>
      <c r="FI487" s="694"/>
      <c r="FJ487" s="694"/>
      <c r="FK487" s="694"/>
      <c r="FL487" s="694"/>
      <c r="FM487" s="694"/>
      <c r="FN487" s="694"/>
      <c r="FO487" s="694"/>
      <c r="FP487" s="694"/>
      <c r="FQ487" s="697"/>
    </row>
    <row r="488" spans="1:173" s="696" customFormat="1">
      <c r="A488" s="690"/>
      <c r="B488" s="690"/>
      <c r="C488" s="691" t="s">
        <v>3637</v>
      </c>
      <c r="D488" s="691"/>
      <c r="E488" s="692">
        <v>40.9</v>
      </c>
      <c r="F488" s="692"/>
      <c r="G488" s="692"/>
      <c r="H488" s="692"/>
      <c r="I488" s="692"/>
      <c r="J488" s="692"/>
      <c r="K488" s="692"/>
      <c r="L488" s="692"/>
      <c r="M488" s="692"/>
      <c r="N488" s="692"/>
      <c r="O488" s="692">
        <f t="shared" si="154"/>
        <v>40.9</v>
      </c>
      <c r="P488" s="692"/>
      <c r="Q488" s="692"/>
      <c r="R488" s="693"/>
      <c r="S488" s="693"/>
      <c r="T488" s="692"/>
      <c r="U488" s="692" t="s">
        <v>1631</v>
      </c>
      <c r="V488" s="692"/>
      <c r="W488" s="692"/>
      <c r="X488" s="692"/>
      <c r="Y488" s="692"/>
      <c r="Z488" s="692"/>
      <c r="AA488" s="692"/>
      <c r="AB488" s="692"/>
      <c r="AC488" s="692"/>
      <c r="AD488" s="692"/>
      <c r="AE488" s="725"/>
      <c r="AF488" s="957"/>
      <c r="AG488" s="692"/>
      <c r="AH488" s="692"/>
      <c r="AI488" s="692"/>
      <c r="AJ488" s="692"/>
      <c r="AK488" s="692"/>
      <c r="AL488" s="692"/>
      <c r="AM488" s="692"/>
      <c r="AN488" s="692"/>
      <c r="AO488" s="692"/>
      <c r="AP488" s="692"/>
      <c r="AQ488" s="692"/>
      <c r="AR488" s="692"/>
      <c r="AS488" s="692"/>
      <c r="AT488" s="692"/>
      <c r="AU488" s="692"/>
      <c r="AV488" s="692"/>
      <c r="AW488" s="692"/>
      <c r="AX488" s="692"/>
      <c r="AY488" s="692"/>
      <c r="AZ488" s="692">
        <f t="shared" si="151"/>
        <v>1</v>
      </c>
      <c r="BA488" s="692"/>
      <c r="BB488" s="692"/>
      <c r="BC488" s="692"/>
      <c r="BD488" s="692">
        <v>1</v>
      </c>
      <c r="BE488" s="692"/>
      <c r="BF488" s="692"/>
      <c r="BG488" s="692"/>
      <c r="BH488" s="692"/>
      <c r="BI488" s="692">
        <v>5</v>
      </c>
      <c r="BJ488" s="692"/>
      <c r="BK488" s="692"/>
      <c r="BL488" s="692"/>
      <c r="BM488" s="692"/>
      <c r="BN488" s="692"/>
      <c r="BO488" s="692"/>
      <c r="BP488" s="692"/>
      <c r="BQ488" s="692">
        <f t="shared" si="152"/>
        <v>0</v>
      </c>
      <c r="BR488" s="692"/>
      <c r="BS488" s="692">
        <v>1</v>
      </c>
      <c r="BT488" s="692"/>
      <c r="BU488" s="692"/>
      <c r="BV488" s="692"/>
      <c r="BW488" s="692"/>
      <c r="BX488" s="692"/>
      <c r="BY488" s="692"/>
      <c r="BZ488" s="692"/>
      <c r="CA488" s="692"/>
      <c r="CB488" s="692">
        <v>1</v>
      </c>
      <c r="CC488" s="692"/>
      <c r="CD488" s="692">
        <f t="shared" si="153"/>
        <v>4</v>
      </c>
      <c r="CE488" s="692"/>
      <c r="CF488" s="692"/>
      <c r="CG488" s="692"/>
      <c r="CH488" s="692"/>
      <c r="CI488" s="692"/>
      <c r="CJ488" s="692"/>
      <c r="CK488" s="692"/>
      <c r="CL488" s="692"/>
      <c r="CM488" s="692"/>
      <c r="CN488" s="692"/>
      <c r="CO488" s="692"/>
      <c r="CP488" s="692"/>
      <c r="CQ488" s="692"/>
      <c r="CR488" s="692"/>
      <c r="CS488" s="692"/>
      <c r="CT488" s="692"/>
      <c r="CU488" s="692"/>
      <c r="CV488" s="692"/>
      <c r="CW488" s="692"/>
      <c r="CX488" s="694"/>
      <c r="CY488" s="694"/>
      <c r="CZ488" s="694"/>
      <c r="DA488" s="694"/>
      <c r="DB488" s="694"/>
      <c r="DC488" s="694"/>
      <c r="DD488" s="694"/>
      <c r="DE488" s="694"/>
      <c r="DF488" s="694"/>
      <c r="DG488" s="695"/>
      <c r="DH488" s="695"/>
      <c r="DI488" s="695"/>
      <c r="DJ488" s="695"/>
      <c r="DK488" s="695"/>
      <c r="DL488" s="695"/>
      <c r="DM488" s="695"/>
      <c r="DN488" s="695"/>
      <c r="DO488" s="695"/>
      <c r="DP488" s="695"/>
      <c r="DQ488" s="695"/>
      <c r="DR488" s="695"/>
      <c r="DS488" s="694"/>
      <c r="DT488" s="694"/>
      <c r="DU488" s="694"/>
      <c r="DV488" s="694"/>
      <c r="DW488" s="694"/>
      <c r="DX488" s="694"/>
      <c r="DY488" s="694"/>
      <c r="DZ488" s="694"/>
      <c r="EA488" s="694"/>
      <c r="EB488" s="694"/>
      <c r="EC488" s="694"/>
      <c r="ED488" s="694"/>
      <c r="EE488" s="694"/>
      <c r="EF488" s="694"/>
      <c r="EG488" s="694"/>
      <c r="EH488" s="694"/>
      <c r="EI488" s="694"/>
      <c r="EJ488" s="694"/>
      <c r="EK488" s="694"/>
      <c r="EL488" s="694"/>
      <c r="EM488" s="694"/>
      <c r="EN488" s="694"/>
      <c r="EO488" s="694"/>
      <c r="EP488" s="694"/>
      <c r="EQ488" s="694"/>
      <c r="ER488" s="694"/>
      <c r="ES488" s="694"/>
      <c r="ET488" s="694"/>
      <c r="EU488" s="694"/>
      <c r="EV488" s="694"/>
      <c r="EW488" s="694"/>
      <c r="EX488" s="694"/>
      <c r="EY488" s="694"/>
      <c r="EZ488" s="694"/>
      <c r="FA488" s="694"/>
      <c r="FB488" s="694"/>
      <c r="FC488" s="694"/>
      <c r="FD488" s="694"/>
      <c r="FE488" s="694"/>
      <c r="FF488" s="694"/>
      <c r="FG488" s="694"/>
      <c r="FH488" s="694"/>
      <c r="FI488" s="694"/>
      <c r="FJ488" s="694"/>
      <c r="FK488" s="694"/>
      <c r="FL488" s="694"/>
      <c r="FM488" s="694"/>
      <c r="FN488" s="694"/>
      <c r="FO488" s="694"/>
      <c r="FP488" s="694"/>
      <c r="FQ488" s="697"/>
    </row>
    <row r="489" spans="1:173" s="696" customFormat="1">
      <c r="A489" s="690"/>
      <c r="B489" s="690"/>
      <c r="C489" s="691" t="s">
        <v>3638</v>
      </c>
      <c r="D489" s="691"/>
      <c r="E489" s="692">
        <v>29.2</v>
      </c>
      <c r="F489" s="692"/>
      <c r="G489" s="692"/>
      <c r="H489" s="692"/>
      <c r="I489" s="692"/>
      <c r="J489" s="692"/>
      <c r="K489" s="692"/>
      <c r="L489" s="692"/>
      <c r="M489" s="692"/>
      <c r="N489" s="692"/>
      <c r="O489" s="692">
        <f t="shared" si="154"/>
        <v>29.2</v>
      </c>
      <c r="P489" s="692"/>
      <c r="Q489" s="692"/>
      <c r="R489" s="693"/>
      <c r="S489" s="693"/>
      <c r="T489" s="692"/>
      <c r="U489" s="692" t="s">
        <v>2989</v>
      </c>
      <c r="V489" s="692"/>
      <c r="W489" s="692">
        <v>2</v>
      </c>
      <c r="X489" s="692"/>
      <c r="Y489" s="692"/>
      <c r="Z489" s="692"/>
      <c r="AA489" s="692"/>
      <c r="AB489" s="692"/>
      <c r="AC489" s="692"/>
      <c r="AD489" s="692"/>
      <c r="AE489" s="725"/>
      <c r="AF489" s="957">
        <v>1</v>
      </c>
      <c r="AG489" s="692"/>
      <c r="AH489" s="692"/>
      <c r="AI489" s="692"/>
      <c r="AJ489" s="692"/>
      <c r="AK489" s="692"/>
      <c r="AL489" s="692"/>
      <c r="AM489" s="692">
        <v>1</v>
      </c>
      <c r="AN489" s="692"/>
      <c r="AO489" s="692"/>
      <c r="AP489" s="692"/>
      <c r="AQ489" s="692">
        <v>1</v>
      </c>
      <c r="AR489" s="692"/>
      <c r="AS489" s="692"/>
      <c r="AT489" s="692"/>
      <c r="AU489" s="692"/>
      <c r="AV489" s="692"/>
      <c r="AW489" s="692">
        <v>1</v>
      </c>
      <c r="AX489" s="692"/>
      <c r="AY489" s="692"/>
      <c r="AZ489" s="692">
        <f t="shared" si="151"/>
        <v>2</v>
      </c>
      <c r="BA489" s="692"/>
      <c r="BB489" s="692"/>
      <c r="BC489" s="692"/>
      <c r="BD489" s="692">
        <v>1</v>
      </c>
      <c r="BE489" s="692"/>
      <c r="BF489" s="692">
        <v>1</v>
      </c>
      <c r="BG489" s="692"/>
      <c r="BH489" s="692"/>
      <c r="BI489" s="692">
        <v>5</v>
      </c>
      <c r="BJ489" s="692"/>
      <c r="BK489" s="692"/>
      <c r="BL489" s="692"/>
      <c r="BM489" s="692"/>
      <c r="BN489" s="692"/>
      <c r="BO489" s="692"/>
      <c r="BP489" s="692"/>
      <c r="BQ489" s="692">
        <f t="shared" si="152"/>
        <v>0</v>
      </c>
      <c r="BR489" s="692"/>
      <c r="BS489" s="692">
        <v>0</v>
      </c>
      <c r="BT489" s="692"/>
      <c r="BU489" s="692"/>
      <c r="BV489" s="692"/>
      <c r="BW489" s="692"/>
      <c r="BX489" s="692">
        <v>2</v>
      </c>
      <c r="BY489" s="692"/>
      <c r="BZ489" s="692"/>
      <c r="CA489" s="692"/>
      <c r="CB489" s="692">
        <v>1</v>
      </c>
      <c r="CC489" s="692"/>
      <c r="CD489" s="692">
        <f t="shared" si="153"/>
        <v>4</v>
      </c>
      <c r="CE489" s="692"/>
      <c r="CF489" s="692"/>
      <c r="CG489" s="692"/>
      <c r="CH489" s="692"/>
      <c r="CI489" s="692"/>
      <c r="CJ489" s="692">
        <v>3</v>
      </c>
      <c r="CK489" s="692"/>
      <c r="CL489" s="692"/>
      <c r="CM489" s="692"/>
      <c r="CN489" s="692"/>
      <c r="CO489" s="692"/>
      <c r="CP489" s="692"/>
      <c r="CQ489" s="692"/>
      <c r="CR489" s="692"/>
      <c r="CS489" s="692"/>
      <c r="CT489" s="692"/>
      <c r="CU489" s="692"/>
      <c r="CV489" s="692"/>
      <c r="CW489" s="692"/>
      <c r="CX489" s="694"/>
      <c r="CY489" s="694"/>
      <c r="CZ489" s="694"/>
      <c r="DA489" s="694"/>
      <c r="DB489" s="694"/>
      <c r="DC489" s="694"/>
      <c r="DD489" s="694"/>
      <c r="DE489" s="694"/>
      <c r="DF489" s="694"/>
      <c r="DG489" s="695"/>
      <c r="DH489" s="695"/>
      <c r="DI489" s="695"/>
      <c r="DJ489" s="695"/>
      <c r="DK489" s="695"/>
      <c r="DL489" s="695"/>
      <c r="DM489" s="695"/>
      <c r="DN489" s="695"/>
      <c r="DO489" s="695"/>
      <c r="DP489" s="695"/>
      <c r="DQ489" s="695"/>
      <c r="DR489" s="695"/>
      <c r="DS489" s="694"/>
      <c r="DT489" s="694"/>
      <c r="DU489" s="694"/>
      <c r="DV489" s="694"/>
      <c r="DW489" s="694"/>
      <c r="DX489" s="694"/>
      <c r="DY489" s="694"/>
      <c r="DZ489" s="694"/>
      <c r="EA489" s="694"/>
      <c r="EB489" s="694"/>
      <c r="EC489" s="694"/>
      <c r="ED489" s="694"/>
      <c r="EE489" s="694"/>
      <c r="EF489" s="694"/>
      <c r="EG489" s="694"/>
      <c r="EH489" s="694"/>
      <c r="EI489" s="694"/>
      <c r="EJ489" s="694"/>
      <c r="EK489" s="694"/>
      <c r="EL489" s="694"/>
      <c r="EM489" s="694"/>
      <c r="EN489" s="694"/>
      <c r="EO489" s="694"/>
      <c r="EP489" s="694"/>
      <c r="EQ489" s="694"/>
      <c r="ER489" s="694"/>
      <c r="ES489" s="694"/>
      <c r="ET489" s="694"/>
      <c r="EU489" s="694"/>
      <c r="EV489" s="694"/>
      <c r="EW489" s="694"/>
      <c r="EX489" s="694"/>
      <c r="EY489" s="694"/>
      <c r="EZ489" s="694"/>
      <c r="FA489" s="694"/>
      <c r="FB489" s="694"/>
      <c r="FC489" s="694"/>
      <c r="FD489" s="694"/>
      <c r="FE489" s="694"/>
      <c r="FF489" s="694"/>
      <c r="FG489" s="694"/>
      <c r="FH489" s="694"/>
      <c r="FI489" s="694"/>
      <c r="FJ489" s="694"/>
      <c r="FK489" s="694"/>
      <c r="FL489" s="694"/>
      <c r="FM489" s="694"/>
      <c r="FN489" s="694"/>
      <c r="FO489" s="694"/>
      <c r="FP489" s="694"/>
      <c r="FQ489" s="697"/>
    </row>
    <row r="490" spans="1:173" s="696" customFormat="1">
      <c r="A490" s="690"/>
      <c r="B490" s="690"/>
      <c r="C490" s="691" t="s">
        <v>3639</v>
      </c>
      <c r="D490" s="691"/>
      <c r="E490" s="692">
        <v>32.700000000000003</v>
      </c>
      <c r="F490" s="692"/>
      <c r="G490" s="692"/>
      <c r="H490" s="692"/>
      <c r="I490" s="692"/>
      <c r="J490" s="692"/>
      <c r="K490" s="692"/>
      <c r="L490" s="692"/>
      <c r="M490" s="692"/>
      <c r="N490" s="692"/>
      <c r="O490" s="692">
        <f t="shared" si="154"/>
        <v>32.700000000000003</v>
      </c>
      <c r="P490" s="692"/>
      <c r="Q490" s="692"/>
      <c r="R490" s="693"/>
      <c r="S490" s="693"/>
      <c r="T490" s="692"/>
      <c r="U490" s="692" t="s">
        <v>1903</v>
      </c>
      <c r="V490" s="692"/>
      <c r="W490" s="692"/>
      <c r="X490" s="692"/>
      <c r="Y490" s="692"/>
      <c r="Z490" s="692"/>
      <c r="AA490" s="692"/>
      <c r="AB490" s="692"/>
      <c r="AC490" s="692"/>
      <c r="AD490" s="692"/>
      <c r="AE490" s="725"/>
      <c r="AF490" s="957"/>
      <c r="AG490" s="692"/>
      <c r="AH490" s="692"/>
      <c r="AI490" s="692"/>
      <c r="AJ490" s="692"/>
      <c r="AK490" s="692"/>
      <c r="AL490" s="692"/>
      <c r="AM490" s="692"/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2"/>
      <c r="AX490" s="692"/>
      <c r="AY490" s="692"/>
      <c r="AZ490" s="692">
        <f t="shared" si="151"/>
        <v>0</v>
      </c>
      <c r="BA490" s="692"/>
      <c r="BB490" s="692"/>
      <c r="BC490" s="692"/>
      <c r="BD490" s="692">
        <v>1</v>
      </c>
      <c r="BE490" s="692"/>
      <c r="BF490" s="692"/>
      <c r="BG490" s="692"/>
      <c r="BH490" s="692"/>
      <c r="BI490" s="692">
        <v>0</v>
      </c>
      <c r="BJ490" s="692"/>
      <c r="BK490" s="692"/>
      <c r="BL490" s="692"/>
      <c r="BM490" s="692"/>
      <c r="BN490" s="692"/>
      <c r="BO490" s="692"/>
      <c r="BP490" s="692"/>
      <c r="BQ490" s="692">
        <f t="shared" si="152"/>
        <v>1</v>
      </c>
      <c r="BR490" s="692"/>
      <c r="BS490" s="692">
        <v>2</v>
      </c>
      <c r="BT490" s="692"/>
      <c r="BU490" s="692"/>
      <c r="BV490" s="692"/>
      <c r="BW490" s="692"/>
      <c r="BX490" s="692"/>
      <c r="BY490" s="692"/>
      <c r="BZ490" s="692"/>
      <c r="CA490" s="692"/>
      <c r="CB490" s="692"/>
      <c r="CC490" s="692"/>
      <c r="CD490" s="692">
        <f t="shared" si="153"/>
        <v>0</v>
      </c>
      <c r="CE490" s="692"/>
      <c r="CF490" s="692"/>
      <c r="CG490" s="692"/>
      <c r="CH490" s="692"/>
      <c r="CI490" s="692"/>
      <c r="CJ490" s="692"/>
      <c r="CK490" s="692"/>
      <c r="CL490" s="692"/>
      <c r="CM490" s="692"/>
      <c r="CN490" s="692"/>
      <c r="CO490" s="692"/>
      <c r="CP490" s="692"/>
      <c r="CQ490" s="692"/>
      <c r="CR490" s="692"/>
      <c r="CS490" s="692"/>
      <c r="CT490" s="692"/>
      <c r="CU490" s="692"/>
      <c r="CV490" s="692"/>
      <c r="CW490" s="692"/>
      <c r="CX490" s="694"/>
      <c r="CY490" s="694"/>
      <c r="CZ490" s="694"/>
      <c r="DA490" s="694"/>
      <c r="DB490" s="694"/>
      <c r="DC490" s="694"/>
      <c r="DD490" s="694"/>
      <c r="DE490" s="694"/>
      <c r="DF490" s="694"/>
      <c r="DG490" s="695"/>
      <c r="DH490" s="695"/>
      <c r="DI490" s="695"/>
      <c r="DJ490" s="695"/>
      <c r="DK490" s="695"/>
      <c r="DL490" s="695"/>
      <c r="DM490" s="695"/>
      <c r="DN490" s="695"/>
      <c r="DO490" s="695"/>
      <c r="DP490" s="695"/>
      <c r="DQ490" s="695"/>
      <c r="DR490" s="695"/>
      <c r="DS490" s="694"/>
      <c r="DT490" s="694"/>
      <c r="DU490" s="694"/>
      <c r="DV490" s="694"/>
      <c r="DW490" s="694"/>
      <c r="DX490" s="694"/>
      <c r="DY490" s="694"/>
      <c r="DZ490" s="694"/>
      <c r="EA490" s="694"/>
      <c r="EB490" s="694"/>
      <c r="EC490" s="694"/>
      <c r="ED490" s="694"/>
      <c r="EE490" s="694"/>
      <c r="EF490" s="694"/>
      <c r="EG490" s="694"/>
      <c r="EH490" s="694"/>
      <c r="EI490" s="694"/>
      <c r="EJ490" s="694"/>
      <c r="EK490" s="694"/>
      <c r="EL490" s="694"/>
      <c r="EM490" s="694"/>
      <c r="EN490" s="694"/>
      <c r="EO490" s="694"/>
      <c r="EP490" s="694"/>
      <c r="EQ490" s="694"/>
      <c r="ER490" s="694"/>
      <c r="ES490" s="694"/>
      <c r="ET490" s="694"/>
      <c r="EU490" s="694"/>
      <c r="EV490" s="694"/>
      <c r="EW490" s="694"/>
      <c r="EX490" s="694"/>
      <c r="EY490" s="694"/>
      <c r="EZ490" s="694"/>
      <c r="FA490" s="694"/>
      <c r="FB490" s="694"/>
      <c r="FC490" s="694"/>
      <c r="FD490" s="694"/>
      <c r="FE490" s="694"/>
      <c r="FF490" s="694"/>
      <c r="FG490" s="694"/>
      <c r="FH490" s="694"/>
      <c r="FI490" s="694"/>
      <c r="FJ490" s="694"/>
      <c r="FK490" s="694"/>
      <c r="FL490" s="694"/>
      <c r="FM490" s="694"/>
      <c r="FN490" s="694"/>
      <c r="FO490" s="694"/>
      <c r="FP490" s="694"/>
      <c r="FQ490" s="697"/>
    </row>
    <row r="491" spans="1:173" s="696" customFormat="1">
      <c r="A491" s="690"/>
      <c r="B491" s="690"/>
      <c r="C491" s="691" t="s">
        <v>3640</v>
      </c>
      <c r="D491" s="691"/>
      <c r="E491" s="692">
        <v>40.9</v>
      </c>
      <c r="F491" s="692"/>
      <c r="G491" s="692"/>
      <c r="H491" s="692"/>
      <c r="I491" s="692"/>
      <c r="J491" s="692"/>
      <c r="K491" s="692"/>
      <c r="L491" s="692"/>
      <c r="M491" s="692"/>
      <c r="N491" s="692"/>
      <c r="O491" s="692">
        <f t="shared" si="154"/>
        <v>40.9</v>
      </c>
      <c r="P491" s="692"/>
      <c r="Q491" s="692"/>
      <c r="R491" s="693"/>
      <c r="S491" s="693"/>
      <c r="T491" s="692"/>
      <c r="U491" s="692" t="s">
        <v>1631</v>
      </c>
      <c r="V491" s="692"/>
      <c r="W491" s="725">
        <v>1</v>
      </c>
      <c r="X491" s="692"/>
      <c r="Y491" s="692"/>
      <c r="Z491" s="692"/>
      <c r="AA491" s="692">
        <v>1</v>
      </c>
      <c r="AB491" s="692"/>
      <c r="AC491" s="692"/>
      <c r="AD491" s="692"/>
      <c r="AE491" s="725"/>
      <c r="AF491" s="957"/>
      <c r="AG491" s="692"/>
      <c r="AH491" s="692"/>
      <c r="AI491" s="692"/>
      <c r="AJ491" s="692"/>
      <c r="AK491" s="692"/>
      <c r="AL491" s="692"/>
      <c r="AM491" s="692"/>
      <c r="AN491" s="692"/>
      <c r="AO491" s="692"/>
      <c r="AP491" s="692"/>
      <c r="AQ491" s="692"/>
      <c r="AR491" s="692"/>
      <c r="AS491" s="692"/>
      <c r="AT491" s="692"/>
      <c r="AU491" s="692">
        <v>1</v>
      </c>
      <c r="AV491" s="692"/>
      <c r="AW491" s="692">
        <v>1</v>
      </c>
      <c r="AX491" s="692"/>
      <c r="AY491" s="692"/>
      <c r="AZ491" s="692">
        <f t="shared" si="151"/>
        <v>2</v>
      </c>
      <c r="BA491" s="692"/>
      <c r="BB491" s="692"/>
      <c r="BC491" s="692"/>
      <c r="BD491" s="692">
        <v>1</v>
      </c>
      <c r="BE491" s="692"/>
      <c r="BF491" s="692"/>
      <c r="BG491" s="692"/>
      <c r="BH491" s="692"/>
      <c r="BI491" s="692">
        <v>7</v>
      </c>
      <c r="BJ491" s="692"/>
      <c r="BK491" s="692"/>
      <c r="BL491" s="692"/>
      <c r="BM491" s="692"/>
      <c r="BN491" s="692"/>
      <c r="BO491" s="692"/>
      <c r="BP491" s="692"/>
      <c r="BQ491" s="692">
        <f t="shared" si="152"/>
        <v>0</v>
      </c>
      <c r="BR491" s="692"/>
      <c r="BS491" s="692">
        <v>1</v>
      </c>
      <c r="BT491" s="692"/>
      <c r="BU491" s="692"/>
      <c r="BV491" s="692"/>
      <c r="BW491" s="692"/>
      <c r="BX491" s="692"/>
      <c r="BY491" s="692"/>
      <c r="BZ491" s="692"/>
      <c r="CA491" s="692"/>
      <c r="CB491" s="692">
        <v>1</v>
      </c>
      <c r="CC491" s="692"/>
      <c r="CD491" s="692">
        <f t="shared" si="153"/>
        <v>4</v>
      </c>
      <c r="CE491" s="692"/>
      <c r="CF491" s="692"/>
      <c r="CG491" s="692"/>
      <c r="CH491" s="692"/>
      <c r="CI491" s="692"/>
      <c r="CJ491" s="692"/>
      <c r="CK491" s="692"/>
      <c r="CL491" s="692"/>
      <c r="CM491" s="692"/>
      <c r="CN491" s="692"/>
      <c r="CO491" s="692"/>
      <c r="CP491" s="692"/>
      <c r="CQ491" s="692"/>
      <c r="CR491" s="692"/>
      <c r="CS491" s="692"/>
      <c r="CT491" s="692"/>
      <c r="CU491" s="692"/>
      <c r="CV491" s="692"/>
      <c r="CW491" s="692"/>
      <c r="CX491" s="694"/>
      <c r="CY491" s="694"/>
      <c r="CZ491" s="694"/>
      <c r="DA491" s="694"/>
      <c r="DB491" s="694"/>
      <c r="DC491" s="694"/>
      <c r="DD491" s="694"/>
      <c r="DE491" s="694"/>
      <c r="DF491" s="694"/>
      <c r="DG491" s="695"/>
      <c r="DH491" s="695"/>
      <c r="DI491" s="695"/>
      <c r="DJ491" s="695"/>
      <c r="DK491" s="695"/>
      <c r="DL491" s="695"/>
      <c r="DM491" s="695"/>
      <c r="DN491" s="695"/>
      <c r="DO491" s="695"/>
      <c r="DP491" s="695"/>
      <c r="DQ491" s="695"/>
      <c r="DR491" s="695"/>
      <c r="DS491" s="694"/>
      <c r="DT491" s="694"/>
      <c r="DU491" s="694"/>
      <c r="DV491" s="694"/>
      <c r="DW491" s="694"/>
      <c r="DX491" s="694"/>
      <c r="DY491" s="694"/>
      <c r="DZ491" s="694"/>
      <c r="EA491" s="694"/>
      <c r="EB491" s="694"/>
      <c r="EC491" s="694"/>
      <c r="ED491" s="694"/>
      <c r="EE491" s="694"/>
      <c r="EF491" s="694"/>
      <c r="EG491" s="694"/>
      <c r="EH491" s="694"/>
      <c r="EI491" s="694"/>
      <c r="EJ491" s="694"/>
      <c r="EK491" s="694"/>
      <c r="EL491" s="694"/>
      <c r="EM491" s="694"/>
      <c r="EN491" s="694"/>
      <c r="EO491" s="694"/>
      <c r="EP491" s="694"/>
      <c r="EQ491" s="694"/>
      <c r="ER491" s="694"/>
      <c r="ES491" s="694"/>
      <c r="ET491" s="694"/>
      <c r="EU491" s="694"/>
      <c r="EV491" s="694"/>
      <c r="EW491" s="694"/>
      <c r="EX491" s="694"/>
      <c r="EY491" s="694"/>
      <c r="EZ491" s="694"/>
      <c r="FA491" s="694"/>
      <c r="FB491" s="694"/>
      <c r="FC491" s="694"/>
      <c r="FD491" s="694"/>
      <c r="FE491" s="694"/>
      <c r="FF491" s="694"/>
      <c r="FG491" s="694"/>
      <c r="FH491" s="694"/>
      <c r="FI491" s="694"/>
      <c r="FJ491" s="694"/>
      <c r="FK491" s="694"/>
      <c r="FL491" s="694"/>
      <c r="FM491" s="694"/>
      <c r="FN491" s="694"/>
      <c r="FO491" s="694"/>
      <c r="FP491" s="694"/>
      <c r="FQ491" s="697"/>
    </row>
    <row r="492" spans="1:173" s="696" customFormat="1">
      <c r="A492" s="690"/>
      <c r="B492" s="690"/>
      <c r="C492" s="691" t="s">
        <v>3641</v>
      </c>
      <c r="D492" s="691"/>
      <c r="E492" s="692">
        <v>37.700000000000003</v>
      </c>
      <c r="F492" s="692"/>
      <c r="G492" s="692"/>
      <c r="H492" s="692"/>
      <c r="I492" s="692"/>
      <c r="J492" s="692"/>
      <c r="K492" s="692"/>
      <c r="L492" s="692"/>
      <c r="M492" s="692"/>
      <c r="N492" s="692"/>
      <c r="O492" s="692">
        <f t="shared" si="154"/>
        <v>37.700000000000003</v>
      </c>
      <c r="P492" s="692"/>
      <c r="Q492" s="692"/>
      <c r="R492" s="693"/>
      <c r="S492" s="693"/>
      <c r="T492" s="692"/>
      <c r="U492" s="692" t="s">
        <v>1903</v>
      </c>
      <c r="V492" s="692"/>
      <c r="W492" s="692"/>
      <c r="X492" s="692"/>
      <c r="Y492" s="692"/>
      <c r="Z492" s="692"/>
      <c r="AA492" s="692"/>
      <c r="AB492" s="692"/>
      <c r="AC492" s="692"/>
      <c r="AD492" s="692"/>
      <c r="AE492" s="725"/>
      <c r="AF492" s="957"/>
      <c r="AG492" s="692"/>
      <c r="AH492" s="692"/>
      <c r="AI492" s="692"/>
      <c r="AJ492" s="692"/>
      <c r="AK492" s="692"/>
      <c r="AL492" s="692"/>
      <c r="AM492" s="692"/>
      <c r="AN492" s="692"/>
      <c r="AO492" s="692"/>
      <c r="AP492" s="692"/>
      <c r="AQ492" s="692"/>
      <c r="AR492" s="692"/>
      <c r="AS492" s="692"/>
      <c r="AT492" s="692"/>
      <c r="AU492" s="692"/>
      <c r="AV492" s="692"/>
      <c r="AW492" s="692"/>
      <c r="AX492" s="692"/>
      <c r="AY492" s="692"/>
      <c r="AZ492" s="692">
        <f t="shared" si="151"/>
        <v>0</v>
      </c>
      <c r="BA492" s="692"/>
      <c r="BB492" s="692"/>
      <c r="BC492" s="692"/>
      <c r="BD492" s="692">
        <v>1</v>
      </c>
      <c r="BE492" s="692"/>
      <c r="BF492" s="692"/>
      <c r="BG492" s="692"/>
      <c r="BH492" s="692"/>
      <c r="BI492" s="692">
        <v>0</v>
      </c>
      <c r="BJ492" s="692"/>
      <c r="BK492" s="692"/>
      <c r="BL492" s="692"/>
      <c r="BM492" s="692"/>
      <c r="BN492" s="692"/>
      <c r="BO492" s="692"/>
      <c r="BP492" s="692"/>
      <c r="BQ492" s="692">
        <f t="shared" si="152"/>
        <v>1</v>
      </c>
      <c r="BR492" s="692"/>
      <c r="BS492" s="692">
        <v>2</v>
      </c>
      <c r="BT492" s="692"/>
      <c r="BU492" s="692"/>
      <c r="BV492" s="692"/>
      <c r="BW492" s="692"/>
      <c r="BX492" s="692"/>
      <c r="BY492" s="692"/>
      <c r="BZ492" s="692"/>
      <c r="CA492" s="692"/>
      <c r="CB492" s="692"/>
      <c r="CC492" s="692"/>
      <c r="CD492" s="692">
        <f t="shared" si="153"/>
        <v>0</v>
      </c>
      <c r="CE492" s="692"/>
      <c r="CF492" s="692"/>
      <c r="CG492" s="692"/>
      <c r="CH492" s="692"/>
      <c r="CI492" s="692"/>
      <c r="CJ492" s="692"/>
      <c r="CK492" s="692"/>
      <c r="CL492" s="692"/>
      <c r="CM492" s="692"/>
      <c r="CN492" s="692"/>
      <c r="CO492" s="692"/>
      <c r="CP492" s="692"/>
      <c r="CQ492" s="692"/>
      <c r="CR492" s="692"/>
      <c r="CS492" s="692"/>
      <c r="CT492" s="692"/>
      <c r="CU492" s="692"/>
      <c r="CV492" s="692"/>
      <c r="CW492" s="692"/>
      <c r="CX492" s="694"/>
      <c r="CY492" s="694"/>
      <c r="CZ492" s="694"/>
      <c r="DA492" s="694"/>
      <c r="DB492" s="694"/>
      <c r="DC492" s="694"/>
      <c r="DD492" s="694"/>
      <c r="DE492" s="694"/>
      <c r="DF492" s="694"/>
      <c r="DG492" s="695"/>
      <c r="DH492" s="695"/>
      <c r="DI492" s="695"/>
      <c r="DJ492" s="695"/>
      <c r="DK492" s="695"/>
      <c r="DL492" s="695"/>
      <c r="DM492" s="695"/>
      <c r="DN492" s="695"/>
      <c r="DO492" s="695"/>
      <c r="DP492" s="695"/>
      <c r="DQ492" s="695"/>
      <c r="DR492" s="695"/>
      <c r="DS492" s="694"/>
      <c r="DT492" s="694"/>
      <c r="DU492" s="694"/>
      <c r="DV492" s="694"/>
      <c r="DW492" s="694"/>
      <c r="DX492" s="694"/>
      <c r="DY492" s="694"/>
      <c r="DZ492" s="694"/>
      <c r="EA492" s="694"/>
      <c r="EB492" s="694"/>
      <c r="EC492" s="694"/>
      <c r="ED492" s="694"/>
      <c r="EE492" s="694"/>
      <c r="EF492" s="694"/>
      <c r="EG492" s="694"/>
      <c r="EH492" s="694"/>
      <c r="EI492" s="694"/>
      <c r="EJ492" s="694"/>
      <c r="EK492" s="694"/>
      <c r="EL492" s="694"/>
      <c r="EM492" s="694"/>
      <c r="EN492" s="694"/>
      <c r="EO492" s="694"/>
      <c r="EP492" s="694"/>
      <c r="EQ492" s="694"/>
      <c r="ER492" s="694"/>
      <c r="ES492" s="694"/>
      <c r="ET492" s="694"/>
      <c r="EU492" s="694"/>
      <c r="EV492" s="694"/>
      <c r="EW492" s="694"/>
      <c r="EX492" s="694"/>
      <c r="EY492" s="694"/>
      <c r="EZ492" s="694"/>
      <c r="FA492" s="694"/>
      <c r="FB492" s="694"/>
      <c r="FC492" s="694"/>
      <c r="FD492" s="694"/>
      <c r="FE492" s="694"/>
      <c r="FF492" s="694"/>
      <c r="FG492" s="694"/>
      <c r="FH492" s="694"/>
      <c r="FI492" s="694"/>
      <c r="FJ492" s="694"/>
      <c r="FK492" s="694"/>
      <c r="FL492" s="694"/>
      <c r="FM492" s="694"/>
      <c r="FN492" s="694"/>
      <c r="FO492" s="694"/>
      <c r="FP492" s="694"/>
      <c r="FQ492" s="697"/>
    </row>
    <row r="493" spans="1:173" s="696" customFormat="1">
      <c r="A493" s="690"/>
      <c r="B493" s="690"/>
      <c r="C493" s="691" t="s">
        <v>3647</v>
      </c>
      <c r="D493" s="691"/>
      <c r="E493" s="692">
        <v>39.700000000000003</v>
      </c>
      <c r="F493" s="692"/>
      <c r="G493" s="692"/>
      <c r="H493" s="692"/>
      <c r="I493" s="692"/>
      <c r="J493" s="692"/>
      <c r="K493" s="692"/>
      <c r="L493" s="692"/>
      <c r="M493" s="692"/>
      <c r="N493" s="692"/>
      <c r="O493" s="692">
        <f t="shared" si="154"/>
        <v>39.700000000000003</v>
      </c>
      <c r="P493" s="692"/>
      <c r="Q493" s="692"/>
      <c r="R493" s="693"/>
      <c r="S493" s="693"/>
      <c r="T493" s="692"/>
      <c r="U493" s="692" t="s">
        <v>1631</v>
      </c>
      <c r="V493" s="692"/>
      <c r="W493" s="692"/>
      <c r="X493" s="692"/>
      <c r="Y493" s="692"/>
      <c r="Z493" s="692"/>
      <c r="AA493" s="692"/>
      <c r="AB493" s="692"/>
      <c r="AC493" s="692"/>
      <c r="AD493" s="692"/>
      <c r="AE493" s="725"/>
      <c r="AF493" s="957"/>
      <c r="AG493" s="692"/>
      <c r="AH493" s="692"/>
      <c r="AI493" s="692"/>
      <c r="AJ493" s="692"/>
      <c r="AK493" s="692"/>
      <c r="AL493" s="692"/>
      <c r="AM493" s="692"/>
      <c r="AN493" s="692"/>
      <c r="AO493" s="692"/>
      <c r="AP493" s="692"/>
      <c r="AQ493" s="692"/>
      <c r="AR493" s="692"/>
      <c r="AS493" s="692"/>
      <c r="AT493" s="692"/>
      <c r="AU493" s="692"/>
      <c r="AV493" s="692"/>
      <c r="AW493" s="692"/>
      <c r="AX493" s="692"/>
      <c r="AY493" s="692"/>
      <c r="AZ493" s="692">
        <f t="shared" si="151"/>
        <v>0</v>
      </c>
      <c r="BA493" s="692"/>
      <c r="BB493" s="692"/>
      <c r="BC493" s="692"/>
      <c r="BD493" s="692">
        <v>1</v>
      </c>
      <c r="BE493" s="692"/>
      <c r="BF493" s="692"/>
      <c r="BG493" s="692"/>
      <c r="BH493" s="692"/>
      <c r="BI493" s="692">
        <v>0</v>
      </c>
      <c r="BJ493" s="692"/>
      <c r="BK493" s="692"/>
      <c r="BL493" s="692"/>
      <c r="BM493" s="692"/>
      <c r="BN493" s="692"/>
      <c r="BO493" s="692"/>
      <c r="BP493" s="692"/>
      <c r="BQ493" s="692">
        <f t="shared" si="152"/>
        <v>0</v>
      </c>
      <c r="BR493" s="692"/>
      <c r="BS493" s="692">
        <v>1</v>
      </c>
      <c r="BT493" s="692"/>
      <c r="BU493" s="692"/>
      <c r="BV493" s="692"/>
      <c r="BW493" s="692"/>
      <c r="BX493" s="692"/>
      <c r="BY493" s="692"/>
      <c r="BZ493" s="692"/>
      <c r="CA493" s="692"/>
      <c r="CB493" s="692"/>
      <c r="CC493" s="692"/>
      <c r="CD493" s="692">
        <f t="shared" si="153"/>
        <v>0</v>
      </c>
      <c r="CE493" s="692"/>
      <c r="CF493" s="692"/>
      <c r="CG493" s="692"/>
      <c r="CH493" s="692"/>
      <c r="CI493" s="692"/>
      <c r="CJ493" s="692"/>
      <c r="CK493" s="692"/>
      <c r="CL493" s="692"/>
      <c r="CM493" s="692"/>
      <c r="CN493" s="692"/>
      <c r="CO493" s="692"/>
      <c r="CP493" s="692"/>
      <c r="CQ493" s="692"/>
      <c r="CR493" s="692"/>
      <c r="CS493" s="692"/>
      <c r="CT493" s="692"/>
      <c r="CU493" s="692"/>
      <c r="CV493" s="692"/>
      <c r="CW493" s="692"/>
      <c r="CX493" s="694"/>
      <c r="CY493" s="694"/>
      <c r="CZ493" s="694"/>
      <c r="DA493" s="694"/>
      <c r="DB493" s="694"/>
      <c r="DC493" s="694"/>
      <c r="DD493" s="694"/>
      <c r="DE493" s="694"/>
      <c r="DF493" s="694"/>
      <c r="DG493" s="695"/>
      <c r="DH493" s="695"/>
      <c r="DI493" s="695"/>
      <c r="DJ493" s="695"/>
      <c r="DK493" s="695"/>
      <c r="DL493" s="695"/>
      <c r="DM493" s="695"/>
      <c r="DN493" s="695"/>
      <c r="DO493" s="695"/>
      <c r="DP493" s="695"/>
      <c r="DQ493" s="695"/>
      <c r="DR493" s="695"/>
      <c r="DS493" s="694"/>
      <c r="DT493" s="694"/>
      <c r="DU493" s="694"/>
      <c r="DV493" s="694"/>
      <c r="DW493" s="694"/>
      <c r="DX493" s="694"/>
      <c r="DY493" s="694"/>
      <c r="DZ493" s="694"/>
      <c r="EA493" s="694"/>
      <c r="EB493" s="694"/>
      <c r="EC493" s="694"/>
      <c r="ED493" s="694"/>
      <c r="EE493" s="694"/>
      <c r="EF493" s="694"/>
      <c r="EG493" s="694"/>
      <c r="EH493" s="694"/>
      <c r="EI493" s="694"/>
      <c r="EJ493" s="694"/>
      <c r="EK493" s="694"/>
      <c r="EL493" s="694"/>
      <c r="EM493" s="694"/>
      <c r="EN493" s="694"/>
      <c r="EO493" s="694"/>
      <c r="EP493" s="694"/>
      <c r="EQ493" s="694"/>
      <c r="ER493" s="694"/>
      <c r="ES493" s="694"/>
      <c r="ET493" s="694"/>
      <c r="EU493" s="694"/>
      <c r="EV493" s="694"/>
      <c r="EW493" s="694"/>
      <c r="EX493" s="694"/>
      <c r="EY493" s="694"/>
      <c r="EZ493" s="694"/>
      <c r="FA493" s="694"/>
      <c r="FB493" s="694"/>
      <c r="FC493" s="694"/>
      <c r="FD493" s="694"/>
      <c r="FE493" s="694"/>
      <c r="FF493" s="694"/>
      <c r="FG493" s="694"/>
      <c r="FH493" s="694"/>
      <c r="FI493" s="694"/>
      <c r="FJ493" s="694"/>
      <c r="FK493" s="694"/>
      <c r="FL493" s="694"/>
      <c r="FM493" s="694"/>
      <c r="FN493" s="694"/>
      <c r="FO493" s="694"/>
      <c r="FP493" s="694"/>
      <c r="FQ493" s="697"/>
    </row>
    <row r="494" spans="1:173" s="696" customFormat="1">
      <c r="A494" s="690"/>
      <c r="B494" s="690"/>
      <c r="C494" s="691" t="s">
        <v>3648</v>
      </c>
      <c r="D494" s="691"/>
      <c r="E494" s="692">
        <v>42.2</v>
      </c>
      <c r="F494" s="692"/>
      <c r="G494" s="692"/>
      <c r="H494" s="692"/>
      <c r="I494" s="692"/>
      <c r="J494" s="692"/>
      <c r="K494" s="692"/>
      <c r="L494" s="692"/>
      <c r="M494" s="692"/>
      <c r="N494" s="692"/>
      <c r="O494" s="692">
        <f t="shared" si="154"/>
        <v>42.2</v>
      </c>
      <c r="P494" s="692"/>
      <c r="Q494" s="692"/>
      <c r="R494" s="693"/>
      <c r="S494" s="693"/>
      <c r="T494" s="692"/>
      <c r="U494" s="692" t="s">
        <v>1631</v>
      </c>
      <c r="V494" s="692"/>
      <c r="W494" s="692"/>
      <c r="X494" s="692"/>
      <c r="Y494" s="692"/>
      <c r="Z494" s="692"/>
      <c r="AA494" s="692"/>
      <c r="AB494" s="692"/>
      <c r="AC494" s="692"/>
      <c r="AD494" s="692"/>
      <c r="AE494" s="725"/>
      <c r="AF494" s="957"/>
      <c r="AG494" s="692"/>
      <c r="AH494" s="692"/>
      <c r="AI494" s="692"/>
      <c r="AJ494" s="692"/>
      <c r="AK494" s="692"/>
      <c r="AL494" s="692"/>
      <c r="AM494" s="692"/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2"/>
      <c r="AX494" s="692"/>
      <c r="AY494" s="692"/>
      <c r="AZ494" s="692">
        <f t="shared" si="151"/>
        <v>1</v>
      </c>
      <c r="BA494" s="692"/>
      <c r="BB494" s="692"/>
      <c r="BC494" s="692"/>
      <c r="BD494" s="692">
        <v>1</v>
      </c>
      <c r="BE494" s="692"/>
      <c r="BF494" s="692"/>
      <c r="BG494" s="692"/>
      <c r="BH494" s="692"/>
      <c r="BI494" s="692">
        <v>5</v>
      </c>
      <c r="BJ494" s="692"/>
      <c r="BK494" s="692"/>
      <c r="BL494" s="692"/>
      <c r="BM494" s="692"/>
      <c r="BN494" s="692"/>
      <c r="BO494" s="692"/>
      <c r="BP494" s="692"/>
      <c r="BQ494" s="692">
        <f t="shared" si="152"/>
        <v>0</v>
      </c>
      <c r="BR494" s="692"/>
      <c r="BS494" s="692">
        <v>1</v>
      </c>
      <c r="BT494" s="692"/>
      <c r="BU494" s="692"/>
      <c r="BV494" s="692"/>
      <c r="BW494" s="692"/>
      <c r="BX494" s="692"/>
      <c r="BY494" s="692"/>
      <c r="BZ494" s="692"/>
      <c r="CA494" s="692"/>
      <c r="CB494" s="692">
        <v>1</v>
      </c>
      <c r="CC494" s="692"/>
      <c r="CD494" s="692">
        <f t="shared" si="153"/>
        <v>4</v>
      </c>
      <c r="CE494" s="692"/>
      <c r="CF494" s="692"/>
      <c r="CG494" s="692"/>
      <c r="CH494" s="692"/>
      <c r="CI494" s="692"/>
      <c r="CJ494" s="692"/>
      <c r="CK494" s="692"/>
      <c r="CL494" s="692"/>
      <c r="CM494" s="692"/>
      <c r="CN494" s="692"/>
      <c r="CO494" s="692"/>
      <c r="CP494" s="692"/>
      <c r="CQ494" s="692"/>
      <c r="CR494" s="692"/>
      <c r="CS494" s="692"/>
      <c r="CT494" s="692"/>
      <c r="CU494" s="692"/>
      <c r="CV494" s="692"/>
      <c r="CW494" s="692"/>
      <c r="CX494" s="694"/>
      <c r="CY494" s="694"/>
      <c r="CZ494" s="694"/>
      <c r="DA494" s="694"/>
      <c r="DB494" s="694"/>
      <c r="DC494" s="694"/>
      <c r="DD494" s="694"/>
      <c r="DE494" s="694"/>
      <c r="DF494" s="694"/>
      <c r="DG494" s="695"/>
      <c r="DH494" s="695"/>
      <c r="DI494" s="695"/>
      <c r="DJ494" s="695"/>
      <c r="DK494" s="695"/>
      <c r="DL494" s="695"/>
      <c r="DM494" s="695"/>
      <c r="DN494" s="695"/>
      <c r="DO494" s="695"/>
      <c r="DP494" s="695"/>
      <c r="DQ494" s="695"/>
      <c r="DR494" s="695"/>
      <c r="DS494" s="694"/>
      <c r="DT494" s="694"/>
      <c r="DU494" s="694"/>
      <c r="DV494" s="694"/>
      <c r="DW494" s="694"/>
      <c r="DX494" s="694"/>
      <c r="DY494" s="694"/>
      <c r="DZ494" s="694"/>
      <c r="EA494" s="694"/>
      <c r="EB494" s="694"/>
      <c r="EC494" s="694"/>
      <c r="ED494" s="694"/>
      <c r="EE494" s="694"/>
      <c r="EF494" s="694"/>
      <c r="EG494" s="694"/>
      <c r="EH494" s="694"/>
      <c r="EI494" s="694"/>
      <c r="EJ494" s="694"/>
      <c r="EK494" s="694"/>
      <c r="EL494" s="694"/>
      <c r="EM494" s="694"/>
      <c r="EN494" s="694"/>
      <c r="EO494" s="694"/>
      <c r="EP494" s="694"/>
      <c r="EQ494" s="694"/>
      <c r="ER494" s="694"/>
      <c r="ES494" s="694"/>
      <c r="ET494" s="694"/>
      <c r="EU494" s="694"/>
      <c r="EV494" s="694"/>
      <c r="EW494" s="694"/>
      <c r="EX494" s="694"/>
      <c r="EY494" s="694"/>
      <c r="EZ494" s="694"/>
      <c r="FA494" s="694"/>
      <c r="FB494" s="694"/>
      <c r="FC494" s="694"/>
      <c r="FD494" s="694"/>
      <c r="FE494" s="694"/>
      <c r="FF494" s="694"/>
      <c r="FG494" s="694"/>
      <c r="FH494" s="694"/>
      <c r="FI494" s="694"/>
      <c r="FJ494" s="694"/>
      <c r="FK494" s="694"/>
      <c r="FL494" s="694"/>
      <c r="FM494" s="694"/>
      <c r="FN494" s="694"/>
      <c r="FO494" s="694"/>
      <c r="FP494" s="694"/>
      <c r="FQ494" s="697"/>
    </row>
    <row r="495" spans="1:173" s="696" customFormat="1">
      <c r="A495" s="690"/>
      <c r="B495" s="690"/>
      <c r="C495" s="691" t="s">
        <v>3649</v>
      </c>
      <c r="D495" s="691"/>
      <c r="E495" s="692">
        <v>39.799999999999997</v>
      </c>
      <c r="F495" s="692"/>
      <c r="G495" s="692"/>
      <c r="H495" s="692"/>
      <c r="I495" s="692"/>
      <c r="J495" s="692"/>
      <c r="K495" s="692"/>
      <c r="L495" s="692"/>
      <c r="M495" s="692"/>
      <c r="N495" s="692"/>
      <c r="O495" s="692">
        <f t="shared" si="154"/>
        <v>39.799999999999997</v>
      </c>
      <c r="P495" s="692"/>
      <c r="Q495" s="692"/>
      <c r="R495" s="693"/>
      <c r="S495" s="693"/>
      <c r="T495" s="692"/>
      <c r="U495" s="692" t="s">
        <v>3718</v>
      </c>
      <c r="V495" s="692"/>
      <c r="W495" s="692"/>
      <c r="X495" s="692"/>
      <c r="Y495" s="692"/>
      <c r="Z495" s="692"/>
      <c r="AA495" s="692"/>
      <c r="AB495" s="692"/>
      <c r="AC495" s="692"/>
      <c r="AD495" s="692"/>
      <c r="AE495" s="725"/>
      <c r="AF495" s="957"/>
      <c r="AG495" s="692"/>
      <c r="AH495" s="692"/>
      <c r="AI495" s="692"/>
      <c r="AJ495" s="692"/>
      <c r="AK495" s="692"/>
      <c r="AL495" s="692"/>
      <c r="AM495" s="692"/>
      <c r="AN495" s="692"/>
      <c r="AO495" s="692"/>
      <c r="AP495" s="692"/>
      <c r="AQ495" s="692"/>
      <c r="AR495" s="692"/>
      <c r="AS495" s="692"/>
      <c r="AT495" s="692"/>
      <c r="AU495" s="692"/>
      <c r="AV495" s="692"/>
      <c r="AW495" s="692">
        <v>1</v>
      </c>
      <c r="AX495" s="692"/>
      <c r="AY495" s="692"/>
      <c r="AZ495" s="692">
        <f t="shared" si="151"/>
        <v>3</v>
      </c>
      <c r="BA495" s="692"/>
      <c r="BB495" s="692"/>
      <c r="BC495" s="692"/>
      <c r="BD495" s="692">
        <v>3</v>
      </c>
      <c r="BE495" s="692"/>
      <c r="BF495" s="692"/>
      <c r="BG495" s="692"/>
      <c r="BH495" s="692"/>
      <c r="BI495" s="692">
        <v>5</v>
      </c>
      <c r="BJ495" s="692"/>
      <c r="BK495" s="692"/>
      <c r="BL495" s="692"/>
      <c r="BM495" s="692"/>
      <c r="BN495" s="692"/>
      <c r="BO495" s="692"/>
      <c r="BP495" s="692"/>
      <c r="BQ495" s="692">
        <f t="shared" si="152"/>
        <v>0</v>
      </c>
      <c r="BR495" s="692"/>
      <c r="BS495" s="692">
        <v>0</v>
      </c>
      <c r="BT495" s="692"/>
      <c r="BU495" s="692"/>
      <c r="BV495" s="692"/>
      <c r="BW495" s="692"/>
      <c r="BX495" s="692">
        <v>3</v>
      </c>
      <c r="BY495" s="692"/>
      <c r="BZ495" s="692"/>
      <c r="CA495" s="692"/>
      <c r="CB495" s="692">
        <v>1</v>
      </c>
      <c r="CC495" s="692">
        <v>1</v>
      </c>
      <c r="CD495" s="692">
        <f t="shared" si="153"/>
        <v>4</v>
      </c>
      <c r="CE495" s="692">
        <v>4</v>
      </c>
      <c r="CF495" s="692"/>
      <c r="CG495" s="692">
        <v>4</v>
      </c>
      <c r="CH495" s="692"/>
      <c r="CI495" s="692"/>
      <c r="CJ495" s="692">
        <v>5</v>
      </c>
      <c r="CK495" s="692"/>
      <c r="CL495" s="692"/>
      <c r="CM495" s="692">
        <v>8</v>
      </c>
      <c r="CN495" s="692"/>
      <c r="CO495" s="692"/>
      <c r="CP495" s="692"/>
      <c r="CQ495" s="692">
        <v>1</v>
      </c>
      <c r="CR495" s="692"/>
      <c r="CS495" s="692"/>
      <c r="CT495" s="692"/>
      <c r="CU495" s="692"/>
      <c r="CV495" s="692"/>
      <c r="CW495" s="692"/>
      <c r="CX495" s="694"/>
      <c r="CY495" s="694"/>
      <c r="CZ495" s="694"/>
      <c r="DA495" s="694"/>
      <c r="DB495" s="694"/>
      <c r="DC495" s="694"/>
      <c r="DD495" s="694"/>
      <c r="DE495" s="694"/>
      <c r="DF495" s="694"/>
      <c r="DG495" s="695"/>
      <c r="DH495" s="695"/>
      <c r="DI495" s="695"/>
      <c r="DJ495" s="695"/>
      <c r="DK495" s="695"/>
      <c r="DL495" s="695"/>
      <c r="DM495" s="695"/>
      <c r="DN495" s="695"/>
      <c r="DO495" s="695"/>
      <c r="DP495" s="695"/>
      <c r="DQ495" s="695"/>
      <c r="DR495" s="695"/>
      <c r="DS495" s="694"/>
      <c r="DT495" s="694"/>
      <c r="DU495" s="694"/>
      <c r="DV495" s="694"/>
      <c r="DW495" s="694"/>
      <c r="DX495" s="694"/>
      <c r="DY495" s="694"/>
      <c r="DZ495" s="694"/>
      <c r="EA495" s="694"/>
      <c r="EB495" s="694"/>
      <c r="EC495" s="694"/>
      <c r="ED495" s="694"/>
      <c r="EE495" s="694"/>
      <c r="EF495" s="694"/>
      <c r="EG495" s="694"/>
      <c r="EH495" s="694"/>
      <c r="EI495" s="694"/>
      <c r="EJ495" s="694"/>
      <c r="EK495" s="694"/>
      <c r="EL495" s="694"/>
      <c r="EM495" s="694"/>
      <c r="EN495" s="694"/>
      <c r="EO495" s="694"/>
      <c r="EP495" s="694"/>
      <c r="EQ495" s="694"/>
      <c r="ER495" s="694"/>
      <c r="ES495" s="694"/>
      <c r="ET495" s="694"/>
      <c r="EU495" s="694"/>
      <c r="EV495" s="694"/>
      <c r="EW495" s="694"/>
      <c r="EX495" s="694"/>
      <c r="EY495" s="694"/>
      <c r="EZ495" s="694"/>
      <c r="FA495" s="694"/>
      <c r="FB495" s="694"/>
      <c r="FC495" s="694"/>
      <c r="FD495" s="694"/>
      <c r="FE495" s="694"/>
      <c r="FF495" s="694"/>
      <c r="FG495" s="694"/>
      <c r="FH495" s="694"/>
      <c r="FI495" s="694"/>
      <c r="FJ495" s="694"/>
      <c r="FK495" s="694"/>
      <c r="FL495" s="694"/>
      <c r="FM495" s="694"/>
      <c r="FN495" s="694"/>
      <c r="FO495" s="694"/>
      <c r="FP495" s="694"/>
      <c r="FQ495" s="697"/>
    </row>
    <row r="496" spans="1:173" s="696" customFormat="1">
      <c r="A496" s="690"/>
      <c r="B496" s="690"/>
      <c r="C496" s="691" t="s">
        <v>3650</v>
      </c>
      <c r="D496" s="699"/>
      <c r="E496" s="692">
        <v>41.9</v>
      </c>
      <c r="F496" s="692"/>
      <c r="G496" s="692"/>
      <c r="H496" s="692"/>
      <c r="I496" s="692"/>
      <c r="J496" s="692"/>
      <c r="K496" s="692"/>
      <c r="L496" s="692"/>
      <c r="M496" s="692"/>
      <c r="N496" s="692"/>
      <c r="O496" s="692">
        <f t="shared" si="154"/>
        <v>41.9</v>
      </c>
      <c r="P496" s="692"/>
      <c r="Q496" s="692"/>
      <c r="R496" s="693"/>
      <c r="S496" s="693"/>
      <c r="T496" s="692"/>
      <c r="U496" s="692" t="s">
        <v>1903</v>
      </c>
      <c r="V496" s="692"/>
      <c r="W496" s="692"/>
      <c r="X496" s="692"/>
      <c r="Y496" s="692"/>
      <c r="Z496" s="692"/>
      <c r="AA496" s="692"/>
      <c r="AB496" s="692"/>
      <c r="AC496" s="692"/>
      <c r="AD496" s="692"/>
      <c r="AE496" s="725"/>
      <c r="AF496" s="957"/>
      <c r="AG496" s="692"/>
      <c r="AH496" s="692"/>
      <c r="AI496" s="692"/>
      <c r="AJ496" s="692"/>
      <c r="AK496" s="692"/>
      <c r="AL496" s="692"/>
      <c r="AM496" s="692"/>
      <c r="AN496" s="692"/>
      <c r="AO496" s="692"/>
      <c r="AP496" s="692"/>
      <c r="AQ496" s="692"/>
      <c r="AR496" s="692"/>
      <c r="AS496" s="692"/>
      <c r="AT496" s="692"/>
      <c r="AU496" s="692"/>
      <c r="AV496" s="692"/>
      <c r="AW496" s="692">
        <v>1</v>
      </c>
      <c r="AX496" s="692"/>
      <c r="AY496" s="692"/>
      <c r="AZ496" s="692">
        <f t="shared" si="151"/>
        <v>2</v>
      </c>
      <c r="BA496" s="692"/>
      <c r="BB496" s="692"/>
      <c r="BC496" s="692"/>
      <c r="BD496" s="692">
        <v>1</v>
      </c>
      <c r="BE496" s="692"/>
      <c r="BF496" s="692"/>
      <c r="BG496" s="692"/>
      <c r="BH496" s="692"/>
      <c r="BI496" s="692">
        <v>5</v>
      </c>
      <c r="BJ496" s="692"/>
      <c r="BK496" s="692"/>
      <c r="BL496" s="692"/>
      <c r="BM496" s="692"/>
      <c r="BN496" s="692"/>
      <c r="BO496" s="692"/>
      <c r="BP496" s="692"/>
      <c r="BQ496" s="692">
        <f t="shared" si="152"/>
        <v>1</v>
      </c>
      <c r="BR496" s="692"/>
      <c r="BS496" s="692">
        <v>2</v>
      </c>
      <c r="BT496" s="692"/>
      <c r="BU496" s="692"/>
      <c r="BV496" s="692"/>
      <c r="BW496" s="692"/>
      <c r="BX496" s="692"/>
      <c r="BY496" s="692"/>
      <c r="BZ496" s="692"/>
      <c r="CA496" s="692"/>
      <c r="CB496" s="692">
        <v>1</v>
      </c>
      <c r="CC496" s="692"/>
      <c r="CD496" s="692">
        <f t="shared" si="153"/>
        <v>4</v>
      </c>
      <c r="CE496" s="692"/>
      <c r="CF496" s="692"/>
      <c r="CG496" s="692"/>
      <c r="CH496" s="692"/>
      <c r="CI496" s="692"/>
      <c r="CJ496" s="692"/>
      <c r="CK496" s="692"/>
      <c r="CL496" s="692"/>
      <c r="CM496" s="692"/>
      <c r="CN496" s="692"/>
      <c r="CO496" s="692"/>
      <c r="CP496" s="692"/>
      <c r="CQ496" s="692"/>
      <c r="CR496" s="692"/>
      <c r="CS496" s="692"/>
      <c r="CT496" s="692"/>
      <c r="CU496" s="692"/>
      <c r="CV496" s="692"/>
      <c r="CW496" s="692"/>
      <c r="CX496" s="694"/>
      <c r="CY496" s="694"/>
      <c r="CZ496" s="694"/>
      <c r="DA496" s="694"/>
      <c r="DB496" s="694"/>
      <c r="DC496" s="694"/>
      <c r="DD496" s="694"/>
      <c r="DE496" s="694"/>
      <c r="DF496" s="694"/>
      <c r="DG496" s="695"/>
      <c r="DH496" s="695"/>
      <c r="DI496" s="695"/>
      <c r="DJ496" s="695"/>
      <c r="DK496" s="695"/>
      <c r="DL496" s="695"/>
      <c r="DM496" s="695"/>
      <c r="DN496" s="695"/>
      <c r="DO496" s="695"/>
      <c r="DP496" s="695"/>
      <c r="DQ496" s="695"/>
      <c r="DR496" s="695"/>
      <c r="DS496" s="694"/>
      <c r="DT496" s="694"/>
      <c r="DU496" s="694"/>
      <c r="DV496" s="694"/>
      <c r="DW496" s="694"/>
      <c r="DX496" s="694"/>
      <c r="DY496" s="694"/>
      <c r="DZ496" s="694"/>
      <c r="EA496" s="694"/>
      <c r="EB496" s="694"/>
      <c r="EC496" s="694"/>
      <c r="ED496" s="694"/>
      <c r="EE496" s="694"/>
      <c r="EF496" s="694"/>
      <c r="EG496" s="694"/>
      <c r="EH496" s="694"/>
      <c r="EI496" s="694"/>
      <c r="EJ496" s="694"/>
      <c r="EK496" s="694"/>
      <c r="EL496" s="694"/>
      <c r="EM496" s="694"/>
      <c r="EN496" s="694"/>
      <c r="EO496" s="694"/>
      <c r="EP496" s="694"/>
      <c r="EQ496" s="694"/>
      <c r="ER496" s="694"/>
      <c r="ES496" s="694"/>
      <c r="ET496" s="694"/>
      <c r="EU496" s="694"/>
      <c r="EV496" s="694"/>
      <c r="EW496" s="694"/>
      <c r="EX496" s="694"/>
      <c r="EY496" s="694"/>
      <c r="EZ496" s="694"/>
      <c r="FA496" s="694"/>
      <c r="FB496" s="694"/>
      <c r="FC496" s="694"/>
      <c r="FD496" s="694"/>
      <c r="FE496" s="694"/>
      <c r="FF496" s="694"/>
      <c r="FG496" s="694"/>
      <c r="FH496" s="694"/>
      <c r="FI496" s="694"/>
      <c r="FJ496" s="694"/>
      <c r="FK496" s="694"/>
      <c r="FL496" s="694"/>
      <c r="FM496" s="694"/>
      <c r="FN496" s="694"/>
      <c r="FO496" s="694"/>
      <c r="FP496" s="694"/>
      <c r="FQ496" s="697"/>
    </row>
    <row r="497" spans="1:177" s="696" customFormat="1">
      <c r="A497" s="690"/>
      <c r="B497" s="690"/>
      <c r="C497" s="691" t="s">
        <v>3651</v>
      </c>
      <c r="D497" s="699"/>
      <c r="E497" s="692">
        <v>40</v>
      </c>
      <c r="F497" s="692"/>
      <c r="G497" s="692"/>
      <c r="H497" s="692"/>
      <c r="I497" s="692"/>
      <c r="J497" s="692"/>
      <c r="K497" s="692"/>
      <c r="L497" s="692"/>
      <c r="M497" s="692"/>
      <c r="N497" s="692"/>
      <c r="O497" s="692">
        <f t="shared" si="154"/>
        <v>40</v>
      </c>
      <c r="P497" s="692"/>
      <c r="Q497" s="692"/>
      <c r="R497" s="693"/>
      <c r="S497" s="693"/>
      <c r="T497" s="692"/>
      <c r="U497" s="692" t="s">
        <v>1631</v>
      </c>
      <c r="V497" s="692"/>
      <c r="W497" s="692"/>
      <c r="X497" s="692"/>
      <c r="Y497" s="692"/>
      <c r="Z497" s="692"/>
      <c r="AA497" s="692"/>
      <c r="AB497" s="692"/>
      <c r="AC497" s="692"/>
      <c r="AD497" s="692"/>
      <c r="AE497" s="725"/>
      <c r="AF497" s="957"/>
      <c r="AG497" s="692"/>
      <c r="AH497" s="692"/>
      <c r="AI497" s="692"/>
      <c r="AJ497" s="692"/>
      <c r="AK497" s="692"/>
      <c r="AL497" s="692"/>
      <c r="AM497" s="692"/>
      <c r="AN497" s="692"/>
      <c r="AO497" s="692"/>
      <c r="AP497" s="692"/>
      <c r="AQ497" s="692"/>
      <c r="AR497" s="692"/>
      <c r="AS497" s="692"/>
      <c r="AT497" s="692"/>
      <c r="AU497" s="692"/>
      <c r="AV497" s="692"/>
      <c r="AW497" s="692"/>
      <c r="AX497" s="692"/>
      <c r="AY497" s="692"/>
      <c r="AZ497" s="692">
        <f t="shared" si="151"/>
        <v>1</v>
      </c>
      <c r="BA497" s="692"/>
      <c r="BB497" s="692"/>
      <c r="BC497" s="692"/>
      <c r="BD497" s="692">
        <v>1</v>
      </c>
      <c r="BE497" s="692"/>
      <c r="BF497" s="692"/>
      <c r="BG497" s="692"/>
      <c r="BH497" s="692"/>
      <c r="BI497" s="692">
        <v>5</v>
      </c>
      <c r="BJ497" s="692"/>
      <c r="BK497" s="692"/>
      <c r="BL497" s="692"/>
      <c r="BM497" s="692"/>
      <c r="BN497" s="692"/>
      <c r="BO497" s="692"/>
      <c r="BP497" s="692"/>
      <c r="BQ497" s="692">
        <f t="shared" si="152"/>
        <v>0</v>
      </c>
      <c r="BR497" s="692"/>
      <c r="BS497" s="692">
        <v>1</v>
      </c>
      <c r="BT497" s="692"/>
      <c r="BU497" s="692"/>
      <c r="BV497" s="692"/>
      <c r="BW497" s="692"/>
      <c r="BX497" s="692"/>
      <c r="BY497" s="692"/>
      <c r="BZ497" s="692"/>
      <c r="CA497" s="692"/>
      <c r="CB497" s="692">
        <v>1</v>
      </c>
      <c r="CC497" s="692"/>
      <c r="CD497" s="692">
        <f t="shared" si="153"/>
        <v>4</v>
      </c>
      <c r="CE497" s="692"/>
      <c r="CF497" s="692"/>
      <c r="CG497" s="692"/>
      <c r="CH497" s="692"/>
      <c r="CI497" s="692"/>
      <c r="CJ497" s="692"/>
      <c r="CK497" s="692"/>
      <c r="CL497" s="692"/>
      <c r="CM497" s="692"/>
      <c r="CN497" s="692"/>
      <c r="CO497" s="692"/>
      <c r="CP497" s="692"/>
      <c r="CQ497" s="692"/>
      <c r="CR497" s="692"/>
      <c r="CS497" s="692"/>
      <c r="CT497" s="692"/>
      <c r="CU497" s="692"/>
      <c r="CV497" s="692"/>
      <c r="CW497" s="692"/>
      <c r="CX497" s="694"/>
      <c r="CY497" s="694"/>
      <c r="CZ497" s="694"/>
      <c r="DA497" s="694"/>
      <c r="DB497" s="694"/>
      <c r="DC497" s="694"/>
      <c r="DD497" s="694"/>
      <c r="DE497" s="694"/>
      <c r="DF497" s="694"/>
      <c r="DG497" s="695"/>
      <c r="DH497" s="695"/>
      <c r="DI497" s="695"/>
      <c r="DJ497" s="695"/>
      <c r="DK497" s="695"/>
      <c r="DL497" s="695"/>
      <c r="DM497" s="695"/>
      <c r="DN497" s="695"/>
      <c r="DO497" s="695"/>
      <c r="DP497" s="695"/>
      <c r="DQ497" s="695"/>
      <c r="DR497" s="695"/>
      <c r="DS497" s="694"/>
      <c r="DT497" s="694"/>
      <c r="DU497" s="694"/>
      <c r="DV497" s="694"/>
      <c r="DW497" s="694"/>
      <c r="DX497" s="694"/>
      <c r="DY497" s="694"/>
      <c r="DZ497" s="694"/>
      <c r="EA497" s="694"/>
      <c r="EB497" s="694"/>
      <c r="EC497" s="694"/>
      <c r="ED497" s="694"/>
      <c r="EE497" s="694"/>
      <c r="EF497" s="694"/>
      <c r="EG497" s="694"/>
      <c r="EH497" s="694"/>
      <c r="EI497" s="694"/>
      <c r="EJ497" s="694"/>
      <c r="EK497" s="694"/>
      <c r="EL497" s="694"/>
      <c r="EM497" s="694"/>
      <c r="EN497" s="694"/>
      <c r="EO497" s="694"/>
      <c r="EP497" s="694"/>
      <c r="EQ497" s="694"/>
      <c r="ER497" s="694"/>
      <c r="ES497" s="694"/>
      <c r="ET497" s="694"/>
      <c r="EU497" s="694"/>
      <c r="EV497" s="694"/>
      <c r="EW497" s="694"/>
      <c r="EX497" s="694"/>
      <c r="EY497" s="694"/>
      <c r="EZ497" s="694"/>
      <c r="FA497" s="694"/>
      <c r="FB497" s="694"/>
      <c r="FC497" s="694"/>
      <c r="FD497" s="694"/>
      <c r="FE497" s="694"/>
      <c r="FF497" s="694"/>
      <c r="FG497" s="694"/>
      <c r="FH497" s="694"/>
      <c r="FI497" s="694"/>
      <c r="FJ497" s="694"/>
      <c r="FK497" s="694"/>
      <c r="FL497" s="694"/>
      <c r="FM497" s="694"/>
      <c r="FN497" s="694"/>
      <c r="FO497" s="694"/>
      <c r="FP497" s="694"/>
      <c r="FQ497" s="697"/>
    </row>
    <row r="498" spans="1:177" s="696" customFormat="1">
      <c r="A498" s="690"/>
      <c r="B498" s="690"/>
      <c r="C498" s="691" t="s">
        <v>3652</v>
      </c>
      <c r="D498" s="691"/>
      <c r="E498" s="692">
        <v>36.799999999999997</v>
      </c>
      <c r="F498" s="692"/>
      <c r="G498" s="692"/>
      <c r="H498" s="692"/>
      <c r="I498" s="692"/>
      <c r="J498" s="692"/>
      <c r="K498" s="692"/>
      <c r="L498" s="692"/>
      <c r="M498" s="692"/>
      <c r="N498" s="692"/>
      <c r="O498" s="692">
        <f t="shared" si="154"/>
        <v>36.799999999999997</v>
      </c>
      <c r="P498" s="692"/>
      <c r="Q498" s="692"/>
      <c r="R498" s="693"/>
      <c r="S498" s="693"/>
      <c r="T498" s="692"/>
      <c r="U498" s="692" t="s">
        <v>1631</v>
      </c>
      <c r="V498" s="692"/>
      <c r="W498" s="692"/>
      <c r="X498" s="692"/>
      <c r="Y498" s="692"/>
      <c r="Z498" s="692"/>
      <c r="AA498" s="692"/>
      <c r="AB498" s="692"/>
      <c r="AC498" s="692"/>
      <c r="AD498" s="692"/>
      <c r="AE498" s="725"/>
      <c r="AF498" s="957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>
        <f t="shared" si="151"/>
        <v>1</v>
      </c>
      <c r="BA498" s="692"/>
      <c r="BB498" s="692"/>
      <c r="BC498" s="692"/>
      <c r="BD498" s="692">
        <v>1</v>
      </c>
      <c r="BE498" s="692"/>
      <c r="BF498" s="692"/>
      <c r="BG498" s="692"/>
      <c r="BH498" s="692"/>
      <c r="BI498" s="692">
        <v>5</v>
      </c>
      <c r="BJ498" s="692"/>
      <c r="BK498" s="692"/>
      <c r="BL498" s="692"/>
      <c r="BM498" s="692"/>
      <c r="BN498" s="692"/>
      <c r="BO498" s="692"/>
      <c r="BP498" s="692"/>
      <c r="BQ498" s="692">
        <f t="shared" si="152"/>
        <v>0</v>
      </c>
      <c r="BR498" s="692"/>
      <c r="BS498" s="692">
        <v>1</v>
      </c>
      <c r="BT498" s="692"/>
      <c r="BU498" s="692"/>
      <c r="BV498" s="692"/>
      <c r="BW498" s="692"/>
      <c r="BX498" s="692"/>
      <c r="BY498" s="692"/>
      <c r="BZ498" s="692"/>
      <c r="CA498" s="692"/>
      <c r="CB498" s="692">
        <v>1</v>
      </c>
      <c r="CC498" s="692"/>
      <c r="CD498" s="692">
        <f t="shared" si="153"/>
        <v>4</v>
      </c>
      <c r="CE498" s="692"/>
      <c r="CF498" s="692"/>
      <c r="CG498" s="692"/>
      <c r="CH498" s="692"/>
      <c r="CI498" s="692"/>
      <c r="CJ498" s="692"/>
      <c r="CK498" s="692"/>
      <c r="CL498" s="692"/>
      <c r="CM498" s="692"/>
      <c r="CN498" s="692"/>
      <c r="CO498" s="692"/>
      <c r="CP498" s="692"/>
      <c r="CQ498" s="692"/>
      <c r="CR498" s="692"/>
      <c r="CS498" s="692"/>
      <c r="CT498" s="692"/>
      <c r="CU498" s="692"/>
      <c r="CV498" s="692"/>
      <c r="CW498" s="692"/>
      <c r="CX498" s="694"/>
      <c r="CY498" s="694"/>
      <c r="CZ498" s="694"/>
      <c r="DA498" s="694"/>
      <c r="DB498" s="694"/>
      <c r="DC498" s="694"/>
      <c r="DD498" s="694"/>
      <c r="DE498" s="694"/>
      <c r="DF498" s="694"/>
      <c r="DG498" s="695"/>
      <c r="DH498" s="695"/>
      <c r="DI498" s="695"/>
      <c r="DJ498" s="695"/>
      <c r="DK498" s="695"/>
      <c r="DL498" s="695"/>
      <c r="DM498" s="695"/>
      <c r="DN498" s="695"/>
      <c r="DO498" s="695"/>
      <c r="DP498" s="695"/>
      <c r="DQ498" s="695"/>
      <c r="DR498" s="695"/>
      <c r="DS498" s="694"/>
      <c r="DT498" s="694"/>
      <c r="DU498" s="694"/>
      <c r="DV498" s="694"/>
      <c r="DW498" s="694"/>
      <c r="DX498" s="694"/>
      <c r="DY498" s="694"/>
      <c r="DZ498" s="694"/>
      <c r="EA498" s="694"/>
      <c r="EB498" s="694"/>
      <c r="EC498" s="694"/>
      <c r="ED498" s="694"/>
      <c r="EE498" s="694"/>
      <c r="EF498" s="694"/>
      <c r="EG498" s="694"/>
      <c r="EH498" s="694"/>
      <c r="EI498" s="694"/>
      <c r="EJ498" s="694"/>
      <c r="EK498" s="694"/>
      <c r="EL498" s="694"/>
      <c r="EM498" s="694"/>
      <c r="EN498" s="694"/>
      <c r="EO498" s="694"/>
      <c r="EP498" s="694"/>
      <c r="EQ498" s="694"/>
      <c r="ER498" s="694"/>
      <c r="ES498" s="694"/>
      <c r="ET498" s="694"/>
      <c r="EU498" s="694"/>
      <c r="EV498" s="694"/>
      <c r="EW498" s="694"/>
      <c r="EX498" s="694"/>
      <c r="EY498" s="694"/>
      <c r="EZ498" s="694"/>
      <c r="FA498" s="694"/>
      <c r="FB498" s="694"/>
      <c r="FC498" s="694"/>
      <c r="FD498" s="694"/>
      <c r="FE498" s="694"/>
      <c r="FF498" s="694"/>
      <c r="FG498" s="694"/>
      <c r="FH498" s="694"/>
      <c r="FI498" s="694"/>
      <c r="FJ498" s="694"/>
      <c r="FK498" s="694"/>
      <c r="FL498" s="694"/>
      <c r="FM498" s="694"/>
      <c r="FN498" s="694"/>
      <c r="FO498" s="694"/>
      <c r="FP498" s="694"/>
      <c r="FQ498" s="697"/>
    </row>
    <row r="499" spans="1:177" s="696" customFormat="1">
      <c r="A499" s="690"/>
      <c r="B499" s="690"/>
      <c r="C499" s="691" t="s">
        <v>3653</v>
      </c>
      <c r="D499" s="691"/>
      <c r="E499" s="692">
        <v>34.799999999999997</v>
      </c>
      <c r="F499" s="692"/>
      <c r="G499" s="692"/>
      <c r="H499" s="692"/>
      <c r="I499" s="692"/>
      <c r="J499" s="692"/>
      <c r="K499" s="692"/>
      <c r="L499" s="692"/>
      <c r="M499" s="692"/>
      <c r="N499" s="692"/>
      <c r="O499" s="692">
        <f t="shared" si="154"/>
        <v>34.799999999999997</v>
      </c>
      <c r="P499" s="692"/>
      <c r="Q499" s="692"/>
      <c r="R499" s="693"/>
      <c r="S499" s="693"/>
      <c r="T499" s="692"/>
      <c r="U499" s="692" t="s">
        <v>1903</v>
      </c>
      <c r="V499" s="692"/>
      <c r="W499" s="692"/>
      <c r="X499" s="692"/>
      <c r="Y499" s="692"/>
      <c r="Z499" s="692"/>
      <c r="AA499" s="692"/>
      <c r="AB499" s="692"/>
      <c r="AC499" s="692"/>
      <c r="AD499" s="692"/>
      <c r="AE499" s="725"/>
      <c r="AF499" s="957"/>
      <c r="AG499" s="692"/>
      <c r="AH499" s="692"/>
      <c r="AI499" s="692"/>
      <c r="AJ499" s="692"/>
      <c r="AK499" s="692"/>
      <c r="AL499" s="692"/>
      <c r="AM499" s="692"/>
      <c r="AN499" s="692"/>
      <c r="AO499" s="692"/>
      <c r="AP499" s="692"/>
      <c r="AQ499" s="692"/>
      <c r="AR499" s="692"/>
      <c r="AS499" s="692"/>
      <c r="AT499" s="692"/>
      <c r="AU499" s="692"/>
      <c r="AV499" s="692"/>
      <c r="AW499" s="692"/>
      <c r="AX499" s="692"/>
      <c r="AY499" s="692"/>
      <c r="AZ499" s="692">
        <f t="shared" si="151"/>
        <v>0</v>
      </c>
      <c r="BA499" s="692"/>
      <c r="BB499" s="692"/>
      <c r="BC499" s="692"/>
      <c r="BD499" s="692">
        <v>1</v>
      </c>
      <c r="BE499" s="692"/>
      <c r="BF499" s="692"/>
      <c r="BG499" s="692"/>
      <c r="BH499" s="692"/>
      <c r="BI499" s="692">
        <v>0</v>
      </c>
      <c r="BJ499" s="692"/>
      <c r="BK499" s="692"/>
      <c r="BL499" s="692"/>
      <c r="BM499" s="692"/>
      <c r="BN499" s="692"/>
      <c r="BO499" s="692"/>
      <c r="BP499" s="692"/>
      <c r="BQ499" s="692">
        <f t="shared" si="152"/>
        <v>1</v>
      </c>
      <c r="BR499" s="692"/>
      <c r="BS499" s="692">
        <v>2</v>
      </c>
      <c r="BT499" s="692"/>
      <c r="BU499" s="692"/>
      <c r="BV499" s="692"/>
      <c r="BW499" s="692"/>
      <c r="BX499" s="692"/>
      <c r="BY499" s="692"/>
      <c r="BZ499" s="692"/>
      <c r="CA499" s="692"/>
      <c r="CB499" s="692"/>
      <c r="CC499" s="692"/>
      <c r="CD499" s="692">
        <f t="shared" si="153"/>
        <v>0</v>
      </c>
      <c r="CE499" s="692"/>
      <c r="CF499" s="692"/>
      <c r="CG499" s="692"/>
      <c r="CH499" s="692"/>
      <c r="CI499" s="692"/>
      <c r="CJ499" s="692"/>
      <c r="CK499" s="692"/>
      <c r="CL499" s="692"/>
      <c r="CM499" s="692"/>
      <c r="CN499" s="692"/>
      <c r="CO499" s="692"/>
      <c r="CP499" s="692"/>
      <c r="CQ499" s="692"/>
      <c r="CR499" s="692"/>
      <c r="CS499" s="692"/>
      <c r="CT499" s="692"/>
      <c r="CU499" s="692"/>
      <c r="CV499" s="692"/>
      <c r="CW499" s="692"/>
      <c r="CX499" s="694"/>
      <c r="CY499" s="694"/>
      <c r="CZ499" s="694"/>
      <c r="DA499" s="694"/>
      <c r="DB499" s="694"/>
      <c r="DC499" s="694"/>
      <c r="DD499" s="694"/>
      <c r="DE499" s="694"/>
      <c r="DF499" s="694"/>
      <c r="DG499" s="695"/>
      <c r="DH499" s="695"/>
      <c r="DI499" s="695"/>
      <c r="DJ499" s="695"/>
      <c r="DK499" s="695"/>
      <c r="DL499" s="695"/>
      <c r="DM499" s="695"/>
      <c r="DN499" s="695"/>
      <c r="DO499" s="695"/>
      <c r="DP499" s="695"/>
      <c r="DQ499" s="695"/>
      <c r="DR499" s="695"/>
      <c r="DS499" s="694"/>
      <c r="DT499" s="694"/>
      <c r="DU499" s="694"/>
      <c r="DV499" s="694"/>
      <c r="DW499" s="694"/>
      <c r="DX499" s="694"/>
      <c r="DY499" s="694"/>
      <c r="DZ499" s="694"/>
      <c r="EA499" s="694"/>
      <c r="EB499" s="694"/>
      <c r="EC499" s="694"/>
      <c r="ED499" s="694"/>
      <c r="EE499" s="694"/>
      <c r="EF499" s="694"/>
      <c r="EG499" s="694"/>
      <c r="EH499" s="694"/>
      <c r="EI499" s="694"/>
      <c r="EJ499" s="694"/>
      <c r="EK499" s="694"/>
      <c r="EL499" s="694"/>
      <c r="EM499" s="694"/>
      <c r="EN499" s="694"/>
      <c r="EO499" s="694"/>
      <c r="EP499" s="694"/>
      <c r="EQ499" s="694"/>
      <c r="ER499" s="694"/>
      <c r="ES499" s="694"/>
      <c r="ET499" s="694"/>
      <c r="EU499" s="694"/>
      <c r="EV499" s="694"/>
      <c r="EW499" s="694"/>
      <c r="EX499" s="694"/>
      <c r="EY499" s="694"/>
      <c r="EZ499" s="694"/>
      <c r="FA499" s="694"/>
      <c r="FB499" s="694"/>
      <c r="FC499" s="694"/>
      <c r="FD499" s="694"/>
      <c r="FE499" s="694"/>
      <c r="FF499" s="694"/>
      <c r="FG499" s="694"/>
      <c r="FH499" s="694"/>
      <c r="FI499" s="694"/>
      <c r="FJ499" s="694"/>
      <c r="FK499" s="694"/>
      <c r="FL499" s="694"/>
      <c r="FM499" s="694"/>
      <c r="FN499" s="694"/>
      <c r="FO499" s="694"/>
      <c r="FP499" s="694"/>
      <c r="FQ499" s="697"/>
    </row>
    <row r="500" spans="1:177" s="696" customFormat="1">
      <c r="A500" s="690"/>
      <c r="B500" s="690"/>
      <c r="C500" s="691" t="s">
        <v>3654</v>
      </c>
      <c r="D500" s="691"/>
      <c r="E500" s="692">
        <v>42.1</v>
      </c>
      <c r="F500" s="692"/>
      <c r="G500" s="692"/>
      <c r="H500" s="692"/>
      <c r="I500" s="692"/>
      <c r="J500" s="692"/>
      <c r="K500" s="692"/>
      <c r="L500" s="692"/>
      <c r="M500" s="692"/>
      <c r="N500" s="692"/>
      <c r="O500" s="692">
        <f t="shared" si="154"/>
        <v>42.1</v>
      </c>
      <c r="P500" s="692"/>
      <c r="Q500" s="692"/>
      <c r="R500" s="693"/>
      <c r="S500" s="693"/>
      <c r="T500" s="692"/>
      <c r="U500" s="692" t="s">
        <v>1631</v>
      </c>
      <c r="V500" s="692"/>
      <c r="W500" s="692"/>
      <c r="X500" s="692"/>
      <c r="Y500" s="692"/>
      <c r="Z500" s="692"/>
      <c r="AA500" s="692"/>
      <c r="AB500" s="692"/>
      <c r="AC500" s="692"/>
      <c r="AD500" s="692"/>
      <c r="AE500" s="725"/>
      <c r="AF500" s="957"/>
      <c r="AG500" s="692"/>
      <c r="AH500" s="692"/>
      <c r="AI500" s="692"/>
      <c r="AJ500" s="692"/>
      <c r="AK500" s="692"/>
      <c r="AL500" s="692"/>
      <c r="AM500" s="692"/>
      <c r="AN500" s="692"/>
      <c r="AO500" s="692"/>
      <c r="AP500" s="692"/>
      <c r="AQ500" s="692"/>
      <c r="AR500" s="692"/>
      <c r="AS500" s="692"/>
      <c r="AT500" s="692"/>
      <c r="AU500" s="692">
        <v>1</v>
      </c>
      <c r="AV500" s="692"/>
      <c r="AW500" s="692"/>
      <c r="AX500" s="692"/>
      <c r="AY500" s="692"/>
      <c r="AZ500" s="692">
        <f t="shared" si="151"/>
        <v>1</v>
      </c>
      <c r="BA500" s="692"/>
      <c r="BB500" s="692"/>
      <c r="BC500" s="692"/>
      <c r="BD500" s="692">
        <v>1</v>
      </c>
      <c r="BE500" s="692"/>
      <c r="BF500" s="692"/>
      <c r="BG500" s="692"/>
      <c r="BH500" s="692"/>
      <c r="BI500" s="692">
        <v>7</v>
      </c>
      <c r="BJ500" s="692"/>
      <c r="BK500" s="692"/>
      <c r="BL500" s="692"/>
      <c r="BM500" s="692"/>
      <c r="BN500" s="692"/>
      <c r="BO500" s="692"/>
      <c r="BP500" s="692"/>
      <c r="BQ500" s="692">
        <f t="shared" si="152"/>
        <v>0</v>
      </c>
      <c r="BR500" s="692"/>
      <c r="BS500" s="692">
        <v>1</v>
      </c>
      <c r="BT500" s="692"/>
      <c r="BU500" s="692"/>
      <c r="BV500" s="692"/>
      <c r="BW500" s="692"/>
      <c r="BX500" s="692"/>
      <c r="BY500" s="692"/>
      <c r="BZ500" s="692"/>
      <c r="CA500" s="692"/>
      <c r="CB500" s="692">
        <v>1</v>
      </c>
      <c r="CC500" s="692"/>
      <c r="CD500" s="692">
        <f t="shared" si="153"/>
        <v>4</v>
      </c>
      <c r="CE500" s="692"/>
      <c r="CF500" s="692"/>
      <c r="CG500" s="692"/>
      <c r="CH500" s="692"/>
      <c r="CI500" s="692"/>
      <c r="CJ500" s="692"/>
      <c r="CK500" s="692"/>
      <c r="CL500" s="692"/>
      <c r="CM500" s="692"/>
      <c r="CN500" s="692"/>
      <c r="CO500" s="692"/>
      <c r="CP500" s="692"/>
      <c r="CQ500" s="692"/>
      <c r="CR500" s="692"/>
      <c r="CS500" s="692"/>
      <c r="CT500" s="692"/>
      <c r="CU500" s="692"/>
      <c r="CV500" s="692"/>
      <c r="CW500" s="692"/>
      <c r="CX500" s="694"/>
      <c r="CY500" s="694"/>
      <c r="CZ500" s="694"/>
      <c r="DA500" s="694"/>
      <c r="DB500" s="694"/>
      <c r="DC500" s="694"/>
      <c r="DD500" s="694"/>
      <c r="DE500" s="694"/>
      <c r="DF500" s="694"/>
      <c r="DG500" s="695"/>
      <c r="DH500" s="695"/>
      <c r="DI500" s="695"/>
      <c r="DJ500" s="695"/>
      <c r="DK500" s="695"/>
      <c r="DL500" s="695"/>
      <c r="DM500" s="695"/>
      <c r="DN500" s="695"/>
      <c r="DO500" s="695"/>
      <c r="DP500" s="695"/>
      <c r="DQ500" s="695"/>
      <c r="DR500" s="695"/>
      <c r="DS500" s="694"/>
      <c r="DT500" s="694"/>
      <c r="DU500" s="694"/>
      <c r="DV500" s="694"/>
      <c r="DW500" s="694"/>
      <c r="DX500" s="694"/>
      <c r="DY500" s="694"/>
      <c r="DZ500" s="694"/>
      <c r="EA500" s="694"/>
      <c r="EB500" s="694"/>
      <c r="EC500" s="694"/>
      <c r="ED500" s="694"/>
      <c r="EE500" s="694"/>
      <c r="EF500" s="694"/>
      <c r="EG500" s="694"/>
      <c r="EH500" s="694"/>
      <c r="EI500" s="694"/>
      <c r="EJ500" s="694"/>
      <c r="EK500" s="694"/>
      <c r="EL500" s="694"/>
      <c r="EM500" s="694"/>
      <c r="EN500" s="694"/>
      <c r="EO500" s="694"/>
      <c r="EP500" s="694"/>
      <c r="EQ500" s="694"/>
      <c r="ER500" s="694"/>
      <c r="ES500" s="694"/>
      <c r="ET500" s="694"/>
      <c r="EU500" s="694"/>
      <c r="EV500" s="694"/>
      <c r="EW500" s="694"/>
      <c r="EX500" s="694"/>
      <c r="EY500" s="694"/>
      <c r="EZ500" s="694"/>
      <c r="FA500" s="694"/>
      <c r="FB500" s="694"/>
      <c r="FC500" s="694"/>
      <c r="FD500" s="694"/>
      <c r="FE500" s="694"/>
      <c r="FF500" s="694"/>
      <c r="FG500" s="694"/>
      <c r="FH500" s="694"/>
      <c r="FI500" s="694"/>
      <c r="FJ500" s="694"/>
      <c r="FK500" s="694"/>
      <c r="FL500" s="694"/>
      <c r="FM500" s="694"/>
      <c r="FN500" s="694"/>
      <c r="FO500" s="694"/>
      <c r="FP500" s="694"/>
      <c r="FQ500" s="697"/>
    </row>
    <row r="501" spans="1:177" s="696" customFormat="1">
      <c r="A501" s="690"/>
      <c r="B501" s="690"/>
      <c r="C501" s="691" t="s">
        <v>3655</v>
      </c>
      <c r="D501" s="691"/>
      <c r="E501" s="692">
        <v>39.5</v>
      </c>
      <c r="F501" s="692"/>
      <c r="G501" s="692"/>
      <c r="H501" s="692"/>
      <c r="I501" s="692"/>
      <c r="J501" s="692"/>
      <c r="K501" s="692"/>
      <c r="L501" s="692"/>
      <c r="M501" s="692"/>
      <c r="N501" s="692"/>
      <c r="O501" s="692">
        <f t="shared" si="154"/>
        <v>39.5</v>
      </c>
      <c r="P501" s="692"/>
      <c r="Q501" s="692"/>
      <c r="R501" s="693"/>
      <c r="S501" s="693"/>
      <c r="T501" s="692"/>
      <c r="U501" s="692" t="s">
        <v>2990</v>
      </c>
      <c r="V501" s="692"/>
      <c r="W501" s="692"/>
      <c r="X501" s="692"/>
      <c r="Y501" s="692"/>
      <c r="Z501" s="692"/>
      <c r="AA501" s="692"/>
      <c r="AB501" s="692"/>
      <c r="AC501" s="692"/>
      <c r="AD501" s="692"/>
      <c r="AE501" s="725"/>
      <c r="AF501" s="957"/>
      <c r="AG501" s="692"/>
      <c r="AH501" s="692"/>
      <c r="AI501" s="692"/>
      <c r="AJ501" s="692"/>
      <c r="AK501" s="692"/>
      <c r="AL501" s="692"/>
      <c r="AM501" s="692">
        <v>1</v>
      </c>
      <c r="AN501" s="692"/>
      <c r="AO501" s="692"/>
      <c r="AP501" s="692"/>
      <c r="AQ501" s="692">
        <v>1</v>
      </c>
      <c r="AR501" s="692"/>
      <c r="AS501" s="692"/>
      <c r="AT501" s="692"/>
      <c r="AU501" s="692"/>
      <c r="AV501" s="692"/>
      <c r="AW501" s="692">
        <v>2</v>
      </c>
      <c r="AX501" s="692"/>
      <c r="AY501" s="692"/>
      <c r="AZ501" s="692">
        <f t="shared" si="151"/>
        <v>3</v>
      </c>
      <c r="BA501" s="692"/>
      <c r="BB501" s="692"/>
      <c r="BC501" s="692"/>
      <c r="BD501" s="692">
        <v>1</v>
      </c>
      <c r="BE501" s="692"/>
      <c r="BF501" s="692"/>
      <c r="BG501" s="692"/>
      <c r="BH501" s="692"/>
      <c r="BI501" s="692">
        <v>5</v>
      </c>
      <c r="BJ501" s="692"/>
      <c r="BK501" s="692"/>
      <c r="BL501" s="692"/>
      <c r="BM501" s="692"/>
      <c r="BN501" s="692"/>
      <c r="BO501" s="692"/>
      <c r="BP501" s="692"/>
      <c r="BQ501" s="692">
        <f t="shared" si="152"/>
        <v>0</v>
      </c>
      <c r="BR501" s="692"/>
      <c r="BS501" s="692">
        <v>0</v>
      </c>
      <c r="BT501" s="692"/>
      <c r="BU501" s="692"/>
      <c r="BV501" s="692"/>
      <c r="BW501" s="692"/>
      <c r="BX501" s="692">
        <v>1</v>
      </c>
      <c r="BY501" s="692"/>
      <c r="BZ501" s="692"/>
      <c r="CA501" s="692"/>
      <c r="CB501" s="692">
        <v>1</v>
      </c>
      <c r="CC501" s="692"/>
      <c r="CD501" s="692">
        <f t="shared" si="153"/>
        <v>4</v>
      </c>
      <c r="CE501" s="692"/>
      <c r="CF501" s="692"/>
      <c r="CG501" s="692"/>
      <c r="CH501" s="692"/>
      <c r="CI501" s="692"/>
      <c r="CJ501" s="692"/>
      <c r="CK501" s="692"/>
      <c r="CL501" s="692"/>
      <c r="CM501" s="692"/>
      <c r="CN501" s="692"/>
      <c r="CO501" s="692"/>
      <c r="CP501" s="692"/>
      <c r="CQ501" s="692"/>
      <c r="CR501" s="692"/>
      <c r="CS501" s="692"/>
      <c r="CT501" s="692"/>
      <c r="CU501" s="692"/>
      <c r="CV501" s="692"/>
      <c r="CW501" s="692"/>
      <c r="CX501" s="694"/>
      <c r="CY501" s="694"/>
      <c r="CZ501" s="694"/>
      <c r="DA501" s="694"/>
      <c r="DB501" s="694"/>
      <c r="DC501" s="694"/>
      <c r="DD501" s="694"/>
      <c r="DE501" s="694"/>
      <c r="DF501" s="694"/>
      <c r="DG501" s="695"/>
      <c r="DH501" s="695"/>
      <c r="DI501" s="695"/>
      <c r="DJ501" s="695"/>
      <c r="DK501" s="695"/>
      <c r="DL501" s="695"/>
      <c r="DM501" s="695"/>
      <c r="DN501" s="695"/>
      <c r="DO501" s="695"/>
      <c r="DP501" s="695"/>
      <c r="DQ501" s="695"/>
      <c r="DR501" s="695"/>
      <c r="DS501" s="694"/>
      <c r="DT501" s="694"/>
      <c r="DU501" s="694"/>
      <c r="DV501" s="694"/>
      <c r="DW501" s="694"/>
      <c r="DX501" s="694"/>
      <c r="DY501" s="694"/>
      <c r="DZ501" s="694"/>
      <c r="EA501" s="694"/>
      <c r="EB501" s="694"/>
      <c r="EC501" s="694"/>
      <c r="ED501" s="694"/>
      <c r="EE501" s="694"/>
      <c r="EF501" s="694"/>
      <c r="EG501" s="694"/>
      <c r="EH501" s="694"/>
      <c r="EI501" s="694"/>
      <c r="EJ501" s="694"/>
      <c r="EK501" s="694"/>
      <c r="EL501" s="694"/>
      <c r="EM501" s="694"/>
      <c r="EN501" s="694"/>
      <c r="EO501" s="694"/>
      <c r="EP501" s="694"/>
      <c r="EQ501" s="694"/>
      <c r="ER501" s="694"/>
      <c r="ES501" s="694"/>
      <c r="ET501" s="694"/>
      <c r="EU501" s="694"/>
      <c r="EV501" s="694"/>
      <c r="EW501" s="694"/>
      <c r="EX501" s="694"/>
      <c r="EY501" s="694"/>
      <c r="EZ501" s="694"/>
      <c r="FA501" s="694"/>
      <c r="FB501" s="694"/>
      <c r="FC501" s="694"/>
      <c r="FD501" s="694"/>
      <c r="FE501" s="694"/>
      <c r="FF501" s="694"/>
      <c r="FG501" s="694"/>
      <c r="FH501" s="694"/>
      <c r="FI501" s="694"/>
      <c r="FJ501" s="694"/>
      <c r="FK501" s="694"/>
      <c r="FL501" s="694"/>
      <c r="FM501" s="694"/>
      <c r="FN501" s="694"/>
      <c r="FO501" s="694"/>
      <c r="FP501" s="694"/>
      <c r="FQ501" s="697"/>
    </row>
    <row r="502" spans="1:177" s="696" customFormat="1">
      <c r="A502" s="690"/>
      <c r="B502" s="690"/>
      <c r="C502" s="691" t="s">
        <v>3656</v>
      </c>
      <c r="D502" s="691"/>
      <c r="E502" s="692">
        <v>41.3</v>
      </c>
      <c r="F502" s="692"/>
      <c r="G502" s="692"/>
      <c r="H502" s="692"/>
      <c r="I502" s="692"/>
      <c r="J502" s="692"/>
      <c r="K502" s="692"/>
      <c r="L502" s="692"/>
      <c r="M502" s="692"/>
      <c r="N502" s="692"/>
      <c r="O502" s="692">
        <f t="shared" si="154"/>
        <v>41.3</v>
      </c>
      <c r="P502" s="692"/>
      <c r="Q502" s="692"/>
      <c r="R502" s="693"/>
      <c r="S502" s="693"/>
      <c r="T502" s="692"/>
      <c r="U502" s="692" t="s">
        <v>1631</v>
      </c>
      <c r="V502" s="692"/>
      <c r="W502" s="692"/>
      <c r="X502" s="692"/>
      <c r="Y502" s="692"/>
      <c r="Z502" s="692"/>
      <c r="AA502" s="692"/>
      <c r="AB502" s="692"/>
      <c r="AC502" s="692"/>
      <c r="AD502" s="692"/>
      <c r="AE502" s="725"/>
      <c r="AF502" s="957"/>
      <c r="AG502" s="692"/>
      <c r="AH502" s="692"/>
      <c r="AI502" s="692"/>
      <c r="AJ502" s="692"/>
      <c r="AK502" s="692"/>
      <c r="AL502" s="692"/>
      <c r="AM502" s="692"/>
      <c r="AN502" s="692"/>
      <c r="AO502" s="692"/>
      <c r="AP502" s="692"/>
      <c r="AQ502" s="692"/>
      <c r="AR502" s="692"/>
      <c r="AS502" s="692"/>
      <c r="AT502" s="692"/>
      <c r="AU502" s="692"/>
      <c r="AV502" s="692"/>
      <c r="AW502" s="692">
        <v>1</v>
      </c>
      <c r="AX502" s="692"/>
      <c r="AY502" s="692"/>
      <c r="AZ502" s="692">
        <f t="shared" si="151"/>
        <v>2</v>
      </c>
      <c r="BA502" s="692"/>
      <c r="BB502" s="692"/>
      <c r="BC502" s="692"/>
      <c r="BD502" s="692">
        <v>1</v>
      </c>
      <c r="BE502" s="692"/>
      <c r="BF502" s="692"/>
      <c r="BG502" s="692"/>
      <c r="BH502" s="692"/>
      <c r="BI502" s="692">
        <v>5</v>
      </c>
      <c r="BJ502" s="692"/>
      <c r="BK502" s="692"/>
      <c r="BL502" s="692"/>
      <c r="BM502" s="692"/>
      <c r="BN502" s="692"/>
      <c r="BO502" s="692"/>
      <c r="BP502" s="692"/>
      <c r="BQ502" s="692">
        <f t="shared" si="152"/>
        <v>0</v>
      </c>
      <c r="BR502" s="692"/>
      <c r="BS502" s="692">
        <v>1</v>
      </c>
      <c r="BT502" s="692"/>
      <c r="BU502" s="692"/>
      <c r="BV502" s="692"/>
      <c r="BW502" s="692"/>
      <c r="BX502" s="692"/>
      <c r="BY502" s="692"/>
      <c r="BZ502" s="692"/>
      <c r="CA502" s="692"/>
      <c r="CB502" s="692">
        <v>1</v>
      </c>
      <c r="CC502" s="692"/>
      <c r="CD502" s="692">
        <f t="shared" si="153"/>
        <v>4</v>
      </c>
      <c r="CE502" s="692"/>
      <c r="CF502" s="692"/>
      <c r="CG502" s="692"/>
      <c r="CH502" s="692"/>
      <c r="CI502" s="692"/>
      <c r="CJ502" s="692"/>
      <c r="CK502" s="692"/>
      <c r="CL502" s="692"/>
      <c r="CM502" s="692"/>
      <c r="CN502" s="692"/>
      <c r="CO502" s="692"/>
      <c r="CP502" s="692"/>
      <c r="CQ502" s="692"/>
      <c r="CR502" s="692"/>
      <c r="CS502" s="692"/>
      <c r="CT502" s="692"/>
      <c r="CU502" s="692"/>
      <c r="CV502" s="692"/>
      <c r="CW502" s="692"/>
      <c r="CX502" s="694"/>
      <c r="CY502" s="694"/>
      <c r="CZ502" s="694"/>
      <c r="DA502" s="694"/>
      <c r="DB502" s="694"/>
      <c r="DC502" s="694"/>
      <c r="DD502" s="694"/>
      <c r="DE502" s="694"/>
      <c r="DF502" s="694"/>
      <c r="DG502" s="695"/>
      <c r="DH502" s="695"/>
      <c r="DI502" s="695"/>
      <c r="DJ502" s="695"/>
      <c r="DK502" s="695"/>
      <c r="DL502" s="695"/>
      <c r="DM502" s="695"/>
      <c r="DN502" s="695"/>
      <c r="DO502" s="695"/>
      <c r="DP502" s="695"/>
      <c r="DQ502" s="695"/>
      <c r="DR502" s="695"/>
      <c r="DS502" s="694"/>
      <c r="DT502" s="694"/>
      <c r="DU502" s="694"/>
      <c r="DV502" s="694"/>
      <c r="DW502" s="694"/>
      <c r="DX502" s="694"/>
      <c r="DY502" s="694"/>
      <c r="DZ502" s="694"/>
      <c r="EA502" s="694"/>
      <c r="EB502" s="694"/>
      <c r="EC502" s="694"/>
      <c r="ED502" s="694"/>
      <c r="EE502" s="694"/>
      <c r="EF502" s="694"/>
      <c r="EG502" s="694"/>
      <c r="EH502" s="694"/>
      <c r="EI502" s="694"/>
      <c r="EJ502" s="694"/>
      <c r="EK502" s="694"/>
      <c r="EL502" s="694"/>
      <c r="EM502" s="694"/>
      <c r="EN502" s="694"/>
      <c r="EO502" s="694"/>
      <c r="EP502" s="694"/>
      <c r="EQ502" s="694"/>
      <c r="ER502" s="694"/>
      <c r="ES502" s="694"/>
      <c r="ET502" s="694"/>
      <c r="EU502" s="694"/>
      <c r="EV502" s="694"/>
      <c r="EW502" s="694"/>
      <c r="EX502" s="694"/>
      <c r="EY502" s="694"/>
      <c r="EZ502" s="694"/>
      <c r="FA502" s="694"/>
      <c r="FB502" s="694"/>
      <c r="FC502" s="694"/>
      <c r="FD502" s="694"/>
      <c r="FE502" s="694"/>
      <c r="FF502" s="694"/>
      <c r="FG502" s="694"/>
      <c r="FH502" s="694"/>
      <c r="FI502" s="694"/>
      <c r="FJ502" s="694"/>
      <c r="FK502" s="694"/>
      <c r="FL502" s="694"/>
      <c r="FM502" s="694"/>
      <c r="FN502" s="694"/>
      <c r="FO502" s="694"/>
      <c r="FP502" s="694"/>
      <c r="FQ502" s="697"/>
    </row>
    <row r="503" spans="1:177" s="696" customFormat="1">
      <c r="A503" s="690"/>
      <c r="B503" s="690"/>
      <c r="C503" s="691" t="s">
        <v>3719</v>
      </c>
      <c r="D503" s="691"/>
      <c r="E503" s="692">
        <v>40.799999999999997</v>
      </c>
      <c r="F503" s="692"/>
      <c r="G503" s="692"/>
      <c r="H503" s="692"/>
      <c r="I503" s="692"/>
      <c r="J503" s="692"/>
      <c r="K503" s="692"/>
      <c r="L503" s="692"/>
      <c r="M503" s="692"/>
      <c r="N503" s="692"/>
      <c r="O503" s="692">
        <f t="shared" si="154"/>
        <v>40.799999999999997</v>
      </c>
      <c r="P503" s="692"/>
      <c r="Q503" s="692"/>
      <c r="R503" s="693"/>
      <c r="S503" s="693"/>
      <c r="T503" s="692"/>
      <c r="U503" s="692" t="s">
        <v>1631</v>
      </c>
      <c r="V503" s="692"/>
      <c r="W503" s="692"/>
      <c r="X503" s="692"/>
      <c r="Y503" s="692"/>
      <c r="Z503" s="692"/>
      <c r="AA503" s="692"/>
      <c r="AB503" s="692"/>
      <c r="AC503" s="692"/>
      <c r="AD503" s="692"/>
      <c r="AE503" s="725"/>
      <c r="AF503" s="957"/>
      <c r="AG503" s="692"/>
      <c r="AH503" s="692"/>
      <c r="AI503" s="692"/>
      <c r="AJ503" s="692"/>
      <c r="AK503" s="692"/>
      <c r="AL503" s="692"/>
      <c r="AM503" s="692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/>
      <c r="AX503" s="692"/>
      <c r="AY503" s="692"/>
      <c r="AZ503" s="692">
        <f t="shared" si="151"/>
        <v>0</v>
      </c>
      <c r="BA503" s="692"/>
      <c r="BB503" s="692"/>
      <c r="BC503" s="692"/>
      <c r="BD503" s="692">
        <v>1</v>
      </c>
      <c r="BE503" s="692"/>
      <c r="BF503" s="692"/>
      <c r="BG503" s="692"/>
      <c r="BH503" s="692"/>
      <c r="BI503" s="692">
        <v>0</v>
      </c>
      <c r="BJ503" s="692"/>
      <c r="BK503" s="692"/>
      <c r="BL503" s="692"/>
      <c r="BM503" s="692"/>
      <c r="BN503" s="692"/>
      <c r="BO503" s="692"/>
      <c r="BP503" s="692"/>
      <c r="BQ503" s="692">
        <f t="shared" si="152"/>
        <v>0</v>
      </c>
      <c r="BR503" s="692"/>
      <c r="BS503" s="692">
        <v>1</v>
      </c>
      <c r="BT503" s="692"/>
      <c r="BU503" s="692"/>
      <c r="BV503" s="692"/>
      <c r="BW503" s="692"/>
      <c r="BX503" s="692"/>
      <c r="BY503" s="692"/>
      <c r="BZ503" s="692"/>
      <c r="CA503" s="692"/>
      <c r="CB503" s="692"/>
      <c r="CC503" s="692"/>
      <c r="CD503" s="692">
        <f t="shared" si="153"/>
        <v>0</v>
      </c>
      <c r="CE503" s="692"/>
      <c r="CF503" s="692"/>
      <c r="CG503" s="692"/>
      <c r="CH503" s="692"/>
      <c r="CI503" s="692"/>
      <c r="CJ503" s="692"/>
      <c r="CK503" s="692"/>
      <c r="CL503" s="692"/>
      <c r="CM503" s="692"/>
      <c r="CN503" s="692"/>
      <c r="CO503" s="692"/>
      <c r="CP503" s="692"/>
      <c r="CQ503" s="692"/>
      <c r="CR503" s="692"/>
      <c r="CS503" s="692"/>
      <c r="CT503" s="692"/>
      <c r="CU503" s="692"/>
      <c r="CV503" s="692"/>
      <c r="CW503" s="692"/>
      <c r="CX503" s="694"/>
      <c r="CY503" s="694"/>
      <c r="CZ503" s="694"/>
      <c r="DA503" s="694"/>
      <c r="DB503" s="694"/>
      <c r="DC503" s="694"/>
      <c r="DD503" s="694"/>
      <c r="DE503" s="694"/>
      <c r="DF503" s="694"/>
      <c r="DG503" s="695"/>
      <c r="DH503" s="695"/>
      <c r="DI503" s="695"/>
      <c r="DJ503" s="695"/>
      <c r="DK503" s="695"/>
      <c r="DL503" s="695"/>
      <c r="DM503" s="695"/>
      <c r="DN503" s="695"/>
      <c r="DO503" s="695"/>
      <c r="DP503" s="695"/>
      <c r="DQ503" s="695"/>
      <c r="DR503" s="695"/>
      <c r="DS503" s="694"/>
      <c r="DT503" s="694"/>
      <c r="DU503" s="694"/>
      <c r="DV503" s="694"/>
      <c r="DW503" s="694"/>
      <c r="DX503" s="694"/>
      <c r="DY503" s="694"/>
      <c r="DZ503" s="694"/>
      <c r="EA503" s="694"/>
      <c r="EB503" s="694"/>
      <c r="EC503" s="694"/>
      <c r="ED503" s="694"/>
      <c r="EE503" s="694"/>
      <c r="EF503" s="694"/>
      <c r="EG503" s="694"/>
      <c r="EH503" s="694"/>
      <c r="EI503" s="694"/>
      <c r="EJ503" s="694"/>
      <c r="EK503" s="694"/>
      <c r="EL503" s="694"/>
      <c r="EM503" s="694"/>
      <c r="EN503" s="694"/>
      <c r="EO503" s="694"/>
      <c r="EP503" s="694"/>
      <c r="EQ503" s="694"/>
      <c r="ER503" s="694"/>
      <c r="ES503" s="694"/>
      <c r="ET503" s="694"/>
      <c r="EU503" s="694"/>
      <c r="EV503" s="694"/>
      <c r="EW503" s="694"/>
      <c r="EX503" s="694"/>
      <c r="EY503" s="694"/>
      <c r="EZ503" s="694"/>
      <c r="FA503" s="694"/>
      <c r="FB503" s="694"/>
      <c r="FC503" s="694"/>
      <c r="FD503" s="694"/>
      <c r="FE503" s="694"/>
      <c r="FF503" s="694"/>
      <c r="FG503" s="694"/>
      <c r="FH503" s="694"/>
      <c r="FI503" s="694"/>
      <c r="FJ503" s="694"/>
      <c r="FK503" s="694"/>
      <c r="FL503" s="694"/>
      <c r="FM503" s="694"/>
      <c r="FN503" s="694"/>
      <c r="FO503" s="694"/>
      <c r="FP503" s="694"/>
      <c r="FQ503" s="697"/>
    </row>
    <row r="504" spans="1:177" s="696" customFormat="1">
      <c r="A504" s="690"/>
      <c r="B504" s="690"/>
      <c r="C504" s="691" t="s">
        <v>3720</v>
      </c>
      <c r="D504" s="691"/>
      <c r="E504" s="692">
        <v>39.9</v>
      </c>
      <c r="F504" s="692"/>
      <c r="G504" s="692"/>
      <c r="H504" s="692"/>
      <c r="I504" s="692"/>
      <c r="J504" s="692"/>
      <c r="K504" s="692"/>
      <c r="L504" s="692"/>
      <c r="M504" s="692"/>
      <c r="N504" s="692"/>
      <c r="O504" s="692">
        <f t="shared" si="154"/>
        <v>39.9</v>
      </c>
      <c r="P504" s="692"/>
      <c r="Q504" s="692"/>
      <c r="R504" s="693"/>
      <c r="S504" s="693"/>
      <c r="T504" s="692"/>
      <c r="U504" s="692" t="s">
        <v>1631</v>
      </c>
      <c r="V504" s="692"/>
      <c r="W504" s="692"/>
      <c r="X504" s="692"/>
      <c r="Y504" s="692"/>
      <c r="Z504" s="692"/>
      <c r="AA504" s="692"/>
      <c r="AB504" s="692"/>
      <c r="AC504" s="692"/>
      <c r="AD504" s="692"/>
      <c r="AE504" s="725"/>
      <c r="AF504" s="957"/>
      <c r="AG504" s="692"/>
      <c r="AH504" s="692"/>
      <c r="AI504" s="692"/>
      <c r="AJ504" s="692"/>
      <c r="AK504" s="692"/>
      <c r="AL504" s="692"/>
      <c r="AM504" s="692"/>
      <c r="AN504" s="692"/>
      <c r="AO504" s="692"/>
      <c r="AP504" s="692"/>
      <c r="AQ504" s="692"/>
      <c r="AR504" s="692"/>
      <c r="AS504" s="692"/>
      <c r="AT504" s="692"/>
      <c r="AU504" s="692">
        <v>1</v>
      </c>
      <c r="AV504" s="692"/>
      <c r="AW504" s="692"/>
      <c r="AX504" s="692"/>
      <c r="AY504" s="692"/>
      <c r="AZ504" s="692">
        <f t="shared" si="151"/>
        <v>1</v>
      </c>
      <c r="BA504" s="692"/>
      <c r="BB504" s="692"/>
      <c r="BC504" s="692"/>
      <c r="BD504" s="692">
        <v>1</v>
      </c>
      <c r="BE504" s="692"/>
      <c r="BF504" s="692"/>
      <c r="BG504" s="692"/>
      <c r="BH504" s="692"/>
      <c r="BI504" s="692">
        <v>7</v>
      </c>
      <c r="BJ504" s="692"/>
      <c r="BK504" s="692"/>
      <c r="BL504" s="692"/>
      <c r="BM504" s="692"/>
      <c r="BN504" s="692"/>
      <c r="BO504" s="692"/>
      <c r="BP504" s="692"/>
      <c r="BQ504" s="692">
        <f t="shared" si="152"/>
        <v>0</v>
      </c>
      <c r="BR504" s="692"/>
      <c r="BS504" s="692">
        <v>1</v>
      </c>
      <c r="BT504" s="692"/>
      <c r="BU504" s="692"/>
      <c r="BV504" s="692"/>
      <c r="BW504" s="692"/>
      <c r="BX504" s="692"/>
      <c r="BY504" s="692"/>
      <c r="BZ504" s="692"/>
      <c r="CA504" s="692"/>
      <c r="CB504" s="692">
        <v>1</v>
      </c>
      <c r="CC504" s="692"/>
      <c r="CD504" s="692">
        <f t="shared" si="153"/>
        <v>4</v>
      </c>
      <c r="CE504" s="692"/>
      <c r="CF504" s="692"/>
      <c r="CG504" s="692"/>
      <c r="CH504" s="692"/>
      <c r="CI504" s="692"/>
      <c r="CJ504" s="692"/>
      <c r="CK504" s="692"/>
      <c r="CL504" s="692"/>
      <c r="CM504" s="692"/>
      <c r="CN504" s="692"/>
      <c r="CO504" s="692"/>
      <c r="CP504" s="692"/>
      <c r="CQ504" s="692"/>
      <c r="CR504" s="692"/>
      <c r="CS504" s="692"/>
      <c r="CT504" s="692"/>
      <c r="CU504" s="692"/>
      <c r="CV504" s="692"/>
      <c r="CW504" s="692"/>
      <c r="CX504" s="694"/>
      <c r="CY504" s="694"/>
      <c r="CZ504" s="694"/>
      <c r="DA504" s="694"/>
      <c r="DB504" s="694"/>
      <c r="DC504" s="694"/>
      <c r="DD504" s="694"/>
      <c r="DE504" s="694"/>
      <c r="DF504" s="694"/>
      <c r="DG504" s="695"/>
      <c r="DH504" s="695"/>
      <c r="DI504" s="695"/>
      <c r="DJ504" s="695"/>
      <c r="DK504" s="695"/>
      <c r="DL504" s="695"/>
      <c r="DM504" s="695"/>
      <c r="DN504" s="695"/>
      <c r="DO504" s="695"/>
      <c r="DP504" s="695"/>
      <c r="DQ504" s="695"/>
      <c r="DR504" s="695"/>
      <c r="DS504" s="694"/>
      <c r="DT504" s="694"/>
      <c r="DU504" s="694"/>
      <c r="DV504" s="694"/>
      <c r="DW504" s="694"/>
      <c r="DX504" s="694"/>
      <c r="DY504" s="694"/>
      <c r="DZ504" s="694"/>
      <c r="EA504" s="694"/>
      <c r="EB504" s="694"/>
      <c r="EC504" s="694"/>
      <c r="ED504" s="694"/>
      <c r="EE504" s="694"/>
      <c r="EF504" s="694"/>
      <c r="EG504" s="694"/>
      <c r="EH504" s="694"/>
      <c r="EI504" s="694"/>
      <c r="EJ504" s="694"/>
      <c r="EK504" s="694"/>
      <c r="EL504" s="694"/>
      <c r="EM504" s="694"/>
      <c r="EN504" s="694"/>
      <c r="EO504" s="694"/>
      <c r="EP504" s="694"/>
      <c r="EQ504" s="694"/>
      <c r="ER504" s="694"/>
      <c r="ES504" s="694"/>
      <c r="ET504" s="694"/>
      <c r="EU504" s="694"/>
      <c r="EV504" s="694"/>
      <c r="EW504" s="694"/>
      <c r="EX504" s="694"/>
      <c r="EY504" s="694"/>
      <c r="EZ504" s="694"/>
      <c r="FA504" s="694"/>
      <c r="FB504" s="694"/>
      <c r="FC504" s="694"/>
      <c r="FD504" s="694"/>
      <c r="FE504" s="694"/>
      <c r="FF504" s="694"/>
      <c r="FG504" s="694"/>
      <c r="FH504" s="694"/>
      <c r="FI504" s="694"/>
      <c r="FJ504" s="694"/>
      <c r="FK504" s="694"/>
      <c r="FL504" s="694"/>
      <c r="FM504" s="694"/>
      <c r="FN504" s="694"/>
      <c r="FO504" s="694"/>
      <c r="FP504" s="694"/>
      <c r="FQ504" s="697"/>
    </row>
    <row r="505" spans="1:177" s="696" customFormat="1">
      <c r="A505" s="690"/>
      <c r="B505" s="690"/>
      <c r="C505" s="691" t="s">
        <v>3721</v>
      </c>
      <c r="D505" s="691"/>
      <c r="E505" s="692">
        <v>40.9</v>
      </c>
      <c r="F505" s="692"/>
      <c r="G505" s="692"/>
      <c r="H505" s="692"/>
      <c r="I505" s="692"/>
      <c r="J505" s="692"/>
      <c r="K505" s="692"/>
      <c r="L505" s="692"/>
      <c r="M505" s="692"/>
      <c r="N505" s="692"/>
      <c r="O505" s="692">
        <f t="shared" si="154"/>
        <v>40.9</v>
      </c>
      <c r="P505" s="692"/>
      <c r="Q505" s="692"/>
      <c r="R505" s="693"/>
      <c r="S505" s="693"/>
      <c r="T505" s="692"/>
      <c r="U505" s="692" t="s">
        <v>2990</v>
      </c>
      <c r="V505" s="692"/>
      <c r="W505" s="692"/>
      <c r="X505" s="692"/>
      <c r="Y505" s="692"/>
      <c r="Z505" s="692"/>
      <c r="AA505" s="692"/>
      <c r="AB505" s="692"/>
      <c r="AC505" s="692"/>
      <c r="AD505" s="692"/>
      <c r="AE505" s="725"/>
      <c r="AF505" s="957"/>
      <c r="AG505" s="692"/>
      <c r="AH505" s="692"/>
      <c r="AI505" s="692"/>
      <c r="AJ505" s="692"/>
      <c r="AK505" s="692"/>
      <c r="AL505" s="692"/>
      <c r="AM505" s="692"/>
      <c r="AN505" s="692"/>
      <c r="AO505" s="692"/>
      <c r="AP505" s="692"/>
      <c r="AQ505" s="692"/>
      <c r="AR505" s="692"/>
      <c r="AS505" s="692"/>
      <c r="AT505" s="692"/>
      <c r="AU505" s="692"/>
      <c r="AV505" s="692"/>
      <c r="AW505" s="692"/>
      <c r="AX505" s="692"/>
      <c r="AY505" s="692"/>
      <c r="AZ505" s="692">
        <f t="shared" si="151"/>
        <v>1</v>
      </c>
      <c r="BA505" s="692"/>
      <c r="BB505" s="692"/>
      <c r="BC505" s="692"/>
      <c r="BD505" s="692">
        <v>1</v>
      </c>
      <c r="BE505" s="692"/>
      <c r="BF505" s="692"/>
      <c r="BG505" s="692"/>
      <c r="BH505" s="692"/>
      <c r="BI505" s="692">
        <v>5</v>
      </c>
      <c r="BJ505" s="692"/>
      <c r="BK505" s="692"/>
      <c r="BL505" s="692"/>
      <c r="BM505" s="692"/>
      <c r="BN505" s="692"/>
      <c r="BO505" s="692"/>
      <c r="BP505" s="692"/>
      <c r="BQ505" s="692">
        <f t="shared" si="152"/>
        <v>0</v>
      </c>
      <c r="BR505" s="692"/>
      <c r="BS505" s="692">
        <v>0</v>
      </c>
      <c r="BT505" s="692"/>
      <c r="BU505" s="692"/>
      <c r="BV505" s="692"/>
      <c r="BW505" s="692"/>
      <c r="BX505" s="692">
        <v>1</v>
      </c>
      <c r="BY505" s="692"/>
      <c r="BZ505" s="692"/>
      <c r="CA505" s="692"/>
      <c r="CB505" s="692">
        <v>1</v>
      </c>
      <c r="CC505" s="692"/>
      <c r="CD505" s="692">
        <f t="shared" si="153"/>
        <v>4</v>
      </c>
      <c r="CE505" s="692"/>
      <c r="CF505" s="692"/>
      <c r="CG505" s="692"/>
      <c r="CH505" s="692"/>
      <c r="CI505" s="692"/>
      <c r="CJ505" s="692"/>
      <c r="CK505" s="692"/>
      <c r="CL505" s="692"/>
      <c r="CM505" s="692"/>
      <c r="CN505" s="692"/>
      <c r="CO505" s="692"/>
      <c r="CP505" s="692"/>
      <c r="CQ505" s="692"/>
      <c r="CR505" s="692"/>
      <c r="CS505" s="692"/>
      <c r="CT505" s="692"/>
      <c r="CU505" s="692"/>
      <c r="CV505" s="692"/>
      <c r="CW505" s="692"/>
      <c r="CX505" s="694"/>
      <c r="CY505" s="694"/>
      <c r="CZ505" s="694"/>
      <c r="DA505" s="694"/>
      <c r="DB505" s="694"/>
      <c r="DC505" s="694"/>
      <c r="DD505" s="694"/>
      <c r="DE505" s="694"/>
      <c r="DF505" s="694"/>
      <c r="DG505" s="695"/>
      <c r="DH505" s="695"/>
      <c r="DI505" s="695"/>
      <c r="DJ505" s="695"/>
      <c r="DK505" s="695"/>
      <c r="DL505" s="695"/>
      <c r="DM505" s="695"/>
      <c r="DN505" s="695"/>
      <c r="DO505" s="695"/>
      <c r="DP505" s="695"/>
      <c r="DQ505" s="695"/>
      <c r="DR505" s="695"/>
      <c r="DS505" s="694"/>
      <c r="DT505" s="694"/>
      <c r="DU505" s="694"/>
      <c r="DV505" s="694"/>
      <c r="DW505" s="694"/>
      <c r="DX505" s="694"/>
      <c r="DY505" s="694"/>
      <c r="DZ505" s="694"/>
      <c r="EA505" s="694"/>
      <c r="EB505" s="694"/>
      <c r="EC505" s="694"/>
      <c r="ED505" s="694"/>
      <c r="EE505" s="694"/>
      <c r="EF505" s="694"/>
      <c r="EG505" s="694"/>
      <c r="EH505" s="694"/>
      <c r="EI505" s="694"/>
      <c r="EJ505" s="694"/>
      <c r="EK505" s="694"/>
      <c r="EL505" s="694"/>
      <c r="EM505" s="694"/>
      <c r="EN505" s="694"/>
      <c r="EO505" s="694"/>
      <c r="EP505" s="694"/>
      <c r="EQ505" s="694"/>
      <c r="ER505" s="694"/>
      <c r="ES505" s="694"/>
      <c r="ET505" s="694"/>
      <c r="EU505" s="694"/>
      <c r="EV505" s="694"/>
      <c r="EW505" s="694"/>
      <c r="EX505" s="694"/>
      <c r="EY505" s="694"/>
      <c r="EZ505" s="694"/>
      <c r="FA505" s="694"/>
      <c r="FB505" s="694"/>
      <c r="FC505" s="694"/>
      <c r="FD505" s="694"/>
      <c r="FE505" s="694"/>
      <c r="FF505" s="694"/>
      <c r="FG505" s="694"/>
      <c r="FH505" s="694"/>
      <c r="FI505" s="694"/>
      <c r="FJ505" s="694"/>
      <c r="FK505" s="694"/>
      <c r="FL505" s="694"/>
      <c r="FM505" s="694"/>
      <c r="FN505" s="694"/>
      <c r="FO505" s="694"/>
      <c r="FP505" s="694"/>
      <c r="FQ505" s="697"/>
    </row>
    <row r="506" spans="1:177" s="696" customFormat="1">
      <c r="A506" s="690"/>
      <c r="B506" s="690"/>
      <c r="C506" s="691"/>
      <c r="D506" s="691"/>
      <c r="E506" s="692"/>
      <c r="F506" s="692"/>
      <c r="G506" s="692"/>
      <c r="H506" s="692"/>
      <c r="I506" s="692"/>
      <c r="J506" s="692"/>
      <c r="K506" s="692"/>
      <c r="L506" s="692"/>
      <c r="M506" s="692"/>
      <c r="N506" s="692"/>
      <c r="O506" s="692"/>
      <c r="P506" s="692"/>
      <c r="Q506" s="692"/>
      <c r="R506" s="693"/>
      <c r="S506" s="693"/>
      <c r="T506" s="692"/>
      <c r="U506" s="692"/>
      <c r="V506" s="692"/>
      <c r="W506" s="692"/>
      <c r="X506" s="692"/>
      <c r="Y506" s="692"/>
      <c r="Z506" s="692"/>
      <c r="AA506" s="692"/>
      <c r="AB506" s="692"/>
      <c r="AC506" s="692"/>
      <c r="AD506" s="692"/>
      <c r="AE506" s="725"/>
      <c r="AF506" s="957"/>
      <c r="AG506" s="692"/>
      <c r="AH506" s="692"/>
      <c r="AI506" s="692"/>
      <c r="AJ506" s="692"/>
      <c r="AK506" s="692"/>
      <c r="AL506" s="692"/>
      <c r="AM506" s="692"/>
      <c r="AN506" s="692"/>
      <c r="AO506" s="692"/>
      <c r="AP506" s="692"/>
      <c r="AQ506" s="692"/>
      <c r="AR506" s="692"/>
      <c r="AS506" s="692"/>
      <c r="AT506" s="692"/>
      <c r="AU506" s="692"/>
      <c r="AV506" s="692"/>
      <c r="AW506" s="692"/>
      <c r="AX506" s="692"/>
      <c r="AY506" s="692"/>
      <c r="AZ506" s="692">
        <f t="shared" si="151"/>
        <v>0</v>
      </c>
      <c r="BA506" s="692"/>
      <c r="BB506" s="692"/>
      <c r="BC506" s="692"/>
      <c r="BD506" s="692"/>
      <c r="BE506" s="692"/>
      <c r="BF506" s="692"/>
      <c r="BG506" s="692"/>
      <c r="BH506" s="692"/>
      <c r="BI506" s="692">
        <v>0</v>
      </c>
      <c r="BJ506" s="692"/>
      <c r="BK506" s="692"/>
      <c r="BL506" s="692"/>
      <c r="BM506" s="692"/>
      <c r="BN506" s="692"/>
      <c r="BO506" s="692"/>
      <c r="BP506" s="692"/>
      <c r="BQ506" s="692">
        <f t="shared" si="152"/>
        <v>0</v>
      </c>
      <c r="BR506" s="692"/>
      <c r="BS506" s="692">
        <v>0</v>
      </c>
      <c r="BT506" s="692"/>
      <c r="BU506" s="692"/>
      <c r="BV506" s="692"/>
      <c r="BW506" s="692"/>
      <c r="BX506" s="692"/>
      <c r="BY506" s="692"/>
      <c r="BZ506" s="692"/>
      <c r="CA506" s="692"/>
      <c r="CB506" s="692"/>
      <c r="CC506" s="692"/>
      <c r="CD506" s="692">
        <f t="shared" si="153"/>
        <v>0</v>
      </c>
      <c r="CE506" s="692"/>
      <c r="CF506" s="692"/>
      <c r="CG506" s="692"/>
      <c r="CH506" s="692"/>
      <c r="CI506" s="692"/>
      <c r="CJ506" s="692"/>
      <c r="CK506" s="692"/>
      <c r="CL506" s="692"/>
      <c r="CM506" s="692"/>
      <c r="CN506" s="692"/>
      <c r="CO506" s="692"/>
      <c r="CP506" s="692"/>
      <c r="CQ506" s="692"/>
      <c r="CR506" s="692"/>
      <c r="CS506" s="692"/>
      <c r="CT506" s="692"/>
      <c r="CU506" s="692"/>
      <c r="CV506" s="692"/>
      <c r="CW506" s="692"/>
      <c r="CX506" s="694"/>
      <c r="CY506" s="694"/>
      <c r="CZ506" s="694"/>
      <c r="DA506" s="694"/>
      <c r="DB506" s="694"/>
      <c r="DC506" s="694"/>
      <c r="DD506" s="694"/>
      <c r="DE506" s="694"/>
      <c r="DF506" s="694"/>
      <c r="DG506" s="695"/>
      <c r="DH506" s="695"/>
      <c r="DI506" s="695"/>
      <c r="DJ506" s="695"/>
      <c r="DK506" s="695"/>
      <c r="DL506" s="695"/>
      <c r="DM506" s="695"/>
      <c r="DN506" s="695"/>
      <c r="DO506" s="695"/>
      <c r="DP506" s="695"/>
      <c r="DQ506" s="695"/>
      <c r="DR506" s="695"/>
      <c r="DS506" s="694"/>
      <c r="DT506" s="694"/>
      <c r="DU506" s="694"/>
      <c r="DV506" s="694"/>
      <c r="DW506" s="694"/>
      <c r="DX506" s="694"/>
      <c r="DY506" s="694"/>
      <c r="DZ506" s="694"/>
      <c r="EA506" s="694"/>
      <c r="EB506" s="694"/>
      <c r="EC506" s="694"/>
      <c r="ED506" s="694"/>
      <c r="EE506" s="694"/>
      <c r="EF506" s="694"/>
      <c r="EG506" s="694"/>
      <c r="EH506" s="694"/>
      <c r="EI506" s="694"/>
      <c r="EJ506" s="694"/>
      <c r="EK506" s="694"/>
      <c r="EL506" s="694"/>
      <c r="EM506" s="694"/>
      <c r="EN506" s="694"/>
      <c r="EO506" s="694"/>
      <c r="EP506" s="694"/>
      <c r="EQ506" s="694"/>
      <c r="ER506" s="694"/>
      <c r="ES506" s="694"/>
      <c r="ET506" s="694"/>
      <c r="EU506" s="694"/>
      <c r="EV506" s="694"/>
      <c r="EW506" s="694"/>
      <c r="EX506" s="694"/>
      <c r="EY506" s="694"/>
      <c r="EZ506" s="694"/>
      <c r="FA506" s="694"/>
      <c r="FB506" s="694"/>
      <c r="FC506" s="694"/>
      <c r="FD506" s="694"/>
      <c r="FE506" s="694"/>
      <c r="FF506" s="694"/>
      <c r="FG506" s="694"/>
      <c r="FH506" s="694"/>
      <c r="FI506" s="694"/>
      <c r="FJ506" s="694"/>
      <c r="FK506" s="694"/>
      <c r="FL506" s="694"/>
      <c r="FM506" s="694"/>
      <c r="FN506" s="694"/>
      <c r="FO506" s="694"/>
      <c r="FP506" s="694"/>
      <c r="FQ506" s="697"/>
    </row>
    <row r="507" spans="1:177" s="4" customFormat="1">
      <c r="A507" s="486">
        <f>MATCH(C507,$C$5:$C$700,0)</f>
        <v>503</v>
      </c>
      <c r="B507" s="56"/>
      <c r="C507" s="507" t="s">
        <v>3078</v>
      </c>
      <c r="D507" s="507"/>
      <c r="E507" s="508">
        <f t="shared" ref="E507:AK507" si="155">SUM(E481:E506)</f>
        <v>913.99999999999977</v>
      </c>
      <c r="F507" s="508">
        <f t="shared" si="155"/>
        <v>0</v>
      </c>
      <c r="G507" s="508">
        <f t="shared" si="155"/>
        <v>0</v>
      </c>
      <c r="H507" s="508">
        <f t="shared" si="155"/>
        <v>0</v>
      </c>
      <c r="I507" s="508">
        <f t="shared" si="155"/>
        <v>0</v>
      </c>
      <c r="J507" s="508">
        <f t="shared" si="155"/>
        <v>0</v>
      </c>
      <c r="K507" s="508">
        <f t="shared" si="155"/>
        <v>0</v>
      </c>
      <c r="L507" s="508">
        <f t="shared" si="155"/>
        <v>0</v>
      </c>
      <c r="M507" s="508">
        <f t="shared" si="155"/>
        <v>0</v>
      </c>
      <c r="N507" s="508">
        <f t="shared" si="155"/>
        <v>0</v>
      </c>
      <c r="O507" s="508">
        <f t="shared" si="155"/>
        <v>913.99999999999977</v>
      </c>
      <c r="P507" s="508">
        <f t="shared" si="155"/>
        <v>0</v>
      </c>
      <c r="Q507" s="508">
        <f t="shared" si="155"/>
        <v>0</v>
      </c>
      <c r="R507" s="508">
        <f t="shared" si="155"/>
        <v>0</v>
      </c>
      <c r="S507" s="508">
        <f t="shared" si="155"/>
        <v>0</v>
      </c>
      <c r="T507" s="509">
        <f t="shared" si="155"/>
        <v>0</v>
      </c>
      <c r="U507" s="509">
        <f t="shared" si="155"/>
        <v>0</v>
      </c>
      <c r="V507" s="509">
        <f t="shared" si="155"/>
        <v>0</v>
      </c>
      <c r="W507" s="509">
        <f t="shared" si="155"/>
        <v>7</v>
      </c>
      <c r="X507" s="509">
        <f t="shared" si="155"/>
        <v>0</v>
      </c>
      <c r="Y507" s="509">
        <f t="shared" si="155"/>
        <v>0</v>
      </c>
      <c r="Z507" s="509">
        <f t="shared" si="155"/>
        <v>0</v>
      </c>
      <c r="AA507" s="509">
        <f t="shared" si="155"/>
        <v>1</v>
      </c>
      <c r="AB507" s="509">
        <f t="shared" si="155"/>
        <v>0</v>
      </c>
      <c r="AC507" s="509">
        <f t="shared" si="155"/>
        <v>0</v>
      </c>
      <c r="AD507" s="509">
        <f t="shared" si="155"/>
        <v>0</v>
      </c>
      <c r="AE507" s="511">
        <f t="shared" si="155"/>
        <v>0</v>
      </c>
      <c r="AF507" s="958">
        <f t="shared" si="155"/>
        <v>3</v>
      </c>
      <c r="AG507" s="509">
        <f t="shared" si="155"/>
        <v>0</v>
      </c>
      <c r="AH507" s="509">
        <f t="shared" si="155"/>
        <v>0</v>
      </c>
      <c r="AI507" s="509">
        <f t="shared" si="155"/>
        <v>0</v>
      </c>
      <c r="AJ507" s="509">
        <f t="shared" si="155"/>
        <v>0</v>
      </c>
      <c r="AK507" s="509">
        <f t="shared" si="155"/>
        <v>0</v>
      </c>
      <c r="AL507" s="509">
        <f t="shared" ref="AL507:BQ507" si="156">SUM(AL481:AL506)</f>
        <v>0</v>
      </c>
      <c r="AM507" s="509">
        <f t="shared" si="156"/>
        <v>2</v>
      </c>
      <c r="AN507" s="509">
        <f t="shared" si="156"/>
        <v>0</v>
      </c>
      <c r="AO507" s="509">
        <f t="shared" si="156"/>
        <v>0</v>
      </c>
      <c r="AP507" s="509">
        <f t="shared" si="156"/>
        <v>0</v>
      </c>
      <c r="AQ507" s="509">
        <f t="shared" si="156"/>
        <v>2</v>
      </c>
      <c r="AR507" s="509">
        <f t="shared" si="156"/>
        <v>0</v>
      </c>
      <c r="AS507" s="509">
        <f t="shared" si="156"/>
        <v>0</v>
      </c>
      <c r="AT507" s="509">
        <f t="shared" si="156"/>
        <v>0</v>
      </c>
      <c r="AU507" s="509">
        <f t="shared" si="156"/>
        <v>4</v>
      </c>
      <c r="AV507" s="509">
        <f t="shared" si="156"/>
        <v>0</v>
      </c>
      <c r="AW507" s="509">
        <f t="shared" si="156"/>
        <v>10</v>
      </c>
      <c r="AX507" s="509">
        <f t="shared" si="156"/>
        <v>0</v>
      </c>
      <c r="AY507" s="509">
        <f t="shared" si="156"/>
        <v>0</v>
      </c>
      <c r="AZ507" s="509">
        <f t="shared" si="156"/>
        <v>28</v>
      </c>
      <c r="BA507" s="509">
        <f t="shared" si="156"/>
        <v>0</v>
      </c>
      <c r="BB507" s="509">
        <f t="shared" si="156"/>
        <v>0</v>
      </c>
      <c r="BC507" s="509">
        <f t="shared" si="156"/>
        <v>0</v>
      </c>
      <c r="BD507" s="509">
        <f t="shared" si="156"/>
        <v>23</v>
      </c>
      <c r="BE507" s="509">
        <f t="shared" si="156"/>
        <v>3</v>
      </c>
      <c r="BF507" s="509">
        <f t="shared" si="156"/>
        <v>4</v>
      </c>
      <c r="BG507" s="509">
        <f t="shared" si="156"/>
        <v>0</v>
      </c>
      <c r="BH507" s="509">
        <f t="shared" si="156"/>
        <v>0</v>
      </c>
      <c r="BI507" s="509">
        <f t="shared" si="156"/>
        <v>88</v>
      </c>
      <c r="BJ507" s="509">
        <f t="shared" si="156"/>
        <v>0</v>
      </c>
      <c r="BK507" s="509">
        <f t="shared" si="156"/>
        <v>0</v>
      </c>
      <c r="BL507" s="509">
        <f t="shared" si="156"/>
        <v>0</v>
      </c>
      <c r="BM507" s="509">
        <f t="shared" si="156"/>
        <v>0</v>
      </c>
      <c r="BN507" s="509">
        <f t="shared" si="156"/>
        <v>0</v>
      </c>
      <c r="BO507" s="509">
        <f t="shared" si="156"/>
        <v>0</v>
      </c>
      <c r="BP507" s="509">
        <f t="shared" si="156"/>
        <v>0</v>
      </c>
      <c r="BQ507" s="509">
        <f t="shared" si="156"/>
        <v>7</v>
      </c>
      <c r="BR507" s="509">
        <f t="shared" ref="BR507:DA507" si="157">SUM(BR481:BR506)</f>
        <v>0</v>
      </c>
      <c r="BS507" s="509">
        <f t="shared" si="157"/>
        <v>25</v>
      </c>
      <c r="BT507" s="509">
        <f t="shared" si="157"/>
        <v>0</v>
      </c>
      <c r="BU507" s="509">
        <f t="shared" si="157"/>
        <v>0</v>
      </c>
      <c r="BV507" s="509">
        <f t="shared" si="157"/>
        <v>0</v>
      </c>
      <c r="BW507" s="509">
        <f t="shared" si="157"/>
        <v>0</v>
      </c>
      <c r="BX507" s="509">
        <f t="shared" si="157"/>
        <v>12</v>
      </c>
      <c r="BY507" s="509">
        <f t="shared" si="157"/>
        <v>0</v>
      </c>
      <c r="BZ507" s="509">
        <f t="shared" si="157"/>
        <v>0</v>
      </c>
      <c r="CA507" s="509">
        <f t="shared" si="157"/>
        <v>0</v>
      </c>
      <c r="CB507" s="509">
        <f t="shared" si="157"/>
        <v>16</v>
      </c>
      <c r="CC507" s="509">
        <f t="shared" si="157"/>
        <v>2</v>
      </c>
      <c r="CD507" s="509">
        <f t="shared" si="157"/>
        <v>64</v>
      </c>
      <c r="CE507" s="509">
        <f t="shared" si="157"/>
        <v>4</v>
      </c>
      <c r="CF507" s="509">
        <f t="shared" si="157"/>
        <v>4</v>
      </c>
      <c r="CG507" s="509">
        <f t="shared" si="157"/>
        <v>4</v>
      </c>
      <c r="CH507" s="509">
        <f t="shared" si="157"/>
        <v>4</v>
      </c>
      <c r="CI507" s="509">
        <f t="shared" si="157"/>
        <v>0</v>
      </c>
      <c r="CJ507" s="509">
        <f t="shared" si="157"/>
        <v>8</v>
      </c>
      <c r="CK507" s="509">
        <f t="shared" si="157"/>
        <v>0</v>
      </c>
      <c r="CL507" s="509">
        <f t="shared" si="157"/>
        <v>0</v>
      </c>
      <c r="CM507" s="509">
        <f t="shared" si="157"/>
        <v>8</v>
      </c>
      <c r="CN507" s="509">
        <f t="shared" si="157"/>
        <v>6</v>
      </c>
      <c r="CO507" s="509">
        <f t="shared" si="157"/>
        <v>3</v>
      </c>
      <c r="CP507" s="509">
        <f t="shared" si="157"/>
        <v>0</v>
      </c>
      <c r="CQ507" s="509">
        <f t="shared" si="157"/>
        <v>1</v>
      </c>
      <c r="CR507" s="509">
        <f t="shared" si="157"/>
        <v>1</v>
      </c>
      <c r="CS507" s="509">
        <f t="shared" si="157"/>
        <v>0</v>
      </c>
      <c r="CT507" s="509">
        <f t="shared" si="157"/>
        <v>0</v>
      </c>
      <c r="CU507" s="509">
        <f t="shared" si="157"/>
        <v>0</v>
      </c>
      <c r="CV507" s="509">
        <f t="shared" si="157"/>
        <v>0</v>
      </c>
      <c r="CW507" s="509">
        <f t="shared" si="157"/>
        <v>0</v>
      </c>
      <c r="CX507" s="509">
        <f>SUM(CX481:CX506)</f>
        <v>0</v>
      </c>
      <c r="CY507" s="509">
        <f>SUM(CY481:CY506)</f>
        <v>0</v>
      </c>
      <c r="CZ507" s="509">
        <f t="shared" si="157"/>
        <v>0</v>
      </c>
      <c r="DA507" s="509">
        <f t="shared" si="157"/>
        <v>0</v>
      </c>
      <c r="DB507" s="509">
        <f t="shared" ref="DB507:EG507" si="158">SUM(DB481:DB506)</f>
        <v>0</v>
      </c>
      <c r="DC507" s="509">
        <f t="shared" si="158"/>
        <v>0</v>
      </c>
      <c r="DD507" s="509">
        <f t="shared" si="158"/>
        <v>0</v>
      </c>
      <c r="DE507" s="509">
        <f t="shared" si="158"/>
        <v>0</v>
      </c>
      <c r="DF507" s="509">
        <f t="shared" si="158"/>
        <v>0</v>
      </c>
      <c r="DG507" s="518">
        <f t="shared" si="158"/>
        <v>0</v>
      </c>
      <c r="DH507" s="518">
        <f t="shared" si="158"/>
        <v>0</v>
      </c>
      <c r="DI507" s="518">
        <f t="shared" si="158"/>
        <v>0</v>
      </c>
      <c r="DJ507" s="518">
        <f t="shared" si="158"/>
        <v>0</v>
      </c>
      <c r="DK507" s="518">
        <f t="shared" si="158"/>
        <v>0</v>
      </c>
      <c r="DL507" s="518">
        <f t="shared" si="158"/>
        <v>0</v>
      </c>
      <c r="DM507" s="518">
        <f t="shared" si="158"/>
        <v>0</v>
      </c>
      <c r="DN507" s="518">
        <f t="shared" si="158"/>
        <v>0</v>
      </c>
      <c r="DO507" s="518">
        <f t="shared" si="158"/>
        <v>0</v>
      </c>
      <c r="DP507" s="518">
        <f t="shared" si="158"/>
        <v>0</v>
      </c>
      <c r="DQ507" s="518">
        <f t="shared" si="158"/>
        <v>0</v>
      </c>
      <c r="DR507" s="518">
        <f t="shared" si="158"/>
        <v>0</v>
      </c>
      <c r="DS507" s="509">
        <f t="shared" si="158"/>
        <v>0</v>
      </c>
      <c r="DT507" s="509">
        <f t="shared" si="158"/>
        <v>0</v>
      </c>
      <c r="DU507" s="509">
        <f t="shared" si="158"/>
        <v>0</v>
      </c>
      <c r="DV507" s="509">
        <f t="shared" si="158"/>
        <v>0</v>
      </c>
      <c r="DW507" s="509">
        <f t="shared" si="158"/>
        <v>0</v>
      </c>
      <c r="DX507" s="509">
        <f t="shared" si="158"/>
        <v>0</v>
      </c>
      <c r="DY507" s="509">
        <f t="shared" si="158"/>
        <v>0</v>
      </c>
      <c r="DZ507" s="509">
        <f t="shared" si="158"/>
        <v>0</v>
      </c>
      <c r="EA507" s="509">
        <f t="shared" si="158"/>
        <v>0</v>
      </c>
      <c r="EB507" s="509">
        <f t="shared" si="158"/>
        <v>0</v>
      </c>
      <c r="EC507" s="509">
        <f t="shared" si="158"/>
        <v>0</v>
      </c>
      <c r="ED507" s="509">
        <f t="shared" si="158"/>
        <v>0</v>
      </c>
      <c r="EE507" s="509">
        <f t="shared" si="158"/>
        <v>0</v>
      </c>
      <c r="EF507" s="509">
        <f t="shared" si="158"/>
        <v>0</v>
      </c>
      <c r="EG507" s="509">
        <f t="shared" si="158"/>
        <v>0</v>
      </c>
      <c r="EH507" s="509">
        <f t="shared" ref="EH507:FM507" si="159">SUM(EH481:EH506)</f>
        <v>0</v>
      </c>
      <c r="EI507" s="509">
        <f t="shared" si="159"/>
        <v>0</v>
      </c>
      <c r="EJ507" s="509">
        <f t="shared" si="159"/>
        <v>0</v>
      </c>
      <c r="EK507" s="509">
        <f t="shared" si="159"/>
        <v>0</v>
      </c>
      <c r="EL507" s="509">
        <f t="shared" si="159"/>
        <v>0</v>
      </c>
      <c r="EM507" s="509">
        <f t="shared" si="159"/>
        <v>0</v>
      </c>
      <c r="EN507" s="509">
        <f t="shared" si="159"/>
        <v>0</v>
      </c>
      <c r="EO507" s="509">
        <f t="shared" si="159"/>
        <v>0</v>
      </c>
      <c r="EP507" s="509">
        <f t="shared" si="159"/>
        <v>0</v>
      </c>
      <c r="EQ507" s="509">
        <f t="shared" si="159"/>
        <v>0</v>
      </c>
      <c r="ER507" s="509">
        <f t="shared" si="159"/>
        <v>0</v>
      </c>
      <c r="ES507" s="509">
        <f t="shared" si="159"/>
        <v>0</v>
      </c>
      <c r="ET507" s="509">
        <f t="shared" si="159"/>
        <v>0</v>
      </c>
      <c r="EU507" s="509">
        <f t="shared" si="159"/>
        <v>0</v>
      </c>
      <c r="EV507" s="509">
        <f t="shared" si="159"/>
        <v>0</v>
      </c>
      <c r="EW507" s="509">
        <f t="shared" si="159"/>
        <v>0</v>
      </c>
      <c r="EX507" s="509">
        <f t="shared" si="159"/>
        <v>0</v>
      </c>
      <c r="EY507" s="509">
        <f t="shared" si="159"/>
        <v>0</v>
      </c>
      <c r="EZ507" s="509">
        <f t="shared" si="159"/>
        <v>0</v>
      </c>
      <c r="FA507" s="509">
        <f t="shared" si="159"/>
        <v>0</v>
      </c>
      <c r="FB507" s="509">
        <f t="shared" si="159"/>
        <v>0</v>
      </c>
      <c r="FC507" s="509">
        <f t="shared" si="159"/>
        <v>0</v>
      </c>
      <c r="FD507" s="509">
        <f t="shared" si="159"/>
        <v>0</v>
      </c>
      <c r="FE507" s="509">
        <f t="shared" si="159"/>
        <v>0</v>
      </c>
      <c r="FF507" s="509">
        <f t="shared" si="159"/>
        <v>0</v>
      </c>
      <c r="FG507" s="509">
        <f t="shared" si="159"/>
        <v>0</v>
      </c>
      <c r="FH507" s="509">
        <f t="shared" si="159"/>
        <v>0</v>
      </c>
      <c r="FI507" s="509">
        <f t="shared" si="159"/>
        <v>0</v>
      </c>
      <c r="FJ507" s="509">
        <f t="shared" si="159"/>
        <v>0</v>
      </c>
      <c r="FK507" s="509">
        <f t="shared" si="159"/>
        <v>0</v>
      </c>
      <c r="FL507" s="509">
        <f t="shared" si="159"/>
        <v>0</v>
      </c>
      <c r="FM507" s="509">
        <f t="shared" si="159"/>
        <v>0</v>
      </c>
      <c r="FN507" s="509">
        <f>SUM(FN481:FN506)</f>
        <v>0</v>
      </c>
      <c r="FO507" s="509">
        <f>SUM(FO481:FO506)</f>
        <v>0</v>
      </c>
      <c r="FP507" s="509"/>
      <c r="FQ507" s="508"/>
      <c r="FU507" s="4">
        <f>DY507-FM507</f>
        <v>0</v>
      </c>
    </row>
    <row r="508" spans="1:177" s="4" customFormat="1">
      <c r="A508" s="56"/>
      <c r="B508" s="56">
        <v>8</v>
      </c>
      <c r="C508" s="501" t="s">
        <v>3730</v>
      </c>
      <c r="D508" s="502"/>
      <c r="E508" s="503"/>
      <c r="F508" s="503"/>
      <c r="G508" s="503"/>
      <c r="H508" s="503"/>
      <c r="I508" s="503"/>
      <c r="J508" s="503"/>
      <c r="K508" s="503"/>
      <c r="L508" s="503"/>
      <c r="M508" s="503"/>
      <c r="N508" s="503"/>
      <c r="O508" s="503"/>
      <c r="P508" s="503"/>
      <c r="Q508" s="503"/>
      <c r="R508" s="503"/>
      <c r="S508" s="503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  <c r="AD508" s="504"/>
      <c r="AE508" s="954"/>
      <c r="AF508" s="959"/>
      <c r="AG508" s="504"/>
      <c r="AH508" s="504"/>
      <c r="AI508" s="504"/>
      <c r="AJ508" s="504"/>
      <c r="AK508" s="504"/>
      <c r="AL508" s="504"/>
      <c r="AM508" s="504"/>
      <c r="AN508" s="504"/>
      <c r="AO508" s="504"/>
      <c r="AP508" s="504"/>
      <c r="AQ508" s="504"/>
      <c r="AR508" s="504"/>
      <c r="AS508" s="504"/>
      <c r="AT508" s="504"/>
      <c r="AU508" s="504"/>
      <c r="AV508" s="504"/>
      <c r="AW508" s="504"/>
      <c r="AX508" s="504"/>
      <c r="AY508" s="504"/>
      <c r="AZ508" s="504"/>
      <c r="BA508" s="504"/>
      <c r="BB508" s="504"/>
      <c r="BC508" s="504"/>
      <c r="BD508" s="504"/>
      <c r="BE508" s="504"/>
      <c r="BF508" s="504"/>
      <c r="BG508" s="504"/>
      <c r="BH508" s="504"/>
      <c r="BI508" s="504"/>
      <c r="BJ508" s="504"/>
      <c r="BK508" s="504"/>
      <c r="BL508" s="504"/>
      <c r="BM508" s="504"/>
      <c r="BN508" s="504"/>
      <c r="BO508" s="504"/>
      <c r="BP508" s="504"/>
      <c r="BQ508" s="504"/>
      <c r="BR508" s="504"/>
      <c r="BS508" s="504"/>
      <c r="BT508" s="504"/>
      <c r="BU508" s="504"/>
      <c r="BV508" s="504"/>
      <c r="BW508" s="504"/>
      <c r="BX508" s="504"/>
      <c r="BY508" s="504"/>
      <c r="BZ508" s="504"/>
      <c r="CA508" s="504"/>
      <c r="CB508" s="504"/>
      <c r="CC508" s="504"/>
      <c r="CD508" s="504"/>
      <c r="CE508" s="504"/>
      <c r="CF508" s="504"/>
      <c r="CG508" s="504"/>
      <c r="CH508" s="504"/>
      <c r="CI508" s="504"/>
      <c r="CJ508" s="504"/>
      <c r="CK508" s="504"/>
      <c r="CL508" s="504"/>
      <c r="CM508" s="504"/>
      <c r="CN508" s="504"/>
      <c r="CO508" s="504"/>
      <c r="CP508" s="504"/>
      <c r="CQ508" s="504"/>
      <c r="CR508" s="504"/>
      <c r="CS508" s="504"/>
      <c r="CT508" s="504"/>
      <c r="CU508" s="504"/>
      <c r="CV508" s="504"/>
      <c r="CW508" s="504"/>
      <c r="CX508" s="504"/>
      <c r="CY508" s="504"/>
      <c r="CZ508" s="504"/>
      <c r="DA508" s="504"/>
      <c r="DB508" s="504"/>
      <c r="DC508" s="504"/>
      <c r="DD508" s="504"/>
      <c r="DE508" s="504"/>
      <c r="DF508" s="504"/>
      <c r="DG508" s="519"/>
      <c r="DH508" s="519"/>
      <c r="DI508" s="519"/>
      <c r="DJ508" s="519"/>
      <c r="DK508" s="519"/>
      <c r="DL508" s="519"/>
      <c r="DM508" s="519"/>
      <c r="DN508" s="519"/>
      <c r="DO508" s="519"/>
      <c r="DP508" s="519"/>
      <c r="DQ508" s="519"/>
      <c r="DR508" s="519"/>
      <c r="DS508" s="504"/>
      <c r="DT508" s="504"/>
      <c r="DU508" s="504"/>
      <c r="DV508" s="504"/>
      <c r="DW508" s="504"/>
      <c r="DX508" s="504"/>
      <c r="DY508" s="504"/>
      <c r="DZ508" s="504"/>
      <c r="EA508" s="504"/>
      <c r="EB508" s="504"/>
      <c r="EC508" s="504"/>
      <c r="ED508" s="504"/>
      <c r="EE508" s="504"/>
      <c r="EF508" s="504"/>
      <c r="EG508" s="504"/>
      <c r="EH508" s="504"/>
      <c r="EI508" s="504"/>
      <c r="EJ508" s="504"/>
      <c r="EK508" s="504"/>
      <c r="EL508" s="504"/>
      <c r="EM508" s="504"/>
      <c r="EN508" s="504"/>
      <c r="EO508" s="504"/>
      <c r="EP508" s="504"/>
      <c r="EQ508" s="504"/>
      <c r="ER508" s="504"/>
      <c r="ES508" s="504"/>
      <c r="ET508" s="504"/>
      <c r="EU508" s="504"/>
      <c r="EV508" s="504"/>
      <c r="EW508" s="504"/>
      <c r="EX508" s="504"/>
      <c r="EY508" s="504"/>
      <c r="EZ508" s="504"/>
      <c r="FA508" s="504"/>
      <c r="FB508" s="504"/>
      <c r="FC508" s="504"/>
      <c r="FD508" s="504"/>
      <c r="FE508" s="504"/>
      <c r="FF508" s="504"/>
      <c r="FG508" s="504"/>
      <c r="FH508" s="504"/>
      <c r="FI508" s="504"/>
      <c r="FJ508" s="504"/>
      <c r="FK508" s="504"/>
      <c r="FL508" s="504"/>
      <c r="FM508" s="504"/>
      <c r="FN508" s="504"/>
      <c r="FO508" s="504"/>
      <c r="FP508" s="504"/>
      <c r="FQ508" s="505"/>
      <c r="FU508" s="4">
        <f>DY508-FM508</f>
        <v>0</v>
      </c>
    </row>
    <row r="509" spans="1:177" s="706" customFormat="1">
      <c r="A509" s="700"/>
      <c r="B509" s="700"/>
      <c r="C509" s="701"/>
      <c r="D509" s="702" t="s">
        <v>3984</v>
      </c>
      <c r="E509" s="703"/>
      <c r="F509" s="703"/>
      <c r="G509" s="703"/>
      <c r="H509" s="703"/>
      <c r="I509" s="703"/>
      <c r="J509" s="703"/>
      <c r="K509" s="703"/>
      <c r="L509" s="703"/>
      <c r="M509" s="703"/>
      <c r="N509" s="703"/>
      <c r="O509" s="703">
        <f t="shared" ref="O509:O540" si="160">E509</f>
        <v>0</v>
      </c>
      <c r="P509" s="703">
        <f>E509</f>
        <v>0</v>
      </c>
      <c r="Q509" s="703"/>
      <c r="R509" s="704"/>
      <c r="S509" s="704"/>
      <c r="T509" s="703"/>
      <c r="U509" s="703" t="s">
        <v>2990</v>
      </c>
      <c r="V509" s="703"/>
      <c r="W509" s="703"/>
      <c r="X509" s="703"/>
      <c r="Y509" s="703"/>
      <c r="Z509" s="703"/>
      <c r="AA509" s="703"/>
      <c r="AB509" s="703"/>
      <c r="AC509" s="703"/>
      <c r="AD509" s="703"/>
      <c r="AE509" s="766"/>
      <c r="AF509" s="960"/>
      <c r="AG509" s="703"/>
      <c r="AH509" s="703"/>
      <c r="AI509" s="703"/>
      <c r="AJ509" s="703"/>
      <c r="AK509" s="703"/>
      <c r="AL509" s="703"/>
      <c r="AM509" s="703"/>
      <c r="AN509" s="703"/>
      <c r="AO509" s="703"/>
      <c r="AP509" s="703"/>
      <c r="AQ509" s="703"/>
      <c r="AR509" s="703"/>
      <c r="AS509" s="703"/>
      <c r="AT509" s="703"/>
      <c r="AU509" s="703"/>
      <c r="AV509" s="703"/>
      <c r="AW509" s="703"/>
      <c r="AX509" s="703"/>
      <c r="AY509" s="703"/>
      <c r="AZ509" s="703"/>
      <c r="BA509" s="703">
        <f t="shared" ref="BA509:BA530" si="161">CB509+CC509</f>
        <v>0</v>
      </c>
      <c r="BB509" s="703"/>
      <c r="BC509" s="703"/>
      <c r="BD509" s="703"/>
      <c r="BE509" s="703">
        <v>1</v>
      </c>
      <c r="BF509" s="703"/>
      <c r="BG509" s="703"/>
      <c r="BH509" s="703"/>
      <c r="BI509" s="694">
        <f>CB509*5+AU509*2</f>
        <v>0</v>
      </c>
      <c r="BJ509" s="703">
        <f>CB509*5+AU509*2</f>
        <v>0</v>
      </c>
      <c r="BK509" s="703"/>
      <c r="BL509" s="703"/>
      <c r="BM509" s="703"/>
      <c r="BN509" s="703"/>
      <c r="BO509" s="703"/>
      <c r="BP509" s="703"/>
      <c r="BQ509" s="703">
        <f>IF(U509="G",1,)</f>
        <v>0</v>
      </c>
      <c r="BR509" s="703"/>
      <c r="BS509" s="703">
        <f>IF(U509="I",1,IF(U509="G",2,))</f>
        <v>0</v>
      </c>
      <c r="BT509" s="703">
        <f>IF(U509="I",1,IF(U509="G",2,))</f>
        <v>0</v>
      </c>
      <c r="BU509" s="703"/>
      <c r="BV509" s="703"/>
      <c r="BW509" s="703"/>
      <c r="BX509" s="703">
        <f>IF(LEN(U509)=2,1,IF(LEN(U509)&gt;2,VALUE(LEFT(U509,1)),))</f>
        <v>1</v>
      </c>
      <c r="BY509" s="703"/>
      <c r="BZ509" s="703"/>
      <c r="CA509" s="703"/>
      <c r="CB509" s="703"/>
      <c r="CC509" s="703"/>
      <c r="CD509" s="703">
        <f t="shared" ref="CD509:CD552" si="162">CB509*4</f>
        <v>0</v>
      </c>
      <c r="CE509" s="703"/>
      <c r="CF509" s="703"/>
      <c r="CG509" s="703"/>
      <c r="CH509" s="703"/>
      <c r="CI509" s="703"/>
      <c r="CJ509" s="703"/>
      <c r="CK509" s="703"/>
      <c r="CL509" s="703"/>
      <c r="CM509" s="703"/>
      <c r="CN509" s="703"/>
      <c r="CO509" s="703"/>
      <c r="CP509" s="703"/>
      <c r="CQ509" s="703"/>
      <c r="CR509" s="703"/>
      <c r="CS509" s="703"/>
      <c r="CT509" s="703"/>
      <c r="CU509" s="703"/>
      <c r="CV509" s="703"/>
      <c r="CW509" s="703"/>
      <c r="CX509" s="703"/>
      <c r="CY509" s="703"/>
      <c r="CZ509" s="703"/>
      <c r="DA509" s="703"/>
      <c r="DB509" s="703"/>
      <c r="DC509" s="703"/>
      <c r="DD509" s="703"/>
      <c r="DE509" s="703"/>
      <c r="DF509" s="703"/>
      <c r="DG509" s="705"/>
      <c r="DH509" s="705"/>
      <c r="DI509" s="705"/>
      <c r="DJ509" s="705"/>
      <c r="DK509" s="705"/>
      <c r="DL509" s="705"/>
      <c r="DM509" s="705"/>
      <c r="DN509" s="705"/>
      <c r="DO509" s="705"/>
      <c r="DP509" s="705"/>
      <c r="DQ509" s="705"/>
      <c r="DR509" s="705"/>
      <c r="DS509" s="703"/>
      <c r="DT509" s="703"/>
      <c r="DU509" s="703"/>
      <c r="DV509" s="703"/>
      <c r="DW509" s="703"/>
      <c r="DX509" s="703"/>
      <c r="DY509" s="703"/>
      <c r="DZ509" s="703"/>
      <c r="EA509" s="703"/>
      <c r="EB509" s="703"/>
      <c r="EC509" s="703"/>
      <c r="ED509" s="703"/>
      <c r="EE509" s="703"/>
      <c r="EF509" s="703"/>
      <c r="EG509" s="703"/>
      <c r="EH509" s="703"/>
      <c r="EI509" s="703"/>
      <c r="EJ509" s="703"/>
      <c r="EK509" s="703"/>
      <c r="EL509" s="703"/>
      <c r="EM509" s="703"/>
      <c r="EN509" s="703"/>
      <c r="EO509" s="703"/>
      <c r="EP509" s="703"/>
      <c r="EQ509" s="703"/>
      <c r="ER509" s="703"/>
      <c r="ES509" s="703"/>
      <c r="ET509" s="703"/>
      <c r="EU509" s="703"/>
      <c r="EV509" s="703"/>
      <c r="EW509" s="703"/>
      <c r="EX509" s="703"/>
      <c r="EY509" s="703"/>
      <c r="EZ509" s="703"/>
      <c r="FA509" s="703"/>
      <c r="FB509" s="703"/>
      <c r="FC509" s="703"/>
      <c r="FD509" s="703"/>
      <c r="FE509" s="703"/>
      <c r="FF509" s="703"/>
      <c r="FG509" s="703"/>
      <c r="FH509" s="703"/>
      <c r="FI509" s="703"/>
      <c r="FJ509" s="703"/>
      <c r="FK509" s="703"/>
      <c r="FL509" s="703"/>
      <c r="FM509" s="703"/>
      <c r="FN509" s="703"/>
      <c r="FO509" s="703"/>
      <c r="FP509" s="703"/>
      <c r="FQ509" s="704"/>
    </row>
    <row r="510" spans="1:177" s="706" customFormat="1">
      <c r="A510" s="700"/>
      <c r="B510" s="700"/>
      <c r="C510" s="701"/>
      <c r="D510" s="701" t="s">
        <v>3733</v>
      </c>
      <c r="E510" s="703">
        <v>44.3</v>
      </c>
      <c r="F510" s="703"/>
      <c r="G510" s="703"/>
      <c r="H510" s="703"/>
      <c r="I510" s="703"/>
      <c r="J510" s="703"/>
      <c r="K510" s="703"/>
      <c r="L510" s="703"/>
      <c r="M510" s="703"/>
      <c r="N510" s="703"/>
      <c r="O510" s="703">
        <f t="shared" si="160"/>
        <v>44.3</v>
      </c>
      <c r="P510" s="703"/>
      <c r="Q510" s="703"/>
      <c r="R510" s="704"/>
      <c r="S510" s="704"/>
      <c r="T510" s="703"/>
      <c r="U510" s="703" t="s">
        <v>2989</v>
      </c>
      <c r="V510" s="703"/>
      <c r="W510" s="703"/>
      <c r="X510" s="703"/>
      <c r="Y510" s="703"/>
      <c r="Z510" s="703"/>
      <c r="AA510" s="703"/>
      <c r="AB510" s="703"/>
      <c r="AC510" s="703"/>
      <c r="AD510" s="703"/>
      <c r="AE510" s="766"/>
      <c r="AF510" s="960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03"/>
      <c r="AZ510" s="703"/>
      <c r="BA510" s="703">
        <f t="shared" si="161"/>
        <v>1</v>
      </c>
      <c r="BB510" s="703"/>
      <c r="BC510" s="703"/>
      <c r="BD510" s="703"/>
      <c r="BE510" s="703">
        <v>2</v>
      </c>
      <c r="BF510" s="703"/>
      <c r="BG510" s="703"/>
      <c r="BH510" s="703"/>
      <c r="BI510" s="694">
        <f t="shared" ref="BI510:BI541" si="163">CB510*5+AU510*2</f>
        <v>5</v>
      </c>
      <c r="BJ510" s="703"/>
      <c r="BK510" s="703"/>
      <c r="BL510" s="703"/>
      <c r="BM510" s="703"/>
      <c r="BN510" s="703"/>
      <c r="BO510" s="703"/>
      <c r="BP510" s="703"/>
      <c r="BQ510" s="703">
        <f t="shared" ref="BQ510:BQ553" si="164">IF(U510="G",1,)</f>
        <v>0</v>
      </c>
      <c r="BR510" s="703"/>
      <c r="BS510" s="703">
        <f t="shared" ref="BS510:BS552" si="165">IF(U510="I",1,IF(U510="G",2,))</f>
        <v>0</v>
      </c>
      <c r="BT510" s="703"/>
      <c r="BU510" s="703"/>
      <c r="BV510" s="703"/>
      <c r="BW510" s="703"/>
      <c r="BX510" s="703">
        <f t="shared" ref="BX510:BX552" si="166">IF(LEN(U510)=2,1,IF(LEN(U510)&gt;2,VALUE(LEFT(U510,1)),))</f>
        <v>2</v>
      </c>
      <c r="BY510" s="703"/>
      <c r="BZ510" s="703"/>
      <c r="CA510" s="703"/>
      <c r="CB510" s="703">
        <v>1</v>
      </c>
      <c r="CC510" s="703"/>
      <c r="CD510" s="703">
        <f t="shared" si="162"/>
        <v>4</v>
      </c>
      <c r="CE510" s="703"/>
      <c r="CF510" s="703"/>
      <c r="CG510" s="703"/>
      <c r="CH510" s="703"/>
      <c r="CI510" s="703"/>
      <c r="CJ510" s="703"/>
      <c r="CK510" s="703"/>
      <c r="CL510" s="703"/>
      <c r="CM510" s="703"/>
      <c r="CN510" s="703"/>
      <c r="CO510" s="703"/>
      <c r="CP510" s="703"/>
      <c r="CQ510" s="703"/>
      <c r="CR510" s="703"/>
      <c r="CS510" s="703"/>
      <c r="CT510" s="703"/>
      <c r="CU510" s="703"/>
      <c r="CV510" s="703"/>
      <c r="CW510" s="703"/>
      <c r="CX510" s="703"/>
      <c r="CY510" s="703"/>
      <c r="CZ510" s="703"/>
      <c r="DA510" s="703"/>
      <c r="DB510" s="703"/>
      <c r="DC510" s="703"/>
      <c r="DD510" s="703"/>
      <c r="DE510" s="703"/>
      <c r="DF510" s="703"/>
      <c r="DG510" s="705"/>
      <c r="DH510" s="705"/>
      <c r="DI510" s="705"/>
      <c r="DJ510" s="705"/>
      <c r="DK510" s="705"/>
      <c r="DL510" s="705"/>
      <c r="DM510" s="705"/>
      <c r="DN510" s="705"/>
      <c r="DO510" s="705"/>
      <c r="DP510" s="705"/>
      <c r="DQ510" s="705"/>
      <c r="DR510" s="705"/>
      <c r="DS510" s="703"/>
      <c r="DT510" s="703"/>
      <c r="DU510" s="703"/>
      <c r="DV510" s="703"/>
      <c r="DW510" s="703"/>
      <c r="DX510" s="703"/>
      <c r="DY510" s="703"/>
      <c r="DZ510" s="703"/>
      <c r="EA510" s="703"/>
      <c r="EB510" s="703"/>
      <c r="EC510" s="703"/>
      <c r="ED510" s="703"/>
      <c r="EE510" s="703"/>
      <c r="EF510" s="703"/>
      <c r="EG510" s="703"/>
      <c r="EH510" s="703"/>
      <c r="EI510" s="703"/>
      <c r="EJ510" s="703"/>
      <c r="EK510" s="703"/>
      <c r="EL510" s="703"/>
      <c r="EM510" s="703"/>
      <c r="EN510" s="703"/>
      <c r="EO510" s="703"/>
      <c r="EP510" s="703"/>
      <c r="EQ510" s="703"/>
      <c r="ER510" s="703"/>
      <c r="ES510" s="703"/>
      <c r="ET510" s="703"/>
      <c r="EU510" s="703"/>
      <c r="EV510" s="703"/>
      <c r="EW510" s="703"/>
      <c r="EX510" s="703"/>
      <c r="EY510" s="703"/>
      <c r="EZ510" s="703"/>
      <c r="FA510" s="703"/>
      <c r="FB510" s="703"/>
      <c r="FC510" s="703"/>
      <c r="FD510" s="703"/>
      <c r="FE510" s="703"/>
      <c r="FF510" s="703"/>
      <c r="FG510" s="703"/>
      <c r="FH510" s="703"/>
      <c r="FI510" s="703"/>
      <c r="FJ510" s="703"/>
      <c r="FK510" s="703"/>
      <c r="FL510" s="703"/>
      <c r="FM510" s="703"/>
      <c r="FN510" s="703"/>
      <c r="FO510" s="703"/>
      <c r="FP510" s="703"/>
      <c r="FQ510" s="704"/>
    </row>
    <row r="511" spans="1:177" s="706" customFormat="1">
      <c r="A511" s="700"/>
      <c r="B511" s="700"/>
      <c r="C511" s="701"/>
      <c r="D511" s="701" t="s">
        <v>3734</v>
      </c>
      <c r="E511" s="703">
        <v>35.200000000000003</v>
      </c>
      <c r="F511" s="703"/>
      <c r="G511" s="703"/>
      <c r="H511" s="703"/>
      <c r="I511" s="703"/>
      <c r="J511" s="703"/>
      <c r="K511" s="703"/>
      <c r="L511" s="703"/>
      <c r="M511" s="703"/>
      <c r="N511" s="703"/>
      <c r="O511" s="703">
        <f t="shared" si="160"/>
        <v>35.200000000000003</v>
      </c>
      <c r="P511" s="703"/>
      <c r="Q511" s="703"/>
      <c r="R511" s="704"/>
      <c r="S511" s="704"/>
      <c r="T511" s="703"/>
      <c r="U511" s="703" t="s">
        <v>1631</v>
      </c>
      <c r="V511" s="703"/>
      <c r="W511" s="703"/>
      <c r="X511" s="703"/>
      <c r="Y511" s="703"/>
      <c r="Z511" s="703"/>
      <c r="AA511" s="703"/>
      <c r="AB511" s="703"/>
      <c r="AC511" s="703"/>
      <c r="AD511" s="703"/>
      <c r="AE511" s="766"/>
      <c r="AF511" s="960"/>
      <c r="AG511" s="703"/>
      <c r="AH511" s="703"/>
      <c r="AI511" s="703"/>
      <c r="AJ511" s="703"/>
      <c r="AK511" s="703"/>
      <c r="AL511" s="703"/>
      <c r="AM511" s="703"/>
      <c r="AN511" s="703"/>
      <c r="AO511" s="703"/>
      <c r="AP511" s="703"/>
      <c r="AQ511" s="703"/>
      <c r="AR511" s="703"/>
      <c r="AS511" s="703"/>
      <c r="AT511" s="703"/>
      <c r="AU511" s="703"/>
      <c r="AV511" s="703"/>
      <c r="AW511" s="703"/>
      <c r="AX511" s="703"/>
      <c r="AY511" s="703"/>
      <c r="AZ511" s="703"/>
      <c r="BA511" s="703">
        <f t="shared" si="161"/>
        <v>1</v>
      </c>
      <c r="BB511" s="703"/>
      <c r="BC511" s="703"/>
      <c r="BD511" s="703"/>
      <c r="BE511" s="703">
        <v>1</v>
      </c>
      <c r="BF511" s="703"/>
      <c r="BG511" s="703"/>
      <c r="BH511" s="703"/>
      <c r="BI511" s="694">
        <f t="shared" si="163"/>
        <v>5</v>
      </c>
      <c r="BJ511" s="703"/>
      <c r="BK511" s="703"/>
      <c r="BL511" s="703"/>
      <c r="BM511" s="703"/>
      <c r="BN511" s="703"/>
      <c r="BO511" s="703"/>
      <c r="BP511" s="703"/>
      <c r="BQ511" s="703">
        <f t="shared" si="164"/>
        <v>0</v>
      </c>
      <c r="BR511" s="703"/>
      <c r="BS511" s="703">
        <f t="shared" si="165"/>
        <v>1</v>
      </c>
      <c r="BT511" s="703"/>
      <c r="BU511" s="703"/>
      <c r="BV511" s="703"/>
      <c r="BW511" s="703"/>
      <c r="BX511" s="703">
        <f t="shared" si="166"/>
        <v>0</v>
      </c>
      <c r="BY511" s="703"/>
      <c r="BZ511" s="703"/>
      <c r="CA511" s="703"/>
      <c r="CB511" s="703">
        <v>1</v>
      </c>
      <c r="CC511" s="703"/>
      <c r="CD511" s="703">
        <f t="shared" si="162"/>
        <v>4</v>
      </c>
      <c r="CE511" s="703"/>
      <c r="CF511" s="703"/>
      <c r="CG511" s="703"/>
      <c r="CH511" s="703"/>
      <c r="CI511" s="703"/>
      <c r="CJ511" s="703"/>
      <c r="CK511" s="703"/>
      <c r="CL511" s="703"/>
      <c r="CM511" s="703"/>
      <c r="CN511" s="703"/>
      <c r="CO511" s="703"/>
      <c r="CP511" s="703"/>
      <c r="CQ511" s="703"/>
      <c r="CR511" s="703"/>
      <c r="CS511" s="703"/>
      <c r="CT511" s="703"/>
      <c r="CU511" s="703"/>
      <c r="CV511" s="703"/>
      <c r="CW511" s="703"/>
      <c r="CX511" s="703"/>
      <c r="CY511" s="703"/>
      <c r="CZ511" s="703"/>
      <c r="DA511" s="703"/>
      <c r="DB511" s="703"/>
      <c r="DC511" s="703"/>
      <c r="DD511" s="703"/>
      <c r="DE511" s="703"/>
      <c r="DF511" s="703"/>
      <c r="DG511" s="705"/>
      <c r="DH511" s="705"/>
      <c r="DI511" s="705"/>
      <c r="DJ511" s="705"/>
      <c r="DK511" s="705"/>
      <c r="DL511" s="705"/>
      <c r="DM511" s="705"/>
      <c r="DN511" s="705"/>
      <c r="DO511" s="705"/>
      <c r="DP511" s="705"/>
      <c r="DQ511" s="705"/>
      <c r="DR511" s="705"/>
      <c r="DS511" s="703"/>
      <c r="DT511" s="703"/>
      <c r="DU511" s="703"/>
      <c r="DV511" s="703"/>
      <c r="DW511" s="703"/>
      <c r="DX511" s="703"/>
      <c r="DY511" s="703"/>
      <c r="DZ511" s="703"/>
      <c r="EA511" s="703"/>
      <c r="EB511" s="703"/>
      <c r="EC511" s="703"/>
      <c r="ED511" s="703"/>
      <c r="EE511" s="703"/>
      <c r="EF511" s="703"/>
      <c r="EG511" s="703"/>
      <c r="EH511" s="703"/>
      <c r="EI511" s="703"/>
      <c r="EJ511" s="703"/>
      <c r="EK511" s="703"/>
      <c r="EL511" s="703"/>
      <c r="EM511" s="703"/>
      <c r="EN511" s="703"/>
      <c r="EO511" s="703"/>
      <c r="EP511" s="703"/>
      <c r="EQ511" s="703"/>
      <c r="ER511" s="703"/>
      <c r="ES511" s="703"/>
      <c r="ET511" s="703"/>
      <c r="EU511" s="703"/>
      <c r="EV511" s="703"/>
      <c r="EW511" s="703"/>
      <c r="EX511" s="703"/>
      <c r="EY511" s="703"/>
      <c r="EZ511" s="703"/>
      <c r="FA511" s="703"/>
      <c r="FB511" s="703"/>
      <c r="FC511" s="703"/>
      <c r="FD511" s="703"/>
      <c r="FE511" s="703"/>
      <c r="FF511" s="703"/>
      <c r="FG511" s="703"/>
      <c r="FH511" s="703"/>
      <c r="FI511" s="703"/>
      <c r="FJ511" s="703"/>
      <c r="FK511" s="703"/>
      <c r="FL511" s="703"/>
      <c r="FM511" s="703"/>
      <c r="FN511" s="703"/>
      <c r="FO511" s="703"/>
      <c r="FP511" s="703"/>
      <c r="FQ511" s="704"/>
    </row>
    <row r="512" spans="1:177" s="706" customFormat="1">
      <c r="A512" s="700"/>
      <c r="B512" s="700"/>
      <c r="C512" s="701" t="s">
        <v>3985</v>
      </c>
      <c r="D512" s="701"/>
      <c r="E512" s="703">
        <v>24.6</v>
      </c>
      <c r="F512" s="703"/>
      <c r="G512" s="703"/>
      <c r="H512" s="703"/>
      <c r="I512" s="703"/>
      <c r="J512" s="703"/>
      <c r="K512" s="703"/>
      <c r="L512" s="703"/>
      <c r="M512" s="703"/>
      <c r="N512" s="703"/>
      <c r="O512" s="703">
        <f t="shared" si="160"/>
        <v>24.6</v>
      </c>
      <c r="P512" s="703"/>
      <c r="Q512" s="703"/>
      <c r="R512" s="704"/>
      <c r="S512" s="704"/>
      <c r="T512" s="703"/>
      <c r="U512" s="703" t="s">
        <v>1631</v>
      </c>
      <c r="V512" s="703"/>
      <c r="W512" s="703"/>
      <c r="X512" s="703"/>
      <c r="Y512" s="703"/>
      <c r="Z512" s="703"/>
      <c r="AA512" s="703"/>
      <c r="AB512" s="703"/>
      <c r="AC512" s="703"/>
      <c r="AD512" s="703"/>
      <c r="AE512" s="766"/>
      <c r="AF512" s="960"/>
      <c r="AG512" s="703"/>
      <c r="AH512" s="703"/>
      <c r="AI512" s="703"/>
      <c r="AJ512" s="703"/>
      <c r="AK512" s="703"/>
      <c r="AL512" s="703"/>
      <c r="AM512" s="703"/>
      <c r="AN512" s="703"/>
      <c r="AO512" s="703"/>
      <c r="AP512" s="703"/>
      <c r="AQ512" s="703"/>
      <c r="AR512" s="703"/>
      <c r="AS512" s="703"/>
      <c r="AT512" s="703"/>
      <c r="AU512" s="703"/>
      <c r="AV512" s="703"/>
      <c r="AW512" s="703"/>
      <c r="AX512" s="703"/>
      <c r="AY512" s="703"/>
      <c r="AZ512" s="703"/>
      <c r="BA512" s="703">
        <f t="shared" si="161"/>
        <v>1</v>
      </c>
      <c r="BB512" s="703"/>
      <c r="BC512" s="703"/>
      <c r="BD512" s="703"/>
      <c r="BE512" s="703">
        <v>1</v>
      </c>
      <c r="BF512" s="703"/>
      <c r="BG512" s="703"/>
      <c r="BH512" s="703"/>
      <c r="BI512" s="694">
        <f t="shared" si="163"/>
        <v>5</v>
      </c>
      <c r="BJ512" s="703"/>
      <c r="BK512" s="703"/>
      <c r="BL512" s="703"/>
      <c r="BM512" s="703"/>
      <c r="BN512" s="703"/>
      <c r="BO512" s="703"/>
      <c r="BP512" s="703"/>
      <c r="BQ512" s="703">
        <f t="shared" si="164"/>
        <v>0</v>
      </c>
      <c r="BR512" s="703"/>
      <c r="BS512" s="703">
        <f t="shared" si="165"/>
        <v>1</v>
      </c>
      <c r="BT512" s="703"/>
      <c r="BU512" s="703"/>
      <c r="BV512" s="703"/>
      <c r="BW512" s="703"/>
      <c r="BX512" s="703">
        <f t="shared" si="166"/>
        <v>0</v>
      </c>
      <c r="BY512" s="703"/>
      <c r="BZ512" s="703"/>
      <c r="CA512" s="703"/>
      <c r="CB512" s="703">
        <v>1</v>
      </c>
      <c r="CC512" s="703"/>
      <c r="CD512" s="703">
        <f t="shared" si="162"/>
        <v>4</v>
      </c>
      <c r="CE512" s="703"/>
      <c r="CF512" s="703"/>
      <c r="CG512" s="703"/>
      <c r="CH512" s="703"/>
      <c r="CI512" s="703"/>
      <c r="CJ512" s="703"/>
      <c r="CK512" s="703"/>
      <c r="CL512" s="703"/>
      <c r="CM512" s="703"/>
      <c r="CN512" s="703"/>
      <c r="CO512" s="703"/>
      <c r="CP512" s="703"/>
      <c r="CQ512" s="703"/>
      <c r="CR512" s="703"/>
      <c r="CS512" s="703"/>
      <c r="CT512" s="703"/>
      <c r="CU512" s="703"/>
      <c r="CV512" s="703"/>
      <c r="CW512" s="703"/>
      <c r="CX512" s="703"/>
      <c r="CY512" s="703"/>
      <c r="CZ512" s="703"/>
      <c r="DA512" s="703"/>
      <c r="DB512" s="703"/>
      <c r="DC512" s="703"/>
      <c r="DD512" s="703"/>
      <c r="DE512" s="703"/>
      <c r="DF512" s="703"/>
      <c r="DG512" s="705"/>
      <c r="DH512" s="705"/>
      <c r="DI512" s="705"/>
      <c r="DJ512" s="705"/>
      <c r="DK512" s="705"/>
      <c r="DL512" s="705"/>
      <c r="DM512" s="705"/>
      <c r="DN512" s="705"/>
      <c r="DO512" s="705"/>
      <c r="DP512" s="705"/>
      <c r="DQ512" s="705"/>
      <c r="DR512" s="705"/>
      <c r="DS512" s="703"/>
      <c r="DT512" s="703"/>
      <c r="DU512" s="703"/>
      <c r="DV512" s="703"/>
      <c r="DW512" s="703"/>
      <c r="DX512" s="703"/>
      <c r="DY512" s="703"/>
      <c r="DZ512" s="703"/>
      <c r="EA512" s="703"/>
      <c r="EB512" s="703"/>
      <c r="EC512" s="703"/>
      <c r="ED512" s="703"/>
      <c r="EE512" s="703"/>
      <c r="EF512" s="703"/>
      <c r="EG512" s="703"/>
      <c r="EH512" s="703"/>
      <c r="EI512" s="703"/>
      <c r="EJ512" s="703"/>
      <c r="EK512" s="703"/>
      <c r="EL512" s="703"/>
      <c r="EM512" s="703"/>
      <c r="EN512" s="703"/>
      <c r="EO512" s="703"/>
      <c r="EP512" s="703"/>
      <c r="EQ512" s="703"/>
      <c r="ER512" s="703"/>
      <c r="ES512" s="703"/>
      <c r="ET512" s="703"/>
      <c r="EU512" s="703"/>
      <c r="EV512" s="703"/>
      <c r="EW512" s="703"/>
      <c r="EX512" s="703"/>
      <c r="EY512" s="703"/>
      <c r="EZ512" s="703"/>
      <c r="FA512" s="703"/>
      <c r="FB512" s="703"/>
      <c r="FC512" s="703"/>
      <c r="FD512" s="703"/>
      <c r="FE512" s="703"/>
      <c r="FF512" s="703"/>
      <c r="FG512" s="703"/>
      <c r="FH512" s="703"/>
      <c r="FI512" s="703"/>
      <c r="FJ512" s="703"/>
      <c r="FK512" s="703"/>
      <c r="FL512" s="703"/>
      <c r="FM512" s="703"/>
      <c r="FN512" s="703"/>
      <c r="FO512" s="703"/>
      <c r="FP512" s="703"/>
      <c r="FQ512" s="704"/>
    </row>
    <row r="513" spans="1:173" s="706" customFormat="1">
      <c r="A513" s="700"/>
      <c r="B513" s="700"/>
      <c r="C513" s="701"/>
      <c r="D513" s="701" t="s">
        <v>3735</v>
      </c>
      <c r="E513" s="703">
        <v>15.8</v>
      </c>
      <c r="F513" s="703"/>
      <c r="G513" s="703"/>
      <c r="H513" s="703"/>
      <c r="I513" s="703"/>
      <c r="J513" s="703"/>
      <c r="K513" s="703"/>
      <c r="L513" s="703"/>
      <c r="M513" s="703"/>
      <c r="N513" s="703"/>
      <c r="O513" s="703">
        <f t="shared" si="160"/>
        <v>15.8</v>
      </c>
      <c r="P513" s="703"/>
      <c r="Q513" s="703"/>
      <c r="R513" s="704"/>
      <c r="S513" s="704"/>
      <c r="T513" s="703"/>
      <c r="U513" s="703" t="s">
        <v>3718</v>
      </c>
      <c r="V513" s="703"/>
      <c r="W513" s="703"/>
      <c r="X513" s="703"/>
      <c r="Y513" s="703"/>
      <c r="Z513" s="703"/>
      <c r="AA513" s="703"/>
      <c r="AB513" s="703"/>
      <c r="AC513" s="703"/>
      <c r="AD513" s="703"/>
      <c r="AE513" s="766"/>
      <c r="AF513" s="960"/>
      <c r="AG513" s="703"/>
      <c r="AH513" s="703"/>
      <c r="AI513" s="703"/>
      <c r="AJ513" s="703"/>
      <c r="AK513" s="703"/>
      <c r="AL513" s="703"/>
      <c r="AM513" s="703"/>
      <c r="AN513" s="703"/>
      <c r="AO513" s="703"/>
      <c r="AP513" s="703"/>
      <c r="AQ513" s="703"/>
      <c r="AR513" s="703"/>
      <c r="AS513" s="703"/>
      <c r="AT513" s="703"/>
      <c r="AU513" s="703"/>
      <c r="AV513" s="703"/>
      <c r="AW513" s="703"/>
      <c r="AX513" s="703"/>
      <c r="AY513" s="703"/>
      <c r="AZ513" s="703"/>
      <c r="BA513" s="703">
        <f t="shared" si="161"/>
        <v>0</v>
      </c>
      <c r="BB513" s="703"/>
      <c r="BC513" s="703"/>
      <c r="BD513" s="703"/>
      <c r="BE513" s="703">
        <v>3</v>
      </c>
      <c r="BF513" s="703"/>
      <c r="BG513" s="703"/>
      <c r="BH513" s="703"/>
      <c r="BI513" s="694">
        <f t="shared" si="163"/>
        <v>0</v>
      </c>
      <c r="BJ513" s="703"/>
      <c r="BK513" s="703"/>
      <c r="BL513" s="703"/>
      <c r="BM513" s="703"/>
      <c r="BN513" s="703"/>
      <c r="BO513" s="703"/>
      <c r="BP513" s="703"/>
      <c r="BQ513" s="703">
        <f t="shared" si="164"/>
        <v>0</v>
      </c>
      <c r="BR513" s="703"/>
      <c r="BS513" s="703">
        <f t="shared" si="165"/>
        <v>0</v>
      </c>
      <c r="BT513" s="703"/>
      <c r="BU513" s="703"/>
      <c r="BV513" s="703"/>
      <c r="BW513" s="703"/>
      <c r="BX513" s="703">
        <f t="shared" si="166"/>
        <v>3</v>
      </c>
      <c r="BY513" s="703"/>
      <c r="BZ513" s="703"/>
      <c r="CA513" s="703"/>
      <c r="CB513" s="703"/>
      <c r="CC513" s="703"/>
      <c r="CD513" s="703">
        <f t="shared" si="162"/>
        <v>0</v>
      </c>
      <c r="CE513" s="703">
        <v>6</v>
      </c>
      <c r="CF513" s="703"/>
      <c r="CG513" s="703">
        <v>12</v>
      </c>
      <c r="CH513" s="703"/>
      <c r="CI513" s="703">
        <v>8</v>
      </c>
      <c r="CJ513" s="703"/>
      <c r="CK513" s="703"/>
      <c r="CL513" s="703"/>
      <c r="CM513" s="703">
        <v>8</v>
      </c>
      <c r="CN513" s="703"/>
      <c r="CO513" s="703">
        <v>8</v>
      </c>
      <c r="CP513" s="703"/>
      <c r="CQ513" s="703"/>
      <c r="CR513" s="703"/>
      <c r="CS513" s="703"/>
      <c r="CT513" s="703"/>
      <c r="CU513" s="703">
        <v>2</v>
      </c>
      <c r="CV513" s="703"/>
      <c r="CW513" s="703"/>
      <c r="CX513" s="703"/>
      <c r="CY513" s="703"/>
      <c r="CZ513" s="703"/>
      <c r="DA513" s="703"/>
      <c r="DB513" s="703"/>
      <c r="DC513" s="703"/>
      <c r="DD513" s="703"/>
      <c r="DE513" s="703"/>
      <c r="DF513" s="703"/>
      <c r="DG513" s="705"/>
      <c r="DH513" s="705"/>
      <c r="DI513" s="705"/>
      <c r="DJ513" s="705"/>
      <c r="DK513" s="705"/>
      <c r="DL513" s="705"/>
      <c r="DM513" s="705"/>
      <c r="DN513" s="705"/>
      <c r="DO513" s="705"/>
      <c r="DP513" s="705"/>
      <c r="DQ513" s="705"/>
      <c r="DR513" s="705"/>
      <c r="DS513" s="703"/>
      <c r="DT513" s="703"/>
      <c r="DU513" s="703"/>
      <c r="DV513" s="703"/>
      <c r="DW513" s="703"/>
      <c r="DX513" s="703"/>
      <c r="DY513" s="703"/>
      <c r="DZ513" s="703"/>
      <c r="EA513" s="703"/>
      <c r="EB513" s="703"/>
      <c r="EC513" s="703"/>
      <c r="ED513" s="703"/>
      <c r="EE513" s="703"/>
      <c r="EF513" s="703"/>
      <c r="EG513" s="703"/>
      <c r="EH513" s="703"/>
      <c r="EI513" s="703"/>
      <c r="EJ513" s="703"/>
      <c r="EK513" s="703"/>
      <c r="EL513" s="703"/>
      <c r="EM513" s="703"/>
      <c r="EN513" s="703"/>
      <c r="EO513" s="703"/>
      <c r="EP513" s="703"/>
      <c r="EQ513" s="703"/>
      <c r="ER513" s="703"/>
      <c r="ES513" s="703"/>
      <c r="ET513" s="703"/>
      <c r="EU513" s="703"/>
      <c r="EV513" s="703"/>
      <c r="EW513" s="703"/>
      <c r="EX513" s="703"/>
      <c r="EY513" s="703"/>
      <c r="EZ513" s="703"/>
      <c r="FA513" s="703"/>
      <c r="FB513" s="703"/>
      <c r="FC513" s="703"/>
      <c r="FD513" s="703"/>
      <c r="FE513" s="703"/>
      <c r="FF513" s="703"/>
      <c r="FG513" s="703"/>
      <c r="FH513" s="703"/>
      <c r="FI513" s="703"/>
      <c r="FJ513" s="703"/>
      <c r="FK513" s="703"/>
      <c r="FL513" s="703"/>
      <c r="FM513" s="703"/>
      <c r="FN513" s="703"/>
      <c r="FO513" s="703"/>
      <c r="FP513" s="703"/>
      <c r="FQ513" s="704"/>
    </row>
    <row r="514" spans="1:173" s="706" customFormat="1">
      <c r="A514" s="700"/>
      <c r="B514" s="700"/>
      <c r="C514" s="701"/>
      <c r="D514" s="701" t="s">
        <v>3736</v>
      </c>
      <c r="E514" s="703">
        <v>39.1</v>
      </c>
      <c r="F514" s="703"/>
      <c r="G514" s="703"/>
      <c r="H514" s="703"/>
      <c r="I514" s="703"/>
      <c r="J514" s="703"/>
      <c r="K514" s="703"/>
      <c r="L514" s="703"/>
      <c r="M514" s="703"/>
      <c r="N514" s="703"/>
      <c r="O514" s="703">
        <f t="shared" si="160"/>
        <v>39.1</v>
      </c>
      <c r="P514" s="703"/>
      <c r="Q514" s="703"/>
      <c r="R514" s="704"/>
      <c r="S514" s="704"/>
      <c r="T514" s="703"/>
      <c r="U514" s="703" t="s">
        <v>1631</v>
      </c>
      <c r="V514" s="703"/>
      <c r="W514" s="703"/>
      <c r="X514" s="703"/>
      <c r="Y514" s="703"/>
      <c r="Z514" s="703"/>
      <c r="AA514" s="703"/>
      <c r="AB514" s="703"/>
      <c r="AC514" s="703"/>
      <c r="AD514" s="703"/>
      <c r="AE514" s="766"/>
      <c r="AF514" s="960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>
        <f t="shared" si="161"/>
        <v>1</v>
      </c>
      <c r="BB514" s="703"/>
      <c r="BC514" s="703"/>
      <c r="BD514" s="703"/>
      <c r="BE514" s="703">
        <v>1</v>
      </c>
      <c r="BF514" s="703"/>
      <c r="BG514" s="703"/>
      <c r="BH514" s="703"/>
      <c r="BI514" s="694">
        <f t="shared" si="163"/>
        <v>5</v>
      </c>
      <c r="BJ514" s="703"/>
      <c r="BK514" s="703"/>
      <c r="BL514" s="703"/>
      <c r="BM514" s="703"/>
      <c r="BN514" s="703"/>
      <c r="BO514" s="703"/>
      <c r="BP514" s="703"/>
      <c r="BQ514" s="703">
        <f t="shared" si="164"/>
        <v>0</v>
      </c>
      <c r="BR514" s="703"/>
      <c r="BS514" s="703">
        <f t="shared" si="165"/>
        <v>1</v>
      </c>
      <c r="BT514" s="703"/>
      <c r="BU514" s="703"/>
      <c r="BV514" s="703"/>
      <c r="BW514" s="703"/>
      <c r="BX514" s="703">
        <f t="shared" si="166"/>
        <v>0</v>
      </c>
      <c r="BY514" s="703"/>
      <c r="BZ514" s="703"/>
      <c r="CA514" s="703"/>
      <c r="CB514" s="703">
        <v>1</v>
      </c>
      <c r="CC514" s="703"/>
      <c r="CD514" s="703">
        <f t="shared" si="162"/>
        <v>4</v>
      </c>
      <c r="CE514" s="703"/>
      <c r="CF514" s="703"/>
      <c r="CG514" s="703"/>
      <c r="CH514" s="703"/>
      <c r="CI514" s="703"/>
      <c r="CJ514" s="703"/>
      <c r="CK514" s="703"/>
      <c r="CL514" s="703"/>
      <c r="CM514" s="703"/>
      <c r="CN514" s="703"/>
      <c r="CO514" s="703"/>
      <c r="CP514" s="703"/>
      <c r="CQ514" s="703"/>
      <c r="CR514" s="703"/>
      <c r="CS514" s="703"/>
      <c r="CT514" s="703"/>
      <c r="CU514" s="703"/>
      <c r="CV514" s="703"/>
      <c r="CW514" s="703"/>
      <c r="CX514" s="703"/>
      <c r="CY514" s="703"/>
      <c r="CZ514" s="703"/>
      <c r="DA514" s="703"/>
      <c r="DB514" s="703"/>
      <c r="DC514" s="703"/>
      <c r="DD514" s="703"/>
      <c r="DE514" s="703"/>
      <c r="DF514" s="703"/>
      <c r="DG514" s="705"/>
      <c r="DH514" s="705"/>
      <c r="DI514" s="705"/>
      <c r="DJ514" s="705"/>
      <c r="DK514" s="705"/>
      <c r="DL514" s="705"/>
      <c r="DM514" s="705"/>
      <c r="DN514" s="705"/>
      <c r="DO514" s="705"/>
      <c r="DP514" s="705"/>
      <c r="DQ514" s="705"/>
      <c r="DR514" s="705"/>
      <c r="DS514" s="703"/>
      <c r="DT514" s="703"/>
      <c r="DU514" s="703"/>
      <c r="DV514" s="703"/>
      <c r="DW514" s="703"/>
      <c r="DX514" s="703"/>
      <c r="DY514" s="703"/>
      <c r="DZ514" s="703"/>
      <c r="EA514" s="703"/>
      <c r="EB514" s="703"/>
      <c r="EC514" s="703"/>
      <c r="ED514" s="703"/>
      <c r="EE514" s="703"/>
      <c r="EF514" s="703"/>
      <c r="EG514" s="703"/>
      <c r="EH514" s="703"/>
      <c r="EI514" s="703"/>
      <c r="EJ514" s="703"/>
      <c r="EK514" s="703"/>
      <c r="EL514" s="703"/>
      <c r="EM514" s="703"/>
      <c r="EN514" s="703"/>
      <c r="EO514" s="703"/>
      <c r="EP514" s="703"/>
      <c r="EQ514" s="703"/>
      <c r="ER514" s="703"/>
      <c r="ES514" s="703"/>
      <c r="ET514" s="703"/>
      <c r="EU514" s="703"/>
      <c r="EV514" s="703"/>
      <c r="EW514" s="703"/>
      <c r="EX514" s="703"/>
      <c r="EY514" s="703"/>
      <c r="EZ514" s="703"/>
      <c r="FA514" s="703"/>
      <c r="FB514" s="703"/>
      <c r="FC514" s="703"/>
      <c r="FD514" s="703"/>
      <c r="FE514" s="703"/>
      <c r="FF514" s="703"/>
      <c r="FG514" s="703"/>
      <c r="FH514" s="703"/>
      <c r="FI514" s="703"/>
      <c r="FJ514" s="703"/>
      <c r="FK514" s="703"/>
      <c r="FL514" s="703"/>
      <c r="FM514" s="703"/>
      <c r="FN514" s="703"/>
      <c r="FO514" s="703"/>
      <c r="FP514" s="703"/>
      <c r="FQ514" s="704"/>
    </row>
    <row r="515" spans="1:173" s="706" customFormat="1">
      <c r="A515" s="700"/>
      <c r="B515" s="700"/>
      <c r="C515" s="701"/>
      <c r="D515" s="701" t="s">
        <v>3737</v>
      </c>
      <c r="E515" s="703">
        <v>32.200000000000003</v>
      </c>
      <c r="F515" s="703"/>
      <c r="G515" s="703"/>
      <c r="H515" s="703"/>
      <c r="I515" s="703"/>
      <c r="J515" s="703"/>
      <c r="K515" s="703"/>
      <c r="L515" s="703"/>
      <c r="M515" s="703"/>
      <c r="N515" s="703"/>
      <c r="O515" s="703">
        <f t="shared" si="160"/>
        <v>32.200000000000003</v>
      </c>
      <c r="P515" s="703"/>
      <c r="Q515" s="703"/>
      <c r="R515" s="704"/>
      <c r="S515" s="704"/>
      <c r="T515" s="703"/>
      <c r="U515" s="703" t="s">
        <v>1631</v>
      </c>
      <c r="V515" s="703"/>
      <c r="W515" s="703"/>
      <c r="X515" s="703"/>
      <c r="Y515" s="703"/>
      <c r="Z515" s="703"/>
      <c r="AA515" s="703"/>
      <c r="AB515" s="703"/>
      <c r="AC515" s="703"/>
      <c r="AD515" s="703"/>
      <c r="AE515" s="766"/>
      <c r="AF515" s="960"/>
      <c r="AG515" s="703"/>
      <c r="AH515" s="703"/>
      <c r="AI515" s="703"/>
      <c r="AJ515" s="703"/>
      <c r="AK515" s="703"/>
      <c r="AL515" s="703"/>
      <c r="AM515" s="703"/>
      <c r="AN515" s="703"/>
      <c r="AO515" s="703"/>
      <c r="AP515" s="703"/>
      <c r="AQ515" s="703"/>
      <c r="AR515" s="703"/>
      <c r="AS515" s="703"/>
      <c r="AT515" s="703"/>
      <c r="AU515" s="703">
        <v>1</v>
      </c>
      <c r="AV515" s="703"/>
      <c r="AW515" s="703"/>
      <c r="AX515" s="703"/>
      <c r="AY515" s="703"/>
      <c r="AZ515" s="703"/>
      <c r="BA515" s="703">
        <f t="shared" si="161"/>
        <v>1</v>
      </c>
      <c r="BB515" s="703"/>
      <c r="BC515" s="703"/>
      <c r="BD515" s="703"/>
      <c r="BE515" s="703">
        <v>1</v>
      </c>
      <c r="BF515" s="703"/>
      <c r="BG515" s="703"/>
      <c r="BH515" s="703"/>
      <c r="BI515" s="694">
        <f t="shared" si="163"/>
        <v>7</v>
      </c>
      <c r="BJ515" s="703"/>
      <c r="BK515" s="703"/>
      <c r="BL515" s="703"/>
      <c r="BM515" s="703"/>
      <c r="BN515" s="703"/>
      <c r="BO515" s="703"/>
      <c r="BP515" s="703"/>
      <c r="BQ515" s="703">
        <f t="shared" si="164"/>
        <v>0</v>
      </c>
      <c r="BR515" s="703"/>
      <c r="BS515" s="703">
        <f t="shared" si="165"/>
        <v>1</v>
      </c>
      <c r="BT515" s="703"/>
      <c r="BU515" s="703"/>
      <c r="BV515" s="703"/>
      <c r="BW515" s="703"/>
      <c r="BX515" s="703">
        <f t="shared" si="166"/>
        <v>0</v>
      </c>
      <c r="BY515" s="703"/>
      <c r="BZ515" s="703"/>
      <c r="CA515" s="703"/>
      <c r="CB515" s="703">
        <v>1</v>
      </c>
      <c r="CC515" s="703"/>
      <c r="CD515" s="703">
        <f t="shared" si="162"/>
        <v>4</v>
      </c>
      <c r="CE515" s="703"/>
      <c r="CF515" s="703"/>
      <c r="CG515" s="703"/>
      <c r="CH515" s="703"/>
      <c r="CI515" s="703"/>
      <c r="CJ515" s="703"/>
      <c r="CK515" s="703"/>
      <c r="CL515" s="703"/>
      <c r="CM515" s="703"/>
      <c r="CN515" s="703"/>
      <c r="CO515" s="703"/>
      <c r="CP515" s="703"/>
      <c r="CQ515" s="703"/>
      <c r="CR515" s="703"/>
      <c r="CS515" s="703"/>
      <c r="CT515" s="703"/>
      <c r="CU515" s="703"/>
      <c r="CV515" s="703"/>
      <c r="CW515" s="703"/>
      <c r="CX515" s="703"/>
      <c r="CY515" s="703"/>
      <c r="CZ515" s="703"/>
      <c r="DA515" s="703"/>
      <c r="DB515" s="703"/>
      <c r="DC515" s="703"/>
      <c r="DD515" s="703"/>
      <c r="DE515" s="703"/>
      <c r="DF515" s="703"/>
      <c r="DG515" s="705"/>
      <c r="DH515" s="705"/>
      <c r="DI515" s="705"/>
      <c r="DJ515" s="705"/>
      <c r="DK515" s="705"/>
      <c r="DL515" s="705"/>
      <c r="DM515" s="705"/>
      <c r="DN515" s="705"/>
      <c r="DO515" s="705"/>
      <c r="DP515" s="705"/>
      <c r="DQ515" s="705"/>
      <c r="DR515" s="705"/>
      <c r="DS515" s="703"/>
      <c r="DT515" s="703"/>
      <c r="DU515" s="703"/>
      <c r="DV515" s="703"/>
      <c r="DW515" s="703"/>
      <c r="DX515" s="703"/>
      <c r="DY515" s="703"/>
      <c r="DZ515" s="703"/>
      <c r="EA515" s="703"/>
      <c r="EB515" s="703"/>
      <c r="EC515" s="703"/>
      <c r="ED515" s="703"/>
      <c r="EE515" s="703"/>
      <c r="EF515" s="703"/>
      <c r="EG515" s="703"/>
      <c r="EH515" s="703"/>
      <c r="EI515" s="703"/>
      <c r="EJ515" s="703"/>
      <c r="EK515" s="703"/>
      <c r="EL515" s="703"/>
      <c r="EM515" s="703"/>
      <c r="EN515" s="703"/>
      <c r="EO515" s="703"/>
      <c r="EP515" s="703"/>
      <c r="EQ515" s="703"/>
      <c r="ER515" s="703"/>
      <c r="ES515" s="703"/>
      <c r="ET515" s="703"/>
      <c r="EU515" s="703"/>
      <c r="EV515" s="703"/>
      <c r="EW515" s="703"/>
      <c r="EX515" s="703"/>
      <c r="EY515" s="703"/>
      <c r="EZ515" s="703"/>
      <c r="FA515" s="703"/>
      <c r="FB515" s="703"/>
      <c r="FC515" s="703"/>
      <c r="FD515" s="703"/>
      <c r="FE515" s="703"/>
      <c r="FF515" s="703"/>
      <c r="FG515" s="703"/>
      <c r="FH515" s="703"/>
      <c r="FI515" s="703"/>
      <c r="FJ515" s="703"/>
      <c r="FK515" s="703"/>
      <c r="FL515" s="703"/>
      <c r="FM515" s="703"/>
      <c r="FN515" s="703"/>
      <c r="FO515" s="703"/>
      <c r="FP515" s="703"/>
      <c r="FQ515" s="704"/>
    </row>
    <row r="516" spans="1:173" s="706" customFormat="1">
      <c r="A516" s="700"/>
      <c r="B516" s="700"/>
      <c r="C516" s="701"/>
      <c r="D516" s="701" t="s">
        <v>3738</v>
      </c>
      <c r="E516" s="703">
        <v>34.9</v>
      </c>
      <c r="F516" s="703"/>
      <c r="G516" s="703"/>
      <c r="H516" s="703"/>
      <c r="I516" s="703"/>
      <c r="J516" s="703"/>
      <c r="K516" s="703"/>
      <c r="L516" s="703"/>
      <c r="M516" s="703"/>
      <c r="N516" s="703"/>
      <c r="O516" s="703">
        <f t="shared" si="160"/>
        <v>34.9</v>
      </c>
      <c r="P516" s="703"/>
      <c r="Q516" s="703"/>
      <c r="R516" s="704"/>
      <c r="S516" s="704"/>
      <c r="T516" s="703"/>
      <c r="U516" s="703" t="s">
        <v>1903</v>
      </c>
      <c r="V516" s="703"/>
      <c r="W516" s="703"/>
      <c r="X516" s="703"/>
      <c r="Y516" s="703"/>
      <c r="Z516" s="703"/>
      <c r="AA516" s="703"/>
      <c r="AB516" s="703"/>
      <c r="AC516" s="703"/>
      <c r="AD516" s="703"/>
      <c r="AE516" s="766"/>
      <c r="AF516" s="960"/>
      <c r="AG516" s="703"/>
      <c r="AH516" s="703"/>
      <c r="AI516" s="703"/>
      <c r="AJ516" s="703"/>
      <c r="AK516" s="703"/>
      <c r="AL516" s="703"/>
      <c r="AM516" s="703"/>
      <c r="AN516" s="703"/>
      <c r="AO516" s="703"/>
      <c r="AP516" s="703"/>
      <c r="AQ516" s="703"/>
      <c r="AR516" s="703"/>
      <c r="AS516" s="703"/>
      <c r="AT516" s="703"/>
      <c r="AU516" s="703"/>
      <c r="AV516" s="703"/>
      <c r="AW516" s="703"/>
      <c r="AX516" s="703"/>
      <c r="AY516" s="703"/>
      <c r="AZ516" s="703"/>
      <c r="BA516" s="703">
        <f t="shared" si="161"/>
        <v>1</v>
      </c>
      <c r="BB516" s="703"/>
      <c r="BC516" s="703"/>
      <c r="BD516" s="703"/>
      <c r="BE516" s="703">
        <v>1</v>
      </c>
      <c r="BF516" s="703"/>
      <c r="BG516" s="703"/>
      <c r="BH516" s="703"/>
      <c r="BI516" s="694">
        <f t="shared" si="163"/>
        <v>5</v>
      </c>
      <c r="BJ516" s="703"/>
      <c r="BK516" s="703"/>
      <c r="BL516" s="703"/>
      <c r="BM516" s="703"/>
      <c r="BN516" s="703"/>
      <c r="BO516" s="703"/>
      <c r="BP516" s="703"/>
      <c r="BQ516" s="703">
        <f t="shared" si="164"/>
        <v>1</v>
      </c>
      <c r="BR516" s="703"/>
      <c r="BS516" s="703">
        <f t="shared" si="165"/>
        <v>2</v>
      </c>
      <c r="BT516" s="703"/>
      <c r="BU516" s="703"/>
      <c r="BV516" s="703"/>
      <c r="BW516" s="703"/>
      <c r="BX516" s="703">
        <f t="shared" si="166"/>
        <v>0</v>
      </c>
      <c r="BY516" s="703"/>
      <c r="BZ516" s="703"/>
      <c r="CA516" s="703"/>
      <c r="CB516" s="703">
        <v>1</v>
      </c>
      <c r="CC516" s="703"/>
      <c r="CD516" s="703">
        <f t="shared" si="162"/>
        <v>4</v>
      </c>
      <c r="CE516" s="703"/>
      <c r="CF516" s="703"/>
      <c r="CG516" s="703"/>
      <c r="CH516" s="703"/>
      <c r="CI516" s="703"/>
      <c r="CJ516" s="703"/>
      <c r="CK516" s="703"/>
      <c r="CL516" s="703"/>
      <c r="CM516" s="703"/>
      <c r="CN516" s="703"/>
      <c r="CO516" s="703"/>
      <c r="CP516" s="703"/>
      <c r="CQ516" s="703"/>
      <c r="CR516" s="703"/>
      <c r="CS516" s="703"/>
      <c r="CT516" s="703"/>
      <c r="CU516" s="703"/>
      <c r="CV516" s="703"/>
      <c r="CW516" s="703"/>
      <c r="CX516" s="703"/>
      <c r="CY516" s="703"/>
      <c r="CZ516" s="703"/>
      <c r="DA516" s="703"/>
      <c r="DB516" s="703"/>
      <c r="DC516" s="703"/>
      <c r="DD516" s="703"/>
      <c r="DE516" s="703"/>
      <c r="DF516" s="703"/>
      <c r="DG516" s="705"/>
      <c r="DH516" s="705"/>
      <c r="DI516" s="705"/>
      <c r="DJ516" s="705"/>
      <c r="DK516" s="705"/>
      <c r="DL516" s="705"/>
      <c r="DM516" s="705"/>
      <c r="DN516" s="705"/>
      <c r="DO516" s="705"/>
      <c r="DP516" s="705"/>
      <c r="DQ516" s="705"/>
      <c r="DR516" s="705"/>
      <c r="DS516" s="703"/>
      <c r="DT516" s="703"/>
      <c r="DU516" s="703"/>
      <c r="DV516" s="703"/>
      <c r="DW516" s="703"/>
      <c r="DX516" s="703"/>
      <c r="DY516" s="703"/>
      <c r="DZ516" s="703"/>
      <c r="EA516" s="703"/>
      <c r="EB516" s="703"/>
      <c r="EC516" s="703"/>
      <c r="ED516" s="703"/>
      <c r="EE516" s="703"/>
      <c r="EF516" s="703"/>
      <c r="EG516" s="703"/>
      <c r="EH516" s="703"/>
      <c r="EI516" s="703"/>
      <c r="EJ516" s="703"/>
      <c r="EK516" s="703"/>
      <c r="EL516" s="703"/>
      <c r="EM516" s="703"/>
      <c r="EN516" s="703"/>
      <c r="EO516" s="703"/>
      <c r="EP516" s="703"/>
      <c r="EQ516" s="703"/>
      <c r="ER516" s="703"/>
      <c r="ES516" s="703"/>
      <c r="ET516" s="703"/>
      <c r="EU516" s="703"/>
      <c r="EV516" s="703"/>
      <c r="EW516" s="703"/>
      <c r="EX516" s="703"/>
      <c r="EY516" s="703"/>
      <c r="EZ516" s="703"/>
      <c r="FA516" s="703"/>
      <c r="FB516" s="703"/>
      <c r="FC516" s="703"/>
      <c r="FD516" s="703"/>
      <c r="FE516" s="703"/>
      <c r="FF516" s="703"/>
      <c r="FG516" s="703"/>
      <c r="FH516" s="703"/>
      <c r="FI516" s="703"/>
      <c r="FJ516" s="703"/>
      <c r="FK516" s="703"/>
      <c r="FL516" s="703"/>
      <c r="FM516" s="703"/>
      <c r="FN516" s="703"/>
      <c r="FO516" s="703"/>
      <c r="FP516" s="703"/>
      <c r="FQ516" s="704"/>
    </row>
    <row r="517" spans="1:173" s="706" customFormat="1">
      <c r="A517" s="700"/>
      <c r="B517" s="700"/>
      <c r="C517" s="701"/>
      <c r="D517" s="701" t="s">
        <v>3739</v>
      </c>
      <c r="E517" s="703">
        <v>34.5</v>
      </c>
      <c r="F517" s="703"/>
      <c r="G517" s="703"/>
      <c r="H517" s="703"/>
      <c r="I517" s="703"/>
      <c r="J517" s="703"/>
      <c r="K517" s="703"/>
      <c r="L517" s="703"/>
      <c r="M517" s="703"/>
      <c r="N517" s="703"/>
      <c r="O517" s="703">
        <f t="shared" si="160"/>
        <v>34.5</v>
      </c>
      <c r="P517" s="703"/>
      <c r="Q517" s="703"/>
      <c r="R517" s="704"/>
      <c r="S517" s="704"/>
      <c r="T517" s="703"/>
      <c r="U517" s="703" t="s">
        <v>1631</v>
      </c>
      <c r="V517" s="703"/>
      <c r="W517" s="703"/>
      <c r="X517" s="703"/>
      <c r="Y517" s="703"/>
      <c r="Z517" s="703"/>
      <c r="AA517" s="703"/>
      <c r="AB517" s="703"/>
      <c r="AC517" s="703"/>
      <c r="AD517" s="703"/>
      <c r="AE517" s="766"/>
      <c r="AF517" s="960"/>
      <c r="AG517" s="703"/>
      <c r="AH517" s="703"/>
      <c r="AI517" s="703"/>
      <c r="AJ517" s="703"/>
      <c r="AK517" s="703"/>
      <c r="AL517" s="703"/>
      <c r="AM517" s="703"/>
      <c r="AN517" s="703"/>
      <c r="AO517" s="703"/>
      <c r="AP517" s="703"/>
      <c r="AQ517" s="703"/>
      <c r="AR517" s="703"/>
      <c r="AS517" s="703"/>
      <c r="AT517" s="703"/>
      <c r="AU517" s="703"/>
      <c r="AV517" s="703"/>
      <c r="AW517" s="703"/>
      <c r="AX517" s="703"/>
      <c r="AY517" s="703"/>
      <c r="AZ517" s="703"/>
      <c r="BA517" s="703">
        <f t="shared" si="161"/>
        <v>1</v>
      </c>
      <c r="BB517" s="703"/>
      <c r="BC517" s="703"/>
      <c r="BD517" s="703"/>
      <c r="BE517" s="703">
        <v>1</v>
      </c>
      <c r="BF517" s="703"/>
      <c r="BG517" s="703"/>
      <c r="BH517" s="703"/>
      <c r="BI517" s="694">
        <f t="shared" si="163"/>
        <v>5</v>
      </c>
      <c r="BJ517" s="703"/>
      <c r="BK517" s="703"/>
      <c r="BL517" s="703"/>
      <c r="BM517" s="703"/>
      <c r="BN517" s="703"/>
      <c r="BO517" s="703"/>
      <c r="BP517" s="703"/>
      <c r="BQ517" s="703">
        <f t="shared" si="164"/>
        <v>0</v>
      </c>
      <c r="BR517" s="703"/>
      <c r="BS517" s="703">
        <f t="shared" si="165"/>
        <v>1</v>
      </c>
      <c r="BT517" s="703"/>
      <c r="BU517" s="703"/>
      <c r="BV517" s="703"/>
      <c r="BW517" s="703"/>
      <c r="BX517" s="703">
        <f t="shared" si="166"/>
        <v>0</v>
      </c>
      <c r="BY517" s="703"/>
      <c r="BZ517" s="703"/>
      <c r="CA517" s="703"/>
      <c r="CB517" s="703">
        <v>1</v>
      </c>
      <c r="CC517" s="703"/>
      <c r="CD517" s="703">
        <f t="shared" si="162"/>
        <v>4</v>
      </c>
      <c r="CE517" s="703"/>
      <c r="CF517" s="703"/>
      <c r="CG517" s="703"/>
      <c r="CH517" s="703"/>
      <c r="CI517" s="703"/>
      <c r="CJ517" s="703"/>
      <c r="CK517" s="703"/>
      <c r="CL517" s="703"/>
      <c r="CM517" s="703"/>
      <c r="CN517" s="703"/>
      <c r="CO517" s="703"/>
      <c r="CP517" s="703"/>
      <c r="CQ517" s="703"/>
      <c r="CR517" s="703"/>
      <c r="CS517" s="703"/>
      <c r="CT517" s="703"/>
      <c r="CU517" s="703"/>
      <c r="CV517" s="703"/>
      <c r="CW517" s="703"/>
      <c r="CX517" s="703"/>
      <c r="CY517" s="703"/>
      <c r="CZ517" s="703"/>
      <c r="DA517" s="703"/>
      <c r="DB517" s="703"/>
      <c r="DC517" s="703"/>
      <c r="DD517" s="703"/>
      <c r="DE517" s="703"/>
      <c r="DF517" s="703"/>
      <c r="DG517" s="705"/>
      <c r="DH517" s="705"/>
      <c r="DI517" s="705"/>
      <c r="DJ517" s="705"/>
      <c r="DK517" s="705"/>
      <c r="DL517" s="705"/>
      <c r="DM517" s="705"/>
      <c r="DN517" s="705"/>
      <c r="DO517" s="705"/>
      <c r="DP517" s="705"/>
      <c r="DQ517" s="705"/>
      <c r="DR517" s="705"/>
      <c r="DS517" s="703"/>
      <c r="DT517" s="703"/>
      <c r="DU517" s="703"/>
      <c r="DV517" s="703"/>
      <c r="DW517" s="703"/>
      <c r="DX517" s="703"/>
      <c r="DY517" s="703"/>
      <c r="DZ517" s="703"/>
      <c r="EA517" s="703"/>
      <c r="EB517" s="703"/>
      <c r="EC517" s="703"/>
      <c r="ED517" s="703"/>
      <c r="EE517" s="703"/>
      <c r="EF517" s="703"/>
      <c r="EG517" s="703"/>
      <c r="EH517" s="703"/>
      <c r="EI517" s="703"/>
      <c r="EJ517" s="703"/>
      <c r="EK517" s="703"/>
      <c r="EL517" s="703"/>
      <c r="EM517" s="703"/>
      <c r="EN517" s="703"/>
      <c r="EO517" s="703"/>
      <c r="EP517" s="703"/>
      <c r="EQ517" s="703"/>
      <c r="ER517" s="703"/>
      <c r="ES517" s="703"/>
      <c r="ET517" s="703"/>
      <c r="EU517" s="703"/>
      <c r="EV517" s="703"/>
      <c r="EW517" s="703"/>
      <c r="EX517" s="703"/>
      <c r="EY517" s="703"/>
      <c r="EZ517" s="703"/>
      <c r="FA517" s="703"/>
      <c r="FB517" s="703"/>
      <c r="FC517" s="703"/>
      <c r="FD517" s="703"/>
      <c r="FE517" s="703"/>
      <c r="FF517" s="703"/>
      <c r="FG517" s="703"/>
      <c r="FH517" s="703"/>
      <c r="FI517" s="703"/>
      <c r="FJ517" s="703"/>
      <c r="FK517" s="703"/>
      <c r="FL517" s="703"/>
      <c r="FM517" s="703"/>
      <c r="FN517" s="703"/>
      <c r="FO517" s="703"/>
      <c r="FP517" s="703"/>
      <c r="FQ517" s="704"/>
    </row>
    <row r="518" spans="1:173" s="706" customFormat="1">
      <c r="A518" s="700"/>
      <c r="B518" s="700"/>
      <c r="C518" s="701"/>
      <c r="D518" s="701" t="s">
        <v>3740</v>
      </c>
      <c r="E518" s="703">
        <v>47.2</v>
      </c>
      <c r="F518" s="703"/>
      <c r="G518" s="703"/>
      <c r="H518" s="703"/>
      <c r="I518" s="703"/>
      <c r="J518" s="703"/>
      <c r="K518" s="703"/>
      <c r="L518" s="703"/>
      <c r="M518" s="703"/>
      <c r="N518" s="703"/>
      <c r="O518" s="703">
        <f t="shared" si="160"/>
        <v>47.2</v>
      </c>
      <c r="P518" s="703"/>
      <c r="Q518" s="703"/>
      <c r="R518" s="704"/>
      <c r="S518" s="704"/>
      <c r="T518" s="703"/>
      <c r="U518" s="703" t="s">
        <v>2989</v>
      </c>
      <c r="V518" s="703"/>
      <c r="W518" s="703"/>
      <c r="X518" s="703"/>
      <c r="Y518" s="703"/>
      <c r="Z518" s="703"/>
      <c r="AA518" s="703"/>
      <c r="AB518" s="703"/>
      <c r="AC518" s="703"/>
      <c r="AD518" s="703"/>
      <c r="AE518" s="766"/>
      <c r="AF518" s="960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>
        <f t="shared" si="161"/>
        <v>1</v>
      </c>
      <c r="BB518" s="703"/>
      <c r="BC518" s="703"/>
      <c r="BD518" s="703"/>
      <c r="BE518" s="703">
        <v>2</v>
      </c>
      <c r="BF518" s="703"/>
      <c r="BG518" s="703"/>
      <c r="BH518" s="703"/>
      <c r="BI518" s="694">
        <f t="shared" si="163"/>
        <v>5</v>
      </c>
      <c r="BJ518" s="703"/>
      <c r="BK518" s="703"/>
      <c r="BL518" s="703"/>
      <c r="BM518" s="703"/>
      <c r="BN518" s="703"/>
      <c r="BO518" s="703"/>
      <c r="BP518" s="703"/>
      <c r="BQ518" s="703">
        <f t="shared" si="164"/>
        <v>0</v>
      </c>
      <c r="BR518" s="703"/>
      <c r="BS518" s="703">
        <f t="shared" si="165"/>
        <v>0</v>
      </c>
      <c r="BT518" s="703"/>
      <c r="BU518" s="703"/>
      <c r="BV518" s="703"/>
      <c r="BW518" s="703"/>
      <c r="BX518" s="703">
        <f t="shared" si="166"/>
        <v>2</v>
      </c>
      <c r="BY518" s="703"/>
      <c r="BZ518" s="703"/>
      <c r="CA518" s="703"/>
      <c r="CB518" s="703">
        <v>1</v>
      </c>
      <c r="CC518" s="703"/>
      <c r="CD518" s="703">
        <f t="shared" si="162"/>
        <v>4</v>
      </c>
      <c r="CE518" s="703"/>
      <c r="CF518" s="703"/>
      <c r="CG518" s="703"/>
      <c r="CH518" s="703"/>
      <c r="CI518" s="703"/>
      <c r="CJ518" s="703"/>
      <c r="CK518" s="703"/>
      <c r="CL518" s="703"/>
      <c r="CM518" s="703"/>
      <c r="CN518" s="703"/>
      <c r="CO518" s="703"/>
      <c r="CP518" s="703"/>
      <c r="CQ518" s="703"/>
      <c r="CR518" s="703"/>
      <c r="CS518" s="703"/>
      <c r="CT518" s="703"/>
      <c r="CU518" s="703"/>
      <c r="CV518" s="703"/>
      <c r="CW518" s="703"/>
      <c r="CX518" s="703"/>
      <c r="CY518" s="703"/>
      <c r="CZ518" s="703"/>
      <c r="DA518" s="703"/>
      <c r="DB518" s="703"/>
      <c r="DC518" s="703"/>
      <c r="DD518" s="703"/>
      <c r="DE518" s="703"/>
      <c r="DF518" s="703"/>
      <c r="DG518" s="705"/>
      <c r="DH518" s="705"/>
      <c r="DI518" s="705"/>
      <c r="DJ518" s="705"/>
      <c r="DK518" s="705"/>
      <c r="DL518" s="705"/>
      <c r="DM518" s="705"/>
      <c r="DN518" s="705"/>
      <c r="DO518" s="705"/>
      <c r="DP518" s="705"/>
      <c r="DQ518" s="705"/>
      <c r="DR518" s="705"/>
      <c r="DS518" s="703"/>
      <c r="DT518" s="703"/>
      <c r="DU518" s="703"/>
      <c r="DV518" s="703"/>
      <c r="DW518" s="703"/>
      <c r="DX518" s="703"/>
      <c r="DY518" s="703"/>
      <c r="DZ518" s="703"/>
      <c r="EA518" s="703"/>
      <c r="EB518" s="703"/>
      <c r="EC518" s="703"/>
      <c r="ED518" s="703"/>
      <c r="EE518" s="703"/>
      <c r="EF518" s="703"/>
      <c r="EG518" s="703"/>
      <c r="EH518" s="703"/>
      <c r="EI518" s="703"/>
      <c r="EJ518" s="703"/>
      <c r="EK518" s="703"/>
      <c r="EL518" s="703"/>
      <c r="EM518" s="703"/>
      <c r="EN518" s="703"/>
      <c r="EO518" s="703"/>
      <c r="EP518" s="703"/>
      <c r="EQ518" s="703"/>
      <c r="ER518" s="703"/>
      <c r="ES518" s="703"/>
      <c r="ET518" s="703"/>
      <c r="EU518" s="703"/>
      <c r="EV518" s="703"/>
      <c r="EW518" s="703"/>
      <c r="EX518" s="703"/>
      <c r="EY518" s="703"/>
      <c r="EZ518" s="703"/>
      <c r="FA518" s="703"/>
      <c r="FB518" s="703"/>
      <c r="FC518" s="703"/>
      <c r="FD518" s="703"/>
      <c r="FE518" s="703"/>
      <c r="FF518" s="703"/>
      <c r="FG518" s="703"/>
      <c r="FH518" s="703"/>
      <c r="FI518" s="703"/>
      <c r="FJ518" s="703"/>
      <c r="FK518" s="703"/>
      <c r="FL518" s="703"/>
      <c r="FM518" s="703"/>
      <c r="FN518" s="703"/>
      <c r="FO518" s="703"/>
      <c r="FP518" s="703"/>
      <c r="FQ518" s="704"/>
    </row>
    <row r="519" spans="1:173" s="706" customFormat="1">
      <c r="A519" s="700"/>
      <c r="B519" s="700"/>
      <c r="C519" s="701"/>
      <c r="D519" s="701" t="s">
        <v>3741</v>
      </c>
      <c r="E519" s="703">
        <v>37.799999999999997</v>
      </c>
      <c r="F519" s="703"/>
      <c r="G519" s="703"/>
      <c r="H519" s="703"/>
      <c r="I519" s="703"/>
      <c r="J519" s="703"/>
      <c r="K519" s="703"/>
      <c r="L519" s="703"/>
      <c r="M519" s="703"/>
      <c r="N519" s="703"/>
      <c r="O519" s="703">
        <f t="shared" si="160"/>
        <v>37.799999999999997</v>
      </c>
      <c r="P519" s="703"/>
      <c r="Q519" s="703"/>
      <c r="R519" s="704"/>
      <c r="S519" s="704"/>
      <c r="T519" s="703"/>
      <c r="U519" s="703" t="s">
        <v>2989</v>
      </c>
      <c r="V519" s="703"/>
      <c r="W519" s="703"/>
      <c r="X519" s="703"/>
      <c r="Y519" s="703"/>
      <c r="Z519" s="703"/>
      <c r="AA519" s="703"/>
      <c r="AB519" s="703"/>
      <c r="AC519" s="703"/>
      <c r="AD519" s="703"/>
      <c r="AE519" s="766"/>
      <c r="AF519" s="960"/>
      <c r="AG519" s="703"/>
      <c r="AH519" s="703"/>
      <c r="AI519" s="703"/>
      <c r="AJ519" s="703"/>
      <c r="AK519" s="703"/>
      <c r="AL519" s="703"/>
      <c r="AM519" s="703"/>
      <c r="AN519" s="703"/>
      <c r="AO519" s="703"/>
      <c r="AP519" s="703"/>
      <c r="AQ519" s="703"/>
      <c r="AR519" s="703"/>
      <c r="AS519" s="703"/>
      <c r="AT519" s="703"/>
      <c r="AU519" s="703"/>
      <c r="AV519" s="703"/>
      <c r="AW519" s="703"/>
      <c r="AX519" s="703"/>
      <c r="AY519" s="703"/>
      <c r="AZ519" s="703"/>
      <c r="BA519" s="703">
        <f t="shared" si="161"/>
        <v>1</v>
      </c>
      <c r="BB519" s="703"/>
      <c r="BC519" s="703"/>
      <c r="BD519" s="703"/>
      <c r="BE519" s="703">
        <v>2</v>
      </c>
      <c r="BF519" s="703"/>
      <c r="BG519" s="703"/>
      <c r="BH519" s="703"/>
      <c r="BI519" s="694">
        <f t="shared" si="163"/>
        <v>5</v>
      </c>
      <c r="BJ519" s="703"/>
      <c r="BK519" s="703"/>
      <c r="BL519" s="703"/>
      <c r="BM519" s="703"/>
      <c r="BN519" s="703"/>
      <c r="BO519" s="703"/>
      <c r="BP519" s="703"/>
      <c r="BQ519" s="703">
        <f t="shared" si="164"/>
        <v>0</v>
      </c>
      <c r="BR519" s="703"/>
      <c r="BS519" s="703">
        <f t="shared" si="165"/>
        <v>0</v>
      </c>
      <c r="BT519" s="703"/>
      <c r="BU519" s="703"/>
      <c r="BV519" s="703"/>
      <c r="BW519" s="703"/>
      <c r="BX519" s="703">
        <f t="shared" si="166"/>
        <v>2</v>
      </c>
      <c r="BY519" s="703"/>
      <c r="BZ519" s="703"/>
      <c r="CA519" s="703"/>
      <c r="CB519" s="703">
        <v>1</v>
      </c>
      <c r="CC519" s="703"/>
      <c r="CD519" s="703">
        <f t="shared" si="162"/>
        <v>4</v>
      </c>
      <c r="CE519" s="703"/>
      <c r="CF519" s="703"/>
      <c r="CG519" s="703"/>
      <c r="CH519" s="703"/>
      <c r="CI519" s="703"/>
      <c r="CJ519" s="703"/>
      <c r="CK519" s="703"/>
      <c r="CL519" s="703"/>
      <c r="CM519" s="703"/>
      <c r="CN519" s="703"/>
      <c r="CO519" s="703"/>
      <c r="CP519" s="703"/>
      <c r="CQ519" s="703"/>
      <c r="CR519" s="703"/>
      <c r="CS519" s="703"/>
      <c r="CT519" s="703"/>
      <c r="CU519" s="703"/>
      <c r="CV519" s="703"/>
      <c r="CW519" s="703"/>
      <c r="CX519" s="703"/>
      <c r="CY519" s="703"/>
      <c r="CZ519" s="703"/>
      <c r="DA519" s="703"/>
      <c r="DB519" s="703"/>
      <c r="DC519" s="703"/>
      <c r="DD519" s="703"/>
      <c r="DE519" s="703"/>
      <c r="DF519" s="703"/>
      <c r="DG519" s="705"/>
      <c r="DH519" s="705"/>
      <c r="DI519" s="705"/>
      <c r="DJ519" s="705"/>
      <c r="DK519" s="705"/>
      <c r="DL519" s="705"/>
      <c r="DM519" s="705"/>
      <c r="DN519" s="705"/>
      <c r="DO519" s="705"/>
      <c r="DP519" s="705"/>
      <c r="DQ519" s="705"/>
      <c r="DR519" s="705"/>
      <c r="DS519" s="703"/>
      <c r="DT519" s="703"/>
      <c r="DU519" s="703"/>
      <c r="DV519" s="703"/>
      <c r="DW519" s="703"/>
      <c r="DX519" s="703"/>
      <c r="DY519" s="703"/>
      <c r="DZ519" s="703"/>
      <c r="EA519" s="703"/>
      <c r="EB519" s="703"/>
      <c r="EC519" s="703"/>
      <c r="ED519" s="703"/>
      <c r="EE519" s="703"/>
      <c r="EF519" s="703"/>
      <c r="EG519" s="703"/>
      <c r="EH519" s="703"/>
      <c r="EI519" s="703"/>
      <c r="EJ519" s="703"/>
      <c r="EK519" s="703"/>
      <c r="EL519" s="703"/>
      <c r="EM519" s="703"/>
      <c r="EN519" s="703"/>
      <c r="EO519" s="703"/>
      <c r="EP519" s="703"/>
      <c r="EQ519" s="703"/>
      <c r="ER519" s="703"/>
      <c r="ES519" s="703"/>
      <c r="ET519" s="703"/>
      <c r="EU519" s="703"/>
      <c r="EV519" s="703"/>
      <c r="EW519" s="703"/>
      <c r="EX519" s="703"/>
      <c r="EY519" s="703"/>
      <c r="EZ519" s="703"/>
      <c r="FA519" s="703"/>
      <c r="FB519" s="703"/>
      <c r="FC519" s="703"/>
      <c r="FD519" s="703"/>
      <c r="FE519" s="703"/>
      <c r="FF519" s="703"/>
      <c r="FG519" s="703"/>
      <c r="FH519" s="703"/>
      <c r="FI519" s="703"/>
      <c r="FJ519" s="703"/>
      <c r="FK519" s="703"/>
      <c r="FL519" s="703"/>
      <c r="FM519" s="703"/>
      <c r="FN519" s="703"/>
      <c r="FO519" s="703"/>
      <c r="FP519" s="703"/>
      <c r="FQ519" s="704"/>
    </row>
    <row r="520" spans="1:173" s="706" customFormat="1">
      <c r="A520" s="700"/>
      <c r="B520" s="700"/>
      <c r="C520" s="701"/>
      <c r="D520" s="701" t="s">
        <v>3742</v>
      </c>
      <c r="E520" s="703">
        <v>47.1</v>
      </c>
      <c r="F520" s="703"/>
      <c r="G520" s="703"/>
      <c r="H520" s="703"/>
      <c r="I520" s="703"/>
      <c r="J520" s="703"/>
      <c r="K520" s="703"/>
      <c r="L520" s="703"/>
      <c r="M520" s="703"/>
      <c r="N520" s="703"/>
      <c r="O520" s="703">
        <f t="shared" si="160"/>
        <v>47.1</v>
      </c>
      <c r="P520" s="703"/>
      <c r="Q520" s="703"/>
      <c r="R520" s="704"/>
      <c r="S520" s="704"/>
      <c r="T520" s="703"/>
      <c r="U520" s="703" t="s">
        <v>1631</v>
      </c>
      <c r="V520" s="703"/>
      <c r="W520" s="703"/>
      <c r="X520" s="703"/>
      <c r="Y520" s="703"/>
      <c r="Z520" s="703"/>
      <c r="AA520" s="703"/>
      <c r="AB520" s="703"/>
      <c r="AC520" s="703"/>
      <c r="AD520" s="703"/>
      <c r="AE520" s="766"/>
      <c r="AF520" s="960"/>
      <c r="AG520" s="703"/>
      <c r="AH520" s="703"/>
      <c r="AI520" s="703"/>
      <c r="AJ520" s="703"/>
      <c r="AK520" s="703"/>
      <c r="AL520" s="703"/>
      <c r="AM520" s="703"/>
      <c r="AN520" s="703"/>
      <c r="AO520" s="703"/>
      <c r="AP520" s="703"/>
      <c r="AQ520" s="703"/>
      <c r="AR520" s="703"/>
      <c r="AS520" s="703"/>
      <c r="AT520" s="703"/>
      <c r="AU520" s="703"/>
      <c r="AV520" s="703"/>
      <c r="AW520" s="703"/>
      <c r="AX520" s="703"/>
      <c r="AY520" s="703"/>
      <c r="AZ520" s="703"/>
      <c r="BA520" s="703">
        <f t="shared" si="161"/>
        <v>1</v>
      </c>
      <c r="BB520" s="703"/>
      <c r="BC520" s="703"/>
      <c r="BD520" s="703"/>
      <c r="BE520" s="703">
        <v>1</v>
      </c>
      <c r="BF520" s="703"/>
      <c r="BG520" s="703"/>
      <c r="BH520" s="703"/>
      <c r="BI520" s="694">
        <f t="shared" si="163"/>
        <v>5</v>
      </c>
      <c r="BJ520" s="703"/>
      <c r="BK520" s="703"/>
      <c r="BL520" s="703"/>
      <c r="BM520" s="703"/>
      <c r="BN520" s="703"/>
      <c r="BO520" s="703"/>
      <c r="BP520" s="703"/>
      <c r="BQ520" s="703">
        <f t="shared" si="164"/>
        <v>0</v>
      </c>
      <c r="BR520" s="703"/>
      <c r="BS520" s="703">
        <f t="shared" si="165"/>
        <v>1</v>
      </c>
      <c r="BT520" s="703"/>
      <c r="BU520" s="703"/>
      <c r="BV520" s="703"/>
      <c r="BW520" s="703"/>
      <c r="BX520" s="703">
        <f t="shared" si="166"/>
        <v>0</v>
      </c>
      <c r="BY520" s="703"/>
      <c r="BZ520" s="703"/>
      <c r="CA520" s="703"/>
      <c r="CB520" s="703">
        <v>1</v>
      </c>
      <c r="CC520" s="703"/>
      <c r="CD520" s="703">
        <f t="shared" si="162"/>
        <v>4</v>
      </c>
      <c r="CE520" s="703"/>
      <c r="CF520" s="703"/>
      <c r="CG520" s="703"/>
      <c r="CH520" s="703"/>
      <c r="CI520" s="703"/>
      <c r="CJ520" s="703"/>
      <c r="CK520" s="703"/>
      <c r="CL520" s="703"/>
      <c r="CM520" s="703"/>
      <c r="CN520" s="703"/>
      <c r="CO520" s="703"/>
      <c r="CP520" s="703"/>
      <c r="CQ520" s="703"/>
      <c r="CR520" s="703"/>
      <c r="CS520" s="703"/>
      <c r="CT520" s="703"/>
      <c r="CU520" s="703"/>
      <c r="CV520" s="703"/>
      <c r="CW520" s="703"/>
      <c r="CX520" s="703"/>
      <c r="CY520" s="703"/>
      <c r="CZ520" s="703"/>
      <c r="DA520" s="703"/>
      <c r="DB520" s="703"/>
      <c r="DC520" s="703"/>
      <c r="DD520" s="703"/>
      <c r="DE520" s="703"/>
      <c r="DF520" s="703"/>
      <c r="DG520" s="705"/>
      <c r="DH520" s="705"/>
      <c r="DI520" s="705"/>
      <c r="DJ520" s="705"/>
      <c r="DK520" s="705"/>
      <c r="DL520" s="705"/>
      <c r="DM520" s="705"/>
      <c r="DN520" s="705"/>
      <c r="DO520" s="705"/>
      <c r="DP520" s="705"/>
      <c r="DQ520" s="705"/>
      <c r="DR520" s="705"/>
      <c r="DS520" s="703"/>
      <c r="DT520" s="703"/>
      <c r="DU520" s="703"/>
      <c r="DV520" s="703"/>
      <c r="DW520" s="703"/>
      <c r="DX520" s="703"/>
      <c r="DY520" s="703"/>
      <c r="DZ520" s="703"/>
      <c r="EA520" s="703"/>
      <c r="EB520" s="703"/>
      <c r="EC520" s="703"/>
      <c r="ED520" s="703"/>
      <c r="EE520" s="703"/>
      <c r="EF520" s="703"/>
      <c r="EG520" s="703"/>
      <c r="EH520" s="703"/>
      <c r="EI520" s="703"/>
      <c r="EJ520" s="703"/>
      <c r="EK520" s="703"/>
      <c r="EL520" s="703"/>
      <c r="EM520" s="703"/>
      <c r="EN520" s="703"/>
      <c r="EO520" s="703"/>
      <c r="EP520" s="703"/>
      <c r="EQ520" s="703"/>
      <c r="ER520" s="703"/>
      <c r="ES520" s="703"/>
      <c r="ET520" s="703"/>
      <c r="EU520" s="703"/>
      <c r="EV520" s="703"/>
      <c r="EW520" s="703"/>
      <c r="EX520" s="703"/>
      <c r="EY520" s="703"/>
      <c r="EZ520" s="703"/>
      <c r="FA520" s="703"/>
      <c r="FB520" s="703"/>
      <c r="FC520" s="703"/>
      <c r="FD520" s="703"/>
      <c r="FE520" s="703"/>
      <c r="FF520" s="703"/>
      <c r="FG520" s="703"/>
      <c r="FH520" s="703"/>
      <c r="FI520" s="703"/>
      <c r="FJ520" s="703"/>
      <c r="FK520" s="703"/>
      <c r="FL520" s="703"/>
      <c r="FM520" s="703"/>
      <c r="FN520" s="703"/>
      <c r="FO520" s="703"/>
      <c r="FP520" s="703"/>
      <c r="FQ520" s="704"/>
    </row>
    <row r="521" spans="1:173" s="706" customFormat="1">
      <c r="A521" s="700"/>
      <c r="B521" s="700"/>
      <c r="C521" s="701"/>
      <c r="D521" s="701" t="s">
        <v>3743</v>
      </c>
      <c r="E521" s="703">
        <v>36.299999999999997</v>
      </c>
      <c r="F521" s="703"/>
      <c r="G521" s="703"/>
      <c r="H521" s="703"/>
      <c r="I521" s="703"/>
      <c r="J521" s="703"/>
      <c r="K521" s="703"/>
      <c r="L521" s="703"/>
      <c r="M521" s="703"/>
      <c r="N521" s="703"/>
      <c r="O521" s="703">
        <f t="shared" si="160"/>
        <v>36.299999999999997</v>
      </c>
      <c r="P521" s="703"/>
      <c r="Q521" s="703"/>
      <c r="R521" s="704"/>
      <c r="S521" s="704"/>
      <c r="T521" s="703"/>
      <c r="U521" s="703" t="s">
        <v>1631</v>
      </c>
      <c r="V521" s="703"/>
      <c r="W521" s="703"/>
      <c r="X521" s="703"/>
      <c r="Y521" s="703"/>
      <c r="Z521" s="703"/>
      <c r="AA521" s="703"/>
      <c r="AB521" s="703"/>
      <c r="AC521" s="703"/>
      <c r="AD521" s="703"/>
      <c r="AE521" s="766"/>
      <c r="AF521" s="960"/>
      <c r="AG521" s="703"/>
      <c r="AH521" s="703"/>
      <c r="AI521" s="703"/>
      <c r="AJ521" s="703"/>
      <c r="AK521" s="703"/>
      <c r="AL521" s="703"/>
      <c r="AM521" s="703"/>
      <c r="AN521" s="703"/>
      <c r="AO521" s="703"/>
      <c r="AP521" s="703"/>
      <c r="AQ521" s="703"/>
      <c r="AR521" s="703"/>
      <c r="AS521" s="703"/>
      <c r="AT521" s="703"/>
      <c r="AU521" s="703">
        <v>1</v>
      </c>
      <c r="AV521" s="703"/>
      <c r="AW521" s="703"/>
      <c r="AX521" s="703"/>
      <c r="AY521" s="703"/>
      <c r="AZ521" s="703"/>
      <c r="BA521" s="703">
        <f t="shared" si="161"/>
        <v>1</v>
      </c>
      <c r="BB521" s="703"/>
      <c r="BC521" s="703"/>
      <c r="BD521" s="703"/>
      <c r="BE521" s="703">
        <v>1</v>
      </c>
      <c r="BF521" s="703"/>
      <c r="BG521" s="703"/>
      <c r="BH521" s="703"/>
      <c r="BI521" s="694">
        <f t="shared" si="163"/>
        <v>7</v>
      </c>
      <c r="BJ521" s="703"/>
      <c r="BK521" s="703"/>
      <c r="BL521" s="703"/>
      <c r="BM521" s="703"/>
      <c r="BN521" s="703"/>
      <c r="BO521" s="703"/>
      <c r="BP521" s="703"/>
      <c r="BQ521" s="703">
        <f t="shared" si="164"/>
        <v>0</v>
      </c>
      <c r="BR521" s="703"/>
      <c r="BS521" s="703">
        <f t="shared" si="165"/>
        <v>1</v>
      </c>
      <c r="BT521" s="703"/>
      <c r="BU521" s="703"/>
      <c r="BV521" s="703"/>
      <c r="BW521" s="703"/>
      <c r="BX521" s="703">
        <f t="shared" si="166"/>
        <v>0</v>
      </c>
      <c r="BY521" s="703"/>
      <c r="BZ521" s="703"/>
      <c r="CA521" s="703"/>
      <c r="CB521" s="703">
        <v>1</v>
      </c>
      <c r="CC521" s="703"/>
      <c r="CD521" s="703">
        <f t="shared" si="162"/>
        <v>4</v>
      </c>
      <c r="CE521" s="703"/>
      <c r="CF521" s="703"/>
      <c r="CG521" s="703"/>
      <c r="CH521" s="703"/>
      <c r="CI521" s="703"/>
      <c r="CJ521" s="703"/>
      <c r="CK521" s="703"/>
      <c r="CL521" s="703"/>
      <c r="CM521" s="703"/>
      <c r="CN521" s="703"/>
      <c r="CO521" s="703"/>
      <c r="CP521" s="703"/>
      <c r="CQ521" s="703"/>
      <c r="CR521" s="703"/>
      <c r="CS521" s="703"/>
      <c r="CT521" s="703"/>
      <c r="CU521" s="703"/>
      <c r="CV521" s="703"/>
      <c r="CW521" s="703"/>
      <c r="CX521" s="703"/>
      <c r="CY521" s="703"/>
      <c r="CZ521" s="703"/>
      <c r="DA521" s="703"/>
      <c r="DB521" s="703"/>
      <c r="DC521" s="703"/>
      <c r="DD521" s="703"/>
      <c r="DE521" s="703"/>
      <c r="DF521" s="703"/>
      <c r="DG521" s="705"/>
      <c r="DH521" s="705"/>
      <c r="DI521" s="705"/>
      <c r="DJ521" s="705"/>
      <c r="DK521" s="705"/>
      <c r="DL521" s="705"/>
      <c r="DM521" s="705"/>
      <c r="DN521" s="705"/>
      <c r="DO521" s="705"/>
      <c r="DP521" s="705"/>
      <c r="DQ521" s="705"/>
      <c r="DR521" s="705"/>
      <c r="DS521" s="703"/>
      <c r="DT521" s="703"/>
      <c r="DU521" s="703"/>
      <c r="DV521" s="703"/>
      <c r="DW521" s="703"/>
      <c r="DX521" s="703"/>
      <c r="DY521" s="703"/>
      <c r="DZ521" s="703"/>
      <c r="EA521" s="703"/>
      <c r="EB521" s="703"/>
      <c r="EC521" s="703"/>
      <c r="ED521" s="703"/>
      <c r="EE521" s="703"/>
      <c r="EF521" s="703"/>
      <c r="EG521" s="703"/>
      <c r="EH521" s="703"/>
      <c r="EI521" s="703"/>
      <c r="EJ521" s="703"/>
      <c r="EK521" s="703"/>
      <c r="EL521" s="703"/>
      <c r="EM521" s="703"/>
      <c r="EN521" s="703"/>
      <c r="EO521" s="703"/>
      <c r="EP521" s="703"/>
      <c r="EQ521" s="703"/>
      <c r="ER521" s="703"/>
      <c r="ES521" s="703"/>
      <c r="ET521" s="703"/>
      <c r="EU521" s="703"/>
      <c r="EV521" s="703"/>
      <c r="EW521" s="703"/>
      <c r="EX521" s="703"/>
      <c r="EY521" s="703"/>
      <c r="EZ521" s="703"/>
      <c r="FA521" s="703"/>
      <c r="FB521" s="703"/>
      <c r="FC521" s="703"/>
      <c r="FD521" s="703"/>
      <c r="FE521" s="703"/>
      <c r="FF521" s="703"/>
      <c r="FG521" s="703"/>
      <c r="FH521" s="703"/>
      <c r="FI521" s="703"/>
      <c r="FJ521" s="703"/>
      <c r="FK521" s="703"/>
      <c r="FL521" s="703"/>
      <c r="FM521" s="703"/>
      <c r="FN521" s="703"/>
      <c r="FO521" s="703"/>
      <c r="FP521" s="703"/>
      <c r="FQ521" s="704"/>
    </row>
    <row r="522" spans="1:173" s="706" customFormat="1">
      <c r="A522" s="700"/>
      <c r="B522" s="700"/>
      <c r="C522" s="701"/>
      <c r="D522" s="701" t="s">
        <v>3744</v>
      </c>
      <c r="E522" s="703">
        <v>38.799999999999997</v>
      </c>
      <c r="F522" s="703"/>
      <c r="G522" s="703"/>
      <c r="H522" s="703"/>
      <c r="I522" s="703"/>
      <c r="J522" s="703"/>
      <c r="K522" s="703"/>
      <c r="L522" s="703"/>
      <c r="M522" s="703"/>
      <c r="N522" s="703"/>
      <c r="O522" s="703">
        <f t="shared" si="160"/>
        <v>38.799999999999997</v>
      </c>
      <c r="P522" s="703"/>
      <c r="Q522" s="703"/>
      <c r="R522" s="704"/>
      <c r="S522" s="704"/>
      <c r="T522" s="703"/>
      <c r="U522" s="703" t="s">
        <v>1903</v>
      </c>
      <c r="V522" s="703"/>
      <c r="W522" s="703"/>
      <c r="X522" s="703"/>
      <c r="Y522" s="703"/>
      <c r="Z522" s="703"/>
      <c r="AA522" s="703"/>
      <c r="AB522" s="703"/>
      <c r="AC522" s="703"/>
      <c r="AD522" s="703"/>
      <c r="AE522" s="766"/>
      <c r="AF522" s="960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>
        <f t="shared" si="161"/>
        <v>1</v>
      </c>
      <c r="BB522" s="703"/>
      <c r="BC522" s="703"/>
      <c r="BD522" s="703"/>
      <c r="BE522" s="703">
        <v>1</v>
      </c>
      <c r="BF522" s="703"/>
      <c r="BG522" s="703"/>
      <c r="BH522" s="703"/>
      <c r="BI522" s="694">
        <f t="shared" si="163"/>
        <v>5</v>
      </c>
      <c r="BJ522" s="703"/>
      <c r="BK522" s="703"/>
      <c r="BL522" s="703"/>
      <c r="BM522" s="703"/>
      <c r="BN522" s="703"/>
      <c r="BO522" s="703"/>
      <c r="BP522" s="703"/>
      <c r="BQ522" s="703">
        <f t="shared" si="164"/>
        <v>1</v>
      </c>
      <c r="BR522" s="703"/>
      <c r="BS522" s="703">
        <f t="shared" si="165"/>
        <v>2</v>
      </c>
      <c r="BT522" s="703"/>
      <c r="BU522" s="703"/>
      <c r="BV522" s="703"/>
      <c r="BW522" s="703"/>
      <c r="BX522" s="703">
        <f t="shared" si="166"/>
        <v>0</v>
      </c>
      <c r="BY522" s="703"/>
      <c r="BZ522" s="703"/>
      <c r="CA522" s="703"/>
      <c r="CB522" s="703">
        <v>1</v>
      </c>
      <c r="CC522" s="703"/>
      <c r="CD522" s="703">
        <f t="shared" si="162"/>
        <v>4</v>
      </c>
      <c r="CE522" s="703"/>
      <c r="CF522" s="703"/>
      <c r="CG522" s="703"/>
      <c r="CH522" s="703"/>
      <c r="CI522" s="703"/>
      <c r="CJ522" s="703"/>
      <c r="CK522" s="703"/>
      <c r="CL522" s="703"/>
      <c r="CM522" s="703"/>
      <c r="CN522" s="703"/>
      <c r="CO522" s="703"/>
      <c r="CP522" s="703"/>
      <c r="CQ522" s="703"/>
      <c r="CR522" s="703"/>
      <c r="CS522" s="703"/>
      <c r="CT522" s="703"/>
      <c r="CU522" s="703"/>
      <c r="CV522" s="703"/>
      <c r="CW522" s="703"/>
      <c r="CX522" s="703"/>
      <c r="CY522" s="703"/>
      <c r="CZ522" s="703"/>
      <c r="DA522" s="703"/>
      <c r="DB522" s="703"/>
      <c r="DC522" s="703"/>
      <c r="DD522" s="703"/>
      <c r="DE522" s="703"/>
      <c r="DF522" s="703"/>
      <c r="DG522" s="705"/>
      <c r="DH522" s="705"/>
      <c r="DI522" s="705"/>
      <c r="DJ522" s="705"/>
      <c r="DK522" s="705"/>
      <c r="DL522" s="705"/>
      <c r="DM522" s="705"/>
      <c r="DN522" s="705"/>
      <c r="DO522" s="705"/>
      <c r="DP522" s="705"/>
      <c r="DQ522" s="705"/>
      <c r="DR522" s="705"/>
      <c r="DS522" s="703"/>
      <c r="DT522" s="703"/>
      <c r="DU522" s="703"/>
      <c r="DV522" s="703"/>
      <c r="DW522" s="703"/>
      <c r="DX522" s="703"/>
      <c r="DY522" s="703"/>
      <c r="DZ522" s="703"/>
      <c r="EA522" s="703"/>
      <c r="EB522" s="703"/>
      <c r="EC522" s="703"/>
      <c r="ED522" s="703"/>
      <c r="EE522" s="703"/>
      <c r="EF522" s="703"/>
      <c r="EG522" s="703"/>
      <c r="EH522" s="703"/>
      <c r="EI522" s="703"/>
      <c r="EJ522" s="703"/>
      <c r="EK522" s="703"/>
      <c r="EL522" s="703"/>
      <c r="EM522" s="703"/>
      <c r="EN522" s="703"/>
      <c r="EO522" s="703"/>
      <c r="EP522" s="703"/>
      <c r="EQ522" s="703"/>
      <c r="ER522" s="703"/>
      <c r="ES522" s="703"/>
      <c r="ET522" s="703"/>
      <c r="EU522" s="703"/>
      <c r="EV522" s="703"/>
      <c r="EW522" s="703"/>
      <c r="EX522" s="703"/>
      <c r="EY522" s="703"/>
      <c r="EZ522" s="703"/>
      <c r="FA522" s="703"/>
      <c r="FB522" s="703"/>
      <c r="FC522" s="703"/>
      <c r="FD522" s="703"/>
      <c r="FE522" s="703"/>
      <c r="FF522" s="703"/>
      <c r="FG522" s="703"/>
      <c r="FH522" s="703"/>
      <c r="FI522" s="703"/>
      <c r="FJ522" s="703"/>
      <c r="FK522" s="703"/>
      <c r="FL522" s="703"/>
      <c r="FM522" s="703"/>
      <c r="FN522" s="703"/>
      <c r="FO522" s="703"/>
      <c r="FP522" s="703"/>
      <c r="FQ522" s="704"/>
    </row>
    <row r="523" spans="1:173" s="706" customFormat="1">
      <c r="A523" s="700"/>
      <c r="B523" s="700"/>
      <c r="C523" s="701"/>
      <c r="D523" s="701" t="s">
        <v>3745</v>
      </c>
      <c r="E523" s="703">
        <v>34.700000000000003</v>
      </c>
      <c r="F523" s="703"/>
      <c r="G523" s="703"/>
      <c r="H523" s="703"/>
      <c r="I523" s="703"/>
      <c r="J523" s="703"/>
      <c r="K523" s="703"/>
      <c r="L523" s="703"/>
      <c r="M523" s="703"/>
      <c r="N523" s="703"/>
      <c r="O523" s="703">
        <f t="shared" si="160"/>
        <v>34.700000000000003</v>
      </c>
      <c r="P523" s="703"/>
      <c r="Q523" s="703"/>
      <c r="R523" s="704"/>
      <c r="S523" s="704"/>
      <c r="T523" s="703"/>
      <c r="U523" s="703" t="s">
        <v>1631</v>
      </c>
      <c r="V523" s="703"/>
      <c r="W523" s="703"/>
      <c r="X523" s="703"/>
      <c r="Y523" s="703"/>
      <c r="Z523" s="703"/>
      <c r="AA523" s="703"/>
      <c r="AB523" s="703"/>
      <c r="AC523" s="703"/>
      <c r="AD523" s="703"/>
      <c r="AE523" s="766"/>
      <c r="AF523" s="960"/>
      <c r="AG523" s="703"/>
      <c r="AH523" s="703"/>
      <c r="AI523" s="703"/>
      <c r="AJ523" s="703"/>
      <c r="AK523" s="703"/>
      <c r="AL523" s="703"/>
      <c r="AM523" s="703"/>
      <c r="AN523" s="703"/>
      <c r="AO523" s="703"/>
      <c r="AP523" s="703"/>
      <c r="AQ523" s="703"/>
      <c r="AR523" s="703"/>
      <c r="AS523" s="703"/>
      <c r="AT523" s="703"/>
      <c r="AU523" s="703"/>
      <c r="AV523" s="703"/>
      <c r="AW523" s="703"/>
      <c r="AX523" s="703"/>
      <c r="AY523" s="703"/>
      <c r="AZ523" s="703"/>
      <c r="BA523" s="703">
        <f t="shared" si="161"/>
        <v>1</v>
      </c>
      <c r="BB523" s="703"/>
      <c r="BC523" s="703"/>
      <c r="BD523" s="703"/>
      <c r="BE523" s="703">
        <v>1</v>
      </c>
      <c r="BF523" s="703"/>
      <c r="BG523" s="703"/>
      <c r="BH523" s="703"/>
      <c r="BI523" s="694">
        <f t="shared" si="163"/>
        <v>5</v>
      </c>
      <c r="BJ523" s="703"/>
      <c r="BK523" s="703"/>
      <c r="BL523" s="703"/>
      <c r="BM523" s="703"/>
      <c r="BN523" s="703"/>
      <c r="BO523" s="703"/>
      <c r="BP523" s="703"/>
      <c r="BQ523" s="703">
        <f t="shared" si="164"/>
        <v>0</v>
      </c>
      <c r="BR523" s="703"/>
      <c r="BS523" s="703">
        <f t="shared" si="165"/>
        <v>1</v>
      </c>
      <c r="BT523" s="703"/>
      <c r="BU523" s="703"/>
      <c r="BV523" s="703"/>
      <c r="BW523" s="703"/>
      <c r="BX523" s="703">
        <f t="shared" si="166"/>
        <v>0</v>
      </c>
      <c r="BY523" s="703"/>
      <c r="BZ523" s="703"/>
      <c r="CA523" s="703"/>
      <c r="CB523" s="703">
        <v>1</v>
      </c>
      <c r="CC523" s="703"/>
      <c r="CD523" s="703">
        <f t="shared" si="162"/>
        <v>4</v>
      </c>
      <c r="CE523" s="703"/>
      <c r="CF523" s="703"/>
      <c r="CG523" s="703"/>
      <c r="CH523" s="703"/>
      <c r="CI523" s="703"/>
      <c r="CJ523" s="703"/>
      <c r="CK523" s="703"/>
      <c r="CL523" s="703"/>
      <c r="CM523" s="703"/>
      <c r="CN523" s="703"/>
      <c r="CO523" s="703"/>
      <c r="CP523" s="703"/>
      <c r="CQ523" s="703"/>
      <c r="CR523" s="703"/>
      <c r="CS523" s="703"/>
      <c r="CT523" s="703"/>
      <c r="CU523" s="703"/>
      <c r="CV523" s="703"/>
      <c r="CW523" s="703"/>
      <c r="CX523" s="703"/>
      <c r="CY523" s="703"/>
      <c r="CZ523" s="703"/>
      <c r="DA523" s="703"/>
      <c r="DB523" s="703"/>
      <c r="DC523" s="703"/>
      <c r="DD523" s="703"/>
      <c r="DE523" s="703"/>
      <c r="DF523" s="703"/>
      <c r="DG523" s="705"/>
      <c r="DH523" s="705"/>
      <c r="DI523" s="705"/>
      <c r="DJ523" s="705"/>
      <c r="DK523" s="705"/>
      <c r="DL523" s="705"/>
      <c r="DM523" s="705"/>
      <c r="DN523" s="705"/>
      <c r="DO523" s="705"/>
      <c r="DP523" s="705"/>
      <c r="DQ523" s="705"/>
      <c r="DR523" s="705"/>
      <c r="DS523" s="703"/>
      <c r="DT523" s="703"/>
      <c r="DU523" s="703"/>
      <c r="DV523" s="703"/>
      <c r="DW523" s="703"/>
      <c r="DX523" s="703"/>
      <c r="DY523" s="703"/>
      <c r="DZ523" s="703"/>
      <c r="EA523" s="703"/>
      <c r="EB523" s="703"/>
      <c r="EC523" s="703"/>
      <c r="ED523" s="703"/>
      <c r="EE523" s="703"/>
      <c r="EF523" s="703"/>
      <c r="EG523" s="703"/>
      <c r="EH523" s="703"/>
      <c r="EI523" s="703"/>
      <c r="EJ523" s="703"/>
      <c r="EK523" s="703"/>
      <c r="EL523" s="703"/>
      <c r="EM523" s="703"/>
      <c r="EN523" s="703"/>
      <c r="EO523" s="703"/>
      <c r="EP523" s="703"/>
      <c r="EQ523" s="703"/>
      <c r="ER523" s="703"/>
      <c r="ES523" s="703"/>
      <c r="ET523" s="703"/>
      <c r="EU523" s="703"/>
      <c r="EV523" s="703"/>
      <c r="EW523" s="703"/>
      <c r="EX523" s="703"/>
      <c r="EY523" s="703"/>
      <c r="EZ523" s="703"/>
      <c r="FA523" s="703"/>
      <c r="FB523" s="703"/>
      <c r="FC523" s="703"/>
      <c r="FD523" s="703"/>
      <c r="FE523" s="703"/>
      <c r="FF523" s="703"/>
      <c r="FG523" s="703"/>
      <c r="FH523" s="703"/>
      <c r="FI523" s="703"/>
      <c r="FJ523" s="703"/>
      <c r="FK523" s="703"/>
      <c r="FL523" s="703"/>
      <c r="FM523" s="703"/>
      <c r="FN523" s="703"/>
      <c r="FO523" s="703"/>
      <c r="FP523" s="703"/>
      <c r="FQ523" s="704"/>
    </row>
    <row r="524" spans="1:173" s="706" customFormat="1">
      <c r="A524" s="700"/>
      <c r="B524" s="700"/>
      <c r="C524" s="701"/>
      <c r="D524" s="701" t="s">
        <v>3746</v>
      </c>
      <c r="E524" s="703">
        <v>39.6</v>
      </c>
      <c r="F524" s="703"/>
      <c r="G524" s="703"/>
      <c r="H524" s="703"/>
      <c r="I524" s="703"/>
      <c r="J524" s="703"/>
      <c r="K524" s="703"/>
      <c r="L524" s="703"/>
      <c r="M524" s="703"/>
      <c r="N524" s="703"/>
      <c r="O524" s="703">
        <f t="shared" si="160"/>
        <v>39.6</v>
      </c>
      <c r="P524" s="703"/>
      <c r="Q524" s="703"/>
      <c r="R524" s="704"/>
      <c r="S524" s="704"/>
      <c r="T524" s="703"/>
      <c r="U524" s="703" t="s">
        <v>1631</v>
      </c>
      <c r="V524" s="703"/>
      <c r="W524" s="703"/>
      <c r="X524" s="703"/>
      <c r="Y524" s="703"/>
      <c r="Z524" s="703"/>
      <c r="AA524" s="703"/>
      <c r="AB524" s="703"/>
      <c r="AC524" s="703"/>
      <c r="AD524" s="703"/>
      <c r="AE524" s="766"/>
      <c r="AF524" s="960"/>
      <c r="AG524" s="703"/>
      <c r="AH524" s="703"/>
      <c r="AI524" s="703"/>
      <c r="AJ524" s="703"/>
      <c r="AK524" s="703"/>
      <c r="AL524" s="703"/>
      <c r="AM524" s="703"/>
      <c r="AN524" s="703"/>
      <c r="AO524" s="703"/>
      <c r="AP524" s="703"/>
      <c r="AQ524" s="703"/>
      <c r="AR524" s="703"/>
      <c r="AS524" s="703"/>
      <c r="AT524" s="703"/>
      <c r="AU524" s="703"/>
      <c r="AV524" s="703"/>
      <c r="AW524" s="703"/>
      <c r="AX524" s="703"/>
      <c r="AY524" s="703"/>
      <c r="AZ524" s="703"/>
      <c r="BA524" s="703">
        <f t="shared" si="161"/>
        <v>1</v>
      </c>
      <c r="BB524" s="703"/>
      <c r="BC524" s="703"/>
      <c r="BD524" s="703"/>
      <c r="BE524" s="703">
        <v>1</v>
      </c>
      <c r="BF524" s="703"/>
      <c r="BG524" s="703"/>
      <c r="BH524" s="703"/>
      <c r="BI524" s="694">
        <f t="shared" si="163"/>
        <v>5</v>
      </c>
      <c r="BJ524" s="703"/>
      <c r="BK524" s="703"/>
      <c r="BL524" s="703"/>
      <c r="BM524" s="703"/>
      <c r="BN524" s="703"/>
      <c r="BO524" s="703"/>
      <c r="BP524" s="703"/>
      <c r="BQ524" s="703">
        <f t="shared" si="164"/>
        <v>0</v>
      </c>
      <c r="BR524" s="703"/>
      <c r="BS524" s="703">
        <f t="shared" si="165"/>
        <v>1</v>
      </c>
      <c r="BT524" s="703"/>
      <c r="BU524" s="703"/>
      <c r="BV524" s="703"/>
      <c r="BW524" s="703"/>
      <c r="BX524" s="703">
        <f t="shared" si="166"/>
        <v>0</v>
      </c>
      <c r="BY524" s="703"/>
      <c r="BZ524" s="703"/>
      <c r="CA524" s="703"/>
      <c r="CB524" s="703">
        <v>1</v>
      </c>
      <c r="CC524" s="703"/>
      <c r="CD524" s="703">
        <f t="shared" si="162"/>
        <v>4</v>
      </c>
      <c r="CE524" s="703"/>
      <c r="CF524" s="703"/>
      <c r="CG524" s="703"/>
      <c r="CH524" s="703"/>
      <c r="CI524" s="703"/>
      <c r="CJ524" s="703"/>
      <c r="CK524" s="703"/>
      <c r="CL524" s="703"/>
      <c r="CM524" s="703"/>
      <c r="CN524" s="703"/>
      <c r="CO524" s="703"/>
      <c r="CP524" s="703"/>
      <c r="CQ524" s="703"/>
      <c r="CR524" s="703"/>
      <c r="CS524" s="703"/>
      <c r="CT524" s="703"/>
      <c r="CU524" s="703"/>
      <c r="CV524" s="703"/>
      <c r="CW524" s="703"/>
      <c r="CX524" s="703"/>
      <c r="CY524" s="703"/>
      <c r="CZ524" s="703"/>
      <c r="DA524" s="703"/>
      <c r="DB524" s="703"/>
      <c r="DC524" s="703"/>
      <c r="DD524" s="703"/>
      <c r="DE524" s="703"/>
      <c r="DF524" s="703"/>
      <c r="DG524" s="705"/>
      <c r="DH524" s="705"/>
      <c r="DI524" s="705"/>
      <c r="DJ524" s="705"/>
      <c r="DK524" s="705"/>
      <c r="DL524" s="705"/>
      <c r="DM524" s="705"/>
      <c r="DN524" s="705"/>
      <c r="DO524" s="705"/>
      <c r="DP524" s="705"/>
      <c r="DQ524" s="705"/>
      <c r="DR524" s="705"/>
      <c r="DS524" s="703"/>
      <c r="DT524" s="703"/>
      <c r="DU524" s="703"/>
      <c r="DV524" s="703"/>
      <c r="DW524" s="703"/>
      <c r="DX524" s="703"/>
      <c r="DY524" s="703"/>
      <c r="DZ524" s="703"/>
      <c r="EA524" s="703"/>
      <c r="EB524" s="703"/>
      <c r="EC524" s="703"/>
      <c r="ED524" s="703"/>
      <c r="EE524" s="703"/>
      <c r="EF524" s="703"/>
      <c r="EG524" s="703"/>
      <c r="EH524" s="703"/>
      <c r="EI524" s="703"/>
      <c r="EJ524" s="703"/>
      <c r="EK524" s="703"/>
      <c r="EL524" s="703"/>
      <c r="EM524" s="703"/>
      <c r="EN524" s="703"/>
      <c r="EO524" s="703"/>
      <c r="EP524" s="703"/>
      <c r="EQ524" s="703"/>
      <c r="ER524" s="703"/>
      <c r="ES524" s="703"/>
      <c r="ET524" s="703"/>
      <c r="EU524" s="703"/>
      <c r="EV524" s="703"/>
      <c r="EW524" s="703"/>
      <c r="EX524" s="703"/>
      <c r="EY524" s="703"/>
      <c r="EZ524" s="703"/>
      <c r="FA524" s="703"/>
      <c r="FB524" s="703"/>
      <c r="FC524" s="703"/>
      <c r="FD524" s="703"/>
      <c r="FE524" s="703"/>
      <c r="FF524" s="703"/>
      <c r="FG524" s="703"/>
      <c r="FH524" s="703"/>
      <c r="FI524" s="703"/>
      <c r="FJ524" s="703"/>
      <c r="FK524" s="703"/>
      <c r="FL524" s="703"/>
      <c r="FM524" s="703"/>
      <c r="FN524" s="703"/>
      <c r="FO524" s="703"/>
      <c r="FP524" s="703"/>
      <c r="FQ524" s="704"/>
    </row>
    <row r="525" spans="1:173" s="706" customFormat="1">
      <c r="A525" s="700"/>
      <c r="B525" s="700"/>
      <c r="C525" s="701"/>
      <c r="D525" s="701" t="s">
        <v>3747</v>
      </c>
      <c r="E525" s="703">
        <v>34.4</v>
      </c>
      <c r="F525" s="703"/>
      <c r="G525" s="703"/>
      <c r="H525" s="703"/>
      <c r="I525" s="703"/>
      <c r="J525" s="703"/>
      <c r="K525" s="703"/>
      <c r="L525" s="703"/>
      <c r="M525" s="703"/>
      <c r="N525" s="703"/>
      <c r="O525" s="703">
        <f t="shared" si="160"/>
        <v>34.4</v>
      </c>
      <c r="P525" s="703"/>
      <c r="Q525" s="703"/>
      <c r="R525" s="704"/>
      <c r="S525" s="704"/>
      <c r="T525" s="703"/>
      <c r="U525" s="703" t="s">
        <v>1631</v>
      </c>
      <c r="V525" s="703"/>
      <c r="W525" s="703"/>
      <c r="X525" s="703"/>
      <c r="Y525" s="703"/>
      <c r="Z525" s="703"/>
      <c r="AA525" s="703"/>
      <c r="AB525" s="703"/>
      <c r="AC525" s="703"/>
      <c r="AD525" s="703"/>
      <c r="AE525" s="766"/>
      <c r="AF525" s="960"/>
      <c r="AG525" s="703"/>
      <c r="AH525" s="703"/>
      <c r="AI525" s="703"/>
      <c r="AJ525" s="703"/>
      <c r="AK525" s="703"/>
      <c r="AL525" s="703"/>
      <c r="AM525" s="703"/>
      <c r="AN525" s="703"/>
      <c r="AO525" s="703"/>
      <c r="AP525" s="703"/>
      <c r="AQ525" s="703"/>
      <c r="AR525" s="703"/>
      <c r="AS525" s="703"/>
      <c r="AT525" s="703"/>
      <c r="AU525" s="703"/>
      <c r="AV525" s="703"/>
      <c r="AW525" s="703"/>
      <c r="AX525" s="703"/>
      <c r="AY525" s="703"/>
      <c r="AZ525" s="703"/>
      <c r="BA525" s="703">
        <f t="shared" si="161"/>
        <v>1</v>
      </c>
      <c r="BB525" s="703"/>
      <c r="BC525" s="703"/>
      <c r="BD525" s="703"/>
      <c r="BE525" s="703">
        <v>2</v>
      </c>
      <c r="BF525" s="703"/>
      <c r="BG525" s="703"/>
      <c r="BH525" s="703"/>
      <c r="BI525" s="694">
        <f t="shared" si="163"/>
        <v>5</v>
      </c>
      <c r="BJ525" s="703"/>
      <c r="BK525" s="703"/>
      <c r="BL525" s="703"/>
      <c r="BM525" s="703"/>
      <c r="BN525" s="703"/>
      <c r="BO525" s="703"/>
      <c r="BP525" s="703"/>
      <c r="BQ525" s="703">
        <f t="shared" si="164"/>
        <v>0</v>
      </c>
      <c r="BR525" s="703"/>
      <c r="BS525" s="703">
        <f t="shared" si="165"/>
        <v>1</v>
      </c>
      <c r="BT525" s="703"/>
      <c r="BU525" s="703"/>
      <c r="BV525" s="703"/>
      <c r="BW525" s="703"/>
      <c r="BX525" s="703">
        <f t="shared" si="166"/>
        <v>0</v>
      </c>
      <c r="BY525" s="703"/>
      <c r="BZ525" s="703"/>
      <c r="CA525" s="703"/>
      <c r="CB525" s="703">
        <v>1</v>
      </c>
      <c r="CC525" s="703"/>
      <c r="CD525" s="703">
        <f t="shared" si="162"/>
        <v>4</v>
      </c>
      <c r="CE525" s="703"/>
      <c r="CF525" s="703"/>
      <c r="CG525" s="703"/>
      <c r="CH525" s="703"/>
      <c r="CI525" s="703"/>
      <c r="CJ525" s="703"/>
      <c r="CK525" s="703"/>
      <c r="CL525" s="703"/>
      <c r="CM525" s="703"/>
      <c r="CN525" s="703"/>
      <c r="CO525" s="703"/>
      <c r="CP525" s="703"/>
      <c r="CQ525" s="703"/>
      <c r="CR525" s="703"/>
      <c r="CS525" s="703"/>
      <c r="CT525" s="703"/>
      <c r="CU525" s="703"/>
      <c r="CV525" s="703"/>
      <c r="CW525" s="703"/>
      <c r="CX525" s="703"/>
      <c r="CY525" s="703"/>
      <c r="CZ525" s="703"/>
      <c r="DA525" s="703"/>
      <c r="DB525" s="703"/>
      <c r="DC525" s="703"/>
      <c r="DD525" s="703"/>
      <c r="DE525" s="703"/>
      <c r="DF525" s="703"/>
      <c r="DG525" s="705"/>
      <c r="DH525" s="705"/>
      <c r="DI525" s="705"/>
      <c r="DJ525" s="705"/>
      <c r="DK525" s="705"/>
      <c r="DL525" s="705"/>
      <c r="DM525" s="705"/>
      <c r="DN525" s="705"/>
      <c r="DO525" s="705"/>
      <c r="DP525" s="705"/>
      <c r="DQ525" s="705"/>
      <c r="DR525" s="705"/>
      <c r="DS525" s="703"/>
      <c r="DT525" s="703"/>
      <c r="DU525" s="703"/>
      <c r="DV525" s="703"/>
      <c r="DW525" s="703"/>
      <c r="DX525" s="703"/>
      <c r="DY525" s="703"/>
      <c r="DZ525" s="703"/>
      <c r="EA525" s="703"/>
      <c r="EB525" s="703"/>
      <c r="EC525" s="703"/>
      <c r="ED525" s="703"/>
      <c r="EE525" s="703"/>
      <c r="EF525" s="703"/>
      <c r="EG525" s="703"/>
      <c r="EH525" s="703"/>
      <c r="EI525" s="703"/>
      <c r="EJ525" s="703"/>
      <c r="EK525" s="703"/>
      <c r="EL525" s="703"/>
      <c r="EM525" s="703"/>
      <c r="EN525" s="703"/>
      <c r="EO525" s="703"/>
      <c r="EP525" s="703"/>
      <c r="EQ525" s="703"/>
      <c r="ER525" s="703"/>
      <c r="ES525" s="703"/>
      <c r="ET525" s="703"/>
      <c r="EU525" s="703"/>
      <c r="EV525" s="703"/>
      <c r="EW525" s="703"/>
      <c r="EX525" s="703"/>
      <c r="EY525" s="703"/>
      <c r="EZ525" s="703"/>
      <c r="FA525" s="703"/>
      <c r="FB525" s="703"/>
      <c r="FC525" s="703"/>
      <c r="FD525" s="703"/>
      <c r="FE525" s="703"/>
      <c r="FF525" s="703"/>
      <c r="FG525" s="703"/>
      <c r="FH525" s="703"/>
      <c r="FI525" s="703"/>
      <c r="FJ525" s="703"/>
      <c r="FK525" s="703"/>
      <c r="FL525" s="703"/>
      <c r="FM525" s="703"/>
      <c r="FN525" s="703"/>
      <c r="FO525" s="703"/>
      <c r="FP525" s="703"/>
      <c r="FQ525" s="704"/>
    </row>
    <row r="526" spans="1:173" s="706" customFormat="1">
      <c r="A526" s="700"/>
      <c r="B526" s="700"/>
      <c r="C526" s="701"/>
      <c r="D526" s="701" t="s">
        <v>3748</v>
      </c>
      <c r="E526" s="703">
        <v>40.799999999999997</v>
      </c>
      <c r="F526" s="703"/>
      <c r="G526" s="703"/>
      <c r="H526" s="703"/>
      <c r="I526" s="703"/>
      <c r="J526" s="703"/>
      <c r="K526" s="703"/>
      <c r="L526" s="703"/>
      <c r="M526" s="703"/>
      <c r="N526" s="703"/>
      <c r="O526" s="703">
        <f t="shared" si="160"/>
        <v>40.799999999999997</v>
      </c>
      <c r="P526" s="703"/>
      <c r="Q526" s="703"/>
      <c r="R526" s="704"/>
      <c r="S526" s="704"/>
      <c r="T526" s="703"/>
      <c r="U526" s="703" t="s">
        <v>2989</v>
      </c>
      <c r="V526" s="703"/>
      <c r="W526" s="703"/>
      <c r="X526" s="703"/>
      <c r="Y526" s="703"/>
      <c r="Z526" s="703"/>
      <c r="AA526" s="703"/>
      <c r="AB526" s="703"/>
      <c r="AC526" s="703"/>
      <c r="AD526" s="703"/>
      <c r="AE526" s="766"/>
      <c r="AF526" s="960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/>
      <c r="AV526" s="703"/>
      <c r="AW526" s="703"/>
      <c r="AX526" s="703"/>
      <c r="AY526" s="703"/>
      <c r="AZ526" s="703"/>
      <c r="BA526" s="703">
        <f t="shared" si="161"/>
        <v>1</v>
      </c>
      <c r="BB526" s="703"/>
      <c r="BC526" s="703"/>
      <c r="BD526" s="703"/>
      <c r="BE526" s="703">
        <v>1</v>
      </c>
      <c r="BF526" s="703"/>
      <c r="BG526" s="703"/>
      <c r="BH526" s="703"/>
      <c r="BI526" s="694">
        <f t="shared" si="163"/>
        <v>5</v>
      </c>
      <c r="BJ526" s="703"/>
      <c r="BK526" s="703"/>
      <c r="BL526" s="703"/>
      <c r="BM526" s="703"/>
      <c r="BN526" s="703"/>
      <c r="BO526" s="703"/>
      <c r="BP526" s="703"/>
      <c r="BQ526" s="703">
        <f t="shared" si="164"/>
        <v>0</v>
      </c>
      <c r="BR526" s="703"/>
      <c r="BS526" s="703">
        <f t="shared" si="165"/>
        <v>0</v>
      </c>
      <c r="BT526" s="703"/>
      <c r="BU526" s="703"/>
      <c r="BV526" s="703"/>
      <c r="BW526" s="703"/>
      <c r="BX526" s="703">
        <f t="shared" si="166"/>
        <v>2</v>
      </c>
      <c r="BY526" s="703"/>
      <c r="BZ526" s="703"/>
      <c r="CA526" s="703"/>
      <c r="CB526" s="703">
        <v>1</v>
      </c>
      <c r="CC526" s="703"/>
      <c r="CD526" s="703">
        <f t="shared" si="162"/>
        <v>4</v>
      </c>
      <c r="CE526" s="703">
        <v>3</v>
      </c>
      <c r="CF526" s="703">
        <v>3</v>
      </c>
      <c r="CG526" s="703">
        <v>6</v>
      </c>
      <c r="CH526" s="703">
        <v>6</v>
      </c>
      <c r="CI526" s="703">
        <v>8</v>
      </c>
      <c r="CJ526" s="703"/>
      <c r="CK526" s="703"/>
      <c r="CL526" s="703"/>
      <c r="CM526" s="703"/>
      <c r="CN526" s="703"/>
      <c r="CO526" s="703">
        <v>8</v>
      </c>
      <c r="CP526" s="703"/>
      <c r="CQ526" s="703"/>
      <c r="CR526" s="703"/>
      <c r="CS526" s="703"/>
      <c r="CT526" s="703"/>
      <c r="CU526" s="703">
        <v>1</v>
      </c>
      <c r="CV526" s="703">
        <v>1</v>
      </c>
      <c r="CW526" s="703"/>
      <c r="CX526" s="703"/>
      <c r="CY526" s="703"/>
      <c r="CZ526" s="703"/>
      <c r="DA526" s="703"/>
      <c r="DB526" s="703"/>
      <c r="DC526" s="703"/>
      <c r="DD526" s="703"/>
      <c r="DE526" s="703"/>
      <c r="DF526" s="703"/>
      <c r="DG526" s="705"/>
      <c r="DH526" s="705"/>
      <c r="DI526" s="705"/>
      <c r="DJ526" s="705"/>
      <c r="DK526" s="705"/>
      <c r="DL526" s="705"/>
      <c r="DM526" s="705"/>
      <c r="DN526" s="705"/>
      <c r="DO526" s="705"/>
      <c r="DP526" s="705"/>
      <c r="DQ526" s="705"/>
      <c r="DR526" s="705"/>
      <c r="DS526" s="703"/>
      <c r="DT526" s="703"/>
      <c r="DU526" s="703"/>
      <c r="DV526" s="703"/>
      <c r="DW526" s="703"/>
      <c r="DX526" s="703"/>
      <c r="DY526" s="703"/>
      <c r="DZ526" s="703"/>
      <c r="EA526" s="703"/>
      <c r="EB526" s="703"/>
      <c r="EC526" s="703"/>
      <c r="ED526" s="703"/>
      <c r="EE526" s="703"/>
      <c r="EF526" s="703"/>
      <c r="EG526" s="703"/>
      <c r="EH526" s="703"/>
      <c r="EI526" s="703"/>
      <c r="EJ526" s="703"/>
      <c r="EK526" s="703"/>
      <c r="EL526" s="703"/>
      <c r="EM526" s="703"/>
      <c r="EN526" s="703"/>
      <c r="EO526" s="703"/>
      <c r="EP526" s="703"/>
      <c r="EQ526" s="703"/>
      <c r="ER526" s="703"/>
      <c r="ES526" s="703"/>
      <c r="ET526" s="703"/>
      <c r="EU526" s="703"/>
      <c r="EV526" s="703"/>
      <c r="EW526" s="703"/>
      <c r="EX526" s="703"/>
      <c r="EY526" s="703"/>
      <c r="EZ526" s="703"/>
      <c r="FA526" s="703"/>
      <c r="FB526" s="703"/>
      <c r="FC526" s="703"/>
      <c r="FD526" s="703"/>
      <c r="FE526" s="703"/>
      <c r="FF526" s="703"/>
      <c r="FG526" s="703"/>
      <c r="FH526" s="703"/>
      <c r="FI526" s="703"/>
      <c r="FJ526" s="703"/>
      <c r="FK526" s="703"/>
      <c r="FL526" s="703"/>
      <c r="FM526" s="703"/>
      <c r="FN526" s="703"/>
      <c r="FO526" s="703"/>
      <c r="FP526" s="703"/>
      <c r="FQ526" s="704"/>
    </row>
    <row r="527" spans="1:173" s="706" customFormat="1">
      <c r="A527" s="700"/>
      <c r="B527" s="700"/>
      <c r="C527" s="701"/>
      <c r="D527" s="701" t="s">
        <v>3749</v>
      </c>
      <c r="E527" s="703">
        <v>33.9</v>
      </c>
      <c r="F527" s="703"/>
      <c r="G527" s="703"/>
      <c r="H527" s="703"/>
      <c r="I527" s="703"/>
      <c r="J527" s="703"/>
      <c r="K527" s="703"/>
      <c r="L527" s="703"/>
      <c r="M527" s="703"/>
      <c r="N527" s="703"/>
      <c r="O527" s="703">
        <f t="shared" si="160"/>
        <v>33.9</v>
      </c>
      <c r="P527" s="703"/>
      <c r="Q527" s="703"/>
      <c r="R527" s="704"/>
      <c r="S527" s="704"/>
      <c r="T527" s="703"/>
      <c r="U527" s="703" t="s">
        <v>1631</v>
      </c>
      <c r="V527" s="703"/>
      <c r="W527" s="703"/>
      <c r="X527" s="703"/>
      <c r="Y527" s="703"/>
      <c r="Z527" s="703"/>
      <c r="AA527" s="703"/>
      <c r="AB527" s="703"/>
      <c r="AC527" s="703"/>
      <c r="AD527" s="703"/>
      <c r="AE527" s="766"/>
      <c r="AF527" s="960"/>
      <c r="AG527" s="703"/>
      <c r="AH527" s="703"/>
      <c r="AI527" s="703"/>
      <c r="AJ527" s="703"/>
      <c r="AK527" s="703"/>
      <c r="AL527" s="703"/>
      <c r="AM527" s="703"/>
      <c r="AN527" s="703"/>
      <c r="AO527" s="703"/>
      <c r="AP527" s="703"/>
      <c r="AQ527" s="703"/>
      <c r="AR527" s="703"/>
      <c r="AS527" s="703"/>
      <c r="AT527" s="703"/>
      <c r="AU527" s="703"/>
      <c r="AV527" s="703"/>
      <c r="AW527" s="703"/>
      <c r="AX527" s="703"/>
      <c r="AY527" s="703"/>
      <c r="AZ527" s="703"/>
      <c r="BA527" s="703">
        <f t="shared" si="161"/>
        <v>1</v>
      </c>
      <c r="BB527" s="703"/>
      <c r="BC527" s="703"/>
      <c r="BD527" s="703"/>
      <c r="BE527" s="703">
        <v>1</v>
      </c>
      <c r="BF527" s="703"/>
      <c r="BG527" s="703"/>
      <c r="BH527" s="703"/>
      <c r="BI527" s="694">
        <f t="shared" si="163"/>
        <v>5</v>
      </c>
      <c r="BJ527" s="703"/>
      <c r="BK527" s="703"/>
      <c r="BL527" s="703"/>
      <c r="BM527" s="703"/>
      <c r="BN527" s="703"/>
      <c r="BO527" s="703"/>
      <c r="BP527" s="703"/>
      <c r="BQ527" s="703">
        <f t="shared" si="164"/>
        <v>0</v>
      </c>
      <c r="BR527" s="703"/>
      <c r="BS527" s="703">
        <f t="shared" si="165"/>
        <v>1</v>
      </c>
      <c r="BT527" s="703"/>
      <c r="BU527" s="703"/>
      <c r="BV527" s="703"/>
      <c r="BW527" s="703"/>
      <c r="BX527" s="703">
        <f t="shared" si="166"/>
        <v>0</v>
      </c>
      <c r="BY527" s="703"/>
      <c r="BZ527" s="703"/>
      <c r="CA527" s="703"/>
      <c r="CB527" s="703">
        <v>1</v>
      </c>
      <c r="CC527" s="703"/>
      <c r="CD527" s="703">
        <f t="shared" si="162"/>
        <v>4</v>
      </c>
      <c r="CE527" s="703"/>
      <c r="CF527" s="703"/>
      <c r="CG527" s="703"/>
      <c r="CH527" s="703"/>
      <c r="CI527" s="703"/>
      <c r="CJ527" s="703"/>
      <c r="CK527" s="703"/>
      <c r="CL527" s="703"/>
      <c r="CM527" s="703"/>
      <c r="CN527" s="703"/>
      <c r="CO527" s="703"/>
      <c r="CP527" s="703"/>
      <c r="CQ527" s="703"/>
      <c r="CR527" s="703"/>
      <c r="CS527" s="703"/>
      <c r="CT527" s="703"/>
      <c r="CU527" s="703"/>
      <c r="CV527" s="703"/>
      <c r="CW527" s="703"/>
      <c r="CX527" s="703"/>
      <c r="CY527" s="703"/>
      <c r="CZ527" s="703"/>
      <c r="DA527" s="703"/>
      <c r="DB527" s="703"/>
      <c r="DC527" s="703"/>
      <c r="DD527" s="703"/>
      <c r="DE527" s="703"/>
      <c r="DF527" s="703"/>
      <c r="DG527" s="705"/>
      <c r="DH527" s="705"/>
      <c r="DI527" s="705"/>
      <c r="DJ527" s="705"/>
      <c r="DK527" s="705"/>
      <c r="DL527" s="705"/>
      <c r="DM527" s="705"/>
      <c r="DN527" s="705"/>
      <c r="DO527" s="705"/>
      <c r="DP527" s="705"/>
      <c r="DQ527" s="705"/>
      <c r="DR527" s="705"/>
      <c r="DS527" s="703"/>
      <c r="DT527" s="703"/>
      <c r="DU527" s="703"/>
      <c r="DV527" s="703"/>
      <c r="DW527" s="703"/>
      <c r="DX527" s="703"/>
      <c r="DY527" s="703"/>
      <c r="DZ527" s="703"/>
      <c r="EA527" s="703"/>
      <c r="EB527" s="703"/>
      <c r="EC527" s="703"/>
      <c r="ED527" s="703"/>
      <c r="EE527" s="703"/>
      <c r="EF527" s="703"/>
      <c r="EG527" s="703"/>
      <c r="EH527" s="703"/>
      <c r="EI527" s="703"/>
      <c r="EJ527" s="703"/>
      <c r="EK527" s="703"/>
      <c r="EL527" s="703"/>
      <c r="EM527" s="703"/>
      <c r="EN527" s="703"/>
      <c r="EO527" s="703"/>
      <c r="EP527" s="703"/>
      <c r="EQ527" s="703"/>
      <c r="ER527" s="703"/>
      <c r="ES527" s="703"/>
      <c r="ET527" s="703"/>
      <c r="EU527" s="703"/>
      <c r="EV527" s="703"/>
      <c r="EW527" s="703"/>
      <c r="EX527" s="703"/>
      <c r="EY527" s="703"/>
      <c r="EZ527" s="703"/>
      <c r="FA527" s="703"/>
      <c r="FB527" s="703"/>
      <c r="FC527" s="703"/>
      <c r="FD527" s="703"/>
      <c r="FE527" s="703"/>
      <c r="FF527" s="703"/>
      <c r="FG527" s="703"/>
      <c r="FH527" s="703"/>
      <c r="FI527" s="703"/>
      <c r="FJ527" s="703"/>
      <c r="FK527" s="703"/>
      <c r="FL527" s="703"/>
      <c r="FM527" s="703"/>
      <c r="FN527" s="703"/>
      <c r="FO527" s="703"/>
      <c r="FP527" s="703"/>
      <c r="FQ527" s="704"/>
    </row>
    <row r="528" spans="1:173" s="706" customFormat="1">
      <c r="A528" s="700"/>
      <c r="B528" s="700"/>
      <c r="C528" s="701"/>
      <c r="D528" s="701" t="s">
        <v>3750</v>
      </c>
      <c r="E528" s="703">
        <v>43.9</v>
      </c>
      <c r="F528" s="703"/>
      <c r="G528" s="703"/>
      <c r="H528" s="703"/>
      <c r="I528" s="703"/>
      <c r="J528" s="703"/>
      <c r="K528" s="703"/>
      <c r="L528" s="703"/>
      <c r="M528" s="703"/>
      <c r="N528" s="703"/>
      <c r="O528" s="703">
        <f t="shared" si="160"/>
        <v>43.9</v>
      </c>
      <c r="P528" s="703"/>
      <c r="Q528" s="703"/>
      <c r="R528" s="704"/>
      <c r="S528" s="704"/>
      <c r="T528" s="703"/>
      <c r="U528" s="703" t="s">
        <v>1903</v>
      </c>
      <c r="V528" s="703"/>
      <c r="W528" s="703"/>
      <c r="X528" s="703"/>
      <c r="Y528" s="703"/>
      <c r="Z528" s="703"/>
      <c r="AA528" s="703"/>
      <c r="AB528" s="703"/>
      <c r="AC528" s="703"/>
      <c r="AD528" s="703"/>
      <c r="AE528" s="766"/>
      <c r="AF528" s="960"/>
      <c r="AG528" s="703"/>
      <c r="AH528" s="703"/>
      <c r="AI528" s="703"/>
      <c r="AJ528" s="703"/>
      <c r="AK528" s="703"/>
      <c r="AL528" s="703"/>
      <c r="AM528" s="703"/>
      <c r="AN528" s="703"/>
      <c r="AO528" s="703"/>
      <c r="AP528" s="703"/>
      <c r="AQ528" s="703"/>
      <c r="AR528" s="703"/>
      <c r="AS528" s="703"/>
      <c r="AT528" s="703"/>
      <c r="AU528" s="703"/>
      <c r="AV528" s="703"/>
      <c r="AW528" s="703"/>
      <c r="AX528" s="703"/>
      <c r="AY528" s="703"/>
      <c r="AZ528" s="703"/>
      <c r="BA528" s="703">
        <f t="shared" si="161"/>
        <v>1</v>
      </c>
      <c r="BB528" s="703"/>
      <c r="BC528" s="703"/>
      <c r="BD528" s="703"/>
      <c r="BE528" s="703">
        <v>1</v>
      </c>
      <c r="BF528" s="703"/>
      <c r="BG528" s="703"/>
      <c r="BH528" s="703"/>
      <c r="BI528" s="694">
        <f t="shared" si="163"/>
        <v>5</v>
      </c>
      <c r="BJ528" s="703"/>
      <c r="BK528" s="703"/>
      <c r="BL528" s="703"/>
      <c r="BM528" s="703"/>
      <c r="BN528" s="703"/>
      <c r="BO528" s="703"/>
      <c r="BP528" s="703"/>
      <c r="BQ528" s="703">
        <f t="shared" si="164"/>
        <v>1</v>
      </c>
      <c r="BR528" s="703"/>
      <c r="BS528" s="703">
        <f t="shared" si="165"/>
        <v>2</v>
      </c>
      <c r="BT528" s="703"/>
      <c r="BU528" s="703"/>
      <c r="BV528" s="703"/>
      <c r="BW528" s="703"/>
      <c r="BX528" s="703">
        <f t="shared" si="166"/>
        <v>0</v>
      </c>
      <c r="BY528" s="703"/>
      <c r="BZ528" s="703"/>
      <c r="CA528" s="703"/>
      <c r="CB528" s="703">
        <v>1</v>
      </c>
      <c r="CC528" s="703"/>
      <c r="CD528" s="703">
        <f t="shared" si="162"/>
        <v>4</v>
      </c>
      <c r="CE528" s="703"/>
      <c r="CF528" s="703"/>
      <c r="CG528" s="703"/>
      <c r="CH528" s="703"/>
      <c r="CI528" s="703"/>
      <c r="CJ528" s="703"/>
      <c r="CK528" s="703"/>
      <c r="CL528" s="703"/>
      <c r="CM528" s="703"/>
      <c r="CN528" s="703"/>
      <c r="CO528" s="703"/>
      <c r="CP528" s="703"/>
      <c r="CQ528" s="703"/>
      <c r="CR528" s="703"/>
      <c r="CS528" s="703"/>
      <c r="CT528" s="703"/>
      <c r="CU528" s="703"/>
      <c r="CV528" s="703"/>
      <c r="CW528" s="703"/>
      <c r="CX528" s="703"/>
      <c r="CY528" s="703"/>
      <c r="CZ528" s="703"/>
      <c r="DA528" s="703"/>
      <c r="DB528" s="703"/>
      <c r="DC528" s="703"/>
      <c r="DD528" s="703"/>
      <c r="DE528" s="703"/>
      <c r="DF528" s="703"/>
      <c r="DG528" s="705"/>
      <c r="DH528" s="705"/>
      <c r="DI528" s="705"/>
      <c r="DJ528" s="705"/>
      <c r="DK528" s="705"/>
      <c r="DL528" s="705"/>
      <c r="DM528" s="705"/>
      <c r="DN528" s="705"/>
      <c r="DO528" s="705"/>
      <c r="DP528" s="705"/>
      <c r="DQ528" s="705"/>
      <c r="DR528" s="705"/>
      <c r="DS528" s="703"/>
      <c r="DT528" s="703"/>
      <c r="DU528" s="703"/>
      <c r="DV528" s="703"/>
      <c r="DW528" s="703"/>
      <c r="DX528" s="703"/>
      <c r="DY528" s="703"/>
      <c r="DZ528" s="703"/>
      <c r="EA528" s="703"/>
      <c r="EB528" s="703"/>
      <c r="EC528" s="703"/>
      <c r="ED528" s="703"/>
      <c r="EE528" s="703"/>
      <c r="EF528" s="703"/>
      <c r="EG528" s="703"/>
      <c r="EH528" s="703"/>
      <c r="EI528" s="703"/>
      <c r="EJ528" s="703"/>
      <c r="EK528" s="703"/>
      <c r="EL528" s="703"/>
      <c r="EM528" s="703"/>
      <c r="EN528" s="703"/>
      <c r="EO528" s="703"/>
      <c r="EP528" s="703"/>
      <c r="EQ528" s="703"/>
      <c r="ER528" s="703"/>
      <c r="ES528" s="703"/>
      <c r="ET528" s="703"/>
      <c r="EU528" s="703"/>
      <c r="EV528" s="703"/>
      <c r="EW528" s="703"/>
      <c r="EX528" s="703"/>
      <c r="EY528" s="703"/>
      <c r="EZ528" s="703"/>
      <c r="FA528" s="703"/>
      <c r="FB528" s="703"/>
      <c r="FC528" s="703"/>
      <c r="FD528" s="703"/>
      <c r="FE528" s="703"/>
      <c r="FF528" s="703"/>
      <c r="FG528" s="703"/>
      <c r="FH528" s="703"/>
      <c r="FI528" s="703"/>
      <c r="FJ528" s="703"/>
      <c r="FK528" s="703"/>
      <c r="FL528" s="703"/>
      <c r="FM528" s="703"/>
      <c r="FN528" s="703"/>
      <c r="FO528" s="703"/>
      <c r="FP528" s="703"/>
      <c r="FQ528" s="704"/>
    </row>
    <row r="529" spans="1:173" s="706" customFormat="1">
      <c r="A529" s="700"/>
      <c r="B529" s="700"/>
      <c r="C529" s="701"/>
      <c r="D529" s="701" t="s">
        <v>3751</v>
      </c>
      <c r="E529" s="721">
        <v>36.799999999999997</v>
      </c>
      <c r="F529" s="703"/>
      <c r="G529" s="703"/>
      <c r="H529" s="703"/>
      <c r="I529" s="703"/>
      <c r="J529" s="703"/>
      <c r="K529" s="703"/>
      <c r="L529" s="703"/>
      <c r="M529" s="703"/>
      <c r="N529" s="703"/>
      <c r="O529" s="703">
        <f t="shared" si="160"/>
        <v>36.799999999999997</v>
      </c>
      <c r="P529" s="703"/>
      <c r="Q529" s="703"/>
      <c r="R529" s="704"/>
      <c r="S529" s="704"/>
      <c r="T529" s="703"/>
      <c r="U529" s="703" t="s">
        <v>1631</v>
      </c>
      <c r="V529" s="703"/>
      <c r="W529" s="703"/>
      <c r="X529" s="703"/>
      <c r="Y529" s="703"/>
      <c r="Z529" s="703"/>
      <c r="AA529" s="703"/>
      <c r="AB529" s="703"/>
      <c r="AC529" s="703"/>
      <c r="AD529" s="703"/>
      <c r="AE529" s="766"/>
      <c r="AF529" s="960"/>
      <c r="AG529" s="703"/>
      <c r="AH529" s="703"/>
      <c r="AI529" s="703"/>
      <c r="AJ529" s="703"/>
      <c r="AK529" s="703"/>
      <c r="AL529" s="703"/>
      <c r="AM529" s="703"/>
      <c r="AN529" s="703"/>
      <c r="AO529" s="703"/>
      <c r="AP529" s="703"/>
      <c r="AQ529" s="703"/>
      <c r="AR529" s="703"/>
      <c r="AS529" s="703"/>
      <c r="AT529" s="703"/>
      <c r="AU529" s="703"/>
      <c r="AV529" s="703"/>
      <c r="AW529" s="703"/>
      <c r="AX529" s="703"/>
      <c r="AY529" s="703"/>
      <c r="AZ529" s="703"/>
      <c r="BA529" s="703">
        <f t="shared" si="161"/>
        <v>1</v>
      </c>
      <c r="BB529" s="703"/>
      <c r="BC529" s="703"/>
      <c r="BD529" s="703"/>
      <c r="BE529" s="703">
        <v>1</v>
      </c>
      <c r="BF529" s="703"/>
      <c r="BG529" s="703"/>
      <c r="BH529" s="703"/>
      <c r="BI529" s="694">
        <f t="shared" si="163"/>
        <v>5</v>
      </c>
      <c r="BJ529" s="703"/>
      <c r="BK529" s="703"/>
      <c r="BL529" s="703"/>
      <c r="BM529" s="703"/>
      <c r="BN529" s="703"/>
      <c r="BO529" s="703"/>
      <c r="BP529" s="703"/>
      <c r="BQ529" s="703">
        <f t="shared" si="164"/>
        <v>0</v>
      </c>
      <c r="BR529" s="703"/>
      <c r="BS529" s="703">
        <f t="shared" si="165"/>
        <v>1</v>
      </c>
      <c r="BT529" s="703"/>
      <c r="BU529" s="703"/>
      <c r="BV529" s="703"/>
      <c r="BW529" s="703"/>
      <c r="BX529" s="703">
        <f t="shared" si="166"/>
        <v>0</v>
      </c>
      <c r="BY529" s="703"/>
      <c r="BZ529" s="703"/>
      <c r="CA529" s="703"/>
      <c r="CB529" s="703">
        <v>1</v>
      </c>
      <c r="CC529" s="703"/>
      <c r="CD529" s="703">
        <f t="shared" si="162"/>
        <v>4</v>
      </c>
      <c r="CE529" s="703"/>
      <c r="CF529" s="703"/>
      <c r="CG529" s="703"/>
      <c r="CH529" s="703"/>
      <c r="CI529" s="703"/>
      <c r="CJ529" s="703"/>
      <c r="CK529" s="703"/>
      <c r="CL529" s="703"/>
      <c r="CM529" s="703"/>
      <c r="CN529" s="703"/>
      <c r="CO529" s="703"/>
      <c r="CP529" s="703"/>
      <c r="CQ529" s="703"/>
      <c r="CR529" s="703"/>
      <c r="CS529" s="703"/>
      <c r="CT529" s="703"/>
      <c r="CU529" s="703"/>
      <c r="CV529" s="703"/>
      <c r="CW529" s="703"/>
      <c r="CX529" s="703"/>
      <c r="CY529" s="703"/>
      <c r="CZ529" s="703"/>
      <c r="DA529" s="703"/>
      <c r="DB529" s="703"/>
      <c r="DC529" s="703"/>
      <c r="DD529" s="703"/>
      <c r="DE529" s="703"/>
      <c r="DF529" s="703"/>
      <c r="DG529" s="705"/>
      <c r="DH529" s="705"/>
      <c r="DI529" s="705"/>
      <c r="DJ529" s="705"/>
      <c r="DK529" s="705"/>
      <c r="DL529" s="705"/>
      <c r="DM529" s="705"/>
      <c r="DN529" s="705"/>
      <c r="DO529" s="705"/>
      <c r="DP529" s="705"/>
      <c r="DQ529" s="705"/>
      <c r="DR529" s="705"/>
      <c r="DS529" s="703"/>
      <c r="DT529" s="703"/>
      <c r="DU529" s="703"/>
      <c r="DV529" s="703"/>
      <c r="DW529" s="703"/>
      <c r="DX529" s="703"/>
      <c r="DY529" s="703"/>
      <c r="DZ529" s="703"/>
      <c r="EA529" s="703"/>
      <c r="EB529" s="703"/>
      <c r="EC529" s="703"/>
      <c r="ED529" s="703"/>
      <c r="EE529" s="703"/>
      <c r="EF529" s="703"/>
      <c r="EG529" s="703"/>
      <c r="EH529" s="703"/>
      <c r="EI529" s="703"/>
      <c r="EJ529" s="703"/>
      <c r="EK529" s="703"/>
      <c r="EL529" s="703"/>
      <c r="EM529" s="703"/>
      <c r="EN529" s="703"/>
      <c r="EO529" s="703"/>
      <c r="EP529" s="703"/>
      <c r="EQ529" s="703"/>
      <c r="ER529" s="703"/>
      <c r="ES529" s="703"/>
      <c r="ET529" s="703"/>
      <c r="EU529" s="703"/>
      <c r="EV529" s="703"/>
      <c r="EW529" s="703"/>
      <c r="EX529" s="703"/>
      <c r="EY529" s="703"/>
      <c r="EZ529" s="703"/>
      <c r="FA529" s="703"/>
      <c r="FB529" s="703"/>
      <c r="FC529" s="703"/>
      <c r="FD529" s="703"/>
      <c r="FE529" s="703"/>
      <c r="FF529" s="703"/>
      <c r="FG529" s="703"/>
      <c r="FH529" s="703"/>
      <c r="FI529" s="703"/>
      <c r="FJ529" s="703"/>
      <c r="FK529" s="703"/>
      <c r="FL529" s="703"/>
      <c r="FM529" s="703"/>
      <c r="FN529" s="703"/>
      <c r="FO529" s="703"/>
      <c r="FP529" s="703"/>
      <c r="FQ529" s="704"/>
    </row>
    <row r="530" spans="1:173" s="706" customFormat="1">
      <c r="A530" s="700"/>
      <c r="B530" s="700"/>
      <c r="C530" s="701"/>
      <c r="D530" s="701" t="s">
        <v>3754</v>
      </c>
      <c r="E530" s="721">
        <v>31.9</v>
      </c>
      <c r="F530" s="703"/>
      <c r="G530" s="703"/>
      <c r="H530" s="703"/>
      <c r="I530" s="703"/>
      <c r="J530" s="703"/>
      <c r="K530" s="703"/>
      <c r="L530" s="703"/>
      <c r="M530" s="703"/>
      <c r="N530" s="703"/>
      <c r="O530" s="703">
        <f t="shared" si="160"/>
        <v>31.9</v>
      </c>
      <c r="P530" s="703"/>
      <c r="Q530" s="703"/>
      <c r="R530" s="704"/>
      <c r="S530" s="704"/>
      <c r="T530" s="703"/>
      <c r="U530" s="703" t="s">
        <v>1631</v>
      </c>
      <c r="V530" s="703"/>
      <c r="W530" s="703"/>
      <c r="X530" s="703"/>
      <c r="Y530" s="703"/>
      <c r="Z530" s="703"/>
      <c r="AA530" s="703"/>
      <c r="AB530" s="703"/>
      <c r="AC530" s="703"/>
      <c r="AD530" s="703"/>
      <c r="AE530" s="766"/>
      <c r="AF530" s="960"/>
      <c r="AG530" s="703"/>
      <c r="AH530" s="703"/>
      <c r="AI530" s="703"/>
      <c r="AJ530" s="703"/>
      <c r="AK530" s="703"/>
      <c r="AL530" s="703"/>
      <c r="AM530" s="703"/>
      <c r="AN530" s="703"/>
      <c r="AO530" s="703"/>
      <c r="AP530" s="703"/>
      <c r="AQ530" s="703"/>
      <c r="AR530" s="703"/>
      <c r="AS530" s="703"/>
      <c r="AT530" s="703"/>
      <c r="AU530" s="703">
        <v>1</v>
      </c>
      <c r="AV530" s="703"/>
      <c r="AW530" s="703"/>
      <c r="AX530" s="703"/>
      <c r="AY530" s="703"/>
      <c r="AZ530" s="703"/>
      <c r="BA530" s="703">
        <f t="shared" si="161"/>
        <v>0</v>
      </c>
      <c r="BB530" s="703"/>
      <c r="BC530" s="703"/>
      <c r="BD530" s="703"/>
      <c r="BE530" s="703">
        <v>1</v>
      </c>
      <c r="BF530" s="703"/>
      <c r="BG530" s="703"/>
      <c r="BH530" s="703"/>
      <c r="BI530" s="694">
        <f t="shared" si="163"/>
        <v>2</v>
      </c>
      <c r="BJ530" s="703"/>
      <c r="BK530" s="703"/>
      <c r="BL530" s="703"/>
      <c r="BM530" s="703"/>
      <c r="BN530" s="703"/>
      <c r="BO530" s="703"/>
      <c r="BP530" s="703"/>
      <c r="BQ530" s="703">
        <f t="shared" si="164"/>
        <v>0</v>
      </c>
      <c r="BR530" s="703"/>
      <c r="BS530" s="703">
        <f t="shared" si="165"/>
        <v>1</v>
      </c>
      <c r="BT530" s="703"/>
      <c r="BU530" s="703"/>
      <c r="BV530" s="703"/>
      <c r="BW530" s="703"/>
      <c r="BX530" s="703">
        <f t="shared" si="166"/>
        <v>0</v>
      </c>
      <c r="BY530" s="703"/>
      <c r="BZ530" s="703"/>
      <c r="CA530" s="703"/>
      <c r="CB530" s="703"/>
      <c r="CC530" s="703"/>
      <c r="CD530" s="703">
        <f t="shared" si="162"/>
        <v>0</v>
      </c>
      <c r="CE530" s="703"/>
      <c r="CF530" s="703"/>
      <c r="CG530" s="703"/>
      <c r="CH530" s="703"/>
      <c r="CI530" s="703"/>
      <c r="CJ530" s="703"/>
      <c r="CK530" s="703"/>
      <c r="CL530" s="703"/>
      <c r="CM530" s="703"/>
      <c r="CN530" s="703"/>
      <c r="CO530" s="703"/>
      <c r="CP530" s="703"/>
      <c r="CQ530" s="703"/>
      <c r="CR530" s="703"/>
      <c r="CS530" s="703"/>
      <c r="CT530" s="703"/>
      <c r="CU530" s="703"/>
      <c r="CV530" s="703"/>
      <c r="CW530" s="703"/>
      <c r="CX530" s="703"/>
      <c r="CY530" s="703"/>
      <c r="CZ530" s="703"/>
      <c r="DA530" s="703"/>
      <c r="DB530" s="703"/>
      <c r="DC530" s="703"/>
      <c r="DD530" s="703"/>
      <c r="DE530" s="703"/>
      <c r="DF530" s="703"/>
      <c r="DG530" s="705"/>
      <c r="DH530" s="705"/>
      <c r="DI530" s="705"/>
      <c r="DJ530" s="705"/>
      <c r="DK530" s="705"/>
      <c r="DL530" s="705"/>
      <c r="DM530" s="705"/>
      <c r="DN530" s="705"/>
      <c r="DO530" s="705"/>
      <c r="DP530" s="705"/>
      <c r="DQ530" s="705"/>
      <c r="DR530" s="705"/>
      <c r="DS530" s="703"/>
      <c r="DT530" s="703"/>
      <c r="DU530" s="703"/>
      <c r="DV530" s="703"/>
      <c r="DW530" s="703"/>
      <c r="DX530" s="703"/>
      <c r="DY530" s="703"/>
      <c r="DZ530" s="703"/>
      <c r="EA530" s="703"/>
      <c r="EB530" s="703"/>
      <c r="EC530" s="703"/>
      <c r="ED530" s="703"/>
      <c r="EE530" s="703"/>
      <c r="EF530" s="703"/>
      <c r="EG530" s="703"/>
      <c r="EH530" s="703"/>
      <c r="EI530" s="703"/>
      <c r="EJ530" s="703"/>
      <c r="EK530" s="703"/>
      <c r="EL530" s="703"/>
      <c r="EM530" s="703"/>
      <c r="EN530" s="703"/>
      <c r="EO530" s="703"/>
      <c r="EP530" s="703"/>
      <c r="EQ530" s="703"/>
      <c r="ER530" s="703"/>
      <c r="ES530" s="703"/>
      <c r="ET530" s="703"/>
      <c r="EU530" s="703"/>
      <c r="EV530" s="703"/>
      <c r="EW530" s="703"/>
      <c r="EX530" s="703"/>
      <c r="EY530" s="703"/>
      <c r="EZ530" s="703"/>
      <c r="FA530" s="703"/>
      <c r="FB530" s="703"/>
      <c r="FC530" s="703"/>
      <c r="FD530" s="703"/>
      <c r="FE530" s="703"/>
      <c r="FF530" s="703"/>
      <c r="FG530" s="703"/>
      <c r="FH530" s="703"/>
      <c r="FI530" s="703"/>
      <c r="FJ530" s="703"/>
      <c r="FK530" s="703"/>
      <c r="FL530" s="703"/>
      <c r="FM530" s="703"/>
      <c r="FN530" s="703"/>
      <c r="FO530" s="703"/>
      <c r="FP530" s="703"/>
      <c r="FQ530" s="704"/>
    </row>
    <row r="531" spans="1:173" s="706" customFormat="1">
      <c r="A531" s="700"/>
      <c r="B531" s="700"/>
      <c r="C531" s="701" t="s">
        <v>3986</v>
      </c>
      <c r="D531" s="701"/>
      <c r="E531" s="721">
        <v>31.2</v>
      </c>
      <c r="F531" s="703"/>
      <c r="G531" s="703"/>
      <c r="H531" s="703"/>
      <c r="I531" s="703"/>
      <c r="J531" s="703"/>
      <c r="K531" s="703"/>
      <c r="L531" s="703"/>
      <c r="M531" s="703"/>
      <c r="N531" s="703"/>
      <c r="O531" s="703">
        <f t="shared" si="160"/>
        <v>31.2</v>
      </c>
      <c r="P531" s="703"/>
      <c r="Q531" s="703"/>
      <c r="R531" s="704"/>
      <c r="S531" s="704"/>
      <c r="T531" s="703"/>
      <c r="U531" s="703" t="s">
        <v>1631</v>
      </c>
      <c r="V531" s="703"/>
      <c r="W531" s="703">
        <v>1</v>
      </c>
      <c r="X531" s="703"/>
      <c r="Y531" s="703"/>
      <c r="Z531" s="703">
        <v>1</v>
      </c>
      <c r="AA531" s="703"/>
      <c r="AB531" s="703"/>
      <c r="AC531" s="703"/>
      <c r="AD531" s="703"/>
      <c r="AE531" s="766"/>
      <c r="AF531" s="960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694"/>
      <c r="BJ531" s="703"/>
      <c r="BK531" s="703"/>
      <c r="BL531" s="703"/>
      <c r="BM531" s="703"/>
      <c r="BN531" s="703"/>
      <c r="BO531" s="703"/>
      <c r="BP531" s="703"/>
      <c r="BQ531" s="703">
        <f t="shared" si="164"/>
        <v>0</v>
      </c>
      <c r="BR531" s="703"/>
      <c r="BS531" s="703">
        <f t="shared" si="165"/>
        <v>1</v>
      </c>
      <c r="BT531" s="703"/>
      <c r="BU531" s="703"/>
      <c r="BV531" s="703"/>
      <c r="BW531" s="703"/>
      <c r="BX531" s="703">
        <f t="shared" si="166"/>
        <v>0</v>
      </c>
      <c r="BY531" s="703"/>
      <c r="BZ531" s="703"/>
      <c r="CA531" s="703"/>
      <c r="CB531" s="703"/>
      <c r="CC531" s="703"/>
      <c r="CD531" s="703"/>
      <c r="CE531" s="703"/>
      <c r="CF531" s="703"/>
      <c r="CG531" s="703"/>
      <c r="CH531" s="703"/>
      <c r="CI531" s="703"/>
      <c r="CJ531" s="703"/>
      <c r="CK531" s="703"/>
      <c r="CL531" s="703"/>
      <c r="CM531" s="703"/>
      <c r="CN531" s="703"/>
      <c r="CO531" s="703"/>
      <c r="CP531" s="703"/>
      <c r="CQ531" s="703"/>
      <c r="CR531" s="703"/>
      <c r="CS531" s="703"/>
      <c r="CT531" s="703"/>
      <c r="CU531" s="703"/>
      <c r="CV531" s="703"/>
      <c r="CW531" s="703"/>
      <c r="CX531" s="703"/>
      <c r="CY531" s="703"/>
      <c r="CZ531" s="703"/>
      <c r="DA531" s="703"/>
      <c r="DB531" s="703"/>
      <c r="DC531" s="703"/>
      <c r="DD531" s="703"/>
      <c r="DE531" s="703"/>
      <c r="DF531" s="703"/>
      <c r="DG531" s="705"/>
      <c r="DH531" s="705"/>
      <c r="DI531" s="705"/>
      <c r="DJ531" s="705"/>
      <c r="DK531" s="705"/>
      <c r="DL531" s="705"/>
      <c r="DM531" s="705"/>
      <c r="DN531" s="705"/>
      <c r="DO531" s="705"/>
      <c r="DP531" s="705"/>
      <c r="DQ531" s="705"/>
      <c r="DR531" s="705"/>
      <c r="DS531" s="703"/>
      <c r="DT531" s="703"/>
      <c r="DU531" s="703"/>
      <c r="DV531" s="703"/>
      <c r="DW531" s="703"/>
      <c r="DX531" s="703"/>
      <c r="DY531" s="703"/>
      <c r="DZ531" s="703"/>
      <c r="EA531" s="703"/>
      <c r="EB531" s="703"/>
      <c r="EC531" s="703"/>
      <c r="ED531" s="703"/>
      <c r="EE531" s="703"/>
      <c r="EF531" s="703"/>
      <c r="EG531" s="703"/>
      <c r="EH531" s="703"/>
      <c r="EI531" s="703"/>
      <c r="EJ531" s="703"/>
      <c r="EK531" s="703"/>
      <c r="EL531" s="703"/>
      <c r="EM531" s="703"/>
      <c r="EN531" s="703"/>
      <c r="EO531" s="703"/>
      <c r="EP531" s="703"/>
      <c r="EQ531" s="703"/>
      <c r="ER531" s="703"/>
      <c r="ES531" s="703"/>
      <c r="ET531" s="703"/>
      <c r="EU531" s="703"/>
      <c r="EV531" s="703"/>
      <c r="EW531" s="703"/>
      <c r="EX531" s="703"/>
      <c r="EY531" s="703"/>
      <c r="EZ531" s="703"/>
      <c r="FA531" s="703"/>
      <c r="FB531" s="703"/>
      <c r="FC531" s="703"/>
      <c r="FD531" s="703"/>
      <c r="FE531" s="703"/>
      <c r="FF531" s="703"/>
      <c r="FG531" s="703"/>
      <c r="FH531" s="703"/>
      <c r="FI531" s="703"/>
      <c r="FJ531" s="703"/>
      <c r="FK531" s="703"/>
      <c r="FL531" s="703"/>
      <c r="FM531" s="703"/>
      <c r="FN531" s="703"/>
      <c r="FO531" s="703"/>
      <c r="FP531" s="703"/>
      <c r="FQ531" s="704"/>
    </row>
    <row r="532" spans="1:173" s="706" customFormat="1">
      <c r="A532" s="700"/>
      <c r="B532" s="700"/>
      <c r="C532" s="701"/>
      <c r="D532" s="701" t="s">
        <v>3755</v>
      </c>
      <c r="E532" s="721">
        <v>32</v>
      </c>
      <c r="F532" s="703"/>
      <c r="G532" s="703"/>
      <c r="H532" s="703"/>
      <c r="I532" s="703"/>
      <c r="J532" s="703"/>
      <c r="K532" s="703"/>
      <c r="L532" s="703"/>
      <c r="M532" s="703"/>
      <c r="N532" s="703"/>
      <c r="O532" s="703">
        <f t="shared" si="160"/>
        <v>32</v>
      </c>
      <c r="P532" s="703"/>
      <c r="Q532" s="703"/>
      <c r="R532" s="704"/>
      <c r="S532" s="704"/>
      <c r="T532" s="703"/>
      <c r="U532" s="703" t="s">
        <v>2989</v>
      </c>
      <c r="V532" s="703"/>
      <c r="W532" s="703"/>
      <c r="X532" s="703"/>
      <c r="Y532" s="703"/>
      <c r="Z532" s="703"/>
      <c r="AA532" s="703"/>
      <c r="AB532" s="703"/>
      <c r="AC532" s="703"/>
      <c r="AD532" s="703"/>
      <c r="AE532" s="766"/>
      <c r="AF532" s="960"/>
      <c r="AG532" s="703"/>
      <c r="AH532" s="703"/>
      <c r="AI532" s="703"/>
      <c r="AJ532" s="703"/>
      <c r="AK532" s="703"/>
      <c r="AL532" s="703"/>
      <c r="AM532" s="703"/>
      <c r="AN532" s="703"/>
      <c r="AO532" s="703"/>
      <c r="AP532" s="703"/>
      <c r="AQ532" s="703"/>
      <c r="AR532" s="703"/>
      <c r="AS532" s="703"/>
      <c r="AT532" s="703"/>
      <c r="AU532" s="703"/>
      <c r="AV532" s="703"/>
      <c r="AW532" s="703"/>
      <c r="AX532" s="703"/>
      <c r="AY532" s="703"/>
      <c r="AZ532" s="703"/>
      <c r="BA532" s="703">
        <f>CB532+CC532</f>
        <v>1</v>
      </c>
      <c r="BB532" s="703"/>
      <c r="BC532" s="703"/>
      <c r="BD532" s="703"/>
      <c r="BE532" s="703">
        <v>2</v>
      </c>
      <c r="BF532" s="703"/>
      <c r="BG532" s="703"/>
      <c r="BH532" s="703"/>
      <c r="BI532" s="694">
        <f t="shared" si="163"/>
        <v>5</v>
      </c>
      <c r="BJ532" s="703"/>
      <c r="BK532" s="703"/>
      <c r="BL532" s="703"/>
      <c r="BM532" s="703"/>
      <c r="BN532" s="703"/>
      <c r="BO532" s="703"/>
      <c r="BP532" s="703"/>
      <c r="BQ532" s="703">
        <f t="shared" si="164"/>
        <v>0</v>
      </c>
      <c r="BR532" s="703"/>
      <c r="BS532" s="703">
        <f t="shared" si="165"/>
        <v>0</v>
      </c>
      <c r="BT532" s="703"/>
      <c r="BU532" s="703"/>
      <c r="BV532" s="703"/>
      <c r="BW532" s="703"/>
      <c r="BX532" s="703">
        <f t="shared" si="166"/>
        <v>2</v>
      </c>
      <c r="BY532" s="703"/>
      <c r="BZ532" s="703"/>
      <c r="CA532" s="703"/>
      <c r="CB532" s="703">
        <v>1</v>
      </c>
      <c r="CC532" s="703"/>
      <c r="CD532" s="703">
        <f t="shared" si="162"/>
        <v>4</v>
      </c>
      <c r="CE532" s="703"/>
      <c r="CF532" s="703"/>
      <c r="CG532" s="703"/>
      <c r="CH532" s="703"/>
      <c r="CI532" s="703">
        <v>4</v>
      </c>
      <c r="CJ532" s="703"/>
      <c r="CK532" s="703"/>
      <c r="CL532" s="703"/>
      <c r="CM532" s="703"/>
      <c r="CN532" s="703"/>
      <c r="CO532" s="703"/>
      <c r="CP532" s="703"/>
      <c r="CQ532" s="703"/>
      <c r="CR532" s="703"/>
      <c r="CS532" s="703"/>
      <c r="CT532" s="703"/>
      <c r="CU532" s="703"/>
      <c r="CV532" s="703"/>
      <c r="CW532" s="703"/>
      <c r="CX532" s="703"/>
      <c r="CY532" s="703"/>
      <c r="CZ532" s="703"/>
      <c r="DA532" s="703"/>
      <c r="DB532" s="703"/>
      <c r="DC532" s="703"/>
      <c r="DD532" s="703"/>
      <c r="DE532" s="703"/>
      <c r="DF532" s="703"/>
      <c r="DG532" s="705"/>
      <c r="DH532" s="705"/>
      <c r="DI532" s="705"/>
      <c r="DJ532" s="705"/>
      <c r="DK532" s="705"/>
      <c r="DL532" s="705"/>
      <c r="DM532" s="705"/>
      <c r="DN532" s="705"/>
      <c r="DO532" s="705"/>
      <c r="DP532" s="705"/>
      <c r="DQ532" s="705"/>
      <c r="DR532" s="705"/>
      <c r="DS532" s="703"/>
      <c r="DT532" s="703"/>
      <c r="DU532" s="703"/>
      <c r="DV532" s="703"/>
      <c r="DW532" s="703"/>
      <c r="DX532" s="703"/>
      <c r="DY532" s="703"/>
      <c r="DZ532" s="703"/>
      <c r="EA532" s="703"/>
      <c r="EB532" s="703"/>
      <c r="EC532" s="703"/>
      <c r="ED532" s="703"/>
      <c r="EE532" s="703"/>
      <c r="EF532" s="703"/>
      <c r="EG532" s="703"/>
      <c r="EH532" s="703"/>
      <c r="EI532" s="703"/>
      <c r="EJ532" s="703"/>
      <c r="EK532" s="703"/>
      <c r="EL532" s="703"/>
      <c r="EM532" s="703"/>
      <c r="EN532" s="703"/>
      <c r="EO532" s="703"/>
      <c r="EP532" s="703"/>
      <c r="EQ532" s="703"/>
      <c r="ER532" s="703"/>
      <c r="ES532" s="703"/>
      <c r="ET532" s="703"/>
      <c r="EU532" s="703"/>
      <c r="EV532" s="703"/>
      <c r="EW532" s="703"/>
      <c r="EX532" s="703"/>
      <c r="EY532" s="703"/>
      <c r="EZ532" s="703"/>
      <c r="FA532" s="703"/>
      <c r="FB532" s="703"/>
      <c r="FC532" s="703"/>
      <c r="FD532" s="703"/>
      <c r="FE532" s="703"/>
      <c r="FF532" s="703"/>
      <c r="FG532" s="703"/>
      <c r="FH532" s="703"/>
      <c r="FI532" s="703"/>
      <c r="FJ532" s="703"/>
      <c r="FK532" s="703"/>
      <c r="FL532" s="703"/>
      <c r="FM532" s="703"/>
      <c r="FN532" s="703"/>
      <c r="FO532" s="703"/>
      <c r="FP532" s="703"/>
      <c r="FQ532" s="704"/>
    </row>
    <row r="533" spans="1:173" s="706" customFormat="1">
      <c r="A533" s="700"/>
      <c r="B533" s="700"/>
      <c r="C533" s="701" t="s">
        <v>3632</v>
      </c>
      <c r="D533" s="701"/>
      <c r="E533" s="721">
        <v>20</v>
      </c>
      <c r="F533" s="703"/>
      <c r="G533" s="703"/>
      <c r="H533" s="703"/>
      <c r="I533" s="703"/>
      <c r="J533" s="703"/>
      <c r="K533" s="703"/>
      <c r="L533" s="703"/>
      <c r="M533" s="703"/>
      <c r="N533" s="703"/>
      <c r="O533" s="703">
        <f t="shared" si="160"/>
        <v>20</v>
      </c>
      <c r="P533" s="703"/>
      <c r="Q533" s="703"/>
      <c r="R533" s="704"/>
      <c r="S533" s="704"/>
      <c r="T533" s="703"/>
      <c r="U533" s="703" t="s">
        <v>2989</v>
      </c>
      <c r="V533" s="703"/>
      <c r="W533" s="703">
        <v>2</v>
      </c>
      <c r="X533" s="703"/>
      <c r="Y533" s="703"/>
      <c r="Z533" s="703"/>
      <c r="AA533" s="703"/>
      <c r="AB533" s="703"/>
      <c r="AC533" s="703"/>
      <c r="AD533" s="703"/>
      <c r="AE533" s="766">
        <v>1</v>
      </c>
      <c r="AF533" s="960"/>
      <c r="AG533" s="703"/>
      <c r="AH533" s="703"/>
      <c r="AI533" s="703"/>
      <c r="AJ533" s="703"/>
      <c r="AK533" s="703"/>
      <c r="AL533" s="703"/>
      <c r="AM533" s="703"/>
      <c r="AN533" s="703"/>
      <c r="AO533" s="703"/>
      <c r="AP533" s="703"/>
      <c r="AQ533" s="703"/>
      <c r="AR533" s="703"/>
      <c r="AS533" s="703"/>
      <c r="AT533" s="703"/>
      <c r="AU533" s="703"/>
      <c r="AV533" s="703"/>
      <c r="AW533" s="703"/>
      <c r="AX533" s="703"/>
      <c r="AY533" s="703"/>
      <c r="AZ533" s="694">
        <f t="shared" ref="AZ533:AZ552" si="167">CB533+CC533</f>
        <v>0</v>
      </c>
      <c r="BA533" s="703"/>
      <c r="BB533" s="703"/>
      <c r="BC533" s="703"/>
      <c r="BD533" s="703"/>
      <c r="BE533" s="703"/>
      <c r="BF533" s="703">
        <v>2</v>
      </c>
      <c r="BG533" s="703"/>
      <c r="BH533" s="703"/>
      <c r="BI533" s="694">
        <f>CB533*5+AU533*2</f>
        <v>0</v>
      </c>
      <c r="BJ533" s="703"/>
      <c r="BK533" s="703"/>
      <c r="BL533" s="703"/>
      <c r="BM533" s="703"/>
      <c r="BN533" s="703"/>
      <c r="BO533" s="703"/>
      <c r="BP533" s="703"/>
      <c r="BQ533" s="703">
        <f t="shared" si="164"/>
        <v>0</v>
      </c>
      <c r="BR533" s="703"/>
      <c r="BS533" s="703">
        <f t="shared" si="165"/>
        <v>0</v>
      </c>
      <c r="BT533" s="703"/>
      <c r="BU533" s="703"/>
      <c r="BV533" s="703"/>
      <c r="BW533" s="703"/>
      <c r="BX533" s="703">
        <f t="shared" si="166"/>
        <v>2</v>
      </c>
      <c r="BY533" s="703"/>
      <c r="BZ533" s="703"/>
      <c r="CA533" s="703"/>
      <c r="CB533" s="703"/>
      <c r="CC533" s="703"/>
      <c r="CD533" s="703">
        <f t="shared" si="162"/>
        <v>0</v>
      </c>
      <c r="CE533" s="703"/>
      <c r="CF533" s="703"/>
      <c r="CG533" s="703"/>
      <c r="CH533" s="703"/>
      <c r="CI533" s="703"/>
      <c r="CJ533" s="703"/>
      <c r="CK533" s="703"/>
      <c r="CL533" s="703"/>
      <c r="CM533" s="703"/>
      <c r="CN533" s="703"/>
      <c r="CO533" s="703"/>
      <c r="CP533" s="703"/>
      <c r="CQ533" s="703"/>
      <c r="CR533" s="703"/>
      <c r="CS533" s="703"/>
      <c r="CT533" s="703"/>
      <c r="CU533" s="703"/>
      <c r="CV533" s="703"/>
      <c r="CW533" s="703"/>
      <c r="CX533" s="703"/>
      <c r="CY533" s="703"/>
      <c r="CZ533" s="703"/>
      <c r="DA533" s="703"/>
      <c r="DB533" s="703"/>
      <c r="DC533" s="703"/>
      <c r="DD533" s="703"/>
      <c r="DE533" s="703"/>
      <c r="DF533" s="703"/>
      <c r="DG533" s="705"/>
      <c r="DH533" s="705"/>
      <c r="DI533" s="705"/>
      <c r="DJ533" s="705"/>
      <c r="DK533" s="705"/>
      <c r="DL533" s="705"/>
      <c r="DM533" s="705"/>
      <c r="DN533" s="705"/>
      <c r="DO533" s="705"/>
      <c r="DP533" s="705"/>
      <c r="DQ533" s="705"/>
      <c r="DR533" s="705"/>
      <c r="DS533" s="703"/>
      <c r="DT533" s="703"/>
      <c r="DU533" s="703"/>
      <c r="DV533" s="703"/>
      <c r="DW533" s="703"/>
      <c r="DX533" s="703"/>
      <c r="DY533" s="703"/>
      <c r="DZ533" s="703"/>
      <c r="EA533" s="703"/>
      <c r="EB533" s="703"/>
      <c r="EC533" s="703"/>
      <c r="ED533" s="703"/>
      <c r="EE533" s="703"/>
      <c r="EF533" s="703"/>
      <c r="EG533" s="703"/>
      <c r="EH533" s="703"/>
      <c r="EI533" s="703"/>
      <c r="EJ533" s="703"/>
      <c r="EK533" s="703"/>
      <c r="EL533" s="703"/>
      <c r="EM533" s="703"/>
      <c r="EN533" s="703"/>
      <c r="EO533" s="703"/>
      <c r="EP533" s="703"/>
      <c r="EQ533" s="703"/>
      <c r="ER533" s="703"/>
      <c r="ES533" s="703"/>
      <c r="ET533" s="703"/>
      <c r="EU533" s="703"/>
      <c r="EV533" s="703"/>
      <c r="EW533" s="703"/>
      <c r="EX533" s="703"/>
      <c r="EY533" s="703"/>
      <c r="EZ533" s="703"/>
      <c r="FA533" s="703"/>
      <c r="FB533" s="703"/>
      <c r="FC533" s="703"/>
      <c r="FD533" s="703"/>
      <c r="FE533" s="703"/>
      <c r="FF533" s="703"/>
      <c r="FG533" s="703"/>
      <c r="FH533" s="703"/>
      <c r="FI533" s="703"/>
      <c r="FJ533" s="703"/>
      <c r="FK533" s="703"/>
      <c r="FL533" s="703"/>
      <c r="FM533" s="703"/>
      <c r="FN533" s="703"/>
      <c r="FO533" s="703"/>
      <c r="FP533" s="703"/>
      <c r="FQ533" s="704"/>
    </row>
    <row r="534" spans="1:173" s="706" customFormat="1">
      <c r="A534" s="700"/>
      <c r="B534" s="700"/>
      <c r="C534" s="701" t="s">
        <v>3633</v>
      </c>
      <c r="D534" s="701"/>
      <c r="E534" s="721">
        <v>30</v>
      </c>
      <c r="F534" s="703"/>
      <c r="G534" s="703"/>
      <c r="H534" s="703"/>
      <c r="I534" s="703"/>
      <c r="J534" s="703"/>
      <c r="K534" s="703"/>
      <c r="L534" s="703"/>
      <c r="M534" s="703"/>
      <c r="N534" s="703"/>
      <c r="O534" s="703">
        <f t="shared" si="160"/>
        <v>30</v>
      </c>
      <c r="P534" s="703"/>
      <c r="Q534" s="703"/>
      <c r="R534" s="704"/>
      <c r="S534" s="704"/>
      <c r="T534" s="703"/>
      <c r="U534" s="703" t="s">
        <v>1903</v>
      </c>
      <c r="V534" s="703"/>
      <c r="W534" s="703">
        <v>2</v>
      </c>
      <c r="X534" s="703"/>
      <c r="Y534" s="703"/>
      <c r="Z534" s="703"/>
      <c r="AA534" s="703"/>
      <c r="AB534" s="703"/>
      <c r="AC534" s="703"/>
      <c r="AD534" s="703"/>
      <c r="AE534" s="766">
        <v>1</v>
      </c>
      <c r="AF534" s="960"/>
      <c r="AG534" s="703"/>
      <c r="AH534" s="703"/>
      <c r="AI534" s="703"/>
      <c r="AJ534" s="703"/>
      <c r="AK534" s="703"/>
      <c r="AL534" s="703"/>
      <c r="AM534" s="703"/>
      <c r="AN534" s="703"/>
      <c r="AO534" s="703"/>
      <c r="AP534" s="703"/>
      <c r="AQ534" s="703"/>
      <c r="AR534" s="703"/>
      <c r="AS534" s="703"/>
      <c r="AT534" s="703"/>
      <c r="AU534" s="703"/>
      <c r="AV534" s="703"/>
      <c r="AW534" s="703"/>
      <c r="AX534" s="703"/>
      <c r="AY534" s="703"/>
      <c r="AZ534" s="694">
        <f t="shared" si="167"/>
        <v>0</v>
      </c>
      <c r="BA534" s="703"/>
      <c r="BB534" s="703"/>
      <c r="BC534" s="703"/>
      <c r="BD534" s="703"/>
      <c r="BE534" s="703"/>
      <c r="BF534" s="703">
        <v>1</v>
      </c>
      <c r="BG534" s="703"/>
      <c r="BH534" s="703"/>
      <c r="BI534" s="694">
        <f t="shared" si="163"/>
        <v>0</v>
      </c>
      <c r="BJ534" s="703"/>
      <c r="BK534" s="703"/>
      <c r="BL534" s="703"/>
      <c r="BM534" s="703"/>
      <c r="BN534" s="703"/>
      <c r="BO534" s="703"/>
      <c r="BP534" s="703"/>
      <c r="BQ534" s="703">
        <f t="shared" si="164"/>
        <v>1</v>
      </c>
      <c r="BR534" s="703"/>
      <c r="BS534" s="703">
        <f t="shared" si="165"/>
        <v>2</v>
      </c>
      <c r="BT534" s="703"/>
      <c r="BU534" s="703"/>
      <c r="BV534" s="703"/>
      <c r="BW534" s="703"/>
      <c r="BX534" s="703">
        <f t="shared" si="166"/>
        <v>0</v>
      </c>
      <c r="BY534" s="703"/>
      <c r="BZ534" s="703"/>
      <c r="CA534" s="703"/>
      <c r="CB534" s="703"/>
      <c r="CC534" s="703"/>
      <c r="CD534" s="703">
        <f t="shared" si="162"/>
        <v>0</v>
      </c>
      <c r="CE534" s="703"/>
      <c r="CF534" s="703"/>
      <c r="CG534" s="703"/>
      <c r="CH534" s="703"/>
      <c r="CI534" s="703"/>
      <c r="CJ534" s="703"/>
      <c r="CK534" s="703"/>
      <c r="CL534" s="703"/>
      <c r="CM534" s="703"/>
      <c r="CN534" s="703"/>
      <c r="CO534" s="703"/>
      <c r="CP534" s="703"/>
      <c r="CQ534" s="703"/>
      <c r="CR534" s="703"/>
      <c r="CS534" s="703"/>
      <c r="CT534" s="703"/>
      <c r="CU534" s="703"/>
      <c r="CV534" s="703"/>
      <c r="CW534" s="703"/>
      <c r="CX534" s="703"/>
      <c r="CY534" s="703"/>
      <c r="CZ534" s="703"/>
      <c r="DA534" s="703"/>
      <c r="DB534" s="703"/>
      <c r="DC534" s="703"/>
      <c r="DD534" s="703"/>
      <c r="DE534" s="703"/>
      <c r="DF534" s="703"/>
      <c r="DG534" s="705"/>
      <c r="DH534" s="705"/>
      <c r="DI534" s="705"/>
      <c r="DJ534" s="705"/>
      <c r="DK534" s="705"/>
      <c r="DL534" s="705"/>
      <c r="DM534" s="705"/>
      <c r="DN534" s="705"/>
      <c r="DO534" s="705"/>
      <c r="DP534" s="705"/>
      <c r="DQ534" s="705"/>
      <c r="DR534" s="705"/>
      <c r="DS534" s="703"/>
      <c r="DT534" s="703"/>
      <c r="DU534" s="703"/>
      <c r="DV534" s="703"/>
      <c r="DW534" s="703"/>
      <c r="DX534" s="703"/>
      <c r="DY534" s="703"/>
      <c r="DZ534" s="703"/>
      <c r="EA534" s="703"/>
      <c r="EB534" s="703"/>
      <c r="EC534" s="703"/>
      <c r="ED534" s="703"/>
      <c r="EE534" s="703"/>
      <c r="EF534" s="703"/>
      <c r="EG534" s="703"/>
      <c r="EH534" s="703"/>
      <c r="EI534" s="703"/>
      <c r="EJ534" s="703"/>
      <c r="EK534" s="703"/>
      <c r="EL534" s="703"/>
      <c r="EM534" s="703"/>
      <c r="EN534" s="703"/>
      <c r="EO534" s="703"/>
      <c r="EP534" s="703"/>
      <c r="EQ534" s="703"/>
      <c r="ER534" s="703"/>
      <c r="ES534" s="703"/>
      <c r="ET534" s="703"/>
      <c r="EU534" s="703"/>
      <c r="EV534" s="703"/>
      <c r="EW534" s="703"/>
      <c r="EX534" s="703"/>
      <c r="EY534" s="703"/>
      <c r="EZ534" s="703"/>
      <c r="FA534" s="703"/>
      <c r="FB534" s="703"/>
      <c r="FC534" s="703"/>
      <c r="FD534" s="703"/>
      <c r="FE534" s="703"/>
      <c r="FF534" s="703"/>
      <c r="FG534" s="703"/>
      <c r="FH534" s="703"/>
      <c r="FI534" s="703"/>
      <c r="FJ534" s="703"/>
      <c r="FK534" s="703"/>
      <c r="FL534" s="703"/>
      <c r="FM534" s="703"/>
      <c r="FN534" s="703"/>
      <c r="FO534" s="703"/>
      <c r="FP534" s="703"/>
      <c r="FQ534" s="704"/>
    </row>
    <row r="535" spans="1:173" s="706" customFormat="1">
      <c r="A535" s="700"/>
      <c r="B535" s="700"/>
      <c r="C535" s="701" t="s">
        <v>3634</v>
      </c>
      <c r="D535" s="701"/>
      <c r="E535" s="721">
        <v>32</v>
      </c>
      <c r="F535" s="703"/>
      <c r="G535" s="703"/>
      <c r="H535" s="703"/>
      <c r="I535" s="703"/>
      <c r="J535" s="703"/>
      <c r="K535" s="703"/>
      <c r="L535" s="703"/>
      <c r="M535" s="703"/>
      <c r="N535" s="703"/>
      <c r="O535" s="703">
        <f t="shared" si="160"/>
        <v>32</v>
      </c>
      <c r="P535" s="703"/>
      <c r="Q535" s="703"/>
      <c r="R535" s="704"/>
      <c r="S535" s="704"/>
      <c r="T535" s="703"/>
      <c r="U535" s="703" t="s">
        <v>1903</v>
      </c>
      <c r="V535" s="703"/>
      <c r="W535" s="703">
        <v>2</v>
      </c>
      <c r="X535" s="703"/>
      <c r="Y535" s="703"/>
      <c r="Z535" s="703"/>
      <c r="AA535" s="703"/>
      <c r="AB535" s="703"/>
      <c r="AC535" s="703"/>
      <c r="AD535" s="703"/>
      <c r="AE535" s="766">
        <v>1</v>
      </c>
      <c r="AF535" s="960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>
        <v>1</v>
      </c>
      <c r="AV535" s="703"/>
      <c r="AW535" s="703"/>
      <c r="AX535" s="703"/>
      <c r="AY535" s="703"/>
      <c r="AZ535" s="694">
        <f t="shared" si="167"/>
        <v>0</v>
      </c>
      <c r="BA535" s="703"/>
      <c r="BB535" s="703"/>
      <c r="BC535" s="703"/>
      <c r="BD535" s="703"/>
      <c r="BE535" s="703"/>
      <c r="BF535" s="703">
        <v>1</v>
      </c>
      <c r="BG535" s="703"/>
      <c r="BH535" s="703"/>
      <c r="BI535" s="694">
        <f t="shared" si="163"/>
        <v>2</v>
      </c>
      <c r="BJ535" s="703"/>
      <c r="BK535" s="703"/>
      <c r="BL535" s="703"/>
      <c r="BM535" s="703"/>
      <c r="BN535" s="703"/>
      <c r="BO535" s="703"/>
      <c r="BP535" s="703"/>
      <c r="BQ535" s="703">
        <f t="shared" si="164"/>
        <v>1</v>
      </c>
      <c r="BR535" s="703"/>
      <c r="BS535" s="703">
        <f t="shared" si="165"/>
        <v>2</v>
      </c>
      <c r="BT535" s="703"/>
      <c r="BU535" s="703"/>
      <c r="BV535" s="703"/>
      <c r="BW535" s="703"/>
      <c r="BX535" s="703">
        <f t="shared" si="166"/>
        <v>0</v>
      </c>
      <c r="BY535" s="703"/>
      <c r="BZ535" s="703"/>
      <c r="CA535" s="703"/>
      <c r="CB535" s="703"/>
      <c r="CC535" s="703"/>
      <c r="CD535" s="703">
        <f t="shared" si="162"/>
        <v>0</v>
      </c>
      <c r="CE535" s="703"/>
      <c r="CF535" s="703"/>
      <c r="CG535" s="703"/>
      <c r="CH535" s="703"/>
      <c r="CI535" s="703"/>
      <c r="CJ535" s="703"/>
      <c r="CK535" s="703"/>
      <c r="CL535" s="703"/>
      <c r="CM535" s="703"/>
      <c r="CN535" s="703"/>
      <c r="CO535" s="703"/>
      <c r="CP535" s="703"/>
      <c r="CQ535" s="703"/>
      <c r="CR535" s="703"/>
      <c r="CS535" s="703"/>
      <c r="CT535" s="703"/>
      <c r="CU535" s="703"/>
      <c r="CV535" s="703"/>
      <c r="CW535" s="703"/>
      <c r="CX535" s="703"/>
      <c r="CY535" s="703"/>
      <c r="CZ535" s="703"/>
      <c r="DA535" s="703"/>
      <c r="DB535" s="703"/>
      <c r="DC535" s="703"/>
      <c r="DD535" s="703"/>
      <c r="DE535" s="703"/>
      <c r="DF535" s="703"/>
      <c r="DG535" s="705"/>
      <c r="DH535" s="705"/>
      <c r="DI535" s="705"/>
      <c r="DJ535" s="705"/>
      <c r="DK535" s="705"/>
      <c r="DL535" s="705"/>
      <c r="DM535" s="705"/>
      <c r="DN535" s="705"/>
      <c r="DO535" s="705"/>
      <c r="DP535" s="705"/>
      <c r="DQ535" s="705"/>
      <c r="DR535" s="705"/>
      <c r="DS535" s="703"/>
      <c r="DT535" s="703"/>
      <c r="DU535" s="703"/>
      <c r="DV535" s="703"/>
      <c r="DW535" s="703"/>
      <c r="DX535" s="703"/>
      <c r="DY535" s="703"/>
      <c r="DZ535" s="703"/>
      <c r="EA535" s="703"/>
      <c r="EB535" s="703"/>
      <c r="EC535" s="703"/>
      <c r="ED535" s="703"/>
      <c r="EE535" s="703"/>
      <c r="EF535" s="703"/>
      <c r="EG535" s="703"/>
      <c r="EH535" s="703"/>
      <c r="EI535" s="703"/>
      <c r="EJ535" s="703"/>
      <c r="EK535" s="703"/>
      <c r="EL535" s="703"/>
      <c r="EM535" s="703"/>
      <c r="EN535" s="703"/>
      <c r="EO535" s="703"/>
      <c r="EP535" s="703"/>
      <c r="EQ535" s="703"/>
      <c r="ER535" s="703"/>
      <c r="ES535" s="703"/>
      <c r="ET535" s="703"/>
      <c r="EU535" s="703"/>
      <c r="EV535" s="703"/>
      <c r="EW535" s="703"/>
      <c r="EX535" s="703"/>
      <c r="EY535" s="703"/>
      <c r="EZ535" s="703"/>
      <c r="FA535" s="703"/>
      <c r="FB535" s="703"/>
      <c r="FC535" s="703"/>
      <c r="FD535" s="703"/>
      <c r="FE535" s="703"/>
      <c r="FF535" s="703"/>
      <c r="FG535" s="703"/>
      <c r="FH535" s="703"/>
      <c r="FI535" s="703"/>
      <c r="FJ535" s="703"/>
      <c r="FK535" s="703"/>
      <c r="FL535" s="703"/>
      <c r="FM535" s="703"/>
      <c r="FN535" s="703"/>
      <c r="FO535" s="703"/>
      <c r="FP535" s="703"/>
      <c r="FQ535" s="704"/>
    </row>
    <row r="536" spans="1:173" s="706" customFormat="1">
      <c r="A536" s="700"/>
      <c r="B536" s="700"/>
      <c r="C536" s="701" t="s">
        <v>3635</v>
      </c>
      <c r="D536" s="702"/>
      <c r="E536" s="721">
        <v>37</v>
      </c>
      <c r="F536" s="703"/>
      <c r="G536" s="703"/>
      <c r="H536" s="703"/>
      <c r="I536" s="703"/>
      <c r="J536" s="703"/>
      <c r="K536" s="703"/>
      <c r="L536" s="703"/>
      <c r="M536" s="703"/>
      <c r="N536" s="703"/>
      <c r="O536" s="703">
        <f t="shared" si="160"/>
        <v>37</v>
      </c>
      <c r="P536" s="703"/>
      <c r="Q536" s="703"/>
      <c r="R536" s="704"/>
      <c r="S536" s="704"/>
      <c r="T536" s="703"/>
      <c r="U536" s="703" t="s">
        <v>3718</v>
      </c>
      <c r="V536" s="703"/>
      <c r="W536" s="703">
        <v>2</v>
      </c>
      <c r="X536" s="703"/>
      <c r="Y536" s="703"/>
      <c r="Z536" s="703"/>
      <c r="AA536" s="703"/>
      <c r="AB536" s="703"/>
      <c r="AC536" s="703"/>
      <c r="AD536" s="703"/>
      <c r="AE536" s="766">
        <v>1</v>
      </c>
      <c r="AF536" s="960"/>
      <c r="AG536" s="703"/>
      <c r="AH536" s="703"/>
      <c r="AI536" s="703"/>
      <c r="AJ536" s="703"/>
      <c r="AK536" s="703"/>
      <c r="AL536" s="703"/>
      <c r="AM536" s="703"/>
      <c r="AN536" s="703"/>
      <c r="AO536" s="703"/>
      <c r="AP536" s="703"/>
      <c r="AQ536" s="703"/>
      <c r="AR536" s="703"/>
      <c r="AS536" s="703"/>
      <c r="AT536" s="703"/>
      <c r="AU536" s="703"/>
      <c r="AV536" s="703"/>
      <c r="AW536" s="703"/>
      <c r="AX536" s="703"/>
      <c r="AY536" s="703"/>
      <c r="AZ536" s="694">
        <f t="shared" si="167"/>
        <v>0</v>
      </c>
      <c r="BA536" s="703"/>
      <c r="BB536" s="703"/>
      <c r="BC536" s="703"/>
      <c r="BD536" s="703">
        <v>2</v>
      </c>
      <c r="BE536" s="703"/>
      <c r="BF536" s="703">
        <v>1</v>
      </c>
      <c r="BG536" s="703"/>
      <c r="BH536" s="703"/>
      <c r="BI536" s="694">
        <f t="shared" si="163"/>
        <v>0</v>
      </c>
      <c r="BJ536" s="703"/>
      <c r="BK536" s="703"/>
      <c r="BL536" s="703"/>
      <c r="BM536" s="703"/>
      <c r="BN536" s="703"/>
      <c r="BO536" s="703"/>
      <c r="BP536" s="703"/>
      <c r="BQ536" s="703">
        <f t="shared" si="164"/>
        <v>0</v>
      </c>
      <c r="BR536" s="703"/>
      <c r="BS536" s="703">
        <f t="shared" si="165"/>
        <v>0</v>
      </c>
      <c r="BT536" s="703"/>
      <c r="BU536" s="703"/>
      <c r="BV536" s="703"/>
      <c r="BW536" s="703"/>
      <c r="BX536" s="703">
        <f t="shared" si="166"/>
        <v>3</v>
      </c>
      <c r="BY536" s="703"/>
      <c r="BZ536" s="703"/>
      <c r="CA536" s="703"/>
      <c r="CB536" s="703"/>
      <c r="CC536" s="703"/>
      <c r="CD536" s="703">
        <f t="shared" si="162"/>
        <v>0</v>
      </c>
      <c r="CE536" s="703"/>
      <c r="CF536" s="703"/>
      <c r="CG536" s="703"/>
      <c r="CH536" s="703"/>
      <c r="CI536" s="703"/>
      <c r="CJ536" s="703"/>
      <c r="CK536" s="703"/>
      <c r="CL536" s="703"/>
      <c r="CM536" s="703">
        <v>8</v>
      </c>
      <c r="CN536" s="703"/>
      <c r="CO536" s="703"/>
      <c r="CP536" s="703"/>
      <c r="CQ536" s="703"/>
      <c r="CR536" s="703"/>
      <c r="CS536" s="703"/>
      <c r="CT536" s="703"/>
      <c r="CU536" s="703"/>
      <c r="CV536" s="703"/>
      <c r="CW536" s="703"/>
      <c r="CX536" s="703"/>
      <c r="CY536" s="703"/>
      <c r="CZ536" s="703"/>
      <c r="DA536" s="703"/>
      <c r="DB536" s="703"/>
      <c r="DC536" s="703"/>
      <c r="DD536" s="703"/>
      <c r="DE536" s="703"/>
      <c r="DF536" s="703"/>
      <c r="DG536" s="705"/>
      <c r="DH536" s="705"/>
      <c r="DI536" s="705"/>
      <c r="DJ536" s="705"/>
      <c r="DK536" s="705"/>
      <c r="DL536" s="705"/>
      <c r="DM536" s="705"/>
      <c r="DN536" s="705"/>
      <c r="DO536" s="705"/>
      <c r="DP536" s="705"/>
      <c r="DQ536" s="705"/>
      <c r="DR536" s="705"/>
      <c r="DS536" s="703"/>
      <c r="DT536" s="703"/>
      <c r="DU536" s="703"/>
      <c r="DV536" s="703"/>
      <c r="DW536" s="703"/>
      <c r="DX536" s="703"/>
      <c r="DY536" s="703"/>
      <c r="DZ536" s="703"/>
      <c r="EA536" s="703"/>
      <c r="EB536" s="703"/>
      <c r="EC536" s="703"/>
      <c r="ED536" s="703"/>
      <c r="EE536" s="703"/>
      <c r="EF536" s="703"/>
      <c r="EG536" s="703"/>
      <c r="EH536" s="703"/>
      <c r="EI536" s="703"/>
      <c r="EJ536" s="703"/>
      <c r="EK536" s="703"/>
      <c r="EL536" s="703"/>
      <c r="EM536" s="703"/>
      <c r="EN536" s="703"/>
      <c r="EO536" s="703"/>
      <c r="EP536" s="703"/>
      <c r="EQ536" s="703"/>
      <c r="ER536" s="703"/>
      <c r="ES536" s="703"/>
      <c r="ET536" s="703"/>
      <c r="EU536" s="703"/>
      <c r="EV536" s="703"/>
      <c r="EW536" s="703"/>
      <c r="EX536" s="703"/>
      <c r="EY536" s="703"/>
      <c r="EZ536" s="703"/>
      <c r="FA536" s="703"/>
      <c r="FB536" s="703"/>
      <c r="FC536" s="703"/>
      <c r="FD536" s="703"/>
      <c r="FE536" s="703"/>
      <c r="FF536" s="703"/>
      <c r="FG536" s="703"/>
      <c r="FH536" s="703"/>
      <c r="FI536" s="703"/>
      <c r="FJ536" s="703"/>
      <c r="FK536" s="703"/>
      <c r="FL536" s="703"/>
      <c r="FM536" s="703"/>
      <c r="FN536" s="703"/>
      <c r="FO536" s="703"/>
      <c r="FP536" s="703"/>
      <c r="FQ536" s="707"/>
    </row>
    <row r="537" spans="1:173" s="706" customFormat="1">
      <c r="A537" s="700"/>
      <c r="B537" s="700"/>
      <c r="C537" s="701" t="s">
        <v>3636</v>
      </c>
      <c r="D537" s="702"/>
      <c r="E537" s="721">
        <v>35</v>
      </c>
      <c r="F537" s="703"/>
      <c r="G537" s="703"/>
      <c r="H537" s="703"/>
      <c r="I537" s="703"/>
      <c r="J537" s="703"/>
      <c r="K537" s="703"/>
      <c r="L537" s="703"/>
      <c r="M537" s="703"/>
      <c r="N537" s="703"/>
      <c r="O537" s="703">
        <f t="shared" si="160"/>
        <v>35</v>
      </c>
      <c r="P537" s="703"/>
      <c r="Q537" s="703"/>
      <c r="R537" s="704"/>
      <c r="S537" s="704"/>
      <c r="T537" s="703"/>
      <c r="U537" s="703" t="s">
        <v>1903</v>
      </c>
      <c r="V537" s="703"/>
      <c r="W537" s="703">
        <v>2</v>
      </c>
      <c r="X537" s="703"/>
      <c r="Y537" s="703"/>
      <c r="Z537" s="703"/>
      <c r="AA537" s="703"/>
      <c r="AB537" s="703"/>
      <c r="AC537" s="703"/>
      <c r="AD537" s="703"/>
      <c r="AE537" s="766">
        <v>1</v>
      </c>
      <c r="AF537" s="960"/>
      <c r="AG537" s="703"/>
      <c r="AH537" s="703"/>
      <c r="AI537" s="703"/>
      <c r="AJ537" s="703"/>
      <c r="AK537" s="703"/>
      <c r="AL537" s="703"/>
      <c r="AM537" s="703"/>
      <c r="AN537" s="703"/>
      <c r="AO537" s="703"/>
      <c r="AP537" s="703"/>
      <c r="AQ537" s="703"/>
      <c r="AR537" s="703"/>
      <c r="AS537" s="703"/>
      <c r="AT537" s="703"/>
      <c r="AU537" s="703"/>
      <c r="AV537" s="703"/>
      <c r="AW537" s="703"/>
      <c r="AX537" s="703"/>
      <c r="AY537" s="703"/>
      <c r="AZ537" s="694">
        <f t="shared" si="167"/>
        <v>1</v>
      </c>
      <c r="BA537" s="703"/>
      <c r="BB537" s="703"/>
      <c r="BC537" s="703"/>
      <c r="BD537" s="703"/>
      <c r="BE537" s="703"/>
      <c r="BF537" s="703">
        <v>1</v>
      </c>
      <c r="BG537" s="703"/>
      <c r="BH537" s="703"/>
      <c r="BI537" s="694">
        <f t="shared" si="163"/>
        <v>5</v>
      </c>
      <c r="BJ537" s="703"/>
      <c r="BK537" s="703"/>
      <c r="BL537" s="703"/>
      <c r="BM537" s="703"/>
      <c r="BN537" s="703"/>
      <c r="BO537" s="703"/>
      <c r="BP537" s="703"/>
      <c r="BQ537" s="703">
        <f t="shared" si="164"/>
        <v>1</v>
      </c>
      <c r="BR537" s="703"/>
      <c r="BS537" s="703">
        <f t="shared" si="165"/>
        <v>2</v>
      </c>
      <c r="BT537" s="703"/>
      <c r="BU537" s="703"/>
      <c r="BV537" s="703"/>
      <c r="BW537" s="703"/>
      <c r="BX537" s="703">
        <f t="shared" si="166"/>
        <v>0</v>
      </c>
      <c r="BY537" s="703"/>
      <c r="BZ537" s="703"/>
      <c r="CA537" s="703"/>
      <c r="CB537" s="703">
        <v>1</v>
      </c>
      <c r="CC537" s="703"/>
      <c r="CD537" s="703">
        <f t="shared" si="162"/>
        <v>4</v>
      </c>
      <c r="CE537" s="703"/>
      <c r="CF537" s="703"/>
      <c r="CG537" s="703"/>
      <c r="CH537" s="703"/>
      <c r="CI537" s="703"/>
      <c r="CJ537" s="703"/>
      <c r="CK537" s="703"/>
      <c r="CL537" s="703"/>
      <c r="CM537" s="703"/>
      <c r="CN537" s="703"/>
      <c r="CO537" s="703"/>
      <c r="CP537" s="703"/>
      <c r="CQ537" s="703"/>
      <c r="CR537" s="703"/>
      <c r="CS537" s="703"/>
      <c r="CT537" s="703"/>
      <c r="CU537" s="703"/>
      <c r="CV537" s="703"/>
      <c r="CW537" s="703"/>
      <c r="CX537" s="703"/>
      <c r="CY537" s="703"/>
      <c r="CZ537" s="703"/>
      <c r="DA537" s="703"/>
      <c r="DB537" s="703"/>
      <c r="DC537" s="703"/>
      <c r="DD537" s="703"/>
      <c r="DE537" s="703"/>
      <c r="DF537" s="703"/>
      <c r="DG537" s="705"/>
      <c r="DH537" s="705"/>
      <c r="DI537" s="705"/>
      <c r="DJ537" s="705"/>
      <c r="DK537" s="705"/>
      <c r="DL537" s="705"/>
      <c r="DM537" s="705"/>
      <c r="DN537" s="705"/>
      <c r="DO537" s="705"/>
      <c r="DP537" s="705"/>
      <c r="DQ537" s="705"/>
      <c r="DR537" s="705"/>
      <c r="DS537" s="703"/>
      <c r="DT537" s="703"/>
      <c r="DU537" s="703"/>
      <c r="DV537" s="703"/>
      <c r="DW537" s="703"/>
      <c r="DX537" s="703"/>
      <c r="DY537" s="703"/>
      <c r="DZ537" s="703"/>
      <c r="EA537" s="703"/>
      <c r="EB537" s="703"/>
      <c r="EC537" s="703"/>
      <c r="ED537" s="703"/>
      <c r="EE537" s="703"/>
      <c r="EF537" s="703"/>
      <c r="EG537" s="703"/>
      <c r="EH537" s="703"/>
      <c r="EI537" s="703"/>
      <c r="EJ537" s="703"/>
      <c r="EK537" s="703"/>
      <c r="EL537" s="703"/>
      <c r="EM537" s="703"/>
      <c r="EN537" s="703"/>
      <c r="EO537" s="703"/>
      <c r="EP537" s="703"/>
      <c r="EQ537" s="703"/>
      <c r="ER537" s="703"/>
      <c r="ES537" s="703"/>
      <c r="ET537" s="703"/>
      <c r="EU537" s="703"/>
      <c r="EV537" s="703"/>
      <c r="EW537" s="703"/>
      <c r="EX537" s="703"/>
      <c r="EY537" s="703"/>
      <c r="EZ537" s="703"/>
      <c r="FA537" s="703"/>
      <c r="FB537" s="703"/>
      <c r="FC537" s="703"/>
      <c r="FD537" s="703"/>
      <c r="FE537" s="703"/>
      <c r="FF537" s="703"/>
      <c r="FG537" s="703"/>
      <c r="FH537" s="703"/>
      <c r="FI537" s="703"/>
      <c r="FJ537" s="703"/>
      <c r="FK537" s="703"/>
      <c r="FL537" s="703"/>
      <c r="FM537" s="703"/>
      <c r="FN537" s="703"/>
      <c r="FO537" s="703"/>
      <c r="FP537" s="703"/>
      <c r="FQ537" s="704"/>
    </row>
    <row r="538" spans="1:173" s="706" customFormat="1">
      <c r="A538" s="700"/>
      <c r="B538" s="700"/>
      <c r="C538" s="701" t="s">
        <v>3637</v>
      </c>
      <c r="D538" s="701"/>
      <c r="E538" s="721">
        <v>30</v>
      </c>
      <c r="F538" s="703"/>
      <c r="G538" s="703"/>
      <c r="H538" s="703"/>
      <c r="I538" s="703"/>
      <c r="J538" s="703"/>
      <c r="K538" s="703"/>
      <c r="L538" s="703"/>
      <c r="M538" s="703"/>
      <c r="N538" s="703"/>
      <c r="O538" s="703">
        <f t="shared" si="160"/>
        <v>30</v>
      </c>
      <c r="P538" s="703"/>
      <c r="Q538" s="703"/>
      <c r="R538" s="704"/>
      <c r="S538" s="704"/>
      <c r="T538" s="703"/>
      <c r="U538" s="703" t="s">
        <v>1631</v>
      </c>
      <c r="V538" s="703"/>
      <c r="W538" s="703">
        <v>1</v>
      </c>
      <c r="X538" s="703"/>
      <c r="Y538" s="703"/>
      <c r="Z538" s="703">
        <v>1</v>
      </c>
      <c r="AA538" s="703"/>
      <c r="AB538" s="703"/>
      <c r="AC538" s="703"/>
      <c r="AD538" s="703"/>
      <c r="AE538" s="766"/>
      <c r="AF538" s="960"/>
      <c r="AG538" s="703"/>
      <c r="AH538" s="703"/>
      <c r="AI538" s="703"/>
      <c r="AJ538" s="703"/>
      <c r="AK538" s="703"/>
      <c r="AL538" s="703"/>
      <c r="AM538" s="703"/>
      <c r="AN538" s="703"/>
      <c r="AO538" s="703"/>
      <c r="AP538" s="703"/>
      <c r="AQ538" s="703"/>
      <c r="AR538" s="703"/>
      <c r="AS538" s="703"/>
      <c r="AT538" s="703"/>
      <c r="AU538" s="703"/>
      <c r="AV538" s="703"/>
      <c r="AW538" s="703"/>
      <c r="AX538" s="703"/>
      <c r="AY538" s="703"/>
      <c r="AZ538" s="694">
        <f t="shared" si="167"/>
        <v>1</v>
      </c>
      <c r="BA538" s="703"/>
      <c r="BB538" s="703"/>
      <c r="BC538" s="703"/>
      <c r="BD538" s="703">
        <v>1</v>
      </c>
      <c r="BE538" s="703"/>
      <c r="BF538" s="703"/>
      <c r="BG538" s="703"/>
      <c r="BH538" s="703"/>
      <c r="BI538" s="694">
        <f t="shared" si="163"/>
        <v>5</v>
      </c>
      <c r="BJ538" s="703"/>
      <c r="BK538" s="703"/>
      <c r="BL538" s="703"/>
      <c r="BM538" s="703"/>
      <c r="BN538" s="703"/>
      <c r="BO538" s="703"/>
      <c r="BP538" s="703"/>
      <c r="BQ538" s="703">
        <f t="shared" si="164"/>
        <v>0</v>
      </c>
      <c r="BR538" s="703"/>
      <c r="BS538" s="703">
        <f t="shared" si="165"/>
        <v>1</v>
      </c>
      <c r="BT538" s="703"/>
      <c r="BU538" s="703"/>
      <c r="BV538" s="703"/>
      <c r="BW538" s="703"/>
      <c r="BX538" s="703">
        <f t="shared" si="166"/>
        <v>0</v>
      </c>
      <c r="BY538" s="703"/>
      <c r="BZ538" s="703"/>
      <c r="CA538" s="703"/>
      <c r="CB538" s="703">
        <v>1</v>
      </c>
      <c r="CC538" s="703"/>
      <c r="CD538" s="703">
        <f t="shared" si="162"/>
        <v>4</v>
      </c>
      <c r="CE538" s="703"/>
      <c r="CF538" s="703"/>
      <c r="CG538" s="703"/>
      <c r="CH538" s="703"/>
      <c r="CI538" s="703"/>
      <c r="CJ538" s="703"/>
      <c r="CK538" s="703"/>
      <c r="CL538" s="703"/>
      <c r="CM538" s="703"/>
      <c r="CN538" s="703"/>
      <c r="CO538" s="703"/>
      <c r="CP538" s="703"/>
      <c r="CQ538" s="703"/>
      <c r="CR538" s="703"/>
      <c r="CS538" s="703"/>
      <c r="CT538" s="703"/>
      <c r="CU538" s="703"/>
      <c r="CV538" s="703"/>
      <c r="CW538" s="703"/>
      <c r="CX538" s="703"/>
      <c r="CY538" s="703"/>
      <c r="CZ538" s="703"/>
      <c r="DA538" s="703"/>
      <c r="DB538" s="703"/>
      <c r="DC538" s="703"/>
      <c r="DD538" s="703"/>
      <c r="DE538" s="703"/>
      <c r="DF538" s="703"/>
      <c r="DG538" s="705"/>
      <c r="DH538" s="705"/>
      <c r="DI538" s="705"/>
      <c r="DJ538" s="705"/>
      <c r="DK538" s="705"/>
      <c r="DL538" s="705"/>
      <c r="DM538" s="705"/>
      <c r="DN538" s="705"/>
      <c r="DO538" s="705"/>
      <c r="DP538" s="705"/>
      <c r="DQ538" s="705"/>
      <c r="DR538" s="705"/>
      <c r="DS538" s="703"/>
      <c r="DT538" s="703"/>
      <c r="DU538" s="703"/>
      <c r="DV538" s="703"/>
      <c r="DW538" s="703"/>
      <c r="DX538" s="703"/>
      <c r="DY538" s="703"/>
      <c r="DZ538" s="703"/>
      <c r="EA538" s="703"/>
      <c r="EB538" s="703"/>
      <c r="EC538" s="703"/>
      <c r="ED538" s="703"/>
      <c r="EE538" s="703"/>
      <c r="EF538" s="703"/>
      <c r="EG538" s="703"/>
      <c r="EH538" s="703"/>
      <c r="EI538" s="703"/>
      <c r="EJ538" s="703"/>
      <c r="EK538" s="703"/>
      <c r="EL538" s="703"/>
      <c r="EM538" s="703"/>
      <c r="EN538" s="703"/>
      <c r="EO538" s="703"/>
      <c r="EP538" s="703"/>
      <c r="EQ538" s="703"/>
      <c r="ER538" s="703"/>
      <c r="ES538" s="703"/>
      <c r="ET538" s="703"/>
      <c r="EU538" s="703"/>
      <c r="EV538" s="703"/>
      <c r="EW538" s="703"/>
      <c r="EX538" s="703"/>
      <c r="EY538" s="703"/>
      <c r="EZ538" s="703"/>
      <c r="FA538" s="703"/>
      <c r="FB538" s="703"/>
      <c r="FC538" s="703"/>
      <c r="FD538" s="703"/>
      <c r="FE538" s="703"/>
      <c r="FF538" s="703"/>
      <c r="FG538" s="703"/>
      <c r="FH538" s="703"/>
      <c r="FI538" s="703"/>
      <c r="FJ538" s="703"/>
      <c r="FK538" s="703"/>
      <c r="FL538" s="703"/>
      <c r="FM538" s="703"/>
      <c r="FN538" s="703"/>
      <c r="FO538" s="703"/>
      <c r="FP538" s="703"/>
      <c r="FQ538" s="704"/>
    </row>
    <row r="539" spans="1:173" s="706" customFormat="1">
      <c r="A539" s="700"/>
      <c r="B539" s="700"/>
      <c r="C539" s="701" t="s">
        <v>3638</v>
      </c>
      <c r="D539" s="701"/>
      <c r="E539" s="721">
        <v>35</v>
      </c>
      <c r="F539" s="703"/>
      <c r="G539" s="703"/>
      <c r="H539" s="703"/>
      <c r="I539" s="703"/>
      <c r="J539" s="703"/>
      <c r="K539" s="703"/>
      <c r="L539" s="703"/>
      <c r="M539" s="703"/>
      <c r="N539" s="703"/>
      <c r="O539" s="703">
        <f t="shared" si="160"/>
        <v>35</v>
      </c>
      <c r="P539" s="703"/>
      <c r="Q539" s="703"/>
      <c r="R539" s="704"/>
      <c r="S539" s="704"/>
      <c r="T539" s="703"/>
      <c r="U539" s="703" t="s">
        <v>2990</v>
      </c>
      <c r="V539" s="703"/>
      <c r="W539" s="703">
        <v>2</v>
      </c>
      <c r="X539" s="703"/>
      <c r="Y539" s="703"/>
      <c r="Z539" s="703"/>
      <c r="AA539" s="703"/>
      <c r="AB539" s="703"/>
      <c r="AC539" s="703"/>
      <c r="AD539" s="703"/>
      <c r="AE539" s="766">
        <v>1</v>
      </c>
      <c r="AF539" s="960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>
        <v>1</v>
      </c>
      <c r="AV539" s="703"/>
      <c r="AW539" s="703"/>
      <c r="AX539" s="703"/>
      <c r="AY539" s="703"/>
      <c r="AZ539" s="694">
        <f t="shared" si="167"/>
        <v>1</v>
      </c>
      <c r="BA539" s="703"/>
      <c r="BB539" s="703"/>
      <c r="BC539" s="703"/>
      <c r="BD539" s="703"/>
      <c r="BE539" s="703"/>
      <c r="BF539" s="703">
        <v>1</v>
      </c>
      <c r="BG539" s="703"/>
      <c r="BH539" s="703"/>
      <c r="BI539" s="694">
        <f t="shared" si="163"/>
        <v>7</v>
      </c>
      <c r="BJ539" s="703"/>
      <c r="BK539" s="703"/>
      <c r="BL539" s="703"/>
      <c r="BM539" s="703"/>
      <c r="BN539" s="703"/>
      <c r="BO539" s="703"/>
      <c r="BP539" s="703"/>
      <c r="BQ539" s="703">
        <f t="shared" si="164"/>
        <v>0</v>
      </c>
      <c r="BR539" s="703"/>
      <c r="BS539" s="703">
        <f t="shared" si="165"/>
        <v>0</v>
      </c>
      <c r="BT539" s="703"/>
      <c r="BU539" s="703"/>
      <c r="BV539" s="703"/>
      <c r="BW539" s="703"/>
      <c r="BX539" s="703">
        <f t="shared" si="166"/>
        <v>1</v>
      </c>
      <c r="BY539" s="703"/>
      <c r="BZ539" s="703"/>
      <c r="CA539" s="703"/>
      <c r="CB539" s="703">
        <v>1</v>
      </c>
      <c r="CC539" s="703"/>
      <c r="CD539" s="703">
        <f t="shared" si="162"/>
        <v>4</v>
      </c>
      <c r="CE539" s="703"/>
      <c r="CF539" s="703"/>
      <c r="CG539" s="703"/>
      <c r="CH539" s="703"/>
      <c r="CI539" s="703"/>
      <c r="CJ539" s="703"/>
      <c r="CK539" s="703"/>
      <c r="CL539" s="703"/>
      <c r="CM539" s="703"/>
      <c r="CN539" s="703"/>
      <c r="CO539" s="703"/>
      <c r="CP539" s="703"/>
      <c r="CQ539" s="703"/>
      <c r="CR539" s="703"/>
      <c r="CS539" s="703"/>
      <c r="CT539" s="703"/>
      <c r="CU539" s="703"/>
      <c r="CV539" s="703"/>
      <c r="CW539" s="703"/>
      <c r="CX539" s="703"/>
      <c r="CY539" s="703"/>
      <c r="CZ539" s="703"/>
      <c r="DA539" s="703"/>
      <c r="DB539" s="703"/>
      <c r="DC539" s="703"/>
      <c r="DD539" s="703"/>
      <c r="DE539" s="703"/>
      <c r="DF539" s="703"/>
      <c r="DG539" s="705"/>
      <c r="DH539" s="705"/>
      <c r="DI539" s="705"/>
      <c r="DJ539" s="705"/>
      <c r="DK539" s="705"/>
      <c r="DL539" s="705"/>
      <c r="DM539" s="705"/>
      <c r="DN539" s="705"/>
      <c r="DO539" s="705"/>
      <c r="DP539" s="705"/>
      <c r="DQ539" s="705"/>
      <c r="DR539" s="705"/>
      <c r="DS539" s="703"/>
      <c r="DT539" s="703"/>
      <c r="DU539" s="703"/>
      <c r="DV539" s="703"/>
      <c r="DW539" s="703"/>
      <c r="DX539" s="703"/>
      <c r="DY539" s="703"/>
      <c r="DZ539" s="703"/>
      <c r="EA539" s="703"/>
      <c r="EB539" s="703"/>
      <c r="EC539" s="703"/>
      <c r="ED539" s="703"/>
      <c r="EE539" s="703"/>
      <c r="EF539" s="703"/>
      <c r="EG539" s="703"/>
      <c r="EH539" s="703"/>
      <c r="EI539" s="703"/>
      <c r="EJ539" s="703"/>
      <c r="EK539" s="703"/>
      <c r="EL539" s="703"/>
      <c r="EM539" s="703"/>
      <c r="EN539" s="703"/>
      <c r="EO539" s="703"/>
      <c r="EP539" s="703"/>
      <c r="EQ539" s="703"/>
      <c r="ER539" s="703"/>
      <c r="ES539" s="703"/>
      <c r="ET539" s="703"/>
      <c r="EU539" s="703"/>
      <c r="EV539" s="703"/>
      <c r="EW539" s="703"/>
      <c r="EX539" s="703"/>
      <c r="EY539" s="703"/>
      <c r="EZ539" s="703"/>
      <c r="FA539" s="703"/>
      <c r="FB539" s="703"/>
      <c r="FC539" s="703"/>
      <c r="FD539" s="703"/>
      <c r="FE539" s="703"/>
      <c r="FF539" s="703"/>
      <c r="FG539" s="703"/>
      <c r="FH539" s="703"/>
      <c r="FI539" s="703"/>
      <c r="FJ539" s="703"/>
      <c r="FK539" s="703"/>
      <c r="FL539" s="703"/>
      <c r="FM539" s="703"/>
      <c r="FN539" s="703"/>
      <c r="FO539" s="703"/>
      <c r="FP539" s="703"/>
      <c r="FQ539" s="704"/>
    </row>
    <row r="540" spans="1:173" s="706" customFormat="1">
      <c r="A540" s="700"/>
      <c r="B540" s="700"/>
      <c r="C540" s="701" t="s">
        <v>3639</v>
      </c>
      <c r="D540" s="701"/>
      <c r="E540" s="721">
        <v>30</v>
      </c>
      <c r="F540" s="703"/>
      <c r="G540" s="703"/>
      <c r="H540" s="703"/>
      <c r="I540" s="703"/>
      <c r="J540" s="703"/>
      <c r="K540" s="703"/>
      <c r="L540" s="703"/>
      <c r="M540" s="703"/>
      <c r="N540" s="703"/>
      <c r="O540" s="703">
        <f t="shared" si="160"/>
        <v>30</v>
      </c>
      <c r="P540" s="703"/>
      <c r="Q540" s="703"/>
      <c r="R540" s="704"/>
      <c r="S540" s="704"/>
      <c r="T540" s="703"/>
      <c r="U540" s="703" t="s">
        <v>1903</v>
      </c>
      <c r="V540" s="703"/>
      <c r="W540" s="703">
        <v>2</v>
      </c>
      <c r="X540" s="703"/>
      <c r="Y540" s="703"/>
      <c r="Z540" s="703"/>
      <c r="AA540" s="703"/>
      <c r="AB540" s="703"/>
      <c r="AC540" s="703"/>
      <c r="AD540" s="703"/>
      <c r="AE540" s="766">
        <v>1</v>
      </c>
      <c r="AF540" s="960"/>
      <c r="AG540" s="703"/>
      <c r="AH540" s="703"/>
      <c r="AI540" s="703"/>
      <c r="AJ540" s="703"/>
      <c r="AK540" s="703"/>
      <c r="AL540" s="703"/>
      <c r="AM540" s="703"/>
      <c r="AN540" s="703"/>
      <c r="AO540" s="703"/>
      <c r="AP540" s="703"/>
      <c r="AQ540" s="703"/>
      <c r="AR540" s="703"/>
      <c r="AS540" s="703"/>
      <c r="AT540" s="703"/>
      <c r="AU540" s="703"/>
      <c r="AV540" s="703"/>
      <c r="AW540" s="703"/>
      <c r="AX540" s="703"/>
      <c r="AY540" s="703"/>
      <c r="AZ540" s="694">
        <f t="shared" si="167"/>
        <v>0</v>
      </c>
      <c r="BA540" s="703"/>
      <c r="BB540" s="703"/>
      <c r="BC540" s="703"/>
      <c r="BD540" s="703"/>
      <c r="BE540" s="703"/>
      <c r="BF540" s="703">
        <v>1</v>
      </c>
      <c r="BG540" s="703"/>
      <c r="BH540" s="703"/>
      <c r="BI540" s="694">
        <f t="shared" si="163"/>
        <v>0</v>
      </c>
      <c r="BJ540" s="703"/>
      <c r="BK540" s="703"/>
      <c r="BL540" s="703"/>
      <c r="BM540" s="703"/>
      <c r="BN540" s="703"/>
      <c r="BO540" s="703"/>
      <c r="BP540" s="703"/>
      <c r="BQ540" s="703">
        <f t="shared" si="164"/>
        <v>1</v>
      </c>
      <c r="BR540" s="703"/>
      <c r="BS540" s="703">
        <f t="shared" si="165"/>
        <v>2</v>
      </c>
      <c r="BT540" s="703"/>
      <c r="BU540" s="703"/>
      <c r="BV540" s="703"/>
      <c r="BW540" s="703"/>
      <c r="BX540" s="703">
        <f t="shared" si="166"/>
        <v>0</v>
      </c>
      <c r="BY540" s="703"/>
      <c r="BZ540" s="703"/>
      <c r="CA540" s="703"/>
      <c r="CB540" s="703"/>
      <c r="CC540" s="703"/>
      <c r="CD540" s="703">
        <f t="shared" si="162"/>
        <v>0</v>
      </c>
      <c r="CE540" s="703"/>
      <c r="CF540" s="703"/>
      <c r="CG540" s="703"/>
      <c r="CH540" s="703"/>
      <c r="CI540" s="703"/>
      <c r="CJ540" s="703"/>
      <c r="CK540" s="703"/>
      <c r="CL540" s="703"/>
      <c r="CM540" s="703"/>
      <c r="CN540" s="703"/>
      <c r="CO540" s="703"/>
      <c r="CP540" s="703"/>
      <c r="CQ540" s="703"/>
      <c r="CR540" s="703"/>
      <c r="CS540" s="703"/>
      <c r="CT540" s="703"/>
      <c r="CU540" s="703"/>
      <c r="CV540" s="703"/>
      <c r="CW540" s="703"/>
      <c r="CX540" s="703"/>
      <c r="CY540" s="703"/>
      <c r="CZ540" s="703"/>
      <c r="DA540" s="703"/>
      <c r="DB540" s="703"/>
      <c r="DC540" s="703"/>
      <c r="DD540" s="703"/>
      <c r="DE540" s="703"/>
      <c r="DF540" s="703"/>
      <c r="DG540" s="705"/>
      <c r="DH540" s="705"/>
      <c r="DI540" s="705"/>
      <c r="DJ540" s="705"/>
      <c r="DK540" s="705"/>
      <c r="DL540" s="705"/>
      <c r="DM540" s="705"/>
      <c r="DN540" s="705"/>
      <c r="DO540" s="705"/>
      <c r="DP540" s="705"/>
      <c r="DQ540" s="705"/>
      <c r="DR540" s="705"/>
      <c r="DS540" s="703"/>
      <c r="DT540" s="703"/>
      <c r="DU540" s="703"/>
      <c r="DV540" s="703"/>
      <c r="DW540" s="703"/>
      <c r="DX540" s="703"/>
      <c r="DY540" s="703"/>
      <c r="DZ540" s="703"/>
      <c r="EA540" s="703"/>
      <c r="EB540" s="703"/>
      <c r="EC540" s="703"/>
      <c r="ED540" s="703"/>
      <c r="EE540" s="703"/>
      <c r="EF540" s="703"/>
      <c r="EG540" s="703"/>
      <c r="EH540" s="703"/>
      <c r="EI540" s="703"/>
      <c r="EJ540" s="703"/>
      <c r="EK540" s="703"/>
      <c r="EL540" s="703"/>
      <c r="EM540" s="703"/>
      <c r="EN540" s="703"/>
      <c r="EO540" s="703"/>
      <c r="EP540" s="703"/>
      <c r="EQ540" s="703"/>
      <c r="ER540" s="703"/>
      <c r="ES540" s="703"/>
      <c r="ET540" s="703"/>
      <c r="EU540" s="703"/>
      <c r="EV540" s="703"/>
      <c r="EW540" s="703"/>
      <c r="EX540" s="703"/>
      <c r="EY540" s="703"/>
      <c r="EZ540" s="703"/>
      <c r="FA540" s="703"/>
      <c r="FB540" s="703"/>
      <c r="FC540" s="703"/>
      <c r="FD540" s="703"/>
      <c r="FE540" s="703"/>
      <c r="FF540" s="703"/>
      <c r="FG540" s="703"/>
      <c r="FH540" s="703"/>
      <c r="FI540" s="703"/>
      <c r="FJ540" s="703"/>
      <c r="FK540" s="703"/>
      <c r="FL540" s="703"/>
      <c r="FM540" s="703"/>
      <c r="FN540" s="703"/>
      <c r="FO540" s="703"/>
      <c r="FP540" s="703"/>
      <c r="FQ540" s="704"/>
    </row>
    <row r="541" spans="1:173" s="706" customFormat="1">
      <c r="A541" s="700"/>
      <c r="B541" s="700"/>
      <c r="C541" s="701" t="s">
        <v>3640</v>
      </c>
      <c r="D541" s="701"/>
      <c r="E541" s="721">
        <v>30</v>
      </c>
      <c r="F541" s="703"/>
      <c r="G541" s="703"/>
      <c r="H541" s="703"/>
      <c r="I541" s="703"/>
      <c r="J541" s="703"/>
      <c r="K541" s="703"/>
      <c r="L541" s="703"/>
      <c r="M541" s="703"/>
      <c r="N541" s="703"/>
      <c r="O541" s="703">
        <f>E541</f>
        <v>30</v>
      </c>
      <c r="P541" s="703"/>
      <c r="Q541" s="703"/>
      <c r="R541" s="704"/>
      <c r="S541" s="704"/>
      <c r="T541" s="703"/>
      <c r="U541" s="703" t="s">
        <v>2990</v>
      </c>
      <c r="V541" s="703"/>
      <c r="W541" s="703">
        <v>2</v>
      </c>
      <c r="X541" s="703"/>
      <c r="Y541" s="703"/>
      <c r="Z541" s="703"/>
      <c r="AA541" s="703"/>
      <c r="AB541" s="703"/>
      <c r="AC541" s="703"/>
      <c r="AD541" s="703"/>
      <c r="AE541" s="766">
        <v>1</v>
      </c>
      <c r="AF541" s="960"/>
      <c r="AG541" s="703"/>
      <c r="AH541" s="703"/>
      <c r="AI541" s="703"/>
      <c r="AJ541" s="703"/>
      <c r="AK541" s="703"/>
      <c r="AL541" s="703"/>
      <c r="AM541" s="703"/>
      <c r="AN541" s="703"/>
      <c r="AO541" s="703"/>
      <c r="AP541" s="703"/>
      <c r="AQ541" s="703"/>
      <c r="AR541" s="703"/>
      <c r="AS541" s="703"/>
      <c r="AT541" s="703"/>
      <c r="AU541" s="703">
        <v>1</v>
      </c>
      <c r="AV541" s="703"/>
      <c r="AW541" s="703"/>
      <c r="AX541" s="703"/>
      <c r="AY541" s="703"/>
      <c r="AZ541" s="694">
        <f t="shared" si="167"/>
        <v>1</v>
      </c>
      <c r="BA541" s="703"/>
      <c r="BB541" s="703"/>
      <c r="BC541" s="703"/>
      <c r="BD541" s="703">
        <v>1</v>
      </c>
      <c r="BE541" s="703"/>
      <c r="BF541" s="703">
        <v>1</v>
      </c>
      <c r="BG541" s="703"/>
      <c r="BH541" s="703"/>
      <c r="BI541" s="694">
        <f t="shared" si="163"/>
        <v>7</v>
      </c>
      <c r="BJ541" s="703"/>
      <c r="BK541" s="703"/>
      <c r="BL541" s="703"/>
      <c r="BM541" s="703"/>
      <c r="BN541" s="703"/>
      <c r="BO541" s="703"/>
      <c r="BP541" s="703"/>
      <c r="BQ541" s="703">
        <f t="shared" si="164"/>
        <v>0</v>
      </c>
      <c r="BR541" s="703"/>
      <c r="BS541" s="703">
        <f t="shared" si="165"/>
        <v>0</v>
      </c>
      <c r="BT541" s="703"/>
      <c r="BU541" s="703"/>
      <c r="BV541" s="703"/>
      <c r="BW541" s="703"/>
      <c r="BX541" s="703">
        <f t="shared" si="166"/>
        <v>1</v>
      </c>
      <c r="BY541" s="703"/>
      <c r="BZ541" s="703"/>
      <c r="CA541" s="703"/>
      <c r="CB541" s="703">
        <v>1</v>
      </c>
      <c r="CC541" s="703"/>
      <c r="CD541" s="703">
        <f t="shared" si="162"/>
        <v>4</v>
      </c>
      <c r="CE541" s="703"/>
      <c r="CF541" s="703"/>
      <c r="CG541" s="703"/>
      <c r="CH541" s="703"/>
      <c r="CI541" s="703"/>
      <c r="CJ541" s="703"/>
      <c r="CK541" s="703"/>
      <c r="CL541" s="703"/>
      <c r="CM541" s="703"/>
      <c r="CN541" s="703"/>
      <c r="CO541" s="703"/>
      <c r="CP541" s="703"/>
      <c r="CQ541" s="703"/>
      <c r="CR541" s="703"/>
      <c r="CS541" s="703"/>
      <c r="CT541" s="703"/>
      <c r="CU541" s="703"/>
      <c r="CV541" s="703"/>
      <c r="CW541" s="703"/>
      <c r="CX541" s="703"/>
      <c r="CY541" s="703"/>
      <c r="CZ541" s="703"/>
      <c r="DA541" s="703"/>
      <c r="DB541" s="703"/>
      <c r="DC541" s="703"/>
      <c r="DD541" s="703"/>
      <c r="DE541" s="703"/>
      <c r="DF541" s="703"/>
      <c r="DG541" s="705"/>
      <c r="DH541" s="705"/>
      <c r="DI541" s="705"/>
      <c r="DJ541" s="705"/>
      <c r="DK541" s="705"/>
      <c r="DL541" s="705"/>
      <c r="DM541" s="705"/>
      <c r="DN541" s="705"/>
      <c r="DO541" s="705"/>
      <c r="DP541" s="705"/>
      <c r="DQ541" s="705"/>
      <c r="DR541" s="705"/>
      <c r="DS541" s="703"/>
      <c r="DT541" s="703"/>
      <c r="DU541" s="703"/>
      <c r="DV541" s="703"/>
      <c r="DW541" s="703"/>
      <c r="DX541" s="703"/>
      <c r="DY541" s="703"/>
      <c r="DZ541" s="703"/>
      <c r="EA541" s="703"/>
      <c r="EB541" s="703"/>
      <c r="EC541" s="703"/>
      <c r="ED541" s="703"/>
      <c r="EE541" s="703"/>
      <c r="EF541" s="703"/>
      <c r="EG541" s="703"/>
      <c r="EH541" s="703"/>
      <c r="EI541" s="703"/>
      <c r="EJ541" s="703"/>
      <c r="EK541" s="703"/>
      <c r="EL541" s="703"/>
      <c r="EM541" s="703"/>
      <c r="EN541" s="703"/>
      <c r="EO541" s="703"/>
      <c r="EP541" s="703"/>
      <c r="EQ541" s="703"/>
      <c r="ER541" s="703"/>
      <c r="ES541" s="703"/>
      <c r="ET541" s="703"/>
      <c r="EU541" s="703"/>
      <c r="EV541" s="703"/>
      <c r="EW541" s="703"/>
      <c r="EX541" s="703"/>
      <c r="EY541" s="703"/>
      <c r="EZ541" s="703"/>
      <c r="FA541" s="703"/>
      <c r="FB541" s="703"/>
      <c r="FC541" s="703"/>
      <c r="FD541" s="703"/>
      <c r="FE541" s="703"/>
      <c r="FF541" s="703"/>
      <c r="FG541" s="703"/>
      <c r="FH541" s="703"/>
      <c r="FI541" s="703"/>
      <c r="FJ541" s="703"/>
      <c r="FK541" s="703"/>
      <c r="FL541" s="703"/>
      <c r="FM541" s="703"/>
      <c r="FN541" s="703"/>
      <c r="FO541" s="703"/>
      <c r="FP541" s="703"/>
      <c r="FQ541" s="704"/>
    </row>
    <row r="542" spans="1:173" s="706" customFormat="1">
      <c r="A542" s="700"/>
      <c r="B542" s="700"/>
      <c r="C542" s="701"/>
      <c r="D542" s="701"/>
      <c r="E542" s="721"/>
      <c r="F542" s="703"/>
      <c r="G542" s="703"/>
      <c r="H542" s="703"/>
      <c r="I542" s="703"/>
      <c r="J542" s="703"/>
      <c r="K542" s="703"/>
      <c r="L542" s="703"/>
      <c r="M542" s="703"/>
      <c r="N542" s="703"/>
      <c r="O542" s="703"/>
      <c r="P542" s="703">
        <f t="shared" ref="P542:P543" si="168">E542</f>
        <v>0</v>
      </c>
      <c r="Q542" s="703"/>
      <c r="R542" s="704"/>
      <c r="S542" s="704"/>
      <c r="T542" s="703"/>
      <c r="U542" s="703"/>
      <c r="V542" s="703"/>
      <c r="W542" s="703"/>
      <c r="X542" s="703"/>
      <c r="Y542" s="703"/>
      <c r="Z542" s="703"/>
      <c r="AA542" s="703"/>
      <c r="AB542" s="703"/>
      <c r="AC542" s="703"/>
      <c r="AD542" s="703"/>
      <c r="AE542" s="766"/>
      <c r="AF542" s="960"/>
      <c r="AG542" s="703"/>
      <c r="AH542" s="703"/>
      <c r="AI542" s="703"/>
      <c r="AJ542" s="703"/>
      <c r="AK542" s="703"/>
      <c r="AL542" s="703"/>
      <c r="AM542" s="703"/>
      <c r="AN542" s="703"/>
      <c r="AO542" s="703"/>
      <c r="AP542" s="703"/>
      <c r="AQ542" s="703"/>
      <c r="AR542" s="703"/>
      <c r="AS542" s="703"/>
      <c r="AT542" s="703"/>
      <c r="AU542" s="703"/>
      <c r="AV542" s="703"/>
      <c r="AW542" s="703"/>
      <c r="AX542" s="703"/>
      <c r="AY542" s="703"/>
      <c r="AZ542" s="694">
        <f t="shared" si="167"/>
        <v>0</v>
      </c>
      <c r="BA542" s="703"/>
      <c r="BB542" s="703"/>
      <c r="BC542" s="703"/>
      <c r="BD542" s="703"/>
      <c r="BE542" s="703"/>
      <c r="BF542" s="703"/>
      <c r="BG542" s="703"/>
      <c r="BH542" s="703"/>
      <c r="BI542" s="694">
        <f t="shared" ref="BI542:BI552" si="169">CB542*5+AU542*2</f>
        <v>0</v>
      </c>
      <c r="BJ542" s="703"/>
      <c r="BK542" s="703"/>
      <c r="BL542" s="703"/>
      <c r="BM542" s="703"/>
      <c r="BN542" s="703"/>
      <c r="BO542" s="703"/>
      <c r="BP542" s="703"/>
      <c r="BQ542" s="703">
        <f t="shared" si="164"/>
        <v>0</v>
      </c>
      <c r="BR542" s="703"/>
      <c r="BS542" s="703">
        <f t="shared" si="165"/>
        <v>0</v>
      </c>
      <c r="BT542" s="703">
        <f t="shared" ref="BT542:BT553" si="170">IF(U542="I",1,IF(U542="G",2,))</f>
        <v>0</v>
      </c>
      <c r="BU542" s="703"/>
      <c r="BV542" s="703"/>
      <c r="BW542" s="703"/>
      <c r="BX542" s="703">
        <f t="shared" si="166"/>
        <v>0</v>
      </c>
      <c r="BY542" s="703"/>
      <c r="BZ542" s="703"/>
      <c r="CA542" s="703"/>
      <c r="CB542" s="703"/>
      <c r="CC542" s="703"/>
      <c r="CD542" s="703">
        <f t="shared" si="162"/>
        <v>0</v>
      </c>
      <c r="CE542" s="703"/>
      <c r="CF542" s="703"/>
      <c r="CG542" s="703"/>
      <c r="CH542" s="703"/>
      <c r="CI542" s="703"/>
      <c r="CJ542" s="703"/>
      <c r="CK542" s="703"/>
      <c r="CL542" s="703"/>
      <c r="CM542" s="703"/>
      <c r="CN542" s="703"/>
      <c r="CO542" s="703"/>
      <c r="CP542" s="703"/>
      <c r="CQ542" s="703"/>
      <c r="CR542" s="703"/>
      <c r="CS542" s="703"/>
      <c r="CT542" s="703"/>
      <c r="CU542" s="703"/>
      <c r="CV542" s="703"/>
      <c r="CW542" s="703"/>
      <c r="CX542" s="703"/>
      <c r="CY542" s="703"/>
      <c r="CZ542" s="703"/>
      <c r="DA542" s="703"/>
      <c r="DB542" s="703"/>
      <c r="DC542" s="703"/>
      <c r="DD542" s="703"/>
      <c r="DE542" s="703"/>
      <c r="DF542" s="703"/>
      <c r="DG542" s="705"/>
      <c r="DH542" s="705"/>
      <c r="DI542" s="705"/>
      <c r="DJ542" s="705"/>
      <c r="DK542" s="705"/>
      <c r="DL542" s="705"/>
      <c r="DM542" s="705"/>
      <c r="DN542" s="705"/>
      <c r="DO542" s="705"/>
      <c r="DP542" s="705"/>
      <c r="DQ542" s="705"/>
      <c r="DR542" s="705"/>
      <c r="DS542" s="703"/>
      <c r="DT542" s="703"/>
      <c r="DU542" s="703"/>
      <c r="DV542" s="703"/>
      <c r="DW542" s="703"/>
      <c r="DX542" s="703"/>
      <c r="DY542" s="703"/>
      <c r="DZ542" s="703"/>
      <c r="EA542" s="703"/>
      <c r="EB542" s="703"/>
      <c r="EC542" s="703"/>
      <c r="ED542" s="703"/>
      <c r="EE542" s="703"/>
      <c r="EF542" s="703"/>
      <c r="EG542" s="703"/>
      <c r="EH542" s="703"/>
      <c r="EI542" s="703"/>
      <c r="EJ542" s="703"/>
      <c r="EK542" s="703"/>
      <c r="EL542" s="703"/>
      <c r="EM542" s="703"/>
      <c r="EN542" s="703"/>
      <c r="EO542" s="703"/>
      <c r="EP542" s="703"/>
      <c r="EQ542" s="703"/>
      <c r="ER542" s="703"/>
      <c r="ES542" s="703"/>
      <c r="ET542" s="703"/>
      <c r="EU542" s="703"/>
      <c r="EV542" s="703"/>
      <c r="EW542" s="703"/>
      <c r="EX542" s="703"/>
      <c r="EY542" s="703"/>
      <c r="EZ542" s="703"/>
      <c r="FA542" s="703"/>
      <c r="FB542" s="703"/>
      <c r="FC542" s="703"/>
      <c r="FD542" s="703"/>
      <c r="FE542" s="703"/>
      <c r="FF542" s="703"/>
      <c r="FG542" s="703"/>
      <c r="FH542" s="703"/>
      <c r="FI542" s="703"/>
      <c r="FJ542" s="703"/>
      <c r="FK542" s="703"/>
      <c r="FL542" s="703"/>
      <c r="FM542" s="703"/>
      <c r="FN542" s="703"/>
      <c r="FO542" s="703"/>
      <c r="FP542" s="703"/>
      <c r="FQ542" s="704"/>
    </row>
    <row r="543" spans="1:173" s="706" customFormat="1">
      <c r="A543" s="700"/>
      <c r="B543" s="700"/>
      <c r="C543" s="701"/>
      <c r="D543" s="702" t="s">
        <v>3757</v>
      </c>
      <c r="E543" s="721"/>
      <c r="F543" s="703"/>
      <c r="G543" s="703"/>
      <c r="H543" s="703"/>
      <c r="I543" s="703"/>
      <c r="J543" s="703"/>
      <c r="K543" s="703"/>
      <c r="L543" s="703"/>
      <c r="M543" s="703"/>
      <c r="N543" s="703"/>
      <c r="O543" s="703"/>
      <c r="P543" s="703">
        <f t="shared" si="168"/>
        <v>0</v>
      </c>
      <c r="Q543" s="703"/>
      <c r="R543" s="704"/>
      <c r="S543" s="704"/>
      <c r="T543" s="703"/>
      <c r="U543" s="703"/>
      <c r="V543" s="703"/>
      <c r="W543" s="703"/>
      <c r="X543" s="703"/>
      <c r="Y543" s="703"/>
      <c r="Z543" s="703"/>
      <c r="AA543" s="703"/>
      <c r="AB543" s="703"/>
      <c r="AC543" s="703"/>
      <c r="AD543" s="703"/>
      <c r="AE543" s="766"/>
      <c r="AF543" s="960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694">
        <f t="shared" si="167"/>
        <v>0</v>
      </c>
      <c r="BA543" s="703"/>
      <c r="BB543" s="703"/>
      <c r="BC543" s="703"/>
      <c r="BD543" s="703"/>
      <c r="BE543" s="703"/>
      <c r="BF543" s="703"/>
      <c r="BG543" s="703"/>
      <c r="BH543" s="703"/>
      <c r="BI543" s="694">
        <f t="shared" si="169"/>
        <v>0</v>
      </c>
      <c r="BJ543" s="703"/>
      <c r="BK543" s="703"/>
      <c r="BL543" s="703"/>
      <c r="BM543" s="703"/>
      <c r="BN543" s="703"/>
      <c r="BO543" s="703"/>
      <c r="BP543" s="703"/>
      <c r="BQ543" s="703">
        <f t="shared" si="164"/>
        <v>0</v>
      </c>
      <c r="BR543" s="703"/>
      <c r="BS543" s="703">
        <f t="shared" si="165"/>
        <v>0</v>
      </c>
      <c r="BT543" s="703">
        <f t="shared" si="170"/>
        <v>0</v>
      </c>
      <c r="BU543" s="703"/>
      <c r="BV543" s="703"/>
      <c r="BW543" s="703"/>
      <c r="BX543" s="703">
        <f t="shared" si="166"/>
        <v>0</v>
      </c>
      <c r="BY543" s="703"/>
      <c r="BZ543" s="703"/>
      <c r="CA543" s="703"/>
      <c r="CB543" s="703"/>
      <c r="CC543" s="703"/>
      <c r="CD543" s="703">
        <f t="shared" si="162"/>
        <v>0</v>
      </c>
      <c r="CE543" s="703"/>
      <c r="CF543" s="703"/>
      <c r="CG543" s="703"/>
      <c r="CH543" s="703"/>
      <c r="CI543" s="703"/>
      <c r="CJ543" s="703"/>
      <c r="CK543" s="703"/>
      <c r="CL543" s="703"/>
      <c r="CM543" s="703"/>
      <c r="CN543" s="703"/>
      <c r="CO543" s="703"/>
      <c r="CP543" s="703"/>
      <c r="CQ543" s="703"/>
      <c r="CR543" s="703"/>
      <c r="CS543" s="703"/>
      <c r="CT543" s="703"/>
      <c r="CU543" s="703"/>
      <c r="CV543" s="703"/>
      <c r="CW543" s="703"/>
      <c r="CX543" s="703"/>
      <c r="CY543" s="703"/>
      <c r="CZ543" s="703"/>
      <c r="DA543" s="703"/>
      <c r="DB543" s="703"/>
      <c r="DC543" s="703"/>
      <c r="DD543" s="703"/>
      <c r="DE543" s="703"/>
      <c r="DF543" s="703"/>
      <c r="DG543" s="705"/>
      <c r="DH543" s="705"/>
      <c r="DI543" s="705"/>
      <c r="DJ543" s="705"/>
      <c r="DK543" s="705"/>
      <c r="DL543" s="705"/>
      <c r="DM543" s="705"/>
      <c r="DN543" s="705"/>
      <c r="DO543" s="705"/>
      <c r="DP543" s="705"/>
      <c r="DQ543" s="705"/>
      <c r="DR543" s="705"/>
      <c r="DS543" s="703"/>
      <c r="DT543" s="703"/>
      <c r="DU543" s="703"/>
      <c r="DV543" s="703"/>
      <c r="DW543" s="703"/>
      <c r="DX543" s="703"/>
      <c r="DY543" s="703"/>
      <c r="DZ543" s="703"/>
      <c r="EA543" s="703"/>
      <c r="EB543" s="703"/>
      <c r="EC543" s="703"/>
      <c r="ED543" s="703"/>
      <c r="EE543" s="703"/>
      <c r="EF543" s="703"/>
      <c r="EG543" s="703"/>
      <c r="EH543" s="703"/>
      <c r="EI543" s="703"/>
      <c r="EJ543" s="703"/>
      <c r="EK543" s="703"/>
      <c r="EL543" s="703"/>
      <c r="EM543" s="703"/>
      <c r="EN543" s="703"/>
      <c r="EO543" s="703"/>
      <c r="EP543" s="703"/>
      <c r="EQ543" s="703"/>
      <c r="ER543" s="703"/>
      <c r="ES543" s="703"/>
      <c r="ET543" s="703"/>
      <c r="EU543" s="703"/>
      <c r="EV543" s="703"/>
      <c r="EW543" s="703"/>
      <c r="EX543" s="703"/>
      <c r="EY543" s="703"/>
      <c r="EZ543" s="703"/>
      <c r="FA543" s="703"/>
      <c r="FB543" s="703"/>
      <c r="FC543" s="703"/>
      <c r="FD543" s="703"/>
      <c r="FE543" s="703"/>
      <c r="FF543" s="703"/>
      <c r="FG543" s="703"/>
      <c r="FH543" s="703"/>
      <c r="FI543" s="703"/>
      <c r="FJ543" s="703"/>
      <c r="FK543" s="703"/>
      <c r="FL543" s="703"/>
      <c r="FM543" s="703"/>
      <c r="FN543" s="703"/>
      <c r="FO543" s="703"/>
      <c r="FP543" s="703"/>
      <c r="FQ543" s="704"/>
    </row>
    <row r="544" spans="1:173" s="706" customFormat="1">
      <c r="A544" s="700"/>
      <c r="B544" s="700"/>
      <c r="C544" s="701" t="s">
        <v>3632</v>
      </c>
      <c r="D544" s="701"/>
      <c r="E544" s="721">
        <v>11</v>
      </c>
      <c r="F544" s="703"/>
      <c r="G544" s="703"/>
      <c r="H544" s="703"/>
      <c r="I544" s="703"/>
      <c r="J544" s="703"/>
      <c r="K544" s="703"/>
      <c r="L544" s="703"/>
      <c r="M544" s="703"/>
      <c r="N544" s="703"/>
      <c r="O544" s="703">
        <f>E544</f>
        <v>11</v>
      </c>
      <c r="P544" s="703"/>
      <c r="Q544" s="703"/>
      <c r="R544" s="704"/>
      <c r="S544" s="704"/>
      <c r="T544" s="703"/>
      <c r="U544" s="703" t="s">
        <v>2989</v>
      </c>
      <c r="V544" s="703"/>
      <c r="W544" s="703">
        <v>2</v>
      </c>
      <c r="X544" s="703"/>
      <c r="Y544" s="703"/>
      <c r="Z544" s="703"/>
      <c r="AA544" s="703"/>
      <c r="AB544" s="703"/>
      <c r="AC544" s="703"/>
      <c r="AD544" s="703"/>
      <c r="AE544" s="766">
        <v>1</v>
      </c>
      <c r="AF544" s="960"/>
      <c r="AG544" s="703"/>
      <c r="AH544" s="703"/>
      <c r="AI544" s="703"/>
      <c r="AJ544" s="703"/>
      <c r="AK544" s="703"/>
      <c r="AL544" s="703"/>
      <c r="AM544" s="703"/>
      <c r="AN544" s="703"/>
      <c r="AO544" s="703"/>
      <c r="AP544" s="703"/>
      <c r="AQ544" s="703"/>
      <c r="AR544" s="703"/>
      <c r="AS544" s="703"/>
      <c r="AT544" s="703"/>
      <c r="AU544" s="703"/>
      <c r="AV544" s="703"/>
      <c r="AW544" s="703"/>
      <c r="AX544" s="703"/>
      <c r="AY544" s="703"/>
      <c r="AZ544" s="694">
        <f t="shared" si="167"/>
        <v>0</v>
      </c>
      <c r="BA544" s="703"/>
      <c r="BB544" s="703"/>
      <c r="BC544" s="703"/>
      <c r="BD544" s="703">
        <v>1</v>
      </c>
      <c r="BE544" s="703"/>
      <c r="BF544" s="703">
        <v>1</v>
      </c>
      <c r="BG544" s="703"/>
      <c r="BH544" s="703"/>
      <c r="BI544" s="694">
        <f t="shared" si="169"/>
        <v>0</v>
      </c>
      <c r="BJ544" s="703"/>
      <c r="BK544" s="703"/>
      <c r="BL544" s="703"/>
      <c r="BM544" s="703"/>
      <c r="BN544" s="703"/>
      <c r="BO544" s="703"/>
      <c r="BP544" s="703"/>
      <c r="BQ544" s="703">
        <f t="shared" si="164"/>
        <v>0</v>
      </c>
      <c r="BR544" s="703"/>
      <c r="BS544" s="703">
        <f t="shared" si="165"/>
        <v>0</v>
      </c>
      <c r="BT544" s="703">
        <f t="shared" si="170"/>
        <v>0</v>
      </c>
      <c r="BU544" s="703"/>
      <c r="BV544" s="703"/>
      <c r="BW544" s="703"/>
      <c r="BX544" s="703">
        <f t="shared" si="166"/>
        <v>2</v>
      </c>
      <c r="BY544" s="703"/>
      <c r="BZ544" s="703"/>
      <c r="CA544" s="703"/>
      <c r="CB544" s="703"/>
      <c r="CC544" s="703"/>
      <c r="CD544" s="703">
        <f t="shared" si="162"/>
        <v>0</v>
      </c>
      <c r="CE544" s="703"/>
      <c r="CF544" s="703"/>
      <c r="CG544" s="703"/>
      <c r="CH544" s="703"/>
      <c r="CI544" s="703"/>
      <c r="CJ544" s="703"/>
      <c r="CK544" s="703"/>
      <c r="CL544" s="703"/>
      <c r="CM544" s="703"/>
      <c r="CN544" s="703"/>
      <c r="CO544" s="703"/>
      <c r="CP544" s="703"/>
      <c r="CQ544" s="703"/>
      <c r="CR544" s="703"/>
      <c r="CS544" s="703"/>
      <c r="CT544" s="703"/>
      <c r="CU544" s="703"/>
      <c r="CV544" s="703"/>
      <c r="CW544" s="703"/>
      <c r="CX544" s="703"/>
      <c r="CY544" s="703"/>
      <c r="CZ544" s="703"/>
      <c r="DA544" s="703"/>
      <c r="DB544" s="703"/>
      <c r="DC544" s="703"/>
      <c r="DD544" s="703"/>
      <c r="DE544" s="703"/>
      <c r="DF544" s="703"/>
      <c r="DG544" s="705"/>
      <c r="DH544" s="705"/>
      <c r="DI544" s="705"/>
      <c r="DJ544" s="705"/>
      <c r="DK544" s="705"/>
      <c r="DL544" s="705"/>
      <c r="DM544" s="705"/>
      <c r="DN544" s="705"/>
      <c r="DO544" s="705"/>
      <c r="DP544" s="705"/>
      <c r="DQ544" s="705"/>
      <c r="DR544" s="705"/>
      <c r="DS544" s="703"/>
      <c r="DT544" s="703"/>
      <c r="DU544" s="703"/>
      <c r="DV544" s="703"/>
      <c r="DW544" s="703"/>
      <c r="DX544" s="703"/>
      <c r="DY544" s="703"/>
      <c r="DZ544" s="703"/>
      <c r="EA544" s="703"/>
      <c r="EB544" s="703"/>
      <c r="EC544" s="703"/>
      <c r="ED544" s="703"/>
      <c r="EE544" s="703"/>
      <c r="EF544" s="703"/>
      <c r="EG544" s="703"/>
      <c r="EH544" s="703"/>
      <c r="EI544" s="703"/>
      <c r="EJ544" s="703"/>
      <c r="EK544" s="703"/>
      <c r="EL544" s="703"/>
      <c r="EM544" s="703"/>
      <c r="EN544" s="703"/>
      <c r="EO544" s="703"/>
      <c r="EP544" s="703"/>
      <c r="EQ544" s="703"/>
      <c r="ER544" s="703"/>
      <c r="ES544" s="703"/>
      <c r="ET544" s="703"/>
      <c r="EU544" s="703"/>
      <c r="EV544" s="703"/>
      <c r="EW544" s="703"/>
      <c r="EX544" s="703"/>
      <c r="EY544" s="703"/>
      <c r="EZ544" s="703"/>
      <c r="FA544" s="703"/>
      <c r="FB544" s="703"/>
      <c r="FC544" s="703"/>
      <c r="FD544" s="703"/>
      <c r="FE544" s="703"/>
      <c r="FF544" s="703"/>
      <c r="FG544" s="703"/>
      <c r="FH544" s="703"/>
      <c r="FI544" s="703"/>
      <c r="FJ544" s="703"/>
      <c r="FK544" s="703"/>
      <c r="FL544" s="703"/>
      <c r="FM544" s="703"/>
      <c r="FN544" s="703"/>
      <c r="FO544" s="703"/>
      <c r="FP544" s="703"/>
      <c r="FQ544" s="704"/>
    </row>
    <row r="545" spans="1:177" s="706" customFormat="1">
      <c r="A545" s="700"/>
      <c r="B545" s="700"/>
      <c r="C545" s="701" t="s">
        <v>3633</v>
      </c>
      <c r="D545" s="701"/>
      <c r="E545" s="721">
        <v>30</v>
      </c>
      <c r="F545" s="703"/>
      <c r="G545" s="703"/>
      <c r="H545" s="703"/>
      <c r="I545" s="703"/>
      <c r="J545" s="703"/>
      <c r="K545" s="703"/>
      <c r="L545" s="703"/>
      <c r="M545" s="703"/>
      <c r="N545" s="703"/>
      <c r="O545" s="703">
        <f t="shared" ref="O545:O552" si="171">E545</f>
        <v>30</v>
      </c>
      <c r="P545" s="703"/>
      <c r="Q545" s="703"/>
      <c r="R545" s="704"/>
      <c r="S545" s="704"/>
      <c r="T545" s="703"/>
      <c r="U545" s="703" t="s">
        <v>1631</v>
      </c>
      <c r="V545" s="703"/>
      <c r="W545" s="703">
        <v>1</v>
      </c>
      <c r="X545" s="703"/>
      <c r="Y545" s="703"/>
      <c r="Z545" s="703">
        <v>1</v>
      </c>
      <c r="AA545" s="703"/>
      <c r="AB545" s="703"/>
      <c r="AC545" s="703"/>
      <c r="AD545" s="703"/>
      <c r="AE545" s="766"/>
      <c r="AF545" s="960"/>
      <c r="AG545" s="703"/>
      <c r="AH545" s="703"/>
      <c r="AI545" s="703"/>
      <c r="AJ545" s="703"/>
      <c r="AK545" s="703"/>
      <c r="AL545" s="703"/>
      <c r="AM545" s="703"/>
      <c r="AN545" s="703"/>
      <c r="AO545" s="703"/>
      <c r="AP545" s="703"/>
      <c r="AQ545" s="703"/>
      <c r="AR545" s="703"/>
      <c r="AS545" s="703"/>
      <c r="AT545" s="703"/>
      <c r="AU545" s="703"/>
      <c r="AV545" s="703"/>
      <c r="AW545" s="703"/>
      <c r="AX545" s="703"/>
      <c r="AY545" s="703"/>
      <c r="AZ545" s="694">
        <f t="shared" si="167"/>
        <v>0</v>
      </c>
      <c r="BA545" s="703"/>
      <c r="BB545" s="703"/>
      <c r="BC545" s="703"/>
      <c r="BD545" s="703">
        <v>1</v>
      </c>
      <c r="BE545" s="703"/>
      <c r="BF545" s="703"/>
      <c r="BG545" s="703"/>
      <c r="BH545" s="703"/>
      <c r="BI545" s="694">
        <f t="shared" si="169"/>
        <v>0</v>
      </c>
      <c r="BJ545" s="703"/>
      <c r="BK545" s="703"/>
      <c r="BL545" s="703"/>
      <c r="BM545" s="703"/>
      <c r="BN545" s="703"/>
      <c r="BO545" s="703"/>
      <c r="BP545" s="703"/>
      <c r="BQ545" s="703">
        <f t="shared" si="164"/>
        <v>0</v>
      </c>
      <c r="BR545" s="703"/>
      <c r="BS545" s="703">
        <f t="shared" si="165"/>
        <v>1</v>
      </c>
      <c r="BT545" s="703"/>
      <c r="BU545" s="703"/>
      <c r="BV545" s="703"/>
      <c r="BW545" s="703"/>
      <c r="BX545" s="703">
        <f t="shared" si="166"/>
        <v>0</v>
      </c>
      <c r="BY545" s="703"/>
      <c r="BZ545" s="703"/>
      <c r="CA545" s="703"/>
      <c r="CB545" s="703"/>
      <c r="CC545" s="703"/>
      <c r="CD545" s="703">
        <f t="shared" si="162"/>
        <v>0</v>
      </c>
      <c r="CE545" s="703"/>
      <c r="CF545" s="703"/>
      <c r="CG545" s="703"/>
      <c r="CH545" s="703"/>
      <c r="CI545" s="703"/>
      <c r="CJ545" s="703"/>
      <c r="CK545" s="703"/>
      <c r="CL545" s="703"/>
      <c r="CM545" s="703"/>
      <c r="CN545" s="703"/>
      <c r="CO545" s="703"/>
      <c r="CP545" s="703"/>
      <c r="CQ545" s="703"/>
      <c r="CR545" s="703"/>
      <c r="CS545" s="703"/>
      <c r="CT545" s="703"/>
      <c r="CU545" s="703"/>
      <c r="CV545" s="703"/>
      <c r="CW545" s="703"/>
      <c r="CX545" s="703"/>
      <c r="CY545" s="703"/>
      <c r="CZ545" s="703"/>
      <c r="DA545" s="703"/>
      <c r="DB545" s="703"/>
      <c r="DC545" s="703"/>
      <c r="DD545" s="703"/>
      <c r="DE545" s="703"/>
      <c r="DF545" s="703"/>
      <c r="DG545" s="705"/>
      <c r="DH545" s="705"/>
      <c r="DI545" s="705"/>
      <c r="DJ545" s="705"/>
      <c r="DK545" s="705"/>
      <c r="DL545" s="705"/>
      <c r="DM545" s="705"/>
      <c r="DN545" s="705"/>
      <c r="DO545" s="705"/>
      <c r="DP545" s="705"/>
      <c r="DQ545" s="705"/>
      <c r="DR545" s="705"/>
      <c r="DS545" s="703"/>
      <c r="DT545" s="703"/>
      <c r="DU545" s="703"/>
      <c r="DV545" s="703"/>
      <c r="DW545" s="703"/>
      <c r="DX545" s="703"/>
      <c r="DY545" s="703"/>
      <c r="DZ545" s="703"/>
      <c r="EA545" s="703"/>
      <c r="EB545" s="703"/>
      <c r="EC545" s="703"/>
      <c r="ED545" s="703"/>
      <c r="EE545" s="703"/>
      <c r="EF545" s="703"/>
      <c r="EG545" s="703"/>
      <c r="EH545" s="703"/>
      <c r="EI545" s="703"/>
      <c r="EJ545" s="703"/>
      <c r="EK545" s="703"/>
      <c r="EL545" s="703"/>
      <c r="EM545" s="703"/>
      <c r="EN545" s="703"/>
      <c r="EO545" s="703"/>
      <c r="EP545" s="703"/>
      <c r="EQ545" s="703"/>
      <c r="ER545" s="703"/>
      <c r="ES545" s="703"/>
      <c r="ET545" s="703"/>
      <c r="EU545" s="703"/>
      <c r="EV545" s="703"/>
      <c r="EW545" s="703"/>
      <c r="EX545" s="703"/>
      <c r="EY545" s="703"/>
      <c r="EZ545" s="703"/>
      <c r="FA545" s="703"/>
      <c r="FB545" s="703"/>
      <c r="FC545" s="703"/>
      <c r="FD545" s="703"/>
      <c r="FE545" s="703"/>
      <c r="FF545" s="703"/>
      <c r="FG545" s="703"/>
      <c r="FH545" s="703"/>
      <c r="FI545" s="703"/>
      <c r="FJ545" s="703"/>
      <c r="FK545" s="703"/>
      <c r="FL545" s="703"/>
      <c r="FM545" s="703"/>
      <c r="FN545" s="703"/>
      <c r="FO545" s="703"/>
      <c r="FP545" s="703"/>
      <c r="FQ545" s="704"/>
    </row>
    <row r="546" spans="1:177" s="706" customFormat="1">
      <c r="A546" s="700"/>
      <c r="B546" s="700"/>
      <c r="C546" s="701" t="s">
        <v>3634</v>
      </c>
      <c r="D546" s="701"/>
      <c r="E546" s="721">
        <v>35</v>
      </c>
      <c r="F546" s="703"/>
      <c r="G546" s="703"/>
      <c r="H546" s="703"/>
      <c r="I546" s="703"/>
      <c r="J546" s="703"/>
      <c r="K546" s="703"/>
      <c r="L546" s="703"/>
      <c r="M546" s="703"/>
      <c r="N546" s="703"/>
      <c r="O546" s="703">
        <f t="shared" si="171"/>
        <v>35</v>
      </c>
      <c r="P546" s="703"/>
      <c r="Q546" s="703"/>
      <c r="R546" s="704"/>
      <c r="S546" s="704"/>
      <c r="T546" s="703"/>
      <c r="U546" s="703" t="s">
        <v>1903</v>
      </c>
      <c r="V546" s="703"/>
      <c r="W546" s="703">
        <v>2</v>
      </c>
      <c r="X546" s="703"/>
      <c r="Y546" s="703"/>
      <c r="Z546" s="703"/>
      <c r="AA546" s="703"/>
      <c r="AB546" s="703"/>
      <c r="AC546" s="703"/>
      <c r="AD546" s="703"/>
      <c r="AE546" s="766">
        <v>1</v>
      </c>
      <c r="AF546" s="960"/>
      <c r="AG546" s="703"/>
      <c r="AH546" s="703"/>
      <c r="AI546" s="703"/>
      <c r="AJ546" s="703"/>
      <c r="AK546" s="703"/>
      <c r="AL546" s="703"/>
      <c r="AM546" s="703"/>
      <c r="AN546" s="703"/>
      <c r="AO546" s="703"/>
      <c r="AP546" s="703"/>
      <c r="AQ546" s="703"/>
      <c r="AR546" s="703"/>
      <c r="AS546" s="703"/>
      <c r="AT546" s="703"/>
      <c r="AU546" s="703"/>
      <c r="AV546" s="703"/>
      <c r="AW546" s="703"/>
      <c r="AX546" s="703"/>
      <c r="AY546" s="703"/>
      <c r="AZ546" s="694">
        <f t="shared" si="167"/>
        <v>0</v>
      </c>
      <c r="BA546" s="703"/>
      <c r="BB546" s="703"/>
      <c r="BC546" s="703"/>
      <c r="BD546" s="703"/>
      <c r="BE546" s="703"/>
      <c r="BF546" s="703">
        <v>1</v>
      </c>
      <c r="BG546" s="703"/>
      <c r="BH546" s="703"/>
      <c r="BI546" s="694">
        <f t="shared" si="169"/>
        <v>0</v>
      </c>
      <c r="BJ546" s="703"/>
      <c r="BK546" s="703"/>
      <c r="BL546" s="703"/>
      <c r="BM546" s="703"/>
      <c r="BN546" s="703"/>
      <c r="BO546" s="703"/>
      <c r="BP546" s="703"/>
      <c r="BQ546" s="703">
        <f t="shared" si="164"/>
        <v>1</v>
      </c>
      <c r="BR546" s="703"/>
      <c r="BS546" s="703">
        <f t="shared" si="165"/>
        <v>2</v>
      </c>
      <c r="BT546" s="703"/>
      <c r="BU546" s="703"/>
      <c r="BV546" s="703"/>
      <c r="BW546" s="703"/>
      <c r="BX546" s="703">
        <f t="shared" si="166"/>
        <v>0</v>
      </c>
      <c r="BY546" s="703"/>
      <c r="BZ546" s="703"/>
      <c r="CA546" s="703"/>
      <c r="CB546" s="703"/>
      <c r="CC546" s="703"/>
      <c r="CD546" s="703">
        <f t="shared" si="162"/>
        <v>0</v>
      </c>
      <c r="CE546" s="703"/>
      <c r="CF546" s="703"/>
      <c r="CG546" s="703"/>
      <c r="CH546" s="703"/>
      <c r="CI546" s="703"/>
      <c r="CJ546" s="703"/>
      <c r="CK546" s="703"/>
      <c r="CL546" s="703"/>
      <c r="CM546" s="703"/>
      <c r="CN546" s="703"/>
      <c r="CO546" s="703"/>
      <c r="CP546" s="703"/>
      <c r="CQ546" s="703"/>
      <c r="CR546" s="703"/>
      <c r="CS546" s="703"/>
      <c r="CT546" s="703"/>
      <c r="CU546" s="703"/>
      <c r="CV546" s="703"/>
      <c r="CW546" s="703"/>
      <c r="CX546" s="703"/>
      <c r="CY546" s="703"/>
      <c r="CZ546" s="703"/>
      <c r="DA546" s="703"/>
      <c r="DB546" s="703"/>
      <c r="DC546" s="703"/>
      <c r="DD546" s="703"/>
      <c r="DE546" s="703"/>
      <c r="DF546" s="703"/>
      <c r="DG546" s="705"/>
      <c r="DH546" s="705"/>
      <c r="DI546" s="705"/>
      <c r="DJ546" s="705"/>
      <c r="DK546" s="705"/>
      <c r="DL546" s="705"/>
      <c r="DM546" s="705"/>
      <c r="DN546" s="705"/>
      <c r="DO546" s="705"/>
      <c r="DP546" s="705"/>
      <c r="DQ546" s="705"/>
      <c r="DR546" s="705"/>
      <c r="DS546" s="703"/>
      <c r="DT546" s="703"/>
      <c r="DU546" s="703"/>
      <c r="DV546" s="703"/>
      <c r="DW546" s="703"/>
      <c r="DX546" s="703"/>
      <c r="DY546" s="703"/>
      <c r="DZ546" s="703"/>
      <c r="EA546" s="703"/>
      <c r="EB546" s="703"/>
      <c r="EC546" s="703"/>
      <c r="ED546" s="703"/>
      <c r="EE546" s="703"/>
      <c r="EF546" s="703"/>
      <c r="EG546" s="703"/>
      <c r="EH546" s="703"/>
      <c r="EI546" s="703"/>
      <c r="EJ546" s="703"/>
      <c r="EK546" s="703"/>
      <c r="EL546" s="703"/>
      <c r="EM546" s="703"/>
      <c r="EN546" s="703"/>
      <c r="EO546" s="703"/>
      <c r="EP546" s="703"/>
      <c r="EQ546" s="703"/>
      <c r="ER546" s="703"/>
      <c r="ES546" s="703"/>
      <c r="ET546" s="703"/>
      <c r="EU546" s="703"/>
      <c r="EV546" s="703"/>
      <c r="EW546" s="703"/>
      <c r="EX546" s="703"/>
      <c r="EY546" s="703"/>
      <c r="EZ546" s="703"/>
      <c r="FA546" s="703"/>
      <c r="FB546" s="703"/>
      <c r="FC546" s="703"/>
      <c r="FD546" s="703"/>
      <c r="FE546" s="703"/>
      <c r="FF546" s="703"/>
      <c r="FG546" s="703"/>
      <c r="FH546" s="703"/>
      <c r="FI546" s="703"/>
      <c r="FJ546" s="703"/>
      <c r="FK546" s="703"/>
      <c r="FL546" s="703"/>
      <c r="FM546" s="703"/>
      <c r="FN546" s="703"/>
      <c r="FO546" s="703"/>
      <c r="FP546" s="703"/>
      <c r="FQ546" s="704"/>
    </row>
    <row r="547" spans="1:177" s="706" customFormat="1">
      <c r="A547" s="700"/>
      <c r="B547" s="700"/>
      <c r="C547" s="701" t="s">
        <v>3635</v>
      </c>
      <c r="D547" s="701"/>
      <c r="E547" s="721">
        <v>35</v>
      </c>
      <c r="F547" s="703"/>
      <c r="G547" s="703"/>
      <c r="H547" s="703"/>
      <c r="I547" s="703"/>
      <c r="J547" s="703"/>
      <c r="K547" s="703"/>
      <c r="L547" s="703"/>
      <c r="M547" s="703"/>
      <c r="N547" s="703"/>
      <c r="O547" s="703">
        <f t="shared" si="171"/>
        <v>35</v>
      </c>
      <c r="P547" s="703"/>
      <c r="Q547" s="703"/>
      <c r="R547" s="704"/>
      <c r="S547" s="704"/>
      <c r="T547" s="703"/>
      <c r="U547" s="703" t="s">
        <v>1631</v>
      </c>
      <c r="V547" s="703"/>
      <c r="W547" s="703">
        <v>1</v>
      </c>
      <c r="X547" s="703"/>
      <c r="Y547" s="703"/>
      <c r="Z547" s="703">
        <v>1</v>
      </c>
      <c r="AA547" s="703"/>
      <c r="AB547" s="703"/>
      <c r="AC547" s="703"/>
      <c r="AD547" s="703"/>
      <c r="AE547" s="766"/>
      <c r="AF547" s="960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>
        <v>1</v>
      </c>
      <c r="AV547" s="703"/>
      <c r="AW547" s="703"/>
      <c r="AX547" s="703"/>
      <c r="AY547" s="703"/>
      <c r="AZ547" s="694">
        <f t="shared" si="167"/>
        <v>1</v>
      </c>
      <c r="BA547" s="703"/>
      <c r="BB547" s="703"/>
      <c r="BC547" s="703"/>
      <c r="BD547" s="703">
        <v>1</v>
      </c>
      <c r="BE547" s="703"/>
      <c r="BF547" s="703"/>
      <c r="BG547" s="703"/>
      <c r="BH547" s="703"/>
      <c r="BI547" s="694">
        <f t="shared" si="169"/>
        <v>7</v>
      </c>
      <c r="BJ547" s="703"/>
      <c r="BK547" s="703"/>
      <c r="BL547" s="703"/>
      <c r="BM547" s="703"/>
      <c r="BN547" s="703"/>
      <c r="BO547" s="703"/>
      <c r="BP547" s="703"/>
      <c r="BQ547" s="703">
        <f t="shared" si="164"/>
        <v>0</v>
      </c>
      <c r="BR547" s="703"/>
      <c r="BS547" s="703">
        <f t="shared" si="165"/>
        <v>1</v>
      </c>
      <c r="BT547" s="703"/>
      <c r="BU547" s="703"/>
      <c r="BV547" s="703"/>
      <c r="BW547" s="703"/>
      <c r="BX547" s="703">
        <f t="shared" si="166"/>
        <v>0</v>
      </c>
      <c r="BY547" s="703"/>
      <c r="BZ547" s="703"/>
      <c r="CA547" s="703"/>
      <c r="CB547" s="703">
        <v>1</v>
      </c>
      <c r="CC547" s="703"/>
      <c r="CD547" s="703">
        <f t="shared" si="162"/>
        <v>4</v>
      </c>
      <c r="CE547" s="703"/>
      <c r="CF547" s="703"/>
      <c r="CG547" s="703"/>
      <c r="CH547" s="703"/>
      <c r="CI547" s="703"/>
      <c r="CJ547" s="703"/>
      <c r="CK547" s="703"/>
      <c r="CL547" s="703"/>
      <c r="CM547" s="703"/>
      <c r="CN547" s="703"/>
      <c r="CO547" s="703"/>
      <c r="CP547" s="703"/>
      <c r="CQ547" s="703"/>
      <c r="CR547" s="703"/>
      <c r="CS547" s="703"/>
      <c r="CT547" s="703"/>
      <c r="CU547" s="703"/>
      <c r="CV547" s="703"/>
      <c r="CW547" s="703"/>
      <c r="CX547" s="703"/>
      <c r="CY547" s="703"/>
      <c r="CZ547" s="703"/>
      <c r="DA547" s="703"/>
      <c r="DB547" s="703"/>
      <c r="DC547" s="703"/>
      <c r="DD547" s="703"/>
      <c r="DE547" s="703"/>
      <c r="DF547" s="703"/>
      <c r="DG547" s="705"/>
      <c r="DH547" s="705"/>
      <c r="DI547" s="705"/>
      <c r="DJ547" s="705"/>
      <c r="DK547" s="705"/>
      <c r="DL547" s="705"/>
      <c r="DM547" s="705"/>
      <c r="DN547" s="705"/>
      <c r="DO547" s="705"/>
      <c r="DP547" s="705"/>
      <c r="DQ547" s="705"/>
      <c r="DR547" s="705"/>
      <c r="DS547" s="703"/>
      <c r="DT547" s="703"/>
      <c r="DU547" s="703"/>
      <c r="DV547" s="703"/>
      <c r="DW547" s="703"/>
      <c r="DX547" s="703"/>
      <c r="DY547" s="703"/>
      <c r="DZ547" s="703"/>
      <c r="EA547" s="703"/>
      <c r="EB547" s="703"/>
      <c r="EC547" s="703"/>
      <c r="ED547" s="703"/>
      <c r="EE547" s="703"/>
      <c r="EF547" s="703"/>
      <c r="EG547" s="703"/>
      <c r="EH547" s="703"/>
      <c r="EI547" s="703"/>
      <c r="EJ547" s="703"/>
      <c r="EK547" s="703"/>
      <c r="EL547" s="703"/>
      <c r="EM547" s="703"/>
      <c r="EN547" s="703"/>
      <c r="EO547" s="703"/>
      <c r="EP547" s="703"/>
      <c r="EQ547" s="703"/>
      <c r="ER547" s="703"/>
      <c r="ES547" s="703"/>
      <c r="ET547" s="703"/>
      <c r="EU547" s="703"/>
      <c r="EV547" s="703"/>
      <c r="EW547" s="703"/>
      <c r="EX547" s="703"/>
      <c r="EY547" s="703"/>
      <c r="EZ547" s="703"/>
      <c r="FA547" s="703"/>
      <c r="FB547" s="703"/>
      <c r="FC547" s="703"/>
      <c r="FD547" s="703"/>
      <c r="FE547" s="703"/>
      <c r="FF547" s="703"/>
      <c r="FG547" s="703"/>
      <c r="FH547" s="703"/>
      <c r="FI547" s="703"/>
      <c r="FJ547" s="703"/>
      <c r="FK547" s="703"/>
      <c r="FL547" s="703"/>
      <c r="FM547" s="703"/>
      <c r="FN547" s="703"/>
      <c r="FO547" s="703"/>
      <c r="FP547" s="703"/>
      <c r="FQ547" s="704"/>
    </row>
    <row r="548" spans="1:177" s="706" customFormat="1">
      <c r="A548" s="700"/>
      <c r="B548" s="700"/>
      <c r="C548" s="701" t="s">
        <v>3636</v>
      </c>
      <c r="D548" s="701"/>
      <c r="E548" s="721">
        <v>35</v>
      </c>
      <c r="F548" s="703"/>
      <c r="G548" s="703"/>
      <c r="H548" s="703"/>
      <c r="I548" s="703"/>
      <c r="J548" s="703"/>
      <c r="K548" s="703"/>
      <c r="L548" s="703"/>
      <c r="M548" s="703"/>
      <c r="N548" s="703"/>
      <c r="O548" s="703">
        <f t="shared" si="171"/>
        <v>35</v>
      </c>
      <c r="P548" s="703"/>
      <c r="Q548" s="703"/>
      <c r="R548" s="704"/>
      <c r="S548" s="704"/>
      <c r="T548" s="703"/>
      <c r="U548" s="703" t="s">
        <v>1903</v>
      </c>
      <c r="V548" s="703"/>
      <c r="W548" s="703">
        <v>2</v>
      </c>
      <c r="X548" s="703"/>
      <c r="Y548" s="703"/>
      <c r="Z548" s="703"/>
      <c r="AA548" s="703"/>
      <c r="AB548" s="703"/>
      <c r="AC548" s="703"/>
      <c r="AD548" s="703"/>
      <c r="AE548" s="766">
        <v>1</v>
      </c>
      <c r="AF548" s="960"/>
      <c r="AG548" s="703"/>
      <c r="AH548" s="703"/>
      <c r="AI548" s="703"/>
      <c r="AJ548" s="703"/>
      <c r="AK548" s="703"/>
      <c r="AL548" s="703"/>
      <c r="AM548" s="703"/>
      <c r="AN548" s="703"/>
      <c r="AO548" s="703"/>
      <c r="AP548" s="703"/>
      <c r="AQ548" s="703"/>
      <c r="AR548" s="703"/>
      <c r="AS548" s="703"/>
      <c r="AT548" s="703"/>
      <c r="AU548" s="703"/>
      <c r="AV548" s="703"/>
      <c r="AW548" s="703"/>
      <c r="AX548" s="703"/>
      <c r="AY548" s="703"/>
      <c r="AZ548" s="694">
        <f t="shared" si="167"/>
        <v>1</v>
      </c>
      <c r="BA548" s="703"/>
      <c r="BB548" s="703"/>
      <c r="BC548" s="703"/>
      <c r="BD548" s="703"/>
      <c r="BE548" s="703"/>
      <c r="BF548" s="703">
        <v>1</v>
      </c>
      <c r="BG548" s="703"/>
      <c r="BH548" s="703"/>
      <c r="BI548" s="694">
        <f t="shared" si="169"/>
        <v>5</v>
      </c>
      <c r="BJ548" s="703"/>
      <c r="BK548" s="703"/>
      <c r="BL548" s="703"/>
      <c r="BM548" s="703"/>
      <c r="BN548" s="703"/>
      <c r="BO548" s="703"/>
      <c r="BP548" s="703"/>
      <c r="BQ548" s="703">
        <f t="shared" si="164"/>
        <v>1</v>
      </c>
      <c r="BR548" s="703"/>
      <c r="BS548" s="703">
        <f t="shared" si="165"/>
        <v>2</v>
      </c>
      <c r="BT548" s="703"/>
      <c r="BU548" s="703"/>
      <c r="BV548" s="703"/>
      <c r="BW548" s="703"/>
      <c r="BX548" s="703">
        <f t="shared" si="166"/>
        <v>0</v>
      </c>
      <c r="BY548" s="703"/>
      <c r="BZ548" s="703"/>
      <c r="CA548" s="703"/>
      <c r="CB548" s="703">
        <v>1</v>
      </c>
      <c r="CC548" s="703"/>
      <c r="CD548" s="703">
        <f t="shared" si="162"/>
        <v>4</v>
      </c>
      <c r="CE548" s="703"/>
      <c r="CF548" s="703"/>
      <c r="CG548" s="703"/>
      <c r="CH548" s="703"/>
      <c r="CI548" s="703"/>
      <c r="CJ548" s="703"/>
      <c r="CK548" s="703"/>
      <c r="CL548" s="703"/>
      <c r="CM548" s="703"/>
      <c r="CN548" s="703"/>
      <c r="CO548" s="703"/>
      <c r="CP548" s="703"/>
      <c r="CQ548" s="703"/>
      <c r="CR548" s="703"/>
      <c r="CS548" s="703"/>
      <c r="CT548" s="703"/>
      <c r="CU548" s="703"/>
      <c r="CV548" s="703"/>
      <c r="CW548" s="703"/>
      <c r="CX548" s="703"/>
      <c r="CY548" s="703"/>
      <c r="CZ548" s="703"/>
      <c r="DA548" s="703"/>
      <c r="DB548" s="703"/>
      <c r="DC548" s="703"/>
      <c r="DD548" s="703"/>
      <c r="DE548" s="703"/>
      <c r="DF548" s="703"/>
      <c r="DG548" s="705"/>
      <c r="DH548" s="705"/>
      <c r="DI548" s="705"/>
      <c r="DJ548" s="705"/>
      <c r="DK548" s="705"/>
      <c r="DL548" s="705"/>
      <c r="DM548" s="705"/>
      <c r="DN548" s="705"/>
      <c r="DO548" s="705"/>
      <c r="DP548" s="705"/>
      <c r="DQ548" s="705"/>
      <c r="DR548" s="705"/>
      <c r="DS548" s="703"/>
      <c r="DT548" s="703"/>
      <c r="DU548" s="703"/>
      <c r="DV548" s="703"/>
      <c r="DW548" s="703"/>
      <c r="DX548" s="703"/>
      <c r="DY548" s="703"/>
      <c r="DZ548" s="703"/>
      <c r="EA548" s="703"/>
      <c r="EB548" s="703"/>
      <c r="EC548" s="703"/>
      <c r="ED548" s="703"/>
      <c r="EE548" s="703"/>
      <c r="EF548" s="703"/>
      <c r="EG548" s="703"/>
      <c r="EH548" s="703"/>
      <c r="EI548" s="703"/>
      <c r="EJ548" s="703"/>
      <c r="EK548" s="703"/>
      <c r="EL548" s="703"/>
      <c r="EM548" s="703"/>
      <c r="EN548" s="703"/>
      <c r="EO548" s="703"/>
      <c r="EP548" s="703"/>
      <c r="EQ548" s="703"/>
      <c r="ER548" s="703"/>
      <c r="ES548" s="703"/>
      <c r="ET548" s="703"/>
      <c r="EU548" s="703"/>
      <c r="EV548" s="703"/>
      <c r="EW548" s="703"/>
      <c r="EX548" s="703"/>
      <c r="EY548" s="703"/>
      <c r="EZ548" s="703"/>
      <c r="FA548" s="703"/>
      <c r="FB548" s="703"/>
      <c r="FC548" s="703"/>
      <c r="FD548" s="703"/>
      <c r="FE548" s="703"/>
      <c r="FF548" s="703"/>
      <c r="FG548" s="703"/>
      <c r="FH548" s="703"/>
      <c r="FI548" s="703"/>
      <c r="FJ548" s="703"/>
      <c r="FK548" s="703"/>
      <c r="FL548" s="703"/>
      <c r="FM548" s="703"/>
      <c r="FN548" s="703"/>
      <c r="FO548" s="703"/>
      <c r="FP548" s="703"/>
      <c r="FQ548" s="704"/>
    </row>
    <row r="549" spans="1:177" s="706" customFormat="1">
      <c r="A549" s="700"/>
      <c r="B549" s="700"/>
      <c r="C549" s="701" t="s">
        <v>3637</v>
      </c>
      <c r="D549" s="701"/>
      <c r="E549" s="721">
        <v>35</v>
      </c>
      <c r="F549" s="703"/>
      <c r="G549" s="703"/>
      <c r="H549" s="703"/>
      <c r="I549" s="703"/>
      <c r="J549" s="703"/>
      <c r="K549" s="703"/>
      <c r="L549" s="703"/>
      <c r="M549" s="703"/>
      <c r="N549" s="703"/>
      <c r="O549" s="703">
        <f t="shared" si="171"/>
        <v>35</v>
      </c>
      <c r="P549" s="703"/>
      <c r="Q549" s="703"/>
      <c r="R549" s="704"/>
      <c r="S549" s="704"/>
      <c r="T549" s="703"/>
      <c r="U549" s="703" t="s">
        <v>1903</v>
      </c>
      <c r="V549" s="703"/>
      <c r="W549" s="703">
        <v>2</v>
      </c>
      <c r="X549" s="703"/>
      <c r="Y549" s="703"/>
      <c r="Z549" s="703"/>
      <c r="AA549" s="703"/>
      <c r="AB549" s="703"/>
      <c r="AC549" s="703"/>
      <c r="AD549" s="703"/>
      <c r="AE549" s="766">
        <v>1</v>
      </c>
      <c r="AF549" s="960"/>
      <c r="AG549" s="703"/>
      <c r="AH549" s="703"/>
      <c r="AI549" s="703"/>
      <c r="AJ549" s="703"/>
      <c r="AK549" s="703"/>
      <c r="AL549" s="703"/>
      <c r="AM549" s="703"/>
      <c r="AN549" s="703"/>
      <c r="AO549" s="703"/>
      <c r="AP549" s="703"/>
      <c r="AQ549" s="703"/>
      <c r="AR549" s="703"/>
      <c r="AS549" s="703"/>
      <c r="AT549" s="703"/>
      <c r="AU549" s="703"/>
      <c r="AV549" s="703"/>
      <c r="AW549" s="703"/>
      <c r="AX549" s="703"/>
      <c r="AY549" s="703"/>
      <c r="AZ549" s="694">
        <f t="shared" si="167"/>
        <v>0</v>
      </c>
      <c r="BA549" s="703"/>
      <c r="BB549" s="703"/>
      <c r="BC549" s="703"/>
      <c r="BD549" s="703"/>
      <c r="BE549" s="703"/>
      <c r="BF549" s="703">
        <v>1</v>
      </c>
      <c r="BG549" s="703"/>
      <c r="BH549" s="703"/>
      <c r="BI549" s="694">
        <f t="shared" si="169"/>
        <v>0</v>
      </c>
      <c r="BJ549" s="703"/>
      <c r="BK549" s="703"/>
      <c r="BL549" s="703"/>
      <c r="BM549" s="703"/>
      <c r="BN549" s="703"/>
      <c r="BO549" s="703"/>
      <c r="BP549" s="703"/>
      <c r="BQ549" s="703">
        <f t="shared" si="164"/>
        <v>1</v>
      </c>
      <c r="BR549" s="703"/>
      <c r="BS549" s="703">
        <f t="shared" si="165"/>
        <v>2</v>
      </c>
      <c r="BT549" s="703"/>
      <c r="BU549" s="703"/>
      <c r="BV549" s="703"/>
      <c r="BW549" s="703"/>
      <c r="BX549" s="703">
        <f t="shared" si="166"/>
        <v>0</v>
      </c>
      <c r="BY549" s="703"/>
      <c r="BZ549" s="703"/>
      <c r="CA549" s="703"/>
      <c r="CB549" s="703"/>
      <c r="CC549" s="703"/>
      <c r="CD549" s="703">
        <f t="shared" si="162"/>
        <v>0</v>
      </c>
      <c r="CE549" s="703"/>
      <c r="CF549" s="703"/>
      <c r="CG549" s="703"/>
      <c r="CH549" s="703"/>
      <c r="CI549" s="703"/>
      <c r="CJ549" s="703"/>
      <c r="CK549" s="703"/>
      <c r="CL549" s="703"/>
      <c r="CM549" s="703"/>
      <c r="CN549" s="703"/>
      <c r="CO549" s="703"/>
      <c r="CP549" s="703"/>
      <c r="CQ549" s="703"/>
      <c r="CR549" s="703"/>
      <c r="CS549" s="703"/>
      <c r="CT549" s="703"/>
      <c r="CU549" s="703"/>
      <c r="CV549" s="703"/>
      <c r="CW549" s="703"/>
      <c r="CX549" s="703"/>
      <c r="CY549" s="703"/>
      <c r="CZ549" s="703"/>
      <c r="DA549" s="703"/>
      <c r="DB549" s="703"/>
      <c r="DC549" s="703"/>
      <c r="DD549" s="703"/>
      <c r="DE549" s="703"/>
      <c r="DF549" s="703"/>
      <c r="DG549" s="705"/>
      <c r="DH549" s="705"/>
      <c r="DI549" s="705"/>
      <c r="DJ549" s="705"/>
      <c r="DK549" s="705"/>
      <c r="DL549" s="705"/>
      <c r="DM549" s="705"/>
      <c r="DN549" s="705"/>
      <c r="DO549" s="705"/>
      <c r="DP549" s="705"/>
      <c r="DQ549" s="705"/>
      <c r="DR549" s="705"/>
      <c r="DS549" s="703"/>
      <c r="DT549" s="703"/>
      <c r="DU549" s="703"/>
      <c r="DV549" s="703"/>
      <c r="DW549" s="703"/>
      <c r="DX549" s="703"/>
      <c r="DY549" s="703"/>
      <c r="DZ549" s="703"/>
      <c r="EA549" s="703"/>
      <c r="EB549" s="703"/>
      <c r="EC549" s="703"/>
      <c r="ED549" s="703"/>
      <c r="EE549" s="703"/>
      <c r="EF549" s="703"/>
      <c r="EG549" s="703"/>
      <c r="EH549" s="703"/>
      <c r="EI549" s="703"/>
      <c r="EJ549" s="703"/>
      <c r="EK549" s="703"/>
      <c r="EL549" s="703"/>
      <c r="EM549" s="703"/>
      <c r="EN549" s="703"/>
      <c r="EO549" s="703"/>
      <c r="EP549" s="703"/>
      <c r="EQ549" s="703"/>
      <c r="ER549" s="703"/>
      <c r="ES549" s="703"/>
      <c r="ET549" s="703"/>
      <c r="EU549" s="703"/>
      <c r="EV549" s="703"/>
      <c r="EW549" s="703"/>
      <c r="EX549" s="703"/>
      <c r="EY549" s="703"/>
      <c r="EZ549" s="703"/>
      <c r="FA549" s="703"/>
      <c r="FB549" s="703"/>
      <c r="FC549" s="703"/>
      <c r="FD549" s="703"/>
      <c r="FE549" s="703"/>
      <c r="FF549" s="703"/>
      <c r="FG549" s="703"/>
      <c r="FH549" s="703"/>
      <c r="FI549" s="703"/>
      <c r="FJ549" s="703"/>
      <c r="FK549" s="703"/>
      <c r="FL549" s="703"/>
      <c r="FM549" s="703"/>
      <c r="FN549" s="703"/>
      <c r="FO549" s="703"/>
      <c r="FP549" s="703"/>
      <c r="FQ549" s="704"/>
    </row>
    <row r="550" spans="1:177" s="696" customFormat="1">
      <c r="A550" s="690"/>
      <c r="B550" s="690"/>
      <c r="C550" s="701" t="s">
        <v>3638</v>
      </c>
      <c r="D550" s="708"/>
      <c r="E550" s="722">
        <v>35</v>
      </c>
      <c r="F550" s="694"/>
      <c r="G550" s="694"/>
      <c r="H550" s="694"/>
      <c r="I550" s="703"/>
      <c r="J550" s="694"/>
      <c r="K550" s="694"/>
      <c r="L550" s="694"/>
      <c r="M550" s="694"/>
      <c r="N550" s="694"/>
      <c r="O550" s="703">
        <f t="shared" si="171"/>
        <v>35</v>
      </c>
      <c r="P550" s="703"/>
      <c r="Q550" s="694"/>
      <c r="R550" s="697"/>
      <c r="S550" s="697"/>
      <c r="T550" s="694"/>
      <c r="U550" s="694" t="s">
        <v>1903</v>
      </c>
      <c r="V550" s="694"/>
      <c r="W550" s="694">
        <v>2</v>
      </c>
      <c r="X550" s="694"/>
      <c r="Y550" s="694"/>
      <c r="Z550" s="694"/>
      <c r="AA550" s="694"/>
      <c r="AB550" s="694"/>
      <c r="AC550" s="694"/>
      <c r="AD550" s="694"/>
      <c r="AE550" s="512">
        <v>1</v>
      </c>
      <c r="AF550" s="961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>
        <f t="shared" si="167"/>
        <v>0</v>
      </c>
      <c r="BA550" s="694"/>
      <c r="BB550" s="694"/>
      <c r="BC550" s="694"/>
      <c r="BD550" s="694"/>
      <c r="BE550" s="694"/>
      <c r="BF550" s="694">
        <v>2</v>
      </c>
      <c r="BG550" s="694"/>
      <c r="BH550" s="694"/>
      <c r="BI550" s="694">
        <f t="shared" si="169"/>
        <v>0</v>
      </c>
      <c r="BJ550" s="694"/>
      <c r="BK550" s="694"/>
      <c r="BL550" s="694"/>
      <c r="BM550" s="694"/>
      <c r="BN550" s="694"/>
      <c r="BO550" s="694"/>
      <c r="BP550" s="694"/>
      <c r="BQ550" s="703">
        <f t="shared" si="164"/>
        <v>1</v>
      </c>
      <c r="BR550" s="694"/>
      <c r="BS550" s="703">
        <f t="shared" si="165"/>
        <v>2</v>
      </c>
      <c r="BT550" s="703"/>
      <c r="BU550" s="694"/>
      <c r="BV550" s="694"/>
      <c r="BW550" s="694"/>
      <c r="BX550" s="703">
        <f t="shared" si="166"/>
        <v>0</v>
      </c>
      <c r="BY550" s="703"/>
      <c r="BZ550" s="694"/>
      <c r="CA550" s="694"/>
      <c r="CB550" s="694"/>
      <c r="CC550" s="694"/>
      <c r="CD550" s="703">
        <f t="shared" si="162"/>
        <v>0</v>
      </c>
      <c r="CE550" s="694"/>
      <c r="CF550" s="694"/>
      <c r="CG550" s="694"/>
      <c r="CH550" s="694"/>
      <c r="CI550" s="694"/>
      <c r="CJ550" s="694"/>
      <c r="CK550" s="694"/>
      <c r="CL550" s="694"/>
      <c r="CM550" s="694"/>
      <c r="CN550" s="694"/>
      <c r="CO550" s="694"/>
      <c r="CP550" s="694"/>
      <c r="CQ550" s="694"/>
      <c r="CR550" s="694"/>
      <c r="CS550" s="694"/>
      <c r="CT550" s="694"/>
      <c r="CU550" s="694"/>
      <c r="CV550" s="694"/>
      <c r="CW550" s="694"/>
      <c r="CX550" s="694"/>
      <c r="CY550" s="694"/>
      <c r="CZ550" s="694"/>
      <c r="DA550" s="694"/>
      <c r="DB550" s="694"/>
      <c r="DC550" s="694"/>
      <c r="DD550" s="694"/>
      <c r="DE550" s="694"/>
      <c r="DF550" s="694"/>
      <c r="DG550" s="695"/>
      <c r="DH550" s="695"/>
      <c r="DI550" s="695"/>
      <c r="DJ550" s="695"/>
      <c r="DK550" s="695"/>
      <c r="DL550" s="695"/>
      <c r="DM550" s="695"/>
      <c r="DN550" s="695"/>
      <c r="DO550" s="695"/>
      <c r="DP550" s="695"/>
      <c r="DQ550" s="695"/>
      <c r="DR550" s="695"/>
      <c r="DS550" s="694"/>
      <c r="DT550" s="694"/>
      <c r="DU550" s="694"/>
      <c r="DV550" s="694"/>
      <c r="DW550" s="694"/>
      <c r="DX550" s="694"/>
      <c r="DY550" s="694"/>
      <c r="DZ550" s="694"/>
      <c r="EA550" s="694"/>
      <c r="EB550" s="694"/>
      <c r="EC550" s="694"/>
      <c r="ED550" s="694"/>
      <c r="EE550" s="694"/>
      <c r="EF550" s="694"/>
      <c r="EG550" s="694"/>
      <c r="EH550" s="694"/>
      <c r="EI550" s="694"/>
      <c r="EJ550" s="694"/>
      <c r="EK550" s="694"/>
      <c r="EL550" s="694"/>
      <c r="EM550" s="694"/>
      <c r="EN550" s="694"/>
      <c r="EO550" s="694"/>
      <c r="EP550" s="694"/>
      <c r="EQ550" s="694"/>
      <c r="ER550" s="694"/>
      <c r="ES550" s="694"/>
      <c r="ET550" s="694"/>
      <c r="EU550" s="694"/>
      <c r="EV550" s="694"/>
      <c r="EW550" s="694"/>
      <c r="EX550" s="694"/>
      <c r="EY550" s="694"/>
      <c r="EZ550" s="694"/>
      <c r="FA550" s="694"/>
      <c r="FB550" s="694"/>
      <c r="FC550" s="694"/>
      <c r="FD550" s="694"/>
      <c r="FE550" s="694"/>
      <c r="FF550" s="694"/>
      <c r="FG550" s="694"/>
      <c r="FH550" s="694"/>
      <c r="FI550" s="694"/>
      <c r="FJ550" s="694"/>
      <c r="FK550" s="694"/>
      <c r="FL550" s="694"/>
      <c r="FM550" s="694"/>
      <c r="FN550" s="694"/>
      <c r="FO550" s="694"/>
      <c r="FP550" s="694"/>
      <c r="FQ550" s="697"/>
    </row>
    <row r="551" spans="1:177" s="696" customFormat="1">
      <c r="A551" s="690"/>
      <c r="B551" s="690"/>
      <c r="C551" s="701" t="s">
        <v>3639</v>
      </c>
      <c r="D551" s="708"/>
      <c r="E551" s="722">
        <v>35</v>
      </c>
      <c r="F551" s="694"/>
      <c r="G551" s="694"/>
      <c r="H551" s="694"/>
      <c r="I551" s="703"/>
      <c r="J551" s="694"/>
      <c r="K551" s="694"/>
      <c r="L551" s="694"/>
      <c r="M551" s="694"/>
      <c r="N551" s="694"/>
      <c r="O551" s="703">
        <f t="shared" si="171"/>
        <v>35</v>
      </c>
      <c r="P551" s="703"/>
      <c r="Q551" s="694"/>
      <c r="R551" s="697"/>
      <c r="S551" s="697"/>
      <c r="T551" s="694"/>
      <c r="U551" s="694" t="s">
        <v>1631</v>
      </c>
      <c r="V551" s="694"/>
      <c r="W551" s="694">
        <v>1</v>
      </c>
      <c r="X551" s="694"/>
      <c r="Y551" s="694"/>
      <c r="Z551" s="694">
        <v>1</v>
      </c>
      <c r="AA551" s="694"/>
      <c r="AB551" s="694"/>
      <c r="AC551" s="694"/>
      <c r="AD551" s="694"/>
      <c r="AE551" s="512"/>
      <c r="AF551" s="961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>
        <v>1</v>
      </c>
      <c r="AV551" s="694"/>
      <c r="AW551" s="694"/>
      <c r="AX551" s="694"/>
      <c r="AY551" s="694"/>
      <c r="AZ551" s="694">
        <f t="shared" si="167"/>
        <v>1</v>
      </c>
      <c r="BA551" s="694"/>
      <c r="BB551" s="694"/>
      <c r="BC551" s="694"/>
      <c r="BD551" s="694">
        <v>1</v>
      </c>
      <c r="BE551" s="694"/>
      <c r="BF551" s="694"/>
      <c r="BG551" s="694"/>
      <c r="BH551" s="694"/>
      <c r="BI551" s="694">
        <f t="shared" si="169"/>
        <v>7</v>
      </c>
      <c r="BJ551" s="694"/>
      <c r="BK551" s="694"/>
      <c r="BL551" s="694"/>
      <c r="BM551" s="694"/>
      <c r="BN551" s="694"/>
      <c r="BO551" s="694"/>
      <c r="BP551" s="694"/>
      <c r="BQ551" s="703">
        <f t="shared" si="164"/>
        <v>0</v>
      </c>
      <c r="BR551" s="694"/>
      <c r="BS551" s="703">
        <f t="shared" si="165"/>
        <v>1</v>
      </c>
      <c r="BT551" s="703"/>
      <c r="BU551" s="694"/>
      <c r="BV551" s="694"/>
      <c r="BW551" s="694"/>
      <c r="BX551" s="703">
        <f t="shared" si="166"/>
        <v>0</v>
      </c>
      <c r="BY551" s="703"/>
      <c r="BZ551" s="694"/>
      <c r="CA551" s="694"/>
      <c r="CB551" s="694">
        <v>1</v>
      </c>
      <c r="CC551" s="694"/>
      <c r="CD551" s="703">
        <f t="shared" si="162"/>
        <v>4</v>
      </c>
      <c r="CE551" s="694"/>
      <c r="CF551" s="694"/>
      <c r="CG551" s="694"/>
      <c r="CH551" s="694"/>
      <c r="CI551" s="694"/>
      <c r="CJ551" s="694"/>
      <c r="CK551" s="694"/>
      <c r="CL551" s="694"/>
      <c r="CM551" s="694"/>
      <c r="CN551" s="694"/>
      <c r="CO551" s="694"/>
      <c r="CP551" s="694"/>
      <c r="CQ551" s="694"/>
      <c r="CR551" s="694"/>
      <c r="CS551" s="694"/>
      <c r="CT551" s="694"/>
      <c r="CU551" s="694"/>
      <c r="CV551" s="694"/>
      <c r="CW551" s="694"/>
      <c r="CX551" s="694"/>
      <c r="CY551" s="694"/>
      <c r="CZ551" s="694"/>
      <c r="DA551" s="694"/>
      <c r="DB551" s="694"/>
      <c r="DC551" s="694"/>
      <c r="DD551" s="694"/>
      <c r="DE551" s="694"/>
      <c r="DF551" s="694"/>
      <c r="DG551" s="695"/>
      <c r="DH551" s="695"/>
      <c r="DI551" s="695"/>
      <c r="DJ551" s="695"/>
      <c r="DK551" s="695"/>
      <c r="DL551" s="695"/>
      <c r="DM551" s="695"/>
      <c r="DN551" s="695"/>
      <c r="DO551" s="695"/>
      <c r="DP551" s="695"/>
      <c r="DQ551" s="695"/>
      <c r="DR551" s="695"/>
      <c r="DS551" s="694"/>
      <c r="DT551" s="694"/>
      <c r="DU551" s="694"/>
      <c r="DV551" s="694"/>
      <c r="DW551" s="694"/>
      <c r="DX551" s="694"/>
      <c r="DY551" s="694"/>
      <c r="DZ551" s="694"/>
      <c r="EA551" s="694"/>
      <c r="EB551" s="694"/>
      <c r="EC551" s="694"/>
      <c r="ED551" s="694"/>
      <c r="EE551" s="694"/>
      <c r="EF551" s="694"/>
      <c r="EG551" s="694"/>
      <c r="EH551" s="694"/>
      <c r="EI551" s="694"/>
      <c r="EJ551" s="694"/>
      <c r="EK551" s="694"/>
      <c r="EL551" s="694"/>
      <c r="EM551" s="694"/>
      <c r="EN551" s="694"/>
      <c r="EO551" s="694"/>
      <c r="EP551" s="694"/>
      <c r="EQ551" s="694"/>
      <c r="ER551" s="694"/>
      <c r="ES551" s="694"/>
      <c r="ET551" s="694"/>
      <c r="EU551" s="694"/>
      <c r="EV551" s="694"/>
      <c r="EW551" s="694"/>
      <c r="EX551" s="694"/>
      <c r="EY551" s="694"/>
      <c r="EZ551" s="694"/>
      <c r="FA551" s="694"/>
      <c r="FB551" s="694"/>
      <c r="FC551" s="694"/>
      <c r="FD551" s="694"/>
      <c r="FE551" s="694"/>
      <c r="FF551" s="694"/>
      <c r="FG551" s="694"/>
      <c r="FH551" s="694"/>
      <c r="FI551" s="694"/>
      <c r="FJ551" s="694"/>
      <c r="FK551" s="694"/>
      <c r="FL551" s="694"/>
      <c r="FM551" s="694"/>
      <c r="FN551" s="694"/>
      <c r="FO551" s="694"/>
      <c r="FP551" s="694"/>
      <c r="FQ551" s="697"/>
    </row>
    <row r="552" spans="1:177" s="696" customFormat="1">
      <c r="A552" s="690"/>
      <c r="B552" s="690"/>
      <c r="C552" s="701" t="s">
        <v>3640</v>
      </c>
      <c r="D552" s="708"/>
      <c r="E552" s="722">
        <v>35</v>
      </c>
      <c r="F552" s="694"/>
      <c r="G552" s="694"/>
      <c r="H552" s="694"/>
      <c r="I552" s="703"/>
      <c r="J552" s="694"/>
      <c r="K552" s="694"/>
      <c r="L552" s="694"/>
      <c r="M552" s="694"/>
      <c r="N552" s="694"/>
      <c r="O552" s="703">
        <f t="shared" si="171"/>
        <v>35</v>
      </c>
      <c r="P552" s="703"/>
      <c r="Q552" s="694"/>
      <c r="R552" s="697"/>
      <c r="S552" s="697"/>
      <c r="T552" s="694"/>
      <c r="U552" s="694" t="s">
        <v>2990</v>
      </c>
      <c r="V552" s="694"/>
      <c r="W552" s="694">
        <v>2</v>
      </c>
      <c r="X552" s="694"/>
      <c r="Y552" s="694"/>
      <c r="Z552" s="694"/>
      <c r="AA552" s="694"/>
      <c r="AB552" s="694"/>
      <c r="AC552" s="694"/>
      <c r="AD552" s="694"/>
      <c r="AE552" s="512">
        <v>1</v>
      </c>
      <c r="AF552" s="961"/>
      <c r="AG552" s="694"/>
      <c r="AH552" s="694"/>
      <c r="AI552" s="694"/>
      <c r="AJ552" s="694"/>
      <c r="AK552" s="694"/>
      <c r="AL552" s="694"/>
      <c r="AM552" s="694"/>
      <c r="AN552" s="694"/>
      <c r="AO552" s="694"/>
      <c r="AP552" s="694"/>
      <c r="AQ552" s="694"/>
      <c r="AR552" s="694"/>
      <c r="AS552" s="694"/>
      <c r="AT552" s="694"/>
      <c r="AU552" s="694"/>
      <c r="AV552" s="694"/>
      <c r="AW552" s="694"/>
      <c r="AX552" s="694"/>
      <c r="AY552" s="694"/>
      <c r="AZ552" s="694">
        <f t="shared" si="167"/>
        <v>1</v>
      </c>
      <c r="BA552" s="694"/>
      <c r="BB552" s="694"/>
      <c r="BC552" s="694"/>
      <c r="BD552" s="694"/>
      <c r="BE552" s="694"/>
      <c r="BF552" s="694">
        <v>1</v>
      </c>
      <c r="BG552" s="694"/>
      <c r="BH552" s="694"/>
      <c r="BI552" s="694">
        <f t="shared" si="169"/>
        <v>5</v>
      </c>
      <c r="BJ552" s="694"/>
      <c r="BK552" s="694"/>
      <c r="BL552" s="694"/>
      <c r="BM552" s="694"/>
      <c r="BN552" s="694"/>
      <c r="BO552" s="694"/>
      <c r="BP552" s="694"/>
      <c r="BQ552" s="703">
        <f t="shared" si="164"/>
        <v>0</v>
      </c>
      <c r="BR552" s="694"/>
      <c r="BS552" s="703">
        <f t="shared" si="165"/>
        <v>0</v>
      </c>
      <c r="BT552" s="703"/>
      <c r="BU552" s="694"/>
      <c r="BV552" s="694"/>
      <c r="BW552" s="694"/>
      <c r="BX552" s="703">
        <f t="shared" si="166"/>
        <v>1</v>
      </c>
      <c r="BY552" s="703"/>
      <c r="BZ552" s="694"/>
      <c r="CA552" s="694"/>
      <c r="CB552" s="694">
        <v>1</v>
      </c>
      <c r="CC552" s="694"/>
      <c r="CD552" s="703">
        <f t="shared" si="162"/>
        <v>4</v>
      </c>
      <c r="CE552" s="694"/>
      <c r="CF552" s="694"/>
      <c r="CG552" s="694"/>
      <c r="CH552" s="694"/>
      <c r="CI552" s="694"/>
      <c r="CJ552" s="694"/>
      <c r="CK552" s="694"/>
      <c r="CL552" s="694"/>
      <c r="CM552" s="694"/>
      <c r="CN552" s="694"/>
      <c r="CO552" s="694"/>
      <c r="CP552" s="694"/>
      <c r="CQ552" s="694"/>
      <c r="CR552" s="694"/>
      <c r="CS552" s="694"/>
      <c r="CT552" s="694"/>
      <c r="CU552" s="694"/>
      <c r="CV552" s="694"/>
      <c r="CW552" s="694"/>
      <c r="CX552" s="694"/>
      <c r="CY552" s="694"/>
      <c r="CZ552" s="694"/>
      <c r="DA552" s="694"/>
      <c r="DB552" s="694"/>
      <c r="DC552" s="694"/>
      <c r="DD552" s="694"/>
      <c r="DE552" s="694"/>
      <c r="DF552" s="694"/>
      <c r="DG552" s="695"/>
      <c r="DH552" s="695"/>
      <c r="DI552" s="695"/>
      <c r="DJ552" s="695"/>
      <c r="DK552" s="695"/>
      <c r="DL552" s="695"/>
      <c r="DM552" s="695"/>
      <c r="DN552" s="695"/>
      <c r="DO552" s="695"/>
      <c r="DP552" s="695"/>
      <c r="DQ552" s="695"/>
      <c r="DR552" s="695"/>
      <c r="DS552" s="694"/>
      <c r="DT552" s="694"/>
      <c r="DU552" s="694"/>
      <c r="DV552" s="694"/>
      <c r="DW552" s="694"/>
      <c r="DX552" s="694"/>
      <c r="DY552" s="694"/>
      <c r="DZ552" s="694"/>
      <c r="EA552" s="694"/>
      <c r="EB552" s="694"/>
      <c r="EC552" s="694"/>
      <c r="ED552" s="694"/>
      <c r="EE552" s="694"/>
      <c r="EF552" s="694"/>
      <c r="EG552" s="694"/>
      <c r="EH552" s="694"/>
      <c r="EI552" s="694"/>
      <c r="EJ552" s="694"/>
      <c r="EK552" s="694"/>
      <c r="EL552" s="694"/>
      <c r="EM552" s="694"/>
      <c r="EN552" s="694"/>
      <c r="EO552" s="694"/>
      <c r="EP552" s="694"/>
      <c r="EQ552" s="694"/>
      <c r="ER552" s="694"/>
      <c r="ES552" s="694"/>
      <c r="ET552" s="694"/>
      <c r="EU552" s="694"/>
      <c r="EV552" s="694"/>
      <c r="EW552" s="694"/>
      <c r="EX552" s="694"/>
      <c r="EY552" s="694"/>
      <c r="EZ552" s="694"/>
      <c r="FA552" s="694"/>
      <c r="FB552" s="694"/>
      <c r="FC552" s="694"/>
      <c r="FD552" s="694"/>
      <c r="FE552" s="694"/>
      <c r="FF552" s="694"/>
      <c r="FG552" s="694"/>
      <c r="FH552" s="694"/>
      <c r="FI552" s="694"/>
      <c r="FJ552" s="694"/>
      <c r="FK552" s="694"/>
      <c r="FL552" s="694"/>
      <c r="FM552" s="694"/>
      <c r="FN552" s="694"/>
      <c r="FO552" s="694"/>
      <c r="FP552" s="694"/>
      <c r="FQ552" s="697"/>
    </row>
    <row r="553" spans="1:177" s="696" customFormat="1">
      <c r="A553" s="690"/>
      <c r="B553" s="690"/>
      <c r="C553" s="708"/>
      <c r="D553" s="708"/>
      <c r="E553" s="722"/>
      <c r="F553" s="694"/>
      <c r="G553" s="694"/>
      <c r="H553" s="694"/>
      <c r="I553" s="694"/>
      <c r="J553" s="694"/>
      <c r="K553" s="694"/>
      <c r="L553" s="694"/>
      <c r="M553" s="694"/>
      <c r="N553" s="694"/>
      <c r="O553" s="694"/>
      <c r="P553" s="694"/>
      <c r="Q553" s="694"/>
      <c r="R553" s="697"/>
      <c r="S553" s="697"/>
      <c r="T553" s="694"/>
      <c r="U553" s="694"/>
      <c r="V553" s="694"/>
      <c r="W553" s="694"/>
      <c r="X553" s="694"/>
      <c r="Y553" s="694"/>
      <c r="Z553" s="694"/>
      <c r="AA553" s="694"/>
      <c r="AB553" s="694"/>
      <c r="AC553" s="694"/>
      <c r="AD553" s="694"/>
      <c r="AE553" s="512"/>
      <c r="AF553" s="961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>
        <f>CB553+CC553</f>
        <v>0</v>
      </c>
      <c r="BA553" s="694"/>
      <c r="BB553" s="694"/>
      <c r="BC553" s="694"/>
      <c r="BD553" s="694"/>
      <c r="BE553" s="694"/>
      <c r="BF553" s="694"/>
      <c r="BG553" s="694"/>
      <c r="BH553" s="694"/>
      <c r="BI553" s="694">
        <f>CB553*5+AU553*2</f>
        <v>0</v>
      </c>
      <c r="BJ553" s="694"/>
      <c r="BK553" s="694"/>
      <c r="BL553" s="694"/>
      <c r="BM553" s="694"/>
      <c r="BN553" s="694"/>
      <c r="BO553" s="694"/>
      <c r="BP553" s="694"/>
      <c r="BQ553" s="703">
        <f t="shared" si="164"/>
        <v>0</v>
      </c>
      <c r="BR553" s="694"/>
      <c r="BS553" s="694"/>
      <c r="BT553" s="703">
        <f t="shared" si="170"/>
        <v>0</v>
      </c>
      <c r="BU553" s="694"/>
      <c r="BV553" s="694"/>
      <c r="BW553" s="694"/>
      <c r="BX553" s="694"/>
      <c r="BY553" s="703">
        <f t="shared" ref="BY553" si="172">IF(LEN(U553)=2,1,IF(LEN(U553)&gt;2,VALUE(LEFT(U553,1)),))</f>
        <v>0</v>
      </c>
      <c r="BZ553" s="694"/>
      <c r="CA553" s="694"/>
      <c r="CB553" s="694"/>
      <c r="CC553" s="694"/>
      <c r="CD553" s="703">
        <f>CB553*4</f>
        <v>0</v>
      </c>
      <c r="CE553" s="694"/>
      <c r="CF553" s="694"/>
      <c r="CG553" s="694"/>
      <c r="CH553" s="694"/>
      <c r="CI553" s="694"/>
      <c r="CJ553" s="694"/>
      <c r="CK553" s="694"/>
      <c r="CL553" s="694"/>
      <c r="CM553" s="694"/>
      <c r="CN553" s="694"/>
      <c r="CO553" s="694"/>
      <c r="CP553" s="694"/>
      <c r="CQ553" s="694"/>
      <c r="CR553" s="694"/>
      <c r="CS553" s="694"/>
      <c r="CT553" s="694"/>
      <c r="CU553" s="694"/>
      <c r="CV553" s="694"/>
      <c r="CW553" s="694"/>
      <c r="CX553" s="694"/>
      <c r="CY553" s="694"/>
      <c r="CZ553" s="694"/>
      <c r="DA553" s="694"/>
      <c r="DB553" s="694"/>
      <c r="DC553" s="694"/>
      <c r="DD553" s="694"/>
      <c r="DE553" s="694"/>
      <c r="DF553" s="694"/>
      <c r="DG553" s="695"/>
      <c r="DH553" s="695"/>
      <c r="DI553" s="695"/>
      <c r="DJ553" s="695"/>
      <c r="DK553" s="695"/>
      <c r="DL553" s="695"/>
      <c r="DM553" s="695"/>
      <c r="DN553" s="695"/>
      <c r="DO553" s="695"/>
      <c r="DP553" s="695"/>
      <c r="DQ553" s="695"/>
      <c r="DR553" s="695"/>
      <c r="DS553" s="694"/>
      <c r="DT553" s="694"/>
      <c r="DU553" s="694"/>
      <c r="DV553" s="694"/>
      <c r="DW553" s="694"/>
      <c r="DX553" s="694"/>
      <c r="DY553" s="694"/>
      <c r="DZ553" s="694"/>
      <c r="EA553" s="694"/>
      <c r="EB553" s="694"/>
      <c r="EC553" s="694"/>
      <c r="ED553" s="694"/>
      <c r="EE553" s="694"/>
      <c r="EF553" s="694"/>
      <c r="EG553" s="694"/>
      <c r="EH553" s="694"/>
      <c r="EI553" s="694"/>
      <c r="EJ553" s="694"/>
      <c r="EK553" s="694"/>
      <c r="EL553" s="694"/>
      <c r="EM553" s="694"/>
      <c r="EN553" s="694"/>
      <c r="EO553" s="694"/>
      <c r="EP553" s="694"/>
      <c r="EQ553" s="694"/>
      <c r="ER553" s="694"/>
      <c r="ES553" s="694"/>
      <c r="ET553" s="694"/>
      <c r="EU553" s="694"/>
      <c r="EV553" s="694"/>
      <c r="EW553" s="694"/>
      <c r="EX553" s="694"/>
      <c r="EY553" s="694"/>
      <c r="EZ553" s="694"/>
      <c r="FA553" s="694"/>
      <c r="FB553" s="694"/>
      <c r="FC553" s="694"/>
      <c r="FD553" s="694"/>
      <c r="FE553" s="694"/>
      <c r="FF553" s="694"/>
      <c r="FG553" s="694"/>
      <c r="FH553" s="694"/>
      <c r="FI553" s="694"/>
      <c r="FJ553" s="694"/>
      <c r="FK553" s="694"/>
      <c r="FL553" s="694"/>
      <c r="FM553" s="694"/>
      <c r="FN553" s="694"/>
      <c r="FO553" s="694"/>
      <c r="FP553" s="694"/>
      <c r="FQ553" s="697"/>
    </row>
    <row r="554" spans="1:177" s="4" customFormat="1">
      <c r="A554" s="486">
        <f>MATCH(C554,$C$5:$C$700,0)</f>
        <v>550</v>
      </c>
      <c r="B554" s="56"/>
      <c r="C554" s="507" t="s">
        <v>3079</v>
      </c>
      <c r="D554" s="507"/>
      <c r="E554" s="508">
        <f t="shared" ref="E554:AK554" si="173">SUM(E509:E553)</f>
        <v>1392</v>
      </c>
      <c r="F554" s="508">
        <f t="shared" si="173"/>
        <v>0</v>
      </c>
      <c r="G554" s="508">
        <f t="shared" si="173"/>
        <v>0</v>
      </c>
      <c r="H554" s="508">
        <f t="shared" si="173"/>
        <v>0</v>
      </c>
      <c r="I554" s="508">
        <f t="shared" si="173"/>
        <v>0</v>
      </c>
      <c r="J554" s="508">
        <f t="shared" si="173"/>
        <v>0</v>
      </c>
      <c r="K554" s="508">
        <f t="shared" si="173"/>
        <v>0</v>
      </c>
      <c r="L554" s="508">
        <f t="shared" si="173"/>
        <v>0</v>
      </c>
      <c r="M554" s="508">
        <f t="shared" si="173"/>
        <v>0</v>
      </c>
      <c r="N554" s="508">
        <f t="shared" si="173"/>
        <v>0</v>
      </c>
      <c r="O554" s="508">
        <f t="shared" si="173"/>
        <v>1392</v>
      </c>
      <c r="P554" s="508">
        <f t="shared" si="173"/>
        <v>0</v>
      </c>
      <c r="Q554" s="508">
        <f t="shared" si="173"/>
        <v>0</v>
      </c>
      <c r="R554" s="508">
        <f t="shared" si="173"/>
        <v>0</v>
      </c>
      <c r="S554" s="508">
        <f t="shared" si="173"/>
        <v>0</v>
      </c>
      <c r="T554" s="509">
        <f t="shared" si="173"/>
        <v>0</v>
      </c>
      <c r="U554" s="509">
        <f t="shared" si="173"/>
        <v>0</v>
      </c>
      <c r="V554" s="509"/>
      <c r="W554" s="509">
        <f t="shared" si="173"/>
        <v>33</v>
      </c>
      <c r="X554" s="509">
        <f t="shared" si="173"/>
        <v>0</v>
      </c>
      <c r="Y554" s="509">
        <f t="shared" si="173"/>
        <v>0</v>
      </c>
      <c r="Z554" s="509">
        <f t="shared" si="173"/>
        <v>5</v>
      </c>
      <c r="AA554" s="509">
        <f t="shared" si="173"/>
        <v>0</v>
      </c>
      <c r="AB554" s="509">
        <f t="shared" si="173"/>
        <v>0</v>
      </c>
      <c r="AC554" s="509">
        <f t="shared" si="173"/>
        <v>0</v>
      </c>
      <c r="AD554" s="509">
        <f t="shared" si="173"/>
        <v>0</v>
      </c>
      <c r="AE554" s="511">
        <f t="shared" si="173"/>
        <v>14</v>
      </c>
      <c r="AF554" s="958">
        <f t="shared" si="173"/>
        <v>0</v>
      </c>
      <c r="AG554" s="509">
        <f t="shared" si="173"/>
        <v>0</v>
      </c>
      <c r="AH554" s="509">
        <f t="shared" si="173"/>
        <v>0</v>
      </c>
      <c r="AI554" s="509">
        <f t="shared" si="173"/>
        <v>0</v>
      </c>
      <c r="AJ554" s="509">
        <f t="shared" si="173"/>
        <v>0</v>
      </c>
      <c r="AK554" s="509">
        <f t="shared" si="173"/>
        <v>0</v>
      </c>
      <c r="AL554" s="509">
        <f t="shared" ref="AL554:BQ554" si="174">SUM(AL509:AL553)</f>
        <v>0</v>
      </c>
      <c r="AM554" s="509">
        <f t="shared" si="174"/>
        <v>0</v>
      </c>
      <c r="AN554" s="509">
        <f t="shared" si="174"/>
        <v>0</v>
      </c>
      <c r="AO554" s="509">
        <f t="shared" si="174"/>
        <v>0</v>
      </c>
      <c r="AP554" s="509">
        <f t="shared" si="174"/>
        <v>0</v>
      </c>
      <c r="AQ554" s="509">
        <f t="shared" si="174"/>
        <v>0</v>
      </c>
      <c r="AR554" s="509">
        <f t="shared" si="174"/>
        <v>0</v>
      </c>
      <c r="AS554" s="509">
        <f t="shared" si="174"/>
        <v>0</v>
      </c>
      <c r="AT554" s="509">
        <f t="shared" si="174"/>
        <v>0</v>
      </c>
      <c r="AU554" s="509">
        <f t="shared" si="174"/>
        <v>8</v>
      </c>
      <c r="AV554" s="509">
        <f t="shared" si="174"/>
        <v>0</v>
      </c>
      <c r="AW554" s="509">
        <f t="shared" si="174"/>
        <v>0</v>
      </c>
      <c r="AX554" s="509">
        <f t="shared" si="174"/>
        <v>0</v>
      </c>
      <c r="AY554" s="509">
        <f t="shared" si="174"/>
        <v>0</v>
      </c>
      <c r="AZ554" s="509">
        <f t="shared" si="174"/>
        <v>8</v>
      </c>
      <c r="BA554" s="509">
        <f t="shared" si="174"/>
        <v>20</v>
      </c>
      <c r="BB554" s="509">
        <f t="shared" si="174"/>
        <v>0</v>
      </c>
      <c r="BC554" s="509">
        <f t="shared" si="174"/>
        <v>0</v>
      </c>
      <c r="BD554" s="509">
        <f t="shared" si="174"/>
        <v>8</v>
      </c>
      <c r="BE554" s="509">
        <f t="shared" si="174"/>
        <v>30</v>
      </c>
      <c r="BF554" s="509">
        <f t="shared" si="174"/>
        <v>16</v>
      </c>
      <c r="BG554" s="509">
        <f t="shared" si="174"/>
        <v>0</v>
      </c>
      <c r="BH554" s="509">
        <f t="shared" si="174"/>
        <v>0</v>
      </c>
      <c r="BI554" s="509">
        <f t="shared" si="174"/>
        <v>156</v>
      </c>
      <c r="BJ554" s="509">
        <f t="shared" si="174"/>
        <v>0</v>
      </c>
      <c r="BK554" s="509">
        <f t="shared" si="174"/>
        <v>0</v>
      </c>
      <c r="BL554" s="509">
        <f t="shared" si="174"/>
        <v>0</v>
      </c>
      <c r="BM554" s="509">
        <f t="shared" si="174"/>
        <v>0</v>
      </c>
      <c r="BN554" s="509">
        <f t="shared" si="174"/>
        <v>0</v>
      </c>
      <c r="BO554" s="509">
        <f t="shared" si="174"/>
        <v>0</v>
      </c>
      <c r="BP554" s="509">
        <f t="shared" si="174"/>
        <v>0</v>
      </c>
      <c r="BQ554" s="509">
        <f t="shared" si="174"/>
        <v>11</v>
      </c>
      <c r="BR554" s="509">
        <f t="shared" ref="BR554:CW554" si="175">SUM(BR509:BR553)</f>
        <v>0</v>
      </c>
      <c r="BS554" s="509">
        <f t="shared" si="175"/>
        <v>40</v>
      </c>
      <c r="BT554" s="509">
        <f t="shared" si="175"/>
        <v>0</v>
      </c>
      <c r="BU554" s="509">
        <f t="shared" si="175"/>
        <v>0</v>
      </c>
      <c r="BV554" s="509">
        <f t="shared" si="175"/>
        <v>0</v>
      </c>
      <c r="BW554" s="509">
        <f t="shared" si="175"/>
        <v>0</v>
      </c>
      <c r="BX554" s="509">
        <f t="shared" si="175"/>
        <v>24</v>
      </c>
      <c r="BY554" s="509">
        <f t="shared" si="175"/>
        <v>0</v>
      </c>
      <c r="BZ554" s="509">
        <f t="shared" si="175"/>
        <v>0</v>
      </c>
      <c r="CA554" s="509">
        <f t="shared" si="175"/>
        <v>0</v>
      </c>
      <c r="CB554" s="509">
        <f t="shared" si="175"/>
        <v>28</v>
      </c>
      <c r="CC554" s="509">
        <f t="shared" si="175"/>
        <v>0</v>
      </c>
      <c r="CD554" s="509">
        <f t="shared" si="175"/>
        <v>112</v>
      </c>
      <c r="CE554" s="509">
        <f t="shared" si="175"/>
        <v>9</v>
      </c>
      <c r="CF554" s="509">
        <f t="shared" si="175"/>
        <v>3</v>
      </c>
      <c r="CG554" s="509">
        <f t="shared" si="175"/>
        <v>18</v>
      </c>
      <c r="CH554" s="509">
        <f t="shared" si="175"/>
        <v>6</v>
      </c>
      <c r="CI554" s="509">
        <f t="shared" si="175"/>
        <v>20</v>
      </c>
      <c r="CJ554" s="509">
        <f t="shared" si="175"/>
        <v>0</v>
      </c>
      <c r="CK554" s="509">
        <f t="shared" si="175"/>
        <v>0</v>
      </c>
      <c r="CL554" s="509">
        <f t="shared" si="175"/>
        <v>0</v>
      </c>
      <c r="CM554" s="509">
        <f t="shared" si="175"/>
        <v>16</v>
      </c>
      <c r="CN554" s="509">
        <f t="shared" si="175"/>
        <v>0</v>
      </c>
      <c r="CO554" s="509">
        <f t="shared" si="175"/>
        <v>16</v>
      </c>
      <c r="CP554" s="509">
        <f t="shared" si="175"/>
        <v>0</v>
      </c>
      <c r="CQ554" s="509">
        <f t="shared" si="175"/>
        <v>0</v>
      </c>
      <c r="CR554" s="509">
        <f t="shared" si="175"/>
        <v>0</v>
      </c>
      <c r="CS554" s="509">
        <f t="shared" si="175"/>
        <v>0</v>
      </c>
      <c r="CT554" s="509">
        <f t="shared" si="175"/>
        <v>0</v>
      </c>
      <c r="CU554" s="509">
        <f t="shared" si="175"/>
        <v>3</v>
      </c>
      <c r="CV554" s="509">
        <f t="shared" si="175"/>
        <v>1</v>
      </c>
      <c r="CW554" s="509">
        <f t="shared" si="175"/>
        <v>0</v>
      </c>
      <c r="CX554" s="509">
        <f t="shared" ref="CX554:EC554" si="176">SUM(CX509:CX553)</f>
        <v>0</v>
      </c>
      <c r="CY554" s="509">
        <f t="shared" si="176"/>
        <v>0</v>
      </c>
      <c r="CZ554" s="509">
        <f t="shared" si="176"/>
        <v>0</v>
      </c>
      <c r="DA554" s="509">
        <f t="shared" si="176"/>
        <v>0</v>
      </c>
      <c r="DB554" s="509">
        <f t="shared" si="176"/>
        <v>0</v>
      </c>
      <c r="DC554" s="509">
        <f t="shared" si="176"/>
        <v>0</v>
      </c>
      <c r="DD554" s="509">
        <f t="shared" si="176"/>
        <v>0</v>
      </c>
      <c r="DE554" s="509">
        <f t="shared" si="176"/>
        <v>0</v>
      </c>
      <c r="DF554" s="509">
        <f t="shared" si="176"/>
        <v>0</v>
      </c>
      <c r="DG554" s="518">
        <f t="shared" si="176"/>
        <v>0</v>
      </c>
      <c r="DH554" s="518">
        <f t="shared" si="176"/>
        <v>0</v>
      </c>
      <c r="DI554" s="518">
        <f t="shared" si="176"/>
        <v>0</v>
      </c>
      <c r="DJ554" s="518">
        <f t="shared" si="176"/>
        <v>0</v>
      </c>
      <c r="DK554" s="518">
        <f t="shared" si="176"/>
        <v>0</v>
      </c>
      <c r="DL554" s="518">
        <f t="shared" si="176"/>
        <v>0</v>
      </c>
      <c r="DM554" s="518">
        <f t="shared" si="176"/>
        <v>0</v>
      </c>
      <c r="DN554" s="518">
        <f t="shared" si="176"/>
        <v>0</v>
      </c>
      <c r="DO554" s="518">
        <f t="shared" si="176"/>
        <v>0</v>
      </c>
      <c r="DP554" s="518">
        <f t="shared" si="176"/>
        <v>0</v>
      </c>
      <c r="DQ554" s="518">
        <f t="shared" si="176"/>
        <v>0</v>
      </c>
      <c r="DR554" s="518">
        <f t="shared" si="176"/>
        <v>0</v>
      </c>
      <c r="DS554" s="509">
        <f t="shared" si="176"/>
        <v>0</v>
      </c>
      <c r="DT554" s="509">
        <f t="shared" si="176"/>
        <v>0</v>
      </c>
      <c r="DU554" s="509">
        <f t="shared" si="176"/>
        <v>0</v>
      </c>
      <c r="DV554" s="509">
        <f t="shared" si="176"/>
        <v>0</v>
      </c>
      <c r="DW554" s="509">
        <f t="shared" si="176"/>
        <v>0</v>
      </c>
      <c r="DX554" s="509">
        <f t="shared" si="176"/>
        <v>0</v>
      </c>
      <c r="DY554" s="509">
        <f t="shared" si="176"/>
        <v>0</v>
      </c>
      <c r="DZ554" s="509">
        <f t="shared" si="176"/>
        <v>0</v>
      </c>
      <c r="EA554" s="509">
        <f t="shared" si="176"/>
        <v>0</v>
      </c>
      <c r="EB554" s="509">
        <f t="shared" si="176"/>
        <v>0</v>
      </c>
      <c r="EC554" s="509">
        <f t="shared" si="176"/>
        <v>0</v>
      </c>
      <c r="ED554" s="509">
        <f t="shared" ref="ED554:FI554" si="177">SUM(ED509:ED553)</f>
        <v>0</v>
      </c>
      <c r="EE554" s="509">
        <f t="shared" si="177"/>
        <v>0</v>
      </c>
      <c r="EF554" s="509">
        <f t="shared" si="177"/>
        <v>0</v>
      </c>
      <c r="EG554" s="509">
        <f t="shared" si="177"/>
        <v>0</v>
      </c>
      <c r="EH554" s="509">
        <f t="shared" si="177"/>
        <v>0</v>
      </c>
      <c r="EI554" s="509">
        <f t="shared" si="177"/>
        <v>0</v>
      </c>
      <c r="EJ554" s="509">
        <f t="shared" si="177"/>
        <v>0</v>
      </c>
      <c r="EK554" s="509">
        <f t="shared" si="177"/>
        <v>0</v>
      </c>
      <c r="EL554" s="509">
        <f t="shared" si="177"/>
        <v>0</v>
      </c>
      <c r="EM554" s="509">
        <f t="shared" si="177"/>
        <v>0</v>
      </c>
      <c r="EN554" s="509">
        <f t="shared" si="177"/>
        <v>0</v>
      </c>
      <c r="EO554" s="509">
        <f t="shared" si="177"/>
        <v>0</v>
      </c>
      <c r="EP554" s="509">
        <f t="shared" si="177"/>
        <v>0</v>
      </c>
      <c r="EQ554" s="509">
        <f t="shared" si="177"/>
        <v>0</v>
      </c>
      <c r="ER554" s="509">
        <f t="shared" si="177"/>
        <v>0</v>
      </c>
      <c r="ES554" s="509">
        <f t="shared" si="177"/>
        <v>0</v>
      </c>
      <c r="ET554" s="509">
        <f t="shared" si="177"/>
        <v>0</v>
      </c>
      <c r="EU554" s="509">
        <f t="shared" si="177"/>
        <v>0</v>
      </c>
      <c r="EV554" s="509">
        <f t="shared" si="177"/>
        <v>0</v>
      </c>
      <c r="EW554" s="509">
        <f t="shared" si="177"/>
        <v>0</v>
      </c>
      <c r="EX554" s="509">
        <f t="shared" si="177"/>
        <v>0</v>
      </c>
      <c r="EY554" s="509">
        <f t="shared" si="177"/>
        <v>0</v>
      </c>
      <c r="EZ554" s="509">
        <f t="shared" si="177"/>
        <v>0</v>
      </c>
      <c r="FA554" s="509">
        <f t="shared" si="177"/>
        <v>0</v>
      </c>
      <c r="FB554" s="509">
        <f t="shared" si="177"/>
        <v>0</v>
      </c>
      <c r="FC554" s="509">
        <f t="shared" si="177"/>
        <v>0</v>
      </c>
      <c r="FD554" s="509">
        <f t="shared" si="177"/>
        <v>0</v>
      </c>
      <c r="FE554" s="509">
        <f t="shared" si="177"/>
        <v>0</v>
      </c>
      <c r="FF554" s="509">
        <f t="shared" si="177"/>
        <v>0</v>
      </c>
      <c r="FG554" s="509">
        <f t="shared" si="177"/>
        <v>0</v>
      </c>
      <c r="FH554" s="509">
        <f t="shared" si="177"/>
        <v>0</v>
      </c>
      <c r="FI554" s="509">
        <f t="shared" si="177"/>
        <v>0</v>
      </c>
      <c r="FJ554" s="509">
        <f t="shared" ref="FJ554:FO554" si="178">SUM(FJ509:FJ553)</f>
        <v>0</v>
      </c>
      <c r="FK554" s="509">
        <f t="shared" si="178"/>
        <v>0</v>
      </c>
      <c r="FL554" s="509">
        <f t="shared" si="178"/>
        <v>0</v>
      </c>
      <c r="FM554" s="509">
        <f t="shared" si="178"/>
        <v>0</v>
      </c>
      <c r="FN554" s="509">
        <f t="shared" si="178"/>
        <v>0</v>
      </c>
      <c r="FO554" s="509">
        <f t="shared" si="178"/>
        <v>0</v>
      </c>
      <c r="FP554" s="509"/>
      <c r="FQ554" s="508"/>
      <c r="FU554" s="4">
        <f>DY554-FM554</f>
        <v>0</v>
      </c>
    </row>
    <row r="555" spans="1:177" s="4" customFormat="1">
      <c r="A555" s="56"/>
      <c r="B555" s="56">
        <v>9</v>
      </c>
      <c r="C555" s="501" t="s">
        <v>3836</v>
      </c>
      <c r="D555" s="502"/>
      <c r="E555" s="503"/>
      <c r="F555" s="503"/>
      <c r="G555" s="503"/>
      <c r="H555" s="503"/>
      <c r="I555" s="503"/>
      <c r="J555" s="503"/>
      <c r="K555" s="503"/>
      <c r="L555" s="503"/>
      <c r="M555" s="503"/>
      <c r="N555" s="503"/>
      <c r="O555" s="503"/>
      <c r="P555" s="503"/>
      <c r="Q555" s="503"/>
      <c r="R555" s="503"/>
      <c r="S555" s="503"/>
      <c r="T555" s="504"/>
      <c r="U555" s="504"/>
      <c r="V555" s="504"/>
      <c r="W555" s="504"/>
      <c r="X555" s="504"/>
      <c r="Y555" s="504"/>
      <c r="Z555" s="504"/>
      <c r="AA555" s="504"/>
      <c r="AB555" s="504"/>
      <c r="AC555" s="504"/>
      <c r="AD555" s="504"/>
      <c r="AE555" s="954"/>
      <c r="AF555" s="959"/>
      <c r="AG555" s="504"/>
      <c r="AH555" s="504"/>
      <c r="AI555" s="504"/>
      <c r="AJ555" s="504"/>
      <c r="AK555" s="504"/>
      <c r="AL555" s="504"/>
      <c r="AM555" s="504"/>
      <c r="AN555" s="504"/>
      <c r="AO555" s="504"/>
      <c r="AP555" s="504"/>
      <c r="AQ555" s="504"/>
      <c r="AR555" s="504"/>
      <c r="AS555" s="504"/>
      <c r="AT555" s="504"/>
      <c r="AU555" s="504"/>
      <c r="AV555" s="504"/>
      <c r="AW555" s="504"/>
      <c r="AX555" s="504"/>
      <c r="AY555" s="504"/>
      <c r="AZ555" s="504"/>
      <c r="BA555" s="504"/>
      <c r="BB555" s="504"/>
      <c r="BC555" s="504"/>
      <c r="BD555" s="504"/>
      <c r="BE555" s="504"/>
      <c r="BF555" s="504"/>
      <c r="BG555" s="504"/>
      <c r="BH555" s="504"/>
      <c r="BI555" s="504"/>
      <c r="BJ555" s="504"/>
      <c r="BK555" s="504"/>
      <c r="BL555" s="504"/>
      <c r="BM555" s="504"/>
      <c r="BN555" s="504"/>
      <c r="BO555" s="504"/>
      <c r="BP555" s="504"/>
      <c r="BQ555" s="504"/>
      <c r="BR555" s="504"/>
      <c r="BS555" s="504"/>
      <c r="BT555" s="504"/>
      <c r="BU555" s="504"/>
      <c r="BV555" s="504"/>
      <c r="BW555" s="504"/>
      <c r="BX555" s="504"/>
      <c r="BY555" s="504"/>
      <c r="BZ555" s="504"/>
      <c r="CA555" s="504"/>
      <c r="CB555" s="504"/>
      <c r="CC555" s="504"/>
      <c r="CD555" s="504"/>
      <c r="CE555" s="504"/>
      <c r="CF555" s="504"/>
      <c r="CG555" s="504"/>
      <c r="CH555" s="504"/>
      <c r="CI555" s="504"/>
      <c r="CJ555" s="504"/>
      <c r="CK555" s="504"/>
      <c r="CL555" s="504"/>
      <c r="CM555" s="504"/>
      <c r="CN555" s="504"/>
      <c r="CO555" s="504"/>
      <c r="CP555" s="504"/>
      <c r="CQ555" s="504"/>
      <c r="CR555" s="504"/>
      <c r="CS555" s="504"/>
      <c r="CT555" s="504"/>
      <c r="CU555" s="504"/>
      <c r="CV555" s="504"/>
      <c r="CW555" s="504"/>
      <c r="CX555" s="504"/>
      <c r="CY555" s="504"/>
      <c r="CZ555" s="504"/>
      <c r="DA555" s="504"/>
      <c r="DB555" s="504"/>
      <c r="DC555" s="504"/>
      <c r="DD555" s="504"/>
      <c r="DE555" s="504"/>
      <c r="DF555" s="504"/>
      <c r="DG555" s="519"/>
      <c r="DH555" s="519"/>
      <c r="DI555" s="519"/>
      <c r="DJ555" s="519"/>
      <c r="DK555" s="519"/>
      <c r="DL555" s="519"/>
      <c r="DM555" s="519"/>
      <c r="DN555" s="519"/>
      <c r="DO555" s="519"/>
      <c r="DP555" s="519"/>
      <c r="DQ555" s="519"/>
      <c r="DR555" s="519"/>
      <c r="DS555" s="504"/>
      <c r="DT555" s="504"/>
      <c r="DU555" s="504"/>
      <c r="DV555" s="504"/>
      <c r="DW555" s="504"/>
      <c r="DX555" s="504"/>
      <c r="DY555" s="504"/>
      <c r="DZ555" s="504"/>
      <c r="EA555" s="504"/>
      <c r="EB555" s="504"/>
      <c r="EC555" s="504"/>
      <c r="ED555" s="504"/>
      <c r="EE555" s="504"/>
      <c r="EF555" s="504"/>
      <c r="EG555" s="504"/>
      <c r="EH555" s="504"/>
      <c r="EI555" s="504"/>
      <c r="EJ555" s="504"/>
      <c r="EK555" s="504"/>
      <c r="EL555" s="504"/>
      <c r="EM555" s="504"/>
      <c r="EN555" s="504"/>
      <c r="EO555" s="504"/>
      <c r="EP555" s="504"/>
      <c r="EQ555" s="504"/>
      <c r="ER555" s="504"/>
      <c r="ES555" s="504"/>
      <c r="ET555" s="504"/>
      <c r="EU555" s="504"/>
      <c r="EV555" s="504"/>
      <c r="EW555" s="504"/>
      <c r="EX555" s="504"/>
      <c r="EY555" s="504"/>
      <c r="EZ555" s="504"/>
      <c r="FA555" s="504"/>
      <c r="FB555" s="504"/>
      <c r="FC555" s="504"/>
      <c r="FD555" s="504"/>
      <c r="FE555" s="504"/>
      <c r="FF555" s="504"/>
      <c r="FG555" s="504"/>
      <c r="FH555" s="504"/>
      <c r="FI555" s="504"/>
      <c r="FJ555" s="504"/>
      <c r="FK555" s="504"/>
      <c r="FL555" s="504"/>
      <c r="FM555" s="504"/>
      <c r="FN555" s="504"/>
      <c r="FO555" s="504"/>
      <c r="FP555" s="504"/>
      <c r="FQ555" s="505"/>
      <c r="FU555" s="4">
        <f>DY555-FM555</f>
        <v>0</v>
      </c>
    </row>
    <row r="556" spans="1:177" s="4" customFormat="1">
      <c r="A556" s="56"/>
      <c r="B556" s="56"/>
      <c r="C556" s="498"/>
      <c r="D556" s="498" t="s">
        <v>3838</v>
      </c>
      <c r="E556" s="454"/>
      <c r="F556" s="454"/>
      <c r="G556" s="454"/>
      <c r="H556" s="454"/>
      <c r="I556" s="454"/>
      <c r="J556" s="454"/>
      <c r="K556" s="454"/>
      <c r="L556" s="454"/>
      <c r="M556" s="454"/>
      <c r="N556" s="454"/>
      <c r="O556" s="454"/>
      <c r="P556" s="454"/>
      <c r="Q556" s="454"/>
      <c r="R556" s="290"/>
      <c r="S556" s="290"/>
      <c r="T556" s="454"/>
      <c r="U556" s="454" t="s">
        <v>2990</v>
      </c>
      <c r="V556" s="454"/>
      <c r="W556" s="454"/>
      <c r="X556" s="454"/>
      <c r="Y556" s="454"/>
      <c r="Z556" s="454"/>
      <c r="AA556" s="454"/>
      <c r="AB556" s="454"/>
      <c r="AC556" s="454"/>
      <c r="AD556" s="454"/>
      <c r="AE556" s="512"/>
      <c r="AF556" s="961"/>
      <c r="AG556" s="454"/>
      <c r="AH556" s="454"/>
      <c r="AI556" s="454"/>
      <c r="AJ556" s="454"/>
      <c r="AK556" s="454"/>
      <c r="AL556" s="454"/>
      <c r="AM556" s="454"/>
      <c r="AN556" s="454"/>
      <c r="AO556" s="454"/>
      <c r="AP556" s="454"/>
      <c r="AQ556" s="454"/>
      <c r="AR556" s="454"/>
      <c r="AS556" s="454"/>
      <c r="AT556" s="454"/>
      <c r="AU556" s="454"/>
      <c r="AV556" s="454"/>
      <c r="AW556" s="454"/>
      <c r="AX556" s="454"/>
      <c r="AY556" s="454"/>
      <c r="AZ556" s="454">
        <f>CB556+CC556</f>
        <v>0</v>
      </c>
      <c r="BA556" s="454"/>
      <c r="BB556" s="454"/>
      <c r="BC556" s="454"/>
      <c r="BD556" s="454"/>
      <c r="BE556" s="454">
        <v>1</v>
      </c>
      <c r="BF556" s="454"/>
      <c r="BG556" s="454"/>
      <c r="BH556" s="454"/>
      <c r="BI556" s="454">
        <v>0</v>
      </c>
      <c r="BJ556" s="454"/>
      <c r="BK556" s="454"/>
      <c r="BL556" s="454"/>
      <c r="BM556" s="454"/>
      <c r="BN556" s="454"/>
      <c r="BO556" s="454"/>
      <c r="BP556" s="454"/>
      <c r="BQ556" s="454"/>
      <c r="BR556" s="454"/>
      <c r="BS556" s="454"/>
      <c r="BT556" s="454"/>
      <c r="BU556" s="454"/>
      <c r="BV556" s="454"/>
      <c r="BW556" s="454"/>
      <c r="BX556" s="454">
        <v>1</v>
      </c>
      <c r="BY556" s="454"/>
      <c r="BZ556" s="454"/>
      <c r="CA556" s="454"/>
      <c r="CB556" s="454"/>
      <c r="CC556" s="454"/>
      <c r="CD556" s="454">
        <f>CB556*4</f>
        <v>0</v>
      </c>
      <c r="CE556" s="454"/>
      <c r="CF556" s="454"/>
      <c r="CG556" s="454"/>
      <c r="CH556" s="454"/>
      <c r="CI556" s="454"/>
      <c r="CJ556" s="454"/>
      <c r="CK556" s="454"/>
      <c r="CL556" s="454"/>
      <c r="CM556" s="454"/>
      <c r="CN556" s="454">
        <v>8</v>
      </c>
      <c r="CO556" s="454">
        <v>4</v>
      </c>
      <c r="CP556" s="454"/>
      <c r="CQ556" s="454"/>
      <c r="CR556" s="454"/>
      <c r="CS556" s="454"/>
      <c r="CT556" s="454"/>
      <c r="CU556" s="454"/>
      <c r="CV556" s="454"/>
      <c r="CW556" s="454"/>
      <c r="CX556" s="454"/>
      <c r="CY556" s="454"/>
      <c r="CZ556" s="454"/>
      <c r="DA556" s="454"/>
      <c r="DB556" s="454"/>
      <c r="DC556" s="454"/>
      <c r="DD556" s="454"/>
      <c r="DE556" s="454"/>
      <c r="DF556" s="454"/>
      <c r="DG556" s="517"/>
      <c r="DH556" s="517"/>
      <c r="DI556" s="517"/>
      <c r="DJ556" s="517"/>
      <c r="DK556" s="517"/>
      <c r="DL556" s="517"/>
      <c r="DM556" s="517"/>
      <c r="DN556" s="517"/>
      <c r="DO556" s="517"/>
      <c r="DP556" s="517"/>
      <c r="DQ556" s="517"/>
      <c r="DR556" s="517"/>
      <c r="DS556" s="454"/>
      <c r="DT556" s="454"/>
      <c r="DU556" s="454"/>
      <c r="DV556" s="454"/>
      <c r="DW556" s="454"/>
      <c r="DX556" s="454"/>
      <c r="DY556" s="454"/>
      <c r="DZ556" s="454"/>
      <c r="EA556" s="454"/>
      <c r="EB556" s="454"/>
      <c r="EC556" s="454"/>
      <c r="ED556" s="454"/>
      <c r="EE556" s="454"/>
      <c r="EF556" s="454"/>
      <c r="EG556" s="454"/>
      <c r="EH556" s="454"/>
      <c r="EI556" s="454"/>
      <c r="EJ556" s="454"/>
      <c r="EK556" s="454"/>
      <c r="EL556" s="454"/>
      <c r="EM556" s="454"/>
      <c r="EN556" s="454"/>
      <c r="EO556" s="454"/>
      <c r="EP556" s="454"/>
      <c r="EQ556" s="454"/>
      <c r="ER556" s="454"/>
      <c r="ES556" s="454"/>
      <c r="ET556" s="454"/>
      <c r="EU556" s="454"/>
      <c r="EV556" s="454"/>
      <c r="EW556" s="454"/>
      <c r="EX556" s="454"/>
      <c r="EY556" s="454"/>
      <c r="EZ556" s="454"/>
      <c r="FA556" s="454"/>
      <c r="FB556" s="454"/>
      <c r="FC556" s="454"/>
      <c r="FD556" s="454"/>
      <c r="FE556" s="454"/>
      <c r="FF556" s="454"/>
      <c r="FG556" s="454"/>
      <c r="FH556" s="454"/>
      <c r="FI556" s="454"/>
      <c r="FJ556" s="454"/>
      <c r="FK556" s="454"/>
      <c r="FL556" s="454"/>
      <c r="FM556" s="454"/>
      <c r="FN556" s="454"/>
      <c r="FO556" s="454"/>
      <c r="FP556" s="454"/>
      <c r="FQ556" s="290"/>
    </row>
    <row r="557" spans="1:177" s="4" customFormat="1">
      <c r="A557" s="56"/>
      <c r="B557" s="56"/>
      <c r="C557" s="498" t="s">
        <v>3632</v>
      </c>
      <c r="D557" s="498"/>
      <c r="E557" s="454">
        <v>26</v>
      </c>
      <c r="F557" s="454"/>
      <c r="G557" s="454"/>
      <c r="H557" s="454"/>
      <c r="I557" s="454"/>
      <c r="J557" s="454"/>
      <c r="K557" s="454"/>
      <c r="L557" s="454"/>
      <c r="M557" s="454"/>
      <c r="N557" s="454"/>
      <c r="O557" s="454">
        <f>E557</f>
        <v>26</v>
      </c>
      <c r="P557" s="454"/>
      <c r="Q557" s="454"/>
      <c r="R557" s="290"/>
      <c r="S557" s="290"/>
      <c r="T557" s="454"/>
      <c r="U557" s="454" t="s">
        <v>2989</v>
      </c>
      <c r="V557" s="454"/>
      <c r="W557" s="454"/>
      <c r="X557" s="454"/>
      <c r="Y557" s="454"/>
      <c r="Z557" s="454"/>
      <c r="AA557" s="454"/>
      <c r="AB557" s="454"/>
      <c r="AC557" s="454"/>
      <c r="AD557" s="454"/>
      <c r="AE557" s="512"/>
      <c r="AF557" s="961"/>
      <c r="AG557" s="454"/>
      <c r="AH557" s="454"/>
      <c r="AI557" s="454"/>
      <c r="AJ557" s="454"/>
      <c r="AK557" s="454"/>
      <c r="AL557" s="454"/>
      <c r="AM557" s="454"/>
      <c r="AN557" s="454"/>
      <c r="AO557" s="454"/>
      <c r="AP557" s="454"/>
      <c r="AQ557" s="454"/>
      <c r="AR557" s="454"/>
      <c r="AS557" s="454"/>
      <c r="AT557" s="454"/>
      <c r="AU557" s="454"/>
      <c r="AV557" s="454"/>
      <c r="AW557" s="454"/>
      <c r="AX557" s="454"/>
      <c r="AY557" s="454"/>
      <c r="AZ557" s="454">
        <f t="shared" ref="AZ557:AZ571" si="179">CB557+CC557</f>
        <v>1</v>
      </c>
      <c r="BA557" s="454"/>
      <c r="BB557" s="454"/>
      <c r="BC557" s="454"/>
      <c r="BD557" s="454"/>
      <c r="BE557" s="454">
        <v>2</v>
      </c>
      <c r="BF557" s="454"/>
      <c r="BG557" s="454"/>
      <c r="BH557" s="454"/>
      <c r="BI557" s="454">
        <v>0</v>
      </c>
      <c r="BJ557" s="454"/>
      <c r="BK557" s="454"/>
      <c r="BL557" s="454"/>
      <c r="BM557" s="454"/>
      <c r="BN557" s="454"/>
      <c r="BO557" s="454"/>
      <c r="BP557" s="454"/>
      <c r="BQ557" s="454"/>
      <c r="BR557" s="454"/>
      <c r="BS557" s="454"/>
      <c r="BT557" s="454"/>
      <c r="BU557" s="454"/>
      <c r="BV557" s="454"/>
      <c r="BW557" s="454"/>
      <c r="BX557" s="454">
        <v>2</v>
      </c>
      <c r="BY557" s="454"/>
      <c r="BZ557" s="454"/>
      <c r="CA557" s="454"/>
      <c r="CB557" s="454"/>
      <c r="CC557" s="454">
        <v>1</v>
      </c>
      <c r="CD557" s="454">
        <f t="shared" ref="CD557:CD571" si="180">CB557*4</f>
        <v>0</v>
      </c>
      <c r="CE557" s="454">
        <v>6</v>
      </c>
      <c r="CF557" s="454"/>
      <c r="CG557" s="454">
        <v>6</v>
      </c>
      <c r="CH557" s="454"/>
      <c r="CI557" s="454"/>
      <c r="CJ557" s="454">
        <v>7</v>
      </c>
      <c r="CK557" s="454"/>
      <c r="CL557" s="454"/>
      <c r="CM557" s="454"/>
      <c r="CN557" s="454"/>
      <c r="CO557" s="454"/>
      <c r="CP557" s="454"/>
      <c r="CQ557" s="454">
        <v>1</v>
      </c>
      <c r="CR557" s="454"/>
      <c r="CS557" s="454"/>
      <c r="CT557" s="454"/>
      <c r="CU557" s="454"/>
      <c r="CV557" s="454"/>
      <c r="CW557" s="454"/>
      <c r="CX557" s="454"/>
      <c r="CY557" s="454"/>
      <c r="CZ557" s="454"/>
      <c r="DA557" s="454"/>
      <c r="DB557" s="454"/>
      <c r="DC557" s="454"/>
      <c r="DD557" s="454"/>
      <c r="DE557" s="454"/>
      <c r="DF557" s="454"/>
      <c r="DG557" s="517"/>
      <c r="DH557" s="517"/>
      <c r="DI557" s="517"/>
      <c r="DJ557" s="517"/>
      <c r="DK557" s="517"/>
      <c r="DL557" s="517"/>
      <c r="DM557" s="517"/>
      <c r="DN557" s="517"/>
      <c r="DO557" s="517"/>
      <c r="DP557" s="517"/>
      <c r="DQ557" s="517"/>
      <c r="DR557" s="517"/>
      <c r="DS557" s="454"/>
      <c r="DT557" s="454"/>
      <c r="DU557" s="454"/>
      <c r="DV557" s="454"/>
      <c r="DW557" s="454"/>
      <c r="DX557" s="454"/>
      <c r="DY557" s="454"/>
      <c r="DZ557" s="454"/>
      <c r="EA557" s="454"/>
      <c r="EB557" s="454"/>
      <c r="EC557" s="454"/>
      <c r="ED557" s="454"/>
      <c r="EE557" s="454"/>
      <c r="EF557" s="454"/>
      <c r="EG557" s="454"/>
      <c r="EH557" s="454"/>
      <c r="EI557" s="454"/>
      <c r="EJ557" s="454"/>
      <c r="EK557" s="454"/>
      <c r="EL557" s="454"/>
      <c r="EM557" s="454"/>
      <c r="EN557" s="454"/>
      <c r="EO557" s="454"/>
      <c r="EP557" s="454"/>
      <c r="EQ557" s="454"/>
      <c r="ER557" s="454"/>
      <c r="ES557" s="454"/>
      <c r="ET557" s="454"/>
      <c r="EU557" s="454"/>
      <c r="EV557" s="454"/>
      <c r="EW557" s="454"/>
      <c r="EX557" s="454"/>
      <c r="EY557" s="454"/>
      <c r="EZ557" s="454"/>
      <c r="FA557" s="454"/>
      <c r="FB557" s="454"/>
      <c r="FC557" s="454"/>
      <c r="FD557" s="454"/>
      <c r="FE557" s="454"/>
      <c r="FF557" s="454"/>
      <c r="FG557" s="454"/>
      <c r="FH557" s="454"/>
      <c r="FI557" s="454"/>
      <c r="FJ557" s="454"/>
      <c r="FK557" s="454"/>
      <c r="FL557" s="454"/>
      <c r="FM557" s="454"/>
      <c r="FN557" s="454"/>
      <c r="FO557" s="454"/>
      <c r="FP557" s="454"/>
      <c r="FQ557" s="290"/>
    </row>
    <row r="558" spans="1:177" s="4" customFormat="1">
      <c r="A558" s="56"/>
      <c r="B558" s="56"/>
      <c r="C558" s="498" t="s">
        <v>3633</v>
      </c>
      <c r="D558" s="498"/>
      <c r="E558" s="454">
        <v>37.200000000000003</v>
      </c>
      <c r="F558" s="454"/>
      <c r="G558" s="454"/>
      <c r="H558" s="454"/>
      <c r="I558" s="454"/>
      <c r="J558" s="454"/>
      <c r="K558" s="454"/>
      <c r="L558" s="454"/>
      <c r="M558" s="454"/>
      <c r="N558" s="454"/>
      <c r="O558" s="454">
        <f t="shared" ref="O558:O570" si="181">E558</f>
        <v>37.200000000000003</v>
      </c>
      <c r="P558" s="454"/>
      <c r="Q558" s="454"/>
      <c r="R558" s="290"/>
      <c r="S558" s="290"/>
      <c r="T558" s="454"/>
      <c r="U558" s="454" t="s">
        <v>1631</v>
      </c>
      <c r="V558" s="454"/>
      <c r="W558" s="454"/>
      <c r="X558" s="454"/>
      <c r="Y558" s="454"/>
      <c r="Z558" s="454"/>
      <c r="AA558" s="454"/>
      <c r="AB558" s="454"/>
      <c r="AC558" s="454"/>
      <c r="AD558" s="454"/>
      <c r="AE558" s="512"/>
      <c r="AF558" s="961"/>
      <c r="AG558" s="454"/>
      <c r="AH558" s="454"/>
      <c r="AI558" s="454"/>
      <c r="AJ558" s="454"/>
      <c r="AK558" s="454"/>
      <c r="AL558" s="454"/>
      <c r="AM558" s="454"/>
      <c r="AN558" s="454"/>
      <c r="AO558" s="454"/>
      <c r="AP558" s="454"/>
      <c r="AQ558" s="454"/>
      <c r="AR558" s="454"/>
      <c r="AS558" s="454"/>
      <c r="AT558" s="454"/>
      <c r="AU558" s="454"/>
      <c r="AV558" s="454"/>
      <c r="AW558" s="454"/>
      <c r="AX558" s="454"/>
      <c r="AY558" s="454"/>
      <c r="AZ558" s="454">
        <f t="shared" si="179"/>
        <v>1</v>
      </c>
      <c r="BA558" s="454"/>
      <c r="BB558" s="454"/>
      <c r="BC558" s="454"/>
      <c r="BD558" s="454">
        <v>1</v>
      </c>
      <c r="BE558" s="454"/>
      <c r="BF558" s="454"/>
      <c r="BG558" s="454"/>
      <c r="BH558" s="454"/>
      <c r="BI558" s="454">
        <v>5</v>
      </c>
      <c r="BJ558" s="454"/>
      <c r="BK558" s="454"/>
      <c r="BL558" s="454"/>
      <c r="BM558" s="454"/>
      <c r="BN558" s="454"/>
      <c r="BO558" s="454"/>
      <c r="BP558" s="454"/>
      <c r="BQ558" s="454"/>
      <c r="BR558" s="454"/>
      <c r="BS558" s="454">
        <v>1</v>
      </c>
      <c r="BT558" s="454"/>
      <c r="BU558" s="454"/>
      <c r="BV558" s="454"/>
      <c r="BW558" s="454"/>
      <c r="BX558" s="454"/>
      <c r="BY558" s="454"/>
      <c r="BZ558" s="454"/>
      <c r="CA558" s="454"/>
      <c r="CB558" s="454">
        <v>1</v>
      </c>
      <c r="CC558" s="454"/>
      <c r="CD558" s="454">
        <f t="shared" si="180"/>
        <v>4</v>
      </c>
      <c r="CE558" s="454"/>
      <c r="CF558" s="454"/>
      <c r="CG558" s="454"/>
      <c r="CH558" s="454"/>
      <c r="CI558" s="454"/>
      <c r="CJ558" s="454"/>
      <c r="CK558" s="454"/>
      <c r="CL558" s="454"/>
      <c r="CM558" s="454"/>
      <c r="CN558" s="454"/>
      <c r="CO558" s="454"/>
      <c r="CP558" s="454"/>
      <c r="CQ558" s="454"/>
      <c r="CR558" s="454"/>
      <c r="CS558" s="454"/>
      <c r="CT558" s="454"/>
      <c r="CU558" s="454"/>
      <c r="CV558" s="454"/>
      <c r="CW558" s="454"/>
      <c r="CX558" s="454"/>
      <c r="CY558" s="454"/>
      <c r="CZ558" s="454"/>
      <c r="DA558" s="454"/>
      <c r="DB558" s="454"/>
      <c r="DC558" s="454"/>
      <c r="DD558" s="454"/>
      <c r="DE558" s="454"/>
      <c r="DF558" s="454"/>
      <c r="DG558" s="517"/>
      <c r="DH558" s="517"/>
      <c r="DI558" s="517"/>
      <c r="DJ558" s="517"/>
      <c r="DK558" s="517"/>
      <c r="DL558" s="517"/>
      <c r="DM558" s="517"/>
      <c r="DN558" s="517"/>
      <c r="DO558" s="517"/>
      <c r="DP558" s="517"/>
      <c r="DQ558" s="517"/>
      <c r="DR558" s="517"/>
      <c r="DS558" s="454"/>
      <c r="DT558" s="454"/>
      <c r="DU558" s="454"/>
      <c r="DV558" s="454"/>
      <c r="DW558" s="454"/>
      <c r="DX558" s="454"/>
      <c r="DY558" s="454"/>
      <c r="DZ558" s="454"/>
      <c r="EA558" s="454"/>
      <c r="EB558" s="454"/>
      <c r="EC558" s="454"/>
      <c r="ED558" s="454"/>
      <c r="EE558" s="454"/>
      <c r="EF558" s="454"/>
      <c r="EG558" s="454"/>
      <c r="EH558" s="454"/>
      <c r="EI558" s="454"/>
      <c r="EJ558" s="454"/>
      <c r="EK558" s="454"/>
      <c r="EL558" s="454"/>
      <c r="EM558" s="454"/>
      <c r="EN558" s="454"/>
      <c r="EO558" s="454"/>
      <c r="EP558" s="454"/>
      <c r="EQ558" s="454"/>
      <c r="ER558" s="454"/>
      <c r="ES558" s="454"/>
      <c r="ET558" s="454"/>
      <c r="EU558" s="454"/>
      <c r="EV558" s="454"/>
      <c r="EW558" s="454"/>
      <c r="EX558" s="454"/>
      <c r="EY558" s="454"/>
      <c r="EZ558" s="454"/>
      <c r="FA558" s="454"/>
      <c r="FB558" s="454"/>
      <c r="FC558" s="454"/>
      <c r="FD558" s="454"/>
      <c r="FE558" s="454"/>
      <c r="FF558" s="454"/>
      <c r="FG558" s="454"/>
      <c r="FH558" s="454"/>
      <c r="FI558" s="454"/>
      <c r="FJ558" s="454"/>
      <c r="FK558" s="454"/>
      <c r="FL558" s="454"/>
      <c r="FM558" s="454"/>
      <c r="FN558" s="454"/>
      <c r="FO558" s="454"/>
      <c r="FP558" s="454"/>
      <c r="FQ558" s="290"/>
    </row>
    <row r="559" spans="1:177" s="4" customFormat="1">
      <c r="A559" s="56"/>
      <c r="B559" s="56"/>
      <c r="C559" s="498" t="s">
        <v>3634</v>
      </c>
      <c r="D559" s="498"/>
      <c r="E559" s="454">
        <v>37.6</v>
      </c>
      <c r="F559" s="454"/>
      <c r="G559" s="454"/>
      <c r="H559" s="454"/>
      <c r="I559" s="454"/>
      <c r="J559" s="454"/>
      <c r="K559" s="454"/>
      <c r="L559" s="454"/>
      <c r="M559" s="454"/>
      <c r="N559" s="454"/>
      <c r="O559" s="454">
        <f t="shared" si="181"/>
        <v>37.6</v>
      </c>
      <c r="P559" s="454"/>
      <c r="Q559" s="454"/>
      <c r="R559" s="290"/>
      <c r="S559" s="290"/>
      <c r="T559" s="454"/>
      <c r="U559" s="454" t="s">
        <v>1631</v>
      </c>
      <c r="V559" s="454"/>
      <c r="W559" s="454"/>
      <c r="X559" s="454"/>
      <c r="Y559" s="454"/>
      <c r="Z559" s="454"/>
      <c r="AA559" s="454"/>
      <c r="AB559" s="454"/>
      <c r="AC559" s="454"/>
      <c r="AD559" s="454"/>
      <c r="AE559" s="512"/>
      <c r="AF559" s="961"/>
      <c r="AG559" s="454"/>
      <c r="AH559" s="454"/>
      <c r="AI559" s="454"/>
      <c r="AJ559" s="454"/>
      <c r="AK559" s="454"/>
      <c r="AL559" s="454"/>
      <c r="AM559" s="454"/>
      <c r="AN559" s="454"/>
      <c r="AO559" s="454"/>
      <c r="AP559" s="454"/>
      <c r="AQ559" s="454"/>
      <c r="AR559" s="454"/>
      <c r="AS559" s="454"/>
      <c r="AT559" s="454"/>
      <c r="AU559" s="454">
        <v>1</v>
      </c>
      <c r="AV559" s="454"/>
      <c r="AW559" s="454"/>
      <c r="AX559" s="454"/>
      <c r="AY559" s="454"/>
      <c r="AZ559" s="454">
        <f t="shared" si="179"/>
        <v>0</v>
      </c>
      <c r="BA559" s="454"/>
      <c r="BB559" s="454"/>
      <c r="BC559" s="454"/>
      <c r="BD559" s="454">
        <v>1</v>
      </c>
      <c r="BE559" s="454"/>
      <c r="BF559" s="454"/>
      <c r="BG559" s="454"/>
      <c r="BH559" s="454"/>
      <c r="BI559" s="454">
        <v>2</v>
      </c>
      <c r="BJ559" s="454"/>
      <c r="BK559" s="454"/>
      <c r="BL559" s="454"/>
      <c r="BM559" s="454"/>
      <c r="BN559" s="454"/>
      <c r="BO559" s="454"/>
      <c r="BP559" s="454"/>
      <c r="BQ559" s="454"/>
      <c r="BR559" s="454"/>
      <c r="BS559" s="454">
        <v>1</v>
      </c>
      <c r="BT559" s="454"/>
      <c r="BU559" s="454"/>
      <c r="BV559" s="454"/>
      <c r="BW559" s="454"/>
      <c r="BX559" s="454"/>
      <c r="BY559" s="454"/>
      <c r="BZ559" s="454"/>
      <c r="CA559" s="454"/>
      <c r="CB559" s="454"/>
      <c r="CC559" s="454"/>
      <c r="CD559" s="454">
        <f t="shared" si="180"/>
        <v>0</v>
      </c>
      <c r="CE559" s="454"/>
      <c r="CF559" s="454"/>
      <c r="CG559" s="454"/>
      <c r="CH559" s="454"/>
      <c r="CI559" s="454"/>
      <c r="CJ559" s="454"/>
      <c r="CK559" s="454"/>
      <c r="CL559" s="454"/>
      <c r="CM559" s="454"/>
      <c r="CN559" s="454"/>
      <c r="CO559" s="454"/>
      <c r="CP559" s="454"/>
      <c r="CQ559" s="454"/>
      <c r="CR559" s="454"/>
      <c r="CS559" s="454"/>
      <c r="CT559" s="454"/>
      <c r="CU559" s="454"/>
      <c r="CV559" s="454"/>
      <c r="CW559" s="454"/>
      <c r="CX559" s="454"/>
      <c r="CY559" s="454"/>
      <c r="CZ559" s="454"/>
      <c r="DA559" s="454"/>
      <c r="DB559" s="454"/>
      <c r="DC559" s="454"/>
      <c r="DD559" s="454"/>
      <c r="DE559" s="454"/>
      <c r="DF559" s="454"/>
      <c r="DG559" s="517"/>
      <c r="DH559" s="517"/>
      <c r="DI559" s="517"/>
      <c r="DJ559" s="517"/>
      <c r="DK559" s="517"/>
      <c r="DL559" s="517"/>
      <c r="DM559" s="517"/>
      <c r="DN559" s="517"/>
      <c r="DO559" s="517"/>
      <c r="DP559" s="517"/>
      <c r="DQ559" s="517"/>
      <c r="DR559" s="517"/>
      <c r="DS559" s="454"/>
      <c r="DT559" s="454"/>
      <c r="DU559" s="454"/>
      <c r="DV559" s="454"/>
      <c r="DW559" s="454"/>
      <c r="DX559" s="454"/>
      <c r="DY559" s="454"/>
      <c r="DZ559" s="454"/>
      <c r="EA559" s="454"/>
      <c r="EB559" s="454"/>
      <c r="EC559" s="454"/>
      <c r="ED559" s="454"/>
      <c r="EE559" s="454"/>
      <c r="EF559" s="454"/>
      <c r="EG559" s="454"/>
      <c r="EH559" s="454"/>
      <c r="EI559" s="454"/>
      <c r="EJ559" s="454"/>
      <c r="EK559" s="454"/>
      <c r="EL559" s="454"/>
      <c r="EM559" s="454"/>
      <c r="EN559" s="454"/>
      <c r="EO559" s="454"/>
      <c r="EP559" s="454"/>
      <c r="EQ559" s="454"/>
      <c r="ER559" s="454"/>
      <c r="ES559" s="454"/>
      <c r="ET559" s="454"/>
      <c r="EU559" s="454"/>
      <c r="EV559" s="454"/>
      <c r="EW559" s="454"/>
      <c r="EX559" s="454"/>
      <c r="EY559" s="454"/>
      <c r="EZ559" s="454"/>
      <c r="FA559" s="454"/>
      <c r="FB559" s="454"/>
      <c r="FC559" s="454"/>
      <c r="FD559" s="454"/>
      <c r="FE559" s="454"/>
      <c r="FF559" s="454"/>
      <c r="FG559" s="454"/>
      <c r="FH559" s="454"/>
      <c r="FI559" s="454"/>
      <c r="FJ559" s="454"/>
      <c r="FK559" s="454"/>
      <c r="FL559" s="454"/>
      <c r="FM559" s="454"/>
      <c r="FN559" s="454"/>
      <c r="FO559" s="454"/>
      <c r="FP559" s="454"/>
      <c r="FQ559" s="290"/>
    </row>
    <row r="560" spans="1:177" s="4" customFormat="1">
      <c r="A560" s="56"/>
      <c r="B560" s="56"/>
      <c r="C560" s="498" t="s">
        <v>3635</v>
      </c>
      <c r="D560" s="498"/>
      <c r="E560" s="454">
        <v>40.200000000000003</v>
      </c>
      <c r="F560" s="454"/>
      <c r="G560" s="454"/>
      <c r="H560" s="454"/>
      <c r="I560" s="454"/>
      <c r="J560" s="454"/>
      <c r="K560" s="454"/>
      <c r="L560" s="454"/>
      <c r="M560" s="454"/>
      <c r="N560" s="454"/>
      <c r="O560" s="454">
        <f t="shared" si="181"/>
        <v>40.200000000000003</v>
      </c>
      <c r="P560" s="454"/>
      <c r="Q560" s="454"/>
      <c r="R560" s="290"/>
      <c r="S560" s="290"/>
      <c r="T560" s="454"/>
      <c r="U560" s="454" t="s">
        <v>2989</v>
      </c>
      <c r="V560" s="454"/>
      <c r="W560" s="454"/>
      <c r="X560" s="454"/>
      <c r="Y560" s="454"/>
      <c r="Z560" s="454"/>
      <c r="AA560" s="454"/>
      <c r="AB560" s="454"/>
      <c r="AC560" s="454"/>
      <c r="AD560" s="454"/>
      <c r="AE560" s="512"/>
      <c r="AF560" s="961"/>
      <c r="AG560" s="454"/>
      <c r="AH560" s="454"/>
      <c r="AI560" s="454"/>
      <c r="AJ560" s="454"/>
      <c r="AK560" s="454"/>
      <c r="AL560" s="454"/>
      <c r="AM560" s="454"/>
      <c r="AN560" s="454"/>
      <c r="AO560" s="454"/>
      <c r="AP560" s="454"/>
      <c r="AQ560" s="454"/>
      <c r="AR560" s="454"/>
      <c r="AS560" s="454"/>
      <c r="AT560" s="454"/>
      <c r="AU560" s="454"/>
      <c r="AV560" s="454"/>
      <c r="AW560" s="454"/>
      <c r="AX560" s="454"/>
      <c r="AY560" s="454"/>
      <c r="AZ560" s="454">
        <f t="shared" si="179"/>
        <v>1</v>
      </c>
      <c r="BA560" s="454"/>
      <c r="BB560" s="454"/>
      <c r="BC560" s="454"/>
      <c r="BD560" s="454">
        <v>2</v>
      </c>
      <c r="BE560" s="454"/>
      <c r="BF560" s="454"/>
      <c r="BG560" s="454"/>
      <c r="BH560" s="454"/>
      <c r="BI560" s="454">
        <v>5</v>
      </c>
      <c r="BJ560" s="454"/>
      <c r="BK560" s="454"/>
      <c r="BL560" s="454"/>
      <c r="BM560" s="454"/>
      <c r="BN560" s="454"/>
      <c r="BO560" s="454"/>
      <c r="BP560" s="454"/>
      <c r="BQ560" s="454"/>
      <c r="BR560" s="454"/>
      <c r="BS560" s="454"/>
      <c r="BT560" s="454"/>
      <c r="BU560" s="454"/>
      <c r="BV560" s="454"/>
      <c r="BW560" s="454"/>
      <c r="BX560" s="454">
        <v>2</v>
      </c>
      <c r="BY560" s="454"/>
      <c r="BZ560" s="454"/>
      <c r="CA560" s="454"/>
      <c r="CB560" s="454">
        <v>1</v>
      </c>
      <c r="CC560" s="454"/>
      <c r="CD560" s="454">
        <f t="shared" si="180"/>
        <v>4</v>
      </c>
      <c r="CE560" s="454"/>
      <c r="CF560" s="454"/>
      <c r="CG560" s="454"/>
      <c r="CH560" s="454"/>
      <c r="CI560" s="454"/>
      <c r="CJ560" s="454"/>
      <c r="CK560" s="454"/>
      <c r="CL560" s="454"/>
      <c r="CM560" s="454"/>
      <c r="CN560" s="454"/>
      <c r="CO560" s="454"/>
      <c r="CP560" s="454"/>
      <c r="CQ560" s="454"/>
      <c r="CR560" s="454"/>
      <c r="CS560" s="454"/>
      <c r="CT560" s="454"/>
      <c r="CU560" s="454"/>
      <c r="CV560" s="454"/>
      <c r="CW560" s="454"/>
      <c r="CX560" s="454"/>
      <c r="CY560" s="454"/>
      <c r="CZ560" s="454"/>
      <c r="DA560" s="454"/>
      <c r="DB560" s="454"/>
      <c r="DC560" s="454"/>
      <c r="DD560" s="454"/>
      <c r="DE560" s="454"/>
      <c r="DF560" s="454"/>
      <c r="DG560" s="517"/>
      <c r="DH560" s="517"/>
      <c r="DI560" s="517"/>
      <c r="DJ560" s="517"/>
      <c r="DK560" s="517"/>
      <c r="DL560" s="517"/>
      <c r="DM560" s="517"/>
      <c r="DN560" s="517"/>
      <c r="DO560" s="517"/>
      <c r="DP560" s="517"/>
      <c r="DQ560" s="517"/>
      <c r="DR560" s="517"/>
      <c r="DS560" s="454"/>
      <c r="DT560" s="454"/>
      <c r="DU560" s="454"/>
      <c r="DV560" s="454"/>
      <c r="DW560" s="454"/>
      <c r="DX560" s="454"/>
      <c r="DY560" s="454"/>
      <c r="DZ560" s="454"/>
      <c r="EA560" s="454"/>
      <c r="EB560" s="454"/>
      <c r="EC560" s="454"/>
      <c r="ED560" s="454"/>
      <c r="EE560" s="454"/>
      <c r="EF560" s="454"/>
      <c r="EG560" s="454"/>
      <c r="EH560" s="454"/>
      <c r="EI560" s="454"/>
      <c r="EJ560" s="454"/>
      <c r="EK560" s="454"/>
      <c r="EL560" s="454"/>
      <c r="EM560" s="454"/>
      <c r="EN560" s="454"/>
      <c r="EO560" s="454"/>
      <c r="EP560" s="454"/>
      <c r="EQ560" s="454"/>
      <c r="ER560" s="454"/>
      <c r="ES560" s="454"/>
      <c r="ET560" s="454"/>
      <c r="EU560" s="454"/>
      <c r="EV560" s="454"/>
      <c r="EW560" s="454"/>
      <c r="EX560" s="454"/>
      <c r="EY560" s="454"/>
      <c r="EZ560" s="454"/>
      <c r="FA560" s="454"/>
      <c r="FB560" s="454"/>
      <c r="FC560" s="454"/>
      <c r="FD560" s="454"/>
      <c r="FE560" s="454"/>
      <c r="FF560" s="454"/>
      <c r="FG560" s="454"/>
      <c r="FH560" s="454"/>
      <c r="FI560" s="454"/>
      <c r="FJ560" s="454"/>
      <c r="FK560" s="454"/>
      <c r="FL560" s="454"/>
      <c r="FM560" s="454"/>
      <c r="FN560" s="454"/>
      <c r="FO560" s="454"/>
      <c r="FP560" s="454"/>
      <c r="FQ560" s="290"/>
    </row>
    <row r="561" spans="1:177" s="4" customFormat="1">
      <c r="A561" s="56"/>
      <c r="B561" s="56"/>
      <c r="C561" s="498" t="s">
        <v>3636</v>
      </c>
      <c r="D561" s="498"/>
      <c r="E561" s="454">
        <v>28.5</v>
      </c>
      <c r="F561" s="454"/>
      <c r="G561" s="454"/>
      <c r="H561" s="454"/>
      <c r="I561" s="454"/>
      <c r="J561" s="454"/>
      <c r="K561" s="454"/>
      <c r="L561" s="454"/>
      <c r="M561" s="454"/>
      <c r="N561" s="454"/>
      <c r="O561" s="454">
        <f t="shared" si="181"/>
        <v>28.5</v>
      </c>
      <c r="P561" s="454"/>
      <c r="Q561" s="454"/>
      <c r="R561" s="290"/>
      <c r="S561" s="290"/>
      <c r="T561" s="454"/>
      <c r="U561" s="454" t="s">
        <v>2989</v>
      </c>
      <c r="V561" s="454"/>
      <c r="W561" s="454"/>
      <c r="X561" s="454"/>
      <c r="Y561" s="454"/>
      <c r="Z561" s="454"/>
      <c r="AA561" s="454"/>
      <c r="AB561" s="454"/>
      <c r="AC561" s="454"/>
      <c r="AD561" s="454"/>
      <c r="AE561" s="512"/>
      <c r="AF561" s="961"/>
      <c r="AG561" s="454"/>
      <c r="AH561" s="454"/>
      <c r="AI561" s="454"/>
      <c r="AJ561" s="454"/>
      <c r="AK561" s="454"/>
      <c r="AL561" s="454"/>
      <c r="AM561" s="454"/>
      <c r="AN561" s="454"/>
      <c r="AO561" s="454"/>
      <c r="AP561" s="454"/>
      <c r="AQ561" s="454"/>
      <c r="AR561" s="454"/>
      <c r="AS561" s="454"/>
      <c r="AT561" s="454"/>
      <c r="AU561" s="454"/>
      <c r="AV561" s="454"/>
      <c r="AW561" s="454"/>
      <c r="AX561" s="454"/>
      <c r="AY561" s="454"/>
      <c r="AZ561" s="454">
        <f t="shared" si="179"/>
        <v>0</v>
      </c>
      <c r="BA561" s="454"/>
      <c r="BB561" s="454"/>
      <c r="BC561" s="454"/>
      <c r="BD561" s="454">
        <v>2</v>
      </c>
      <c r="BE561" s="454"/>
      <c r="BF561" s="454"/>
      <c r="BG561" s="454"/>
      <c r="BH561" s="454"/>
      <c r="BI561" s="454">
        <v>0</v>
      </c>
      <c r="BJ561" s="454"/>
      <c r="BK561" s="454"/>
      <c r="BL561" s="454"/>
      <c r="BM561" s="454"/>
      <c r="BN561" s="454"/>
      <c r="BO561" s="454"/>
      <c r="BP561" s="454"/>
      <c r="BQ561" s="454"/>
      <c r="BR561" s="454"/>
      <c r="BS561" s="454"/>
      <c r="BT561" s="454"/>
      <c r="BU561" s="454"/>
      <c r="BV561" s="454"/>
      <c r="BW561" s="454"/>
      <c r="BX561" s="454">
        <v>2</v>
      </c>
      <c r="BY561" s="454"/>
      <c r="BZ561" s="454"/>
      <c r="CA561" s="454"/>
      <c r="CB561" s="454"/>
      <c r="CC561" s="454"/>
      <c r="CD561" s="454">
        <f t="shared" si="180"/>
        <v>0</v>
      </c>
      <c r="CE561" s="454"/>
      <c r="CF561" s="454"/>
      <c r="CG561" s="454"/>
      <c r="CH561" s="454"/>
      <c r="CI561" s="454"/>
      <c r="CJ561" s="454"/>
      <c r="CK561" s="454"/>
      <c r="CL561" s="454"/>
      <c r="CM561" s="454"/>
      <c r="CN561" s="454"/>
      <c r="CO561" s="454"/>
      <c r="CP561" s="454"/>
      <c r="CQ561" s="454"/>
      <c r="CR561" s="454"/>
      <c r="CS561" s="454"/>
      <c r="CT561" s="454"/>
      <c r="CU561" s="454"/>
      <c r="CV561" s="454"/>
      <c r="CW561" s="454"/>
      <c r="CX561" s="454"/>
      <c r="CY561" s="454"/>
      <c r="CZ561" s="454"/>
      <c r="DA561" s="454"/>
      <c r="DB561" s="454"/>
      <c r="DC561" s="454"/>
      <c r="DD561" s="454"/>
      <c r="DE561" s="454"/>
      <c r="DF561" s="454"/>
      <c r="DG561" s="517"/>
      <c r="DH561" s="517"/>
      <c r="DI561" s="517"/>
      <c r="DJ561" s="517"/>
      <c r="DK561" s="517"/>
      <c r="DL561" s="517"/>
      <c r="DM561" s="517"/>
      <c r="DN561" s="517"/>
      <c r="DO561" s="517"/>
      <c r="DP561" s="517"/>
      <c r="DQ561" s="517"/>
      <c r="DR561" s="517"/>
      <c r="DS561" s="454"/>
      <c r="DT561" s="454"/>
      <c r="DU561" s="454"/>
      <c r="DV561" s="454"/>
      <c r="DW561" s="454"/>
      <c r="DX561" s="454"/>
      <c r="DY561" s="454"/>
      <c r="DZ561" s="454"/>
      <c r="EA561" s="454"/>
      <c r="EB561" s="454"/>
      <c r="EC561" s="454"/>
      <c r="ED561" s="454"/>
      <c r="EE561" s="454"/>
      <c r="EF561" s="454"/>
      <c r="EG561" s="454"/>
      <c r="EH561" s="454"/>
      <c r="EI561" s="454"/>
      <c r="EJ561" s="454"/>
      <c r="EK561" s="454"/>
      <c r="EL561" s="454"/>
      <c r="EM561" s="454"/>
      <c r="EN561" s="454"/>
      <c r="EO561" s="454"/>
      <c r="EP561" s="454"/>
      <c r="EQ561" s="454"/>
      <c r="ER561" s="454"/>
      <c r="ES561" s="454"/>
      <c r="ET561" s="454"/>
      <c r="EU561" s="454"/>
      <c r="EV561" s="454"/>
      <c r="EW561" s="454"/>
      <c r="EX561" s="454"/>
      <c r="EY561" s="454"/>
      <c r="EZ561" s="454"/>
      <c r="FA561" s="454"/>
      <c r="FB561" s="454"/>
      <c r="FC561" s="454"/>
      <c r="FD561" s="454"/>
      <c r="FE561" s="454"/>
      <c r="FF561" s="454"/>
      <c r="FG561" s="454"/>
      <c r="FH561" s="454"/>
      <c r="FI561" s="454"/>
      <c r="FJ561" s="454"/>
      <c r="FK561" s="454"/>
      <c r="FL561" s="454"/>
      <c r="FM561" s="454"/>
      <c r="FN561" s="454"/>
      <c r="FO561" s="454"/>
      <c r="FP561" s="454"/>
      <c r="FQ561" s="290"/>
    </row>
    <row r="562" spans="1:177" s="4" customFormat="1">
      <c r="A562" s="56"/>
      <c r="B562" s="56"/>
      <c r="C562" s="498" t="s">
        <v>3637</v>
      </c>
      <c r="D562" s="498"/>
      <c r="E562" s="454">
        <v>38.1</v>
      </c>
      <c r="F562" s="454"/>
      <c r="G562" s="454"/>
      <c r="H562" s="454"/>
      <c r="I562" s="454"/>
      <c r="J562" s="454"/>
      <c r="K562" s="454"/>
      <c r="L562" s="454"/>
      <c r="M562" s="454"/>
      <c r="N562" s="454"/>
      <c r="O562" s="454">
        <f t="shared" si="181"/>
        <v>38.1</v>
      </c>
      <c r="P562" s="454"/>
      <c r="Q562" s="454"/>
      <c r="R562" s="290"/>
      <c r="S562" s="290"/>
      <c r="T562" s="454"/>
      <c r="U562" s="454" t="s">
        <v>1631</v>
      </c>
      <c r="V562" s="454"/>
      <c r="W562" s="454"/>
      <c r="X562" s="454"/>
      <c r="Y562" s="454"/>
      <c r="Z562" s="454"/>
      <c r="AA562" s="454"/>
      <c r="AB562" s="454"/>
      <c r="AC562" s="454"/>
      <c r="AD562" s="454"/>
      <c r="AE562" s="512"/>
      <c r="AF562" s="961"/>
      <c r="AG562" s="454"/>
      <c r="AH562" s="454"/>
      <c r="AI562" s="454"/>
      <c r="AJ562" s="454"/>
      <c r="AK562" s="454"/>
      <c r="AL562" s="454"/>
      <c r="AM562" s="454"/>
      <c r="AN562" s="454"/>
      <c r="AO562" s="454"/>
      <c r="AP562" s="454"/>
      <c r="AQ562" s="454"/>
      <c r="AR562" s="454"/>
      <c r="AS562" s="454"/>
      <c r="AT562" s="454"/>
      <c r="AU562" s="454"/>
      <c r="AV562" s="454"/>
      <c r="AW562" s="454"/>
      <c r="AX562" s="454"/>
      <c r="AY562" s="454"/>
      <c r="AZ562" s="454">
        <f t="shared" si="179"/>
        <v>1</v>
      </c>
      <c r="BA562" s="454"/>
      <c r="BB562" s="454"/>
      <c r="BC562" s="454"/>
      <c r="BD562" s="454">
        <v>1</v>
      </c>
      <c r="BE562" s="454"/>
      <c r="BF562" s="454"/>
      <c r="BG562" s="454"/>
      <c r="BH562" s="454"/>
      <c r="BI562" s="454">
        <v>5</v>
      </c>
      <c r="BJ562" s="454"/>
      <c r="BK562" s="454"/>
      <c r="BL562" s="454"/>
      <c r="BM562" s="454"/>
      <c r="BN562" s="454"/>
      <c r="BO562" s="454"/>
      <c r="BP562" s="454"/>
      <c r="BQ562" s="454"/>
      <c r="BR562" s="454"/>
      <c r="BS562" s="454">
        <v>1</v>
      </c>
      <c r="BT562" s="454"/>
      <c r="BU562" s="454"/>
      <c r="BV562" s="454"/>
      <c r="BW562" s="454"/>
      <c r="BX562" s="454"/>
      <c r="BY562" s="454"/>
      <c r="BZ562" s="454"/>
      <c r="CA562" s="454"/>
      <c r="CB562" s="454">
        <v>1</v>
      </c>
      <c r="CC562" s="454"/>
      <c r="CD562" s="454">
        <f t="shared" si="180"/>
        <v>4</v>
      </c>
      <c r="CE562" s="454"/>
      <c r="CF562" s="454"/>
      <c r="CG562" s="454"/>
      <c r="CH562" s="454"/>
      <c r="CI562" s="454"/>
      <c r="CJ562" s="454"/>
      <c r="CK562" s="454"/>
      <c r="CL562" s="454"/>
      <c r="CM562" s="454"/>
      <c r="CN562" s="454"/>
      <c r="CO562" s="454"/>
      <c r="CP562" s="454"/>
      <c r="CQ562" s="454"/>
      <c r="CR562" s="454"/>
      <c r="CS562" s="454"/>
      <c r="CT562" s="454"/>
      <c r="CU562" s="454"/>
      <c r="CV562" s="454"/>
      <c r="CW562" s="454"/>
      <c r="CX562" s="454"/>
      <c r="CY562" s="454"/>
      <c r="CZ562" s="454"/>
      <c r="DA562" s="454"/>
      <c r="DB562" s="454"/>
      <c r="DC562" s="454"/>
      <c r="DD562" s="454"/>
      <c r="DE562" s="454"/>
      <c r="DF562" s="454"/>
      <c r="DG562" s="517"/>
      <c r="DH562" s="517"/>
      <c r="DI562" s="517"/>
      <c r="DJ562" s="517"/>
      <c r="DK562" s="517"/>
      <c r="DL562" s="517"/>
      <c r="DM562" s="517"/>
      <c r="DN562" s="517"/>
      <c r="DO562" s="517"/>
      <c r="DP562" s="517"/>
      <c r="DQ562" s="517"/>
      <c r="DR562" s="517"/>
      <c r="DS562" s="454"/>
      <c r="DT562" s="454"/>
      <c r="DU562" s="454"/>
      <c r="DV562" s="454"/>
      <c r="DW562" s="454"/>
      <c r="DX562" s="454"/>
      <c r="DY562" s="454"/>
      <c r="DZ562" s="454"/>
      <c r="EA562" s="454"/>
      <c r="EB562" s="454"/>
      <c r="EC562" s="454"/>
      <c r="ED562" s="454"/>
      <c r="EE562" s="454"/>
      <c r="EF562" s="454"/>
      <c r="EG562" s="454"/>
      <c r="EH562" s="454"/>
      <c r="EI562" s="454"/>
      <c r="EJ562" s="454"/>
      <c r="EK562" s="454"/>
      <c r="EL562" s="454"/>
      <c r="EM562" s="454"/>
      <c r="EN562" s="454"/>
      <c r="EO562" s="454"/>
      <c r="EP562" s="454"/>
      <c r="EQ562" s="454"/>
      <c r="ER562" s="454"/>
      <c r="ES562" s="454"/>
      <c r="ET562" s="454"/>
      <c r="EU562" s="454"/>
      <c r="EV562" s="454"/>
      <c r="EW562" s="454"/>
      <c r="EX562" s="454"/>
      <c r="EY562" s="454"/>
      <c r="EZ562" s="454"/>
      <c r="FA562" s="454"/>
      <c r="FB562" s="454"/>
      <c r="FC562" s="454"/>
      <c r="FD562" s="454"/>
      <c r="FE562" s="454"/>
      <c r="FF562" s="454"/>
      <c r="FG562" s="454"/>
      <c r="FH562" s="454"/>
      <c r="FI562" s="454"/>
      <c r="FJ562" s="454"/>
      <c r="FK562" s="454"/>
      <c r="FL562" s="454"/>
      <c r="FM562" s="454"/>
      <c r="FN562" s="454"/>
      <c r="FO562" s="454"/>
      <c r="FP562" s="454"/>
      <c r="FQ562" s="290"/>
    </row>
    <row r="563" spans="1:177" s="4" customFormat="1">
      <c r="A563" s="56"/>
      <c r="B563" s="56"/>
      <c r="C563" s="498" t="s">
        <v>3638</v>
      </c>
      <c r="D563" s="498"/>
      <c r="E563" s="454">
        <v>37.6</v>
      </c>
      <c r="F563" s="454"/>
      <c r="G563" s="454"/>
      <c r="H563" s="454"/>
      <c r="I563" s="454"/>
      <c r="J563" s="454"/>
      <c r="K563" s="454"/>
      <c r="L563" s="454"/>
      <c r="M563" s="454"/>
      <c r="N563" s="454"/>
      <c r="O563" s="454">
        <f t="shared" si="181"/>
        <v>37.6</v>
      </c>
      <c r="P563" s="454"/>
      <c r="Q563" s="454"/>
      <c r="R563" s="290"/>
      <c r="S563" s="290"/>
      <c r="T563" s="454"/>
      <c r="U563" s="454" t="s">
        <v>2989</v>
      </c>
      <c r="V563" s="454"/>
      <c r="W563" s="454"/>
      <c r="X563" s="454"/>
      <c r="Y563" s="454"/>
      <c r="Z563" s="454"/>
      <c r="AA563" s="454"/>
      <c r="AB563" s="454"/>
      <c r="AC563" s="454"/>
      <c r="AD563" s="454"/>
      <c r="AE563" s="512"/>
      <c r="AF563" s="961"/>
      <c r="AG563" s="454"/>
      <c r="AH563" s="454"/>
      <c r="AI563" s="454"/>
      <c r="AJ563" s="454"/>
      <c r="AK563" s="454"/>
      <c r="AL563" s="454"/>
      <c r="AM563" s="454"/>
      <c r="AN563" s="454"/>
      <c r="AO563" s="454"/>
      <c r="AP563" s="454"/>
      <c r="AQ563" s="454"/>
      <c r="AR563" s="454"/>
      <c r="AS563" s="454"/>
      <c r="AT563" s="454"/>
      <c r="AU563" s="454"/>
      <c r="AV563" s="454"/>
      <c r="AW563" s="454"/>
      <c r="AX563" s="454"/>
      <c r="AY563" s="454"/>
      <c r="AZ563" s="454">
        <f t="shared" si="179"/>
        <v>1</v>
      </c>
      <c r="BA563" s="454"/>
      <c r="BB563" s="454"/>
      <c r="BC563" s="454"/>
      <c r="BD563" s="454">
        <v>2</v>
      </c>
      <c r="BE563" s="454"/>
      <c r="BF563" s="454"/>
      <c r="BG563" s="454"/>
      <c r="BH563" s="454"/>
      <c r="BI563" s="454">
        <v>5</v>
      </c>
      <c r="BJ563" s="454"/>
      <c r="BK563" s="454"/>
      <c r="BL563" s="454"/>
      <c r="BM563" s="454"/>
      <c r="BN563" s="454"/>
      <c r="BO563" s="454"/>
      <c r="BP563" s="454"/>
      <c r="BQ563" s="454"/>
      <c r="BR563" s="454"/>
      <c r="BS563" s="454"/>
      <c r="BT563" s="454"/>
      <c r="BU563" s="454"/>
      <c r="BV563" s="454"/>
      <c r="BW563" s="454"/>
      <c r="BX563" s="454">
        <v>2</v>
      </c>
      <c r="BY563" s="454"/>
      <c r="BZ563" s="454"/>
      <c r="CA563" s="454"/>
      <c r="CB563" s="454">
        <v>1</v>
      </c>
      <c r="CC563" s="454"/>
      <c r="CD563" s="454">
        <f t="shared" si="180"/>
        <v>4</v>
      </c>
      <c r="CE563" s="454"/>
      <c r="CF563" s="454"/>
      <c r="CG563" s="454"/>
      <c r="CH563" s="454"/>
      <c r="CI563" s="454"/>
      <c r="CJ563" s="454">
        <v>4</v>
      </c>
      <c r="CK563" s="454"/>
      <c r="CL563" s="454"/>
      <c r="CM563" s="454"/>
      <c r="CN563" s="454"/>
      <c r="CO563" s="454"/>
      <c r="CP563" s="454"/>
      <c r="CQ563" s="454"/>
      <c r="CR563" s="454"/>
      <c r="CS563" s="454"/>
      <c r="CT563" s="454"/>
      <c r="CU563" s="454"/>
      <c r="CV563" s="454"/>
      <c r="CW563" s="454"/>
      <c r="CX563" s="454"/>
      <c r="CY563" s="454"/>
      <c r="CZ563" s="454"/>
      <c r="DA563" s="454"/>
      <c r="DB563" s="454"/>
      <c r="DC563" s="454"/>
      <c r="DD563" s="454"/>
      <c r="DE563" s="454"/>
      <c r="DF563" s="454"/>
      <c r="DG563" s="517"/>
      <c r="DH563" s="517"/>
      <c r="DI563" s="517"/>
      <c r="DJ563" s="517"/>
      <c r="DK563" s="517"/>
      <c r="DL563" s="517"/>
      <c r="DM563" s="517"/>
      <c r="DN563" s="517"/>
      <c r="DO563" s="517"/>
      <c r="DP563" s="517"/>
      <c r="DQ563" s="517"/>
      <c r="DR563" s="517"/>
      <c r="DS563" s="454"/>
      <c r="DT563" s="454"/>
      <c r="DU563" s="454"/>
      <c r="DV563" s="454"/>
      <c r="DW563" s="454"/>
      <c r="DX563" s="454"/>
      <c r="DY563" s="454"/>
      <c r="DZ563" s="454"/>
      <c r="EA563" s="454"/>
      <c r="EB563" s="454"/>
      <c r="EC563" s="454"/>
      <c r="ED563" s="454"/>
      <c r="EE563" s="454"/>
      <c r="EF563" s="454"/>
      <c r="EG563" s="454"/>
      <c r="EH563" s="454"/>
      <c r="EI563" s="454"/>
      <c r="EJ563" s="454"/>
      <c r="EK563" s="454"/>
      <c r="EL563" s="454"/>
      <c r="EM563" s="454"/>
      <c r="EN563" s="454"/>
      <c r="EO563" s="454"/>
      <c r="EP563" s="454"/>
      <c r="EQ563" s="454"/>
      <c r="ER563" s="454"/>
      <c r="ES563" s="454"/>
      <c r="ET563" s="454"/>
      <c r="EU563" s="454"/>
      <c r="EV563" s="454"/>
      <c r="EW563" s="454"/>
      <c r="EX563" s="454"/>
      <c r="EY563" s="454"/>
      <c r="EZ563" s="454"/>
      <c r="FA563" s="454"/>
      <c r="FB563" s="454"/>
      <c r="FC563" s="454"/>
      <c r="FD563" s="454"/>
      <c r="FE563" s="454"/>
      <c r="FF563" s="454"/>
      <c r="FG563" s="454"/>
      <c r="FH563" s="454"/>
      <c r="FI563" s="454"/>
      <c r="FJ563" s="454"/>
      <c r="FK563" s="454"/>
      <c r="FL563" s="454"/>
      <c r="FM563" s="454"/>
      <c r="FN563" s="454"/>
      <c r="FO563" s="454"/>
      <c r="FP563" s="454"/>
      <c r="FQ563" s="290"/>
    </row>
    <row r="564" spans="1:177" s="4" customFormat="1">
      <c r="A564" s="56"/>
      <c r="B564" s="56"/>
      <c r="C564" s="498" t="s">
        <v>3839</v>
      </c>
      <c r="D564" s="498"/>
      <c r="E564" s="454">
        <v>23</v>
      </c>
      <c r="F564" s="454"/>
      <c r="G564" s="454"/>
      <c r="H564" s="454"/>
      <c r="I564" s="454"/>
      <c r="J564" s="454"/>
      <c r="K564" s="454"/>
      <c r="L564" s="454"/>
      <c r="M564" s="454"/>
      <c r="N564" s="454"/>
      <c r="O564" s="454">
        <f t="shared" si="181"/>
        <v>23</v>
      </c>
      <c r="P564" s="454"/>
      <c r="Q564" s="454"/>
      <c r="R564" s="290"/>
      <c r="S564" s="290"/>
      <c r="T564" s="454"/>
      <c r="U564" s="454" t="s">
        <v>1903</v>
      </c>
      <c r="V564" s="454"/>
      <c r="W564" s="454">
        <v>2</v>
      </c>
      <c r="X564" s="454"/>
      <c r="Y564" s="454"/>
      <c r="Z564" s="454"/>
      <c r="AA564" s="454"/>
      <c r="AB564" s="454"/>
      <c r="AC564" s="454"/>
      <c r="AD564" s="454"/>
      <c r="AE564" s="512"/>
      <c r="AF564" s="961">
        <v>1</v>
      </c>
      <c r="AG564" s="454"/>
      <c r="AH564" s="454"/>
      <c r="AI564" s="454"/>
      <c r="AJ564" s="454"/>
      <c r="AK564" s="454"/>
      <c r="AL564" s="454"/>
      <c r="AM564" s="454"/>
      <c r="AN564" s="454"/>
      <c r="AO564" s="454"/>
      <c r="AP564" s="454"/>
      <c r="AQ564" s="454"/>
      <c r="AR564" s="454"/>
      <c r="AS564" s="454"/>
      <c r="AT564" s="454"/>
      <c r="AU564" s="454">
        <v>1</v>
      </c>
      <c r="AV564" s="454"/>
      <c r="AW564" s="454"/>
      <c r="AX564" s="454"/>
      <c r="AY564" s="454"/>
      <c r="AZ564" s="454">
        <f t="shared" si="179"/>
        <v>0</v>
      </c>
      <c r="BA564" s="454"/>
      <c r="BB564" s="454"/>
      <c r="BC564" s="454"/>
      <c r="BD564" s="454"/>
      <c r="BE564" s="454"/>
      <c r="BF564" s="454">
        <v>1</v>
      </c>
      <c r="BG564" s="454"/>
      <c r="BH564" s="454"/>
      <c r="BI564" s="454">
        <v>2</v>
      </c>
      <c r="BJ564" s="454"/>
      <c r="BK564" s="454"/>
      <c r="BL564" s="454"/>
      <c r="BM564" s="454"/>
      <c r="BN564" s="454"/>
      <c r="BO564" s="454"/>
      <c r="BP564" s="454"/>
      <c r="BQ564" s="454">
        <v>1</v>
      </c>
      <c r="BR564" s="454"/>
      <c r="BS564" s="454">
        <v>2</v>
      </c>
      <c r="BT564" s="454"/>
      <c r="BU564" s="454"/>
      <c r="BV564" s="454"/>
      <c r="BW564" s="454"/>
      <c r="BX564" s="454"/>
      <c r="BY564" s="454"/>
      <c r="BZ564" s="454"/>
      <c r="CA564" s="454"/>
      <c r="CB564" s="454"/>
      <c r="CC564" s="454"/>
      <c r="CD564" s="454">
        <f t="shared" si="180"/>
        <v>0</v>
      </c>
      <c r="CE564" s="454"/>
      <c r="CF564" s="454"/>
      <c r="CG564" s="454"/>
      <c r="CH564" s="454"/>
      <c r="CI564" s="454"/>
      <c r="CJ564" s="454"/>
      <c r="CK564" s="454"/>
      <c r="CL564" s="454"/>
      <c r="CM564" s="454"/>
      <c r="CN564" s="454"/>
      <c r="CO564" s="454"/>
      <c r="CP564" s="454"/>
      <c r="CQ564" s="454"/>
      <c r="CR564" s="454"/>
      <c r="CS564" s="454"/>
      <c r="CT564" s="454"/>
      <c r="CU564" s="454"/>
      <c r="CV564" s="454"/>
      <c r="CW564" s="454"/>
      <c r="CX564" s="454"/>
      <c r="CY564" s="454"/>
      <c r="CZ564" s="454"/>
      <c r="DA564" s="454"/>
      <c r="DB564" s="454"/>
      <c r="DC564" s="454"/>
      <c r="DD564" s="454"/>
      <c r="DE564" s="454"/>
      <c r="DF564" s="454"/>
      <c r="DG564" s="517"/>
      <c r="DH564" s="517"/>
      <c r="DI564" s="517"/>
      <c r="DJ564" s="517"/>
      <c r="DK564" s="517"/>
      <c r="DL564" s="517"/>
      <c r="DM564" s="517"/>
      <c r="DN564" s="517"/>
      <c r="DO564" s="517"/>
      <c r="DP564" s="517"/>
      <c r="DQ564" s="517"/>
      <c r="DR564" s="517"/>
      <c r="DS564" s="454"/>
      <c r="DT564" s="454"/>
      <c r="DU564" s="454"/>
      <c r="DV564" s="454"/>
      <c r="DW564" s="454"/>
      <c r="DX564" s="454"/>
      <c r="DY564" s="454"/>
      <c r="DZ564" s="454"/>
      <c r="EA564" s="454"/>
      <c r="EB564" s="454"/>
      <c r="EC564" s="454"/>
      <c r="ED564" s="454"/>
      <c r="EE564" s="454"/>
      <c r="EF564" s="454"/>
      <c r="EG564" s="454"/>
      <c r="EH564" s="454"/>
      <c r="EI564" s="454"/>
      <c r="EJ564" s="454"/>
      <c r="EK564" s="454"/>
      <c r="EL564" s="454"/>
      <c r="EM564" s="454"/>
      <c r="EN564" s="454"/>
      <c r="EO564" s="454"/>
      <c r="EP564" s="454"/>
      <c r="EQ564" s="454"/>
      <c r="ER564" s="454"/>
      <c r="ES564" s="454"/>
      <c r="ET564" s="454"/>
      <c r="EU564" s="454"/>
      <c r="EV564" s="454"/>
      <c r="EW564" s="454"/>
      <c r="EX564" s="454"/>
      <c r="EY564" s="454"/>
      <c r="EZ564" s="454"/>
      <c r="FA564" s="454"/>
      <c r="FB564" s="454"/>
      <c r="FC564" s="454"/>
      <c r="FD564" s="454"/>
      <c r="FE564" s="454"/>
      <c r="FF564" s="454"/>
      <c r="FG564" s="454"/>
      <c r="FH564" s="454"/>
      <c r="FI564" s="454"/>
      <c r="FJ564" s="454"/>
      <c r="FK564" s="454"/>
      <c r="FL564" s="454"/>
      <c r="FM564" s="454"/>
      <c r="FN564" s="454"/>
      <c r="FO564" s="454"/>
      <c r="FP564" s="454"/>
      <c r="FQ564" s="290"/>
    </row>
    <row r="565" spans="1:177" s="4" customFormat="1">
      <c r="A565" s="56"/>
      <c r="B565" s="56"/>
      <c r="C565" s="498" t="s">
        <v>3639</v>
      </c>
      <c r="D565" s="498"/>
      <c r="E565" s="454">
        <v>23.6</v>
      </c>
      <c r="F565" s="454"/>
      <c r="G565" s="454"/>
      <c r="H565" s="454"/>
      <c r="I565" s="454"/>
      <c r="J565" s="454"/>
      <c r="K565" s="454"/>
      <c r="L565" s="454"/>
      <c r="M565" s="454"/>
      <c r="N565" s="454"/>
      <c r="O565" s="454">
        <f t="shared" si="181"/>
        <v>23.6</v>
      </c>
      <c r="P565" s="454"/>
      <c r="Q565" s="454"/>
      <c r="R565" s="290"/>
      <c r="S565" s="290"/>
      <c r="T565" s="454"/>
      <c r="U565" s="454" t="s">
        <v>2989</v>
      </c>
      <c r="V565" s="454"/>
      <c r="W565" s="454"/>
      <c r="X565" s="454"/>
      <c r="Y565" s="454"/>
      <c r="Z565" s="454"/>
      <c r="AA565" s="454"/>
      <c r="AB565" s="454"/>
      <c r="AC565" s="454"/>
      <c r="AD565" s="454"/>
      <c r="AE565" s="512"/>
      <c r="AF565" s="961"/>
      <c r="AG565" s="454"/>
      <c r="AH565" s="454"/>
      <c r="AI565" s="454"/>
      <c r="AJ565" s="454"/>
      <c r="AK565" s="454"/>
      <c r="AL565" s="454"/>
      <c r="AM565" s="454"/>
      <c r="AN565" s="454"/>
      <c r="AO565" s="454"/>
      <c r="AP565" s="454"/>
      <c r="AQ565" s="454"/>
      <c r="AR565" s="454"/>
      <c r="AS565" s="454"/>
      <c r="AT565" s="454"/>
      <c r="AU565" s="454"/>
      <c r="AV565" s="454"/>
      <c r="AW565" s="454"/>
      <c r="AX565" s="454"/>
      <c r="AY565" s="454"/>
      <c r="AZ565" s="454">
        <f t="shared" si="179"/>
        <v>1</v>
      </c>
      <c r="BA565" s="454"/>
      <c r="BB565" s="454"/>
      <c r="BC565" s="454"/>
      <c r="BD565" s="454">
        <v>2</v>
      </c>
      <c r="BE565" s="454"/>
      <c r="BF565" s="454"/>
      <c r="BG565" s="454"/>
      <c r="BH565" s="454"/>
      <c r="BI565" s="454">
        <v>5</v>
      </c>
      <c r="BJ565" s="454"/>
      <c r="BK565" s="454"/>
      <c r="BL565" s="454"/>
      <c r="BM565" s="454"/>
      <c r="BN565" s="454"/>
      <c r="BO565" s="454"/>
      <c r="BP565" s="454"/>
      <c r="BQ565" s="454"/>
      <c r="BR565" s="454"/>
      <c r="BS565" s="454"/>
      <c r="BT565" s="454"/>
      <c r="BU565" s="454"/>
      <c r="BV565" s="454"/>
      <c r="BW565" s="454"/>
      <c r="BX565" s="454">
        <v>2</v>
      </c>
      <c r="BY565" s="454"/>
      <c r="BZ565" s="454"/>
      <c r="CA565" s="454"/>
      <c r="CB565" s="454">
        <v>1</v>
      </c>
      <c r="CC565" s="454"/>
      <c r="CD565" s="454">
        <f t="shared" si="180"/>
        <v>4</v>
      </c>
      <c r="CE565" s="454"/>
      <c r="CF565" s="454"/>
      <c r="CG565" s="454"/>
      <c r="CH565" s="454"/>
      <c r="CI565" s="454"/>
      <c r="CJ565" s="454"/>
      <c r="CK565" s="454"/>
      <c r="CL565" s="454"/>
      <c r="CM565" s="454"/>
      <c r="CN565" s="454"/>
      <c r="CO565" s="454"/>
      <c r="CP565" s="454"/>
      <c r="CQ565" s="454"/>
      <c r="CR565" s="454"/>
      <c r="CS565" s="454"/>
      <c r="CT565" s="454"/>
      <c r="CU565" s="454"/>
      <c r="CV565" s="454"/>
      <c r="CW565" s="454"/>
      <c r="CX565" s="454"/>
      <c r="CY565" s="454"/>
      <c r="CZ565" s="454"/>
      <c r="DA565" s="454"/>
      <c r="DB565" s="454"/>
      <c r="DC565" s="454"/>
      <c r="DD565" s="454"/>
      <c r="DE565" s="454"/>
      <c r="DF565" s="454"/>
      <c r="DG565" s="517"/>
      <c r="DH565" s="517"/>
      <c r="DI565" s="517"/>
      <c r="DJ565" s="517"/>
      <c r="DK565" s="517"/>
      <c r="DL565" s="517"/>
      <c r="DM565" s="517"/>
      <c r="DN565" s="517"/>
      <c r="DO565" s="517"/>
      <c r="DP565" s="517"/>
      <c r="DQ565" s="517"/>
      <c r="DR565" s="517"/>
      <c r="DS565" s="454"/>
      <c r="DT565" s="454"/>
      <c r="DU565" s="454"/>
      <c r="DV565" s="454"/>
      <c r="DW565" s="454"/>
      <c r="DX565" s="454"/>
      <c r="DY565" s="454"/>
      <c r="DZ565" s="454"/>
      <c r="EA565" s="454"/>
      <c r="EB565" s="454"/>
      <c r="EC565" s="454"/>
      <c r="ED565" s="454"/>
      <c r="EE565" s="454"/>
      <c r="EF565" s="454"/>
      <c r="EG565" s="454"/>
      <c r="EH565" s="454"/>
      <c r="EI565" s="454"/>
      <c r="EJ565" s="454"/>
      <c r="EK565" s="454"/>
      <c r="EL565" s="454"/>
      <c r="EM565" s="454"/>
      <c r="EN565" s="454"/>
      <c r="EO565" s="454"/>
      <c r="EP565" s="454"/>
      <c r="EQ565" s="454"/>
      <c r="ER565" s="454"/>
      <c r="ES565" s="454"/>
      <c r="ET565" s="454"/>
      <c r="EU565" s="454"/>
      <c r="EV565" s="454"/>
      <c r="EW565" s="454"/>
      <c r="EX565" s="454"/>
      <c r="EY565" s="454"/>
      <c r="EZ565" s="454"/>
      <c r="FA565" s="454"/>
      <c r="FB565" s="454"/>
      <c r="FC565" s="454"/>
      <c r="FD565" s="454"/>
      <c r="FE565" s="454"/>
      <c r="FF565" s="454"/>
      <c r="FG565" s="454"/>
      <c r="FH565" s="454"/>
      <c r="FI565" s="454"/>
      <c r="FJ565" s="454"/>
      <c r="FK565" s="454"/>
      <c r="FL565" s="454"/>
      <c r="FM565" s="454"/>
      <c r="FN565" s="454"/>
      <c r="FO565" s="454"/>
      <c r="FP565" s="454"/>
      <c r="FQ565" s="290"/>
    </row>
    <row r="566" spans="1:177" s="4" customFormat="1">
      <c r="A566" s="56"/>
      <c r="B566" s="56"/>
      <c r="C566" s="498" t="s">
        <v>3640</v>
      </c>
      <c r="D566" s="498"/>
      <c r="E566" s="454">
        <v>35.4</v>
      </c>
      <c r="F566" s="454"/>
      <c r="G566" s="454"/>
      <c r="H566" s="454"/>
      <c r="I566" s="454"/>
      <c r="J566" s="454"/>
      <c r="K566" s="454"/>
      <c r="L566" s="454"/>
      <c r="M566" s="454"/>
      <c r="N566" s="454"/>
      <c r="O566" s="454">
        <f t="shared" si="181"/>
        <v>35.4</v>
      </c>
      <c r="P566" s="454"/>
      <c r="Q566" s="454"/>
      <c r="R566" s="290"/>
      <c r="S566" s="290"/>
      <c r="T566" s="454"/>
      <c r="U566" s="454" t="s">
        <v>1631</v>
      </c>
      <c r="V566" s="454"/>
      <c r="W566" s="454"/>
      <c r="X566" s="454"/>
      <c r="Y566" s="454"/>
      <c r="Z566" s="454"/>
      <c r="AA566" s="454"/>
      <c r="AB566" s="454"/>
      <c r="AC566" s="454"/>
      <c r="AD566" s="454"/>
      <c r="AE566" s="512"/>
      <c r="AF566" s="961"/>
      <c r="AG566" s="454"/>
      <c r="AH566" s="454"/>
      <c r="AI566" s="454"/>
      <c r="AJ566" s="454"/>
      <c r="AK566" s="454"/>
      <c r="AL566" s="454"/>
      <c r="AM566" s="454"/>
      <c r="AN566" s="454"/>
      <c r="AO566" s="454"/>
      <c r="AP566" s="454"/>
      <c r="AQ566" s="454"/>
      <c r="AR566" s="454"/>
      <c r="AS566" s="454"/>
      <c r="AT566" s="454"/>
      <c r="AU566" s="454"/>
      <c r="AV566" s="454"/>
      <c r="AW566" s="454"/>
      <c r="AX566" s="454"/>
      <c r="AY566" s="454"/>
      <c r="AZ566" s="454">
        <f t="shared" si="179"/>
        <v>1</v>
      </c>
      <c r="BA566" s="454"/>
      <c r="BB566" s="454"/>
      <c r="BC566" s="454"/>
      <c r="BD566" s="454">
        <v>1</v>
      </c>
      <c r="BE566" s="454"/>
      <c r="BF566" s="454"/>
      <c r="BG566" s="454"/>
      <c r="BH566" s="454"/>
      <c r="BI566" s="454">
        <v>5</v>
      </c>
      <c r="BJ566" s="454"/>
      <c r="BK566" s="454"/>
      <c r="BL566" s="454"/>
      <c r="BM566" s="454"/>
      <c r="BN566" s="454"/>
      <c r="BO566" s="454"/>
      <c r="BP566" s="454"/>
      <c r="BQ566" s="454"/>
      <c r="BR566" s="454"/>
      <c r="BS566" s="454">
        <v>1</v>
      </c>
      <c r="BT566" s="454"/>
      <c r="BU566" s="454"/>
      <c r="BV566" s="454"/>
      <c r="BW566" s="454"/>
      <c r="BX566" s="454"/>
      <c r="BY566" s="454"/>
      <c r="BZ566" s="454"/>
      <c r="CA566" s="454"/>
      <c r="CB566" s="454">
        <v>1</v>
      </c>
      <c r="CC566" s="454"/>
      <c r="CD566" s="454">
        <f t="shared" si="180"/>
        <v>4</v>
      </c>
      <c r="CE566" s="454"/>
      <c r="CF566" s="454"/>
      <c r="CG566" s="454"/>
      <c r="CH566" s="454"/>
      <c r="CI566" s="454"/>
      <c r="CJ566" s="454"/>
      <c r="CK566" s="454"/>
      <c r="CL566" s="454"/>
      <c r="CM566" s="454"/>
      <c r="CN566" s="454"/>
      <c r="CO566" s="454"/>
      <c r="CP566" s="454"/>
      <c r="CQ566" s="454"/>
      <c r="CR566" s="454"/>
      <c r="CS566" s="454"/>
      <c r="CT566" s="454"/>
      <c r="CU566" s="454"/>
      <c r="CV566" s="454"/>
      <c r="CW566" s="454"/>
      <c r="CX566" s="454"/>
      <c r="CY566" s="454"/>
      <c r="CZ566" s="454"/>
      <c r="DA566" s="454"/>
      <c r="DB566" s="454"/>
      <c r="DC566" s="454"/>
      <c r="DD566" s="454"/>
      <c r="DE566" s="454"/>
      <c r="DF566" s="454"/>
      <c r="DG566" s="517"/>
      <c r="DH566" s="517"/>
      <c r="DI566" s="517"/>
      <c r="DJ566" s="517"/>
      <c r="DK566" s="517"/>
      <c r="DL566" s="517"/>
      <c r="DM566" s="517"/>
      <c r="DN566" s="517"/>
      <c r="DO566" s="517"/>
      <c r="DP566" s="517"/>
      <c r="DQ566" s="517"/>
      <c r="DR566" s="517"/>
      <c r="DS566" s="454"/>
      <c r="DT566" s="454"/>
      <c r="DU566" s="454"/>
      <c r="DV566" s="454"/>
      <c r="DW566" s="454"/>
      <c r="DX566" s="454"/>
      <c r="DY566" s="454"/>
      <c r="DZ566" s="454"/>
      <c r="EA566" s="454"/>
      <c r="EB566" s="454"/>
      <c r="EC566" s="454"/>
      <c r="ED566" s="454"/>
      <c r="EE566" s="454"/>
      <c r="EF566" s="454"/>
      <c r="EG566" s="454"/>
      <c r="EH566" s="454"/>
      <c r="EI566" s="454"/>
      <c r="EJ566" s="454"/>
      <c r="EK566" s="454"/>
      <c r="EL566" s="454"/>
      <c r="EM566" s="454"/>
      <c r="EN566" s="454"/>
      <c r="EO566" s="454"/>
      <c r="EP566" s="454"/>
      <c r="EQ566" s="454"/>
      <c r="ER566" s="454"/>
      <c r="ES566" s="454"/>
      <c r="ET566" s="454"/>
      <c r="EU566" s="454"/>
      <c r="EV566" s="454"/>
      <c r="EW566" s="454"/>
      <c r="EX566" s="454"/>
      <c r="EY566" s="454"/>
      <c r="EZ566" s="454"/>
      <c r="FA566" s="454"/>
      <c r="FB566" s="454"/>
      <c r="FC566" s="454"/>
      <c r="FD566" s="454"/>
      <c r="FE566" s="454"/>
      <c r="FF566" s="454"/>
      <c r="FG566" s="454"/>
      <c r="FH566" s="454"/>
      <c r="FI566" s="454"/>
      <c r="FJ566" s="454"/>
      <c r="FK566" s="454"/>
      <c r="FL566" s="454"/>
      <c r="FM566" s="454"/>
      <c r="FN566" s="454"/>
      <c r="FO566" s="454"/>
      <c r="FP566" s="454"/>
      <c r="FQ566" s="290"/>
    </row>
    <row r="567" spans="1:177" s="4" customFormat="1">
      <c r="A567" s="56"/>
      <c r="B567" s="56"/>
      <c r="C567" s="498" t="s">
        <v>3641</v>
      </c>
      <c r="D567" s="498"/>
      <c r="E567" s="454">
        <v>34.799999999999997</v>
      </c>
      <c r="F567" s="454"/>
      <c r="G567" s="454"/>
      <c r="H567" s="454"/>
      <c r="I567" s="454"/>
      <c r="J567" s="454"/>
      <c r="K567" s="454"/>
      <c r="L567" s="454"/>
      <c r="M567" s="454"/>
      <c r="N567" s="454"/>
      <c r="O567" s="454">
        <f t="shared" si="181"/>
        <v>34.799999999999997</v>
      </c>
      <c r="P567" s="454"/>
      <c r="Q567" s="454"/>
      <c r="R567" s="290"/>
      <c r="S567" s="290"/>
      <c r="T567" s="454"/>
      <c r="U567" s="454" t="s">
        <v>1631</v>
      </c>
      <c r="V567" s="454"/>
      <c r="W567" s="454"/>
      <c r="X567" s="454"/>
      <c r="Y567" s="454"/>
      <c r="Z567" s="454"/>
      <c r="AA567" s="454"/>
      <c r="AB567" s="454"/>
      <c r="AC567" s="454"/>
      <c r="AD567" s="454"/>
      <c r="AE567" s="512"/>
      <c r="AF567" s="961"/>
      <c r="AG567" s="454"/>
      <c r="AH567" s="454"/>
      <c r="AI567" s="454"/>
      <c r="AJ567" s="454"/>
      <c r="AK567" s="454"/>
      <c r="AL567" s="454"/>
      <c r="AM567" s="454"/>
      <c r="AN567" s="454"/>
      <c r="AO567" s="454"/>
      <c r="AP567" s="454"/>
      <c r="AQ567" s="454"/>
      <c r="AR567" s="454"/>
      <c r="AS567" s="454"/>
      <c r="AT567" s="454"/>
      <c r="AU567" s="454"/>
      <c r="AV567" s="454"/>
      <c r="AW567" s="454"/>
      <c r="AX567" s="454"/>
      <c r="AY567" s="454"/>
      <c r="AZ567" s="454">
        <f t="shared" si="179"/>
        <v>0</v>
      </c>
      <c r="BA567" s="454"/>
      <c r="BB567" s="454"/>
      <c r="BC567" s="454"/>
      <c r="BD567" s="454">
        <v>1</v>
      </c>
      <c r="BE567" s="454"/>
      <c r="BF567" s="454"/>
      <c r="BG567" s="454"/>
      <c r="BH567" s="454"/>
      <c r="BI567" s="454">
        <v>0</v>
      </c>
      <c r="BJ567" s="454"/>
      <c r="BK567" s="454"/>
      <c r="BL567" s="454"/>
      <c r="BM567" s="454"/>
      <c r="BN567" s="454"/>
      <c r="BO567" s="454"/>
      <c r="BP567" s="454"/>
      <c r="BQ567" s="454"/>
      <c r="BR567" s="454"/>
      <c r="BS567" s="454">
        <v>1</v>
      </c>
      <c r="BT567" s="454"/>
      <c r="BU567" s="454"/>
      <c r="BV567" s="454"/>
      <c r="BW567" s="454"/>
      <c r="BX567" s="454"/>
      <c r="BY567" s="454"/>
      <c r="BZ567" s="454"/>
      <c r="CA567" s="454"/>
      <c r="CB567" s="454"/>
      <c r="CC567" s="454"/>
      <c r="CD567" s="454">
        <f t="shared" si="180"/>
        <v>0</v>
      </c>
      <c r="CE567" s="454"/>
      <c r="CF567" s="454"/>
      <c r="CG567" s="454"/>
      <c r="CH567" s="454"/>
      <c r="CI567" s="454"/>
      <c r="CJ567" s="454"/>
      <c r="CK567" s="454"/>
      <c r="CL567" s="454"/>
      <c r="CM567" s="454"/>
      <c r="CN567" s="454"/>
      <c r="CO567" s="454"/>
      <c r="CP567" s="454"/>
      <c r="CQ567" s="454"/>
      <c r="CR567" s="454"/>
      <c r="CS567" s="454"/>
      <c r="CT567" s="454"/>
      <c r="CU567" s="454"/>
      <c r="CV567" s="454"/>
      <c r="CW567" s="454"/>
      <c r="CX567" s="454"/>
      <c r="CY567" s="454"/>
      <c r="CZ567" s="454"/>
      <c r="DA567" s="454"/>
      <c r="DB567" s="454"/>
      <c r="DC567" s="454"/>
      <c r="DD567" s="454"/>
      <c r="DE567" s="454"/>
      <c r="DF567" s="454"/>
      <c r="DG567" s="517"/>
      <c r="DH567" s="517"/>
      <c r="DI567" s="517"/>
      <c r="DJ567" s="517"/>
      <c r="DK567" s="517"/>
      <c r="DL567" s="517"/>
      <c r="DM567" s="517"/>
      <c r="DN567" s="517"/>
      <c r="DO567" s="517"/>
      <c r="DP567" s="517"/>
      <c r="DQ567" s="517"/>
      <c r="DR567" s="517"/>
      <c r="DS567" s="454"/>
      <c r="DT567" s="454"/>
      <c r="DU567" s="454"/>
      <c r="DV567" s="454"/>
      <c r="DW567" s="454"/>
      <c r="DX567" s="516"/>
      <c r="DY567" s="516"/>
      <c r="DZ567" s="516"/>
      <c r="EA567" s="454"/>
      <c r="EB567" s="454"/>
      <c r="EC567" s="454"/>
      <c r="ED567" s="454"/>
      <c r="EE567" s="454"/>
      <c r="EF567" s="454"/>
      <c r="EG567" s="454"/>
      <c r="EH567" s="454"/>
      <c r="EI567" s="454"/>
      <c r="EJ567" s="454"/>
      <c r="EK567" s="454"/>
      <c r="EL567" s="454"/>
      <c r="EM567" s="454"/>
      <c r="EN567" s="454"/>
      <c r="EO567" s="454"/>
      <c r="EP567" s="454"/>
      <c r="EQ567" s="454"/>
      <c r="ER567" s="454"/>
      <c r="ES567" s="454"/>
      <c r="ET567" s="454"/>
      <c r="EU567" s="454"/>
      <c r="EV567" s="454"/>
      <c r="EW567" s="454"/>
      <c r="EX567" s="454"/>
      <c r="EY567" s="454"/>
      <c r="EZ567" s="454"/>
      <c r="FA567" s="454"/>
      <c r="FB567" s="454"/>
      <c r="FC567" s="454"/>
      <c r="FD567" s="454"/>
      <c r="FE567" s="454"/>
      <c r="FF567" s="454"/>
      <c r="FG567" s="454"/>
      <c r="FH567" s="454"/>
      <c r="FI567" s="454"/>
      <c r="FJ567" s="454"/>
      <c r="FK567" s="454"/>
      <c r="FL567" s="454"/>
      <c r="FM567" s="454"/>
      <c r="FN567" s="454"/>
      <c r="FO567" s="454"/>
      <c r="FP567" s="454"/>
      <c r="FQ567" s="290"/>
    </row>
    <row r="568" spans="1:177" s="4" customFormat="1">
      <c r="A568" s="56"/>
      <c r="B568" s="56"/>
      <c r="C568" s="498" t="s">
        <v>3647</v>
      </c>
      <c r="D568" s="498"/>
      <c r="E568" s="454">
        <v>32</v>
      </c>
      <c r="F568" s="454"/>
      <c r="G568" s="454"/>
      <c r="H568" s="454"/>
      <c r="I568" s="454"/>
      <c r="J568" s="454"/>
      <c r="K568" s="454"/>
      <c r="L568" s="454"/>
      <c r="M568" s="454"/>
      <c r="N568" s="454"/>
      <c r="O568" s="454">
        <f t="shared" si="181"/>
        <v>32</v>
      </c>
      <c r="P568" s="454"/>
      <c r="Q568" s="454"/>
      <c r="R568" s="290"/>
      <c r="S568" s="290"/>
      <c r="T568" s="454"/>
      <c r="U568" s="454" t="s">
        <v>1631</v>
      </c>
      <c r="V568" s="454"/>
      <c r="W568" s="454"/>
      <c r="X568" s="454"/>
      <c r="Y568" s="454"/>
      <c r="Z568" s="454"/>
      <c r="AA568" s="454"/>
      <c r="AB568" s="454"/>
      <c r="AC568" s="454"/>
      <c r="AD568" s="454"/>
      <c r="AE568" s="512"/>
      <c r="AF568" s="961"/>
      <c r="AG568" s="454"/>
      <c r="AH568" s="454"/>
      <c r="AI568" s="454"/>
      <c r="AJ568" s="454"/>
      <c r="AK568" s="454"/>
      <c r="AL568" s="454"/>
      <c r="AM568" s="454"/>
      <c r="AN568" s="454"/>
      <c r="AO568" s="454"/>
      <c r="AP568" s="454"/>
      <c r="AQ568" s="454"/>
      <c r="AR568" s="454"/>
      <c r="AS568" s="454"/>
      <c r="AT568" s="454"/>
      <c r="AU568" s="454"/>
      <c r="AV568" s="454"/>
      <c r="AW568" s="454"/>
      <c r="AX568" s="454"/>
      <c r="AY568" s="454"/>
      <c r="AZ568" s="454">
        <f t="shared" si="179"/>
        <v>1</v>
      </c>
      <c r="BA568" s="454"/>
      <c r="BB568" s="454"/>
      <c r="BC568" s="454"/>
      <c r="BD568" s="454">
        <v>1</v>
      </c>
      <c r="BE568" s="454"/>
      <c r="BF568" s="454"/>
      <c r="BG568" s="454"/>
      <c r="BH568" s="454"/>
      <c r="BI568" s="454">
        <v>5</v>
      </c>
      <c r="BJ568" s="454"/>
      <c r="BK568" s="454"/>
      <c r="BL568" s="454"/>
      <c r="BM568" s="454"/>
      <c r="BN568" s="454"/>
      <c r="BO568" s="454"/>
      <c r="BP568" s="454"/>
      <c r="BQ568" s="454"/>
      <c r="BR568" s="454"/>
      <c r="BS568" s="454">
        <v>1</v>
      </c>
      <c r="BT568" s="454"/>
      <c r="BU568" s="454"/>
      <c r="BV568" s="454"/>
      <c r="BW568" s="454"/>
      <c r="BX568" s="454"/>
      <c r="BY568" s="454"/>
      <c r="BZ568" s="454"/>
      <c r="CA568" s="454"/>
      <c r="CB568" s="454">
        <v>1</v>
      </c>
      <c r="CC568" s="454"/>
      <c r="CD568" s="454">
        <f t="shared" si="180"/>
        <v>4</v>
      </c>
      <c r="CE568" s="454"/>
      <c r="CF568" s="454"/>
      <c r="CG568" s="454"/>
      <c r="CH568" s="454"/>
      <c r="CI568" s="454"/>
      <c r="CJ568" s="454"/>
      <c r="CK568" s="454"/>
      <c r="CL568" s="454"/>
      <c r="CM568" s="454"/>
      <c r="CN568" s="454"/>
      <c r="CO568" s="454"/>
      <c r="CP568" s="454"/>
      <c r="CQ568" s="454"/>
      <c r="CR568" s="454"/>
      <c r="CS568" s="454"/>
      <c r="CT568" s="454"/>
      <c r="CU568" s="454"/>
      <c r="CV568" s="454"/>
      <c r="CW568" s="454"/>
      <c r="CX568" s="454"/>
      <c r="CY568" s="454"/>
      <c r="CZ568" s="454"/>
      <c r="DA568" s="454"/>
      <c r="DB568" s="454"/>
      <c r="DC568" s="454"/>
      <c r="DD568" s="454"/>
      <c r="DE568" s="454"/>
      <c r="DF568" s="454"/>
      <c r="DG568" s="517"/>
      <c r="DH568" s="517"/>
      <c r="DI568" s="517"/>
      <c r="DJ568" s="517"/>
      <c r="DK568" s="517"/>
      <c r="DL568" s="517"/>
      <c r="DM568" s="517"/>
      <c r="DN568" s="517"/>
      <c r="DO568" s="517"/>
      <c r="DP568" s="517"/>
      <c r="DQ568" s="517"/>
      <c r="DR568" s="517"/>
      <c r="DS568" s="454"/>
      <c r="DT568" s="454"/>
      <c r="DU568" s="454"/>
      <c r="DV568" s="454"/>
      <c r="DW568" s="454"/>
      <c r="DX568" s="454"/>
      <c r="DY568" s="454"/>
      <c r="DZ568" s="454"/>
      <c r="EA568" s="454"/>
      <c r="EB568" s="454"/>
      <c r="EC568" s="454"/>
      <c r="ED568" s="454"/>
      <c r="EE568" s="454"/>
      <c r="EF568" s="454"/>
      <c r="EG568" s="454"/>
      <c r="EH568" s="454"/>
      <c r="EI568" s="454"/>
      <c r="EJ568" s="454"/>
      <c r="EK568" s="454"/>
      <c r="EL568" s="454"/>
      <c r="EM568" s="454"/>
      <c r="EN568" s="454"/>
      <c r="EO568" s="454"/>
      <c r="EP568" s="454"/>
      <c r="EQ568" s="454"/>
      <c r="ER568" s="454"/>
      <c r="ES568" s="454"/>
      <c r="ET568" s="454"/>
      <c r="EU568" s="454"/>
      <c r="EV568" s="454"/>
      <c r="EW568" s="454"/>
      <c r="EX568" s="454"/>
      <c r="EY568" s="454"/>
      <c r="EZ568" s="454"/>
      <c r="FA568" s="454"/>
      <c r="FB568" s="454"/>
      <c r="FC568" s="454"/>
      <c r="FD568" s="454"/>
      <c r="FE568" s="454"/>
      <c r="FF568" s="454"/>
      <c r="FG568" s="454"/>
      <c r="FH568" s="454"/>
      <c r="FI568" s="454"/>
      <c r="FJ568" s="454"/>
      <c r="FK568" s="454"/>
      <c r="FL568" s="454"/>
      <c r="FM568" s="454"/>
      <c r="FN568" s="454"/>
      <c r="FO568" s="454"/>
      <c r="FP568" s="454"/>
      <c r="FQ568" s="290"/>
    </row>
    <row r="569" spans="1:177" s="4" customFormat="1">
      <c r="A569" s="56"/>
      <c r="B569" s="56"/>
      <c r="C569" s="498" t="s">
        <v>3648</v>
      </c>
      <c r="D569" s="498"/>
      <c r="E569" s="454">
        <v>38</v>
      </c>
      <c r="F569" s="454"/>
      <c r="G569" s="454"/>
      <c r="H569" s="454"/>
      <c r="I569" s="454"/>
      <c r="J569" s="454"/>
      <c r="K569" s="454"/>
      <c r="L569" s="454"/>
      <c r="M569" s="454"/>
      <c r="N569" s="454"/>
      <c r="O569" s="454">
        <f t="shared" si="181"/>
        <v>38</v>
      </c>
      <c r="P569" s="454"/>
      <c r="Q569" s="454"/>
      <c r="R569" s="290"/>
      <c r="S569" s="290"/>
      <c r="T569" s="454"/>
      <c r="U569" s="454" t="s">
        <v>1631</v>
      </c>
      <c r="V569" s="454"/>
      <c r="W569" s="454"/>
      <c r="X569" s="454"/>
      <c r="Y569" s="454"/>
      <c r="Z569" s="454"/>
      <c r="AA569" s="454"/>
      <c r="AB569" s="454"/>
      <c r="AC569" s="454"/>
      <c r="AD569" s="454"/>
      <c r="AE569" s="512"/>
      <c r="AF569" s="961"/>
      <c r="AG569" s="454"/>
      <c r="AH569" s="454"/>
      <c r="AI569" s="454"/>
      <c r="AJ569" s="454"/>
      <c r="AK569" s="454"/>
      <c r="AL569" s="454"/>
      <c r="AM569" s="454"/>
      <c r="AN569" s="454"/>
      <c r="AO569" s="454"/>
      <c r="AP569" s="454"/>
      <c r="AQ569" s="454"/>
      <c r="AR569" s="454"/>
      <c r="AS569" s="454"/>
      <c r="AT569" s="454"/>
      <c r="AU569" s="454"/>
      <c r="AV569" s="454"/>
      <c r="AW569" s="454"/>
      <c r="AX569" s="454"/>
      <c r="AY569" s="454"/>
      <c r="AZ569" s="454">
        <f t="shared" si="179"/>
        <v>0</v>
      </c>
      <c r="BA569" s="454"/>
      <c r="BB569" s="454"/>
      <c r="BC569" s="454"/>
      <c r="BD569" s="454">
        <v>1</v>
      </c>
      <c r="BE569" s="454"/>
      <c r="BF569" s="454"/>
      <c r="BG569" s="454"/>
      <c r="BH569" s="454"/>
      <c r="BI569" s="454">
        <v>0</v>
      </c>
      <c r="BJ569" s="454"/>
      <c r="BK569" s="454"/>
      <c r="BL569" s="454"/>
      <c r="BM569" s="454"/>
      <c r="BN569" s="454"/>
      <c r="BO569" s="454"/>
      <c r="BP569" s="454"/>
      <c r="BQ569" s="454"/>
      <c r="BR569" s="454"/>
      <c r="BS569" s="454">
        <v>1</v>
      </c>
      <c r="BT569" s="454"/>
      <c r="BU569" s="454"/>
      <c r="BV569" s="454"/>
      <c r="BW569" s="454"/>
      <c r="BX569" s="454"/>
      <c r="BY569" s="454"/>
      <c r="BZ569" s="454"/>
      <c r="CA569" s="454"/>
      <c r="CB569" s="454"/>
      <c r="CC569" s="454"/>
      <c r="CD569" s="454">
        <f t="shared" si="180"/>
        <v>0</v>
      </c>
      <c r="CE569" s="454"/>
      <c r="CF569" s="454"/>
      <c r="CG569" s="454"/>
      <c r="CH569" s="454"/>
      <c r="CI569" s="454"/>
      <c r="CJ569" s="454"/>
      <c r="CK569" s="454"/>
      <c r="CL569" s="454"/>
      <c r="CM569" s="454"/>
      <c r="CN569" s="454"/>
      <c r="CO569" s="454"/>
      <c r="CP569" s="454"/>
      <c r="CQ569" s="454"/>
      <c r="CR569" s="454"/>
      <c r="CS569" s="454"/>
      <c r="CT569" s="454"/>
      <c r="CU569" s="454"/>
      <c r="CV569" s="454"/>
      <c r="CW569" s="454"/>
      <c r="CX569" s="454"/>
      <c r="CY569" s="454"/>
      <c r="CZ569" s="454"/>
      <c r="DA569" s="454"/>
      <c r="DB569" s="454"/>
      <c r="DC569" s="454"/>
      <c r="DD569" s="454"/>
      <c r="DE569" s="454"/>
      <c r="DF569" s="454"/>
      <c r="DG569" s="517"/>
      <c r="DH569" s="517"/>
      <c r="DI569" s="517"/>
      <c r="DJ569" s="517"/>
      <c r="DK569" s="517"/>
      <c r="DL569" s="517"/>
      <c r="DM569" s="517"/>
      <c r="DN569" s="517"/>
      <c r="DO569" s="517"/>
      <c r="DP569" s="517"/>
      <c r="DQ569" s="517"/>
      <c r="DR569" s="517"/>
      <c r="DS569" s="454"/>
      <c r="DT569" s="454"/>
      <c r="DU569" s="454"/>
      <c r="DV569" s="454"/>
      <c r="DW569" s="454"/>
      <c r="DX569" s="454"/>
      <c r="DY569" s="454"/>
      <c r="DZ569" s="454"/>
      <c r="EA569" s="454"/>
      <c r="EB569" s="454"/>
      <c r="EC569" s="454"/>
      <c r="ED569" s="454"/>
      <c r="EE569" s="454"/>
      <c r="EF569" s="454"/>
      <c r="EG569" s="454"/>
      <c r="EH569" s="454"/>
      <c r="EI569" s="454"/>
      <c r="EJ569" s="454"/>
      <c r="EK569" s="454"/>
      <c r="EL569" s="454"/>
      <c r="EM569" s="454"/>
      <c r="EN569" s="454"/>
      <c r="EO569" s="454"/>
      <c r="EP569" s="454"/>
      <c r="EQ569" s="454"/>
      <c r="ER569" s="454"/>
      <c r="ES569" s="454"/>
      <c r="ET569" s="454"/>
      <c r="EU569" s="454"/>
      <c r="EV569" s="454"/>
      <c r="EW569" s="454"/>
      <c r="EX569" s="454"/>
      <c r="EY569" s="454"/>
      <c r="EZ569" s="454"/>
      <c r="FA569" s="454"/>
      <c r="FB569" s="454"/>
      <c r="FC569" s="454"/>
      <c r="FD569" s="454"/>
      <c r="FE569" s="454"/>
      <c r="FF569" s="454"/>
      <c r="FG569" s="454"/>
      <c r="FH569" s="454"/>
      <c r="FI569" s="454"/>
      <c r="FJ569" s="454"/>
      <c r="FK569" s="454"/>
      <c r="FL569" s="454"/>
      <c r="FM569" s="454"/>
      <c r="FN569" s="454"/>
      <c r="FO569" s="454"/>
      <c r="FP569" s="454"/>
      <c r="FQ569" s="290"/>
    </row>
    <row r="570" spans="1:177" s="4" customFormat="1">
      <c r="A570" s="56"/>
      <c r="B570" s="56"/>
      <c r="C570" s="498" t="s">
        <v>3649</v>
      </c>
      <c r="D570" s="498"/>
      <c r="E570" s="454">
        <v>34.9</v>
      </c>
      <c r="F570" s="454"/>
      <c r="G570" s="454"/>
      <c r="H570" s="454"/>
      <c r="I570" s="454"/>
      <c r="J570" s="454"/>
      <c r="K570" s="454"/>
      <c r="L570" s="454"/>
      <c r="M570" s="454"/>
      <c r="N570" s="454"/>
      <c r="O570" s="454">
        <f t="shared" si="181"/>
        <v>34.9</v>
      </c>
      <c r="P570" s="454"/>
      <c r="Q570" s="454"/>
      <c r="R570" s="290"/>
      <c r="S570" s="290"/>
      <c r="T570" s="454"/>
      <c r="U570" s="454" t="s">
        <v>2990</v>
      </c>
      <c r="V570" s="454"/>
      <c r="W570" s="454"/>
      <c r="X570" s="454"/>
      <c r="Y570" s="454"/>
      <c r="Z570" s="454"/>
      <c r="AA570" s="454"/>
      <c r="AB570" s="454"/>
      <c r="AC570" s="454"/>
      <c r="AD570" s="454"/>
      <c r="AE570" s="512"/>
      <c r="AF570" s="961"/>
      <c r="AG570" s="454"/>
      <c r="AH570" s="454"/>
      <c r="AI570" s="454"/>
      <c r="AJ570" s="454"/>
      <c r="AK570" s="454"/>
      <c r="AL570" s="454"/>
      <c r="AM570" s="454"/>
      <c r="AN570" s="454"/>
      <c r="AO570" s="454"/>
      <c r="AP570" s="454"/>
      <c r="AQ570" s="454"/>
      <c r="AR570" s="454"/>
      <c r="AS570" s="454"/>
      <c r="AT570" s="454"/>
      <c r="AU570" s="454">
        <v>1</v>
      </c>
      <c r="AV570" s="454"/>
      <c r="AW570" s="454"/>
      <c r="AX570" s="454"/>
      <c r="AY570" s="454"/>
      <c r="AZ570" s="454">
        <f t="shared" si="179"/>
        <v>1</v>
      </c>
      <c r="BA570" s="454"/>
      <c r="BB570" s="454"/>
      <c r="BC570" s="454"/>
      <c r="BD570" s="454">
        <v>1</v>
      </c>
      <c r="BE570" s="454"/>
      <c r="BF570" s="454"/>
      <c r="BG570" s="454"/>
      <c r="BH570" s="454"/>
      <c r="BI570" s="454">
        <v>7</v>
      </c>
      <c r="BJ570" s="454"/>
      <c r="BK570" s="454"/>
      <c r="BL570" s="454"/>
      <c r="BM570" s="454"/>
      <c r="BN570" s="454"/>
      <c r="BO570" s="454"/>
      <c r="BP570" s="454"/>
      <c r="BQ570" s="454"/>
      <c r="BR570" s="454"/>
      <c r="BS570" s="454"/>
      <c r="BT570" s="454"/>
      <c r="BU570" s="454"/>
      <c r="BV570" s="454"/>
      <c r="BW570" s="454"/>
      <c r="BX570" s="454">
        <v>1</v>
      </c>
      <c r="BY570" s="454"/>
      <c r="BZ570" s="454"/>
      <c r="CA570" s="454"/>
      <c r="CB570" s="454">
        <v>1</v>
      </c>
      <c r="CC570" s="454"/>
      <c r="CD570" s="454">
        <f t="shared" si="180"/>
        <v>4</v>
      </c>
      <c r="CE570" s="454"/>
      <c r="CF570" s="454"/>
      <c r="CG570" s="454"/>
      <c r="CH570" s="454"/>
      <c r="CI570" s="454"/>
      <c r="CJ570" s="454"/>
      <c r="CK570" s="454"/>
      <c r="CL570" s="454"/>
      <c r="CM570" s="454"/>
      <c r="CN570" s="454"/>
      <c r="CO570" s="454"/>
      <c r="CP570" s="454"/>
      <c r="CQ570" s="454"/>
      <c r="CR570" s="454"/>
      <c r="CS570" s="454"/>
      <c r="CT570" s="454"/>
      <c r="CU570" s="454"/>
      <c r="CV570" s="454"/>
      <c r="CW570" s="454"/>
      <c r="CX570" s="454"/>
      <c r="CY570" s="454"/>
      <c r="CZ570" s="454"/>
      <c r="DA570" s="454"/>
      <c r="DB570" s="454"/>
      <c r="DC570" s="454"/>
      <c r="DD570" s="454"/>
      <c r="DE570" s="454"/>
      <c r="DF570" s="454"/>
      <c r="DG570" s="517"/>
      <c r="DH570" s="517"/>
      <c r="DI570" s="517"/>
      <c r="DJ570" s="517"/>
      <c r="DK570" s="517"/>
      <c r="DL570" s="517"/>
      <c r="DM570" s="517"/>
      <c r="DN570" s="517"/>
      <c r="DO570" s="517"/>
      <c r="DP570" s="517"/>
      <c r="DQ570" s="517"/>
      <c r="DR570" s="517"/>
      <c r="DS570" s="454"/>
      <c r="DT570" s="454"/>
      <c r="DU570" s="454"/>
      <c r="DV570" s="454"/>
      <c r="DW570" s="454"/>
      <c r="DX570" s="454"/>
      <c r="DY570" s="454"/>
      <c r="DZ570" s="454"/>
      <c r="EA570" s="454"/>
      <c r="EB570" s="454"/>
      <c r="EC570" s="454"/>
      <c r="ED570" s="454"/>
      <c r="EE570" s="454"/>
      <c r="EF570" s="454"/>
      <c r="EG570" s="454"/>
      <c r="EH570" s="454"/>
      <c r="EI570" s="454"/>
      <c r="EJ570" s="454"/>
      <c r="EK570" s="454"/>
      <c r="EL570" s="454"/>
      <c r="EM570" s="454"/>
      <c r="EN570" s="454"/>
      <c r="EO570" s="454"/>
      <c r="EP570" s="454"/>
      <c r="EQ570" s="454"/>
      <c r="ER570" s="454"/>
      <c r="ES570" s="454"/>
      <c r="ET570" s="454"/>
      <c r="EU570" s="454"/>
      <c r="EV570" s="454"/>
      <c r="EW570" s="454"/>
      <c r="EX570" s="454"/>
      <c r="EY570" s="454"/>
      <c r="EZ570" s="454"/>
      <c r="FA570" s="454"/>
      <c r="FB570" s="454"/>
      <c r="FC570" s="454"/>
      <c r="FD570" s="454"/>
      <c r="FE570" s="454"/>
      <c r="FF570" s="454"/>
      <c r="FG570" s="454"/>
      <c r="FH570" s="454"/>
      <c r="FI570" s="454"/>
      <c r="FJ570" s="454"/>
      <c r="FK570" s="454"/>
      <c r="FL570" s="454"/>
      <c r="FM570" s="454"/>
      <c r="FN570" s="454"/>
      <c r="FO570" s="454"/>
      <c r="FP570" s="454"/>
      <c r="FQ570" s="290"/>
    </row>
    <row r="571" spans="1:177" s="4" customFormat="1">
      <c r="A571" s="56"/>
      <c r="B571" s="56"/>
      <c r="C571" s="498"/>
      <c r="D571" s="498"/>
      <c r="E571" s="454"/>
      <c r="F571" s="454"/>
      <c r="G571" s="454"/>
      <c r="H571" s="454"/>
      <c r="I571" s="454"/>
      <c r="J571" s="454"/>
      <c r="K571" s="454"/>
      <c r="L571" s="454"/>
      <c r="M571" s="454"/>
      <c r="N571" s="454"/>
      <c r="O571" s="454">
        <f>E571</f>
        <v>0</v>
      </c>
      <c r="P571" s="454"/>
      <c r="Q571" s="454"/>
      <c r="R571" s="290"/>
      <c r="S571" s="290"/>
      <c r="T571" s="454"/>
      <c r="U571" s="454"/>
      <c r="V571" s="454"/>
      <c r="W571" s="454"/>
      <c r="X571" s="454"/>
      <c r="Y571" s="454"/>
      <c r="Z571" s="454"/>
      <c r="AA571" s="454"/>
      <c r="AB571" s="454"/>
      <c r="AC571" s="454"/>
      <c r="AD571" s="454"/>
      <c r="AE571" s="512"/>
      <c r="AF571" s="961"/>
      <c r="AG571" s="454"/>
      <c r="AH571" s="454"/>
      <c r="AI571" s="454"/>
      <c r="AJ571" s="454"/>
      <c r="AK571" s="454"/>
      <c r="AL571" s="454"/>
      <c r="AM571" s="454"/>
      <c r="AN571" s="454"/>
      <c r="AO571" s="454"/>
      <c r="AP571" s="454"/>
      <c r="AQ571" s="454"/>
      <c r="AR571" s="454"/>
      <c r="AS571" s="454"/>
      <c r="AT571" s="454"/>
      <c r="AU571" s="454"/>
      <c r="AV571" s="454"/>
      <c r="AW571" s="454"/>
      <c r="AX571" s="454"/>
      <c r="AY571" s="454"/>
      <c r="AZ571" s="454">
        <f t="shared" si="179"/>
        <v>0</v>
      </c>
      <c r="BA571" s="454"/>
      <c r="BB571" s="454"/>
      <c r="BC571" s="454"/>
      <c r="BD571" s="454"/>
      <c r="BE571" s="454"/>
      <c r="BF571" s="454"/>
      <c r="BG571" s="454"/>
      <c r="BH571" s="454"/>
      <c r="BI571" s="454">
        <v>0</v>
      </c>
      <c r="BJ571" s="454"/>
      <c r="BK571" s="454"/>
      <c r="BL571" s="454"/>
      <c r="BM571" s="454"/>
      <c r="BN571" s="454"/>
      <c r="BO571" s="454"/>
      <c r="BP571" s="454"/>
      <c r="BQ571" s="454"/>
      <c r="BR571" s="454"/>
      <c r="BS571" s="454"/>
      <c r="BT571" s="454"/>
      <c r="BU571" s="454"/>
      <c r="BV571" s="454"/>
      <c r="BW571" s="454"/>
      <c r="BX571" s="454"/>
      <c r="BY571" s="454"/>
      <c r="BZ571" s="454"/>
      <c r="CA571" s="454"/>
      <c r="CB571" s="454"/>
      <c r="CC571" s="454"/>
      <c r="CD571" s="454">
        <f t="shared" si="180"/>
        <v>0</v>
      </c>
      <c r="CE571" s="454"/>
      <c r="CF571" s="454"/>
      <c r="CG571" s="454"/>
      <c r="CH571" s="454"/>
      <c r="CI571" s="454"/>
      <c r="CJ571" s="454"/>
      <c r="CK571" s="454"/>
      <c r="CL571" s="454"/>
      <c r="CM571" s="454"/>
      <c r="CN571" s="454"/>
      <c r="CO571" s="454"/>
      <c r="CP571" s="454"/>
      <c r="CQ571" s="454"/>
      <c r="CR571" s="454"/>
      <c r="CS571" s="454"/>
      <c r="CT571" s="454"/>
      <c r="CU571" s="454"/>
      <c r="CV571" s="454"/>
      <c r="CW571" s="454"/>
      <c r="CX571" s="454"/>
      <c r="CY571" s="454"/>
      <c r="CZ571" s="454"/>
      <c r="DA571" s="454"/>
      <c r="DB571" s="454"/>
      <c r="DC571" s="454"/>
      <c r="DD571" s="454"/>
      <c r="DE571" s="454"/>
      <c r="DF571" s="454"/>
      <c r="DG571" s="517"/>
      <c r="DH571" s="517"/>
      <c r="DI571" s="517"/>
      <c r="DJ571" s="517"/>
      <c r="DK571" s="517"/>
      <c r="DL571" s="517"/>
      <c r="DM571" s="517"/>
      <c r="DN571" s="517"/>
      <c r="DO571" s="517"/>
      <c r="DP571" s="517"/>
      <c r="DQ571" s="517"/>
      <c r="DR571" s="517"/>
      <c r="DS571" s="454"/>
      <c r="DT571" s="454"/>
      <c r="DU571" s="454"/>
      <c r="DV571" s="454"/>
      <c r="DW571" s="454"/>
      <c r="DX571" s="454"/>
      <c r="DY571" s="454"/>
      <c r="DZ571" s="454"/>
      <c r="EA571" s="454"/>
      <c r="EB571" s="454"/>
      <c r="EC571" s="454"/>
      <c r="ED571" s="454"/>
      <c r="EE571" s="454"/>
      <c r="EF571" s="454"/>
      <c r="EG571" s="454"/>
      <c r="EH571" s="454"/>
      <c r="EI571" s="454"/>
      <c r="EJ571" s="454"/>
      <c r="EK571" s="454"/>
      <c r="EL571" s="454"/>
      <c r="EM571" s="454"/>
      <c r="EN571" s="454"/>
      <c r="EO571" s="454"/>
      <c r="EP571" s="454"/>
      <c r="EQ571" s="454"/>
      <c r="ER571" s="454"/>
      <c r="ES571" s="454"/>
      <c r="ET571" s="454"/>
      <c r="EU571" s="454"/>
      <c r="EV571" s="454"/>
      <c r="EW571" s="454"/>
      <c r="EX571" s="454"/>
      <c r="EY571" s="454"/>
      <c r="EZ571" s="454"/>
      <c r="FA571" s="454"/>
      <c r="FB571" s="454"/>
      <c r="FC571" s="454"/>
      <c r="FD571" s="454"/>
      <c r="FE571" s="454"/>
      <c r="FF571" s="454"/>
      <c r="FG571" s="454"/>
      <c r="FH571" s="454"/>
      <c r="FI571" s="454"/>
      <c r="FJ571" s="454"/>
      <c r="FK571" s="454"/>
      <c r="FL571" s="454"/>
      <c r="FM571" s="454"/>
      <c r="FN571" s="454"/>
      <c r="FO571" s="454"/>
      <c r="FP571" s="454"/>
      <c r="FQ571" s="290"/>
    </row>
    <row r="572" spans="1:177" s="4" customFormat="1">
      <c r="A572" s="486">
        <f>MATCH(C572,$C$5:$C$700,0)</f>
        <v>568</v>
      </c>
      <c r="B572" s="56"/>
      <c r="C572" s="507" t="s">
        <v>3080</v>
      </c>
      <c r="D572" s="507"/>
      <c r="E572" s="508">
        <f t="shared" ref="E572:AK572" si="182">SUM(E556:E571)</f>
        <v>466.9</v>
      </c>
      <c r="F572" s="508">
        <f t="shared" si="182"/>
        <v>0</v>
      </c>
      <c r="G572" s="508">
        <f t="shared" si="182"/>
        <v>0</v>
      </c>
      <c r="H572" s="508">
        <f t="shared" si="182"/>
        <v>0</v>
      </c>
      <c r="I572" s="508">
        <f t="shared" si="182"/>
        <v>0</v>
      </c>
      <c r="J572" s="508">
        <f t="shared" si="182"/>
        <v>0</v>
      </c>
      <c r="K572" s="508">
        <f t="shared" si="182"/>
        <v>0</v>
      </c>
      <c r="L572" s="508">
        <f t="shared" si="182"/>
        <v>0</v>
      </c>
      <c r="M572" s="508">
        <f t="shared" si="182"/>
        <v>0</v>
      </c>
      <c r="N572" s="508">
        <f t="shared" si="182"/>
        <v>0</v>
      </c>
      <c r="O572" s="508">
        <f t="shared" si="182"/>
        <v>466.9</v>
      </c>
      <c r="P572" s="508">
        <f t="shared" si="182"/>
        <v>0</v>
      </c>
      <c r="Q572" s="508">
        <f t="shared" si="182"/>
        <v>0</v>
      </c>
      <c r="R572" s="508">
        <f t="shared" si="182"/>
        <v>0</v>
      </c>
      <c r="S572" s="508">
        <f t="shared" si="182"/>
        <v>0</v>
      </c>
      <c r="T572" s="509">
        <f t="shared" si="182"/>
        <v>0</v>
      </c>
      <c r="U572" s="509">
        <f t="shared" si="182"/>
        <v>0</v>
      </c>
      <c r="V572" s="509">
        <f t="shared" si="182"/>
        <v>0</v>
      </c>
      <c r="W572" s="509">
        <f t="shared" si="182"/>
        <v>2</v>
      </c>
      <c r="X572" s="509">
        <f t="shared" si="182"/>
        <v>0</v>
      </c>
      <c r="Y572" s="509">
        <f t="shared" si="182"/>
        <v>0</v>
      </c>
      <c r="Z572" s="509">
        <f t="shared" si="182"/>
        <v>0</v>
      </c>
      <c r="AA572" s="509">
        <f t="shared" si="182"/>
        <v>0</v>
      </c>
      <c r="AB572" s="509">
        <f t="shared" si="182"/>
        <v>0</v>
      </c>
      <c r="AC572" s="509">
        <f t="shared" si="182"/>
        <v>0</v>
      </c>
      <c r="AD572" s="509">
        <f t="shared" si="182"/>
        <v>0</v>
      </c>
      <c r="AE572" s="511">
        <f t="shared" si="182"/>
        <v>0</v>
      </c>
      <c r="AF572" s="958">
        <f t="shared" si="182"/>
        <v>1</v>
      </c>
      <c r="AG572" s="509">
        <f t="shared" si="182"/>
        <v>0</v>
      </c>
      <c r="AH572" s="509">
        <f t="shared" si="182"/>
        <v>0</v>
      </c>
      <c r="AI572" s="509">
        <f t="shared" si="182"/>
        <v>0</v>
      </c>
      <c r="AJ572" s="509">
        <f t="shared" si="182"/>
        <v>0</v>
      </c>
      <c r="AK572" s="509">
        <f t="shared" si="182"/>
        <v>0</v>
      </c>
      <c r="AL572" s="509">
        <f t="shared" ref="AL572:BQ572" si="183">SUM(AL556:AL571)</f>
        <v>0</v>
      </c>
      <c r="AM572" s="509">
        <f t="shared" si="183"/>
        <v>0</v>
      </c>
      <c r="AN572" s="509">
        <f t="shared" si="183"/>
        <v>0</v>
      </c>
      <c r="AO572" s="509">
        <f t="shared" si="183"/>
        <v>0</v>
      </c>
      <c r="AP572" s="509">
        <f t="shared" si="183"/>
        <v>0</v>
      </c>
      <c r="AQ572" s="509">
        <f t="shared" si="183"/>
        <v>0</v>
      </c>
      <c r="AR572" s="509">
        <f t="shared" si="183"/>
        <v>0</v>
      </c>
      <c r="AS572" s="509">
        <f t="shared" si="183"/>
        <v>0</v>
      </c>
      <c r="AT572" s="509">
        <f t="shared" si="183"/>
        <v>0</v>
      </c>
      <c r="AU572" s="509">
        <f t="shared" si="183"/>
        <v>3</v>
      </c>
      <c r="AV572" s="509">
        <f t="shared" si="183"/>
        <v>0</v>
      </c>
      <c r="AW572" s="509">
        <f t="shared" si="183"/>
        <v>0</v>
      </c>
      <c r="AX572" s="509">
        <f t="shared" si="183"/>
        <v>0</v>
      </c>
      <c r="AY572" s="509">
        <f t="shared" si="183"/>
        <v>0</v>
      </c>
      <c r="AZ572" s="509">
        <f t="shared" si="183"/>
        <v>9</v>
      </c>
      <c r="BA572" s="509">
        <f t="shared" si="183"/>
        <v>0</v>
      </c>
      <c r="BB572" s="509">
        <f t="shared" si="183"/>
        <v>0</v>
      </c>
      <c r="BC572" s="509">
        <f t="shared" si="183"/>
        <v>0</v>
      </c>
      <c r="BD572" s="509">
        <f t="shared" si="183"/>
        <v>16</v>
      </c>
      <c r="BE572" s="509">
        <f t="shared" si="183"/>
        <v>3</v>
      </c>
      <c r="BF572" s="509">
        <f t="shared" si="183"/>
        <v>1</v>
      </c>
      <c r="BG572" s="509">
        <f t="shared" si="183"/>
        <v>0</v>
      </c>
      <c r="BH572" s="509">
        <f t="shared" si="183"/>
        <v>0</v>
      </c>
      <c r="BI572" s="509">
        <f t="shared" si="183"/>
        <v>46</v>
      </c>
      <c r="BJ572" s="509">
        <f t="shared" si="183"/>
        <v>0</v>
      </c>
      <c r="BK572" s="509">
        <f t="shared" si="183"/>
        <v>0</v>
      </c>
      <c r="BL572" s="509">
        <f t="shared" si="183"/>
        <v>0</v>
      </c>
      <c r="BM572" s="509">
        <f t="shared" si="183"/>
        <v>0</v>
      </c>
      <c r="BN572" s="509">
        <f t="shared" si="183"/>
        <v>0</v>
      </c>
      <c r="BO572" s="509">
        <f t="shared" si="183"/>
        <v>0</v>
      </c>
      <c r="BP572" s="509">
        <f t="shared" si="183"/>
        <v>0</v>
      </c>
      <c r="BQ572" s="509">
        <f t="shared" si="183"/>
        <v>1</v>
      </c>
      <c r="BR572" s="509">
        <f t="shared" ref="BR572:CX572" si="184">SUM(BR556:BR571)</f>
        <v>0</v>
      </c>
      <c r="BS572" s="509">
        <f t="shared" si="184"/>
        <v>9</v>
      </c>
      <c r="BT572" s="509">
        <f t="shared" si="184"/>
        <v>0</v>
      </c>
      <c r="BU572" s="509">
        <f t="shared" si="184"/>
        <v>0</v>
      </c>
      <c r="BV572" s="509">
        <f t="shared" si="184"/>
        <v>0</v>
      </c>
      <c r="BW572" s="509">
        <f t="shared" si="184"/>
        <v>0</v>
      </c>
      <c r="BX572" s="509">
        <f t="shared" si="184"/>
        <v>12</v>
      </c>
      <c r="BY572" s="509">
        <f t="shared" si="184"/>
        <v>0</v>
      </c>
      <c r="BZ572" s="509">
        <f t="shared" si="184"/>
        <v>0</v>
      </c>
      <c r="CA572" s="509">
        <f t="shared" si="184"/>
        <v>0</v>
      </c>
      <c r="CB572" s="509">
        <f t="shared" si="184"/>
        <v>8</v>
      </c>
      <c r="CC572" s="509">
        <f t="shared" si="184"/>
        <v>1</v>
      </c>
      <c r="CD572" s="509">
        <f t="shared" si="184"/>
        <v>32</v>
      </c>
      <c r="CE572" s="509">
        <f t="shared" si="184"/>
        <v>6</v>
      </c>
      <c r="CF572" s="509">
        <f t="shared" si="184"/>
        <v>0</v>
      </c>
      <c r="CG572" s="509">
        <f t="shared" si="184"/>
        <v>6</v>
      </c>
      <c r="CH572" s="509">
        <f t="shared" si="184"/>
        <v>0</v>
      </c>
      <c r="CI572" s="509">
        <f t="shared" si="184"/>
        <v>0</v>
      </c>
      <c r="CJ572" s="509">
        <f t="shared" si="184"/>
        <v>11</v>
      </c>
      <c r="CK572" s="509">
        <f t="shared" si="184"/>
        <v>0</v>
      </c>
      <c r="CL572" s="509">
        <f t="shared" si="184"/>
        <v>0</v>
      </c>
      <c r="CM572" s="509">
        <f t="shared" si="184"/>
        <v>0</v>
      </c>
      <c r="CN572" s="509">
        <f t="shared" si="184"/>
        <v>8</v>
      </c>
      <c r="CO572" s="509">
        <f t="shared" si="184"/>
        <v>4</v>
      </c>
      <c r="CP572" s="509">
        <f t="shared" si="184"/>
        <v>0</v>
      </c>
      <c r="CQ572" s="509">
        <f t="shared" si="184"/>
        <v>1</v>
      </c>
      <c r="CR572" s="509">
        <f t="shared" si="184"/>
        <v>0</v>
      </c>
      <c r="CS572" s="509">
        <f t="shared" si="184"/>
        <v>0</v>
      </c>
      <c r="CT572" s="509">
        <f t="shared" si="184"/>
        <v>0</v>
      </c>
      <c r="CU572" s="509">
        <f t="shared" si="184"/>
        <v>0</v>
      </c>
      <c r="CV572" s="509">
        <f t="shared" si="184"/>
        <v>0</v>
      </c>
      <c r="CW572" s="509">
        <f t="shared" si="184"/>
        <v>0</v>
      </c>
      <c r="CX572" s="509">
        <f t="shared" si="184"/>
        <v>0</v>
      </c>
      <c r="CY572" s="509">
        <f t="shared" ref="CY572" si="185">SUM(CY556:CY571)</f>
        <v>0</v>
      </c>
      <c r="CZ572" s="509">
        <f t="shared" ref="CZ572:EF572" si="186">SUM(CZ556:CZ571)</f>
        <v>0</v>
      </c>
      <c r="DA572" s="509">
        <f t="shared" si="186"/>
        <v>0</v>
      </c>
      <c r="DB572" s="509">
        <f t="shared" si="186"/>
        <v>0</v>
      </c>
      <c r="DC572" s="509">
        <f t="shared" si="186"/>
        <v>0</v>
      </c>
      <c r="DD572" s="509">
        <f t="shared" si="186"/>
        <v>0</v>
      </c>
      <c r="DE572" s="509">
        <f t="shared" si="186"/>
        <v>0</v>
      </c>
      <c r="DF572" s="509">
        <f t="shared" si="186"/>
        <v>0</v>
      </c>
      <c r="DG572" s="518">
        <f t="shared" si="186"/>
        <v>0</v>
      </c>
      <c r="DH572" s="518">
        <f t="shared" si="186"/>
        <v>0</v>
      </c>
      <c r="DI572" s="518">
        <f t="shared" si="186"/>
        <v>0</v>
      </c>
      <c r="DJ572" s="518">
        <f t="shared" si="186"/>
        <v>0</v>
      </c>
      <c r="DK572" s="518">
        <f t="shared" si="186"/>
        <v>0</v>
      </c>
      <c r="DL572" s="518">
        <f t="shared" si="186"/>
        <v>0</v>
      </c>
      <c r="DM572" s="518">
        <f t="shared" si="186"/>
        <v>0</v>
      </c>
      <c r="DN572" s="518">
        <f t="shared" si="186"/>
        <v>0</v>
      </c>
      <c r="DO572" s="518">
        <f t="shared" si="186"/>
        <v>0</v>
      </c>
      <c r="DP572" s="518">
        <f t="shared" si="186"/>
        <v>0</v>
      </c>
      <c r="DQ572" s="518">
        <f t="shared" si="186"/>
        <v>0</v>
      </c>
      <c r="DR572" s="518">
        <f t="shared" si="186"/>
        <v>0</v>
      </c>
      <c r="DS572" s="509">
        <f t="shared" si="186"/>
        <v>0</v>
      </c>
      <c r="DT572" s="509">
        <f t="shared" si="186"/>
        <v>0</v>
      </c>
      <c r="DU572" s="509">
        <f t="shared" si="186"/>
        <v>0</v>
      </c>
      <c r="DV572" s="509">
        <f t="shared" si="186"/>
        <v>0</v>
      </c>
      <c r="DW572" s="509">
        <f t="shared" si="186"/>
        <v>0</v>
      </c>
      <c r="DX572" s="509">
        <f t="shared" si="186"/>
        <v>0</v>
      </c>
      <c r="DY572" s="509">
        <f t="shared" si="186"/>
        <v>0</v>
      </c>
      <c r="DZ572" s="509">
        <f t="shared" si="186"/>
        <v>0</v>
      </c>
      <c r="EA572" s="509">
        <f t="shared" si="186"/>
        <v>0</v>
      </c>
      <c r="EB572" s="509">
        <f t="shared" si="186"/>
        <v>0</v>
      </c>
      <c r="EC572" s="509">
        <f t="shared" si="186"/>
        <v>0</v>
      </c>
      <c r="ED572" s="509">
        <f t="shared" si="186"/>
        <v>0</v>
      </c>
      <c r="EE572" s="509">
        <f t="shared" si="186"/>
        <v>0</v>
      </c>
      <c r="EF572" s="509">
        <f t="shared" si="186"/>
        <v>0</v>
      </c>
      <c r="EG572" s="509">
        <f t="shared" ref="EG572:FL572" si="187">SUM(EG556:EG571)</f>
        <v>0</v>
      </c>
      <c r="EH572" s="509">
        <f t="shared" si="187"/>
        <v>0</v>
      </c>
      <c r="EI572" s="509">
        <f t="shared" si="187"/>
        <v>0</v>
      </c>
      <c r="EJ572" s="509">
        <f t="shared" si="187"/>
        <v>0</v>
      </c>
      <c r="EK572" s="509">
        <f t="shared" si="187"/>
        <v>0</v>
      </c>
      <c r="EL572" s="509">
        <f t="shared" si="187"/>
        <v>0</v>
      </c>
      <c r="EM572" s="509">
        <f t="shared" si="187"/>
        <v>0</v>
      </c>
      <c r="EN572" s="509">
        <f t="shared" si="187"/>
        <v>0</v>
      </c>
      <c r="EO572" s="509">
        <f t="shared" si="187"/>
        <v>0</v>
      </c>
      <c r="EP572" s="509">
        <f t="shared" si="187"/>
        <v>0</v>
      </c>
      <c r="EQ572" s="509">
        <f t="shared" si="187"/>
        <v>0</v>
      </c>
      <c r="ER572" s="509">
        <f t="shared" si="187"/>
        <v>0</v>
      </c>
      <c r="ES572" s="509">
        <f t="shared" si="187"/>
        <v>0</v>
      </c>
      <c r="ET572" s="509">
        <f t="shared" si="187"/>
        <v>0</v>
      </c>
      <c r="EU572" s="509">
        <f t="shared" si="187"/>
        <v>0</v>
      </c>
      <c r="EV572" s="509">
        <f t="shared" si="187"/>
        <v>0</v>
      </c>
      <c r="EW572" s="509">
        <f t="shared" si="187"/>
        <v>0</v>
      </c>
      <c r="EX572" s="509">
        <f t="shared" si="187"/>
        <v>0</v>
      </c>
      <c r="EY572" s="509">
        <f t="shared" si="187"/>
        <v>0</v>
      </c>
      <c r="EZ572" s="509">
        <f t="shared" si="187"/>
        <v>0</v>
      </c>
      <c r="FA572" s="509">
        <f t="shared" si="187"/>
        <v>0</v>
      </c>
      <c r="FB572" s="509">
        <f t="shared" si="187"/>
        <v>0</v>
      </c>
      <c r="FC572" s="509">
        <f t="shared" si="187"/>
        <v>0</v>
      </c>
      <c r="FD572" s="509">
        <f t="shared" si="187"/>
        <v>0</v>
      </c>
      <c r="FE572" s="509">
        <f t="shared" si="187"/>
        <v>0</v>
      </c>
      <c r="FF572" s="509">
        <f t="shared" si="187"/>
        <v>0</v>
      </c>
      <c r="FG572" s="509">
        <f t="shared" si="187"/>
        <v>0</v>
      </c>
      <c r="FH572" s="509">
        <f t="shared" si="187"/>
        <v>0</v>
      </c>
      <c r="FI572" s="509">
        <f t="shared" si="187"/>
        <v>0</v>
      </c>
      <c r="FJ572" s="509">
        <f t="shared" si="187"/>
        <v>0</v>
      </c>
      <c r="FK572" s="509">
        <f t="shared" si="187"/>
        <v>0</v>
      </c>
      <c r="FL572" s="509">
        <f t="shared" si="187"/>
        <v>0</v>
      </c>
      <c r="FM572" s="509">
        <f>SUM(FM556:FM571)</f>
        <v>0</v>
      </c>
      <c r="FN572" s="509">
        <f>SUM(FN556:FN571)</f>
        <v>0</v>
      </c>
      <c r="FO572" s="509">
        <f>SUM(FO556:FO571)</f>
        <v>0</v>
      </c>
      <c r="FP572" s="509"/>
      <c r="FQ572" s="508"/>
      <c r="FU572" s="4">
        <f>DY572-FM572</f>
        <v>0</v>
      </c>
    </row>
    <row r="573" spans="1:177" s="4" customFormat="1">
      <c r="A573" s="56"/>
      <c r="B573" s="56">
        <v>10</v>
      </c>
      <c r="C573" s="501" t="s">
        <v>3837</v>
      </c>
      <c r="D573" s="502"/>
      <c r="E573" s="503"/>
      <c r="F573" s="503"/>
      <c r="G573" s="503"/>
      <c r="H573" s="503"/>
      <c r="I573" s="503"/>
      <c r="J573" s="503"/>
      <c r="K573" s="503"/>
      <c r="L573" s="503"/>
      <c r="M573" s="503"/>
      <c r="N573" s="503"/>
      <c r="O573" s="503"/>
      <c r="P573" s="503"/>
      <c r="Q573" s="503"/>
      <c r="R573" s="503"/>
      <c r="S573" s="503"/>
      <c r="T573" s="504"/>
      <c r="U573" s="504"/>
      <c r="V573" s="504"/>
      <c r="W573" s="504"/>
      <c r="X573" s="504"/>
      <c r="Y573" s="504"/>
      <c r="Z573" s="504"/>
      <c r="AA573" s="504"/>
      <c r="AB573" s="504"/>
      <c r="AC573" s="504"/>
      <c r="AD573" s="504"/>
      <c r="AE573" s="954"/>
      <c r="AF573" s="959"/>
      <c r="AG573" s="504"/>
      <c r="AH573" s="504"/>
      <c r="AI573" s="504"/>
      <c r="AJ573" s="504"/>
      <c r="AK573" s="504"/>
      <c r="AL573" s="504"/>
      <c r="AM573" s="504"/>
      <c r="AN573" s="504"/>
      <c r="AO573" s="504"/>
      <c r="AP573" s="504"/>
      <c r="AQ573" s="504"/>
      <c r="AR573" s="504"/>
      <c r="AS573" s="504"/>
      <c r="AT573" s="504"/>
      <c r="AU573" s="504"/>
      <c r="AV573" s="504"/>
      <c r="AW573" s="504"/>
      <c r="AX573" s="504"/>
      <c r="AY573" s="504"/>
      <c r="AZ573" s="504"/>
      <c r="BA573" s="504"/>
      <c r="BB573" s="504"/>
      <c r="BC573" s="504"/>
      <c r="BD573" s="504"/>
      <c r="BE573" s="504"/>
      <c r="BF573" s="504"/>
      <c r="BG573" s="504"/>
      <c r="BH573" s="504"/>
      <c r="BI573" s="504"/>
      <c r="BJ573" s="504"/>
      <c r="BK573" s="504"/>
      <c r="BL573" s="504"/>
      <c r="BM573" s="504"/>
      <c r="BN573" s="504"/>
      <c r="BO573" s="504"/>
      <c r="BP573" s="504"/>
      <c r="BQ573" s="504"/>
      <c r="BR573" s="504"/>
      <c r="BS573" s="504"/>
      <c r="BT573" s="504"/>
      <c r="BU573" s="504"/>
      <c r="BV573" s="504"/>
      <c r="BW573" s="504"/>
      <c r="BX573" s="504"/>
      <c r="BY573" s="504"/>
      <c r="BZ573" s="504"/>
      <c r="CA573" s="504"/>
      <c r="CB573" s="504"/>
      <c r="CC573" s="504"/>
      <c r="CD573" s="504"/>
      <c r="CE573" s="504"/>
      <c r="CF573" s="504"/>
      <c r="CG573" s="504"/>
      <c r="CH573" s="504"/>
      <c r="CI573" s="504"/>
      <c r="CJ573" s="504"/>
      <c r="CK573" s="504"/>
      <c r="CL573" s="504"/>
      <c r="CM573" s="504"/>
      <c r="CN573" s="504"/>
      <c r="CO573" s="504"/>
      <c r="CP573" s="504"/>
      <c r="CQ573" s="504"/>
      <c r="CR573" s="504"/>
      <c r="CS573" s="504"/>
      <c r="CT573" s="504"/>
      <c r="CU573" s="504"/>
      <c r="CV573" s="504"/>
      <c r="CW573" s="504"/>
      <c r="CX573" s="504"/>
      <c r="CY573" s="504"/>
      <c r="CZ573" s="504"/>
      <c r="DA573" s="504"/>
      <c r="DB573" s="504"/>
      <c r="DC573" s="504"/>
      <c r="DD573" s="504"/>
      <c r="DE573" s="504"/>
      <c r="DF573" s="504"/>
      <c r="DG573" s="519"/>
      <c r="DH573" s="519"/>
      <c r="DI573" s="519"/>
      <c r="DJ573" s="519"/>
      <c r="DK573" s="519"/>
      <c r="DL573" s="519"/>
      <c r="DM573" s="519"/>
      <c r="DN573" s="519"/>
      <c r="DO573" s="519"/>
      <c r="DP573" s="519"/>
      <c r="DQ573" s="519"/>
      <c r="DR573" s="519"/>
      <c r="DS573" s="504"/>
      <c r="DT573" s="504"/>
      <c r="DU573" s="504"/>
      <c r="DV573" s="504"/>
      <c r="DW573" s="504"/>
      <c r="DX573" s="504"/>
      <c r="DY573" s="504"/>
      <c r="DZ573" s="504"/>
      <c r="EA573" s="504"/>
      <c r="EB573" s="504"/>
      <c r="EC573" s="504"/>
      <c r="ED573" s="504"/>
      <c r="EE573" s="504"/>
      <c r="EF573" s="504"/>
      <c r="EG573" s="504"/>
      <c r="EH573" s="504"/>
      <c r="EI573" s="504"/>
      <c r="EJ573" s="504"/>
      <c r="EK573" s="504"/>
      <c r="EL573" s="504"/>
      <c r="EM573" s="504"/>
      <c r="EN573" s="504"/>
      <c r="EO573" s="504"/>
      <c r="EP573" s="504"/>
      <c r="EQ573" s="504"/>
      <c r="ER573" s="504"/>
      <c r="ES573" s="504"/>
      <c r="ET573" s="504"/>
      <c r="EU573" s="504"/>
      <c r="EV573" s="504"/>
      <c r="EW573" s="504"/>
      <c r="EX573" s="504"/>
      <c r="EY573" s="504"/>
      <c r="EZ573" s="504"/>
      <c r="FA573" s="504"/>
      <c r="FB573" s="504"/>
      <c r="FC573" s="504"/>
      <c r="FD573" s="504"/>
      <c r="FE573" s="504"/>
      <c r="FF573" s="504"/>
      <c r="FG573" s="504"/>
      <c r="FH573" s="504"/>
      <c r="FI573" s="504"/>
      <c r="FJ573" s="504"/>
      <c r="FK573" s="504"/>
      <c r="FL573" s="504"/>
      <c r="FM573" s="504"/>
      <c r="FN573" s="504"/>
      <c r="FO573" s="504"/>
      <c r="FP573" s="504"/>
      <c r="FQ573" s="505"/>
      <c r="FU573" s="4">
        <f>DY573-FM573</f>
        <v>0</v>
      </c>
    </row>
    <row r="574" spans="1:177" s="706" customFormat="1">
      <c r="A574" s="700"/>
      <c r="B574" s="700"/>
      <c r="C574" s="701"/>
      <c r="D574" s="701" t="s">
        <v>3743</v>
      </c>
      <c r="E574" s="703"/>
      <c r="F574" s="703"/>
      <c r="G574" s="703"/>
      <c r="H574" s="703"/>
      <c r="I574" s="703">
        <f>E574</f>
        <v>0</v>
      </c>
      <c r="J574" s="703"/>
      <c r="K574" s="703"/>
      <c r="L574" s="703"/>
      <c r="M574" s="703"/>
      <c r="N574" s="703"/>
      <c r="O574" s="703"/>
      <c r="P574" s="703"/>
      <c r="Q574" s="703"/>
      <c r="R574" s="704"/>
      <c r="S574" s="704"/>
      <c r="T574" s="703"/>
      <c r="U574" s="703" t="s">
        <v>2990</v>
      </c>
      <c r="V574" s="703"/>
      <c r="W574" s="703"/>
      <c r="X574" s="703"/>
      <c r="Y574" s="703"/>
      <c r="Z574" s="703"/>
      <c r="AA574" s="703"/>
      <c r="AB574" s="703"/>
      <c r="AC574" s="703"/>
      <c r="AD574" s="703"/>
      <c r="AE574" s="766"/>
      <c r="AF574" s="960"/>
      <c r="AG574" s="703"/>
      <c r="AH574" s="703"/>
      <c r="AI574" s="703"/>
      <c r="AJ574" s="703"/>
      <c r="AK574" s="703"/>
      <c r="AL574" s="703"/>
      <c r="AM574" s="703"/>
      <c r="AN574" s="703"/>
      <c r="AO574" s="703"/>
      <c r="AP574" s="703"/>
      <c r="AQ574" s="703"/>
      <c r="AR574" s="703"/>
      <c r="AS574" s="703"/>
      <c r="AT574" s="703"/>
      <c r="AU574" s="703">
        <v>1</v>
      </c>
      <c r="AV574" s="703"/>
      <c r="AW574" s="703"/>
      <c r="AX574" s="703"/>
      <c r="AY574" s="703"/>
      <c r="AZ574" s="703"/>
      <c r="BA574" s="703"/>
      <c r="BB574" s="703"/>
      <c r="BC574" s="703"/>
      <c r="BD574" s="703"/>
      <c r="BE574" s="703">
        <v>1</v>
      </c>
      <c r="BF574" s="703"/>
      <c r="BG574" s="703"/>
      <c r="BH574" s="703"/>
      <c r="BI574" s="703"/>
      <c r="BJ574" s="703"/>
      <c r="BK574" s="703"/>
      <c r="BL574" s="703"/>
      <c r="BM574" s="703"/>
      <c r="BN574" s="703"/>
      <c r="BO574" s="703"/>
      <c r="BP574" s="703"/>
      <c r="BQ574" s="703"/>
      <c r="BR574" s="703"/>
      <c r="BS574" s="703"/>
      <c r="BT574" s="703"/>
      <c r="BU574" s="703"/>
      <c r="BV574" s="703">
        <v>1</v>
      </c>
      <c r="BW574" s="703"/>
      <c r="BX574" s="703"/>
      <c r="BY574" s="703"/>
      <c r="BZ574" s="703"/>
      <c r="CA574" s="703"/>
      <c r="CB574" s="703"/>
      <c r="CC574" s="703"/>
      <c r="CD574" s="703">
        <f>DA574</f>
        <v>1</v>
      </c>
      <c r="CE574" s="703"/>
      <c r="CF574" s="703"/>
      <c r="CG574" s="703"/>
      <c r="CH574" s="703"/>
      <c r="CI574" s="703"/>
      <c r="CJ574" s="703"/>
      <c r="CK574" s="703"/>
      <c r="CL574" s="703">
        <f>AU574*2+DA574*2</f>
        <v>4</v>
      </c>
      <c r="CM574" s="703"/>
      <c r="CN574" s="703"/>
      <c r="CO574" s="703"/>
      <c r="CP574" s="703"/>
      <c r="CQ574" s="703"/>
      <c r="CR574" s="703"/>
      <c r="CS574" s="703"/>
      <c r="CT574" s="703"/>
      <c r="CU574" s="703"/>
      <c r="CV574" s="703"/>
      <c r="CW574" s="703"/>
      <c r="CX574" s="703"/>
      <c r="CY574" s="703"/>
      <c r="CZ574" s="703"/>
      <c r="DA574" s="703">
        <v>1</v>
      </c>
      <c r="DB574" s="703"/>
      <c r="DC574" s="703"/>
      <c r="DD574" s="703"/>
      <c r="DE574" s="703"/>
      <c r="DF574" s="703"/>
      <c r="DG574" s="705"/>
      <c r="DH574" s="705"/>
      <c r="DI574" s="705"/>
      <c r="DJ574" s="705"/>
      <c r="DK574" s="705"/>
      <c r="DL574" s="705"/>
      <c r="DM574" s="705"/>
      <c r="DN574" s="705"/>
      <c r="DO574" s="705"/>
      <c r="DP574" s="705"/>
      <c r="DQ574" s="705"/>
      <c r="DR574" s="705"/>
      <c r="DS574" s="703"/>
      <c r="DT574" s="703"/>
      <c r="DU574" s="703"/>
      <c r="DV574" s="703"/>
      <c r="DW574" s="703"/>
      <c r="DX574" s="703"/>
      <c r="DY574" s="703"/>
      <c r="DZ574" s="703"/>
      <c r="EA574" s="703"/>
      <c r="EB574" s="703"/>
      <c r="EC574" s="703"/>
      <c r="ED574" s="703"/>
      <c r="EE574" s="703"/>
      <c r="EF574" s="703"/>
      <c r="EG574" s="703"/>
      <c r="EH574" s="703"/>
      <c r="EI574" s="703"/>
      <c r="EJ574" s="703"/>
      <c r="EK574" s="703"/>
      <c r="EL574" s="703"/>
      <c r="EM574" s="703"/>
      <c r="EN574" s="703"/>
      <c r="EO574" s="703"/>
      <c r="EP574" s="703"/>
      <c r="EQ574" s="703"/>
      <c r="ER574" s="703"/>
      <c r="ES574" s="703"/>
      <c r="ET574" s="703"/>
      <c r="EU574" s="703"/>
      <c r="EV574" s="703"/>
      <c r="EW574" s="703"/>
      <c r="EX574" s="703"/>
      <c r="EY574" s="703"/>
      <c r="EZ574" s="703"/>
      <c r="FA574" s="703"/>
      <c r="FB574" s="703"/>
      <c r="FC574" s="703"/>
      <c r="FD574" s="703"/>
      <c r="FE574" s="703"/>
      <c r="FF574" s="703"/>
      <c r="FG574" s="703"/>
      <c r="FH574" s="703"/>
      <c r="FI574" s="703"/>
      <c r="FJ574" s="703"/>
      <c r="FK574" s="703"/>
      <c r="FL574" s="703"/>
      <c r="FM574" s="703"/>
      <c r="FN574" s="703"/>
      <c r="FO574" s="703"/>
      <c r="FP574" s="703"/>
      <c r="FQ574" s="704"/>
    </row>
    <row r="575" spans="1:177" s="706" customFormat="1">
      <c r="A575" s="700"/>
      <c r="B575" s="700"/>
      <c r="C575" s="701"/>
      <c r="D575" s="701" t="s">
        <v>3744</v>
      </c>
      <c r="E575" s="703">
        <v>39.6</v>
      </c>
      <c r="F575" s="703"/>
      <c r="G575" s="703"/>
      <c r="H575" s="703"/>
      <c r="I575" s="703">
        <f t="shared" ref="I575:I596" si="188">E575</f>
        <v>39.6</v>
      </c>
      <c r="J575" s="703"/>
      <c r="K575" s="703"/>
      <c r="L575" s="703"/>
      <c r="M575" s="703"/>
      <c r="N575" s="703"/>
      <c r="O575" s="703"/>
      <c r="P575" s="703"/>
      <c r="Q575" s="703"/>
      <c r="R575" s="704"/>
      <c r="S575" s="704"/>
      <c r="T575" s="703"/>
      <c r="U575" s="703" t="s">
        <v>1631</v>
      </c>
      <c r="V575" s="703"/>
      <c r="W575" s="703"/>
      <c r="X575" s="703"/>
      <c r="Y575" s="703"/>
      <c r="Z575" s="703"/>
      <c r="AA575" s="703"/>
      <c r="AB575" s="703"/>
      <c r="AC575" s="703"/>
      <c r="AD575" s="703"/>
      <c r="AE575" s="766"/>
      <c r="AF575" s="960"/>
      <c r="AG575" s="703"/>
      <c r="AH575" s="703"/>
      <c r="AI575" s="703"/>
      <c r="AJ575" s="703"/>
      <c r="AK575" s="703"/>
      <c r="AL575" s="703"/>
      <c r="AM575" s="703"/>
      <c r="AN575" s="703"/>
      <c r="AO575" s="703"/>
      <c r="AP575" s="703"/>
      <c r="AQ575" s="703"/>
      <c r="AR575" s="703"/>
      <c r="AS575" s="703"/>
      <c r="AT575" s="703"/>
      <c r="AU575" s="703"/>
      <c r="AV575" s="703"/>
      <c r="AW575" s="703">
        <v>1</v>
      </c>
      <c r="AX575" s="703"/>
      <c r="AY575" s="703"/>
      <c r="AZ575" s="703"/>
      <c r="BA575" s="703"/>
      <c r="BB575" s="703"/>
      <c r="BC575" s="703"/>
      <c r="BD575" s="703"/>
      <c r="BE575" s="703"/>
      <c r="BF575" s="703"/>
      <c r="BG575" s="703"/>
      <c r="BH575" s="703"/>
      <c r="BI575" s="703"/>
      <c r="BJ575" s="703"/>
      <c r="BK575" s="703"/>
      <c r="BL575" s="703"/>
      <c r="BM575" s="703"/>
      <c r="BN575" s="703"/>
      <c r="BO575" s="703"/>
      <c r="BP575" s="703"/>
      <c r="BQ575" s="703"/>
      <c r="BR575" s="703"/>
      <c r="BS575" s="703"/>
      <c r="BT575" s="703"/>
      <c r="BU575" s="703"/>
      <c r="BV575" s="703"/>
      <c r="BW575" s="703"/>
      <c r="BX575" s="703"/>
      <c r="BY575" s="703"/>
      <c r="BZ575" s="703"/>
      <c r="CA575" s="703"/>
      <c r="CB575" s="703"/>
      <c r="CC575" s="703"/>
      <c r="CD575" s="703">
        <f t="shared" ref="CD575:CD596" si="189">DA575</f>
        <v>1</v>
      </c>
      <c r="CE575" s="703"/>
      <c r="CF575" s="703"/>
      <c r="CG575" s="703"/>
      <c r="CH575" s="703"/>
      <c r="CI575" s="703"/>
      <c r="CJ575" s="703"/>
      <c r="CK575" s="703"/>
      <c r="CL575" s="703">
        <f t="shared" ref="CL575:CL596" si="190">AU575*2+DA575*2</f>
        <v>2</v>
      </c>
      <c r="CM575" s="703"/>
      <c r="CN575" s="703"/>
      <c r="CO575" s="703"/>
      <c r="CP575" s="703"/>
      <c r="CQ575" s="703"/>
      <c r="CR575" s="703"/>
      <c r="CS575" s="703"/>
      <c r="CT575" s="703"/>
      <c r="CU575" s="703"/>
      <c r="CV575" s="703"/>
      <c r="CW575" s="703"/>
      <c r="CX575" s="703"/>
      <c r="CY575" s="703"/>
      <c r="CZ575" s="703"/>
      <c r="DA575" s="703">
        <v>1</v>
      </c>
      <c r="DB575" s="703"/>
      <c r="DC575" s="703"/>
      <c r="DD575" s="703"/>
      <c r="DE575" s="703"/>
      <c r="DF575" s="703"/>
      <c r="DG575" s="705"/>
      <c r="DH575" s="705"/>
      <c r="DI575" s="705"/>
      <c r="DJ575" s="705"/>
      <c r="DK575" s="705"/>
      <c r="DL575" s="705"/>
      <c r="DM575" s="705"/>
      <c r="DN575" s="705"/>
      <c r="DO575" s="705"/>
      <c r="DP575" s="705"/>
      <c r="DQ575" s="705"/>
      <c r="DR575" s="705"/>
      <c r="DS575" s="703"/>
      <c r="DT575" s="703"/>
      <c r="DU575" s="703"/>
      <c r="DV575" s="703"/>
      <c r="DW575" s="703"/>
      <c r="DX575" s="703"/>
      <c r="DY575" s="703"/>
      <c r="DZ575" s="703"/>
      <c r="EA575" s="703"/>
      <c r="EB575" s="703"/>
      <c r="EC575" s="703"/>
      <c r="ED575" s="703"/>
      <c r="EE575" s="703"/>
      <c r="EF575" s="703"/>
      <c r="EG575" s="703"/>
      <c r="EH575" s="703"/>
      <c r="EI575" s="703"/>
      <c r="EJ575" s="703"/>
      <c r="EK575" s="703"/>
      <c r="EL575" s="703"/>
      <c r="EM575" s="703"/>
      <c r="EN575" s="703"/>
      <c r="EO575" s="703"/>
      <c r="EP575" s="703"/>
      <c r="EQ575" s="703"/>
      <c r="ER575" s="703"/>
      <c r="ES575" s="703"/>
      <c r="ET575" s="703"/>
      <c r="EU575" s="703"/>
      <c r="EV575" s="703"/>
      <c r="EW575" s="703"/>
      <c r="EX575" s="703"/>
      <c r="EY575" s="703"/>
      <c r="EZ575" s="703"/>
      <c r="FA575" s="703"/>
      <c r="FB575" s="703"/>
      <c r="FC575" s="703"/>
      <c r="FD575" s="703"/>
      <c r="FE575" s="703"/>
      <c r="FF575" s="703"/>
      <c r="FG575" s="703"/>
      <c r="FH575" s="703"/>
      <c r="FI575" s="703"/>
      <c r="FJ575" s="703"/>
      <c r="FK575" s="703"/>
      <c r="FL575" s="703"/>
      <c r="FM575" s="703"/>
      <c r="FN575" s="703"/>
      <c r="FO575" s="703"/>
      <c r="FP575" s="703"/>
      <c r="FQ575" s="704"/>
    </row>
    <row r="576" spans="1:177" s="706" customFormat="1">
      <c r="A576" s="700"/>
      <c r="B576" s="700"/>
      <c r="C576" s="701"/>
      <c r="D576" s="701" t="s">
        <v>3745</v>
      </c>
      <c r="E576" s="703">
        <v>44.8</v>
      </c>
      <c r="F576" s="703"/>
      <c r="G576" s="703"/>
      <c r="H576" s="703"/>
      <c r="I576" s="703">
        <f t="shared" si="188"/>
        <v>44.8</v>
      </c>
      <c r="J576" s="703"/>
      <c r="K576" s="703"/>
      <c r="L576" s="703"/>
      <c r="M576" s="703"/>
      <c r="N576" s="703"/>
      <c r="O576" s="703"/>
      <c r="P576" s="703"/>
      <c r="Q576" s="703"/>
      <c r="R576" s="704"/>
      <c r="S576" s="704"/>
      <c r="T576" s="703"/>
      <c r="U576" s="703" t="s">
        <v>1631</v>
      </c>
      <c r="V576" s="703"/>
      <c r="W576" s="703"/>
      <c r="X576" s="703"/>
      <c r="Y576" s="703"/>
      <c r="Z576" s="703"/>
      <c r="AA576" s="703"/>
      <c r="AB576" s="703"/>
      <c r="AC576" s="703"/>
      <c r="AD576" s="703"/>
      <c r="AE576" s="766"/>
      <c r="AF576" s="960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>
        <v>1</v>
      </c>
      <c r="AX576" s="703"/>
      <c r="AY576" s="703"/>
      <c r="AZ576" s="703"/>
      <c r="BA576" s="703"/>
      <c r="BB576" s="703"/>
      <c r="BC576" s="703"/>
      <c r="BD576" s="703"/>
      <c r="BE576" s="703"/>
      <c r="BF576" s="703"/>
      <c r="BG576" s="703"/>
      <c r="BH576" s="703"/>
      <c r="BI576" s="703"/>
      <c r="BJ576" s="703"/>
      <c r="BK576" s="703"/>
      <c r="BL576" s="703"/>
      <c r="BM576" s="703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  <c r="BX576" s="703"/>
      <c r="BY576" s="703"/>
      <c r="BZ576" s="703"/>
      <c r="CA576" s="703"/>
      <c r="CB576" s="703"/>
      <c r="CC576" s="703"/>
      <c r="CD576" s="703">
        <f t="shared" si="189"/>
        <v>1</v>
      </c>
      <c r="CE576" s="703"/>
      <c r="CF576" s="703"/>
      <c r="CG576" s="703"/>
      <c r="CH576" s="703"/>
      <c r="CI576" s="703"/>
      <c r="CJ576" s="703"/>
      <c r="CK576" s="703"/>
      <c r="CL576" s="703">
        <f t="shared" si="190"/>
        <v>2</v>
      </c>
      <c r="CM576" s="703"/>
      <c r="CN576" s="703"/>
      <c r="CO576" s="703"/>
      <c r="CP576" s="703"/>
      <c r="CQ576" s="703"/>
      <c r="CR576" s="703"/>
      <c r="CS576" s="703"/>
      <c r="CT576" s="703"/>
      <c r="CU576" s="703"/>
      <c r="CV576" s="703"/>
      <c r="CW576" s="703"/>
      <c r="CX576" s="703"/>
      <c r="CY576" s="703"/>
      <c r="CZ576" s="703"/>
      <c r="DA576" s="703">
        <v>1</v>
      </c>
      <c r="DB576" s="703"/>
      <c r="DC576" s="703"/>
      <c r="DD576" s="703"/>
      <c r="DE576" s="703"/>
      <c r="DF576" s="703"/>
      <c r="DG576" s="705"/>
      <c r="DH576" s="705"/>
      <c r="DI576" s="705"/>
      <c r="DJ576" s="705"/>
      <c r="DK576" s="705"/>
      <c r="DL576" s="705"/>
      <c r="DM576" s="705"/>
      <c r="DN576" s="705"/>
      <c r="DO576" s="705"/>
      <c r="DP576" s="705"/>
      <c r="DQ576" s="705"/>
      <c r="DR576" s="705"/>
      <c r="DS576" s="703"/>
      <c r="DT576" s="703"/>
      <c r="DU576" s="703"/>
      <c r="DV576" s="703"/>
      <c r="DW576" s="703"/>
      <c r="DX576" s="703"/>
      <c r="DY576" s="703"/>
      <c r="DZ576" s="703"/>
      <c r="EA576" s="703"/>
      <c r="EB576" s="703"/>
      <c r="EC576" s="703"/>
      <c r="ED576" s="703"/>
      <c r="EE576" s="703"/>
      <c r="EF576" s="703"/>
      <c r="EG576" s="703"/>
      <c r="EH576" s="703"/>
      <c r="EI576" s="703"/>
      <c r="EJ576" s="703"/>
      <c r="EK576" s="703"/>
      <c r="EL576" s="703"/>
      <c r="EM576" s="703"/>
      <c r="EN576" s="703"/>
      <c r="EO576" s="703"/>
      <c r="EP576" s="703"/>
      <c r="EQ576" s="703"/>
      <c r="ER576" s="703"/>
      <c r="ES576" s="703"/>
      <c r="ET576" s="703"/>
      <c r="EU576" s="703"/>
      <c r="EV576" s="703"/>
      <c r="EW576" s="703"/>
      <c r="EX576" s="703"/>
      <c r="EY576" s="703"/>
      <c r="EZ576" s="703"/>
      <c r="FA576" s="703"/>
      <c r="FB576" s="703"/>
      <c r="FC576" s="703"/>
      <c r="FD576" s="703"/>
      <c r="FE576" s="703"/>
      <c r="FF576" s="703"/>
      <c r="FG576" s="703"/>
      <c r="FH576" s="703"/>
      <c r="FI576" s="703"/>
      <c r="FJ576" s="703"/>
      <c r="FK576" s="703"/>
      <c r="FL576" s="703"/>
      <c r="FM576" s="703"/>
      <c r="FN576" s="703"/>
      <c r="FO576" s="703"/>
      <c r="FP576" s="703"/>
      <c r="FQ576" s="704"/>
    </row>
    <row r="577" spans="1:173" s="706" customFormat="1">
      <c r="A577" s="700"/>
      <c r="B577" s="700"/>
      <c r="C577" s="701"/>
      <c r="D577" s="701" t="s">
        <v>3746</v>
      </c>
      <c r="E577" s="703">
        <v>49.9</v>
      </c>
      <c r="F577" s="703"/>
      <c r="G577" s="703"/>
      <c r="H577" s="703"/>
      <c r="I577" s="703">
        <f t="shared" si="188"/>
        <v>49.9</v>
      </c>
      <c r="J577" s="703"/>
      <c r="K577" s="703"/>
      <c r="L577" s="703"/>
      <c r="M577" s="703"/>
      <c r="N577" s="703"/>
      <c r="O577" s="703"/>
      <c r="P577" s="703"/>
      <c r="Q577" s="703"/>
      <c r="R577" s="704"/>
      <c r="S577" s="704"/>
      <c r="T577" s="703"/>
      <c r="U577" s="703" t="s">
        <v>1631</v>
      </c>
      <c r="V577" s="703"/>
      <c r="W577" s="703"/>
      <c r="X577" s="703"/>
      <c r="Y577" s="703"/>
      <c r="Z577" s="703"/>
      <c r="AA577" s="703"/>
      <c r="AB577" s="703"/>
      <c r="AC577" s="703"/>
      <c r="AD577" s="703"/>
      <c r="AE577" s="766"/>
      <c r="AF577" s="960"/>
      <c r="AG577" s="703"/>
      <c r="AH577" s="703"/>
      <c r="AI577" s="703"/>
      <c r="AJ577" s="703"/>
      <c r="AK577" s="703"/>
      <c r="AL577" s="703"/>
      <c r="AM577" s="703"/>
      <c r="AN577" s="703"/>
      <c r="AO577" s="703"/>
      <c r="AP577" s="703"/>
      <c r="AQ577" s="703"/>
      <c r="AR577" s="703"/>
      <c r="AS577" s="703"/>
      <c r="AT577" s="703"/>
      <c r="AU577" s="703"/>
      <c r="AV577" s="703"/>
      <c r="AW577" s="703">
        <v>1</v>
      </c>
      <c r="AX577" s="703"/>
      <c r="AY577" s="703"/>
      <c r="AZ577" s="703"/>
      <c r="BA577" s="703"/>
      <c r="BB577" s="703"/>
      <c r="BC577" s="703"/>
      <c r="BD577" s="703"/>
      <c r="BE577" s="703"/>
      <c r="BF577" s="703"/>
      <c r="BG577" s="703"/>
      <c r="BH577" s="703"/>
      <c r="BI577" s="703"/>
      <c r="BJ577" s="703"/>
      <c r="BK577" s="703"/>
      <c r="BL577" s="703"/>
      <c r="BM577" s="703"/>
      <c r="BN577" s="703"/>
      <c r="BO577" s="703"/>
      <c r="BP577" s="703"/>
      <c r="BQ577" s="703"/>
      <c r="BR577" s="703"/>
      <c r="BS577" s="703"/>
      <c r="BT577" s="703"/>
      <c r="BU577" s="703"/>
      <c r="BV577" s="703"/>
      <c r="BW577" s="703"/>
      <c r="BX577" s="703"/>
      <c r="BY577" s="703"/>
      <c r="BZ577" s="703"/>
      <c r="CA577" s="703"/>
      <c r="CB577" s="703"/>
      <c r="CC577" s="703"/>
      <c r="CD577" s="703">
        <f t="shared" si="189"/>
        <v>1</v>
      </c>
      <c r="CE577" s="703"/>
      <c r="CF577" s="703"/>
      <c r="CG577" s="703"/>
      <c r="CH577" s="703"/>
      <c r="CI577" s="703"/>
      <c r="CJ577" s="703"/>
      <c r="CK577" s="703"/>
      <c r="CL577" s="703">
        <f t="shared" si="190"/>
        <v>2</v>
      </c>
      <c r="CM577" s="703"/>
      <c r="CN577" s="703"/>
      <c r="CO577" s="703"/>
      <c r="CP577" s="703"/>
      <c r="CQ577" s="703"/>
      <c r="CR577" s="703"/>
      <c r="CS577" s="703"/>
      <c r="CT577" s="703"/>
      <c r="CU577" s="703"/>
      <c r="CV577" s="703"/>
      <c r="CW577" s="703"/>
      <c r="CX577" s="703"/>
      <c r="CY577" s="703"/>
      <c r="CZ577" s="703"/>
      <c r="DA577" s="703">
        <v>1</v>
      </c>
      <c r="DB577" s="703"/>
      <c r="DC577" s="703"/>
      <c r="DD577" s="703"/>
      <c r="DE577" s="703"/>
      <c r="DF577" s="703"/>
      <c r="DG577" s="705"/>
      <c r="DH577" s="705"/>
      <c r="DI577" s="705"/>
      <c r="DJ577" s="705"/>
      <c r="DK577" s="705"/>
      <c r="DL577" s="705"/>
      <c r="DM577" s="705"/>
      <c r="DN577" s="705"/>
      <c r="DO577" s="705"/>
      <c r="DP577" s="705"/>
      <c r="DQ577" s="705"/>
      <c r="DR577" s="705"/>
      <c r="DS577" s="703"/>
      <c r="DT577" s="703"/>
      <c r="DU577" s="703"/>
      <c r="DV577" s="703"/>
      <c r="DW577" s="703"/>
      <c r="DX577" s="703"/>
      <c r="DY577" s="703"/>
      <c r="DZ577" s="703"/>
      <c r="EA577" s="703"/>
      <c r="EB577" s="703"/>
      <c r="EC577" s="703"/>
      <c r="ED577" s="703"/>
      <c r="EE577" s="703"/>
      <c r="EF577" s="703"/>
      <c r="EG577" s="703"/>
      <c r="EH577" s="703"/>
      <c r="EI577" s="703"/>
      <c r="EJ577" s="703"/>
      <c r="EK577" s="703"/>
      <c r="EL577" s="703"/>
      <c r="EM577" s="703"/>
      <c r="EN577" s="703"/>
      <c r="EO577" s="703"/>
      <c r="EP577" s="703"/>
      <c r="EQ577" s="703"/>
      <c r="ER577" s="703"/>
      <c r="ES577" s="703"/>
      <c r="ET577" s="703"/>
      <c r="EU577" s="703"/>
      <c r="EV577" s="703"/>
      <c r="EW577" s="703"/>
      <c r="EX577" s="703"/>
      <c r="EY577" s="703"/>
      <c r="EZ577" s="703"/>
      <c r="FA577" s="703"/>
      <c r="FB577" s="703"/>
      <c r="FC577" s="703"/>
      <c r="FD577" s="703"/>
      <c r="FE577" s="703"/>
      <c r="FF577" s="703"/>
      <c r="FG577" s="703"/>
      <c r="FH577" s="703"/>
      <c r="FI577" s="703"/>
      <c r="FJ577" s="703"/>
      <c r="FK577" s="703"/>
      <c r="FL577" s="703"/>
      <c r="FM577" s="703"/>
      <c r="FN577" s="703"/>
      <c r="FO577" s="703"/>
      <c r="FP577" s="703"/>
      <c r="FQ577" s="704"/>
    </row>
    <row r="578" spans="1:173" s="706" customFormat="1">
      <c r="A578" s="700"/>
      <c r="B578" s="700"/>
      <c r="C578" s="701"/>
      <c r="D578" s="701" t="s">
        <v>3747</v>
      </c>
      <c r="E578" s="703">
        <v>32</v>
      </c>
      <c r="F578" s="703"/>
      <c r="G578" s="703"/>
      <c r="H578" s="703"/>
      <c r="I578" s="703">
        <f t="shared" si="188"/>
        <v>32</v>
      </c>
      <c r="J578" s="703"/>
      <c r="K578" s="703"/>
      <c r="L578" s="703"/>
      <c r="M578" s="703"/>
      <c r="N578" s="703"/>
      <c r="O578" s="703"/>
      <c r="P578" s="703"/>
      <c r="Q578" s="703"/>
      <c r="R578" s="704"/>
      <c r="S578" s="704"/>
      <c r="T578" s="703"/>
      <c r="U578" s="703" t="s">
        <v>1631</v>
      </c>
      <c r="V578" s="703"/>
      <c r="W578" s="703"/>
      <c r="X578" s="703"/>
      <c r="Y578" s="703"/>
      <c r="Z578" s="703"/>
      <c r="AA578" s="703"/>
      <c r="AB578" s="703"/>
      <c r="AC578" s="703"/>
      <c r="AD578" s="703"/>
      <c r="AE578" s="766"/>
      <c r="AF578" s="960"/>
      <c r="AG578" s="703"/>
      <c r="AH578" s="703"/>
      <c r="AI578" s="703"/>
      <c r="AJ578" s="703"/>
      <c r="AK578" s="703"/>
      <c r="AL578" s="703"/>
      <c r="AM578" s="703"/>
      <c r="AN578" s="703"/>
      <c r="AO578" s="703"/>
      <c r="AP578" s="703"/>
      <c r="AQ578" s="703"/>
      <c r="AR578" s="703"/>
      <c r="AS578" s="703"/>
      <c r="AT578" s="703"/>
      <c r="AU578" s="703"/>
      <c r="AV578" s="703"/>
      <c r="AW578" s="703">
        <v>1</v>
      </c>
      <c r="AX578" s="703"/>
      <c r="AY578" s="703"/>
      <c r="AZ578" s="703"/>
      <c r="BA578" s="703"/>
      <c r="BB578" s="703"/>
      <c r="BC578" s="703"/>
      <c r="BD578" s="703"/>
      <c r="BE578" s="703"/>
      <c r="BF578" s="703"/>
      <c r="BG578" s="703"/>
      <c r="BH578" s="703"/>
      <c r="BI578" s="703"/>
      <c r="BJ578" s="703"/>
      <c r="BK578" s="703"/>
      <c r="BL578" s="703"/>
      <c r="BM578" s="703"/>
      <c r="BN578" s="703"/>
      <c r="BO578" s="703"/>
      <c r="BP578" s="703"/>
      <c r="BQ578" s="703"/>
      <c r="BR578" s="703"/>
      <c r="BS578" s="703"/>
      <c r="BT578" s="703"/>
      <c r="BU578" s="703"/>
      <c r="BV578" s="703"/>
      <c r="BW578" s="703"/>
      <c r="BX578" s="703"/>
      <c r="BY578" s="703"/>
      <c r="BZ578" s="703"/>
      <c r="CA578" s="703"/>
      <c r="CB578" s="703"/>
      <c r="CC578" s="703"/>
      <c r="CD578" s="703">
        <f t="shared" si="189"/>
        <v>1</v>
      </c>
      <c r="CE578" s="703"/>
      <c r="CF578" s="703"/>
      <c r="CG578" s="703"/>
      <c r="CH578" s="703"/>
      <c r="CI578" s="703"/>
      <c r="CJ578" s="703"/>
      <c r="CK578" s="703"/>
      <c r="CL578" s="703">
        <f t="shared" si="190"/>
        <v>2</v>
      </c>
      <c r="CM578" s="703"/>
      <c r="CN578" s="703"/>
      <c r="CO578" s="703"/>
      <c r="CP578" s="703"/>
      <c r="CQ578" s="703"/>
      <c r="CR578" s="703"/>
      <c r="CS578" s="703"/>
      <c r="CT578" s="703"/>
      <c r="CU578" s="703"/>
      <c r="CV578" s="703"/>
      <c r="CW578" s="703"/>
      <c r="CX578" s="703"/>
      <c r="CY578" s="703"/>
      <c r="CZ578" s="703"/>
      <c r="DA578" s="703">
        <v>1</v>
      </c>
      <c r="DB578" s="703"/>
      <c r="DC578" s="703"/>
      <c r="DD578" s="703"/>
      <c r="DE578" s="703"/>
      <c r="DF578" s="703"/>
      <c r="DG578" s="705"/>
      <c r="DH578" s="705"/>
      <c r="DI578" s="705"/>
      <c r="DJ578" s="705"/>
      <c r="DK578" s="705"/>
      <c r="DL578" s="705"/>
      <c r="DM578" s="705"/>
      <c r="DN578" s="705"/>
      <c r="DO578" s="705"/>
      <c r="DP578" s="705"/>
      <c r="DQ578" s="705"/>
      <c r="DR578" s="705"/>
      <c r="DS578" s="703"/>
      <c r="DT578" s="703"/>
      <c r="DU578" s="703"/>
      <c r="DV578" s="703"/>
      <c r="DW578" s="703"/>
      <c r="DX578" s="703"/>
      <c r="DY578" s="703"/>
      <c r="DZ578" s="703"/>
      <c r="EA578" s="703"/>
      <c r="EB578" s="703"/>
      <c r="EC578" s="703"/>
      <c r="ED578" s="703"/>
      <c r="EE578" s="703"/>
      <c r="EF578" s="703"/>
      <c r="EG578" s="703"/>
      <c r="EH578" s="703"/>
      <c r="EI578" s="703"/>
      <c r="EJ578" s="703"/>
      <c r="EK578" s="703"/>
      <c r="EL578" s="703"/>
      <c r="EM578" s="703"/>
      <c r="EN578" s="703"/>
      <c r="EO578" s="703"/>
      <c r="EP578" s="703"/>
      <c r="EQ578" s="703"/>
      <c r="ER578" s="703"/>
      <c r="ES578" s="703"/>
      <c r="ET578" s="703"/>
      <c r="EU578" s="703"/>
      <c r="EV578" s="703"/>
      <c r="EW578" s="703"/>
      <c r="EX578" s="703"/>
      <c r="EY578" s="703"/>
      <c r="EZ578" s="703"/>
      <c r="FA578" s="703"/>
      <c r="FB578" s="703"/>
      <c r="FC578" s="703"/>
      <c r="FD578" s="703"/>
      <c r="FE578" s="703"/>
      <c r="FF578" s="703"/>
      <c r="FG578" s="703"/>
      <c r="FH578" s="703"/>
      <c r="FI578" s="703"/>
      <c r="FJ578" s="703"/>
      <c r="FK578" s="703"/>
      <c r="FL578" s="703"/>
      <c r="FM578" s="703"/>
      <c r="FN578" s="703"/>
      <c r="FO578" s="703"/>
      <c r="FP578" s="703"/>
      <c r="FQ578" s="704"/>
    </row>
    <row r="579" spans="1:173" s="706" customFormat="1">
      <c r="A579" s="700"/>
      <c r="B579" s="700"/>
      <c r="C579" s="701"/>
      <c r="D579" s="701" t="s">
        <v>3748</v>
      </c>
      <c r="E579" s="703">
        <v>40.299999999999997</v>
      </c>
      <c r="F579" s="703"/>
      <c r="G579" s="703"/>
      <c r="H579" s="703"/>
      <c r="I579" s="703">
        <f t="shared" si="188"/>
        <v>40.299999999999997</v>
      </c>
      <c r="J579" s="703"/>
      <c r="K579" s="703"/>
      <c r="L579" s="703"/>
      <c r="M579" s="703"/>
      <c r="N579" s="703"/>
      <c r="O579" s="703"/>
      <c r="P579" s="703"/>
      <c r="Q579" s="703"/>
      <c r="R579" s="704"/>
      <c r="S579" s="704"/>
      <c r="T579" s="703"/>
      <c r="U579" s="703" t="s">
        <v>1631</v>
      </c>
      <c r="V579" s="703"/>
      <c r="W579" s="703"/>
      <c r="X579" s="703"/>
      <c r="Y579" s="703"/>
      <c r="Z579" s="703"/>
      <c r="AA579" s="703"/>
      <c r="AB579" s="703"/>
      <c r="AC579" s="703"/>
      <c r="AD579" s="703"/>
      <c r="AE579" s="766"/>
      <c r="AF579" s="960"/>
      <c r="AG579" s="703"/>
      <c r="AH579" s="703"/>
      <c r="AI579" s="703"/>
      <c r="AJ579" s="703"/>
      <c r="AK579" s="703"/>
      <c r="AL579" s="703"/>
      <c r="AM579" s="703"/>
      <c r="AN579" s="703"/>
      <c r="AO579" s="703"/>
      <c r="AP579" s="703"/>
      <c r="AQ579" s="703"/>
      <c r="AR579" s="703"/>
      <c r="AS579" s="703"/>
      <c r="AT579" s="703"/>
      <c r="AU579" s="703">
        <v>1</v>
      </c>
      <c r="AV579" s="703"/>
      <c r="AW579" s="703">
        <v>1</v>
      </c>
      <c r="AX579" s="703"/>
      <c r="AY579" s="703"/>
      <c r="AZ579" s="703"/>
      <c r="BA579" s="703"/>
      <c r="BB579" s="703"/>
      <c r="BC579" s="703"/>
      <c r="BD579" s="703"/>
      <c r="BE579" s="703"/>
      <c r="BF579" s="703"/>
      <c r="BG579" s="703"/>
      <c r="BH579" s="703"/>
      <c r="BI579" s="703"/>
      <c r="BJ579" s="703"/>
      <c r="BK579" s="703"/>
      <c r="BL579" s="703"/>
      <c r="BM579" s="703"/>
      <c r="BN579" s="703"/>
      <c r="BO579" s="703"/>
      <c r="BP579" s="703"/>
      <c r="BQ579" s="703"/>
      <c r="BR579" s="703"/>
      <c r="BS579" s="703"/>
      <c r="BT579" s="703"/>
      <c r="BU579" s="703"/>
      <c r="BV579" s="703"/>
      <c r="BW579" s="703"/>
      <c r="BX579" s="703"/>
      <c r="BY579" s="703"/>
      <c r="BZ579" s="703"/>
      <c r="CA579" s="703"/>
      <c r="CB579" s="703"/>
      <c r="CC579" s="703"/>
      <c r="CD579" s="703">
        <f t="shared" si="189"/>
        <v>1</v>
      </c>
      <c r="CE579" s="703"/>
      <c r="CF579" s="703"/>
      <c r="CG579" s="703"/>
      <c r="CH579" s="703"/>
      <c r="CI579" s="703"/>
      <c r="CJ579" s="703"/>
      <c r="CK579" s="703"/>
      <c r="CL579" s="703">
        <f t="shared" si="190"/>
        <v>4</v>
      </c>
      <c r="CM579" s="703"/>
      <c r="CN579" s="703"/>
      <c r="CO579" s="703"/>
      <c r="CP579" s="703"/>
      <c r="CQ579" s="703"/>
      <c r="CR579" s="703"/>
      <c r="CS579" s="703"/>
      <c r="CT579" s="703"/>
      <c r="CU579" s="703"/>
      <c r="CV579" s="703"/>
      <c r="CW579" s="703"/>
      <c r="CX579" s="703"/>
      <c r="CY579" s="703"/>
      <c r="CZ579" s="703"/>
      <c r="DA579" s="703">
        <v>1</v>
      </c>
      <c r="DB579" s="703"/>
      <c r="DC579" s="703"/>
      <c r="DD579" s="703"/>
      <c r="DE579" s="703"/>
      <c r="DF579" s="703"/>
      <c r="DG579" s="705"/>
      <c r="DH579" s="705"/>
      <c r="DI579" s="705"/>
      <c r="DJ579" s="705"/>
      <c r="DK579" s="705"/>
      <c r="DL579" s="705"/>
      <c r="DM579" s="705"/>
      <c r="DN579" s="705"/>
      <c r="DO579" s="705"/>
      <c r="DP579" s="705"/>
      <c r="DQ579" s="705"/>
      <c r="DR579" s="705"/>
      <c r="DS579" s="703"/>
      <c r="DT579" s="703"/>
      <c r="DU579" s="703"/>
      <c r="DV579" s="703"/>
      <c r="DW579" s="703"/>
      <c r="DX579" s="703"/>
      <c r="DY579" s="703"/>
      <c r="DZ579" s="703"/>
      <c r="EA579" s="703"/>
      <c r="EB579" s="703"/>
      <c r="EC579" s="703"/>
      <c r="ED579" s="703"/>
      <c r="EE579" s="703"/>
      <c r="EF579" s="703"/>
      <c r="EG579" s="703"/>
      <c r="EH579" s="703"/>
      <c r="EI579" s="703"/>
      <c r="EJ579" s="703"/>
      <c r="EK579" s="703"/>
      <c r="EL579" s="703"/>
      <c r="EM579" s="703"/>
      <c r="EN579" s="703"/>
      <c r="EO579" s="703"/>
      <c r="EP579" s="703"/>
      <c r="EQ579" s="703"/>
      <c r="ER579" s="703"/>
      <c r="ES579" s="703"/>
      <c r="ET579" s="703"/>
      <c r="EU579" s="703"/>
      <c r="EV579" s="703"/>
      <c r="EW579" s="703"/>
      <c r="EX579" s="703"/>
      <c r="EY579" s="703"/>
      <c r="EZ579" s="703"/>
      <c r="FA579" s="703"/>
      <c r="FB579" s="703"/>
      <c r="FC579" s="703"/>
      <c r="FD579" s="703"/>
      <c r="FE579" s="703"/>
      <c r="FF579" s="703"/>
      <c r="FG579" s="703"/>
      <c r="FH579" s="703"/>
      <c r="FI579" s="703"/>
      <c r="FJ579" s="703"/>
      <c r="FK579" s="703"/>
      <c r="FL579" s="703"/>
      <c r="FM579" s="703"/>
      <c r="FN579" s="703"/>
      <c r="FO579" s="703"/>
      <c r="FP579" s="703"/>
      <c r="FQ579" s="704"/>
    </row>
    <row r="580" spans="1:173" s="706" customFormat="1">
      <c r="A580" s="700"/>
      <c r="B580" s="700"/>
      <c r="C580" s="701"/>
      <c r="D580" s="701" t="s">
        <v>3749</v>
      </c>
      <c r="E580" s="703">
        <v>45.8</v>
      </c>
      <c r="F580" s="703"/>
      <c r="G580" s="703"/>
      <c r="H580" s="703"/>
      <c r="I580" s="703">
        <f t="shared" si="188"/>
        <v>45.8</v>
      </c>
      <c r="J580" s="703"/>
      <c r="K580" s="703"/>
      <c r="L580" s="703"/>
      <c r="M580" s="703"/>
      <c r="N580" s="703"/>
      <c r="O580" s="703"/>
      <c r="P580" s="703"/>
      <c r="Q580" s="703"/>
      <c r="R580" s="704"/>
      <c r="S580" s="704"/>
      <c r="T580" s="703"/>
      <c r="U580" s="703" t="s">
        <v>1631</v>
      </c>
      <c r="V580" s="703"/>
      <c r="W580" s="703"/>
      <c r="X580" s="703"/>
      <c r="Y580" s="703"/>
      <c r="Z580" s="703"/>
      <c r="AA580" s="703"/>
      <c r="AB580" s="703"/>
      <c r="AC580" s="703"/>
      <c r="AD580" s="703"/>
      <c r="AE580" s="766"/>
      <c r="AF580" s="960"/>
      <c r="AG580" s="703"/>
      <c r="AH580" s="703"/>
      <c r="AI580" s="703"/>
      <c r="AJ580" s="703"/>
      <c r="AK580" s="703"/>
      <c r="AL580" s="703"/>
      <c r="AM580" s="703"/>
      <c r="AN580" s="703"/>
      <c r="AO580" s="703"/>
      <c r="AP580" s="703"/>
      <c r="AQ580" s="703"/>
      <c r="AR580" s="703"/>
      <c r="AS580" s="703"/>
      <c r="AT580" s="703"/>
      <c r="AU580" s="703"/>
      <c r="AV580" s="703"/>
      <c r="AW580" s="703">
        <v>1</v>
      </c>
      <c r="AX580" s="703"/>
      <c r="AY580" s="703"/>
      <c r="AZ580" s="703"/>
      <c r="BA580" s="703"/>
      <c r="BB580" s="703"/>
      <c r="BC580" s="703"/>
      <c r="BD580" s="703"/>
      <c r="BE580" s="703"/>
      <c r="BF580" s="703"/>
      <c r="BG580" s="703"/>
      <c r="BH580" s="703"/>
      <c r="BI580" s="703"/>
      <c r="BJ580" s="703"/>
      <c r="BK580" s="703"/>
      <c r="BL580" s="703"/>
      <c r="BM580" s="703"/>
      <c r="BN580" s="703"/>
      <c r="BO580" s="703"/>
      <c r="BP580" s="703"/>
      <c r="BQ580" s="703"/>
      <c r="BR580" s="703"/>
      <c r="BS580" s="703"/>
      <c r="BT580" s="703"/>
      <c r="BU580" s="703"/>
      <c r="BV580" s="703"/>
      <c r="BW580" s="703"/>
      <c r="BX580" s="703"/>
      <c r="BY580" s="703"/>
      <c r="BZ580" s="703"/>
      <c r="CA580" s="703"/>
      <c r="CB580" s="703"/>
      <c r="CC580" s="703"/>
      <c r="CD580" s="703">
        <f t="shared" si="189"/>
        <v>1</v>
      </c>
      <c r="CE580" s="703"/>
      <c r="CF580" s="703"/>
      <c r="CG580" s="703"/>
      <c r="CH580" s="703"/>
      <c r="CI580" s="703"/>
      <c r="CJ580" s="703"/>
      <c r="CK580" s="703"/>
      <c r="CL580" s="703">
        <f t="shared" si="190"/>
        <v>2</v>
      </c>
      <c r="CM580" s="703"/>
      <c r="CN580" s="703"/>
      <c r="CO580" s="703"/>
      <c r="CP580" s="703"/>
      <c r="CQ580" s="703"/>
      <c r="CR580" s="703"/>
      <c r="CS580" s="703"/>
      <c r="CT580" s="703"/>
      <c r="CU580" s="703"/>
      <c r="CV580" s="703"/>
      <c r="CW580" s="703"/>
      <c r="CX580" s="703"/>
      <c r="CY580" s="703"/>
      <c r="CZ580" s="703"/>
      <c r="DA580" s="703">
        <v>1</v>
      </c>
      <c r="DB580" s="703"/>
      <c r="DC580" s="703"/>
      <c r="DD580" s="703"/>
      <c r="DE580" s="703"/>
      <c r="DF580" s="703"/>
      <c r="DG580" s="705"/>
      <c r="DH580" s="705"/>
      <c r="DI580" s="705"/>
      <c r="DJ580" s="705"/>
      <c r="DK580" s="705"/>
      <c r="DL580" s="705"/>
      <c r="DM580" s="705"/>
      <c r="DN580" s="705"/>
      <c r="DO580" s="705"/>
      <c r="DP580" s="705"/>
      <c r="DQ580" s="705"/>
      <c r="DR580" s="705"/>
      <c r="DS580" s="703"/>
      <c r="DT580" s="703"/>
      <c r="DU580" s="703"/>
      <c r="DV580" s="703"/>
      <c r="DW580" s="703"/>
      <c r="DX580" s="703"/>
      <c r="DY580" s="703"/>
      <c r="DZ580" s="703"/>
      <c r="EA580" s="703"/>
      <c r="EB580" s="703"/>
      <c r="EC580" s="703"/>
      <c r="ED580" s="703"/>
      <c r="EE580" s="703"/>
      <c r="EF580" s="703"/>
      <c r="EG580" s="703"/>
      <c r="EH580" s="703"/>
      <c r="EI580" s="703"/>
      <c r="EJ580" s="703"/>
      <c r="EK580" s="703"/>
      <c r="EL580" s="703"/>
      <c r="EM580" s="703"/>
      <c r="EN580" s="703"/>
      <c r="EO580" s="703"/>
      <c r="EP580" s="703"/>
      <c r="EQ580" s="703"/>
      <c r="ER580" s="703"/>
      <c r="ES580" s="703"/>
      <c r="ET580" s="703"/>
      <c r="EU580" s="703"/>
      <c r="EV580" s="703"/>
      <c r="EW580" s="703"/>
      <c r="EX580" s="703"/>
      <c r="EY580" s="703"/>
      <c r="EZ580" s="703"/>
      <c r="FA580" s="703"/>
      <c r="FB580" s="703"/>
      <c r="FC580" s="703"/>
      <c r="FD580" s="703"/>
      <c r="FE580" s="703"/>
      <c r="FF580" s="703"/>
      <c r="FG580" s="703"/>
      <c r="FH580" s="703"/>
      <c r="FI580" s="703"/>
      <c r="FJ580" s="703"/>
      <c r="FK580" s="703"/>
      <c r="FL580" s="703"/>
      <c r="FM580" s="703"/>
      <c r="FN580" s="703"/>
      <c r="FO580" s="703"/>
      <c r="FP580" s="703"/>
      <c r="FQ580" s="704"/>
    </row>
    <row r="581" spans="1:173" s="706" customFormat="1">
      <c r="A581" s="700"/>
      <c r="B581" s="700"/>
      <c r="C581" s="701"/>
      <c r="D581" s="701" t="s">
        <v>3750</v>
      </c>
      <c r="E581" s="703">
        <v>44.7</v>
      </c>
      <c r="F581" s="703"/>
      <c r="G581" s="703"/>
      <c r="H581" s="703"/>
      <c r="I581" s="703">
        <f t="shared" si="188"/>
        <v>44.7</v>
      </c>
      <c r="J581" s="703"/>
      <c r="K581" s="703"/>
      <c r="L581" s="703"/>
      <c r="M581" s="703"/>
      <c r="N581" s="703"/>
      <c r="O581" s="703"/>
      <c r="P581" s="703"/>
      <c r="Q581" s="703"/>
      <c r="R581" s="704"/>
      <c r="S581" s="704"/>
      <c r="T581" s="703"/>
      <c r="U581" s="703" t="s">
        <v>1631</v>
      </c>
      <c r="V581" s="703"/>
      <c r="W581" s="703"/>
      <c r="X581" s="703"/>
      <c r="Y581" s="703"/>
      <c r="Z581" s="703"/>
      <c r="AA581" s="703"/>
      <c r="AB581" s="703"/>
      <c r="AC581" s="703"/>
      <c r="AD581" s="703"/>
      <c r="AE581" s="766"/>
      <c r="AF581" s="960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>
        <v>1</v>
      </c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03"/>
      <c r="BL581" s="703"/>
      <c r="BM581" s="703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  <c r="BX581" s="703"/>
      <c r="BY581" s="703"/>
      <c r="BZ581" s="703"/>
      <c r="CA581" s="703"/>
      <c r="CB581" s="703"/>
      <c r="CC581" s="703"/>
      <c r="CD581" s="703">
        <f t="shared" si="189"/>
        <v>1</v>
      </c>
      <c r="CE581" s="703"/>
      <c r="CF581" s="703"/>
      <c r="CG581" s="703"/>
      <c r="CH581" s="703"/>
      <c r="CI581" s="703"/>
      <c r="CJ581" s="703"/>
      <c r="CK581" s="703"/>
      <c r="CL581" s="703">
        <f t="shared" si="190"/>
        <v>2</v>
      </c>
      <c r="CM581" s="703"/>
      <c r="CN581" s="703"/>
      <c r="CO581" s="703"/>
      <c r="CP581" s="703"/>
      <c r="CQ581" s="703"/>
      <c r="CR581" s="703"/>
      <c r="CS581" s="703"/>
      <c r="CT581" s="703"/>
      <c r="CU581" s="703"/>
      <c r="CV581" s="703"/>
      <c r="CW581" s="703"/>
      <c r="CX581" s="703"/>
      <c r="CY581" s="703"/>
      <c r="CZ581" s="703"/>
      <c r="DA581" s="703">
        <v>1</v>
      </c>
      <c r="DB581" s="703"/>
      <c r="DC581" s="703"/>
      <c r="DD581" s="703"/>
      <c r="DE581" s="703"/>
      <c r="DF581" s="703"/>
      <c r="DG581" s="705"/>
      <c r="DH581" s="705"/>
      <c r="DI581" s="705"/>
      <c r="DJ581" s="705"/>
      <c r="DK581" s="705"/>
      <c r="DL581" s="705"/>
      <c r="DM581" s="705"/>
      <c r="DN581" s="705"/>
      <c r="DO581" s="705"/>
      <c r="DP581" s="705"/>
      <c r="DQ581" s="705"/>
      <c r="DR581" s="705"/>
      <c r="DS581" s="703"/>
      <c r="DT581" s="703"/>
      <c r="DU581" s="703"/>
      <c r="DV581" s="703"/>
      <c r="DW581" s="703"/>
      <c r="DX581" s="703"/>
      <c r="DY581" s="703"/>
      <c r="DZ581" s="703"/>
      <c r="EA581" s="703"/>
      <c r="EB581" s="703"/>
      <c r="EC581" s="703"/>
      <c r="ED581" s="703"/>
      <c r="EE581" s="703"/>
      <c r="EF581" s="703"/>
      <c r="EG581" s="703"/>
      <c r="EH581" s="703"/>
      <c r="EI581" s="703"/>
      <c r="EJ581" s="703"/>
      <c r="EK581" s="703"/>
      <c r="EL581" s="703"/>
      <c r="EM581" s="703"/>
      <c r="EN581" s="703"/>
      <c r="EO581" s="703"/>
      <c r="EP581" s="703"/>
      <c r="EQ581" s="703"/>
      <c r="ER581" s="703"/>
      <c r="ES581" s="703"/>
      <c r="ET581" s="703"/>
      <c r="EU581" s="703"/>
      <c r="EV581" s="703"/>
      <c r="EW581" s="703"/>
      <c r="EX581" s="703"/>
      <c r="EY581" s="703"/>
      <c r="EZ581" s="703"/>
      <c r="FA581" s="703"/>
      <c r="FB581" s="703"/>
      <c r="FC581" s="703"/>
      <c r="FD581" s="703"/>
      <c r="FE581" s="703"/>
      <c r="FF581" s="703"/>
      <c r="FG581" s="703"/>
      <c r="FH581" s="703"/>
      <c r="FI581" s="703"/>
      <c r="FJ581" s="703"/>
      <c r="FK581" s="703"/>
      <c r="FL581" s="703"/>
      <c r="FM581" s="703"/>
      <c r="FN581" s="703"/>
      <c r="FO581" s="703"/>
      <c r="FP581" s="703"/>
      <c r="FQ581" s="704"/>
    </row>
    <row r="582" spans="1:173" s="706" customFormat="1">
      <c r="A582" s="700"/>
      <c r="B582" s="700"/>
      <c r="C582" s="701"/>
      <c r="D582" s="701" t="s">
        <v>3751</v>
      </c>
      <c r="E582" s="703">
        <v>42.2</v>
      </c>
      <c r="F582" s="703"/>
      <c r="G582" s="703"/>
      <c r="H582" s="703"/>
      <c r="I582" s="703">
        <f t="shared" si="188"/>
        <v>42.2</v>
      </c>
      <c r="J582" s="703"/>
      <c r="K582" s="703"/>
      <c r="L582" s="703"/>
      <c r="M582" s="703"/>
      <c r="N582" s="703"/>
      <c r="O582" s="703"/>
      <c r="P582" s="703"/>
      <c r="Q582" s="703"/>
      <c r="R582" s="704"/>
      <c r="S582" s="704"/>
      <c r="T582" s="703"/>
      <c r="U582" s="703" t="s">
        <v>1631</v>
      </c>
      <c r="V582" s="703"/>
      <c r="W582" s="703"/>
      <c r="X582" s="703"/>
      <c r="Y582" s="703"/>
      <c r="Z582" s="703"/>
      <c r="AA582" s="703"/>
      <c r="AB582" s="703"/>
      <c r="AC582" s="703"/>
      <c r="AD582" s="703"/>
      <c r="AE582" s="766"/>
      <c r="AF582" s="960"/>
      <c r="AG582" s="703"/>
      <c r="AH582" s="703"/>
      <c r="AI582" s="703"/>
      <c r="AJ582" s="703"/>
      <c r="AK582" s="703"/>
      <c r="AL582" s="703"/>
      <c r="AM582" s="703"/>
      <c r="AN582" s="703"/>
      <c r="AO582" s="703"/>
      <c r="AP582" s="703"/>
      <c r="AQ582" s="703"/>
      <c r="AR582" s="703"/>
      <c r="AS582" s="703"/>
      <c r="AT582" s="703"/>
      <c r="AU582" s="703"/>
      <c r="AV582" s="703"/>
      <c r="AW582" s="703">
        <v>1</v>
      </c>
      <c r="AX582" s="703"/>
      <c r="AY582" s="703"/>
      <c r="AZ582" s="703"/>
      <c r="BA582" s="703"/>
      <c r="BB582" s="703"/>
      <c r="BC582" s="703"/>
      <c r="BD582" s="703"/>
      <c r="BE582" s="703"/>
      <c r="BF582" s="703"/>
      <c r="BG582" s="703"/>
      <c r="BH582" s="703"/>
      <c r="BI582" s="703"/>
      <c r="BJ582" s="703"/>
      <c r="BK582" s="703"/>
      <c r="BL582" s="703"/>
      <c r="BM582" s="703"/>
      <c r="BN582" s="703"/>
      <c r="BO582" s="703"/>
      <c r="BP582" s="703"/>
      <c r="BQ582" s="703"/>
      <c r="BR582" s="703"/>
      <c r="BS582" s="703"/>
      <c r="BT582" s="703"/>
      <c r="BU582" s="703"/>
      <c r="BV582" s="703"/>
      <c r="BW582" s="703"/>
      <c r="BX582" s="703"/>
      <c r="BY582" s="703"/>
      <c r="BZ582" s="703"/>
      <c r="CA582" s="703"/>
      <c r="CB582" s="703"/>
      <c r="CC582" s="703"/>
      <c r="CD582" s="703">
        <f t="shared" si="189"/>
        <v>1</v>
      </c>
      <c r="CE582" s="703"/>
      <c r="CF582" s="703"/>
      <c r="CG582" s="703"/>
      <c r="CH582" s="703"/>
      <c r="CI582" s="703"/>
      <c r="CJ582" s="703"/>
      <c r="CK582" s="703"/>
      <c r="CL582" s="703">
        <f t="shared" si="190"/>
        <v>2</v>
      </c>
      <c r="CM582" s="703"/>
      <c r="CN582" s="703"/>
      <c r="CO582" s="703"/>
      <c r="CP582" s="703"/>
      <c r="CQ582" s="703"/>
      <c r="CR582" s="703"/>
      <c r="CS582" s="703"/>
      <c r="CT582" s="703"/>
      <c r="CU582" s="703"/>
      <c r="CV582" s="703"/>
      <c r="CW582" s="703"/>
      <c r="CX582" s="703"/>
      <c r="CY582" s="703"/>
      <c r="CZ582" s="703"/>
      <c r="DA582" s="703">
        <v>1</v>
      </c>
      <c r="DB582" s="703"/>
      <c r="DC582" s="703"/>
      <c r="DD582" s="703"/>
      <c r="DE582" s="703"/>
      <c r="DF582" s="703"/>
      <c r="DG582" s="705"/>
      <c r="DH582" s="705"/>
      <c r="DI582" s="705"/>
      <c r="DJ582" s="705"/>
      <c r="DK582" s="705"/>
      <c r="DL582" s="705"/>
      <c r="DM582" s="705"/>
      <c r="DN582" s="705"/>
      <c r="DO582" s="705"/>
      <c r="DP582" s="705"/>
      <c r="DQ582" s="705"/>
      <c r="DR582" s="705"/>
      <c r="DS582" s="703"/>
      <c r="DT582" s="703"/>
      <c r="DU582" s="703"/>
      <c r="DV582" s="703"/>
      <c r="DW582" s="703"/>
      <c r="DX582" s="703"/>
      <c r="DY582" s="703"/>
      <c r="DZ582" s="703"/>
      <c r="EA582" s="703"/>
      <c r="EB582" s="703"/>
      <c r="EC582" s="703"/>
      <c r="ED582" s="703"/>
      <c r="EE582" s="703"/>
      <c r="EF582" s="703"/>
      <c r="EG582" s="703"/>
      <c r="EH582" s="703"/>
      <c r="EI582" s="703"/>
      <c r="EJ582" s="703"/>
      <c r="EK582" s="703"/>
      <c r="EL582" s="703"/>
      <c r="EM582" s="703"/>
      <c r="EN582" s="703"/>
      <c r="EO582" s="703"/>
      <c r="EP582" s="703"/>
      <c r="EQ582" s="703"/>
      <c r="ER582" s="703"/>
      <c r="ES582" s="703"/>
      <c r="ET582" s="703"/>
      <c r="EU582" s="703"/>
      <c r="EV582" s="703"/>
      <c r="EW582" s="703"/>
      <c r="EX582" s="703"/>
      <c r="EY582" s="703"/>
      <c r="EZ582" s="703"/>
      <c r="FA582" s="703"/>
      <c r="FB582" s="703"/>
      <c r="FC582" s="703"/>
      <c r="FD582" s="703"/>
      <c r="FE582" s="703"/>
      <c r="FF582" s="703"/>
      <c r="FG582" s="703"/>
      <c r="FH582" s="703"/>
      <c r="FI582" s="703"/>
      <c r="FJ582" s="703"/>
      <c r="FK582" s="703"/>
      <c r="FL582" s="703"/>
      <c r="FM582" s="703"/>
      <c r="FN582" s="703"/>
      <c r="FO582" s="703"/>
      <c r="FP582" s="703"/>
      <c r="FQ582" s="704"/>
    </row>
    <row r="583" spans="1:173" s="706" customFormat="1">
      <c r="A583" s="700"/>
      <c r="B583" s="700"/>
      <c r="C583" s="701"/>
      <c r="D583" s="701" t="s">
        <v>3754</v>
      </c>
      <c r="E583" s="703">
        <v>38.299999999999997</v>
      </c>
      <c r="F583" s="703"/>
      <c r="G583" s="703"/>
      <c r="H583" s="703"/>
      <c r="I583" s="703">
        <f t="shared" si="188"/>
        <v>38.299999999999997</v>
      </c>
      <c r="J583" s="703"/>
      <c r="K583" s="703"/>
      <c r="L583" s="703"/>
      <c r="M583" s="703"/>
      <c r="N583" s="703"/>
      <c r="O583" s="703"/>
      <c r="P583" s="703"/>
      <c r="Q583" s="703"/>
      <c r="R583" s="704"/>
      <c r="S583" s="704"/>
      <c r="T583" s="703"/>
      <c r="U583" s="703" t="s">
        <v>2989</v>
      </c>
      <c r="V583" s="703"/>
      <c r="W583" s="703"/>
      <c r="X583" s="703"/>
      <c r="Y583" s="703"/>
      <c r="Z583" s="703"/>
      <c r="AA583" s="703"/>
      <c r="AB583" s="703"/>
      <c r="AC583" s="703"/>
      <c r="AD583" s="703"/>
      <c r="AE583" s="766"/>
      <c r="AF583" s="960"/>
      <c r="AG583" s="703"/>
      <c r="AH583" s="703"/>
      <c r="AI583" s="703"/>
      <c r="AJ583" s="703"/>
      <c r="AK583" s="703"/>
      <c r="AL583" s="703"/>
      <c r="AM583" s="703"/>
      <c r="AN583" s="703"/>
      <c r="AO583" s="703"/>
      <c r="AP583" s="703"/>
      <c r="AQ583" s="703"/>
      <c r="AR583" s="703"/>
      <c r="AS583" s="703"/>
      <c r="AT583" s="703"/>
      <c r="AU583" s="703"/>
      <c r="AV583" s="703"/>
      <c r="AW583" s="703"/>
      <c r="AX583" s="703"/>
      <c r="AY583" s="703"/>
      <c r="AZ583" s="703"/>
      <c r="BA583" s="703"/>
      <c r="BB583" s="703"/>
      <c r="BC583" s="703"/>
      <c r="BD583" s="703"/>
      <c r="BE583" s="703">
        <v>2</v>
      </c>
      <c r="BF583" s="703"/>
      <c r="BG583" s="703"/>
      <c r="BH583" s="703"/>
      <c r="BI583" s="703"/>
      <c r="BJ583" s="703"/>
      <c r="BK583" s="703"/>
      <c r="BL583" s="703"/>
      <c r="BM583" s="703"/>
      <c r="BN583" s="703"/>
      <c r="BO583" s="703"/>
      <c r="BP583" s="703"/>
      <c r="BQ583" s="703"/>
      <c r="BR583" s="703"/>
      <c r="BS583" s="703"/>
      <c r="BT583" s="703"/>
      <c r="BU583" s="703"/>
      <c r="BV583" s="703">
        <v>2</v>
      </c>
      <c r="BW583" s="703"/>
      <c r="BX583" s="703"/>
      <c r="BY583" s="703"/>
      <c r="BZ583" s="703"/>
      <c r="CA583" s="703"/>
      <c r="CB583" s="703"/>
      <c r="CC583" s="703"/>
      <c r="CD583" s="703">
        <f t="shared" si="189"/>
        <v>0</v>
      </c>
      <c r="CE583" s="703">
        <v>3</v>
      </c>
      <c r="CF583" s="703">
        <v>3</v>
      </c>
      <c r="CG583" s="703">
        <v>6</v>
      </c>
      <c r="CH583" s="703">
        <v>6</v>
      </c>
      <c r="CI583" s="703">
        <v>2</v>
      </c>
      <c r="CJ583" s="703">
        <v>6</v>
      </c>
      <c r="CK583" s="703"/>
      <c r="CL583" s="703">
        <f t="shared" si="190"/>
        <v>0</v>
      </c>
      <c r="CM583" s="703"/>
      <c r="CN583" s="703"/>
      <c r="CO583" s="703"/>
      <c r="CP583" s="703"/>
      <c r="CQ583" s="703"/>
      <c r="CR583" s="703"/>
      <c r="CS583" s="703"/>
      <c r="CT583" s="703"/>
      <c r="CU583" s="703">
        <v>1</v>
      </c>
      <c r="CV583" s="703">
        <v>1</v>
      </c>
      <c r="CW583" s="703"/>
      <c r="CX583" s="703"/>
      <c r="CY583" s="703"/>
      <c r="CZ583" s="703"/>
      <c r="DA583" s="703"/>
      <c r="DB583" s="703"/>
      <c r="DC583" s="703"/>
      <c r="DD583" s="703"/>
      <c r="DE583" s="703"/>
      <c r="DF583" s="703"/>
      <c r="DG583" s="705"/>
      <c r="DH583" s="705"/>
      <c r="DI583" s="705"/>
      <c r="DJ583" s="705"/>
      <c r="DK583" s="705"/>
      <c r="DL583" s="705"/>
      <c r="DM583" s="705"/>
      <c r="DN583" s="705"/>
      <c r="DO583" s="705"/>
      <c r="DP583" s="705"/>
      <c r="DQ583" s="705"/>
      <c r="DR583" s="705"/>
      <c r="DS583" s="703"/>
      <c r="DT583" s="703"/>
      <c r="DU583" s="703"/>
      <c r="DV583" s="703"/>
      <c r="DW583" s="703"/>
      <c r="DX583" s="703"/>
      <c r="DY583" s="703"/>
      <c r="DZ583" s="703"/>
      <c r="EA583" s="703"/>
      <c r="EB583" s="703"/>
      <c r="EC583" s="703"/>
      <c r="ED583" s="703"/>
      <c r="EE583" s="703"/>
      <c r="EF583" s="703"/>
      <c r="EG583" s="703"/>
      <c r="EH583" s="703"/>
      <c r="EI583" s="703"/>
      <c r="EJ583" s="703"/>
      <c r="EK583" s="703"/>
      <c r="EL583" s="703"/>
      <c r="EM583" s="703"/>
      <c r="EN583" s="703"/>
      <c r="EO583" s="703"/>
      <c r="EP583" s="703"/>
      <c r="EQ583" s="703"/>
      <c r="ER583" s="703"/>
      <c r="ES583" s="703"/>
      <c r="ET583" s="703"/>
      <c r="EU583" s="703"/>
      <c r="EV583" s="703"/>
      <c r="EW583" s="703"/>
      <c r="EX583" s="703"/>
      <c r="EY583" s="703"/>
      <c r="EZ583" s="703"/>
      <c r="FA583" s="703"/>
      <c r="FB583" s="703"/>
      <c r="FC583" s="703"/>
      <c r="FD583" s="703"/>
      <c r="FE583" s="703"/>
      <c r="FF583" s="703"/>
      <c r="FG583" s="703"/>
      <c r="FH583" s="703"/>
      <c r="FI583" s="703"/>
      <c r="FJ583" s="703"/>
      <c r="FK583" s="703"/>
      <c r="FL583" s="703"/>
      <c r="FM583" s="703"/>
      <c r="FN583" s="703"/>
      <c r="FO583" s="703"/>
      <c r="FP583" s="703"/>
      <c r="FQ583" s="704"/>
    </row>
    <row r="584" spans="1:173" s="706" customFormat="1">
      <c r="A584" s="700"/>
      <c r="B584" s="700"/>
      <c r="C584" s="701" t="s">
        <v>3632</v>
      </c>
      <c r="D584" s="701"/>
      <c r="E584" s="703">
        <v>40.5</v>
      </c>
      <c r="F584" s="703"/>
      <c r="G584" s="703"/>
      <c r="H584" s="703"/>
      <c r="I584" s="703">
        <f t="shared" si="188"/>
        <v>40.5</v>
      </c>
      <c r="J584" s="703"/>
      <c r="K584" s="703"/>
      <c r="L584" s="703"/>
      <c r="M584" s="703"/>
      <c r="N584" s="703"/>
      <c r="O584" s="703"/>
      <c r="P584" s="703"/>
      <c r="Q584" s="703"/>
      <c r="R584" s="704"/>
      <c r="S584" s="704"/>
      <c r="T584" s="703"/>
      <c r="U584" s="703" t="s">
        <v>2989</v>
      </c>
      <c r="V584" s="703"/>
      <c r="W584" s="703"/>
      <c r="X584" s="703"/>
      <c r="Y584" s="703"/>
      <c r="Z584" s="703"/>
      <c r="AA584" s="703"/>
      <c r="AB584" s="703"/>
      <c r="AC584" s="703"/>
      <c r="AD584" s="703"/>
      <c r="AE584" s="766"/>
      <c r="AF584" s="960"/>
      <c r="AG584" s="703"/>
      <c r="AH584" s="703"/>
      <c r="AI584" s="703"/>
      <c r="AJ584" s="703"/>
      <c r="AK584" s="703"/>
      <c r="AL584" s="703"/>
      <c r="AM584" s="703"/>
      <c r="AN584" s="703"/>
      <c r="AO584" s="703"/>
      <c r="AP584" s="703"/>
      <c r="AQ584" s="703"/>
      <c r="AR584" s="703"/>
      <c r="AS584" s="703"/>
      <c r="AT584" s="703"/>
      <c r="AU584" s="703"/>
      <c r="AV584" s="703"/>
      <c r="AW584" s="703"/>
      <c r="AX584" s="703"/>
      <c r="AY584" s="703"/>
      <c r="AZ584" s="703"/>
      <c r="BA584" s="703"/>
      <c r="BB584" s="703"/>
      <c r="BC584" s="703"/>
      <c r="BD584" s="703">
        <v>2</v>
      </c>
      <c r="BE584" s="703"/>
      <c r="BF584" s="703"/>
      <c r="BG584" s="703"/>
      <c r="BH584" s="703"/>
      <c r="BI584" s="703"/>
      <c r="BJ584" s="703"/>
      <c r="BK584" s="703"/>
      <c r="BL584" s="703"/>
      <c r="BM584" s="703"/>
      <c r="BN584" s="703"/>
      <c r="BO584" s="703"/>
      <c r="BP584" s="703"/>
      <c r="BQ584" s="703"/>
      <c r="BR584" s="703"/>
      <c r="BS584" s="703"/>
      <c r="BT584" s="703"/>
      <c r="BU584" s="703"/>
      <c r="BV584" s="703">
        <v>2</v>
      </c>
      <c r="BW584" s="703"/>
      <c r="BX584" s="703"/>
      <c r="BY584" s="703"/>
      <c r="BZ584" s="703"/>
      <c r="CA584" s="703"/>
      <c r="CB584" s="703"/>
      <c r="CC584" s="703"/>
      <c r="CD584" s="703">
        <f t="shared" si="189"/>
        <v>1</v>
      </c>
      <c r="CE584" s="703"/>
      <c r="CF584" s="703"/>
      <c r="CG584" s="703"/>
      <c r="CH584" s="703"/>
      <c r="CI584" s="703"/>
      <c r="CJ584" s="703"/>
      <c r="CK584" s="703"/>
      <c r="CL584" s="703">
        <f t="shared" si="190"/>
        <v>2</v>
      </c>
      <c r="CM584" s="703"/>
      <c r="CN584" s="703"/>
      <c r="CO584" s="703"/>
      <c r="CP584" s="703"/>
      <c r="CQ584" s="703"/>
      <c r="CR584" s="703"/>
      <c r="CS584" s="703"/>
      <c r="CT584" s="703"/>
      <c r="CU584" s="703"/>
      <c r="CV584" s="703"/>
      <c r="CW584" s="703"/>
      <c r="CX584" s="703"/>
      <c r="CY584" s="703"/>
      <c r="CZ584" s="703"/>
      <c r="DA584" s="703">
        <v>1</v>
      </c>
      <c r="DB584" s="703"/>
      <c r="DC584" s="703"/>
      <c r="DD584" s="703"/>
      <c r="DE584" s="703"/>
      <c r="DF584" s="703"/>
      <c r="DG584" s="705"/>
      <c r="DH584" s="705"/>
      <c r="DI584" s="705"/>
      <c r="DJ584" s="705"/>
      <c r="DK584" s="705"/>
      <c r="DL584" s="705"/>
      <c r="DM584" s="705"/>
      <c r="DN584" s="705"/>
      <c r="DO584" s="705"/>
      <c r="DP584" s="705"/>
      <c r="DQ584" s="705"/>
      <c r="DR584" s="705"/>
      <c r="DS584" s="703"/>
      <c r="DT584" s="703"/>
      <c r="DU584" s="703"/>
      <c r="DV584" s="703"/>
      <c r="DW584" s="703"/>
      <c r="DX584" s="703"/>
      <c r="DY584" s="703"/>
      <c r="DZ584" s="703"/>
      <c r="EA584" s="703"/>
      <c r="EB584" s="703"/>
      <c r="EC584" s="703"/>
      <c r="ED584" s="703"/>
      <c r="EE584" s="703"/>
      <c r="EF584" s="703"/>
      <c r="EG584" s="703"/>
      <c r="EH584" s="703"/>
      <c r="EI584" s="703"/>
      <c r="EJ584" s="703"/>
      <c r="EK584" s="703"/>
      <c r="EL584" s="703"/>
      <c r="EM584" s="703"/>
      <c r="EN584" s="703"/>
      <c r="EO584" s="703"/>
      <c r="EP584" s="703"/>
      <c r="EQ584" s="703"/>
      <c r="ER584" s="703"/>
      <c r="ES584" s="703"/>
      <c r="ET584" s="703"/>
      <c r="EU584" s="703"/>
      <c r="EV584" s="703"/>
      <c r="EW584" s="703"/>
      <c r="EX584" s="703"/>
      <c r="EY584" s="703"/>
      <c r="EZ584" s="703"/>
      <c r="FA584" s="703"/>
      <c r="FB584" s="703"/>
      <c r="FC584" s="703"/>
      <c r="FD584" s="703"/>
      <c r="FE584" s="703"/>
      <c r="FF584" s="703"/>
      <c r="FG584" s="703"/>
      <c r="FH584" s="703"/>
      <c r="FI584" s="703"/>
      <c r="FJ584" s="703"/>
      <c r="FK584" s="703"/>
      <c r="FL584" s="703"/>
      <c r="FM584" s="703"/>
      <c r="FN584" s="703"/>
      <c r="FO584" s="703"/>
      <c r="FP584" s="703"/>
      <c r="FQ584" s="704"/>
    </row>
    <row r="585" spans="1:173" s="706" customFormat="1">
      <c r="A585" s="700"/>
      <c r="B585" s="700"/>
      <c r="C585" s="701" t="s">
        <v>3633</v>
      </c>
      <c r="D585" s="701"/>
      <c r="E585" s="703">
        <v>39.4</v>
      </c>
      <c r="F585" s="703"/>
      <c r="G585" s="703"/>
      <c r="H585" s="703"/>
      <c r="I585" s="703">
        <f t="shared" si="188"/>
        <v>39.4</v>
      </c>
      <c r="J585" s="703"/>
      <c r="K585" s="703"/>
      <c r="L585" s="703"/>
      <c r="M585" s="703"/>
      <c r="N585" s="703"/>
      <c r="O585" s="703"/>
      <c r="P585" s="703"/>
      <c r="Q585" s="703"/>
      <c r="R585" s="704"/>
      <c r="S585" s="704"/>
      <c r="T585" s="703"/>
      <c r="U585" s="703" t="s">
        <v>1631</v>
      </c>
      <c r="V585" s="703"/>
      <c r="W585" s="703"/>
      <c r="X585" s="703"/>
      <c r="Y585" s="703"/>
      <c r="Z585" s="703"/>
      <c r="AA585" s="703"/>
      <c r="AB585" s="703"/>
      <c r="AC585" s="703"/>
      <c r="AD585" s="703"/>
      <c r="AE585" s="766"/>
      <c r="AF585" s="960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>
        <v>1</v>
      </c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03"/>
      <c r="BL585" s="703"/>
      <c r="BM585" s="703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  <c r="BX585" s="703"/>
      <c r="BY585" s="703"/>
      <c r="BZ585" s="703"/>
      <c r="CA585" s="703"/>
      <c r="CB585" s="703"/>
      <c r="CC585" s="703"/>
      <c r="CD585" s="703">
        <f t="shared" si="189"/>
        <v>1</v>
      </c>
      <c r="CE585" s="703"/>
      <c r="CF585" s="703"/>
      <c r="CG585" s="703"/>
      <c r="CH585" s="703"/>
      <c r="CI585" s="703"/>
      <c r="CJ585" s="703"/>
      <c r="CK585" s="703"/>
      <c r="CL585" s="703">
        <f t="shared" si="190"/>
        <v>2</v>
      </c>
      <c r="CM585" s="703"/>
      <c r="CN585" s="703"/>
      <c r="CO585" s="703"/>
      <c r="CP585" s="703"/>
      <c r="CQ585" s="703"/>
      <c r="CR585" s="703"/>
      <c r="CS585" s="703"/>
      <c r="CT585" s="703"/>
      <c r="CU585" s="703"/>
      <c r="CV585" s="703"/>
      <c r="CW585" s="703"/>
      <c r="CX585" s="703"/>
      <c r="CY585" s="703"/>
      <c r="CZ585" s="703"/>
      <c r="DA585" s="703">
        <v>1</v>
      </c>
      <c r="DB585" s="703"/>
      <c r="DC585" s="703"/>
      <c r="DD585" s="703"/>
      <c r="DE585" s="703"/>
      <c r="DF585" s="703"/>
      <c r="DG585" s="705"/>
      <c r="DH585" s="705"/>
      <c r="DI585" s="705"/>
      <c r="DJ585" s="705"/>
      <c r="DK585" s="705"/>
      <c r="DL585" s="705"/>
      <c r="DM585" s="705"/>
      <c r="DN585" s="705"/>
      <c r="DO585" s="705"/>
      <c r="DP585" s="705"/>
      <c r="DQ585" s="705"/>
      <c r="DR585" s="705"/>
      <c r="DS585" s="703"/>
      <c r="DT585" s="703"/>
      <c r="DU585" s="703"/>
      <c r="DV585" s="703"/>
      <c r="DW585" s="703"/>
      <c r="DX585" s="703"/>
      <c r="DY585" s="703"/>
      <c r="DZ585" s="703"/>
      <c r="EA585" s="703"/>
      <c r="EB585" s="703"/>
      <c r="EC585" s="703"/>
      <c r="ED585" s="703"/>
      <c r="EE585" s="703"/>
      <c r="EF585" s="703"/>
      <c r="EG585" s="703"/>
      <c r="EH585" s="703"/>
      <c r="EI585" s="703"/>
      <c r="EJ585" s="703"/>
      <c r="EK585" s="703"/>
      <c r="EL585" s="703"/>
      <c r="EM585" s="703"/>
      <c r="EN585" s="703"/>
      <c r="EO585" s="703"/>
      <c r="EP585" s="703"/>
      <c r="EQ585" s="703"/>
      <c r="ER585" s="703"/>
      <c r="ES585" s="703"/>
      <c r="ET585" s="703"/>
      <c r="EU585" s="703"/>
      <c r="EV585" s="703"/>
      <c r="EW585" s="703"/>
      <c r="EX585" s="703"/>
      <c r="EY585" s="703"/>
      <c r="EZ585" s="703"/>
      <c r="FA585" s="703"/>
      <c r="FB585" s="703"/>
      <c r="FC585" s="703"/>
      <c r="FD585" s="703"/>
      <c r="FE585" s="703"/>
      <c r="FF585" s="703"/>
      <c r="FG585" s="703"/>
      <c r="FH585" s="703"/>
      <c r="FI585" s="703"/>
      <c r="FJ585" s="703"/>
      <c r="FK585" s="703"/>
      <c r="FL585" s="703"/>
      <c r="FM585" s="703"/>
      <c r="FN585" s="703"/>
      <c r="FO585" s="703"/>
      <c r="FP585" s="703"/>
      <c r="FQ585" s="704"/>
    </row>
    <row r="586" spans="1:173" s="706" customFormat="1">
      <c r="A586" s="700"/>
      <c r="B586" s="700"/>
      <c r="C586" s="701" t="s">
        <v>3634</v>
      </c>
      <c r="D586" s="701"/>
      <c r="E586" s="703">
        <v>41.3</v>
      </c>
      <c r="F586" s="703"/>
      <c r="G586" s="703"/>
      <c r="H586" s="703"/>
      <c r="I586" s="703">
        <f t="shared" si="188"/>
        <v>41.3</v>
      </c>
      <c r="J586" s="703"/>
      <c r="K586" s="703"/>
      <c r="L586" s="703"/>
      <c r="M586" s="703"/>
      <c r="N586" s="703"/>
      <c r="O586" s="703"/>
      <c r="P586" s="703"/>
      <c r="Q586" s="703"/>
      <c r="R586" s="704"/>
      <c r="S586" s="704"/>
      <c r="T586" s="703"/>
      <c r="U586" s="703" t="s">
        <v>1631</v>
      </c>
      <c r="V586" s="703"/>
      <c r="W586" s="703"/>
      <c r="X586" s="703"/>
      <c r="Y586" s="703"/>
      <c r="Z586" s="703"/>
      <c r="AA586" s="703"/>
      <c r="AB586" s="703"/>
      <c r="AC586" s="703"/>
      <c r="AD586" s="703"/>
      <c r="AE586" s="766"/>
      <c r="AF586" s="960"/>
      <c r="AG586" s="703"/>
      <c r="AH586" s="703"/>
      <c r="AI586" s="703"/>
      <c r="AJ586" s="703"/>
      <c r="AK586" s="703"/>
      <c r="AL586" s="703"/>
      <c r="AM586" s="703"/>
      <c r="AN586" s="703"/>
      <c r="AO586" s="703"/>
      <c r="AP586" s="703"/>
      <c r="AQ586" s="703"/>
      <c r="AR586" s="703"/>
      <c r="AS586" s="703"/>
      <c r="AT586" s="703"/>
      <c r="AU586" s="703"/>
      <c r="AV586" s="703"/>
      <c r="AW586" s="703">
        <v>1</v>
      </c>
      <c r="AX586" s="703"/>
      <c r="AY586" s="703"/>
      <c r="AZ586" s="703"/>
      <c r="BA586" s="703"/>
      <c r="BB586" s="703"/>
      <c r="BC586" s="703"/>
      <c r="BD586" s="703"/>
      <c r="BE586" s="703"/>
      <c r="BF586" s="703"/>
      <c r="BG586" s="703"/>
      <c r="BH586" s="703"/>
      <c r="BI586" s="703"/>
      <c r="BJ586" s="703"/>
      <c r="BK586" s="703"/>
      <c r="BL586" s="703"/>
      <c r="BM586" s="703"/>
      <c r="BN586" s="703"/>
      <c r="BO586" s="703"/>
      <c r="BP586" s="703"/>
      <c r="BQ586" s="703"/>
      <c r="BR586" s="703"/>
      <c r="BS586" s="703"/>
      <c r="BT586" s="703"/>
      <c r="BU586" s="703"/>
      <c r="BV586" s="703"/>
      <c r="BW586" s="703"/>
      <c r="BX586" s="703"/>
      <c r="BY586" s="703"/>
      <c r="BZ586" s="703"/>
      <c r="CA586" s="703"/>
      <c r="CB586" s="703"/>
      <c r="CC586" s="703"/>
      <c r="CD586" s="703">
        <f t="shared" si="189"/>
        <v>1</v>
      </c>
      <c r="CE586" s="703"/>
      <c r="CF586" s="703"/>
      <c r="CG586" s="703"/>
      <c r="CH586" s="703"/>
      <c r="CI586" s="703"/>
      <c r="CJ586" s="703"/>
      <c r="CK586" s="703"/>
      <c r="CL586" s="703">
        <f t="shared" si="190"/>
        <v>2</v>
      </c>
      <c r="CM586" s="703"/>
      <c r="CN586" s="703"/>
      <c r="CO586" s="703"/>
      <c r="CP586" s="703"/>
      <c r="CQ586" s="703"/>
      <c r="CR586" s="703"/>
      <c r="CS586" s="703"/>
      <c r="CT586" s="703"/>
      <c r="CU586" s="703"/>
      <c r="CV586" s="703"/>
      <c r="CW586" s="703"/>
      <c r="CX586" s="703"/>
      <c r="CY586" s="703"/>
      <c r="CZ586" s="703"/>
      <c r="DA586" s="703">
        <v>1</v>
      </c>
      <c r="DB586" s="703"/>
      <c r="DC586" s="703"/>
      <c r="DD586" s="703"/>
      <c r="DE586" s="703"/>
      <c r="DF586" s="703"/>
      <c r="DG586" s="705"/>
      <c r="DH586" s="705"/>
      <c r="DI586" s="705"/>
      <c r="DJ586" s="705"/>
      <c r="DK586" s="705"/>
      <c r="DL586" s="705"/>
      <c r="DM586" s="705"/>
      <c r="DN586" s="705"/>
      <c r="DO586" s="705"/>
      <c r="DP586" s="705"/>
      <c r="DQ586" s="705"/>
      <c r="DR586" s="705"/>
      <c r="DS586" s="703"/>
      <c r="DT586" s="703"/>
      <c r="DU586" s="703"/>
      <c r="DV586" s="703"/>
      <c r="DW586" s="703"/>
      <c r="DX586" s="703"/>
      <c r="DY586" s="703"/>
      <c r="DZ586" s="703"/>
      <c r="EA586" s="703"/>
      <c r="EB586" s="703"/>
      <c r="EC586" s="703"/>
      <c r="ED586" s="703"/>
      <c r="EE586" s="703"/>
      <c r="EF586" s="703"/>
      <c r="EG586" s="703"/>
      <c r="EH586" s="703"/>
      <c r="EI586" s="703"/>
      <c r="EJ586" s="703"/>
      <c r="EK586" s="703"/>
      <c r="EL586" s="703"/>
      <c r="EM586" s="703"/>
      <c r="EN586" s="703"/>
      <c r="EO586" s="703"/>
      <c r="EP586" s="703"/>
      <c r="EQ586" s="703"/>
      <c r="ER586" s="703"/>
      <c r="ES586" s="703"/>
      <c r="ET586" s="703"/>
      <c r="EU586" s="703"/>
      <c r="EV586" s="703"/>
      <c r="EW586" s="703"/>
      <c r="EX586" s="703"/>
      <c r="EY586" s="703"/>
      <c r="EZ586" s="703"/>
      <c r="FA586" s="703"/>
      <c r="FB586" s="703"/>
      <c r="FC586" s="703"/>
      <c r="FD586" s="703"/>
      <c r="FE586" s="703"/>
      <c r="FF586" s="703"/>
      <c r="FG586" s="703"/>
      <c r="FH586" s="703"/>
      <c r="FI586" s="703"/>
      <c r="FJ586" s="703"/>
      <c r="FK586" s="703"/>
      <c r="FL586" s="703"/>
      <c r="FM586" s="703"/>
      <c r="FN586" s="703"/>
      <c r="FO586" s="703"/>
      <c r="FP586" s="703"/>
      <c r="FQ586" s="704"/>
    </row>
    <row r="587" spans="1:173" s="706" customFormat="1">
      <c r="A587" s="700"/>
      <c r="B587" s="700"/>
      <c r="C587" s="701" t="s">
        <v>3635</v>
      </c>
      <c r="D587" s="701"/>
      <c r="E587" s="703">
        <v>39.799999999999997</v>
      </c>
      <c r="F587" s="703"/>
      <c r="G587" s="703"/>
      <c r="H587" s="703"/>
      <c r="I587" s="703">
        <f t="shared" si="188"/>
        <v>39.799999999999997</v>
      </c>
      <c r="J587" s="703"/>
      <c r="K587" s="703"/>
      <c r="L587" s="703"/>
      <c r="M587" s="703"/>
      <c r="N587" s="703"/>
      <c r="O587" s="703"/>
      <c r="P587" s="703"/>
      <c r="Q587" s="703"/>
      <c r="R587" s="704"/>
      <c r="S587" s="704"/>
      <c r="T587" s="703"/>
      <c r="U587" s="703" t="s">
        <v>1631</v>
      </c>
      <c r="V587" s="703"/>
      <c r="W587" s="703"/>
      <c r="X587" s="703"/>
      <c r="Y587" s="703"/>
      <c r="Z587" s="703"/>
      <c r="AA587" s="703"/>
      <c r="AB587" s="703"/>
      <c r="AC587" s="703"/>
      <c r="AD587" s="703"/>
      <c r="AE587" s="766"/>
      <c r="AF587" s="960"/>
      <c r="AG587" s="703"/>
      <c r="AH587" s="703"/>
      <c r="AI587" s="703"/>
      <c r="AJ587" s="703"/>
      <c r="AK587" s="703"/>
      <c r="AL587" s="703"/>
      <c r="AM587" s="703"/>
      <c r="AN587" s="703"/>
      <c r="AO587" s="703"/>
      <c r="AP587" s="703"/>
      <c r="AQ587" s="703"/>
      <c r="AR587" s="703"/>
      <c r="AS587" s="703"/>
      <c r="AT587" s="703"/>
      <c r="AU587" s="703">
        <v>1</v>
      </c>
      <c r="AV587" s="703"/>
      <c r="AW587" s="703">
        <v>1</v>
      </c>
      <c r="AX587" s="703"/>
      <c r="AY587" s="703"/>
      <c r="AZ587" s="703"/>
      <c r="BA587" s="703"/>
      <c r="BB587" s="703"/>
      <c r="BC587" s="703"/>
      <c r="BD587" s="703"/>
      <c r="BE587" s="703"/>
      <c r="BF587" s="703"/>
      <c r="BG587" s="703"/>
      <c r="BH587" s="703"/>
      <c r="BI587" s="703"/>
      <c r="BJ587" s="703"/>
      <c r="BK587" s="703"/>
      <c r="BL587" s="703"/>
      <c r="BM587" s="703"/>
      <c r="BN587" s="703"/>
      <c r="BO587" s="703"/>
      <c r="BP587" s="703"/>
      <c r="BQ587" s="703"/>
      <c r="BR587" s="703"/>
      <c r="BS587" s="703"/>
      <c r="BT587" s="703"/>
      <c r="BU587" s="703"/>
      <c r="BV587" s="703"/>
      <c r="BW587" s="703"/>
      <c r="BX587" s="703"/>
      <c r="BY587" s="703"/>
      <c r="BZ587" s="703"/>
      <c r="CA587" s="703"/>
      <c r="CB587" s="703"/>
      <c r="CC587" s="703"/>
      <c r="CD587" s="703">
        <f t="shared" si="189"/>
        <v>1</v>
      </c>
      <c r="CE587" s="703"/>
      <c r="CF587" s="703"/>
      <c r="CG587" s="703"/>
      <c r="CH587" s="703"/>
      <c r="CI587" s="703"/>
      <c r="CJ587" s="703"/>
      <c r="CK587" s="703"/>
      <c r="CL587" s="703">
        <f t="shared" si="190"/>
        <v>4</v>
      </c>
      <c r="CM587" s="703"/>
      <c r="CN587" s="703"/>
      <c r="CO587" s="703"/>
      <c r="CP587" s="703"/>
      <c r="CQ587" s="703"/>
      <c r="CR587" s="703"/>
      <c r="CS587" s="703"/>
      <c r="CT587" s="703"/>
      <c r="CU587" s="703"/>
      <c r="CV587" s="703"/>
      <c r="CW587" s="703"/>
      <c r="CX587" s="703"/>
      <c r="CY587" s="703"/>
      <c r="CZ587" s="703"/>
      <c r="DA587" s="703">
        <v>1</v>
      </c>
      <c r="DB587" s="703"/>
      <c r="DC587" s="703"/>
      <c r="DD587" s="703"/>
      <c r="DE587" s="703"/>
      <c r="DF587" s="703"/>
      <c r="DG587" s="705"/>
      <c r="DH587" s="705"/>
      <c r="DI587" s="705"/>
      <c r="DJ587" s="705"/>
      <c r="DK587" s="705"/>
      <c r="DL587" s="705"/>
      <c r="DM587" s="705"/>
      <c r="DN587" s="705"/>
      <c r="DO587" s="705"/>
      <c r="DP587" s="705"/>
      <c r="DQ587" s="705"/>
      <c r="DR587" s="705"/>
      <c r="DS587" s="703"/>
      <c r="DT587" s="703"/>
      <c r="DU587" s="703"/>
      <c r="DV587" s="703"/>
      <c r="DW587" s="703"/>
      <c r="DX587" s="703"/>
      <c r="DY587" s="703"/>
      <c r="DZ587" s="703"/>
      <c r="EA587" s="703"/>
      <c r="EB587" s="703"/>
      <c r="EC587" s="703"/>
      <c r="ED587" s="703"/>
      <c r="EE587" s="703"/>
      <c r="EF587" s="703"/>
      <c r="EG587" s="703"/>
      <c r="EH587" s="703"/>
      <c r="EI587" s="703"/>
      <c r="EJ587" s="703"/>
      <c r="EK587" s="703"/>
      <c r="EL587" s="703"/>
      <c r="EM587" s="703"/>
      <c r="EN587" s="703"/>
      <c r="EO587" s="703"/>
      <c r="EP587" s="703"/>
      <c r="EQ587" s="703"/>
      <c r="ER587" s="703"/>
      <c r="ES587" s="703"/>
      <c r="ET587" s="703"/>
      <c r="EU587" s="703"/>
      <c r="EV587" s="703"/>
      <c r="EW587" s="703"/>
      <c r="EX587" s="703"/>
      <c r="EY587" s="703"/>
      <c r="EZ587" s="703"/>
      <c r="FA587" s="703"/>
      <c r="FB587" s="703"/>
      <c r="FC587" s="703"/>
      <c r="FD587" s="703"/>
      <c r="FE587" s="703"/>
      <c r="FF587" s="703"/>
      <c r="FG587" s="703"/>
      <c r="FH587" s="703"/>
      <c r="FI587" s="703"/>
      <c r="FJ587" s="703"/>
      <c r="FK587" s="703"/>
      <c r="FL587" s="703"/>
      <c r="FM587" s="703"/>
      <c r="FN587" s="703"/>
      <c r="FO587" s="703"/>
      <c r="FP587" s="703"/>
      <c r="FQ587" s="704"/>
    </row>
    <row r="588" spans="1:173" s="706" customFormat="1">
      <c r="A588" s="700"/>
      <c r="B588" s="700"/>
      <c r="C588" s="701" t="s">
        <v>3636</v>
      </c>
      <c r="D588" s="701"/>
      <c r="E588" s="703">
        <v>39.9</v>
      </c>
      <c r="F588" s="703"/>
      <c r="G588" s="703"/>
      <c r="H588" s="703"/>
      <c r="I588" s="703">
        <f t="shared" si="188"/>
        <v>39.9</v>
      </c>
      <c r="J588" s="703"/>
      <c r="K588" s="703"/>
      <c r="L588" s="703"/>
      <c r="M588" s="703"/>
      <c r="N588" s="703"/>
      <c r="O588" s="703"/>
      <c r="P588" s="703"/>
      <c r="Q588" s="703"/>
      <c r="R588" s="704"/>
      <c r="S588" s="704"/>
      <c r="T588" s="703"/>
      <c r="U588" s="703" t="s">
        <v>1631</v>
      </c>
      <c r="V588" s="703"/>
      <c r="W588" s="703"/>
      <c r="X588" s="703"/>
      <c r="Y588" s="703"/>
      <c r="Z588" s="703"/>
      <c r="AA588" s="703"/>
      <c r="AB588" s="703"/>
      <c r="AC588" s="703"/>
      <c r="AD588" s="703"/>
      <c r="AE588" s="766"/>
      <c r="AF588" s="960"/>
      <c r="AG588" s="703"/>
      <c r="AH588" s="703"/>
      <c r="AI588" s="703"/>
      <c r="AJ588" s="703"/>
      <c r="AK588" s="703"/>
      <c r="AL588" s="703"/>
      <c r="AM588" s="703"/>
      <c r="AN588" s="703"/>
      <c r="AO588" s="703"/>
      <c r="AP588" s="703"/>
      <c r="AQ588" s="703"/>
      <c r="AR588" s="703"/>
      <c r="AS588" s="703"/>
      <c r="AT588" s="703"/>
      <c r="AU588" s="703"/>
      <c r="AV588" s="703"/>
      <c r="AW588" s="703">
        <v>1</v>
      </c>
      <c r="AX588" s="703"/>
      <c r="AY588" s="703"/>
      <c r="AZ588" s="703"/>
      <c r="BA588" s="703"/>
      <c r="BB588" s="703"/>
      <c r="BC588" s="703"/>
      <c r="BD588" s="703"/>
      <c r="BE588" s="703"/>
      <c r="BF588" s="703"/>
      <c r="BG588" s="703"/>
      <c r="BH588" s="703"/>
      <c r="BI588" s="703"/>
      <c r="BJ588" s="703"/>
      <c r="BK588" s="703"/>
      <c r="BL588" s="703"/>
      <c r="BM588" s="703"/>
      <c r="BN588" s="703"/>
      <c r="BO588" s="703"/>
      <c r="BP588" s="703"/>
      <c r="BQ588" s="703"/>
      <c r="BR588" s="703"/>
      <c r="BS588" s="703"/>
      <c r="BT588" s="703"/>
      <c r="BU588" s="703"/>
      <c r="BV588" s="703"/>
      <c r="BW588" s="703"/>
      <c r="BX588" s="703"/>
      <c r="BY588" s="703"/>
      <c r="BZ588" s="703"/>
      <c r="CA588" s="703"/>
      <c r="CB588" s="703"/>
      <c r="CC588" s="703"/>
      <c r="CD588" s="703">
        <f t="shared" si="189"/>
        <v>1</v>
      </c>
      <c r="CE588" s="703"/>
      <c r="CF588" s="703"/>
      <c r="CG588" s="703"/>
      <c r="CH588" s="703"/>
      <c r="CI588" s="703"/>
      <c r="CJ588" s="703"/>
      <c r="CK588" s="703"/>
      <c r="CL588" s="703">
        <f t="shared" si="190"/>
        <v>2</v>
      </c>
      <c r="CM588" s="703"/>
      <c r="CN588" s="703"/>
      <c r="CO588" s="703"/>
      <c r="CP588" s="703"/>
      <c r="CQ588" s="703"/>
      <c r="CR588" s="703"/>
      <c r="CS588" s="703"/>
      <c r="CT588" s="703"/>
      <c r="CU588" s="703"/>
      <c r="CV588" s="703"/>
      <c r="CW588" s="703"/>
      <c r="CX588" s="703"/>
      <c r="CY588" s="703"/>
      <c r="CZ588" s="703"/>
      <c r="DA588" s="703">
        <v>1</v>
      </c>
      <c r="DB588" s="703"/>
      <c r="DC588" s="703"/>
      <c r="DD588" s="703"/>
      <c r="DE588" s="703"/>
      <c r="DF588" s="703"/>
      <c r="DG588" s="705"/>
      <c r="DH588" s="705"/>
      <c r="DI588" s="705"/>
      <c r="DJ588" s="705"/>
      <c r="DK588" s="705"/>
      <c r="DL588" s="705"/>
      <c r="DM588" s="705"/>
      <c r="DN588" s="705"/>
      <c r="DO588" s="705"/>
      <c r="DP588" s="705"/>
      <c r="DQ588" s="705"/>
      <c r="DR588" s="705"/>
      <c r="DS588" s="703"/>
      <c r="DT588" s="703"/>
      <c r="DU588" s="703"/>
      <c r="DV588" s="703"/>
      <c r="DW588" s="703"/>
      <c r="DX588" s="703"/>
      <c r="DY588" s="703"/>
      <c r="DZ588" s="703"/>
      <c r="EA588" s="703"/>
      <c r="EB588" s="703"/>
      <c r="EC588" s="703"/>
      <c r="ED588" s="703"/>
      <c r="EE588" s="703"/>
      <c r="EF588" s="703"/>
      <c r="EG588" s="703"/>
      <c r="EH588" s="703"/>
      <c r="EI588" s="703"/>
      <c r="EJ588" s="703"/>
      <c r="EK588" s="703"/>
      <c r="EL588" s="703"/>
      <c r="EM588" s="703"/>
      <c r="EN588" s="703"/>
      <c r="EO588" s="703"/>
      <c r="EP588" s="703"/>
      <c r="EQ588" s="703"/>
      <c r="ER588" s="703"/>
      <c r="ES588" s="703"/>
      <c r="ET588" s="703"/>
      <c r="EU588" s="703"/>
      <c r="EV588" s="703"/>
      <c r="EW588" s="703"/>
      <c r="EX588" s="703"/>
      <c r="EY588" s="703"/>
      <c r="EZ588" s="703"/>
      <c r="FA588" s="703"/>
      <c r="FB588" s="703"/>
      <c r="FC588" s="703"/>
      <c r="FD588" s="703"/>
      <c r="FE588" s="703"/>
      <c r="FF588" s="703"/>
      <c r="FG588" s="703"/>
      <c r="FH588" s="703"/>
      <c r="FI588" s="703"/>
      <c r="FJ588" s="703"/>
      <c r="FK588" s="703"/>
      <c r="FL588" s="703"/>
      <c r="FM588" s="703"/>
      <c r="FN588" s="703"/>
      <c r="FO588" s="703"/>
      <c r="FP588" s="703"/>
      <c r="FQ588" s="704"/>
    </row>
    <row r="589" spans="1:173" s="706" customFormat="1">
      <c r="A589" s="700"/>
      <c r="B589" s="700"/>
      <c r="C589" s="701" t="s">
        <v>3637</v>
      </c>
      <c r="D589" s="701"/>
      <c r="E589" s="703">
        <v>39.700000000000003</v>
      </c>
      <c r="F589" s="703"/>
      <c r="G589" s="703"/>
      <c r="H589" s="703"/>
      <c r="I589" s="703">
        <f t="shared" si="188"/>
        <v>39.700000000000003</v>
      </c>
      <c r="J589" s="703"/>
      <c r="K589" s="703"/>
      <c r="L589" s="703"/>
      <c r="M589" s="703"/>
      <c r="N589" s="703"/>
      <c r="O589" s="703"/>
      <c r="P589" s="703"/>
      <c r="Q589" s="703"/>
      <c r="R589" s="704"/>
      <c r="S589" s="704"/>
      <c r="T589" s="703"/>
      <c r="U589" s="703" t="s">
        <v>1631</v>
      </c>
      <c r="V589" s="703"/>
      <c r="W589" s="703"/>
      <c r="X589" s="703"/>
      <c r="Y589" s="703"/>
      <c r="Z589" s="703"/>
      <c r="AA589" s="703"/>
      <c r="AB589" s="703"/>
      <c r="AC589" s="703"/>
      <c r="AD589" s="703"/>
      <c r="AE589" s="766"/>
      <c r="AF589" s="960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>
        <v>1</v>
      </c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03"/>
      <c r="BL589" s="703"/>
      <c r="BM589" s="703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  <c r="BX589" s="703"/>
      <c r="BY589" s="703"/>
      <c r="BZ589" s="703"/>
      <c r="CA589" s="703"/>
      <c r="CB589" s="703"/>
      <c r="CC589" s="703"/>
      <c r="CD589" s="703">
        <f t="shared" si="189"/>
        <v>1</v>
      </c>
      <c r="CE589" s="703"/>
      <c r="CF589" s="703"/>
      <c r="CG589" s="703"/>
      <c r="CH589" s="703"/>
      <c r="CI589" s="703"/>
      <c r="CJ589" s="703"/>
      <c r="CK589" s="703"/>
      <c r="CL589" s="703">
        <f t="shared" si="190"/>
        <v>2</v>
      </c>
      <c r="CM589" s="703"/>
      <c r="CN589" s="703"/>
      <c r="CO589" s="703"/>
      <c r="CP589" s="703"/>
      <c r="CQ589" s="703"/>
      <c r="CR589" s="703"/>
      <c r="CS589" s="703"/>
      <c r="CT589" s="703"/>
      <c r="CU589" s="703"/>
      <c r="CV589" s="703"/>
      <c r="CW589" s="703"/>
      <c r="CX589" s="703"/>
      <c r="CY589" s="703"/>
      <c r="CZ589" s="703"/>
      <c r="DA589" s="703">
        <v>1</v>
      </c>
      <c r="DB589" s="703"/>
      <c r="DC589" s="703"/>
      <c r="DD589" s="703"/>
      <c r="DE589" s="703"/>
      <c r="DF589" s="703"/>
      <c r="DG589" s="705"/>
      <c r="DH589" s="705"/>
      <c r="DI589" s="705"/>
      <c r="DJ589" s="705"/>
      <c r="DK589" s="705"/>
      <c r="DL589" s="705"/>
      <c r="DM589" s="705"/>
      <c r="DN589" s="705"/>
      <c r="DO589" s="705"/>
      <c r="DP589" s="705"/>
      <c r="DQ589" s="705"/>
      <c r="DR589" s="705"/>
      <c r="DS589" s="703"/>
      <c r="DT589" s="703"/>
      <c r="DU589" s="703"/>
      <c r="DV589" s="703"/>
      <c r="DW589" s="703"/>
      <c r="DX589" s="703"/>
      <c r="DY589" s="703"/>
      <c r="DZ589" s="703"/>
      <c r="EA589" s="703"/>
      <c r="EB589" s="703"/>
      <c r="EC589" s="703"/>
      <c r="ED589" s="703"/>
      <c r="EE589" s="703"/>
      <c r="EF589" s="703"/>
      <c r="EG589" s="703"/>
      <c r="EH589" s="703"/>
      <c r="EI589" s="703"/>
      <c r="EJ589" s="703"/>
      <c r="EK589" s="703"/>
      <c r="EL589" s="703"/>
      <c r="EM589" s="703"/>
      <c r="EN589" s="703"/>
      <c r="EO589" s="703"/>
      <c r="EP589" s="703"/>
      <c r="EQ589" s="703"/>
      <c r="ER589" s="703"/>
      <c r="ES589" s="703"/>
      <c r="ET589" s="703"/>
      <c r="EU589" s="703"/>
      <c r="EV589" s="703"/>
      <c r="EW589" s="703"/>
      <c r="EX589" s="703"/>
      <c r="EY589" s="703"/>
      <c r="EZ589" s="703"/>
      <c r="FA589" s="703"/>
      <c r="FB589" s="703"/>
      <c r="FC589" s="703"/>
      <c r="FD589" s="703"/>
      <c r="FE589" s="703"/>
      <c r="FF589" s="703"/>
      <c r="FG589" s="703"/>
      <c r="FH589" s="703"/>
      <c r="FI589" s="703"/>
      <c r="FJ589" s="703"/>
      <c r="FK589" s="703"/>
      <c r="FL589" s="703"/>
      <c r="FM589" s="703"/>
      <c r="FN589" s="703"/>
      <c r="FO589" s="703"/>
      <c r="FP589" s="703"/>
      <c r="FQ589" s="704"/>
    </row>
    <row r="590" spans="1:173" s="706" customFormat="1">
      <c r="A590" s="700"/>
      <c r="B590" s="700"/>
      <c r="C590" s="701" t="s">
        <v>3638</v>
      </c>
      <c r="D590" s="701"/>
      <c r="E590" s="703">
        <v>38.700000000000003</v>
      </c>
      <c r="F590" s="703"/>
      <c r="G590" s="703"/>
      <c r="H590" s="703"/>
      <c r="I590" s="703">
        <f t="shared" si="188"/>
        <v>38.700000000000003</v>
      </c>
      <c r="J590" s="703"/>
      <c r="K590" s="703"/>
      <c r="L590" s="703"/>
      <c r="M590" s="703"/>
      <c r="N590" s="703"/>
      <c r="O590" s="703"/>
      <c r="P590" s="703"/>
      <c r="Q590" s="703"/>
      <c r="R590" s="704"/>
      <c r="S590" s="704"/>
      <c r="T590" s="703"/>
      <c r="U590" s="703" t="s">
        <v>1903</v>
      </c>
      <c r="V590" s="703"/>
      <c r="W590" s="703"/>
      <c r="X590" s="703"/>
      <c r="Y590" s="703"/>
      <c r="Z590" s="703"/>
      <c r="AA590" s="703"/>
      <c r="AB590" s="703"/>
      <c r="AC590" s="703"/>
      <c r="AD590" s="703"/>
      <c r="AE590" s="766"/>
      <c r="AF590" s="960"/>
      <c r="AG590" s="703"/>
      <c r="AH590" s="703"/>
      <c r="AI590" s="703"/>
      <c r="AJ590" s="703"/>
      <c r="AK590" s="703"/>
      <c r="AL590" s="703"/>
      <c r="AM590" s="703"/>
      <c r="AN590" s="703"/>
      <c r="AO590" s="703"/>
      <c r="AP590" s="703"/>
      <c r="AQ590" s="703"/>
      <c r="AR590" s="703"/>
      <c r="AS590" s="703"/>
      <c r="AT590" s="703"/>
      <c r="AU590" s="703"/>
      <c r="AV590" s="703"/>
      <c r="AW590" s="703">
        <v>1</v>
      </c>
      <c r="AX590" s="703"/>
      <c r="AY590" s="703"/>
      <c r="AZ590" s="703"/>
      <c r="BA590" s="703"/>
      <c r="BB590" s="703"/>
      <c r="BC590" s="703"/>
      <c r="BD590" s="703"/>
      <c r="BE590" s="703"/>
      <c r="BF590" s="703"/>
      <c r="BG590" s="703"/>
      <c r="BH590" s="703"/>
      <c r="BI590" s="703"/>
      <c r="BJ590" s="703"/>
      <c r="BK590" s="703"/>
      <c r="BL590" s="703"/>
      <c r="BM590" s="703"/>
      <c r="BN590" s="703"/>
      <c r="BO590" s="703"/>
      <c r="BP590" s="703"/>
      <c r="BQ590" s="703"/>
      <c r="BR590" s="703"/>
      <c r="BS590" s="703"/>
      <c r="BT590" s="703"/>
      <c r="BU590" s="703"/>
      <c r="BV590" s="703"/>
      <c r="BW590" s="703"/>
      <c r="BX590" s="703"/>
      <c r="BY590" s="703"/>
      <c r="BZ590" s="703"/>
      <c r="CA590" s="703"/>
      <c r="CB590" s="703"/>
      <c r="CC590" s="703"/>
      <c r="CD590" s="703">
        <f t="shared" si="189"/>
        <v>1</v>
      </c>
      <c r="CE590" s="703"/>
      <c r="CF590" s="703"/>
      <c r="CG590" s="703"/>
      <c r="CH590" s="703"/>
      <c r="CI590" s="703"/>
      <c r="CJ590" s="703"/>
      <c r="CK590" s="703"/>
      <c r="CL590" s="703">
        <f t="shared" si="190"/>
        <v>2</v>
      </c>
      <c r="CM590" s="703"/>
      <c r="CN590" s="703"/>
      <c r="CO590" s="703"/>
      <c r="CP590" s="703"/>
      <c r="CQ590" s="703"/>
      <c r="CR590" s="703"/>
      <c r="CS590" s="703"/>
      <c r="CT590" s="703"/>
      <c r="CU590" s="703"/>
      <c r="CV590" s="703"/>
      <c r="CW590" s="703"/>
      <c r="CX590" s="703"/>
      <c r="CY590" s="703"/>
      <c r="CZ590" s="703"/>
      <c r="DA590" s="703">
        <v>1</v>
      </c>
      <c r="DB590" s="703"/>
      <c r="DC590" s="703"/>
      <c r="DD590" s="703"/>
      <c r="DE590" s="703"/>
      <c r="DF590" s="703"/>
      <c r="DG590" s="705"/>
      <c r="DH590" s="705"/>
      <c r="DI590" s="705"/>
      <c r="DJ590" s="705"/>
      <c r="DK590" s="705"/>
      <c r="DL590" s="705"/>
      <c r="DM590" s="705"/>
      <c r="DN590" s="705"/>
      <c r="DO590" s="705"/>
      <c r="DP590" s="705"/>
      <c r="DQ590" s="705"/>
      <c r="DR590" s="705"/>
      <c r="DS590" s="703"/>
      <c r="DT590" s="703"/>
      <c r="DU590" s="703"/>
      <c r="DV590" s="703"/>
      <c r="DW590" s="703"/>
      <c r="DX590" s="703"/>
      <c r="DY590" s="703"/>
      <c r="DZ590" s="703"/>
      <c r="EA590" s="703"/>
      <c r="EB590" s="703"/>
      <c r="EC590" s="703"/>
      <c r="ED590" s="703"/>
      <c r="EE590" s="703"/>
      <c r="EF590" s="703"/>
      <c r="EG590" s="703"/>
      <c r="EH590" s="703"/>
      <c r="EI590" s="703"/>
      <c r="EJ590" s="703"/>
      <c r="EK590" s="703"/>
      <c r="EL590" s="703"/>
      <c r="EM590" s="703"/>
      <c r="EN590" s="703"/>
      <c r="EO590" s="703"/>
      <c r="EP590" s="703"/>
      <c r="EQ590" s="703"/>
      <c r="ER590" s="703"/>
      <c r="ES590" s="703"/>
      <c r="ET590" s="703"/>
      <c r="EU590" s="703"/>
      <c r="EV590" s="703"/>
      <c r="EW590" s="703"/>
      <c r="EX590" s="703"/>
      <c r="EY590" s="703"/>
      <c r="EZ590" s="703"/>
      <c r="FA590" s="703"/>
      <c r="FB590" s="703"/>
      <c r="FC590" s="703"/>
      <c r="FD590" s="703"/>
      <c r="FE590" s="703"/>
      <c r="FF590" s="703"/>
      <c r="FG590" s="703"/>
      <c r="FH590" s="703"/>
      <c r="FI590" s="703"/>
      <c r="FJ590" s="703"/>
      <c r="FK590" s="703"/>
      <c r="FL590" s="703"/>
      <c r="FM590" s="703"/>
      <c r="FN590" s="703"/>
      <c r="FO590" s="703"/>
      <c r="FP590" s="703"/>
      <c r="FQ590" s="704"/>
    </row>
    <row r="591" spans="1:173" s="706" customFormat="1">
      <c r="A591" s="700"/>
      <c r="B591" s="700"/>
      <c r="C591" s="701" t="s">
        <v>3639</v>
      </c>
      <c r="D591" s="701"/>
      <c r="E591" s="703">
        <v>40.1</v>
      </c>
      <c r="F591" s="703"/>
      <c r="G591" s="703"/>
      <c r="H591" s="703"/>
      <c r="I591" s="703">
        <f t="shared" si="188"/>
        <v>40.1</v>
      </c>
      <c r="J591" s="703"/>
      <c r="K591" s="703"/>
      <c r="L591" s="703"/>
      <c r="M591" s="703"/>
      <c r="N591" s="703"/>
      <c r="O591" s="703"/>
      <c r="P591" s="703"/>
      <c r="Q591" s="703"/>
      <c r="R591" s="704"/>
      <c r="S591" s="704"/>
      <c r="T591" s="703"/>
      <c r="U591" s="703" t="s">
        <v>1631</v>
      </c>
      <c r="V591" s="703"/>
      <c r="W591" s="703"/>
      <c r="X591" s="703"/>
      <c r="Y591" s="703"/>
      <c r="Z591" s="703"/>
      <c r="AA591" s="703"/>
      <c r="AB591" s="703"/>
      <c r="AC591" s="703"/>
      <c r="AD591" s="703"/>
      <c r="AE591" s="766"/>
      <c r="AF591" s="960"/>
      <c r="AG591" s="703"/>
      <c r="AH591" s="703"/>
      <c r="AI591" s="703"/>
      <c r="AJ591" s="703"/>
      <c r="AK591" s="703"/>
      <c r="AL591" s="703"/>
      <c r="AM591" s="703"/>
      <c r="AN591" s="703"/>
      <c r="AO591" s="703"/>
      <c r="AP591" s="703"/>
      <c r="AQ591" s="703"/>
      <c r="AR591" s="703"/>
      <c r="AS591" s="703"/>
      <c r="AT591" s="703"/>
      <c r="AU591" s="703"/>
      <c r="AV591" s="703"/>
      <c r="AW591" s="703">
        <v>1</v>
      </c>
      <c r="AX591" s="703"/>
      <c r="AY591" s="703"/>
      <c r="AZ591" s="703"/>
      <c r="BA591" s="703"/>
      <c r="BB591" s="703"/>
      <c r="BC591" s="703"/>
      <c r="BD591" s="703"/>
      <c r="BE591" s="703"/>
      <c r="BF591" s="703"/>
      <c r="BG591" s="703"/>
      <c r="BH591" s="703"/>
      <c r="BI591" s="703"/>
      <c r="BJ591" s="703"/>
      <c r="BK591" s="703"/>
      <c r="BL591" s="703"/>
      <c r="BM591" s="703"/>
      <c r="BN591" s="703"/>
      <c r="BO591" s="703"/>
      <c r="BP591" s="703"/>
      <c r="BQ591" s="703"/>
      <c r="BR591" s="703"/>
      <c r="BS591" s="703"/>
      <c r="BT591" s="703"/>
      <c r="BU591" s="703"/>
      <c r="BV591" s="703"/>
      <c r="BW591" s="703"/>
      <c r="BX591" s="703"/>
      <c r="BY591" s="703"/>
      <c r="BZ591" s="703"/>
      <c r="CA591" s="703"/>
      <c r="CB591" s="703"/>
      <c r="CC591" s="703"/>
      <c r="CD591" s="703">
        <f t="shared" si="189"/>
        <v>1</v>
      </c>
      <c r="CE591" s="703"/>
      <c r="CF591" s="703"/>
      <c r="CG591" s="703"/>
      <c r="CH591" s="703"/>
      <c r="CI591" s="703"/>
      <c r="CJ591" s="703"/>
      <c r="CK591" s="703"/>
      <c r="CL591" s="703">
        <f t="shared" si="190"/>
        <v>2</v>
      </c>
      <c r="CM591" s="703"/>
      <c r="CN591" s="703"/>
      <c r="CO591" s="703"/>
      <c r="CP591" s="703"/>
      <c r="CQ591" s="703"/>
      <c r="CR591" s="703"/>
      <c r="CS591" s="703"/>
      <c r="CT591" s="703"/>
      <c r="CU591" s="703"/>
      <c r="CV591" s="703"/>
      <c r="CW591" s="703"/>
      <c r="CX591" s="703"/>
      <c r="CY591" s="703"/>
      <c r="CZ591" s="703"/>
      <c r="DA591" s="703">
        <v>1</v>
      </c>
      <c r="DB591" s="703"/>
      <c r="DC591" s="703"/>
      <c r="DD591" s="703"/>
      <c r="DE591" s="703"/>
      <c r="DF591" s="703"/>
      <c r="DG591" s="705"/>
      <c r="DH591" s="705"/>
      <c r="DI591" s="705"/>
      <c r="DJ591" s="705"/>
      <c r="DK591" s="705"/>
      <c r="DL591" s="705"/>
      <c r="DM591" s="705"/>
      <c r="DN591" s="705"/>
      <c r="DO591" s="705"/>
      <c r="DP591" s="705"/>
      <c r="DQ591" s="705"/>
      <c r="DR591" s="705"/>
      <c r="DS591" s="703"/>
      <c r="DT591" s="703"/>
      <c r="DU591" s="703"/>
      <c r="DV591" s="703"/>
      <c r="DW591" s="703"/>
      <c r="DX591" s="703"/>
      <c r="DY591" s="703"/>
      <c r="DZ591" s="703"/>
      <c r="EA591" s="703"/>
      <c r="EB591" s="703"/>
      <c r="EC591" s="703"/>
      <c r="ED591" s="703"/>
      <c r="EE591" s="703"/>
      <c r="EF591" s="703"/>
      <c r="EG591" s="703"/>
      <c r="EH591" s="703"/>
      <c r="EI591" s="703"/>
      <c r="EJ591" s="703"/>
      <c r="EK591" s="703"/>
      <c r="EL591" s="703"/>
      <c r="EM591" s="703"/>
      <c r="EN591" s="703"/>
      <c r="EO591" s="703"/>
      <c r="EP591" s="703"/>
      <c r="EQ591" s="703"/>
      <c r="ER591" s="703"/>
      <c r="ES591" s="703"/>
      <c r="ET591" s="703"/>
      <c r="EU591" s="703"/>
      <c r="EV591" s="703"/>
      <c r="EW591" s="703"/>
      <c r="EX591" s="703"/>
      <c r="EY591" s="703"/>
      <c r="EZ591" s="703"/>
      <c r="FA591" s="703"/>
      <c r="FB591" s="703"/>
      <c r="FC591" s="703"/>
      <c r="FD591" s="703"/>
      <c r="FE591" s="703"/>
      <c r="FF591" s="703"/>
      <c r="FG591" s="703"/>
      <c r="FH591" s="703"/>
      <c r="FI591" s="703"/>
      <c r="FJ591" s="703"/>
      <c r="FK591" s="703"/>
      <c r="FL591" s="703"/>
      <c r="FM591" s="703"/>
      <c r="FN591" s="703"/>
      <c r="FO591" s="703"/>
      <c r="FP591" s="703"/>
      <c r="FQ591" s="704"/>
    </row>
    <row r="592" spans="1:173" s="706" customFormat="1">
      <c r="A592" s="700"/>
      <c r="B592" s="700"/>
      <c r="C592" s="701" t="s">
        <v>3640</v>
      </c>
      <c r="D592" s="701"/>
      <c r="E592" s="703">
        <v>39.200000000000003</v>
      </c>
      <c r="F592" s="703"/>
      <c r="G592" s="703"/>
      <c r="H592" s="703"/>
      <c r="I592" s="703">
        <f t="shared" si="188"/>
        <v>39.200000000000003</v>
      </c>
      <c r="J592" s="703"/>
      <c r="K592" s="703"/>
      <c r="L592" s="703"/>
      <c r="M592" s="703"/>
      <c r="N592" s="703"/>
      <c r="O592" s="703"/>
      <c r="P592" s="703"/>
      <c r="Q592" s="703"/>
      <c r="R592" s="704"/>
      <c r="S592" s="704"/>
      <c r="T592" s="703"/>
      <c r="U592" s="703" t="s">
        <v>2989</v>
      </c>
      <c r="V592" s="703"/>
      <c r="W592" s="703"/>
      <c r="X592" s="703"/>
      <c r="Y592" s="703"/>
      <c r="Z592" s="703"/>
      <c r="AA592" s="703"/>
      <c r="AB592" s="703"/>
      <c r="AC592" s="703"/>
      <c r="AD592" s="703"/>
      <c r="AE592" s="766"/>
      <c r="AF592" s="960"/>
      <c r="AG592" s="703"/>
      <c r="AH592" s="703"/>
      <c r="AI592" s="703"/>
      <c r="AJ592" s="703"/>
      <c r="AK592" s="703"/>
      <c r="AL592" s="703"/>
      <c r="AM592" s="703"/>
      <c r="AN592" s="703"/>
      <c r="AO592" s="703"/>
      <c r="AP592" s="703"/>
      <c r="AQ592" s="703"/>
      <c r="AR592" s="703"/>
      <c r="AS592" s="703"/>
      <c r="AT592" s="703"/>
      <c r="AU592" s="703"/>
      <c r="AV592" s="703"/>
      <c r="AW592" s="703">
        <v>1</v>
      </c>
      <c r="AX592" s="703"/>
      <c r="AY592" s="703"/>
      <c r="AZ592" s="703"/>
      <c r="BA592" s="703"/>
      <c r="BB592" s="703"/>
      <c r="BC592" s="703"/>
      <c r="BD592" s="703">
        <v>4</v>
      </c>
      <c r="BE592" s="703"/>
      <c r="BF592" s="703"/>
      <c r="BG592" s="703"/>
      <c r="BH592" s="703"/>
      <c r="BI592" s="703"/>
      <c r="BJ592" s="703"/>
      <c r="BK592" s="703"/>
      <c r="BL592" s="703"/>
      <c r="BM592" s="703"/>
      <c r="BN592" s="703"/>
      <c r="BO592" s="703"/>
      <c r="BP592" s="703"/>
      <c r="BQ592" s="703"/>
      <c r="BR592" s="703"/>
      <c r="BS592" s="703"/>
      <c r="BT592" s="703"/>
      <c r="BU592" s="703"/>
      <c r="BV592" s="703">
        <v>2</v>
      </c>
      <c r="BW592" s="703"/>
      <c r="BX592" s="703"/>
      <c r="BY592" s="703">
        <v>2</v>
      </c>
      <c r="BZ592" s="703"/>
      <c r="CA592" s="703"/>
      <c r="CB592" s="703"/>
      <c r="CC592" s="703"/>
      <c r="CD592" s="703">
        <f t="shared" si="189"/>
        <v>1</v>
      </c>
      <c r="CE592" s="703"/>
      <c r="CF592" s="703"/>
      <c r="CG592" s="703"/>
      <c r="CH592" s="703"/>
      <c r="CI592" s="703"/>
      <c r="CJ592" s="703"/>
      <c r="CK592" s="703"/>
      <c r="CL592" s="703">
        <f t="shared" si="190"/>
        <v>2</v>
      </c>
      <c r="CM592" s="703"/>
      <c r="CN592" s="703"/>
      <c r="CO592" s="703"/>
      <c r="CP592" s="703"/>
      <c r="CQ592" s="703"/>
      <c r="CR592" s="703"/>
      <c r="CS592" s="703"/>
      <c r="CT592" s="703"/>
      <c r="CU592" s="703"/>
      <c r="CV592" s="703"/>
      <c r="CW592" s="703"/>
      <c r="CX592" s="703"/>
      <c r="CY592" s="703"/>
      <c r="CZ592" s="703"/>
      <c r="DA592" s="703">
        <v>1</v>
      </c>
      <c r="DB592" s="703"/>
      <c r="DC592" s="703"/>
      <c r="DD592" s="703"/>
      <c r="DE592" s="703"/>
      <c r="DF592" s="703"/>
      <c r="DG592" s="705"/>
      <c r="DH592" s="705"/>
      <c r="DI592" s="705"/>
      <c r="DJ592" s="705"/>
      <c r="DK592" s="705"/>
      <c r="DL592" s="705"/>
      <c r="DM592" s="705"/>
      <c r="DN592" s="705"/>
      <c r="DO592" s="705"/>
      <c r="DP592" s="705"/>
      <c r="DQ592" s="705"/>
      <c r="DR592" s="705"/>
      <c r="DS592" s="703"/>
      <c r="DT592" s="703"/>
      <c r="DU592" s="703"/>
      <c r="DV592" s="703"/>
      <c r="DW592" s="703"/>
      <c r="DX592" s="703"/>
      <c r="DY592" s="703"/>
      <c r="DZ592" s="703"/>
      <c r="EA592" s="703"/>
      <c r="EB592" s="703"/>
      <c r="EC592" s="703"/>
      <c r="ED592" s="703"/>
      <c r="EE592" s="703"/>
      <c r="EF592" s="703"/>
      <c r="EG592" s="703"/>
      <c r="EH592" s="703"/>
      <c r="EI592" s="703"/>
      <c r="EJ592" s="703"/>
      <c r="EK592" s="703"/>
      <c r="EL592" s="703"/>
      <c r="EM592" s="703"/>
      <c r="EN592" s="703"/>
      <c r="EO592" s="703"/>
      <c r="EP592" s="703"/>
      <c r="EQ592" s="703"/>
      <c r="ER592" s="703"/>
      <c r="ES592" s="703"/>
      <c r="ET592" s="703"/>
      <c r="EU592" s="703"/>
      <c r="EV592" s="703"/>
      <c r="EW592" s="703"/>
      <c r="EX592" s="703"/>
      <c r="EY592" s="703"/>
      <c r="EZ592" s="703"/>
      <c r="FA592" s="703"/>
      <c r="FB592" s="703"/>
      <c r="FC592" s="703"/>
      <c r="FD592" s="703"/>
      <c r="FE592" s="703"/>
      <c r="FF592" s="703"/>
      <c r="FG592" s="703"/>
      <c r="FH592" s="703"/>
      <c r="FI592" s="703"/>
      <c r="FJ592" s="703"/>
      <c r="FK592" s="703"/>
      <c r="FL592" s="703"/>
      <c r="FM592" s="703"/>
      <c r="FN592" s="703"/>
      <c r="FO592" s="703"/>
      <c r="FP592" s="703"/>
      <c r="FQ592" s="704"/>
    </row>
    <row r="593" spans="1:173" s="706" customFormat="1">
      <c r="A593" s="700"/>
      <c r="B593" s="700"/>
      <c r="C593" s="701" t="s">
        <v>3641</v>
      </c>
      <c r="D593" s="701"/>
      <c r="E593" s="703">
        <v>36.799999999999997</v>
      </c>
      <c r="F593" s="703"/>
      <c r="G593" s="703"/>
      <c r="H593" s="703"/>
      <c r="I593" s="703">
        <f t="shared" si="188"/>
        <v>36.799999999999997</v>
      </c>
      <c r="J593" s="703"/>
      <c r="K593" s="703"/>
      <c r="L593" s="703"/>
      <c r="M593" s="703"/>
      <c r="N593" s="703"/>
      <c r="O593" s="703"/>
      <c r="P593" s="703"/>
      <c r="Q593" s="703"/>
      <c r="R593" s="704"/>
      <c r="S593" s="704"/>
      <c r="T593" s="703"/>
      <c r="U593" s="703" t="s">
        <v>2989</v>
      </c>
      <c r="V593" s="703"/>
      <c r="W593" s="703"/>
      <c r="X593" s="703"/>
      <c r="Y593" s="703"/>
      <c r="Z593" s="703"/>
      <c r="AA593" s="703"/>
      <c r="AB593" s="703"/>
      <c r="AC593" s="703"/>
      <c r="AD593" s="703"/>
      <c r="AE593" s="766"/>
      <c r="AF593" s="960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>
        <v>1</v>
      </c>
      <c r="AV593" s="703"/>
      <c r="AW593" s="703">
        <v>1</v>
      </c>
      <c r="AX593" s="703"/>
      <c r="AY593" s="703"/>
      <c r="AZ593" s="703"/>
      <c r="BA593" s="703"/>
      <c r="BB593" s="703"/>
      <c r="BC593" s="703"/>
      <c r="BD593" s="703">
        <v>4</v>
      </c>
      <c r="BE593" s="703"/>
      <c r="BF593" s="703"/>
      <c r="BG593" s="703"/>
      <c r="BH593" s="703"/>
      <c r="BI593" s="703"/>
      <c r="BJ593" s="703"/>
      <c r="BK593" s="703"/>
      <c r="BL593" s="703"/>
      <c r="BM593" s="703"/>
      <c r="BN593" s="703"/>
      <c r="BO593" s="703"/>
      <c r="BP593" s="703"/>
      <c r="BQ593" s="703"/>
      <c r="BR593" s="703"/>
      <c r="BS593" s="703"/>
      <c r="BT593" s="703"/>
      <c r="BU593" s="703"/>
      <c r="BV593" s="703">
        <v>2</v>
      </c>
      <c r="BW593" s="703"/>
      <c r="BX593" s="703"/>
      <c r="BY593" s="703">
        <v>2</v>
      </c>
      <c r="BZ593" s="703"/>
      <c r="CA593" s="703"/>
      <c r="CB593" s="703"/>
      <c r="CC593" s="703"/>
      <c r="CD593" s="703">
        <f t="shared" si="189"/>
        <v>1</v>
      </c>
      <c r="CE593" s="703"/>
      <c r="CF593" s="703"/>
      <c r="CG593" s="703"/>
      <c r="CH593" s="703"/>
      <c r="CI593" s="703"/>
      <c r="CJ593" s="703"/>
      <c r="CK593" s="703"/>
      <c r="CL593" s="703">
        <f t="shared" si="190"/>
        <v>4</v>
      </c>
      <c r="CM593" s="703"/>
      <c r="CN593" s="703"/>
      <c r="CO593" s="703"/>
      <c r="CP593" s="703"/>
      <c r="CQ593" s="703"/>
      <c r="CR593" s="703"/>
      <c r="CS593" s="703"/>
      <c r="CT593" s="703"/>
      <c r="CU593" s="703"/>
      <c r="CV593" s="703"/>
      <c r="CW593" s="703"/>
      <c r="CX593" s="703"/>
      <c r="CY593" s="703"/>
      <c r="CZ593" s="703"/>
      <c r="DA593" s="703">
        <v>1</v>
      </c>
      <c r="DB593" s="703"/>
      <c r="DC593" s="703"/>
      <c r="DD593" s="703"/>
      <c r="DE593" s="703"/>
      <c r="DF593" s="703"/>
      <c r="DG593" s="705"/>
      <c r="DH593" s="705"/>
      <c r="DI593" s="705"/>
      <c r="DJ593" s="705"/>
      <c r="DK593" s="705"/>
      <c r="DL593" s="705"/>
      <c r="DM593" s="705"/>
      <c r="DN593" s="705"/>
      <c r="DO593" s="705"/>
      <c r="DP593" s="705"/>
      <c r="DQ593" s="705"/>
      <c r="DR593" s="705"/>
      <c r="DS593" s="703"/>
      <c r="DT593" s="703"/>
      <c r="DU593" s="703"/>
      <c r="DV593" s="703"/>
      <c r="DW593" s="703"/>
      <c r="DX593" s="703"/>
      <c r="DY593" s="703"/>
      <c r="DZ593" s="703"/>
      <c r="EA593" s="703"/>
      <c r="EB593" s="703"/>
      <c r="EC593" s="703"/>
      <c r="ED593" s="703"/>
      <c r="EE593" s="703"/>
      <c r="EF593" s="703"/>
      <c r="EG593" s="703"/>
      <c r="EH593" s="703"/>
      <c r="EI593" s="703"/>
      <c r="EJ593" s="703"/>
      <c r="EK593" s="703"/>
      <c r="EL593" s="703"/>
      <c r="EM593" s="703"/>
      <c r="EN593" s="703"/>
      <c r="EO593" s="703"/>
      <c r="EP593" s="703"/>
      <c r="EQ593" s="703"/>
      <c r="ER593" s="703"/>
      <c r="ES593" s="703"/>
      <c r="ET593" s="703"/>
      <c r="EU593" s="703"/>
      <c r="EV593" s="703"/>
      <c r="EW593" s="703"/>
      <c r="EX593" s="703"/>
      <c r="EY593" s="703"/>
      <c r="EZ593" s="703"/>
      <c r="FA593" s="703"/>
      <c r="FB593" s="703"/>
      <c r="FC593" s="703"/>
      <c r="FD593" s="703"/>
      <c r="FE593" s="703"/>
      <c r="FF593" s="703"/>
      <c r="FG593" s="703"/>
      <c r="FH593" s="703"/>
      <c r="FI593" s="703"/>
      <c r="FJ593" s="703"/>
      <c r="FK593" s="703"/>
      <c r="FL593" s="703"/>
      <c r="FM593" s="703"/>
      <c r="FN593" s="703"/>
      <c r="FO593" s="703"/>
      <c r="FP593" s="703"/>
      <c r="FQ593" s="704"/>
    </row>
    <row r="594" spans="1:173" s="706" customFormat="1">
      <c r="A594" s="700"/>
      <c r="B594" s="700"/>
      <c r="C594" s="701" t="s">
        <v>3647</v>
      </c>
      <c r="D594" s="701"/>
      <c r="E594" s="703">
        <v>44.5</v>
      </c>
      <c r="F594" s="703"/>
      <c r="G594" s="703"/>
      <c r="H594" s="703"/>
      <c r="I594" s="703">
        <f t="shared" si="188"/>
        <v>44.5</v>
      </c>
      <c r="J594" s="703"/>
      <c r="K594" s="703"/>
      <c r="L594" s="703"/>
      <c r="M594" s="703"/>
      <c r="N594" s="703"/>
      <c r="O594" s="703"/>
      <c r="P594" s="703"/>
      <c r="Q594" s="703"/>
      <c r="R594" s="704"/>
      <c r="S594" s="704"/>
      <c r="T594" s="703"/>
      <c r="U594" s="703" t="s">
        <v>1631</v>
      </c>
      <c r="V594" s="703"/>
      <c r="W594" s="703"/>
      <c r="X594" s="703"/>
      <c r="Y594" s="703"/>
      <c r="Z594" s="703"/>
      <c r="AA594" s="703"/>
      <c r="AB594" s="703"/>
      <c r="AC594" s="703"/>
      <c r="AD594" s="703"/>
      <c r="AE594" s="766"/>
      <c r="AF594" s="960"/>
      <c r="AG594" s="703"/>
      <c r="AH594" s="703"/>
      <c r="AI594" s="703"/>
      <c r="AJ594" s="703"/>
      <c r="AK594" s="703"/>
      <c r="AL594" s="703"/>
      <c r="AM594" s="703"/>
      <c r="AN594" s="703"/>
      <c r="AO594" s="703"/>
      <c r="AP594" s="703"/>
      <c r="AQ594" s="703"/>
      <c r="AR594" s="703"/>
      <c r="AS594" s="703"/>
      <c r="AT594" s="703"/>
      <c r="AU594" s="703"/>
      <c r="AV594" s="703"/>
      <c r="AW594" s="703">
        <v>1</v>
      </c>
      <c r="AX594" s="703"/>
      <c r="AY594" s="703"/>
      <c r="AZ594" s="703"/>
      <c r="BA594" s="703"/>
      <c r="BB594" s="703"/>
      <c r="BC594" s="703"/>
      <c r="BD594" s="703"/>
      <c r="BE594" s="703"/>
      <c r="BF594" s="703"/>
      <c r="BG594" s="703"/>
      <c r="BH594" s="703"/>
      <c r="BI594" s="703"/>
      <c r="BJ594" s="703"/>
      <c r="BK594" s="703"/>
      <c r="BL594" s="703"/>
      <c r="BM594" s="703"/>
      <c r="BN594" s="703"/>
      <c r="BO594" s="703"/>
      <c r="BP594" s="703"/>
      <c r="BQ594" s="703"/>
      <c r="BR594" s="703"/>
      <c r="BS594" s="703"/>
      <c r="BT594" s="703"/>
      <c r="BU594" s="703"/>
      <c r="BV594" s="703"/>
      <c r="BW594" s="703"/>
      <c r="BX594" s="703"/>
      <c r="BY594" s="703"/>
      <c r="BZ594" s="703"/>
      <c r="CA594" s="703"/>
      <c r="CB594" s="703"/>
      <c r="CC594" s="703"/>
      <c r="CD594" s="703">
        <f t="shared" si="189"/>
        <v>1</v>
      </c>
      <c r="CE594" s="703"/>
      <c r="CF594" s="703"/>
      <c r="CG594" s="703"/>
      <c r="CH594" s="703"/>
      <c r="CI594" s="703"/>
      <c r="CJ594" s="703"/>
      <c r="CK594" s="703"/>
      <c r="CL594" s="703">
        <f t="shared" si="190"/>
        <v>2</v>
      </c>
      <c r="CM594" s="703"/>
      <c r="CN594" s="703"/>
      <c r="CO594" s="703"/>
      <c r="CP594" s="703"/>
      <c r="CQ594" s="703"/>
      <c r="CR594" s="703"/>
      <c r="CS594" s="703"/>
      <c r="CT594" s="703"/>
      <c r="CU594" s="703"/>
      <c r="CV594" s="703"/>
      <c r="CW594" s="703"/>
      <c r="CX594" s="703"/>
      <c r="CY594" s="703"/>
      <c r="CZ594" s="703"/>
      <c r="DA594" s="703">
        <v>1</v>
      </c>
      <c r="DB594" s="703"/>
      <c r="DC594" s="703"/>
      <c r="DD594" s="703"/>
      <c r="DE594" s="703"/>
      <c r="DF594" s="703"/>
      <c r="DG594" s="705"/>
      <c r="DH594" s="705"/>
      <c r="DI594" s="705"/>
      <c r="DJ594" s="705"/>
      <c r="DK594" s="705"/>
      <c r="DL594" s="705"/>
      <c r="DM594" s="705"/>
      <c r="DN594" s="705"/>
      <c r="DO594" s="705"/>
      <c r="DP594" s="705"/>
      <c r="DQ594" s="705"/>
      <c r="DR594" s="705"/>
      <c r="DS594" s="703"/>
      <c r="DT594" s="703"/>
      <c r="DU594" s="703"/>
      <c r="DV594" s="703"/>
      <c r="DW594" s="703"/>
      <c r="DX594" s="703"/>
      <c r="DY594" s="703"/>
      <c r="DZ594" s="703"/>
      <c r="EA594" s="703"/>
      <c r="EB594" s="703"/>
      <c r="EC594" s="703"/>
      <c r="ED594" s="703"/>
      <c r="EE594" s="703"/>
      <c r="EF594" s="703"/>
      <c r="EG594" s="703"/>
      <c r="EH594" s="703"/>
      <c r="EI594" s="703"/>
      <c r="EJ594" s="703"/>
      <c r="EK594" s="703"/>
      <c r="EL594" s="703"/>
      <c r="EM594" s="703"/>
      <c r="EN594" s="703"/>
      <c r="EO594" s="703"/>
      <c r="EP594" s="703"/>
      <c r="EQ594" s="703"/>
      <c r="ER594" s="703"/>
      <c r="ES594" s="703"/>
      <c r="ET594" s="703"/>
      <c r="EU594" s="703"/>
      <c r="EV594" s="703"/>
      <c r="EW594" s="703"/>
      <c r="EX594" s="703"/>
      <c r="EY594" s="703"/>
      <c r="EZ594" s="703"/>
      <c r="FA594" s="703"/>
      <c r="FB594" s="703"/>
      <c r="FC594" s="703"/>
      <c r="FD594" s="703"/>
      <c r="FE594" s="703"/>
      <c r="FF594" s="703"/>
      <c r="FG594" s="703"/>
      <c r="FH594" s="703"/>
      <c r="FI594" s="703"/>
      <c r="FJ594" s="703"/>
      <c r="FK594" s="703"/>
      <c r="FL594" s="703"/>
      <c r="FM594" s="703"/>
      <c r="FN594" s="703"/>
      <c r="FO594" s="703"/>
      <c r="FP594" s="703"/>
      <c r="FQ594" s="704"/>
    </row>
    <row r="595" spans="1:173" s="706" customFormat="1">
      <c r="A595" s="700"/>
      <c r="B595" s="700"/>
      <c r="C595" s="701" t="s">
        <v>3648</v>
      </c>
      <c r="D595" s="701"/>
      <c r="E595" s="703">
        <v>38</v>
      </c>
      <c r="F595" s="703"/>
      <c r="G595" s="703"/>
      <c r="H595" s="703"/>
      <c r="I595" s="703">
        <f t="shared" si="188"/>
        <v>38</v>
      </c>
      <c r="J595" s="703"/>
      <c r="K595" s="703"/>
      <c r="L595" s="703"/>
      <c r="M595" s="703"/>
      <c r="N595" s="703"/>
      <c r="O595" s="703"/>
      <c r="P595" s="703"/>
      <c r="Q595" s="703"/>
      <c r="R595" s="704"/>
      <c r="S595" s="704"/>
      <c r="T595" s="703"/>
      <c r="U595" s="703" t="s">
        <v>1631</v>
      </c>
      <c r="V595" s="703"/>
      <c r="W595" s="703"/>
      <c r="X595" s="703"/>
      <c r="Y595" s="703"/>
      <c r="Z595" s="703"/>
      <c r="AA595" s="703"/>
      <c r="AB595" s="703"/>
      <c r="AC595" s="703"/>
      <c r="AD595" s="703"/>
      <c r="AE595" s="766"/>
      <c r="AF595" s="960"/>
      <c r="AG595" s="703"/>
      <c r="AH595" s="703"/>
      <c r="AI595" s="703"/>
      <c r="AJ595" s="703"/>
      <c r="AK595" s="703"/>
      <c r="AL595" s="703"/>
      <c r="AM595" s="703"/>
      <c r="AN595" s="703"/>
      <c r="AO595" s="703"/>
      <c r="AP595" s="703"/>
      <c r="AQ595" s="703"/>
      <c r="AR595" s="703"/>
      <c r="AS595" s="703"/>
      <c r="AT595" s="703"/>
      <c r="AU595" s="703"/>
      <c r="AV595" s="703"/>
      <c r="AW595" s="703">
        <v>1</v>
      </c>
      <c r="AX595" s="703"/>
      <c r="AY595" s="703"/>
      <c r="AZ595" s="703"/>
      <c r="BA595" s="703"/>
      <c r="BB595" s="703"/>
      <c r="BC595" s="703"/>
      <c r="BD595" s="703"/>
      <c r="BE595" s="703"/>
      <c r="BF595" s="703"/>
      <c r="BG595" s="703"/>
      <c r="BH595" s="703"/>
      <c r="BI595" s="703"/>
      <c r="BJ595" s="703"/>
      <c r="BK595" s="703"/>
      <c r="BL595" s="703"/>
      <c r="BM595" s="703"/>
      <c r="BN595" s="703"/>
      <c r="BO595" s="703"/>
      <c r="BP595" s="703"/>
      <c r="BQ595" s="703"/>
      <c r="BR595" s="703"/>
      <c r="BS595" s="703"/>
      <c r="BT595" s="703"/>
      <c r="BU595" s="703"/>
      <c r="BV595" s="703"/>
      <c r="BW595" s="703"/>
      <c r="BX595" s="703"/>
      <c r="BY595" s="703"/>
      <c r="BZ595" s="703"/>
      <c r="CA595" s="703"/>
      <c r="CB595" s="703"/>
      <c r="CC595" s="703"/>
      <c r="CD595" s="703">
        <f t="shared" si="189"/>
        <v>1</v>
      </c>
      <c r="CE595" s="703"/>
      <c r="CF595" s="703"/>
      <c r="CG595" s="703"/>
      <c r="CH595" s="703"/>
      <c r="CI595" s="703"/>
      <c r="CJ595" s="703"/>
      <c r="CK595" s="703"/>
      <c r="CL595" s="703">
        <f t="shared" si="190"/>
        <v>2</v>
      </c>
      <c r="CM595" s="703"/>
      <c r="CN595" s="703"/>
      <c r="CO595" s="703"/>
      <c r="CP595" s="703"/>
      <c r="CQ595" s="703"/>
      <c r="CR595" s="703"/>
      <c r="CS595" s="703"/>
      <c r="CT595" s="703"/>
      <c r="CU595" s="703"/>
      <c r="CV595" s="703"/>
      <c r="CW595" s="703"/>
      <c r="CX595" s="703"/>
      <c r="CY595" s="703"/>
      <c r="CZ595" s="703"/>
      <c r="DA595" s="703">
        <v>1</v>
      </c>
      <c r="DB595" s="703"/>
      <c r="DC595" s="703"/>
      <c r="DD595" s="703"/>
      <c r="DE595" s="703"/>
      <c r="DF595" s="703"/>
      <c r="DG595" s="705"/>
      <c r="DH595" s="705"/>
      <c r="DI595" s="705"/>
      <c r="DJ595" s="705"/>
      <c r="DK595" s="705"/>
      <c r="DL595" s="705"/>
      <c r="DM595" s="705"/>
      <c r="DN595" s="705"/>
      <c r="DO595" s="705"/>
      <c r="DP595" s="705"/>
      <c r="DQ595" s="705"/>
      <c r="DR595" s="705"/>
      <c r="DS595" s="703"/>
      <c r="DT595" s="703"/>
      <c r="DU595" s="703"/>
      <c r="DV595" s="703"/>
      <c r="DW595" s="703"/>
      <c r="DX595" s="703"/>
      <c r="DY595" s="703"/>
      <c r="DZ595" s="703"/>
      <c r="EA595" s="703"/>
      <c r="EB595" s="703"/>
      <c r="EC595" s="703"/>
      <c r="ED595" s="703"/>
      <c r="EE595" s="703"/>
      <c r="EF595" s="703"/>
      <c r="EG595" s="703"/>
      <c r="EH595" s="703"/>
      <c r="EI595" s="703"/>
      <c r="EJ595" s="703"/>
      <c r="EK595" s="703"/>
      <c r="EL595" s="703"/>
      <c r="EM595" s="703"/>
      <c r="EN595" s="703"/>
      <c r="EO595" s="703"/>
      <c r="EP595" s="703"/>
      <c r="EQ595" s="703"/>
      <c r="ER595" s="703"/>
      <c r="ES595" s="703"/>
      <c r="ET595" s="703"/>
      <c r="EU595" s="703"/>
      <c r="EV595" s="703"/>
      <c r="EW595" s="703"/>
      <c r="EX595" s="703"/>
      <c r="EY595" s="703"/>
      <c r="EZ595" s="703"/>
      <c r="FA595" s="703"/>
      <c r="FB595" s="703"/>
      <c r="FC595" s="703"/>
      <c r="FD595" s="703"/>
      <c r="FE595" s="703"/>
      <c r="FF595" s="703"/>
      <c r="FG595" s="703"/>
      <c r="FH595" s="703"/>
      <c r="FI595" s="703"/>
      <c r="FJ595" s="703"/>
      <c r="FK595" s="703"/>
      <c r="FL595" s="703"/>
      <c r="FM595" s="703"/>
      <c r="FN595" s="703"/>
      <c r="FO595" s="703"/>
      <c r="FP595" s="703"/>
      <c r="FQ595" s="704"/>
    </row>
    <row r="596" spans="1:173" s="706" customFormat="1">
      <c r="A596" s="700"/>
      <c r="B596" s="700"/>
      <c r="C596" s="701" t="s">
        <v>3649</v>
      </c>
      <c r="D596" s="701"/>
      <c r="E596" s="703">
        <v>39.1</v>
      </c>
      <c r="F596" s="703"/>
      <c r="G596" s="703"/>
      <c r="H596" s="703"/>
      <c r="I596" s="703">
        <f t="shared" si="188"/>
        <v>39.1</v>
      </c>
      <c r="J596" s="703"/>
      <c r="K596" s="703"/>
      <c r="L596" s="703"/>
      <c r="M596" s="703"/>
      <c r="N596" s="703"/>
      <c r="O596" s="703"/>
      <c r="P596" s="703"/>
      <c r="Q596" s="703"/>
      <c r="R596" s="704"/>
      <c r="S596" s="704"/>
      <c r="T596" s="703"/>
      <c r="U596" s="703" t="s">
        <v>2989</v>
      </c>
      <c r="V596" s="703"/>
      <c r="W596" s="703"/>
      <c r="X596" s="703"/>
      <c r="Y596" s="703"/>
      <c r="Z596" s="703"/>
      <c r="AA596" s="703"/>
      <c r="AB596" s="703"/>
      <c r="AC596" s="703"/>
      <c r="AD596" s="703"/>
      <c r="AE596" s="766"/>
      <c r="AF596" s="960"/>
      <c r="AG596" s="703"/>
      <c r="AH596" s="703"/>
      <c r="AI596" s="703"/>
      <c r="AJ596" s="703"/>
      <c r="AK596" s="703"/>
      <c r="AL596" s="703"/>
      <c r="AM596" s="703"/>
      <c r="AN596" s="703"/>
      <c r="AO596" s="703"/>
      <c r="AP596" s="703"/>
      <c r="AQ596" s="703"/>
      <c r="AR596" s="703"/>
      <c r="AS596" s="703"/>
      <c r="AT596" s="703"/>
      <c r="AU596" s="703"/>
      <c r="AV596" s="703"/>
      <c r="AW596" s="703"/>
      <c r="AX596" s="703"/>
      <c r="AY596" s="703"/>
      <c r="AZ596" s="703"/>
      <c r="BA596" s="703"/>
      <c r="BB596" s="703"/>
      <c r="BC596" s="703"/>
      <c r="BD596" s="703">
        <v>1</v>
      </c>
      <c r="BE596" s="703"/>
      <c r="BF596" s="703"/>
      <c r="BG596" s="703"/>
      <c r="BH596" s="703"/>
      <c r="BI596" s="703"/>
      <c r="BJ596" s="703"/>
      <c r="BK596" s="703"/>
      <c r="BL596" s="703"/>
      <c r="BM596" s="703"/>
      <c r="BN596" s="703"/>
      <c r="BO596" s="703"/>
      <c r="BP596" s="703"/>
      <c r="BQ596" s="703"/>
      <c r="BR596" s="703"/>
      <c r="BS596" s="703"/>
      <c r="BT596" s="703"/>
      <c r="BU596" s="703"/>
      <c r="BV596" s="703">
        <v>1</v>
      </c>
      <c r="BW596" s="703"/>
      <c r="BX596" s="703"/>
      <c r="BY596" s="703">
        <v>1</v>
      </c>
      <c r="BZ596" s="703"/>
      <c r="CA596" s="703"/>
      <c r="CB596" s="703"/>
      <c r="CC596" s="703"/>
      <c r="CD596" s="703">
        <f t="shared" si="189"/>
        <v>1</v>
      </c>
      <c r="CE596" s="703"/>
      <c r="CF596" s="703"/>
      <c r="CG596" s="703"/>
      <c r="CH596" s="703"/>
      <c r="CI596" s="703"/>
      <c r="CJ596" s="703"/>
      <c r="CK596" s="703"/>
      <c r="CL596" s="703">
        <f t="shared" si="190"/>
        <v>2</v>
      </c>
      <c r="CM596" s="703"/>
      <c r="CN596" s="703"/>
      <c r="CO596" s="703"/>
      <c r="CP596" s="703"/>
      <c r="CQ596" s="703"/>
      <c r="CR596" s="703"/>
      <c r="CS596" s="703"/>
      <c r="CT596" s="703"/>
      <c r="CU596" s="703"/>
      <c r="CV596" s="703"/>
      <c r="CW596" s="703"/>
      <c r="CX596" s="703"/>
      <c r="CY596" s="703"/>
      <c r="CZ596" s="703"/>
      <c r="DA596" s="703">
        <v>1</v>
      </c>
      <c r="DB596" s="703"/>
      <c r="DC596" s="703"/>
      <c r="DD596" s="703"/>
      <c r="DE596" s="703"/>
      <c r="DF596" s="703"/>
      <c r="DG596" s="705"/>
      <c r="DH596" s="705"/>
      <c r="DI596" s="705"/>
      <c r="DJ596" s="705"/>
      <c r="DK596" s="705"/>
      <c r="DL596" s="705"/>
      <c r="DM596" s="705"/>
      <c r="DN596" s="705"/>
      <c r="DO596" s="705"/>
      <c r="DP596" s="705"/>
      <c r="DQ596" s="705"/>
      <c r="DR596" s="705"/>
      <c r="DS596" s="703"/>
      <c r="DT596" s="703"/>
      <c r="DU596" s="703"/>
      <c r="DV596" s="703"/>
      <c r="DW596" s="703"/>
      <c r="DX596" s="703"/>
      <c r="DY596" s="703"/>
      <c r="DZ596" s="703"/>
      <c r="EA596" s="703"/>
      <c r="EB596" s="703"/>
      <c r="EC596" s="703"/>
      <c r="ED596" s="703"/>
      <c r="EE596" s="703"/>
      <c r="EF596" s="703"/>
      <c r="EG596" s="703"/>
      <c r="EH596" s="703"/>
      <c r="EI596" s="703"/>
      <c r="EJ596" s="703"/>
      <c r="EK596" s="703"/>
      <c r="EL596" s="703"/>
      <c r="EM596" s="703"/>
      <c r="EN596" s="703"/>
      <c r="EO596" s="703"/>
      <c r="EP596" s="703"/>
      <c r="EQ596" s="703"/>
      <c r="ER596" s="703"/>
      <c r="ES596" s="703"/>
      <c r="ET596" s="703"/>
      <c r="EU596" s="703"/>
      <c r="EV596" s="703"/>
      <c r="EW596" s="703"/>
      <c r="EX596" s="703"/>
      <c r="EY596" s="703"/>
      <c r="EZ596" s="703"/>
      <c r="FA596" s="703"/>
      <c r="FB596" s="703"/>
      <c r="FC596" s="703"/>
      <c r="FD596" s="703"/>
      <c r="FE596" s="703"/>
      <c r="FF596" s="703"/>
      <c r="FG596" s="703"/>
      <c r="FH596" s="703"/>
      <c r="FI596" s="703"/>
      <c r="FJ596" s="703"/>
      <c r="FK596" s="703"/>
      <c r="FL596" s="703"/>
      <c r="FM596" s="703"/>
      <c r="FN596" s="703"/>
      <c r="FO596" s="703"/>
      <c r="FP596" s="703"/>
      <c r="FQ596" s="704"/>
    </row>
    <row r="597" spans="1:173" s="696" customFormat="1">
      <c r="A597" s="690"/>
      <c r="B597" s="690"/>
      <c r="C597" s="691"/>
      <c r="D597" s="691" t="s">
        <v>3802</v>
      </c>
      <c r="E597" s="640">
        <v>40</v>
      </c>
      <c r="F597" s="692"/>
      <c r="G597" s="692"/>
      <c r="H597" s="692"/>
      <c r="I597" s="692"/>
      <c r="J597" s="692"/>
      <c r="K597" s="692"/>
      <c r="L597" s="692"/>
      <c r="M597" s="692"/>
      <c r="N597" s="692"/>
      <c r="O597" s="692"/>
      <c r="P597" s="692">
        <f>E597</f>
        <v>40</v>
      </c>
      <c r="Q597" s="692"/>
      <c r="R597" s="693"/>
      <c r="S597" s="693"/>
      <c r="T597" s="692"/>
      <c r="U597" s="692" t="s">
        <v>1631</v>
      </c>
      <c r="V597" s="692"/>
      <c r="W597" s="692"/>
      <c r="X597" s="692"/>
      <c r="Y597" s="692"/>
      <c r="Z597" s="692"/>
      <c r="AA597" s="692"/>
      <c r="AB597" s="692"/>
      <c r="AC597" s="692"/>
      <c r="AD597" s="692"/>
      <c r="AE597" s="725"/>
      <c r="AF597" s="957"/>
      <c r="AG597" s="692"/>
      <c r="AH597" s="692"/>
      <c r="AI597" s="692"/>
      <c r="AJ597" s="692"/>
      <c r="AK597" s="692"/>
      <c r="AL597" s="692"/>
      <c r="AM597" s="692"/>
      <c r="AN597" s="692"/>
      <c r="AO597" s="692"/>
      <c r="AP597" s="692"/>
      <c r="AQ597" s="692"/>
      <c r="AR597" s="692"/>
      <c r="AS597" s="692"/>
      <c r="AT597" s="692"/>
      <c r="AU597" s="692"/>
      <c r="AV597" s="692"/>
      <c r="AW597" s="692">
        <f>CB597</f>
        <v>1</v>
      </c>
      <c r="AX597" s="692"/>
      <c r="AY597" s="692"/>
      <c r="AZ597" s="692">
        <f>AW597+CB597+CC597</f>
        <v>2</v>
      </c>
      <c r="BA597" s="692"/>
      <c r="BB597" s="692"/>
      <c r="BC597" s="692"/>
      <c r="BD597" s="692"/>
      <c r="BE597" s="692">
        <v>1</v>
      </c>
      <c r="BF597" s="692"/>
      <c r="BG597" s="692"/>
      <c r="BH597" s="692"/>
      <c r="BI597" s="692"/>
      <c r="BJ597" s="692">
        <f>AU597*2+CB597*5</f>
        <v>5</v>
      </c>
      <c r="BK597" s="692"/>
      <c r="BL597" s="692"/>
      <c r="BM597" s="692"/>
      <c r="BN597" s="692"/>
      <c r="BO597" s="692"/>
      <c r="BP597" s="692"/>
      <c r="BQ597" s="692">
        <f>IF(U597="G",1,)</f>
        <v>0</v>
      </c>
      <c r="BR597" s="692"/>
      <c r="BS597" s="692"/>
      <c r="BT597" s="692">
        <f>IF(U597="I",1,IF(U597="G",2,))</f>
        <v>1</v>
      </c>
      <c r="BU597" s="692"/>
      <c r="BV597" s="692"/>
      <c r="BW597" s="692"/>
      <c r="BX597" s="692"/>
      <c r="BY597" s="692"/>
      <c r="BZ597" s="692"/>
      <c r="CA597" s="692"/>
      <c r="CB597" s="692">
        <v>1</v>
      </c>
      <c r="CC597" s="692"/>
      <c r="CD597" s="692">
        <f t="shared" ref="CD597:CD624" si="191">CB597*4</f>
        <v>4</v>
      </c>
      <c r="CE597" s="692"/>
      <c r="CF597" s="692"/>
      <c r="CG597" s="692"/>
      <c r="CH597" s="692"/>
      <c r="CI597" s="692"/>
      <c r="CJ597" s="692"/>
      <c r="CK597" s="692"/>
      <c r="CL597" s="692"/>
      <c r="CM597" s="692"/>
      <c r="CN597" s="692"/>
      <c r="CO597" s="692"/>
      <c r="CP597" s="692"/>
      <c r="CQ597" s="692"/>
      <c r="CR597" s="692"/>
      <c r="CS597" s="692"/>
      <c r="CT597" s="692"/>
      <c r="CU597" s="692"/>
      <c r="CV597" s="692"/>
      <c r="CW597" s="692"/>
      <c r="CX597" s="694"/>
      <c r="CY597" s="694"/>
      <c r="CZ597" s="694"/>
      <c r="DA597" s="694"/>
      <c r="DB597" s="694"/>
      <c r="DC597" s="694"/>
      <c r="DD597" s="694"/>
      <c r="DE597" s="694"/>
      <c r="DF597" s="694"/>
      <c r="DG597" s="695"/>
      <c r="DH597" s="695"/>
      <c r="DI597" s="695"/>
      <c r="DJ597" s="695"/>
      <c r="DK597" s="695"/>
      <c r="DL597" s="695"/>
      <c r="DM597" s="695"/>
      <c r="DN597" s="695"/>
      <c r="DO597" s="695"/>
      <c r="DP597" s="695"/>
      <c r="DQ597" s="695"/>
      <c r="DR597" s="695"/>
      <c r="DS597" s="694"/>
      <c r="DT597" s="694"/>
      <c r="DU597" s="694"/>
      <c r="DV597" s="694"/>
      <c r="DW597" s="694"/>
      <c r="DX597" s="694"/>
      <c r="DY597" s="694"/>
      <c r="DZ597" s="694"/>
      <c r="EA597" s="694"/>
      <c r="EB597" s="694"/>
      <c r="EC597" s="694"/>
      <c r="ED597" s="694"/>
      <c r="EE597" s="694"/>
      <c r="EF597" s="694"/>
      <c r="EG597" s="694"/>
      <c r="EH597" s="694"/>
      <c r="EI597" s="694"/>
      <c r="EJ597" s="694"/>
      <c r="EK597" s="694"/>
      <c r="EL597" s="694"/>
      <c r="EM597" s="694"/>
      <c r="EN597" s="694"/>
      <c r="EO597" s="694"/>
      <c r="EP597" s="694"/>
      <c r="EQ597" s="694"/>
      <c r="ER597" s="694"/>
      <c r="ES597" s="694"/>
      <c r="ET597" s="694"/>
      <c r="EU597" s="694"/>
      <c r="EV597" s="694"/>
      <c r="EW597" s="694"/>
      <c r="EX597" s="694"/>
      <c r="EY597" s="694"/>
      <c r="EZ597" s="694"/>
      <c r="FA597" s="694"/>
      <c r="FB597" s="694"/>
      <c r="FC597" s="694"/>
      <c r="FD597" s="694"/>
      <c r="FE597" s="694"/>
      <c r="FF597" s="694"/>
      <c r="FG597" s="694"/>
      <c r="FH597" s="694"/>
      <c r="FI597" s="694"/>
      <c r="FJ597" s="694"/>
      <c r="FK597" s="694"/>
      <c r="FL597" s="694"/>
      <c r="FM597" s="694"/>
      <c r="FN597" s="694"/>
      <c r="FO597" s="694"/>
      <c r="FP597" s="694"/>
      <c r="FQ597" s="697"/>
    </row>
    <row r="598" spans="1:173" s="696" customFormat="1">
      <c r="A598" s="690"/>
      <c r="B598" s="690"/>
      <c r="C598" s="691"/>
      <c r="D598" s="691" t="s">
        <v>3803</v>
      </c>
      <c r="E598" s="640">
        <v>42</v>
      </c>
      <c r="F598" s="692"/>
      <c r="G598" s="692"/>
      <c r="H598" s="692"/>
      <c r="I598" s="692"/>
      <c r="J598" s="692"/>
      <c r="K598" s="692"/>
      <c r="L598" s="692"/>
      <c r="M598" s="692"/>
      <c r="N598" s="692"/>
      <c r="O598" s="692"/>
      <c r="P598" s="692">
        <f t="shared" ref="P598:P636" si="192">E598</f>
        <v>42</v>
      </c>
      <c r="Q598" s="692"/>
      <c r="R598" s="693"/>
      <c r="S598" s="693"/>
      <c r="T598" s="692"/>
      <c r="U598" s="692" t="s">
        <v>3671</v>
      </c>
      <c r="V598" s="692"/>
      <c r="W598" s="692"/>
      <c r="X598" s="692"/>
      <c r="Y598" s="692"/>
      <c r="Z598" s="692"/>
      <c r="AA598" s="692"/>
      <c r="AB598" s="692"/>
      <c r="AC598" s="692"/>
      <c r="AD598" s="692"/>
      <c r="AE598" s="725"/>
      <c r="AF598" s="957"/>
      <c r="AG598" s="692"/>
      <c r="AH598" s="692"/>
      <c r="AI598" s="692"/>
      <c r="AJ598" s="692"/>
      <c r="AK598" s="692"/>
      <c r="AL598" s="692"/>
      <c r="AM598" s="692"/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>
        <f t="shared" ref="AW598:AW624" si="193">CB598</f>
        <v>0</v>
      </c>
      <c r="AX598" s="692"/>
      <c r="AY598" s="692"/>
      <c r="AZ598" s="692">
        <f t="shared" ref="AZ598:AZ636" si="194">AW598+CB598+CC598</f>
        <v>0</v>
      </c>
      <c r="BA598" s="692"/>
      <c r="BB598" s="692"/>
      <c r="BC598" s="692"/>
      <c r="BD598" s="692"/>
      <c r="BE598" s="692">
        <v>4</v>
      </c>
      <c r="BF598" s="692"/>
      <c r="BG598" s="692"/>
      <c r="BH598" s="692"/>
      <c r="BI598" s="692"/>
      <c r="BJ598" s="692">
        <f t="shared" ref="BJ598:BJ636" si="195">AU598*2+CB598*5</f>
        <v>0</v>
      </c>
      <c r="BK598" s="692"/>
      <c r="BL598" s="692"/>
      <c r="BM598" s="692"/>
      <c r="BN598" s="692"/>
      <c r="BO598" s="692"/>
      <c r="BP598" s="692"/>
      <c r="BQ598" s="692">
        <f t="shared" ref="BQ598:BQ636" si="196">IF(U598="G",1,)</f>
        <v>0</v>
      </c>
      <c r="BR598" s="692"/>
      <c r="BS598" s="692"/>
      <c r="BT598" s="692">
        <f t="shared" ref="BT598:BT637" si="197">IF(U598="I",1,IF(U598="G",2,))</f>
        <v>0</v>
      </c>
      <c r="BU598" s="692"/>
      <c r="BV598" s="692"/>
      <c r="BW598" s="692"/>
      <c r="BX598" s="692"/>
      <c r="BY598" s="692">
        <v>4</v>
      </c>
      <c r="BZ598" s="692"/>
      <c r="CA598" s="692"/>
      <c r="CB598" s="692"/>
      <c r="CC598" s="692"/>
      <c r="CD598" s="692">
        <f t="shared" si="191"/>
        <v>0</v>
      </c>
      <c r="CE598" s="692">
        <v>6</v>
      </c>
      <c r="CF598" s="692"/>
      <c r="CG598" s="692">
        <v>12</v>
      </c>
      <c r="CH598" s="692"/>
      <c r="CI598" s="692"/>
      <c r="CJ598" s="692">
        <v>8</v>
      </c>
      <c r="CK598" s="692"/>
      <c r="CL598" s="692"/>
      <c r="CM598" s="692"/>
      <c r="CN598" s="692">
        <v>16</v>
      </c>
      <c r="CO598" s="692">
        <v>8</v>
      </c>
      <c r="CP598" s="692"/>
      <c r="CQ598" s="692"/>
      <c r="CR598" s="692"/>
      <c r="CS598" s="692"/>
      <c r="CT598" s="692"/>
      <c r="CU598" s="692">
        <v>2</v>
      </c>
      <c r="CV598" s="692"/>
      <c r="CW598" s="692"/>
      <c r="CX598" s="694"/>
      <c r="CY598" s="694"/>
      <c r="CZ598" s="694"/>
      <c r="DA598" s="694"/>
      <c r="DB598" s="694"/>
      <c r="DC598" s="694"/>
      <c r="DD598" s="694"/>
      <c r="DE598" s="694"/>
      <c r="DF598" s="694"/>
      <c r="DG598" s="695"/>
      <c r="DH598" s="695"/>
      <c r="DI598" s="695"/>
      <c r="DJ598" s="695"/>
      <c r="DK598" s="695"/>
      <c r="DL598" s="695"/>
      <c r="DM598" s="695"/>
      <c r="DN598" s="695"/>
      <c r="DO598" s="695"/>
      <c r="DP598" s="695"/>
      <c r="DQ598" s="695"/>
      <c r="DR598" s="695"/>
      <c r="DS598" s="694"/>
      <c r="DT598" s="694"/>
      <c r="DU598" s="694"/>
      <c r="DV598" s="694"/>
      <c r="DW598" s="694"/>
      <c r="DX598" s="694"/>
      <c r="DY598" s="694"/>
      <c r="DZ598" s="694"/>
      <c r="EA598" s="694"/>
      <c r="EB598" s="694"/>
      <c r="EC598" s="694"/>
      <c r="ED598" s="694"/>
      <c r="EE598" s="694"/>
      <c r="EF598" s="694"/>
      <c r="EG598" s="694"/>
      <c r="EH598" s="694"/>
      <c r="EI598" s="694"/>
      <c r="EJ598" s="694"/>
      <c r="EK598" s="694"/>
      <c r="EL598" s="694"/>
      <c r="EM598" s="694"/>
      <c r="EN598" s="694"/>
      <c r="EO598" s="694"/>
      <c r="EP598" s="694"/>
      <c r="EQ598" s="694"/>
      <c r="ER598" s="694"/>
      <c r="ES598" s="694"/>
      <c r="ET598" s="694"/>
      <c r="EU598" s="694"/>
      <c r="EV598" s="694"/>
      <c r="EW598" s="694"/>
      <c r="EX598" s="694"/>
      <c r="EY598" s="694"/>
      <c r="EZ598" s="694"/>
      <c r="FA598" s="694"/>
      <c r="FB598" s="694"/>
      <c r="FC598" s="694"/>
      <c r="FD598" s="694"/>
      <c r="FE598" s="694"/>
      <c r="FF598" s="694"/>
      <c r="FG598" s="694"/>
      <c r="FH598" s="694"/>
      <c r="FI598" s="694"/>
      <c r="FJ598" s="694"/>
      <c r="FK598" s="694"/>
      <c r="FL598" s="694"/>
      <c r="FM598" s="694"/>
      <c r="FN598" s="694"/>
      <c r="FO598" s="694"/>
      <c r="FP598" s="694"/>
      <c r="FQ598" s="697"/>
    </row>
    <row r="599" spans="1:173" s="696" customFormat="1">
      <c r="A599" s="690"/>
      <c r="B599" s="690"/>
      <c r="C599" s="691" t="s">
        <v>3632</v>
      </c>
      <c r="D599" s="691"/>
      <c r="E599" s="640">
        <v>28</v>
      </c>
      <c r="F599" s="692"/>
      <c r="G599" s="692"/>
      <c r="H599" s="692"/>
      <c r="I599" s="692"/>
      <c r="J599" s="692"/>
      <c r="K599" s="692"/>
      <c r="L599" s="692"/>
      <c r="M599" s="692"/>
      <c r="N599" s="692"/>
      <c r="O599" s="692"/>
      <c r="P599" s="692">
        <f t="shared" si="192"/>
        <v>28</v>
      </c>
      <c r="Q599" s="692"/>
      <c r="R599" s="693"/>
      <c r="S599" s="693"/>
      <c r="T599" s="692"/>
      <c r="U599" s="692" t="s">
        <v>1631</v>
      </c>
      <c r="V599" s="692"/>
      <c r="W599" s="692">
        <v>1</v>
      </c>
      <c r="X599" s="692"/>
      <c r="Y599" s="692"/>
      <c r="Z599" s="692">
        <v>1</v>
      </c>
      <c r="AA599" s="692"/>
      <c r="AB599" s="692"/>
      <c r="AC599" s="692"/>
      <c r="AD599" s="692"/>
      <c r="AE599" s="725"/>
      <c r="AF599" s="957"/>
      <c r="AG599" s="692"/>
      <c r="AH599" s="692"/>
      <c r="AI599" s="692"/>
      <c r="AJ599" s="692"/>
      <c r="AK599" s="692"/>
      <c r="AL599" s="692"/>
      <c r="AM599" s="692"/>
      <c r="AN599" s="692"/>
      <c r="AO599" s="692"/>
      <c r="AP599" s="692"/>
      <c r="AQ599" s="692"/>
      <c r="AR599" s="692"/>
      <c r="AS599" s="692"/>
      <c r="AT599" s="692"/>
      <c r="AU599" s="692"/>
      <c r="AV599" s="692"/>
      <c r="AW599" s="692">
        <f t="shared" si="193"/>
        <v>0</v>
      </c>
      <c r="AX599" s="692"/>
      <c r="AY599" s="692"/>
      <c r="AZ599" s="692">
        <f t="shared" si="194"/>
        <v>0</v>
      </c>
      <c r="BA599" s="692"/>
      <c r="BB599" s="692"/>
      <c r="BC599" s="692"/>
      <c r="BD599" s="692">
        <v>1</v>
      </c>
      <c r="BE599" s="692"/>
      <c r="BF599" s="692"/>
      <c r="BG599" s="692"/>
      <c r="BH599" s="692"/>
      <c r="BI599" s="692"/>
      <c r="BJ599" s="692">
        <f t="shared" si="195"/>
        <v>0</v>
      </c>
      <c r="BK599" s="692"/>
      <c r="BL599" s="692"/>
      <c r="BM599" s="692"/>
      <c r="BN599" s="692"/>
      <c r="BO599" s="692"/>
      <c r="BP599" s="692"/>
      <c r="BQ599" s="692">
        <f t="shared" si="196"/>
        <v>0</v>
      </c>
      <c r="BR599" s="692"/>
      <c r="BS599" s="692"/>
      <c r="BT599" s="692">
        <f t="shared" si="197"/>
        <v>1</v>
      </c>
      <c r="BU599" s="692"/>
      <c r="BV599" s="692"/>
      <c r="BW599" s="692"/>
      <c r="BX599" s="692"/>
      <c r="BY599" s="692"/>
      <c r="BZ599" s="692"/>
      <c r="CA599" s="692"/>
      <c r="CB599" s="692"/>
      <c r="CC599" s="692"/>
      <c r="CD599" s="692">
        <f t="shared" si="191"/>
        <v>0</v>
      </c>
      <c r="CE599" s="692"/>
      <c r="CF599" s="692"/>
      <c r="CG599" s="692"/>
      <c r="CH599" s="692"/>
      <c r="CI599" s="692"/>
      <c r="CJ599" s="692"/>
      <c r="CK599" s="692"/>
      <c r="CL599" s="692"/>
      <c r="CM599" s="692"/>
      <c r="CN599" s="692"/>
      <c r="CO599" s="692"/>
      <c r="CP599" s="692"/>
      <c r="CQ599" s="692"/>
      <c r="CR599" s="692"/>
      <c r="CS599" s="692"/>
      <c r="CT599" s="692"/>
      <c r="CU599" s="692"/>
      <c r="CV599" s="692"/>
      <c r="CW599" s="692"/>
      <c r="CX599" s="694"/>
      <c r="CY599" s="694"/>
      <c r="CZ599" s="694"/>
      <c r="DA599" s="694"/>
      <c r="DB599" s="694"/>
      <c r="DC599" s="694"/>
      <c r="DD599" s="694"/>
      <c r="DE599" s="694"/>
      <c r="DF599" s="694"/>
      <c r="DG599" s="695"/>
      <c r="DH599" s="695"/>
      <c r="DI599" s="695"/>
      <c r="DJ599" s="695"/>
      <c r="DK599" s="695"/>
      <c r="DL599" s="695"/>
      <c r="DM599" s="695"/>
      <c r="DN599" s="695"/>
      <c r="DO599" s="695"/>
      <c r="DP599" s="695"/>
      <c r="DQ599" s="695"/>
      <c r="DR599" s="695"/>
      <c r="DS599" s="694"/>
      <c r="DT599" s="694"/>
      <c r="DU599" s="694"/>
      <c r="DV599" s="694"/>
      <c r="DW599" s="694"/>
      <c r="DX599" s="694"/>
      <c r="DY599" s="694"/>
      <c r="DZ599" s="694"/>
      <c r="EA599" s="694"/>
      <c r="EB599" s="694"/>
      <c r="EC599" s="694"/>
      <c r="ED599" s="694"/>
      <c r="EE599" s="694"/>
      <c r="EF599" s="694"/>
      <c r="EG599" s="694"/>
      <c r="EH599" s="694"/>
      <c r="EI599" s="694"/>
      <c r="EJ599" s="694"/>
      <c r="EK599" s="694"/>
      <c r="EL599" s="694"/>
      <c r="EM599" s="694"/>
      <c r="EN599" s="694"/>
      <c r="EO599" s="694"/>
      <c r="EP599" s="694"/>
      <c r="EQ599" s="694"/>
      <c r="ER599" s="694"/>
      <c r="ES599" s="694"/>
      <c r="ET599" s="694"/>
      <c r="EU599" s="694"/>
      <c r="EV599" s="694"/>
      <c r="EW599" s="694"/>
      <c r="EX599" s="694"/>
      <c r="EY599" s="694"/>
      <c r="EZ599" s="694"/>
      <c r="FA599" s="694"/>
      <c r="FB599" s="694"/>
      <c r="FC599" s="694"/>
      <c r="FD599" s="694"/>
      <c r="FE599" s="694"/>
      <c r="FF599" s="694"/>
      <c r="FG599" s="694"/>
      <c r="FH599" s="694"/>
      <c r="FI599" s="694"/>
      <c r="FJ599" s="694"/>
      <c r="FK599" s="694"/>
      <c r="FL599" s="694"/>
      <c r="FM599" s="694"/>
      <c r="FN599" s="694"/>
      <c r="FO599" s="694"/>
      <c r="FP599" s="694"/>
      <c r="FQ599" s="697"/>
    </row>
    <row r="600" spans="1:173" s="696" customFormat="1">
      <c r="A600" s="690"/>
      <c r="B600" s="690"/>
      <c r="C600" s="691" t="s">
        <v>3633</v>
      </c>
      <c r="D600" s="691"/>
      <c r="E600" s="640">
        <v>37</v>
      </c>
      <c r="F600" s="692"/>
      <c r="G600" s="692"/>
      <c r="H600" s="692"/>
      <c r="I600" s="692"/>
      <c r="J600" s="692"/>
      <c r="K600" s="692"/>
      <c r="L600" s="692"/>
      <c r="M600" s="692"/>
      <c r="N600" s="692"/>
      <c r="O600" s="692"/>
      <c r="P600" s="692">
        <f t="shared" si="192"/>
        <v>37</v>
      </c>
      <c r="Q600" s="692"/>
      <c r="R600" s="693"/>
      <c r="S600" s="693"/>
      <c r="T600" s="692"/>
      <c r="U600" s="692" t="s">
        <v>1631</v>
      </c>
      <c r="V600" s="692"/>
      <c r="W600" s="692">
        <v>1</v>
      </c>
      <c r="X600" s="692"/>
      <c r="Y600" s="692"/>
      <c r="Z600" s="692">
        <v>1</v>
      </c>
      <c r="AA600" s="692"/>
      <c r="AB600" s="692"/>
      <c r="AC600" s="692"/>
      <c r="AD600" s="692"/>
      <c r="AE600" s="725"/>
      <c r="AF600" s="957"/>
      <c r="AG600" s="692"/>
      <c r="AH600" s="692"/>
      <c r="AI600" s="692"/>
      <c r="AJ600" s="692"/>
      <c r="AK600" s="692"/>
      <c r="AL600" s="692"/>
      <c r="AM600" s="692"/>
      <c r="AN600" s="692"/>
      <c r="AO600" s="692"/>
      <c r="AP600" s="692"/>
      <c r="AQ600" s="692"/>
      <c r="AR600" s="692"/>
      <c r="AS600" s="692"/>
      <c r="AT600" s="692"/>
      <c r="AU600" s="692"/>
      <c r="AV600" s="692"/>
      <c r="AW600" s="692">
        <f t="shared" si="193"/>
        <v>0</v>
      </c>
      <c r="AX600" s="692"/>
      <c r="AY600" s="692"/>
      <c r="AZ600" s="692">
        <f t="shared" si="194"/>
        <v>0</v>
      </c>
      <c r="BA600" s="692"/>
      <c r="BB600" s="692"/>
      <c r="BC600" s="692"/>
      <c r="BD600" s="692">
        <v>1</v>
      </c>
      <c r="BE600" s="692"/>
      <c r="BF600" s="692"/>
      <c r="BG600" s="692"/>
      <c r="BH600" s="692"/>
      <c r="BI600" s="692"/>
      <c r="BJ600" s="692">
        <f t="shared" si="195"/>
        <v>0</v>
      </c>
      <c r="BK600" s="692"/>
      <c r="BL600" s="692"/>
      <c r="BM600" s="692"/>
      <c r="BN600" s="692"/>
      <c r="BO600" s="692"/>
      <c r="BP600" s="692"/>
      <c r="BQ600" s="692">
        <f t="shared" si="196"/>
        <v>0</v>
      </c>
      <c r="BR600" s="692"/>
      <c r="BS600" s="692"/>
      <c r="BT600" s="692">
        <f t="shared" si="197"/>
        <v>1</v>
      </c>
      <c r="BU600" s="692"/>
      <c r="BV600" s="692"/>
      <c r="BW600" s="692"/>
      <c r="BX600" s="692"/>
      <c r="BY600" s="692"/>
      <c r="BZ600" s="692"/>
      <c r="CA600" s="692"/>
      <c r="CB600" s="692"/>
      <c r="CC600" s="692"/>
      <c r="CD600" s="692">
        <f t="shared" si="191"/>
        <v>0</v>
      </c>
      <c r="CE600" s="692"/>
      <c r="CF600" s="692"/>
      <c r="CG600" s="692"/>
      <c r="CH600" s="692"/>
      <c r="CI600" s="692"/>
      <c r="CJ600" s="692"/>
      <c r="CK600" s="692"/>
      <c r="CL600" s="692"/>
      <c r="CM600" s="692"/>
      <c r="CN600" s="692"/>
      <c r="CO600" s="692"/>
      <c r="CP600" s="692"/>
      <c r="CQ600" s="692"/>
      <c r="CR600" s="692"/>
      <c r="CS600" s="692"/>
      <c r="CT600" s="692"/>
      <c r="CU600" s="692"/>
      <c r="CV600" s="692"/>
      <c r="CW600" s="692"/>
      <c r="CX600" s="694"/>
      <c r="CY600" s="694"/>
      <c r="CZ600" s="694"/>
      <c r="DA600" s="694"/>
      <c r="DB600" s="694"/>
      <c r="DC600" s="694"/>
      <c r="DD600" s="694"/>
      <c r="DE600" s="694"/>
      <c r="DF600" s="694"/>
      <c r="DG600" s="695"/>
      <c r="DH600" s="695"/>
      <c r="DI600" s="695"/>
      <c r="DJ600" s="695"/>
      <c r="DK600" s="695"/>
      <c r="DL600" s="695"/>
      <c r="DM600" s="695"/>
      <c r="DN600" s="695"/>
      <c r="DO600" s="695"/>
      <c r="DP600" s="695"/>
      <c r="DQ600" s="695"/>
      <c r="DR600" s="695"/>
      <c r="DS600" s="694"/>
      <c r="DT600" s="694"/>
      <c r="DU600" s="694"/>
      <c r="DV600" s="694"/>
      <c r="DW600" s="694"/>
      <c r="DX600" s="694"/>
      <c r="DY600" s="694"/>
      <c r="DZ600" s="694"/>
      <c r="EA600" s="694"/>
      <c r="EB600" s="694"/>
      <c r="EC600" s="694"/>
      <c r="ED600" s="694"/>
      <c r="EE600" s="694"/>
      <c r="EF600" s="694"/>
      <c r="EG600" s="694"/>
      <c r="EH600" s="694"/>
      <c r="EI600" s="694"/>
      <c r="EJ600" s="694"/>
      <c r="EK600" s="694"/>
      <c r="EL600" s="694"/>
      <c r="EM600" s="694"/>
      <c r="EN600" s="694"/>
      <c r="EO600" s="694"/>
      <c r="EP600" s="694"/>
      <c r="EQ600" s="694"/>
      <c r="ER600" s="694"/>
      <c r="ES600" s="694"/>
      <c r="ET600" s="694"/>
      <c r="EU600" s="694"/>
      <c r="EV600" s="694"/>
      <c r="EW600" s="694"/>
      <c r="EX600" s="694"/>
      <c r="EY600" s="694"/>
      <c r="EZ600" s="694"/>
      <c r="FA600" s="694"/>
      <c r="FB600" s="694"/>
      <c r="FC600" s="694"/>
      <c r="FD600" s="694"/>
      <c r="FE600" s="694"/>
      <c r="FF600" s="694"/>
      <c r="FG600" s="694"/>
      <c r="FH600" s="694"/>
      <c r="FI600" s="694"/>
      <c r="FJ600" s="694"/>
      <c r="FK600" s="694"/>
      <c r="FL600" s="694"/>
      <c r="FM600" s="694"/>
      <c r="FN600" s="694"/>
      <c r="FO600" s="694"/>
      <c r="FP600" s="694"/>
      <c r="FQ600" s="697"/>
    </row>
    <row r="601" spans="1:173" s="696" customFormat="1">
      <c r="A601" s="690"/>
      <c r="B601" s="690"/>
      <c r="C601" s="691" t="s">
        <v>3634</v>
      </c>
      <c r="D601" s="691"/>
      <c r="E601" s="640">
        <v>35</v>
      </c>
      <c r="F601" s="692"/>
      <c r="G601" s="692"/>
      <c r="H601" s="692"/>
      <c r="I601" s="692"/>
      <c r="J601" s="692"/>
      <c r="K601" s="692"/>
      <c r="L601" s="692"/>
      <c r="M601" s="692"/>
      <c r="N601" s="692"/>
      <c r="O601" s="692"/>
      <c r="P601" s="692">
        <f t="shared" si="192"/>
        <v>35</v>
      </c>
      <c r="Q601" s="692"/>
      <c r="R601" s="693"/>
      <c r="S601" s="693"/>
      <c r="T601" s="692"/>
      <c r="U601" s="692" t="s">
        <v>1631</v>
      </c>
      <c r="V601" s="692"/>
      <c r="W601" s="692">
        <v>1</v>
      </c>
      <c r="X601" s="692"/>
      <c r="Y601" s="692"/>
      <c r="Z601" s="692">
        <v>1</v>
      </c>
      <c r="AA601" s="692"/>
      <c r="AB601" s="692"/>
      <c r="AC601" s="692"/>
      <c r="AD601" s="692"/>
      <c r="AE601" s="725"/>
      <c r="AF601" s="957"/>
      <c r="AG601" s="692"/>
      <c r="AH601" s="692"/>
      <c r="AI601" s="692"/>
      <c r="AJ601" s="692"/>
      <c r="AK601" s="692"/>
      <c r="AL601" s="692"/>
      <c r="AM601" s="692"/>
      <c r="AN601" s="692"/>
      <c r="AO601" s="692"/>
      <c r="AP601" s="692"/>
      <c r="AQ601" s="692"/>
      <c r="AR601" s="692"/>
      <c r="AS601" s="692"/>
      <c r="AT601" s="692"/>
      <c r="AU601" s="692">
        <v>1</v>
      </c>
      <c r="AV601" s="692"/>
      <c r="AW601" s="692">
        <f t="shared" si="193"/>
        <v>1</v>
      </c>
      <c r="AX601" s="692"/>
      <c r="AY601" s="692"/>
      <c r="AZ601" s="692">
        <f t="shared" si="194"/>
        <v>2</v>
      </c>
      <c r="BA601" s="692"/>
      <c r="BB601" s="692"/>
      <c r="BC601" s="692"/>
      <c r="BD601" s="692">
        <v>1</v>
      </c>
      <c r="BE601" s="692"/>
      <c r="BF601" s="692"/>
      <c r="BG601" s="692"/>
      <c r="BH601" s="692"/>
      <c r="BI601" s="692"/>
      <c r="BJ601" s="692">
        <f t="shared" si="195"/>
        <v>7</v>
      </c>
      <c r="BK601" s="692"/>
      <c r="BL601" s="692"/>
      <c r="BM601" s="692"/>
      <c r="BN601" s="692"/>
      <c r="BO601" s="692"/>
      <c r="BP601" s="692"/>
      <c r="BQ601" s="692">
        <f t="shared" si="196"/>
        <v>0</v>
      </c>
      <c r="BR601" s="692"/>
      <c r="BS601" s="692"/>
      <c r="BT601" s="692">
        <f t="shared" si="197"/>
        <v>1</v>
      </c>
      <c r="BU601" s="692"/>
      <c r="BV601" s="692"/>
      <c r="BW601" s="692"/>
      <c r="BX601" s="692"/>
      <c r="BY601" s="692"/>
      <c r="BZ601" s="692"/>
      <c r="CA601" s="692"/>
      <c r="CB601" s="692">
        <v>1</v>
      </c>
      <c r="CC601" s="692"/>
      <c r="CD601" s="692">
        <f t="shared" si="191"/>
        <v>4</v>
      </c>
      <c r="CE601" s="692"/>
      <c r="CF601" s="692"/>
      <c r="CG601" s="692"/>
      <c r="CH601" s="692"/>
      <c r="CI601" s="692"/>
      <c r="CJ601" s="692"/>
      <c r="CK601" s="692"/>
      <c r="CL601" s="692"/>
      <c r="CM601" s="692"/>
      <c r="CN601" s="692"/>
      <c r="CO601" s="692"/>
      <c r="CP601" s="692"/>
      <c r="CQ601" s="692"/>
      <c r="CR601" s="692"/>
      <c r="CS601" s="692"/>
      <c r="CT601" s="692"/>
      <c r="CU601" s="692"/>
      <c r="CV601" s="692"/>
      <c r="CW601" s="692"/>
      <c r="CX601" s="694"/>
      <c r="CY601" s="694"/>
      <c r="CZ601" s="694"/>
      <c r="DA601" s="694"/>
      <c r="DB601" s="694"/>
      <c r="DC601" s="694"/>
      <c r="DD601" s="694"/>
      <c r="DE601" s="694"/>
      <c r="DF601" s="694"/>
      <c r="DG601" s="695"/>
      <c r="DH601" s="695"/>
      <c r="DI601" s="695"/>
      <c r="DJ601" s="695"/>
      <c r="DK601" s="695"/>
      <c r="DL601" s="695"/>
      <c r="DM601" s="695"/>
      <c r="DN601" s="695"/>
      <c r="DO601" s="695"/>
      <c r="DP601" s="695"/>
      <c r="DQ601" s="695"/>
      <c r="DR601" s="695"/>
      <c r="DS601" s="694"/>
      <c r="DT601" s="694"/>
      <c r="DU601" s="694"/>
      <c r="DV601" s="694"/>
      <c r="DW601" s="694"/>
      <c r="DX601" s="694"/>
      <c r="DY601" s="694"/>
      <c r="DZ601" s="694"/>
      <c r="EA601" s="694"/>
      <c r="EB601" s="694"/>
      <c r="EC601" s="694"/>
      <c r="ED601" s="694"/>
      <c r="EE601" s="694"/>
      <c r="EF601" s="694"/>
      <c r="EG601" s="694"/>
      <c r="EH601" s="694"/>
      <c r="EI601" s="694"/>
      <c r="EJ601" s="694"/>
      <c r="EK601" s="694"/>
      <c r="EL601" s="694"/>
      <c r="EM601" s="694"/>
      <c r="EN601" s="694"/>
      <c r="EO601" s="694"/>
      <c r="EP601" s="694"/>
      <c r="EQ601" s="694"/>
      <c r="ER601" s="694"/>
      <c r="ES601" s="694"/>
      <c r="ET601" s="694"/>
      <c r="EU601" s="694"/>
      <c r="EV601" s="694"/>
      <c r="EW601" s="694"/>
      <c r="EX601" s="694"/>
      <c r="EY601" s="694"/>
      <c r="EZ601" s="694"/>
      <c r="FA601" s="694"/>
      <c r="FB601" s="694"/>
      <c r="FC601" s="694"/>
      <c r="FD601" s="694"/>
      <c r="FE601" s="694"/>
      <c r="FF601" s="694"/>
      <c r="FG601" s="694"/>
      <c r="FH601" s="694"/>
      <c r="FI601" s="694"/>
      <c r="FJ601" s="694"/>
      <c r="FK601" s="694"/>
      <c r="FL601" s="694"/>
      <c r="FM601" s="694"/>
      <c r="FN601" s="694"/>
      <c r="FO601" s="694"/>
      <c r="FP601" s="694"/>
      <c r="FQ601" s="697"/>
    </row>
    <row r="602" spans="1:173" s="696" customFormat="1">
      <c r="A602" s="690"/>
      <c r="B602" s="690"/>
      <c r="C602" s="691" t="s">
        <v>3635</v>
      </c>
      <c r="D602" s="691"/>
      <c r="E602" s="640">
        <v>35</v>
      </c>
      <c r="F602" s="692"/>
      <c r="G602" s="692"/>
      <c r="H602" s="692"/>
      <c r="I602" s="692"/>
      <c r="J602" s="692"/>
      <c r="K602" s="692"/>
      <c r="L602" s="692"/>
      <c r="M602" s="692"/>
      <c r="N602" s="692"/>
      <c r="O602" s="692"/>
      <c r="P602" s="692">
        <f t="shared" si="192"/>
        <v>35</v>
      </c>
      <c r="Q602" s="692"/>
      <c r="R602" s="693"/>
      <c r="S602" s="693"/>
      <c r="T602" s="692"/>
      <c r="U602" s="692" t="s">
        <v>1631</v>
      </c>
      <c r="V602" s="692"/>
      <c r="W602" s="692">
        <v>1</v>
      </c>
      <c r="X602" s="692"/>
      <c r="Y602" s="692"/>
      <c r="Z602" s="692">
        <v>1</v>
      </c>
      <c r="AA602" s="692"/>
      <c r="AB602" s="692"/>
      <c r="AC602" s="692"/>
      <c r="AD602" s="692"/>
      <c r="AE602" s="725"/>
      <c r="AF602" s="957"/>
      <c r="AG602" s="692"/>
      <c r="AH602" s="692"/>
      <c r="AI602" s="692"/>
      <c r="AJ602" s="692"/>
      <c r="AK602" s="692"/>
      <c r="AL602" s="692"/>
      <c r="AM602" s="692"/>
      <c r="AN602" s="692"/>
      <c r="AO602" s="692"/>
      <c r="AP602" s="692"/>
      <c r="AQ602" s="692"/>
      <c r="AR602" s="692"/>
      <c r="AS602" s="692"/>
      <c r="AT602" s="692"/>
      <c r="AU602" s="692"/>
      <c r="AV602" s="692"/>
      <c r="AW602" s="692">
        <f t="shared" si="193"/>
        <v>0</v>
      </c>
      <c r="AX602" s="692"/>
      <c r="AY602" s="692"/>
      <c r="AZ602" s="692">
        <f t="shared" si="194"/>
        <v>0</v>
      </c>
      <c r="BA602" s="692"/>
      <c r="BB602" s="692"/>
      <c r="BC602" s="692"/>
      <c r="BD602" s="692">
        <v>1</v>
      </c>
      <c r="BE602" s="692"/>
      <c r="BF602" s="692"/>
      <c r="BG602" s="692"/>
      <c r="BH602" s="692"/>
      <c r="BI602" s="692"/>
      <c r="BJ602" s="692">
        <f t="shared" si="195"/>
        <v>0</v>
      </c>
      <c r="BK602" s="692"/>
      <c r="BL602" s="692"/>
      <c r="BM602" s="692"/>
      <c r="BN602" s="692"/>
      <c r="BO602" s="692"/>
      <c r="BP602" s="692"/>
      <c r="BQ602" s="692">
        <f t="shared" si="196"/>
        <v>0</v>
      </c>
      <c r="BR602" s="692"/>
      <c r="BS602" s="692"/>
      <c r="BT602" s="692">
        <f t="shared" si="197"/>
        <v>1</v>
      </c>
      <c r="BU602" s="692"/>
      <c r="BV602" s="692"/>
      <c r="BW602" s="692"/>
      <c r="BX602" s="692"/>
      <c r="BY602" s="692"/>
      <c r="BZ602" s="692"/>
      <c r="CA602" s="692"/>
      <c r="CB602" s="692"/>
      <c r="CC602" s="692"/>
      <c r="CD602" s="692">
        <f t="shared" si="191"/>
        <v>0</v>
      </c>
      <c r="CE602" s="692"/>
      <c r="CF602" s="692"/>
      <c r="CG602" s="692"/>
      <c r="CH602" s="692"/>
      <c r="CI602" s="692"/>
      <c r="CJ602" s="692"/>
      <c r="CK602" s="692"/>
      <c r="CL602" s="692"/>
      <c r="CM602" s="692"/>
      <c r="CN602" s="692"/>
      <c r="CO602" s="692"/>
      <c r="CP602" s="692"/>
      <c r="CQ602" s="692"/>
      <c r="CR602" s="692"/>
      <c r="CS602" s="692"/>
      <c r="CT602" s="692"/>
      <c r="CU602" s="692"/>
      <c r="CV602" s="692"/>
      <c r="CW602" s="692"/>
      <c r="CX602" s="694"/>
      <c r="CY602" s="694"/>
      <c r="CZ602" s="694"/>
      <c r="DA602" s="694"/>
      <c r="DB602" s="694"/>
      <c r="DC602" s="694"/>
      <c r="DD602" s="694"/>
      <c r="DE602" s="694"/>
      <c r="DF602" s="694"/>
      <c r="DG602" s="695"/>
      <c r="DH602" s="695"/>
      <c r="DI602" s="695"/>
      <c r="DJ602" s="695"/>
      <c r="DK602" s="695"/>
      <c r="DL602" s="695"/>
      <c r="DM602" s="695"/>
      <c r="DN602" s="695"/>
      <c r="DO602" s="695"/>
      <c r="DP602" s="695"/>
      <c r="DQ602" s="695"/>
      <c r="DR602" s="695"/>
      <c r="DS602" s="694"/>
      <c r="DT602" s="694"/>
      <c r="DU602" s="694"/>
      <c r="DV602" s="694"/>
      <c r="DW602" s="694"/>
      <c r="DX602" s="694"/>
      <c r="DY602" s="694"/>
      <c r="DZ602" s="694"/>
      <c r="EA602" s="694"/>
      <c r="EB602" s="694"/>
      <c r="EC602" s="694"/>
      <c r="ED602" s="694"/>
      <c r="EE602" s="694"/>
      <c r="EF602" s="694"/>
      <c r="EG602" s="694"/>
      <c r="EH602" s="694"/>
      <c r="EI602" s="694"/>
      <c r="EJ602" s="694"/>
      <c r="EK602" s="694"/>
      <c r="EL602" s="694"/>
      <c r="EM602" s="694"/>
      <c r="EN602" s="694"/>
      <c r="EO602" s="694"/>
      <c r="EP602" s="694"/>
      <c r="EQ602" s="694"/>
      <c r="ER602" s="694"/>
      <c r="ES602" s="694"/>
      <c r="ET602" s="694"/>
      <c r="EU602" s="694"/>
      <c r="EV602" s="694"/>
      <c r="EW602" s="694"/>
      <c r="EX602" s="694"/>
      <c r="EY602" s="694"/>
      <c r="EZ602" s="694"/>
      <c r="FA602" s="694"/>
      <c r="FB602" s="694"/>
      <c r="FC602" s="694"/>
      <c r="FD602" s="694"/>
      <c r="FE602" s="694"/>
      <c r="FF602" s="694"/>
      <c r="FG602" s="694"/>
      <c r="FH602" s="694"/>
      <c r="FI602" s="694"/>
      <c r="FJ602" s="694"/>
      <c r="FK602" s="694"/>
      <c r="FL602" s="694"/>
      <c r="FM602" s="694"/>
      <c r="FN602" s="694"/>
      <c r="FO602" s="694"/>
      <c r="FP602" s="694"/>
      <c r="FQ602" s="697"/>
    </row>
    <row r="603" spans="1:173" s="696" customFormat="1">
      <c r="A603" s="690"/>
      <c r="B603" s="690"/>
      <c r="C603" s="691" t="s">
        <v>3636</v>
      </c>
      <c r="D603" s="691"/>
      <c r="E603" s="640">
        <v>30</v>
      </c>
      <c r="F603" s="692"/>
      <c r="G603" s="692"/>
      <c r="H603" s="692"/>
      <c r="I603" s="692"/>
      <c r="J603" s="692"/>
      <c r="K603" s="692"/>
      <c r="L603" s="692"/>
      <c r="M603" s="692"/>
      <c r="N603" s="692"/>
      <c r="O603" s="692"/>
      <c r="P603" s="692">
        <f t="shared" si="192"/>
        <v>30</v>
      </c>
      <c r="Q603" s="692"/>
      <c r="R603" s="693"/>
      <c r="S603" s="693"/>
      <c r="T603" s="692"/>
      <c r="U603" s="692" t="s">
        <v>1631</v>
      </c>
      <c r="V603" s="692"/>
      <c r="W603" s="692">
        <v>1</v>
      </c>
      <c r="X603" s="692"/>
      <c r="Y603" s="692"/>
      <c r="Z603" s="692">
        <v>1</v>
      </c>
      <c r="AA603" s="692"/>
      <c r="AB603" s="692"/>
      <c r="AC603" s="692"/>
      <c r="AD603" s="692"/>
      <c r="AE603" s="725"/>
      <c r="AF603" s="957"/>
      <c r="AG603" s="692"/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>
        <f t="shared" si="193"/>
        <v>1</v>
      </c>
      <c r="AX603" s="692"/>
      <c r="AY603" s="692"/>
      <c r="AZ603" s="692">
        <f t="shared" si="194"/>
        <v>2</v>
      </c>
      <c r="BA603" s="692"/>
      <c r="BB603" s="692"/>
      <c r="BC603" s="692"/>
      <c r="BD603" s="692">
        <v>1</v>
      </c>
      <c r="BE603" s="692"/>
      <c r="BF603" s="692"/>
      <c r="BG603" s="692"/>
      <c r="BH603" s="692"/>
      <c r="BI603" s="692"/>
      <c r="BJ603" s="692">
        <f t="shared" si="195"/>
        <v>5</v>
      </c>
      <c r="BK603" s="692"/>
      <c r="BL603" s="692"/>
      <c r="BM603" s="692"/>
      <c r="BN603" s="692"/>
      <c r="BO603" s="692"/>
      <c r="BP603" s="692"/>
      <c r="BQ603" s="692">
        <f t="shared" si="196"/>
        <v>0</v>
      </c>
      <c r="BR603" s="692"/>
      <c r="BS603" s="692"/>
      <c r="BT603" s="692">
        <f t="shared" si="197"/>
        <v>1</v>
      </c>
      <c r="BU603" s="692"/>
      <c r="BV603" s="692"/>
      <c r="BW603" s="692"/>
      <c r="BX603" s="692"/>
      <c r="BY603" s="692"/>
      <c r="BZ603" s="692"/>
      <c r="CA603" s="692"/>
      <c r="CB603" s="692">
        <v>1</v>
      </c>
      <c r="CC603" s="692"/>
      <c r="CD603" s="692">
        <f t="shared" si="191"/>
        <v>4</v>
      </c>
      <c r="CE603" s="692"/>
      <c r="CF603" s="692"/>
      <c r="CG603" s="692"/>
      <c r="CH603" s="692"/>
      <c r="CI603" s="692"/>
      <c r="CJ603" s="692"/>
      <c r="CK603" s="692"/>
      <c r="CL603" s="692"/>
      <c r="CM603" s="692"/>
      <c r="CN603" s="692"/>
      <c r="CO603" s="692"/>
      <c r="CP603" s="692"/>
      <c r="CQ603" s="692"/>
      <c r="CR603" s="692"/>
      <c r="CS603" s="692"/>
      <c r="CT603" s="692"/>
      <c r="CU603" s="692"/>
      <c r="CV603" s="692"/>
      <c r="CW603" s="692"/>
      <c r="CX603" s="694"/>
      <c r="CY603" s="694"/>
      <c r="CZ603" s="694"/>
      <c r="DA603" s="694"/>
      <c r="DB603" s="694"/>
      <c r="DC603" s="694"/>
      <c r="DD603" s="694"/>
      <c r="DE603" s="694"/>
      <c r="DF603" s="694"/>
      <c r="DG603" s="695"/>
      <c r="DH603" s="695"/>
      <c r="DI603" s="695"/>
      <c r="DJ603" s="695"/>
      <c r="DK603" s="695"/>
      <c r="DL603" s="695"/>
      <c r="DM603" s="695"/>
      <c r="DN603" s="695"/>
      <c r="DO603" s="695"/>
      <c r="DP603" s="695"/>
      <c r="DQ603" s="695"/>
      <c r="DR603" s="695"/>
      <c r="DS603" s="694"/>
      <c r="DT603" s="694"/>
      <c r="DU603" s="694"/>
      <c r="DV603" s="694"/>
      <c r="DW603" s="694"/>
      <c r="DX603" s="694"/>
      <c r="DY603" s="694"/>
      <c r="DZ603" s="694"/>
      <c r="EA603" s="694"/>
      <c r="EB603" s="694"/>
      <c r="EC603" s="694"/>
      <c r="ED603" s="694"/>
      <c r="EE603" s="694"/>
      <c r="EF603" s="694"/>
      <c r="EG603" s="694"/>
      <c r="EH603" s="694"/>
      <c r="EI603" s="694"/>
      <c r="EJ603" s="694"/>
      <c r="EK603" s="694"/>
      <c r="EL603" s="694"/>
      <c r="EM603" s="694"/>
      <c r="EN603" s="694"/>
      <c r="EO603" s="694"/>
      <c r="EP603" s="694"/>
      <c r="EQ603" s="694"/>
      <c r="ER603" s="694"/>
      <c r="ES603" s="694"/>
      <c r="ET603" s="694"/>
      <c r="EU603" s="694"/>
      <c r="EV603" s="694"/>
      <c r="EW603" s="694"/>
      <c r="EX603" s="694"/>
      <c r="EY603" s="694"/>
      <c r="EZ603" s="694"/>
      <c r="FA603" s="694"/>
      <c r="FB603" s="694"/>
      <c r="FC603" s="694"/>
      <c r="FD603" s="694"/>
      <c r="FE603" s="694"/>
      <c r="FF603" s="694"/>
      <c r="FG603" s="694"/>
      <c r="FH603" s="694"/>
      <c r="FI603" s="694"/>
      <c r="FJ603" s="694"/>
      <c r="FK603" s="694"/>
      <c r="FL603" s="694"/>
      <c r="FM603" s="694"/>
      <c r="FN603" s="694"/>
      <c r="FO603" s="694"/>
      <c r="FP603" s="694"/>
      <c r="FQ603" s="697"/>
    </row>
    <row r="604" spans="1:173" s="696" customFormat="1">
      <c r="A604" s="690"/>
      <c r="B604" s="690"/>
      <c r="C604" s="691" t="s">
        <v>3637</v>
      </c>
      <c r="D604" s="691"/>
      <c r="E604" s="640">
        <v>35</v>
      </c>
      <c r="F604" s="692"/>
      <c r="G604" s="692"/>
      <c r="H604" s="692"/>
      <c r="I604" s="692"/>
      <c r="J604" s="692"/>
      <c r="K604" s="692"/>
      <c r="L604" s="692"/>
      <c r="M604" s="692"/>
      <c r="N604" s="692"/>
      <c r="O604" s="692"/>
      <c r="P604" s="692">
        <f t="shared" si="192"/>
        <v>35</v>
      </c>
      <c r="Q604" s="692"/>
      <c r="R604" s="693"/>
      <c r="S604" s="693"/>
      <c r="T604" s="692"/>
      <c r="U604" s="692" t="s">
        <v>1631</v>
      </c>
      <c r="V604" s="692"/>
      <c r="W604" s="692">
        <v>1</v>
      </c>
      <c r="X604" s="692"/>
      <c r="Y604" s="692"/>
      <c r="Z604" s="692">
        <v>1</v>
      </c>
      <c r="AA604" s="692"/>
      <c r="AB604" s="692"/>
      <c r="AC604" s="692"/>
      <c r="AD604" s="692"/>
      <c r="AE604" s="725"/>
      <c r="AF604" s="957"/>
      <c r="AG604" s="692"/>
      <c r="AH604" s="692"/>
      <c r="AI604" s="692"/>
      <c r="AJ604" s="692"/>
      <c r="AK604" s="692"/>
      <c r="AL604" s="692"/>
      <c r="AM604" s="692"/>
      <c r="AN604" s="692"/>
      <c r="AO604" s="692"/>
      <c r="AP604" s="692"/>
      <c r="AQ604" s="692"/>
      <c r="AR604" s="692"/>
      <c r="AS604" s="692"/>
      <c r="AT604" s="692"/>
      <c r="AU604" s="692"/>
      <c r="AV604" s="692"/>
      <c r="AW604" s="692">
        <f t="shared" si="193"/>
        <v>0</v>
      </c>
      <c r="AX604" s="692"/>
      <c r="AY604" s="692"/>
      <c r="AZ604" s="692">
        <f t="shared" si="194"/>
        <v>0</v>
      </c>
      <c r="BA604" s="692"/>
      <c r="BB604" s="692"/>
      <c r="BC604" s="692"/>
      <c r="BD604" s="692">
        <v>1</v>
      </c>
      <c r="BE604" s="692"/>
      <c r="BF604" s="692"/>
      <c r="BG604" s="692"/>
      <c r="BH604" s="692"/>
      <c r="BI604" s="692"/>
      <c r="BJ604" s="692">
        <f t="shared" si="195"/>
        <v>0</v>
      </c>
      <c r="BK604" s="692"/>
      <c r="BL604" s="692"/>
      <c r="BM604" s="692"/>
      <c r="BN604" s="692"/>
      <c r="BO604" s="692"/>
      <c r="BP604" s="692"/>
      <c r="BQ604" s="692">
        <f t="shared" si="196"/>
        <v>0</v>
      </c>
      <c r="BR604" s="692"/>
      <c r="BS604" s="692"/>
      <c r="BT604" s="692">
        <f t="shared" si="197"/>
        <v>1</v>
      </c>
      <c r="BU604" s="692"/>
      <c r="BV604" s="692"/>
      <c r="BW604" s="692"/>
      <c r="BX604" s="692"/>
      <c r="BY604" s="692"/>
      <c r="BZ604" s="692"/>
      <c r="CA604" s="692"/>
      <c r="CB604" s="692"/>
      <c r="CC604" s="692"/>
      <c r="CD604" s="692">
        <f t="shared" si="191"/>
        <v>0</v>
      </c>
      <c r="CE604" s="692"/>
      <c r="CF604" s="692"/>
      <c r="CG604" s="692"/>
      <c r="CH604" s="692"/>
      <c r="CI604" s="692"/>
      <c r="CJ604" s="692"/>
      <c r="CK604" s="692"/>
      <c r="CL604" s="692"/>
      <c r="CM604" s="692"/>
      <c r="CN604" s="692"/>
      <c r="CO604" s="692"/>
      <c r="CP604" s="692"/>
      <c r="CQ604" s="692"/>
      <c r="CR604" s="692"/>
      <c r="CS604" s="692"/>
      <c r="CT604" s="692"/>
      <c r="CU604" s="692"/>
      <c r="CV604" s="692"/>
      <c r="CW604" s="692"/>
      <c r="CX604" s="694"/>
      <c r="CY604" s="694"/>
      <c r="CZ604" s="694"/>
      <c r="DA604" s="694"/>
      <c r="DB604" s="694"/>
      <c r="DC604" s="694"/>
      <c r="DD604" s="694"/>
      <c r="DE604" s="694"/>
      <c r="DF604" s="694"/>
      <c r="DG604" s="695"/>
      <c r="DH604" s="695"/>
      <c r="DI604" s="695"/>
      <c r="DJ604" s="695"/>
      <c r="DK604" s="695"/>
      <c r="DL604" s="695"/>
      <c r="DM604" s="695"/>
      <c r="DN604" s="695"/>
      <c r="DO604" s="695"/>
      <c r="DP604" s="695"/>
      <c r="DQ604" s="695"/>
      <c r="DR604" s="695"/>
      <c r="DS604" s="694"/>
      <c r="DT604" s="694"/>
      <c r="DU604" s="694"/>
      <c r="DV604" s="694"/>
      <c r="DW604" s="694"/>
      <c r="DX604" s="694"/>
      <c r="DY604" s="694"/>
      <c r="DZ604" s="694"/>
      <c r="EA604" s="694"/>
      <c r="EB604" s="694"/>
      <c r="EC604" s="694"/>
      <c r="ED604" s="694"/>
      <c r="EE604" s="694"/>
      <c r="EF604" s="694"/>
      <c r="EG604" s="694"/>
      <c r="EH604" s="694"/>
      <c r="EI604" s="694"/>
      <c r="EJ604" s="694"/>
      <c r="EK604" s="694"/>
      <c r="EL604" s="694"/>
      <c r="EM604" s="694"/>
      <c r="EN604" s="694"/>
      <c r="EO604" s="694"/>
      <c r="EP604" s="694"/>
      <c r="EQ604" s="694"/>
      <c r="ER604" s="694"/>
      <c r="ES604" s="694"/>
      <c r="ET604" s="694"/>
      <c r="EU604" s="694"/>
      <c r="EV604" s="694"/>
      <c r="EW604" s="694"/>
      <c r="EX604" s="694"/>
      <c r="EY604" s="694"/>
      <c r="EZ604" s="694"/>
      <c r="FA604" s="694"/>
      <c r="FB604" s="694"/>
      <c r="FC604" s="694"/>
      <c r="FD604" s="694"/>
      <c r="FE604" s="694"/>
      <c r="FF604" s="694"/>
      <c r="FG604" s="694"/>
      <c r="FH604" s="694"/>
      <c r="FI604" s="694"/>
      <c r="FJ604" s="694"/>
      <c r="FK604" s="694"/>
      <c r="FL604" s="694"/>
      <c r="FM604" s="694"/>
      <c r="FN604" s="694"/>
      <c r="FO604" s="694"/>
      <c r="FP604" s="694"/>
      <c r="FQ604" s="697"/>
    </row>
    <row r="605" spans="1:173" s="696" customFormat="1">
      <c r="A605" s="690"/>
      <c r="B605" s="690"/>
      <c r="C605" s="691" t="s">
        <v>3638</v>
      </c>
      <c r="D605" s="691"/>
      <c r="E605" s="640">
        <v>35</v>
      </c>
      <c r="F605" s="692"/>
      <c r="G605" s="692"/>
      <c r="H605" s="692"/>
      <c r="I605" s="692"/>
      <c r="J605" s="692"/>
      <c r="K605" s="692"/>
      <c r="L605" s="692"/>
      <c r="M605" s="692"/>
      <c r="N605" s="692"/>
      <c r="O605" s="692"/>
      <c r="P605" s="692">
        <f t="shared" si="192"/>
        <v>35</v>
      </c>
      <c r="Q605" s="692"/>
      <c r="R605" s="693"/>
      <c r="S605" s="693"/>
      <c r="T605" s="692"/>
      <c r="U605" s="692" t="s">
        <v>1631</v>
      </c>
      <c r="V605" s="692"/>
      <c r="W605" s="692">
        <v>1</v>
      </c>
      <c r="X605" s="692"/>
      <c r="Y605" s="692"/>
      <c r="Z605" s="692">
        <v>1</v>
      </c>
      <c r="AA605" s="692"/>
      <c r="AB605" s="692"/>
      <c r="AC605" s="692"/>
      <c r="AD605" s="692"/>
      <c r="AE605" s="725"/>
      <c r="AF605" s="957"/>
      <c r="AG605" s="692"/>
      <c r="AH605" s="692"/>
      <c r="AI605" s="692"/>
      <c r="AJ605" s="692"/>
      <c r="AK605" s="692"/>
      <c r="AL605" s="692"/>
      <c r="AM605" s="692"/>
      <c r="AN605" s="692"/>
      <c r="AO605" s="692"/>
      <c r="AP605" s="692"/>
      <c r="AQ605" s="692"/>
      <c r="AR605" s="692"/>
      <c r="AS605" s="692"/>
      <c r="AT605" s="692"/>
      <c r="AU605" s="692">
        <v>1</v>
      </c>
      <c r="AV605" s="692"/>
      <c r="AW605" s="692">
        <f t="shared" si="193"/>
        <v>1</v>
      </c>
      <c r="AX605" s="692"/>
      <c r="AY605" s="692"/>
      <c r="AZ605" s="692">
        <f t="shared" si="194"/>
        <v>2</v>
      </c>
      <c r="BA605" s="692"/>
      <c r="BB605" s="692"/>
      <c r="BC605" s="692"/>
      <c r="BD605" s="692">
        <v>1</v>
      </c>
      <c r="BE605" s="692"/>
      <c r="BF605" s="692"/>
      <c r="BG605" s="692"/>
      <c r="BH605" s="692"/>
      <c r="BI605" s="692"/>
      <c r="BJ605" s="692">
        <f t="shared" si="195"/>
        <v>7</v>
      </c>
      <c r="BK605" s="692"/>
      <c r="BL605" s="692"/>
      <c r="BM605" s="692"/>
      <c r="BN605" s="692"/>
      <c r="BO605" s="692"/>
      <c r="BP605" s="692"/>
      <c r="BQ605" s="692">
        <f t="shared" si="196"/>
        <v>0</v>
      </c>
      <c r="BR605" s="692"/>
      <c r="BS605" s="692"/>
      <c r="BT605" s="692">
        <f t="shared" si="197"/>
        <v>1</v>
      </c>
      <c r="BU605" s="692"/>
      <c r="BV605" s="692"/>
      <c r="BW605" s="692"/>
      <c r="BX605" s="692"/>
      <c r="BY605" s="692"/>
      <c r="BZ605" s="692"/>
      <c r="CA605" s="692"/>
      <c r="CB605" s="692">
        <v>1</v>
      </c>
      <c r="CC605" s="692"/>
      <c r="CD605" s="692">
        <f t="shared" si="191"/>
        <v>4</v>
      </c>
      <c r="CE605" s="692"/>
      <c r="CF605" s="692"/>
      <c r="CG605" s="692"/>
      <c r="CH605" s="692"/>
      <c r="CI605" s="692"/>
      <c r="CJ605" s="692"/>
      <c r="CK605" s="692"/>
      <c r="CL605" s="692"/>
      <c r="CM605" s="692"/>
      <c r="CN605" s="692"/>
      <c r="CO605" s="692"/>
      <c r="CP605" s="692"/>
      <c r="CQ605" s="692"/>
      <c r="CR605" s="692"/>
      <c r="CS605" s="692"/>
      <c r="CT605" s="692"/>
      <c r="CU605" s="692"/>
      <c r="CV605" s="692"/>
      <c r="CW605" s="692"/>
      <c r="CX605" s="694"/>
      <c r="CY605" s="694"/>
      <c r="CZ605" s="694"/>
      <c r="DA605" s="694"/>
      <c r="DB605" s="694"/>
      <c r="DC605" s="694"/>
      <c r="DD605" s="694"/>
      <c r="DE605" s="694"/>
      <c r="DF605" s="694"/>
      <c r="DG605" s="695"/>
      <c r="DH605" s="695"/>
      <c r="DI605" s="695"/>
      <c r="DJ605" s="695"/>
      <c r="DK605" s="695"/>
      <c r="DL605" s="695"/>
      <c r="DM605" s="695"/>
      <c r="DN605" s="695"/>
      <c r="DO605" s="695"/>
      <c r="DP605" s="695"/>
      <c r="DQ605" s="695"/>
      <c r="DR605" s="695"/>
      <c r="DS605" s="694"/>
      <c r="DT605" s="694"/>
      <c r="DU605" s="694"/>
      <c r="DV605" s="694"/>
      <c r="DW605" s="694"/>
      <c r="DX605" s="694"/>
      <c r="DY605" s="694"/>
      <c r="DZ605" s="694"/>
      <c r="EA605" s="694"/>
      <c r="EB605" s="694"/>
      <c r="EC605" s="694"/>
      <c r="ED605" s="694"/>
      <c r="EE605" s="694"/>
      <c r="EF605" s="694"/>
      <c r="EG605" s="694"/>
      <c r="EH605" s="694"/>
      <c r="EI605" s="694"/>
      <c r="EJ605" s="694"/>
      <c r="EK605" s="694"/>
      <c r="EL605" s="694"/>
      <c r="EM605" s="694"/>
      <c r="EN605" s="694"/>
      <c r="EO605" s="694"/>
      <c r="EP605" s="694"/>
      <c r="EQ605" s="694"/>
      <c r="ER605" s="694"/>
      <c r="ES605" s="694"/>
      <c r="ET605" s="694"/>
      <c r="EU605" s="694"/>
      <c r="EV605" s="694"/>
      <c r="EW605" s="694"/>
      <c r="EX605" s="694"/>
      <c r="EY605" s="694"/>
      <c r="EZ605" s="694"/>
      <c r="FA605" s="694"/>
      <c r="FB605" s="694"/>
      <c r="FC605" s="694"/>
      <c r="FD605" s="694"/>
      <c r="FE605" s="694"/>
      <c r="FF605" s="694"/>
      <c r="FG605" s="694"/>
      <c r="FH605" s="694"/>
      <c r="FI605" s="694"/>
      <c r="FJ605" s="694"/>
      <c r="FK605" s="694"/>
      <c r="FL605" s="694"/>
      <c r="FM605" s="694"/>
      <c r="FN605" s="694"/>
      <c r="FO605" s="694"/>
      <c r="FP605" s="694"/>
      <c r="FQ605" s="697"/>
    </row>
    <row r="606" spans="1:173" s="696" customFormat="1">
      <c r="A606" s="690"/>
      <c r="B606" s="690"/>
      <c r="C606" s="691" t="s">
        <v>3639</v>
      </c>
      <c r="D606" s="691"/>
      <c r="E606" s="640">
        <v>30</v>
      </c>
      <c r="F606" s="692"/>
      <c r="G606" s="692"/>
      <c r="H606" s="692"/>
      <c r="I606" s="692"/>
      <c r="J606" s="692"/>
      <c r="K606" s="692"/>
      <c r="L606" s="692"/>
      <c r="M606" s="692"/>
      <c r="N606" s="692"/>
      <c r="O606" s="692"/>
      <c r="P606" s="692">
        <f t="shared" si="192"/>
        <v>30</v>
      </c>
      <c r="Q606" s="692"/>
      <c r="R606" s="693"/>
      <c r="S606" s="693"/>
      <c r="T606" s="692"/>
      <c r="U606" s="692" t="s">
        <v>2989</v>
      </c>
      <c r="V606" s="692"/>
      <c r="W606" s="692">
        <v>2</v>
      </c>
      <c r="X606" s="692"/>
      <c r="Y606" s="692"/>
      <c r="Z606" s="692"/>
      <c r="AA606" s="692"/>
      <c r="AB606" s="692"/>
      <c r="AC606" s="692"/>
      <c r="AD606" s="692"/>
      <c r="AE606" s="725">
        <v>1</v>
      </c>
      <c r="AF606" s="957"/>
      <c r="AG606" s="692"/>
      <c r="AH606" s="692"/>
      <c r="AI606" s="692"/>
      <c r="AJ606" s="692"/>
      <c r="AK606" s="692"/>
      <c r="AL606" s="692"/>
      <c r="AM606" s="692"/>
      <c r="AN606" s="692"/>
      <c r="AO606" s="692"/>
      <c r="AP606" s="692"/>
      <c r="AQ606" s="692"/>
      <c r="AR606" s="692"/>
      <c r="AS606" s="692"/>
      <c r="AT606" s="692"/>
      <c r="AU606" s="692"/>
      <c r="AV606" s="692"/>
      <c r="AW606" s="692">
        <f t="shared" si="193"/>
        <v>1</v>
      </c>
      <c r="AX606" s="692"/>
      <c r="AY606" s="692"/>
      <c r="AZ606" s="692">
        <f t="shared" si="194"/>
        <v>2</v>
      </c>
      <c r="BA606" s="692"/>
      <c r="BB606" s="692"/>
      <c r="BC606" s="692"/>
      <c r="BD606" s="692">
        <v>2</v>
      </c>
      <c r="BE606" s="692"/>
      <c r="BF606" s="692"/>
      <c r="BG606" s="692"/>
      <c r="BH606" s="692"/>
      <c r="BI606" s="692"/>
      <c r="BJ606" s="692">
        <f t="shared" si="195"/>
        <v>5</v>
      </c>
      <c r="BK606" s="692"/>
      <c r="BL606" s="692"/>
      <c r="BM606" s="692"/>
      <c r="BN606" s="692"/>
      <c r="BO606" s="692"/>
      <c r="BP606" s="692"/>
      <c r="BQ606" s="692">
        <f t="shared" si="196"/>
        <v>0</v>
      </c>
      <c r="BR606" s="692"/>
      <c r="BS606" s="692"/>
      <c r="BT606" s="692">
        <f t="shared" si="197"/>
        <v>0</v>
      </c>
      <c r="BU606" s="692"/>
      <c r="BV606" s="692"/>
      <c r="BW606" s="692"/>
      <c r="BX606" s="692"/>
      <c r="BY606" s="692">
        <v>2</v>
      </c>
      <c r="BZ606" s="692"/>
      <c r="CA606" s="692"/>
      <c r="CB606" s="692">
        <v>1</v>
      </c>
      <c r="CC606" s="692"/>
      <c r="CD606" s="692">
        <f t="shared" si="191"/>
        <v>4</v>
      </c>
      <c r="CE606" s="692"/>
      <c r="CF606" s="692"/>
      <c r="CG606" s="692"/>
      <c r="CH606" s="692"/>
      <c r="CI606" s="692"/>
      <c r="CJ606" s="692"/>
      <c r="CK606" s="692"/>
      <c r="CL606" s="692"/>
      <c r="CM606" s="692"/>
      <c r="CN606" s="692"/>
      <c r="CO606" s="692"/>
      <c r="CP606" s="692"/>
      <c r="CQ606" s="692"/>
      <c r="CR606" s="692"/>
      <c r="CS606" s="692"/>
      <c r="CT606" s="692"/>
      <c r="CU606" s="692"/>
      <c r="CV606" s="692"/>
      <c r="CW606" s="692"/>
      <c r="CX606" s="694"/>
      <c r="CY606" s="694"/>
      <c r="CZ606" s="694"/>
      <c r="DA606" s="694"/>
      <c r="DB606" s="694"/>
      <c r="DC606" s="694"/>
      <c r="DD606" s="694"/>
      <c r="DE606" s="694"/>
      <c r="DF606" s="694"/>
      <c r="DG606" s="695"/>
      <c r="DH606" s="695"/>
      <c r="DI606" s="695"/>
      <c r="DJ606" s="695"/>
      <c r="DK606" s="695"/>
      <c r="DL606" s="695"/>
      <c r="DM606" s="695"/>
      <c r="DN606" s="695"/>
      <c r="DO606" s="695"/>
      <c r="DP606" s="695"/>
      <c r="DQ606" s="695"/>
      <c r="DR606" s="695"/>
      <c r="DS606" s="694"/>
      <c r="DT606" s="694"/>
      <c r="DU606" s="694"/>
      <c r="DV606" s="694"/>
      <c r="DW606" s="694"/>
      <c r="DX606" s="694"/>
      <c r="DY606" s="694"/>
      <c r="DZ606" s="694"/>
      <c r="EA606" s="694"/>
      <c r="EB606" s="694"/>
      <c r="EC606" s="694"/>
      <c r="ED606" s="694"/>
      <c r="EE606" s="694"/>
      <c r="EF606" s="694"/>
      <c r="EG606" s="694"/>
      <c r="EH606" s="694"/>
      <c r="EI606" s="694"/>
      <c r="EJ606" s="694"/>
      <c r="EK606" s="694"/>
      <c r="EL606" s="694"/>
      <c r="EM606" s="694"/>
      <c r="EN606" s="694"/>
      <c r="EO606" s="694"/>
      <c r="EP606" s="694"/>
      <c r="EQ606" s="694"/>
      <c r="ER606" s="694"/>
      <c r="ES606" s="694"/>
      <c r="ET606" s="694"/>
      <c r="EU606" s="694"/>
      <c r="EV606" s="694"/>
      <c r="EW606" s="694"/>
      <c r="EX606" s="694"/>
      <c r="EY606" s="694"/>
      <c r="EZ606" s="694"/>
      <c r="FA606" s="694"/>
      <c r="FB606" s="694"/>
      <c r="FC606" s="694"/>
      <c r="FD606" s="694"/>
      <c r="FE606" s="694"/>
      <c r="FF606" s="694"/>
      <c r="FG606" s="694"/>
      <c r="FH606" s="694"/>
      <c r="FI606" s="694"/>
      <c r="FJ606" s="694"/>
      <c r="FK606" s="694"/>
      <c r="FL606" s="694"/>
      <c r="FM606" s="694"/>
      <c r="FN606" s="694"/>
      <c r="FO606" s="694"/>
      <c r="FP606" s="694"/>
      <c r="FQ606" s="697"/>
    </row>
    <row r="607" spans="1:173" s="696" customFormat="1">
      <c r="A607" s="690"/>
      <c r="B607" s="690"/>
      <c r="C607" s="691" t="s">
        <v>3640</v>
      </c>
      <c r="D607" s="691"/>
      <c r="E607" s="640">
        <v>37</v>
      </c>
      <c r="F607" s="692"/>
      <c r="G607" s="692"/>
      <c r="H607" s="692"/>
      <c r="I607" s="692"/>
      <c r="J607" s="692"/>
      <c r="K607" s="692"/>
      <c r="L607" s="692"/>
      <c r="M607" s="692"/>
      <c r="N607" s="692"/>
      <c r="O607" s="692"/>
      <c r="P607" s="692">
        <f t="shared" si="192"/>
        <v>37</v>
      </c>
      <c r="Q607" s="692"/>
      <c r="R607" s="693"/>
      <c r="S607" s="693"/>
      <c r="T607" s="692"/>
      <c r="U607" s="692" t="s">
        <v>1631</v>
      </c>
      <c r="V607" s="692"/>
      <c r="W607" s="692">
        <v>1</v>
      </c>
      <c r="X607" s="692"/>
      <c r="Y607" s="692"/>
      <c r="Z607" s="692">
        <v>1</v>
      </c>
      <c r="AA607" s="692"/>
      <c r="AB607" s="692"/>
      <c r="AC607" s="692"/>
      <c r="AD607" s="692"/>
      <c r="AE607" s="725"/>
      <c r="AF607" s="957"/>
      <c r="AG607" s="692"/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>
        <f t="shared" si="193"/>
        <v>0</v>
      </c>
      <c r="AX607" s="692"/>
      <c r="AY607" s="692"/>
      <c r="AZ607" s="692">
        <f t="shared" si="194"/>
        <v>0</v>
      </c>
      <c r="BA607" s="692"/>
      <c r="BB607" s="692"/>
      <c r="BC607" s="692"/>
      <c r="BD607" s="692">
        <v>1</v>
      </c>
      <c r="BE607" s="692"/>
      <c r="BF607" s="692"/>
      <c r="BG607" s="692"/>
      <c r="BH607" s="692"/>
      <c r="BI607" s="692"/>
      <c r="BJ607" s="692">
        <f t="shared" si="195"/>
        <v>0</v>
      </c>
      <c r="BK607" s="692"/>
      <c r="BL607" s="692"/>
      <c r="BM607" s="692"/>
      <c r="BN607" s="692"/>
      <c r="BO607" s="692"/>
      <c r="BP607" s="692"/>
      <c r="BQ607" s="692">
        <f t="shared" si="196"/>
        <v>0</v>
      </c>
      <c r="BR607" s="692"/>
      <c r="BS607" s="692"/>
      <c r="BT607" s="692">
        <f t="shared" si="197"/>
        <v>1</v>
      </c>
      <c r="BU607" s="692"/>
      <c r="BV607" s="692"/>
      <c r="BW607" s="692"/>
      <c r="BX607" s="692"/>
      <c r="BY607" s="692"/>
      <c r="BZ607" s="692"/>
      <c r="CA607" s="692"/>
      <c r="CB607" s="692"/>
      <c r="CC607" s="692"/>
      <c r="CD607" s="692">
        <f t="shared" si="191"/>
        <v>0</v>
      </c>
      <c r="CE607" s="692"/>
      <c r="CF607" s="692"/>
      <c r="CG607" s="692"/>
      <c r="CH607" s="692"/>
      <c r="CI607" s="692"/>
      <c r="CJ607" s="692"/>
      <c r="CK607" s="692"/>
      <c r="CL607" s="692"/>
      <c r="CM607" s="692"/>
      <c r="CN607" s="692"/>
      <c r="CO607" s="692"/>
      <c r="CP607" s="692"/>
      <c r="CQ607" s="692"/>
      <c r="CR607" s="692"/>
      <c r="CS607" s="692"/>
      <c r="CT607" s="692"/>
      <c r="CU607" s="692"/>
      <c r="CV607" s="692"/>
      <c r="CW607" s="692"/>
      <c r="CX607" s="694"/>
      <c r="CY607" s="694"/>
      <c r="CZ607" s="694"/>
      <c r="DA607" s="694"/>
      <c r="DB607" s="694"/>
      <c r="DC607" s="694"/>
      <c r="DD607" s="694"/>
      <c r="DE607" s="694"/>
      <c r="DF607" s="694"/>
      <c r="DG607" s="695"/>
      <c r="DH607" s="695"/>
      <c r="DI607" s="695"/>
      <c r="DJ607" s="695"/>
      <c r="DK607" s="695"/>
      <c r="DL607" s="695"/>
      <c r="DM607" s="695"/>
      <c r="DN607" s="695"/>
      <c r="DO607" s="695"/>
      <c r="DP607" s="695"/>
      <c r="DQ607" s="695"/>
      <c r="DR607" s="695"/>
      <c r="DS607" s="694"/>
      <c r="DT607" s="694"/>
      <c r="DU607" s="694"/>
      <c r="DV607" s="694"/>
      <c r="DW607" s="694"/>
      <c r="DX607" s="694"/>
      <c r="DY607" s="694"/>
      <c r="DZ607" s="694"/>
      <c r="EA607" s="694"/>
      <c r="EB607" s="694"/>
      <c r="EC607" s="694"/>
      <c r="ED607" s="694"/>
      <c r="EE607" s="694"/>
      <c r="EF607" s="694"/>
      <c r="EG607" s="694"/>
      <c r="EH607" s="694"/>
      <c r="EI607" s="694"/>
      <c r="EJ607" s="694"/>
      <c r="EK607" s="694"/>
      <c r="EL607" s="694"/>
      <c r="EM607" s="694"/>
      <c r="EN607" s="694"/>
      <c r="EO607" s="694"/>
      <c r="EP607" s="694"/>
      <c r="EQ607" s="694"/>
      <c r="ER607" s="694"/>
      <c r="ES607" s="694"/>
      <c r="ET607" s="694"/>
      <c r="EU607" s="694"/>
      <c r="EV607" s="694"/>
      <c r="EW607" s="694"/>
      <c r="EX607" s="694"/>
      <c r="EY607" s="694"/>
      <c r="EZ607" s="694"/>
      <c r="FA607" s="694"/>
      <c r="FB607" s="694"/>
      <c r="FC607" s="694"/>
      <c r="FD607" s="694"/>
      <c r="FE607" s="694"/>
      <c r="FF607" s="694"/>
      <c r="FG607" s="694"/>
      <c r="FH607" s="694"/>
      <c r="FI607" s="694"/>
      <c r="FJ607" s="694"/>
      <c r="FK607" s="694"/>
      <c r="FL607" s="694"/>
      <c r="FM607" s="694"/>
      <c r="FN607" s="694"/>
      <c r="FO607" s="694"/>
      <c r="FP607" s="694"/>
      <c r="FQ607" s="697"/>
    </row>
    <row r="608" spans="1:173" s="696" customFormat="1">
      <c r="A608" s="690"/>
      <c r="B608" s="690"/>
      <c r="C608" s="691" t="s">
        <v>3641</v>
      </c>
      <c r="D608" s="691"/>
      <c r="E608" s="640">
        <v>38</v>
      </c>
      <c r="F608" s="692"/>
      <c r="G608" s="692"/>
      <c r="H608" s="692"/>
      <c r="I608" s="692"/>
      <c r="J608" s="692"/>
      <c r="K608" s="692"/>
      <c r="L608" s="692"/>
      <c r="M608" s="692"/>
      <c r="N608" s="692"/>
      <c r="O608" s="692"/>
      <c r="P608" s="692">
        <f t="shared" si="192"/>
        <v>38</v>
      </c>
      <c r="Q608" s="692"/>
      <c r="R608" s="693"/>
      <c r="S608" s="693"/>
      <c r="T608" s="692"/>
      <c r="U608" s="692" t="s">
        <v>1631</v>
      </c>
      <c r="V608" s="692"/>
      <c r="W608" s="692">
        <v>1</v>
      </c>
      <c r="X608" s="692"/>
      <c r="Y608" s="692"/>
      <c r="Z608" s="692">
        <v>1</v>
      </c>
      <c r="AA608" s="692"/>
      <c r="AB608" s="692"/>
      <c r="AC608" s="692"/>
      <c r="AD608" s="692"/>
      <c r="AE608" s="725"/>
      <c r="AF608" s="957"/>
      <c r="AG608" s="692"/>
      <c r="AH608" s="692"/>
      <c r="AI608" s="692"/>
      <c r="AJ608" s="692"/>
      <c r="AK608" s="692"/>
      <c r="AL608" s="692"/>
      <c r="AM608" s="692"/>
      <c r="AN608" s="692"/>
      <c r="AO608" s="692"/>
      <c r="AP608" s="692"/>
      <c r="AQ608" s="692"/>
      <c r="AR608" s="692"/>
      <c r="AS608" s="692"/>
      <c r="AT608" s="692"/>
      <c r="AU608" s="692"/>
      <c r="AV608" s="692"/>
      <c r="AW608" s="692">
        <f t="shared" si="193"/>
        <v>1</v>
      </c>
      <c r="AX608" s="692"/>
      <c r="AY608" s="692"/>
      <c r="AZ608" s="692">
        <f t="shared" si="194"/>
        <v>2</v>
      </c>
      <c r="BA608" s="692"/>
      <c r="BB608" s="692"/>
      <c r="BC608" s="692"/>
      <c r="BD608" s="692">
        <v>1</v>
      </c>
      <c r="BE608" s="692"/>
      <c r="BF608" s="692"/>
      <c r="BG608" s="692"/>
      <c r="BH608" s="692"/>
      <c r="BI608" s="692"/>
      <c r="BJ608" s="692">
        <f t="shared" si="195"/>
        <v>5</v>
      </c>
      <c r="BK608" s="692"/>
      <c r="BL608" s="692"/>
      <c r="BM608" s="692"/>
      <c r="BN608" s="692"/>
      <c r="BO608" s="692"/>
      <c r="BP608" s="692"/>
      <c r="BQ608" s="692">
        <f t="shared" si="196"/>
        <v>0</v>
      </c>
      <c r="BR608" s="692"/>
      <c r="BS608" s="692"/>
      <c r="BT608" s="692">
        <f t="shared" si="197"/>
        <v>1</v>
      </c>
      <c r="BU608" s="692"/>
      <c r="BV608" s="692"/>
      <c r="BW608" s="692"/>
      <c r="BX608" s="692"/>
      <c r="BY608" s="692"/>
      <c r="BZ608" s="692"/>
      <c r="CA608" s="692"/>
      <c r="CB608" s="692">
        <v>1</v>
      </c>
      <c r="CC608" s="692"/>
      <c r="CD608" s="692">
        <f t="shared" si="191"/>
        <v>4</v>
      </c>
      <c r="CE608" s="692"/>
      <c r="CF608" s="692"/>
      <c r="CG608" s="692"/>
      <c r="CH608" s="692"/>
      <c r="CI608" s="692"/>
      <c r="CJ608" s="692"/>
      <c r="CK608" s="692"/>
      <c r="CL608" s="692"/>
      <c r="CM608" s="692"/>
      <c r="CN608" s="692"/>
      <c r="CO608" s="692"/>
      <c r="CP608" s="692"/>
      <c r="CQ608" s="692"/>
      <c r="CR608" s="692"/>
      <c r="CS608" s="692"/>
      <c r="CT608" s="692"/>
      <c r="CU608" s="692"/>
      <c r="CV608" s="692"/>
      <c r="CW608" s="692"/>
      <c r="CX608" s="694"/>
      <c r="CY608" s="694"/>
      <c r="CZ608" s="694"/>
      <c r="DA608" s="694"/>
      <c r="DB608" s="694"/>
      <c r="DC608" s="694"/>
      <c r="DD608" s="694"/>
      <c r="DE608" s="694"/>
      <c r="DF608" s="694"/>
      <c r="DG608" s="695"/>
      <c r="DH608" s="695"/>
      <c r="DI608" s="695"/>
      <c r="DJ608" s="695"/>
      <c r="DK608" s="695"/>
      <c r="DL608" s="695"/>
      <c r="DM608" s="695"/>
      <c r="DN608" s="695"/>
      <c r="DO608" s="695"/>
      <c r="DP608" s="695"/>
      <c r="DQ608" s="695"/>
      <c r="DR608" s="695"/>
      <c r="DS608" s="694"/>
      <c r="DT608" s="694"/>
      <c r="DU608" s="694"/>
      <c r="DV608" s="694"/>
      <c r="DW608" s="694"/>
      <c r="DX608" s="694"/>
      <c r="DY608" s="694"/>
      <c r="DZ608" s="694"/>
      <c r="EA608" s="694"/>
      <c r="EB608" s="694"/>
      <c r="EC608" s="694"/>
      <c r="ED608" s="694"/>
      <c r="EE608" s="694"/>
      <c r="EF608" s="694"/>
      <c r="EG608" s="694"/>
      <c r="EH608" s="694"/>
      <c r="EI608" s="694"/>
      <c r="EJ608" s="694"/>
      <c r="EK608" s="694"/>
      <c r="EL608" s="694"/>
      <c r="EM608" s="694"/>
      <c r="EN608" s="694"/>
      <c r="EO608" s="694"/>
      <c r="EP608" s="694"/>
      <c r="EQ608" s="694"/>
      <c r="ER608" s="694"/>
      <c r="ES608" s="694"/>
      <c r="ET608" s="694"/>
      <c r="EU608" s="694"/>
      <c r="EV608" s="694"/>
      <c r="EW608" s="694"/>
      <c r="EX608" s="694"/>
      <c r="EY608" s="694"/>
      <c r="EZ608" s="694"/>
      <c r="FA608" s="694"/>
      <c r="FB608" s="694"/>
      <c r="FC608" s="694"/>
      <c r="FD608" s="694"/>
      <c r="FE608" s="694"/>
      <c r="FF608" s="694"/>
      <c r="FG608" s="694"/>
      <c r="FH608" s="694"/>
      <c r="FI608" s="694"/>
      <c r="FJ608" s="694"/>
      <c r="FK608" s="694"/>
      <c r="FL608" s="694"/>
      <c r="FM608" s="694"/>
      <c r="FN608" s="694"/>
      <c r="FO608" s="694"/>
      <c r="FP608" s="694"/>
      <c r="FQ608" s="697"/>
    </row>
    <row r="609" spans="1:173" s="696" customFormat="1">
      <c r="A609" s="690"/>
      <c r="B609" s="690"/>
      <c r="C609" s="691" t="s">
        <v>3647</v>
      </c>
      <c r="D609" s="691"/>
      <c r="E609" s="640">
        <v>38</v>
      </c>
      <c r="F609" s="692"/>
      <c r="G609" s="692"/>
      <c r="H609" s="692"/>
      <c r="I609" s="692"/>
      <c r="J609" s="692"/>
      <c r="K609" s="692"/>
      <c r="L609" s="692"/>
      <c r="M609" s="692"/>
      <c r="N609" s="692"/>
      <c r="O609" s="692"/>
      <c r="P609" s="692">
        <f t="shared" si="192"/>
        <v>38</v>
      </c>
      <c r="Q609" s="692"/>
      <c r="R609" s="693"/>
      <c r="S609" s="693"/>
      <c r="T609" s="692"/>
      <c r="U609" s="692" t="s">
        <v>2990</v>
      </c>
      <c r="V609" s="692"/>
      <c r="W609" s="692">
        <v>2</v>
      </c>
      <c r="X609" s="692"/>
      <c r="Y609" s="692"/>
      <c r="Z609" s="692"/>
      <c r="AA609" s="692"/>
      <c r="AB609" s="692"/>
      <c r="AC609" s="692"/>
      <c r="AD609" s="692"/>
      <c r="AE609" s="725">
        <v>1</v>
      </c>
      <c r="AF609" s="957"/>
      <c r="AG609" s="692"/>
      <c r="AH609" s="692"/>
      <c r="AI609" s="692"/>
      <c r="AJ609" s="692"/>
      <c r="AK609" s="692"/>
      <c r="AL609" s="692"/>
      <c r="AM609" s="692"/>
      <c r="AN609" s="692"/>
      <c r="AO609" s="692"/>
      <c r="AP609" s="692"/>
      <c r="AQ609" s="692"/>
      <c r="AR609" s="692"/>
      <c r="AS609" s="692"/>
      <c r="AT609" s="692"/>
      <c r="AU609" s="692">
        <v>1</v>
      </c>
      <c r="AV609" s="692"/>
      <c r="AW609" s="692">
        <f t="shared" si="193"/>
        <v>1</v>
      </c>
      <c r="AX609" s="692"/>
      <c r="AY609" s="692"/>
      <c r="AZ609" s="692">
        <f t="shared" si="194"/>
        <v>2</v>
      </c>
      <c r="BA609" s="692"/>
      <c r="BB609" s="692"/>
      <c r="BC609" s="692"/>
      <c r="BD609" s="692"/>
      <c r="BE609" s="692"/>
      <c r="BF609" s="692">
        <v>1</v>
      </c>
      <c r="BG609" s="692"/>
      <c r="BH609" s="692"/>
      <c r="BI609" s="692"/>
      <c r="BJ609" s="692">
        <f t="shared" si="195"/>
        <v>7</v>
      </c>
      <c r="BK609" s="692"/>
      <c r="BL609" s="692"/>
      <c r="BM609" s="692"/>
      <c r="BN609" s="692"/>
      <c r="BO609" s="692"/>
      <c r="BP609" s="692"/>
      <c r="BQ609" s="692">
        <f t="shared" si="196"/>
        <v>0</v>
      </c>
      <c r="BR609" s="692"/>
      <c r="BS609" s="692"/>
      <c r="BT609" s="692">
        <f t="shared" si="197"/>
        <v>0</v>
      </c>
      <c r="BU609" s="692"/>
      <c r="BV609" s="692"/>
      <c r="BW609" s="692"/>
      <c r="BX609" s="692"/>
      <c r="BY609" s="692">
        <v>1</v>
      </c>
      <c r="BZ609" s="692"/>
      <c r="CA609" s="692"/>
      <c r="CB609" s="692">
        <v>1</v>
      </c>
      <c r="CC609" s="692"/>
      <c r="CD609" s="692">
        <f t="shared" si="191"/>
        <v>4</v>
      </c>
      <c r="CE609" s="692"/>
      <c r="CF609" s="692"/>
      <c r="CG609" s="692"/>
      <c r="CH609" s="692"/>
      <c r="CI609" s="692"/>
      <c r="CJ609" s="692"/>
      <c r="CK609" s="692"/>
      <c r="CL609" s="692"/>
      <c r="CM609" s="692"/>
      <c r="CN609" s="692"/>
      <c r="CO609" s="692"/>
      <c r="CP609" s="692"/>
      <c r="CQ609" s="692"/>
      <c r="CR609" s="692"/>
      <c r="CS609" s="692"/>
      <c r="CT609" s="692"/>
      <c r="CU609" s="692"/>
      <c r="CV609" s="692"/>
      <c r="CW609" s="692"/>
      <c r="CX609" s="694"/>
      <c r="CY609" s="694"/>
      <c r="CZ609" s="694"/>
      <c r="DA609" s="694"/>
      <c r="DB609" s="694"/>
      <c r="DC609" s="694"/>
      <c r="DD609" s="694"/>
      <c r="DE609" s="694"/>
      <c r="DF609" s="694"/>
      <c r="DG609" s="695"/>
      <c r="DH609" s="695"/>
      <c r="DI609" s="695"/>
      <c r="DJ609" s="695"/>
      <c r="DK609" s="695"/>
      <c r="DL609" s="695"/>
      <c r="DM609" s="695"/>
      <c r="DN609" s="695"/>
      <c r="DO609" s="695"/>
      <c r="DP609" s="695"/>
      <c r="DQ609" s="695"/>
      <c r="DR609" s="695"/>
      <c r="DS609" s="694"/>
      <c r="DT609" s="694"/>
      <c r="DU609" s="694"/>
      <c r="DV609" s="694"/>
      <c r="DW609" s="694"/>
      <c r="DX609" s="694"/>
      <c r="DY609" s="694"/>
      <c r="DZ609" s="694"/>
      <c r="EA609" s="694"/>
      <c r="EB609" s="694"/>
      <c r="EC609" s="694"/>
      <c r="ED609" s="694"/>
      <c r="EE609" s="694"/>
      <c r="EF609" s="694"/>
      <c r="EG609" s="694"/>
      <c r="EH609" s="694"/>
      <c r="EI609" s="694"/>
      <c r="EJ609" s="694"/>
      <c r="EK609" s="694"/>
      <c r="EL609" s="694"/>
      <c r="EM609" s="694"/>
      <c r="EN609" s="694"/>
      <c r="EO609" s="694"/>
      <c r="EP609" s="694"/>
      <c r="EQ609" s="694"/>
      <c r="ER609" s="694"/>
      <c r="ES609" s="694"/>
      <c r="ET609" s="694"/>
      <c r="EU609" s="694"/>
      <c r="EV609" s="694"/>
      <c r="EW609" s="694"/>
      <c r="EX609" s="694"/>
      <c r="EY609" s="694"/>
      <c r="EZ609" s="694"/>
      <c r="FA609" s="694"/>
      <c r="FB609" s="694"/>
      <c r="FC609" s="694"/>
      <c r="FD609" s="694"/>
      <c r="FE609" s="694"/>
      <c r="FF609" s="694"/>
      <c r="FG609" s="694"/>
      <c r="FH609" s="694"/>
      <c r="FI609" s="694"/>
      <c r="FJ609" s="694"/>
      <c r="FK609" s="694"/>
      <c r="FL609" s="694"/>
      <c r="FM609" s="694"/>
      <c r="FN609" s="694"/>
      <c r="FO609" s="694"/>
      <c r="FP609" s="694"/>
      <c r="FQ609" s="697"/>
    </row>
    <row r="610" spans="1:173" s="696" customFormat="1">
      <c r="A610" s="690"/>
      <c r="B610" s="690"/>
      <c r="C610" s="691" t="s">
        <v>3648</v>
      </c>
      <c r="D610" s="691"/>
      <c r="E610" s="640">
        <v>30</v>
      </c>
      <c r="F610" s="692"/>
      <c r="G610" s="692"/>
      <c r="H610" s="692"/>
      <c r="I610" s="692"/>
      <c r="J610" s="692"/>
      <c r="K610" s="692"/>
      <c r="L610" s="692"/>
      <c r="M610" s="692"/>
      <c r="N610" s="692"/>
      <c r="O610" s="692"/>
      <c r="P610" s="692">
        <f t="shared" si="192"/>
        <v>30</v>
      </c>
      <c r="Q610" s="692"/>
      <c r="R610" s="693"/>
      <c r="S610" s="693"/>
      <c r="T610" s="692"/>
      <c r="U610" s="692" t="s">
        <v>2989</v>
      </c>
      <c r="V610" s="692"/>
      <c r="W610" s="692">
        <v>2</v>
      </c>
      <c r="X610" s="692"/>
      <c r="Y610" s="692"/>
      <c r="Z610" s="692"/>
      <c r="AA610" s="692"/>
      <c r="AB610" s="692"/>
      <c r="AC610" s="692"/>
      <c r="AD610" s="692"/>
      <c r="AE610" s="725">
        <v>1</v>
      </c>
      <c r="AF610" s="957"/>
      <c r="AG610" s="692"/>
      <c r="AH610" s="692"/>
      <c r="AI610" s="692"/>
      <c r="AJ610" s="692"/>
      <c r="AK610" s="692"/>
      <c r="AL610" s="692"/>
      <c r="AM610" s="692"/>
      <c r="AN610" s="692"/>
      <c r="AO610" s="692"/>
      <c r="AP610" s="692"/>
      <c r="AQ610" s="692"/>
      <c r="AR610" s="692"/>
      <c r="AS610" s="692"/>
      <c r="AT610" s="692"/>
      <c r="AU610" s="692"/>
      <c r="AV610" s="692"/>
      <c r="AW610" s="692">
        <f t="shared" si="193"/>
        <v>0</v>
      </c>
      <c r="AX610" s="692"/>
      <c r="AY610" s="692"/>
      <c r="AZ610" s="692">
        <f t="shared" si="194"/>
        <v>0</v>
      </c>
      <c r="BA610" s="692"/>
      <c r="BB610" s="692"/>
      <c r="BC610" s="692"/>
      <c r="BD610" s="692"/>
      <c r="BE610" s="692"/>
      <c r="BF610" s="692">
        <v>2</v>
      </c>
      <c r="BG610" s="692"/>
      <c r="BH610" s="692"/>
      <c r="BI610" s="692"/>
      <c r="BJ610" s="692">
        <f t="shared" si="195"/>
        <v>0</v>
      </c>
      <c r="BK610" s="692"/>
      <c r="BL610" s="692"/>
      <c r="BM610" s="692"/>
      <c r="BN610" s="692"/>
      <c r="BO610" s="692"/>
      <c r="BP610" s="692"/>
      <c r="BQ610" s="692">
        <f t="shared" si="196"/>
        <v>0</v>
      </c>
      <c r="BR610" s="692"/>
      <c r="BS610" s="692"/>
      <c r="BT610" s="692">
        <f t="shared" si="197"/>
        <v>0</v>
      </c>
      <c r="BU610" s="692"/>
      <c r="BV610" s="692"/>
      <c r="BW610" s="692"/>
      <c r="BX610" s="692"/>
      <c r="BY610" s="692">
        <v>2</v>
      </c>
      <c r="BZ610" s="692"/>
      <c r="CA610" s="692"/>
      <c r="CB610" s="692"/>
      <c r="CC610" s="692"/>
      <c r="CD610" s="692">
        <f t="shared" si="191"/>
        <v>0</v>
      </c>
      <c r="CE610" s="692"/>
      <c r="CF610" s="692"/>
      <c r="CG610" s="692"/>
      <c r="CH610" s="692"/>
      <c r="CI610" s="692"/>
      <c r="CJ610" s="692"/>
      <c r="CK610" s="692"/>
      <c r="CL610" s="692"/>
      <c r="CM610" s="692"/>
      <c r="CN610" s="692"/>
      <c r="CO610" s="692"/>
      <c r="CP610" s="692"/>
      <c r="CQ610" s="692"/>
      <c r="CR610" s="692"/>
      <c r="CS610" s="692"/>
      <c r="CT610" s="692"/>
      <c r="CU610" s="692"/>
      <c r="CV610" s="692"/>
      <c r="CW610" s="692"/>
      <c r="CX610" s="694"/>
      <c r="CY610" s="694"/>
      <c r="CZ610" s="694"/>
      <c r="DA610" s="694"/>
      <c r="DB610" s="694"/>
      <c r="DC610" s="694"/>
      <c r="DD610" s="694"/>
      <c r="DE610" s="694"/>
      <c r="DF610" s="694"/>
      <c r="DG610" s="695"/>
      <c r="DH610" s="695"/>
      <c r="DI610" s="695"/>
      <c r="DJ610" s="695"/>
      <c r="DK610" s="695"/>
      <c r="DL610" s="695"/>
      <c r="DM610" s="695"/>
      <c r="DN610" s="695"/>
      <c r="DO610" s="695"/>
      <c r="DP610" s="695"/>
      <c r="DQ610" s="695"/>
      <c r="DR610" s="695"/>
      <c r="DS610" s="694"/>
      <c r="DT610" s="694"/>
      <c r="DU610" s="694"/>
      <c r="DV610" s="694"/>
      <c r="DW610" s="694"/>
      <c r="DX610" s="694"/>
      <c r="DY610" s="694"/>
      <c r="DZ610" s="694"/>
      <c r="EA610" s="694"/>
      <c r="EB610" s="694"/>
      <c r="EC610" s="694"/>
      <c r="ED610" s="694"/>
      <c r="EE610" s="694"/>
      <c r="EF610" s="694"/>
      <c r="EG610" s="694"/>
      <c r="EH610" s="694"/>
      <c r="EI610" s="694"/>
      <c r="EJ610" s="694"/>
      <c r="EK610" s="694"/>
      <c r="EL610" s="694"/>
      <c r="EM610" s="694"/>
      <c r="EN610" s="694"/>
      <c r="EO610" s="694"/>
      <c r="EP610" s="694"/>
      <c r="EQ610" s="694"/>
      <c r="ER610" s="694"/>
      <c r="ES610" s="694"/>
      <c r="ET610" s="694"/>
      <c r="EU610" s="694"/>
      <c r="EV610" s="694"/>
      <c r="EW610" s="694"/>
      <c r="EX610" s="694"/>
      <c r="EY610" s="694"/>
      <c r="EZ610" s="694"/>
      <c r="FA610" s="694"/>
      <c r="FB610" s="694"/>
      <c r="FC610" s="694"/>
      <c r="FD610" s="694"/>
      <c r="FE610" s="694"/>
      <c r="FF610" s="694"/>
      <c r="FG610" s="694"/>
      <c r="FH610" s="694"/>
      <c r="FI610" s="694"/>
      <c r="FJ610" s="694"/>
      <c r="FK610" s="694"/>
      <c r="FL610" s="694"/>
      <c r="FM610" s="694"/>
      <c r="FN610" s="694"/>
      <c r="FO610" s="694"/>
      <c r="FP610" s="694"/>
      <c r="FQ610" s="697"/>
    </row>
    <row r="611" spans="1:173" s="696" customFormat="1">
      <c r="A611" s="690"/>
      <c r="B611" s="690"/>
      <c r="C611" s="691" t="s">
        <v>3649</v>
      </c>
      <c r="D611" s="691"/>
      <c r="E611" s="640">
        <v>35</v>
      </c>
      <c r="F611" s="692"/>
      <c r="G611" s="692"/>
      <c r="H611" s="692"/>
      <c r="I611" s="692"/>
      <c r="J611" s="692"/>
      <c r="K611" s="692"/>
      <c r="L611" s="692"/>
      <c r="M611" s="692"/>
      <c r="N611" s="692"/>
      <c r="O611" s="692"/>
      <c r="P611" s="692">
        <f t="shared" si="192"/>
        <v>35</v>
      </c>
      <c r="Q611" s="692"/>
      <c r="R611" s="693"/>
      <c r="S611" s="693"/>
      <c r="T611" s="692"/>
      <c r="U611" s="692" t="s">
        <v>1631</v>
      </c>
      <c r="V611" s="692"/>
      <c r="W611" s="692">
        <v>1</v>
      </c>
      <c r="X611" s="692"/>
      <c r="Y611" s="692"/>
      <c r="Z611" s="692">
        <v>1</v>
      </c>
      <c r="AA611" s="692"/>
      <c r="AB611" s="692"/>
      <c r="AC611" s="692"/>
      <c r="AD611" s="692"/>
      <c r="AE611" s="725"/>
      <c r="AF611" s="957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>
        <f t="shared" si="193"/>
        <v>0</v>
      </c>
      <c r="AX611" s="692"/>
      <c r="AY611" s="692"/>
      <c r="AZ611" s="692">
        <f t="shared" si="194"/>
        <v>0</v>
      </c>
      <c r="BA611" s="692"/>
      <c r="BB611" s="692"/>
      <c r="BC611" s="692"/>
      <c r="BD611" s="692">
        <v>1</v>
      </c>
      <c r="BE611" s="692"/>
      <c r="BF611" s="692"/>
      <c r="BG611" s="692"/>
      <c r="BH611" s="692"/>
      <c r="BI611" s="692"/>
      <c r="BJ611" s="692">
        <f t="shared" si="195"/>
        <v>0</v>
      </c>
      <c r="BK611" s="692"/>
      <c r="BL611" s="692"/>
      <c r="BM611" s="692"/>
      <c r="BN611" s="692"/>
      <c r="BO611" s="692"/>
      <c r="BP611" s="692"/>
      <c r="BQ611" s="692">
        <f t="shared" si="196"/>
        <v>0</v>
      </c>
      <c r="BR611" s="692"/>
      <c r="BS611" s="692"/>
      <c r="BT611" s="692">
        <f t="shared" si="197"/>
        <v>1</v>
      </c>
      <c r="BU611" s="692"/>
      <c r="BV611" s="692"/>
      <c r="BW611" s="692"/>
      <c r="BX611" s="692"/>
      <c r="BY611" s="692"/>
      <c r="BZ611" s="692"/>
      <c r="CA611" s="692"/>
      <c r="CB611" s="692"/>
      <c r="CC611" s="692"/>
      <c r="CD611" s="692">
        <f t="shared" si="191"/>
        <v>0</v>
      </c>
      <c r="CE611" s="692"/>
      <c r="CF611" s="692"/>
      <c r="CG611" s="692"/>
      <c r="CH611" s="692"/>
      <c r="CI611" s="692"/>
      <c r="CJ611" s="692"/>
      <c r="CK611" s="692"/>
      <c r="CL611" s="692"/>
      <c r="CM611" s="692"/>
      <c r="CN611" s="692"/>
      <c r="CO611" s="692"/>
      <c r="CP611" s="692"/>
      <c r="CQ611" s="692"/>
      <c r="CR611" s="692"/>
      <c r="CS611" s="692"/>
      <c r="CT611" s="692"/>
      <c r="CU611" s="692"/>
      <c r="CV611" s="692"/>
      <c r="CW611" s="692"/>
      <c r="CX611" s="694"/>
      <c r="CY611" s="694"/>
      <c r="CZ611" s="694"/>
      <c r="DA611" s="694"/>
      <c r="DB611" s="694"/>
      <c r="DC611" s="694"/>
      <c r="DD611" s="694"/>
      <c r="DE611" s="694"/>
      <c r="DF611" s="694"/>
      <c r="DG611" s="695"/>
      <c r="DH611" s="695"/>
      <c r="DI611" s="695"/>
      <c r="DJ611" s="695"/>
      <c r="DK611" s="695"/>
      <c r="DL611" s="695"/>
      <c r="DM611" s="695"/>
      <c r="DN611" s="695"/>
      <c r="DO611" s="695"/>
      <c r="DP611" s="695"/>
      <c r="DQ611" s="695"/>
      <c r="DR611" s="695"/>
      <c r="DS611" s="694"/>
      <c r="DT611" s="694"/>
      <c r="DU611" s="694"/>
      <c r="DV611" s="694"/>
      <c r="DW611" s="694"/>
      <c r="DX611" s="694"/>
      <c r="DY611" s="694"/>
      <c r="DZ611" s="694"/>
      <c r="EA611" s="694"/>
      <c r="EB611" s="694"/>
      <c r="EC611" s="694"/>
      <c r="ED611" s="694"/>
      <c r="EE611" s="694"/>
      <c r="EF611" s="694"/>
      <c r="EG611" s="694"/>
      <c r="EH611" s="694"/>
      <c r="EI611" s="694"/>
      <c r="EJ611" s="694"/>
      <c r="EK611" s="694"/>
      <c r="EL611" s="694"/>
      <c r="EM611" s="694"/>
      <c r="EN611" s="694"/>
      <c r="EO611" s="694"/>
      <c r="EP611" s="694"/>
      <c r="EQ611" s="694"/>
      <c r="ER611" s="694"/>
      <c r="ES611" s="694"/>
      <c r="ET611" s="694"/>
      <c r="EU611" s="694"/>
      <c r="EV611" s="694"/>
      <c r="EW611" s="694"/>
      <c r="EX611" s="694"/>
      <c r="EY611" s="694"/>
      <c r="EZ611" s="694"/>
      <c r="FA611" s="694"/>
      <c r="FB611" s="694"/>
      <c r="FC611" s="694"/>
      <c r="FD611" s="694"/>
      <c r="FE611" s="694"/>
      <c r="FF611" s="694"/>
      <c r="FG611" s="694"/>
      <c r="FH611" s="694"/>
      <c r="FI611" s="694"/>
      <c r="FJ611" s="694"/>
      <c r="FK611" s="694"/>
      <c r="FL611" s="694"/>
      <c r="FM611" s="694"/>
      <c r="FN611" s="694"/>
      <c r="FO611" s="694"/>
      <c r="FP611" s="694"/>
      <c r="FQ611" s="697"/>
    </row>
    <row r="612" spans="1:173" s="696" customFormat="1">
      <c r="A612" s="690"/>
      <c r="B612" s="690"/>
      <c r="C612" s="691" t="s">
        <v>3650</v>
      </c>
      <c r="D612" s="691"/>
      <c r="E612" s="640">
        <v>35</v>
      </c>
      <c r="F612" s="692"/>
      <c r="G612" s="692"/>
      <c r="H612" s="692"/>
      <c r="I612" s="692"/>
      <c r="J612" s="692"/>
      <c r="K612" s="692"/>
      <c r="L612" s="692"/>
      <c r="M612" s="692"/>
      <c r="N612" s="692"/>
      <c r="O612" s="692"/>
      <c r="P612" s="692">
        <f t="shared" si="192"/>
        <v>35</v>
      </c>
      <c r="Q612" s="692"/>
      <c r="R612" s="693"/>
      <c r="S612" s="693"/>
      <c r="T612" s="692"/>
      <c r="U612" s="692" t="s">
        <v>1631</v>
      </c>
      <c r="V612" s="692"/>
      <c r="W612" s="692">
        <v>1</v>
      </c>
      <c r="X612" s="692"/>
      <c r="Y612" s="692"/>
      <c r="Z612" s="692">
        <v>1</v>
      </c>
      <c r="AA612" s="692"/>
      <c r="AB612" s="692"/>
      <c r="AC612" s="692"/>
      <c r="AD612" s="692"/>
      <c r="AE612" s="725"/>
      <c r="AF612" s="957"/>
      <c r="AG612" s="692"/>
      <c r="AH612" s="692"/>
      <c r="AI612" s="692"/>
      <c r="AJ612" s="692"/>
      <c r="AK612" s="692"/>
      <c r="AL612" s="692"/>
      <c r="AM612" s="692"/>
      <c r="AN612" s="692"/>
      <c r="AO612" s="692"/>
      <c r="AP612" s="692"/>
      <c r="AQ612" s="692"/>
      <c r="AR612" s="692"/>
      <c r="AS612" s="692"/>
      <c r="AT612" s="692"/>
      <c r="AU612" s="692">
        <v>1</v>
      </c>
      <c r="AV612" s="692"/>
      <c r="AW612" s="692">
        <f t="shared" si="193"/>
        <v>0</v>
      </c>
      <c r="AX612" s="692"/>
      <c r="AY612" s="692"/>
      <c r="AZ612" s="692">
        <f t="shared" si="194"/>
        <v>0</v>
      </c>
      <c r="BA612" s="692"/>
      <c r="BB612" s="692"/>
      <c r="BC612" s="692"/>
      <c r="BD612" s="692">
        <v>1</v>
      </c>
      <c r="BE612" s="692"/>
      <c r="BF612" s="692"/>
      <c r="BG612" s="692"/>
      <c r="BH612" s="692"/>
      <c r="BI612" s="692"/>
      <c r="BJ612" s="692">
        <f t="shared" si="195"/>
        <v>2</v>
      </c>
      <c r="BK612" s="692"/>
      <c r="BL612" s="692"/>
      <c r="BM612" s="692"/>
      <c r="BN612" s="692"/>
      <c r="BO612" s="692"/>
      <c r="BP612" s="692"/>
      <c r="BQ612" s="692">
        <f t="shared" si="196"/>
        <v>0</v>
      </c>
      <c r="BR612" s="692"/>
      <c r="BS612" s="692"/>
      <c r="BT612" s="692">
        <f t="shared" si="197"/>
        <v>1</v>
      </c>
      <c r="BU612" s="692"/>
      <c r="BV612" s="692"/>
      <c r="BW612" s="692"/>
      <c r="BX612" s="692"/>
      <c r="BY612" s="692"/>
      <c r="BZ612" s="692"/>
      <c r="CA612" s="692"/>
      <c r="CB612" s="692"/>
      <c r="CC612" s="692"/>
      <c r="CD612" s="692">
        <f t="shared" si="191"/>
        <v>0</v>
      </c>
      <c r="CE612" s="692"/>
      <c r="CF612" s="692"/>
      <c r="CG612" s="692"/>
      <c r="CH612" s="692"/>
      <c r="CI612" s="692"/>
      <c r="CJ612" s="692"/>
      <c r="CK612" s="692"/>
      <c r="CL612" s="692"/>
      <c r="CM612" s="692"/>
      <c r="CN612" s="692"/>
      <c r="CO612" s="692"/>
      <c r="CP612" s="692"/>
      <c r="CQ612" s="692"/>
      <c r="CR612" s="692"/>
      <c r="CS612" s="692"/>
      <c r="CT612" s="692"/>
      <c r="CU612" s="692"/>
      <c r="CV612" s="692"/>
      <c r="CW612" s="692"/>
      <c r="CX612" s="694"/>
      <c r="CY612" s="694"/>
      <c r="CZ612" s="694"/>
      <c r="DA612" s="694"/>
      <c r="DB612" s="694"/>
      <c r="DC612" s="694"/>
      <c r="DD612" s="694"/>
      <c r="DE612" s="694"/>
      <c r="DF612" s="694"/>
      <c r="DG612" s="695"/>
      <c r="DH612" s="695"/>
      <c r="DI612" s="695"/>
      <c r="DJ612" s="695"/>
      <c r="DK612" s="695"/>
      <c r="DL612" s="695"/>
      <c r="DM612" s="695"/>
      <c r="DN612" s="695"/>
      <c r="DO612" s="695"/>
      <c r="DP612" s="695"/>
      <c r="DQ612" s="695"/>
      <c r="DR612" s="695"/>
      <c r="DS612" s="694"/>
      <c r="DT612" s="694"/>
      <c r="DU612" s="694"/>
      <c r="DV612" s="694"/>
      <c r="DW612" s="694"/>
      <c r="DX612" s="694"/>
      <c r="DY612" s="694"/>
      <c r="DZ612" s="694"/>
      <c r="EA612" s="694"/>
      <c r="EB612" s="694"/>
      <c r="EC612" s="694"/>
      <c r="ED612" s="694"/>
      <c r="EE612" s="694"/>
      <c r="EF612" s="694"/>
      <c r="EG612" s="694"/>
      <c r="EH612" s="694"/>
      <c r="EI612" s="694"/>
      <c r="EJ612" s="694"/>
      <c r="EK612" s="694"/>
      <c r="EL612" s="694"/>
      <c r="EM612" s="694"/>
      <c r="EN612" s="694"/>
      <c r="EO612" s="694"/>
      <c r="EP612" s="694"/>
      <c r="EQ612" s="694"/>
      <c r="ER612" s="694"/>
      <c r="ES612" s="694"/>
      <c r="ET612" s="694"/>
      <c r="EU612" s="694"/>
      <c r="EV612" s="694"/>
      <c r="EW612" s="694"/>
      <c r="EX612" s="694"/>
      <c r="EY612" s="694"/>
      <c r="EZ612" s="694"/>
      <c r="FA612" s="694"/>
      <c r="FB612" s="694"/>
      <c r="FC612" s="694"/>
      <c r="FD612" s="694"/>
      <c r="FE612" s="694"/>
      <c r="FF612" s="694"/>
      <c r="FG612" s="694"/>
      <c r="FH612" s="694"/>
      <c r="FI612" s="694"/>
      <c r="FJ612" s="694"/>
      <c r="FK612" s="694"/>
      <c r="FL612" s="694"/>
      <c r="FM612" s="694"/>
      <c r="FN612" s="694"/>
      <c r="FO612" s="694"/>
      <c r="FP612" s="694"/>
      <c r="FQ612" s="697"/>
    </row>
    <row r="613" spans="1:173" s="696" customFormat="1">
      <c r="A613" s="690"/>
      <c r="B613" s="690"/>
      <c r="C613" s="691" t="s">
        <v>3651</v>
      </c>
      <c r="D613" s="691"/>
      <c r="E613" s="640">
        <v>35</v>
      </c>
      <c r="F613" s="692"/>
      <c r="G613" s="692"/>
      <c r="H613" s="692"/>
      <c r="I613" s="692"/>
      <c r="J613" s="692"/>
      <c r="K613" s="692"/>
      <c r="L613" s="692"/>
      <c r="M613" s="692"/>
      <c r="N613" s="692"/>
      <c r="O613" s="692"/>
      <c r="P613" s="692">
        <f t="shared" si="192"/>
        <v>35</v>
      </c>
      <c r="Q613" s="692"/>
      <c r="R613" s="693"/>
      <c r="S613" s="693"/>
      <c r="T613" s="692"/>
      <c r="U613" s="692" t="s">
        <v>1903</v>
      </c>
      <c r="V613" s="692"/>
      <c r="W613" s="692">
        <v>2</v>
      </c>
      <c r="X613" s="692"/>
      <c r="Y613" s="692"/>
      <c r="Z613" s="692"/>
      <c r="AA613" s="692"/>
      <c r="AB613" s="692"/>
      <c r="AC613" s="692"/>
      <c r="AD613" s="692"/>
      <c r="AE613" s="725">
        <v>1</v>
      </c>
      <c r="AF613" s="957"/>
      <c r="AG613" s="692"/>
      <c r="AH613" s="692"/>
      <c r="AI613" s="692"/>
      <c r="AJ613" s="692"/>
      <c r="AK613" s="692"/>
      <c r="AL613" s="692"/>
      <c r="AM613" s="692"/>
      <c r="AN613" s="692"/>
      <c r="AO613" s="692"/>
      <c r="AP613" s="692"/>
      <c r="AQ613" s="692"/>
      <c r="AR613" s="692"/>
      <c r="AS613" s="692"/>
      <c r="AT613" s="692"/>
      <c r="AU613" s="692"/>
      <c r="AV613" s="692"/>
      <c r="AW613" s="692">
        <f t="shared" si="193"/>
        <v>0</v>
      </c>
      <c r="AX613" s="692"/>
      <c r="AY613" s="692"/>
      <c r="AZ613" s="692">
        <f t="shared" si="194"/>
        <v>0</v>
      </c>
      <c r="BA613" s="692"/>
      <c r="BB613" s="692"/>
      <c r="BC613" s="692"/>
      <c r="BD613" s="692"/>
      <c r="BE613" s="692"/>
      <c r="BF613" s="692">
        <v>1</v>
      </c>
      <c r="BG613" s="692"/>
      <c r="BH613" s="692"/>
      <c r="BI613" s="692"/>
      <c r="BJ613" s="692">
        <f t="shared" si="195"/>
        <v>0</v>
      </c>
      <c r="BK613" s="692"/>
      <c r="BL613" s="692"/>
      <c r="BM613" s="692"/>
      <c r="BN613" s="692"/>
      <c r="BO613" s="692"/>
      <c r="BP613" s="692"/>
      <c r="BQ613" s="692">
        <f t="shared" si="196"/>
        <v>1</v>
      </c>
      <c r="BR613" s="692"/>
      <c r="BS613" s="692"/>
      <c r="BT613" s="692">
        <f t="shared" si="197"/>
        <v>2</v>
      </c>
      <c r="BU613" s="692"/>
      <c r="BV613" s="692"/>
      <c r="BW613" s="692"/>
      <c r="BX613" s="692"/>
      <c r="BY613" s="692"/>
      <c r="BZ613" s="692"/>
      <c r="CA613" s="692"/>
      <c r="CB613" s="692"/>
      <c r="CC613" s="692"/>
      <c r="CD613" s="692">
        <f t="shared" si="191"/>
        <v>0</v>
      </c>
      <c r="CE613" s="692"/>
      <c r="CF613" s="692"/>
      <c r="CG613" s="692"/>
      <c r="CH613" s="692"/>
      <c r="CI613" s="692"/>
      <c r="CJ613" s="692"/>
      <c r="CK613" s="692"/>
      <c r="CL613" s="692"/>
      <c r="CM613" s="692"/>
      <c r="CN613" s="692"/>
      <c r="CO613" s="692"/>
      <c r="CP613" s="692"/>
      <c r="CQ613" s="692"/>
      <c r="CR613" s="692"/>
      <c r="CS613" s="692"/>
      <c r="CT613" s="692"/>
      <c r="CU613" s="692"/>
      <c r="CV613" s="692"/>
      <c r="CW613" s="692"/>
      <c r="CX613" s="694"/>
      <c r="CY613" s="694"/>
      <c r="CZ613" s="694"/>
      <c r="DA613" s="694"/>
      <c r="DB613" s="694"/>
      <c r="DC613" s="694"/>
      <c r="DD613" s="694"/>
      <c r="DE613" s="694"/>
      <c r="DF613" s="694"/>
      <c r="DG613" s="695"/>
      <c r="DH613" s="695"/>
      <c r="DI613" s="695"/>
      <c r="DJ613" s="695"/>
      <c r="DK613" s="695"/>
      <c r="DL613" s="695"/>
      <c r="DM613" s="695"/>
      <c r="DN613" s="695"/>
      <c r="DO613" s="695"/>
      <c r="DP613" s="695"/>
      <c r="DQ613" s="695"/>
      <c r="DR613" s="695"/>
      <c r="DS613" s="694"/>
      <c r="DT613" s="694"/>
      <c r="DU613" s="694"/>
      <c r="DV613" s="694"/>
      <c r="DW613" s="694"/>
      <c r="DX613" s="694"/>
      <c r="DY613" s="694"/>
      <c r="DZ613" s="694"/>
      <c r="EA613" s="694"/>
      <c r="EB613" s="694"/>
      <c r="EC613" s="694"/>
      <c r="ED613" s="694"/>
      <c r="EE613" s="694"/>
      <c r="EF613" s="694"/>
      <c r="EG613" s="694"/>
      <c r="EH613" s="694"/>
      <c r="EI613" s="694"/>
      <c r="EJ613" s="694"/>
      <c r="EK613" s="694"/>
      <c r="EL613" s="694"/>
      <c r="EM613" s="694"/>
      <c r="EN613" s="694"/>
      <c r="EO613" s="694"/>
      <c r="EP613" s="694"/>
      <c r="EQ613" s="694"/>
      <c r="ER613" s="694"/>
      <c r="ES613" s="694"/>
      <c r="ET613" s="694"/>
      <c r="EU613" s="694"/>
      <c r="EV613" s="694"/>
      <c r="EW613" s="694"/>
      <c r="EX613" s="694"/>
      <c r="EY613" s="694"/>
      <c r="EZ613" s="694"/>
      <c r="FA613" s="694"/>
      <c r="FB613" s="694"/>
      <c r="FC613" s="694"/>
      <c r="FD613" s="694"/>
      <c r="FE613" s="694"/>
      <c r="FF613" s="694"/>
      <c r="FG613" s="694"/>
      <c r="FH613" s="694"/>
      <c r="FI613" s="694"/>
      <c r="FJ613" s="694"/>
      <c r="FK613" s="694"/>
      <c r="FL613" s="694"/>
      <c r="FM613" s="694"/>
      <c r="FN613" s="694"/>
      <c r="FO613" s="694"/>
      <c r="FP613" s="694"/>
      <c r="FQ613" s="697"/>
    </row>
    <row r="614" spans="1:173" s="696" customFormat="1">
      <c r="A614" s="690"/>
      <c r="B614" s="690"/>
      <c r="C614" s="691" t="s">
        <v>3652</v>
      </c>
      <c r="D614" s="691"/>
      <c r="E614" s="640">
        <v>35</v>
      </c>
      <c r="F614" s="692"/>
      <c r="G614" s="692"/>
      <c r="H614" s="692"/>
      <c r="I614" s="692"/>
      <c r="J614" s="692"/>
      <c r="K614" s="692"/>
      <c r="L614" s="692"/>
      <c r="M614" s="692"/>
      <c r="N614" s="692"/>
      <c r="O614" s="692"/>
      <c r="P614" s="692">
        <f t="shared" si="192"/>
        <v>35</v>
      </c>
      <c r="Q614" s="692"/>
      <c r="R614" s="693"/>
      <c r="S614" s="693"/>
      <c r="T614" s="692"/>
      <c r="U614" s="692" t="s">
        <v>1631</v>
      </c>
      <c r="V614" s="692"/>
      <c r="W614" s="692">
        <v>1</v>
      </c>
      <c r="X614" s="692"/>
      <c r="Y614" s="692"/>
      <c r="Z614" s="692">
        <v>1</v>
      </c>
      <c r="AA614" s="692"/>
      <c r="AB614" s="692"/>
      <c r="AC614" s="692"/>
      <c r="AD614" s="692"/>
      <c r="AE614" s="725"/>
      <c r="AF614" s="957"/>
      <c r="AG614" s="692"/>
      <c r="AH614" s="692"/>
      <c r="AI614" s="692"/>
      <c r="AJ614" s="692"/>
      <c r="AK614" s="692"/>
      <c r="AL614" s="692"/>
      <c r="AM614" s="692"/>
      <c r="AN614" s="692"/>
      <c r="AO614" s="692"/>
      <c r="AP614" s="692"/>
      <c r="AQ614" s="692"/>
      <c r="AR614" s="692"/>
      <c r="AS614" s="692"/>
      <c r="AT614" s="692"/>
      <c r="AU614" s="692"/>
      <c r="AV614" s="692"/>
      <c r="AW614" s="692">
        <f t="shared" si="193"/>
        <v>1</v>
      </c>
      <c r="AX614" s="692"/>
      <c r="AY614" s="692"/>
      <c r="AZ614" s="692">
        <f t="shared" si="194"/>
        <v>2</v>
      </c>
      <c r="BA614" s="692"/>
      <c r="BB614" s="692"/>
      <c r="BC614" s="692"/>
      <c r="BD614" s="692">
        <v>1</v>
      </c>
      <c r="BE614" s="692"/>
      <c r="BF614" s="692"/>
      <c r="BG614" s="692"/>
      <c r="BH614" s="692"/>
      <c r="BI614" s="692"/>
      <c r="BJ614" s="692">
        <f t="shared" si="195"/>
        <v>5</v>
      </c>
      <c r="BK614" s="692"/>
      <c r="BL614" s="692"/>
      <c r="BM614" s="692"/>
      <c r="BN614" s="692"/>
      <c r="BO614" s="692"/>
      <c r="BP614" s="692"/>
      <c r="BQ614" s="692">
        <f t="shared" si="196"/>
        <v>0</v>
      </c>
      <c r="BR614" s="692"/>
      <c r="BS614" s="692"/>
      <c r="BT614" s="692">
        <f t="shared" si="197"/>
        <v>1</v>
      </c>
      <c r="BU614" s="692"/>
      <c r="BV614" s="692"/>
      <c r="BW614" s="692"/>
      <c r="BX614" s="692"/>
      <c r="BY614" s="692"/>
      <c r="BZ614" s="692"/>
      <c r="CA614" s="692"/>
      <c r="CB614" s="692">
        <v>1</v>
      </c>
      <c r="CC614" s="692"/>
      <c r="CD614" s="692">
        <f t="shared" si="191"/>
        <v>4</v>
      </c>
      <c r="CE614" s="692"/>
      <c r="CF614" s="692"/>
      <c r="CG614" s="692"/>
      <c r="CH614" s="692"/>
      <c r="CI614" s="692"/>
      <c r="CJ614" s="692"/>
      <c r="CK614" s="692"/>
      <c r="CL614" s="692"/>
      <c r="CM614" s="692"/>
      <c r="CN614" s="692"/>
      <c r="CO614" s="692"/>
      <c r="CP614" s="692"/>
      <c r="CQ614" s="692"/>
      <c r="CR614" s="692"/>
      <c r="CS614" s="692"/>
      <c r="CT614" s="692"/>
      <c r="CU614" s="692"/>
      <c r="CV614" s="692"/>
      <c r="CW614" s="692"/>
      <c r="CX614" s="694"/>
      <c r="CY614" s="694"/>
      <c r="CZ614" s="694"/>
      <c r="DA614" s="694"/>
      <c r="DB614" s="694"/>
      <c r="DC614" s="694"/>
      <c r="DD614" s="694"/>
      <c r="DE614" s="694"/>
      <c r="DF614" s="694"/>
      <c r="DG614" s="695"/>
      <c r="DH614" s="695"/>
      <c r="DI614" s="695"/>
      <c r="DJ614" s="695"/>
      <c r="DK614" s="695"/>
      <c r="DL614" s="695"/>
      <c r="DM614" s="695"/>
      <c r="DN614" s="695"/>
      <c r="DO614" s="695"/>
      <c r="DP614" s="695"/>
      <c r="DQ614" s="695"/>
      <c r="DR614" s="695"/>
      <c r="DS614" s="694"/>
      <c r="DT614" s="694"/>
      <c r="DU614" s="694"/>
      <c r="DV614" s="694"/>
      <c r="DW614" s="694"/>
      <c r="DX614" s="694"/>
      <c r="DY614" s="694"/>
      <c r="DZ614" s="694"/>
      <c r="EA614" s="694"/>
      <c r="EB614" s="694"/>
      <c r="EC614" s="694"/>
      <c r="ED614" s="694"/>
      <c r="EE614" s="694"/>
      <c r="EF614" s="694"/>
      <c r="EG614" s="694"/>
      <c r="EH614" s="694"/>
      <c r="EI614" s="694"/>
      <c r="EJ614" s="694"/>
      <c r="EK614" s="694"/>
      <c r="EL614" s="694"/>
      <c r="EM614" s="694"/>
      <c r="EN614" s="694"/>
      <c r="EO614" s="694"/>
      <c r="EP614" s="694"/>
      <c r="EQ614" s="694"/>
      <c r="ER614" s="694"/>
      <c r="ES614" s="694"/>
      <c r="ET614" s="694"/>
      <c r="EU614" s="694"/>
      <c r="EV614" s="694"/>
      <c r="EW614" s="694"/>
      <c r="EX614" s="694"/>
      <c r="EY614" s="694"/>
      <c r="EZ614" s="694"/>
      <c r="FA614" s="694"/>
      <c r="FB614" s="694"/>
      <c r="FC614" s="694"/>
      <c r="FD614" s="694"/>
      <c r="FE614" s="694"/>
      <c r="FF614" s="694"/>
      <c r="FG614" s="694"/>
      <c r="FH614" s="694"/>
      <c r="FI614" s="694"/>
      <c r="FJ614" s="694"/>
      <c r="FK614" s="694"/>
      <c r="FL614" s="694"/>
      <c r="FM614" s="694"/>
      <c r="FN614" s="694"/>
      <c r="FO614" s="694"/>
      <c r="FP614" s="694"/>
      <c r="FQ614" s="697"/>
    </row>
    <row r="615" spans="1:173" s="696" customFormat="1">
      <c r="A615" s="690"/>
      <c r="B615" s="690"/>
      <c r="C615" s="691" t="s">
        <v>3653</v>
      </c>
      <c r="D615" s="691"/>
      <c r="E615" s="640">
        <v>30</v>
      </c>
      <c r="F615" s="692"/>
      <c r="G615" s="692"/>
      <c r="H615" s="692"/>
      <c r="I615" s="692"/>
      <c r="J615" s="692"/>
      <c r="K615" s="692"/>
      <c r="L615" s="692"/>
      <c r="M615" s="692"/>
      <c r="N615" s="692"/>
      <c r="O615" s="692"/>
      <c r="P615" s="692">
        <f t="shared" si="192"/>
        <v>30</v>
      </c>
      <c r="Q615" s="692"/>
      <c r="R615" s="693"/>
      <c r="S615" s="693"/>
      <c r="T615" s="692"/>
      <c r="U615" s="692" t="s">
        <v>1631</v>
      </c>
      <c r="V615" s="692"/>
      <c r="W615" s="692">
        <v>1</v>
      </c>
      <c r="X615" s="692"/>
      <c r="Y615" s="692"/>
      <c r="Z615" s="692">
        <v>1</v>
      </c>
      <c r="AA615" s="692"/>
      <c r="AB615" s="692"/>
      <c r="AC615" s="692"/>
      <c r="AD615" s="692"/>
      <c r="AE615" s="725"/>
      <c r="AF615" s="957"/>
      <c r="AG615" s="692"/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>
        <f t="shared" si="193"/>
        <v>0</v>
      </c>
      <c r="AX615" s="692"/>
      <c r="AY615" s="692"/>
      <c r="AZ615" s="692">
        <f t="shared" si="194"/>
        <v>0</v>
      </c>
      <c r="BA615" s="692"/>
      <c r="BB615" s="692"/>
      <c r="BC615" s="692"/>
      <c r="BD615" s="692">
        <v>1</v>
      </c>
      <c r="BE615" s="692"/>
      <c r="BF615" s="692"/>
      <c r="BG615" s="692"/>
      <c r="BH615" s="692"/>
      <c r="BI615" s="692"/>
      <c r="BJ615" s="692">
        <f t="shared" si="195"/>
        <v>0</v>
      </c>
      <c r="BK615" s="692"/>
      <c r="BL615" s="692"/>
      <c r="BM615" s="692"/>
      <c r="BN615" s="692"/>
      <c r="BO615" s="692"/>
      <c r="BP615" s="692"/>
      <c r="BQ615" s="692">
        <f t="shared" si="196"/>
        <v>0</v>
      </c>
      <c r="BR615" s="692"/>
      <c r="BS615" s="692"/>
      <c r="BT615" s="692">
        <f t="shared" si="197"/>
        <v>1</v>
      </c>
      <c r="BU615" s="692"/>
      <c r="BV615" s="692"/>
      <c r="BW615" s="692"/>
      <c r="BX615" s="692"/>
      <c r="BY615" s="692"/>
      <c r="BZ615" s="692"/>
      <c r="CA615" s="692"/>
      <c r="CB615" s="692"/>
      <c r="CC615" s="692"/>
      <c r="CD615" s="692">
        <f t="shared" si="191"/>
        <v>0</v>
      </c>
      <c r="CE615" s="692"/>
      <c r="CF615" s="692"/>
      <c r="CG615" s="692"/>
      <c r="CH615" s="692"/>
      <c r="CI615" s="692"/>
      <c r="CJ615" s="692"/>
      <c r="CK615" s="692"/>
      <c r="CL615" s="692"/>
      <c r="CM615" s="692"/>
      <c r="CN615" s="692"/>
      <c r="CO615" s="692"/>
      <c r="CP615" s="692"/>
      <c r="CQ615" s="692"/>
      <c r="CR615" s="692"/>
      <c r="CS615" s="692"/>
      <c r="CT615" s="692"/>
      <c r="CU615" s="692"/>
      <c r="CV615" s="692"/>
      <c r="CW615" s="692"/>
      <c r="CX615" s="694"/>
      <c r="CY615" s="694"/>
      <c r="CZ615" s="694"/>
      <c r="DA615" s="694"/>
      <c r="DB615" s="694"/>
      <c r="DC615" s="694"/>
      <c r="DD615" s="694"/>
      <c r="DE615" s="694"/>
      <c r="DF615" s="694"/>
      <c r="DG615" s="695"/>
      <c r="DH615" s="695"/>
      <c r="DI615" s="695"/>
      <c r="DJ615" s="695"/>
      <c r="DK615" s="695"/>
      <c r="DL615" s="695"/>
      <c r="DM615" s="695"/>
      <c r="DN615" s="695"/>
      <c r="DO615" s="695"/>
      <c r="DP615" s="695"/>
      <c r="DQ615" s="695"/>
      <c r="DR615" s="695"/>
      <c r="DS615" s="694"/>
      <c r="DT615" s="694"/>
      <c r="DU615" s="694"/>
      <c r="DV615" s="694"/>
      <c r="DW615" s="694"/>
      <c r="DX615" s="694"/>
      <c r="DY615" s="694"/>
      <c r="DZ615" s="694"/>
      <c r="EA615" s="694"/>
      <c r="EB615" s="694"/>
      <c r="EC615" s="694"/>
      <c r="ED615" s="694"/>
      <c r="EE615" s="694"/>
      <c r="EF615" s="694"/>
      <c r="EG615" s="694"/>
      <c r="EH615" s="694"/>
      <c r="EI615" s="694"/>
      <c r="EJ615" s="694"/>
      <c r="EK615" s="694"/>
      <c r="EL615" s="694"/>
      <c r="EM615" s="694"/>
      <c r="EN615" s="694"/>
      <c r="EO615" s="694"/>
      <c r="EP615" s="694"/>
      <c r="EQ615" s="694"/>
      <c r="ER615" s="694"/>
      <c r="ES615" s="694"/>
      <c r="ET615" s="694"/>
      <c r="EU615" s="694"/>
      <c r="EV615" s="694"/>
      <c r="EW615" s="694"/>
      <c r="EX615" s="694"/>
      <c r="EY615" s="694"/>
      <c r="EZ615" s="694"/>
      <c r="FA615" s="694"/>
      <c r="FB615" s="694"/>
      <c r="FC615" s="694"/>
      <c r="FD615" s="694"/>
      <c r="FE615" s="694"/>
      <c r="FF615" s="694"/>
      <c r="FG615" s="694"/>
      <c r="FH615" s="694"/>
      <c r="FI615" s="694"/>
      <c r="FJ615" s="694"/>
      <c r="FK615" s="694"/>
      <c r="FL615" s="694"/>
      <c r="FM615" s="694"/>
      <c r="FN615" s="694"/>
      <c r="FO615" s="694"/>
      <c r="FP615" s="694"/>
      <c r="FQ615" s="697"/>
    </row>
    <row r="616" spans="1:173" s="696" customFormat="1">
      <c r="A616" s="690"/>
      <c r="B616" s="690"/>
      <c r="C616" s="691" t="s">
        <v>3654</v>
      </c>
      <c r="D616" s="691"/>
      <c r="E616" s="640">
        <v>34</v>
      </c>
      <c r="F616" s="692"/>
      <c r="G616" s="692"/>
      <c r="H616" s="692"/>
      <c r="I616" s="692"/>
      <c r="J616" s="692"/>
      <c r="K616" s="692"/>
      <c r="L616" s="692"/>
      <c r="M616" s="692"/>
      <c r="N616" s="692"/>
      <c r="O616" s="692"/>
      <c r="P616" s="692">
        <f t="shared" si="192"/>
        <v>34</v>
      </c>
      <c r="Q616" s="692"/>
      <c r="R616" s="693"/>
      <c r="S616" s="693"/>
      <c r="T616" s="692"/>
      <c r="U616" s="692" t="s">
        <v>2989</v>
      </c>
      <c r="V616" s="692"/>
      <c r="W616" s="692">
        <v>2</v>
      </c>
      <c r="X616" s="692"/>
      <c r="Y616" s="692"/>
      <c r="Z616" s="692"/>
      <c r="AA616" s="692"/>
      <c r="AB616" s="692"/>
      <c r="AC616" s="692"/>
      <c r="AD616" s="692"/>
      <c r="AE616" s="725">
        <v>1</v>
      </c>
      <c r="AF616" s="957"/>
      <c r="AG616" s="692"/>
      <c r="AH616" s="692"/>
      <c r="AI616" s="692"/>
      <c r="AJ616" s="692"/>
      <c r="AK616" s="692"/>
      <c r="AL616" s="692"/>
      <c r="AM616" s="692"/>
      <c r="AN616" s="692"/>
      <c r="AO616" s="692"/>
      <c r="AP616" s="692"/>
      <c r="AQ616" s="692"/>
      <c r="AR616" s="692"/>
      <c r="AS616" s="692"/>
      <c r="AT616" s="692"/>
      <c r="AU616" s="692"/>
      <c r="AV616" s="692"/>
      <c r="AW616" s="692">
        <f t="shared" si="193"/>
        <v>1</v>
      </c>
      <c r="AX616" s="692"/>
      <c r="AY616" s="692"/>
      <c r="AZ616" s="692">
        <f t="shared" si="194"/>
        <v>2</v>
      </c>
      <c r="BA616" s="692"/>
      <c r="BB616" s="692"/>
      <c r="BC616" s="692"/>
      <c r="BD616" s="692">
        <v>1</v>
      </c>
      <c r="BE616" s="692"/>
      <c r="BF616" s="692">
        <v>1</v>
      </c>
      <c r="BG616" s="692"/>
      <c r="BH616" s="692"/>
      <c r="BI616" s="692"/>
      <c r="BJ616" s="692">
        <f t="shared" si="195"/>
        <v>5</v>
      </c>
      <c r="BK616" s="692"/>
      <c r="BL616" s="692"/>
      <c r="BM616" s="692"/>
      <c r="BN616" s="692"/>
      <c r="BO616" s="692"/>
      <c r="BP616" s="692"/>
      <c r="BQ616" s="692">
        <f t="shared" si="196"/>
        <v>0</v>
      </c>
      <c r="BR616" s="692"/>
      <c r="BS616" s="692"/>
      <c r="BT616" s="692">
        <f t="shared" si="197"/>
        <v>0</v>
      </c>
      <c r="BU616" s="692"/>
      <c r="BV616" s="692"/>
      <c r="BW616" s="692"/>
      <c r="BX616" s="692"/>
      <c r="BY616" s="692">
        <v>2</v>
      </c>
      <c r="BZ616" s="692"/>
      <c r="CA616" s="692"/>
      <c r="CB616" s="692">
        <v>1</v>
      </c>
      <c r="CC616" s="692"/>
      <c r="CD616" s="692">
        <f t="shared" si="191"/>
        <v>4</v>
      </c>
      <c r="CE616" s="692"/>
      <c r="CF616" s="692"/>
      <c r="CG616" s="692"/>
      <c r="CH616" s="692"/>
      <c r="CI616" s="692"/>
      <c r="CJ616" s="692"/>
      <c r="CK616" s="692"/>
      <c r="CL616" s="692"/>
      <c r="CM616" s="692"/>
      <c r="CN616" s="692"/>
      <c r="CO616" s="692"/>
      <c r="CP616" s="692"/>
      <c r="CQ616" s="692"/>
      <c r="CR616" s="692"/>
      <c r="CS616" s="692"/>
      <c r="CT616" s="692"/>
      <c r="CU616" s="692"/>
      <c r="CV616" s="692"/>
      <c r="CW616" s="692"/>
      <c r="CX616" s="694"/>
      <c r="CY616" s="694"/>
      <c r="CZ616" s="694"/>
      <c r="DA616" s="694"/>
      <c r="DB616" s="694"/>
      <c r="DC616" s="694"/>
      <c r="DD616" s="694"/>
      <c r="DE616" s="694"/>
      <c r="DF616" s="694"/>
      <c r="DG616" s="695"/>
      <c r="DH616" s="695"/>
      <c r="DI616" s="695"/>
      <c r="DJ616" s="695"/>
      <c r="DK616" s="695"/>
      <c r="DL616" s="695"/>
      <c r="DM616" s="695"/>
      <c r="DN616" s="695"/>
      <c r="DO616" s="695"/>
      <c r="DP616" s="695"/>
      <c r="DQ616" s="695"/>
      <c r="DR616" s="695"/>
      <c r="DS616" s="694"/>
      <c r="DT616" s="694"/>
      <c r="DU616" s="694"/>
      <c r="DV616" s="694"/>
      <c r="DW616" s="694"/>
      <c r="DX616" s="694"/>
      <c r="DY616" s="694"/>
      <c r="DZ616" s="694"/>
      <c r="EA616" s="694"/>
      <c r="EB616" s="694"/>
      <c r="EC616" s="694"/>
      <c r="ED616" s="694"/>
      <c r="EE616" s="694"/>
      <c r="EF616" s="694"/>
      <c r="EG616" s="694"/>
      <c r="EH616" s="694"/>
      <c r="EI616" s="694"/>
      <c r="EJ616" s="694"/>
      <c r="EK616" s="694"/>
      <c r="EL616" s="694"/>
      <c r="EM616" s="694"/>
      <c r="EN616" s="694"/>
      <c r="EO616" s="694"/>
      <c r="EP616" s="694"/>
      <c r="EQ616" s="694"/>
      <c r="ER616" s="694"/>
      <c r="ES616" s="694"/>
      <c r="ET616" s="694"/>
      <c r="EU616" s="694"/>
      <c r="EV616" s="694"/>
      <c r="EW616" s="694"/>
      <c r="EX616" s="694"/>
      <c r="EY616" s="694"/>
      <c r="EZ616" s="694"/>
      <c r="FA616" s="694"/>
      <c r="FB616" s="694"/>
      <c r="FC616" s="694"/>
      <c r="FD616" s="694"/>
      <c r="FE616" s="694"/>
      <c r="FF616" s="694"/>
      <c r="FG616" s="694"/>
      <c r="FH616" s="694"/>
      <c r="FI616" s="694"/>
      <c r="FJ616" s="694"/>
      <c r="FK616" s="694"/>
      <c r="FL616" s="694"/>
      <c r="FM616" s="694"/>
      <c r="FN616" s="694"/>
      <c r="FO616" s="694"/>
      <c r="FP616" s="694"/>
      <c r="FQ616" s="697"/>
    </row>
    <row r="617" spans="1:173" s="696" customFormat="1">
      <c r="A617" s="690"/>
      <c r="B617" s="690"/>
      <c r="C617" s="691" t="s">
        <v>3655</v>
      </c>
      <c r="D617" s="691"/>
      <c r="E617" s="640">
        <v>30</v>
      </c>
      <c r="F617" s="692"/>
      <c r="G617" s="692"/>
      <c r="H617" s="692"/>
      <c r="I617" s="692"/>
      <c r="J617" s="692"/>
      <c r="K617" s="692"/>
      <c r="L617" s="692"/>
      <c r="M617" s="692"/>
      <c r="N617" s="692"/>
      <c r="O617" s="692"/>
      <c r="P617" s="692">
        <f t="shared" si="192"/>
        <v>30</v>
      </c>
      <c r="Q617" s="692"/>
      <c r="R617" s="693"/>
      <c r="S617" s="693"/>
      <c r="T617" s="692"/>
      <c r="U617" s="692" t="s">
        <v>1631</v>
      </c>
      <c r="V617" s="692"/>
      <c r="W617" s="692">
        <v>1</v>
      </c>
      <c r="X617" s="692"/>
      <c r="Y617" s="692"/>
      <c r="Z617" s="692">
        <v>1</v>
      </c>
      <c r="AA617" s="692"/>
      <c r="AB617" s="692"/>
      <c r="AC617" s="692"/>
      <c r="AD617" s="692"/>
      <c r="AE617" s="725"/>
      <c r="AF617" s="957"/>
      <c r="AG617" s="692"/>
      <c r="AH617" s="692"/>
      <c r="AI617" s="692"/>
      <c r="AJ617" s="692"/>
      <c r="AK617" s="692"/>
      <c r="AL617" s="692"/>
      <c r="AM617" s="692"/>
      <c r="AN617" s="692"/>
      <c r="AO617" s="692"/>
      <c r="AP617" s="692"/>
      <c r="AQ617" s="692"/>
      <c r="AR617" s="692"/>
      <c r="AS617" s="692"/>
      <c r="AT617" s="692"/>
      <c r="AU617" s="692"/>
      <c r="AV617" s="692"/>
      <c r="AW617" s="692">
        <f t="shared" si="193"/>
        <v>0</v>
      </c>
      <c r="AX617" s="692"/>
      <c r="AY617" s="692"/>
      <c r="AZ617" s="692">
        <f t="shared" si="194"/>
        <v>0</v>
      </c>
      <c r="BA617" s="692"/>
      <c r="BB617" s="692"/>
      <c r="BC617" s="692"/>
      <c r="BD617" s="692">
        <v>1</v>
      </c>
      <c r="BE617" s="692"/>
      <c r="BF617" s="692"/>
      <c r="BG617" s="692"/>
      <c r="BH617" s="692"/>
      <c r="BI617" s="692"/>
      <c r="BJ617" s="692">
        <f t="shared" si="195"/>
        <v>0</v>
      </c>
      <c r="BK617" s="692"/>
      <c r="BL617" s="692"/>
      <c r="BM617" s="692"/>
      <c r="BN617" s="692"/>
      <c r="BO617" s="692"/>
      <c r="BP617" s="692"/>
      <c r="BQ617" s="692">
        <f t="shared" si="196"/>
        <v>0</v>
      </c>
      <c r="BR617" s="692"/>
      <c r="BS617" s="692"/>
      <c r="BT617" s="692">
        <f t="shared" si="197"/>
        <v>1</v>
      </c>
      <c r="BU617" s="692"/>
      <c r="BV617" s="692"/>
      <c r="BW617" s="692"/>
      <c r="BX617" s="692"/>
      <c r="BY617" s="692"/>
      <c r="BZ617" s="692"/>
      <c r="CA617" s="692"/>
      <c r="CB617" s="692"/>
      <c r="CC617" s="692"/>
      <c r="CD617" s="692">
        <f t="shared" si="191"/>
        <v>0</v>
      </c>
      <c r="CE617" s="692"/>
      <c r="CF617" s="692"/>
      <c r="CG617" s="692"/>
      <c r="CH617" s="692"/>
      <c r="CI617" s="692"/>
      <c r="CJ617" s="692"/>
      <c r="CK617" s="692"/>
      <c r="CL617" s="692"/>
      <c r="CM617" s="692"/>
      <c r="CN617" s="692"/>
      <c r="CO617" s="692"/>
      <c r="CP617" s="692"/>
      <c r="CQ617" s="692"/>
      <c r="CR617" s="692"/>
      <c r="CS617" s="692"/>
      <c r="CT617" s="692"/>
      <c r="CU617" s="692"/>
      <c r="CV617" s="692"/>
      <c r="CW617" s="692"/>
      <c r="CX617" s="694"/>
      <c r="CY617" s="694"/>
      <c r="CZ617" s="694"/>
      <c r="DA617" s="694"/>
      <c r="DB617" s="694"/>
      <c r="DC617" s="694"/>
      <c r="DD617" s="694"/>
      <c r="DE617" s="694"/>
      <c r="DF617" s="694"/>
      <c r="DG617" s="695"/>
      <c r="DH617" s="695"/>
      <c r="DI617" s="695"/>
      <c r="DJ617" s="695"/>
      <c r="DK617" s="695"/>
      <c r="DL617" s="695"/>
      <c r="DM617" s="695"/>
      <c r="DN617" s="695"/>
      <c r="DO617" s="695"/>
      <c r="DP617" s="695"/>
      <c r="DQ617" s="695"/>
      <c r="DR617" s="695"/>
      <c r="DS617" s="694"/>
      <c r="DT617" s="694"/>
      <c r="DU617" s="694"/>
      <c r="DV617" s="694"/>
      <c r="DW617" s="694"/>
      <c r="DX617" s="694"/>
      <c r="DY617" s="694"/>
      <c r="DZ617" s="694"/>
      <c r="EA617" s="694"/>
      <c r="EB617" s="694"/>
      <c r="EC617" s="694"/>
      <c r="ED617" s="694"/>
      <c r="EE617" s="694"/>
      <c r="EF617" s="694"/>
      <c r="EG617" s="694"/>
      <c r="EH617" s="694"/>
      <c r="EI617" s="694"/>
      <c r="EJ617" s="694"/>
      <c r="EK617" s="694"/>
      <c r="EL617" s="694"/>
      <c r="EM617" s="694"/>
      <c r="EN617" s="694"/>
      <c r="EO617" s="694"/>
      <c r="EP617" s="694"/>
      <c r="EQ617" s="694"/>
      <c r="ER617" s="694"/>
      <c r="ES617" s="694"/>
      <c r="ET617" s="694"/>
      <c r="EU617" s="694"/>
      <c r="EV617" s="694"/>
      <c r="EW617" s="694"/>
      <c r="EX617" s="694"/>
      <c r="EY617" s="694"/>
      <c r="EZ617" s="694"/>
      <c r="FA617" s="694"/>
      <c r="FB617" s="694"/>
      <c r="FC617" s="694"/>
      <c r="FD617" s="694"/>
      <c r="FE617" s="694"/>
      <c r="FF617" s="694"/>
      <c r="FG617" s="694"/>
      <c r="FH617" s="694"/>
      <c r="FI617" s="694"/>
      <c r="FJ617" s="694"/>
      <c r="FK617" s="694"/>
      <c r="FL617" s="694"/>
      <c r="FM617" s="694"/>
      <c r="FN617" s="694"/>
      <c r="FO617" s="694"/>
      <c r="FP617" s="694"/>
      <c r="FQ617" s="697"/>
    </row>
    <row r="618" spans="1:173" s="696" customFormat="1">
      <c r="A618" s="690"/>
      <c r="B618" s="690"/>
      <c r="C618" s="691" t="s">
        <v>3656</v>
      </c>
      <c r="D618" s="691"/>
      <c r="E618" s="640">
        <v>35</v>
      </c>
      <c r="F618" s="692"/>
      <c r="G618" s="692"/>
      <c r="H618" s="692"/>
      <c r="I618" s="692"/>
      <c r="J618" s="692"/>
      <c r="K618" s="692"/>
      <c r="L618" s="692"/>
      <c r="M618" s="692"/>
      <c r="N618" s="692"/>
      <c r="O618" s="692"/>
      <c r="P618" s="692">
        <f t="shared" si="192"/>
        <v>35</v>
      </c>
      <c r="Q618" s="692"/>
      <c r="R618" s="693"/>
      <c r="S618" s="693"/>
      <c r="T618" s="692"/>
      <c r="U618" s="692" t="s">
        <v>1631</v>
      </c>
      <c r="V618" s="692"/>
      <c r="W618" s="692">
        <v>1</v>
      </c>
      <c r="X618" s="692"/>
      <c r="Y618" s="692"/>
      <c r="Z618" s="692">
        <v>1</v>
      </c>
      <c r="AA618" s="692"/>
      <c r="AB618" s="692"/>
      <c r="AC618" s="692"/>
      <c r="AD618" s="692"/>
      <c r="AE618" s="725"/>
      <c r="AF618" s="957"/>
      <c r="AG618" s="692"/>
      <c r="AH618" s="692"/>
      <c r="AI618" s="692"/>
      <c r="AJ618" s="692"/>
      <c r="AK618" s="692"/>
      <c r="AL618" s="692"/>
      <c r="AM618" s="692"/>
      <c r="AN618" s="692"/>
      <c r="AO618" s="692"/>
      <c r="AP618" s="692"/>
      <c r="AQ618" s="692"/>
      <c r="AR618" s="692"/>
      <c r="AS618" s="692"/>
      <c r="AT618" s="692"/>
      <c r="AU618" s="692">
        <v>1</v>
      </c>
      <c r="AV618" s="692"/>
      <c r="AW618" s="692">
        <f t="shared" si="193"/>
        <v>0</v>
      </c>
      <c r="AX618" s="692"/>
      <c r="AY618" s="692"/>
      <c r="AZ618" s="692">
        <f t="shared" si="194"/>
        <v>0</v>
      </c>
      <c r="BA618" s="692"/>
      <c r="BB618" s="692"/>
      <c r="BC618" s="692"/>
      <c r="BD618" s="692">
        <v>1</v>
      </c>
      <c r="BE618" s="692"/>
      <c r="BF618" s="692"/>
      <c r="BG618" s="692"/>
      <c r="BH618" s="692"/>
      <c r="BI618" s="692"/>
      <c r="BJ618" s="692">
        <f t="shared" si="195"/>
        <v>2</v>
      </c>
      <c r="BK618" s="692"/>
      <c r="BL618" s="692"/>
      <c r="BM618" s="692"/>
      <c r="BN618" s="692"/>
      <c r="BO618" s="692"/>
      <c r="BP618" s="692"/>
      <c r="BQ618" s="692">
        <f t="shared" si="196"/>
        <v>0</v>
      </c>
      <c r="BR618" s="692"/>
      <c r="BS618" s="692"/>
      <c r="BT618" s="692">
        <f t="shared" si="197"/>
        <v>1</v>
      </c>
      <c r="BU618" s="692"/>
      <c r="BV618" s="692"/>
      <c r="BW618" s="692"/>
      <c r="BX618" s="692"/>
      <c r="BY618" s="692"/>
      <c r="BZ618" s="692"/>
      <c r="CA618" s="692"/>
      <c r="CB618" s="692"/>
      <c r="CC618" s="692"/>
      <c r="CD618" s="692">
        <f t="shared" si="191"/>
        <v>0</v>
      </c>
      <c r="CE618" s="692"/>
      <c r="CF618" s="692"/>
      <c r="CG618" s="692"/>
      <c r="CH618" s="692"/>
      <c r="CI618" s="692"/>
      <c r="CJ618" s="692"/>
      <c r="CK618" s="692"/>
      <c r="CL618" s="692"/>
      <c r="CM618" s="692"/>
      <c r="CN618" s="692"/>
      <c r="CO618" s="692"/>
      <c r="CP618" s="692"/>
      <c r="CQ618" s="692"/>
      <c r="CR618" s="692"/>
      <c r="CS618" s="692"/>
      <c r="CT618" s="692"/>
      <c r="CU618" s="692"/>
      <c r="CV618" s="692"/>
      <c r="CW618" s="692"/>
      <c r="CX618" s="694"/>
      <c r="CY618" s="694"/>
      <c r="CZ618" s="694"/>
      <c r="DA618" s="694"/>
      <c r="DB618" s="694"/>
      <c r="DC618" s="694"/>
      <c r="DD618" s="694"/>
      <c r="DE618" s="694"/>
      <c r="DF618" s="694"/>
      <c r="DG618" s="695"/>
      <c r="DH618" s="695"/>
      <c r="DI618" s="695"/>
      <c r="DJ618" s="695"/>
      <c r="DK618" s="695"/>
      <c r="DL618" s="695"/>
      <c r="DM618" s="695"/>
      <c r="DN618" s="695"/>
      <c r="DO618" s="695"/>
      <c r="DP618" s="695"/>
      <c r="DQ618" s="695"/>
      <c r="DR618" s="695"/>
      <c r="DS618" s="694"/>
      <c r="DT618" s="694"/>
      <c r="DU618" s="694"/>
      <c r="DV618" s="694"/>
      <c r="DW618" s="694"/>
      <c r="DX618" s="694"/>
      <c r="DY618" s="694"/>
      <c r="DZ618" s="694"/>
      <c r="EA618" s="694"/>
      <c r="EB618" s="694"/>
      <c r="EC618" s="694"/>
      <c r="ED618" s="694"/>
      <c r="EE618" s="694"/>
      <c r="EF618" s="694"/>
      <c r="EG618" s="694"/>
      <c r="EH618" s="694"/>
      <c r="EI618" s="694"/>
      <c r="EJ618" s="694"/>
      <c r="EK618" s="694"/>
      <c r="EL618" s="694"/>
      <c r="EM618" s="694"/>
      <c r="EN618" s="694"/>
      <c r="EO618" s="694"/>
      <c r="EP618" s="694"/>
      <c r="EQ618" s="694"/>
      <c r="ER618" s="694"/>
      <c r="ES618" s="694"/>
      <c r="ET618" s="694"/>
      <c r="EU618" s="694"/>
      <c r="EV618" s="694"/>
      <c r="EW618" s="694"/>
      <c r="EX618" s="694"/>
      <c r="EY618" s="694"/>
      <c r="EZ618" s="694"/>
      <c r="FA618" s="694"/>
      <c r="FB618" s="694"/>
      <c r="FC618" s="694"/>
      <c r="FD618" s="694"/>
      <c r="FE618" s="694"/>
      <c r="FF618" s="694"/>
      <c r="FG618" s="694"/>
      <c r="FH618" s="694"/>
      <c r="FI618" s="694"/>
      <c r="FJ618" s="694"/>
      <c r="FK618" s="694"/>
      <c r="FL618" s="694"/>
      <c r="FM618" s="694"/>
      <c r="FN618" s="694"/>
      <c r="FO618" s="694"/>
      <c r="FP618" s="694"/>
      <c r="FQ618" s="697"/>
    </row>
    <row r="619" spans="1:173" s="696" customFormat="1">
      <c r="A619" s="690"/>
      <c r="B619" s="690"/>
      <c r="C619" s="691" t="s">
        <v>3719</v>
      </c>
      <c r="D619" s="691"/>
      <c r="E619" s="640">
        <v>30</v>
      </c>
      <c r="F619" s="692"/>
      <c r="G619" s="692"/>
      <c r="H619" s="692"/>
      <c r="I619" s="692"/>
      <c r="J619" s="692"/>
      <c r="K619" s="692"/>
      <c r="L619" s="692"/>
      <c r="M619" s="692"/>
      <c r="N619" s="692"/>
      <c r="O619" s="692"/>
      <c r="P619" s="692">
        <f t="shared" si="192"/>
        <v>30</v>
      </c>
      <c r="Q619" s="692"/>
      <c r="R619" s="693"/>
      <c r="S619" s="693"/>
      <c r="T619" s="692"/>
      <c r="U619" s="692" t="s">
        <v>2989</v>
      </c>
      <c r="V619" s="692"/>
      <c r="W619" s="692">
        <v>2</v>
      </c>
      <c r="X619" s="692"/>
      <c r="Y619" s="692"/>
      <c r="Z619" s="692"/>
      <c r="AA619" s="692"/>
      <c r="AB619" s="692"/>
      <c r="AC619" s="692"/>
      <c r="AD619" s="692"/>
      <c r="AE619" s="725">
        <v>1</v>
      </c>
      <c r="AF619" s="957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>
        <f t="shared" si="193"/>
        <v>0</v>
      </c>
      <c r="AX619" s="692"/>
      <c r="AY619" s="692"/>
      <c r="AZ619" s="692">
        <f t="shared" si="194"/>
        <v>0</v>
      </c>
      <c r="BA619" s="692"/>
      <c r="BB619" s="692"/>
      <c r="BC619" s="692"/>
      <c r="BD619" s="692">
        <v>1</v>
      </c>
      <c r="BE619" s="692"/>
      <c r="BF619" s="692">
        <v>1</v>
      </c>
      <c r="BG619" s="692"/>
      <c r="BH619" s="692"/>
      <c r="BI619" s="692"/>
      <c r="BJ619" s="692">
        <f t="shared" si="195"/>
        <v>0</v>
      </c>
      <c r="BK619" s="692"/>
      <c r="BL619" s="692"/>
      <c r="BM619" s="692"/>
      <c r="BN619" s="692"/>
      <c r="BO619" s="692"/>
      <c r="BP619" s="692"/>
      <c r="BQ619" s="692">
        <f t="shared" si="196"/>
        <v>0</v>
      </c>
      <c r="BR619" s="692"/>
      <c r="BS619" s="692"/>
      <c r="BT619" s="692">
        <f t="shared" si="197"/>
        <v>0</v>
      </c>
      <c r="BU619" s="692"/>
      <c r="BV619" s="692"/>
      <c r="BW619" s="692"/>
      <c r="BX619" s="692"/>
      <c r="BY619" s="692">
        <v>2</v>
      </c>
      <c r="BZ619" s="692"/>
      <c r="CA619" s="692"/>
      <c r="CB619" s="692"/>
      <c r="CC619" s="692"/>
      <c r="CD619" s="692">
        <f t="shared" si="191"/>
        <v>0</v>
      </c>
      <c r="CE619" s="692"/>
      <c r="CF619" s="692"/>
      <c r="CG619" s="692"/>
      <c r="CH619" s="692"/>
      <c r="CI619" s="692"/>
      <c r="CJ619" s="692"/>
      <c r="CK619" s="692"/>
      <c r="CL619" s="692"/>
      <c r="CM619" s="692"/>
      <c r="CN619" s="692"/>
      <c r="CO619" s="692"/>
      <c r="CP619" s="692"/>
      <c r="CQ619" s="692"/>
      <c r="CR619" s="692"/>
      <c r="CS619" s="692"/>
      <c r="CT619" s="692"/>
      <c r="CU619" s="692"/>
      <c r="CV619" s="692"/>
      <c r="CW619" s="692"/>
      <c r="CX619" s="694"/>
      <c r="CY619" s="694"/>
      <c r="CZ619" s="694"/>
      <c r="DA619" s="694"/>
      <c r="DB619" s="694"/>
      <c r="DC619" s="694"/>
      <c r="DD619" s="694"/>
      <c r="DE619" s="694"/>
      <c r="DF619" s="694"/>
      <c r="DG619" s="695"/>
      <c r="DH619" s="695"/>
      <c r="DI619" s="695"/>
      <c r="DJ619" s="695"/>
      <c r="DK619" s="695"/>
      <c r="DL619" s="695"/>
      <c r="DM619" s="695"/>
      <c r="DN619" s="695"/>
      <c r="DO619" s="695"/>
      <c r="DP619" s="695"/>
      <c r="DQ619" s="695"/>
      <c r="DR619" s="695"/>
      <c r="DS619" s="694"/>
      <c r="DT619" s="694"/>
      <c r="DU619" s="694"/>
      <c r="DV619" s="694"/>
      <c r="DW619" s="694"/>
      <c r="DX619" s="694"/>
      <c r="DY619" s="694"/>
      <c r="DZ619" s="694"/>
      <c r="EA619" s="694"/>
      <c r="EB619" s="694"/>
      <c r="EC619" s="694"/>
      <c r="ED619" s="694"/>
      <c r="EE619" s="694"/>
      <c r="EF619" s="694"/>
      <c r="EG619" s="694"/>
      <c r="EH619" s="694"/>
      <c r="EI619" s="694"/>
      <c r="EJ619" s="694"/>
      <c r="EK619" s="694"/>
      <c r="EL619" s="694"/>
      <c r="EM619" s="694"/>
      <c r="EN619" s="694"/>
      <c r="EO619" s="694"/>
      <c r="EP619" s="694"/>
      <c r="EQ619" s="694"/>
      <c r="ER619" s="694"/>
      <c r="ES619" s="694"/>
      <c r="ET619" s="694"/>
      <c r="EU619" s="694"/>
      <c r="EV619" s="694"/>
      <c r="EW619" s="694"/>
      <c r="EX619" s="694"/>
      <c r="EY619" s="694"/>
      <c r="EZ619" s="694"/>
      <c r="FA619" s="694"/>
      <c r="FB619" s="694"/>
      <c r="FC619" s="694"/>
      <c r="FD619" s="694"/>
      <c r="FE619" s="694"/>
      <c r="FF619" s="694"/>
      <c r="FG619" s="694"/>
      <c r="FH619" s="694"/>
      <c r="FI619" s="694"/>
      <c r="FJ619" s="694"/>
      <c r="FK619" s="694"/>
      <c r="FL619" s="694"/>
      <c r="FM619" s="694"/>
      <c r="FN619" s="694"/>
      <c r="FO619" s="694"/>
      <c r="FP619" s="694"/>
      <c r="FQ619" s="697"/>
    </row>
    <row r="620" spans="1:173" s="696" customFormat="1">
      <c r="A620" s="690"/>
      <c r="B620" s="690"/>
      <c r="C620" s="691" t="s">
        <v>3720</v>
      </c>
      <c r="D620" s="691"/>
      <c r="E620" s="640">
        <v>25</v>
      </c>
      <c r="F620" s="692"/>
      <c r="G620" s="692"/>
      <c r="H620" s="692"/>
      <c r="I620" s="692"/>
      <c r="J620" s="692"/>
      <c r="K620" s="692"/>
      <c r="L620" s="692"/>
      <c r="M620" s="692"/>
      <c r="N620" s="692"/>
      <c r="O620" s="692"/>
      <c r="P620" s="692">
        <f t="shared" si="192"/>
        <v>25</v>
      </c>
      <c r="Q620" s="692"/>
      <c r="R620" s="693"/>
      <c r="S620" s="693"/>
      <c r="T620" s="692"/>
      <c r="U620" s="692" t="s">
        <v>1903</v>
      </c>
      <c r="V620" s="692"/>
      <c r="W620" s="692">
        <v>2</v>
      </c>
      <c r="X620" s="692"/>
      <c r="Y620" s="692"/>
      <c r="Z620" s="692"/>
      <c r="AA620" s="692"/>
      <c r="AB620" s="692"/>
      <c r="AC620" s="692"/>
      <c r="AD620" s="692"/>
      <c r="AE620" s="725">
        <v>1</v>
      </c>
      <c r="AF620" s="957"/>
      <c r="AG620" s="692"/>
      <c r="AH620" s="692"/>
      <c r="AI620" s="692"/>
      <c r="AJ620" s="692"/>
      <c r="AK620" s="692"/>
      <c r="AL620" s="692"/>
      <c r="AM620" s="692"/>
      <c r="AN620" s="692"/>
      <c r="AO620" s="692"/>
      <c r="AP620" s="692"/>
      <c r="AQ620" s="692"/>
      <c r="AR620" s="692"/>
      <c r="AS620" s="692"/>
      <c r="AT620" s="692"/>
      <c r="AU620" s="692"/>
      <c r="AV620" s="692"/>
      <c r="AW620" s="692">
        <f t="shared" si="193"/>
        <v>0</v>
      </c>
      <c r="AX620" s="692"/>
      <c r="AY620" s="692"/>
      <c r="AZ620" s="692">
        <f t="shared" si="194"/>
        <v>0</v>
      </c>
      <c r="BA620" s="692"/>
      <c r="BB620" s="692"/>
      <c r="BC620" s="692"/>
      <c r="BD620" s="692"/>
      <c r="BE620" s="692"/>
      <c r="BF620" s="692">
        <v>1</v>
      </c>
      <c r="BG620" s="692"/>
      <c r="BH620" s="692"/>
      <c r="BI620" s="692"/>
      <c r="BJ620" s="692">
        <f t="shared" si="195"/>
        <v>0</v>
      </c>
      <c r="BK620" s="692"/>
      <c r="BL620" s="692"/>
      <c r="BM620" s="692"/>
      <c r="BN620" s="692"/>
      <c r="BO620" s="692"/>
      <c r="BP620" s="692"/>
      <c r="BQ620" s="692">
        <f t="shared" si="196"/>
        <v>1</v>
      </c>
      <c r="BR620" s="692"/>
      <c r="BS620" s="692"/>
      <c r="BT620" s="692">
        <f t="shared" si="197"/>
        <v>2</v>
      </c>
      <c r="BU620" s="692"/>
      <c r="BV620" s="692"/>
      <c r="BW620" s="692"/>
      <c r="BX620" s="692"/>
      <c r="BY620" s="692"/>
      <c r="BZ620" s="692"/>
      <c r="CA620" s="692"/>
      <c r="CB620" s="692"/>
      <c r="CC620" s="692"/>
      <c r="CD620" s="692">
        <f t="shared" si="191"/>
        <v>0</v>
      </c>
      <c r="CE620" s="692"/>
      <c r="CF620" s="692"/>
      <c r="CG620" s="692"/>
      <c r="CH620" s="692"/>
      <c r="CI620" s="692"/>
      <c r="CJ620" s="692"/>
      <c r="CK620" s="692"/>
      <c r="CL620" s="692"/>
      <c r="CM620" s="692"/>
      <c r="CN620" s="692"/>
      <c r="CO620" s="692"/>
      <c r="CP620" s="692"/>
      <c r="CQ620" s="692"/>
      <c r="CR620" s="692"/>
      <c r="CS620" s="692"/>
      <c r="CT620" s="692"/>
      <c r="CU620" s="692"/>
      <c r="CV620" s="692"/>
      <c r="CW620" s="692"/>
      <c r="CX620" s="694"/>
      <c r="CY620" s="694"/>
      <c r="CZ620" s="694"/>
      <c r="DA620" s="694"/>
      <c r="DB620" s="694"/>
      <c r="DC620" s="694"/>
      <c r="DD620" s="694"/>
      <c r="DE620" s="694"/>
      <c r="DF620" s="694"/>
      <c r="DG620" s="695"/>
      <c r="DH620" s="695"/>
      <c r="DI620" s="695"/>
      <c r="DJ620" s="695"/>
      <c r="DK620" s="695"/>
      <c r="DL620" s="695"/>
      <c r="DM620" s="695"/>
      <c r="DN620" s="695"/>
      <c r="DO620" s="695"/>
      <c r="DP620" s="695"/>
      <c r="DQ620" s="695"/>
      <c r="DR620" s="695"/>
      <c r="DS620" s="694"/>
      <c r="DT620" s="694"/>
      <c r="DU620" s="694"/>
      <c r="DV620" s="694"/>
      <c r="DW620" s="694"/>
      <c r="DX620" s="694"/>
      <c r="DY620" s="694"/>
      <c r="DZ620" s="694"/>
      <c r="EA620" s="694"/>
      <c r="EB620" s="694"/>
      <c r="EC620" s="694"/>
      <c r="ED620" s="694"/>
      <c r="EE620" s="694"/>
      <c r="EF620" s="694"/>
      <c r="EG620" s="694"/>
      <c r="EH620" s="694"/>
      <c r="EI620" s="694"/>
      <c r="EJ620" s="694"/>
      <c r="EK620" s="694"/>
      <c r="EL620" s="694"/>
      <c r="EM620" s="694"/>
      <c r="EN620" s="694"/>
      <c r="EO620" s="694"/>
      <c r="EP620" s="694"/>
      <c r="EQ620" s="694"/>
      <c r="ER620" s="694"/>
      <c r="ES620" s="694"/>
      <c r="ET620" s="694"/>
      <c r="EU620" s="694"/>
      <c r="EV620" s="694"/>
      <c r="EW620" s="694"/>
      <c r="EX620" s="694"/>
      <c r="EY620" s="694"/>
      <c r="EZ620" s="694"/>
      <c r="FA620" s="694"/>
      <c r="FB620" s="694"/>
      <c r="FC620" s="694"/>
      <c r="FD620" s="694"/>
      <c r="FE620" s="694"/>
      <c r="FF620" s="694"/>
      <c r="FG620" s="694"/>
      <c r="FH620" s="694"/>
      <c r="FI620" s="694"/>
      <c r="FJ620" s="694"/>
      <c r="FK620" s="694"/>
      <c r="FL620" s="694"/>
      <c r="FM620" s="694"/>
      <c r="FN620" s="694"/>
      <c r="FO620" s="694"/>
      <c r="FP620" s="694"/>
      <c r="FQ620" s="697"/>
    </row>
    <row r="621" spans="1:173" s="696" customFormat="1">
      <c r="A621" s="690"/>
      <c r="B621" s="690"/>
      <c r="C621" s="691" t="s">
        <v>3721</v>
      </c>
      <c r="D621" s="691"/>
      <c r="E621" s="640">
        <v>25</v>
      </c>
      <c r="F621" s="692"/>
      <c r="G621" s="692"/>
      <c r="H621" s="692"/>
      <c r="I621" s="692"/>
      <c r="J621" s="692"/>
      <c r="K621" s="692"/>
      <c r="L621" s="692"/>
      <c r="M621" s="692"/>
      <c r="N621" s="692"/>
      <c r="O621" s="692"/>
      <c r="P621" s="692">
        <f t="shared" si="192"/>
        <v>25</v>
      </c>
      <c r="Q621" s="692"/>
      <c r="R621" s="693"/>
      <c r="S621" s="693"/>
      <c r="T621" s="692"/>
      <c r="U621" s="692" t="s">
        <v>2989</v>
      </c>
      <c r="V621" s="692"/>
      <c r="W621" s="692">
        <v>2</v>
      </c>
      <c r="X621" s="692"/>
      <c r="Y621" s="692"/>
      <c r="Z621" s="692"/>
      <c r="AA621" s="692"/>
      <c r="AB621" s="692"/>
      <c r="AC621" s="692"/>
      <c r="AD621" s="692"/>
      <c r="AE621" s="725">
        <v>1</v>
      </c>
      <c r="AF621" s="957"/>
      <c r="AG621" s="692"/>
      <c r="AH621" s="692"/>
      <c r="AI621" s="692"/>
      <c r="AJ621" s="692"/>
      <c r="AK621" s="692"/>
      <c r="AL621" s="692"/>
      <c r="AM621" s="692"/>
      <c r="AN621" s="692"/>
      <c r="AO621" s="692"/>
      <c r="AP621" s="692"/>
      <c r="AQ621" s="692"/>
      <c r="AR621" s="692"/>
      <c r="AS621" s="692"/>
      <c r="AT621" s="692"/>
      <c r="AU621" s="692"/>
      <c r="AV621" s="692"/>
      <c r="AW621" s="692">
        <f t="shared" si="193"/>
        <v>0</v>
      </c>
      <c r="AX621" s="692"/>
      <c r="AY621" s="692"/>
      <c r="AZ621" s="692">
        <f t="shared" si="194"/>
        <v>0</v>
      </c>
      <c r="BA621" s="692"/>
      <c r="BB621" s="692"/>
      <c r="BC621" s="692"/>
      <c r="BD621" s="692">
        <v>1</v>
      </c>
      <c r="BE621" s="692"/>
      <c r="BF621" s="692">
        <v>1</v>
      </c>
      <c r="BG621" s="692"/>
      <c r="BH621" s="692"/>
      <c r="BI621" s="692"/>
      <c r="BJ621" s="692">
        <f t="shared" si="195"/>
        <v>0</v>
      </c>
      <c r="BK621" s="692"/>
      <c r="BL621" s="692"/>
      <c r="BM621" s="692"/>
      <c r="BN621" s="692"/>
      <c r="BO621" s="692"/>
      <c r="BP621" s="692"/>
      <c r="BQ621" s="692">
        <f t="shared" si="196"/>
        <v>0</v>
      </c>
      <c r="BR621" s="692"/>
      <c r="BS621" s="692"/>
      <c r="BT621" s="692">
        <f t="shared" si="197"/>
        <v>0</v>
      </c>
      <c r="BU621" s="692"/>
      <c r="BV621" s="692"/>
      <c r="BW621" s="692"/>
      <c r="BX621" s="692"/>
      <c r="BY621" s="692">
        <v>2</v>
      </c>
      <c r="BZ621" s="692"/>
      <c r="CA621" s="692"/>
      <c r="CB621" s="692"/>
      <c r="CC621" s="692"/>
      <c r="CD621" s="692">
        <f t="shared" si="191"/>
        <v>0</v>
      </c>
      <c r="CE621" s="692"/>
      <c r="CF621" s="692"/>
      <c r="CG621" s="692"/>
      <c r="CH621" s="692"/>
      <c r="CI621" s="692"/>
      <c r="CJ621" s="692">
        <v>4</v>
      </c>
      <c r="CK621" s="692"/>
      <c r="CL621" s="692"/>
      <c r="CM621" s="692"/>
      <c r="CN621" s="692"/>
      <c r="CO621" s="692"/>
      <c r="CP621" s="692"/>
      <c r="CQ621" s="692"/>
      <c r="CR621" s="692"/>
      <c r="CS621" s="692"/>
      <c r="CT621" s="692"/>
      <c r="CU621" s="692"/>
      <c r="CV621" s="692"/>
      <c r="CW621" s="692"/>
      <c r="CX621" s="694"/>
      <c r="CY621" s="694"/>
      <c r="CZ621" s="694"/>
      <c r="DA621" s="694"/>
      <c r="DB621" s="694"/>
      <c r="DC621" s="694"/>
      <c r="DD621" s="694"/>
      <c r="DE621" s="694"/>
      <c r="DF621" s="694"/>
      <c r="DG621" s="695"/>
      <c r="DH621" s="695"/>
      <c r="DI621" s="695"/>
      <c r="DJ621" s="695"/>
      <c r="DK621" s="695"/>
      <c r="DL621" s="695"/>
      <c r="DM621" s="695"/>
      <c r="DN621" s="695"/>
      <c r="DO621" s="695"/>
      <c r="DP621" s="695"/>
      <c r="DQ621" s="695"/>
      <c r="DR621" s="695"/>
      <c r="DS621" s="694"/>
      <c r="DT621" s="694"/>
      <c r="DU621" s="694"/>
      <c r="DV621" s="694"/>
      <c r="DW621" s="694"/>
      <c r="DX621" s="694"/>
      <c r="DY621" s="694"/>
      <c r="DZ621" s="694"/>
      <c r="EA621" s="694"/>
      <c r="EB621" s="694"/>
      <c r="EC621" s="694"/>
      <c r="ED621" s="694"/>
      <c r="EE621" s="694"/>
      <c r="EF621" s="694"/>
      <c r="EG621" s="694"/>
      <c r="EH621" s="694"/>
      <c r="EI621" s="694"/>
      <c r="EJ621" s="694"/>
      <c r="EK621" s="694"/>
      <c r="EL621" s="694"/>
      <c r="EM621" s="694"/>
      <c r="EN621" s="694"/>
      <c r="EO621" s="694"/>
      <c r="EP621" s="694"/>
      <c r="EQ621" s="694"/>
      <c r="ER621" s="694"/>
      <c r="ES621" s="694"/>
      <c r="ET621" s="694"/>
      <c r="EU621" s="694"/>
      <c r="EV621" s="694"/>
      <c r="EW621" s="694"/>
      <c r="EX621" s="694"/>
      <c r="EY621" s="694"/>
      <c r="EZ621" s="694"/>
      <c r="FA621" s="694"/>
      <c r="FB621" s="694"/>
      <c r="FC621" s="694"/>
      <c r="FD621" s="694"/>
      <c r="FE621" s="694"/>
      <c r="FF621" s="694"/>
      <c r="FG621" s="694"/>
      <c r="FH621" s="694"/>
      <c r="FI621" s="694"/>
      <c r="FJ621" s="694"/>
      <c r="FK621" s="694"/>
      <c r="FL621" s="694"/>
      <c r="FM621" s="694"/>
      <c r="FN621" s="694"/>
      <c r="FO621" s="694"/>
      <c r="FP621" s="694"/>
      <c r="FQ621" s="697"/>
    </row>
    <row r="622" spans="1:173" s="696" customFormat="1">
      <c r="A622" s="690"/>
      <c r="B622" s="690"/>
      <c r="C622" s="691" t="s">
        <v>3722</v>
      </c>
      <c r="D622" s="691"/>
      <c r="E622" s="640">
        <v>32</v>
      </c>
      <c r="F622" s="692"/>
      <c r="G622" s="692"/>
      <c r="H622" s="692"/>
      <c r="I622" s="692"/>
      <c r="J622" s="692"/>
      <c r="K622" s="692"/>
      <c r="L622" s="692"/>
      <c r="M622" s="692"/>
      <c r="N622" s="692"/>
      <c r="O622" s="692"/>
      <c r="P622" s="692">
        <f t="shared" si="192"/>
        <v>32</v>
      </c>
      <c r="Q622" s="692"/>
      <c r="R622" s="693"/>
      <c r="S622" s="693"/>
      <c r="T622" s="692"/>
      <c r="U622" s="692" t="s">
        <v>1903</v>
      </c>
      <c r="V622" s="692"/>
      <c r="W622" s="692">
        <v>2</v>
      </c>
      <c r="X622" s="692"/>
      <c r="Y622" s="692"/>
      <c r="Z622" s="692"/>
      <c r="AA622" s="692"/>
      <c r="AB622" s="692"/>
      <c r="AC622" s="692"/>
      <c r="AD622" s="692"/>
      <c r="AE622" s="725">
        <v>1</v>
      </c>
      <c r="AF622" s="957"/>
      <c r="AG622" s="692"/>
      <c r="AH622" s="692"/>
      <c r="AI622" s="692"/>
      <c r="AJ622" s="692"/>
      <c r="AK622" s="692"/>
      <c r="AL622" s="692"/>
      <c r="AM622" s="692"/>
      <c r="AN622" s="692"/>
      <c r="AO622" s="692"/>
      <c r="AP622" s="692"/>
      <c r="AQ622" s="692"/>
      <c r="AR622" s="692"/>
      <c r="AS622" s="692"/>
      <c r="AT622" s="692"/>
      <c r="AU622" s="692"/>
      <c r="AV622" s="692"/>
      <c r="AW622" s="692">
        <f t="shared" si="193"/>
        <v>1</v>
      </c>
      <c r="AX622" s="692"/>
      <c r="AY622" s="692"/>
      <c r="AZ622" s="692">
        <f t="shared" si="194"/>
        <v>2</v>
      </c>
      <c r="BA622" s="692"/>
      <c r="BB622" s="692"/>
      <c r="BC622" s="692"/>
      <c r="BD622" s="692"/>
      <c r="BE622" s="692"/>
      <c r="BF622" s="692">
        <v>1</v>
      </c>
      <c r="BG622" s="692"/>
      <c r="BH622" s="692"/>
      <c r="BI622" s="692"/>
      <c r="BJ622" s="692">
        <f t="shared" si="195"/>
        <v>5</v>
      </c>
      <c r="BK622" s="692"/>
      <c r="BL622" s="692"/>
      <c r="BM622" s="692"/>
      <c r="BN622" s="692"/>
      <c r="BO622" s="692"/>
      <c r="BP622" s="692"/>
      <c r="BQ622" s="692">
        <f t="shared" si="196"/>
        <v>1</v>
      </c>
      <c r="BR622" s="692"/>
      <c r="BS622" s="692"/>
      <c r="BT622" s="692">
        <f t="shared" si="197"/>
        <v>2</v>
      </c>
      <c r="BU622" s="692"/>
      <c r="BV622" s="692"/>
      <c r="BW622" s="692"/>
      <c r="BX622" s="692"/>
      <c r="BY622" s="692"/>
      <c r="BZ622" s="692"/>
      <c r="CA622" s="692"/>
      <c r="CB622" s="692">
        <v>1</v>
      </c>
      <c r="CC622" s="692"/>
      <c r="CD622" s="692">
        <f t="shared" si="191"/>
        <v>4</v>
      </c>
      <c r="CE622" s="692"/>
      <c r="CF622" s="692"/>
      <c r="CG622" s="692"/>
      <c r="CH622" s="692"/>
      <c r="CI622" s="692"/>
      <c r="CJ622" s="692"/>
      <c r="CK622" s="692"/>
      <c r="CL622" s="692"/>
      <c r="CM622" s="692"/>
      <c r="CN622" s="692"/>
      <c r="CO622" s="692"/>
      <c r="CP622" s="692"/>
      <c r="CQ622" s="692"/>
      <c r="CR622" s="692"/>
      <c r="CS622" s="692"/>
      <c r="CT622" s="692"/>
      <c r="CU622" s="692"/>
      <c r="CV622" s="692"/>
      <c r="CW622" s="692"/>
      <c r="CX622" s="694"/>
      <c r="CY622" s="694"/>
      <c r="CZ622" s="694"/>
      <c r="DA622" s="694"/>
      <c r="DB622" s="694"/>
      <c r="DC622" s="694"/>
      <c r="DD622" s="694"/>
      <c r="DE622" s="694"/>
      <c r="DF622" s="694"/>
      <c r="DG622" s="695"/>
      <c r="DH622" s="695"/>
      <c r="DI622" s="695"/>
      <c r="DJ622" s="695"/>
      <c r="DK622" s="695"/>
      <c r="DL622" s="695"/>
      <c r="DM622" s="695"/>
      <c r="DN622" s="695"/>
      <c r="DO622" s="695"/>
      <c r="DP622" s="695"/>
      <c r="DQ622" s="695"/>
      <c r="DR622" s="695"/>
      <c r="DS622" s="694"/>
      <c r="DT622" s="694"/>
      <c r="DU622" s="694"/>
      <c r="DV622" s="694"/>
      <c r="DW622" s="694"/>
      <c r="DX622" s="694"/>
      <c r="DY622" s="694"/>
      <c r="DZ622" s="694"/>
      <c r="EA622" s="694"/>
      <c r="EB622" s="694"/>
      <c r="EC622" s="694"/>
      <c r="ED622" s="694"/>
      <c r="EE622" s="694"/>
      <c r="EF622" s="694"/>
      <c r="EG622" s="694"/>
      <c r="EH622" s="694"/>
      <c r="EI622" s="694"/>
      <c r="EJ622" s="694"/>
      <c r="EK622" s="694"/>
      <c r="EL622" s="694"/>
      <c r="EM622" s="694"/>
      <c r="EN622" s="694"/>
      <c r="EO622" s="694"/>
      <c r="EP622" s="694"/>
      <c r="EQ622" s="694"/>
      <c r="ER622" s="694"/>
      <c r="ES622" s="694"/>
      <c r="ET622" s="694"/>
      <c r="EU622" s="694"/>
      <c r="EV622" s="694"/>
      <c r="EW622" s="694"/>
      <c r="EX622" s="694"/>
      <c r="EY622" s="694"/>
      <c r="EZ622" s="694"/>
      <c r="FA622" s="694"/>
      <c r="FB622" s="694"/>
      <c r="FC622" s="694"/>
      <c r="FD622" s="694"/>
      <c r="FE622" s="694"/>
      <c r="FF622" s="694"/>
      <c r="FG622" s="694"/>
      <c r="FH622" s="694"/>
      <c r="FI622" s="694"/>
      <c r="FJ622" s="694"/>
      <c r="FK622" s="694"/>
      <c r="FL622" s="694"/>
      <c r="FM622" s="694"/>
      <c r="FN622" s="694"/>
      <c r="FO622" s="694"/>
      <c r="FP622" s="694"/>
      <c r="FQ622" s="697"/>
    </row>
    <row r="623" spans="1:173" s="696" customFormat="1">
      <c r="A623" s="690"/>
      <c r="B623" s="690"/>
      <c r="C623" s="691" t="s">
        <v>3852</v>
      </c>
      <c r="D623" s="691"/>
      <c r="E623" s="640">
        <v>35</v>
      </c>
      <c r="F623" s="692"/>
      <c r="G623" s="692"/>
      <c r="H623" s="692"/>
      <c r="I623" s="692"/>
      <c r="J623" s="692"/>
      <c r="K623" s="692"/>
      <c r="L623" s="692"/>
      <c r="M623" s="692"/>
      <c r="N623" s="692"/>
      <c r="O623" s="692"/>
      <c r="P623" s="692">
        <f t="shared" si="192"/>
        <v>35</v>
      </c>
      <c r="Q623" s="692"/>
      <c r="R623" s="693"/>
      <c r="S623" s="693"/>
      <c r="T623" s="692"/>
      <c r="U623" s="692" t="s">
        <v>2990</v>
      </c>
      <c r="V623" s="692"/>
      <c r="W623" s="692">
        <v>2</v>
      </c>
      <c r="X623" s="692"/>
      <c r="Y623" s="692"/>
      <c r="Z623" s="692"/>
      <c r="AA623" s="692"/>
      <c r="AB623" s="692"/>
      <c r="AC623" s="692"/>
      <c r="AD623" s="692"/>
      <c r="AE623" s="725">
        <v>1</v>
      </c>
      <c r="AF623" s="957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>
        <v>1</v>
      </c>
      <c r="AV623" s="692"/>
      <c r="AW623" s="692">
        <f t="shared" si="193"/>
        <v>0</v>
      </c>
      <c r="AX623" s="692"/>
      <c r="AY623" s="692"/>
      <c r="AZ623" s="692">
        <f t="shared" si="194"/>
        <v>0</v>
      </c>
      <c r="BA623" s="692"/>
      <c r="BB623" s="692"/>
      <c r="BC623" s="692"/>
      <c r="BD623" s="692"/>
      <c r="BE623" s="692"/>
      <c r="BF623" s="692">
        <v>1</v>
      </c>
      <c r="BG623" s="692"/>
      <c r="BH623" s="692"/>
      <c r="BI623" s="692"/>
      <c r="BJ623" s="692">
        <f t="shared" si="195"/>
        <v>2</v>
      </c>
      <c r="BK623" s="692"/>
      <c r="BL623" s="692"/>
      <c r="BM623" s="692"/>
      <c r="BN623" s="692"/>
      <c r="BO623" s="692"/>
      <c r="BP623" s="692"/>
      <c r="BQ623" s="692">
        <f t="shared" si="196"/>
        <v>0</v>
      </c>
      <c r="BR623" s="692"/>
      <c r="BS623" s="692"/>
      <c r="BT623" s="692">
        <f t="shared" si="197"/>
        <v>0</v>
      </c>
      <c r="BU623" s="692"/>
      <c r="BV623" s="692"/>
      <c r="BW623" s="692"/>
      <c r="BX623" s="692"/>
      <c r="BY623" s="692">
        <v>1</v>
      </c>
      <c r="BZ623" s="692"/>
      <c r="CA623" s="692"/>
      <c r="CB623" s="692"/>
      <c r="CC623" s="692"/>
      <c r="CD623" s="692">
        <f t="shared" si="191"/>
        <v>0</v>
      </c>
      <c r="CE623" s="692"/>
      <c r="CF623" s="692"/>
      <c r="CG623" s="692"/>
      <c r="CH623" s="692"/>
      <c r="CI623" s="692"/>
      <c r="CJ623" s="692"/>
      <c r="CK623" s="692"/>
      <c r="CL623" s="692"/>
      <c r="CM623" s="692"/>
      <c r="CN623" s="692"/>
      <c r="CO623" s="692"/>
      <c r="CP623" s="692"/>
      <c r="CQ623" s="692"/>
      <c r="CR623" s="692"/>
      <c r="CS623" s="692"/>
      <c r="CT623" s="692"/>
      <c r="CU623" s="692"/>
      <c r="CV623" s="692"/>
      <c r="CW623" s="692"/>
      <c r="CX623" s="694"/>
      <c r="CY623" s="694"/>
      <c r="CZ623" s="694"/>
      <c r="DA623" s="694"/>
      <c r="DB623" s="694"/>
      <c r="DC623" s="694"/>
      <c r="DD623" s="694"/>
      <c r="DE623" s="694"/>
      <c r="DF623" s="694"/>
      <c r="DG623" s="695"/>
      <c r="DH623" s="695"/>
      <c r="DI623" s="695"/>
      <c r="DJ623" s="695"/>
      <c r="DK623" s="695"/>
      <c r="DL623" s="695"/>
      <c r="DM623" s="695"/>
      <c r="DN623" s="695"/>
      <c r="DO623" s="695"/>
      <c r="DP623" s="695"/>
      <c r="DQ623" s="695"/>
      <c r="DR623" s="695"/>
      <c r="DS623" s="694"/>
      <c r="DT623" s="694"/>
      <c r="DU623" s="694"/>
      <c r="DV623" s="694"/>
      <c r="DW623" s="694"/>
      <c r="DX623" s="694"/>
      <c r="DY623" s="694"/>
      <c r="DZ623" s="694"/>
      <c r="EA623" s="694"/>
      <c r="EB623" s="694"/>
      <c r="EC623" s="694"/>
      <c r="ED623" s="694"/>
      <c r="EE623" s="694"/>
      <c r="EF623" s="694"/>
      <c r="EG623" s="694"/>
      <c r="EH623" s="694"/>
      <c r="EI623" s="694"/>
      <c r="EJ623" s="694"/>
      <c r="EK623" s="694"/>
      <c r="EL623" s="694"/>
      <c r="EM623" s="694"/>
      <c r="EN623" s="694"/>
      <c r="EO623" s="694"/>
      <c r="EP623" s="694"/>
      <c r="EQ623" s="694"/>
      <c r="ER623" s="694"/>
      <c r="ES623" s="694"/>
      <c r="ET623" s="694"/>
      <c r="EU623" s="694"/>
      <c r="EV623" s="694"/>
      <c r="EW623" s="694"/>
      <c r="EX623" s="694"/>
      <c r="EY623" s="694"/>
      <c r="EZ623" s="694"/>
      <c r="FA623" s="694"/>
      <c r="FB623" s="694"/>
      <c r="FC623" s="694"/>
      <c r="FD623" s="694"/>
      <c r="FE623" s="694"/>
      <c r="FF623" s="694"/>
      <c r="FG623" s="694"/>
      <c r="FH623" s="694"/>
      <c r="FI623" s="694"/>
      <c r="FJ623" s="694"/>
      <c r="FK623" s="694"/>
      <c r="FL623" s="694"/>
      <c r="FM623" s="694"/>
      <c r="FN623" s="694"/>
      <c r="FO623" s="694"/>
      <c r="FP623" s="694"/>
      <c r="FQ623" s="697"/>
    </row>
    <row r="624" spans="1:173" s="696" customFormat="1">
      <c r="A624" s="690"/>
      <c r="B624" s="690"/>
      <c r="C624" s="691" t="s">
        <v>3855</v>
      </c>
      <c r="D624" s="691"/>
      <c r="E624" s="640">
        <v>30</v>
      </c>
      <c r="F624" s="692"/>
      <c r="G624" s="692"/>
      <c r="H624" s="692"/>
      <c r="I624" s="692"/>
      <c r="J624" s="692"/>
      <c r="K624" s="692"/>
      <c r="L624" s="692"/>
      <c r="M624" s="692"/>
      <c r="N624" s="692"/>
      <c r="O624" s="692"/>
      <c r="P624" s="692">
        <f t="shared" si="192"/>
        <v>30</v>
      </c>
      <c r="Q624" s="692"/>
      <c r="R624" s="693"/>
      <c r="S624" s="693"/>
      <c r="T624" s="692"/>
      <c r="U624" s="692" t="s">
        <v>2990</v>
      </c>
      <c r="V624" s="692"/>
      <c r="W624" s="692">
        <v>2</v>
      </c>
      <c r="X624" s="692"/>
      <c r="Y624" s="692"/>
      <c r="Z624" s="692"/>
      <c r="AA624" s="692"/>
      <c r="AB624" s="692"/>
      <c r="AC624" s="692"/>
      <c r="AD624" s="692"/>
      <c r="AE624" s="725">
        <v>1</v>
      </c>
      <c r="AF624" s="957"/>
      <c r="AG624" s="692"/>
      <c r="AH624" s="692"/>
      <c r="AI624" s="692"/>
      <c r="AJ624" s="692"/>
      <c r="AK624" s="692"/>
      <c r="AL624" s="692"/>
      <c r="AM624" s="692"/>
      <c r="AN624" s="692"/>
      <c r="AO624" s="692"/>
      <c r="AP624" s="692"/>
      <c r="AQ624" s="692"/>
      <c r="AR624" s="692"/>
      <c r="AS624" s="692"/>
      <c r="AT624" s="692"/>
      <c r="AU624" s="692">
        <v>1</v>
      </c>
      <c r="AV624" s="692"/>
      <c r="AW624" s="692">
        <f t="shared" si="193"/>
        <v>1</v>
      </c>
      <c r="AX624" s="692"/>
      <c r="AY624" s="692"/>
      <c r="AZ624" s="692">
        <f t="shared" si="194"/>
        <v>2</v>
      </c>
      <c r="BA624" s="692"/>
      <c r="BB624" s="692"/>
      <c r="BC624" s="692"/>
      <c r="BD624" s="692"/>
      <c r="BE624" s="692"/>
      <c r="BF624" s="692">
        <v>1</v>
      </c>
      <c r="BG624" s="692"/>
      <c r="BH624" s="692"/>
      <c r="BI624" s="692"/>
      <c r="BJ624" s="692">
        <f t="shared" si="195"/>
        <v>7</v>
      </c>
      <c r="BK624" s="692"/>
      <c r="BL624" s="692"/>
      <c r="BM624" s="692"/>
      <c r="BN624" s="692"/>
      <c r="BO624" s="692"/>
      <c r="BP624" s="692"/>
      <c r="BQ624" s="692">
        <f t="shared" si="196"/>
        <v>0</v>
      </c>
      <c r="BR624" s="692"/>
      <c r="BS624" s="692"/>
      <c r="BT624" s="692">
        <f t="shared" si="197"/>
        <v>0</v>
      </c>
      <c r="BU624" s="692"/>
      <c r="BV624" s="692"/>
      <c r="BW624" s="692"/>
      <c r="BX624" s="692"/>
      <c r="BY624" s="692">
        <v>1</v>
      </c>
      <c r="BZ624" s="692"/>
      <c r="CA624" s="692"/>
      <c r="CB624" s="692">
        <v>1</v>
      </c>
      <c r="CC624" s="692"/>
      <c r="CD624" s="692">
        <f t="shared" si="191"/>
        <v>4</v>
      </c>
      <c r="CE624" s="692"/>
      <c r="CF624" s="692"/>
      <c r="CG624" s="692"/>
      <c r="CH624" s="692"/>
      <c r="CI624" s="692"/>
      <c r="CJ624" s="692"/>
      <c r="CK624" s="692"/>
      <c r="CL624" s="692"/>
      <c r="CM624" s="692"/>
      <c r="CN624" s="692"/>
      <c r="CO624" s="692"/>
      <c r="CP624" s="692"/>
      <c r="CQ624" s="692"/>
      <c r="CR624" s="692"/>
      <c r="CS624" s="692"/>
      <c r="CT624" s="692"/>
      <c r="CU624" s="692"/>
      <c r="CV624" s="692"/>
      <c r="CW624" s="692"/>
      <c r="CX624" s="694"/>
      <c r="CY624" s="694"/>
      <c r="CZ624" s="694"/>
      <c r="DA624" s="694"/>
      <c r="DB624" s="694"/>
      <c r="DC624" s="694"/>
      <c r="DD624" s="694"/>
      <c r="DE624" s="694"/>
      <c r="DF624" s="694"/>
      <c r="DG624" s="695"/>
      <c r="DH624" s="695"/>
      <c r="DI624" s="695"/>
      <c r="DJ624" s="695"/>
      <c r="DK624" s="695"/>
      <c r="DL624" s="695"/>
      <c r="DM624" s="695"/>
      <c r="DN624" s="695"/>
      <c r="DO624" s="695"/>
      <c r="DP624" s="695"/>
      <c r="DQ624" s="695"/>
      <c r="DR624" s="695"/>
      <c r="DS624" s="694"/>
      <c r="DT624" s="694"/>
      <c r="DU624" s="694"/>
      <c r="DV624" s="694"/>
      <c r="DW624" s="694"/>
      <c r="DX624" s="694"/>
      <c r="DY624" s="694"/>
      <c r="DZ624" s="694"/>
      <c r="EA624" s="694"/>
      <c r="EB624" s="694"/>
      <c r="EC624" s="694"/>
      <c r="ED624" s="694"/>
      <c r="EE624" s="694"/>
      <c r="EF624" s="694"/>
      <c r="EG624" s="694"/>
      <c r="EH624" s="694"/>
      <c r="EI624" s="694"/>
      <c r="EJ624" s="694"/>
      <c r="EK624" s="694"/>
      <c r="EL624" s="694"/>
      <c r="EM624" s="694"/>
      <c r="EN624" s="694"/>
      <c r="EO624" s="694"/>
      <c r="EP624" s="694"/>
      <c r="EQ624" s="694"/>
      <c r="ER624" s="694"/>
      <c r="ES624" s="694"/>
      <c r="ET624" s="694"/>
      <c r="EU624" s="694"/>
      <c r="EV624" s="694"/>
      <c r="EW624" s="694"/>
      <c r="EX624" s="694"/>
      <c r="EY624" s="694"/>
      <c r="EZ624" s="694"/>
      <c r="FA624" s="694"/>
      <c r="FB624" s="694"/>
      <c r="FC624" s="694"/>
      <c r="FD624" s="694"/>
      <c r="FE624" s="694"/>
      <c r="FF624" s="694"/>
      <c r="FG624" s="694"/>
      <c r="FH624" s="694"/>
      <c r="FI624" s="694"/>
      <c r="FJ624" s="694"/>
      <c r="FK624" s="694"/>
      <c r="FL624" s="694"/>
      <c r="FM624" s="694"/>
      <c r="FN624" s="694"/>
      <c r="FO624" s="694"/>
      <c r="FP624" s="694"/>
      <c r="FQ624" s="697"/>
    </row>
    <row r="625" spans="1:177" s="696" customFormat="1">
      <c r="A625" s="690"/>
      <c r="B625" s="690"/>
      <c r="C625" s="691"/>
      <c r="D625" s="691"/>
      <c r="E625" s="640"/>
      <c r="F625" s="692"/>
      <c r="G625" s="692"/>
      <c r="H625" s="692"/>
      <c r="I625" s="692"/>
      <c r="J625" s="692"/>
      <c r="K625" s="692"/>
      <c r="L625" s="692"/>
      <c r="M625" s="692"/>
      <c r="N625" s="692"/>
      <c r="O625" s="692"/>
      <c r="P625" s="692">
        <f t="shared" si="192"/>
        <v>0</v>
      </c>
      <c r="Q625" s="692"/>
      <c r="R625" s="693"/>
      <c r="S625" s="693"/>
      <c r="T625" s="692"/>
      <c r="U625" s="692"/>
      <c r="V625" s="692"/>
      <c r="W625" s="692"/>
      <c r="X625" s="692"/>
      <c r="Y625" s="692"/>
      <c r="Z625" s="692"/>
      <c r="AA625" s="692"/>
      <c r="AB625" s="692"/>
      <c r="AC625" s="692"/>
      <c r="AD625" s="692"/>
      <c r="AE625" s="725"/>
      <c r="AF625" s="957"/>
      <c r="AG625" s="692"/>
      <c r="AH625" s="692"/>
      <c r="AI625" s="692"/>
      <c r="AJ625" s="692"/>
      <c r="AK625" s="692"/>
      <c r="AL625" s="692"/>
      <c r="AM625" s="692"/>
      <c r="AN625" s="692"/>
      <c r="AO625" s="692"/>
      <c r="AP625" s="692"/>
      <c r="AQ625" s="692"/>
      <c r="AR625" s="692"/>
      <c r="AS625" s="692"/>
      <c r="AT625" s="692"/>
      <c r="AU625" s="692"/>
      <c r="AV625" s="692"/>
      <c r="AW625" s="692"/>
      <c r="AX625" s="692"/>
      <c r="AY625" s="692"/>
      <c r="AZ625" s="692">
        <f t="shared" si="194"/>
        <v>0</v>
      </c>
      <c r="BA625" s="692"/>
      <c r="BB625" s="692"/>
      <c r="BC625" s="692"/>
      <c r="BD625" s="692"/>
      <c r="BE625" s="692"/>
      <c r="BF625" s="692"/>
      <c r="BG625" s="692"/>
      <c r="BH625" s="692"/>
      <c r="BI625" s="692"/>
      <c r="BJ625" s="692">
        <f t="shared" si="195"/>
        <v>0</v>
      </c>
      <c r="BK625" s="692"/>
      <c r="BL625" s="692"/>
      <c r="BM625" s="692"/>
      <c r="BN625" s="692"/>
      <c r="BO625" s="692"/>
      <c r="BP625" s="692"/>
      <c r="BQ625" s="692">
        <f t="shared" si="196"/>
        <v>0</v>
      </c>
      <c r="BR625" s="692"/>
      <c r="BS625" s="692"/>
      <c r="BT625" s="692">
        <f t="shared" si="197"/>
        <v>0</v>
      </c>
      <c r="BU625" s="692"/>
      <c r="BV625" s="692"/>
      <c r="BW625" s="692"/>
      <c r="BX625" s="692"/>
      <c r="BY625" s="692"/>
      <c r="BZ625" s="692"/>
      <c r="CA625" s="692"/>
      <c r="CB625" s="692"/>
      <c r="CC625" s="692"/>
      <c r="CD625" s="692"/>
      <c r="CE625" s="692"/>
      <c r="CF625" s="692"/>
      <c r="CG625" s="692"/>
      <c r="CH625" s="692"/>
      <c r="CI625" s="692"/>
      <c r="CJ625" s="692"/>
      <c r="CK625" s="692"/>
      <c r="CL625" s="692"/>
      <c r="CM625" s="692"/>
      <c r="CN625" s="692"/>
      <c r="CO625" s="692"/>
      <c r="CP625" s="692"/>
      <c r="CQ625" s="692"/>
      <c r="CR625" s="692"/>
      <c r="CS625" s="692"/>
      <c r="CT625" s="692"/>
      <c r="CU625" s="692"/>
      <c r="CV625" s="692"/>
      <c r="CW625" s="692"/>
      <c r="CX625" s="694"/>
      <c r="CY625" s="694"/>
      <c r="CZ625" s="694"/>
      <c r="DA625" s="694"/>
      <c r="DB625" s="694"/>
      <c r="DC625" s="694"/>
      <c r="DD625" s="694"/>
      <c r="DE625" s="694"/>
      <c r="DF625" s="694"/>
      <c r="DG625" s="695"/>
      <c r="DH625" s="695"/>
      <c r="DI625" s="695"/>
      <c r="DJ625" s="695"/>
      <c r="DK625" s="695"/>
      <c r="DL625" s="695"/>
      <c r="DM625" s="695"/>
      <c r="DN625" s="695"/>
      <c r="DO625" s="695"/>
      <c r="DP625" s="695"/>
      <c r="DQ625" s="695"/>
      <c r="DR625" s="695"/>
      <c r="DS625" s="694"/>
      <c r="DT625" s="694"/>
      <c r="DU625" s="694"/>
      <c r="DV625" s="694"/>
      <c r="DW625" s="694"/>
      <c r="DX625" s="694"/>
      <c r="DY625" s="694"/>
      <c r="DZ625" s="694"/>
      <c r="EA625" s="694"/>
      <c r="EB625" s="694"/>
      <c r="EC625" s="694"/>
      <c r="ED625" s="694"/>
      <c r="EE625" s="694"/>
      <c r="EF625" s="694"/>
      <c r="EG625" s="694"/>
      <c r="EH625" s="694"/>
      <c r="EI625" s="694"/>
      <c r="EJ625" s="694"/>
      <c r="EK625" s="694"/>
      <c r="EL625" s="694"/>
      <c r="EM625" s="694"/>
      <c r="EN625" s="694"/>
      <c r="EO625" s="694"/>
      <c r="EP625" s="694"/>
      <c r="EQ625" s="694"/>
      <c r="ER625" s="694"/>
      <c r="ES625" s="694"/>
      <c r="ET625" s="694"/>
      <c r="EU625" s="694"/>
      <c r="EV625" s="694"/>
      <c r="EW625" s="694"/>
      <c r="EX625" s="694"/>
      <c r="EY625" s="694"/>
      <c r="EZ625" s="694"/>
      <c r="FA625" s="694"/>
      <c r="FB625" s="694"/>
      <c r="FC625" s="694"/>
      <c r="FD625" s="694"/>
      <c r="FE625" s="694"/>
      <c r="FF625" s="694"/>
      <c r="FG625" s="694"/>
      <c r="FH625" s="694"/>
      <c r="FI625" s="694"/>
      <c r="FJ625" s="694"/>
      <c r="FK625" s="694"/>
      <c r="FL625" s="694"/>
      <c r="FM625" s="694"/>
      <c r="FN625" s="694"/>
      <c r="FO625" s="694"/>
      <c r="FP625" s="694"/>
      <c r="FQ625" s="697"/>
    </row>
    <row r="626" spans="1:177" s="696" customFormat="1">
      <c r="A626" s="690"/>
      <c r="B626" s="690"/>
      <c r="C626" s="699" t="s">
        <v>3726</v>
      </c>
      <c r="D626" s="691"/>
      <c r="E626" s="640"/>
      <c r="F626" s="692"/>
      <c r="G626" s="692"/>
      <c r="H626" s="692"/>
      <c r="I626" s="692"/>
      <c r="J626" s="692"/>
      <c r="K626" s="692"/>
      <c r="L626" s="692"/>
      <c r="M626" s="692"/>
      <c r="N626" s="692"/>
      <c r="O626" s="692"/>
      <c r="P626" s="692">
        <f t="shared" si="192"/>
        <v>0</v>
      </c>
      <c r="Q626" s="692"/>
      <c r="R626" s="693"/>
      <c r="S626" s="693"/>
      <c r="T626" s="692"/>
      <c r="U626" s="692"/>
      <c r="V626" s="692"/>
      <c r="W626" s="692"/>
      <c r="X626" s="692"/>
      <c r="Y626" s="692"/>
      <c r="Z626" s="692"/>
      <c r="AA626" s="692"/>
      <c r="AB626" s="692"/>
      <c r="AC626" s="692"/>
      <c r="AD626" s="692"/>
      <c r="AE626" s="725"/>
      <c r="AF626" s="957"/>
      <c r="AG626" s="692"/>
      <c r="AH626" s="692"/>
      <c r="AI626" s="692"/>
      <c r="AJ626" s="692"/>
      <c r="AK626" s="692"/>
      <c r="AL626" s="692"/>
      <c r="AM626" s="692"/>
      <c r="AN626" s="692"/>
      <c r="AO626" s="692"/>
      <c r="AP626" s="692"/>
      <c r="AQ626" s="692"/>
      <c r="AR626" s="692"/>
      <c r="AS626" s="692"/>
      <c r="AT626" s="692"/>
      <c r="AU626" s="692"/>
      <c r="AV626" s="692"/>
      <c r="AW626" s="692"/>
      <c r="AX626" s="692"/>
      <c r="AY626" s="692"/>
      <c r="AZ626" s="692">
        <f t="shared" si="194"/>
        <v>0</v>
      </c>
      <c r="BA626" s="692"/>
      <c r="BB626" s="692"/>
      <c r="BC626" s="692"/>
      <c r="BD626" s="692"/>
      <c r="BE626" s="692"/>
      <c r="BF626" s="692">
        <v>1</v>
      </c>
      <c r="BG626" s="692"/>
      <c r="BH626" s="692"/>
      <c r="BI626" s="692"/>
      <c r="BJ626" s="692">
        <f t="shared" si="195"/>
        <v>0</v>
      </c>
      <c r="BK626" s="692"/>
      <c r="BL626" s="692"/>
      <c r="BM626" s="692"/>
      <c r="BN626" s="692"/>
      <c r="BO626" s="692"/>
      <c r="BP626" s="692"/>
      <c r="BQ626" s="692">
        <f t="shared" si="196"/>
        <v>0</v>
      </c>
      <c r="BR626" s="692"/>
      <c r="BS626" s="692">
        <v>0</v>
      </c>
      <c r="BT626" s="692">
        <f t="shared" si="197"/>
        <v>0</v>
      </c>
      <c r="BU626" s="692"/>
      <c r="BV626" s="692"/>
      <c r="BW626" s="692"/>
      <c r="BX626" s="692"/>
      <c r="BY626" s="692">
        <v>1</v>
      </c>
      <c r="BZ626" s="692"/>
      <c r="CA626" s="692"/>
      <c r="CB626" s="692"/>
      <c r="CC626" s="692"/>
      <c r="CD626" s="692"/>
      <c r="CE626" s="692"/>
      <c r="CF626" s="692"/>
      <c r="CG626" s="692"/>
      <c r="CH626" s="692"/>
      <c r="CI626" s="692"/>
      <c r="CJ626" s="692"/>
      <c r="CK626" s="692"/>
      <c r="CL626" s="692"/>
      <c r="CM626" s="692"/>
      <c r="CN626" s="692"/>
      <c r="CO626" s="692"/>
      <c r="CP626" s="692"/>
      <c r="CQ626" s="692"/>
      <c r="CR626" s="692"/>
      <c r="CS626" s="692"/>
      <c r="CT626" s="692"/>
      <c r="CU626" s="692"/>
      <c r="CV626" s="692"/>
      <c r="CW626" s="692"/>
      <c r="CX626" s="694"/>
      <c r="CY626" s="694"/>
      <c r="CZ626" s="694"/>
      <c r="DA626" s="694"/>
      <c r="DB626" s="694"/>
      <c r="DC626" s="694"/>
      <c r="DD626" s="694"/>
      <c r="DE626" s="694"/>
      <c r="DF626" s="694"/>
      <c r="DG626" s="695"/>
      <c r="DH626" s="695"/>
      <c r="DI626" s="695"/>
      <c r="DJ626" s="695"/>
      <c r="DK626" s="695"/>
      <c r="DL626" s="695"/>
      <c r="DM626" s="695"/>
      <c r="DN626" s="695"/>
      <c r="DO626" s="695"/>
      <c r="DP626" s="695"/>
      <c r="DQ626" s="695"/>
      <c r="DR626" s="695"/>
      <c r="DS626" s="694"/>
      <c r="DT626" s="694"/>
      <c r="DU626" s="694"/>
      <c r="DV626" s="694"/>
      <c r="DW626" s="694"/>
      <c r="DX626" s="694"/>
      <c r="DY626" s="694"/>
      <c r="DZ626" s="694"/>
      <c r="EA626" s="694"/>
      <c r="EB626" s="694"/>
      <c r="EC626" s="694"/>
      <c r="ED626" s="694"/>
      <c r="EE626" s="694"/>
      <c r="EF626" s="694"/>
      <c r="EG626" s="694"/>
      <c r="EH626" s="694"/>
      <c r="EI626" s="694"/>
      <c r="EJ626" s="694"/>
      <c r="EK626" s="694"/>
      <c r="EL626" s="694"/>
      <c r="EM626" s="694"/>
      <c r="EN626" s="694"/>
      <c r="EO626" s="694"/>
      <c r="EP626" s="694"/>
      <c r="EQ626" s="694"/>
      <c r="ER626" s="694"/>
      <c r="ES626" s="694"/>
      <c r="ET626" s="694"/>
      <c r="EU626" s="694"/>
      <c r="EV626" s="694"/>
      <c r="EW626" s="694"/>
      <c r="EX626" s="694"/>
      <c r="EY626" s="694"/>
      <c r="EZ626" s="694"/>
      <c r="FA626" s="694"/>
      <c r="FB626" s="694"/>
      <c r="FC626" s="694"/>
      <c r="FD626" s="694"/>
      <c r="FE626" s="694"/>
      <c r="FF626" s="694"/>
      <c r="FG626" s="694"/>
      <c r="FH626" s="694"/>
      <c r="FI626" s="694"/>
      <c r="FJ626" s="694"/>
      <c r="FK626" s="694"/>
      <c r="FL626" s="694"/>
      <c r="FM626" s="694"/>
      <c r="FN626" s="694"/>
      <c r="FO626" s="694"/>
      <c r="FP626" s="694"/>
      <c r="FQ626" s="697"/>
    </row>
    <row r="627" spans="1:177" s="696" customFormat="1">
      <c r="A627" s="690"/>
      <c r="B627" s="690"/>
      <c r="C627" s="691" t="s">
        <v>3632</v>
      </c>
      <c r="D627" s="691"/>
      <c r="E627" s="640">
        <v>35</v>
      </c>
      <c r="F627" s="692"/>
      <c r="G627" s="692"/>
      <c r="H627" s="692"/>
      <c r="I627" s="692"/>
      <c r="J627" s="692"/>
      <c r="K627" s="692"/>
      <c r="L627" s="692"/>
      <c r="M627" s="692"/>
      <c r="N627" s="692"/>
      <c r="O627" s="692"/>
      <c r="P627" s="692">
        <f t="shared" si="192"/>
        <v>35</v>
      </c>
      <c r="Q627" s="692"/>
      <c r="R627" s="693"/>
      <c r="S627" s="693"/>
      <c r="T627" s="692"/>
      <c r="U627" s="692" t="s">
        <v>2989</v>
      </c>
      <c r="V627" s="692"/>
      <c r="W627" s="692">
        <v>2</v>
      </c>
      <c r="X627" s="692"/>
      <c r="Y627" s="692"/>
      <c r="Z627" s="692"/>
      <c r="AA627" s="692"/>
      <c r="AB627" s="692"/>
      <c r="AC627" s="692"/>
      <c r="AD627" s="692"/>
      <c r="AE627" s="725">
        <v>1</v>
      </c>
      <c r="AF627" s="957"/>
      <c r="AG627" s="692"/>
      <c r="AH627" s="692"/>
      <c r="AI627" s="692"/>
      <c r="AJ627" s="692"/>
      <c r="AK627" s="692"/>
      <c r="AL627" s="692"/>
      <c r="AM627" s="692"/>
      <c r="AN627" s="692"/>
      <c r="AO627" s="692"/>
      <c r="AP627" s="692"/>
      <c r="AQ627" s="692"/>
      <c r="AR627" s="692"/>
      <c r="AS627" s="692"/>
      <c r="AT627" s="692"/>
      <c r="AU627" s="692"/>
      <c r="AV627" s="692"/>
      <c r="AW627" s="692">
        <f t="shared" ref="AW627:AW635" si="198">CB627</f>
        <v>1</v>
      </c>
      <c r="AX627" s="692"/>
      <c r="AY627" s="692"/>
      <c r="AZ627" s="692">
        <f t="shared" si="194"/>
        <v>2</v>
      </c>
      <c r="BA627" s="692"/>
      <c r="BB627" s="692"/>
      <c r="BC627" s="692"/>
      <c r="BD627" s="692"/>
      <c r="BE627" s="692"/>
      <c r="BF627" s="692">
        <v>2</v>
      </c>
      <c r="BG627" s="692"/>
      <c r="BH627" s="692"/>
      <c r="BI627" s="692"/>
      <c r="BJ627" s="692">
        <f t="shared" si="195"/>
        <v>5</v>
      </c>
      <c r="BK627" s="692"/>
      <c r="BL627" s="692"/>
      <c r="BM627" s="692"/>
      <c r="BN627" s="692"/>
      <c r="BO627" s="692"/>
      <c r="BP627" s="692"/>
      <c r="BQ627" s="692">
        <f t="shared" si="196"/>
        <v>0</v>
      </c>
      <c r="BR627" s="692"/>
      <c r="BS627" s="692">
        <v>0</v>
      </c>
      <c r="BT627" s="692">
        <f t="shared" si="197"/>
        <v>0</v>
      </c>
      <c r="BU627" s="692"/>
      <c r="BV627" s="692"/>
      <c r="BW627" s="692"/>
      <c r="BX627" s="692"/>
      <c r="BY627" s="692">
        <v>2</v>
      </c>
      <c r="BZ627" s="692"/>
      <c r="CA627" s="692"/>
      <c r="CB627" s="692">
        <v>1</v>
      </c>
      <c r="CC627" s="692"/>
      <c r="CD627" s="692">
        <f>CB627*4</f>
        <v>4</v>
      </c>
      <c r="CE627" s="692"/>
      <c r="CF627" s="692"/>
      <c r="CG627" s="692"/>
      <c r="CH627" s="692"/>
      <c r="CI627" s="692"/>
      <c r="CJ627" s="692"/>
      <c r="CK627" s="692"/>
      <c r="CL627" s="692"/>
      <c r="CM627" s="692"/>
      <c r="CN627" s="692"/>
      <c r="CO627" s="692"/>
      <c r="CP627" s="692"/>
      <c r="CQ627" s="692"/>
      <c r="CR627" s="692"/>
      <c r="CS627" s="692"/>
      <c r="CT627" s="692"/>
      <c r="CU627" s="692"/>
      <c r="CV627" s="692"/>
      <c r="CW627" s="692"/>
      <c r="CX627" s="694"/>
      <c r="CY627" s="694"/>
      <c r="CZ627" s="694"/>
      <c r="DA627" s="694"/>
      <c r="DB627" s="694"/>
      <c r="DC627" s="694"/>
      <c r="DD627" s="694"/>
      <c r="DE627" s="694"/>
      <c r="DF627" s="694"/>
      <c r="DG627" s="695"/>
      <c r="DH627" s="695"/>
      <c r="DI627" s="695"/>
      <c r="DJ627" s="695"/>
      <c r="DK627" s="695"/>
      <c r="DL627" s="695"/>
      <c r="DM627" s="695"/>
      <c r="DN627" s="695"/>
      <c r="DO627" s="695"/>
      <c r="DP627" s="695"/>
      <c r="DQ627" s="695"/>
      <c r="DR627" s="695"/>
      <c r="DS627" s="694"/>
      <c r="DT627" s="694"/>
      <c r="DU627" s="694"/>
      <c r="DV627" s="694"/>
      <c r="DW627" s="694"/>
      <c r="DX627" s="694"/>
      <c r="DY627" s="694"/>
      <c r="DZ627" s="694"/>
      <c r="EA627" s="694"/>
      <c r="EB627" s="694"/>
      <c r="EC627" s="694"/>
      <c r="ED627" s="694"/>
      <c r="EE627" s="694"/>
      <c r="EF627" s="694"/>
      <c r="EG627" s="694"/>
      <c r="EH627" s="694"/>
      <c r="EI627" s="694"/>
      <c r="EJ627" s="694"/>
      <c r="EK627" s="694"/>
      <c r="EL627" s="694"/>
      <c r="EM627" s="694"/>
      <c r="EN627" s="694"/>
      <c r="EO627" s="694"/>
      <c r="EP627" s="694"/>
      <c r="EQ627" s="694"/>
      <c r="ER627" s="694"/>
      <c r="ES627" s="694"/>
      <c r="ET627" s="694"/>
      <c r="EU627" s="694"/>
      <c r="EV627" s="694"/>
      <c r="EW627" s="694"/>
      <c r="EX627" s="694"/>
      <c r="EY627" s="694"/>
      <c r="EZ627" s="694"/>
      <c r="FA627" s="694"/>
      <c r="FB627" s="694"/>
      <c r="FC627" s="694"/>
      <c r="FD627" s="694"/>
      <c r="FE627" s="694"/>
      <c r="FF627" s="694"/>
      <c r="FG627" s="694"/>
      <c r="FH627" s="694"/>
      <c r="FI627" s="694"/>
      <c r="FJ627" s="694"/>
      <c r="FK627" s="694"/>
      <c r="FL627" s="694"/>
      <c r="FM627" s="694"/>
      <c r="FN627" s="694"/>
      <c r="FO627" s="694"/>
      <c r="FP627" s="694"/>
      <c r="FQ627" s="697"/>
    </row>
    <row r="628" spans="1:177" s="696" customFormat="1">
      <c r="A628" s="690"/>
      <c r="B628" s="690"/>
      <c r="C628" s="691" t="s">
        <v>3633</v>
      </c>
      <c r="D628" s="691"/>
      <c r="E628" s="640">
        <v>35</v>
      </c>
      <c r="F628" s="692"/>
      <c r="G628" s="692"/>
      <c r="H628" s="692"/>
      <c r="I628" s="692"/>
      <c r="J628" s="692"/>
      <c r="K628" s="692"/>
      <c r="L628" s="692"/>
      <c r="M628" s="692"/>
      <c r="N628" s="692"/>
      <c r="O628" s="692"/>
      <c r="P628" s="692">
        <f t="shared" si="192"/>
        <v>35</v>
      </c>
      <c r="Q628" s="692"/>
      <c r="R628" s="693"/>
      <c r="S628" s="693"/>
      <c r="T628" s="692"/>
      <c r="U628" s="692" t="s">
        <v>3718</v>
      </c>
      <c r="V628" s="692"/>
      <c r="W628" s="692">
        <v>2</v>
      </c>
      <c r="X628" s="692"/>
      <c r="Y628" s="692"/>
      <c r="Z628" s="692"/>
      <c r="AA628" s="692"/>
      <c r="AB628" s="692"/>
      <c r="AC628" s="692"/>
      <c r="AD628" s="692"/>
      <c r="AE628" s="725">
        <v>1</v>
      </c>
      <c r="AF628" s="957"/>
      <c r="AG628" s="692"/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>
        <f t="shared" si="198"/>
        <v>1</v>
      </c>
      <c r="AX628" s="692"/>
      <c r="AY628" s="692"/>
      <c r="AZ628" s="692">
        <f t="shared" si="194"/>
        <v>2</v>
      </c>
      <c r="BA628" s="692"/>
      <c r="BB628" s="692"/>
      <c r="BC628" s="692"/>
      <c r="BD628" s="692">
        <v>2</v>
      </c>
      <c r="BE628" s="692"/>
      <c r="BF628" s="692">
        <v>1</v>
      </c>
      <c r="BG628" s="692"/>
      <c r="BH628" s="692"/>
      <c r="BI628" s="692"/>
      <c r="BJ628" s="692">
        <f t="shared" si="195"/>
        <v>5</v>
      </c>
      <c r="BK628" s="692"/>
      <c r="BL628" s="692"/>
      <c r="BM628" s="692"/>
      <c r="BN628" s="692"/>
      <c r="BO628" s="692"/>
      <c r="BP628" s="692"/>
      <c r="BQ628" s="692">
        <f t="shared" si="196"/>
        <v>0</v>
      </c>
      <c r="BR628" s="692"/>
      <c r="BS628" s="692">
        <v>0</v>
      </c>
      <c r="BT628" s="692">
        <f t="shared" si="197"/>
        <v>0</v>
      </c>
      <c r="BU628" s="692"/>
      <c r="BV628" s="692"/>
      <c r="BW628" s="692"/>
      <c r="BX628" s="692"/>
      <c r="BY628" s="692">
        <v>3</v>
      </c>
      <c r="BZ628" s="692"/>
      <c r="CA628" s="692"/>
      <c r="CB628" s="692">
        <v>1</v>
      </c>
      <c r="CC628" s="692"/>
      <c r="CD628" s="692">
        <f t="shared" ref="CD628:CD636" si="199">CB628*4</f>
        <v>4</v>
      </c>
      <c r="CE628" s="692"/>
      <c r="CF628" s="692"/>
      <c r="CG628" s="692"/>
      <c r="CH628" s="692"/>
      <c r="CI628" s="692"/>
      <c r="CJ628" s="692"/>
      <c r="CK628" s="692"/>
      <c r="CL628" s="692"/>
      <c r="CM628" s="692"/>
      <c r="CN628" s="692"/>
      <c r="CO628" s="692"/>
      <c r="CP628" s="692"/>
      <c r="CQ628" s="692"/>
      <c r="CR628" s="692"/>
      <c r="CS628" s="692"/>
      <c r="CT628" s="692"/>
      <c r="CU628" s="692"/>
      <c r="CV628" s="692"/>
      <c r="CW628" s="692"/>
      <c r="CX628" s="694"/>
      <c r="CY628" s="694"/>
      <c r="CZ628" s="694"/>
      <c r="DA628" s="694"/>
      <c r="DB628" s="694"/>
      <c r="DC628" s="694"/>
      <c r="DD628" s="694"/>
      <c r="DE628" s="694"/>
      <c r="DF628" s="694"/>
      <c r="DG628" s="695"/>
      <c r="DH628" s="695"/>
      <c r="DI628" s="695"/>
      <c r="DJ628" s="695"/>
      <c r="DK628" s="695"/>
      <c r="DL628" s="695"/>
      <c r="DM628" s="695"/>
      <c r="DN628" s="695"/>
      <c r="DO628" s="695"/>
      <c r="DP628" s="695"/>
      <c r="DQ628" s="695"/>
      <c r="DR628" s="695"/>
      <c r="DS628" s="694"/>
      <c r="DT628" s="694"/>
      <c r="DU628" s="694"/>
      <c r="DV628" s="694"/>
      <c r="DW628" s="694"/>
      <c r="DX628" s="694"/>
      <c r="DY628" s="694"/>
      <c r="DZ628" s="694"/>
      <c r="EA628" s="694"/>
      <c r="EB628" s="694"/>
      <c r="EC628" s="694"/>
      <c r="ED628" s="694"/>
      <c r="EE628" s="694"/>
      <c r="EF628" s="694"/>
      <c r="EG628" s="694"/>
      <c r="EH628" s="694"/>
      <c r="EI628" s="694"/>
      <c r="EJ628" s="694"/>
      <c r="EK628" s="694"/>
      <c r="EL628" s="694"/>
      <c r="EM628" s="694"/>
      <c r="EN628" s="694"/>
      <c r="EO628" s="694"/>
      <c r="EP628" s="694"/>
      <c r="EQ628" s="694"/>
      <c r="ER628" s="694"/>
      <c r="ES628" s="694"/>
      <c r="ET628" s="694"/>
      <c r="EU628" s="694"/>
      <c r="EV628" s="694"/>
      <c r="EW628" s="694"/>
      <c r="EX628" s="694"/>
      <c r="EY628" s="694"/>
      <c r="EZ628" s="694"/>
      <c r="FA628" s="694"/>
      <c r="FB628" s="694"/>
      <c r="FC628" s="694"/>
      <c r="FD628" s="694"/>
      <c r="FE628" s="694"/>
      <c r="FF628" s="694"/>
      <c r="FG628" s="694"/>
      <c r="FH628" s="694"/>
      <c r="FI628" s="694"/>
      <c r="FJ628" s="694"/>
      <c r="FK628" s="694"/>
      <c r="FL628" s="694"/>
      <c r="FM628" s="694"/>
      <c r="FN628" s="694"/>
      <c r="FO628" s="694"/>
      <c r="FP628" s="694"/>
      <c r="FQ628" s="697"/>
    </row>
    <row r="629" spans="1:177" s="696" customFormat="1">
      <c r="A629" s="690"/>
      <c r="B629" s="690"/>
      <c r="C629" s="691" t="s">
        <v>3634</v>
      </c>
      <c r="D629" s="691"/>
      <c r="E629" s="640">
        <v>35</v>
      </c>
      <c r="F629" s="692"/>
      <c r="G629" s="692"/>
      <c r="H629" s="692"/>
      <c r="I629" s="692"/>
      <c r="J629" s="692"/>
      <c r="K629" s="692"/>
      <c r="L629" s="692"/>
      <c r="M629" s="692"/>
      <c r="N629" s="692"/>
      <c r="O629" s="692"/>
      <c r="P629" s="692">
        <f t="shared" si="192"/>
        <v>35</v>
      </c>
      <c r="Q629" s="692"/>
      <c r="R629" s="693"/>
      <c r="S629" s="693"/>
      <c r="T629" s="692"/>
      <c r="U629" s="692" t="s">
        <v>1631</v>
      </c>
      <c r="V629" s="692"/>
      <c r="W629" s="692">
        <v>1</v>
      </c>
      <c r="X629" s="692"/>
      <c r="Y629" s="692"/>
      <c r="Z629" s="692">
        <v>1</v>
      </c>
      <c r="AA629" s="692"/>
      <c r="AB629" s="692"/>
      <c r="AC629" s="692"/>
      <c r="AD629" s="692"/>
      <c r="AE629" s="725"/>
      <c r="AF629" s="957"/>
      <c r="AG629" s="692"/>
      <c r="AH629" s="692"/>
      <c r="AI629" s="692"/>
      <c r="AJ629" s="692"/>
      <c r="AK629" s="692"/>
      <c r="AL629" s="692"/>
      <c r="AM629" s="692"/>
      <c r="AN629" s="692"/>
      <c r="AO629" s="692"/>
      <c r="AP629" s="692"/>
      <c r="AQ629" s="692"/>
      <c r="AR629" s="692"/>
      <c r="AS629" s="692"/>
      <c r="AT629" s="692"/>
      <c r="AU629" s="692"/>
      <c r="AV629" s="692"/>
      <c r="AW629" s="692">
        <f t="shared" si="198"/>
        <v>1</v>
      </c>
      <c r="AX629" s="692"/>
      <c r="AY629" s="692"/>
      <c r="AZ629" s="692">
        <f t="shared" si="194"/>
        <v>2</v>
      </c>
      <c r="BA629" s="692"/>
      <c r="BB629" s="692"/>
      <c r="BC629" s="692"/>
      <c r="BD629" s="692">
        <v>1</v>
      </c>
      <c r="BE629" s="692"/>
      <c r="BF629" s="692"/>
      <c r="BG629" s="692"/>
      <c r="BH629" s="692"/>
      <c r="BI629" s="692"/>
      <c r="BJ629" s="692">
        <f t="shared" si="195"/>
        <v>5</v>
      </c>
      <c r="BK629" s="692"/>
      <c r="BL629" s="692"/>
      <c r="BM629" s="692"/>
      <c r="BN629" s="692"/>
      <c r="BO629" s="692"/>
      <c r="BP629" s="692"/>
      <c r="BQ629" s="692">
        <f t="shared" si="196"/>
        <v>0</v>
      </c>
      <c r="BR629" s="692"/>
      <c r="BS629" s="692"/>
      <c r="BT629" s="692">
        <f t="shared" si="197"/>
        <v>1</v>
      </c>
      <c r="BU629" s="692"/>
      <c r="BV629" s="692"/>
      <c r="BW629" s="692"/>
      <c r="BX629" s="692"/>
      <c r="BY629" s="692"/>
      <c r="BZ629" s="692"/>
      <c r="CA629" s="692"/>
      <c r="CB629" s="692">
        <v>1</v>
      </c>
      <c r="CC629" s="692"/>
      <c r="CD629" s="692">
        <f t="shared" si="199"/>
        <v>4</v>
      </c>
      <c r="CE629" s="692"/>
      <c r="CF629" s="692"/>
      <c r="CG629" s="692"/>
      <c r="CH629" s="692"/>
      <c r="CI629" s="692"/>
      <c r="CJ629" s="692"/>
      <c r="CK629" s="692"/>
      <c r="CL629" s="692"/>
      <c r="CM629" s="692"/>
      <c r="CN629" s="692"/>
      <c r="CO629" s="692"/>
      <c r="CP629" s="692"/>
      <c r="CQ629" s="692"/>
      <c r="CR629" s="692"/>
      <c r="CS629" s="692"/>
      <c r="CT629" s="692"/>
      <c r="CU629" s="692"/>
      <c r="CV629" s="692"/>
      <c r="CW629" s="692"/>
      <c r="CX629" s="694"/>
      <c r="CY629" s="694"/>
      <c r="CZ629" s="694"/>
      <c r="DA629" s="694"/>
      <c r="DB629" s="694"/>
      <c r="DC629" s="694"/>
      <c r="DD629" s="694"/>
      <c r="DE629" s="694"/>
      <c r="DF629" s="694"/>
      <c r="DG629" s="695"/>
      <c r="DH629" s="695"/>
      <c r="DI629" s="695"/>
      <c r="DJ629" s="695"/>
      <c r="DK629" s="695"/>
      <c r="DL629" s="695"/>
      <c r="DM629" s="695"/>
      <c r="DN629" s="695"/>
      <c r="DO629" s="695"/>
      <c r="DP629" s="695"/>
      <c r="DQ629" s="695"/>
      <c r="DR629" s="695"/>
      <c r="DS629" s="694"/>
      <c r="DT629" s="694"/>
      <c r="DU629" s="694"/>
      <c r="DV629" s="694"/>
      <c r="DW629" s="694"/>
      <c r="DX629" s="694"/>
      <c r="DY629" s="694"/>
      <c r="DZ629" s="694"/>
      <c r="EA629" s="694"/>
      <c r="EB629" s="694"/>
      <c r="EC629" s="694"/>
      <c r="ED629" s="694"/>
      <c r="EE629" s="694"/>
      <c r="EF629" s="694"/>
      <c r="EG629" s="694"/>
      <c r="EH629" s="694"/>
      <c r="EI629" s="694"/>
      <c r="EJ629" s="694"/>
      <c r="EK629" s="694"/>
      <c r="EL629" s="694"/>
      <c r="EM629" s="694"/>
      <c r="EN629" s="694"/>
      <c r="EO629" s="694"/>
      <c r="EP629" s="694"/>
      <c r="EQ629" s="694"/>
      <c r="ER629" s="694"/>
      <c r="ES629" s="694"/>
      <c r="ET629" s="694"/>
      <c r="EU629" s="694"/>
      <c r="EV629" s="694"/>
      <c r="EW629" s="694"/>
      <c r="EX629" s="694"/>
      <c r="EY629" s="694"/>
      <c r="EZ629" s="694"/>
      <c r="FA629" s="694"/>
      <c r="FB629" s="694"/>
      <c r="FC629" s="694"/>
      <c r="FD629" s="694"/>
      <c r="FE629" s="694"/>
      <c r="FF629" s="694"/>
      <c r="FG629" s="694"/>
      <c r="FH629" s="694"/>
      <c r="FI629" s="694"/>
      <c r="FJ629" s="694"/>
      <c r="FK629" s="694"/>
      <c r="FL629" s="694"/>
      <c r="FM629" s="694"/>
      <c r="FN629" s="694"/>
      <c r="FO629" s="694"/>
      <c r="FP629" s="694"/>
      <c r="FQ629" s="697"/>
    </row>
    <row r="630" spans="1:177" s="696" customFormat="1">
      <c r="A630" s="690"/>
      <c r="B630" s="690"/>
      <c r="C630" s="691" t="s">
        <v>3635</v>
      </c>
      <c r="D630" s="691"/>
      <c r="E630" s="640">
        <v>30</v>
      </c>
      <c r="F630" s="692"/>
      <c r="G630" s="692"/>
      <c r="H630" s="692"/>
      <c r="I630" s="692"/>
      <c r="J630" s="692"/>
      <c r="K630" s="692"/>
      <c r="L630" s="692"/>
      <c r="M630" s="692"/>
      <c r="N630" s="692"/>
      <c r="O630" s="692"/>
      <c r="P630" s="692">
        <f t="shared" si="192"/>
        <v>30</v>
      </c>
      <c r="Q630" s="692"/>
      <c r="R630" s="693"/>
      <c r="S630" s="693"/>
      <c r="T630" s="692"/>
      <c r="U630" s="692" t="s">
        <v>1903</v>
      </c>
      <c r="V630" s="692"/>
      <c r="W630" s="692">
        <v>2</v>
      </c>
      <c r="X630" s="692"/>
      <c r="Y630" s="692"/>
      <c r="Z630" s="692"/>
      <c r="AA630" s="692"/>
      <c r="AB630" s="692"/>
      <c r="AC630" s="692"/>
      <c r="AD630" s="692"/>
      <c r="AE630" s="725">
        <v>1</v>
      </c>
      <c r="AF630" s="957"/>
      <c r="AG630" s="692"/>
      <c r="AH630" s="692"/>
      <c r="AI630" s="692"/>
      <c r="AJ630" s="692"/>
      <c r="AK630" s="692"/>
      <c r="AL630" s="692"/>
      <c r="AM630" s="692"/>
      <c r="AN630" s="692"/>
      <c r="AO630" s="692"/>
      <c r="AP630" s="692"/>
      <c r="AQ630" s="692"/>
      <c r="AR630" s="692"/>
      <c r="AS630" s="692"/>
      <c r="AT630" s="692"/>
      <c r="AU630" s="692"/>
      <c r="AV630" s="692"/>
      <c r="AW630" s="692">
        <f t="shared" si="198"/>
        <v>1</v>
      </c>
      <c r="AX630" s="692"/>
      <c r="AY630" s="692"/>
      <c r="AZ630" s="692">
        <f t="shared" si="194"/>
        <v>2</v>
      </c>
      <c r="BA630" s="692"/>
      <c r="BB630" s="692"/>
      <c r="BC630" s="692"/>
      <c r="BD630" s="692"/>
      <c r="BE630" s="692"/>
      <c r="BF630" s="692">
        <v>1</v>
      </c>
      <c r="BG630" s="692"/>
      <c r="BH630" s="692"/>
      <c r="BI630" s="692"/>
      <c r="BJ630" s="692">
        <f t="shared" si="195"/>
        <v>5</v>
      </c>
      <c r="BK630" s="692"/>
      <c r="BL630" s="692"/>
      <c r="BM630" s="692"/>
      <c r="BN630" s="692"/>
      <c r="BO630" s="692"/>
      <c r="BP630" s="692"/>
      <c r="BQ630" s="692">
        <f t="shared" si="196"/>
        <v>1</v>
      </c>
      <c r="BR630" s="692"/>
      <c r="BS630" s="692"/>
      <c r="BT630" s="692">
        <f t="shared" si="197"/>
        <v>2</v>
      </c>
      <c r="BU630" s="692"/>
      <c r="BV630" s="692"/>
      <c r="BW630" s="692"/>
      <c r="BX630" s="692"/>
      <c r="BY630" s="692"/>
      <c r="BZ630" s="692"/>
      <c r="CA630" s="692"/>
      <c r="CB630" s="692">
        <v>1</v>
      </c>
      <c r="CC630" s="692"/>
      <c r="CD630" s="692">
        <f t="shared" si="199"/>
        <v>4</v>
      </c>
      <c r="CE630" s="692"/>
      <c r="CF630" s="692"/>
      <c r="CG630" s="692"/>
      <c r="CH630" s="692"/>
      <c r="CI630" s="692"/>
      <c r="CJ630" s="692"/>
      <c r="CK630" s="692"/>
      <c r="CL630" s="692"/>
      <c r="CM630" s="692"/>
      <c r="CN630" s="692"/>
      <c r="CO630" s="692"/>
      <c r="CP630" s="692"/>
      <c r="CQ630" s="692"/>
      <c r="CR630" s="692"/>
      <c r="CS630" s="692"/>
      <c r="CT630" s="692"/>
      <c r="CU630" s="692"/>
      <c r="CV630" s="692"/>
      <c r="CW630" s="692"/>
      <c r="CX630" s="694"/>
      <c r="CY630" s="694"/>
      <c r="CZ630" s="694"/>
      <c r="DA630" s="694"/>
      <c r="DB630" s="694"/>
      <c r="DC630" s="694"/>
      <c r="DD630" s="694"/>
      <c r="DE630" s="694"/>
      <c r="DF630" s="694"/>
      <c r="DG630" s="695"/>
      <c r="DH630" s="695"/>
      <c r="DI630" s="695"/>
      <c r="DJ630" s="695"/>
      <c r="DK630" s="695"/>
      <c r="DL630" s="695"/>
      <c r="DM630" s="695"/>
      <c r="DN630" s="695"/>
      <c r="DO630" s="695"/>
      <c r="DP630" s="695"/>
      <c r="DQ630" s="695"/>
      <c r="DR630" s="695"/>
      <c r="DS630" s="694"/>
      <c r="DT630" s="694"/>
      <c r="DU630" s="694"/>
      <c r="DV630" s="694"/>
      <c r="DW630" s="694"/>
      <c r="DX630" s="694"/>
      <c r="DY630" s="694"/>
      <c r="DZ630" s="694"/>
      <c r="EA630" s="694"/>
      <c r="EB630" s="694"/>
      <c r="EC630" s="694"/>
      <c r="ED630" s="694"/>
      <c r="EE630" s="694"/>
      <c r="EF630" s="694"/>
      <c r="EG630" s="694"/>
      <c r="EH630" s="694"/>
      <c r="EI630" s="694"/>
      <c r="EJ630" s="694"/>
      <c r="EK630" s="694"/>
      <c r="EL630" s="694"/>
      <c r="EM630" s="694"/>
      <c r="EN630" s="694"/>
      <c r="EO630" s="694"/>
      <c r="EP630" s="694"/>
      <c r="EQ630" s="694"/>
      <c r="ER630" s="694"/>
      <c r="ES630" s="694"/>
      <c r="ET630" s="694"/>
      <c r="EU630" s="694"/>
      <c r="EV630" s="694"/>
      <c r="EW630" s="694"/>
      <c r="EX630" s="694"/>
      <c r="EY630" s="694"/>
      <c r="EZ630" s="694"/>
      <c r="FA630" s="694"/>
      <c r="FB630" s="694"/>
      <c r="FC630" s="694"/>
      <c r="FD630" s="694"/>
      <c r="FE630" s="694"/>
      <c r="FF630" s="694"/>
      <c r="FG630" s="694"/>
      <c r="FH630" s="694"/>
      <c r="FI630" s="694"/>
      <c r="FJ630" s="694"/>
      <c r="FK630" s="694"/>
      <c r="FL630" s="694"/>
      <c r="FM630" s="694"/>
      <c r="FN630" s="694"/>
      <c r="FO630" s="694"/>
      <c r="FP630" s="694"/>
      <c r="FQ630" s="697"/>
    </row>
    <row r="631" spans="1:177" s="696" customFormat="1">
      <c r="A631" s="690"/>
      <c r="B631" s="690"/>
      <c r="C631" s="691" t="s">
        <v>3636</v>
      </c>
      <c r="D631" s="691"/>
      <c r="E631" s="640">
        <v>30</v>
      </c>
      <c r="F631" s="692"/>
      <c r="G631" s="692"/>
      <c r="H631" s="692"/>
      <c r="I631" s="692"/>
      <c r="J631" s="692"/>
      <c r="K631" s="692"/>
      <c r="L631" s="692"/>
      <c r="M631" s="692"/>
      <c r="N631" s="692"/>
      <c r="O631" s="692"/>
      <c r="P631" s="692">
        <f t="shared" si="192"/>
        <v>30</v>
      </c>
      <c r="Q631" s="692"/>
      <c r="R631" s="693"/>
      <c r="S631" s="693"/>
      <c r="T631" s="692"/>
      <c r="U631" s="692" t="s">
        <v>1631</v>
      </c>
      <c r="V631" s="692"/>
      <c r="W631" s="692">
        <v>1</v>
      </c>
      <c r="X631" s="692"/>
      <c r="Y631" s="692"/>
      <c r="Z631" s="692">
        <v>1</v>
      </c>
      <c r="AA631" s="692"/>
      <c r="AB631" s="692"/>
      <c r="AC631" s="692"/>
      <c r="AD631" s="692"/>
      <c r="AE631" s="725"/>
      <c r="AF631" s="957"/>
      <c r="AG631" s="692"/>
      <c r="AH631" s="692"/>
      <c r="AI631" s="692"/>
      <c r="AJ631" s="692"/>
      <c r="AK631" s="692"/>
      <c r="AL631" s="692"/>
      <c r="AM631" s="692"/>
      <c r="AN631" s="692"/>
      <c r="AO631" s="692"/>
      <c r="AP631" s="692"/>
      <c r="AQ631" s="692"/>
      <c r="AR631" s="692"/>
      <c r="AS631" s="692"/>
      <c r="AT631" s="692"/>
      <c r="AU631" s="692">
        <v>1</v>
      </c>
      <c r="AV631" s="692"/>
      <c r="AW631" s="692">
        <f t="shared" si="198"/>
        <v>1</v>
      </c>
      <c r="AX631" s="692"/>
      <c r="AY631" s="692"/>
      <c r="AZ631" s="692">
        <f t="shared" si="194"/>
        <v>2</v>
      </c>
      <c r="BA631" s="692"/>
      <c r="BB631" s="692"/>
      <c r="BC631" s="692"/>
      <c r="BD631" s="692">
        <v>1</v>
      </c>
      <c r="BE631" s="692"/>
      <c r="BF631" s="692"/>
      <c r="BG631" s="692"/>
      <c r="BH631" s="692"/>
      <c r="BI631" s="692"/>
      <c r="BJ631" s="692">
        <f t="shared" si="195"/>
        <v>7</v>
      </c>
      <c r="BK631" s="692"/>
      <c r="BL631" s="692"/>
      <c r="BM631" s="692"/>
      <c r="BN631" s="692"/>
      <c r="BO631" s="692"/>
      <c r="BP631" s="692"/>
      <c r="BQ631" s="692">
        <f t="shared" si="196"/>
        <v>0</v>
      </c>
      <c r="BR631" s="692"/>
      <c r="BS631" s="692"/>
      <c r="BT631" s="692">
        <f t="shared" si="197"/>
        <v>1</v>
      </c>
      <c r="BU631" s="692"/>
      <c r="BV631" s="692"/>
      <c r="BW631" s="692"/>
      <c r="BX631" s="692"/>
      <c r="BY631" s="692"/>
      <c r="BZ631" s="692"/>
      <c r="CA631" s="692"/>
      <c r="CB631" s="692">
        <v>1</v>
      </c>
      <c r="CC631" s="692"/>
      <c r="CD631" s="692">
        <f t="shared" si="199"/>
        <v>4</v>
      </c>
      <c r="CE631" s="692"/>
      <c r="CF631" s="692"/>
      <c r="CG631" s="692"/>
      <c r="CH631" s="692"/>
      <c r="CI631" s="692"/>
      <c r="CJ631" s="692"/>
      <c r="CK631" s="692"/>
      <c r="CL631" s="692"/>
      <c r="CM631" s="692"/>
      <c r="CN631" s="692"/>
      <c r="CO631" s="692"/>
      <c r="CP631" s="692"/>
      <c r="CQ631" s="692"/>
      <c r="CR631" s="692"/>
      <c r="CS631" s="692"/>
      <c r="CT631" s="692"/>
      <c r="CU631" s="692"/>
      <c r="CV631" s="692"/>
      <c r="CW631" s="692"/>
      <c r="CX631" s="694"/>
      <c r="CY631" s="694"/>
      <c r="CZ631" s="694"/>
      <c r="DA631" s="694"/>
      <c r="DB631" s="694"/>
      <c r="DC631" s="694"/>
      <c r="DD631" s="694"/>
      <c r="DE631" s="694"/>
      <c r="DF631" s="694"/>
      <c r="DG631" s="695"/>
      <c r="DH631" s="695"/>
      <c r="DI631" s="695"/>
      <c r="DJ631" s="695"/>
      <c r="DK631" s="695"/>
      <c r="DL631" s="695"/>
      <c r="DM631" s="695"/>
      <c r="DN631" s="695"/>
      <c r="DO631" s="695"/>
      <c r="DP631" s="695"/>
      <c r="DQ631" s="695"/>
      <c r="DR631" s="695"/>
      <c r="DS631" s="694"/>
      <c r="DT631" s="694"/>
      <c r="DU631" s="694"/>
      <c r="DV631" s="694"/>
      <c r="DW631" s="694"/>
      <c r="DX631" s="694"/>
      <c r="DY631" s="694"/>
      <c r="DZ631" s="694"/>
      <c r="EA631" s="694"/>
      <c r="EB631" s="694"/>
      <c r="EC631" s="694"/>
      <c r="ED631" s="694"/>
      <c r="EE631" s="694"/>
      <c r="EF631" s="694"/>
      <c r="EG631" s="694"/>
      <c r="EH631" s="694"/>
      <c r="EI631" s="694"/>
      <c r="EJ631" s="694"/>
      <c r="EK631" s="694"/>
      <c r="EL631" s="694"/>
      <c r="EM631" s="694"/>
      <c r="EN631" s="694"/>
      <c r="EO631" s="694"/>
      <c r="EP631" s="694"/>
      <c r="EQ631" s="694"/>
      <c r="ER631" s="694"/>
      <c r="ES631" s="694"/>
      <c r="ET631" s="694"/>
      <c r="EU631" s="694"/>
      <c r="EV631" s="694"/>
      <c r="EW631" s="694"/>
      <c r="EX631" s="694"/>
      <c r="EY631" s="694"/>
      <c r="EZ631" s="694"/>
      <c r="FA631" s="694"/>
      <c r="FB631" s="694"/>
      <c r="FC631" s="694"/>
      <c r="FD631" s="694"/>
      <c r="FE631" s="694"/>
      <c r="FF631" s="694"/>
      <c r="FG631" s="694"/>
      <c r="FH631" s="694"/>
      <c r="FI631" s="694"/>
      <c r="FJ631" s="694"/>
      <c r="FK631" s="694"/>
      <c r="FL631" s="694"/>
      <c r="FM631" s="694"/>
      <c r="FN631" s="694"/>
      <c r="FO631" s="694"/>
      <c r="FP631" s="694"/>
      <c r="FQ631" s="697"/>
    </row>
    <row r="632" spans="1:177" s="696" customFormat="1">
      <c r="A632" s="690"/>
      <c r="B632" s="690"/>
      <c r="C632" s="691" t="s">
        <v>3637</v>
      </c>
      <c r="D632" s="691"/>
      <c r="E632" s="640">
        <v>35</v>
      </c>
      <c r="F632" s="692"/>
      <c r="G632" s="692"/>
      <c r="H632" s="692"/>
      <c r="I632" s="692"/>
      <c r="J632" s="692"/>
      <c r="K632" s="692"/>
      <c r="L632" s="692"/>
      <c r="M632" s="692"/>
      <c r="N632" s="692"/>
      <c r="O632" s="692"/>
      <c r="P632" s="692">
        <f t="shared" si="192"/>
        <v>35</v>
      </c>
      <c r="Q632" s="692"/>
      <c r="R632" s="693"/>
      <c r="S632" s="693"/>
      <c r="T632" s="692"/>
      <c r="U632" s="692" t="s">
        <v>2990</v>
      </c>
      <c r="V632" s="692"/>
      <c r="W632" s="692">
        <v>2</v>
      </c>
      <c r="X632" s="692"/>
      <c r="Y632" s="692"/>
      <c r="Z632" s="692"/>
      <c r="AA632" s="692"/>
      <c r="AB632" s="692"/>
      <c r="AC632" s="692"/>
      <c r="AD632" s="692"/>
      <c r="AE632" s="725">
        <v>1</v>
      </c>
      <c r="AF632" s="957"/>
      <c r="AG632" s="692"/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>
        <f t="shared" si="198"/>
        <v>1</v>
      </c>
      <c r="AX632" s="692"/>
      <c r="AY632" s="692"/>
      <c r="AZ632" s="692">
        <f t="shared" si="194"/>
        <v>2</v>
      </c>
      <c r="BA632" s="692"/>
      <c r="BB632" s="692"/>
      <c r="BC632" s="692"/>
      <c r="BD632" s="692"/>
      <c r="BE632" s="692"/>
      <c r="BF632" s="692">
        <v>1</v>
      </c>
      <c r="BG632" s="692"/>
      <c r="BH632" s="692"/>
      <c r="BI632" s="692"/>
      <c r="BJ632" s="692">
        <f t="shared" si="195"/>
        <v>5</v>
      </c>
      <c r="BK632" s="692"/>
      <c r="BL632" s="692"/>
      <c r="BM632" s="692"/>
      <c r="BN632" s="692"/>
      <c r="BO632" s="692"/>
      <c r="BP632" s="692"/>
      <c r="BQ632" s="692">
        <f t="shared" si="196"/>
        <v>0</v>
      </c>
      <c r="BR632" s="692"/>
      <c r="BS632" s="692"/>
      <c r="BT632" s="692">
        <f t="shared" si="197"/>
        <v>0</v>
      </c>
      <c r="BU632" s="692"/>
      <c r="BV632" s="692"/>
      <c r="BW632" s="692"/>
      <c r="BX632" s="692"/>
      <c r="BY632" s="692">
        <v>1</v>
      </c>
      <c r="BZ632" s="692"/>
      <c r="CA632" s="692"/>
      <c r="CB632" s="692">
        <v>1</v>
      </c>
      <c r="CC632" s="692"/>
      <c r="CD632" s="692">
        <f t="shared" si="199"/>
        <v>4</v>
      </c>
      <c r="CE632" s="692"/>
      <c r="CF632" s="692"/>
      <c r="CG632" s="692"/>
      <c r="CH632" s="692"/>
      <c r="CI632" s="692"/>
      <c r="CJ632" s="692"/>
      <c r="CK632" s="692"/>
      <c r="CL632" s="692"/>
      <c r="CM632" s="692"/>
      <c r="CN632" s="692"/>
      <c r="CO632" s="692"/>
      <c r="CP632" s="692"/>
      <c r="CQ632" s="692"/>
      <c r="CR632" s="692"/>
      <c r="CS632" s="692"/>
      <c r="CT632" s="692"/>
      <c r="CU632" s="692"/>
      <c r="CV632" s="692"/>
      <c r="CW632" s="692"/>
      <c r="CX632" s="694"/>
      <c r="CY632" s="694"/>
      <c r="CZ632" s="694"/>
      <c r="DA632" s="694"/>
      <c r="DB632" s="694"/>
      <c r="DC632" s="694"/>
      <c r="DD632" s="694"/>
      <c r="DE632" s="694"/>
      <c r="DF632" s="694"/>
      <c r="DG632" s="695"/>
      <c r="DH632" s="695"/>
      <c r="DI632" s="695"/>
      <c r="DJ632" s="695"/>
      <c r="DK632" s="695"/>
      <c r="DL632" s="695"/>
      <c r="DM632" s="695"/>
      <c r="DN632" s="695"/>
      <c r="DO632" s="695"/>
      <c r="DP632" s="695"/>
      <c r="DQ632" s="695"/>
      <c r="DR632" s="695"/>
      <c r="DS632" s="694"/>
      <c r="DT632" s="694"/>
      <c r="DU632" s="694"/>
      <c r="DV632" s="694"/>
      <c r="DW632" s="694"/>
      <c r="DX632" s="694"/>
      <c r="DY632" s="694"/>
      <c r="DZ632" s="694"/>
      <c r="EA632" s="694"/>
      <c r="EB632" s="694"/>
      <c r="EC632" s="694"/>
      <c r="ED632" s="694"/>
      <c r="EE632" s="694"/>
      <c r="EF632" s="694"/>
      <c r="EG632" s="694"/>
      <c r="EH632" s="694"/>
      <c r="EI632" s="694"/>
      <c r="EJ632" s="694"/>
      <c r="EK632" s="694"/>
      <c r="EL632" s="694"/>
      <c r="EM632" s="694"/>
      <c r="EN632" s="694"/>
      <c r="EO632" s="694"/>
      <c r="EP632" s="694"/>
      <c r="EQ632" s="694"/>
      <c r="ER632" s="694"/>
      <c r="ES632" s="694"/>
      <c r="ET632" s="694"/>
      <c r="EU632" s="694"/>
      <c r="EV632" s="694"/>
      <c r="EW632" s="694"/>
      <c r="EX632" s="694"/>
      <c r="EY632" s="694"/>
      <c r="EZ632" s="694"/>
      <c r="FA632" s="694"/>
      <c r="FB632" s="694"/>
      <c r="FC632" s="694"/>
      <c r="FD632" s="694"/>
      <c r="FE632" s="694"/>
      <c r="FF632" s="694"/>
      <c r="FG632" s="694"/>
      <c r="FH632" s="694"/>
      <c r="FI632" s="694"/>
      <c r="FJ632" s="694"/>
      <c r="FK632" s="694"/>
      <c r="FL632" s="694"/>
      <c r="FM632" s="694"/>
      <c r="FN632" s="694"/>
      <c r="FO632" s="694"/>
      <c r="FP632" s="694"/>
      <c r="FQ632" s="697"/>
    </row>
    <row r="633" spans="1:177" s="696" customFormat="1">
      <c r="A633" s="690"/>
      <c r="B633" s="690"/>
      <c r="C633" s="691" t="s">
        <v>3638</v>
      </c>
      <c r="D633" s="691"/>
      <c r="E633" s="640">
        <v>25</v>
      </c>
      <c r="F633" s="692"/>
      <c r="G633" s="692"/>
      <c r="H633" s="692"/>
      <c r="I633" s="692"/>
      <c r="J633" s="692"/>
      <c r="K633" s="692"/>
      <c r="L633" s="692"/>
      <c r="M633" s="692"/>
      <c r="N633" s="692"/>
      <c r="O633" s="692"/>
      <c r="P633" s="692">
        <f t="shared" si="192"/>
        <v>25</v>
      </c>
      <c r="Q633" s="692"/>
      <c r="R633" s="693"/>
      <c r="S633" s="693"/>
      <c r="T633" s="692"/>
      <c r="U633" s="692" t="s">
        <v>1903</v>
      </c>
      <c r="V633" s="692"/>
      <c r="W633" s="692">
        <v>2</v>
      </c>
      <c r="X633" s="692"/>
      <c r="Y633" s="692"/>
      <c r="Z633" s="692"/>
      <c r="AA633" s="692"/>
      <c r="AB633" s="692"/>
      <c r="AC633" s="692"/>
      <c r="AD633" s="692"/>
      <c r="AE633" s="725">
        <v>1</v>
      </c>
      <c r="AF633" s="957"/>
      <c r="AG633" s="692"/>
      <c r="AH633" s="692"/>
      <c r="AI633" s="692"/>
      <c r="AJ633" s="692"/>
      <c r="AK633" s="692"/>
      <c r="AL633" s="692"/>
      <c r="AM633" s="692"/>
      <c r="AN633" s="692"/>
      <c r="AO633" s="692"/>
      <c r="AP633" s="692"/>
      <c r="AQ633" s="692"/>
      <c r="AR633" s="692"/>
      <c r="AS633" s="692"/>
      <c r="AT633" s="692"/>
      <c r="AU633" s="692"/>
      <c r="AV633" s="692"/>
      <c r="AW633" s="692">
        <f t="shared" si="198"/>
        <v>1</v>
      </c>
      <c r="AX633" s="692"/>
      <c r="AY633" s="692"/>
      <c r="AZ633" s="692">
        <f t="shared" si="194"/>
        <v>2</v>
      </c>
      <c r="BA633" s="692"/>
      <c r="BB633" s="692"/>
      <c r="BC633" s="692"/>
      <c r="BD633" s="692"/>
      <c r="BE633" s="692"/>
      <c r="BF633" s="692">
        <v>1</v>
      </c>
      <c r="BG633" s="692"/>
      <c r="BH633" s="692"/>
      <c r="BI633" s="692"/>
      <c r="BJ633" s="692">
        <f t="shared" si="195"/>
        <v>5</v>
      </c>
      <c r="BK633" s="692"/>
      <c r="BL633" s="692"/>
      <c r="BM633" s="692"/>
      <c r="BN633" s="692"/>
      <c r="BO633" s="692"/>
      <c r="BP633" s="692"/>
      <c r="BQ633" s="692">
        <f t="shared" si="196"/>
        <v>1</v>
      </c>
      <c r="BR633" s="692"/>
      <c r="BS633" s="692"/>
      <c r="BT633" s="692">
        <f t="shared" si="197"/>
        <v>2</v>
      </c>
      <c r="BU633" s="692"/>
      <c r="BV633" s="692"/>
      <c r="BW633" s="692"/>
      <c r="BX633" s="692"/>
      <c r="BY633" s="692"/>
      <c r="BZ633" s="692"/>
      <c r="CA633" s="692"/>
      <c r="CB633" s="692">
        <v>1</v>
      </c>
      <c r="CC633" s="692"/>
      <c r="CD633" s="692">
        <f t="shared" si="199"/>
        <v>4</v>
      </c>
      <c r="CE633" s="692"/>
      <c r="CF633" s="692"/>
      <c r="CG633" s="692"/>
      <c r="CH633" s="692"/>
      <c r="CI633" s="692"/>
      <c r="CJ633" s="692"/>
      <c r="CK633" s="692"/>
      <c r="CL633" s="692"/>
      <c r="CM633" s="692"/>
      <c r="CN633" s="692"/>
      <c r="CO633" s="692"/>
      <c r="CP633" s="692"/>
      <c r="CQ633" s="692"/>
      <c r="CR633" s="692"/>
      <c r="CS633" s="692"/>
      <c r="CT633" s="692"/>
      <c r="CU633" s="692"/>
      <c r="CV633" s="692"/>
      <c r="CW633" s="692"/>
      <c r="CX633" s="694"/>
      <c r="CY633" s="694"/>
      <c r="CZ633" s="694"/>
      <c r="DA633" s="694"/>
      <c r="DB633" s="694"/>
      <c r="DC633" s="694"/>
      <c r="DD633" s="694"/>
      <c r="DE633" s="694"/>
      <c r="DF633" s="694"/>
      <c r="DG633" s="695"/>
      <c r="DH633" s="695"/>
      <c r="DI633" s="695"/>
      <c r="DJ633" s="695"/>
      <c r="DK633" s="695"/>
      <c r="DL633" s="695"/>
      <c r="DM633" s="695"/>
      <c r="DN633" s="695"/>
      <c r="DO633" s="695"/>
      <c r="DP633" s="695"/>
      <c r="DQ633" s="695"/>
      <c r="DR633" s="695"/>
      <c r="DS633" s="694"/>
      <c r="DT633" s="694"/>
      <c r="DU633" s="694"/>
      <c r="DV633" s="694"/>
      <c r="DW633" s="694"/>
      <c r="DX633" s="694"/>
      <c r="DY633" s="694"/>
      <c r="DZ633" s="694"/>
      <c r="EA633" s="694"/>
      <c r="EB633" s="694"/>
      <c r="EC633" s="694"/>
      <c r="ED633" s="694"/>
      <c r="EE633" s="694"/>
      <c r="EF633" s="694"/>
      <c r="EG633" s="694"/>
      <c r="EH633" s="694"/>
      <c r="EI633" s="694"/>
      <c r="EJ633" s="694"/>
      <c r="EK633" s="694"/>
      <c r="EL633" s="694"/>
      <c r="EM633" s="694"/>
      <c r="EN633" s="694"/>
      <c r="EO633" s="694"/>
      <c r="EP633" s="694"/>
      <c r="EQ633" s="694"/>
      <c r="ER633" s="694"/>
      <c r="ES633" s="694"/>
      <c r="ET633" s="694"/>
      <c r="EU633" s="694"/>
      <c r="EV633" s="694"/>
      <c r="EW633" s="694"/>
      <c r="EX633" s="694"/>
      <c r="EY633" s="694"/>
      <c r="EZ633" s="694"/>
      <c r="FA633" s="694"/>
      <c r="FB633" s="694"/>
      <c r="FC633" s="694"/>
      <c r="FD633" s="694"/>
      <c r="FE633" s="694"/>
      <c r="FF633" s="694"/>
      <c r="FG633" s="694"/>
      <c r="FH633" s="694"/>
      <c r="FI633" s="694"/>
      <c r="FJ633" s="694"/>
      <c r="FK633" s="694"/>
      <c r="FL633" s="694"/>
      <c r="FM633" s="694"/>
      <c r="FN633" s="694"/>
      <c r="FO633" s="694"/>
      <c r="FP633" s="694"/>
      <c r="FQ633" s="697"/>
    </row>
    <row r="634" spans="1:177" s="696" customFormat="1">
      <c r="A634" s="690"/>
      <c r="B634" s="690"/>
      <c r="C634" s="691" t="s">
        <v>3639</v>
      </c>
      <c r="D634" s="691"/>
      <c r="E634" s="640">
        <v>30</v>
      </c>
      <c r="F634" s="692"/>
      <c r="G634" s="692"/>
      <c r="H634" s="692"/>
      <c r="I634" s="692"/>
      <c r="J634" s="692"/>
      <c r="K634" s="692"/>
      <c r="L634" s="692"/>
      <c r="M634" s="692"/>
      <c r="N634" s="692"/>
      <c r="O634" s="692"/>
      <c r="P634" s="692">
        <f t="shared" si="192"/>
        <v>30</v>
      </c>
      <c r="Q634" s="692"/>
      <c r="R634" s="693"/>
      <c r="S634" s="693"/>
      <c r="T634" s="692"/>
      <c r="U634" s="692" t="s">
        <v>1631</v>
      </c>
      <c r="V634" s="692"/>
      <c r="W634" s="692">
        <v>1</v>
      </c>
      <c r="X634" s="692"/>
      <c r="Y634" s="692"/>
      <c r="Z634" s="692">
        <v>1</v>
      </c>
      <c r="AA634" s="692"/>
      <c r="AB634" s="692"/>
      <c r="AC634" s="692"/>
      <c r="AD634" s="692"/>
      <c r="AE634" s="725"/>
      <c r="AF634" s="957"/>
      <c r="AG634" s="692"/>
      <c r="AH634" s="692"/>
      <c r="AI634" s="692"/>
      <c r="AJ634" s="692"/>
      <c r="AK634" s="692"/>
      <c r="AL634" s="692"/>
      <c r="AM634" s="692"/>
      <c r="AN634" s="692"/>
      <c r="AO634" s="692"/>
      <c r="AP634" s="692"/>
      <c r="AQ634" s="692"/>
      <c r="AR634" s="692"/>
      <c r="AS634" s="692"/>
      <c r="AT634" s="692"/>
      <c r="AU634" s="692"/>
      <c r="AV634" s="692"/>
      <c r="AW634" s="692">
        <f t="shared" si="198"/>
        <v>0</v>
      </c>
      <c r="AX634" s="692"/>
      <c r="AY634" s="692"/>
      <c r="AZ634" s="692">
        <f t="shared" si="194"/>
        <v>0</v>
      </c>
      <c r="BA634" s="692"/>
      <c r="BB634" s="692"/>
      <c r="BC634" s="692"/>
      <c r="BD634" s="692">
        <v>1</v>
      </c>
      <c r="BE634" s="692"/>
      <c r="BF634" s="692"/>
      <c r="BG634" s="692"/>
      <c r="BH634" s="692"/>
      <c r="BI634" s="692"/>
      <c r="BJ634" s="692">
        <f t="shared" si="195"/>
        <v>0</v>
      </c>
      <c r="BK634" s="692"/>
      <c r="BL634" s="692"/>
      <c r="BM634" s="692"/>
      <c r="BN634" s="692"/>
      <c r="BO634" s="692"/>
      <c r="BP634" s="692"/>
      <c r="BQ634" s="692">
        <f t="shared" si="196"/>
        <v>0</v>
      </c>
      <c r="BR634" s="692"/>
      <c r="BS634" s="692"/>
      <c r="BT634" s="692">
        <f t="shared" si="197"/>
        <v>1</v>
      </c>
      <c r="BU634" s="692"/>
      <c r="BV634" s="692"/>
      <c r="BW634" s="692"/>
      <c r="BX634" s="692"/>
      <c r="BY634" s="692"/>
      <c r="BZ634" s="692"/>
      <c r="CA634" s="692"/>
      <c r="CB634" s="692"/>
      <c r="CC634" s="692"/>
      <c r="CD634" s="692">
        <f t="shared" si="199"/>
        <v>0</v>
      </c>
      <c r="CE634" s="692"/>
      <c r="CF634" s="692"/>
      <c r="CG634" s="692"/>
      <c r="CH634" s="692"/>
      <c r="CI634" s="692"/>
      <c r="CJ634" s="692"/>
      <c r="CK634" s="692"/>
      <c r="CL634" s="692"/>
      <c r="CM634" s="692"/>
      <c r="CN634" s="692"/>
      <c r="CO634" s="692"/>
      <c r="CP634" s="692"/>
      <c r="CQ634" s="692"/>
      <c r="CR634" s="692"/>
      <c r="CS634" s="692"/>
      <c r="CT634" s="692"/>
      <c r="CU634" s="692"/>
      <c r="CV634" s="692"/>
      <c r="CW634" s="692"/>
      <c r="CX634" s="694"/>
      <c r="CY634" s="694"/>
      <c r="CZ634" s="694"/>
      <c r="DA634" s="694"/>
      <c r="DB634" s="694"/>
      <c r="DC634" s="694"/>
      <c r="DD634" s="694"/>
      <c r="DE634" s="694"/>
      <c r="DF634" s="694"/>
      <c r="DG634" s="695"/>
      <c r="DH634" s="695"/>
      <c r="DI634" s="695"/>
      <c r="DJ634" s="695"/>
      <c r="DK634" s="695"/>
      <c r="DL634" s="695"/>
      <c r="DM634" s="695"/>
      <c r="DN634" s="695"/>
      <c r="DO634" s="695"/>
      <c r="DP634" s="695"/>
      <c r="DQ634" s="695"/>
      <c r="DR634" s="695"/>
      <c r="DS634" s="694"/>
      <c r="DT634" s="694"/>
      <c r="DU634" s="694"/>
      <c r="DV634" s="694"/>
      <c r="DW634" s="694"/>
      <c r="DX634" s="694"/>
      <c r="DY634" s="694"/>
      <c r="DZ634" s="694"/>
      <c r="EA634" s="694"/>
      <c r="EB634" s="694"/>
      <c r="EC634" s="694"/>
      <c r="ED634" s="694"/>
      <c r="EE634" s="694"/>
      <c r="EF634" s="694"/>
      <c r="EG634" s="694"/>
      <c r="EH634" s="694"/>
      <c r="EI634" s="694"/>
      <c r="EJ634" s="694"/>
      <c r="EK634" s="694"/>
      <c r="EL634" s="694"/>
      <c r="EM634" s="694"/>
      <c r="EN634" s="694"/>
      <c r="EO634" s="694"/>
      <c r="EP634" s="694"/>
      <c r="EQ634" s="694"/>
      <c r="ER634" s="694"/>
      <c r="ES634" s="694"/>
      <c r="ET634" s="694"/>
      <c r="EU634" s="694"/>
      <c r="EV634" s="694"/>
      <c r="EW634" s="694"/>
      <c r="EX634" s="694"/>
      <c r="EY634" s="694"/>
      <c r="EZ634" s="694"/>
      <c r="FA634" s="694"/>
      <c r="FB634" s="694"/>
      <c r="FC634" s="694"/>
      <c r="FD634" s="694"/>
      <c r="FE634" s="694"/>
      <c r="FF634" s="694"/>
      <c r="FG634" s="694"/>
      <c r="FH634" s="694"/>
      <c r="FI634" s="694"/>
      <c r="FJ634" s="694"/>
      <c r="FK634" s="694"/>
      <c r="FL634" s="694"/>
      <c r="FM634" s="694"/>
      <c r="FN634" s="694"/>
      <c r="FO634" s="694"/>
      <c r="FP634" s="694"/>
      <c r="FQ634" s="697"/>
    </row>
    <row r="635" spans="1:177" s="696" customFormat="1">
      <c r="A635" s="690"/>
      <c r="B635" s="690"/>
      <c r="C635" s="691" t="s">
        <v>3640</v>
      </c>
      <c r="D635" s="691"/>
      <c r="E635" s="640">
        <v>30</v>
      </c>
      <c r="F635" s="692"/>
      <c r="G635" s="692"/>
      <c r="H635" s="692"/>
      <c r="I635" s="692"/>
      <c r="J635" s="692"/>
      <c r="K635" s="692"/>
      <c r="L635" s="692"/>
      <c r="M635" s="692"/>
      <c r="N635" s="692"/>
      <c r="O635" s="692"/>
      <c r="P635" s="692">
        <f t="shared" si="192"/>
        <v>30</v>
      </c>
      <c r="Q635" s="692"/>
      <c r="R635" s="693"/>
      <c r="S635" s="693"/>
      <c r="T635" s="692"/>
      <c r="U635" s="692" t="s">
        <v>1631</v>
      </c>
      <c r="V635" s="692"/>
      <c r="W635" s="692">
        <v>1</v>
      </c>
      <c r="X635" s="692"/>
      <c r="Y635" s="692"/>
      <c r="Z635" s="692">
        <v>1</v>
      </c>
      <c r="AA635" s="692"/>
      <c r="AB635" s="692"/>
      <c r="AC635" s="692"/>
      <c r="AD635" s="692"/>
      <c r="AE635" s="725"/>
      <c r="AF635" s="957"/>
      <c r="AG635" s="692"/>
      <c r="AH635" s="692"/>
      <c r="AI635" s="692"/>
      <c r="AJ635" s="692"/>
      <c r="AK635" s="692"/>
      <c r="AL635" s="692"/>
      <c r="AM635" s="692"/>
      <c r="AN635" s="692"/>
      <c r="AO635" s="692"/>
      <c r="AP635" s="692"/>
      <c r="AQ635" s="692"/>
      <c r="AR635" s="692"/>
      <c r="AS635" s="692"/>
      <c r="AT635" s="692"/>
      <c r="AU635" s="692">
        <v>1</v>
      </c>
      <c r="AV635" s="692"/>
      <c r="AW635" s="692">
        <f t="shared" si="198"/>
        <v>1</v>
      </c>
      <c r="AX635" s="692"/>
      <c r="AY635" s="692"/>
      <c r="AZ635" s="692">
        <f t="shared" si="194"/>
        <v>2</v>
      </c>
      <c r="BA635" s="692"/>
      <c r="BB635" s="692"/>
      <c r="BC635" s="692"/>
      <c r="BD635" s="692">
        <v>1</v>
      </c>
      <c r="BE635" s="692"/>
      <c r="BF635" s="692"/>
      <c r="BG635" s="692"/>
      <c r="BH635" s="692"/>
      <c r="BI635" s="692"/>
      <c r="BJ635" s="692">
        <f t="shared" si="195"/>
        <v>7</v>
      </c>
      <c r="BK635" s="692"/>
      <c r="BL635" s="692"/>
      <c r="BM635" s="692"/>
      <c r="BN635" s="692"/>
      <c r="BO635" s="692"/>
      <c r="BP635" s="692"/>
      <c r="BQ635" s="692">
        <f t="shared" si="196"/>
        <v>0</v>
      </c>
      <c r="BR635" s="692"/>
      <c r="BS635" s="692"/>
      <c r="BT635" s="692">
        <f t="shared" si="197"/>
        <v>1</v>
      </c>
      <c r="BU635" s="692"/>
      <c r="BV635" s="692"/>
      <c r="BW635" s="692"/>
      <c r="BX635" s="692"/>
      <c r="BY635" s="692"/>
      <c r="BZ635" s="692"/>
      <c r="CA635" s="692"/>
      <c r="CB635" s="692">
        <v>1</v>
      </c>
      <c r="CC635" s="692"/>
      <c r="CD635" s="692">
        <f t="shared" si="199"/>
        <v>4</v>
      </c>
      <c r="CE635" s="692"/>
      <c r="CF635" s="692"/>
      <c r="CG635" s="692"/>
      <c r="CH635" s="692"/>
      <c r="CI635" s="692"/>
      <c r="CJ635" s="692"/>
      <c r="CK635" s="692"/>
      <c r="CL635" s="692"/>
      <c r="CM635" s="692"/>
      <c r="CN635" s="692"/>
      <c r="CO635" s="692"/>
      <c r="CP635" s="692"/>
      <c r="CQ635" s="692"/>
      <c r="CR635" s="692"/>
      <c r="CS635" s="692"/>
      <c r="CT635" s="692"/>
      <c r="CU635" s="692"/>
      <c r="CV635" s="692"/>
      <c r="CW635" s="692"/>
      <c r="CX635" s="694"/>
      <c r="CY635" s="694"/>
      <c r="CZ635" s="694"/>
      <c r="DA635" s="694"/>
      <c r="DB635" s="694"/>
      <c r="DC635" s="694"/>
      <c r="DD635" s="694"/>
      <c r="DE635" s="694"/>
      <c r="DF635" s="694"/>
      <c r="DG635" s="695"/>
      <c r="DH635" s="695"/>
      <c r="DI635" s="695"/>
      <c r="DJ635" s="695"/>
      <c r="DK635" s="695"/>
      <c r="DL635" s="695"/>
      <c r="DM635" s="695"/>
      <c r="DN635" s="695"/>
      <c r="DO635" s="695"/>
      <c r="DP635" s="695"/>
      <c r="DQ635" s="695"/>
      <c r="DR635" s="695"/>
      <c r="DS635" s="694"/>
      <c r="DT635" s="694"/>
      <c r="DU635" s="694"/>
      <c r="DV635" s="694"/>
      <c r="DW635" s="694"/>
      <c r="DX635" s="694"/>
      <c r="DY635" s="694"/>
      <c r="DZ635" s="694"/>
      <c r="EA635" s="694"/>
      <c r="EB635" s="694"/>
      <c r="EC635" s="694"/>
      <c r="ED635" s="694"/>
      <c r="EE635" s="694"/>
      <c r="EF635" s="694"/>
      <c r="EG635" s="694"/>
      <c r="EH635" s="694"/>
      <c r="EI635" s="694"/>
      <c r="EJ635" s="694"/>
      <c r="EK635" s="694"/>
      <c r="EL635" s="694"/>
      <c r="EM635" s="694"/>
      <c r="EN635" s="694"/>
      <c r="EO635" s="694"/>
      <c r="EP635" s="694"/>
      <c r="EQ635" s="694"/>
      <c r="ER635" s="694"/>
      <c r="ES635" s="694"/>
      <c r="ET635" s="694"/>
      <c r="EU635" s="694"/>
      <c r="EV635" s="694"/>
      <c r="EW635" s="694"/>
      <c r="EX635" s="694"/>
      <c r="EY635" s="694"/>
      <c r="EZ635" s="694"/>
      <c r="FA635" s="694"/>
      <c r="FB635" s="694"/>
      <c r="FC635" s="694"/>
      <c r="FD635" s="694"/>
      <c r="FE635" s="694"/>
      <c r="FF635" s="694"/>
      <c r="FG635" s="694"/>
      <c r="FH635" s="694"/>
      <c r="FI635" s="694"/>
      <c r="FJ635" s="694"/>
      <c r="FK635" s="694"/>
      <c r="FL635" s="694"/>
      <c r="FM635" s="694"/>
      <c r="FN635" s="694"/>
      <c r="FO635" s="694"/>
      <c r="FP635" s="694"/>
      <c r="FQ635" s="697"/>
    </row>
    <row r="636" spans="1:177" s="696" customFormat="1">
      <c r="A636" s="690"/>
      <c r="B636" s="690"/>
      <c r="C636" s="691" t="s">
        <v>3641</v>
      </c>
      <c r="D636" s="691"/>
      <c r="E636" s="640">
        <v>35</v>
      </c>
      <c r="F636" s="692"/>
      <c r="G636" s="692"/>
      <c r="H636" s="692"/>
      <c r="I636" s="692"/>
      <c r="J636" s="692"/>
      <c r="K636" s="692"/>
      <c r="L636" s="692"/>
      <c r="M636" s="692"/>
      <c r="N636" s="692"/>
      <c r="O636" s="692"/>
      <c r="P636" s="692">
        <f t="shared" si="192"/>
        <v>35</v>
      </c>
      <c r="Q636" s="692"/>
      <c r="R636" s="693"/>
      <c r="S636" s="693"/>
      <c r="T636" s="692"/>
      <c r="U636" s="692" t="s">
        <v>2990</v>
      </c>
      <c r="V636" s="692"/>
      <c r="W636" s="692">
        <v>2</v>
      </c>
      <c r="X636" s="692"/>
      <c r="Y636" s="692"/>
      <c r="Z636" s="692"/>
      <c r="AA636" s="692"/>
      <c r="AB636" s="692"/>
      <c r="AC636" s="692"/>
      <c r="AD636" s="692"/>
      <c r="AE636" s="725">
        <v>1</v>
      </c>
      <c r="AF636" s="957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>
        <f>CB636</f>
        <v>1</v>
      </c>
      <c r="AX636" s="692"/>
      <c r="AY636" s="692"/>
      <c r="AZ636" s="692">
        <f t="shared" si="194"/>
        <v>2</v>
      </c>
      <c r="BA636" s="692"/>
      <c r="BB636" s="692"/>
      <c r="BC636" s="692"/>
      <c r="BD636" s="692"/>
      <c r="BE636" s="692"/>
      <c r="BF636" s="692">
        <v>1</v>
      </c>
      <c r="BG636" s="692"/>
      <c r="BH636" s="692"/>
      <c r="BI636" s="692"/>
      <c r="BJ636" s="692">
        <f t="shared" si="195"/>
        <v>5</v>
      </c>
      <c r="BK636" s="692"/>
      <c r="BL636" s="692"/>
      <c r="BM636" s="692"/>
      <c r="BN636" s="692"/>
      <c r="BO636" s="692"/>
      <c r="BP636" s="692"/>
      <c r="BQ636" s="692">
        <f t="shared" si="196"/>
        <v>0</v>
      </c>
      <c r="BR636" s="692"/>
      <c r="BS636" s="692">
        <v>0</v>
      </c>
      <c r="BT636" s="692">
        <f t="shared" si="197"/>
        <v>0</v>
      </c>
      <c r="BU636" s="692"/>
      <c r="BV636" s="692"/>
      <c r="BW636" s="692"/>
      <c r="BX636" s="692"/>
      <c r="BY636" s="692">
        <v>1</v>
      </c>
      <c r="BZ636" s="692"/>
      <c r="CA636" s="692"/>
      <c r="CB636" s="692">
        <v>1</v>
      </c>
      <c r="CC636" s="692"/>
      <c r="CD636" s="692">
        <f t="shared" si="199"/>
        <v>4</v>
      </c>
      <c r="CE636" s="692"/>
      <c r="CF636" s="692"/>
      <c r="CG636" s="692"/>
      <c r="CH636" s="692"/>
      <c r="CI636" s="692"/>
      <c r="CJ636" s="692"/>
      <c r="CK636" s="692"/>
      <c r="CL636" s="692"/>
      <c r="CM636" s="692"/>
      <c r="CN636" s="692"/>
      <c r="CO636" s="692"/>
      <c r="CP636" s="692"/>
      <c r="CQ636" s="692"/>
      <c r="CR636" s="692"/>
      <c r="CS636" s="692"/>
      <c r="CT636" s="692"/>
      <c r="CU636" s="692"/>
      <c r="CV636" s="692"/>
      <c r="CW636" s="692"/>
      <c r="CX636" s="694"/>
      <c r="CY636" s="694"/>
      <c r="CZ636" s="694"/>
      <c r="DA636" s="694"/>
      <c r="DB636" s="694"/>
      <c r="DC636" s="694"/>
      <c r="DD636" s="694"/>
      <c r="DE636" s="694"/>
      <c r="DF636" s="694"/>
      <c r="DG636" s="695"/>
      <c r="DH636" s="695"/>
      <c r="DI636" s="695"/>
      <c r="DJ636" s="695"/>
      <c r="DK636" s="695"/>
      <c r="DL636" s="695"/>
      <c r="DM636" s="695"/>
      <c r="DN636" s="695"/>
      <c r="DO636" s="695"/>
      <c r="DP636" s="695"/>
      <c r="DQ636" s="695"/>
      <c r="DR636" s="695"/>
      <c r="DS636" s="694"/>
      <c r="DT636" s="694"/>
      <c r="DU636" s="694"/>
      <c r="DV636" s="694"/>
      <c r="DW636" s="694"/>
      <c r="DX636" s="694"/>
      <c r="DY636" s="694"/>
      <c r="DZ636" s="694"/>
      <c r="EA636" s="694"/>
      <c r="EB636" s="694"/>
      <c r="EC636" s="694"/>
      <c r="ED636" s="694"/>
      <c r="EE636" s="694"/>
      <c r="EF636" s="694"/>
      <c r="EG636" s="694"/>
      <c r="EH636" s="694"/>
      <c r="EI636" s="694"/>
      <c r="EJ636" s="694"/>
      <c r="EK636" s="694"/>
      <c r="EL636" s="694"/>
      <c r="EM636" s="694"/>
      <c r="EN636" s="694"/>
      <c r="EO636" s="694"/>
      <c r="EP636" s="694"/>
      <c r="EQ636" s="694"/>
      <c r="ER636" s="694"/>
      <c r="ES636" s="694"/>
      <c r="ET636" s="694"/>
      <c r="EU636" s="694"/>
      <c r="EV636" s="694"/>
      <c r="EW636" s="694"/>
      <c r="EX636" s="694"/>
      <c r="EY636" s="694"/>
      <c r="EZ636" s="694"/>
      <c r="FA636" s="694"/>
      <c r="FB636" s="694"/>
      <c r="FC636" s="694"/>
      <c r="FD636" s="694"/>
      <c r="FE636" s="694"/>
      <c r="FF636" s="694"/>
      <c r="FG636" s="694"/>
      <c r="FH636" s="694"/>
      <c r="FI636" s="694"/>
      <c r="FJ636" s="694"/>
      <c r="FK636" s="694"/>
      <c r="FL636" s="694"/>
      <c r="FM636" s="694"/>
      <c r="FN636" s="694"/>
      <c r="FO636" s="694"/>
      <c r="FP636" s="694"/>
      <c r="FQ636" s="697"/>
    </row>
    <row r="637" spans="1:177" s="696" customFormat="1">
      <c r="A637" s="690"/>
      <c r="B637" s="690"/>
      <c r="C637" s="691"/>
      <c r="D637" s="691"/>
      <c r="E637" s="692"/>
      <c r="F637" s="692"/>
      <c r="G637" s="692"/>
      <c r="H637" s="692"/>
      <c r="I637" s="692"/>
      <c r="J637" s="692"/>
      <c r="K637" s="692"/>
      <c r="L637" s="692"/>
      <c r="M637" s="692"/>
      <c r="N637" s="692"/>
      <c r="O637" s="692"/>
      <c r="P637" s="692"/>
      <c r="Q637" s="692"/>
      <c r="R637" s="693"/>
      <c r="S637" s="693"/>
      <c r="T637" s="692"/>
      <c r="U637" s="692"/>
      <c r="V637" s="692"/>
      <c r="W637" s="692"/>
      <c r="X637" s="692"/>
      <c r="Y637" s="692"/>
      <c r="Z637" s="692"/>
      <c r="AA637" s="692"/>
      <c r="AB637" s="692"/>
      <c r="AC637" s="692"/>
      <c r="AD637" s="692"/>
      <c r="AE637" s="725"/>
      <c r="AF637" s="957"/>
      <c r="AG637" s="692"/>
      <c r="AH637" s="692"/>
      <c r="AI637" s="692"/>
      <c r="AJ637" s="692"/>
      <c r="AK637" s="692"/>
      <c r="AL637" s="692"/>
      <c r="AM637" s="692"/>
      <c r="AN637" s="692"/>
      <c r="AO637" s="692"/>
      <c r="AP637" s="692"/>
      <c r="AQ637" s="692"/>
      <c r="AR637" s="692"/>
      <c r="AS637" s="692"/>
      <c r="AT637" s="692"/>
      <c r="AU637" s="692"/>
      <c r="AV637" s="692"/>
      <c r="AW637" s="692"/>
      <c r="AX637" s="692"/>
      <c r="AY637" s="692"/>
      <c r="AZ637" s="692"/>
      <c r="BA637" s="692"/>
      <c r="BB637" s="692"/>
      <c r="BC637" s="692"/>
      <c r="BD637" s="692"/>
      <c r="BE637" s="692"/>
      <c r="BF637" s="692"/>
      <c r="BG637" s="692"/>
      <c r="BH637" s="692"/>
      <c r="BI637" s="692"/>
      <c r="BJ637" s="692"/>
      <c r="BK637" s="692"/>
      <c r="BL637" s="692"/>
      <c r="BM637" s="692"/>
      <c r="BN637" s="692"/>
      <c r="BO637" s="692"/>
      <c r="BP637" s="692"/>
      <c r="BQ637" s="692"/>
      <c r="BR637" s="692"/>
      <c r="BS637" s="692"/>
      <c r="BT637" s="692">
        <f t="shared" si="197"/>
        <v>0</v>
      </c>
      <c r="BU637" s="692"/>
      <c r="BV637" s="692"/>
      <c r="BW637" s="692"/>
      <c r="BX637" s="692"/>
      <c r="BY637" s="692"/>
      <c r="BZ637" s="692"/>
      <c r="CA637" s="692"/>
      <c r="CB637" s="692"/>
      <c r="CC637" s="692"/>
      <c r="CD637" s="692"/>
      <c r="CE637" s="692"/>
      <c r="CF637" s="692"/>
      <c r="CG637" s="692"/>
      <c r="CH637" s="692"/>
      <c r="CI637" s="692"/>
      <c r="CJ637" s="692"/>
      <c r="CK637" s="692"/>
      <c r="CL637" s="692"/>
      <c r="CM637" s="692"/>
      <c r="CN637" s="692"/>
      <c r="CO637" s="692"/>
      <c r="CP637" s="692"/>
      <c r="CQ637" s="692"/>
      <c r="CR637" s="692"/>
      <c r="CS637" s="692"/>
      <c r="CT637" s="692"/>
      <c r="CU637" s="692"/>
      <c r="CV637" s="692"/>
      <c r="CW637" s="692"/>
      <c r="CX637" s="694"/>
      <c r="CY637" s="694"/>
      <c r="CZ637" s="694"/>
      <c r="DA637" s="694"/>
      <c r="DB637" s="694"/>
      <c r="DC637" s="694"/>
      <c r="DD637" s="694"/>
      <c r="DE637" s="694"/>
      <c r="DF637" s="694"/>
      <c r="DG637" s="695"/>
      <c r="DH637" s="695"/>
      <c r="DI637" s="695"/>
      <c r="DJ637" s="695"/>
      <c r="DK637" s="695"/>
      <c r="DL637" s="695"/>
      <c r="DM637" s="695"/>
      <c r="DN637" s="695"/>
      <c r="DO637" s="695"/>
      <c r="DP637" s="695"/>
      <c r="DQ637" s="695"/>
      <c r="DR637" s="695"/>
      <c r="DS637" s="694"/>
      <c r="DT637" s="694"/>
      <c r="DU637" s="694"/>
      <c r="DV637" s="694"/>
      <c r="DW637" s="694"/>
      <c r="DX637" s="694"/>
      <c r="DY637" s="694"/>
      <c r="DZ637" s="694"/>
      <c r="EA637" s="694"/>
      <c r="EB637" s="694"/>
      <c r="EC637" s="694"/>
      <c r="ED637" s="694"/>
      <c r="EE637" s="694"/>
      <c r="EF637" s="694"/>
      <c r="EG637" s="694"/>
      <c r="EH637" s="694"/>
      <c r="EI637" s="694"/>
      <c r="EJ637" s="694"/>
      <c r="EK637" s="694"/>
      <c r="EL637" s="694"/>
      <c r="EM637" s="694"/>
      <c r="EN637" s="694"/>
      <c r="EO637" s="694"/>
      <c r="EP637" s="694"/>
      <c r="EQ637" s="694"/>
      <c r="ER637" s="694"/>
      <c r="ES637" s="694"/>
      <c r="ET637" s="694"/>
      <c r="EU637" s="694"/>
      <c r="EV637" s="694"/>
      <c r="EW637" s="694"/>
      <c r="EX637" s="694"/>
      <c r="EY637" s="694"/>
      <c r="EZ637" s="694"/>
      <c r="FA637" s="694"/>
      <c r="FB637" s="694"/>
      <c r="FC637" s="694"/>
      <c r="FD637" s="694"/>
      <c r="FE637" s="694"/>
      <c r="FF637" s="694"/>
      <c r="FG637" s="694"/>
      <c r="FH637" s="694"/>
      <c r="FI637" s="694"/>
      <c r="FJ637" s="694"/>
      <c r="FK637" s="694"/>
      <c r="FL637" s="694"/>
      <c r="FM637" s="694"/>
      <c r="FN637" s="694"/>
      <c r="FO637" s="694"/>
      <c r="FP637" s="694"/>
      <c r="FQ637" s="697"/>
    </row>
    <row r="638" spans="1:177" s="4" customFormat="1">
      <c r="A638" s="486">
        <f>MATCH(C638,$C$5:$C$700,0)</f>
        <v>568</v>
      </c>
      <c r="B638" s="56"/>
      <c r="C638" s="507" t="s">
        <v>3080</v>
      </c>
      <c r="D638" s="507"/>
      <c r="E638" s="508">
        <f t="shared" ref="E638:AK638" si="200">SUM(E574:E637)</f>
        <v>2150.6000000000004</v>
      </c>
      <c r="F638" s="508">
        <f t="shared" si="200"/>
        <v>0</v>
      </c>
      <c r="G638" s="508">
        <f t="shared" si="200"/>
        <v>0</v>
      </c>
      <c r="H638" s="508">
        <f t="shared" si="200"/>
        <v>0</v>
      </c>
      <c r="I638" s="508">
        <f t="shared" si="200"/>
        <v>894.60000000000014</v>
      </c>
      <c r="J638" s="508">
        <f t="shared" si="200"/>
        <v>0</v>
      </c>
      <c r="K638" s="508">
        <f t="shared" si="200"/>
        <v>0</v>
      </c>
      <c r="L638" s="508">
        <f t="shared" si="200"/>
        <v>0</v>
      </c>
      <c r="M638" s="508">
        <f t="shared" si="200"/>
        <v>0</v>
      </c>
      <c r="N638" s="508">
        <f t="shared" si="200"/>
        <v>0</v>
      </c>
      <c r="O638" s="508">
        <f t="shared" si="200"/>
        <v>0</v>
      </c>
      <c r="P638" s="508">
        <f t="shared" si="200"/>
        <v>1256</v>
      </c>
      <c r="Q638" s="508">
        <f t="shared" si="200"/>
        <v>0</v>
      </c>
      <c r="R638" s="508">
        <f t="shared" si="200"/>
        <v>0</v>
      </c>
      <c r="S638" s="508">
        <f t="shared" si="200"/>
        <v>0</v>
      </c>
      <c r="T638" s="509">
        <f t="shared" si="200"/>
        <v>0</v>
      </c>
      <c r="U638" s="509">
        <f t="shared" si="200"/>
        <v>0</v>
      </c>
      <c r="V638" s="509">
        <f t="shared" si="200"/>
        <v>0</v>
      </c>
      <c r="W638" s="509">
        <f t="shared" si="200"/>
        <v>53</v>
      </c>
      <c r="X638" s="509">
        <f t="shared" si="200"/>
        <v>0</v>
      </c>
      <c r="Y638" s="509">
        <f t="shared" si="200"/>
        <v>0</v>
      </c>
      <c r="Z638" s="509">
        <f t="shared" si="200"/>
        <v>19</v>
      </c>
      <c r="AA638" s="509">
        <f t="shared" si="200"/>
        <v>0</v>
      </c>
      <c r="AB638" s="509">
        <f t="shared" si="200"/>
        <v>0</v>
      </c>
      <c r="AC638" s="509">
        <f t="shared" si="200"/>
        <v>0</v>
      </c>
      <c r="AD638" s="509">
        <f t="shared" si="200"/>
        <v>0</v>
      </c>
      <c r="AE638" s="511">
        <f t="shared" si="200"/>
        <v>17</v>
      </c>
      <c r="AF638" s="958">
        <f t="shared" si="200"/>
        <v>0</v>
      </c>
      <c r="AG638" s="509">
        <f t="shared" si="200"/>
        <v>0</v>
      </c>
      <c r="AH638" s="509">
        <f t="shared" si="200"/>
        <v>0</v>
      </c>
      <c r="AI638" s="509">
        <f t="shared" si="200"/>
        <v>0</v>
      </c>
      <c r="AJ638" s="509">
        <f t="shared" si="200"/>
        <v>0</v>
      </c>
      <c r="AK638" s="509">
        <f t="shared" si="200"/>
        <v>0</v>
      </c>
      <c r="AL638" s="509">
        <f t="shared" ref="AL638:BQ638" si="201">SUM(AL574:AL637)</f>
        <v>0</v>
      </c>
      <c r="AM638" s="509">
        <f t="shared" si="201"/>
        <v>0</v>
      </c>
      <c r="AN638" s="509">
        <f t="shared" si="201"/>
        <v>0</v>
      </c>
      <c r="AO638" s="509">
        <f t="shared" si="201"/>
        <v>0</v>
      </c>
      <c r="AP638" s="509">
        <f t="shared" si="201"/>
        <v>0</v>
      </c>
      <c r="AQ638" s="509">
        <f t="shared" si="201"/>
        <v>0</v>
      </c>
      <c r="AR638" s="509">
        <f t="shared" si="201"/>
        <v>0</v>
      </c>
      <c r="AS638" s="509">
        <f t="shared" si="201"/>
        <v>0</v>
      </c>
      <c r="AT638" s="509">
        <f t="shared" si="201"/>
        <v>0</v>
      </c>
      <c r="AU638" s="509">
        <f t="shared" si="201"/>
        <v>13</v>
      </c>
      <c r="AV638" s="509">
        <f t="shared" si="201"/>
        <v>0</v>
      </c>
      <c r="AW638" s="509">
        <f t="shared" si="201"/>
        <v>39</v>
      </c>
      <c r="AX638" s="509">
        <f t="shared" si="201"/>
        <v>0</v>
      </c>
      <c r="AY638" s="509">
        <f t="shared" si="201"/>
        <v>0</v>
      </c>
      <c r="AZ638" s="509">
        <f t="shared" si="201"/>
        <v>40</v>
      </c>
      <c r="BA638" s="509">
        <f t="shared" si="201"/>
        <v>0</v>
      </c>
      <c r="BB638" s="509">
        <f t="shared" si="201"/>
        <v>0</v>
      </c>
      <c r="BC638" s="509">
        <f t="shared" si="201"/>
        <v>0</v>
      </c>
      <c r="BD638" s="509">
        <f t="shared" si="201"/>
        <v>37</v>
      </c>
      <c r="BE638" s="509">
        <f t="shared" si="201"/>
        <v>8</v>
      </c>
      <c r="BF638" s="509">
        <f t="shared" si="201"/>
        <v>19</v>
      </c>
      <c r="BG638" s="509">
        <f t="shared" si="201"/>
        <v>0</v>
      </c>
      <c r="BH638" s="509">
        <f t="shared" si="201"/>
        <v>0</v>
      </c>
      <c r="BI638" s="509">
        <f t="shared" si="201"/>
        <v>0</v>
      </c>
      <c r="BJ638" s="509">
        <f t="shared" si="201"/>
        <v>118</v>
      </c>
      <c r="BK638" s="509">
        <f t="shared" si="201"/>
        <v>0</v>
      </c>
      <c r="BL638" s="509">
        <f t="shared" si="201"/>
        <v>0</v>
      </c>
      <c r="BM638" s="509">
        <f t="shared" si="201"/>
        <v>0</v>
      </c>
      <c r="BN638" s="509">
        <f t="shared" si="201"/>
        <v>0</v>
      </c>
      <c r="BO638" s="509">
        <f t="shared" si="201"/>
        <v>0</v>
      </c>
      <c r="BP638" s="509">
        <f t="shared" si="201"/>
        <v>0</v>
      </c>
      <c r="BQ638" s="509">
        <f t="shared" si="201"/>
        <v>5</v>
      </c>
      <c r="BR638" s="509">
        <f t="shared" ref="BR638:CW638" si="202">SUM(BR574:BR637)</f>
        <v>0</v>
      </c>
      <c r="BS638" s="509">
        <f t="shared" si="202"/>
        <v>0</v>
      </c>
      <c r="BT638" s="509">
        <f t="shared" si="202"/>
        <v>30</v>
      </c>
      <c r="BU638" s="509">
        <f t="shared" si="202"/>
        <v>0</v>
      </c>
      <c r="BV638" s="509">
        <f t="shared" si="202"/>
        <v>10</v>
      </c>
      <c r="BW638" s="509">
        <f t="shared" si="202"/>
        <v>0</v>
      </c>
      <c r="BX638" s="509">
        <f t="shared" si="202"/>
        <v>0</v>
      </c>
      <c r="BY638" s="509">
        <f t="shared" si="202"/>
        <v>30</v>
      </c>
      <c r="BZ638" s="509">
        <f t="shared" si="202"/>
        <v>0</v>
      </c>
      <c r="CA638" s="509">
        <f t="shared" si="202"/>
        <v>0</v>
      </c>
      <c r="CB638" s="509">
        <f t="shared" si="202"/>
        <v>20</v>
      </c>
      <c r="CC638" s="509">
        <f t="shared" si="202"/>
        <v>0</v>
      </c>
      <c r="CD638" s="509">
        <f t="shared" si="202"/>
        <v>102</v>
      </c>
      <c r="CE638" s="509">
        <f t="shared" si="202"/>
        <v>9</v>
      </c>
      <c r="CF638" s="509">
        <f t="shared" si="202"/>
        <v>3</v>
      </c>
      <c r="CG638" s="509">
        <f t="shared" si="202"/>
        <v>18</v>
      </c>
      <c r="CH638" s="509">
        <f t="shared" si="202"/>
        <v>6</v>
      </c>
      <c r="CI638" s="509">
        <f t="shared" si="202"/>
        <v>2</v>
      </c>
      <c r="CJ638" s="509">
        <f t="shared" si="202"/>
        <v>18</v>
      </c>
      <c r="CK638" s="509">
        <f t="shared" si="202"/>
        <v>0</v>
      </c>
      <c r="CL638" s="509">
        <f t="shared" si="202"/>
        <v>52</v>
      </c>
      <c r="CM638" s="509">
        <f t="shared" si="202"/>
        <v>0</v>
      </c>
      <c r="CN638" s="509">
        <f t="shared" si="202"/>
        <v>16</v>
      </c>
      <c r="CO638" s="509">
        <f t="shared" si="202"/>
        <v>8</v>
      </c>
      <c r="CP638" s="509">
        <f t="shared" si="202"/>
        <v>0</v>
      </c>
      <c r="CQ638" s="509">
        <f t="shared" si="202"/>
        <v>0</v>
      </c>
      <c r="CR638" s="509">
        <f t="shared" si="202"/>
        <v>0</v>
      </c>
      <c r="CS638" s="509">
        <f t="shared" si="202"/>
        <v>0</v>
      </c>
      <c r="CT638" s="509">
        <f t="shared" si="202"/>
        <v>0</v>
      </c>
      <c r="CU638" s="509">
        <f t="shared" si="202"/>
        <v>3</v>
      </c>
      <c r="CV638" s="509">
        <f t="shared" si="202"/>
        <v>1</v>
      </c>
      <c r="CW638" s="509">
        <f t="shared" si="202"/>
        <v>0</v>
      </c>
      <c r="CX638" s="509">
        <f t="shared" ref="CX638:ED638" si="203">SUM(CX574:CX637)</f>
        <v>0</v>
      </c>
      <c r="CY638" s="509">
        <f t="shared" ref="CY638" si="204">SUM(CY574:CY637)</f>
        <v>0</v>
      </c>
      <c r="CZ638" s="509">
        <f t="shared" si="203"/>
        <v>0</v>
      </c>
      <c r="DA638" s="509">
        <f t="shared" si="203"/>
        <v>22</v>
      </c>
      <c r="DB638" s="509">
        <f t="shared" si="203"/>
        <v>0</v>
      </c>
      <c r="DC638" s="509">
        <f t="shared" si="203"/>
        <v>0</v>
      </c>
      <c r="DD638" s="509">
        <f t="shared" si="203"/>
        <v>0</v>
      </c>
      <c r="DE638" s="509">
        <f t="shared" si="203"/>
        <v>0</v>
      </c>
      <c r="DF638" s="509">
        <f t="shared" si="203"/>
        <v>0</v>
      </c>
      <c r="DG638" s="518">
        <f t="shared" si="203"/>
        <v>0</v>
      </c>
      <c r="DH638" s="518">
        <f t="shared" si="203"/>
        <v>0</v>
      </c>
      <c r="DI638" s="518">
        <f t="shared" si="203"/>
        <v>0</v>
      </c>
      <c r="DJ638" s="518">
        <f t="shared" si="203"/>
        <v>0</v>
      </c>
      <c r="DK638" s="518">
        <f t="shared" si="203"/>
        <v>0</v>
      </c>
      <c r="DL638" s="518">
        <f t="shared" si="203"/>
        <v>0</v>
      </c>
      <c r="DM638" s="518">
        <f t="shared" si="203"/>
        <v>0</v>
      </c>
      <c r="DN638" s="518">
        <f t="shared" si="203"/>
        <v>0</v>
      </c>
      <c r="DO638" s="518">
        <f t="shared" si="203"/>
        <v>0</v>
      </c>
      <c r="DP638" s="518">
        <f t="shared" si="203"/>
        <v>0</v>
      </c>
      <c r="DQ638" s="518">
        <f t="shared" si="203"/>
        <v>0</v>
      </c>
      <c r="DR638" s="518">
        <f t="shared" si="203"/>
        <v>0</v>
      </c>
      <c r="DS638" s="509">
        <f t="shared" si="203"/>
        <v>0</v>
      </c>
      <c r="DT638" s="509">
        <f t="shared" si="203"/>
        <v>0</v>
      </c>
      <c r="DU638" s="509">
        <f t="shared" si="203"/>
        <v>0</v>
      </c>
      <c r="DV638" s="509">
        <f t="shared" si="203"/>
        <v>0</v>
      </c>
      <c r="DW638" s="509">
        <f t="shared" si="203"/>
        <v>0</v>
      </c>
      <c r="DX638" s="509">
        <f t="shared" si="203"/>
        <v>0</v>
      </c>
      <c r="DY638" s="509">
        <f t="shared" si="203"/>
        <v>0</v>
      </c>
      <c r="DZ638" s="509">
        <f t="shared" si="203"/>
        <v>0</v>
      </c>
      <c r="EA638" s="509">
        <f t="shared" si="203"/>
        <v>0</v>
      </c>
      <c r="EB638" s="509">
        <f t="shared" si="203"/>
        <v>0</v>
      </c>
      <c r="EC638" s="509">
        <f t="shared" si="203"/>
        <v>0</v>
      </c>
      <c r="ED638" s="509">
        <f t="shared" si="203"/>
        <v>0</v>
      </c>
      <c r="EE638" s="509">
        <f t="shared" ref="EE638:FJ638" si="205">SUM(EE574:EE637)</f>
        <v>0</v>
      </c>
      <c r="EF638" s="509">
        <f t="shared" si="205"/>
        <v>0</v>
      </c>
      <c r="EG638" s="509">
        <f t="shared" si="205"/>
        <v>0</v>
      </c>
      <c r="EH638" s="509">
        <f t="shared" si="205"/>
        <v>0</v>
      </c>
      <c r="EI638" s="509">
        <f t="shared" si="205"/>
        <v>0</v>
      </c>
      <c r="EJ638" s="509">
        <f t="shared" si="205"/>
        <v>0</v>
      </c>
      <c r="EK638" s="509">
        <f t="shared" si="205"/>
        <v>0</v>
      </c>
      <c r="EL638" s="509">
        <f t="shared" si="205"/>
        <v>0</v>
      </c>
      <c r="EM638" s="509">
        <f t="shared" si="205"/>
        <v>0</v>
      </c>
      <c r="EN638" s="509">
        <f t="shared" si="205"/>
        <v>0</v>
      </c>
      <c r="EO638" s="509">
        <f t="shared" si="205"/>
        <v>0</v>
      </c>
      <c r="EP638" s="509">
        <f t="shared" si="205"/>
        <v>0</v>
      </c>
      <c r="EQ638" s="509">
        <f t="shared" si="205"/>
        <v>0</v>
      </c>
      <c r="ER638" s="509">
        <f t="shared" si="205"/>
        <v>0</v>
      </c>
      <c r="ES638" s="509">
        <f t="shared" si="205"/>
        <v>0</v>
      </c>
      <c r="ET638" s="509">
        <f t="shared" si="205"/>
        <v>0</v>
      </c>
      <c r="EU638" s="509">
        <f t="shared" si="205"/>
        <v>0</v>
      </c>
      <c r="EV638" s="509">
        <f t="shared" si="205"/>
        <v>0</v>
      </c>
      <c r="EW638" s="509">
        <f t="shared" si="205"/>
        <v>0</v>
      </c>
      <c r="EX638" s="509">
        <f t="shared" si="205"/>
        <v>0</v>
      </c>
      <c r="EY638" s="509">
        <f t="shared" si="205"/>
        <v>0</v>
      </c>
      <c r="EZ638" s="509">
        <f t="shared" si="205"/>
        <v>0</v>
      </c>
      <c r="FA638" s="509">
        <f t="shared" si="205"/>
        <v>0</v>
      </c>
      <c r="FB638" s="509">
        <f t="shared" si="205"/>
        <v>0</v>
      </c>
      <c r="FC638" s="509">
        <f t="shared" si="205"/>
        <v>0</v>
      </c>
      <c r="FD638" s="509">
        <f t="shared" si="205"/>
        <v>0</v>
      </c>
      <c r="FE638" s="509">
        <f t="shared" si="205"/>
        <v>0</v>
      </c>
      <c r="FF638" s="509">
        <f t="shared" si="205"/>
        <v>0</v>
      </c>
      <c r="FG638" s="509">
        <f t="shared" si="205"/>
        <v>0</v>
      </c>
      <c r="FH638" s="509">
        <f t="shared" si="205"/>
        <v>0</v>
      </c>
      <c r="FI638" s="509">
        <f t="shared" si="205"/>
        <v>0</v>
      </c>
      <c r="FJ638" s="509">
        <f t="shared" si="205"/>
        <v>0</v>
      </c>
      <c r="FK638" s="509">
        <f t="shared" ref="FK638:FO638" si="206">SUM(FK574:FK637)</f>
        <v>0</v>
      </c>
      <c r="FL638" s="509">
        <f t="shared" si="206"/>
        <v>0</v>
      </c>
      <c r="FM638" s="509">
        <f t="shared" si="206"/>
        <v>0</v>
      </c>
      <c r="FN638" s="509">
        <f t="shared" si="206"/>
        <v>0</v>
      </c>
      <c r="FO638" s="509">
        <f t="shared" si="206"/>
        <v>0</v>
      </c>
      <c r="FP638" s="509"/>
      <c r="FQ638" s="508"/>
      <c r="FU638" s="4">
        <f>DY638-FM638</f>
        <v>0</v>
      </c>
    </row>
    <row r="639" spans="1:177" s="4" customFormat="1">
      <c r="A639" s="56"/>
      <c r="B639" s="56">
        <v>11</v>
      </c>
      <c r="C639" s="501" t="s">
        <v>3888</v>
      </c>
      <c r="D639" s="502"/>
      <c r="E639" s="503"/>
      <c r="F639" s="503"/>
      <c r="G639" s="503"/>
      <c r="H639" s="503"/>
      <c r="I639" s="503"/>
      <c r="J639" s="503"/>
      <c r="K639" s="503"/>
      <c r="L639" s="503"/>
      <c r="M639" s="503"/>
      <c r="N639" s="503"/>
      <c r="O639" s="503"/>
      <c r="P639" s="503"/>
      <c r="Q639" s="503"/>
      <c r="R639" s="503"/>
      <c r="S639" s="503"/>
      <c r="T639" s="504"/>
      <c r="U639" s="504"/>
      <c r="V639" s="504"/>
      <c r="W639" s="504"/>
      <c r="X639" s="504"/>
      <c r="Y639" s="504"/>
      <c r="Z639" s="504"/>
      <c r="AA639" s="504"/>
      <c r="AB639" s="504"/>
      <c r="AC639" s="504"/>
      <c r="AD639" s="504"/>
      <c r="AE639" s="954"/>
      <c r="AF639" s="959"/>
      <c r="AG639" s="504"/>
      <c r="AH639" s="504"/>
      <c r="AI639" s="504"/>
      <c r="AJ639" s="504"/>
      <c r="AK639" s="504"/>
      <c r="AL639" s="504"/>
      <c r="AM639" s="504"/>
      <c r="AN639" s="504"/>
      <c r="AO639" s="504"/>
      <c r="AP639" s="504"/>
      <c r="AQ639" s="504"/>
      <c r="AR639" s="504"/>
      <c r="AS639" s="504"/>
      <c r="AT639" s="504"/>
      <c r="AU639" s="504"/>
      <c r="AV639" s="504"/>
      <c r="AW639" s="504"/>
      <c r="AX639" s="504"/>
      <c r="AY639" s="504"/>
      <c r="AZ639" s="504"/>
      <c r="BA639" s="504"/>
      <c r="BB639" s="504"/>
      <c r="BC639" s="504"/>
      <c r="BD639" s="504"/>
      <c r="BE639" s="504"/>
      <c r="BF639" s="504"/>
      <c r="BG639" s="504"/>
      <c r="BH639" s="504"/>
      <c r="BI639" s="504"/>
      <c r="BJ639" s="504"/>
      <c r="BK639" s="504"/>
      <c r="BL639" s="504"/>
      <c r="BM639" s="504"/>
      <c r="BN639" s="504"/>
      <c r="BO639" s="504"/>
      <c r="BP639" s="504"/>
      <c r="BQ639" s="504"/>
      <c r="BR639" s="504"/>
      <c r="BS639" s="504"/>
      <c r="BT639" s="504"/>
      <c r="BU639" s="504"/>
      <c r="BV639" s="504"/>
      <c r="BW639" s="504"/>
      <c r="BX639" s="504"/>
      <c r="BY639" s="504"/>
      <c r="BZ639" s="504"/>
      <c r="CA639" s="504"/>
      <c r="CB639" s="504"/>
      <c r="CC639" s="504"/>
      <c r="CD639" s="504"/>
      <c r="CE639" s="504"/>
      <c r="CF639" s="504"/>
      <c r="CG639" s="504"/>
      <c r="CH639" s="504"/>
      <c r="CI639" s="504"/>
      <c r="CJ639" s="504"/>
      <c r="CK639" s="504"/>
      <c r="CL639" s="504"/>
      <c r="CM639" s="504"/>
      <c r="CN639" s="504"/>
      <c r="CO639" s="504"/>
      <c r="CP639" s="504"/>
      <c r="CQ639" s="504"/>
      <c r="CR639" s="504"/>
      <c r="CS639" s="504"/>
      <c r="CT639" s="504"/>
      <c r="CU639" s="504"/>
      <c r="CV639" s="504"/>
      <c r="CW639" s="504"/>
      <c r="CX639" s="504"/>
      <c r="CY639" s="504"/>
      <c r="CZ639" s="504"/>
      <c r="DA639" s="504"/>
      <c r="DB639" s="504"/>
      <c r="DC639" s="504"/>
      <c r="DD639" s="504"/>
      <c r="DE639" s="504"/>
      <c r="DF639" s="504"/>
      <c r="DG639" s="519"/>
      <c r="DH639" s="519"/>
      <c r="DI639" s="519"/>
      <c r="DJ639" s="519"/>
      <c r="DK639" s="519"/>
      <c r="DL639" s="519"/>
      <c r="DM639" s="519"/>
      <c r="DN639" s="519"/>
      <c r="DO639" s="519"/>
      <c r="DP639" s="519"/>
      <c r="DQ639" s="519"/>
      <c r="DR639" s="519"/>
      <c r="DS639" s="504"/>
      <c r="DT639" s="504"/>
      <c r="DU639" s="504"/>
      <c r="DV639" s="504"/>
      <c r="DW639" s="504"/>
      <c r="DX639" s="504"/>
      <c r="DY639" s="504"/>
      <c r="DZ639" s="504"/>
      <c r="EA639" s="504"/>
      <c r="EB639" s="504"/>
      <c r="EC639" s="504"/>
      <c r="ED639" s="504"/>
      <c r="EE639" s="504"/>
      <c r="EF639" s="504"/>
      <c r="EG639" s="504"/>
      <c r="EH639" s="504"/>
      <c r="EI639" s="504"/>
      <c r="EJ639" s="504"/>
      <c r="EK639" s="504"/>
      <c r="EL639" s="504"/>
      <c r="EM639" s="504"/>
      <c r="EN639" s="504"/>
      <c r="EO639" s="504"/>
      <c r="EP639" s="504"/>
      <c r="EQ639" s="504"/>
      <c r="ER639" s="504"/>
      <c r="ES639" s="504"/>
      <c r="ET639" s="504"/>
      <c r="EU639" s="504"/>
      <c r="EV639" s="504"/>
      <c r="EW639" s="504"/>
      <c r="EX639" s="504"/>
      <c r="EY639" s="504"/>
      <c r="EZ639" s="504"/>
      <c r="FA639" s="504"/>
      <c r="FB639" s="504"/>
      <c r="FC639" s="504"/>
      <c r="FD639" s="504"/>
      <c r="FE639" s="504"/>
      <c r="FF639" s="504"/>
      <c r="FG639" s="504"/>
      <c r="FH639" s="504"/>
      <c r="FI639" s="504"/>
      <c r="FJ639" s="504"/>
      <c r="FK639" s="504"/>
      <c r="FL639" s="504"/>
      <c r="FM639" s="504"/>
      <c r="FN639" s="504"/>
      <c r="FO639" s="504"/>
      <c r="FP639" s="504"/>
      <c r="FQ639" s="505"/>
      <c r="FU639" s="4">
        <f>DY639-FM639</f>
        <v>0</v>
      </c>
    </row>
    <row r="640" spans="1:177" s="696" customFormat="1">
      <c r="A640" s="690"/>
      <c r="B640" s="690"/>
      <c r="C640" s="691"/>
      <c r="D640" s="691" t="s">
        <v>3736</v>
      </c>
      <c r="E640" s="692"/>
      <c r="F640" s="692"/>
      <c r="G640" s="692"/>
      <c r="H640" s="692"/>
      <c r="I640" s="692"/>
      <c r="J640" s="692"/>
      <c r="K640" s="692"/>
      <c r="L640" s="692"/>
      <c r="M640" s="692"/>
      <c r="N640" s="692"/>
      <c r="O640" s="692"/>
      <c r="P640" s="692"/>
      <c r="Q640" s="692"/>
      <c r="R640" s="693"/>
      <c r="S640" s="693"/>
      <c r="T640" s="692"/>
      <c r="U640" s="692" t="s">
        <v>3718</v>
      </c>
      <c r="V640" s="692"/>
      <c r="W640" s="692"/>
      <c r="X640" s="692"/>
      <c r="Y640" s="692"/>
      <c r="Z640" s="692"/>
      <c r="AA640" s="692"/>
      <c r="AB640" s="692"/>
      <c r="AC640" s="692"/>
      <c r="AD640" s="692"/>
      <c r="AE640" s="725"/>
      <c r="AF640" s="957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/>
      <c r="BJ640" s="692"/>
      <c r="BK640" s="692"/>
      <c r="BL640" s="692"/>
      <c r="BM640" s="692"/>
      <c r="BN640" s="692"/>
      <c r="BO640" s="692"/>
      <c r="BP640" s="692"/>
      <c r="BQ640" s="692"/>
      <c r="BR640" s="692"/>
      <c r="BS640" s="692"/>
      <c r="BT640" s="692"/>
      <c r="BU640" s="692"/>
      <c r="BV640" s="692"/>
      <c r="BW640" s="692"/>
      <c r="BX640" s="692"/>
      <c r="BY640" s="692"/>
      <c r="BZ640" s="692"/>
      <c r="CA640" s="692"/>
      <c r="CB640" s="692"/>
      <c r="CC640" s="692"/>
      <c r="CD640" s="692"/>
      <c r="CE640" s="692"/>
      <c r="CF640" s="692"/>
      <c r="CG640" s="692"/>
      <c r="CH640" s="692"/>
      <c r="CI640" s="692"/>
      <c r="CJ640" s="692">
        <v>8</v>
      </c>
      <c r="CK640" s="692"/>
      <c r="CL640" s="692"/>
      <c r="CM640" s="692"/>
      <c r="CN640" s="692">
        <v>8</v>
      </c>
      <c r="CO640" s="692"/>
      <c r="CP640" s="692"/>
      <c r="CQ640" s="692"/>
      <c r="CR640" s="692"/>
      <c r="CS640" s="692"/>
      <c r="CT640" s="692"/>
      <c r="CU640" s="692"/>
      <c r="CV640" s="692"/>
      <c r="CW640" s="692"/>
      <c r="CX640" s="694"/>
      <c r="CY640" s="694"/>
      <c r="CZ640" s="694"/>
      <c r="DA640" s="694"/>
      <c r="DB640" s="694"/>
      <c r="DC640" s="694"/>
      <c r="DD640" s="694"/>
      <c r="DE640" s="694"/>
      <c r="DF640" s="694"/>
      <c r="DG640" s="695"/>
      <c r="DH640" s="695"/>
      <c r="DI640" s="695"/>
      <c r="DJ640" s="695"/>
      <c r="DK640" s="695"/>
      <c r="DL640" s="695"/>
      <c r="DM640" s="695"/>
      <c r="DN640" s="695"/>
      <c r="DO640" s="695"/>
      <c r="DP640" s="695"/>
      <c r="DQ640" s="695"/>
      <c r="DR640" s="695"/>
      <c r="DS640" s="694"/>
      <c r="DT640" s="694"/>
      <c r="DU640" s="694"/>
      <c r="DV640" s="694"/>
      <c r="DW640" s="694"/>
      <c r="DX640" s="694"/>
      <c r="DY640" s="694"/>
      <c r="DZ640" s="694"/>
      <c r="EA640" s="694"/>
      <c r="EB640" s="694"/>
      <c r="EC640" s="694"/>
      <c r="ED640" s="694"/>
      <c r="EE640" s="694"/>
      <c r="EF640" s="694"/>
      <c r="EG640" s="694"/>
      <c r="EH640" s="694"/>
      <c r="EI640" s="694"/>
      <c r="EJ640" s="694"/>
      <c r="EK640" s="694"/>
      <c r="EL640" s="694"/>
      <c r="EM640" s="694"/>
      <c r="EN640" s="694"/>
      <c r="EO640" s="694"/>
      <c r="EP640" s="694"/>
      <c r="EQ640" s="694"/>
      <c r="ER640" s="694"/>
      <c r="ES640" s="694"/>
      <c r="ET640" s="694"/>
      <c r="EU640" s="694"/>
      <c r="EV640" s="694"/>
      <c r="EW640" s="694"/>
      <c r="EX640" s="694"/>
      <c r="EY640" s="694"/>
      <c r="EZ640" s="694"/>
      <c r="FA640" s="694"/>
      <c r="FB640" s="694"/>
      <c r="FC640" s="694"/>
      <c r="FD640" s="694"/>
      <c r="FE640" s="694"/>
      <c r="FF640" s="694"/>
      <c r="FG640" s="694"/>
      <c r="FH640" s="694"/>
      <c r="FI640" s="694"/>
      <c r="FJ640" s="694"/>
      <c r="FK640" s="694"/>
      <c r="FL640" s="694"/>
      <c r="FM640" s="694"/>
      <c r="FN640" s="694"/>
      <c r="FO640" s="694"/>
      <c r="FP640" s="694"/>
      <c r="FQ640" s="697"/>
    </row>
    <row r="641" spans="1:177" s="696" customFormat="1">
      <c r="A641" s="690"/>
      <c r="B641" s="690"/>
      <c r="C641" s="691"/>
      <c r="D641" s="691" t="s">
        <v>3006</v>
      </c>
      <c r="E641" s="692"/>
      <c r="F641" s="692"/>
      <c r="G641" s="692"/>
      <c r="H641" s="692"/>
      <c r="I641" s="692"/>
      <c r="J641" s="692"/>
      <c r="K641" s="692"/>
      <c r="L641" s="692"/>
      <c r="M641" s="692"/>
      <c r="N641" s="692"/>
      <c r="O641" s="692"/>
      <c r="P641" s="692"/>
      <c r="Q641" s="692"/>
      <c r="R641" s="693"/>
      <c r="S641" s="693"/>
      <c r="T641" s="692"/>
      <c r="U641" s="692" t="s">
        <v>2989</v>
      </c>
      <c r="V641" s="692"/>
      <c r="W641" s="692"/>
      <c r="X641" s="692"/>
      <c r="Y641" s="692"/>
      <c r="Z641" s="692"/>
      <c r="AA641" s="692"/>
      <c r="AB641" s="692"/>
      <c r="AC641" s="692"/>
      <c r="AD641" s="692"/>
      <c r="AE641" s="725"/>
      <c r="AF641" s="957"/>
      <c r="AG641" s="692"/>
      <c r="AH641" s="692"/>
      <c r="AI641" s="692"/>
      <c r="AJ641" s="692"/>
      <c r="AK641" s="692"/>
      <c r="AL641" s="692"/>
      <c r="AM641" s="692"/>
      <c r="AN641" s="692"/>
      <c r="AO641" s="692"/>
      <c r="AP641" s="692"/>
      <c r="AQ641" s="692"/>
      <c r="AR641" s="692"/>
      <c r="AS641" s="692"/>
      <c r="AT641" s="692"/>
      <c r="AU641" s="692"/>
      <c r="AV641" s="692"/>
      <c r="AW641" s="692"/>
      <c r="AX641" s="692"/>
      <c r="AY641" s="692"/>
      <c r="AZ641" s="692"/>
      <c r="BA641" s="692"/>
      <c r="BB641" s="692"/>
      <c r="BC641" s="692"/>
      <c r="BD641" s="692"/>
      <c r="BE641" s="692">
        <v>2</v>
      </c>
      <c r="BF641" s="692"/>
      <c r="BG641" s="692"/>
      <c r="BH641" s="692"/>
      <c r="BI641" s="692"/>
      <c r="BJ641" s="692"/>
      <c r="BK641" s="692"/>
      <c r="BL641" s="692"/>
      <c r="BM641" s="692"/>
      <c r="BN641" s="692"/>
      <c r="BO641" s="692"/>
      <c r="BP641" s="692"/>
      <c r="BQ641" s="692"/>
      <c r="BR641" s="692"/>
      <c r="BS641" s="692"/>
      <c r="BT641" s="692"/>
      <c r="BU641" s="692"/>
      <c r="BV641" s="692"/>
      <c r="BW641" s="692"/>
      <c r="BX641" s="692"/>
      <c r="BY641" s="692">
        <v>2</v>
      </c>
      <c r="BZ641" s="692"/>
      <c r="CA641" s="692"/>
      <c r="CB641" s="692"/>
      <c r="CC641" s="692"/>
      <c r="CD641" s="692"/>
      <c r="CE641" s="692"/>
      <c r="CF641" s="692"/>
      <c r="CG641" s="692"/>
      <c r="CH641" s="692"/>
      <c r="CI641" s="692"/>
      <c r="CJ641" s="692">
        <v>8</v>
      </c>
      <c r="CK641" s="692"/>
      <c r="CL641" s="692"/>
      <c r="CM641" s="692"/>
      <c r="CN641" s="692"/>
      <c r="CO641" s="692"/>
      <c r="CP641" s="692"/>
      <c r="CQ641" s="692"/>
      <c r="CR641" s="692"/>
      <c r="CS641" s="692"/>
      <c r="CT641" s="692"/>
      <c r="CU641" s="692"/>
      <c r="CV641" s="692"/>
      <c r="CW641" s="692"/>
      <c r="CX641" s="694"/>
      <c r="CY641" s="694"/>
      <c r="CZ641" s="694"/>
      <c r="DA641" s="694"/>
      <c r="DB641" s="694"/>
      <c r="DC641" s="694"/>
      <c r="DD641" s="694"/>
      <c r="DE641" s="694"/>
      <c r="DF641" s="694"/>
      <c r="DG641" s="695"/>
      <c r="DH641" s="695"/>
      <c r="DI641" s="695"/>
      <c r="DJ641" s="695"/>
      <c r="DK641" s="695"/>
      <c r="DL641" s="695"/>
      <c r="DM641" s="695"/>
      <c r="DN641" s="695"/>
      <c r="DO641" s="695"/>
      <c r="DP641" s="695"/>
      <c r="DQ641" s="695"/>
      <c r="DR641" s="695"/>
      <c r="DS641" s="694"/>
      <c r="DT641" s="694"/>
      <c r="DU641" s="694"/>
      <c r="DV641" s="694"/>
      <c r="DW641" s="694"/>
      <c r="DX641" s="694"/>
      <c r="DY641" s="694"/>
      <c r="DZ641" s="694"/>
      <c r="EA641" s="694"/>
      <c r="EB641" s="694"/>
      <c r="EC641" s="694"/>
      <c r="ED641" s="694"/>
      <c r="EE641" s="694"/>
      <c r="EF641" s="694"/>
      <c r="EG641" s="694"/>
      <c r="EH641" s="694"/>
      <c r="EI641" s="694"/>
      <c r="EJ641" s="694"/>
      <c r="EK641" s="694"/>
      <c r="EL641" s="694"/>
      <c r="EM641" s="694"/>
      <c r="EN641" s="694"/>
      <c r="EO641" s="694"/>
      <c r="EP641" s="694"/>
      <c r="EQ641" s="694"/>
      <c r="ER641" s="694"/>
      <c r="ES641" s="694"/>
      <c r="ET641" s="694"/>
      <c r="EU641" s="694"/>
      <c r="EV641" s="694"/>
      <c r="EW641" s="694"/>
      <c r="EX641" s="694"/>
      <c r="EY641" s="694"/>
      <c r="EZ641" s="694"/>
      <c r="FA641" s="694"/>
      <c r="FB641" s="694"/>
      <c r="FC641" s="694"/>
      <c r="FD641" s="694"/>
      <c r="FE641" s="694"/>
      <c r="FF641" s="694"/>
      <c r="FG641" s="694"/>
      <c r="FH641" s="694"/>
      <c r="FI641" s="694"/>
      <c r="FJ641" s="694"/>
      <c r="FK641" s="694"/>
      <c r="FL641" s="694"/>
      <c r="FM641" s="694"/>
      <c r="FN641" s="694"/>
      <c r="FO641" s="694"/>
      <c r="FP641" s="694"/>
      <c r="FQ641" s="697"/>
    </row>
    <row r="642" spans="1:177" s="696" customFormat="1" hidden="1">
      <c r="A642" s="690"/>
      <c r="B642" s="690"/>
      <c r="C642" s="691"/>
      <c r="D642" s="691"/>
      <c r="E642" s="692"/>
      <c r="F642" s="692"/>
      <c r="G642" s="692"/>
      <c r="H642" s="692"/>
      <c r="I642" s="692"/>
      <c r="J642" s="692"/>
      <c r="K642" s="692"/>
      <c r="L642" s="692"/>
      <c r="M642" s="692"/>
      <c r="N642" s="692"/>
      <c r="O642" s="692"/>
      <c r="P642" s="692"/>
      <c r="Q642" s="692"/>
      <c r="R642" s="693"/>
      <c r="S642" s="693"/>
      <c r="T642" s="692"/>
      <c r="U642" s="692"/>
      <c r="V642" s="692"/>
      <c r="W642" s="692"/>
      <c r="X642" s="692"/>
      <c r="Y642" s="692"/>
      <c r="Z642" s="692"/>
      <c r="AA642" s="692"/>
      <c r="AB642" s="692"/>
      <c r="AC642" s="692"/>
      <c r="AD642" s="692"/>
      <c r="AE642" s="725"/>
      <c r="AF642" s="957"/>
      <c r="AG642" s="692"/>
      <c r="AH642" s="692"/>
      <c r="AI642" s="692"/>
      <c r="AJ642" s="692"/>
      <c r="AK642" s="692"/>
      <c r="AL642" s="692"/>
      <c r="AM642" s="692"/>
      <c r="AN642" s="692"/>
      <c r="AO642" s="692"/>
      <c r="AP642" s="692"/>
      <c r="AQ642" s="692"/>
      <c r="AR642" s="692"/>
      <c r="AS642" s="692"/>
      <c r="AT642" s="692"/>
      <c r="AU642" s="692"/>
      <c r="AV642" s="692"/>
      <c r="AW642" s="692"/>
      <c r="AX642" s="692"/>
      <c r="AY642" s="692"/>
      <c r="AZ642" s="692"/>
      <c r="BA642" s="692"/>
      <c r="BB642" s="692"/>
      <c r="BC642" s="692"/>
      <c r="BD642" s="692"/>
      <c r="BE642" s="692"/>
      <c r="BF642" s="692"/>
      <c r="BG642" s="692"/>
      <c r="BH642" s="692"/>
      <c r="BI642" s="692"/>
      <c r="BJ642" s="692"/>
      <c r="BK642" s="692"/>
      <c r="BL642" s="692"/>
      <c r="BM642" s="692"/>
      <c r="BN642" s="692"/>
      <c r="BO642" s="692"/>
      <c r="BP642" s="692"/>
      <c r="BQ642" s="692"/>
      <c r="BR642" s="692"/>
      <c r="BS642" s="692"/>
      <c r="BT642" s="692"/>
      <c r="BU642" s="692"/>
      <c r="BV642" s="692"/>
      <c r="BW642" s="692"/>
      <c r="BX642" s="692"/>
      <c r="BY642" s="692"/>
      <c r="BZ642" s="692"/>
      <c r="CA642" s="692"/>
      <c r="CB642" s="692"/>
      <c r="CC642" s="692"/>
      <c r="CD642" s="692"/>
      <c r="CE642" s="692"/>
      <c r="CF642" s="692"/>
      <c r="CG642" s="692"/>
      <c r="CH642" s="692"/>
      <c r="CI642" s="692"/>
      <c r="CJ642" s="692"/>
      <c r="CK642" s="692"/>
      <c r="CL642" s="692"/>
      <c r="CM642" s="692"/>
      <c r="CN642" s="692"/>
      <c r="CO642" s="692"/>
      <c r="CP642" s="692"/>
      <c r="CQ642" s="692"/>
      <c r="CR642" s="692"/>
      <c r="CS642" s="692"/>
      <c r="CT642" s="692"/>
      <c r="CU642" s="692"/>
      <c r="CV642" s="692"/>
      <c r="CW642" s="692"/>
      <c r="CX642" s="694"/>
      <c r="CY642" s="694"/>
      <c r="CZ642" s="694"/>
      <c r="DA642" s="694"/>
      <c r="DB642" s="694"/>
      <c r="DC642" s="694"/>
      <c r="DD642" s="694"/>
      <c r="DE642" s="694"/>
      <c r="DF642" s="694"/>
      <c r="DG642" s="695"/>
      <c r="DH642" s="695"/>
      <c r="DI642" s="695"/>
      <c r="DJ642" s="695"/>
      <c r="DK642" s="695"/>
      <c r="DL642" s="695"/>
      <c r="DM642" s="695"/>
      <c r="DN642" s="695"/>
      <c r="DO642" s="695"/>
      <c r="DP642" s="695"/>
      <c r="DQ642" s="695"/>
      <c r="DR642" s="695"/>
      <c r="DS642" s="694"/>
      <c r="DT642" s="694"/>
      <c r="DU642" s="694"/>
      <c r="DV642" s="694"/>
      <c r="DW642" s="694"/>
      <c r="DX642" s="694"/>
      <c r="DY642" s="694"/>
      <c r="DZ642" s="694"/>
      <c r="EA642" s="694"/>
      <c r="EB642" s="694"/>
      <c r="EC642" s="694"/>
      <c r="ED642" s="694"/>
      <c r="EE642" s="694"/>
      <c r="EF642" s="694"/>
      <c r="EG642" s="694"/>
      <c r="EH642" s="694"/>
      <c r="EI642" s="694"/>
      <c r="EJ642" s="694"/>
      <c r="EK642" s="694"/>
      <c r="EL642" s="694"/>
      <c r="EM642" s="694"/>
      <c r="EN642" s="694"/>
      <c r="EO642" s="694"/>
      <c r="EP642" s="694"/>
      <c r="EQ642" s="694"/>
      <c r="ER642" s="694"/>
      <c r="ES642" s="694"/>
      <c r="ET642" s="694"/>
      <c r="EU642" s="694"/>
      <c r="EV642" s="694"/>
      <c r="EW642" s="694"/>
      <c r="EX642" s="694"/>
      <c r="EY642" s="694"/>
      <c r="EZ642" s="694"/>
      <c r="FA642" s="694"/>
      <c r="FB642" s="694"/>
      <c r="FC642" s="694"/>
      <c r="FD642" s="694"/>
      <c r="FE642" s="694"/>
      <c r="FF642" s="694"/>
      <c r="FG642" s="694"/>
      <c r="FH642" s="694"/>
      <c r="FI642" s="694"/>
      <c r="FJ642" s="694"/>
      <c r="FK642" s="694"/>
      <c r="FL642" s="694"/>
      <c r="FM642" s="694"/>
      <c r="FN642" s="694"/>
      <c r="FO642" s="694"/>
      <c r="FP642" s="694"/>
      <c r="FQ642" s="697"/>
    </row>
    <row r="643" spans="1:177" s="696" customFormat="1" hidden="1">
      <c r="A643" s="690"/>
      <c r="B643" s="690"/>
      <c r="C643" s="691"/>
      <c r="D643" s="691"/>
      <c r="E643" s="692"/>
      <c r="F643" s="692"/>
      <c r="G643" s="692"/>
      <c r="H643" s="692"/>
      <c r="I643" s="692"/>
      <c r="J643" s="692"/>
      <c r="K643" s="692"/>
      <c r="L643" s="692"/>
      <c r="M643" s="692"/>
      <c r="N643" s="692"/>
      <c r="O643" s="692"/>
      <c r="P643" s="692"/>
      <c r="Q643" s="692"/>
      <c r="R643" s="693"/>
      <c r="S643" s="693"/>
      <c r="T643" s="692"/>
      <c r="U643" s="692"/>
      <c r="V643" s="692"/>
      <c r="W643" s="692"/>
      <c r="X643" s="692"/>
      <c r="Y643" s="692"/>
      <c r="Z643" s="692"/>
      <c r="AA643" s="692"/>
      <c r="AB643" s="692"/>
      <c r="AC643" s="692"/>
      <c r="AD643" s="692"/>
      <c r="AE643" s="725"/>
      <c r="AF643" s="957"/>
      <c r="AG643" s="692"/>
      <c r="AH643" s="692"/>
      <c r="AI643" s="692"/>
      <c r="AJ643" s="692"/>
      <c r="AK643" s="692"/>
      <c r="AL643" s="692"/>
      <c r="AM643" s="692"/>
      <c r="AN643" s="692"/>
      <c r="AO643" s="692"/>
      <c r="AP643" s="692"/>
      <c r="AQ643" s="692"/>
      <c r="AR643" s="692"/>
      <c r="AS643" s="692"/>
      <c r="AT643" s="692"/>
      <c r="AU643" s="692"/>
      <c r="AV643" s="692"/>
      <c r="AW643" s="692"/>
      <c r="AX643" s="692"/>
      <c r="AY643" s="692"/>
      <c r="AZ643" s="692"/>
      <c r="BA643" s="692"/>
      <c r="BB643" s="692"/>
      <c r="BC643" s="692"/>
      <c r="BD643" s="692"/>
      <c r="BE643" s="692"/>
      <c r="BF643" s="692"/>
      <c r="BG643" s="692"/>
      <c r="BH643" s="692"/>
      <c r="BI643" s="692"/>
      <c r="BJ643" s="692"/>
      <c r="BK643" s="692"/>
      <c r="BL643" s="692"/>
      <c r="BM643" s="692"/>
      <c r="BN643" s="692"/>
      <c r="BO643" s="692"/>
      <c r="BP643" s="692"/>
      <c r="BQ643" s="692"/>
      <c r="BR643" s="692"/>
      <c r="BS643" s="692"/>
      <c r="BT643" s="692"/>
      <c r="BU643" s="692"/>
      <c r="BV643" s="692"/>
      <c r="BW643" s="692"/>
      <c r="BX643" s="692"/>
      <c r="BY643" s="692"/>
      <c r="BZ643" s="692"/>
      <c r="CA643" s="692"/>
      <c r="CB643" s="692"/>
      <c r="CC643" s="692"/>
      <c r="CD643" s="692"/>
      <c r="CE643" s="692"/>
      <c r="CF643" s="692"/>
      <c r="CG643" s="692"/>
      <c r="CH643" s="692"/>
      <c r="CI643" s="692"/>
      <c r="CJ643" s="692"/>
      <c r="CK643" s="692"/>
      <c r="CL643" s="692"/>
      <c r="CM643" s="692"/>
      <c r="CN643" s="692"/>
      <c r="CO643" s="692"/>
      <c r="CP643" s="692"/>
      <c r="CQ643" s="692"/>
      <c r="CR643" s="692"/>
      <c r="CS643" s="692"/>
      <c r="CT643" s="692"/>
      <c r="CU643" s="692"/>
      <c r="CV643" s="692"/>
      <c r="CW643" s="692"/>
      <c r="CX643" s="694"/>
      <c r="CY643" s="694"/>
      <c r="CZ643" s="694"/>
      <c r="DA643" s="694"/>
      <c r="DB643" s="694"/>
      <c r="DC643" s="694"/>
      <c r="DD643" s="694"/>
      <c r="DE643" s="694"/>
      <c r="DF643" s="694"/>
      <c r="DG643" s="695"/>
      <c r="DH643" s="695"/>
      <c r="DI643" s="695"/>
      <c r="DJ643" s="695"/>
      <c r="DK643" s="695"/>
      <c r="DL643" s="695"/>
      <c r="DM643" s="695"/>
      <c r="DN643" s="695"/>
      <c r="DO643" s="695"/>
      <c r="DP643" s="695"/>
      <c r="DQ643" s="695"/>
      <c r="DR643" s="695"/>
      <c r="DS643" s="694"/>
      <c r="DT643" s="694"/>
      <c r="DU643" s="694"/>
      <c r="DV643" s="694"/>
      <c r="DW643" s="694"/>
      <c r="DX643" s="694"/>
      <c r="DY643" s="694"/>
      <c r="DZ643" s="694"/>
      <c r="EA643" s="694"/>
      <c r="EB643" s="694"/>
      <c r="EC643" s="694"/>
      <c r="ED643" s="694"/>
      <c r="EE643" s="694"/>
      <c r="EF643" s="694"/>
      <c r="EG643" s="694"/>
      <c r="EH643" s="694"/>
      <c r="EI643" s="694"/>
      <c r="EJ643" s="694"/>
      <c r="EK643" s="694"/>
      <c r="EL643" s="694"/>
      <c r="EM643" s="694"/>
      <c r="EN643" s="694"/>
      <c r="EO643" s="694"/>
      <c r="EP643" s="694"/>
      <c r="EQ643" s="694"/>
      <c r="ER643" s="694"/>
      <c r="ES643" s="694"/>
      <c r="ET643" s="694"/>
      <c r="EU643" s="694"/>
      <c r="EV643" s="694"/>
      <c r="EW643" s="694"/>
      <c r="EX643" s="694"/>
      <c r="EY643" s="694"/>
      <c r="EZ643" s="694"/>
      <c r="FA643" s="694"/>
      <c r="FB643" s="694"/>
      <c r="FC643" s="694"/>
      <c r="FD643" s="694"/>
      <c r="FE643" s="694"/>
      <c r="FF643" s="694"/>
      <c r="FG643" s="694"/>
      <c r="FH643" s="694"/>
      <c r="FI643" s="694"/>
      <c r="FJ643" s="694"/>
      <c r="FK643" s="694"/>
      <c r="FL643" s="694"/>
      <c r="FM643" s="694"/>
      <c r="FN643" s="694"/>
      <c r="FO643" s="694"/>
      <c r="FP643" s="694"/>
      <c r="FQ643" s="697"/>
    </row>
    <row r="644" spans="1:177" s="696" customFormat="1" hidden="1">
      <c r="A644" s="690"/>
      <c r="B644" s="690"/>
      <c r="C644" s="691"/>
      <c r="D644" s="691"/>
      <c r="E644" s="692"/>
      <c r="F644" s="692"/>
      <c r="G644" s="692"/>
      <c r="H644" s="692"/>
      <c r="I644" s="692"/>
      <c r="J644" s="692"/>
      <c r="K644" s="692"/>
      <c r="L644" s="692"/>
      <c r="M644" s="692"/>
      <c r="N644" s="692"/>
      <c r="O644" s="692"/>
      <c r="P644" s="692"/>
      <c r="Q644" s="692"/>
      <c r="R644" s="693"/>
      <c r="S644" s="693"/>
      <c r="T644" s="692"/>
      <c r="U644" s="692"/>
      <c r="V644" s="692"/>
      <c r="W644" s="692"/>
      <c r="X644" s="692"/>
      <c r="Y644" s="692"/>
      <c r="Z644" s="692"/>
      <c r="AA644" s="692"/>
      <c r="AB644" s="692"/>
      <c r="AC644" s="692"/>
      <c r="AD644" s="692"/>
      <c r="AE644" s="725"/>
      <c r="AF644" s="957"/>
      <c r="AG644" s="692"/>
      <c r="AH644" s="692"/>
      <c r="AI644" s="692"/>
      <c r="AJ644" s="692"/>
      <c r="AK644" s="692"/>
      <c r="AL644" s="692"/>
      <c r="AM644" s="692"/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692"/>
      <c r="BL644" s="692"/>
      <c r="BM644" s="692"/>
      <c r="BN644" s="692"/>
      <c r="BO644" s="692"/>
      <c r="BP644" s="692"/>
      <c r="BQ644" s="692"/>
      <c r="BR644" s="692"/>
      <c r="BS644" s="692"/>
      <c r="BT644" s="692"/>
      <c r="BU644" s="692"/>
      <c r="BV644" s="692"/>
      <c r="BW644" s="692"/>
      <c r="BX644" s="692"/>
      <c r="BY644" s="692"/>
      <c r="BZ644" s="692"/>
      <c r="CA644" s="692"/>
      <c r="CB644" s="692"/>
      <c r="CC644" s="692"/>
      <c r="CD644" s="692"/>
      <c r="CE644" s="692"/>
      <c r="CF644" s="692"/>
      <c r="CG644" s="692"/>
      <c r="CH644" s="692"/>
      <c r="CI644" s="692"/>
      <c r="CJ644" s="692"/>
      <c r="CK644" s="692"/>
      <c r="CL644" s="692"/>
      <c r="CM644" s="692"/>
      <c r="CN644" s="692"/>
      <c r="CO644" s="692"/>
      <c r="CP644" s="692"/>
      <c r="CQ644" s="692"/>
      <c r="CR644" s="692"/>
      <c r="CS644" s="692"/>
      <c r="CT644" s="692"/>
      <c r="CU644" s="692"/>
      <c r="CV644" s="692"/>
      <c r="CW644" s="692"/>
      <c r="CX644" s="694"/>
      <c r="CY644" s="694"/>
      <c r="CZ644" s="694"/>
      <c r="DA644" s="694"/>
      <c r="DB644" s="694"/>
      <c r="DC644" s="694"/>
      <c r="DD644" s="694"/>
      <c r="DE644" s="694"/>
      <c r="DF644" s="694"/>
      <c r="DG644" s="695"/>
      <c r="DH644" s="695"/>
      <c r="DI644" s="695"/>
      <c r="DJ644" s="695"/>
      <c r="DK644" s="695"/>
      <c r="DL644" s="695"/>
      <c r="DM644" s="695"/>
      <c r="DN644" s="695"/>
      <c r="DO644" s="695"/>
      <c r="DP644" s="695"/>
      <c r="DQ644" s="695"/>
      <c r="DR644" s="695"/>
      <c r="DS644" s="694"/>
      <c r="DT644" s="694"/>
      <c r="DU644" s="694"/>
      <c r="DV644" s="694"/>
      <c r="DW644" s="694"/>
      <c r="DX644" s="694"/>
      <c r="DY644" s="694"/>
      <c r="DZ644" s="694"/>
      <c r="EA644" s="694"/>
      <c r="EB644" s="694"/>
      <c r="EC644" s="694"/>
      <c r="ED644" s="694"/>
      <c r="EE644" s="694"/>
      <c r="EF644" s="694"/>
      <c r="EG644" s="694"/>
      <c r="EH644" s="694"/>
      <c r="EI644" s="694"/>
      <c r="EJ644" s="694"/>
      <c r="EK644" s="694"/>
      <c r="EL644" s="694"/>
      <c r="EM644" s="694"/>
      <c r="EN644" s="694"/>
      <c r="EO644" s="694"/>
      <c r="EP644" s="694"/>
      <c r="EQ644" s="694"/>
      <c r="ER644" s="694"/>
      <c r="ES644" s="694"/>
      <c r="ET644" s="694"/>
      <c r="EU644" s="694"/>
      <c r="EV644" s="694"/>
      <c r="EW644" s="694"/>
      <c r="EX644" s="694"/>
      <c r="EY644" s="694"/>
      <c r="EZ644" s="694"/>
      <c r="FA644" s="694"/>
      <c r="FB644" s="694"/>
      <c r="FC644" s="694"/>
      <c r="FD644" s="694"/>
      <c r="FE644" s="694"/>
      <c r="FF644" s="694"/>
      <c r="FG644" s="694"/>
      <c r="FH644" s="694"/>
      <c r="FI644" s="694"/>
      <c r="FJ644" s="694"/>
      <c r="FK644" s="694"/>
      <c r="FL644" s="694"/>
      <c r="FM644" s="694"/>
      <c r="FN644" s="694"/>
      <c r="FO644" s="694"/>
      <c r="FP644" s="694"/>
      <c r="FQ644" s="697"/>
    </row>
    <row r="645" spans="1:177" s="696" customFormat="1" hidden="1">
      <c r="A645" s="690"/>
      <c r="B645" s="690"/>
      <c r="C645" s="691"/>
      <c r="D645" s="691"/>
      <c r="E645" s="692"/>
      <c r="F645" s="692"/>
      <c r="G645" s="692"/>
      <c r="H645" s="692"/>
      <c r="I645" s="692"/>
      <c r="J645" s="692"/>
      <c r="K645" s="692"/>
      <c r="L645" s="692"/>
      <c r="M645" s="692"/>
      <c r="N645" s="692"/>
      <c r="O645" s="692"/>
      <c r="P645" s="692"/>
      <c r="Q645" s="692"/>
      <c r="R645" s="693"/>
      <c r="S645" s="693"/>
      <c r="T645" s="692"/>
      <c r="U645" s="692"/>
      <c r="V645" s="692"/>
      <c r="W645" s="692"/>
      <c r="X645" s="692"/>
      <c r="Y645" s="692"/>
      <c r="Z645" s="692"/>
      <c r="AA645" s="692"/>
      <c r="AB645" s="692"/>
      <c r="AC645" s="692"/>
      <c r="AD645" s="692"/>
      <c r="AE645" s="725"/>
      <c r="AF645" s="957"/>
      <c r="AG645" s="692"/>
      <c r="AH645" s="692"/>
      <c r="AI645" s="692"/>
      <c r="AJ645" s="692"/>
      <c r="AK645" s="692"/>
      <c r="AL645" s="692"/>
      <c r="AM645" s="692"/>
      <c r="AN645" s="692"/>
      <c r="AO645" s="692"/>
      <c r="AP645" s="692"/>
      <c r="AQ645" s="692"/>
      <c r="AR645" s="692"/>
      <c r="AS645" s="692"/>
      <c r="AT645" s="692"/>
      <c r="AU645" s="692"/>
      <c r="AV645" s="692"/>
      <c r="AW645" s="692"/>
      <c r="AX645" s="692"/>
      <c r="AY645" s="692"/>
      <c r="AZ645" s="692"/>
      <c r="BA645" s="692"/>
      <c r="BB645" s="692"/>
      <c r="BC645" s="692"/>
      <c r="BD645" s="692"/>
      <c r="BE645" s="692"/>
      <c r="BF645" s="692"/>
      <c r="BG645" s="692"/>
      <c r="BH645" s="692"/>
      <c r="BI645" s="692"/>
      <c r="BJ645" s="692"/>
      <c r="BK645" s="692"/>
      <c r="BL645" s="692"/>
      <c r="BM645" s="692"/>
      <c r="BN645" s="692"/>
      <c r="BO645" s="692"/>
      <c r="BP645" s="692"/>
      <c r="BQ645" s="692"/>
      <c r="BR645" s="692"/>
      <c r="BS645" s="692"/>
      <c r="BT645" s="692"/>
      <c r="BU645" s="692"/>
      <c r="BV645" s="692"/>
      <c r="BW645" s="692"/>
      <c r="BX645" s="692"/>
      <c r="BY645" s="692"/>
      <c r="BZ645" s="692"/>
      <c r="CA645" s="692"/>
      <c r="CB645" s="692"/>
      <c r="CC645" s="692"/>
      <c r="CD645" s="692"/>
      <c r="CE645" s="692"/>
      <c r="CF645" s="692"/>
      <c r="CG645" s="692"/>
      <c r="CH645" s="692"/>
      <c r="CI645" s="692"/>
      <c r="CJ645" s="692"/>
      <c r="CK645" s="692"/>
      <c r="CL645" s="692"/>
      <c r="CM645" s="692"/>
      <c r="CN645" s="692"/>
      <c r="CO645" s="692"/>
      <c r="CP645" s="692"/>
      <c r="CQ645" s="692"/>
      <c r="CR645" s="692"/>
      <c r="CS645" s="692"/>
      <c r="CT645" s="692"/>
      <c r="CU645" s="692"/>
      <c r="CV645" s="692"/>
      <c r="CW645" s="692"/>
      <c r="CX645" s="694"/>
      <c r="CY645" s="694"/>
      <c r="CZ645" s="694"/>
      <c r="DA645" s="694"/>
      <c r="DB645" s="694"/>
      <c r="DC645" s="694"/>
      <c r="DD645" s="694"/>
      <c r="DE645" s="694"/>
      <c r="DF645" s="694"/>
      <c r="DG645" s="695"/>
      <c r="DH645" s="695"/>
      <c r="DI645" s="695"/>
      <c r="DJ645" s="695"/>
      <c r="DK645" s="695"/>
      <c r="DL645" s="695"/>
      <c r="DM645" s="695"/>
      <c r="DN645" s="695"/>
      <c r="DO645" s="695"/>
      <c r="DP645" s="695"/>
      <c r="DQ645" s="695"/>
      <c r="DR645" s="695"/>
      <c r="DS645" s="694"/>
      <c r="DT645" s="694"/>
      <c r="DU645" s="694"/>
      <c r="DV645" s="694"/>
      <c r="DW645" s="694"/>
      <c r="DX645" s="694"/>
      <c r="DY645" s="694"/>
      <c r="DZ645" s="694"/>
      <c r="EA645" s="694"/>
      <c r="EB645" s="694"/>
      <c r="EC645" s="694"/>
      <c r="ED645" s="694"/>
      <c r="EE645" s="694"/>
      <c r="EF645" s="694"/>
      <c r="EG645" s="694"/>
      <c r="EH645" s="694"/>
      <c r="EI645" s="694"/>
      <c r="EJ645" s="694"/>
      <c r="EK645" s="694"/>
      <c r="EL645" s="694"/>
      <c r="EM645" s="694"/>
      <c r="EN645" s="694"/>
      <c r="EO645" s="694"/>
      <c r="EP645" s="694"/>
      <c r="EQ645" s="694"/>
      <c r="ER645" s="694"/>
      <c r="ES645" s="694"/>
      <c r="ET645" s="694"/>
      <c r="EU645" s="694"/>
      <c r="EV645" s="694"/>
      <c r="EW645" s="694"/>
      <c r="EX645" s="694"/>
      <c r="EY645" s="694"/>
      <c r="EZ645" s="694"/>
      <c r="FA645" s="694"/>
      <c r="FB645" s="694"/>
      <c r="FC645" s="694"/>
      <c r="FD645" s="694"/>
      <c r="FE645" s="694"/>
      <c r="FF645" s="694"/>
      <c r="FG645" s="694"/>
      <c r="FH645" s="694"/>
      <c r="FI645" s="694"/>
      <c r="FJ645" s="694"/>
      <c r="FK645" s="694"/>
      <c r="FL645" s="694"/>
      <c r="FM645" s="694"/>
      <c r="FN645" s="694"/>
      <c r="FO645" s="694"/>
      <c r="FP645" s="694"/>
      <c r="FQ645" s="697"/>
    </row>
    <row r="646" spans="1:177" s="696" customFormat="1" hidden="1">
      <c r="A646" s="690"/>
      <c r="B646" s="690"/>
      <c r="C646" s="691"/>
      <c r="D646" s="691"/>
      <c r="E646" s="692"/>
      <c r="F646" s="692"/>
      <c r="G646" s="692"/>
      <c r="H646" s="692"/>
      <c r="I646" s="692"/>
      <c r="J646" s="692"/>
      <c r="K646" s="692"/>
      <c r="L646" s="692"/>
      <c r="M646" s="692"/>
      <c r="N646" s="692"/>
      <c r="O646" s="692"/>
      <c r="P646" s="692"/>
      <c r="Q646" s="692"/>
      <c r="R646" s="693"/>
      <c r="S646" s="693"/>
      <c r="T646" s="692"/>
      <c r="U646" s="692"/>
      <c r="V646" s="692"/>
      <c r="W646" s="692"/>
      <c r="X646" s="692"/>
      <c r="Y646" s="692"/>
      <c r="Z646" s="692"/>
      <c r="AA646" s="692"/>
      <c r="AB646" s="692"/>
      <c r="AC646" s="692"/>
      <c r="AD646" s="692"/>
      <c r="AE646" s="725"/>
      <c r="AF646" s="957"/>
      <c r="AG646" s="692"/>
      <c r="AH646" s="692"/>
      <c r="AI646" s="692"/>
      <c r="AJ646" s="692"/>
      <c r="AK646" s="692"/>
      <c r="AL646" s="692"/>
      <c r="AM646" s="692"/>
      <c r="AN646" s="692"/>
      <c r="AO646" s="692"/>
      <c r="AP646" s="692"/>
      <c r="AQ646" s="692"/>
      <c r="AR646" s="692"/>
      <c r="AS646" s="692"/>
      <c r="AT646" s="692"/>
      <c r="AU646" s="692"/>
      <c r="AV646" s="692"/>
      <c r="AW646" s="692"/>
      <c r="AX646" s="692"/>
      <c r="AY646" s="692"/>
      <c r="AZ646" s="692"/>
      <c r="BA646" s="692"/>
      <c r="BB646" s="692"/>
      <c r="BC646" s="692"/>
      <c r="BD646" s="692"/>
      <c r="BE646" s="692"/>
      <c r="BF646" s="692"/>
      <c r="BG646" s="692"/>
      <c r="BH646" s="692"/>
      <c r="BI646" s="692"/>
      <c r="BJ646" s="692"/>
      <c r="BK646" s="692"/>
      <c r="BL646" s="692"/>
      <c r="BM646" s="692"/>
      <c r="BN646" s="692"/>
      <c r="BO646" s="692"/>
      <c r="BP646" s="692"/>
      <c r="BQ646" s="692"/>
      <c r="BR646" s="692"/>
      <c r="BS646" s="692"/>
      <c r="BT646" s="692"/>
      <c r="BU646" s="692"/>
      <c r="BV646" s="692"/>
      <c r="BW646" s="692"/>
      <c r="BX646" s="692"/>
      <c r="BY646" s="692"/>
      <c r="BZ646" s="692"/>
      <c r="CA646" s="692"/>
      <c r="CB646" s="692"/>
      <c r="CC646" s="692"/>
      <c r="CD646" s="692"/>
      <c r="CE646" s="692"/>
      <c r="CF646" s="692"/>
      <c r="CG646" s="692"/>
      <c r="CH646" s="692"/>
      <c r="CI646" s="692"/>
      <c r="CJ646" s="692"/>
      <c r="CK646" s="692"/>
      <c r="CL646" s="692"/>
      <c r="CM646" s="692"/>
      <c r="CN646" s="692"/>
      <c r="CO646" s="692"/>
      <c r="CP646" s="692"/>
      <c r="CQ646" s="692"/>
      <c r="CR646" s="692"/>
      <c r="CS646" s="692"/>
      <c r="CT646" s="692"/>
      <c r="CU646" s="692"/>
      <c r="CV646" s="692"/>
      <c r="CW646" s="692"/>
      <c r="CX646" s="694"/>
      <c r="CY646" s="694"/>
      <c r="CZ646" s="694"/>
      <c r="DA646" s="694"/>
      <c r="DB646" s="694"/>
      <c r="DC646" s="694"/>
      <c r="DD646" s="694"/>
      <c r="DE646" s="694"/>
      <c r="DF646" s="694"/>
      <c r="DG646" s="695"/>
      <c r="DH646" s="695"/>
      <c r="DI646" s="695"/>
      <c r="DJ646" s="695"/>
      <c r="DK646" s="695"/>
      <c r="DL646" s="695"/>
      <c r="DM646" s="695"/>
      <c r="DN646" s="695"/>
      <c r="DO646" s="695"/>
      <c r="DP646" s="695"/>
      <c r="DQ646" s="695"/>
      <c r="DR646" s="695"/>
      <c r="DS646" s="694"/>
      <c r="DT646" s="694"/>
      <c r="DU646" s="694"/>
      <c r="DV646" s="694"/>
      <c r="DW646" s="694"/>
      <c r="DX646" s="694"/>
      <c r="DY646" s="694"/>
      <c r="DZ646" s="694"/>
      <c r="EA646" s="694"/>
      <c r="EB646" s="694"/>
      <c r="EC646" s="694"/>
      <c r="ED646" s="694"/>
      <c r="EE646" s="694"/>
      <c r="EF646" s="694"/>
      <c r="EG646" s="694"/>
      <c r="EH646" s="694"/>
      <c r="EI646" s="694"/>
      <c r="EJ646" s="694"/>
      <c r="EK646" s="694"/>
      <c r="EL646" s="694"/>
      <c r="EM646" s="694"/>
      <c r="EN646" s="694"/>
      <c r="EO646" s="694"/>
      <c r="EP646" s="694"/>
      <c r="EQ646" s="694"/>
      <c r="ER646" s="694"/>
      <c r="ES646" s="694"/>
      <c r="ET646" s="694"/>
      <c r="EU646" s="694"/>
      <c r="EV646" s="694"/>
      <c r="EW646" s="694"/>
      <c r="EX646" s="694"/>
      <c r="EY646" s="694"/>
      <c r="EZ646" s="694"/>
      <c r="FA646" s="694"/>
      <c r="FB646" s="694"/>
      <c r="FC646" s="694"/>
      <c r="FD646" s="694"/>
      <c r="FE646" s="694"/>
      <c r="FF646" s="694"/>
      <c r="FG646" s="694"/>
      <c r="FH646" s="694"/>
      <c r="FI646" s="694"/>
      <c r="FJ646" s="694"/>
      <c r="FK646" s="694"/>
      <c r="FL646" s="694"/>
      <c r="FM646" s="694"/>
      <c r="FN646" s="694"/>
      <c r="FO646" s="694"/>
      <c r="FP646" s="694"/>
      <c r="FQ646" s="697"/>
    </row>
    <row r="647" spans="1:177" s="696" customFormat="1" hidden="1">
      <c r="A647" s="690"/>
      <c r="B647" s="690"/>
      <c r="C647" s="691"/>
      <c r="D647" s="691"/>
      <c r="E647" s="692"/>
      <c r="F647" s="692"/>
      <c r="G647" s="692"/>
      <c r="H647" s="692"/>
      <c r="I647" s="692"/>
      <c r="J647" s="692"/>
      <c r="K647" s="692"/>
      <c r="L647" s="692"/>
      <c r="M647" s="692"/>
      <c r="N647" s="692"/>
      <c r="O647" s="692"/>
      <c r="P647" s="692"/>
      <c r="Q647" s="692"/>
      <c r="R647" s="693"/>
      <c r="S647" s="693"/>
      <c r="T647" s="692"/>
      <c r="U647" s="692"/>
      <c r="V647" s="692"/>
      <c r="W647" s="692"/>
      <c r="X647" s="692"/>
      <c r="Y647" s="692"/>
      <c r="Z647" s="692"/>
      <c r="AA647" s="692"/>
      <c r="AB647" s="692"/>
      <c r="AC647" s="692"/>
      <c r="AD647" s="692"/>
      <c r="AE647" s="725"/>
      <c r="AF647" s="957"/>
      <c r="AG647" s="692"/>
      <c r="AH647" s="692"/>
      <c r="AI647" s="692"/>
      <c r="AJ647" s="692"/>
      <c r="AK647" s="692"/>
      <c r="AL647" s="692"/>
      <c r="AM647" s="692"/>
      <c r="AN647" s="692"/>
      <c r="AO647" s="692"/>
      <c r="AP647" s="692"/>
      <c r="AQ647" s="692"/>
      <c r="AR647" s="692"/>
      <c r="AS647" s="692"/>
      <c r="AT647" s="692"/>
      <c r="AU647" s="692"/>
      <c r="AV647" s="692"/>
      <c r="AW647" s="692"/>
      <c r="AX647" s="692"/>
      <c r="AY647" s="692"/>
      <c r="AZ647" s="692"/>
      <c r="BA647" s="692"/>
      <c r="BB647" s="692"/>
      <c r="BC647" s="692"/>
      <c r="BD647" s="692"/>
      <c r="BE647" s="692"/>
      <c r="BF647" s="692"/>
      <c r="BG647" s="692"/>
      <c r="BH647" s="692"/>
      <c r="BI647" s="692"/>
      <c r="BJ647" s="692"/>
      <c r="BK647" s="692"/>
      <c r="BL647" s="692"/>
      <c r="BM647" s="692"/>
      <c r="BN647" s="692"/>
      <c r="BO647" s="692"/>
      <c r="BP647" s="692"/>
      <c r="BQ647" s="692"/>
      <c r="BR647" s="692"/>
      <c r="BS647" s="692"/>
      <c r="BT647" s="692"/>
      <c r="BU647" s="692"/>
      <c r="BV647" s="692"/>
      <c r="BW647" s="692"/>
      <c r="BX647" s="692"/>
      <c r="BY647" s="692"/>
      <c r="BZ647" s="692"/>
      <c r="CA647" s="692"/>
      <c r="CB647" s="692"/>
      <c r="CC647" s="692"/>
      <c r="CD647" s="692"/>
      <c r="CE647" s="692"/>
      <c r="CF647" s="692"/>
      <c r="CG647" s="692"/>
      <c r="CH647" s="692"/>
      <c r="CI647" s="692"/>
      <c r="CJ647" s="692"/>
      <c r="CK647" s="692"/>
      <c r="CL647" s="692"/>
      <c r="CM647" s="692"/>
      <c r="CN647" s="692"/>
      <c r="CO647" s="692"/>
      <c r="CP647" s="692"/>
      <c r="CQ647" s="692"/>
      <c r="CR647" s="692"/>
      <c r="CS647" s="692"/>
      <c r="CT647" s="692"/>
      <c r="CU647" s="692"/>
      <c r="CV647" s="692"/>
      <c r="CW647" s="692"/>
      <c r="CX647" s="694"/>
      <c r="CY647" s="694"/>
      <c r="CZ647" s="694"/>
      <c r="DA647" s="694"/>
      <c r="DB647" s="694"/>
      <c r="DC647" s="694"/>
      <c r="DD647" s="694"/>
      <c r="DE647" s="694"/>
      <c r="DF647" s="694"/>
      <c r="DG647" s="695"/>
      <c r="DH647" s="695"/>
      <c r="DI647" s="695"/>
      <c r="DJ647" s="695"/>
      <c r="DK647" s="695"/>
      <c r="DL647" s="695"/>
      <c r="DM647" s="695"/>
      <c r="DN647" s="695"/>
      <c r="DO647" s="695"/>
      <c r="DP647" s="695"/>
      <c r="DQ647" s="695"/>
      <c r="DR647" s="695"/>
      <c r="DS647" s="694"/>
      <c r="DT647" s="694"/>
      <c r="DU647" s="694"/>
      <c r="DV647" s="694"/>
      <c r="DW647" s="694"/>
      <c r="DX647" s="694"/>
      <c r="DY647" s="694"/>
      <c r="DZ647" s="694"/>
      <c r="EA647" s="694"/>
      <c r="EB647" s="694"/>
      <c r="EC647" s="694"/>
      <c r="ED647" s="694"/>
      <c r="EE647" s="694"/>
      <c r="EF647" s="694"/>
      <c r="EG647" s="694"/>
      <c r="EH647" s="694"/>
      <c r="EI647" s="694"/>
      <c r="EJ647" s="694"/>
      <c r="EK647" s="694"/>
      <c r="EL647" s="694"/>
      <c r="EM647" s="694"/>
      <c r="EN647" s="694"/>
      <c r="EO647" s="694"/>
      <c r="EP647" s="694"/>
      <c r="EQ647" s="694"/>
      <c r="ER647" s="694"/>
      <c r="ES647" s="694"/>
      <c r="ET647" s="694"/>
      <c r="EU647" s="694"/>
      <c r="EV647" s="694"/>
      <c r="EW647" s="694"/>
      <c r="EX647" s="694"/>
      <c r="EY647" s="694"/>
      <c r="EZ647" s="694"/>
      <c r="FA647" s="694"/>
      <c r="FB647" s="694"/>
      <c r="FC647" s="694"/>
      <c r="FD647" s="694"/>
      <c r="FE647" s="694"/>
      <c r="FF647" s="694"/>
      <c r="FG647" s="694"/>
      <c r="FH647" s="694"/>
      <c r="FI647" s="694"/>
      <c r="FJ647" s="694"/>
      <c r="FK647" s="694"/>
      <c r="FL647" s="694"/>
      <c r="FM647" s="694"/>
      <c r="FN647" s="694"/>
      <c r="FO647" s="694"/>
      <c r="FP647" s="694"/>
      <c r="FQ647" s="697"/>
    </row>
    <row r="648" spans="1:177" s="696" customFormat="1" hidden="1">
      <c r="A648" s="690"/>
      <c r="B648" s="690"/>
      <c r="C648" s="691"/>
      <c r="D648" s="691"/>
      <c r="E648" s="692"/>
      <c r="F648" s="692"/>
      <c r="G648" s="692"/>
      <c r="H648" s="692"/>
      <c r="I648" s="692"/>
      <c r="J648" s="692"/>
      <c r="K648" s="692"/>
      <c r="L648" s="692"/>
      <c r="M648" s="692"/>
      <c r="N648" s="692"/>
      <c r="O648" s="692"/>
      <c r="P648" s="692"/>
      <c r="Q648" s="692"/>
      <c r="R648" s="693"/>
      <c r="S648" s="693"/>
      <c r="T648" s="692"/>
      <c r="U648" s="692"/>
      <c r="V648" s="692"/>
      <c r="W648" s="692"/>
      <c r="X648" s="692"/>
      <c r="Y648" s="692"/>
      <c r="Z648" s="692"/>
      <c r="AA648" s="692"/>
      <c r="AB648" s="692"/>
      <c r="AC648" s="692"/>
      <c r="AD648" s="692"/>
      <c r="AE648" s="725"/>
      <c r="AF648" s="957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692"/>
      <c r="BL648" s="692"/>
      <c r="BM648" s="692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  <c r="BX648" s="692"/>
      <c r="BY648" s="692"/>
      <c r="BZ648" s="692"/>
      <c r="CA648" s="692"/>
      <c r="CB648" s="692"/>
      <c r="CC648" s="692"/>
      <c r="CD648" s="692"/>
      <c r="CE648" s="692"/>
      <c r="CF648" s="692"/>
      <c r="CG648" s="692"/>
      <c r="CH648" s="692"/>
      <c r="CI648" s="692"/>
      <c r="CJ648" s="692"/>
      <c r="CK648" s="692"/>
      <c r="CL648" s="692"/>
      <c r="CM648" s="692"/>
      <c r="CN648" s="692"/>
      <c r="CO648" s="692"/>
      <c r="CP648" s="692"/>
      <c r="CQ648" s="692"/>
      <c r="CR648" s="692"/>
      <c r="CS648" s="692"/>
      <c r="CT648" s="692"/>
      <c r="CU648" s="692"/>
      <c r="CV648" s="692"/>
      <c r="CW648" s="692"/>
      <c r="CX648" s="694"/>
      <c r="CY648" s="694"/>
      <c r="CZ648" s="694"/>
      <c r="DA648" s="694"/>
      <c r="DB648" s="694"/>
      <c r="DC648" s="694"/>
      <c r="DD648" s="694"/>
      <c r="DE648" s="694"/>
      <c r="DF648" s="694"/>
      <c r="DG648" s="695"/>
      <c r="DH648" s="695"/>
      <c r="DI648" s="695"/>
      <c r="DJ648" s="695"/>
      <c r="DK648" s="695"/>
      <c r="DL648" s="695"/>
      <c r="DM648" s="695"/>
      <c r="DN648" s="695"/>
      <c r="DO648" s="695"/>
      <c r="DP648" s="695"/>
      <c r="DQ648" s="695"/>
      <c r="DR648" s="695"/>
      <c r="DS648" s="694"/>
      <c r="DT648" s="694"/>
      <c r="DU648" s="694"/>
      <c r="DV648" s="694"/>
      <c r="DW648" s="694"/>
      <c r="DX648" s="694"/>
      <c r="DY648" s="694"/>
      <c r="DZ648" s="694"/>
      <c r="EA648" s="694"/>
      <c r="EB648" s="694"/>
      <c r="EC648" s="694"/>
      <c r="ED648" s="694"/>
      <c r="EE648" s="694"/>
      <c r="EF648" s="694"/>
      <c r="EG648" s="694"/>
      <c r="EH648" s="694"/>
      <c r="EI648" s="694"/>
      <c r="EJ648" s="694"/>
      <c r="EK648" s="694"/>
      <c r="EL648" s="694"/>
      <c r="EM648" s="694"/>
      <c r="EN648" s="694"/>
      <c r="EO648" s="694"/>
      <c r="EP648" s="694"/>
      <c r="EQ648" s="694"/>
      <c r="ER648" s="694"/>
      <c r="ES648" s="694"/>
      <c r="ET648" s="694"/>
      <c r="EU648" s="694"/>
      <c r="EV648" s="694"/>
      <c r="EW648" s="694"/>
      <c r="EX648" s="694"/>
      <c r="EY648" s="694"/>
      <c r="EZ648" s="694"/>
      <c r="FA648" s="694"/>
      <c r="FB648" s="694"/>
      <c r="FC648" s="694"/>
      <c r="FD648" s="694"/>
      <c r="FE648" s="694"/>
      <c r="FF648" s="694"/>
      <c r="FG648" s="694"/>
      <c r="FH648" s="694"/>
      <c r="FI648" s="694"/>
      <c r="FJ648" s="694"/>
      <c r="FK648" s="694"/>
      <c r="FL648" s="694"/>
      <c r="FM648" s="694"/>
      <c r="FN648" s="694"/>
      <c r="FO648" s="694"/>
      <c r="FP648" s="694"/>
      <c r="FQ648" s="697"/>
    </row>
    <row r="649" spans="1:177" s="696" customFormat="1">
      <c r="A649" s="690"/>
      <c r="B649" s="690"/>
      <c r="C649" s="691"/>
      <c r="D649" s="691"/>
      <c r="E649" s="692"/>
      <c r="F649" s="692"/>
      <c r="G649" s="692"/>
      <c r="H649" s="692"/>
      <c r="I649" s="692"/>
      <c r="J649" s="692"/>
      <c r="K649" s="692"/>
      <c r="L649" s="692"/>
      <c r="M649" s="692"/>
      <c r="N649" s="692"/>
      <c r="O649" s="692"/>
      <c r="P649" s="692"/>
      <c r="Q649" s="692"/>
      <c r="R649" s="693"/>
      <c r="S649" s="693"/>
      <c r="T649" s="692"/>
      <c r="U649" s="692"/>
      <c r="V649" s="692"/>
      <c r="W649" s="692"/>
      <c r="X649" s="692"/>
      <c r="Y649" s="692"/>
      <c r="Z649" s="692"/>
      <c r="AA649" s="692"/>
      <c r="AB649" s="692"/>
      <c r="AC649" s="692"/>
      <c r="AD649" s="692"/>
      <c r="AE649" s="725"/>
      <c r="AF649" s="957"/>
      <c r="AG649" s="692"/>
      <c r="AH649" s="692"/>
      <c r="AI649" s="692"/>
      <c r="AJ649" s="692"/>
      <c r="AK649" s="692"/>
      <c r="AL649" s="692"/>
      <c r="AM649" s="692"/>
      <c r="AN649" s="692"/>
      <c r="AO649" s="692"/>
      <c r="AP649" s="692"/>
      <c r="AQ649" s="692"/>
      <c r="AR649" s="692"/>
      <c r="AS649" s="692"/>
      <c r="AT649" s="692"/>
      <c r="AU649" s="692"/>
      <c r="AV649" s="692"/>
      <c r="AW649" s="692"/>
      <c r="AX649" s="692"/>
      <c r="AY649" s="692"/>
      <c r="AZ649" s="692"/>
      <c r="BA649" s="692"/>
      <c r="BB649" s="692"/>
      <c r="BC649" s="692"/>
      <c r="BD649" s="692"/>
      <c r="BE649" s="692"/>
      <c r="BF649" s="692"/>
      <c r="BG649" s="692"/>
      <c r="BH649" s="692"/>
      <c r="BI649" s="692"/>
      <c r="BJ649" s="692"/>
      <c r="BK649" s="692"/>
      <c r="BL649" s="692"/>
      <c r="BM649" s="692"/>
      <c r="BN649" s="692"/>
      <c r="BO649" s="692"/>
      <c r="BP649" s="692"/>
      <c r="BQ649" s="692"/>
      <c r="BR649" s="692"/>
      <c r="BS649" s="692"/>
      <c r="BT649" s="692"/>
      <c r="BU649" s="692"/>
      <c r="BV649" s="692"/>
      <c r="BW649" s="692"/>
      <c r="BX649" s="692"/>
      <c r="BY649" s="692"/>
      <c r="BZ649" s="692"/>
      <c r="CA649" s="692"/>
      <c r="CB649" s="692"/>
      <c r="CC649" s="692"/>
      <c r="CD649" s="692"/>
      <c r="CE649" s="692"/>
      <c r="CF649" s="692"/>
      <c r="CG649" s="692"/>
      <c r="CH649" s="692"/>
      <c r="CI649" s="692"/>
      <c r="CJ649" s="692"/>
      <c r="CK649" s="692"/>
      <c r="CL649" s="692"/>
      <c r="CM649" s="692"/>
      <c r="CN649" s="692"/>
      <c r="CO649" s="692"/>
      <c r="CP649" s="692"/>
      <c r="CQ649" s="692"/>
      <c r="CR649" s="692"/>
      <c r="CS649" s="692"/>
      <c r="CT649" s="692"/>
      <c r="CU649" s="692"/>
      <c r="CV649" s="692"/>
      <c r="CW649" s="692"/>
      <c r="CX649" s="694"/>
      <c r="CY649" s="694"/>
      <c r="CZ649" s="694"/>
      <c r="DA649" s="694"/>
      <c r="DB649" s="694"/>
      <c r="DC649" s="694"/>
      <c r="DD649" s="694"/>
      <c r="DE649" s="694"/>
      <c r="DF649" s="694"/>
      <c r="DG649" s="695"/>
      <c r="DH649" s="695"/>
      <c r="DI649" s="695"/>
      <c r="DJ649" s="695"/>
      <c r="DK649" s="695"/>
      <c r="DL649" s="695"/>
      <c r="DM649" s="695"/>
      <c r="DN649" s="695"/>
      <c r="DO649" s="695"/>
      <c r="DP649" s="695"/>
      <c r="DQ649" s="695"/>
      <c r="DR649" s="695"/>
      <c r="DS649" s="694"/>
      <c r="DT649" s="694"/>
      <c r="DU649" s="694"/>
      <c r="DV649" s="694"/>
      <c r="DW649" s="694"/>
      <c r="DX649" s="694"/>
      <c r="DY649" s="694"/>
      <c r="DZ649" s="694"/>
      <c r="EA649" s="694"/>
      <c r="EB649" s="694"/>
      <c r="EC649" s="694"/>
      <c r="ED649" s="694"/>
      <c r="EE649" s="694"/>
      <c r="EF649" s="694"/>
      <c r="EG649" s="694"/>
      <c r="EH649" s="694"/>
      <c r="EI649" s="694"/>
      <c r="EJ649" s="694"/>
      <c r="EK649" s="694"/>
      <c r="EL649" s="694"/>
      <c r="EM649" s="694"/>
      <c r="EN649" s="694"/>
      <c r="EO649" s="694"/>
      <c r="EP649" s="694"/>
      <c r="EQ649" s="694"/>
      <c r="ER649" s="694"/>
      <c r="ES649" s="694"/>
      <c r="ET649" s="694"/>
      <c r="EU649" s="694"/>
      <c r="EV649" s="694"/>
      <c r="EW649" s="694"/>
      <c r="EX649" s="694"/>
      <c r="EY649" s="694"/>
      <c r="EZ649" s="694"/>
      <c r="FA649" s="694"/>
      <c r="FB649" s="694"/>
      <c r="FC649" s="694"/>
      <c r="FD649" s="694"/>
      <c r="FE649" s="694"/>
      <c r="FF649" s="694"/>
      <c r="FG649" s="694"/>
      <c r="FH649" s="694"/>
      <c r="FI649" s="694"/>
      <c r="FJ649" s="694"/>
      <c r="FK649" s="694"/>
      <c r="FL649" s="694"/>
      <c r="FM649" s="694"/>
      <c r="FN649" s="694"/>
      <c r="FO649" s="694"/>
      <c r="FP649" s="694"/>
      <c r="FQ649" s="697"/>
    </row>
    <row r="650" spans="1:177" s="4" customFormat="1">
      <c r="A650" s="486">
        <f>MATCH(C650,$C$5:$C$700,0)</f>
        <v>646</v>
      </c>
      <c r="B650" s="56"/>
      <c r="C650" s="507" t="s">
        <v>3082</v>
      </c>
      <c r="D650" s="507"/>
      <c r="E650" s="508">
        <f t="shared" ref="E650:AN650" si="207">SUM(E640:E649)</f>
        <v>0</v>
      </c>
      <c r="F650" s="508">
        <f t="shared" si="207"/>
        <v>0</v>
      </c>
      <c r="G650" s="508">
        <f t="shared" si="207"/>
        <v>0</v>
      </c>
      <c r="H650" s="508">
        <f t="shared" si="207"/>
        <v>0</v>
      </c>
      <c r="I650" s="508">
        <f t="shared" si="207"/>
        <v>0</v>
      </c>
      <c r="J650" s="508">
        <f t="shared" si="207"/>
        <v>0</v>
      </c>
      <c r="K650" s="508">
        <f t="shared" si="207"/>
        <v>0</v>
      </c>
      <c r="L650" s="508">
        <f t="shared" si="207"/>
        <v>0</v>
      </c>
      <c r="M650" s="508">
        <f t="shared" si="207"/>
        <v>0</v>
      </c>
      <c r="N650" s="508">
        <f t="shared" si="207"/>
        <v>0</v>
      </c>
      <c r="O650" s="508">
        <f t="shared" si="207"/>
        <v>0</v>
      </c>
      <c r="P650" s="508">
        <f t="shared" si="207"/>
        <v>0</v>
      </c>
      <c r="Q650" s="508">
        <f t="shared" si="207"/>
        <v>0</v>
      </c>
      <c r="R650" s="508">
        <f t="shared" si="207"/>
        <v>0</v>
      </c>
      <c r="S650" s="508">
        <f t="shared" si="207"/>
        <v>0</v>
      </c>
      <c r="T650" s="509">
        <f t="shared" si="207"/>
        <v>0</v>
      </c>
      <c r="U650" s="509">
        <f t="shared" si="207"/>
        <v>0</v>
      </c>
      <c r="V650" s="509">
        <f t="shared" si="207"/>
        <v>0</v>
      </c>
      <c r="W650" s="509">
        <f t="shared" si="207"/>
        <v>0</v>
      </c>
      <c r="X650" s="509">
        <f t="shared" si="207"/>
        <v>0</v>
      </c>
      <c r="Y650" s="509">
        <f t="shared" si="207"/>
        <v>0</v>
      </c>
      <c r="Z650" s="509">
        <f t="shared" si="207"/>
        <v>0</v>
      </c>
      <c r="AA650" s="509">
        <f>SUM(AA640:AA649)</f>
        <v>0</v>
      </c>
      <c r="AB650" s="509">
        <f t="shared" si="207"/>
        <v>0</v>
      </c>
      <c r="AC650" s="509">
        <f t="shared" si="207"/>
        <v>0</v>
      </c>
      <c r="AD650" s="509">
        <f>SUM(AD640:AD649)</f>
        <v>0</v>
      </c>
      <c r="AE650" s="511">
        <f t="shared" si="207"/>
        <v>0</v>
      </c>
      <c r="AF650" s="958">
        <f>SUM(AF640:AF649)</f>
        <v>0</v>
      </c>
      <c r="AG650" s="509">
        <f t="shared" si="207"/>
        <v>0</v>
      </c>
      <c r="AH650" s="509">
        <f t="shared" si="207"/>
        <v>0</v>
      </c>
      <c r="AI650" s="509">
        <f t="shared" si="207"/>
        <v>0</v>
      </c>
      <c r="AJ650" s="509">
        <f t="shared" si="207"/>
        <v>0</v>
      </c>
      <c r="AK650" s="509">
        <f t="shared" si="207"/>
        <v>0</v>
      </c>
      <c r="AL650" s="509">
        <f t="shared" si="207"/>
        <v>0</v>
      </c>
      <c r="AM650" s="509">
        <f t="shared" si="207"/>
        <v>0</v>
      </c>
      <c r="AN650" s="509">
        <f t="shared" si="207"/>
        <v>0</v>
      </c>
      <c r="AO650" s="509">
        <f t="shared" ref="AO650:BV650" si="208">SUM(AO640:AO649)</f>
        <v>0</v>
      </c>
      <c r="AP650" s="509">
        <f t="shared" si="208"/>
        <v>0</v>
      </c>
      <c r="AQ650" s="509">
        <f t="shared" si="208"/>
        <v>0</v>
      </c>
      <c r="AR650" s="509">
        <f t="shared" si="208"/>
        <v>0</v>
      </c>
      <c r="AS650" s="509">
        <f>SUM(AS640:AS649)</f>
        <v>0</v>
      </c>
      <c r="AT650" s="509">
        <f>SUM(AT640:AT649)</f>
        <v>0</v>
      </c>
      <c r="AU650" s="509">
        <f t="shared" si="208"/>
        <v>0</v>
      </c>
      <c r="AV650" s="509">
        <f t="shared" si="208"/>
        <v>0</v>
      </c>
      <c r="AW650" s="509">
        <f t="shared" si="208"/>
        <v>0</v>
      </c>
      <c r="AX650" s="509">
        <f t="shared" si="208"/>
        <v>0</v>
      </c>
      <c r="AY650" s="509">
        <f t="shared" si="208"/>
        <v>0</v>
      </c>
      <c r="AZ650" s="509">
        <f t="shared" si="208"/>
        <v>0</v>
      </c>
      <c r="BA650" s="509">
        <f t="shared" si="208"/>
        <v>0</v>
      </c>
      <c r="BB650" s="509">
        <f t="shared" si="208"/>
        <v>0</v>
      </c>
      <c r="BC650" s="509">
        <f t="shared" si="208"/>
        <v>0</v>
      </c>
      <c r="BD650" s="509">
        <f t="shared" si="208"/>
        <v>0</v>
      </c>
      <c r="BE650" s="509">
        <f t="shared" si="208"/>
        <v>2</v>
      </c>
      <c r="BF650" s="509">
        <f t="shared" si="208"/>
        <v>0</v>
      </c>
      <c r="BG650" s="509">
        <f t="shared" si="208"/>
        <v>0</v>
      </c>
      <c r="BH650" s="509">
        <f t="shared" si="208"/>
        <v>0</v>
      </c>
      <c r="BI650" s="509">
        <f t="shared" si="208"/>
        <v>0</v>
      </c>
      <c r="BJ650" s="509">
        <f t="shared" si="208"/>
        <v>0</v>
      </c>
      <c r="BK650" s="509">
        <f t="shared" si="208"/>
        <v>0</v>
      </c>
      <c r="BL650" s="509">
        <f t="shared" si="208"/>
        <v>0</v>
      </c>
      <c r="BM650" s="509">
        <f t="shared" si="208"/>
        <v>0</v>
      </c>
      <c r="BN650" s="509">
        <f t="shared" si="208"/>
        <v>0</v>
      </c>
      <c r="BO650" s="509">
        <f t="shared" si="208"/>
        <v>0</v>
      </c>
      <c r="BP650" s="509">
        <f t="shared" si="208"/>
        <v>0</v>
      </c>
      <c r="BQ650" s="509">
        <f t="shared" si="208"/>
        <v>0</v>
      </c>
      <c r="BR650" s="509">
        <f t="shared" si="208"/>
        <v>0</v>
      </c>
      <c r="BS650" s="509">
        <f t="shared" si="208"/>
        <v>0</v>
      </c>
      <c r="BT650" s="509">
        <f t="shared" si="208"/>
        <v>0</v>
      </c>
      <c r="BU650" s="509">
        <f t="shared" si="208"/>
        <v>0</v>
      </c>
      <c r="BV650" s="509">
        <f t="shared" si="208"/>
        <v>0</v>
      </c>
      <c r="BW650" s="509">
        <f t="shared" ref="BW650:DH650" si="209">SUM(BW640:BW649)</f>
        <v>0</v>
      </c>
      <c r="BX650" s="509">
        <f t="shared" si="209"/>
        <v>0</v>
      </c>
      <c r="BY650" s="509">
        <f t="shared" si="209"/>
        <v>2</v>
      </c>
      <c r="BZ650" s="509">
        <f t="shared" si="209"/>
        <v>0</v>
      </c>
      <c r="CA650" s="509">
        <f t="shared" si="209"/>
        <v>0</v>
      </c>
      <c r="CB650" s="509">
        <f t="shared" si="209"/>
        <v>0</v>
      </c>
      <c r="CC650" s="509">
        <f t="shared" si="209"/>
        <v>0</v>
      </c>
      <c r="CD650" s="509">
        <f t="shared" si="209"/>
        <v>0</v>
      </c>
      <c r="CE650" s="509">
        <f t="shared" si="209"/>
        <v>0</v>
      </c>
      <c r="CF650" s="509">
        <f t="shared" si="209"/>
        <v>0</v>
      </c>
      <c r="CG650" s="509">
        <f t="shared" si="209"/>
        <v>0</v>
      </c>
      <c r="CH650" s="509">
        <f t="shared" si="209"/>
        <v>0</v>
      </c>
      <c r="CI650" s="509">
        <f>SUM(CI640:CI649)</f>
        <v>0</v>
      </c>
      <c r="CJ650" s="509">
        <f t="shared" si="209"/>
        <v>16</v>
      </c>
      <c r="CK650" s="509">
        <f t="shared" si="209"/>
        <v>0</v>
      </c>
      <c r="CL650" s="509">
        <f t="shared" si="209"/>
        <v>0</v>
      </c>
      <c r="CM650" s="509">
        <f t="shared" si="209"/>
        <v>0</v>
      </c>
      <c r="CN650" s="509">
        <f t="shared" si="209"/>
        <v>8</v>
      </c>
      <c r="CO650" s="509">
        <f>SUM(CO640:CO649)</f>
        <v>0</v>
      </c>
      <c r="CP650" s="509">
        <f t="shared" si="209"/>
        <v>0</v>
      </c>
      <c r="CQ650" s="509">
        <f t="shared" si="209"/>
        <v>0</v>
      </c>
      <c r="CR650" s="509">
        <f t="shared" si="209"/>
        <v>0</v>
      </c>
      <c r="CS650" s="509">
        <f t="shared" si="209"/>
        <v>0</v>
      </c>
      <c r="CT650" s="509">
        <f t="shared" si="209"/>
        <v>0</v>
      </c>
      <c r="CU650" s="509">
        <f t="shared" si="209"/>
        <v>0</v>
      </c>
      <c r="CV650" s="509">
        <f t="shared" si="209"/>
        <v>0</v>
      </c>
      <c r="CW650" s="509">
        <f t="shared" si="209"/>
        <v>0</v>
      </c>
      <c r="CX650" s="509">
        <f t="shared" si="209"/>
        <v>0</v>
      </c>
      <c r="CY650" s="509">
        <f t="shared" ref="CY650" si="210">SUM(CY640:CY649)</f>
        <v>0</v>
      </c>
      <c r="CZ650" s="509">
        <f>SUM(CZ640:CZ649)</f>
        <v>0</v>
      </c>
      <c r="DA650" s="509">
        <f>SUM(DA640:DA649)</f>
        <v>0</v>
      </c>
      <c r="DB650" s="509">
        <f t="shared" si="209"/>
        <v>0</v>
      </c>
      <c r="DC650" s="509">
        <f t="shared" si="209"/>
        <v>0</v>
      </c>
      <c r="DD650" s="509">
        <f t="shared" si="209"/>
        <v>0</v>
      </c>
      <c r="DE650" s="509">
        <f t="shared" si="209"/>
        <v>0</v>
      </c>
      <c r="DF650" s="509">
        <f t="shared" si="209"/>
        <v>0</v>
      </c>
      <c r="DG650" s="518">
        <f t="shared" si="209"/>
        <v>0</v>
      </c>
      <c r="DH650" s="518">
        <f t="shared" si="209"/>
        <v>0</v>
      </c>
      <c r="DI650" s="518">
        <f t="shared" ref="DI650:EN650" si="211">SUM(DI640:DI649)</f>
        <v>0</v>
      </c>
      <c r="DJ650" s="518">
        <f t="shared" si="211"/>
        <v>0</v>
      </c>
      <c r="DK650" s="518">
        <f t="shared" si="211"/>
        <v>0</v>
      </c>
      <c r="DL650" s="518">
        <f t="shared" si="211"/>
        <v>0</v>
      </c>
      <c r="DM650" s="518">
        <f t="shared" si="211"/>
        <v>0</v>
      </c>
      <c r="DN650" s="518">
        <f t="shared" si="211"/>
        <v>0</v>
      </c>
      <c r="DO650" s="518">
        <f t="shared" si="211"/>
        <v>0</v>
      </c>
      <c r="DP650" s="518">
        <f t="shared" si="211"/>
        <v>0</v>
      </c>
      <c r="DQ650" s="518">
        <f t="shared" si="211"/>
        <v>0</v>
      </c>
      <c r="DR650" s="518">
        <f t="shared" si="211"/>
        <v>0</v>
      </c>
      <c r="DS650" s="509">
        <f t="shared" si="211"/>
        <v>0</v>
      </c>
      <c r="DT650" s="509">
        <f t="shared" si="211"/>
        <v>0</v>
      </c>
      <c r="DU650" s="509">
        <f t="shared" si="211"/>
        <v>0</v>
      </c>
      <c r="DV650" s="509">
        <f t="shared" si="211"/>
        <v>0</v>
      </c>
      <c r="DW650" s="509">
        <f t="shared" si="211"/>
        <v>0</v>
      </c>
      <c r="DX650" s="509">
        <f t="shared" si="211"/>
        <v>0</v>
      </c>
      <c r="DY650" s="509">
        <f t="shared" si="211"/>
        <v>0</v>
      </c>
      <c r="DZ650" s="509">
        <f t="shared" si="211"/>
        <v>0</v>
      </c>
      <c r="EA650" s="509">
        <f t="shared" si="211"/>
        <v>0</v>
      </c>
      <c r="EB650" s="509">
        <f t="shared" si="211"/>
        <v>0</v>
      </c>
      <c r="EC650" s="509">
        <f t="shared" si="211"/>
        <v>0</v>
      </c>
      <c r="ED650" s="509">
        <f t="shared" si="211"/>
        <v>0</v>
      </c>
      <c r="EE650" s="509">
        <f t="shared" si="211"/>
        <v>0</v>
      </c>
      <c r="EF650" s="509">
        <f t="shared" si="211"/>
        <v>0</v>
      </c>
      <c r="EG650" s="509">
        <f t="shared" si="211"/>
        <v>0</v>
      </c>
      <c r="EH650" s="509">
        <f t="shared" si="211"/>
        <v>0</v>
      </c>
      <c r="EI650" s="509">
        <f t="shared" si="211"/>
        <v>0</v>
      </c>
      <c r="EJ650" s="509">
        <f t="shared" si="211"/>
        <v>0</v>
      </c>
      <c r="EK650" s="509">
        <f t="shared" si="211"/>
        <v>0</v>
      </c>
      <c r="EL650" s="509">
        <f t="shared" si="211"/>
        <v>0</v>
      </c>
      <c r="EM650" s="509">
        <f t="shared" si="211"/>
        <v>0</v>
      </c>
      <c r="EN650" s="509">
        <f t="shared" si="211"/>
        <v>0</v>
      </c>
      <c r="EO650" s="509">
        <f t="shared" ref="EO650:FO650" si="212">SUM(EO640:EO649)</f>
        <v>0</v>
      </c>
      <c r="EP650" s="509">
        <f t="shared" si="212"/>
        <v>0</v>
      </c>
      <c r="EQ650" s="509">
        <f t="shared" si="212"/>
        <v>0</v>
      </c>
      <c r="ER650" s="509">
        <f t="shared" si="212"/>
        <v>0</v>
      </c>
      <c r="ES650" s="509">
        <f t="shared" si="212"/>
        <v>0</v>
      </c>
      <c r="ET650" s="509">
        <f t="shared" si="212"/>
        <v>0</v>
      </c>
      <c r="EU650" s="509">
        <f t="shared" si="212"/>
        <v>0</v>
      </c>
      <c r="EV650" s="509">
        <f t="shared" si="212"/>
        <v>0</v>
      </c>
      <c r="EW650" s="509">
        <f t="shared" si="212"/>
        <v>0</v>
      </c>
      <c r="EX650" s="509">
        <f t="shared" si="212"/>
        <v>0</v>
      </c>
      <c r="EY650" s="509">
        <f t="shared" si="212"/>
        <v>0</v>
      </c>
      <c r="EZ650" s="509">
        <f t="shared" si="212"/>
        <v>0</v>
      </c>
      <c r="FA650" s="509">
        <f t="shared" si="212"/>
        <v>0</v>
      </c>
      <c r="FB650" s="509">
        <f t="shared" si="212"/>
        <v>0</v>
      </c>
      <c r="FC650" s="509">
        <f t="shared" si="212"/>
        <v>0</v>
      </c>
      <c r="FD650" s="509">
        <f t="shared" si="212"/>
        <v>0</v>
      </c>
      <c r="FE650" s="509">
        <f t="shared" si="212"/>
        <v>0</v>
      </c>
      <c r="FF650" s="509">
        <f t="shared" si="212"/>
        <v>0</v>
      </c>
      <c r="FG650" s="509">
        <f t="shared" si="212"/>
        <v>0</v>
      </c>
      <c r="FH650" s="509">
        <f t="shared" si="212"/>
        <v>0</v>
      </c>
      <c r="FI650" s="509">
        <f t="shared" si="212"/>
        <v>0</v>
      </c>
      <c r="FJ650" s="509">
        <f t="shared" si="212"/>
        <v>0</v>
      </c>
      <c r="FK650" s="509">
        <f t="shared" si="212"/>
        <v>0</v>
      </c>
      <c r="FL650" s="509">
        <f t="shared" si="212"/>
        <v>0</v>
      </c>
      <c r="FM650" s="509">
        <f t="shared" si="212"/>
        <v>0</v>
      </c>
      <c r="FN650" s="509">
        <f t="shared" si="212"/>
        <v>0</v>
      </c>
      <c r="FO650" s="509">
        <f t="shared" si="212"/>
        <v>0</v>
      </c>
      <c r="FP650" s="509"/>
      <c r="FQ650" s="508"/>
      <c r="FU650" s="4">
        <f>DY650-FM650</f>
        <v>0</v>
      </c>
    </row>
    <row r="651" spans="1:177" s="4" customFormat="1">
      <c r="A651" s="56"/>
      <c r="B651" s="56">
        <v>12</v>
      </c>
      <c r="C651" s="501" t="s">
        <v>3890</v>
      </c>
      <c r="D651" s="502"/>
      <c r="E651" s="503"/>
      <c r="F651" s="503"/>
      <c r="G651" s="503"/>
      <c r="H651" s="503"/>
      <c r="I651" s="503"/>
      <c r="J651" s="503"/>
      <c r="K651" s="503"/>
      <c r="L651" s="503"/>
      <c r="M651" s="503"/>
      <c r="N651" s="503"/>
      <c r="O651" s="503"/>
      <c r="P651" s="503"/>
      <c r="Q651" s="503"/>
      <c r="R651" s="503"/>
      <c r="S651" s="503"/>
      <c r="T651" s="504"/>
      <c r="U651" s="504"/>
      <c r="V651" s="504"/>
      <c r="W651" s="504"/>
      <c r="X651" s="504"/>
      <c r="Y651" s="504"/>
      <c r="Z651" s="504"/>
      <c r="AA651" s="504"/>
      <c r="AB651" s="504"/>
      <c r="AC651" s="504"/>
      <c r="AD651" s="504"/>
      <c r="AE651" s="954"/>
      <c r="AF651" s="959"/>
      <c r="AG651" s="504"/>
      <c r="AH651" s="504"/>
      <c r="AI651" s="504"/>
      <c r="AJ651" s="504"/>
      <c r="AK651" s="504"/>
      <c r="AL651" s="504"/>
      <c r="AM651" s="504"/>
      <c r="AN651" s="504"/>
      <c r="AO651" s="504"/>
      <c r="AP651" s="504"/>
      <c r="AQ651" s="504"/>
      <c r="AR651" s="504"/>
      <c r="AS651" s="504"/>
      <c r="AT651" s="504"/>
      <c r="AU651" s="504"/>
      <c r="AV651" s="504"/>
      <c r="AW651" s="504"/>
      <c r="AX651" s="504"/>
      <c r="AY651" s="504"/>
      <c r="AZ651" s="504"/>
      <c r="BA651" s="504"/>
      <c r="BB651" s="504"/>
      <c r="BC651" s="504"/>
      <c r="BD651" s="504"/>
      <c r="BE651" s="504"/>
      <c r="BF651" s="504"/>
      <c r="BG651" s="504"/>
      <c r="BH651" s="504"/>
      <c r="BI651" s="504"/>
      <c r="BJ651" s="504"/>
      <c r="BK651" s="504"/>
      <c r="BL651" s="504"/>
      <c r="BM651" s="504"/>
      <c r="BN651" s="504"/>
      <c r="BO651" s="504"/>
      <c r="BP651" s="504"/>
      <c r="BQ651" s="504"/>
      <c r="BR651" s="504"/>
      <c r="BS651" s="504"/>
      <c r="BT651" s="504"/>
      <c r="BU651" s="504"/>
      <c r="BV651" s="504"/>
      <c r="BW651" s="504"/>
      <c r="BX651" s="504"/>
      <c r="BY651" s="504"/>
      <c r="BZ651" s="504"/>
      <c r="CA651" s="504"/>
      <c r="CB651" s="504"/>
      <c r="CC651" s="504"/>
      <c r="CD651" s="504"/>
      <c r="CE651" s="504"/>
      <c r="CF651" s="504"/>
      <c r="CG651" s="504"/>
      <c r="CH651" s="504"/>
      <c r="CI651" s="504"/>
      <c r="CJ651" s="504"/>
      <c r="CK651" s="504"/>
      <c r="CL651" s="504"/>
      <c r="CM651" s="504"/>
      <c r="CN651" s="504"/>
      <c r="CO651" s="504"/>
      <c r="CP651" s="504"/>
      <c r="CQ651" s="504"/>
      <c r="CR651" s="504"/>
      <c r="CS651" s="504"/>
      <c r="CT651" s="504"/>
      <c r="CU651" s="504"/>
      <c r="CV651" s="504"/>
      <c r="CW651" s="504"/>
      <c r="CX651" s="504"/>
      <c r="CY651" s="504"/>
      <c r="CZ651" s="504"/>
      <c r="DA651" s="504"/>
      <c r="DB651" s="504"/>
      <c r="DC651" s="504"/>
      <c r="DD651" s="504"/>
      <c r="DE651" s="504"/>
      <c r="DF651" s="504"/>
      <c r="DG651" s="519"/>
      <c r="DH651" s="519"/>
      <c r="DI651" s="519"/>
      <c r="DJ651" s="519"/>
      <c r="DK651" s="519"/>
      <c r="DL651" s="519"/>
      <c r="DM651" s="519"/>
      <c r="DN651" s="519"/>
      <c r="DO651" s="519"/>
      <c r="DP651" s="519"/>
      <c r="DQ651" s="519"/>
      <c r="DR651" s="519"/>
      <c r="DS651" s="504"/>
      <c r="DT651" s="504"/>
      <c r="DU651" s="504"/>
      <c r="DV651" s="504"/>
      <c r="DW651" s="504"/>
      <c r="DX651" s="504"/>
      <c r="DY651" s="504"/>
      <c r="DZ651" s="504"/>
      <c r="EA651" s="504"/>
      <c r="EB651" s="504"/>
      <c r="EC651" s="504"/>
      <c r="ED651" s="504"/>
      <c r="EE651" s="504"/>
      <c r="EF651" s="504"/>
      <c r="EG651" s="504"/>
      <c r="EH651" s="504"/>
      <c r="EI651" s="504"/>
      <c r="EJ651" s="504"/>
      <c r="EK651" s="504"/>
      <c r="EL651" s="504"/>
      <c r="EM651" s="504"/>
      <c r="EN651" s="504"/>
      <c r="EO651" s="504"/>
      <c r="EP651" s="504"/>
      <c r="EQ651" s="504"/>
      <c r="ER651" s="504"/>
      <c r="ES651" s="504"/>
      <c r="ET651" s="504"/>
      <c r="EU651" s="504"/>
      <c r="EV651" s="504"/>
      <c r="EW651" s="504"/>
      <c r="EX651" s="504"/>
      <c r="EY651" s="504"/>
      <c r="EZ651" s="504"/>
      <c r="FA651" s="504"/>
      <c r="FB651" s="504"/>
      <c r="FC651" s="504"/>
      <c r="FD651" s="504"/>
      <c r="FE651" s="504"/>
      <c r="FF651" s="504"/>
      <c r="FG651" s="504"/>
      <c r="FH651" s="504"/>
      <c r="FI651" s="504"/>
      <c r="FJ651" s="504"/>
      <c r="FK651" s="504"/>
      <c r="FL651" s="504"/>
      <c r="FM651" s="504"/>
      <c r="FN651" s="504"/>
      <c r="FO651" s="504"/>
      <c r="FP651" s="504"/>
      <c r="FQ651" s="505"/>
      <c r="FU651" s="4">
        <f>DY651-FM651</f>
        <v>0</v>
      </c>
    </row>
    <row r="652" spans="1:177" s="696" customFormat="1">
      <c r="A652" s="690"/>
      <c r="B652" s="690"/>
      <c r="C652" s="691"/>
      <c r="D652" s="699"/>
      <c r="E652" s="692"/>
      <c r="F652" s="692"/>
      <c r="G652" s="692"/>
      <c r="H652" s="692"/>
      <c r="I652" s="692"/>
      <c r="J652" s="692"/>
      <c r="K652" s="692"/>
      <c r="L652" s="692"/>
      <c r="M652" s="692"/>
      <c r="N652" s="692"/>
      <c r="O652" s="692"/>
      <c r="P652" s="692"/>
      <c r="Q652" s="692"/>
      <c r="R652" s="693"/>
      <c r="S652" s="693"/>
      <c r="T652" s="692"/>
      <c r="U652" s="692"/>
      <c r="V652" s="692"/>
      <c r="W652" s="692"/>
      <c r="X652" s="692"/>
      <c r="Y652" s="692"/>
      <c r="Z652" s="692"/>
      <c r="AA652" s="692"/>
      <c r="AB652" s="692"/>
      <c r="AC652" s="692"/>
      <c r="AD652" s="692"/>
      <c r="AE652" s="725"/>
      <c r="AF652" s="957"/>
      <c r="AG652" s="692"/>
      <c r="AH652" s="692"/>
      <c r="AI652" s="692"/>
      <c r="AJ652" s="692"/>
      <c r="AK652" s="692"/>
      <c r="AL652" s="692"/>
      <c r="AM652" s="692"/>
      <c r="AN652" s="692"/>
      <c r="AO652" s="692"/>
      <c r="AP652" s="692"/>
      <c r="AQ652" s="692"/>
      <c r="AR652" s="692"/>
      <c r="AS652" s="692"/>
      <c r="AT652" s="692"/>
      <c r="AU652" s="692"/>
      <c r="AV652" s="692"/>
      <c r="AW652" s="692"/>
      <c r="AX652" s="692"/>
      <c r="AY652" s="692"/>
      <c r="AZ652" s="692"/>
      <c r="BA652" s="692"/>
      <c r="BB652" s="692"/>
      <c r="BC652" s="692"/>
      <c r="BD652" s="692"/>
      <c r="BE652" s="692"/>
      <c r="BF652" s="692"/>
      <c r="BG652" s="692"/>
      <c r="BH652" s="692"/>
      <c r="BI652" s="692"/>
      <c r="BJ652" s="692"/>
      <c r="BK652" s="692"/>
      <c r="BL652" s="692"/>
      <c r="BM652" s="692"/>
      <c r="BN652" s="692"/>
      <c r="BO652" s="692"/>
      <c r="BP652" s="692"/>
      <c r="BQ652" s="692"/>
      <c r="BR652" s="692"/>
      <c r="BS652" s="692"/>
      <c r="BT652" s="692"/>
      <c r="BU652" s="692"/>
      <c r="BV652" s="692"/>
      <c r="BW652" s="692"/>
      <c r="BX652" s="692"/>
      <c r="BY652" s="692"/>
      <c r="BZ652" s="692"/>
      <c r="CA652" s="692"/>
      <c r="CB652" s="692"/>
      <c r="CC652" s="692"/>
      <c r="CD652" s="692"/>
      <c r="CE652" s="692"/>
      <c r="CF652" s="692"/>
      <c r="CG652" s="692"/>
      <c r="CH652" s="692"/>
      <c r="CI652" s="692"/>
      <c r="CJ652" s="692"/>
      <c r="CK652" s="692"/>
      <c r="CL652" s="692"/>
      <c r="CM652" s="692"/>
      <c r="CN652" s="692"/>
      <c r="CO652" s="692"/>
      <c r="CP652" s="692"/>
      <c r="CQ652" s="692"/>
      <c r="CR652" s="692"/>
      <c r="CS652" s="692"/>
      <c r="CT652" s="692"/>
      <c r="CU652" s="692"/>
      <c r="CV652" s="692"/>
      <c r="CW652" s="692"/>
      <c r="CX652" s="694"/>
      <c r="CY652" s="694"/>
      <c r="CZ652" s="694"/>
      <c r="DA652" s="694"/>
      <c r="DB652" s="694"/>
      <c r="DC652" s="694"/>
      <c r="DD652" s="694"/>
      <c r="DE652" s="694"/>
      <c r="DF652" s="694"/>
      <c r="DG652" s="695"/>
      <c r="DH652" s="695"/>
      <c r="DI652" s="695"/>
      <c r="DJ652" s="695"/>
      <c r="DK652" s="695"/>
      <c r="DL652" s="695"/>
      <c r="DM652" s="695"/>
      <c r="DN652" s="695"/>
      <c r="DO652" s="695"/>
      <c r="DP652" s="695"/>
      <c r="DQ652" s="695"/>
      <c r="DR652" s="695"/>
      <c r="DS652" s="694"/>
      <c r="DT652" s="694"/>
      <c r="DU652" s="694"/>
      <c r="DV652" s="694"/>
      <c r="DW652" s="694"/>
      <c r="DX652" s="694"/>
      <c r="DY652" s="694"/>
      <c r="DZ652" s="694"/>
      <c r="EA652" s="694"/>
      <c r="EB652" s="694"/>
      <c r="EC652" s="694"/>
      <c r="ED652" s="694"/>
      <c r="EE652" s="694"/>
      <c r="EF652" s="694"/>
      <c r="EG652" s="694"/>
      <c r="EH652" s="694"/>
      <c r="EI652" s="694"/>
      <c r="EJ652" s="694"/>
      <c r="EK652" s="694"/>
      <c r="EL652" s="694"/>
      <c r="EM652" s="694"/>
      <c r="EN652" s="694"/>
      <c r="EO652" s="694"/>
      <c r="EP652" s="694"/>
      <c r="EQ652" s="694"/>
      <c r="ER652" s="694"/>
      <c r="ES652" s="694"/>
      <c r="ET652" s="694"/>
      <c r="EU652" s="694"/>
      <c r="EV652" s="694"/>
      <c r="EW652" s="694"/>
      <c r="EX652" s="694"/>
      <c r="EY652" s="694"/>
      <c r="EZ652" s="694"/>
      <c r="FA652" s="694"/>
      <c r="FB652" s="694"/>
      <c r="FC652" s="694"/>
      <c r="FD652" s="694"/>
      <c r="FE652" s="694"/>
      <c r="FF652" s="694"/>
      <c r="FG652" s="694"/>
      <c r="FH652" s="694"/>
      <c r="FI652" s="694"/>
      <c r="FJ652" s="694"/>
      <c r="FK652" s="694"/>
      <c r="FL652" s="694"/>
      <c r="FM652" s="694"/>
      <c r="FN652" s="694"/>
      <c r="FO652" s="694"/>
      <c r="FP652" s="694"/>
      <c r="FQ652" s="697"/>
    </row>
    <row r="653" spans="1:177" s="696" customFormat="1">
      <c r="A653" s="690"/>
      <c r="B653" s="690"/>
      <c r="C653" s="691"/>
      <c r="D653" s="691" t="s">
        <v>2995</v>
      </c>
      <c r="E653" s="692"/>
      <c r="F653" s="692"/>
      <c r="G653" s="692"/>
      <c r="H653" s="692"/>
      <c r="I653" s="692"/>
      <c r="J653" s="692"/>
      <c r="K653" s="692"/>
      <c r="L653" s="692"/>
      <c r="M653" s="692"/>
      <c r="N653" s="692"/>
      <c r="O653" s="692"/>
      <c r="P653" s="692"/>
      <c r="Q653" s="692"/>
      <c r="R653" s="693"/>
      <c r="S653" s="693"/>
      <c r="T653" s="692"/>
      <c r="U653" s="692" t="s">
        <v>2989</v>
      </c>
      <c r="V653" s="692"/>
      <c r="W653" s="692"/>
      <c r="X653" s="692"/>
      <c r="Y653" s="692"/>
      <c r="Z653" s="692"/>
      <c r="AA653" s="692"/>
      <c r="AB653" s="692"/>
      <c r="AC653" s="692"/>
      <c r="AD653" s="692"/>
      <c r="AE653" s="725"/>
      <c r="AF653" s="957"/>
      <c r="AG653" s="692"/>
      <c r="AH653" s="692"/>
      <c r="AI653" s="692"/>
      <c r="AJ653" s="692"/>
      <c r="AK653" s="692"/>
      <c r="AL653" s="692"/>
      <c r="AM653" s="692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>
        <v>2</v>
      </c>
      <c r="BF653" s="692"/>
      <c r="BG653" s="692"/>
      <c r="BH653" s="692"/>
      <c r="BI653" s="692"/>
      <c r="BJ653" s="692"/>
      <c r="BK653" s="692"/>
      <c r="BL653" s="692"/>
      <c r="BM653" s="692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  <c r="BX653" s="692"/>
      <c r="BY653" s="692">
        <v>2</v>
      </c>
      <c r="BZ653" s="692"/>
      <c r="CA653" s="692"/>
      <c r="CB653" s="692"/>
      <c r="CC653" s="692"/>
      <c r="CD653" s="692"/>
      <c r="CE653" s="692">
        <v>6</v>
      </c>
      <c r="CF653" s="692"/>
      <c r="CG653" s="692">
        <v>12</v>
      </c>
      <c r="CH653" s="692"/>
      <c r="CI653" s="692"/>
      <c r="CJ653" s="692">
        <v>8</v>
      </c>
      <c r="CK653" s="692"/>
      <c r="CL653" s="692"/>
      <c r="CM653" s="692"/>
      <c r="CN653" s="692"/>
      <c r="CO653" s="692">
        <v>8</v>
      </c>
      <c r="CP653" s="692"/>
      <c r="CQ653" s="692"/>
      <c r="CR653" s="692"/>
      <c r="CS653" s="692"/>
      <c r="CT653" s="692"/>
      <c r="CU653" s="692">
        <v>2</v>
      </c>
      <c r="CV653" s="692"/>
      <c r="CW653" s="692"/>
      <c r="CX653" s="694"/>
      <c r="CY653" s="694"/>
      <c r="CZ653" s="694"/>
      <c r="DA653" s="694"/>
      <c r="DB653" s="694"/>
      <c r="DC653" s="694"/>
      <c r="DD653" s="694"/>
      <c r="DE653" s="694"/>
      <c r="DF653" s="694"/>
      <c r="DG653" s="695"/>
      <c r="DH653" s="695"/>
      <c r="DI653" s="695"/>
      <c r="DJ653" s="695"/>
      <c r="DK653" s="695"/>
      <c r="DL653" s="695"/>
      <c r="DM653" s="695"/>
      <c r="DN653" s="695"/>
      <c r="DO653" s="695"/>
      <c r="DP653" s="695"/>
      <c r="DQ653" s="695"/>
      <c r="DR653" s="695"/>
      <c r="DS653" s="694"/>
      <c r="DT653" s="694"/>
      <c r="DU653" s="694"/>
      <c r="DV653" s="694"/>
      <c r="DW653" s="694"/>
      <c r="DX653" s="694"/>
      <c r="DY653" s="694"/>
      <c r="DZ653" s="694"/>
      <c r="EA653" s="694"/>
      <c r="EB653" s="694"/>
      <c r="EC653" s="694"/>
      <c r="ED653" s="694"/>
      <c r="EE653" s="694"/>
      <c r="EF653" s="694"/>
      <c r="EG653" s="694"/>
      <c r="EH653" s="694"/>
      <c r="EI653" s="694"/>
      <c r="EJ653" s="694"/>
      <c r="EK653" s="694"/>
      <c r="EL653" s="694"/>
      <c r="EM653" s="694"/>
      <c r="EN653" s="694"/>
      <c r="EO653" s="694"/>
      <c r="EP653" s="694"/>
      <c r="EQ653" s="694"/>
      <c r="ER653" s="694"/>
      <c r="ES653" s="694"/>
      <c r="ET653" s="694"/>
      <c r="EU653" s="694"/>
      <c r="EV653" s="694"/>
      <c r="EW653" s="694"/>
      <c r="EX653" s="694"/>
      <c r="EY653" s="694"/>
      <c r="EZ653" s="694"/>
      <c r="FA653" s="694"/>
      <c r="FB653" s="694"/>
      <c r="FC653" s="694"/>
      <c r="FD653" s="694"/>
      <c r="FE653" s="694"/>
      <c r="FF653" s="694"/>
      <c r="FG653" s="694"/>
      <c r="FH653" s="694"/>
      <c r="FI653" s="694"/>
      <c r="FJ653" s="694"/>
      <c r="FK653" s="694"/>
      <c r="FL653" s="694"/>
      <c r="FM653" s="694"/>
      <c r="FN653" s="694"/>
      <c r="FO653" s="694"/>
      <c r="FP653" s="694"/>
      <c r="FQ653" s="697"/>
    </row>
    <row r="654" spans="1:177" s="696" customFormat="1">
      <c r="A654" s="690"/>
      <c r="B654" s="690"/>
      <c r="C654" s="691"/>
      <c r="D654" s="691"/>
      <c r="E654" s="692"/>
      <c r="F654" s="692"/>
      <c r="G654" s="692"/>
      <c r="H654" s="692"/>
      <c r="I654" s="692"/>
      <c r="J654" s="692"/>
      <c r="K654" s="692"/>
      <c r="L654" s="692"/>
      <c r="M654" s="692"/>
      <c r="N654" s="692"/>
      <c r="O654" s="692"/>
      <c r="P654" s="692"/>
      <c r="Q654" s="692"/>
      <c r="R654" s="693"/>
      <c r="S654" s="693"/>
      <c r="T654" s="692"/>
      <c r="U654" s="692"/>
      <c r="V654" s="692"/>
      <c r="W654" s="692"/>
      <c r="X654" s="692"/>
      <c r="Y654" s="692"/>
      <c r="Z654" s="692"/>
      <c r="AA654" s="692"/>
      <c r="AB654" s="692"/>
      <c r="AC654" s="692"/>
      <c r="AD654" s="692"/>
      <c r="AE654" s="725"/>
      <c r="AF654" s="957"/>
      <c r="AG654" s="692"/>
      <c r="AH654" s="692"/>
      <c r="AI654" s="692"/>
      <c r="AJ654" s="692"/>
      <c r="AK654" s="692"/>
      <c r="AL654" s="692"/>
      <c r="AM654" s="692"/>
      <c r="AN654" s="692"/>
      <c r="AO654" s="692"/>
      <c r="AP654" s="692"/>
      <c r="AQ654" s="692"/>
      <c r="AR654" s="692"/>
      <c r="AS654" s="692"/>
      <c r="AT654" s="692"/>
      <c r="AU654" s="692"/>
      <c r="AV654" s="692"/>
      <c r="AW654" s="692"/>
      <c r="AX654" s="692"/>
      <c r="AY654" s="692"/>
      <c r="AZ654" s="692"/>
      <c r="BA654" s="692"/>
      <c r="BB654" s="692"/>
      <c r="BC654" s="692"/>
      <c r="BD654" s="692"/>
      <c r="BE654" s="692"/>
      <c r="BF654" s="692"/>
      <c r="BG654" s="692"/>
      <c r="BH654" s="692"/>
      <c r="BI654" s="692"/>
      <c r="BJ654" s="692"/>
      <c r="BK654" s="692"/>
      <c r="BL654" s="692"/>
      <c r="BM654" s="692"/>
      <c r="BN654" s="692"/>
      <c r="BO654" s="692"/>
      <c r="BP654" s="692"/>
      <c r="BQ654" s="692"/>
      <c r="BR654" s="692"/>
      <c r="BS654" s="692"/>
      <c r="BT654" s="692"/>
      <c r="BU654" s="692"/>
      <c r="BV654" s="692"/>
      <c r="BW654" s="692"/>
      <c r="BX654" s="692"/>
      <c r="BY654" s="692"/>
      <c r="BZ654" s="692"/>
      <c r="CA654" s="692"/>
      <c r="CB654" s="692"/>
      <c r="CC654" s="692"/>
      <c r="CD654" s="692"/>
      <c r="CE654" s="692"/>
      <c r="CF654" s="692"/>
      <c r="CG654" s="692"/>
      <c r="CH654" s="692"/>
      <c r="CI654" s="692"/>
      <c r="CJ654" s="692"/>
      <c r="CK654" s="692"/>
      <c r="CL654" s="692"/>
      <c r="CM654" s="692"/>
      <c r="CN654" s="692"/>
      <c r="CO654" s="692"/>
      <c r="CP654" s="692"/>
      <c r="CQ654" s="692"/>
      <c r="CR654" s="692"/>
      <c r="CS654" s="692"/>
      <c r="CT654" s="692"/>
      <c r="CU654" s="692"/>
      <c r="CV654" s="692"/>
      <c r="CW654" s="692"/>
      <c r="CX654" s="694"/>
      <c r="CY654" s="694"/>
      <c r="CZ654" s="694"/>
      <c r="DA654" s="694"/>
      <c r="DB654" s="694"/>
      <c r="DC654" s="694"/>
      <c r="DD654" s="694"/>
      <c r="DE654" s="694"/>
      <c r="DF654" s="694"/>
      <c r="DG654" s="695"/>
      <c r="DH654" s="695"/>
      <c r="DI654" s="695"/>
      <c r="DJ654" s="695"/>
      <c r="DK654" s="695"/>
      <c r="DL654" s="695"/>
      <c r="DM654" s="695"/>
      <c r="DN654" s="695"/>
      <c r="DO654" s="695"/>
      <c r="DP654" s="695"/>
      <c r="DQ654" s="695"/>
      <c r="DR654" s="695"/>
      <c r="DS654" s="694"/>
      <c r="DT654" s="694"/>
      <c r="DU654" s="694"/>
      <c r="DV654" s="694"/>
      <c r="DW654" s="694"/>
      <c r="DX654" s="694"/>
      <c r="DY654" s="694"/>
      <c r="DZ654" s="694"/>
      <c r="EA654" s="694"/>
      <c r="EB654" s="694"/>
      <c r="EC654" s="694"/>
      <c r="ED654" s="694"/>
      <c r="EE654" s="694"/>
      <c r="EF654" s="694"/>
      <c r="EG654" s="694"/>
      <c r="EH654" s="694"/>
      <c r="EI654" s="694"/>
      <c r="EJ654" s="694"/>
      <c r="EK654" s="694"/>
      <c r="EL654" s="694"/>
      <c r="EM654" s="694"/>
      <c r="EN654" s="694"/>
      <c r="EO654" s="694"/>
      <c r="EP654" s="694"/>
      <c r="EQ654" s="694"/>
      <c r="ER654" s="694"/>
      <c r="ES654" s="694"/>
      <c r="ET654" s="694"/>
      <c r="EU654" s="694"/>
      <c r="EV654" s="694"/>
      <c r="EW654" s="694"/>
      <c r="EX654" s="694"/>
      <c r="EY654" s="694"/>
      <c r="EZ654" s="694"/>
      <c r="FA654" s="694"/>
      <c r="FB654" s="694"/>
      <c r="FC654" s="694"/>
      <c r="FD654" s="694"/>
      <c r="FE654" s="694"/>
      <c r="FF654" s="694"/>
      <c r="FG654" s="694"/>
      <c r="FH654" s="694"/>
      <c r="FI654" s="694"/>
      <c r="FJ654" s="694"/>
      <c r="FK654" s="694"/>
      <c r="FL654" s="694"/>
      <c r="FM654" s="694"/>
      <c r="FN654" s="694"/>
      <c r="FO654" s="694"/>
      <c r="FP654" s="694"/>
      <c r="FQ654" s="697"/>
    </row>
    <row r="655" spans="1:177" s="4" customFormat="1">
      <c r="A655" s="486">
        <f>MATCH(C655,$C$5:$C$700,0)</f>
        <v>651</v>
      </c>
      <c r="B655" s="56"/>
      <c r="C655" s="507" t="s">
        <v>3083</v>
      </c>
      <c r="D655" s="507"/>
      <c r="E655" s="508">
        <f t="shared" ref="E655:AK655" si="213">SUM(E652:E654)</f>
        <v>0</v>
      </c>
      <c r="F655" s="508">
        <f t="shared" si="213"/>
        <v>0</v>
      </c>
      <c r="G655" s="508">
        <f t="shared" si="213"/>
        <v>0</v>
      </c>
      <c r="H655" s="508">
        <f t="shared" si="213"/>
        <v>0</v>
      </c>
      <c r="I655" s="508">
        <f t="shared" si="213"/>
        <v>0</v>
      </c>
      <c r="J655" s="508">
        <f t="shared" si="213"/>
        <v>0</v>
      </c>
      <c r="K655" s="508">
        <f t="shared" si="213"/>
        <v>0</v>
      </c>
      <c r="L655" s="508">
        <f t="shared" si="213"/>
        <v>0</v>
      </c>
      <c r="M655" s="508">
        <f t="shared" si="213"/>
        <v>0</v>
      </c>
      <c r="N655" s="508">
        <f t="shared" si="213"/>
        <v>0</v>
      </c>
      <c r="O655" s="508">
        <f t="shared" si="213"/>
        <v>0</v>
      </c>
      <c r="P655" s="508">
        <f t="shared" si="213"/>
        <v>0</v>
      </c>
      <c r="Q655" s="508">
        <f t="shared" si="213"/>
        <v>0</v>
      </c>
      <c r="R655" s="508">
        <f t="shared" si="213"/>
        <v>0</v>
      </c>
      <c r="S655" s="508">
        <f t="shared" si="213"/>
        <v>0</v>
      </c>
      <c r="T655" s="509">
        <f t="shared" si="213"/>
        <v>0</v>
      </c>
      <c r="U655" s="509">
        <f t="shared" si="213"/>
        <v>0</v>
      </c>
      <c r="V655" s="509">
        <f t="shared" si="213"/>
        <v>0</v>
      </c>
      <c r="W655" s="509">
        <f t="shared" si="213"/>
        <v>0</v>
      </c>
      <c r="X655" s="509">
        <f t="shared" si="213"/>
        <v>0</v>
      </c>
      <c r="Y655" s="509">
        <f t="shared" si="213"/>
        <v>0</v>
      </c>
      <c r="Z655" s="509">
        <f t="shared" si="213"/>
        <v>0</v>
      </c>
      <c r="AA655" s="509">
        <f t="shared" si="213"/>
        <v>0</v>
      </c>
      <c r="AB655" s="509">
        <f t="shared" si="213"/>
        <v>0</v>
      </c>
      <c r="AC655" s="509">
        <f t="shared" si="213"/>
        <v>0</v>
      </c>
      <c r="AD655" s="509">
        <f t="shared" si="213"/>
        <v>0</v>
      </c>
      <c r="AE655" s="511">
        <f t="shared" si="213"/>
        <v>0</v>
      </c>
      <c r="AF655" s="958">
        <f t="shared" si="213"/>
        <v>0</v>
      </c>
      <c r="AG655" s="509">
        <f t="shared" si="213"/>
        <v>0</v>
      </c>
      <c r="AH655" s="509">
        <f t="shared" si="213"/>
        <v>0</v>
      </c>
      <c r="AI655" s="509">
        <f t="shared" si="213"/>
        <v>0</v>
      </c>
      <c r="AJ655" s="509">
        <f t="shared" si="213"/>
        <v>0</v>
      </c>
      <c r="AK655" s="509">
        <f t="shared" si="213"/>
        <v>0</v>
      </c>
      <c r="AL655" s="509">
        <f t="shared" ref="AL655:BQ655" si="214">SUM(AL652:AL654)</f>
        <v>0</v>
      </c>
      <c r="AM655" s="509">
        <f t="shared" si="214"/>
        <v>0</v>
      </c>
      <c r="AN655" s="509">
        <f t="shared" si="214"/>
        <v>0</v>
      </c>
      <c r="AO655" s="509">
        <f t="shared" si="214"/>
        <v>0</v>
      </c>
      <c r="AP655" s="509">
        <f t="shared" si="214"/>
        <v>0</v>
      </c>
      <c r="AQ655" s="509">
        <f t="shared" si="214"/>
        <v>0</v>
      </c>
      <c r="AR655" s="509">
        <f t="shared" si="214"/>
        <v>0</v>
      </c>
      <c r="AS655" s="509">
        <f t="shared" si="214"/>
        <v>0</v>
      </c>
      <c r="AT655" s="509">
        <f t="shared" si="214"/>
        <v>0</v>
      </c>
      <c r="AU655" s="509">
        <f t="shared" si="214"/>
        <v>0</v>
      </c>
      <c r="AV655" s="509">
        <f t="shared" si="214"/>
        <v>0</v>
      </c>
      <c r="AW655" s="509">
        <f t="shared" si="214"/>
        <v>0</v>
      </c>
      <c r="AX655" s="509">
        <f t="shared" si="214"/>
        <v>0</v>
      </c>
      <c r="AY655" s="509">
        <f t="shared" si="214"/>
        <v>0</v>
      </c>
      <c r="AZ655" s="509">
        <f t="shared" si="214"/>
        <v>0</v>
      </c>
      <c r="BA655" s="509">
        <f t="shared" si="214"/>
        <v>0</v>
      </c>
      <c r="BB655" s="509">
        <f t="shared" si="214"/>
        <v>0</v>
      </c>
      <c r="BC655" s="509">
        <f t="shared" si="214"/>
        <v>0</v>
      </c>
      <c r="BD655" s="509">
        <f t="shared" si="214"/>
        <v>0</v>
      </c>
      <c r="BE655" s="509">
        <f t="shared" si="214"/>
        <v>2</v>
      </c>
      <c r="BF655" s="509">
        <f t="shared" si="214"/>
        <v>0</v>
      </c>
      <c r="BG655" s="509">
        <f t="shared" si="214"/>
        <v>0</v>
      </c>
      <c r="BH655" s="509">
        <f t="shared" si="214"/>
        <v>0</v>
      </c>
      <c r="BI655" s="509">
        <f t="shared" si="214"/>
        <v>0</v>
      </c>
      <c r="BJ655" s="509">
        <f t="shared" si="214"/>
        <v>0</v>
      </c>
      <c r="BK655" s="509">
        <f t="shared" si="214"/>
        <v>0</v>
      </c>
      <c r="BL655" s="509">
        <f t="shared" si="214"/>
        <v>0</v>
      </c>
      <c r="BM655" s="509">
        <f t="shared" si="214"/>
        <v>0</v>
      </c>
      <c r="BN655" s="509">
        <f t="shared" si="214"/>
        <v>0</v>
      </c>
      <c r="BO655" s="509">
        <f t="shared" si="214"/>
        <v>0</v>
      </c>
      <c r="BP655" s="509">
        <f t="shared" si="214"/>
        <v>0</v>
      </c>
      <c r="BQ655" s="509">
        <f t="shared" si="214"/>
        <v>0</v>
      </c>
      <c r="BR655" s="509">
        <f t="shared" ref="BR655:CW655" si="215">SUM(BR652:BR654)</f>
        <v>0</v>
      </c>
      <c r="BS655" s="509">
        <f t="shared" si="215"/>
        <v>0</v>
      </c>
      <c r="BT655" s="509">
        <f t="shared" si="215"/>
        <v>0</v>
      </c>
      <c r="BU655" s="509">
        <f t="shared" si="215"/>
        <v>0</v>
      </c>
      <c r="BV655" s="509">
        <f t="shared" si="215"/>
        <v>0</v>
      </c>
      <c r="BW655" s="509">
        <f t="shared" si="215"/>
        <v>0</v>
      </c>
      <c r="BX655" s="509">
        <f t="shared" si="215"/>
        <v>0</v>
      </c>
      <c r="BY655" s="509">
        <f t="shared" si="215"/>
        <v>2</v>
      </c>
      <c r="BZ655" s="509">
        <f t="shared" si="215"/>
        <v>0</v>
      </c>
      <c r="CA655" s="509">
        <f t="shared" si="215"/>
        <v>0</v>
      </c>
      <c r="CB655" s="509">
        <f t="shared" si="215"/>
        <v>0</v>
      </c>
      <c r="CC655" s="509">
        <f t="shared" si="215"/>
        <v>0</v>
      </c>
      <c r="CD655" s="509">
        <f t="shared" si="215"/>
        <v>0</v>
      </c>
      <c r="CE655" s="509">
        <f t="shared" si="215"/>
        <v>6</v>
      </c>
      <c r="CF655" s="509">
        <f t="shared" si="215"/>
        <v>0</v>
      </c>
      <c r="CG655" s="509">
        <f t="shared" si="215"/>
        <v>12</v>
      </c>
      <c r="CH655" s="509">
        <f t="shared" si="215"/>
        <v>0</v>
      </c>
      <c r="CI655" s="509">
        <f t="shared" si="215"/>
        <v>0</v>
      </c>
      <c r="CJ655" s="509">
        <f t="shared" si="215"/>
        <v>8</v>
      </c>
      <c r="CK655" s="509">
        <f t="shared" si="215"/>
        <v>0</v>
      </c>
      <c r="CL655" s="509">
        <f t="shared" si="215"/>
        <v>0</v>
      </c>
      <c r="CM655" s="509">
        <f t="shared" si="215"/>
        <v>0</v>
      </c>
      <c r="CN655" s="509">
        <f t="shared" si="215"/>
        <v>0</v>
      </c>
      <c r="CO655" s="509">
        <f t="shared" si="215"/>
        <v>8</v>
      </c>
      <c r="CP655" s="509">
        <f t="shared" si="215"/>
        <v>0</v>
      </c>
      <c r="CQ655" s="509">
        <f t="shared" si="215"/>
        <v>0</v>
      </c>
      <c r="CR655" s="509">
        <f t="shared" si="215"/>
        <v>0</v>
      </c>
      <c r="CS655" s="509">
        <f t="shared" si="215"/>
        <v>0</v>
      </c>
      <c r="CT655" s="509">
        <f t="shared" si="215"/>
        <v>0</v>
      </c>
      <c r="CU655" s="509">
        <f t="shared" si="215"/>
        <v>2</v>
      </c>
      <c r="CV655" s="509">
        <f t="shared" si="215"/>
        <v>0</v>
      </c>
      <c r="CW655" s="509">
        <f t="shared" si="215"/>
        <v>0</v>
      </c>
      <c r="CX655" s="509">
        <f t="shared" ref="CX655:ED655" si="216">SUM(CX652:CX654)</f>
        <v>0</v>
      </c>
      <c r="CY655" s="509">
        <f t="shared" ref="CY655" si="217">SUM(CY652:CY654)</f>
        <v>0</v>
      </c>
      <c r="CZ655" s="509">
        <f t="shared" si="216"/>
        <v>0</v>
      </c>
      <c r="DA655" s="509">
        <f t="shared" si="216"/>
        <v>0</v>
      </c>
      <c r="DB655" s="509">
        <f t="shared" si="216"/>
        <v>0</v>
      </c>
      <c r="DC655" s="509">
        <f t="shared" si="216"/>
        <v>0</v>
      </c>
      <c r="DD655" s="509">
        <f t="shared" si="216"/>
        <v>0</v>
      </c>
      <c r="DE655" s="509">
        <f t="shared" si="216"/>
        <v>0</v>
      </c>
      <c r="DF655" s="509">
        <f t="shared" si="216"/>
        <v>0</v>
      </c>
      <c r="DG655" s="518">
        <f t="shared" si="216"/>
        <v>0</v>
      </c>
      <c r="DH655" s="518">
        <f t="shared" si="216"/>
        <v>0</v>
      </c>
      <c r="DI655" s="518">
        <f t="shared" si="216"/>
        <v>0</v>
      </c>
      <c r="DJ655" s="518">
        <f t="shared" si="216"/>
        <v>0</v>
      </c>
      <c r="DK655" s="518">
        <f t="shared" si="216"/>
        <v>0</v>
      </c>
      <c r="DL655" s="518">
        <f t="shared" si="216"/>
        <v>0</v>
      </c>
      <c r="DM655" s="518">
        <f t="shared" si="216"/>
        <v>0</v>
      </c>
      <c r="DN655" s="518">
        <f t="shared" si="216"/>
        <v>0</v>
      </c>
      <c r="DO655" s="518">
        <f t="shared" si="216"/>
        <v>0</v>
      </c>
      <c r="DP655" s="518">
        <f t="shared" si="216"/>
        <v>0</v>
      </c>
      <c r="DQ655" s="518">
        <f t="shared" si="216"/>
        <v>0</v>
      </c>
      <c r="DR655" s="518">
        <f t="shared" si="216"/>
        <v>0</v>
      </c>
      <c r="DS655" s="509">
        <f t="shared" si="216"/>
        <v>0</v>
      </c>
      <c r="DT655" s="509">
        <f t="shared" si="216"/>
        <v>0</v>
      </c>
      <c r="DU655" s="509">
        <f t="shared" si="216"/>
        <v>0</v>
      </c>
      <c r="DV655" s="509">
        <f t="shared" si="216"/>
        <v>0</v>
      </c>
      <c r="DW655" s="509">
        <f t="shared" si="216"/>
        <v>0</v>
      </c>
      <c r="DX655" s="509">
        <f t="shared" si="216"/>
        <v>0</v>
      </c>
      <c r="DY655" s="509">
        <f t="shared" si="216"/>
        <v>0</v>
      </c>
      <c r="DZ655" s="509">
        <f t="shared" si="216"/>
        <v>0</v>
      </c>
      <c r="EA655" s="509">
        <f t="shared" si="216"/>
        <v>0</v>
      </c>
      <c r="EB655" s="509">
        <f t="shared" si="216"/>
        <v>0</v>
      </c>
      <c r="EC655" s="509">
        <f t="shared" si="216"/>
        <v>0</v>
      </c>
      <c r="ED655" s="509">
        <f t="shared" si="216"/>
        <v>0</v>
      </c>
      <c r="EE655" s="509">
        <f t="shared" ref="EE655:FJ655" si="218">SUM(EE652:EE654)</f>
        <v>0</v>
      </c>
      <c r="EF655" s="509">
        <f t="shared" si="218"/>
        <v>0</v>
      </c>
      <c r="EG655" s="509">
        <f t="shared" si="218"/>
        <v>0</v>
      </c>
      <c r="EH655" s="509">
        <f t="shared" si="218"/>
        <v>0</v>
      </c>
      <c r="EI655" s="509">
        <f t="shared" si="218"/>
        <v>0</v>
      </c>
      <c r="EJ655" s="509">
        <f t="shared" si="218"/>
        <v>0</v>
      </c>
      <c r="EK655" s="509">
        <f t="shared" si="218"/>
        <v>0</v>
      </c>
      <c r="EL655" s="509">
        <f t="shared" si="218"/>
        <v>0</v>
      </c>
      <c r="EM655" s="509">
        <f t="shared" si="218"/>
        <v>0</v>
      </c>
      <c r="EN655" s="509">
        <f t="shared" si="218"/>
        <v>0</v>
      </c>
      <c r="EO655" s="509">
        <f t="shared" si="218"/>
        <v>0</v>
      </c>
      <c r="EP655" s="509">
        <f t="shared" si="218"/>
        <v>0</v>
      </c>
      <c r="EQ655" s="509">
        <f t="shared" si="218"/>
        <v>0</v>
      </c>
      <c r="ER655" s="509">
        <f t="shared" si="218"/>
        <v>0</v>
      </c>
      <c r="ES655" s="509">
        <f t="shared" si="218"/>
        <v>0</v>
      </c>
      <c r="ET655" s="509">
        <f t="shared" si="218"/>
        <v>0</v>
      </c>
      <c r="EU655" s="509">
        <f t="shared" si="218"/>
        <v>0</v>
      </c>
      <c r="EV655" s="509">
        <f t="shared" si="218"/>
        <v>0</v>
      </c>
      <c r="EW655" s="509">
        <f t="shared" si="218"/>
        <v>0</v>
      </c>
      <c r="EX655" s="509">
        <f t="shared" si="218"/>
        <v>0</v>
      </c>
      <c r="EY655" s="509">
        <f t="shared" si="218"/>
        <v>0</v>
      </c>
      <c r="EZ655" s="509">
        <f t="shared" si="218"/>
        <v>0</v>
      </c>
      <c r="FA655" s="509">
        <f t="shared" si="218"/>
        <v>0</v>
      </c>
      <c r="FB655" s="509">
        <f t="shared" si="218"/>
        <v>0</v>
      </c>
      <c r="FC655" s="509">
        <f t="shared" si="218"/>
        <v>0</v>
      </c>
      <c r="FD655" s="509">
        <f t="shared" si="218"/>
        <v>0</v>
      </c>
      <c r="FE655" s="509">
        <f t="shared" si="218"/>
        <v>0</v>
      </c>
      <c r="FF655" s="509">
        <f t="shared" si="218"/>
        <v>0</v>
      </c>
      <c r="FG655" s="509">
        <f t="shared" si="218"/>
        <v>0</v>
      </c>
      <c r="FH655" s="509">
        <f t="shared" si="218"/>
        <v>0</v>
      </c>
      <c r="FI655" s="509">
        <f t="shared" si="218"/>
        <v>0</v>
      </c>
      <c r="FJ655" s="509">
        <f t="shared" si="218"/>
        <v>0</v>
      </c>
      <c r="FK655" s="509">
        <f>SUM(FK652:FK654)</f>
        <v>0</v>
      </c>
      <c r="FL655" s="509">
        <f>SUM(FL652:FL654)</f>
        <v>0</v>
      </c>
      <c r="FM655" s="509">
        <f>SUM(FM652:FM654)</f>
        <v>0</v>
      </c>
      <c r="FN655" s="509">
        <f>SUM(FN652:FN654)</f>
        <v>0</v>
      </c>
      <c r="FO655" s="509">
        <f>SUM(FO652:FO654)</f>
        <v>0</v>
      </c>
      <c r="FP655" s="509"/>
      <c r="FQ655" s="508"/>
    </row>
    <row r="656" spans="1:177" s="4" customFormat="1">
      <c r="A656" s="56"/>
      <c r="B656" s="56">
        <v>13</v>
      </c>
      <c r="C656" s="501" t="s">
        <v>3891</v>
      </c>
      <c r="D656" s="502"/>
      <c r="E656" s="503"/>
      <c r="F656" s="503"/>
      <c r="G656" s="503"/>
      <c r="H656" s="503"/>
      <c r="I656" s="503"/>
      <c r="J656" s="503"/>
      <c r="K656" s="503"/>
      <c r="L656" s="503"/>
      <c r="M656" s="503"/>
      <c r="N656" s="503"/>
      <c r="O656" s="503"/>
      <c r="P656" s="503"/>
      <c r="Q656" s="503"/>
      <c r="R656" s="503"/>
      <c r="S656" s="503"/>
      <c r="T656" s="504"/>
      <c r="U656" s="504"/>
      <c r="V656" s="504"/>
      <c r="W656" s="504"/>
      <c r="X656" s="504"/>
      <c r="Y656" s="504"/>
      <c r="Z656" s="504"/>
      <c r="AA656" s="504"/>
      <c r="AB656" s="504"/>
      <c r="AC656" s="504"/>
      <c r="AD656" s="504"/>
      <c r="AE656" s="954"/>
      <c r="AF656" s="959"/>
      <c r="AG656" s="504"/>
      <c r="AH656" s="504"/>
      <c r="AI656" s="504"/>
      <c r="AJ656" s="504"/>
      <c r="AK656" s="504"/>
      <c r="AL656" s="504"/>
      <c r="AM656" s="504"/>
      <c r="AN656" s="504"/>
      <c r="AO656" s="504"/>
      <c r="AP656" s="504"/>
      <c r="AQ656" s="504"/>
      <c r="AR656" s="504"/>
      <c r="AS656" s="504"/>
      <c r="AT656" s="504"/>
      <c r="AU656" s="504"/>
      <c r="AV656" s="504"/>
      <c r="AW656" s="504"/>
      <c r="AX656" s="504"/>
      <c r="AY656" s="504"/>
      <c r="AZ656" s="504"/>
      <c r="BA656" s="504"/>
      <c r="BB656" s="504"/>
      <c r="BC656" s="504"/>
      <c r="BD656" s="504"/>
      <c r="BE656" s="504"/>
      <c r="BF656" s="504"/>
      <c r="BG656" s="504"/>
      <c r="BH656" s="504"/>
      <c r="BI656" s="504"/>
      <c r="BJ656" s="504"/>
      <c r="BK656" s="504"/>
      <c r="BL656" s="504"/>
      <c r="BM656" s="504"/>
      <c r="BN656" s="504"/>
      <c r="BO656" s="504"/>
      <c r="BP656" s="504"/>
      <c r="BQ656" s="504"/>
      <c r="BR656" s="504"/>
      <c r="BS656" s="504"/>
      <c r="BT656" s="504"/>
      <c r="BU656" s="504"/>
      <c r="BV656" s="504"/>
      <c r="BW656" s="504"/>
      <c r="BX656" s="504"/>
      <c r="BY656" s="504"/>
      <c r="BZ656" s="504"/>
      <c r="CA656" s="504"/>
      <c r="CB656" s="504"/>
      <c r="CC656" s="504"/>
      <c r="CD656" s="504"/>
      <c r="CE656" s="504"/>
      <c r="CF656" s="504"/>
      <c r="CG656" s="504"/>
      <c r="CH656" s="504"/>
      <c r="CI656" s="504"/>
      <c r="CJ656" s="504"/>
      <c r="CK656" s="504"/>
      <c r="CL656" s="504"/>
      <c r="CM656" s="504"/>
      <c r="CN656" s="504"/>
      <c r="CO656" s="504"/>
      <c r="CP656" s="504"/>
      <c r="CQ656" s="504"/>
      <c r="CR656" s="504"/>
      <c r="CS656" s="504"/>
      <c r="CT656" s="504"/>
      <c r="CU656" s="504"/>
      <c r="CV656" s="504"/>
      <c r="CW656" s="504"/>
      <c r="CX656" s="504"/>
      <c r="CY656" s="504"/>
      <c r="CZ656" s="504"/>
      <c r="DA656" s="504"/>
      <c r="DB656" s="504"/>
      <c r="DC656" s="504"/>
      <c r="DD656" s="504"/>
      <c r="DE656" s="504"/>
      <c r="DF656" s="504"/>
      <c r="DG656" s="519"/>
      <c r="DH656" s="519"/>
      <c r="DI656" s="519"/>
      <c r="DJ656" s="519"/>
      <c r="DK656" s="519"/>
      <c r="DL656" s="519"/>
      <c r="DM656" s="519"/>
      <c r="DN656" s="519"/>
      <c r="DO656" s="519"/>
      <c r="DP656" s="519"/>
      <c r="DQ656" s="519"/>
      <c r="DR656" s="519"/>
      <c r="DS656" s="504"/>
      <c r="DT656" s="504"/>
      <c r="DU656" s="504"/>
      <c r="DV656" s="504"/>
      <c r="DW656" s="504"/>
      <c r="DX656" s="504"/>
      <c r="DY656" s="504"/>
      <c r="DZ656" s="504"/>
      <c r="EA656" s="504"/>
      <c r="EB656" s="504"/>
      <c r="EC656" s="504"/>
      <c r="ED656" s="504"/>
      <c r="EE656" s="504"/>
      <c r="EF656" s="504"/>
      <c r="EG656" s="504"/>
      <c r="EH656" s="504"/>
      <c r="EI656" s="504"/>
      <c r="EJ656" s="504"/>
      <c r="EK656" s="504"/>
      <c r="EL656" s="504"/>
      <c r="EM656" s="504"/>
      <c r="EN656" s="504"/>
      <c r="EO656" s="504"/>
      <c r="EP656" s="504"/>
      <c r="EQ656" s="504"/>
      <c r="ER656" s="504"/>
      <c r="ES656" s="504"/>
      <c r="ET656" s="504"/>
      <c r="EU656" s="504"/>
      <c r="EV656" s="504"/>
      <c r="EW656" s="504"/>
      <c r="EX656" s="504"/>
      <c r="EY656" s="504"/>
      <c r="EZ656" s="504"/>
      <c r="FA656" s="504"/>
      <c r="FB656" s="504"/>
      <c r="FC656" s="504"/>
      <c r="FD656" s="504"/>
      <c r="FE656" s="504"/>
      <c r="FF656" s="504"/>
      <c r="FG656" s="504"/>
      <c r="FH656" s="504"/>
      <c r="FI656" s="504"/>
      <c r="FJ656" s="504"/>
      <c r="FK656" s="504"/>
      <c r="FL656" s="504"/>
      <c r="FM656" s="504"/>
      <c r="FN656" s="504"/>
      <c r="FO656" s="504"/>
      <c r="FP656" s="504"/>
      <c r="FQ656" s="505"/>
    </row>
    <row r="657" spans="1:173" s="696" customFormat="1">
      <c r="A657" s="690"/>
      <c r="B657" s="690"/>
      <c r="C657" s="691"/>
      <c r="D657" s="691"/>
      <c r="E657" s="692"/>
      <c r="F657" s="692"/>
      <c r="G657" s="692"/>
      <c r="H657" s="692"/>
      <c r="I657" s="692"/>
      <c r="J657" s="692"/>
      <c r="K657" s="692"/>
      <c r="L657" s="692"/>
      <c r="M657" s="692"/>
      <c r="N657" s="692"/>
      <c r="O657" s="692"/>
      <c r="P657" s="692"/>
      <c r="Q657" s="692"/>
      <c r="R657" s="693"/>
      <c r="S657" s="693"/>
      <c r="T657" s="692"/>
      <c r="U657" s="692"/>
      <c r="V657" s="692"/>
      <c r="W657" s="692"/>
      <c r="X657" s="692"/>
      <c r="Y657" s="692"/>
      <c r="Z657" s="692"/>
      <c r="AA657" s="692"/>
      <c r="AB657" s="692"/>
      <c r="AC657" s="692"/>
      <c r="AD657" s="692"/>
      <c r="AE657" s="725"/>
      <c r="AF657" s="957"/>
      <c r="AG657" s="692"/>
      <c r="AH657" s="692"/>
      <c r="AI657" s="692"/>
      <c r="AJ657" s="692"/>
      <c r="AK657" s="692"/>
      <c r="AL657" s="692"/>
      <c r="AM657" s="692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692"/>
      <c r="BL657" s="692"/>
      <c r="BM657" s="692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  <c r="BX657" s="692"/>
      <c r="BY657" s="692"/>
      <c r="BZ657" s="692"/>
      <c r="CA657" s="692"/>
      <c r="CB657" s="692"/>
      <c r="CC657" s="692"/>
      <c r="CD657" s="692"/>
      <c r="CE657" s="692"/>
      <c r="CF657" s="692"/>
      <c r="CG657" s="692"/>
      <c r="CH657" s="692"/>
      <c r="CI657" s="692"/>
      <c r="CJ657" s="692"/>
      <c r="CK657" s="692"/>
      <c r="CL657" s="692"/>
      <c r="CM657" s="692"/>
      <c r="CN657" s="692"/>
      <c r="CO657" s="692"/>
      <c r="CP657" s="692"/>
      <c r="CQ657" s="692"/>
      <c r="CR657" s="692"/>
      <c r="CS657" s="692"/>
      <c r="CT657" s="692"/>
      <c r="CU657" s="692"/>
      <c r="CV657" s="692"/>
      <c r="CW657" s="692"/>
      <c r="CX657" s="694"/>
      <c r="CY657" s="694"/>
      <c r="CZ657" s="694"/>
      <c r="DA657" s="694"/>
      <c r="DB657" s="694"/>
      <c r="DC657" s="694"/>
      <c r="DD657" s="694"/>
      <c r="DE657" s="694"/>
      <c r="DF657" s="694"/>
      <c r="DG657" s="695"/>
      <c r="DH657" s="695"/>
      <c r="DI657" s="695"/>
      <c r="DJ657" s="695"/>
      <c r="DK657" s="695"/>
      <c r="DL657" s="695"/>
      <c r="DM657" s="695"/>
      <c r="DN657" s="695"/>
      <c r="DO657" s="695"/>
      <c r="DP657" s="695"/>
      <c r="DQ657" s="695"/>
      <c r="DR657" s="695"/>
      <c r="DS657" s="694"/>
      <c r="DT657" s="694"/>
      <c r="DU657" s="694"/>
      <c r="DV657" s="694"/>
      <c r="DW657" s="694"/>
      <c r="DX657" s="694"/>
      <c r="DY657" s="694"/>
      <c r="DZ657" s="694"/>
      <c r="EA657" s="694"/>
      <c r="EB657" s="694"/>
      <c r="EC657" s="694"/>
      <c r="ED657" s="694"/>
      <c r="EE657" s="694"/>
      <c r="EF657" s="694"/>
      <c r="EG657" s="694"/>
      <c r="EH657" s="694"/>
      <c r="EI657" s="694"/>
      <c r="EJ657" s="694"/>
      <c r="EK657" s="694"/>
      <c r="EL657" s="694"/>
      <c r="EM657" s="694"/>
      <c r="EN657" s="694"/>
      <c r="EO657" s="694"/>
      <c r="EP657" s="694"/>
      <c r="EQ657" s="694"/>
      <c r="ER657" s="694"/>
      <c r="ES657" s="694"/>
      <c r="ET657" s="694"/>
      <c r="EU657" s="694"/>
      <c r="EV657" s="694"/>
      <c r="EW657" s="694"/>
      <c r="EX657" s="694"/>
      <c r="EY657" s="694"/>
      <c r="EZ657" s="694"/>
      <c r="FA657" s="694"/>
      <c r="FB657" s="694"/>
      <c r="FC657" s="694"/>
      <c r="FD657" s="694"/>
      <c r="FE657" s="694"/>
      <c r="FF657" s="694"/>
      <c r="FG657" s="694"/>
      <c r="FH657" s="694"/>
      <c r="FI657" s="694"/>
      <c r="FJ657" s="694"/>
      <c r="FK657" s="694"/>
      <c r="FL657" s="694"/>
      <c r="FM657" s="694"/>
      <c r="FN657" s="694"/>
      <c r="FO657" s="694"/>
      <c r="FP657" s="694"/>
      <c r="FQ657" s="697"/>
    </row>
    <row r="658" spans="1:173" s="696" customFormat="1">
      <c r="A658" s="690"/>
      <c r="B658" s="690"/>
      <c r="C658" s="691"/>
      <c r="D658" s="691" t="s">
        <v>2995</v>
      </c>
      <c r="E658" s="692"/>
      <c r="F658" s="692"/>
      <c r="G658" s="692"/>
      <c r="H658" s="692"/>
      <c r="I658" s="692"/>
      <c r="J658" s="692"/>
      <c r="K658" s="692"/>
      <c r="L658" s="692"/>
      <c r="M658" s="692"/>
      <c r="N658" s="692"/>
      <c r="O658" s="692"/>
      <c r="P658" s="692"/>
      <c r="Q658" s="692"/>
      <c r="R658" s="693"/>
      <c r="S658" s="693"/>
      <c r="T658" s="692"/>
      <c r="U658" s="692" t="s">
        <v>2989</v>
      </c>
      <c r="V658" s="692"/>
      <c r="W658" s="692"/>
      <c r="X658" s="692"/>
      <c r="Y658" s="692"/>
      <c r="Z658" s="692"/>
      <c r="AA658" s="692"/>
      <c r="AB658" s="692"/>
      <c r="AC658" s="692"/>
      <c r="AD658" s="692"/>
      <c r="AE658" s="725"/>
      <c r="AF658" s="957"/>
      <c r="AG658" s="692"/>
      <c r="AH658" s="692"/>
      <c r="AI658" s="692"/>
      <c r="AJ658" s="692"/>
      <c r="AK658" s="692"/>
      <c r="AL658" s="692"/>
      <c r="AM658" s="692"/>
      <c r="AN658" s="692"/>
      <c r="AO658" s="692"/>
      <c r="AP658" s="692"/>
      <c r="AQ658" s="692"/>
      <c r="AR658" s="692"/>
      <c r="AS658" s="692"/>
      <c r="AT658" s="692"/>
      <c r="AU658" s="692"/>
      <c r="AV658" s="692"/>
      <c r="AW658" s="692"/>
      <c r="AX658" s="692"/>
      <c r="AY658" s="692">
        <v>2</v>
      </c>
      <c r="AZ658" s="692"/>
      <c r="BA658" s="692"/>
      <c r="BB658" s="692"/>
      <c r="BC658" s="692"/>
      <c r="BD658" s="692"/>
      <c r="BE658" s="692"/>
      <c r="BF658" s="692"/>
      <c r="BG658" s="692"/>
      <c r="BH658" s="692"/>
      <c r="BI658" s="692"/>
      <c r="BJ658" s="692"/>
      <c r="BK658" s="692"/>
      <c r="BL658" s="692"/>
      <c r="BM658" s="692"/>
      <c r="BN658" s="692"/>
      <c r="BO658" s="692"/>
      <c r="BP658" s="692"/>
      <c r="BQ658" s="692"/>
      <c r="BR658" s="692"/>
      <c r="BS658" s="692"/>
      <c r="BT658" s="692"/>
      <c r="BU658" s="692"/>
      <c r="BV658" s="692"/>
      <c r="BW658" s="692"/>
      <c r="BX658" s="692"/>
      <c r="BY658" s="692"/>
      <c r="BZ658" s="692"/>
      <c r="CA658" s="692"/>
      <c r="CB658" s="692"/>
      <c r="CC658" s="692"/>
      <c r="CD658" s="692"/>
      <c r="CE658" s="692">
        <v>6</v>
      </c>
      <c r="CF658" s="692"/>
      <c r="CG658" s="692">
        <v>12</v>
      </c>
      <c r="CH658" s="692"/>
      <c r="CI658" s="692">
        <v>8</v>
      </c>
      <c r="CJ658" s="692"/>
      <c r="CK658" s="692"/>
      <c r="CL658" s="692"/>
      <c r="CM658" s="692"/>
      <c r="CN658" s="692"/>
      <c r="CO658" s="692"/>
      <c r="CP658" s="692"/>
      <c r="CQ658" s="692"/>
      <c r="CR658" s="692"/>
      <c r="CS658" s="692"/>
      <c r="CT658" s="692"/>
      <c r="CU658" s="692">
        <v>2</v>
      </c>
      <c r="CV658" s="692"/>
      <c r="CW658" s="692"/>
      <c r="CX658" s="694">
        <v>2</v>
      </c>
      <c r="CY658" s="694"/>
      <c r="CZ658" s="694"/>
      <c r="DA658" s="694"/>
      <c r="DB658" s="694"/>
      <c r="DC658" s="694"/>
      <c r="DD658" s="694"/>
      <c r="DE658" s="694"/>
      <c r="DF658" s="694"/>
      <c r="DG658" s="695"/>
      <c r="DH658" s="695"/>
      <c r="DI658" s="695"/>
      <c r="DJ658" s="695"/>
      <c r="DK658" s="695"/>
      <c r="DL658" s="695"/>
      <c r="DM658" s="695"/>
      <c r="DN658" s="695"/>
      <c r="DO658" s="695"/>
      <c r="DP658" s="695"/>
      <c r="DQ658" s="695"/>
      <c r="DR658" s="695"/>
      <c r="DS658" s="694"/>
      <c r="DT658" s="694"/>
      <c r="DU658" s="694"/>
      <c r="DV658" s="694"/>
      <c r="DW658" s="694"/>
      <c r="DX658" s="694"/>
      <c r="DY658" s="694"/>
      <c r="DZ658" s="694"/>
      <c r="EA658" s="694"/>
      <c r="EB658" s="694"/>
      <c r="EC658" s="694"/>
      <c r="ED658" s="694"/>
      <c r="EE658" s="694"/>
      <c r="EF658" s="694"/>
      <c r="EG658" s="694"/>
      <c r="EH658" s="694"/>
      <c r="EI658" s="694"/>
      <c r="EJ658" s="694"/>
      <c r="EK658" s="694"/>
      <c r="EL658" s="694"/>
      <c r="EM658" s="694"/>
      <c r="EN658" s="694"/>
      <c r="EO658" s="694"/>
      <c r="EP658" s="694"/>
      <c r="EQ658" s="694"/>
      <c r="ER658" s="694"/>
      <c r="ES658" s="694"/>
      <c r="ET658" s="694"/>
      <c r="EU658" s="694"/>
      <c r="EV658" s="694"/>
      <c r="EW658" s="694"/>
      <c r="EX658" s="694"/>
      <c r="EY658" s="694"/>
      <c r="EZ658" s="694"/>
      <c r="FA658" s="694"/>
      <c r="FB658" s="694"/>
      <c r="FC658" s="694"/>
      <c r="FD658" s="694"/>
      <c r="FE658" s="694"/>
      <c r="FF658" s="694"/>
      <c r="FG658" s="694"/>
      <c r="FH658" s="694"/>
      <c r="FI658" s="694"/>
      <c r="FJ658" s="694"/>
      <c r="FK658" s="694"/>
      <c r="FL658" s="694"/>
      <c r="FM658" s="694"/>
      <c r="FN658" s="694"/>
      <c r="FO658" s="694"/>
      <c r="FP658" s="694"/>
      <c r="FQ658" s="697"/>
    </row>
    <row r="659" spans="1:173" s="696" customFormat="1">
      <c r="A659" s="690"/>
      <c r="B659" s="690"/>
      <c r="C659" s="708"/>
      <c r="D659" s="708"/>
      <c r="E659" s="694"/>
      <c r="F659" s="694"/>
      <c r="G659" s="694"/>
      <c r="H659" s="694"/>
      <c r="I659" s="694"/>
      <c r="J659" s="694"/>
      <c r="K659" s="694"/>
      <c r="L659" s="694"/>
      <c r="M659" s="694"/>
      <c r="N659" s="694"/>
      <c r="O659" s="694"/>
      <c r="P659" s="694"/>
      <c r="Q659" s="694"/>
      <c r="R659" s="697"/>
      <c r="S659" s="697"/>
      <c r="T659" s="694"/>
      <c r="U659" s="694"/>
      <c r="V659" s="694"/>
      <c r="W659" s="694"/>
      <c r="X659" s="694"/>
      <c r="Y659" s="694"/>
      <c r="Z659" s="694"/>
      <c r="AA659" s="694"/>
      <c r="AB659" s="694"/>
      <c r="AC659" s="694"/>
      <c r="AD659" s="694"/>
      <c r="AE659" s="512"/>
      <c r="AF659" s="961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4"/>
      <c r="BL659" s="694"/>
      <c r="BM659" s="694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  <c r="BX659" s="694"/>
      <c r="BY659" s="694"/>
      <c r="BZ659" s="694"/>
      <c r="CA659" s="694"/>
      <c r="CB659" s="694"/>
      <c r="CC659" s="694"/>
      <c r="CD659" s="694"/>
      <c r="CE659" s="694"/>
      <c r="CF659" s="694"/>
      <c r="CG659" s="694"/>
      <c r="CH659" s="694"/>
      <c r="CI659" s="694"/>
      <c r="CJ659" s="694"/>
      <c r="CK659" s="694"/>
      <c r="CL659" s="694"/>
      <c r="CM659" s="694"/>
      <c r="CN659" s="694"/>
      <c r="CO659" s="694"/>
      <c r="CP659" s="694"/>
      <c r="CQ659" s="694"/>
      <c r="CR659" s="694"/>
      <c r="CS659" s="694"/>
      <c r="CT659" s="694"/>
      <c r="CU659" s="694"/>
      <c r="CV659" s="694"/>
      <c r="CW659" s="694"/>
      <c r="CX659" s="694"/>
      <c r="CY659" s="694"/>
      <c r="CZ659" s="694"/>
      <c r="DA659" s="694"/>
      <c r="DB659" s="694"/>
      <c r="DC659" s="694"/>
      <c r="DD659" s="694"/>
      <c r="DE659" s="694"/>
      <c r="DF659" s="694"/>
      <c r="DG659" s="695"/>
      <c r="DH659" s="695"/>
      <c r="DI659" s="695"/>
      <c r="DJ659" s="695"/>
      <c r="DK659" s="695"/>
      <c r="DL659" s="695"/>
      <c r="DM659" s="695"/>
      <c r="DN659" s="695"/>
      <c r="DO659" s="695"/>
      <c r="DP659" s="695"/>
      <c r="DQ659" s="695"/>
      <c r="DR659" s="695"/>
      <c r="DS659" s="694"/>
      <c r="DT659" s="694"/>
      <c r="DU659" s="694"/>
      <c r="DV659" s="694"/>
      <c r="DW659" s="694"/>
      <c r="DX659" s="694"/>
      <c r="DY659" s="694"/>
      <c r="DZ659" s="694"/>
      <c r="EA659" s="694"/>
      <c r="EB659" s="694"/>
      <c r="EC659" s="694"/>
      <c r="ED659" s="694"/>
      <c r="EE659" s="694"/>
      <c r="EF659" s="694"/>
      <c r="EG659" s="694"/>
      <c r="EH659" s="694"/>
      <c r="EI659" s="694"/>
      <c r="EJ659" s="694"/>
      <c r="EK659" s="694"/>
      <c r="EL659" s="694"/>
      <c r="EM659" s="694"/>
      <c r="EN659" s="694"/>
      <c r="EO659" s="694"/>
      <c r="EP659" s="694"/>
      <c r="EQ659" s="694"/>
      <c r="ER659" s="694"/>
      <c r="ES659" s="694"/>
      <c r="ET659" s="694"/>
      <c r="EU659" s="694"/>
      <c r="EV659" s="694"/>
      <c r="EW659" s="694"/>
      <c r="EX659" s="694"/>
      <c r="EY659" s="694"/>
      <c r="EZ659" s="694"/>
      <c r="FA659" s="694"/>
      <c r="FB659" s="694"/>
      <c r="FC659" s="694"/>
      <c r="FD659" s="694"/>
      <c r="FE659" s="694"/>
      <c r="FF659" s="694"/>
      <c r="FG659" s="694"/>
      <c r="FH659" s="694"/>
      <c r="FI659" s="694"/>
      <c r="FJ659" s="694"/>
      <c r="FK659" s="694"/>
      <c r="FL659" s="694"/>
      <c r="FM659" s="694"/>
      <c r="FN659" s="694"/>
      <c r="FO659" s="694"/>
      <c r="FP659" s="694"/>
      <c r="FQ659" s="697"/>
    </row>
    <row r="660" spans="1:173" s="4" customFormat="1">
      <c r="A660" s="486">
        <f>MATCH(C660,$C$5:$C$700,0)</f>
        <v>656</v>
      </c>
      <c r="B660" s="56"/>
      <c r="C660" s="507" t="s">
        <v>3084</v>
      </c>
      <c r="D660" s="507"/>
      <c r="E660" s="508">
        <f t="shared" ref="E660:AK660" si="219">SUM(E657:E659)</f>
        <v>0</v>
      </c>
      <c r="F660" s="508">
        <f t="shared" si="219"/>
        <v>0</v>
      </c>
      <c r="G660" s="508">
        <f t="shared" si="219"/>
        <v>0</v>
      </c>
      <c r="H660" s="508">
        <f t="shared" si="219"/>
        <v>0</v>
      </c>
      <c r="I660" s="508">
        <f t="shared" si="219"/>
        <v>0</v>
      </c>
      <c r="J660" s="508">
        <f t="shared" si="219"/>
        <v>0</v>
      </c>
      <c r="K660" s="508">
        <f t="shared" si="219"/>
        <v>0</v>
      </c>
      <c r="L660" s="508">
        <f t="shared" si="219"/>
        <v>0</v>
      </c>
      <c r="M660" s="508">
        <f t="shared" si="219"/>
        <v>0</v>
      </c>
      <c r="N660" s="508">
        <f t="shared" si="219"/>
        <v>0</v>
      </c>
      <c r="O660" s="508">
        <f t="shared" si="219"/>
        <v>0</v>
      </c>
      <c r="P660" s="508">
        <f t="shared" si="219"/>
        <v>0</v>
      </c>
      <c r="Q660" s="508">
        <f t="shared" si="219"/>
        <v>0</v>
      </c>
      <c r="R660" s="508">
        <f t="shared" si="219"/>
        <v>0</v>
      </c>
      <c r="S660" s="508">
        <f t="shared" si="219"/>
        <v>0</v>
      </c>
      <c r="T660" s="509">
        <f t="shared" si="219"/>
        <v>0</v>
      </c>
      <c r="U660" s="509">
        <f t="shared" si="219"/>
        <v>0</v>
      </c>
      <c r="V660" s="509">
        <f t="shared" si="219"/>
        <v>0</v>
      </c>
      <c r="W660" s="509">
        <f t="shared" si="219"/>
        <v>0</v>
      </c>
      <c r="X660" s="509">
        <f t="shared" si="219"/>
        <v>0</v>
      </c>
      <c r="Y660" s="509">
        <f t="shared" si="219"/>
        <v>0</v>
      </c>
      <c r="Z660" s="509">
        <f t="shared" si="219"/>
        <v>0</v>
      </c>
      <c r="AA660" s="509">
        <f t="shared" si="219"/>
        <v>0</v>
      </c>
      <c r="AB660" s="509">
        <f t="shared" si="219"/>
        <v>0</v>
      </c>
      <c r="AC660" s="509">
        <f t="shared" si="219"/>
        <v>0</v>
      </c>
      <c r="AD660" s="509">
        <f t="shared" si="219"/>
        <v>0</v>
      </c>
      <c r="AE660" s="511">
        <f t="shared" si="219"/>
        <v>0</v>
      </c>
      <c r="AF660" s="958">
        <f t="shared" si="219"/>
        <v>0</v>
      </c>
      <c r="AG660" s="509">
        <f t="shared" si="219"/>
        <v>0</v>
      </c>
      <c r="AH660" s="509">
        <f t="shared" si="219"/>
        <v>0</v>
      </c>
      <c r="AI660" s="509">
        <f t="shared" si="219"/>
        <v>0</v>
      </c>
      <c r="AJ660" s="509">
        <f t="shared" si="219"/>
        <v>0</v>
      </c>
      <c r="AK660" s="509">
        <f t="shared" si="219"/>
        <v>0</v>
      </c>
      <c r="AL660" s="509">
        <f t="shared" ref="AL660:BQ660" si="220">SUM(AL657:AL659)</f>
        <v>0</v>
      </c>
      <c r="AM660" s="509">
        <f t="shared" si="220"/>
        <v>0</v>
      </c>
      <c r="AN660" s="509">
        <f t="shared" si="220"/>
        <v>0</v>
      </c>
      <c r="AO660" s="509">
        <f t="shared" si="220"/>
        <v>0</v>
      </c>
      <c r="AP660" s="509">
        <f t="shared" si="220"/>
        <v>0</v>
      </c>
      <c r="AQ660" s="509">
        <f t="shared" si="220"/>
        <v>0</v>
      </c>
      <c r="AR660" s="509">
        <f t="shared" si="220"/>
        <v>0</v>
      </c>
      <c r="AS660" s="509">
        <f t="shared" si="220"/>
        <v>0</v>
      </c>
      <c r="AT660" s="509">
        <f t="shared" si="220"/>
        <v>0</v>
      </c>
      <c r="AU660" s="509">
        <f t="shared" si="220"/>
        <v>0</v>
      </c>
      <c r="AV660" s="509">
        <f t="shared" si="220"/>
        <v>0</v>
      </c>
      <c r="AW660" s="509">
        <f t="shared" si="220"/>
        <v>0</v>
      </c>
      <c r="AX660" s="509">
        <f t="shared" si="220"/>
        <v>0</v>
      </c>
      <c r="AY660" s="509">
        <f t="shared" si="220"/>
        <v>2</v>
      </c>
      <c r="AZ660" s="509">
        <f t="shared" si="220"/>
        <v>0</v>
      </c>
      <c r="BA660" s="509">
        <f t="shared" si="220"/>
        <v>0</v>
      </c>
      <c r="BB660" s="509">
        <f t="shared" si="220"/>
        <v>0</v>
      </c>
      <c r="BC660" s="509">
        <f t="shared" si="220"/>
        <v>0</v>
      </c>
      <c r="BD660" s="509">
        <f t="shared" si="220"/>
        <v>0</v>
      </c>
      <c r="BE660" s="509">
        <f t="shared" si="220"/>
        <v>0</v>
      </c>
      <c r="BF660" s="509">
        <f t="shared" si="220"/>
        <v>0</v>
      </c>
      <c r="BG660" s="509">
        <f t="shared" si="220"/>
        <v>0</v>
      </c>
      <c r="BH660" s="509">
        <f t="shared" si="220"/>
        <v>0</v>
      </c>
      <c r="BI660" s="509">
        <f t="shared" si="220"/>
        <v>0</v>
      </c>
      <c r="BJ660" s="509">
        <f t="shared" si="220"/>
        <v>0</v>
      </c>
      <c r="BK660" s="509">
        <f t="shared" si="220"/>
        <v>0</v>
      </c>
      <c r="BL660" s="509">
        <f t="shared" si="220"/>
        <v>0</v>
      </c>
      <c r="BM660" s="509">
        <f t="shared" si="220"/>
        <v>0</v>
      </c>
      <c r="BN660" s="509">
        <f t="shared" si="220"/>
        <v>0</v>
      </c>
      <c r="BO660" s="509">
        <f t="shared" si="220"/>
        <v>0</v>
      </c>
      <c r="BP660" s="509">
        <f t="shared" si="220"/>
        <v>0</v>
      </c>
      <c r="BQ660" s="509">
        <f t="shared" si="220"/>
        <v>0</v>
      </c>
      <c r="BR660" s="509">
        <f t="shared" ref="BR660:CW660" si="221">SUM(BR657:BR659)</f>
        <v>0</v>
      </c>
      <c r="BS660" s="509">
        <f t="shared" si="221"/>
        <v>0</v>
      </c>
      <c r="BT660" s="509">
        <f t="shared" si="221"/>
        <v>0</v>
      </c>
      <c r="BU660" s="509">
        <f t="shared" si="221"/>
        <v>0</v>
      </c>
      <c r="BV660" s="509">
        <f t="shared" si="221"/>
        <v>0</v>
      </c>
      <c r="BW660" s="509">
        <f t="shared" si="221"/>
        <v>0</v>
      </c>
      <c r="BX660" s="509">
        <f t="shared" si="221"/>
        <v>0</v>
      </c>
      <c r="BY660" s="509">
        <f t="shared" si="221"/>
        <v>0</v>
      </c>
      <c r="BZ660" s="509">
        <f t="shared" si="221"/>
        <v>0</v>
      </c>
      <c r="CA660" s="509">
        <f t="shared" si="221"/>
        <v>0</v>
      </c>
      <c r="CB660" s="509">
        <f t="shared" si="221"/>
        <v>0</v>
      </c>
      <c r="CC660" s="509">
        <f t="shared" si="221"/>
        <v>0</v>
      </c>
      <c r="CD660" s="509">
        <f t="shared" si="221"/>
        <v>0</v>
      </c>
      <c r="CE660" s="509">
        <f t="shared" si="221"/>
        <v>6</v>
      </c>
      <c r="CF660" s="509">
        <f t="shared" si="221"/>
        <v>0</v>
      </c>
      <c r="CG660" s="509">
        <f t="shared" si="221"/>
        <v>12</v>
      </c>
      <c r="CH660" s="509">
        <f t="shared" si="221"/>
        <v>0</v>
      </c>
      <c r="CI660" s="509">
        <f t="shared" si="221"/>
        <v>8</v>
      </c>
      <c r="CJ660" s="509">
        <f t="shared" si="221"/>
        <v>0</v>
      </c>
      <c r="CK660" s="509">
        <f t="shared" si="221"/>
        <v>0</v>
      </c>
      <c r="CL660" s="509">
        <f t="shared" si="221"/>
        <v>0</v>
      </c>
      <c r="CM660" s="509">
        <f t="shared" si="221"/>
        <v>0</v>
      </c>
      <c r="CN660" s="509">
        <f t="shared" si="221"/>
        <v>0</v>
      </c>
      <c r="CO660" s="509">
        <f t="shared" si="221"/>
        <v>0</v>
      </c>
      <c r="CP660" s="509">
        <f t="shared" si="221"/>
        <v>0</v>
      </c>
      <c r="CQ660" s="509">
        <f t="shared" si="221"/>
        <v>0</v>
      </c>
      <c r="CR660" s="509">
        <f t="shared" si="221"/>
        <v>0</v>
      </c>
      <c r="CS660" s="509">
        <f t="shared" si="221"/>
        <v>0</v>
      </c>
      <c r="CT660" s="509">
        <f t="shared" si="221"/>
        <v>0</v>
      </c>
      <c r="CU660" s="509">
        <f t="shared" si="221"/>
        <v>2</v>
      </c>
      <c r="CV660" s="509">
        <f t="shared" si="221"/>
        <v>0</v>
      </c>
      <c r="CW660" s="509">
        <f t="shared" si="221"/>
        <v>0</v>
      </c>
      <c r="CX660" s="509">
        <f t="shared" ref="CX660:ED660" si="222">SUM(CX657:CX659)</f>
        <v>2</v>
      </c>
      <c r="CY660" s="509">
        <f t="shared" ref="CY660" si="223">SUM(CY657:CY659)</f>
        <v>0</v>
      </c>
      <c r="CZ660" s="509">
        <f t="shared" si="222"/>
        <v>0</v>
      </c>
      <c r="DA660" s="509">
        <f t="shared" si="222"/>
        <v>0</v>
      </c>
      <c r="DB660" s="509">
        <f t="shared" si="222"/>
        <v>0</v>
      </c>
      <c r="DC660" s="509">
        <f t="shared" si="222"/>
        <v>0</v>
      </c>
      <c r="DD660" s="509">
        <f t="shared" si="222"/>
        <v>0</v>
      </c>
      <c r="DE660" s="509">
        <f t="shared" si="222"/>
        <v>0</v>
      </c>
      <c r="DF660" s="509">
        <f t="shared" si="222"/>
        <v>0</v>
      </c>
      <c r="DG660" s="518">
        <f t="shared" si="222"/>
        <v>0</v>
      </c>
      <c r="DH660" s="518">
        <f t="shared" si="222"/>
        <v>0</v>
      </c>
      <c r="DI660" s="518">
        <f t="shared" si="222"/>
        <v>0</v>
      </c>
      <c r="DJ660" s="518">
        <f t="shared" si="222"/>
        <v>0</v>
      </c>
      <c r="DK660" s="518">
        <f t="shared" si="222"/>
        <v>0</v>
      </c>
      <c r="DL660" s="518">
        <f t="shared" si="222"/>
        <v>0</v>
      </c>
      <c r="DM660" s="518">
        <f t="shared" si="222"/>
        <v>0</v>
      </c>
      <c r="DN660" s="518">
        <f t="shared" si="222"/>
        <v>0</v>
      </c>
      <c r="DO660" s="518">
        <f t="shared" si="222"/>
        <v>0</v>
      </c>
      <c r="DP660" s="518">
        <f t="shared" si="222"/>
        <v>0</v>
      </c>
      <c r="DQ660" s="518">
        <f t="shared" si="222"/>
        <v>0</v>
      </c>
      <c r="DR660" s="518">
        <f t="shared" si="222"/>
        <v>0</v>
      </c>
      <c r="DS660" s="509">
        <f t="shared" si="222"/>
        <v>0</v>
      </c>
      <c r="DT660" s="509">
        <f t="shared" si="222"/>
        <v>0</v>
      </c>
      <c r="DU660" s="509">
        <f t="shared" si="222"/>
        <v>0</v>
      </c>
      <c r="DV660" s="509">
        <f t="shared" si="222"/>
        <v>0</v>
      </c>
      <c r="DW660" s="509">
        <f t="shared" si="222"/>
        <v>0</v>
      </c>
      <c r="DX660" s="509">
        <f t="shared" si="222"/>
        <v>0</v>
      </c>
      <c r="DY660" s="509">
        <f t="shared" si="222"/>
        <v>0</v>
      </c>
      <c r="DZ660" s="509">
        <f t="shared" si="222"/>
        <v>0</v>
      </c>
      <c r="EA660" s="509">
        <f t="shared" si="222"/>
        <v>0</v>
      </c>
      <c r="EB660" s="509">
        <f t="shared" si="222"/>
        <v>0</v>
      </c>
      <c r="EC660" s="509">
        <f t="shared" si="222"/>
        <v>0</v>
      </c>
      <c r="ED660" s="509">
        <f t="shared" si="222"/>
        <v>0</v>
      </c>
      <c r="EE660" s="509">
        <f t="shared" ref="EE660:FJ660" si="224">SUM(EE657:EE659)</f>
        <v>0</v>
      </c>
      <c r="EF660" s="509">
        <f t="shared" si="224"/>
        <v>0</v>
      </c>
      <c r="EG660" s="509">
        <f t="shared" si="224"/>
        <v>0</v>
      </c>
      <c r="EH660" s="509">
        <f t="shared" si="224"/>
        <v>0</v>
      </c>
      <c r="EI660" s="509">
        <f t="shared" si="224"/>
        <v>0</v>
      </c>
      <c r="EJ660" s="509">
        <f t="shared" si="224"/>
        <v>0</v>
      </c>
      <c r="EK660" s="509">
        <f t="shared" si="224"/>
        <v>0</v>
      </c>
      <c r="EL660" s="509">
        <f t="shared" si="224"/>
        <v>0</v>
      </c>
      <c r="EM660" s="509">
        <f t="shared" si="224"/>
        <v>0</v>
      </c>
      <c r="EN660" s="509">
        <f t="shared" si="224"/>
        <v>0</v>
      </c>
      <c r="EO660" s="509">
        <f t="shared" si="224"/>
        <v>0</v>
      </c>
      <c r="EP660" s="509">
        <f t="shared" si="224"/>
        <v>0</v>
      </c>
      <c r="EQ660" s="509">
        <f t="shared" si="224"/>
        <v>0</v>
      </c>
      <c r="ER660" s="509">
        <f t="shared" si="224"/>
        <v>0</v>
      </c>
      <c r="ES660" s="509">
        <f t="shared" si="224"/>
        <v>0</v>
      </c>
      <c r="ET660" s="509">
        <f t="shared" si="224"/>
        <v>0</v>
      </c>
      <c r="EU660" s="509">
        <f t="shared" si="224"/>
        <v>0</v>
      </c>
      <c r="EV660" s="509">
        <f t="shared" si="224"/>
        <v>0</v>
      </c>
      <c r="EW660" s="509">
        <f t="shared" si="224"/>
        <v>0</v>
      </c>
      <c r="EX660" s="509">
        <f t="shared" si="224"/>
        <v>0</v>
      </c>
      <c r="EY660" s="509">
        <f t="shared" si="224"/>
        <v>0</v>
      </c>
      <c r="EZ660" s="509">
        <f t="shared" si="224"/>
        <v>0</v>
      </c>
      <c r="FA660" s="509">
        <f t="shared" si="224"/>
        <v>0</v>
      </c>
      <c r="FB660" s="509">
        <f t="shared" si="224"/>
        <v>0</v>
      </c>
      <c r="FC660" s="509">
        <f t="shared" si="224"/>
        <v>0</v>
      </c>
      <c r="FD660" s="509">
        <f t="shared" si="224"/>
        <v>0</v>
      </c>
      <c r="FE660" s="509">
        <f t="shared" si="224"/>
        <v>0</v>
      </c>
      <c r="FF660" s="509">
        <f t="shared" si="224"/>
        <v>0</v>
      </c>
      <c r="FG660" s="509">
        <f t="shared" si="224"/>
        <v>0</v>
      </c>
      <c r="FH660" s="509">
        <f t="shared" si="224"/>
        <v>0</v>
      </c>
      <c r="FI660" s="509">
        <f t="shared" si="224"/>
        <v>0</v>
      </c>
      <c r="FJ660" s="509">
        <f t="shared" si="224"/>
        <v>0</v>
      </c>
      <c r="FK660" s="509">
        <f>SUM(FK657:FK659)</f>
        <v>0</v>
      </c>
      <c r="FL660" s="509">
        <f>SUM(FL657:FL659)</f>
        <v>0</v>
      </c>
      <c r="FM660" s="509">
        <f>SUM(FM657:FM659)</f>
        <v>0</v>
      </c>
      <c r="FN660" s="509">
        <f>SUM(FN657:FN659)</f>
        <v>0</v>
      </c>
      <c r="FO660" s="509">
        <f>SUM(FO657:FO659)</f>
        <v>0</v>
      </c>
      <c r="FP660" s="509"/>
      <c r="FQ660" s="508"/>
    </row>
    <row r="661" spans="1:173" s="4" customFormat="1">
      <c r="A661" s="56"/>
      <c r="B661" s="56">
        <v>14</v>
      </c>
      <c r="C661" s="501" t="s">
        <v>3902</v>
      </c>
      <c r="D661" s="502"/>
      <c r="E661" s="503"/>
      <c r="F661" s="503"/>
      <c r="G661" s="503"/>
      <c r="H661" s="503"/>
      <c r="I661" s="503"/>
      <c r="J661" s="503"/>
      <c r="K661" s="503"/>
      <c r="L661" s="503"/>
      <c r="M661" s="503"/>
      <c r="N661" s="503"/>
      <c r="O661" s="503"/>
      <c r="P661" s="503"/>
      <c r="Q661" s="503"/>
      <c r="R661" s="503"/>
      <c r="S661" s="503"/>
      <c r="T661" s="504"/>
      <c r="U661" s="504"/>
      <c r="V661" s="504"/>
      <c r="W661" s="504"/>
      <c r="X661" s="504"/>
      <c r="Y661" s="504"/>
      <c r="Z661" s="504"/>
      <c r="AA661" s="504"/>
      <c r="AB661" s="504"/>
      <c r="AC661" s="504"/>
      <c r="AD661" s="504"/>
      <c r="AE661" s="954"/>
      <c r="AF661" s="959"/>
      <c r="AG661" s="504"/>
      <c r="AH661" s="504"/>
      <c r="AI661" s="504"/>
      <c r="AJ661" s="504"/>
      <c r="AK661" s="504"/>
      <c r="AL661" s="504"/>
      <c r="AM661" s="504"/>
      <c r="AN661" s="504"/>
      <c r="AO661" s="504"/>
      <c r="AP661" s="504"/>
      <c r="AQ661" s="504"/>
      <c r="AR661" s="504"/>
      <c r="AS661" s="504"/>
      <c r="AT661" s="504"/>
      <c r="AU661" s="504"/>
      <c r="AV661" s="504"/>
      <c r="AW661" s="504"/>
      <c r="AX661" s="504"/>
      <c r="AY661" s="504"/>
      <c r="AZ661" s="504"/>
      <c r="BA661" s="504"/>
      <c r="BB661" s="504"/>
      <c r="BC661" s="504"/>
      <c r="BD661" s="504"/>
      <c r="BE661" s="504"/>
      <c r="BF661" s="504"/>
      <c r="BG661" s="504"/>
      <c r="BH661" s="504"/>
      <c r="BI661" s="504"/>
      <c r="BJ661" s="504"/>
      <c r="BK661" s="504"/>
      <c r="BL661" s="504"/>
      <c r="BM661" s="504"/>
      <c r="BN661" s="504"/>
      <c r="BO661" s="504"/>
      <c r="BP661" s="504"/>
      <c r="BQ661" s="504"/>
      <c r="BR661" s="504"/>
      <c r="BS661" s="504"/>
      <c r="BT661" s="504"/>
      <c r="BU661" s="504"/>
      <c r="BV661" s="504"/>
      <c r="BW661" s="504"/>
      <c r="BX661" s="504"/>
      <c r="BY661" s="504"/>
      <c r="BZ661" s="504"/>
      <c r="CA661" s="504"/>
      <c r="CB661" s="504"/>
      <c r="CC661" s="504"/>
      <c r="CD661" s="504"/>
      <c r="CE661" s="504"/>
      <c r="CF661" s="504"/>
      <c r="CG661" s="504"/>
      <c r="CH661" s="504"/>
      <c r="CI661" s="504"/>
      <c r="CJ661" s="504"/>
      <c r="CK661" s="504"/>
      <c r="CL661" s="504"/>
      <c r="CM661" s="504"/>
      <c r="CN661" s="504"/>
      <c r="CO661" s="504"/>
      <c r="CP661" s="504"/>
      <c r="CQ661" s="504"/>
      <c r="CR661" s="504"/>
      <c r="CS661" s="504"/>
      <c r="CT661" s="504"/>
      <c r="CU661" s="504"/>
      <c r="CV661" s="504"/>
      <c r="CW661" s="504"/>
      <c r="CX661" s="504"/>
      <c r="CY661" s="504"/>
      <c r="CZ661" s="504"/>
      <c r="DA661" s="504"/>
      <c r="DB661" s="504"/>
      <c r="DC661" s="504"/>
      <c r="DD661" s="504"/>
      <c r="DE661" s="504"/>
      <c r="DF661" s="504"/>
      <c r="DG661" s="519"/>
      <c r="DH661" s="519"/>
      <c r="DI661" s="519"/>
      <c r="DJ661" s="519"/>
      <c r="DK661" s="519"/>
      <c r="DL661" s="519"/>
      <c r="DM661" s="519"/>
      <c r="DN661" s="519"/>
      <c r="DO661" s="519"/>
      <c r="DP661" s="519"/>
      <c r="DQ661" s="519"/>
      <c r="DR661" s="519"/>
      <c r="DS661" s="504"/>
      <c r="DT661" s="504"/>
      <c r="DU661" s="504"/>
      <c r="DV661" s="504"/>
      <c r="DW661" s="504"/>
      <c r="DX661" s="504"/>
      <c r="DY661" s="504"/>
      <c r="DZ661" s="504"/>
      <c r="EA661" s="504"/>
      <c r="EB661" s="504"/>
      <c r="EC661" s="504"/>
      <c r="ED661" s="504"/>
      <c r="EE661" s="504"/>
      <c r="EF661" s="504"/>
      <c r="EG661" s="504"/>
      <c r="EH661" s="504"/>
      <c r="EI661" s="504"/>
      <c r="EJ661" s="504"/>
      <c r="EK661" s="504"/>
      <c r="EL661" s="504"/>
      <c r="EM661" s="504"/>
      <c r="EN661" s="504"/>
      <c r="EO661" s="504"/>
      <c r="EP661" s="504"/>
      <c r="EQ661" s="504"/>
      <c r="ER661" s="504"/>
      <c r="ES661" s="504"/>
      <c r="ET661" s="504"/>
      <c r="EU661" s="504"/>
      <c r="EV661" s="504"/>
      <c r="EW661" s="504"/>
      <c r="EX661" s="504"/>
      <c r="EY661" s="504"/>
      <c r="EZ661" s="504"/>
      <c r="FA661" s="504"/>
      <c r="FB661" s="504"/>
      <c r="FC661" s="504"/>
      <c r="FD661" s="504"/>
      <c r="FE661" s="504"/>
      <c r="FF661" s="504"/>
      <c r="FG661" s="504"/>
      <c r="FH661" s="504"/>
      <c r="FI661" s="504"/>
      <c r="FJ661" s="504"/>
      <c r="FK661" s="504"/>
      <c r="FL661" s="504"/>
      <c r="FM661" s="504"/>
      <c r="FN661" s="504"/>
      <c r="FO661" s="504"/>
      <c r="FP661" s="504"/>
      <c r="FQ661" s="505"/>
    </row>
    <row r="662" spans="1:173" s="4" customFormat="1">
      <c r="A662" s="56"/>
      <c r="B662" s="56"/>
      <c r="C662" s="498"/>
      <c r="D662" s="498" t="s">
        <v>2996</v>
      </c>
      <c r="E662" s="454"/>
      <c r="F662" s="454"/>
      <c r="G662" s="454"/>
      <c r="H662" s="454"/>
      <c r="I662" s="454"/>
      <c r="J662" s="454"/>
      <c r="K662" s="454"/>
      <c r="L662" s="454"/>
      <c r="M662" s="454"/>
      <c r="N662" s="454"/>
      <c r="O662" s="454"/>
      <c r="P662" s="454"/>
      <c r="Q662" s="454"/>
      <c r="R662" s="454"/>
      <c r="S662" s="454"/>
      <c r="T662" s="454"/>
      <c r="U662" s="454" t="s">
        <v>2989</v>
      </c>
      <c r="V662" s="454"/>
      <c r="W662" s="454"/>
      <c r="X662" s="454"/>
      <c r="Y662" s="454"/>
      <c r="Z662" s="454"/>
      <c r="AA662" s="454"/>
      <c r="AB662" s="454"/>
      <c r="AC662" s="454"/>
      <c r="AD662" s="454"/>
      <c r="AE662" s="512"/>
      <c r="AF662" s="961"/>
      <c r="AG662" s="454"/>
      <c r="AH662" s="454"/>
      <c r="AI662" s="454"/>
      <c r="AJ662" s="454"/>
      <c r="AK662" s="454"/>
      <c r="AL662" s="454"/>
      <c r="AM662" s="454"/>
      <c r="AN662" s="454"/>
      <c r="AO662" s="454"/>
      <c r="AP662" s="454"/>
      <c r="AQ662" s="454"/>
      <c r="AR662" s="454"/>
      <c r="AS662" s="454"/>
      <c r="AT662" s="454"/>
      <c r="AU662" s="454"/>
      <c r="AV662" s="454"/>
      <c r="AW662" s="454"/>
      <c r="AX662" s="454">
        <v>2</v>
      </c>
      <c r="AY662" s="454"/>
      <c r="AZ662" s="454"/>
      <c r="BA662" s="454"/>
      <c r="BB662" s="454"/>
      <c r="BC662" s="454"/>
      <c r="BD662" s="454"/>
      <c r="BE662" s="454"/>
      <c r="BF662" s="454"/>
      <c r="BG662" s="454"/>
      <c r="BH662" s="454"/>
      <c r="BI662" s="454"/>
      <c r="BJ662" s="454"/>
      <c r="BK662" s="454"/>
      <c r="BL662" s="454"/>
      <c r="BM662" s="454"/>
      <c r="BN662" s="454"/>
      <c r="BO662" s="454"/>
      <c r="BP662" s="454"/>
      <c r="BQ662" s="454"/>
      <c r="BR662" s="454"/>
      <c r="BS662" s="454"/>
      <c r="BT662" s="454"/>
      <c r="BU662" s="454"/>
      <c r="BV662" s="454"/>
      <c r="BW662" s="454"/>
      <c r="BX662" s="454"/>
      <c r="BY662" s="454"/>
      <c r="BZ662" s="454"/>
      <c r="CA662" s="454"/>
      <c r="CB662" s="454"/>
      <c r="CC662" s="454"/>
      <c r="CD662" s="454"/>
      <c r="CE662" s="454">
        <v>4</v>
      </c>
      <c r="CF662" s="454"/>
      <c r="CG662" s="454">
        <v>8</v>
      </c>
      <c r="CH662" s="454"/>
      <c r="CI662" s="454">
        <v>8</v>
      </c>
      <c r="CJ662" s="454"/>
      <c r="CK662" s="454"/>
      <c r="CL662" s="454"/>
      <c r="CM662" s="454"/>
      <c r="CN662" s="454"/>
      <c r="CO662" s="454"/>
      <c r="CP662" s="454"/>
      <c r="CQ662" s="454"/>
      <c r="CR662" s="454"/>
      <c r="CS662" s="454"/>
      <c r="CT662" s="454"/>
      <c r="CU662" s="454">
        <v>2</v>
      </c>
      <c r="CV662" s="454"/>
      <c r="CW662" s="454"/>
      <c r="CX662" s="454"/>
      <c r="CY662" s="454">
        <v>2</v>
      </c>
      <c r="CZ662" s="454"/>
      <c r="DA662" s="454"/>
      <c r="DB662" s="454"/>
      <c r="DC662" s="454"/>
      <c r="DD662" s="454"/>
      <c r="DE662" s="454"/>
      <c r="DF662" s="454"/>
      <c r="DG662" s="517"/>
      <c r="DH662" s="517"/>
      <c r="DI662" s="517"/>
      <c r="DJ662" s="517"/>
      <c r="DK662" s="517"/>
      <c r="DL662" s="517"/>
      <c r="DM662" s="517"/>
      <c r="DN662" s="517"/>
      <c r="DO662" s="517"/>
      <c r="DP662" s="517"/>
      <c r="DQ662" s="517"/>
      <c r="DR662" s="517"/>
      <c r="DS662" s="454"/>
      <c r="DT662" s="454"/>
      <c r="DU662" s="454"/>
      <c r="DV662" s="454"/>
      <c r="DW662" s="454"/>
      <c r="DX662" s="454"/>
      <c r="DY662" s="454"/>
      <c r="DZ662" s="454"/>
      <c r="EA662" s="454"/>
      <c r="EB662" s="454"/>
      <c r="EC662" s="454"/>
      <c r="ED662" s="454"/>
      <c r="EE662" s="454"/>
      <c r="EF662" s="454"/>
      <c r="EG662" s="454"/>
      <c r="EH662" s="454"/>
      <c r="EI662" s="454"/>
      <c r="EJ662" s="454"/>
      <c r="EK662" s="454"/>
      <c r="EL662" s="454"/>
      <c r="EM662" s="454"/>
      <c r="EN662" s="454"/>
      <c r="EO662" s="454"/>
      <c r="EP662" s="454"/>
      <c r="EQ662" s="454"/>
      <c r="ER662" s="454"/>
      <c r="ES662" s="454"/>
      <c r="ET662" s="454"/>
      <c r="EU662" s="454"/>
      <c r="EV662" s="454"/>
      <c r="EW662" s="454"/>
      <c r="EX662" s="454"/>
      <c r="EY662" s="454"/>
      <c r="EZ662" s="454"/>
      <c r="FA662" s="454"/>
      <c r="FB662" s="454"/>
      <c r="FC662" s="454"/>
      <c r="FD662" s="454"/>
      <c r="FE662" s="454"/>
      <c r="FF662" s="454"/>
      <c r="FG662" s="454"/>
      <c r="FH662" s="454"/>
      <c r="FI662" s="454"/>
      <c r="FJ662" s="454"/>
      <c r="FK662" s="454"/>
      <c r="FL662" s="454"/>
      <c r="FM662" s="454"/>
      <c r="FN662" s="454"/>
      <c r="FO662" s="454"/>
      <c r="FP662" s="454"/>
      <c r="FQ662" s="290"/>
    </row>
    <row r="663" spans="1:173" s="4" customFormat="1">
      <c r="A663" s="56"/>
      <c r="B663" s="56"/>
      <c r="C663" s="498"/>
      <c r="D663" s="498"/>
      <c r="E663" s="454"/>
      <c r="F663" s="454"/>
      <c r="G663" s="454"/>
      <c r="H663" s="454"/>
      <c r="I663" s="454"/>
      <c r="J663" s="454"/>
      <c r="K663" s="454"/>
      <c r="L663" s="454"/>
      <c r="M663" s="454"/>
      <c r="N663" s="454"/>
      <c r="O663" s="454"/>
      <c r="P663" s="454"/>
      <c r="Q663" s="454"/>
      <c r="R663" s="454"/>
      <c r="S663" s="454"/>
      <c r="T663" s="454"/>
      <c r="U663" s="454"/>
      <c r="V663" s="454"/>
      <c r="W663" s="454"/>
      <c r="X663" s="454"/>
      <c r="Y663" s="454"/>
      <c r="Z663" s="454"/>
      <c r="AA663" s="454"/>
      <c r="AB663" s="454"/>
      <c r="AC663" s="454"/>
      <c r="AD663" s="454"/>
      <c r="AE663" s="512"/>
      <c r="AF663" s="961"/>
      <c r="AG663" s="454"/>
      <c r="AH663" s="454"/>
      <c r="AI663" s="454"/>
      <c r="AJ663" s="454"/>
      <c r="AK663" s="454"/>
      <c r="AL663" s="454"/>
      <c r="AM663" s="454"/>
      <c r="AN663" s="454"/>
      <c r="AO663" s="454"/>
      <c r="AP663" s="454"/>
      <c r="AQ663" s="454"/>
      <c r="AR663" s="454"/>
      <c r="AS663" s="454"/>
      <c r="AT663" s="454"/>
      <c r="AU663" s="454"/>
      <c r="AV663" s="454"/>
      <c r="AW663" s="454"/>
      <c r="AX663" s="454"/>
      <c r="AY663" s="454"/>
      <c r="AZ663" s="454"/>
      <c r="BA663" s="454"/>
      <c r="BB663" s="454"/>
      <c r="BC663" s="454"/>
      <c r="BD663" s="454"/>
      <c r="BE663" s="454"/>
      <c r="BF663" s="454"/>
      <c r="BG663" s="454"/>
      <c r="BH663" s="454"/>
      <c r="BI663" s="454"/>
      <c r="BJ663" s="454"/>
      <c r="BK663" s="454"/>
      <c r="BL663" s="454"/>
      <c r="BM663" s="454"/>
      <c r="BN663" s="454"/>
      <c r="BO663" s="454"/>
      <c r="BP663" s="454"/>
      <c r="BQ663" s="454"/>
      <c r="BR663" s="454"/>
      <c r="BS663" s="454"/>
      <c r="BT663" s="454"/>
      <c r="BU663" s="454"/>
      <c r="BV663" s="454"/>
      <c r="BW663" s="454"/>
      <c r="BX663" s="454"/>
      <c r="BY663" s="454"/>
      <c r="BZ663" s="454"/>
      <c r="CA663" s="454"/>
      <c r="CB663" s="454"/>
      <c r="CC663" s="454"/>
      <c r="CD663" s="454"/>
      <c r="CE663" s="454"/>
      <c r="CF663" s="454"/>
      <c r="CG663" s="454"/>
      <c r="CH663" s="454"/>
      <c r="CI663" s="454"/>
      <c r="CJ663" s="454"/>
      <c r="CK663" s="454"/>
      <c r="CL663" s="454"/>
      <c r="CM663" s="454"/>
      <c r="CN663" s="454"/>
      <c r="CO663" s="454"/>
      <c r="CP663" s="454"/>
      <c r="CQ663" s="454"/>
      <c r="CR663" s="454"/>
      <c r="CS663" s="454"/>
      <c r="CT663" s="454"/>
      <c r="CU663" s="454"/>
      <c r="CV663" s="454"/>
      <c r="CW663" s="454"/>
      <c r="CX663" s="454"/>
      <c r="CY663" s="454"/>
      <c r="CZ663" s="454"/>
      <c r="DA663" s="454"/>
      <c r="DB663" s="454"/>
      <c r="DC663" s="454"/>
      <c r="DD663" s="454"/>
      <c r="DE663" s="454"/>
      <c r="DF663" s="454"/>
      <c r="DG663" s="517"/>
      <c r="DH663" s="517"/>
      <c r="DI663" s="517"/>
      <c r="DJ663" s="517"/>
      <c r="DK663" s="517"/>
      <c r="DL663" s="517"/>
      <c r="DM663" s="517"/>
      <c r="DN663" s="517"/>
      <c r="DO663" s="517"/>
      <c r="DP663" s="517"/>
      <c r="DQ663" s="517"/>
      <c r="DR663" s="517"/>
      <c r="DS663" s="454"/>
      <c r="DT663" s="454"/>
      <c r="DU663" s="454"/>
      <c r="DV663" s="454"/>
      <c r="DW663" s="454"/>
      <c r="DX663" s="454"/>
      <c r="DY663" s="454"/>
      <c r="DZ663" s="454"/>
      <c r="EA663" s="454"/>
      <c r="EB663" s="454"/>
      <c r="EC663" s="454"/>
      <c r="ED663" s="454"/>
      <c r="EE663" s="454"/>
      <c r="EF663" s="454"/>
      <c r="EG663" s="454"/>
      <c r="EH663" s="454"/>
      <c r="EI663" s="454"/>
      <c r="EJ663" s="454"/>
      <c r="EK663" s="454"/>
      <c r="EL663" s="454"/>
      <c r="EM663" s="454"/>
      <c r="EN663" s="454"/>
      <c r="EO663" s="454"/>
      <c r="EP663" s="454"/>
      <c r="EQ663" s="454"/>
      <c r="ER663" s="454"/>
      <c r="ES663" s="454"/>
      <c r="ET663" s="454"/>
      <c r="EU663" s="454"/>
      <c r="EV663" s="454"/>
      <c r="EW663" s="454"/>
      <c r="EX663" s="454"/>
      <c r="EY663" s="454"/>
      <c r="EZ663" s="454"/>
      <c r="FA663" s="454"/>
      <c r="FB663" s="454"/>
      <c r="FC663" s="454"/>
      <c r="FD663" s="454"/>
      <c r="FE663" s="454"/>
      <c r="FF663" s="454"/>
      <c r="FG663" s="454"/>
      <c r="FH663" s="454"/>
      <c r="FI663" s="454"/>
      <c r="FJ663" s="454"/>
      <c r="FK663" s="454"/>
      <c r="FL663" s="454"/>
      <c r="FM663" s="454"/>
      <c r="FN663" s="454"/>
      <c r="FO663" s="454"/>
      <c r="FP663" s="454"/>
      <c r="FQ663" s="290"/>
    </row>
    <row r="664" spans="1:173" s="4" customFormat="1">
      <c r="A664" s="56"/>
      <c r="B664" s="56"/>
      <c r="C664" s="498"/>
      <c r="D664" s="498" t="s">
        <v>3002</v>
      </c>
      <c r="E664" s="454"/>
      <c r="F664" s="454"/>
      <c r="G664" s="454"/>
      <c r="H664" s="454"/>
      <c r="I664" s="454"/>
      <c r="J664" s="454"/>
      <c r="K664" s="454"/>
      <c r="L664" s="454"/>
      <c r="M664" s="454"/>
      <c r="N664" s="454"/>
      <c r="O664" s="454"/>
      <c r="P664" s="454"/>
      <c r="Q664" s="454"/>
      <c r="R664" s="454"/>
      <c r="S664" s="454"/>
      <c r="T664" s="454"/>
      <c r="U664" s="454" t="s">
        <v>2989</v>
      </c>
      <c r="V664" s="454"/>
      <c r="W664" s="454"/>
      <c r="X664" s="454"/>
      <c r="Y664" s="454"/>
      <c r="Z664" s="454"/>
      <c r="AA664" s="454"/>
      <c r="AB664" s="454"/>
      <c r="AC664" s="454"/>
      <c r="AD664" s="454"/>
      <c r="AE664" s="512"/>
      <c r="AF664" s="961"/>
      <c r="AG664" s="454"/>
      <c r="AH664" s="454"/>
      <c r="AI664" s="454"/>
      <c r="AJ664" s="454"/>
      <c r="AK664" s="454"/>
      <c r="AL664" s="454"/>
      <c r="AM664" s="454"/>
      <c r="AN664" s="454"/>
      <c r="AO664" s="454"/>
      <c r="AP664" s="454"/>
      <c r="AQ664" s="454"/>
      <c r="AR664" s="454"/>
      <c r="AS664" s="454"/>
      <c r="AT664" s="454"/>
      <c r="AU664" s="454"/>
      <c r="AV664" s="454"/>
      <c r="AW664" s="454"/>
      <c r="AX664" s="454">
        <v>2</v>
      </c>
      <c r="AY664" s="454"/>
      <c r="AZ664" s="454"/>
      <c r="BA664" s="454">
        <v>2</v>
      </c>
      <c r="BB664" s="454"/>
      <c r="BC664" s="454"/>
      <c r="BD664" s="454"/>
      <c r="BE664" s="454"/>
      <c r="BF664" s="454"/>
      <c r="BG664" s="454"/>
      <c r="BH664" s="454"/>
      <c r="BI664" s="454"/>
      <c r="BJ664" s="454"/>
      <c r="BK664" s="454"/>
      <c r="BL664" s="454"/>
      <c r="BM664" s="454"/>
      <c r="BN664" s="454"/>
      <c r="BO664" s="454"/>
      <c r="BP664" s="454"/>
      <c r="BQ664" s="454"/>
      <c r="BR664" s="454"/>
      <c r="BS664" s="454"/>
      <c r="BT664" s="454"/>
      <c r="BU664" s="454"/>
      <c r="BV664" s="454"/>
      <c r="BW664" s="454"/>
      <c r="BX664" s="454"/>
      <c r="BY664" s="454"/>
      <c r="BZ664" s="454"/>
      <c r="CA664" s="454"/>
      <c r="CB664" s="454"/>
      <c r="CC664" s="454"/>
      <c r="CD664" s="454"/>
      <c r="CE664" s="454">
        <v>4</v>
      </c>
      <c r="CF664" s="454"/>
      <c r="CG664" s="454">
        <v>8</v>
      </c>
      <c r="CH664" s="454"/>
      <c r="CI664" s="454">
        <v>8</v>
      </c>
      <c r="CJ664" s="454"/>
      <c r="CK664" s="454"/>
      <c r="CL664" s="454"/>
      <c r="CM664" s="454"/>
      <c r="CN664" s="454"/>
      <c r="CO664" s="454"/>
      <c r="CP664" s="454"/>
      <c r="CQ664" s="454"/>
      <c r="CR664" s="454"/>
      <c r="CS664" s="454"/>
      <c r="CT664" s="454"/>
      <c r="CU664" s="454">
        <v>2</v>
      </c>
      <c r="CV664" s="454"/>
      <c r="CW664" s="454"/>
      <c r="CX664" s="454">
        <v>2</v>
      </c>
      <c r="CY664" s="454"/>
      <c r="CZ664" s="454"/>
      <c r="DA664" s="454"/>
      <c r="DB664" s="454"/>
      <c r="DC664" s="454"/>
      <c r="DD664" s="454"/>
      <c r="DE664" s="454"/>
      <c r="DF664" s="454"/>
      <c r="DG664" s="517"/>
      <c r="DH664" s="517"/>
      <c r="DI664" s="517"/>
      <c r="DJ664" s="517"/>
      <c r="DK664" s="517"/>
      <c r="DL664" s="517"/>
      <c r="DM664" s="517"/>
      <c r="DN664" s="517"/>
      <c r="DO664" s="517"/>
      <c r="DP664" s="517"/>
      <c r="DQ664" s="517"/>
      <c r="DR664" s="517"/>
      <c r="DS664" s="454"/>
      <c r="DT664" s="454"/>
      <c r="DU664" s="454"/>
      <c r="DV664" s="454"/>
      <c r="DW664" s="454"/>
      <c r="DX664" s="454"/>
      <c r="DY664" s="454"/>
      <c r="DZ664" s="454"/>
      <c r="EA664" s="454"/>
      <c r="EB664" s="454"/>
      <c r="EC664" s="454"/>
      <c r="ED664" s="454"/>
      <c r="EE664" s="454"/>
      <c r="EF664" s="454"/>
      <c r="EG664" s="454"/>
      <c r="EH664" s="454"/>
      <c r="EI664" s="454"/>
      <c r="EJ664" s="454"/>
      <c r="EK664" s="454"/>
      <c r="EL664" s="454"/>
      <c r="EM664" s="454"/>
      <c r="EN664" s="454"/>
      <c r="EO664" s="454"/>
      <c r="EP664" s="454"/>
      <c r="EQ664" s="454"/>
      <c r="ER664" s="454"/>
      <c r="ES664" s="454"/>
      <c r="ET664" s="454"/>
      <c r="EU664" s="454"/>
      <c r="EV664" s="454"/>
      <c r="EW664" s="454"/>
      <c r="EX664" s="454"/>
      <c r="EY664" s="454"/>
      <c r="EZ664" s="454"/>
      <c r="FA664" s="454"/>
      <c r="FB664" s="454"/>
      <c r="FC664" s="454"/>
      <c r="FD664" s="454"/>
      <c r="FE664" s="454"/>
      <c r="FF664" s="454"/>
      <c r="FG664" s="454"/>
      <c r="FH664" s="454"/>
      <c r="FI664" s="454"/>
      <c r="FJ664" s="454"/>
      <c r="FK664" s="454"/>
      <c r="FL664" s="454"/>
      <c r="FM664" s="454"/>
      <c r="FN664" s="454"/>
      <c r="FO664" s="454"/>
      <c r="FP664" s="454"/>
      <c r="FQ664" s="290"/>
    </row>
    <row r="665" spans="1:173" s="4" customFormat="1" hidden="1">
      <c r="A665" s="56"/>
      <c r="B665" s="56"/>
      <c r="C665" s="498"/>
      <c r="D665" s="498"/>
      <c r="E665" s="454"/>
      <c r="F665" s="454"/>
      <c r="G665" s="454"/>
      <c r="H665" s="454"/>
      <c r="I665" s="454"/>
      <c r="J665" s="454"/>
      <c r="K665" s="454"/>
      <c r="L665" s="454"/>
      <c r="M665" s="454"/>
      <c r="N665" s="454"/>
      <c r="O665" s="454"/>
      <c r="P665" s="454"/>
      <c r="Q665" s="454"/>
      <c r="R665" s="454"/>
      <c r="S665" s="454"/>
      <c r="T665" s="454"/>
      <c r="U665" s="454"/>
      <c r="V665" s="454"/>
      <c r="W665" s="454"/>
      <c r="X665" s="454"/>
      <c r="Y665" s="454"/>
      <c r="Z665" s="454"/>
      <c r="AA665" s="454"/>
      <c r="AB665" s="454"/>
      <c r="AC665" s="454"/>
      <c r="AD665" s="454"/>
      <c r="AE665" s="512"/>
      <c r="AF665" s="961"/>
      <c r="AG665" s="454"/>
      <c r="AH665" s="454"/>
      <c r="AI665" s="454"/>
      <c r="AJ665" s="454"/>
      <c r="AK665" s="454"/>
      <c r="AL665" s="454"/>
      <c r="AM665" s="454"/>
      <c r="AN665" s="454"/>
      <c r="AO665" s="454"/>
      <c r="AP665" s="454"/>
      <c r="AQ665" s="454"/>
      <c r="AR665" s="454"/>
      <c r="AS665" s="454"/>
      <c r="AT665" s="454"/>
      <c r="AU665" s="454"/>
      <c r="AV665" s="454"/>
      <c r="AW665" s="454"/>
      <c r="AX665" s="454"/>
      <c r="AY665" s="454"/>
      <c r="AZ665" s="454"/>
      <c r="BA665" s="454"/>
      <c r="BB665" s="454"/>
      <c r="BC665" s="454"/>
      <c r="BD665" s="454"/>
      <c r="BE665" s="454"/>
      <c r="BF665" s="454"/>
      <c r="BG665" s="454"/>
      <c r="BH665" s="454"/>
      <c r="BI665" s="454"/>
      <c r="BJ665" s="454"/>
      <c r="BK665" s="454"/>
      <c r="BL665" s="454"/>
      <c r="BM665" s="454"/>
      <c r="BN665" s="454"/>
      <c r="BO665" s="454"/>
      <c r="BP665" s="454"/>
      <c r="BQ665" s="454"/>
      <c r="BR665" s="454"/>
      <c r="BS665" s="454"/>
      <c r="BT665" s="454"/>
      <c r="BU665" s="454"/>
      <c r="BV665" s="454"/>
      <c r="BW665" s="454"/>
      <c r="BX665" s="454"/>
      <c r="BY665" s="454"/>
      <c r="BZ665" s="454"/>
      <c r="CA665" s="454"/>
      <c r="CB665" s="454"/>
      <c r="CC665" s="454"/>
      <c r="CD665" s="454"/>
      <c r="CE665" s="454"/>
      <c r="CF665" s="454"/>
      <c r="CG665" s="454"/>
      <c r="CH665" s="454"/>
      <c r="CI665" s="454"/>
      <c r="CJ665" s="454"/>
      <c r="CK665" s="454"/>
      <c r="CL665" s="454"/>
      <c r="CM665" s="454"/>
      <c r="CN665" s="454"/>
      <c r="CO665" s="454"/>
      <c r="CP665" s="454"/>
      <c r="CQ665" s="454"/>
      <c r="CR665" s="454"/>
      <c r="CS665" s="454"/>
      <c r="CT665" s="454"/>
      <c r="CU665" s="454"/>
      <c r="CV665" s="454"/>
      <c r="CW665" s="454"/>
      <c r="CX665" s="454"/>
      <c r="CY665" s="454"/>
      <c r="CZ665" s="454"/>
      <c r="DA665" s="454"/>
      <c r="DB665" s="454"/>
      <c r="DC665" s="454"/>
      <c r="DD665" s="454"/>
      <c r="DE665" s="454"/>
      <c r="DF665" s="454"/>
      <c r="DG665" s="517"/>
      <c r="DH665" s="517"/>
      <c r="DI665" s="517"/>
      <c r="DJ665" s="517"/>
      <c r="DK665" s="517"/>
      <c r="DL665" s="517"/>
      <c r="DM665" s="517"/>
      <c r="DN665" s="517"/>
      <c r="DO665" s="517"/>
      <c r="DP665" s="517"/>
      <c r="DQ665" s="517"/>
      <c r="DR665" s="517"/>
      <c r="DS665" s="454"/>
      <c r="DT665" s="454"/>
      <c r="DU665" s="454"/>
      <c r="DV665" s="454"/>
      <c r="DW665" s="454"/>
      <c r="DX665" s="454"/>
      <c r="DY665" s="454"/>
      <c r="DZ665" s="454"/>
      <c r="EA665" s="454"/>
      <c r="EB665" s="454"/>
      <c r="EC665" s="454"/>
      <c r="ED665" s="454"/>
      <c r="EE665" s="454"/>
      <c r="EF665" s="454"/>
      <c r="EG665" s="454"/>
      <c r="EH665" s="454"/>
      <c r="EI665" s="454"/>
      <c r="EJ665" s="454"/>
      <c r="EK665" s="454"/>
      <c r="EL665" s="454"/>
      <c r="EM665" s="454"/>
      <c r="EN665" s="454"/>
      <c r="EO665" s="454"/>
      <c r="EP665" s="454"/>
      <c r="EQ665" s="454"/>
      <c r="ER665" s="454"/>
      <c r="ES665" s="454"/>
      <c r="ET665" s="454"/>
      <c r="EU665" s="454"/>
      <c r="EV665" s="454"/>
      <c r="EW665" s="454"/>
      <c r="EX665" s="454"/>
      <c r="EY665" s="454"/>
      <c r="EZ665" s="454"/>
      <c r="FA665" s="454"/>
      <c r="FB665" s="454"/>
      <c r="FC665" s="454"/>
      <c r="FD665" s="454"/>
      <c r="FE665" s="454"/>
      <c r="FF665" s="454"/>
      <c r="FG665" s="454"/>
      <c r="FH665" s="454"/>
      <c r="FI665" s="454"/>
      <c r="FJ665" s="454"/>
      <c r="FK665" s="454"/>
      <c r="FL665" s="454"/>
      <c r="FM665" s="454"/>
      <c r="FN665" s="454"/>
      <c r="FO665" s="454"/>
      <c r="FP665" s="454"/>
      <c r="FQ665" s="290"/>
    </row>
    <row r="666" spans="1:173" s="4" customFormat="1" hidden="1">
      <c r="A666" s="56"/>
      <c r="B666" s="56"/>
      <c r="C666" s="498"/>
      <c r="D666" s="498"/>
      <c r="E666" s="454"/>
      <c r="F666" s="454"/>
      <c r="G666" s="454"/>
      <c r="H666" s="454"/>
      <c r="I666" s="454"/>
      <c r="J666" s="454"/>
      <c r="K666" s="454"/>
      <c r="L666" s="454"/>
      <c r="M666" s="454"/>
      <c r="N666" s="454"/>
      <c r="O666" s="454"/>
      <c r="P666" s="454"/>
      <c r="Q666" s="454"/>
      <c r="R666" s="454"/>
      <c r="S666" s="454"/>
      <c r="T666" s="454"/>
      <c r="U666" s="454"/>
      <c r="V666" s="454"/>
      <c r="W666" s="454"/>
      <c r="X666" s="454"/>
      <c r="Y666" s="454"/>
      <c r="Z666" s="454"/>
      <c r="AA666" s="454"/>
      <c r="AB666" s="454"/>
      <c r="AC666" s="454"/>
      <c r="AD666" s="454"/>
      <c r="AE666" s="512"/>
      <c r="AF666" s="961"/>
      <c r="AG666" s="454"/>
      <c r="AH666" s="454"/>
      <c r="AI666" s="454"/>
      <c r="AJ666" s="454"/>
      <c r="AK666" s="454"/>
      <c r="AL666" s="454"/>
      <c r="AM666" s="454"/>
      <c r="AN666" s="454"/>
      <c r="AO666" s="454"/>
      <c r="AP666" s="454"/>
      <c r="AQ666" s="454"/>
      <c r="AR666" s="454"/>
      <c r="AS666" s="454"/>
      <c r="AT666" s="454"/>
      <c r="AU666" s="454"/>
      <c r="AV666" s="454"/>
      <c r="AW666" s="454"/>
      <c r="AX666" s="454"/>
      <c r="AY666" s="454"/>
      <c r="AZ666" s="454"/>
      <c r="BA666" s="454"/>
      <c r="BB666" s="454"/>
      <c r="BC666" s="454"/>
      <c r="BD666" s="454"/>
      <c r="BE666" s="454"/>
      <c r="BF666" s="454"/>
      <c r="BG666" s="454"/>
      <c r="BH666" s="454"/>
      <c r="BI666" s="454"/>
      <c r="BJ666" s="454"/>
      <c r="BK666" s="454"/>
      <c r="BL666" s="454"/>
      <c r="BM666" s="454"/>
      <c r="BN666" s="454"/>
      <c r="BO666" s="454"/>
      <c r="BP666" s="454"/>
      <c r="BQ666" s="454"/>
      <c r="BR666" s="454"/>
      <c r="BS666" s="454"/>
      <c r="BT666" s="454"/>
      <c r="BU666" s="454"/>
      <c r="BV666" s="454"/>
      <c r="BW666" s="454"/>
      <c r="BX666" s="454"/>
      <c r="BY666" s="454"/>
      <c r="BZ666" s="454"/>
      <c r="CA666" s="454"/>
      <c r="CB666" s="454"/>
      <c r="CC666" s="454"/>
      <c r="CD666" s="454"/>
      <c r="CE666" s="454"/>
      <c r="CF666" s="454"/>
      <c r="CG666" s="454"/>
      <c r="CH666" s="454"/>
      <c r="CI666" s="454"/>
      <c r="CJ666" s="454"/>
      <c r="CK666" s="454"/>
      <c r="CL666" s="454"/>
      <c r="CM666" s="454"/>
      <c r="CN666" s="454"/>
      <c r="CO666" s="454"/>
      <c r="CP666" s="454"/>
      <c r="CQ666" s="454"/>
      <c r="CR666" s="454"/>
      <c r="CS666" s="454"/>
      <c r="CT666" s="454"/>
      <c r="CU666" s="454"/>
      <c r="CV666" s="454"/>
      <c r="CW666" s="454"/>
      <c r="CX666" s="454"/>
      <c r="CY666" s="454"/>
      <c r="CZ666" s="454"/>
      <c r="DA666" s="454"/>
      <c r="DB666" s="454"/>
      <c r="DC666" s="454"/>
      <c r="DD666" s="454"/>
      <c r="DE666" s="454"/>
      <c r="DF666" s="454"/>
      <c r="DG666" s="517"/>
      <c r="DH666" s="517"/>
      <c r="DI666" s="517"/>
      <c r="DJ666" s="517"/>
      <c r="DK666" s="517"/>
      <c r="DL666" s="517"/>
      <c r="DM666" s="517"/>
      <c r="DN666" s="517"/>
      <c r="DO666" s="517"/>
      <c r="DP666" s="517"/>
      <c r="DQ666" s="517"/>
      <c r="DR666" s="517"/>
      <c r="DS666" s="454"/>
      <c r="DT666" s="454"/>
      <c r="DU666" s="454"/>
      <c r="DV666" s="454"/>
      <c r="DW666" s="454"/>
      <c r="DX666" s="454"/>
      <c r="DY666" s="454"/>
      <c r="DZ666" s="454"/>
      <c r="EA666" s="454"/>
      <c r="EB666" s="454"/>
      <c r="EC666" s="454"/>
      <c r="ED666" s="454"/>
      <c r="EE666" s="454"/>
      <c r="EF666" s="454"/>
      <c r="EG666" s="454"/>
      <c r="EH666" s="454"/>
      <c r="EI666" s="454"/>
      <c r="EJ666" s="454"/>
      <c r="EK666" s="454"/>
      <c r="EL666" s="454"/>
      <c r="EM666" s="454"/>
      <c r="EN666" s="454"/>
      <c r="EO666" s="454"/>
      <c r="EP666" s="454"/>
      <c r="EQ666" s="454"/>
      <c r="ER666" s="454"/>
      <c r="ES666" s="454"/>
      <c r="ET666" s="454"/>
      <c r="EU666" s="454"/>
      <c r="EV666" s="454"/>
      <c r="EW666" s="454"/>
      <c r="EX666" s="454"/>
      <c r="EY666" s="454"/>
      <c r="EZ666" s="454"/>
      <c r="FA666" s="454"/>
      <c r="FB666" s="454"/>
      <c r="FC666" s="454"/>
      <c r="FD666" s="454"/>
      <c r="FE666" s="454"/>
      <c r="FF666" s="454"/>
      <c r="FG666" s="454"/>
      <c r="FH666" s="454"/>
      <c r="FI666" s="454"/>
      <c r="FJ666" s="454"/>
      <c r="FK666" s="454"/>
      <c r="FL666" s="454"/>
      <c r="FM666" s="454"/>
      <c r="FN666" s="454"/>
      <c r="FO666" s="454"/>
      <c r="FP666" s="454"/>
      <c r="FQ666" s="290"/>
    </row>
    <row r="667" spans="1:173" s="4" customFormat="1" hidden="1">
      <c r="A667" s="56"/>
      <c r="B667" s="56"/>
      <c r="C667" s="498"/>
      <c r="D667" s="498"/>
      <c r="E667" s="454"/>
      <c r="F667" s="454"/>
      <c r="G667" s="454"/>
      <c r="H667" s="454"/>
      <c r="I667" s="454"/>
      <c r="J667" s="454"/>
      <c r="K667" s="454"/>
      <c r="L667" s="454"/>
      <c r="M667" s="454"/>
      <c r="N667" s="454"/>
      <c r="O667" s="454"/>
      <c r="P667" s="454"/>
      <c r="Q667" s="454"/>
      <c r="R667" s="454"/>
      <c r="S667" s="454"/>
      <c r="T667" s="454"/>
      <c r="U667" s="454"/>
      <c r="V667" s="454"/>
      <c r="W667" s="454"/>
      <c r="X667" s="454"/>
      <c r="Y667" s="454"/>
      <c r="Z667" s="454"/>
      <c r="AA667" s="454"/>
      <c r="AB667" s="454"/>
      <c r="AC667" s="454"/>
      <c r="AD667" s="454"/>
      <c r="AE667" s="512"/>
      <c r="AF667" s="961"/>
      <c r="AG667" s="454"/>
      <c r="AH667" s="454"/>
      <c r="AI667" s="454"/>
      <c r="AJ667" s="454"/>
      <c r="AK667" s="454"/>
      <c r="AL667" s="454"/>
      <c r="AM667" s="454"/>
      <c r="AN667" s="454"/>
      <c r="AO667" s="454"/>
      <c r="AP667" s="454"/>
      <c r="AQ667" s="454"/>
      <c r="AR667" s="454"/>
      <c r="AS667" s="454"/>
      <c r="AT667" s="454"/>
      <c r="AU667" s="454"/>
      <c r="AV667" s="454"/>
      <c r="AW667" s="454"/>
      <c r="AX667" s="454"/>
      <c r="AY667" s="454"/>
      <c r="AZ667" s="454"/>
      <c r="BA667" s="454"/>
      <c r="BB667" s="454"/>
      <c r="BC667" s="454"/>
      <c r="BD667" s="454"/>
      <c r="BE667" s="454"/>
      <c r="BF667" s="454"/>
      <c r="BG667" s="454"/>
      <c r="BH667" s="454"/>
      <c r="BI667" s="454"/>
      <c r="BJ667" s="454"/>
      <c r="BK667" s="454"/>
      <c r="BL667" s="454"/>
      <c r="BM667" s="454"/>
      <c r="BN667" s="454"/>
      <c r="BO667" s="454"/>
      <c r="BP667" s="454"/>
      <c r="BQ667" s="454"/>
      <c r="BR667" s="454"/>
      <c r="BS667" s="454"/>
      <c r="BT667" s="454"/>
      <c r="BU667" s="454"/>
      <c r="BV667" s="454"/>
      <c r="BW667" s="454"/>
      <c r="BX667" s="454"/>
      <c r="BY667" s="454"/>
      <c r="BZ667" s="454"/>
      <c r="CA667" s="454"/>
      <c r="CB667" s="454"/>
      <c r="CC667" s="454"/>
      <c r="CD667" s="454"/>
      <c r="CE667" s="454"/>
      <c r="CF667" s="454"/>
      <c r="CG667" s="454"/>
      <c r="CH667" s="454"/>
      <c r="CI667" s="454"/>
      <c r="CJ667" s="454"/>
      <c r="CK667" s="454"/>
      <c r="CL667" s="454"/>
      <c r="CM667" s="454"/>
      <c r="CN667" s="454"/>
      <c r="CO667" s="454"/>
      <c r="CP667" s="454"/>
      <c r="CQ667" s="454"/>
      <c r="CR667" s="454"/>
      <c r="CS667" s="454"/>
      <c r="CT667" s="454"/>
      <c r="CU667" s="454"/>
      <c r="CV667" s="454"/>
      <c r="CW667" s="454"/>
      <c r="CX667" s="454"/>
      <c r="CY667" s="454"/>
      <c r="CZ667" s="454"/>
      <c r="DA667" s="454"/>
      <c r="DB667" s="454"/>
      <c r="DC667" s="454"/>
      <c r="DD667" s="454"/>
      <c r="DE667" s="454"/>
      <c r="DF667" s="454"/>
      <c r="DG667" s="517"/>
      <c r="DH667" s="517"/>
      <c r="DI667" s="517"/>
      <c r="DJ667" s="517"/>
      <c r="DK667" s="517"/>
      <c r="DL667" s="517"/>
      <c r="DM667" s="517"/>
      <c r="DN667" s="517"/>
      <c r="DO667" s="517"/>
      <c r="DP667" s="517"/>
      <c r="DQ667" s="517"/>
      <c r="DR667" s="517"/>
      <c r="DS667" s="454"/>
      <c r="DT667" s="454"/>
      <c r="DU667" s="454"/>
      <c r="DV667" s="454"/>
      <c r="DW667" s="454"/>
      <c r="DX667" s="454"/>
      <c r="DY667" s="454"/>
      <c r="DZ667" s="454"/>
      <c r="EA667" s="454"/>
      <c r="EB667" s="454"/>
      <c r="EC667" s="454"/>
      <c r="ED667" s="454"/>
      <c r="EE667" s="454"/>
      <c r="EF667" s="454"/>
      <c r="EG667" s="454"/>
      <c r="EH667" s="454"/>
      <c r="EI667" s="454"/>
      <c r="EJ667" s="454"/>
      <c r="EK667" s="454"/>
      <c r="EL667" s="454"/>
      <c r="EM667" s="454"/>
      <c r="EN667" s="454"/>
      <c r="EO667" s="454"/>
      <c r="EP667" s="454"/>
      <c r="EQ667" s="454"/>
      <c r="ER667" s="454"/>
      <c r="ES667" s="454"/>
      <c r="ET667" s="454"/>
      <c r="EU667" s="454"/>
      <c r="EV667" s="454"/>
      <c r="EW667" s="454"/>
      <c r="EX667" s="454"/>
      <c r="EY667" s="454"/>
      <c r="EZ667" s="454"/>
      <c r="FA667" s="454"/>
      <c r="FB667" s="454"/>
      <c r="FC667" s="454"/>
      <c r="FD667" s="454"/>
      <c r="FE667" s="454"/>
      <c r="FF667" s="454"/>
      <c r="FG667" s="454"/>
      <c r="FH667" s="454"/>
      <c r="FI667" s="454"/>
      <c r="FJ667" s="454"/>
      <c r="FK667" s="454"/>
      <c r="FL667" s="454"/>
      <c r="FM667" s="454"/>
      <c r="FN667" s="454"/>
      <c r="FO667" s="454"/>
      <c r="FP667" s="454"/>
      <c r="FQ667" s="290"/>
    </row>
    <row r="668" spans="1:173" s="4" customFormat="1">
      <c r="A668" s="56"/>
      <c r="B668" s="56"/>
      <c r="C668" s="498"/>
      <c r="D668" s="498"/>
      <c r="E668" s="454"/>
      <c r="F668" s="454"/>
      <c r="G668" s="454"/>
      <c r="H668" s="454"/>
      <c r="I668" s="454"/>
      <c r="J668" s="454"/>
      <c r="K668" s="454"/>
      <c r="L668" s="454"/>
      <c r="M668" s="454"/>
      <c r="N668" s="454"/>
      <c r="O668" s="454"/>
      <c r="P668" s="454"/>
      <c r="Q668" s="454"/>
      <c r="R668" s="454"/>
      <c r="S668" s="454"/>
      <c r="T668" s="454"/>
      <c r="U668" s="454"/>
      <c r="V668" s="454"/>
      <c r="W668" s="454"/>
      <c r="X668" s="454"/>
      <c r="Y668" s="454"/>
      <c r="Z668" s="454"/>
      <c r="AA668" s="454"/>
      <c r="AB668" s="454"/>
      <c r="AC668" s="454"/>
      <c r="AD668" s="454"/>
      <c r="AE668" s="512"/>
      <c r="AF668" s="961"/>
      <c r="AG668" s="454"/>
      <c r="AH668" s="454"/>
      <c r="AI668" s="454"/>
      <c r="AJ668" s="454"/>
      <c r="AK668" s="454"/>
      <c r="AL668" s="454"/>
      <c r="AM668" s="454"/>
      <c r="AN668" s="454"/>
      <c r="AO668" s="454"/>
      <c r="AP668" s="454"/>
      <c r="AQ668" s="454"/>
      <c r="AR668" s="454"/>
      <c r="AS668" s="454"/>
      <c r="AT668" s="454"/>
      <c r="AU668" s="454"/>
      <c r="AV668" s="454"/>
      <c r="AW668" s="454"/>
      <c r="AX668" s="454"/>
      <c r="AY668" s="454"/>
      <c r="AZ668" s="454"/>
      <c r="BA668" s="454"/>
      <c r="BB668" s="454"/>
      <c r="BC668" s="454"/>
      <c r="BD668" s="454"/>
      <c r="BE668" s="454"/>
      <c r="BF668" s="454"/>
      <c r="BG668" s="454"/>
      <c r="BH668" s="454"/>
      <c r="BI668" s="454"/>
      <c r="BJ668" s="454"/>
      <c r="BK668" s="454"/>
      <c r="BL668" s="454"/>
      <c r="BM668" s="454"/>
      <c r="BN668" s="454"/>
      <c r="BO668" s="454"/>
      <c r="BP668" s="454"/>
      <c r="BQ668" s="454"/>
      <c r="BR668" s="454"/>
      <c r="BS668" s="454"/>
      <c r="BT668" s="454"/>
      <c r="BU668" s="454"/>
      <c r="BV668" s="454"/>
      <c r="BW668" s="454"/>
      <c r="BX668" s="454"/>
      <c r="BY668" s="454"/>
      <c r="BZ668" s="454"/>
      <c r="CA668" s="454"/>
      <c r="CB668" s="454"/>
      <c r="CC668" s="454"/>
      <c r="CD668" s="454"/>
      <c r="CE668" s="454"/>
      <c r="CF668" s="454"/>
      <c r="CG668" s="454"/>
      <c r="CH668" s="454"/>
      <c r="CI668" s="454"/>
      <c r="CJ668" s="454"/>
      <c r="CK668" s="454"/>
      <c r="CL668" s="454"/>
      <c r="CM668" s="454"/>
      <c r="CN668" s="454"/>
      <c r="CO668" s="454"/>
      <c r="CP668" s="454"/>
      <c r="CQ668" s="454"/>
      <c r="CR668" s="454"/>
      <c r="CS668" s="454"/>
      <c r="CT668" s="454"/>
      <c r="CU668" s="454"/>
      <c r="CV668" s="454"/>
      <c r="CW668" s="454"/>
      <c r="CX668" s="454"/>
      <c r="CY668" s="454"/>
      <c r="CZ668" s="454"/>
      <c r="DA668" s="454"/>
      <c r="DB668" s="454"/>
      <c r="DC668" s="454"/>
      <c r="DD668" s="454"/>
      <c r="DE668" s="454"/>
      <c r="DF668" s="454"/>
      <c r="DG668" s="517"/>
      <c r="DH668" s="517"/>
      <c r="DI668" s="517"/>
      <c r="DJ668" s="517"/>
      <c r="DK668" s="517"/>
      <c r="DL668" s="517"/>
      <c r="DM668" s="517"/>
      <c r="DN668" s="517"/>
      <c r="DO668" s="517"/>
      <c r="DP668" s="517"/>
      <c r="DQ668" s="517"/>
      <c r="DR668" s="517"/>
      <c r="DS668" s="454"/>
      <c r="DT668" s="454"/>
      <c r="DU668" s="454"/>
      <c r="DV668" s="454"/>
      <c r="DW668" s="454"/>
      <c r="DX668" s="454"/>
      <c r="DY668" s="454"/>
      <c r="DZ668" s="454"/>
      <c r="EA668" s="454"/>
      <c r="EB668" s="454"/>
      <c r="EC668" s="454"/>
      <c r="ED668" s="454"/>
      <c r="EE668" s="454"/>
      <c r="EF668" s="454"/>
      <c r="EG668" s="454"/>
      <c r="EH668" s="454"/>
      <c r="EI668" s="454"/>
      <c r="EJ668" s="454"/>
      <c r="EK668" s="454"/>
      <c r="EL668" s="454"/>
      <c r="EM668" s="454"/>
      <c r="EN668" s="454"/>
      <c r="EO668" s="454"/>
      <c r="EP668" s="454"/>
      <c r="EQ668" s="454"/>
      <c r="ER668" s="454"/>
      <c r="ES668" s="454"/>
      <c r="ET668" s="454"/>
      <c r="EU668" s="454"/>
      <c r="EV668" s="454"/>
      <c r="EW668" s="454"/>
      <c r="EX668" s="454"/>
      <c r="EY668" s="454"/>
      <c r="EZ668" s="454"/>
      <c r="FA668" s="454"/>
      <c r="FB668" s="454"/>
      <c r="FC668" s="454"/>
      <c r="FD668" s="454"/>
      <c r="FE668" s="454"/>
      <c r="FF668" s="454"/>
      <c r="FG668" s="454"/>
      <c r="FH668" s="454"/>
      <c r="FI668" s="454"/>
      <c r="FJ668" s="454"/>
      <c r="FK668" s="454"/>
      <c r="FL668" s="454"/>
      <c r="FM668" s="454"/>
      <c r="FN668" s="454"/>
      <c r="FO668" s="454"/>
      <c r="FP668" s="454"/>
      <c r="FQ668" s="290"/>
    </row>
    <row r="669" spans="1:173" s="4" customFormat="1">
      <c r="A669" s="486">
        <f>MATCH(C669,$C$5:$C$700,0)</f>
        <v>665</v>
      </c>
      <c r="B669" s="56"/>
      <c r="C669" s="508" t="s">
        <v>3085</v>
      </c>
      <c r="D669" s="508"/>
      <c r="E669" s="508">
        <f t="shared" ref="E669:AK669" si="225">SUM(E662:E668)</f>
        <v>0</v>
      </c>
      <c r="F669" s="508">
        <f t="shared" si="225"/>
        <v>0</v>
      </c>
      <c r="G669" s="508">
        <f t="shared" si="225"/>
        <v>0</v>
      </c>
      <c r="H669" s="508">
        <f t="shared" si="225"/>
        <v>0</v>
      </c>
      <c r="I669" s="508">
        <f t="shared" si="225"/>
        <v>0</v>
      </c>
      <c r="J669" s="508">
        <f t="shared" si="225"/>
        <v>0</v>
      </c>
      <c r="K669" s="508">
        <f t="shared" si="225"/>
        <v>0</v>
      </c>
      <c r="L669" s="508">
        <f t="shared" si="225"/>
        <v>0</v>
      </c>
      <c r="M669" s="508">
        <f t="shared" si="225"/>
        <v>0</v>
      </c>
      <c r="N669" s="508">
        <f t="shared" si="225"/>
        <v>0</v>
      </c>
      <c r="O669" s="508">
        <f t="shared" si="225"/>
        <v>0</v>
      </c>
      <c r="P669" s="508">
        <f t="shared" si="225"/>
        <v>0</v>
      </c>
      <c r="Q669" s="508">
        <f t="shared" si="225"/>
        <v>0</v>
      </c>
      <c r="R669" s="508">
        <f t="shared" si="225"/>
        <v>0</v>
      </c>
      <c r="S669" s="508">
        <f t="shared" si="225"/>
        <v>0</v>
      </c>
      <c r="T669" s="509">
        <f t="shared" si="225"/>
        <v>0</v>
      </c>
      <c r="U669" s="509">
        <f t="shared" si="225"/>
        <v>0</v>
      </c>
      <c r="V669" s="509">
        <f t="shared" si="225"/>
        <v>0</v>
      </c>
      <c r="W669" s="509">
        <f t="shared" si="225"/>
        <v>0</v>
      </c>
      <c r="X669" s="509">
        <f t="shared" si="225"/>
        <v>0</v>
      </c>
      <c r="Y669" s="509">
        <f t="shared" si="225"/>
        <v>0</v>
      </c>
      <c r="Z669" s="509">
        <f t="shared" si="225"/>
        <v>0</v>
      </c>
      <c r="AA669" s="509">
        <f t="shared" si="225"/>
        <v>0</v>
      </c>
      <c r="AB669" s="509">
        <f t="shared" si="225"/>
        <v>0</v>
      </c>
      <c r="AC669" s="509">
        <f t="shared" si="225"/>
        <v>0</v>
      </c>
      <c r="AD669" s="509">
        <f t="shared" si="225"/>
        <v>0</v>
      </c>
      <c r="AE669" s="511">
        <f t="shared" si="225"/>
        <v>0</v>
      </c>
      <c r="AF669" s="958">
        <f t="shared" si="225"/>
        <v>0</v>
      </c>
      <c r="AG669" s="509">
        <f t="shared" si="225"/>
        <v>0</v>
      </c>
      <c r="AH669" s="509">
        <f t="shared" si="225"/>
        <v>0</v>
      </c>
      <c r="AI669" s="509">
        <f t="shared" si="225"/>
        <v>0</v>
      </c>
      <c r="AJ669" s="509">
        <f t="shared" si="225"/>
        <v>0</v>
      </c>
      <c r="AK669" s="509">
        <f t="shared" si="225"/>
        <v>0</v>
      </c>
      <c r="AL669" s="509">
        <f t="shared" ref="AL669:BQ669" si="226">SUM(AL662:AL668)</f>
        <v>0</v>
      </c>
      <c r="AM669" s="509">
        <f t="shared" si="226"/>
        <v>0</v>
      </c>
      <c r="AN669" s="509">
        <f t="shared" si="226"/>
        <v>0</v>
      </c>
      <c r="AO669" s="509">
        <f t="shared" si="226"/>
        <v>0</v>
      </c>
      <c r="AP669" s="509">
        <f t="shared" si="226"/>
        <v>0</v>
      </c>
      <c r="AQ669" s="509">
        <f t="shared" si="226"/>
        <v>0</v>
      </c>
      <c r="AR669" s="509">
        <f t="shared" si="226"/>
        <v>0</v>
      </c>
      <c r="AS669" s="509">
        <f t="shared" si="226"/>
        <v>0</v>
      </c>
      <c r="AT669" s="509">
        <f t="shared" si="226"/>
        <v>0</v>
      </c>
      <c r="AU669" s="509">
        <f t="shared" si="226"/>
        <v>0</v>
      </c>
      <c r="AV669" s="509">
        <f t="shared" si="226"/>
        <v>0</v>
      </c>
      <c r="AW669" s="509">
        <f t="shared" si="226"/>
        <v>0</v>
      </c>
      <c r="AX669" s="509">
        <f t="shared" si="226"/>
        <v>4</v>
      </c>
      <c r="AY669" s="509">
        <f t="shared" si="226"/>
        <v>0</v>
      </c>
      <c r="AZ669" s="509">
        <f t="shared" si="226"/>
        <v>0</v>
      </c>
      <c r="BA669" s="509">
        <f t="shared" si="226"/>
        <v>2</v>
      </c>
      <c r="BB669" s="509">
        <f t="shared" si="226"/>
        <v>0</v>
      </c>
      <c r="BC669" s="509">
        <f t="shared" si="226"/>
        <v>0</v>
      </c>
      <c r="BD669" s="509">
        <f t="shared" si="226"/>
        <v>0</v>
      </c>
      <c r="BE669" s="509">
        <f t="shared" si="226"/>
        <v>0</v>
      </c>
      <c r="BF669" s="509">
        <f t="shared" si="226"/>
        <v>0</v>
      </c>
      <c r="BG669" s="509">
        <f t="shared" si="226"/>
        <v>0</v>
      </c>
      <c r="BH669" s="509">
        <f t="shared" si="226"/>
        <v>0</v>
      </c>
      <c r="BI669" s="509">
        <f t="shared" si="226"/>
        <v>0</v>
      </c>
      <c r="BJ669" s="509">
        <f t="shared" si="226"/>
        <v>0</v>
      </c>
      <c r="BK669" s="509">
        <f t="shared" si="226"/>
        <v>0</v>
      </c>
      <c r="BL669" s="509">
        <f t="shared" si="226"/>
        <v>0</v>
      </c>
      <c r="BM669" s="509">
        <f t="shared" si="226"/>
        <v>0</v>
      </c>
      <c r="BN669" s="509">
        <f t="shared" si="226"/>
        <v>0</v>
      </c>
      <c r="BO669" s="509">
        <f t="shared" si="226"/>
        <v>0</v>
      </c>
      <c r="BP669" s="509">
        <f t="shared" si="226"/>
        <v>0</v>
      </c>
      <c r="BQ669" s="509">
        <f t="shared" si="226"/>
        <v>0</v>
      </c>
      <c r="BR669" s="509">
        <f t="shared" ref="BR669:DA669" si="227">SUM(BR662:BR668)</f>
        <v>0</v>
      </c>
      <c r="BS669" s="509">
        <f t="shared" si="227"/>
        <v>0</v>
      </c>
      <c r="BT669" s="509">
        <f t="shared" si="227"/>
        <v>0</v>
      </c>
      <c r="BU669" s="509">
        <f t="shared" si="227"/>
        <v>0</v>
      </c>
      <c r="BV669" s="509">
        <f t="shared" si="227"/>
        <v>0</v>
      </c>
      <c r="BW669" s="509">
        <f t="shared" si="227"/>
        <v>0</v>
      </c>
      <c r="BX669" s="509">
        <f t="shared" si="227"/>
        <v>0</v>
      </c>
      <c r="BY669" s="509">
        <f t="shared" si="227"/>
        <v>0</v>
      </c>
      <c r="BZ669" s="509">
        <f t="shared" si="227"/>
        <v>0</v>
      </c>
      <c r="CA669" s="509">
        <f t="shared" si="227"/>
        <v>0</v>
      </c>
      <c r="CB669" s="509">
        <f t="shared" si="227"/>
        <v>0</v>
      </c>
      <c r="CC669" s="509">
        <f t="shared" si="227"/>
        <v>0</v>
      </c>
      <c r="CD669" s="509">
        <f t="shared" si="227"/>
        <v>0</v>
      </c>
      <c r="CE669" s="509">
        <f t="shared" si="227"/>
        <v>8</v>
      </c>
      <c r="CF669" s="509">
        <f t="shared" si="227"/>
        <v>0</v>
      </c>
      <c r="CG669" s="509">
        <f t="shared" si="227"/>
        <v>16</v>
      </c>
      <c r="CH669" s="509">
        <f t="shared" si="227"/>
        <v>0</v>
      </c>
      <c r="CI669" s="509">
        <f t="shared" si="227"/>
        <v>16</v>
      </c>
      <c r="CJ669" s="509">
        <f t="shared" si="227"/>
        <v>0</v>
      </c>
      <c r="CK669" s="509">
        <f t="shared" si="227"/>
        <v>0</v>
      </c>
      <c r="CL669" s="509">
        <f t="shared" si="227"/>
        <v>0</v>
      </c>
      <c r="CM669" s="509">
        <f t="shared" si="227"/>
        <v>0</v>
      </c>
      <c r="CN669" s="509">
        <f t="shared" si="227"/>
        <v>0</v>
      </c>
      <c r="CO669" s="509">
        <f t="shared" si="227"/>
        <v>0</v>
      </c>
      <c r="CP669" s="509">
        <f t="shared" si="227"/>
        <v>0</v>
      </c>
      <c r="CQ669" s="509">
        <f t="shared" si="227"/>
        <v>0</v>
      </c>
      <c r="CR669" s="509">
        <f t="shared" si="227"/>
        <v>0</v>
      </c>
      <c r="CS669" s="509">
        <f t="shared" si="227"/>
        <v>0</v>
      </c>
      <c r="CT669" s="509">
        <f t="shared" si="227"/>
        <v>0</v>
      </c>
      <c r="CU669" s="509">
        <f t="shared" si="227"/>
        <v>4</v>
      </c>
      <c r="CV669" s="509">
        <f t="shared" si="227"/>
        <v>0</v>
      </c>
      <c r="CW669" s="509">
        <f t="shared" si="227"/>
        <v>0</v>
      </c>
      <c r="CX669" s="509">
        <f>SUM(CX662:CX668)</f>
        <v>2</v>
      </c>
      <c r="CY669" s="509">
        <f>SUM(CY662:CY668)</f>
        <v>2</v>
      </c>
      <c r="CZ669" s="509">
        <f t="shared" si="227"/>
        <v>0</v>
      </c>
      <c r="DA669" s="509">
        <f t="shared" si="227"/>
        <v>0</v>
      </c>
      <c r="DB669" s="509">
        <f t="shared" ref="DB669:EG669" si="228">SUM(DB662:DB668)</f>
        <v>0</v>
      </c>
      <c r="DC669" s="509">
        <f t="shared" si="228"/>
        <v>0</v>
      </c>
      <c r="DD669" s="509">
        <f t="shared" si="228"/>
        <v>0</v>
      </c>
      <c r="DE669" s="509">
        <f t="shared" si="228"/>
        <v>0</v>
      </c>
      <c r="DF669" s="509">
        <f t="shared" si="228"/>
        <v>0</v>
      </c>
      <c r="DG669" s="518">
        <f t="shared" si="228"/>
        <v>0</v>
      </c>
      <c r="DH669" s="518">
        <f t="shared" si="228"/>
        <v>0</v>
      </c>
      <c r="DI669" s="518">
        <f t="shared" si="228"/>
        <v>0</v>
      </c>
      <c r="DJ669" s="518">
        <f t="shared" si="228"/>
        <v>0</v>
      </c>
      <c r="DK669" s="518">
        <f t="shared" si="228"/>
        <v>0</v>
      </c>
      <c r="DL669" s="518">
        <f t="shared" si="228"/>
        <v>0</v>
      </c>
      <c r="DM669" s="518">
        <f t="shared" si="228"/>
        <v>0</v>
      </c>
      <c r="DN669" s="518">
        <f t="shared" si="228"/>
        <v>0</v>
      </c>
      <c r="DO669" s="518">
        <f t="shared" si="228"/>
        <v>0</v>
      </c>
      <c r="DP669" s="518">
        <f t="shared" si="228"/>
        <v>0</v>
      </c>
      <c r="DQ669" s="518">
        <f t="shared" si="228"/>
        <v>0</v>
      </c>
      <c r="DR669" s="518">
        <f t="shared" si="228"/>
        <v>0</v>
      </c>
      <c r="DS669" s="509">
        <f t="shared" si="228"/>
        <v>0</v>
      </c>
      <c r="DT669" s="509">
        <f t="shared" si="228"/>
        <v>0</v>
      </c>
      <c r="DU669" s="509">
        <f t="shared" si="228"/>
        <v>0</v>
      </c>
      <c r="DV669" s="509">
        <f t="shared" si="228"/>
        <v>0</v>
      </c>
      <c r="DW669" s="509">
        <f t="shared" si="228"/>
        <v>0</v>
      </c>
      <c r="DX669" s="509">
        <f t="shared" si="228"/>
        <v>0</v>
      </c>
      <c r="DY669" s="509">
        <f t="shared" si="228"/>
        <v>0</v>
      </c>
      <c r="DZ669" s="509">
        <f t="shared" si="228"/>
        <v>0</v>
      </c>
      <c r="EA669" s="509">
        <f t="shared" si="228"/>
        <v>0</v>
      </c>
      <c r="EB669" s="509">
        <f t="shared" si="228"/>
        <v>0</v>
      </c>
      <c r="EC669" s="509">
        <f t="shared" si="228"/>
        <v>0</v>
      </c>
      <c r="ED669" s="509">
        <f t="shared" si="228"/>
        <v>0</v>
      </c>
      <c r="EE669" s="509">
        <f t="shared" si="228"/>
        <v>0</v>
      </c>
      <c r="EF669" s="509">
        <f t="shared" si="228"/>
        <v>0</v>
      </c>
      <c r="EG669" s="509">
        <f t="shared" si="228"/>
        <v>0</v>
      </c>
      <c r="EH669" s="509">
        <f t="shared" ref="EH669:FM669" si="229">SUM(EH662:EH668)</f>
        <v>0</v>
      </c>
      <c r="EI669" s="509">
        <f t="shared" si="229"/>
        <v>0</v>
      </c>
      <c r="EJ669" s="509">
        <f t="shared" si="229"/>
        <v>0</v>
      </c>
      <c r="EK669" s="509">
        <f t="shared" si="229"/>
        <v>0</v>
      </c>
      <c r="EL669" s="509">
        <f t="shared" si="229"/>
        <v>0</v>
      </c>
      <c r="EM669" s="509">
        <f t="shared" si="229"/>
        <v>0</v>
      </c>
      <c r="EN669" s="509">
        <f t="shared" si="229"/>
        <v>0</v>
      </c>
      <c r="EO669" s="509">
        <f t="shared" si="229"/>
        <v>0</v>
      </c>
      <c r="EP669" s="509">
        <f t="shared" si="229"/>
        <v>0</v>
      </c>
      <c r="EQ669" s="509">
        <f t="shared" si="229"/>
        <v>0</v>
      </c>
      <c r="ER669" s="509">
        <f t="shared" si="229"/>
        <v>0</v>
      </c>
      <c r="ES669" s="509">
        <f t="shared" si="229"/>
        <v>0</v>
      </c>
      <c r="ET669" s="509">
        <f t="shared" si="229"/>
        <v>0</v>
      </c>
      <c r="EU669" s="509">
        <f t="shared" si="229"/>
        <v>0</v>
      </c>
      <c r="EV669" s="509">
        <f t="shared" si="229"/>
        <v>0</v>
      </c>
      <c r="EW669" s="509">
        <f t="shared" si="229"/>
        <v>0</v>
      </c>
      <c r="EX669" s="509">
        <f t="shared" si="229"/>
        <v>0</v>
      </c>
      <c r="EY669" s="509">
        <f t="shared" si="229"/>
        <v>0</v>
      </c>
      <c r="EZ669" s="509">
        <f t="shared" si="229"/>
        <v>0</v>
      </c>
      <c r="FA669" s="509">
        <f t="shared" si="229"/>
        <v>0</v>
      </c>
      <c r="FB669" s="509">
        <f t="shared" si="229"/>
        <v>0</v>
      </c>
      <c r="FC669" s="509">
        <f t="shared" si="229"/>
        <v>0</v>
      </c>
      <c r="FD669" s="509">
        <f t="shared" si="229"/>
        <v>0</v>
      </c>
      <c r="FE669" s="509">
        <f t="shared" si="229"/>
        <v>0</v>
      </c>
      <c r="FF669" s="509">
        <f t="shared" si="229"/>
        <v>0</v>
      </c>
      <c r="FG669" s="509">
        <f t="shared" si="229"/>
        <v>0</v>
      </c>
      <c r="FH669" s="509">
        <f t="shared" si="229"/>
        <v>0</v>
      </c>
      <c r="FI669" s="509">
        <f t="shared" si="229"/>
        <v>0</v>
      </c>
      <c r="FJ669" s="509">
        <f t="shared" si="229"/>
        <v>0</v>
      </c>
      <c r="FK669" s="509">
        <f t="shared" si="229"/>
        <v>0</v>
      </c>
      <c r="FL669" s="509">
        <f t="shared" si="229"/>
        <v>0</v>
      </c>
      <c r="FM669" s="509">
        <f t="shared" si="229"/>
        <v>0</v>
      </c>
      <c r="FN669" s="509">
        <f>SUM(FN662:FN668)</f>
        <v>0</v>
      </c>
      <c r="FO669" s="509">
        <f>SUM(FO662:FO668)</f>
        <v>0</v>
      </c>
      <c r="FP669" s="509"/>
      <c r="FQ669" s="508"/>
    </row>
    <row r="670" spans="1:173" s="4" customFormat="1">
      <c r="A670" s="56"/>
      <c r="B670" s="56">
        <v>14</v>
      </c>
      <c r="C670" s="501" t="s">
        <v>3898</v>
      </c>
      <c r="D670" s="502"/>
      <c r="E670" s="503"/>
      <c r="F670" s="503"/>
      <c r="G670" s="503"/>
      <c r="H670" s="503"/>
      <c r="I670" s="503"/>
      <c r="J670" s="503"/>
      <c r="K670" s="503"/>
      <c r="L670" s="503"/>
      <c r="M670" s="503"/>
      <c r="N670" s="503"/>
      <c r="O670" s="503"/>
      <c r="P670" s="503"/>
      <c r="Q670" s="503"/>
      <c r="R670" s="503"/>
      <c r="S670" s="503"/>
      <c r="T670" s="504"/>
      <c r="U670" s="504"/>
      <c r="V670" s="504"/>
      <c r="W670" s="504"/>
      <c r="X670" s="504"/>
      <c r="Y670" s="504"/>
      <c r="Z670" s="504"/>
      <c r="AA670" s="504"/>
      <c r="AB670" s="504"/>
      <c r="AC670" s="504"/>
      <c r="AD670" s="504"/>
      <c r="AE670" s="954"/>
      <c r="AF670" s="959"/>
      <c r="AG670" s="504"/>
      <c r="AH670" s="504"/>
      <c r="AI670" s="504"/>
      <c r="AJ670" s="504"/>
      <c r="AK670" s="504"/>
      <c r="AL670" s="504"/>
      <c r="AM670" s="504"/>
      <c r="AN670" s="504"/>
      <c r="AO670" s="504"/>
      <c r="AP670" s="504"/>
      <c r="AQ670" s="504"/>
      <c r="AR670" s="504"/>
      <c r="AS670" s="504"/>
      <c r="AT670" s="504"/>
      <c r="AU670" s="504"/>
      <c r="AV670" s="504"/>
      <c r="AW670" s="504"/>
      <c r="AX670" s="504"/>
      <c r="AY670" s="504"/>
      <c r="AZ670" s="504"/>
      <c r="BA670" s="504"/>
      <c r="BB670" s="504"/>
      <c r="BC670" s="504"/>
      <c r="BD670" s="504"/>
      <c r="BE670" s="504"/>
      <c r="BF670" s="504"/>
      <c r="BG670" s="504"/>
      <c r="BH670" s="504"/>
      <c r="BI670" s="504"/>
      <c r="BJ670" s="504"/>
      <c r="BK670" s="504"/>
      <c r="BL670" s="504"/>
      <c r="BM670" s="504"/>
      <c r="BN670" s="504"/>
      <c r="BO670" s="504"/>
      <c r="BP670" s="504"/>
      <c r="BQ670" s="504"/>
      <c r="BR670" s="504"/>
      <c r="BS670" s="504"/>
      <c r="BT670" s="504"/>
      <c r="BU670" s="504"/>
      <c r="BV670" s="504"/>
      <c r="BW670" s="504"/>
      <c r="BX670" s="504"/>
      <c r="BY670" s="504"/>
      <c r="BZ670" s="504"/>
      <c r="CA670" s="504"/>
      <c r="CB670" s="504"/>
      <c r="CC670" s="504"/>
      <c r="CD670" s="504"/>
      <c r="CE670" s="504"/>
      <c r="CF670" s="504"/>
      <c r="CG670" s="504"/>
      <c r="CH670" s="504"/>
      <c r="CI670" s="504"/>
      <c r="CJ670" s="504"/>
      <c r="CK670" s="504"/>
      <c r="CL670" s="504"/>
      <c r="CM670" s="504"/>
      <c r="CN670" s="504"/>
      <c r="CO670" s="504"/>
      <c r="CP670" s="504"/>
      <c r="CQ670" s="504"/>
      <c r="CR670" s="504"/>
      <c r="CS670" s="504"/>
      <c r="CT670" s="504"/>
      <c r="CU670" s="504"/>
      <c r="CV670" s="504"/>
      <c r="CW670" s="504"/>
      <c r="CX670" s="504"/>
      <c r="CY670" s="504"/>
      <c r="CZ670" s="504"/>
      <c r="DA670" s="504"/>
      <c r="DB670" s="504"/>
      <c r="DC670" s="504"/>
      <c r="DD670" s="504"/>
      <c r="DE670" s="504"/>
      <c r="DF670" s="504"/>
      <c r="DG670" s="519"/>
      <c r="DH670" s="519"/>
      <c r="DI670" s="519"/>
      <c r="DJ670" s="519"/>
      <c r="DK670" s="519"/>
      <c r="DL670" s="519"/>
      <c r="DM670" s="519"/>
      <c r="DN670" s="519"/>
      <c r="DO670" s="519"/>
      <c r="DP670" s="519"/>
      <c r="DQ670" s="519"/>
      <c r="DR670" s="519"/>
      <c r="DS670" s="504"/>
      <c r="DT670" s="504"/>
      <c r="DU670" s="504"/>
      <c r="DV670" s="504"/>
      <c r="DW670" s="504"/>
      <c r="DX670" s="504"/>
      <c r="DY670" s="504"/>
      <c r="DZ670" s="504"/>
      <c r="EA670" s="504"/>
      <c r="EB670" s="504"/>
      <c r="EC670" s="504"/>
      <c r="ED670" s="504"/>
      <c r="EE670" s="504"/>
      <c r="EF670" s="504"/>
      <c r="EG670" s="504"/>
      <c r="EH670" s="504"/>
      <c r="EI670" s="504"/>
      <c r="EJ670" s="504"/>
      <c r="EK670" s="504"/>
      <c r="EL670" s="504"/>
      <c r="EM670" s="504"/>
      <c r="EN670" s="504"/>
      <c r="EO670" s="504"/>
      <c r="EP670" s="504"/>
      <c r="EQ670" s="504"/>
      <c r="ER670" s="504"/>
      <c r="ES670" s="504"/>
      <c r="ET670" s="504"/>
      <c r="EU670" s="504"/>
      <c r="EV670" s="504"/>
      <c r="EW670" s="504"/>
      <c r="EX670" s="504"/>
      <c r="EY670" s="504"/>
      <c r="EZ670" s="504"/>
      <c r="FA670" s="504"/>
      <c r="FB670" s="504"/>
      <c r="FC670" s="504"/>
      <c r="FD670" s="504"/>
      <c r="FE670" s="504"/>
      <c r="FF670" s="504"/>
      <c r="FG670" s="504"/>
      <c r="FH670" s="504"/>
      <c r="FI670" s="504"/>
      <c r="FJ670" s="504"/>
      <c r="FK670" s="504"/>
      <c r="FL670" s="504"/>
      <c r="FM670" s="504"/>
      <c r="FN670" s="504"/>
      <c r="FO670" s="504"/>
      <c r="FP670" s="504"/>
      <c r="FQ670" s="505"/>
    </row>
    <row r="671" spans="1:173" s="4" customFormat="1">
      <c r="A671" s="56"/>
      <c r="B671" s="56"/>
      <c r="C671" s="498"/>
      <c r="D671" s="498" t="s">
        <v>3003</v>
      </c>
      <c r="E671" s="454"/>
      <c r="F671" s="454"/>
      <c r="G671" s="454"/>
      <c r="H671" s="454"/>
      <c r="I671" s="454"/>
      <c r="J671" s="454"/>
      <c r="K671" s="454"/>
      <c r="L671" s="454"/>
      <c r="M671" s="454"/>
      <c r="N671" s="454"/>
      <c r="O671" s="454"/>
      <c r="P671" s="454"/>
      <c r="Q671" s="454"/>
      <c r="R671" s="454"/>
      <c r="S671" s="454"/>
      <c r="T671" s="454"/>
      <c r="U671" s="454" t="s">
        <v>2989</v>
      </c>
      <c r="V671" s="454"/>
      <c r="W671" s="454"/>
      <c r="X671" s="454"/>
      <c r="Y671" s="454"/>
      <c r="Z671" s="454"/>
      <c r="AA671" s="454"/>
      <c r="AB671" s="454"/>
      <c r="AC671" s="454"/>
      <c r="AD671" s="454"/>
      <c r="AE671" s="512"/>
      <c r="AF671" s="961"/>
      <c r="AG671" s="454"/>
      <c r="AH671" s="454"/>
      <c r="AI671" s="454"/>
      <c r="AJ671" s="454"/>
      <c r="AK671" s="454"/>
      <c r="AL671" s="454"/>
      <c r="AM671" s="454"/>
      <c r="AN671" s="454"/>
      <c r="AO671" s="454"/>
      <c r="AP671" s="454"/>
      <c r="AQ671" s="454"/>
      <c r="AR671" s="454"/>
      <c r="AS671" s="454"/>
      <c r="AT671" s="454"/>
      <c r="AU671" s="454"/>
      <c r="AV671" s="454"/>
      <c r="AW671" s="454"/>
      <c r="AX671" s="454"/>
      <c r="AY671" s="454"/>
      <c r="AZ671" s="454"/>
      <c r="BA671" s="454"/>
      <c r="BB671" s="454"/>
      <c r="BC671" s="454"/>
      <c r="BD671" s="454"/>
      <c r="BE671" s="454">
        <v>2</v>
      </c>
      <c r="BF671" s="454"/>
      <c r="BG671" s="454"/>
      <c r="BH671" s="454"/>
      <c r="BI671" s="454"/>
      <c r="BJ671" s="454"/>
      <c r="BK671" s="454"/>
      <c r="BL671" s="454"/>
      <c r="BM671" s="454"/>
      <c r="BN671" s="454"/>
      <c r="BO671" s="454"/>
      <c r="BP671" s="454"/>
      <c r="BQ671" s="454"/>
      <c r="BR671" s="454"/>
      <c r="BS671" s="454"/>
      <c r="BT671" s="454"/>
      <c r="BU671" s="454"/>
      <c r="BV671" s="454"/>
      <c r="BW671" s="454"/>
      <c r="BX671" s="454">
        <v>2</v>
      </c>
      <c r="BY671" s="454"/>
      <c r="BZ671" s="454"/>
      <c r="CA671" s="454"/>
      <c r="CB671" s="454"/>
      <c r="CC671" s="454"/>
      <c r="CD671" s="454"/>
      <c r="CE671" s="454">
        <v>6</v>
      </c>
      <c r="CF671" s="454"/>
      <c r="CG671" s="454">
        <v>12</v>
      </c>
      <c r="CH671" s="454"/>
      <c r="CI671" s="454">
        <v>8</v>
      </c>
      <c r="CJ671" s="454"/>
      <c r="CK671" s="454"/>
      <c r="CL671" s="454"/>
      <c r="CM671" s="454"/>
      <c r="CN671" s="454"/>
      <c r="CO671" s="454">
        <v>8</v>
      </c>
      <c r="CP671" s="454"/>
      <c r="CQ671" s="454"/>
      <c r="CR671" s="454"/>
      <c r="CS671" s="454"/>
      <c r="CT671" s="454"/>
      <c r="CU671" s="454">
        <v>2</v>
      </c>
      <c r="CV671" s="454"/>
      <c r="CW671" s="454"/>
      <c r="CX671" s="454"/>
      <c r="CY671" s="454"/>
      <c r="CZ671" s="454"/>
      <c r="DA671" s="454"/>
      <c r="DB671" s="454"/>
      <c r="DC671" s="454"/>
      <c r="DD671" s="454"/>
      <c r="DE671" s="454"/>
      <c r="DF671" s="454"/>
      <c r="DG671" s="517"/>
      <c r="DH671" s="517"/>
      <c r="DI671" s="517"/>
      <c r="DJ671" s="517"/>
      <c r="DK671" s="517"/>
      <c r="DL671" s="517"/>
      <c r="DM671" s="517"/>
      <c r="DN671" s="517"/>
      <c r="DO671" s="517"/>
      <c r="DP671" s="517"/>
      <c r="DQ671" s="517"/>
      <c r="DR671" s="517"/>
      <c r="DS671" s="454"/>
      <c r="DT671" s="454"/>
      <c r="DU671" s="454"/>
      <c r="DV671" s="454"/>
      <c r="DW671" s="454"/>
      <c r="DX671" s="454"/>
      <c r="DY671" s="454"/>
      <c r="DZ671" s="454"/>
      <c r="EA671" s="454"/>
      <c r="EB671" s="454"/>
      <c r="EC671" s="454"/>
      <c r="ED671" s="454"/>
      <c r="EE671" s="454"/>
      <c r="EF671" s="454"/>
      <c r="EG671" s="454"/>
      <c r="EH671" s="454"/>
      <c r="EI671" s="454"/>
      <c r="EJ671" s="454"/>
      <c r="EK671" s="454"/>
      <c r="EL671" s="454"/>
      <c r="EM671" s="454"/>
      <c r="EN671" s="454"/>
      <c r="EO671" s="454"/>
      <c r="EP671" s="454"/>
      <c r="EQ671" s="454"/>
      <c r="ER671" s="454"/>
      <c r="ES671" s="454"/>
      <c r="ET671" s="454"/>
      <c r="EU671" s="454"/>
      <c r="EV671" s="454"/>
      <c r="EW671" s="454"/>
      <c r="EX671" s="454"/>
      <c r="EY671" s="454"/>
      <c r="EZ671" s="454"/>
      <c r="FA671" s="454"/>
      <c r="FB671" s="454"/>
      <c r="FC671" s="454"/>
      <c r="FD671" s="454"/>
      <c r="FE671" s="454"/>
      <c r="FF671" s="454"/>
      <c r="FG671" s="454"/>
      <c r="FH671" s="454"/>
      <c r="FI671" s="454"/>
      <c r="FJ671" s="454"/>
      <c r="FK671" s="454"/>
      <c r="FL671" s="454"/>
      <c r="FM671" s="454"/>
      <c r="FN671" s="454"/>
      <c r="FO671" s="454"/>
      <c r="FP671" s="454"/>
      <c r="FQ671" s="290"/>
    </row>
    <row r="672" spans="1:173" s="4" customFormat="1">
      <c r="A672" s="56"/>
      <c r="B672" s="56"/>
      <c r="C672" s="498"/>
      <c r="D672" s="498"/>
      <c r="E672" s="454"/>
      <c r="F672" s="454"/>
      <c r="G672" s="454"/>
      <c r="H672" s="454"/>
      <c r="I672" s="454"/>
      <c r="J672" s="454"/>
      <c r="K672" s="454"/>
      <c r="L672" s="454"/>
      <c r="M672" s="454"/>
      <c r="N672" s="454"/>
      <c r="O672" s="454"/>
      <c r="P672" s="454"/>
      <c r="Q672" s="454"/>
      <c r="R672" s="454"/>
      <c r="S672" s="454"/>
      <c r="T672" s="454"/>
      <c r="U672" s="454"/>
      <c r="V672" s="454"/>
      <c r="W672" s="454"/>
      <c r="X672" s="454"/>
      <c r="Y672" s="454"/>
      <c r="Z672" s="454"/>
      <c r="AA672" s="454"/>
      <c r="AB672" s="454"/>
      <c r="AC672" s="454"/>
      <c r="AD672" s="454"/>
      <c r="AE672" s="512"/>
      <c r="AF672" s="961"/>
      <c r="AG672" s="454"/>
      <c r="AH672" s="454"/>
      <c r="AI672" s="454"/>
      <c r="AJ672" s="454"/>
      <c r="AK672" s="454"/>
      <c r="AL672" s="454"/>
      <c r="AM672" s="454"/>
      <c r="AN672" s="454"/>
      <c r="AO672" s="454"/>
      <c r="AP672" s="454"/>
      <c r="AQ672" s="454"/>
      <c r="AR672" s="454"/>
      <c r="AS672" s="454"/>
      <c r="AT672" s="454"/>
      <c r="AU672" s="454"/>
      <c r="AV672" s="454"/>
      <c r="AW672" s="454"/>
      <c r="AX672" s="454"/>
      <c r="AY672" s="454"/>
      <c r="AZ672" s="454"/>
      <c r="BA672" s="454"/>
      <c r="BB672" s="454"/>
      <c r="BC672" s="454"/>
      <c r="BD672" s="454"/>
      <c r="BE672" s="454"/>
      <c r="BF672" s="454"/>
      <c r="BG672" s="454"/>
      <c r="BH672" s="454"/>
      <c r="BI672" s="454"/>
      <c r="BJ672" s="454"/>
      <c r="BK672" s="454"/>
      <c r="BL672" s="454"/>
      <c r="BM672" s="454"/>
      <c r="BN672" s="454"/>
      <c r="BO672" s="454"/>
      <c r="BP672" s="454"/>
      <c r="BQ672" s="454"/>
      <c r="BR672" s="454"/>
      <c r="BS672" s="454"/>
      <c r="BT672" s="454"/>
      <c r="BU672" s="454"/>
      <c r="BV672" s="454"/>
      <c r="BW672" s="454"/>
      <c r="BX672" s="454"/>
      <c r="BY672" s="454"/>
      <c r="BZ672" s="454"/>
      <c r="CA672" s="454"/>
      <c r="CB672" s="454"/>
      <c r="CC672" s="454"/>
      <c r="CD672" s="454"/>
      <c r="CE672" s="454"/>
      <c r="CF672" s="454"/>
      <c r="CG672" s="454"/>
      <c r="CH672" s="454"/>
      <c r="CI672" s="454"/>
      <c r="CJ672" s="454"/>
      <c r="CK672" s="454"/>
      <c r="CL672" s="454"/>
      <c r="CM672" s="454"/>
      <c r="CN672" s="454"/>
      <c r="CO672" s="454"/>
      <c r="CP672" s="454"/>
      <c r="CQ672" s="454"/>
      <c r="CR672" s="454"/>
      <c r="CS672" s="454"/>
      <c r="CT672" s="454"/>
      <c r="CU672" s="454"/>
      <c r="CV672" s="454"/>
      <c r="CW672" s="454"/>
      <c r="CX672" s="454"/>
      <c r="CY672" s="454"/>
      <c r="CZ672" s="454"/>
      <c r="DA672" s="454"/>
      <c r="DB672" s="454"/>
      <c r="DC672" s="454"/>
      <c r="DD672" s="454"/>
      <c r="DE672" s="454"/>
      <c r="DF672" s="454"/>
      <c r="DG672" s="517"/>
      <c r="DH672" s="517"/>
      <c r="DI672" s="517"/>
      <c r="DJ672" s="517"/>
      <c r="DK672" s="517"/>
      <c r="DL672" s="517"/>
      <c r="DM672" s="517"/>
      <c r="DN672" s="517"/>
      <c r="DO672" s="517"/>
      <c r="DP672" s="517"/>
      <c r="DQ672" s="517"/>
      <c r="DR672" s="517"/>
      <c r="DS672" s="454"/>
      <c r="DT672" s="454"/>
      <c r="DU672" s="454"/>
      <c r="DV672" s="454"/>
      <c r="DW672" s="454"/>
      <c r="DX672" s="454"/>
      <c r="DY672" s="454"/>
      <c r="DZ672" s="454"/>
      <c r="EA672" s="454"/>
      <c r="EB672" s="454"/>
      <c r="EC672" s="454"/>
      <c r="ED672" s="454"/>
      <c r="EE672" s="454"/>
      <c r="EF672" s="454"/>
      <c r="EG672" s="454"/>
      <c r="EH672" s="454"/>
      <c r="EI672" s="454"/>
      <c r="EJ672" s="454"/>
      <c r="EK672" s="454"/>
      <c r="EL672" s="454"/>
      <c r="EM672" s="454"/>
      <c r="EN672" s="454"/>
      <c r="EO672" s="454"/>
      <c r="EP672" s="454"/>
      <c r="EQ672" s="454"/>
      <c r="ER672" s="454"/>
      <c r="ES672" s="454"/>
      <c r="ET672" s="454"/>
      <c r="EU672" s="454"/>
      <c r="EV672" s="454"/>
      <c r="EW672" s="454"/>
      <c r="EX672" s="454"/>
      <c r="EY672" s="454"/>
      <c r="EZ672" s="454"/>
      <c r="FA672" s="454"/>
      <c r="FB672" s="454"/>
      <c r="FC672" s="454"/>
      <c r="FD672" s="454"/>
      <c r="FE672" s="454"/>
      <c r="FF672" s="454"/>
      <c r="FG672" s="454"/>
      <c r="FH672" s="454"/>
      <c r="FI672" s="454"/>
      <c r="FJ672" s="454"/>
      <c r="FK672" s="454"/>
      <c r="FL672" s="454"/>
      <c r="FM672" s="454"/>
      <c r="FN672" s="454"/>
      <c r="FO672" s="454"/>
      <c r="FP672" s="454"/>
      <c r="FQ672" s="290"/>
    </row>
    <row r="673" spans="1:173" s="4" customFormat="1">
      <c r="A673" s="56"/>
      <c r="B673" s="56"/>
      <c r="C673" s="498"/>
      <c r="D673" s="498" t="s">
        <v>3048</v>
      </c>
      <c r="E673" s="454"/>
      <c r="F673" s="454"/>
      <c r="G673" s="454"/>
      <c r="H673" s="454"/>
      <c r="I673" s="454"/>
      <c r="J673" s="454"/>
      <c r="K673" s="454"/>
      <c r="L673" s="454"/>
      <c r="M673" s="454"/>
      <c r="N673" s="454"/>
      <c r="O673" s="454"/>
      <c r="P673" s="454"/>
      <c r="Q673" s="454"/>
      <c r="R673" s="454"/>
      <c r="S673" s="454"/>
      <c r="T673" s="454"/>
      <c r="U673" s="454" t="s">
        <v>2989</v>
      </c>
      <c r="V673" s="454"/>
      <c r="W673" s="454"/>
      <c r="X673" s="454"/>
      <c r="Y673" s="454"/>
      <c r="Z673" s="454"/>
      <c r="AA673" s="454"/>
      <c r="AB673" s="454"/>
      <c r="AC673" s="454"/>
      <c r="AD673" s="454"/>
      <c r="AE673" s="512"/>
      <c r="AF673" s="961"/>
      <c r="AG673" s="454"/>
      <c r="AH673" s="454"/>
      <c r="AI673" s="454"/>
      <c r="AJ673" s="454"/>
      <c r="AK673" s="454"/>
      <c r="AL673" s="454"/>
      <c r="AM673" s="454"/>
      <c r="AN673" s="454"/>
      <c r="AO673" s="454"/>
      <c r="AP673" s="454"/>
      <c r="AQ673" s="454"/>
      <c r="AR673" s="454"/>
      <c r="AS673" s="454"/>
      <c r="AT673" s="454"/>
      <c r="AU673" s="454"/>
      <c r="AV673" s="454"/>
      <c r="AW673" s="454"/>
      <c r="AX673" s="454"/>
      <c r="AY673" s="454"/>
      <c r="AZ673" s="454"/>
      <c r="BA673" s="454"/>
      <c r="BB673" s="454"/>
      <c r="BC673" s="454"/>
      <c r="BD673" s="454"/>
      <c r="BE673" s="454">
        <v>2</v>
      </c>
      <c r="BF673" s="454"/>
      <c r="BG673" s="454"/>
      <c r="BH673" s="454"/>
      <c r="BI673" s="454"/>
      <c r="BJ673" s="454"/>
      <c r="BK673" s="454"/>
      <c r="BL673" s="454"/>
      <c r="BM673" s="454"/>
      <c r="BN673" s="454"/>
      <c r="BO673" s="454"/>
      <c r="BP673" s="454"/>
      <c r="BQ673" s="454"/>
      <c r="BR673" s="454"/>
      <c r="BS673" s="454"/>
      <c r="BT673" s="454"/>
      <c r="BU673" s="454"/>
      <c r="BV673" s="454"/>
      <c r="BW673" s="454"/>
      <c r="BX673" s="454">
        <v>2</v>
      </c>
      <c r="BY673" s="454"/>
      <c r="BZ673" s="454"/>
      <c r="CA673" s="454"/>
      <c r="CB673" s="454"/>
      <c r="CC673" s="454"/>
      <c r="CD673" s="454"/>
      <c r="CE673" s="454">
        <v>6</v>
      </c>
      <c r="CF673" s="454"/>
      <c r="CG673" s="454">
        <v>12</v>
      </c>
      <c r="CH673" s="454"/>
      <c r="CI673" s="454">
        <v>8</v>
      </c>
      <c r="CJ673" s="454"/>
      <c r="CK673" s="454"/>
      <c r="CL673" s="454"/>
      <c r="CM673" s="454"/>
      <c r="CN673" s="454"/>
      <c r="CO673" s="454">
        <v>8</v>
      </c>
      <c r="CP673" s="454"/>
      <c r="CQ673" s="454"/>
      <c r="CR673" s="454"/>
      <c r="CS673" s="454"/>
      <c r="CT673" s="454"/>
      <c r="CU673" s="454">
        <v>2</v>
      </c>
      <c r="CV673" s="454"/>
      <c r="CW673" s="454"/>
      <c r="CX673" s="454"/>
      <c r="CY673" s="454"/>
      <c r="CZ673" s="454"/>
      <c r="DA673" s="454"/>
      <c r="DB673" s="454"/>
      <c r="DC673" s="454"/>
      <c r="DD673" s="454"/>
      <c r="DE673" s="454"/>
      <c r="DF673" s="454"/>
      <c r="DG673" s="517"/>
      <c r="DH673" s="517"/>
      <c r="DI673" s="517"/>
      <c r="DJ673" s="517"/>
      <c r="DK673" s="517"/>
      <c r="DL673" s="517"/>
      <c r="DM673" s="517"/>
      <c r="DN673" s="517"/>
      <c r="DO673" s="517"/>
      <c r="DP673" s="517"/>
      <c r="DQ673" s="517"/>
      <c r="DR673" s="517"/>
      <c r="DS673" s="454"/>
      <c r="DT673" s="454"/>
      <c r="DU673" s="454"/>
      <c r="DV673" s="454"/>
      <c r="DW673" s="454"/>
      <c r="DX673" s="454"/>
      <c r="DY673" s="454"/>
      <c r="DZ673" s="454"/>
      <c r="EA673" s="454"/>
      <c r="EB673" s="454"/>
      <c r="EC673" s="454"/>
      <c r="ED673" s="454"/>
      <c r="EE673" s="454"/>
      <c r="EF673" s="454"/>
      <c r="EG673" s="454"/>
      <c r="EH673" s="454"/>
      <c r="EI673" s="454"/>
      <c r="EJ673" s="454"/>
      <c r="EK673" s="454"/>
      <c r="EL673" s="454"/>
      <c r="EM673" s="454"/>
      <c r="EN673" s="454"/>
      <c r="EO673" s="454"/>
      <c r="EP673" s="454"/>
      <c r="EQ673" s="454"/>
      <c r="ER673" s="454"/>
      <c r="ES673" s="454"/>
      <c r="ET673" s="454"/>
      <c r="EU673" s="454"/>
      <c r="EV673" s="454"/>
      <c r="EW673" s="454"/>
      <c r="EX673" s="454"/>
      <c r="EY673" s="454"/>
      <c r="EZ673" s="454"/>
      <c r="FA673" s="454"/>
      <c r="FB673" s="454"/>
      <c r="FC673" s="454"/>
      <c r="FD673" s="454"/>
      <c r="FE673" s="454"/>
      <c r="FF673" s="454"/>
      <c r="FG673" s="454"/>
      <c r="FH673" s="454"/>
      <c r="FI673" s="454"/>
      <c r="FJ673" s="454"/>
      <c r="FK673" s="454"/>
      <c r="FL673" s="454"/>
      <c r="FM673" s="454"/>
      <c r="FN673" s="454"/>
      <c r="FO673" s="454"/>
      <c r="FP673" s="454"/>
      <c r="FQ673" s="290"/>
    </row>
    <row r="674" spans="1:173" s="4" customFormat="1">
      <c r="A674" s="56"/>
      <c r="B674" s="56"/>
      <c r="C674" s="498"/>
      <c r="D674" s="498"/>
      <c r="E674" s="454"/>
      <c r="F674" s="454"/>
      <c r="G674" s="454"/>
      <c r="H674" s="454"/>
      <c r="I674" s="454"/>
      <c r="J674" s="454"/>
      <c r="K674" s="454"/>
      <c r="L674" s="454"/>
      <c r="M674" s="454"/>
      <c r="N674" s="454"/>
      <c r="O674" s="454"/>
      <c r="P674" s="454"/>
      <c r="Q674" s="454"/>
      <c r="R674" s="454"/>
      <c r="S674" s="454"/>
      <c r="T674" s="454"/>
      <c r="U674" s="454"/>
      <c r="V674" s="454"/>
      <c r="W674" s="454"/>
      <c r="X674" s="454"/>
      <c r="Y674" s="454"/>
      <c r="Z674" s="454"/>
      <c r="AA674" s="454"/>
      <c r="AB674" s="454"/>
      <c r="AC674" s="454"/>
      <c r="AD674" s="454"/>
      <c r="AE674" s="512"/>
      <c r="AF674" s="961"/>
      <c r="AG674" s="454"/>
      <c r="AH674" s="454"/>
      <c r="AI674" s="454"/>
      <c r="AJ674" s="454"/>
      <c r="AK674" s="454"/>
      <c r="AL674" s="454"/>
      <c r="AM674" s="454"/>
      <c r="AN674" s="454"/>
      <c r="AO674" s="454"/>
      <c r="AP674" s="454"/>
      <c r="AQ674" s="454"/>
      <c r="AR674" s="454"/>
      <c r="AS674" s="454"/>
      <c r="AT674" s="454"/>
      <c r="AU674" s="454"/>
      <c r="AV674" s="454"/>
      <c r="AW674" s="454"/>
      <c r="AX674" s="454"/>
      <c r="AY674" s="454"/>
      <c r="AZ674" s="454"/>
      <c r="BA674" s="454"/>
      <c r="BB674" s="454"/>
      <c r="BC674" s="454"/>
      <c r="BD674" s="454"/>
      <c r="BE674" s="454"/>
      <c r="BF674" s="454"/>
      <c r="BG674" s="454"/>
      <c r="BH674" s="454"/>
      <c r="BI674" s="454"/>
      <c r="BJ674" s="454"/>
      <c r="BK674" s="454"/>
      <c r="BL674" s="454"/>
      <c r="BM674" s="454"/>
      <c r="BN674" s="454"/>
      <c r="BO674" s="454"/>
      <c r="BP674" s="454"/>
      <c r="BQ674" s="454"/>
      <c r="BR674" s="454"/>
      <c r="BS674" s="454"/>
      <c r="BT674" s="454"/>
      <c r="BU674" s="454"/>
      <c r="BV674" s="454"/>
      <c r="BW674" s="454"/>
      <c r="BX674" s="454"/>
      <c r="BY674" s="454"/>
      <c r="BZ674" s="454"/>
      <c r="CA674" s="454"/>
      <c r="CB674" s="454"/>
      <c r="CC674" s="454"/>
      <c r="CD674" s="454"/>
      <c r="CE674" s="454"/>
      <c r="CF674" s="454"/>
      <c r="CG674" s="454"/>
      <c r="CH674" s="454"/>
      <c r="CI674" s="454"/>
      <c r="CJ674" s="454"/>
      <c r="CK674" s="454"/>
      <c r="CL674" s="454"/>
      <c r="CM674" s="454"/>
      <c r="CN674" s="454"/>
      <c r="CO674" s="454"/>
      <c r="CP674" s="454"/>
      <c r="CQ674" s="454"/>
      <c r="CR674" s="454"/>
      <c r="CS674" s="454"/>
      <c r="CT674" s="454"/>
      <c r="CU674" s="454"/>
      <c r="CV674" s="454"/>
      <c r="CW674" s="454"/>
      <c r="CX674" s="454"/>
      <c r="CY674" s="454"/>
      <c r="CZ674" s="454"/>
      <c r="DA674" s="454"/>
      <c r="DB674" s="454"/>
      <c r="DC674" s="454"/>
      <c r="DD674" s="454"/>
      <c r="DE674" s="454"/>
      <c r="DF674" s="454"/>
      <c r="DG674" s="517"/>
      <c r="DH674" s="517"/>
      <c r="DI674" s="517"/>
      <c r="DJ674" s="517"/>
      <c r="DK674" s="517"/>
      <c r="DL674" s="517"/>
      <c r="DM674" s="517"/>
      <c r="DN674" s="517"/>
      <c r="DO674" s="517"/>
      <c r="DP674" s="517"/>
      <c r="DQ674" s="517"/>
      <c r="DR674" s="517"/>
      <c r="DS674" s="454"/>
      <c r="DT674" s="454"/>
      <c r="DU674" s="454"/>
      <c r="DV674" s="454"/>
      <c r="DW674" s="454"/>
      <c r="DX674" s="454"/>
      <c r="DY674" s="454"/>
      <c r="DZ674" s="454"/>
      <c r="EA674" s="454"/>
      <c r="EB674" s="454"/>
      <c r="EC674" s="454"/>
      <c r="ED674" s="454"/>
      <c r="EE674" s="454"/>
      <c r="EF674" s="454"/>
      <c r="EG674" s="454"/>
      <c r="EH674" s="454"/>
      <c r="EI674" s="454"/>
      <c r="EJ674" s="454"/>
      <c r="EK674" s="454"/>
      <c r="EL674" s="454"/>
      <c r="EM674" s="454"/>
      <c r="EN674" s="454"/>
      <c r="EO674" s="454"/>
      <c r="EP674" s="454"/>
      <c r="EQ674" s="454"/>
      <c r="ER674" s="454"/>
      <c r="ES674" s="454"/>
      <c r="ET674" s="454"/>
      <c r="EU674" s="454"/>
      <c r="EV674" s="454"/>
      <c r="EW674" s="454"/>
      <c r="EX674" s="454"/>
      <c r="EY674" s="454"/>
      <c r="EZ674" s="454"/>
      <c r="FA674" s="454"/>
      <c r="FB674" s="454"/>
      <c r="FC674" s="454"/>
      <c r="FD674" s="454"/>
      <c r="FE674" s="454"/>
      <c r="FF674" s="454"/>
      <c r="FG674" s="454"/>
      <c r="FH674" s="454"/>
      <c r="FI674" s="454"/>
      <c r="FJ674" s="454"/>
      <c r="FK674" s="454"/>
      <c r="FL674" s="454"/>
      <c r="FM674" s="454"/>
      <c r="FN674" s="454"/>
      <c r="FO674" s="454"/>
      <c r="FP674" s="454"/>
      <c r="FQ674" s="290"/>
    </row>
    <row r="675" spans="1:173" s="4" customFormat="1">
      <c r="A675" s="486">
        <f>MATCH(C675,$C$5:$C$700,0)</f>
        <v>671</v>
      </c>
      <c r="B675" s="56"/>
      <c r="C675" s="508" t="s">
        <v>3086</v>
      </c>
      <c r="D675" s="508"/>
      <c r="E675" s="508">
        <f t="shared" ref="E675:AK675" si="230">SUM(E671:E674)</f>
        <v>0</v>
      </c>
      <c r="F675" s="508">
        <f t="shared" si="230"/>
        <v>0</v>
      </c>
      <c r="G675" s="508">
        <f t="shared" si="230"/>
        <v>0</v>
      </c>
      <c r="H675" s="508">
        <f t="shared" si="230"/>
        <v>0</v>
      </c>
      <c r="I675" s="508">
        <f t="shared" si="230"/>
        <v>0</v>
      </c>
      <c r="J675" s="508">
        <f t="shared" si="230"/>
        <v>0</v>
      </c>
      <c r="K675" s="508">
        <f t="shared" si="230"/>
        <v>0</v>
      </c>
      <c r="L675" s="508">
        <f t="shared" si="230"/>
        <v>0</v>
      </c>
      <c r="M675" s="508">
        <f t="shared" si="230"/>
        <v>0</v>
      </c>
      <c r="N675" s="508">
        <f t="shared" si="230"/>
        <v>0</v>
      </c>
      <c r="O675" s="508">
        <f t="shared" si="230"/>
        <v>0</v>
      </c>
      <c r="P675" s="508">
        <f t="shared" si="230"/>
        <v>0</v>
      </c>
      <c r="Q675" s="508">
        <f t="shared" si="230"/>
        <v>0</v>
      </c>
      <c r="R675" s="508">
        <f t="shared" si="230"/>
        <v>0</v>
      </c>
      <c r="S675" s="508">
        <f t="shared" si="230"/>
        <v>0</v>
      </c>
      <c r="T675" s="509">
        <f t="shared" si="230"/>
        <v>0</v>
      </c>
      <c r="U675" s="509">
        <f t="shared" si="230"/>
        <v>0</v>
      </c>
      <c r="V675" s="509">
        <f t="shared" si="230"/>
        <v>0</v>
      </c>
      <c r="W675" s="509">
        <f t="shared" si="230"/>
        <v>0</v>
      </c>
      <c r="X675" s="509">
        <f t="shared" si="230"/>
        <v>0</v>
      </c>
      <c r="Y675" s="509">
        <f t="shared" si="230"/>
        <v>0</v>
      </c>
      <c r="Z675" s="509">
        <f t="shared" si="230"/>
        <v>0</v>
      </c>
      <c r="AA675" s="509">
        <f t="shared" si="230"/>
        <v>0</v>
      </c>
      <c r="AB675" s="509">
        <f t="shared" si="230"/>
        <v>0</v>
      </c>
      <c r="AC675" s="509">
        <f t="shared" si="230"/>
        <v>0</v>
      </c>
      <c r="AD675" s="509">
        <f t="shared" si="230"/>
        <v>0</v>
      </c>
      <c r="AE675" s="511">
        <f t="shared" si="230"/>
        <v>0</v>
      </c>
      <c r="AF675" s="958">
        <f t="shared" si="230"/>
        <v>0</v>
      </c>
      <c r="AG675" s="509">
        <f t="shared" si="230"/>
        <v>0</v>
      </c>
      <c r="AH675" s="509">
        <f t="shared" si="230"/>
        <v>0</v>
      </c>
      <c r="AI675" s="509">
        <f t="shared" si="230"/>
        <v>0</v>
      </c>
      <c r="AJ675" s="509">
        <f t="shared" si="230"/>
        <v>0</v>
      </c>
      <c r="AK675" s="509">
        <f t="shared" si="230"/>
        <v>0</v>
      </c>
      <c r="AL675" s="509">
        <f t="shared" ref="AL675:BQ675" si="231">SUM(AL671:AL674)</f>
        <v>0</v>
      </c>
      <c r="AM675" s="509">
        <f t="shared" si="231"/>
        <v>0</v>
      </c>
      <c r="AN675" s="509">
        <f t="shared" si="231"/>
        <v>0</v>
      </c>
      <c r="AO675" s="509">
        <f t="shared" si="231"/>
        <v>0</v>
      </c>
      <c r="AP675" s="509">
        <f t="shared" si="231"/>
        <v>0</v>
      </c>
      <c r="AQ675" s="509">
        <f t="shared" si="231"/>
        <v>0</v>
      </c>
      <c r="AR675" s="509">
        <f t="shared" si="231"/>
        <v>0</v>
      </c>
      <c r="AS675" s="509">
        <f t="shared" si="231"/>
        <v>0</v>
      </c>
      <c r="AT675" s="509">
        <f t="shared" si="231"/>
        <v>0</v>
      </c>
      <c r="AU675" s="509">
        <f t="shared" si="231"/>
        <v>0</v>
      </c>
      <c r="AV675" s="509">
        <f t="shared" si="231"/>
        <v>0</v>
      </c>
      <c r="AW675" s="509">
        <f t="shared" si="231"/>
        <v>0</v>
      </c>
      <c r="AX675" s="509">
        <f t="shared" si="231"/>
        <v>0</v>
      </c>
      <c r="AY675" s="509">
        <f t="shared" si="231"/>
        <v>0</v>
      </c>
      <c r="AZ675" s="509">
        <f t="shared" si="231"/>
        <v>0</v>
      </c>
      <c r="BA675" s="509">
        <f t="shared" si="231"/>
        <v>0</v>
      </c>
      <c r="BB675" s="509">
        <f t="shared" si="231"/>
        <v>0</v>
      </c>
      <c r="BC675" s="509">
        <f t="shared" si="231"/>
        <v>0</v>
      </c>
      <c r="BD675" s="509">
        <f t="shared" si="231"/>
        <v>0</v>
      </c>
      <c r="BE675" s="509">
        <f t="shared" si="231"/>
        <v>4</v>
      </c>
      <c r="BF675" s="509">
        <f t="shared" si="231"/>
        <v>0</v>
      </c>
      <c r="BG675" s="509">
        <f t="shared" si="231"/>
        <v>0</v>
      </c>
      <c r="BH675" s="509">
        <f t="shared" si="231"/>
        <v>0</v>
      </c>
      <c r="BI675" s="509">
        <f t="shared" si="231"/>
        <v>0</v>
      </c>
      <c r="BJ675" s="509">
        <f t="shared" si="231"/>
        <v>0</v>
      </c>
      <c r="BK675" s="509">
        <f t="shared" si="231"/>
        <v>0</v>
      </c>
      <c r="BL675" s="509">
        <f t="shared" si="231"/>
        <v>0</v>
      </c>
      <c r="BM675" s="509">
        <f t="shared" si="231"/>
        <v>0</v>
      </c>
      <c r="BN675" s="509">
        <f t="shared" si="231"/>
        <v>0</v>
      </c>
      <c r="BO675" s="509">
        <f t="shared" si="231"/>
        <v>0</v>
      </c>
      <c r="BP675" s="509">
        <f t="shared" si="231"/>
        <v>0</v>
      </c>
      <c r="BQ675" s="509">
        <f t="shared" si="231"/>
        <v>0</v>
      </c>
      <c r="BR675" s="509">
        <f t="shared" ref="BR675:DA675" si="232">SUM(BR671:BR674)</f>
        <v>0</v>
      </c>
      <c r="BS675" s="509">
        <f t="shared" si="232"/>
        <v>0</v>
      </c>
      <c r="BT675" s="509">
        <f t="shared" si="232"/>
        <v>0</v>
      </c>
      <c r="BU675" s="509">
        <f t="shared" si="232"/>
        <v>0</v>
      </c>
      <c r="BV675" s="509">
        <f t="shared" si="232"/>
        <v>0</v>
      </c>
      <c r="BW675" s="509">
        <f t="shared" si="232"/>
        <v>0</v>
      </c>
      <c r="BX675" s="509">
        <f t="shared" si="232"/>
        <v>4</v>
      </c>
      <c r="BY675" s="509">
        <f t="shared" si="232"/>
        <v>0</v>
      </c>
      <c r="BZ675" s="509">
        <f t="shared" si="232"/>
        <v>0</v>
      </c>
      <c r="CA675" s="509">
        <f t="shared" si="232"/>
        <v>0</v>
      </c>
      <c r="CB675" s="509">
        <f t="shared" si="232"/>
        <v>0</v>
      </c>
      <c r="CC675" s="509">
        <f t="shared" si="232"/>
        <v>0</v>
      </c>
      <c r="CD675" s="509">
        <f t="shared" si="232"/>
        <v>0</v>
      </c>
      <c r="CE675" s="509">
        <f t="shared" si="232"/>
        <v>12</v>
      </c>
      <c r="CF675" s="509">
        <f t="shared" si="232"/>
        <v>0</v>
      </c>
      <c r="CG675" s="509">
        <f t="shared" si="232"/>
        <v>24</v>
      </c>
      <c r="CH675" s="509">
        <f t="shared" si="232"/>
        <v>0</v>
      </c>
      <c r="CI675" s="509">
        <f t="shared" si="232"/>
        <v>16</v>
      </c>
      <c r="CJ675" s="509">
        <f t="shared" si="232"/>
        <v>0</v>
      </c>
      <c r="CK675" s="509">
        <f t="shared" si="232"/>
        <v>0</v>
      </c>
      <c r="CL675" s="509">
        <f t="shared" si="232"/>
        <v>0</v>
      </c>
      <c r="CM675" s="509">
        <f t="shared" si="232"/>
        <v>0</v>
      </c>
      <c r="CN675" s="509">
        <f t="shared" si="232"/>
        <v>0</v>
      </c>
      <c r="CO675" s="509">
        <f t="shared" si="232"/>
        <v>16</v>
      </c>
      <c r="CP675" s="509">
        <f t="shared" si="232"/>
        <v>0</v>
      </c>
      <c r="CQ675" s="509">
        <f t="shared" si="232"/>
        <v>0</v>
      </c>
      <c r="CR675" s="509">
        <f t="shared" si="232"/>
        <v>0</v>
      </c>
      <c r="CS675" s="509">
        <f t="shared" si="232"/>
        <v>0</v>
      </c>
      <c r="CT675" s="509">
        <f t="shared" si="232"/>
        <v>0</v>
      </c>
      <c r="CU675" s="509">
        <f t="shared" si="232"/>
        <v>4</v>
      </c>
      <c r="CV675" s="509">
        <f t="shared" si="232"/>
        <v>0</v>
      </c>
      <c r="CW675" s="509">
        <f t="shared" si="232"/>
        <v>0</v>
      </c>
      <c r="CX675" s="509">
        <f>SUM(CX671:CX674)</f>
        <v>0</v>
      </c>
      <c r="CY675" s="509">
        <f>SUM(CY671:CY674)</f>
        <v>0</v>
      </c>
      <c r="CZ675" s="509">
        <f t="shared" si="232"/>
        <v>0</v>
      </c>
      <c r="DA675" s="509">
        <f t="shared" si="232"/>
        <v>0</v>
      </c>
      <c r="DB675" s="509">
        <f t="shared" ref="DB675:EG675" si="233">SUM(DB671:DB674)</f>
        <v>0</v>
      </c>
      <c r="DC675" s="509">
        <f t="shared" si="233"/>
        <v>0</v>
      </c>
      <c r="DD675" s="509">
        <f t="shared" si="233"/>
        <v>0</v>
      </c>
      <c r="DE675" s="509">
        <f t="shared" si="233"/>
        <v>0</v>
      </c>
      <c r="DF675" s="509">
        <f t="shared" si="233"/>
        <v>0</v>
      </c>
      <c r="DG675" s="518">
        <f t="shared" si="233"/>
        <v>0</v>
      </c>
      <c r="DH675" s="518">
        <f t="shared" si="233"/>
        <v>0</v>
      </c>
      <c r="DI675" s="518">
        <f t="shared" si="233"/>
        <v>0</v>
      </c>
      <c r="DJ675" s="518">
        <f t="shared" si="233"/>
        <v>0</v>
      </c>
      <c r="DK675" s="518">
        <f t="shared" si="233"/>
        <v>0</v>
      </c>
      <c r="DL675" s="518">
        <f t="shared" si="233"/>
        <v>0</v>
      </c>
      <c r="DM675" s="518">
        <f t="shared" si="233"/>
        <v>0</v>
      </c>
      <c r="DN675" s="518">
        <f t="shared" si="233"/>
        <v>0</v>
      </c>
      <c r="DO675" s="518">
        <f t="shared" si="233"/>
        <v>0</v>
      </c>
      <c r="DP675" s="518">
        <f t="shared" si="233"/>
        <v>0</v>
      </c>
      <c r="DQ675" s="518">
        <f t="shared" si="233"/>
        <v>0</v>
      </c>
      <c r="DR675" s="518">
        <f t="shared" si="233"/>
        <v>0</v>
      </c>
      <c r="DS675" s="509">
        <f t="shared" si="233"/>
        <v>0</v>
      </c>
      <c r="DT675" s="509">
        <f t="shared" si="233"/>
        <v>0</v>
      </c>
      <c r="DU675" s="509">
        <f t="shared" si="233"/>
        <v>0</v>
      </c>
      <c r="DV675" s="509">
        <f t="shared" si="233"/>
        <v>0</v>
      </c>
      <c r="DW675" s="509">
        <f t="shared" si="233"/>
        <v>0</v>
      </c>
      <c r="DX675" s="509">
        <f t="shared" si="233"/>
        <v>0</v>
      </c>
      <c r="DY675" s="509">
        <f t="shared" si="233"/>
        <v>0</v>
      </c>
      <c r="DZ675" s="509">
        <f t="shared" si="233"/>
        <v>0</v>
      </c>
      <c r="EA675" s="509">
        <f t="shared" si="233"/>
        <v>0</v>
      </c>
      <c r="EB675" s="509">
        <f t="shared" si="233"/>
        <v>0</v>
      </c>
      <c r="EC675" s="509">
        <f t="shared" si="233"/>
        <v>0</v>
      </c>
      <c r="ED675" s="509">
        <f t="shared" si="233"/>
        <v>0</v>
      </c>
      <c r="EE675" s="509">
        <f t="shared" si="233"/>
        <v>0</v>
      </c>
      <c r="EF675" s="509">
        <f t="shared" si="233"/>
        <v>0</v>
      </c>
      <c r="EG675" s="509">
        <f t="shared" si="233"/>
        <v>0</v>
      </c>
      <c r="EH675" s="509">
        <f t="shared" ref="EH675:FM675" si="234">SUM(EH671:EH674)</f>
        <v>0</v>
      </c>
      <c r="EI675" s="509">
        <f t="shared" si="234"/>
        <v>0</v>
      </c>
      <c r="EJ675" s="509">
        <f t="shared" si="234"/>
        <v>0</v>
      </c>
      <c r="EK675" s="509">
        <f t="shared" si="234"/>
        <v>0</v>
      </c>
      <c r="EL675" s="509">
        <f t="shared" si="234"/>
        <v>0</v>
      </c>
      <c r="EM675" s="509">
        <f t="shared" si="234"/>
        <v>0</v>
      </c>
      <c r="EN675" s="509">
        <f t="shared" si="234"/>
        <v>0</v>
      </c>
      <c r="EO675" s="509">
        <f t="shared" si="234"/>
        <v>0</v>
      </c>
      <c r="EP675" s="509">
        <f t="shared" si="234"/>
        <v>0</v>
      </c>
      <c r="EQ675" s="509">
        <f t="shared" si="234"/>
        <v>0</v>
      </c>
      <c r="ER675" s="509">
        <f t="shared" si="234"/>
        <v>0</v>
      </c>
      <c r="ES675" s="509">
        <f t="shared" si="234"/>
        <v>0</v>
      </c>
      <c r="ET675" s="509">
        <f t="shared" si="234"/>
        <v>0</v>
      </c>
      <c r="EU675" s="509">
        <f t="shared" si="234"/>
        <v>0</v>
      </c>
      <c r="EV675" s="509">
        <f t="shared" si="234"/>
        <v>0</v>
      </c>
      <c r="EW675" s="509">
        <f t="shared" si="234"/>
        <v>0</v>
      </c>
      <c r="EX675" s="509">
        <f t="shared" si="234"/>
        <v>0</v>
      </c>
      <c r="EY675" s="509">
        <f t="shared" si="234"/>
        <v>0</v>
      </c>
      <c r="EZ675" s="509">
        <f t="shared" si="234"/>
        <v>0</v>
      </c>
      <c r="FA675" s="509">
        <f t="shared" si="234"/>
        <v>0</v>
      </c>
      <c r="FB675" s="509">
        <f t="shared" si="234"/>
        <v>0</v>
      </c>
      <c r="FC675" s="509">
        <f t="shared" si="234"/>
        <v>0</v>
      </c>
      <c r="FD675" s="509">
        <f t="shared" si="234"/>
        <v>0</v>
      </c>
      <c r="FE675" s="509">
        <f t="shared" si="234"/>
        <v>0</v>
      </c>
      <c r="FF675" s="509">
        <f t="shared" si="234"/>
        <v>0</v>
      </c>
      <c r="FG675" s="509">
        <f t="shared" si="234"/>
        <v>0</v>
      </c>
      <c r="FH675" s="509">
        <f t="shared" si="234"/>
        <v>0</v>
      </c>
      <c r="FI675" s="509">
        <f t="shared" si="234"/>
        <v>0</v>
      </c>
      <c r="FJ675" s="509">
        <f t="shared" si="234"/>
        <v>0</v>
      </c>
      <c r="FK675" s="509">
        <f t="shared" si="234"/>
        <v>0</v>
      </c>
      <c r="FL675" s="509">
        <f t="shared" si="234"/>
        <v>0</v>
      </c>
      <c r="FM675" s="509">
        <f t="shared" si="234"/>
        <v>0</v>
      </c>
      <c r="FN675" s="509">
        <f>SUM(FN671:FN674)</f>
        <v>0</v>
      </c>
      <c r="FO675" s="509">
        <f>SUM(FO671:FO674)</f>
        <v>0</v>
      </c>
      <c r="FP675" s="509"/>
      <c r="FQ675" s="508"/>
    </row>
    <row r="676" spans="1:173" s="4" customFormat="1">
      <c r="A676" s="56"/>
      <c r="B676" s="56">
        <v>14</v>
      </c>
      <c r="C676" s="501" t="s">
        <v>3899</v>
      </c>
      <c r="D676" s="502"/>
      <c r="E676" s="503"/>
      <c r="F676" s="503"/>
      <c r="G676" s="503"/>
      <c r="H676" s="503"/>
      <c r="I676" s="503"/>
      <c r="J676" s="503"/>
      <c r="K676" s="503"/>
      <c r="L676" s="503"/>
      <c r="M676" s="503"/>
      <c r="N676" s="503"/>
      <c r="O676" s="503"/>
      <c r="P676" s="503"/>
      <c r="Q676" s="503"/>
      <c r="R676" s="503"/>
      <c r="S676" s="503"/>
      <c r="T676" s="504"/>
      <c r="U676" s="504"/>
      <c r="V676" s="504"/>
      <c r="W676" s="504"/>
      <c r="X676" s="504"/>
      <c r="Y676" s="504"/>
      <c r="Z676" s="504"/>
      <c r="AA676" s="504"/>
      <c r="AB676" s="504"/>
      <c r="AC676" s="504"/>
      <c r="AD676" s="504"/>
      <c r="AE676" s="954"/>
      <c r="AF676" s="959"/>
      <c r="AG676" s="504"/>
      <c r="AH676" s="504"/>
      <c r="AI676" s="504"/>
      <c r="AJ676" s="504"/>
      <c r="AK676" s="504"/>
      <c r="AL676" s="504"/>
      <c r="AM676" s="504"/>
      <c r="AN676" s="504"/>
      <c r="AO676" s="504"/>
      <c r="AP676" s="504"/>
      <c r="AQ676" s="504"/>
      <c r="AR676" s="504"/>
      <c r="AS676" s="504"/>
      <c r="AT676" s="504"/>
      <c r="AU676" s="504"/>
      <c r="AV676" s="504"/>
      <c r="AW676" s="504"/>
      <c r="AX676" s="504"/>
      <c r="AY676" s="504"/>
      <c r="AZ676" s="504"/>
      <c r="BA676" s="504"/>
      <c r="BB676" s="504"/>
      <c r="BC676" s="504"/>
      <c r="BD676" s="504"/>
      <c r="BE676" s="504"/>
      <c r="BF676" s="504"/>
      <c r="BG676" s="504"/>
      <c r="BH676" s="504"/>
      <c r="BI676" s="504"/>
      <c r="BJ676" s="504"/>
      <c r="BK676" s="504"/>
      <c r="BL676" s="504"/>
      <c r="BM676" s="504"/>
      <c r="BN676" s="504"/>
      <c r="BO676" s="504"/>
      <c r="BP676" s="504"/>
      <c r="BQ676" s="504"/>
      <c r="BR676" s="504"/>
      <c r="BS676" s="504"/>
      <c r="BT676" s="504"/>
      <c r="BU676" s="504"/>
      <c r="BV676" s="504"/>
      <c r="BW676" s="504"/>
      <c r="BX676" s="504"/>
      <c r="BY676" s="504"/>
      <c r="BZ676" s="504"/>
      <c r="CA676" s="504"/>
      <c r="CB676" s="504"/>
      <c r="CC676" s="504"/>
      <c r="CD676" s="504"/>
      <c r="CE676" s="504"/>
      <c r="CF676" s="504"/>
      <c r="CG676" s="504"/>
      <c r="CH676" s="504"/>
      <c r="CI676" s="504"/>
      <c r="CJ676" s="504"/>
      <c r="CK676" s="504"/>
      <c r="CL676" s="504"/>
      <c r="CM676" s="504"/>
      <c r="CN676" s="504"/>
      <c r="CO676" s="504"/>
      <c r="CP676" s="504"/>
      <c r="CQ676" s="504"/>
      <c r="CR676" s="504"/>
      <c r="CS676" s="504"/>
      <c r="CT676" s="504"/>
      <c r="CU676" s="504"/>
      <c r="CV676" s="504"/>
      <c r="CW676" s="504"/>
      <c r="CX676" s="504"/>
      <c r="CY676" s="504"/>
      <c r="CZ676" s="504"/>
      <c r="DA676" s="504"/>
      <c r="DB676" s="504"/>
      <c r="DC676" s="504"/>
      <c r="DD676" s="504"/>
      <c r="DE676" s="504"/>
      <c r="DF676" s="504"/>
      <c r="DG676" s="519"/>
      <c r="DH676" s="519"/>
      <c r="DI676" s="519"/>
      <c r="DJ676" s="519"/>
      <c r="DK676" s="519"/>
      <c r="DL676" s="519"/>
      <c r="DM676" s="519"/>
      <c r="DN676" s="519"/>
      <c r="DO676" s="519"/>
      <c r="DP676" s="519"/>
      <c r="DQ676" s="519"/>
      <c r="DR676" s="519"/>
      <c r="DS676" s="504"/>
      <c r="DT676" s="504"/>
      <c r="DU676" s="504"/>
      <c r="DV676" s="504"/>
      <c r="DW676" s="504"/>
      <c r="DX676" s="504"/>
      <c r="DY676" s="504"/>
      <c r="DZ676" s="504"/>
      <c r="EA676" s="504"/>
      <c r="EB676" s="504"/>
      <c r="EC676" s="504"/>
      <c r="ED676" s="504"/>
      <c r="EE676" s="504"/>
      <c r="EF676" s="504"/>
      <c r="EG676" s="504"/>
      <c r="EH676" s="504"/>
      <c r="EI676" s="504"/>
      <c r="EJ676" s="504"/>
      <c r="EK676" s="504"/>
      <c r="EL676" s="504"/>
      <c r="EM676" s="504"/>
      <c r="EN676" s="504"/>
      <c r="EO676" s="504"/>
      <c r="EP676" s="504"/>
      <c r="EQ676" s="504"/>
      <c r="ER676" s="504"/>
      <c r="ES676" s="504"/>
      <c r="ET676" s="504"/>
      <c r="EU676" s="504"/>
      <c r="EV676" s="504"/>
      <c r="EW676" s="504"/>
      <c r="EX676" s="504"/>
      <c r="EY676" s="504"/>
      <c r="EZ676" s="504"/>
      <c r="FA676" s="504"/>
      <c r="FB676" s="504"/>
      <c r="FC676" s="504"/>
      <c r="FD676" s="504"/>
      <c r="FE676" s="504"/>
      <c r="FF676" s="504"/>
      <c r="FG676" s="504"/>
      <c r="FH676" s="504"/>
      <c r="FI676" s="504"/>
      <c r="FJ676" s="504"/>
      <c r="FK676" s="504"/>
      <c r="FL676" s="504"/>
      <c r="FM676" s="504"/>
      <c r="FN676" s="504"/>
      <c r="FO676" s="504"/>
      <c r="FP676" s="504"/>
      <c r="FQ676" s="505"/>
    </row>
    <row r="677" spans="1:173" s="4" customFormat="1">
      <c r="A677" s="56"/>
      <c r="B677" s="56"/>
      <c r="C677" s="498"/>
      <c r="D677" s="498" t="s">
        <v>3047</v>
      </c>
      <c r="E677" s="454"/>
      <c r="F677" s="454"/>
      <c r="G677" s="454"/>
      <c r="H677" s="454"/>
      <c r="I677" s="454"/>
      <c r="J677" s="454"/>
      <c r="K677" s="454"/>
      <c r="L677" s="454"/>
      <c r="M677" s="454"/>
      <c r="N677" s="454"/>
      <c r="O677" s="454"/>
      <c r="P677" s="454"/>
      <c r="Q677" s="454"/>
      <c r="R677" s="454"/>
      <c r="S677" s="454"/>
      <c r="T677" s="454"/>
      <c r="U677" s="454" t="s">
        <v>3718</v>
      </c>
      <c r="V677" s="454"/>
      <c r="W677" s="454"/>
      <c r="X677" s="454"/>
      <c r="Y677" s="454"/>
      <c r="Z677" s="454"/>
      <c r="AA677" s="454"/>
      <c r="AB677" s="454"/>
      <c r="AC677" s="454"/>
      <c r="AD677" s="454"/>
      <c r="AE677" s="512"/>
      <c r="AF677" s="961"/>
      <c r="AG677" s="454"/>
      <c r="AH677" s="454"/>
      <c r="AI677" s="454"/>
      <c r="AJ677" s="454"/>
      <c r="AK677" s="454"/>
      <c r="AL677" s="454"/>
      <c r="AM677" s="454"/>
      <c r="AN677" s="454"/>
      <c r="AO677" s="454"/>
      <c r="AP677" s="454"/>
      <c r="AQ677" s="454"/>
      <c r="AR677" s="454"/>
      <c r="AS677" s="454"/>
      <c r="AT677" s="454"/>
      <c r="AU677" s="454"/>
      <c r="AV677" s="454"/>
      <c r="AW677" s="454"/>
      <c r="AX677" s="454"/>
      <c r="AY677" s="454"/>
      <c r="AZ677" s="454"/>
      <c r="BA677" s="454"/>
      <c r="BB677" s="454"/>
      <c r="BC677" s="454"/>
      <c r="BD677" s="454"/>
      <c r="BE677" s="454">
        <v>3</v>
      </c>
      <c r="BF677" s="454"/>
      <c r="BG677" s="454"/>
      <c r="BH677" s="454"/>
      <c r="BI677" s="454"/>
      <c r="BJ677" s="454"/>
      <c r="BK677" s="454"/>
      <c r="BL677" s="454"/>
      <c r="BM677" s="454"/>
      <c r="BN677" s="454"/>
      <c r="BO677" s="454"/>
      <c r="BP677" s="454"/>
      <c r="BQ677" s="454"/>
      <c r="BR677" s="454"/>
      <c r="BS677" s="454"/>
      <c r="BT677" s="454"/>
      <c r="BU677" s="454"/>
      <c r="BV677" s="454"/>
      <c r="BW677" s="454"/>
      <c r="BX677" s="454">
        <v>3</v>
      </c>
      <c r="BY677" s="454"/>
      <c r="BZ677" s="454"/>
      <c r="CA677" s="454"/>
      <c r="CB677" s="454"/>
      <c r="CC677" s="454"/>
      <c r="CD677" s="454"/>
      <c r="CE677" s="454">
        <v>6</v>
      </c>
      <c r="CF677" s="454"/>
      <c r="CG677" s="454">
        <v>12</v>
      </c>
      <c r="CH677" s="454"/>
      <c r="CI677" s="454">
        <v>8</v>
      </c>
      <c r="CJ677" s="454"/>
      <c r="CK677" s="454"/>
      <c r="CL677" s="454"/>
      <c r="CM677" s="454">
        <v>8</v>
      </c>
      <c r="CN677" s="454"/>
      <c r="CO677" s="454">
        <v>6</v>
      </c>
      <c r="CP677" s="454"/>
      <c r="CQ677" s="454"/>
      <c r="CR677" s="454"/>
      <c r="CS677" s="454"/>
      <c r="CT677" s="454"/>
      <c r="CU677" s="454">
        <v>2</v>
      </c>
      <c r="CV677" s="454"/>
      <c r="CW677" s="454"/>
      <c r="CX677" s="454"/>
      <c r="CY677" s="454"/>
      <c r="CZ677" s="454"/>
      <c r="DA677" s="454"/>
      <c r="DB677" s="454"/>
      <c r="DC677" s="454"/>
      <c r="DD677" s="454"/>
      <c r="DE677" s="454"/>
      <c r="DF677" s="454"/>
      <c r="DG677" s="517"/>
      <c r="DH677" s="517"/>
      <c r="DI677" s="517"/>
      <c r="DJ677" s="517"/>
      <c r="DK677" s="517"/>
      <c r="DL677" s="517"/>
      <c r="DM677" s="517"/>
      <c r="DN677" s="517"/>
      <c r="DO677" s="517"/>
      <c r="DP677" s="517"/>
      <c r="DQ677" s="517"/>
      <c r="DR677" s="517"/>
      <c r="DS677" s="454"/>
      <c r="DT677" s="454"/>
      <c r="DU677" s="454"/>
      <c r="DV677" s="454"/>
      <c r="DW677" s="454"/>
      <c r="DX677" s="454"/>
      <c r="DY677" s="454"/>
      <c r="DZ677" s="454"/>
      <c r="EA677" s="454"/>
      <c r="EB677" s="454"/>
      <c r="EC677" s="454"/>
      <c r="ED677" s="454"/>
      <c r="EE677" s="454"/>
      <c r="EF677" s="454"/>
      <c r="EG677" s="454"/>
      <c r="EH677" s="454"/>
      <c r="EI677" s="454"/>
      <c r="EJ677" s="454"/>
      <c r="EK677" s="454"/>
      <c r="EL677" s="454"/>
      <c r="EM677" s="454"/>
      <c r="EN677" s="454"/>
      <c r="EO677" s="454"/>
      <c r="EP677" s="454"/>
      <c r="EQ677" s="454"/>
      <c r="ER677" s="454"/>
      <c r="ES677" s="454"/>
      <c r="ET677" s="454"/>
      <c r="EU677" s="454"/>
      <c r="EV677" s="454"/>
      <c r="EW677" s="454"/>
      <c r="EX677" s="454"/>
      <c r="EY677" s="454"/>
      <c r="EZ677" s="454"/>
      <c r="FA677" s="454"/>
      <c r="FB677" s="454"/>
      <c r="FC677" s="454"/>
      <c r="FD677" s="454"/>
      <c r="FE677" s="454"/>
      <c r="FF677" s="454"/>
      <c r="FG677" s="454"/>
      <c r="FH677" s="454"/>
      <c r="FI677" s="454"/>
      <c r="FJ677" s="454"/>
      <c r="FK677" s="454"/>
      <c r="FL677" s="454"/>
      <c r="FM677" s="454"/>
      <c r="FN677" s="454"/>
      <c r="FO677" s="454"/>
      <c r="FP677" s="454"/>
      <c r="FQ677" s="290"/>
    </row>
    <row r="678" spans="1:173" s="4" customFormat="1" hidden="1">
      <c r="A678" s="56"/>
      <c r="B678" s="56"/>
      <c r="C678" s="498"/>
      <c r="D678" s="498"/>
      <c r="E678" s="454"/>
      <c r="F678" s="454"/>
      <c r="G678" s="454"/>
      <c r="H678" s="454"/>
      <c r="I678" s="454"/>
      <c r="J678" s="454"/>
      <c r="K678" s="454"/>
      <c r="L678" s="454"/>
      <c r="M678" s="454"/>
      <c r="N678" s="454"/>
      <c r="O678" s="454"/>
      <c r="P678" s="454"/>
      <c r="Q678" s="454"/>
      <c r="R678" s="454"/>
      <c r="S678" s="454"/>
      <c r="T678" s="454"/>
      <c r="U678" s="454"/>
      <c r="V678" s="454"/>
      <c r="W678" s="454"/>
      <c r="X678" s="454"/>
      <c r="Y678" s="454"/>
      <c r="Z678" s="454"/>
      <c r="AA678" s="454"/>
      <c r="AB678" s="454"/>
      <c r="AC678" s="454"/>
      <c r="AD678" s="454"/>
      <c r="AE678" s="512"/>
      <c r="AF678" s="961"/>
      <c r="AG678" s="454"/>
      <c r="AH678" s="454"/>
      <c r="AI678" s="454"/>
      <c r="AJ678" s="454"/>
      <c r="AK678" s="454"/>
      <c r="AL678" s="454"/>
      <c r="AM678" s="454"/>
      <c r="AN678" s="454"/>
      <c r="AO678" s="454"/>
      <c r="AP678" s="454"/>
      <c r="AQ678" s="454"/>
      <c r="AR678" s="454"/>
      <c r="AS678" s="454"/>
      <c r="AT678" s="454"/>
      <c r="AU678" s="454"/>
      <c r="AV678" s="454"/>
      <c r="AW678" s="454"/>
      <c r="AX678" s="454"/>
      <c r="AY678" s="454"/>
      <c r="AZ678" s="454"/>
      <c r="BA678" s="454"/>
      <c r="BB678" s="454"/>
      <c r="BC678" s="454"/>
      <c r="BD678" s="454"/>
      <c r="BE678" s="454"/>
      <c r="BF678" s="454"/>
      <c r="BG678" s="454"/>
      <c r="BH678" s="454"/>
      <c r="BI678" s="454"/>
      <c r="BJ678" s="454"/>
      <c r="BK678" s="454"/>
      <c r="BL678" s="454"/>
      <c r="BM678" s="454"/>
      <c r="BN678" s="454"/>
      <c r="BO678" s="454"/>
      <c r="BP678" s="454"/>
      <c r="BQ678" s="454"/>
      <c r="BR678" s="454"/>
      <c r="BS678" s="454"/>
      <c r="BT678" s="454"/>
      <c r="BU678" s="454"/>
      <c r="BV678" s="454"/>
      <c r="BW678" s="454"/>
      <c r="BX678" s="454"/>
      <c r="BY678" s="454"/>
      <c r="BZ678" s="454"/>
      <c r="CA678" s="454"/>
      <c r="CB678" s="454"/>
      <c r="CC678" s="454"/>
      <c r="CD678" s="454"/>
      <c r="CE678" s="454"/>
      <c r="CF678" s="454"/>
      <c r="CG678" s="454"/>
      <c r="CH678" s="454"/>
      <c r="CI678" s="454"/>
      <c r="CJ678" s="454"/>
      <c r="CK678" s="454"/>
      <c r="CL678" s="454"/>
      <c r="CM678" s="454"/>
      <c r="CN678" s="454"/>
      <c r="CO678" s="454"/>
      <c r="CP678" s="454"/>
      <c r="CQ678" s="454"/>
      <c r="CR678" s="454"/>
      <c r="CS678" s="454"/>
      <c r="CT678" s="454"/>
      <c r="CU678" s="454"/>
      <c r="CV678" s="454"/>
      <c r="CW678" s="454"/>
      <c r="CX678" s="454"/>
      <c r="CY678" s="454"/>
      <c r="CZ678" s="454"/>
      <c r="DA678" s="454"/>
      <c r="DB678" s="454"/>
      <c r="DC678" s="454"/>
      <c r="DD678" s="454"/>
      <c r="DE678" s="454"/>
      <c r="DF678" s="454"/>
      <c r="DG678" s="517"/>
      <c r="DH678" s="517"/>
      <c r="DI678" s="517"/>
      <c r="DJ678" s="517"/>
      <c r="DK678" s="517"/>
      <c r="DL678" s="517"/>
      <c r="DM678" s="517"/>
      <c r="DN678" s="517"/>
      <c r="DO678" s="517"/>
      <c r="DP678" s="517"/>
      <c r="DQ678" s="517"/>
      <c r="DR678" s="517"/>
      <c r="DS678" s="454"/>
      <c r="DT678" s="454"/>
      <c r="DU678" s="454"/>
      <c r="DV678" s="454"/>
      <c r="DW678" s="454"/>
      <c r="DX678" s="454"/>
      <c r="DY678" s="454"/>
      <c r="DZ678" s="454"/>
      <c r="EA678" s="454"/>
      <c r="EB678" s="454"/>
      <c r="EC678" s="454"/>
      <c r="ED678" s="454"/>
      <c r="EE678" s="454"/>
      <c r="EF678" s="454"/>
      <c r="EG678" s="454"/>
      <c r="EH678" s="454"/>
      <c r="EI678" s="454"/>
      <c r="EJ678" s="454"/>
      <c r="EK678" s="454"/>
      <c r="EL678" s="454"/>
      <c r="EM678" s="454"/>
      <c r="EN678" s="454"/>
      <c r="EO678" s="454"/>
      <c r="EP678" s="454"/>
      <c r="EQ678" s="454"/>
      <c r="ER678" s="454"/>
      <c r="ES678" s="454"/>
      <c r="ET678" s="454"/>
      <c r="EU678" s="454"/>
      <c r="EV678" s="454"/>
      <c r="EW678" s="454"/>
      <c r="EX678" s="454"/>
      <c r="EY678" s="454"/>
      <c r="EZ678" s="454"/>
      <c r="FA678" s="454"/>
      <c r="FB678" s="454"/>
      <c r="FC678" s="454"/>
      <c r="FD678" s="454"/>
      <c r="FE678" s="454"/>
      <c r="FF678" s="454"/>
      <c r="FG678" s="454"/>
      <c r="FH678" s="454"/>
      <c r="FI678" s="454"/>
      <c r="FJ678" s="454"/>
      <c r="FK678" s="454"/>
      <c r="FL678" s="454"/>
      <c r="FM678" s="454"/>
      <c r="FN678" s="454"/>
      <c r="FO678" s="454"/>
      <c r="FP678" s="454"/>
      <c r="FQ678" s="290"/>
    </row>
    <row r="679" spans="1:173" s="4" customFormat="1" hidden="1">
      <c r="A679" s="56"/>
      <c r="B679" s="56"/>
      <c r="C679" s="498"/>
      <c r="D679" s="498"/>
      <c r="E679" s="454"/>
      <c r="F679" s="454"/>
      <c r="G679" s="454"/>
      <c r="H679" s="454"/>
      <c r="I679" s="454"/>
      <c r="J679" s="454"/>
      <c r="K679" s="454"/>
      <c r="L679" s="454"/>
      <c r="M679" s="454"/>
      <c r="N679" s="454"/>
      <c r="O679" s="454"/>
      <c r="P679" s="454"/>
      <c r="Q679" s="454"/>
      <c r="R679" s="454"/>
      <c r="S679" s="454"/>
      <c r="T679" s="454"/>
      <c r="U679" s="454"/>
      <c r="V679" s="454"/>
      <c r="W679" s="454"/>
      <c r="X679" s="454"/>
      <c r="Y679" s="454"/>
      <c r="Z679" s="454"/>
      <c r="AA679" s="454"/>
      <c r="AB679" s="454"/>
      <c r="AC679" s="454"/>
      <c r="AD679" s="454"/>
      <c r="AE679" s="512"/>
      <c r="AF679" s="961"/>
      <c r="AG679" s="454"/>
      <c r="AH679" s="454"/>
      <c r="AI679" s="454"/>
      <c r="AJ679" s="454"/>
      <c r="AK679" s="454"/>
      <c r="AL679" s="454"/>
      <c r="AM679" s="454"/>
      <c r="AN679" s="454"/>
      <c r="AO679" s="454"/>
      <c r="AP679" s="454"/>
      <c r="AQ679" s="454"/>
      <c r="AR679" s="454"/>
      <c r="AS679" s="454"/>
      <c r="AT679" s="454"/>
      <c r="AU679" s="454"/>
      <c r="AV679" s="454"/>
      <c r="AW679" s="454"/>
      <c r="AX679" s="454"/>
      <c r="AY679" s="454"/>
      <c r="AZ679" s="454"/>
      <c r="BA679" s="454"/>
      <c r="BB679" s="454"/>
      <c r="BC679" s="454"/>
      <c r="BD679" s="454"/>
      <c r="BE679" s="454"/>
      <c r="BF679" s="454"/>
      <c r="BG679" s="454"/>
      <c r="BH679" s="454"/>
      <c r="BI679" s="454"/>
      <c r="BJ679" s="454"/>
      <c r="BK679" s="454"/>
      <c r="BL679" s="454"/>
      <c r="BM679" s="454"/>
      <c r="BN679" s="454"/>
      <c r="BO679" s="454"/>
      <c r="BP679" s="454"/>
      <c r="BQ679" s="454"/>
      <c r="BR679" s="454"/>
      <c r="BS679" s="454"/>
      <c r="BT679" s="454"/>
      <c r="BU679" s="454"/>
      <c r="BV679" s="454"/>
      <c r="BW679" s="454"/>
      <c r="BX679" s="454"/>
      <c r="BY679" s="454"/>
      <c r="BZ679" s="454"/>
      <c r="CA679" s="454"/>
      <c r="CB679" s="454"/>
      <c r="CC679" s="454"/>
      <c r="CD679" s="454"/>
      <c r="CE679" s="454"/>
      <c r="CF679" s="454"/>
      <c r="CG679" s="454"/>
      <c r="CH679" s="454"/>
      <c r="CI679" s="454"/>
      <c r="CJ679" s="454"/>
      <c r="CK679" s="454"/>
      <c r="CL679" s="454"/>
      <c r="CM679" s="454"/>
      <c r="CN679" s="454"/>
      <c r="CO679" s="454"/>
      <c r="CP679" s="454"/>
      <c r="CQ679" s="454"/>
      <c r="CR679" s="454"/>
      <c r="CS679" s="454"/>
      <c r="CT679" s="454"/>
      <c r="CU679" s="454"/>
      <c r="CV679" s="454"/>
      <c r="CW679" s="454"/>
      <c r="CX679" s="454"/>
      <c r="CY679" s="454"/>
      <c r="CZ679" s="454"/>
      <c r="DA679" s="454"/>
      <c r="DB679" s="454"/>
      <c r="DC679" s="454"/>
      <c r="DD679" s="454"/>
      <c r="DE679" s="454"/>
      <c r="DF679" s="454"/>
      <c r="DG679" s="517"/>
      <c r="DH679" s="517"/>
      <c r="DI679" s="517"/>
      <c r="DJ679" s="517"/>
      <c r="DK679" s="517"/>
      <c r="DL679" s="517"/>
      <c r="DM679" s="517"/>
      <c r="DN679" s="517"/>
      <c r="DO679" s="517"/>
      <c r="DP679" s="517"/>
      <c r="DQ679" s="517"/>
      <c r="DR679" s="517"/>
      <c r="DS679" s="454"/>
      <c r="DT679" s="454"/>
      <c r="DU679" s="454"/>
      <c r="DV679" s="454"/>
      <c r="DW679" s="454"/>
      <c r="DX679" s="454"/>
      <c r="DY679" s="454"/>
      <c r="DZ679" s="454"/>
      <c r="EA679" s="454"/>
      <c r="EB679" s="454"/>
      <c r="EC679" s="454"/>
      <c r="ED679" s="454"/>
      <c r="EE679" s="454"/>
      <c r="EF679" s="454"/>
      <c r="EG679" s="454"/>
      <c r="EH679" s="454"/>
      <c r="EI679" s="454"/>
      <c r="EJ679" s="454"/>
      <c r="EK679" s="454"/>
      <c r="EL679" s="454"/>
      <c r="EM679" s="454"/>
      <c r="EN679" s="454"/>
      <c r="EO679" s="454"/>
      <c r="EP679" s="454"/>
      <c r="EQ679" s="454"/>
      <c r="ER679" s="454"/>
      <c r="ES679" s="454"/>
      <c r="ET679" s="454"/>
      <c r="EU679" s="454"/>
      <c r="EV679" s="454"/>
      <c r="EW679" s="454"/>
      <c r="EX679" s="454"/>
      <c r="EY679" s="454"/>
      <c r="EZ679" s="454"/>
      <c r="FA679" s="454"/>
      <c r="FB679" s="454"/>
      <c r="FC679" s="454"/>
      <c r="FD679" s="454"/>
      <c r="FE679" s="454"/>
      <c r="FF679" s="454"/>
      <c r="FG679" s="454"/>
      <c r="FH679" s="454"/>
      <c r="FI679" s="454"/>
      <c r="FJ679" s="454"/>
      <c r="FK679" s="454"/>
      <c r="FL679" s="454"/>
      <c r="FM679" s="454"/>
      <c r="FN679" s="454"/>
      <c r="FO679" s="454"/>
      <c r="FP679" s="454"/>
      <c r="FQ679" s="290"/>
    </row>
    <row r="680" spans="1:173" s="4" customFormat="1">
      <c r="A680" s="56"/>
      <c r="B680" s="56"/>
      <c r="C680" s="498"/>
      <c r="D680" s="498"/>
      <c r="E680" s="454"/>
      <c r="F680" s="454"/>
      <c r="G680" s="454"/>
      <c r="H680" s="454"/>
      <c r="I680" s="454"/>
      <c r="J680" s="454"/>
      <c r="K680" s="454"/>
      <c r="L680" s="454"/>
      <c r="M680" s="454"/>
      <c r="N680" s="454"/>
      <c r="O680" s="454"/>
      <c r="P680" s="454"/>
      <c r="Q680" s="454"/>
      <c r="R680" s="454"/>
      <c r="S680" s="454"/>
      <c r="T680" s="454"/>
      <c r="U680" s="454"/>
      <c r="V680" s="454"/>
      <c r="W680" s="454"/>
      <c r="X680" s="454"/>
      <c r="Y680" s="454"/>
      <c r="Z680" s="454"/>
      <c r="AA680" s="454"/>
      <c r="AB680" s="454"/>
      <c r="AC680" s="454"/>
      <c r="AD680" s="454"/>
      <c r="AE680" s="512"/>
      <c r="AF680" s="961"/>
      <c r="AG680" s="454"/>
      <c r="AH680" s="454"/>
      <c r="AI680" s="454"/>
      <c r="AJ680" s="454"/>
      <c r="AK680" s="454"/>
      <c r="AL680" s="454"/>
      <c r="AM680" s="454"/>
      <c r="AN680" s="454"/>
      <c r="AO680" s="454"/>
      <c r="AP680" s="454"/>
      <c r="AQ680" s="454"/>
      <c r="AR680" s="454"/>
      <c r="AS680" s="454"/>
      <c r="AT680" s="454"/>
      <c r="AU680" s="454"/>
      <c r="AV680" s="454"/>
      <c r="AW680" s="454"/>
      <c r="AX680" s="454"/>
      <c r="AY680" s="454"/>
      <c r="AZ680" s="454"/>
      <c r="BA680" s="454"/>
      <c r="BB680" s="454"/>
      <c r="BC680" s="454"/>
      <c r="BD680" s="454"/>
      <c r="BE680" s="454"/>
      <c r="BF680" s="454"/>
      <c r="BG680" s="454"/>
      <c r="BH680" s="454"/>
      <c r="BI680" s="454"/>
      <c r="BJ680" s="454"/>
      <c r="BK680" s="454"/>
      <c r="BL680" s="454"/>
      <c r="BM680" s="454"/>
      <c r="BN680" s="454"/>
      <c r="BO680" s="454"/>
      <c r="BP680" s="454"/>
      <c r="BQ680" s="454"/>
      <c r="BR680" s="454"/>
      <c r="BS680" s="454"/>
      <c r="BT680" s="454"/>
      <c r="BU680" s="454"/>
      <c r="BV680" s="454"/>
      <c r="BW680" s="454"/>
      <c r="BX680" s="454"/>
      <c r="BY680" s="454"/>
      <c r="BZ680" s="454"/>
      <c r="CA680" s="454"/>
      <c r="CB680" s="454"/>
      <c r="CC680" s="454"/>
      <c r="CD680" s="454"/>
      <c r="CE680" s="454"/>
      <c r="CF680" s="454"/>
      <c r="CG680" s="454"/>
      <c r="CH680" s="454"/>
      <c r="CI680" s="454"/>
      <c r="CJ680" s="454"/>
      <c r="CK680" s="454"/>
      <c r="CL680" s="454"/>
      <c r="CM680" s="454"/>
      <c r="CN680" s="454"/>
      <c r="CO680" s="454"/>
      <c r="CP680" s="454"/>
      <c r="CQ680" s="454"/>
      <c r="CR680" s="454"/>
      <c r="CS680" s="454"/>
      <c r="CT680" s="454"/>
      <c r="CU680" s="454"/>
      <c r="CV680" s="454"/>
      <c r="CW680" s="454"/>
      <c r="CX680" s="454"/>
      <c r="CY680" s="454"/>
      <c r="CZ680" s="454"/>
      <c r="DA680" s="454"/>
      <c r="DB680" s="454"/>
      <c r="DC680" s="454"/>
      <c r="DD680" s="454"/>
      <c r="DE680" s="454"/>
      <c r="DF680" s="454"/>
      <c r="DG680" s="517"/>
      <c r="DH680" s="517"/>
      <c r="DI680" s="517"/>
      <c r="DJ680" s="517"/>
      <c r="DK680" s="517"/>
      <c r="DL680" s="517"/>
      <c r="DM680" s="517"/>
      <c r="DN680" s="517"/>
      <c r="DO680" s="517"/>
      <c r="DP680" s="517"/>
      <c r="DQ680" s="517"/>
      <c r="DR680" s="517"/>
      <c r="DS680" s="454"/>
      <c r="DT680" s="454"/>
      <c r="DU680" s="454"/>
      <c r="DV680" s="454"/>
      <c r="DW680" s="454"/>
      <c r="DX680" s="454"/>
      <c r="DY680" s="454"/>
      <c r="DZ680" s="454"/>
      <c r="EA680" s="454"/>
      <c r="EB680" s="454"/>
      <c r="EC680" s="454"/>
      <c r="ED680" s="454"/>
      <c r="EE680" s="454"/>
      <c r="EF680" s="454"/>
      <c r="EG680" s="454"/>
      <c r="EH680" s="454"/>
      <c r="EI680" s="454"/>
      <c r="EJ680" s="454"/>
      <c r="EK680" s="454"/>
      <c r="EL680" s="454"/>
      <c r="EM680" s="454"/>
      <c r="EN680" s="454"/>
      <c r="EO680" s="454"/>
      <c r="EP680" s="454"/>
      <c r="EQ680" s="454"/>
      <c r="ER680" s="454"/>
      <c r="ES680" s="454"/>
      <c r="ET680" s="454"/>
      <c r="EU680" s="454"/>
      <c r="EV680" s="454"/>
      <c r="EW680" s="454"/>
      <c r="EX680" s="454"/>
      <c r="EY680" s="454"/>
      <c r="EZ680" s="454"/>
      <c r="FA680" s="454"/>
      <c r="FB680" s="454"/>
      <c r="FC680" s="454"/>
      <c r="FD680" s="454"/>
      <c r="FE680" s="454"/>
      <c r="FF680" s="454"/>
      <c r="FG680" s="454"/>
      <c r="FH680" s="454"/>
      <c r="FI680" s="454"/>
      <c r="FJ680" s="454"/>
      <c r="FK680" s="454"/>
      <c r="FL680" s="454"/>
      <c r="FM680" s="454"/>
      <c r="FN680" s="454"/>
      <c r="FO680" s="454"/>
      <c r="FP680" s="454"/>
      <c r="FQ680" s="290"/>
    </row>
    <row r="681" spans="1:173" s="4" customFormat="1">
      <c r="A681" s="486">
        <f>MATCH(C681,$C$5:$C$700,0)</f>
        <v>677</v>
      </c>
      <c r="B681" s="56"/>
      <c r="C681" s="508" t="s">
        <v>3452</v>
      </c>
      <c r="D681" s="508"/>
      <c r="E681" s="508">
        <f t="shared" ref="E681:AK681" si="235">SUM(E677:E680)</f>
        <v>0</v>
      </c>
      <c r="F681" s="508">
        <f t="shared" si="235"/>
        <v>0</v>
      </c>
      <c r="G681" s="508">
        <f t="shared" si="235"/>
        <v>0</v>
      </c>
      <c r="H681" s="508">
        <f t="shared" si="235"/>
        <v>0</v>
      </c>
      <c r="I681" s="508">
        <f t="shared" si="235"/>
        <v>0</v>
      </c>
      <c r="J681" s="508">
        <f t="shared" si="235"/>
        <v>0</v>
      </c>
      <c r="K681" s="508">
        <f t="shared" si="235"/>
        <v>0</v>
      </c>
      <c r="L681" s="508">
        <f t="shared" si="235"/>
        <v>0</v>
      </c>
      <c r="M681" s="508">
        <f t="shared" si="235"/>
        <v>0</v>
      </c>
      <c r="N681" s="508">
        <f t="shared" si="235"/>
        <v>0</v>
      </c>
      <c r="O681" s="508">
        <f t="shared" si="235"/>
        <v>0</v>
      </c>
      <c r="P681" s="508">
        <f t="shared" si="235"/>
        <v>0</v>
      </c>
      <c r="Q681" s="508">
        <f t="shared" si="235"/>
        <v>0</v>
      </c>
      <c r="R681" s="508">
        <f t="shared" si="235"/>
        <v>0</v>
      </c>
      <c r="S681" s="508">
        <f t="shared" si="235"/>
        <v>0</v>
      </c>
      <c r="T681" s="509">
        <f t="shared" si="235"/>
        <v>0</v>
      </c>
      <c r="U681" s="509">
        <f t="shared" si="235"/>
        <v>0</v>
      </c>
      <c r="V681" s="509">
        <f t="shared" si="235"/>
        <v>0</v>
      </c>
      <c r="W681" s="509">
        <f t="shared" si="235"/>
        <v>0</v>
      </c>
      <c r="X681" s="509">
        <f t="shared" si="235"/>
        <v>0</v>
      </c>
      <c r="Y681" s="509">
        <f t="shared" si="235"/>
        <v>0</v>
      </c>
      <c r="Z681" s="509">
        <f t="shared" si="235"/>
        <v>0</v>
      </c>
      <c r="AA681" s="509">
        <f t="shared" si="235"/>
        <v>0</v>
      </c>
      <c r="AB681" s="509">
        <f t="shared" si="235"/>
        <v>0</v>
      </c>
      <c r="AC681" s="509">
        <f t="shared" si="235"/>
        <v>0</v>
      </c>
      <c r="AD681" s="509">
        <f t="shared" si="235"/>
        <v>0</v>
      </c>
      <c r="AE681" s="511">
        <f t="shared" si="235"/>
        <v>0</v>
      </c>
      <c r="AF681" s="958">
        <f t="shared" si="235"/>
        <v>0</v>
      </c>
      <c r="AG681" s="509">
        <f t="shared" si="235"/>
        <v>0</v>
      </c>
      <c r="AH681" s="509">
        <f t="shared" si="235"/>
        <v>0</v>
      </c>
      <c r="AI681" s="509">
        <f t="shared" si="235"/>
        <v>0</v>
      </c>
      <c r="AJ681" s="509">
        <f t="shared" si="235"/>
        <v>0</v>
      </c>
      <c r="AK681" s="509">
        <f t="shared" si="235"/>
        <v>0</v>
      </c>
      <c r="AL681" s="509">
        <f t="shared" ref="AL681:BQ681" si="236">SUM(AL677:AL680)</f>
        <v>0</v>
      </c>
      <c r="AM681" s="509">
        <f t="shared" si="236"/>
        <v>0</v>
      </c>
      <c r="AN681" s="509">
        <f t="shared" si="236"/>
        <v>0</v>
      </c>
      <c r="AO681" s="509">
        <f t="shared" si="236"/>
        <v>0</v>
      </c>
      <c r="AP681" s="509">
        <f t="shared" si="236"/>
        <v>0</v>
      </c>
      <c r="AQ681" s="509">
        <f t="shared" si="236"/>
        <v>0</v>
      </c>
      <c r="AR681" s="509">
        <f t="shared" si="236"/>
        <v>0</v>
      </c>
      <c r="AS681" s="509">
        <f t="shared" si="236"/>
        <v>0</v>
      </c>
      <c r="AT681" s="509">
        <f t="shared" si="236"/>
        <v>0</v>
      </c>
      <c r="AU681" s="509">
        <f t="shared" si="236"/>
        <v>0</v>
      </c>
      <c r="AV681" s="509">
        <f t="shared" si="236"/>
        <v>0</v>
      </c>
      <c r="AW681" s="509">
        <f t="shared" si="236"/>
        <v>0</v>
      </c>
      <c r="AX681" s="509">
        <f t="shared" si="236"/>
        <v>0</v>
      </c>
      <c r="AY681" s="509">
        <f t="shared" si="236"/>
        <v>0</v>
      </c>
      <c r="AZ681" s="509">
        <f t="shared" si="236"/>
        <v>0</v>
      </c>
      <c r="BA681" s="509">
        <f t="shared" si="236"/>
        <v>0</v>
      </c>
      <c r="BB681" s="509">
        <f t="shared" si="236"/>
        <v>0</v>
      </c>
      <c r="BC681" s="509">
        <f t="shared" si="236"/>
        <v>0</v>
      </c>
      <c r="BD681" s="509">
        <f t="shared" si="236"/>
        <v>0</v>
      </c>
      <c r="BE681" s="509">
        <f t="shared" si="236"/>
        <v>3</v>
      </c>
      <c r="BF681" s="509">
        <f t="shared" si="236"/>
        <v>0</v>
      </c>
      <c r="BG681" s="509">
        <f t="shared" si="236"/>
        <v>0</v>
      </c>
      <c r="BH681" s="509">
        <f t="shared" si="236"/>
        <v>0</v>
      </c>
      <c r="BI681" s="509">
        <f t="shared" si="236"/>
        <v>0</v>
      </c>
      <c r="BJ681" s="509">
        <f t="shared" si="236"/>
        <v>0</v>
      </c>
      <c r="BK681" s="509">
        <f t="shared" si="236"/>
        <v>0</v>
      </c>
      <c r="BL681" s="509">
        <f t="shared" si="236"/>
        <v>0</v>
      </c>
      <c r="BM681" s="509">
        <f t="shared" si="236"/>
        <v>0</v>
      </c>
      <c r="BN681" s="509">
        <f t="shared" si="236"/>
        <v>0</v>
      </c>
      <c r="BO681" s="509">
        <f t="shared" si="236"/>
        <v>0</v>
      </c>
      <c r="BP681" s="509">
        <f t="shared" si="236"/>
        <v>0</v>
      </c>
      <c r="BQ681" s="509">
        <f t="shared" si="236"/>
        <v>0</v>
      </c>
      <c r="BR681" s="509">
        <f t="shared" ref="BR681:DA681" si="237">SUM(BR677:BR680)</f>
        <v>0</v>
      </c>
      <c r="BS681" s="509">
        <f t="shared" si="237"/>
        <v>0</v>
      </c>
      <c r="BT681" s="509">
        <f t="shared" si="237"/>
        <v>0</v>
      </c>
      <c r="BU681" s="509">
        <f t="shared" si="237"/>
        <v>0</v>
      </c>
      <c r="BV681" s="509">
        <f t="shared" si="237"/>
        <v>0</v>
      </c>
      <c r="BW681" s="509">
        <f t="shared" si="237"/>
        <v>0</v>
      </c>
      <c r="BX681" s="509">
        <f t="shared" si="237"/>
        <v>3</v>
      </c>
      <c r="BY681" s="509">
        <f t="shared" si="237"/>
        <v>0</v>
      </c>
      <c r="BZ681" s="509">
        <f t="shared" si="237"/>
        <v>0</v>
      </c>
      <c r="CA681" s="509">
        <f t="shared" si="237"/>
        <v>0</v>
      </c>
      <c r="CB681" s="509">
        <f t="shared" si="237"/>
        <v>0</v>
      </c>
      <c r="CC681" s="509">
        <f t="shared" si="237"/>
        <v>0</v>
      </c>
      <c r="CD681" s="509">
        <f t="shared" si="237"/>
        <v>0</v>
      </c>
      <c r="CE681" s="509">
        <f t="shared" si="237"/>
        <v>6</v>
      </c>
      <c r="CF681" s="509">
        <f t="shared" si="237"/>
        <v>0</v>
      </c>
      <c r="CG681" s="509">
        <f t="shared" si="237"/>
        <v>12</v>
      </c>
      <c r="CH681" s="509">
        <f t="shared" si="237"/>
        <v>0</v>
      </c>
      <c r="CI681" s="509">
        <f t="shared" si="237"/>
        <v>8</v>
      </c>
      <c r="CJ681" s="509">
        <f t="shared" si="237"/>
        <v>0</v>
      </c>
      <c r="CK681" s="509">
        <f t="shared" si="237"/>
        <v>0</v>
      </c>
      <c r="CL681" s="509">
        <f t="shared" si="237"/>
        <v>0</v>
      </c>
      <c r="CM681" s="509">
        <f t="shared" si="237"/>
        <v>8</v>
      </c>
      <c r="CN681" s="509">
        <f t="shared" si="237"/>
        <v>0</v>
      </c>
      <c r="CO681" s="509">
        <f t="shared" si="237"/>
        <v>6</v>
      </c>
      <c r="CP681" s="509">
        <f t="shared" si="237"/>
        <v>0</v>
      </c>
      <c r="CQ681" s="509">
        <f t="shared" si="237"/>
        <v>0</v>
      </c>
      <c r="CR681" s="509">
        <f t="shared" si="237"/>
        <v>0</v>
      </c>
      <c r="CS681" s="509">
        <f t="shared" si="237"/>
        <v>0</v>
      </c>
      <c r="CT681" s="509">
        <f t="shared" si="237"/>
        <v>0</v>
      </c>
      <c r="CU681" s="509">
        <f t="shared" si="237"/>
        <v>2</v>
      </c>
      <c r="CV681" s="509">
        <f t="shared" si="237"/>
        <v>0</v>
      </c>
      <c r="CW681" s="509">
        <f t="shared" si="237"/>
        <v>0</v>
      </c>
      <c r="CX681" s="509">
        <f>SUM(CX677:CX680)</f>
        <v>0</v>
      </c>
      <c r="CY681" s="509">
        <f>SUM(CY677:CY680)</f>
        <v>0</v>
      </c>
      <c r="CZ681" s="509">
        <f t="shared" si="237"/>
        <v>0</v>
      </c>
      <c r="DA681" s="509">
        <f t="shared" si="237"/>
        <v>0</v>
      </c>
      <c r="DB681" s="509">
        <f t="shared" ref="DB681:EG681" si="238">SUM(DB677:DB680)</f>
        <v>0</v>
      </c>
      <c r="DC681" s="509">
        <f t="shared" si="238"/>
        <v>0</v>
      </c>
      <c r="DD681" s="509">
        <f t="shared" si="238"/>
        <v>0</v>
      </c>
      <c r="DE681" s="509">
        <f t="shared" si="238"/>
        <v>0</v>
      </c>
      <c r="DF681" s="509">
        <f t="shared" si="238"/>
        <v>0</v>
      </c>
      <c r="DG681" s="518">
        <f t="shared" si="238"/>
        <v>0</v>
      </c>
      <c r="DH681" s="518">
        <f t="shared" si="238"/>
        <v>0</v>
      </c>
      <c r="DI681" s="518">
        <f t="shared" si="238"/>
        <v>0</v>
      </c>
      <c r="DJ681" s="518">
        <f t="shared" si="238"/>
        <v>0</v>
      </c>
      <c r="DK681" s="518">
        <f t="shared" si="238"/>
        <v>0</v>
      </c>
      <c r="DL681" s="518">
        <f t="shared" si="238"/>
        <v>0</v>
      </c>
      <c r="DM681" s="518">
        <f t="shared" si="238"/>
        <v>0</v>
      </c>
      <c r="DN681" s="518">
        <f t="shared" si="238"/>
        <v>0</v>
      </c>
      <c r="DO681" s="518">
        <f t="shared" si="238"/>
        <v>0</v>
      </c>
      <c r="DP681" s="518">
        <f t="shared" si="238"/>
        <v>0</v>
      </c>
      <c r="DQ681" s="518">
        <f t="shared" si="238"/>
        <v>0</v>
      </c>
      <c r="DR681" s="518">
        <f t="shared" si="238"/>
        <v>0</v>
      </c>
      <c r="DS681" s="509">
        <f t="shared" si="238"/>
        <v>0</v>
      </c>
      <c r="DT681" s="509">
        <f t="shared" si="238"/>
        <v>0</v>
      </c>
      <c r="DU681" s="509">
        <f t="shared" si="238"/>
        <v>0</v>
      </c>
      <c r="DV681" s="509">
        <f t="shared" si="238"/>
        <v>0</v>
      </c>
      <c r="DW681" s="509">
        <f t="shared" si="238"/>
        <v>0</v>
      </c>
      <c r="DX681" s="509">
        <f t="shared" si="238"/>
        <v>0</v>
      </c>
      <c r="DY681" s="509">
        <f t="shared" si="238"/>
        <v>0</v>
      </c>
      <c r="DZ681" s="509">
        <f t="shared" si="238"/>
        <v>0</v>
      </c>
      <c r="EA681" s="509">
        <f t="shared" si="238"/>
        <v>0</v>
      </c>
      <c r="EB681" s="509">
        <f t="shared" si="238"/>
        <v>0</v>
      </c>
      <c r="EC681" s="509">
        <f t="shared" si="238"/>
        <v>0</v>
      </c>
      <c r="ED681" s="509">
        <f t="shared" si="238"/>
        <v>0</v>
      </c>
      <c r="EE681" s="509">
        <f t="shared" si="238"/>
        <v>0</v>
      </c>
      <c r="EF681" s="509">
        <f t="shared" si="238"/>
        <v>0</v>
      </c>
      <c r="EG681" s="509">
        <f t="shared" si="238"/>
        <v>0</v>
      </c>
      <c r="EH681" s="509">
        <f t="shared" ref="EH681:FM681" si="239">SUM(EH677:EH680)</f>
        <v>0</v>
      </c>
      <c r="EI681" s="509">
        <f t="shared" si="239"/>
        <v>0</v>
      </c>
      <c r="EJ681" s="509">
        <f t="shared" si="239"/>
        <v>0</v>
      </c>
      <c r="EK681" s="509">
        <f t="shared" si="239"/>
        <v>0</v>
      </c>
      <c r="EL681" s="509">
        <f t="shared" si="239"/>
        <v>0</v>
      </c>
      <c r="EM681" s="509">
        <f t="shared" si="239"/>
        <v>0</v>
      </c>
      <c r="EN681" s="509">
        <f t="shared" si="239"/>
        <v>0</v>
      </c>
      <c r="EO681" s="509">
        <f t="shared" si="239"/>
        <v>0</v>
      </c>
      <c r="EP681" s="509">
        <f t="shared" si="239"/>
        <v>0</v>
      </c>
      <c r="EQ681" s="509">
        <f t="shared" si="239"/>
        <v>0</v>
      </c>
      <c r="ER681" s="509">
        <f t="shared" si="239"/>
        <v>0</v>
      </c>
      <c r="ES681" s="509">
        <f t="shared" si="239"/>
        <v>0</v>
      </c>
      <c r="ET681" s="509">
        <f t="shared" si="239"/>
        <v>0</v>
      </c>
      <c r="EU681" s="509">
        <f t="shared" si="239"/>
        <v>0</v>
      </c>
      <c r="EV681" s="509">
        <f t="shared" si="239"/>
        <v>0</v>
      </c>
      <c r="EW681" s="509">
        <f t="shared" si="239"/>
        <v>0</v>
      </c>
      <c r="EX681" s="509">
        <f t="shared" si="239"/>
        <v>0</v>
      </c>
      <c r="EY681" s="509">
        <f t="shared" si="239"/>
        <v>0</v>
      </c>
      <c r="EZ681" s="509">
        <f t="shared" si="239"/>
        <v>0</v>
      </c>
      <c r="FA681" s="509">
        <f t="shared" si="239"/>
        <v>0</v>
      </c>
      <c r="FB681" s="509">
        <f t="shared" si="239"/>
        <v>0</v>
      </c>
      <c r="FC681" s="509">
        <f t="shared" si="239"/>
        <v>0</v>
      </c>
      <c r="FD681" s="509">
        <f t="shared" si="239"/>
        <v>0</v>
      </c>
      <c r="FE681" s="509">
        <f t="shared" si="239"/>
        <v>0</v>
      </c>
      <c r="FF681" s="509">
        <f t="shared" si="239"/>
        <v>0</v>
      </c>
      <c r="FG681" s="509">
        <f t="shared" si="239"/>
        <v>0</v>
      </c>
      <c r="FH681" s="509">
        <f t="shared" si="239"/>
        <v>0</v>
      </c>
      <c r="FI681" s="509">
        <f t="shared" si="239"/>
        <v>0</v>
      </c>
      <c r="FJ681" s="509">
        <f t="shared" si="239"/>
        <v>0</v>
      </c>
      <c r="FK681" s="509">
        <f t="shared" si="239"/>
        <v>0</v>
      </c>
      <c r="FL681" s="509">
        <f t="shared" si="239"/>
        <v>0</v>
      </c>
      <c r="FM681" s="509">
        <f t="shared" si="239"/>
        <v>0</v>
      </c>
      <c r="FN681" s="509">
        <f>SUM(FN677:FN680)</f>
        <v>0</v>
      </c>
      <c r="FO681" s="509">
        <f>SUM(FO677:FO680)</f>
        <v>0</v>
      </c>
      <c r="FP681" s="509"/>
      <c r="FQ681" s="508"/>
    </row>
    <row r="682" spans="1:173" s="4" customFormat="1">
      <c r="A682" s="56"/>
      <c r="B682" s="56">
        <v>14</v>
      </c>
      <c r="C682" s="501" t="s">
        <v>3900</v>
      </c>
      <c r="D682" s="502"/>
      <c r="E682" s="503"/>
      <c r="F682" s="503"/>
      <c r="G682" s="503"/>
      <c r="H682" s="503"/>
      <c r="I682" s="503"/>
      <c r="J682" s="503"/>
      <c r="K682" s="503"/>
      <c r="L682" s="503"/>
      <c r="M682" s="503"/>
      <c r="N682" s="503"/>
      <c r="O682" s="503"/>
      <c r="P682" s="503"/>
      <c r="Q682" s="503"/>
      <c r="R682" s="503"/>
      <c r="S682" s="503"/>
      <c r="T682" s="504"/>
      <c r="U682" s="504"/>
      <c r="V682" s="504"/>
      <c r="W682" s="504"/>
      <c r="X682" s="504"/>
      <c r="Y682" s="504"/>
      <c r="Z682" s="504"/>
      <c r="AA682" s="504"/>
      <c r="AB682" s="504"/>
      <c r="AC682" s="504"/>
      <c r="AD682" s="504"/>
      <c r="AE682" s="954"/>
      <c r="AF682" s="959"/>
      <c r="AG682" s="504"/>
      <c r="AH682" s="504"/>
      <c r="AI682" s="504"/>
      <c r="AJ682" s="504"/>
      <c r="AK682" s="504"/>
      <c r="AL682" s="504"/>
      <c r="AM682" s="504"/>
      <c r="AN682" s="504"/>
      <c r="AO682" s="504"/>
      <c r="AP682" s="504"/>
      <c r="AQ682" s="504"/>
      <c r="AR682" s="504"/>
      <c r="AS682" s="504"/>
      <c r="AT682" s="504"/>
      <c r="AU682" s="504"/>
      <c r="AV682" s="504"/>
      <c r="AW682" s="504"/>
      <c r="AX682" s="504"/>
      <c r="AY682" s="504"/>
      <c r="AZ682" s="504"/>
      <c r="BA682" s="504"/>
      <c r="BB682" s="504"/>
      <c r="BC682" s="504"/>
      <c r="BD682" s="504"/>
      <c r="BE682" s="504"/>
      <c r="BF682" s="504"/>
      <c r="BG682" s="504"/>
      <c r="BH682" s="504"/>
      <c r="BI682" s="504"/>
      <c r="BJ682" s="504"/>
      <c r="BK682" s="504"/>
      <c r="BL682" s="504"/>
      <c r="BM682" s="504"/>
      <c r="BN682" s="504"/>
      <c r="BO682" s="504"/>
      <c r="BP682" s="504"/>
      <c r="BQ682" s="504"/>
      <c r="BR682" s="504"/>
      <c r="BS682" s="504"/>
      <c r="BT682" s="504"/>
      <c r="BU682" s="504"/>
      <c r="BV682" s="504"/>
      <c r="BW682" s="504"/>
      <c r="BX682" s="504"/>
      <c r="BY682" s="504"/>
      <c r="BZ682" s="504"/>
      <c r="CA682" s="504"/>
      <c r="CB682" s="504"/>
      <c r="CC682" s="504"/>
      <c r="CD682" s="504"/>
      <c r="CE682" s="504"/>
      <c r="CF682" s="504"/>
      <c r="CG682" s="504"/>
      <c r="CH682" s="504"/>
      <c r="CI682" s="504"/>
      <c r="CJ682" s="504"/>
      <c r="CK682" s="504"/>
      <c r="CL682" s="504"/>
      <c r="CM682" s="504"/>
      <c r="CN682" s="504"/>
      <c r="CO682" s="504"/>
      <c r="CP682" s="504"/>
      <c r="CQ682" s="504"/>
      <c r="CR682" s="504"/>
      <c r="CS682" s="504"/>
      <c r="CT682" s="504"/>
      <c r="CU682" s="504"/>
      <c r="CV682" s="504"/>
      <c r="CW682" s="504"/>
      <c r="CX682" s="504"/>
      <c r="CY682" s="504"/>
      <c r="CZ682" s="504"/>
      <c r="DA682" s="504"/>
      <c r="DB682" s="504"/>
      <c r="DC682" s="504"/>
      <c r="DD682" s="504"/>
      <c r="DE682" s="504"/>
      <c r="DF682" s="504"/>
      <c r="DG682" s="519"/>
      <c r="DH682" s="519"/>
      <c r="DI682" s="519"/>
      <c r="DJ682" s="519"/>
      <c r="DK682" s="519"/>
      <c r="DL682" s="519"/>
      <c r="DM682" s="519"/>
      <c r="DN682" s="519"/>
      <c r="DO682" s="519"/>
      <c r="DP682" s="519"/>
      <c r="DQ682" s="519"/>
      <c r="DR682" s="519"/>
      <c r="DS682" s="504"/>
      <c r="DT682" s="504"/>
      <c r="DU682" s="504"/>
      <c r="DV682" s="504"/>
      <c r="DW682" s="504"/>
      <c r="DX682" s="504"/>
      <c r="DY682" s="504"/>
      <c r="DZ682" s="504"/>
      <c r="EA682" s="504"/>
      <c r="EB682" s="504"/>
      <c r="EC682" s="504"/>
      <c r="ED682" s="504"/>
      <c r="EE682" s="504"/>
      <c r="EF682" s="504"/>
      <c r="EG682" s="504"/>
      <c r="EH682" s="504"/>
      <c r="EI682" s="504"/>
      <c r="EJ682" s="504"/>
      <c r="EK682" s="504"/>
      <c r="EL682" s="504"/>
      <c r="EM682" s="504"/>
      <c r="EN682" s="504"/>
      <c r="EO682" s="504"/>
      <c r="EP682" s="504"/>
      <c r="EQ682" s="504"/>
      <c r="ER682" s="504"/>
      <c r="ES682" s="504"/>
      <c r="ET682" s="504"/>
      <c r="EU682" s="504"/>
      <c r="EV682" s="504"/>
      <c r="EW682" s="504"/>
      <c r="EX682" s="504"/>
      <c r="EY682" s="504"/>
      <c r="EZ682" s="504"/>
      <c r="FA682" s="504"/>
      <c r="FB682" s="504"/>
      <c r="FC682" s="504"/>
      <c r="FD682" s="504"/>
      <c r="FE682" s="504"/>
      <c r="FF682" s="504"/>
      <c r="FG682" s="504"/>
      <c r="FH682" s="504"/>
      <c r="FI682" s="504"/>
      <c r="FJ682" s="504"/>
      <c r="FK682" s="504"/>
      <c r="FL682" s="504"/>
      <c r="FM682" s="504"/>
      <c r="FN682" s="504"/>
      <c r="FO682" s="504"/>
      <c r="FP682" s="504"/>
      <c r="FQ682" s="505"/>
    </row>
    <row r="683" spans="1:173" s="4" customFormat="1">
      <c r="A683" s="56"/>
      <c r="B683" s="56"/>
      <c r="C683" s="498"/>
      <c r="D683" s="498" t="s">
        <v>3001</v>
      </c>
      <c r="E683" s="454"/>
      <c r="F683" s="454"/>
      <c r="G683" s="454"/>
      <c r="H683" s="454"/>
      <c r="I683" s="454"/>
      <c r="J683" s="454"/>
      <c r="K683" s="454"/>
      <c r="L683" s="454"/>
      <c r="M683" s="454"/>
      <c r="N683" s="454"/>
      <c r="O683" s="454"/>
      <c r="P683" s="454"/>
      <c r="Q683" s="454"/>
      <c r="R683" s="454"/>
      <c r="S683" s="454"/>
      <c r="T683" s="454"/>
      <c r="U683" s="454" t="s">
        <v>2989</v>
      </c>
      <c r="V683" s="454"/>
      <c r="W683" s="454"/>
      <c r="X683" s="454"/>
      <c r="Y683" s="454"/>
      <c r="Z683" s="454"/>
      <c r="AA683" s="454"/>
      <c r="AB683" s="454"/>
      <c r="AC683" s="454"/>
      <c r="AD683" s="454"/>
      <c r="AE683" s="512"/>
      <c r="AF683" s="961"/>
      <c r="AG683" s="454"/>
      <c r="AH683" s="454"/>
      <c r="AI683" s="454"/>
      <c r="AJ683" s="454"/>
      <c r="AK683" s="454"/>
      <c r="AL683" s="454"/>
      <c r="AM683" s="454"/>
      <c r="AN683" s="454"/>
      <c r="AO683" s="454"/>
      <c r="AP683" s="454"/>
      <c r="AQ683" s="454"/>
      <c r="AR683" s="454"/>
      <c r="AS683" s="454"/>
      <c r="AT683" s="454"/>
      <c r="AU683" s="454"/>
      <c r="AV683" s="454"/>
      <c r="AW683" s="454"/>
      <c r="AX683" s="454"/>
      <c r="AY683" s="454"/>
      <c r="AZ683" s="454"/>
      <c r="BA683" s="454"/>
      <c r="BB683" s="454"/>
      <c r="BC683" s="454"/>
      <c r="BD683" s="454"/>
      <c r="BE683" s="454">
        <v>2</v>
      </c>
      <c r="BF683" s="454"/>
      <c r="BG683" s="454"/>
      <c r="BH683" s="454"/>
      <c r="BI683" s="454"/>
      <c r="BJ683" s="454"/>
      <c r="BK683" s="454"/>
      <c r="BL683" s="454"/>
      <c r="BM683" s="454"/>
      <c r="BN683" s="454"/>
      <c r="BO683" s="454"/>
      <c r="BP683" s="454"/>
      <c r="BQ683" s="454"/>
      <c r="BR683" s="454"/>
      <c r="BS683" s="454"/>
      <c r="BT683" s="454"/>
      <c r="BU683" s="454"/>
      <c r="BV683" s="454"/>
      <c r="BW683" s="454"/>
      <c r="BX683" s="454">
        <v>2</v>
      </c>
      <c r="BY683" s="454"/>
      <c r="BZ683" s="454"/>
      <c r="CA683" s="454"/>
      <c r="CB683" s="454"/>
      <c r="CC683" s="454"/>
      <c r="CD683" s="454"/>
      <c r="CE683" s="454">
        <v>4</v>
      </c>
      <c r="CF683" s="454"/>
      <c r="CG683" s="454">
        <v>8</v>
      </c>
      <c r="CH683" s="454"/>
      <c r="CI683" s="454">
        <v>6</v>
      </c>
      <c r="CJ683" s="454"/>
      <c r="CK683" s="454"/>
      <c r="CL683" s="454"/>
      <c r="CM683" s="454"/>
      <c r="CN683" s="454"/>
      <c r="CO683" s="454">
        <v>6</v>
      </c>
      <c r="CP683" s="454"/>
      <c r="CQ683" s="454"/>
      <c r="CR683" s="454"/>
      <c r="CS683" s="454"/>
      <c r="CT683" s="454"/>
      <c r="CU683" s="454">
        <v>2</v>
      </c>
      <c r="CV683" s="454"/>
      <c r="CW683" s="454"/>
      <c r="CX683" s="454"/>
      <c r="CY683" s="454"/>
      <c r="CZ683" s="454"/>
      <c r="DA683" s="454"/>
      <c r="DB683" s="454"/>
      <c r="DC683" s="454"/>
      <c r="DD683" s="454"/>
      <c r="DE683" s="454"/>
      <c r="DF683" s="454"/>
      <c r="DG683" s="517"/>
      <c r="DH683" s="517"/>
      <c r="DI683" s="517"/>
      <c r="DJ683" s="517"/>
      <c r="DK683" s="517"/>
      <c r="DL683" s="517"/>
      <c r="DM683" s="517"/>
      <c r="DN683" s="517"/>
      <c r="DO683" s="517"/>
      <c r="DP683" s="517"/>
      <c r="DQ683" s="517"/>
      <c r="DR683" s="517"/>
      <c r="DS683" s="454"/>
      <c r="DT683" s="454"/>
      <c r="DU683" s="454"/>
      <c r="DV683" s="454"/>
      <c r="DW683" s="454"/>
      <c r="DX683" s="454"/>
      <c r="DY683" s="454"/>
      <c r="DZ683" s="454"/>
      <c r="EA683" s="454"/>
      <c r="EB683" s="454"/>
      <c r="EC683" s="454"/>
      <c r="ED683" s="454"/>
      <c r="EE683" s="454"/>
      <c r="EF683" s="454"/>
      <c r="EG683" s="454"/>
      <c r="EH683" s="454"/>
      <c r="EI683" s="454"/>
      <c r="EJ683" s="454"/>
      <c r="EK683" s="454"/>
      <c r="EL683" s="454"/>
      <c r="EM683" s="454"/>
      <c r="EN683" s="454"/>
      <c r="EO683" s="454"/>
      <c r="EP683" s="454"/>
      <c r="EQ683" s="454"/>
      <c r="ER683" s="454"/>
      <c r="ES683" s="454"/>
      <c r="ET683" s="454"/>
      <c r="EU683" s="454"/>
      <c r="EV683" s="454"/>
      <c r="EW683" s="454"/>
      <c r="EX683" s="454"/>
      <c r="EY683" s="454"/>
      <c r="EZ683" s="454"/>
      <c r="FA683" s="454"/>
      <c r="FB683" s="454"/>
      <c r="FC683" s="454"/>
      <c r="FD683" s="454"/>
      <c r="FE683" s="454"/>
      <c r="FF683" s="454"/>
      <c r="FG683" s="454"/>
      <c r="FH683" s="454"/>
      <c r="FI683" s="454"/>
      <c r="FJ683" s="454"/>
      <c r="FK683" s="454"/>
      <c r="FL683" s="454"/>
      <c r="FM683" s="454"/>
      <c r="FN683" s="454"/>
      <c r="FO683" s="454"/>
      <c r="FP683" s="454"/>
      <c r="FQ683" s="290"/>
    </row>
    <row r="684" spans="1:173" s="4" customFormat="1">
      <c r="A684" s="56"/>
      <c r="B684" s="56"/>
      <c r="C684" s="498"/>
      <c r="D684" s="498"/>
      <c r="E684" s="454"/>
      <c r="F684" s="454"/>
      <c r="G684" s="454"/>
      <c r="H684" s="454"/>
      <c r="I684" s="454"/>
      <c r="J684" s="454"/>
      <c r="K684" s="454"/>
      <c r="L684" s="454"/>
      <c r="M684" s="454"/>
      <c r="N684" s="454"/>
      <c r="O684" s="454"/>
      <c r="P684" s="454"/>
      <c r="Q684" s="454"/>
      <c r="R684" s="454"/>
      <c r="S684" s="454"/>
      <c r="T684" s="454"/>
      <c r="U684" s="454"/>
      <c r="V684" s="454"/>
      <c r="W684" s="454"/>
      <c r="X684" s="454"/>
      <c r="Y684" s="454"/>
      <c r="Z684" s="454"/>
      <c r="AA684" s="454"/>
      <c r="AB684" s="454"/>
      <c r="AC684" s="454"/>
      <c r="AD684" s="454"/>
      <c r="AE684" s="512"/>
      <c r="AF684" s="961"/>
      <c r="AG684" s="454"/>
      <c r="AH684" s="454"/>
      <c r="AI684" s="454"/>
      <c r="AJ684" s="454"/>
      <c r="AK684" s="454"/>
      <c r="AL684" s="454"/>
      <c r="AM684" s="454"/>
      <c r="AN684" s="454"/>
      <c r="AO684" s="454"/>
      <c r="AP684" s="454"/>
      <c r="AQ684" s="454"/>
      <c r="AR684" s="454"/>
      <c r="AS684" s="454"/>
      <c r="AT684" s="454"/>
      <c r="AU684" s="454"/>
      <c r="AV684" s="454"/>
      <c r="AW684" s="454"/>
      <c r="AX684" s="454"/>
      <c r="AY684" s="454"/>
      <c r="AZ684" s="454"/>
      <c r="BA684" s="454"/>
      <c r="BB684" s="454"/>
      <c r="BC684" s="454"/>
      <c r="BD684" s="454"/>
      <c r="BE684" s="454"/>
      <c r="BF684" s="454"/>
      <c r="BG684" s="454"/>
      <c r="BH684" s="454"/>
      <c r="BI684" s="454"/>
      <c r="BJ684" s="454"/>
      <c r="BK684" s="454"/>
      <c r="BL684" s="454"/>
      <c r="BM684" s="454"/>
      <c r="BN684" s="454"/>
      <c r="BO684" s="454"/>
      <c r="BP684" s="454"/>
      <c r="BQ684" s="454"/>
      <c r="BR684" s="454"/>
      <c r="BS684" s="454"/>
      <c r="BT684" s="454"/>
      <c r="BU684" s="454"/>
      <c r="BV684" s="454"/>
      <c r="BW684" s="454"/>
      <c r="BX684" s="454"/>
      <c r="BY684" s="454"/>
      <c r="BZ684" s="454"/>
      <c r="CA684" s="454"/>
      <c r="CB684" s="454"/>
      <c r="CC684" s="454"/>
      <c r="CD684" s="454"/>
      <c r="CE684" s="454"/>
      <c r="CF684" s="454"/>
      <c r="CG684" s="454"/>
      <c r="CH684" s="454"/>
      <c r="CI684" s="454"/>
      <c r="CJ684" s="454"/>
      <c r="CK684" s="454"/>
      <c r="CL684" s="454"/>
      <c r="CM684" s="454"/>
      <c r="CN684" s="454"/>
      <c r="CO684" s="454"/>
      <c r="CP684" s="454"/>
      <c r="CQ684" s="454"/>
      <c r="CR684" s="454"/>
      <c r="CS684" s="454"/>
      <c r="CT684" s="454"/>
      <c r="CU684" s="454"/>
      <c r="CV684" s="454"/>
      <c r="CW684" s="454"/>
      <c r="CX684" s="454"/>
      <c r="CY684" s="454"/>
      <c r="CZ684" s="454"/>
      <c r="DA684" s="454"/>
      <c r="DB684" s="454"/>
      <c r="DC684" s="454"/>
      <c r="DD684" s="454"/>
      <c r="DE684" s="454"/>
      <c r="DF684" s="454"/>
      <c r="DG684" s="517"/>
      <c r="DH684" s="517"/>
      <c r="DI684" s="517"/>
      <c r="DJ684" s="517"/>
      <c r="DK684" s="517"/>
      <c r="DL684" s="517"/>
      <c r="DM684" s="517"/>
      <c r="DN684" s="517"/>
      <c r="DO684" s="517"/>
      <c r="DP684" s="517"/>
      <c r="DQ684" s="517"/>
      <c r="DR684" s="517"/>
      <c r="DS684" s="454"/>
      <c r="DT684" s="454"/>
      <c r="DU684" s="454"/>
      <c r="DV684" s="454"/>
      <c r="DW684" s="454"/>
      <c r="DX684" s="454"/>
      <c r="DY684" s="454"/>
      <c r="DZ684" s="454"/>
      <c r="EA684" s="454"/>
      <c r="EB684" s="454"/>
      <c r="EC684" s="454"/>
      <c r="ED684" s="454"/>
      <c r="EE684" s="454"/>
      <c r="EF684" s="454"/>
      <c r="EG684" s="454"/>
      <c r="EH684" s="454"/>
      <c r="EI684" s="454"/>
      <c r="EJ684" s="454"/>
      <c r="EK684" s="454"/>
      <c r="EL684" s="454"/>
      <c r="EM684" s="454"/>
      <c r="EN684" s="454"/>
      <c r="EO684" s="454"/>
      <c r="EP684" s="454"/>
      <c r="EQ684" s="454"/>
      <c r="ER684" s="454"/>
      <c r="ES684" s="454"/>
      <c r="ET684" s="454"/>
      <c r="EU684" s="454"/>
      <c r="EV684" s="454"/>
      <c r="EW684" s="454"/>
      <c r="EX684" s="454"/>
      <c r="EY684" s="454"/>
      <c r="EZ684" s="454"/>
      <c r="FA684" s="454"/>
      <c r="FB684" s="454"/>
      <c r="FC684" s="454"/>
      <c r="FD684" s="454"/>
      <c r="FE684" s="454"/>
      <c r="FF684" s="454"/>
      <c r="FG684" s="454"/>
      <c r="FH684" s="454"/>
      <c r="FI684" s="454"/>
      <c r="FJ684" s="454"/>
      <c r="FK684" s="454"/>
      <c r="FL684" s="454"/>
      <c r="FM684" s="454"/>
      <c r="FN684" s="454"/>
      <c r="FO684" s="454"/>
      <c r="FP684" s="454"/>
      <c r="FQ684" s="290"/>
    </row>
    <row r="685" spans="1:173" s="4" customFormat="1">
      <c r="A685" s="56"/>
      <c r="B685" s="56"/>
      <c r="C685" s="498"/>
      <c r="D685" s="498" t="s">
        <v>3047</v>
      </c>
      <c r="E685" s="454"/>
      <c r="F685" s="454"/>
      <c r="G685" s="454"/>
      <c r="H685" s="454"/>
      <c r="I685" s="454"/>
      <c r="J685" s="454"/>
      <c r="K685" s="454"/>
      <c r="L685" s="454"/>
      <c r="M685" s="454"/>
      <c r="N685" s="454"/>
      <c r="O685" s="454"/>
      <c r="P685" s="454"/>
      <c r="Q685" s="454"/>
      <c r="R685" s="454"/>
      <c r="S685" s="454"/>
      <c r="T685" s="454"/>
      <c r="U685" s="454" t="s">
        <v>2989</v>
      </c>
      <c r="V685" s="454"/>
      <c r="W685" s="454"/>
      <c r="X685" s="454"/>
      <c r="Y685" s="454"/>
      <c r="Z685" s="454"/>
      <c r="AA685" s="454"/>
      <c r="AB685" s="454"/>
      <c r="AC685" s="454"/>
      <c r="AD685" s="454"/>
      <c r="AE685" s="512"/>
      <c r="AF685" s="961"/>
      <c r="AG685" s="454"/>
      <c r="AH685" s="454"/>
      <c r="AI685" s="454"/>
      <c r="AJ685" s="454"/>
      <c r="AK685" s="454"/>
      <c r="AL685" s="454"/>
      <c r="AM685" s="454"/>
      <c r="AN685" s="454"/>
      <c r="AO685" s="454"/>
      <c r="AP685" s="454"/>
      <c r="AQ685" s="454"/>
      <c r="AR685" s="454"/>
      <c r="AS685" s="454"/>
      <c r="AT685" s="454"/>
      <c r="AU685" s="454"/>
      <c r="AV685" s="454"/>
      <c r="AW685" s="454"/>
      <c r="AX685" s="454"/>
      <c r="AY685" s="454"/>
      <c r="AZ685" s="454"/>
      <c r="BA685" s="454"/>
      <c r="BB685" s="454"/>
      <c r="BC685" s="454"/>
      <c r="BD685" s="454"/>
      <c r="BE685" s="454">
        <v>2</v>
      </c>
      <c r="BF685" s="454"/>
      <c r="BG685" s="454"/>
      <c r="BH685" s="454"/>
      <c r="BI685" s="454"/>
      <c r="BJ685" s="454"/>
      <c r="BK685" s="454"/>
      <c r="BL685" s="454"/>
      <c r="BM685" s="454"/>
      <c r="BN685" s="454"/>
      <c r="BO685" s="454"/>
      <c r="BP685" s="454"/>
      <c r="BQ685" s="454"/>
      <c r="BR685" s="454"/>
      <c r="BS685" s="454"/>
      <c r="BT685" s="454"/>
      <c r="BU685" s="454"/>
      <c r="BV685" s="454"/>
      <c r="BW685" s="454"/>
      <c r="BX685" s="454">
        <v>2</v>
      </c>
      <c r="BY685" s="454"/>
      <c r="BZ685" s="454"/>
      <c r="CA685" s="454"/>
      <c r="CB685" s="454"/>
      <c r="CC685" s="454"/>
      <c r="CD685" s="454"/>
      <c r="CE685" s="454"/>
      <c r="CF685" s="454"/>
      <c r="CG685" s="454"/>
      <c r="CH685" s="454"/>
      <c r="CI685" s="454"/>
      <c r="CJ685" s="454"/>
      <c r="CK685" s="454"/>
      <c r="CL685" s="454"/>
      <c r="CM685" s="454"/>
      <c r="CN685" s="454"/>
      <c r="CO685" s="454"/>
      <c r="CP685" s="454"/>
      <c r="CQ685" s="454"/>
      <c r="CR685" s="454"/>
      <c r="CS685" s="454"/>
      <c r="CT685" s="454"/>
      <c r="CU685" s="454"/>
      <c r="CV685" s="454"/>
      <c r="CW685" s="454"/>
      <c r="CX685" s="454"/>
      <c r="CY685" s="454"/>
      <c r="CZ685" s="454"/>
      <c r="DA685" s="454"/>
      <c r="DB685" s="454"/>
      <c r="DC685" s="454"/>
      <c r="DD685" s="454"/>
      <c r="DE685" s="454"/>
      <c r="DF685" s="454"/>
      <c r="DG685" s="517"/>
      <c r="DH685" s="517"/>
      <c r="DI685" s="517"/>
      <c r="DJ685" s="517"/>
      <c r="DK685" s="517"/>
      <c r="DL685" s="517"/>
      <c r="DM685" s="517"/>
      <c r="DN685" s="517"/>
      <c r="DO685" s="517"/>
      <c r="DP685" s="517"/>
      <c r="DQ685" s="517"/>
      <c r="DR685" s="517"/>
      <c r="DS685" s="454"/>
      <c r="DT685" s="454"/>
      <c r="DU685" s="454"/>
      <c r="DV685" s="454"/>
      <c r="DW685" s="454"/>
      <c r="DX685" s="454"/>
      <c r="DY685" s="454"/>
      <c r="DZ685" s="454"/>
      <c r="EA685" s="454"/>
      <c r="EB685" s="454"/>
      <c r="EC685" s="454"/>
      <c r="ED685" s="454"/>
      <c r="EE685" s="454"/>
      <c r="EF685" s="454"/>
      <c r="EG685" s="454"/>
      <c r="EH685" s="454"/>
      <c r="EI685" s="454"/>
      <c r="EJ685" s="454"/>
      <c r="EK685" s="454"/>
      <c r="EL685" s="454"/>
      <c r="EM685" s="454"/>
      <c r="EN685" s="454"/>
      <c r="EO685" s="454"/>
      <c r="EP685" s="454"/>
      <c r="EQ685" s="454"/>
      <c r="ER685" s="454"/>
      <c r="ES685" s="454"/>
      <c r="ET685" s="454"/>
      <c r="EU685" s="454"/>
      <c r="EV685" s="454"/>
      <c r="EW685" s="454"/>
      <c r="EX685" s="454"/>
      <c r="EY685" s="454"/>
      <c r="EZ685" s="454"/>
      <c r="FA685" s="454"/>
      <c r="FB685" s="454"/>
      <c r="FC685" s="454"/>
      <c r="FD685" s="454"/>
      <c r="FE685" s="454"/>
      <c r="FF685" s="454"/>
      <c r="FG685" s="454"/>
      <c r="FH685" s="454"/>
      <c r="FI685" s="454"/>
      <c r="FJ685" s="454"/>
      <c r="FK685" s="454"/>
      <c r="FL685" s="454"/>
      <c r="FM685" s="454"/>
      <c r="FN685" s="454"/>
      <c r="FO685" s="454"/>
      <c r="FP685" s="454"/>
      <c r="FQ685" s="290"/>
    </row>
    <row r="686" spans="1:173" s="4" customFormat="1">
      <c r="A686" s="56"/>
      <c r="B686" s="56"/>
      <c r="C686" s="498"/>
      <c r="D686" s="498" t="s">
        <v>3029</v>
      </c>
      <c r="E686" s="454"/>
      <c r="F686" s="454"/>
      <c r="G686" s="454"/>
      <c r="H686" s="454"/>
      <c r="I686" s="454"/>
      <c r="J686" s="454"/>
      <c r="K686" s="454"/>
      <c r="L686" s="454"/>
      <c r="M686" s="454"/>
      <c r="N686" s="454"/>
      <c r="O686" s="454"/>
      <c r="P686" s="454"/>
      <c r="Q686" s="454"/>
      <c r="R686" s="454"/>
      <c r="S686" s="454"/>
      <c r="T686" s="454"/>
      <c r="U686" s="454" t="s">
        <v>2989</v>
      </c>
      <c r="V686" s="454"/>
      <c r="W686" s="454"/>
      <c r="X686" s="454"/>
      <c r="Y686" s="454"/>
      <c r="Z686" s="454"/>
      <c r="AA686" s="454"/>
      <c r="AB686" s="454"/>
      <c r="AC686" s="454"/>
      <c r="AD686" s="454"/>
      <c r="AE686" s="512"/>
      <c r="AF686" s="961"/>
      <c r="AG686" s="454"/>
      <c r="AH686" s="454"/>
      <c r="AI686" s="454"/>
      <c r="AJ686" s="454"/>
      <c r="AK686" s="454"/>
      <c r="AL686" s="454"/>
      <c r="AM686" s="454"/>
      <c r="AN686" s="454"/>
      <c r="AO686" s="454"/>
      <c r="AP686" s="454"/>
      <c r="AQ686" s="454"/>
      <c r="AR686" s="454"/>
      <c r="AS686" s="454"/>
      <c r="AT686" s="454"/>
      <c r="AU686" s="454"/>
      <c r="AV686" s="454"/>
      <c r="AW686" s="454"/>
      <c r="AX686" s="454"/>
      <c r="AY686" s="454"/>
      <c r="AZ686" s="454"/>
      <c r="BA686" s="454"/>
      <c r="BB686" s="454"/>
      <c r="BC686" s="454"/>
      <c r="BD686" s="454"/>
      <c r="BE686" s="454">
        <v>2</v>
      </c>
      <c r="BF686" s="454"/>
      <c r="BG686" s="454"/>
      <c r="BH686" s="454"/>
      <c r="BI686" s="454"/>
      <c r="BJ686" s="454"/>
      <c r="BK686" s="454"/>
      <c r="BL686" s="454"/>
      <c r="BM686" s="454"/>
      <c r="BN686" s="454"/>
      <c r="BO686" s="454"/>
      <c r="BP686" s="454"/>
      <c r="BQ686" s="454"/>
      <c r="BR686" s="454"/>
      <c r="BS686" s="454"/>
      <c r="BT686" s="454"/>
      <c r="BU686" s="454"/>
      <c r="BV686" s="454"/>
      <c r="BW686" s="454"/>
      <c r="BX686" s="454">
        <v>2</v>
      </c>
      <c r="BY686" s="454"/>
      <c r="BZ686" s="454"/>
      <c r="CA686" s="454"/>
      <c r="CB686" s="454"/>
      <c r="CC686" s="454"/>
      <c r="CD686" s="454"/>
      <c r="CE686" s="454">
        <v>4</v>
      </c>
      <c r="CF686" s="454"/>
      <c r="CG686" s="454">
        <v>8</v>
      </c>
      <c r="CH686" s="454"/>
      <c r="CI686" s="454">
        <v>6</v>
      </c>
      <c r="CJ686" s="454"/>
      <c r="CK686" s="454"/>
      <c r="CL686" s="454"/>
      <c r="CM686" s="454"/>
      <c r="CN686" s="454"/>
      <c r="CO686" s="454">
        <v>6</v>
      </c>
      <c r="CP686" s="454"/>
      <c r="CQ686" s="454"/>
      <c r="CR686" s="454"/>
      <c r="CS686" s="454"/>
      <c r="CT686" s="454"/>
      <c r="CU686" s="454">
        <v>2</v>
      </c>
      <c r="CV686" s="454"/>
      <c r="CW686" s="454"/>
      <c r="CX686" s="454"/>
      <c r="CY686" s="454"/>
      <c r="CZ686" s="454"/>
      <c r="DA686" s="454"/>
      <c r="DB686" s="454"/>
      <c r="DC686" s="454"/>
      <c r="DD686" s="454"/>
      <c r="DE686" s="454"/>
      <c r="DF686" s="454"/>
      <c r="DG686" s="517"/>
      <c r="DH686" s="517"/>
      <c r="DI686" s="517"/>
      <c r="DJ686" s="517"/>
      <c r="DK686" s="517"/>
      <c r="DL686" s="517"/>
      <c r="DM686" s="517"/>
      <c r="DN686" s="517"/>
      <c r="DO686" s="517"/>
      <c r="DP686" s="517"/>
      <c r="DQ686" s="517"/>
      <c r="DR686" s="517"/>
      <c r="DS686" s="454"/>
      <c r="DT686" s="454"/>
      <c r="DU686" s="454"/>
      <c r="DV686" s="454"/>
      <c r="DW686" s="454"/>
      <c r="DX686" s="454"/>
      <c r="DY686" s="454"/>
      <c r="DZ686" s="454"/>
      <c r="EA686" s="454"/>
      <c r="EB686" s="454"/>
      <c r="EC686" s="454"/>
      <c r="ED686" s="454"/>
      <c r="EE686" s="454"/>
      <c r="EF686" s="454"/>
      <c r="EG686" s="454"/>
      <c r="EH686" s="454"/>
      <c r="EI686" s="454"/>
      <c r="EJ686" s="454"/>
      <c r="EK686" s="454"/>
      <c r="EL686" s="454"/>
      <c r="EM686" s="454"/>
      <c r="EN686" s="454"/>
      <c r="EO686" s="454"/>
      <c r="EP686" s="454"/>
      <c r="EQ686" s="454"/>
      <c r="ER686" s="454"/>
      <c r="ES686" s="454"/>
      <c r="ET686" s="454"/>
      <c r="EU686" s="454"/>
      <c r="EV686" s="454"/>
      <c r="EW686" s="454"/>
      <c r="EX686" s="454"/>
      <c r="EY686" s="454"/>
      <c r="EZ686" s="454"/>
      <c r="FA686" s="454"/>
      <c r="FB686" s="454"/>
      <c r="FC686" s="454"/>
      <c r="FD686" s="454"/>
      <c r="FE686" s="454"/>
      <c r="FF686" s="454"/>
      <c r="FG686" s="454"/>
      <c r="FH686" s="454"/>
      <c r="FI686" s="454"/>
      <c r="FJ686" s="454"/>
      <c r="FK686" s="454"/>
      <c r="FL686" s="454"/>
      <c r="FM686" s="454"/>
      <c r="FN686" s="454"/>
      <c r="FO686" s="454"/>
      <c r="FP686" s="454"/>
      <c r="FQ686" s="290"/>
    </row>
    <row r="687" spans="1:173" s="4" customFormat="1">
      <c r="A687" s="56"/>
      <c r="B687" s="56"/>
      <c r="C687" s="498"/>
      <c r="D687" s="498"/>
      <c r="E687" s="454"/>
      <c r="F687" s="454"/>
      <c r="G687" s="454"/>
      <c r="H687" s="454"/>
      <c r="I687" s="454"/>
      <c r="J687" s="454"/>
      <c r="K687" s="454"/>
      <c r="L687" s="454"/>
      <c r="M687" s="454"/>
      <c r="N687" s="454"/>
      <c r="O687" s="454"/>
      <c r="P687" s="454"/>
      <c r="Q687" s="454"/>
      <c r="R687" s="454"/>
      <c r="S687" s="454"/>
      <c r="T687" s="454"/>
      <c r="U687" s="454"/>
      <c r="V687" s="454"/>
      <c r="W687" s="454"/>
      <c r="X687" s="454"/>
      <c r="Y687" s="454"/>
      <c r="Z687" s="454"/>
      <c r="AA687" s="454"/>
      <c r="AB687" s="454"/>
      <c r="AC687" s="454"/>
      <c r="AD687" s="454"/>
      <c r="AE687" s="512"/>
      <c r="AF687" s="961"/>
      <c r="AG687" s="454"/>
      <c r="AH687" s="454"/>
      <c r="AI687" s="454"/>
      <c r="AJ687" s="454"/>
      <c r="AK687" s="454"/>
      <c r="AL687" s="454"/>
      <c r="AM687" s="454"/>
      <c r="AN687" s="454"/>
      <c r="AO687" s="454"/>
      <c r="AP687" s="454"/>
      <c r="AQ687" s="454"/>
      <c r="AR687" s="454"/>
      <c r="AS687" s="454"/>
      <c r="AT687" s="454"/>
      <c r="AU687" s="454"/>
      <c r="AV687" s="454"/>
      <c r="AW687" s="454"/>
      <c r="AX687" s="454"/>
      <c r="AY687" s="454"/>
      <c r="AZ687" s="454"/>
      <c r="BA687" s="454"/>
      <c r="BB687" s="454"/>
      <c r="BC687" s="454"/>
      <c r="BD687" s="454"/>
      <c r="BE687" s="454"/>
      <c r="BF687" s="454"/>
      <c r="BG687" s="454"/>
      <c r="BH687" s="454"/>
      <c r="BI687" s="454"/>
      <c r="BJ687" s="454"/>
      <c r="BK687" s="454"/>
      <c r="BL687" s="454"/>
      <c r="BM687" s="454"/>
      <c r="BN687" s="454"/>
      <c r="BO687" s="454"/>
      <c r="BP687" s="454"/>
      <c r="BQ687" s="454"/>
      <c r="BR687" s="454"/>
      <c r="BS687" s="454"/>
      <c r="BT687" s="454"/>
      <c r="BU687" s="454"/>
      <c r="BV687" s="454"/>
      <c r="BW687" s="454"/>
      <c r="BX687" s="454"/>
      <c r="BY687" s="454"/>
      <c r="BZ687" s="454"/>
      <c r="CA687" s="454"/>
      <c r="CB687" s="454"/>
      <c r="CC687" s="454"/>
      <c r="CD687" s="454"/>
      <c r="CE687" s="454"/>
      <c r="CF687" s="454"/>
      <c r="CG687" s="454"/>
      <c r="CH687" s="454"/>
      <c r="CI687" s="454"/>
      <c r="CJ687" s="454"/>
      <c r="CK687" s="454"/>
      <c r="CL687" s="454"/>
      <c r="CM687" s="454"/>
      <c r="CN687" s="454"/>
      <c r="CO687" s="454"/>
      <c r="CP687" s="454"/>
      <c r="CQ687" s="454"/>
      <c r="CR687" s="454"/>
      <c r="CS687" s="454"/>
      <c r="CT687" s="454"/>
      <c r="CU687" s="454"/>
      <c r="CV687" s="454"/>
      <c r="CW687" s="454"/>
      <c r="CX687" s="454"/>
      <c r="CY687" s="454"/>
      <c r="CZ687" s="454"/>
      <c r="DA687" s="454"/>
      <c r="DB687" s="454"/>
      <c r="DC687" s="454"/>
      <c r="DD687" s="454"/>
      <c r="DE687" s="454"/>
      <c r="DF687" s="454"/>
      <c r="DG687" s="517"/>
      <c r="DH687" s="517"/>
      <c r="DI687" s="517"/>
      <c r="DJ687" s="517"/>
      <c r="DK687" s="517"/>
      <c r="DL687" s="517"/>
      <c r="DM687" s="517"/>
      <c r="DN687" s="517"/>
      <c r="DO687" s="517"/>
      <c r="DP687" s="517"/>
      <c r="DQ687" s="517"/>
      <c r="DR687" s="517"/>
      <c r="DS687" s="454"/>
      <c r="DT687" s="454"/>
      <c r="DU687" s="454"/>
      <c r="DV687" s="454"/>
      <c r="DW687" s="454"/>
      <c r="DX687" s="454"/>
      <c r="DY687" s="454"/>
      <c r="DZ687" s="454"/>
      <c r="EA687" s="454"/>
      <c r="EB687" s="454"/>
      <c r="EC687" s="454"/>
      <c r="ED687" s="454"/>
      <c r="EE687" s="454"/>
      <c r="EF687" s="454"/>
      <c r="EG687" s="454"/>
      <c r="EH687" s="454"/>
      <c r="EI687" s="454"/>
      <c r="EJ687" s="454"/>
      <c r="EK687" s="454"/>
      <c r="EL687" s="454"/>
      <c r="EM687" s="454"/>
      <c r="EN687" s="454"/>
      <c r="EO687" s="454"/>
      <c r="EP687" s="454"/>
      <c r="EQ687" s="454"/>
      <c r="ER687" s="454"/>
      <c r="ES687" s="454"/>
      <c r="ET687" s="454"/>
      <c r="EU687" s="454"/>
      <c r="EV687" s="454"/>
      <c r="EW687" s="454"/>
      <c r="EX687" s="454"/>
      <c r="EY687" s="454"/>
      <c r="EZ687" s="454"/>
      <c r="FA687" s="454"/>
      <c r="FB687" s="454"/>
      <c r="FC687" s="454"/>
      <c r="FD687" s="454"/>
      <c r="FE687" s="454"/>
      <c r="FF687" s="454"/>
      <c r="FG687" s="454"/>
      <c r="FH687" s="454"/>
      <c r="FI687" s="454"/>
      <c r="FJ687" s="454"/>
      <c r="FK687" s="454"/>
      <c r="FL687" s="454"/>
      <c r="FM687" s="454"/>
      <c r="FN687" s="454"/>
      <c r="FO687" s="454"/>
      <c r="FP687" s="454"/>
      <c r="FQ687" s="290"/>
    </row>
    <row r="688" spans="1:173" s="4" customFormat="1">
      <c r="A688" s="486">
        <f>MATCH(C688,$C$5:$C$700,0)</f>
        <v>684</v>
      </c>
      <c r="B688" s="56"/>
      <c r="C688" s="508" t="s">
        <v>3453</v>
      </c>
      <c r="D688" s="508"/>
      <c r="E688" s="508">
        <f t="shared" ref="E688:AK688" si="240">SUM(E683:E687)</f>
        <v>0</v>
      </c>
      <c r="F688" s="508">
        <f t="shared" si="240"/>
        <v>0</v>
      </c>
      <c r="G688" s="508">
        <f t="shared" si="240"/>
        <v>0</v>
      </c>
      <c r="H688" s="508">
        <f t="shared" si="240"/>
        <v>0</v>
      </c>
      <c r="I688" s="508">
        <f t="shared" si="240"/>
        <v>0</v>
      </c>
      <c r="J688" s="508">
        <f t="shared" si="240"/>
        <v>0</v>
      </c>
      <c r="K688" s="508">
        <f t="shared" si="240"/>
        <v>0</v>
      </c>
      <c r="L688" s="508">
        <f t="shared" si="240"/>
        <v>0</v>
      </c>
      <c r="M688" s="508">
        <f t="shared" si="240"/>
        <v>0</v>
      </c>
      <c r="N688" s="508">
        <f t="shared" si="240"/>
        <v>0</v>
      </c>
      <c r="O688" s="508">
        <f t="shared" si="240"/>
        <v>0</v>
      </c>
      <c r="P688" s="508">
        <f t="shared" si="240"/>
        <v>0</v>
      </c>
      <c r="Q688" s="508">
        <f t="shared" si="240"/>
        <v>0</v>
      </c>
      <c r="R688" s="508">
        <f t="shared" si="240"/>
        <v>0</v>
      </c>
      <c r="S688" s="508">
        <f t="shared" si="240"/>
        <v>0</v>
      </c>
      <c r="T688" s="509">
        <f t="shared" si="240"/>
        <v>0</v>
      </c>
      <c r="U688" s="509">
        <f t="shared" si="240"/>
        <v>0</v>
      </c>
      <c r="V688" s="509">
        <f t="shared" si="240"/>
        <v>0</v>
      </c>
      <c r="W688" s="509">
        <f t="shared" si="240"/>
        <v>0</v>
      </c>
      <c r="X688" s="509">
        <f t="shared" si="240"/>
        <v>0</v>
      </c>
      <c r="Y688" s="509">
        <f t="shared" si="240"/>
        <v>0</v>
      </c>
      <c r="Z688" s="509">
        <f t="shared" si="240"/>
        <v>0</v>
      </c>
      <c r="AA688" s="509">
        <f t="shared" si="240"/>
        <v>0</v>
      </c>
      <c r="AB688" s="509">
        <f t="shared" si="240"/>
        <v>0</v>
      </c>
      <c r="AC688" s="509">
        <f t="shared" si="240"/>
        <v>0</v>
      </c>
      <c r="AD688" s="509">
        <f t="shared" si="240"/>
        <v>0</v>
      </c>
      <c r="AE688" s="511">
        <f t="shared" si="240"/>
        <v>0</v>
      </c>
      <c r="AF688" s="958">
        <f t="shared" si="240"/>
        <v>0</v>
      </c>
      <c r="AG688" s="509">
        <f t="shared" si="240"/>
        <v>0</v>
      </c>
      <c r="AH688" s="509">
        <f t="shared" si="240"/>
        <v>0</v>
      </c>
      <c r="AI688" s="509">
        <f t="shared" si="240"/>
        <v>0</v>
      </c>
      <c r="AJ688" s="509">
        <f t="shared" si="240"/>
        <v>0</v>
      </c>
      <c r="AK688" s="509">
        <f t="shared" si="240"/>
        <v>0</v>
      </c>
      <c r="AL688" s="509">
        <f t="shared" ref="AL688:BQ688" si="241">SUM(AL683:AL687)</f>
        <v>0</v>
      </c>
      <c r="AM688" s="509">
        <f t="shared" si="241"/>
        <v>0</v>
      </c>
      <c r="AN688" s="509">
        <f t="shared" si="241"/>
        <v>0</v>
      </c>
      <c r="AO688" s="509">
        <f t="shared" si="241"/>
        <v>0</v>
      </c>
      <c r="AP688" s="509">
        <f t="shared" si="241"/>
        <v>0</v>
      </c>
      <c r="AQ688" s="509">
        <f t="shared" si="241"/>
        <v>0</v>
      </c>
      <c r="AR688" s="509">
        <f t="shared" si="241"/>
        <v>0</v>
      </c>
      <c r="AS688" s="509">
        <f t="shared" si="241"/>
        <v>0</v>
      </c>
      <c r="AT688" s="509">
        <f t="shared" si="241"/>
        <v>0</v>
      </c>
      <c r="AU688" s="509">
        <f t="shared" si="241"/>
        <v>0</v>
      </c>
      <c r="AV688" s="509">
        <f t="shared" si="241"/>
        <v>0</v>
      </c>
      <c r="AW688" s="509">
        <f t="shared" si="241"/>
        <v>0</v>
      </c>
      <c r="AX688" s="509">
        <f t="shared" si="241"/>
        <v>0</v>
      </c>
      <c r="AY688" s="509">
        <f t="shared" si="241"/>
        <v>0</v>
      </c>
      <c r="AZ688" s="509">
        <f t="shared" si="241"/>
        <v>0</v>
      </c>
      <c r="BA688" s="509">
        <f t="shared" si="241"/>
        <v>0</v>
      </c>
      <c r="BB688" s="509">
        <f t="shared" si="241"/>
        <v>0</v>
      </c>
      <c r="BC688" s="509">
        <f t="shared" si="241"/>
        <v>0</v>
      </c>
      <c r="BD688" s="509">
        <f t="shared" si="241"/>
        <v>0</v>
      </c>
      <c r="BE688" s="509">
        <f t="shared" si="241"/>
        <v>6</v>
      </c>
      <c r="BF688" s="509">
        <f t="shared" si="241"/>
        <v>0</v>
      </c>
      <c r="BG688" s="509">
        <f t="shared" si="241"/>
        <v>0</v>
      </c>
      <c r="BH688" s="509">
        <f t="shared" si="241"/>
        <v>0</v>
      </c>
      <c r="BI688" s="509">
        <f t="shared" si="241"/>
        <v>0</v>
      </c>
      <c r="BJ688" s="509">
        <f t="shared" si="241"/>
        <v>0</v>
      </c>
      <c r="BK688" s="509">
        <f t="shared" si="241"/>
        <v>0</v>
      </c>
      <c r="BL688" s="509">
        <f t="shared" si="241"/>
        <v>0</v>
      </c>
      <c r="BM688" s="509">
        <f t="shared" si="241"/>
        <v>0</v>
      </c>
      <c r="BN688" s="509">
        <f t="shared" si="241"/>
        <v>0</v>
      </c>
      <c r="BO688" s="509">
        <f t="shared" si="241"/>
        <v>0</v>
      </c>
      <c r="BP688" s="509">
        <f t="shared" si="241"/>
        <v>0</v>
      </c>
      <c r="BQ688" s="509">
        <f t="shared" si="241"/>
        <v>0</v>
      </c>
      <c r="BR688" s="509">
        <f t="shared" ref="BR688:DA688" si="242">SUM(BR683:BR687)</f>
        <v>0</v>
      </c>
      <c r="BS688" s="509">
        <f t="shared" si="242"/>
        <v>0</v>
      </c>
      <c r="BT688" s="509">
        <f t="shared" si="242"/>
        <v>0</v>
      </c>
      <c r="BU688" s="509">
        <f t="shared" si="242"/>
        <v>0</v>
      </c>
      <c r="BV688" s="509">
        <f t="shared" si="242"/>
        <v>0</v>
      </c>
      <c r="BW688" s="509">
        <f t="shared" si="242"/>
        <v>0</v>
      </c>
      <c r="BX688" s="509">
        <f t="shared" si="242"/>
        <v>6</v>
      </c>
      <c r="BY688" s="509">
        <f t="shared" si="242"/>
        <v>0</v>
      </c>
      <c r="BZ688" s="509">
        <f t="shared" si="242"/>
        <v>0</v>
      </c>
      <c r="CA688" s="509">
        <f t="shared" si="242"/>
        <v>0</v>
      </c>
      <c r="CB688" s="509">
        <f t="shared" si="242"/>
        <v>0</v>
      </c>
      <c r="CC688" s="509">
        <f t="shared" si="242"/>
        <v>0</v>
      </c>
      <c r="CD688" s="509">
        <f t="shared" si="242"/>
        <v>0</v>
      </c>
      <c r="CE688" s="509">
        <f t="shared" si="242"/>
        <v>8</v>
      </c>
      <c r="CF688" s="509">
        <f t="shared" si="242"/>
        <v>0</v>
      </c>
      <c r="CG688" s="509">
        <f t="shared" si="242"/>
        <v>16</v>
      </c>
      <c r="CH688" s="509">
        <f t="shared" si="242"/>
        <v>0</v>
      </c>
      <c r="CI688" s="509">
        <f t="shared" si="242"/>
        <v>12</v>
      </c>
      <c r="CJ688" s="509">
        <f t="shared" si="242"/>
        <v>0</v>
      </c>
      <c r="CK688" s="509">
        <f t="shared" si="242"/>
        <v>0</v>
      </c>
      <c r="CL688" s="509">
        <f t="shared" si="242"/>
        <v>0</v>
      </c>
      <c r="CM688" s="509">
        <f t="shared" si="242"/>
        <v>0</v>
      </c>
      <c r="CN688" s="509">
        <f t="shared" si="242"/>
        <v>0</v>
      </c>
      <c r="CO688" s="509">
        <f t="shared" si="242"/>
        <v>12</v>
      </c>
      <c r="CP688" s="509">
        <f t="shared" si="242"/>
        <v>0</v>
      </c>
      <c r="CQ688" s="509">
        <f t="shared" si="242"/>
        <v>0</v>
      </c>
      <c r="CR688" s="509">
        <f t="shared" si="242"/>
        <v>0</v>
      </c>
      <c r="CS688" s="509">
        <f t="shared" si="242"/>
        <v>0</v>
      </c>
      <c r="CT688" s="509">
        <f t="shared" si="242"/>
        <v>0</v>
      </c>
      <c r="CU688" s="509">
        <f t="shared" si="242"/>
        <v>4</v>
      </c>
      <c r="CV688" s="509">
        <f t="shared" si="242"/>
        <v>0</v>
      </c>
      <c r="CW688" s="509">
        <f t="shared" si="242"/>
        <v>0</v>
      </c>
      <c r="CX688" s="509">
        <f>SUM(CX683:CX687)</f>
        <v>0</v>
      </c>
      <c r="CY688" s="509">
        <f>SUM(CY683:CY687)</f>
        <v>0</v>
      </c>
      <c r="CZ688" s="509">
        <f t="shared" si="242"/>
        <v>0</v>
      </c>
      <c r="DA688" s="509">
        <f t="shared" si="242"/>
        <v>0</v>
      </c>
      <c r="DB688" s="509">
        <f t="shared" ref="DB688:EG688" si="243">SUM(DB683:DB687)</f>
        <v>0</v>
      </c>
      <c r="DC688" s="509">
        <f t="shared" si="243"/>
        <v>0</v>
      </c>
      <c r="DD688" s="509">
        <f t="shared" si="243"/>
        <v>0</v>
      </c>
      <c r="DE688" s="509">
        <f t="shared" si="243"/>
        <v>0</v>
      </c>
      <c r="DF688" s="509">
        <f t="shared" si="243"/>
        <v>0</v>
      </c>
      <c r="DG688" s="518">
        <f t="shared" si="243"/>
        <v>0</v>
      </c>
      <c r="DH688" s="518">
        <f t="shared" si="243"/>
        <v>0</v>
      </c>
      <c r="DI688" s="518">
        <f t="shared" si="243"/>
        <v>0</v>
      </c>
      <c r="DJ688" s="518">
        <f t="shared" si="243"/>
        <v>0</v>
      </c>
      <c r="DK688" s="518">
        <f t="shared" si="243"/>
        <v>0</v>
      </c>
      <c r="DL688" s="518">
        <f t="shared" si="243"/>
        <v>0</v>
      </c>
      <c r="DM688" s="518">
        <f t="shared" si="243"/>
        <v>0</v>
      </c>
      <c r="DN688" s="518">
        <f t="shared" si="243"/>
        <v>0</v>
      </c>
      <c r="DO688" s="518">
        <f t="shared" si="243"/>
        <v>0</v>
      </c>
      <c r="DP688" s="518">
        <f t="shared" si="243"/>
        <v>0</v>
      </c>
      <c r="DQ688" s="518">
        <f t="shared" si="243"/>
        <v>0</v>
      </c>
      <c r="DR688" s="518">
        <f t="shared" si="243"/>
        <v>0</v>
      </c>
      <c r="DS688" s="509">
        <f t="shared" si="243"/>
        <v>0</v>
      </c>
      <c r="DT688" s="509">
        <f t="shared" si="243"/>
        <v>0</v>
      </c>
      <c r="DU688" s="509">
        <f t="shared" si="243"/>
        <v>0</v>
      </c>
      <c r="DV688" s="509">
        <f t="shared" si="243"/>
        <v>0</v>
      </c>
      <c r="DW688" s="509">
        <f t="shared" si="243"/>
        <v>0</v>
      </c>
      <c r="DX688" s="509">
        <f t="shared" si="243"/>
        <v>0</v>
      </c>
      <c r="DY688" s="509">
        <f t="shared" si="243"/>
        <v>0</v>
      </c>
      <c r="DZ688" s="509">
        <f t="shared" si="243"/>
        <v>0</v>
      </c>
      <c r="EA688" s="509">
        <f t="shared" si="243"/>
        <v>0</v>
      </c>
      <c r="EB688" s="509">
        <f t="shared" si="243"/>
        <v>0</v>
      </c>
      <c r="EC688" s="509">
        <f t="shared" si="243"/>
        <v>0</v>
      </c>
      <c r="ED688" s="509">
        <f t="shared" si="243"/>
        <v>0</v>
      </c>
      <c r="EE688" s="509">
        <f t="shared" si="243"/>
        <v>0</v>
      </c>
      <c r="EF688" s="509">
        <f t="shared" si="243"/>
        <v>0</v>
      </c>
      <c r="EG688" s="509">
        <f t="shared" si="243"/>
        <v>0</v>
      </c>
      <c r="EH688" s="509">
        <f t="shared" ref="EH688:FM688" si="244">SUM(EH683:EH687)</f>
        <v>0</v>
      </c>
      <c r="EI688" s="509">
        <f t="shared" si="244"/>
        <v>0</v>
      </c>
      <c r="EJ688" s="509">
        <f t="shared" si="244"/>
        <v>0</v>
      </c>
      <c r="EK688" s="509">
        <f t="shared" si="244"/>
        <v>0</v>
      </c>
      <c r="EL688" s="509">
        <f t="shared" si="244"/>
        <v>0</v>
      </c>
      <c r="EM688" s="509">
        <f t="shared" si="244"/>
        <v>0</v>
      </c>
      <c r="EN688" s="509">
        <f t="shared" si="244"/>
        <v>0</v>
      </c>
      <c r="EO688" s="509">
        <f t="shared" si="244"/>
        <v>0</v>
      </c>
      <c r="EP688" s="509">
        <f t="shared" si="244"/>
        <v>0</v>
      </c>
      <c r="EQ688" s="509">
        <f t="shared" si="244"/>
        <v>0</v>
      </c>
      <c r="ER688" s="509">
        <f t="shared" si="244"/>
        <v>0</v>
      </c>
      <c r="ES688" s="509">
        <f t="shared" si="244"/>
        <v>0</v>
      </c>
      <c r="ET688" s="509">
        <f t="shared" si="244"/>
        <v>0</v>
      </c>
      <c r="EU688" s="509">
        <f t="shared" si="244"/>
        <v>0</v>
      </c>
      <c r="EV688" s="509">
        <f t="shared" si="244"/>
        <v>0</v>
      </c>
      <c r="EW688" s="509">
        <f t="shared" si="244"/>
        <v>0</v>
      </c>
      <c r="EX688" s="509">
        <f t="shared" si="244"/>
        <v>0</v>
      </c>
      <c r="EY688" s="509">
        <f t="shared" si="244"/>
        <v>0</v>
      </c>
      <c r="EZ688" s="509">
        <f t="shared" si="244"/>
        <v>0</v>
      </c>
      <c r="FA688" s="509">
        <f t="shared" si="244"/>
        <v>0</v>
      </c>
      <c r="FB688" s="509">
        <f t="shared" si="244"/>
        <v>0</v>
      </c>
      <c r="FC688" s="509">
        <f t="shared" si="244"/>
        <v>0</v>
      </c>
      <c r="FD688" s="509">
        <f t="shared" si="244"/>
        <v>0</v>
      </c>
      <c r="FE688" s="509">
        <f t="shared" si="244"/>
        <v>0</v>
      </c>
      <c r="FF688" s="509">
        <f t="shared" si="244"/>
        <v>0</v>
      </c>
      <c r="FG688" s="509">
        <f t="shared" si="244"/>
        <v>0</v>
      </c>
      <c r="FH688" s="509">
        <f t="shared" si="244"/>
        <v>0</v>
      </c>
      <c r="FI688" s="509">
        <f t="shared" si="244"/>
        <v>0</v>
      </c>
      <c r="FJ688" s="509">
        <f t="shared" si="244"/>
        <v>0</v>
      </c>
      <c r="FK688" s="509">
        <f t="shared" si="244"/>
        <v>0</v>
      </c>
      <c r="FL688" s="509">
        <f t="shared" si="244"/>
        <v>0</v>
      </c>
      <c r="FM688" s="509">
        <f t="shared" si="244"/>
        <v>0</v>
      </c>
      <c r="FN688" s="509">
        <f>SUM(FN683:FN687)</f>
        <v>0</v>
      </c>
      <c r="FO688" s="509">
        <f>SUM(FO683:FO687)</f>
        <v>0</v>
      </c>
      <c r="FP688" s="509"/>
      <c r="FQ688" s="508"/>
    </row>
    <row r="689" spans="1:173" s="4" customFormat="1">
      <c r="A689" s="56"/>
      <c r="B689" s="56">
        <v>14</v>
      </c>
      <c r="C689" s="501" t="s">
        <v>3901</v>
      </c>
      <c r="D689" s="502"/>
      <c r="E689" s="503"/>
      <c r="F689" s="503"/>
      <c r="G689" s="503"/>
      <c r="H689" s="503"/>
      <c r="I689" s="503"/>
      <c r="J689" s="503"/>
      <c r="K689" s="503"/>
      <c r="L689" s="503"/>
      <c r="M689" s="503"/>
      <c r="N689" s="503"/>
      <c r="O689" s="503"/>
      <c r="P689" s="503"/>
      <c r="Q689" s="503"/>
      <c r="R689" s="503"/>
      <c r="S689" s="503"/>
      <c r="T689" s="504"/>
      <c r="U689" s="504"/>
      <c r="V689" s="504"/>
      <c r="W689" s="504"/>
      <c r="X689" s="504"/>
      <c r="Y689" s="504"/>
      <c r="Z689" s="504"/>
      <c r="AA689" s="504"/>
      <c r="AB689" s="504"/>
      <c r="AC689" s="504"/>
      <c r="AD689" s="504"/>
      <c r="AE689" s="954"/>
      <c r="AF689" s="959"/>
      <c r="AG689" s="504"/>
      <c r="AH689" s="504"/>
      <c r="AI689" s="504"/>
      <c r="AJ689" s="504"/>
      <c r="AK689" s="504"/>
      <c r="AL689" s="504"/>
      <c r="AM689" s="504"/>
      <c r="AN689" s="504"/>
      <c r="AO689" s="504"/>
      <c r="AP689" s="504"/>
      <c r="AQ689" s="504"/>
      <c r="AR689" s="504"/>
      <c r="AS689" s="504"/>
      <c r="AT689" s="504"/>
      <c r="AU689" s="504"/>
      <c r="AV689" s="504"/>
      <c r="AW689" s="504"/>
      <c r="AX689" s="504"/>
      <c r="AY689" s="504"/>
      <c r="AZ689" s="504"/>
      <c r="BA689" s="504"/>
      <c r="BB689" s="504"/>
      <c r="BC689" s="504"/>
      <c r="BD689" s="504"/>
      <c r="BE689" s="504"/>
      <c r="BF689" s="504"/>
      <c r="BG689" s="504"/>
      <c r="BH689" s="504"/>
      <c r="BI689" s="504"/>
      <c r="BJ689" s="504"/>
      <c r="BK689" s="504"/>
      <c r="BL689" s="504"/>
      <c r="BM689" s="504"/>
      <c r="BN689" s="504"/>
      <c r="BO689" s="504"/>
      <c r="BP689" s="504"/>
      <c r="BQ689" s="504"/>
      <c r="BR689" s="504"/>
      <c r="BS689" s="504"/>
      <c r="BT689" s="504"/>
      <c r="BU689" s="504"/>
      <c r="BV689" s="504"/>
      <c r="BW689" s="504"/>
      <c r="BX689" s="504"/>
      <c r="BY689" s="504"/>
      <c r="BZ689" s="504"/>
      <c r="CA689" s="504"/>
      <c r="CB689" s="504"/>
      <c r="CC689" s="504"/>
      <c r="CD689" s="504"/>
      <c r="CE689" s="504"/>
      <c r="CF689" s="504"/>
      <c r="CG689" s="504"/>
      <c r="CH689" s="504"/>
      <c r="CI689" s="504"/>
      <c r="CJ689" s="504"/>
      <c r="CK689" s="504"/>
      <c r="CL689" s="504"/>
      <c r="CM689" s="504"/>
      <c r="CN689" s="504"/>
      <c r="CO689" s="504"/>
      <c r="CP689" s="504"/>
      <c r="CQ689" s="504"/>
      <c r="CR689" s="504"/>
      <c r="CS689" s="504"/>
      <c r="CT689" s="504"/>
      <c r="CU689" s="504"/>
      <c r="CV689" s="504"/>
      <c r="CW689" s="504"/>
      <c r="CX689" s="504"/>
      <c r="CY689" s="504"/>
      <c r="CZ689" s="504"/>
      <c r="DA689" s="504"/>
      <c r="DB689" s="504"/>
      <c r="DC689" s="504"/>
      <c r="DD689" s="504"/>
      <c r="DE689" s="504"/>
      <c r="DF689" s="504"/>
      <c r="DG689" s="519"/>
      <c r="DH689" s="519"/>
      <c r="DI689" s="519"/>
      <c r="DJ689" s="519"/>
      <c r="DK689" s="519"/>
      <c r="DL689" s="519"/>
      <c r="DM689" s="519"/>
      <c r="DN689" s="519"/>
      <c r="DO689" s="519"/>
      <c r="DP689" s="519"/>
      <c r="DQ689" s="519"/>
      <c r="DR689" s="519"/>
      <c r="DS689" s="504"/>
      <c r="DT689" s="504"/>
      <c r="DU689" s="504"/>
      <c r="DV689" s="504"/>
      <c r="DW689" s="504"/>
      <c r="DX689" s="504"/>
      <c r="DY689" s="504"/>
      <c r="DZ689" s="504"/>
      <c r="EA689" s="504"/>
      <c r="EB689" s="504"/>
      <c r="EC689" s="504"/>
      <c r="ED689" s="504"/>
      <c r="EE689" s="504"/>
      <c r="EF689" s="504"/>
      <c r="EG689" s="504"/>
      <c r="EH689" s="504"/>
      <c r="EI689" s="504"/>
      <c r="EJ689" s="504"/>
      <c r="EK689" s="504"/>
      <c r="EL689" s="504"/>
      <c r="EM689" s="504"/>
      <c r="EN689" s="504"/>
      <c r="EO689" s="504"/>
      <c r="EP689" s="504"/>
      <c r="EQ689" s="504"/>
      <c r="ER689" s="504"/>
      <c r="ES689" s="504"/>
      <c r="ET689" s="504"/>
      <c r="EU689" s="504"/>
      <c r="EV689" s="504"/>
      <c r="EW689" s="504"/>
      <c r="EX689" s="504"/>
      <c r="EY689" s="504"/>
      <c r="EZ689" s="504"/>
      <c r="FA689" s="504"/>
      <c r="FB689" s="504"/>
      <c r="FC689" s="504"/>
      <c r="FD689" s="504"/>
      <c r="FE689" s="504"/>
      <c r="FF689" s="504"/>
      <c r="FG689" s="504"/>
      <c r="FH689" s="504"/>
      <c r="FI689" s="504"/>
      <c r="FJ689" s="504"/>
      <c r="FK689" s="504"/>
      <c r="FL689" s="504"/>
      <c r="FM689" s="504"/>
      <c r="FN689" s="504"/>
      <c r="FO689" s="504"/>
      <c r="FP689" s="504"/>
      <c r="FQ689" s="505"/>
    </row>
    <row r="690" spans="1:173" s="4" customFormat="1">
      <c r="A690" s="56"/>
      <c r="B690" s="56"/>
      <c r="C690" s="498"/>
      <c r="D690" s="498" t="s">
        <v>3044</v>
      </c>
      <c r="E690" s="454"/>
      <c r="F690" s="454"/>
      <c r="G690" s="454"/>
      <c r="H690" s="454"/>
      <c r="I690" s="454"/>
      <c r="J690" s="454"/>
      <c r="K690" s="454"/>
      <c r="L690" s="454"/>
      <c r="M690" s="454"/>
      <c r="N690" s="454"/>
      <c r="O690" s="454"/>
      <c r="P690" s="454"/>
      <c r="Q690" s="454"/>
      <c r="R690" s="454"/>
      <c r="S690" s="454"/>
      <c r="T690" s="454"/>
      <c r="U690" s="454" t="s">
        <v>2989</v>
      </c>
      <c r="V690" s="454"/>
      <c r="W690" s="454"/>
      <c r="X690" s="454"/>
      <c r="Y690" s="454"/>
      <c r="Z690" s="454"/>
      <c r="AA690" s="454"/>
      <c r="AB690" s="454"/>
      <c r="AC690" s="454"/>
      <c r="AD690" s="454"/>
      <c r="AE690" s="512"/>
      <c r="AF690" s="961"/>
      <c r="AG690" s="454"/>
      <c r="AH690" s="454"/>
      <c r="AI690" s="454"/>
      <c r="AJ690" s="454"/>
      <c r="AK690" s="454"/>
      <c r="AL690" s="454"/>
      <c r="AM690" s="454"/>
      <c r="AN690" s="454"/>
      <c r="AO690" s="454"/>
      <c r="AP690" s="454"/>
      <c r="AQ690" s="454"/>
      <c r="AR690" s="454"/>
      <c r="AS690" s="454"/>
      <c r="AT690" s="454"/>
      <c r="AU690" s="454"/>
      <c r="AV690" s="454"/>
      <c r="AW690" s="454"/>
      <c r="AX690" s="454"/>
      <c r="AY690" s="454"/>
      <c r="AZ690" s="454"/>
      <c r="BA690" s="454"/>
      <c r="BB690" s="454"/>
      <c r="BC690" s="454"/>
      <c r="BD690" s="454"/>
      <c r="BE690" s="454">
        <v>1</v>
      </c>
      <c r="BF690" s="454"/>
      <c r="BG690" s="454"/>
      <c r="BH690" s="454"/>
      <c r="BI690" s="454"/>
      <c r="BJ690" s="454"/>
      <c r="BK690" s="454"/>
      <c r="BL690" s="454"/>
      <c r="BM690" s="454"/>
      <c r="BN690" s="454"/>
      <c r="BO690" s="454"/>
      <c r="BP690" s="454"/>
      <c r="BQ690" s="454"/>
      <c r="BR690" s="454"/>
      <c r="BS690" s="454"/>
      <c r="BT690" s="454"/>
      <c r="BU690" s="454"/>
      <c r="BV690" s="454"/>
      <c r="BW690" s="454"/>
      <c r="BX690" s="454">
        <v>1</v>
      </c>
      <c r="BY690" s="454"/>
      <c r="BZ690" s="454"/>
      <c r="CA690" s="454"/>
      <c r="CB690" s="454"/>
      <c r="CC690" s="454"/>
      <c r="CD690" s="454"/>
      <c r="CE690" s="454"/>
      <c r="CF690" s="454"/>
      <c r="CG690" s="454"/>
      <c r="CH690" s="454"/>
      <c r="CI690" s="454"/>
      <c r="CJ690" s="454"/>
      <c r="CK690" s="454"/>
      <c r="CL690" s="454"/>
      <c r="CM690" s="454"/>
      <c r="CN690" s="454"/>
      <c r="CO690" s="454"/>
      <c r="CP690" s="454"/>
      <c r="CQ690" s="454"/>
      <c r="CR690" s="454"/>
      <c r="CS690" s="454"/>
      <c r="CT690" s="454"/>
      <c r="CU690" s="454"/>
      <c r="CV690" s="454"/>
      <c r="CW690" s="454"/>
      <c r="CX690" s="454"/>
      <c r="CY690" s="454"/>
      <c r="CZ690" s="454"/>
      <c r="DA690" s="454"/>
      <c r="DB690" s="454"/>
      <c r="DC690" s="454"/>
      <c r="DD690" s="454"/>
      <c r="DE690" s="454"/>
      <c r="DF690" s="454"/>
      <c r="DG690" s="517"/>
      <c r="DH690" s="517"/>
      <c r="DI690" s="517"/>
      <c r="DJ690" s="517"/>
      <c r="DK690" s="517"/>
      <c r="DL690" s="517"/>
      <c r="DM690" s="517"/>
      <c r="DN690" s="517"/>
      <c r="DO690" s="517"/>
      <c r="DP690" s="517"/>
      <c r="DQ690" s="517"/>
      <c r="DR690" s="517"/>
      <c r="DS690" s="454"/>
      <c r="DT690" s="454"/>
      <c r="DU690" s="454"/>
      <c r="DV690" s="454"/>
      <c r="DW690" s="454"/>
      <c r="DX690" s="454"/>
      <c r="DY690" s="454"/>
      <c r="DZ690" s="454"/>
      <c r="EA690" s="454"/>
      <c r="EB690" s="454"/>
      <c r="EC690" s="454"/>
      <c r="ED690" s="454"/>
      <c r="EE690" s="454"/>
      <c r="EF690" s="454"/>
      <c r="EG690" s="454"/>
      <c r="EH690" s="454"/>
      <c r="EI690" s="454"/>
      <c r="EJ690" s="454"/>
      <c r="EK690" s="454"/>
      <c r="EL690" s="454"/>
      <c r="EM690" s="454"/>
      <c r="EN690" s="454"/>
      <c r="EO690" s="454"/>
      <c r="EP690" s="454"/>
      <c r="EQ690" s="454"/>
      <c r="ER690" s="454"/>
      <c r="ES690" s="454"/>
      <c r="ET690" s="454"/>
      <c r="EU690" s="454"/>
      <c r="EV690" s="454"/>
      <c r="EW690" s="454"/>
      <c r="EX690" s="454"/>
      <c r="EY690" s="454"/>
      <c r="EZ690" s="454"/>
      <c r="FA690" s="454"/>
      <c r="FB690" s="454"/>
      <c r="FC690" s="454"/>
      <c r="FD690" s="454"/>
      <c r="FE690" s="454"/>
      <c r="FF690" s="454"/>
      <c r="FG690" s="454"/>
      <c r="FH690" s="454"/>
      <c r="FI690" s="454"/>
      <c r="FJ690" s="454"/>
      <c r="FK690" s="454"/>
      <c r="FL690" s="454"/>
      <c r="FM690" s="454"/>
      <c r="FN690" s="454"/>
      <c r="FO690" s="454"/>
      <c r="FP690" s="454"/>
      <c r="FQ690" s="290"/>
    </row>
    <row r="691" spans="1:173" s="4" customFormat="1">
      <c r="A691" s="56"/>
      <c r="B691" s="56"/>
      <c r="C691" s="498"/>
      <c r="D691" s="498" t="s">
        <v>3027</v>
      </c>
      <c r="E691" s="454"/>
      <c r="F691" s="454"/>
      <c r="G691" s="454"/>
      <c r="H691" s="454"/>
      <c r="I691" s="454"/>
      <c r="J691" s="454"/>
      <c r="K691" s="454"/>
      <c r="L691" s="454"/>
      <c r="M691" s="454"/>
      <c r="N691" s="454"/>
      <c r="O691" s="454"/>
      <c r="P691" s="454"/>
      <c r="Q691" s="454"/>
      <c r="R691" s="454"/>
      <c r="S691" s="454"/>
      <c r="T691" s="454"/>
      <c r="U691" s="454" t="s">
        <v>2989</v>
      </c>
      <c r="V691" s="454"/>
      <c r="W691" s="454"/>
      <c r="X691" s="454"/>
      <c r="Y691" s="454"/>
      <c r="Z691" s="454"/>
      <c r="AA691" s="454"/>
      <c r="AB691" s="454"/>
      <c r="AC691" s="454"/>
      <c r="AD691" s="454"/>
      <c r="AE691" s="512"/>
      <c r="AF691" s="961"/>
      <c r="AG691" s="454"/>
      <c r="AH691" s="454"/>
      <c r="AI691" s="454"/>
      <c r="AJ691" s="454"/>
      <c r="AK691" s="454"/>
      <c r="AL691" s="454"/>
      <c r="AM691" s="454"/>
      <c r="AN691" s="454"/>
      <c r="AO691" s="454"/>
      <c r="AP691" s="454"/>
      <c r="AQ691" s="454"/>
      <c r="AR691" s="454"/>
      <c r="AS691" s="454"/>
      <c r="AT691" s="454"/>
      <c r="AU691" s="454"/>
      <c r="AV691" s="454"/>
      <c r="AW691" s="454"/>
      <c r="AX691" s="454"/>
      <c r="AY691" s="454"/>
      <c r="AZ691" s="454"/>
      <c r="BA691" s="454"/>
      <c r="BB691" s="454"/>
      <c r="BC691" s="454"/>
      <c r="BD691" s="454"/>
      <c r="BE691" s="454">
        <v>2</v>
      </c>
      <c r="BF691" s="454"/>
      <c r="BG691" s="454"/>
      <c r="BH691" s="454"/>
      <c r="BI691" s="454"/>
      <c r="BJ691" s="454"/>
      <c r="BK691" s="454"/>
      <c r="BL691" s="454"/>
      <c r="BM691" s="454"/>
      <c r="BN691" s="454"/>
      <c r="BO691" s="454"/>
      <c r="BP691" s="454"/>
      <c r="BQ691" s="454"/>
      <c r="BR691" s="454"/>
      <c r="BS691" s="454"/>
      <c r="BT691" s="454"/>
      <c r="BU691" s="454"/>
      <c r="BV691" s="454"/>
      <c r="BW691" s="454"/>
      <c r="BX691" s="454">
        <v>2</v>
      </c>
      <c r="BY691" s="454"/>
      <c r="BZ691" s="454"/>
      <c r="CA691" s="454"/>
      <c r="CB691" s="454"/>
      <c r="CC691" s="454"/>
      <c r="CD691" s="454"/>
      <c r="CE691" s="454">
        <v>4</v>
      </c>
      <c r="CF691" s="454"/>
      <c r="CG691" s="454">
        <v>8</v>
      </c>
      <c r="CH691" s="454"/>
      <c r="CI691" s="454">
        <v>6</v>
      </c>
      <c r="CJ691" s="454"/>
      <c r="CK691" s="454"/>
      <c r="CL691" s="454"/>
      <c r="CM691" s="454"/>
      <c r="CN691" s="454"/>
      <c r="CO691" s="454">
        <v>6</v>
      </c>
      <c r="CP691" s="454"/>
      <c r="CQ691" s="454"/>
      <c r="CR691" s="454"/>
      <c r="CS691" s="454"/>
      <c r="CT691" s="454"/>
      <c r="CU691" s="454">
        <v>2</v>
      </c>
      <c r="CV691" s="454"/>
      <c r="CW691" s="454"/>
      <c r="CX691" s="454"/>
      <c r="CY691" s="454"/>
      <c r="CZ691" s="454"/>
      <c r="DA691" s="454"/>
      <c r="DB691" s="454"/>
      <c r="DC691" s="454"/>
      <c r="DD691" s="454"/>
      <c r="DE691" s="454"/>
      <c r="DF691" s="454"/>
      <c r="DG691" s="517"/>
      <c r="DH691" s="517"/>
      <c r="DI691" s="517"/>
      <c r="DJ691" s="517"/>
      <c r="DK691" s="517"/>
      <c r="DL691" s="517"/>
      <c r="DM691" s="517"/>
      <c r="DN691" s="517"/>
      <c r="DO691" s="517"/>
      <c r="DP691" s="517"/>
      <c r="DQ691" s="517"/>
      <c r="DR691" s="517"/>
      <c r="DS691" s="454"/>
      <c r="DT691" s="454"/>
      <c r="DU691" s="454"/>
      <c r="DV691" s="454"/>
      <c r="DW691" s="454"/>
      <c r="DX691" s="454"/>
      <c r="DY691" s="454"/>
      <c r="DZ691" s="454"/>
      <c r="EA691" s="454"/>
      <c r="EB691" s="454"/>
      <c r="EC691" s="454"/>
      <c r="ED691" s="454"/>
      <c r="EE691" s="454"/>
      <c r="EF691" s="454"/>
      <c r="EG691" s="454"/>
      <c r="EH691" s="454"/>
      <c r="EI691" s="454"/>
      <c r="EJ691" s="454"/>
      <c r="EK691" s="454"/>
      <c r="EL691" s="454"/>
      <c r="EM691" s="454"/>
      <c r="EN691" s="454"/>
      <c r="EO691" s="454"/>
      <c r="EP691" s="454"/>
      <c r="EQ691" s="454"/>
      <c r="ER691" s="454"/>
      <c r="ES691" s="454"/>
      <c r="ET691" s="454"/>
      <c r="EU691" s="454"/>
      <c r="EV691" s="454"/>
      <c r="EW691" s="454"/>
      <c r="EX691" s="454"/>
      <c r="EY691" s="454"/>
      <c r="EZ691" s="454"/>
      <c r="FA691" s="454"/>
      <c r="FB691" s="454"/>
      <c r="FC691" s="454"/>
      <c r="FD691" s="454"/>
      <c r="FE691" s="454"/>
      <c r="FF691" s="454"/>
      <c r="FG691" s="454"/>
      <c r="FH691" s="454"/>
      <c r="FI691" s="454"/>
      <c r="FJ691" s="454"/>
      <c r="FK691" s="454"/>
      <c r="FL691" s="454"/>
      <c r="FM691" s="454"/>
      <c r="FN691" s="454"/>
      <c r="FO691" s="454"/>
      <c r="FP691" s="454"/>
      <c r="FQ691" s="290"/>
    </row>
    <row r="692" spans="1:173" s="4" customFormat="1" hidden="1">
      <c r="A692" s="56"/>
      <c r="B692" s="56"/>
      <c r="C692" s="498"/>
      <c r="D692" s="498"/>
      <c r="E692" s="454"/>
      <c r="F692" s="454"/>
      <c r="G692" s="454"/>
      <c r="H692" s="454"/>
      <c r="I692" s="454"/>
      <c r="J692" s="454"/>
      <c r="K692" s="454"/>
      <c r="L692" s="454"/>
      <c r="M692" s="454"/>
      <c r="N692" s="454"/>
      <c r="O692" s="454"/>
      <c r="P692" s="454"/>
      <c r="Q692" s="454"/>
      <c r="R692" s="454"/>
      <c r="S692" s="454"/>
      <c r="T692" s="454"/>
      <c r="U692" s="454"/>
      <c r="V692" s="454"/>
      <c r="W692" s="454"/>
      <c r="X692" s="454"/>
      <c r="Y692" s="454"/>
      <c r="Z692" s="454"/>
      <c r="AA692" s="454"/>
      <c r="AB692" s="454"/>
      <c r="AC692" s="454"/>
      <c r="AD692" s="454"/>
      <c r="AE692" s="512"/>
      <c r="AF692" s="961"/>
      <c r="AG692" s="454"/>
      <c r="AH692" s="454"/>
      <c r="AI692" s="454"/>
      <c r="AJ692" s="454"/>
      <c r="AK692" s="454"/>
      <c r="AL692" s="454"/>
      <c r="AM692" s="454"/>
      <c r="AN692" s="454"/>
      <c r="AO692" s="454"/>
      <c r="AP692" s="454"/>
      <c r="AQ692" s="454"/>
      <c r="AR692" s="454"/>
      <c r="AS692" s="454"/>
      <c r="AT692" s="454"/>
      <c r="AU692" s="454"/>
      <c r="AV692" s="454"/>
      <c r="AW692" s="454"/>
      <c r="AX692" s="454"/>
      <c r="AY692" s="454"/>
      <c r="AZ692" s="454"/>
      <c r="BA692" s="454"/>
      <c r="BB692" s="454"/>
      <c r="BC692" s="454"/>
      <c r="BD692" s="454"/>
      <c r="BE692" s="454"/>
      <c r="BF692" s="454"/>
      <c r="BG692" s="454"/>
      <c r="BH692" s="454"/>
      <c r="BI692" s="454"/>
      <c r="BJ692" s="454"/>
      <c r="BK692" s="454"/>
      <c r="BL692" s="454"/>
      <c r="BM692" s="454"/>
      <c r="BN692" s="454"/>
      <c r="BO692" s="454"/>
      <c r="BP692" s="454"/>
      <c r="BQ692" s="454"/>
      <c r="BR692" s="454"/>
      <c r="BS692" s="454"/>
      <c r="BT692" s="454"/>
      <c r="BU692" s="454"/>
      <c r="BV692" s="454"/>
      <c r="BW692" s="454"/>
      <c r="BX692" s="454"/>
      <c r="BY692" s="454"/>
      <c r="BZ692" s="454"/>
      <c r="CA692" s="454"/>
      <c r="CB692" s="454"/>
      <c r="CC692" s="454"/>
      <c r="CD692" s="454"/>
      <c r="CE692" s="454"/>
      <c r="CF692" s="454"/>
      <c r="CG692" s="454"/>
      <c r="CH692" s="454"/>
      <c r="CI692" s="454"/>
      <c r="CJ692" s="454"/>
      <c r="CK692" s="454"/>
      <c r="CL692" s="454"/>
      <c r="CM692" s="454"/>
      <c r="CN692" s="454"/>
      <c r="CO692" s="454"/>
      <c r="CP692" s="454"/>
      <c r="CQ692" s="454"/>
      <c r="CR692" s="454"/>
      <c r="CS692" s="454"/>
      <c r="CT692" s="454"/>
      <c r="CU692" s="454"/>
      <c r="CV692" s="454"/>
      <c r="CW692" s="454"/>
      <c r="CX692" s="454"/>
      <c r="CY692" s="454"/>
      <c r="CZ692" s="454"/>
      <c r="DA692" s="454"/>
      <c r="DB692" s="454"/>
      <c r="DC692" s="454"/>
      <c r="DD692" s="454"/>
      <c r="DE692" s="454"/>
      <c r="DF692" s="454"/>
      <c r="DG692" s="517"/>
      <c r="DH692" s="517"/>
      <c r="DI692" s="517"/>
      <c r="DJ692" s="517"/>
      <c r="DK692" s="517"/>
      <c r="DL692" s="517"/>
      <c r="DM692" s="517"/>
      <c r="DN692" s="517"/>
      <c r="DO692" s="517"/>
      <c r="DP692" s="517"/>
      <c r="DQ692" s="517"/>
      <c r="DR692" s="517"/>
      <c r="DS692" s="454"/>
      <c r="DT692" s="454"/>
      <c r="DU692" s="454"/>
      <c r="DV692" s="454"/>
      <c r="DW692" s="454"/>
      <c r="DX692" s="454"/>
      <c r="DY692" s="454"/>
      <c r="DZ692" s="454"/>
      <c r="EA692" s="454"/>
      <c r="EB692" s="454"/>
      <c r="EC692" s="454"/>
      <c r="ED692" s="454"/>
      <c r="EE692" s="454"/>
      <c r="EF692" s="454"/>
      <c r="EG692" s="454"/>
      <c r="EH692" s="454"/>
      <c r="EI692" s="454"/>
      <c r="EJ692" s="454"/>
      <c r="EK692" s="454"/>
      <c r="EL692" s="454"/>
      <c r="EM692" s="454"/>
      <c r="EN692" s="454"/>
      <c r="EO692" s="454"/>
      <c r="EP692" s="454"/>
      <c r="EQ692" s="454"/>
      <c r="ER692" s="454"/>
      <c r="ES692" s="454"/>
      <c r="ET692" s="454"/>
      <c r="EU692" s="454"/>
      <c r="EV692" s="454"/>
      <c r="EW692" s="454"/>
      <c r="EX692" s="454"/>
      <c r="EY692" s="454"/>
      <c r="EZ692" s="454"/>
      <c r="FA692" s="454"/>
      <c r="FB692" s="454"/>
      <c r="FC692" s="454"/>
      <c r="FD692" s="454"/>
      <c r="FE692" s="454"/>
      <c r="FF692" s="454"/>
      <c r="FG692" s="454"/>
      <c r="FH692" s="454"/>
      <c r="FI692" s="454"/>
      <c r="FJ692" s="454"/>
      <c r="FK692" s="454"/>
      <c r="FL692" s="454"/>
      <c r="FM692" s="454"/>
      <c r="FN692" s="454"/>
      <c r="FO692" s="454"/>
      <c r="FP692" s="454"/>
      <c r="FQ692" s="290"/>
    </row>
    <row r="693" spans="1:173" s="4" customFormat="1">
      <c r="A693" s="56"/>
      <c r="B693" s="56"/>
      <c r="C693" s="498"/>
      <c r="D693" s="498"/>
      <c r="E693" s="454"/>
      <c r="F693" s="454"/>
      <c r="G693" s="454"/>
      <c r="H693" s="454"/>
      <c r="I693" s="454"/>
      <c r="J693" s="454"/>
      <c r="K693" s="454"/>
      <c r="L693" s="454"/>
      <c r="M693" s="454"/>
      <c r="N693" s="454"/>
      <c r="O693" s="454"/>
      <c r="P693" s="454"/>
      <c r="Q693" s="454"/>
      <c r="R693" s="454"/>
      <c r="S693" s="454"/>
      <c r="T693" s="454"/>
      <c r="U693" s="454"/>
      <c r="V693" s="454"/>
      <c r="W693" s="454"/>
      <c r="X693" s="454"/>
      <c r="Y693" s="454"/>
      <c r="Z693" s="454"/>
      <c r="AA693" s="454"/>
      <c r="AB693" s="454"/>
      <c r="AC693" s="454"/>
      <c r="AD693" s="454"/>
      <c r="AE693" s="512"/>
      <c r="AF693" s="961"/>
      <c r="AG693" s="454"/>
      <c r="AH693" s="454"/>
      <c r="AI693" s="454"/>
      <c r="AJ693" s="454"/>
      <c r="AK693" s="454"/>
      <c r="AL693" s="454"/>
      <c r="AM693" s="454"/>
      <c r="AN693" s="454"/>
      <c r="AO693" s="454"/>
      <c r="AP693" s="454"/>
      <c r="AQ693" s="454"/>
      <c r="AR693" s="454"/>
      <c r="AS693" s="454"/>
      <c r="AT693" s="454"/>
      <c r="AU693" s="454"/>
      <c r="AV693" s="454"/>
      <c r="AW693" s="454"/>
      <c r="AX693" s="454"/>
      <c r="AY693" s="454"/>
      <c r="AZ693" s="454"/>
      <c r="BA693" s="454"/>
      <c r="BB693" s="454"/>
      <c r="BC693" s="454"/>
      <c r="BD693" s="454"/>
      <c r="BE693" s="454"/>
      <c r="BF693" s="454"/>
      <c r="BG693" s="454"/>
      <c r="BH693" s="454"/>
      <c r="BI693" s="454"/>
      <c r="BJ693" s="454"/>
      <c r="BK693" s="454"/>
      <c r="BL693" s="454"/>
      <c r="BM693" s="454"/>
      <c r="BN693" s="454"/>
      <c r="BO693" s="454"/>
      <c r="BP693" s="454"/>
      <c r="BQ693" s="454"/>
      <c r="BR693" s="454"/>
      <c r="BS693" s="454"/>
      <c r="BT693" s="454"/>
      <c r="BU693" s="454"/>
      <c r="BV693" s="454"/>
      <c r="BW693" s="454"/>
      <c r="BX693" s="454"/>
      <c r="BY693" s="454"/>
      <c r="BZ693" s="454"/>
      <c r="CA693" s="454"/>
      <c r="CB693" s="454"/>
      <c r="CC693" s="454"/>
      <c r="CD693" s="454"/>
      <c r="CE693" s="454"/>
      <c r="CF693" s="454"/>
      <c r="CG693" s="454"/>
      <c r="CH693" s="454"/>
      <c r="CI693" s="454"/>
      <c r="CJ693" s="454"/>
      <c r="CK693" s="454"/>
      <c r="CL693" s="454"/>
      <c r="CM693" s="454"/>
      <c r="CN693" s="454"/>
      <c r="CO693" s="454"/>
      <c r="CP693" s="454"/>
      <c r="CQ693" s="454"/>
      <c r="CR693" s="454"/>
      <c r="CS693" s="454"/>
      <c r="CT693" s="454"/>
      <c r="CU693" s="454"/>
      <c r="CV693" s="454"/>
      <c r="CW693" s="454"/>
      <c r="CX693" s="454"/>
      <c r="CY693" s="454"/>
      <c r="CZ693" s="454"/>
      <c r="DA693" s="454"/>
      <c r="DB693" s="454"/>
      <c r="DC693" s="454"/>
      <c r="DD693" s="454"/>
      <c r="DE693" s="454"/>
      <c r="DF693" s="454"/>
      <c r="DG693" s="517"/>
      <c r="DH693" s="517"/>
      <c r="DI693" s="517"/>
      <c r="DJ693" s="517"/>
      <c r="DK693" s="517"/>
      <c r="DL693" s="517"/>
      <c r="DM693" s="517"/>
      <c r="DN693" s="517"/>
      <c r="DO693" s="517"/>
      <c r="DP693" s="517"/>
      <c r="DQ693" s="517"/>
      <c r="DR693" s="517"/>
      <c r="DS693" s="454"/>
      <c r="DT693" s="454"/>
      <c r="DU693" s="454"/>
      <c r="DV693" s="454"/>
      <c r="DW693" s="454"/>
      <c r="DX693" s="454"/>
      <c r="DY693" s="454"/>
      <c r="DZ693" s="454"/>
      <c r="EA693" s="454"/>
      <c r="EB693" s="454"/>
      <c r="EC693" s="454"/>
      <c r="ED693" s="454"/>
      <c r="EE693" s="454"/>
      <c r="EF693" s="454"/>
      <c r="EG693" s="454"/>
      <c r="EH693" s="454"/>
      <c r="EI693" s="454"/>
      <c r="EJ693" s="454"/>
      <c r="EK693" s="454"/>
      <c r="EL693" s="454"/>
      <c r="EM693" s="454"/>
      <c r="EN693" s="454"/>
      <c r="EO693" s="454"/>
      <c r="EP693" s="454"/>
      <c r="EQ693" s="454"/>
      <c r="ER693" s="454"/>
      <c r="ES693" s="454"/>
      <c r="ET693" s="454"/>
      <c r="EU693" s="454"/>
      <c r="EV693" s="454"/>
      <c r="EW693" s="454"/>
      <c r="EX693" s="454"/>
      <c r="EY693" s="454"/>
      <c r="EZ693" s="454"/>
      <c r="FA693" s="454"/>
      <c r="FB693" s="454"/>
      <c r="FC693" s="454"/>
      <c r="FD693" s="454"/>
      <c r="FE693" s="454"/>
      <c r="FF693" s="454"/>
      <c r="FG693" s="454"/>
      <c r="FH693" s="454"/>
      <c r="FI693" s="454"/>
      <c r="FJ693" s="454"/>
      <c r="FK693" s="454"/>
      <c r="FL693" s="454"/>
      <c r="FM693" s="454"/>
      <c r="FN693" s="454"/>
      <c r="FO693" s="454"/>
      <c r="FP693" s="454"/>
      <c r="FQ693" s="290"/>
    </row>
    <row r="694" spans="1:173" s="4" customFormat="1">
      <c r="A694" s="486">
        <f>MATCH(C694,$C$5:$C$700,0)</f>
        <v>690</v>
      </c>
      <c r="B694" s="56"/>
      <c r="C694" s="508" t="s">
        <v>3454</v>
      </c>
      <c r="D694" s="508"/>
      <c r="E694" s="508">
        <f t="shared" ref="E694:AK694" si="245">SUM(E690:E693)</f>
        <v>0</v>
      </c>
      <c r="F694" s="508">
        <f t="shared" si="245"/>
        <v>0</v>
      </c>
      <c r="G694" s="508">
        <f t="shared" si="245"/>
        <v>0</v>
      </c>
      <c r="H694" s="508">
        <f t="shared" si="245"/>
        <v>0</v>
      </c>
      <c r="I694" s="508">
        <f t="shared" si="245"/>
        <v>0</v>
      </c>
      <c r="J694" s="508">
        <f t="shared" si="245"/>
        <v>0</v>
      </c>
      <c r="K694" s="508">
        <f t="shared" si="245"/>
        <v>0</v>
      </c>
      <c r="L694" s="508">
        <f t="shared" si="245"/>
        <v>0</v>
      </c>
      <c r="M694" s="508">
        <f t="shared" si="245"/>
        <v>0</v>
      </c>
      <c r="N694" s="508">
        <f t="shared" si="245"/>
        <v>0</v>
      </c>
      <c r="O694" s="508">
        <f t="shared" si="245"/>
        <v>0</v>
      </c>
      <c r="P694" s="508">
        <f t="shared" si="245"/>
        <v>0</v>
      </c>
      <c r="Q694" s="508">
        <f t="shared" si="245"/>
        <v>0</v>
      </c>
      <c r="R694" s="508">
        <f t="shared" si="245"/>
        <v>0</v>
      </c>
      <c r="S694" s="508">
        <f t="shared" si="245"/>
        <v>0</v>
      </c>
      <c r="T694" s="509">
        <f t="shared" si="245"/>
        <v>0</v>
      </c>
      <c r="U694" s="509">
        <f t="shared" si="245"/>
        <v>0</v>
      </c>
      <c r="V694" s="509">
        <f t="shared" si="245"/>
        <v>0</v>
      </c>
      <c r="W694" s="509">
        <f t="shared" si="245"/>
        <v>0</v>
      </c>
      <c r="X694" s="509">
        <f t="shared" si="245"/>
        <v>0</v>
      </c>
      <c r="Y694" s="509">
        <f t="shared" si="245"/>
        <v>0</v>
      </c>
      <c r="Z694" s="509">
        <f t="shared" si="245"/>
        <v>0</v>
      </c>
      <c r="AA694" s="509">
        <f t="shared" si="245"/>
        <v>0</v>
      </c>
      <c r="AB694" s="509">
        <f t="shared" si="245"/>
        <v>0</v>
      </c>
      <c r="AC694" s="509">
        <f t="shared" si="245"/>
        <v>0</v>
      </c>
      <c r="AD694" s="509">
        <f t="shared" si="245"/>
        <v>0</v>
      </c>
      <c r="AE694" s="511">
        <f t="shared" si="245"/>
        <v>0</v>
      </c>
      <c r="AF694" s="958">
        <f t="shared" si="245"/>
        <v>0</v>
      </c>
      <c r="AG694" s="509">
        <f t="shared" si="245"/>
        <v>0</v>
      </c>
      <c r="AH694" s="509">
        <f t="shared" si="245"/>
        <v>0</v>
      </c>
      <c r="AI694" s="509">
        <f t="shared" si="245"/>
        <v>0</v>
      </c>
      <c r="AJ694" s="509">
        <f t="shared" si="245"/>
        <v>0</v>
      </c>
      <c r="AK694" s="509">
        <f t="shared" si="245"/>
        <v>0</v>
      </c>
      <c r="AL694" s="509">
        <f t="shared" ref="AL694:BQ694" si="246">SUM(AL690:AL693)</f>
        <v>0</v>
      </c>
      <c r="AM694" s="509">
        <f t="shared" si="246"/>
        <v>0</v>
      </c>
      <c r="AN694" s="509">
        <f t="shared" si="246"/>
        <v>0</v>
      </c>
      <c r="AO694" s="509">
        <f t="shared" si="246"/>
        <v>0</v>
      </c>
      <c r="AP694" s="509">
        <f t="shared" si="246"/>
        <v>0</v>
      </c>
      <c r="AQ694" s="509">
        <f t="shared" si="246"/>
        <v>0</v>
      </c>
      <c r="AR694" s="509">
        <f t="shared" si="246"/>
        <v>0</v>
      </c>
      <c r="AS694" s="509">
        <f t="shared" si="246"/>
        <v>0</v>
      </c>
      <c r="AT694" s="509">
        <f t="shared" si="246"/>
        <v>0</v>
      </c>
      <c r="AU694" s="509">
        <f t="shared" si="246"/>
        <v>0</v>
      </c>
      <c r="AV694" s="509">
        <f t="shared" si="246"/>
        <v>0</v>
      </c>
      <c r="AW694" s="509">
        <f t="shared" si="246"/>
        <v>0</v>
      </c>
      <c r="AX694" s="509">
        <f t="shared" si="246"/>
        <v>0</v>
      </c>
      <c r="AY694" s="509">
        <f t="shared" si="246"/>
        <v>0</v>
      </c>
      <c r="AZ694" s="509">
        <f t="shared" si="246"/>
        <v>0</v>
      </c>
      <c r="BA694" s="509">
        <f t="shared" si="246"/>
        <v>0</v>
      </c>
      <c r="BB694" s="509">
        <f t="shared" si="246"/>
        <v>0</v>
      </c>
      <c r="BC694" s="509">
        <f t="shared" si="246"/>
        <v>0</v>
      </c>
      <c r="BD694" s="509">
        <f t="shared" si="246"/>
        <v>0</v>
      </c>
      <c r="BE694" s="509">
        <f t="shared" si="246"/>
        <v>3</v>
      </c>
      <c r="BF694" s="509">
        <f t="shared" si="246"/>
        <v>0</v>
      </c>
      <c r="BG694" s="509">
        <f t="shared" si="246"/>
        <v>0</v>
      </c>
      <c r="BH694" s="509">
        <f t="shared" si="246"/>
        <v>0</v>
      </c>
      <c r="BI694" s="509">
        <f t="shared" si="246"/>
        <v>0</v>
      </c>
      <c r="BJ694" s="509">
        <f t="shared" si="246"/>
        <v>0</v>
      </c>
      <c r="BK694" s="509">
        <f t="shared" si="246"/>
        <v>0</v>
      </c>
      <c r="BL694" s="509">
        <f t="shared" si="246"/>
        <v>0</v>
      </c>
      <c r="BM694" s="509">
        <f t="shared" si="246"/>
        <v>0</v>
      </c>
      <c r="BN694" s="509">
        <f t="shared" si="246"/>
        <v>0</v>
      </c>
      <c r="BO694" s="509">
        <f t="shared" si="246"/>
        <v>0</v>
      </c>
      <c r="BP694" s="509">
        <f t="shared" si="246"/>
        <v>0</v>
      </c>
      <c r="BQ694" s="509">
        <f t="shared" si="246"/>
        <v>0</v>
      </c>
      <c r="BR694" s="509">
        <f t="shared" ref="BR694:DA694" si="247">SUM(BR690:BR693)</f>
        <v>0</v>
      </c>
      <c r="BS694" s="509">
        <f t="shared" si="247"/>
        <v>0</v>
      </c>
      <c r="BT694" s="509">
        <f t="shared" si="247"/>
        <v>0</v>
      </c>
      <c r="BU694" s="509">
        <f t="shared" si="247"/>
        <v>0</v>
      </c>
      <c r="BV694" s="509">
        <f t="shared" si="247"/>
        <v>0</v>
      </c>
      <c r="BW694" s="509">
        <f t="shared" si="247"/>
        <v>0</v>
      </c>
      <c r="BX694" s="509">
        <f t="shared" si="247"/>
        <v>3</v>
      </c>
      <c r="BY694" s="509">
        <f t="shared" si="247"/>
        <v>0</v>
      </c>
      <c r="BZ694" s="509">
        <f t="shared" si="247"/>
        <v>0</v>
      </c>
      <c r="CA694" s="509">
        <f t="shared" si="247"/>
        <v>0</v>
      </c>
      <c r="CB694" s="509">
        <f t="shared" si="247"/>
        <v>0</v>
      </c>
      <c r="CC694" s="509">
        <f t="shared" si="247"/>
        <v>0</v>
      </c>
      <c r="CD694" s="509">
        <f t="shared" si="247"/>
        <v>0</v>
      </c>
      <c r="CE694" s="509">
        <f t="shared" si="247"/>
        <v>4</v>
      </c>
      <c r="CF694" s="509">
        <f t="shared" si="247"/>
        <v>0</v>
      </c>
      <c r="CG694" s="509">
        <f t="shared" si="247"/>
        <v>8</v>
      </c>
      <c r="CH694" s="509">
        <f t="shared" si="247"/>
        <v>0</v>
      </c>
      <c r="CI694" s="509">
        <f t="shared" si="247"/>
        <v>6</v>
      </c>
      <c r="CJ694" s="509">
        <f t="shared" si="247"/>
        <v>0</v>
      </c>
      <c r="CK694" s="509">
        <f t="shared" si="247"/>
        <v>0</v>
      </c>
      <c r="CL694" s="509">
        <f t="shared" si="247"/>
        <v>0</v>
      </c>
      <c r="CM694" s="509">
        <f t="shared" si="247"/>
        <v>0</v>
      </c>
      <c r="CN694" s="509">
        <f t="shared" si="247"/>
        <v>0</v>
      </c>
      <c r="CO694" s="509">
        <f t="shared" si="247"/>
        <v>6</v>
      </c>
      <c r="CP694" s="509">
        <f t="shared" si="247"/>
        <v>0</v>
      </c>
      <c r="CQ694" s="509">
        <f t="shared" si="247"/>
        <v>0</v>
      </c>
      <c r="CR694" s="509">
        <f t="shared" si="247"/>
        <v>0</v>
      </c>
      <c r="CS694" s="509">
        <f t="shared" si="247"/>
        <v>0</v>
      </c>
      <c r="CT694" s="509">
        <f t="shared" si="247"/>
        <v>0</v>
      </c>
      <c r="CU694" s="509">
        <f t="shared" si="247"/>
        <v>2</v>
      </c>
      <c r="CV694" s="509">
        <f t="shared" si="247"/>
        <v>0</v>
      </c>
      <c r="CW694" s="509">
        <f t="shared" si="247"/>
        <v>0</v>
      </c>
      <c r="CX694" s="509">
        <f>SUM(CX690:CX693)</f>
        <v>0</v>
      </c>
      <c r="CY694" s="509">
        <f>SUM(CY690:CY693)</f>
        <v>0</v>
      </c>
      <c r="CZ694" s="509">
        <f t="shared" si="247"/>
        <v>0</v>
      </c>
      <c r="DA694" s="509">
        <f t="shared" si="247"/>
        <v>0</v>
      </c>
      <c r="DB694" s="509">
        <f t="shared" ref="DB694:EG694" si="248">SUM(DB690:DB693)</f>
        <v>0</v>
      </c>
      <c r="DC694" s="509">
        <f t="shared" si="248"/>
        <v>0</v>
      </c>
      <c r="DD694" s="509">
        <f t="shared" si="248"/>
        <v>0</v>
      </c>
      <c r="DE694" s="509">
        <f t="shared" si="248"/>
        <v>0</v>
      </c>
      <c r="DF694" s="509">
        <f t="shared" si="248"/>
        <v>0</v>
      </c>
      <c r="DG694" s="518">
        <f t="shared" si="248"/>
        <v>0</v>
      </c>
      <c r="DH694" s="518">
        <f t="shared" si="248"/>
        <v>0</v>
      </c>
      <c r="DI694" s="518">
        <f t="shared" si="248"/>
        <v>0</v>
      </c>
      <c r="DJ694" s="518">
        <f t="shared" si="248"/>
        <v>0</v>
      </c>
      <c r="DK694" s="518">
        <f t="shared" si="248"/>
        <v>0</v>
      </c>
      <c r="DL694" s="518">
        <f t="shared" si="248"/>
        <v>0</v>
      </c>
      <c r="DM694" s="518">
        <f t="shared" si="248"/>
        <v>0</v>
      </c>
      <c r="DN694" s="518">
        <f t="shared" si="248"/>
        <v>0</v>
      </c>
      <c r="DO694" s="518">
        <f t="shared" si="248"/>
        <v>0</v>
      </c>
      <c r="DP694" s="518">
        <f t="shared" si="248"/>
        <v>0</v>
      </c>
      <c r="DQ694" s="518">
        <f t="shared" si="248"/>
        <v>0</v>
      </c>
      <c r="DR694" s="518">
        <f t="shared" si="248"/>
        <v>0</v>
      </c>
      <c r="DS694" s="509">
        <f t="shared" si="248"/>
        <v>0</v>
      </c>
      <c r="DT694" s="509">
        <f t="shared" si="248"/>
        <v>0</v>
      </c>
      <c r="DU694" s="509">
        <f t="shared" si="248"/>
        <v>0</v>
      </c>
      <c r="DV694" s="509">
        <f t="shared" si="248"/>
        <v>0</v>
      </c>
      <c r="DW694" s="509">
        <f t="shared" si="248"/>
        <v>0</v>
      </c>
      <c r="DX694" s="509">
        <f t="shared" si="248"/>
        <v>0</v>
      </c>
      <c r="DY694" s="509">
        <f t="shared" si="248"/>
        <v>0</v>
      </c>
      <c r="DZ694" s="509">
        <f t="shared" si="248"/>
        <v>0</v>
      </c>
      <c r="EA694" s="509">
        <f t="shared" si="248"/>
        <v>0</v>
      </c>
      <c r="EB694" s="509">
        <f t="shared" si="248"/>
        <v>0</v>
      </c>
      <c r="EC694" s="509">
        <f t="shared" si="248"/>
        <v>0</v>
      </c>
      <c r="ED694" s="509">
        <f t="shared" si="248"/>
        <v>0</v>
      </c>
      <c r="EE694" s="509">
        <f t="shared" si="248"/>
        <v>0</v>
      </c>
      <c r="EF694" s="509">
        <f t="shared" si="248"/>
        <v>0</v>
      </c>
      <c r="EG694" s="509">
        <f t="shared" si="248"/>
        <v>0</v>
      </c>
      <c r="EH694" s="509">
        <f t="shared" ref="EH694:FM694" si="249">SUM(EH690:EH693)</f>
        <v>0</v>
      </c>
      <c r="EI694" s="509">
        <f t="shared" si="249"/>
        <v>0</v>
      </c>
      <c r="EJ694" s="509">
        <f t="shared" si="249"/>
        <v>0</v>
      </c>
      <c r="EK694" s="509">
        <f t="shared" si="249"/>
        <v>0</v>
      </c>
      <c r="EL694" s="509">
        <f t="shared" si="249"/>
        <v>0</v>
      </c>
      <c r="EM694" s="509">
        <f t="shared" si="249"/>
        <v>0</v>
      </c>
      <c r="EN694" s="509">
        <f t="shared" si="249"/>
        <v>0</v>
      </c>
      <c r="EO694" s="509">
        <f t="shared" si="249"/>
        <v>0</v>
      </c>
      <c r="EP694" s="509">
        <f t="shared" si="249"/>
        <v>0</v>
      </c>
      <c r="EQ694" s="509">
        <f t="shared" si="249"/>
        <v>0</v>
      </c>
      <c r="ER694" s="509">
        <f t="shared" si="249"/>
        <v>0</v>
      </c>
      <c r="ES694" s="509">
        <f t="shared" si="249"/>
        <v>0</v>
      </c>
      <c r="ET694" s="509">
        <f t="shared" si="249"/>
        <v>0</v>
      </c>
      <c r="EU694" s="509">
        <f t="shared" si="249"/>
        <v>0</v>
      </c>
      <c r="EV694" s="509">
        <f t="shared" si="249"/>
        <v>0</v>
      </c>
      <c r="EW694" s="509">
        <f t="shared" si="249"/>
        <v>0</v>
      </c>
      <c r="EX694" s="509">
        <f t="shared" si="249"/>
        <v>0</v>
      </c>
      <c r="EY694" s="509">
        <f t="shared" si="249"/>
        <v>0</v>
      </c>
      <c r="EZ694" s="509">
        <f t="shared" si="249"/>
        <v>0</v>
      </c>
      <c r="FA694" s="509">
        <f t="shared" si="249"/>
        <v>0</v>
      </c>
      <c r="FB694" s="509">
        <f t="shared" si="249"/>
        <v>0</v>
      </c>
      <c r="FC694" s="509">
        <f t="shared" si="249"/>
        <v>0</v>
      </c>
      <c r="FD694" s="509">
        <f t="shared" si="249"/>
        <v>0</v>
      </c>
      <c r="FE694" s="509">
        <f t="shared" si="249"/>
        <v>0</v>
      </c>
      <c r="FF694" s="509">
        <f t="shared" si="249"/>
        <v>0</v>
      </c>
      <c r="FG694" s="509">
        <f t="shared" si="249"/>
        <v>0</v>
      </c>
      <c r="FH694" s="509">
        <f t="shared" si="249"/>
        <v>0</v>
      </c>
      <c r="FI694" s="509">
        <f t="shared" si="249"/>
        <v>0</v>
      </c>
      <c r="FJ694" s="509">
        <f t="shared" si="249"/>
        <v>0</v>
      </c>
      <c r="FK694" s="509">
        <f t="shared" si="249"/>
        <v>0</v>
      </c>
      <c r="FL694" s="509">
        <f t="shared" si="249"/>
        <v>0</v>
      </c>
      <c r="FM694" s="509">
        <f t="shared" si="249"/>
        <v>0</v>
      </c>
      <c r="FN694" s="509">
        <f>SUM(FN690:FN693)</f>
        <v>0</v>
      </c>
      <c r="FO694" s="509">
        <f>SUM(FO690:FO693)</f>
        <v>0</v>
      </c>
      <c r="FP694" s="509"/>
      <c r="FQ694" s="508"/>
    </row>
    <row r="695" spans="1:173" s="4" customFormat="1" hidden="1">
      <c r="A695" s="56"/>
      <c r="B695" s="56">
        <v>14</v>
      </c>
      <c r="C695" s="501"/>
      <c r="D695" s="502"/>
      <c r="E695" s="503"/>
      <c r="F695" s="503"/>
      <c r="G695" s="503"/>
      <c r="H695" s="503"/>
      <c r="I695" s="503"/>
      <c r="J695" s="503"/>
      <c r="K695" s="503"/>
      <c r="L695" s="503"/>
      <c r="M695" s="503"/>
      <c r="N695" s="503"/>
      <c r="O695" s="503"/>
      <c r="P695" s="503"/>
      <c r="Q695" s="503"/>
      <c r="R695" s="503"/>
      <c r="S695" s="503"/>
      <c r="T695" s="504"/>
      <c r="U695" s="504"/>
      <c r="V695" s="504"/>
      <c r="W695" s="504"/>
      <c r="X695" s="504"/>
      <c r="Y695" s="504"/>
      <c r="Z695" s="504"/>
      <c r="AA695" s="504"/>
      <c r="AB695" s="504"/>
      <c r="AC695" s="504"/>
      <c r="AD695" s="504"/>
      <c r="AE695" s="954"/>
      <c r="AF695" s="959"/>
      <c r="AG695" s="504"/>
      <c r="AH695" s="504"/>
      <c r="AI695" s="504"/>
      <c r="AJ695" s="504"/>
      <c r="AK695" s="504"/>
      <c r="AL695" s="504"/>
      <c r="AM695" s="504"/>
      <c r="AN695" s="504"/>
      <c r="AO695" s="504"/>
      <c r="AP695" s="504"/>
      <c r="AQ695" s="504"/>
      <c r="AR695" s="504"/>
      <c r="AS695" s="504"/>
      <c r="AT695" s="504"/>
      <c r="AU695" s="504"/>
      <c r="AV695" s="504"/>
      <c r="AW695" s="504"/>
      <c r="AX695" s="504"/>
      <c r="AY695" s="504"/>
      <c r="AZ695" s="504"/>
      <c r="BA695" s="504"/>
      <c r="BB695" s="504"/>
      <c r="BC695" s="504"/>
      <c r="BD695" s="504"/>
      <c r="BE695" s="504"/>
      <c r="BF695" s="504"/>
      <c r="BG695" s="504"/>
      <c r="BH695" s="504"/>
      <c r="BI695" s="504"/>
      <c r="BJ695" s="504"/>
      <c r="BK695" s="504"/>
      <c r="BL695" s="504"/>
      <c r="BM695" s="504"/>
      <c r="BN695" s="504"/>
      <c r="BO695" s="504"/>
      <c r="BP695" s="504"/>
      <c r="BQ695" s="504"/>
      <c r="BR695" s="504"/>
      <c r="BS695" s="504"/>
      <c r="BT695" s="504"/>
      <c r="BU695" s="504"/>
      <c r="BV695" s="504"/>
      <c r="BW695" s="504"/>
      <c r="BX695" s="504"/>
      <c r="BY695" s="504"/>
      <c r="BZ695" s="504"/>
      <c r="CA695" s="504"/>
      <c r="CB695" s="504"/>
      <c r="CC695" s="504"/>
      <c r="CD695" s="504"/>
      <c r="CE695" s="504"/>
      <c r="CF695" s="504"/>
      <c r="CG695" s="504"/>
      <c r="CH695" s="504"/>
      <c r="CI695" s="504"/>
      <c r="CJ695" s="504"/>
      <c r="CK695" s="504"/>
      <c r="CL695" s="504"/>
      <c r="CM695" s="504"/>
      <c r="CN695" s="504"/>
      <c r="CO695" s="504"/>
      <c r="CP695" s="504"/>
      <c r="CQ695" s="504"/>
      <c r="CR695" s="504"/>
      <c r="CS695" s="504"/>
      <c r="CT695" s="504"/>
      <c r="CU695" s="504"/>
      <c r="CV695" s="504"/>
      <c r="CW695" s="504"/>
      <c r="CX695" s="504"/>
      <c r="CY695" s="504"/>
      <c r="CZ695" s="504"/>
      <c r="DA695" s="504"/>
      <c r="DB695" s="504"/>
      <c r="DC695" s="504"/>
      <c r="DD695" s="504"/>
      <c r="DE695" s="504"/>
      <c r="DF695" s="504"/>
      <c r="DG695" s="519"/>
      <c r="DH695" s="519"/>
      <c r="DI695" s="519"/>
      <c r="DJ695" s="519"/>
      <c r="DK695" s="519"/>
      <c r="DL695" s="519"/>
      <c r="DM695" s="519"/>
      <c r="DN695" s="519"/>
      <c r="DO695" s="519"/>
      <c r="DP695" s="519"/>
      <c r="DQ695" s="519"/>
      <c r="DR695" s="519"/>
      <c r="DS695" s="504"/>
      <c r="DT695" s="504"/>
      <c r="DU695" s="504"/>
      <c r="DV695" s="504"/>
      <c r="DW695" s="504"/>
      <c r="DX695" s="504"/>
      <c r="DY695" s="504"/>
      <c r="DZ695" s="504"/>
      <c r="EA695" s="504"/>
      <c r="EB695" s="504"/>
      <c r="EC695" s="504"/>
      <c r="ED695" s="504"/>
      <c r="EE695" s="504"/>
      <c r="EF695" s="504"/>
      <c r="EG695" s="504"/>
      <c r="EH695" s="504"/>
      <c r="EI695" s="504"/>
      <c r="EJ695" s="504"/>
      <c r="EK695" s="504"/>
      <c r="EL695" s="504"/>
      <c r="EM695" s="504"/>
      <c r="EN695" s="504"/>
      <c r="EO695" s="504"/>
      <c r="EP695" s="504"/>
      <c r="EQ695" s="504"/>
      <c r="ER695" s="504"/>
      <c r="ES695" s="504"/>
      <c r="ET695" s="504"/>
      <c r="EU695" s="504"/>
      <c r="EV695" s="504"/>
      <c r="EW695" s="504"/>
      <c r="EX695" s="504"/>
      <c r="EY695" s="504"/>
      <c r="EZ695" s="504"/>
      <c r="FA695" s="504"/>
      <c r="FB695" s="504"/>
      <c r="FC695" s="504"/>
      <c r="FD695" s="504"/>
      <c r="FE695" s="504"/>
      <c r="FF695" s="504"/>
      <c r="FG695" s="504"/>
      <c r="FH695" s="504"/>
      <c r="FI695" s="504"/>
      <c r="FJ695" s="504"/>
      <c r="FK695" s="504"/>
      <c r="FL695" s="504"/>
      <c r="FM695" s="504"/>
      <c r="FN695" s="504"/>
      <c r="FO695" s="504"/>
      <c r="FP695" s="504"/>
      <c r="FQ695" s="505"/>
    </row>
    <row r="696" spans="1:173" s="4" customFormat="1" hidden="1">
      <c r="A696" s="56"/>
      <c r="B696" s="56"/>
      <c r="C696" s="498"/>
      <c r="D696" s="498"/>
      <c r="E696" s="454"/>
      <c r="F696" s="454"/>
      <c r="G696" s="454"/>
      <c r="H696" s="454"/>
      <c r="I696" s="454"/>
      <c r="J696" s="454"/>
      <c r="K696" s="454"/>
      <c r="L696" s="454"/>
      <c r="M696" s="454"/>
      <c r="N696" s="454"/>
      <c r="O696" s="454"/>
      <c r="P696" s="454"/>
      <c r="Q696" s="454"/>
      <c r="R696" s="454"/>
      <c r="S696" s="454"/>
      <c r="T696" s="454"/>
      <c r="U696" s="454"/>
      <c r="V696" s="454"/>
      <c r="W696" s="454"/>
      <c r="X696" s="454"/>
      <c r="Y696" s="454"/>
      <c r="Z696" s="454"/>
      <c r="AA696" s="454"/>
      <c r="AB696" s="454"/>
      <c r="AC696" s="454"/>
      <c r="AD696" s="454"/>
      <c r="AE696" s="512"/>
      <c r="AF696" s="961"/>
      <c r="AG696" s="454"/>
      <c r="AH696" s="454"/>
      <c r="AI696" s="454"/>
      <c r="AJ696" s="454"/>
      <c r="AK696" s="454"/>
      <c r="AL696" s="454"/>
      <c r="AM696" s="454"/>
      <c r="AN696" s="454"/>
      <c r="AO696" s="454"/>
      <c r="AP696" s="454"/>
      <c r="AQ696" s="454"/>
      <c r="AR696" s="454"/>
      <c r="AS696" s="454"/>
      <c r="AT696" s="454"/>
      <c r="AU696" s="454"/>
      <c r="AV696" s="454"/>
      <c r="AW696" s="454"/>
      <c r="AX696" s="454"/>
      <c r="AY696" s="454"/>
      <c r="AZ696" s="454"/>
      <c r="BA696" s="454"/>
      <c r="BB696" s="454"/>
      <c r="BC696" s="454"/>
      <c r="BD696" s="454"/>
      <c r="BE696" s="454"/>
      <c r="BF696" s="454"/>
      <c r="BG696" s="454"/>
      <c r="BH696" s="454"/>
      <c r="BI696" s="454"/>
      <c r="BJ696" s="454"/>
      <c r="BK696" s="454"/>
      <c r="BL696" s="454"/>
      <c r="BM696" s="454"/>
      <c r="BN696" s="454"/>
      <c r="BO696" s="454"/>
      <c r="BP696" s="454"/>
      <c r="BQ696" s="454"/>
      <c r="BR696" s="454"/>
      <c r="BS696" s="454"/>
      <c r="BT696" s="454"/>
      <c r="BU696" s="454"/>
      <c r="BV696" s="454"/>
      <c r="BW696" s="454"/>
      <c r="BX696" s="454"/>
      <c r="BY696" s="454"/>
      <c r="BZ696" s="454"/>
      <c r="CA696" s="454"/>
      <c r="CB696" s="454"/>
      <c r="CC696" s="454"/>
      <c r="CD696" s="454"/>
      <c r="CE696" s="454"/>
      <c r="CF696" s="454"/>
      <c r="CG696" s="454"/>
      <c r="CH696" s="454"/>
      <c r="CI696" s="454"/>
      <c r="CJ696" s="454"/>
      <c r="CK696" s="454"/>
      <c r="CL696" s="454"/>
      <c r="CM696" s="454"/>
      <c r="CN696" s="454"/>
      <c r="CO696" s="454"/>
      <c r="CP696" s="454"/>
      <c r="CQ696" s="454"/>
      <c r="CR696" s="454"/>
      <c r="CS696" s="454"/>
      <c r="CT696" s="454"/>
      <c r="CU696" s="454"/>
      <c r="CV696" s="454"/>
      <c r="CW696" s="454"/>
      <c r="CX696" s="454"/>
      <c r="CY696" s="454"/>
      <c r="CZ696" s="454"/>
      <c r="DA696" s="454"/>
      <c r="DB696" s="454"/>
      <c r="DC696" s="454"/>
      <c r="DD696" s="454"/>
      <c r="DE696" s="454"/>
      <c r="DF696" s="454"/>
      <c r="DG696" s="517"/>
      <c r="DH696" s="517"/>
      <c r="DI696" s="517"/>
      <c r="DJ696" s="517"/>
      <c r="DK696" s="517"/>
      <c r="DL696" s="517"/>
      <c r="DM696" s="517"/>
      <c r="DN696" s="517"/>
      <c r="DO696" s="517"/>
      <c r="DP696" s="517"/>
      <c r="DQ696" s="517"/>
      <c r="DR696" s="517"/>
      <c r="DS696" s="454"/>
      <c r="DT696" s="454"/>
      <c r="DU696" s="454"/>
      <c r="DV696" s="454"/>
      <c r="DW696" s="454"/>
      <c r="DX696" s="454"/>
      <c r="DY696" s="454"/>
      <c r="DZ696" s="454"/>
      <c r="EA696" s="454"/>
      <c r="EB696" s="454"/>
      <c r="EC696" s="454"/>
      <c r="ED696" s="454"/>
      <c r="EE696" s="454"/>
      <c r="EF696" s="454"/>
      <c r="EG696" s="454"/>
      <c r="EH696" s="454"/>
      <c r="EI696" s="454"/>
      <c r="EJ696" s="454"/>
      <c r="EK696" s="454"/>
      <c r="EL696" s="454"/>
      <c r="EM696" s="454"/>
      <c r="EN696" s="454"/>
      <c r="EO696" s="454"/>
      <c r="EP696" s="454"/>
      <c r="EQ696" s="454"/>
      <c r="ER696" s="454"/>
      <c r="ES696" s="454"/>
      <c r="ET696" s="454"/>
      <c r="EU696" s="454"/>
      <c r="EV696" s="454"/>
      <c r="EW696" s="454"/>
      <c r="EX696" s="454"/>
      <c r="EY696" s="454"/>
      <c r="EZ696" s="454"/>
      <c r="FA696" s="454"/>
      <c r="FB696" s="454"/>
      <c r="FC696" s="454"/>
      <c r="FD696" s="454"/>
      <c r="FE696" s="454"/>
      <c r="FF696" s="454"/>
      <c r="FG696" s="454"/>
      <c r="FH696" s="454"/>
      <c r="FI696" s="454"/>
      <c r="FJ696" s="454"/>
      <c r="FK696" s="454"/>
      <c r="FL696" s="454"/>
      <c r="FM696" s="454"/>
      <c r="FN696" s="454"/>
      <c r="FO696" s="454"/>
      <c r="FP696" s="454"/>
      <c r="FQ696" s="290"/>
    </row>
    <row r="697" spans="1:173" s="4" customFormat="1" hidden="1">
      <c r="A697" s="56"/>
      <c r="B697" s="56"/>
      <c r="C697" s="498"/>
      <c r="D697" s="498"/>
      <c r="E697" s="454"/>
      <c r="F697" s="454"/>
      <c r="G697" s="454"/>
      <c r="H697" s="454"/>
      <c r="I697" s="454"/>
      <c r="J697" s="454"/>
      <c r="K697" s="454"/>
      <c r="L697" s="454"/>
      <c r="M697" s="454"/>
      <c r="N697" s="454"/>
      <c r="O697" s="454"/>
      <c r="P697" s="454"/>
      <c r="Q697" s="454"/>
      <c r="R697" s="454"/>
      <c r="S697" s="454"/>
      <c r="T697" s="454"/>
      <c r="U697" s="454"/>
      <c r="V697" s="454"/>
      <c r="W697" s="454"/>
      <c r="X697" s="454"/>
      <c r="Y697" s="454"/>
      <c r="Z697" s="454"/>
      <c r="AA697" s="454"/>
      <c r="AB697" s="454"/>
      <c r="AC697" s="454"/>
      <c r="AD697" s="454"/>
      <c r="AE697" s="512"/>
      <c r="AF697" s="961"/>
      <c r="AG697" s="454"/>
      <c r="AH697" s="454"/>
      <c r="AI697" s="454"/>
      <c r="AJ697" s="454"/>
      <c r="AK697" s="454"/>
      <c r="AL697" s="454"/>
      <c r="AM697" s="454"/>
      <c r="AN697" s="454"/>
      <c r="AO697" s="454"/>
      <c r="AP697" s="454"/>
      <c r="AQ697" s="454"/>
      <c r="AR697" s="454"/>
      <c r="AS697" s="454"/>
      <c r="AT697" s="454"/>
      <c r="AU697" s="454"/>
      <c r="AV697" s="454"/>
      <c r="AW697" s="454"/>
      <c r="AX697" s="454"/>
      <c r="AY697" s="454"/>
      <c r="AZ697" s="454"/>
      <c r="BA697" s="454"/>
      <c r="BB697" s="454"/>
      <c r="BC697" s="454"/>
      <c r="BD697" s="454"/>
      <c r="BE697" s="454"/>
      <c r="BF697" s="454"/>
      <c r="BG697" s="454"/>
      <c r="BH697" s="454"/>
      <c r="BI697" s="454"/>
      <c r="BJ697" s="454"/>
      <c r="BK697" s="454"/>
      <c r="BL697" s="454"/>
      <c r="BM697" s="454"/>
      <c r="BN697" s="454"/>
      <c r="BO697" s="454"/>
      <c r="BP697" s="454"/>
      <c r="BQ697" s="454"/>
      <c r="BR697" s="454"/>
      <c r="BS697" s="454"/>
      <c r="BT697" s="454"/>
      <c r="BU697" s="454"/>
      <c r="BV697" s="454"/>
      <c r="BW697" s="454"/>
      <c r="BX697" s="454"/>
      <c r="BY697" s="454"/>
      <c r="BZ697" s="454"/>
      <c r="CA697" s="454"/>
      <c r="CB697" s="454"/>
      <c r="CC697" s="454"/>
      <c r="CD697" s="454"/>
      <c r="CE697" s="454"/>
      <c r="CF697" s="454"/>
      <c r="CG697" s="454"/>
      <c r="CH697" s="454"/>
      <c r="CI697" s="454"/>
      <c r="CJ697" s="454"/>
      <c r="CK697" s="454"/>
      <c r="CL697" s="454"/>
      <c r="CM697" s="454"/>
      <c r="CN697" s="454"/>
      <c r="CO697" s="454"/>
      <c r="CP697" s="454"/>
      <c r="CQ697" s="454"/>
      <c r="CR697" s="454"/>
      <c r="CS697" s="454"/>
      <c r="CT697" s="454"/>
      <c r="CU697" s="454"/>
      <c r="CV697" s="454"/>
      <c r="CW697" s="454"/>
      <c r="CX697" s="454"/>
      <c r="CY697" s="454"/>
      <c r="CZ697" s="454"/>
      <c r="DA697" s="454"/>
      <c r="DB697" s="454"/>
      <c r="DC697" s="454"/>
      <c r="DD697" s="454"/>
      <c r="DE697" s="454"/>
      <c r="DF697" s="454"/>
      <c r="DG697" s="517"/>
      <c r="DH697" s="517"/>
      <c r="DI697" s="517"/>
      <c r="DJ697" s="517"/>
      <c r="DK697" s="517"/>
      <c r="DL697" s="517"/>
      <c r="DM697" s="517"/>
      <c r="DN697" s="517"/>
      <c r="DO697" s="517"/>
      <c r="DP697" s="517"/>
      <c r="DQ697" s="517"/>
      <c r="DR697" s="517"/>
      <c r="DS697" s="454"/>
      <c r="DT697" s="454"/>
      <c r="DU697" s="454"/>
      <c r="DV697" s="454"/>
      <c r="DW697" s="454"/>
      <c r="DX697" s="454"/>
      <c r="DY697" s="454"/>
      <c r="DZ697" s="454"/>
      <c r="EA697" s="454"/>
      <c r="EB697" s="454"/>
      <c r="EC697" s="454"/>
      <c r="ED697" s="454"/>
      <c r="EE697" s="454"/>
      <c r="EF697" s="454"/>
      <c r="EG697" s="454"/>
      <c r="EH697" s="454"/>
      <c r="EI697" s="454"/>
      <c r="EJ697" s="454"/>
      <c r="EK697" s="454"/>
      <c r="EL697" s="454"/>
      <c r="EM697" s="454"/>
      <c r="EN697" s="454"/>
      <c r="EO697" s="454"/>
      <c r="EP697" s="454"/>
      <c r="EQ697" s="454"/>
      <c r="ER697" s="454"/>
      <c r="ES697" s="454"/>
      <c r="ET697" s="454"/>
      <c r="EU697" s="454"/>
      <c r="EV697" s="454"/>
      <c r="EW697" s="454"/>
      <c r="EX697" s="454"/>
      <c r="EY697" s="454"/>
      <c r="EZ697" s="454"/>
      <c r="FA697" s="454"/>
      <c r="FB697" s="454"/>
      <c r="FC697" s="454"/>
      <c r="FD697" s="454"/>
      <c r="FE697" s="454"/>
      <c r="FF697" s="454"/>
      <c r="FG697" s="454"/>
      <c r="FH697" s="454"/>
      <c r="FI697" s="454"/>
      <c r="FJ697" s="454"/>
      <c r="FK697" s="454"/>
      <c r="FL697" s="454"/>
      <c r="FM697" s="454"/>
      <c r="FN697" s="454"/>
      <c r="FO697" s="454"/>
      <c r="FP697" s="454"/>
      <c r="FQ697" s="290"/>
    </row>
    <row r="698" spans="1:173" s="4" customFormat="1" hidden="1">
      <c r="A698" s="486">
        <f>MATCH(C698,$C$5:$C$700,0)</f>
        <v>690</v>
      </c>
      <c r="B698" s="56"/>
      <c r="C698" s="508" t="s">
        <v>3454</v>
      </c>
      <c r="D698" s="508"/>
      <c r="E698" s="508">
        <f t="shared" ref="E698:AK698" si="250">SUM(E696:E697)</f>
        <v>0</v>
      </c>
      <c r="F698" s="508">
        <f t="shared" si="250"/>
        <v>0</v>
      </c>
      <c r="G698" s="508">
        <f t="shared" si="250"/>
        <v>0</v>
      </c>
      <c r="H698" s="508">
        <f t="shared" si="250"/>
        <v>0</v>
      </c>
      <c r="I698" s="508">
        <f t="shared" si="250"/>
        <v>0</v>
      </c>
      <c r="J698" s="508">
        <f t="shared" si="250"/>
        <v>0</v>
      </c>
      <c r="K698" s="508">
        <f t="shared" si="250"/>
        <v>0</v>
      </c>
      <c r="L698" s="508">
        <f t="shared" si="250"/>
        <v>0</v>
      </c>
      <c r="M698" s="508">
        <f t="shared" si="250"/>
        <v>0</v>
      </c>
      <c r="N698" s="508">
        <f t="shared" si="250"/>
        <v>0</v>
      </c>
      <c r="O698" s="508">
        <f t="shared" si="250"/>
        <v>0</v>
      </c>
      <c r="P698" s="508">
        <f t="shared" si="250"/>
        <v>0</v>
      </c>
      <c r="Q698" s="508">
        <f t="shared" si="250"/>
        <v>0</v>
      </c>
      <c r="R698" s="508">
        <f t="shared" si="250"/>
        <v>0</v>
      </c>
      <c r="S698" s="508">
        <f t="shared" si="250"/>
        <v>0</v>
      </c>
      <c r="T698" s="509">
        <f t="shared" si="250"/>
        <v>0</v>
      </c>
      <c r="U698" s="509">
        <f t="shared" si="250"/>
        <v>0</v>
      </c>
      <c r="V698" s="509"/>
      <c r="W698" s="509">
        <f t="shared" si="250"/>
        <v>0</v>
      </c>
      <c r="X698" s="509">
        <f t="shared" si="250"/>
        <v>0</v>
      </c>
      <c r="Y698" s="509">
        <f t="shared" si="250"/>
        <v>0</v>
      </c>
      <c r="Z698" s="509">
        <f t="shared" si="250"/>
        <v>0</v>
      </c>
      <c r="AA698" s="509">
        <f t="shared" si="250"/>
        <v>0</v>
      </c>
      <c r="AB698" s="509">
        <f t="shared" si="250"/>
        <v>0</v>
      </c>
      <c r="AC698" s="509">
        <f t="shared" si="250"/>
        <v>0</v>
      </c>
      <c r="AD698" s="509">
        <f t="shared" si="250"/>
        <v>0</v>
      </c>
      <c r="AE698" s="511">
        <f t="shared" si="250"/>
        <v>0</v>
      </c>
      <c r="AF698" s="958">
        <f t="shared" si="250"/>
        <v>0</v>
      </c>
      <c r="AG698" s="509">
        <f t="shared" si="250"/>
        <v>0</v>
      </c>
      <c r="AH698" s="509">
        <f t="shared" si="250"/>
        <v>0</v>
      </c>
      <c r="AI698" s="509">
        <f t="shared" si="250"/>
        <v>0</v>
      </c>
      <c r="AJ698" s="509">
        <f t="shared" si="250"/>
        <v>0</v>
      </c>
      <c r="AK698" s="509">
        <f t="shared" si="250"/>
        <v>0</v>
      </c>
      <c r="AL698" s="509">
        <f t="shared" ref="AL698:BQ698" si="251">SUM(AL696:AL697)</f>
        <v>0</v>
      </c>
      <c r="AM698" s="509">
        <f t="shared" si="251"/>
        <v>0</v>
      </c>
      <c r="AN698" s="509">
        <f t="shared" si="251"/>
        <v>0</v>
      </c>
      <c r="AO698" s="509">
        <f t="shared" si="251"/>
        <v>0</v>
      </c>
      <c r="AP698" s="509">
        <f t="shared" si="251"/>
        <v>0</v>
      </c>
      <c r="AQ698" s="509">
        <f t="shared" si="251"/>
        <v>0</v>
      </c>
      <c r="AR698" s="509">
        <f t="shared" si="251"/>
        <v>0</v>
      </c>
      <c r="AS698" s="509">
        <f t="shared" si="251"/>
        <v>0</v>
      </c>
      <c r="AT698" s="509">
        <f t="shared" si="251"/>
        <v>0</v>
      </c>
      <c r="AU698" s="509">
        <f t="shared" si="251"/>
        <v>0</v>
      </c>
      <c r="AV698" s="509">
        <f t="shared" si="251"/>
        <v>0</v>
      </c>
      <c r="AW698" s="509">
        <f t="shared" si="251"/>
        <v>0</v>
      </c>
      <c r="AX698" s="509">
        <f t="shared" si="251"/>
        <v>0</v>
      </c>
      <c r="AY698" s="509">
        <f t="shared" si="251"/>
        <v>0</v>
      </c>
      <c r="AZ698" s="509">
        <f t="shared" si="251"/>
        <v>0</v>
      </c>
      <c r="BA698" s="509">
        <f t="shared" si="251"/>
        <v>0</v>
      </c>
      <c r="BB698" s="509">
        <f t="shared" si="251"/>
        <v>0</v>
      </c>
      <c r="BC698" s="509">
        <f t="shared" si="251"/>
        <v>0</v>
      </c>
      <c r="BD698" s="509">
        <f t="shared" si="251"/>
        <v>0</v>
      </c>
      <c r="BE698" s="509">
        <f t="shared" si="251"/>
        <v>0</v>
      </c>
      <c r="BF698" s="509">
        <f t="shared" si="251"/>
        <v>0</v>
      </c>
      <c r="BG698" s="509">
        <f t="shared" si="251"/>
        <v>0</v>
      </c>
      <c r="BH698" s="509">
        <f t="shared" si="251"/>
        <v>0</v>
      </c>
      <c r="BI698" s="509">
        <f t="shared" si="251"/>
        <v>0</v>
      </c>
      <c r="BJ698" s="509">
        <f t="shared" si="251"/>
        <v>0</v>
      </c>
      <c r="BK698" s="509">
        <f t="shared" si="251"/>
        <v>0</v>
      </c>
      <c r="BL698" s="509">
        <f t="shared" si="251"/>
        <v>0</v>
      </c>
      <c r="BM698" s="509">
        <f t="shared" si="251"/>
        <v>0</v>
      </c>
      <c r="BN698" s="509">
        <f t="shared" si="251"/>
        <v>0</v>
      </c>
      <c r="BO698" s="509">
        <f t="shared" si="251"/>
        <v>0</v>
      </c>
      <c r="BP698" s="509">
        <f t="shared" si="251"/>
        <v>0</v>
      </c>
      <c r="BQ698" s="509">
        <f t="shared" si="251"/>
        <v>0</v>
      </c>
      <c r="BR698" s="509">
        <f t="shared" ref="BR698:DA698" si="252">SUM(BR696:BR697)</f>
        <v>0</v>
      </c>
      <c r="BS698" s="509">
        <f t="shared" si="252"/>
        <v>0</v>
      </c>
      <c r="BT698" s="509">
        <f t="shared" si="252"/>
        <v>0</v>
      </c>
      <c r="BU698" s="509">
        <f t="shared" si="252"/>
        <v>0</v>
      </c>
      <c r="BV698" s="509">
        <f t="shared" si="252"/>
        <v>0</v>
      </c>
      <c r="BW698" s="509">
        <f t="shared" si="252"/>
        <v>0</v>
      </c>
      <c r="BX698" s="509">
        <f t="shared" si="252"/>
        <v>0</v>
      </c>
      <c r="BY698" s="509">
        <f t="shared" si="252"/>
        <v>0</v>
      </c>
      <c r="BZ698" s="509">
        <f t="shared" si="252"/>
        <v>0</v>
      </c>
      <c r="CA698" s="509">
        <f t="shared" si="252"/>
        <v>0</v>
      </c>
      <c r="CB698" s="509">
        <f t="shared" si="252"/>
        <v>0</v>
      </c>
      <c r="CC698" s="509">
        <f t="shared" si="252"/>
        <v>0</v>
      </c>
      <c r="CD698" s="509">
        <f t="shared" si="252"/>
        <v>0</v>
      </c>
      <c r="CE698" s="509">
        <f t="shared" si="252"/>
        <v>0</v>
      </c>
      <c r="CF698" s="509">
        <f t="shared" si="252"/>
        <v>0</v>
      </c>
      <c r="CG698" s="509">
        <f t="shared" si="252"/>
        <v>0</v>
      </c>
      <c r="CH698" s="509">
        <f t="shared" si="252"/>
        <v>0</v>
      </c>
      <c r="CI698" s="509">
        <f t="shared" si="252"/>
        <v>0</v>
      </c>
      <c r="CJ698" s="509">
        <f t="shared" si="252"/>
        <v>0</v>
      </c>
      <c r="CK698" s="509">
        <f t="shared" si="252"/>
        <v>0</v>
      </c>
      <c r="CL698" s="509">
        <f t="shared" si="252"/>
        <v>0</v>
      </c>
      <c r="CM698" s="509">
        <f t="shared" si="252"/>
        <v>0</v>
      </c>
      <c r="CN698" s="509">
        <f t="shared" si="252"/>
        <v>0</v>
      </c>
      <c r="CO698" s="509">
        <f t="shared" si="252"/>
        <v>0</v>
      </c>
      <c r="CP698" s="509">
        <f t="shared" si="252"/>
        <v>0</v>
      </c>
      <c r="CQ698" s="509">
        <f t="shared" si="252"/>
        <v>0</v>
      </c>
      <c r="CR698" s="509">
        <f t="shared" si="252"/>
        <v>0</v>
      </c>
      <c r="CS698" s="509">
        <f t="shared" si="252"/>
        <v>0</v>
      </c>
      <c r="CT698" s="509">
        <f t="shared" si="252"/>
        <v>0</v>
      </c>
      <c r="CU698" s="509">
        <f t="shared" si="252"/>
        <v>0</v>
      </c>
      <c r="CV698" s="509">
        <f t="shared" si="252"/>
        <v>0</v>
      </c>
      <c r="CW698" s="509">
        <f t="shared" si="252"/>
        <v>0</v>
      </c>
      <c r="CX698" s="509">
        <f>SUM(CX696:CX697)</f>
        <v>0</v>
      </c>
      <c r="CY698" s="509">
        <f>SUM(CY696:CY697)</f>
        <v>0</v>
      </c>
      <c r="CZ698" s="509">
        <f t="shared" si="252"/>
        <v>0</v>
      </c>
      <c r="DA698" s="509">
        <f t="shared" si="252"/>
        <v>0</v>
      </c>
      <c r="DB698" s="509">
        <f t="shared" ref="DB698:EG698" si="253">SUM(DB696:DB697)</f>
        <v>0</v>
      </c>
      <c r="DC698" s="509">
        <f t="shared" si="253"/>
        <v>0</v>
      </c>
      <c r="DD698" s="509">
        <f t="shared" si="253"/>
        <v>0</v>
      </c>
      <c r="DE698" s="509">
        <f t="shared" si="253"/>
        <v>0</v>
      </c>
      <c r="DF698" s="509">
        <f t="shared" si="253"/>
        <v>0</v>
      </c>
      <c r="DG698" s="518">
        <f t="shared" si="253"/>
        <v>0</v>
      </c>
      <c r="DH698" s="518">
        <f t="shared" si="253"/>
        <v>0</v>
      </c>
      <c r="DI698" s="518">
        <f t="shared" si="253"/>
        <v>0</v>
      </c>
      <c r="DJ698" s="518">
        <f t="shared" si="253"/>
        <v>0</v>
      </c>
      <c r="DK698" s="518">
        <f t="shared" si="253"/>
        <v>0</v>
      </c>
      <c r="DL698" s="518">
        <f t="shared" si="253"/>
        <v>0</v>
      </c>
      <c r="DM698" s="518">
        <f t="shared" si="253"/>
        <v>0</v>
      </c>
      <c r="DN698" s="518">
        <f t="shared" si="253"/>
        <v>0</v>
      </c>
      <c r="DO698" s="518">
        <f t="shared" si="253"/>
        <v>0</v>
      </c>
      <c r="DP698" s="518">
        <f t="shared" si="253"/>
        <v>0</v>
      </c>
      <c r="DQ698" s="518">
        <f t="shared" si="253"/>
        <v>0</v>
      </c>
      <c r="DR698" s="518">
        <f t="shared" si="253"/>
        <v>0</v>
      </c>
      <c r="DS698" s="509">
        <f t="shared" si="253"/>
        <v>0</v>
      </c>
      <c r="DT698" s="509">
        <f t="shared" si="253"/>
        <v>0</v>
      </c>
      <c r="DU698" s="509">
        <f t="shared" si="253"/>
        <v>0</v>
      </c>
      <c r="DV698" s="509">
        <f t="shared" si="253"/>
        <v>0</v>
      </c>
      <c r="DW698" s="509">
        <f t="shared" si="253"/>
        <v>0</v>
      </c>
      <c r="DX698" s="509">
        <f t="shared" si="253"/>
        <v>0</v>
      </c>
      <c r="DY698" s="509">
        <f t="shared" si="253"/>
        <v>0</v>
      </c>
      <c r="DZ698" s="509">
        <f t="shared" si="253"/>
        <v>0</v>
      </c>
      <c r="EA698" s="509">
        <f t="shared" si="253"/>
        <v>0</v>
      </c>
      <c r="EB698" s="509">
        <f t="shared" si="253"/>
        <v>0</v>
      </c>
      <c r="EC698" s="509">
        <f t="shared" si="253"/>
        <v>0</v>
      </c>
      <c r="ED698" s="509">
        <f t="shared" si="253"/>
        <v>0</v>
      </c>
      <c r="EE698" s="509">
        <f t="shared" si="253"/>
        <v>0</v>
      </c>
      <c r="EF698" s="509">
        <f t="shared" si="253"/>
        <v>0</v>
      </c>
      <c r="EG698" s="509">
        <f t="shared" si="253"/>
        <v>0</v>
      </c>
      <c r="EH698" s="509">
        <f t="shared" ref="EH698:FM698" si="254">SUM(EH696:EH697)</f>
        <v>0</v>
      </c>
      <c r="EI698" s="509">
        <f t="shared" si="254"/>
        <v>0</v>
      </c>
      <c r="EJ698" s="509">
        <f t="shared" si="254"/>
        <v>0</v>
      </c>
      <c r="EK698" s="509">
        <f t="shared" si="254"/>
        <v>0</v>
      </c>
      <c r="EL698" s="509">
        <f t="shared" si="254"/>
        <v>0</v>
      </c>
      <c r="EM698" s="509">
        <f t="shared" si="254"/>
        <v>0</v>
      </c>
      <c r="EN698" s="509">
        <f t="shared" si="254"/>
        <v>0</v>
      </c>
      <c r="EO698" s="509">
        <f t="shared" si="254"/>
        <v>0</v>
      </c>
      <c r="EP698" s="509">
        <f t="shared" si="254"/>
        <v>0</v>
      </c>
      <c r="EQ698" s="509">
        <f t="shared" si="254"/>
        <v>0</v>
      </c>
      <c r="ER698" s="509">
        <f t="shared" si="254"/>
        <v>0</v>
      </c>
      <c r="ES698" s="509">
        <f t="shared" si="254"/>
        <v>0</v>
      </c>
      <c r="ET698" s="509">
        <f t="shared" si="254"/>
        <v>0</v>
      </c>
      <c r="EU698" s="509">
        <f t="shared" si="254"/>
        <v>0</v>
      </c>
      <c r="EV698" s="509">
        <f t="shared" si="254"/>
        <v>0</v>
      </c>
      <c r="EW698" s="509">
        <f t="shared" si="254"/>
        <v>0</v>
      </c>
      <c r="EX698" s="509">
        <f t="shared" si="254"/>
        <v>0</v>
      </c>
      <c r="EY698" s="509">
        <f t="shared" si="254"/>
        <v>0</v>
      </c>
      <c r="EZ698" s="509">
        <f t="shared" si="254"/>
        <v>0</v>
      </c>
      <c r="FA698" s="509">
        <f t="shared" si="254"/>
        <v>0</v>
      </c>
      <c r="FB698" s="509">
        <f t="shared" si="254"/>
        <v>0</v>
      </c>
      <c r="FC698" s="509">
        <f t="shared" si="254"/>
        <v>0</v>
      </c>
      <c r="FD698" s="509">
        <f t="shared" si="254"/>
        <v>0</v>
      </c>
      <c r="FE698" s="509">
        <f t="shared" si="254"/>
        <v>0</v>
      </c>
      <c r="FF698" s="509">
        <f t="shared" si="254"/>
        <v>0</v>
      </c>
      <c r="FG698" s="509">
        <f t="shared" si="254"/>
        <v>0</v>
      </c>
      <c r="FH698" s="509">
        <f t="shared" si="254"/>
        <v>0</v>
      </c>
      <c r="FI698" s="509">
        <f t="shared" si="254"/>
        <v>0</v>
      </c>
      <c r="FJ698" s="509">
        <f t="shared" si="254"/>
        <v>0</v>
      </c>
      <c r="FK698" s="509">
        <f t="shared" si="254"/>
        <v>0</v>
      </c>
      <c r="FL698" s="509">
        <f t="shared" si="254"/>
        <v>0</v>
      </c>
      <c r="FM698" s="509">
        <f t="shared" si="254"/>
        <v>0</v>
      </c>
      <c r="FN698" s="509">
        <f>SUM(FN696:FN697)</f>
        <v>0</v>
      </c>
      <c r="FO698" s="509">
        <f>SUM(FO696:FO697)</f>
        <v>0</v>
      </c>
      <c r="FP698" s="509"/>
      <c r="FQ698" s="508"/>
    </row>
    <row r="699" spans="1:173" s="4" customFormat="1">
      <c r="A699" s="56"/>
      <c r="B699" s="56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454"/>
      <c r="V699" s="454"/>
      <c r="W699" s="454"/>
      <c r="X699" s="454"/>
      <c r="Y699" s="454"/>
      <c r="Z699" s="454"/>
      <c r="AA699" s="454"/>
      <c r="AB699" s="454"/>
      <c r="AC699" s="454"/>
      <c r="AD699" s="454"/>
      <c r="AE699" s="512"/>
      <c r="AF699" s="961"/>
      <c r="AG699" s="454"/>
      <c r="AH699" s="454"/>
      <c r="AI699" s="454"/>
      <c r="AJ699" s="454"/>
      <c r="AK699" s="454"/>
      <c r="AL699" s="454"/>
      <c r="AM699" s="454"/>
      <c r="AN699" s="454"/>
      <c r="AO699" s="454"/>
      <c r="AP699" s="454"/>
      <c r="AQ699" s="454"/>
      <c r="AR699" s="454"/>
      <c r="AS699" s="454"/>
      <c r="AT699" s="454"/>
      <c r="AU699" s="454"/>
      <c r="AV699" s="454"/>
      <c r="AW699" s="454"/>
      <c r="AX699" s="454"/>
      <c r="AY699" s="454"/>
      <c r="AZ699" s="454"/>
      <c r="BA699" s="454"/>
      <c r="BB699" s="454"/>
      <c r="BC699" s="454"/>
      <c r="BD699" s="454"/>
      <c r="BE699" s="454"/>
      <c r="BF699" s="454"/>
      <c r="BG699" s="454"/>
      <c r="BH699" s="454"/>
      <c r="BI699" s="454"/>
      <c r="BJ699" s="454"/>
      <c r="BK699" s="454"/>
      <c r="BL699" s="454"/>
      <c r="BM699" s="454"/>
      <c r="BN699" s="454"/>
      <c r="BO699" s="454"/>
      <c r="BP699" s="454"/>
      <c r="BQ699" s="454"/>
      <c r="BR699" s="454"/>
      <c r="BS699" s="454"/>
      <c r="BT699" s="454"/>
      <c r="BU699" s="454"/>
      <c r="BV699" s="454"/>
      <c r="BW699" s="454"/>
      <c r="BX699" s="454"/>
      <c r="BY699" s="454"/>
      <c r="BZ699" s="454"/>
      <c r="CA699" s="454"/>
      <c r="CB699" s="454"/>
      <c r="CC699" s="454"/>
      <c r="CD699" s="454"/>
      <c r="CE699" s="454"/>
      <c r="CF699" s="454"/>
      <c r="CG699" s="454"/>
      <c r="CH699" s="454"/>
      <c r="CI699" s="454"/>
      <c r="CJ699" s="454"/>
      <c r="CK699" s="454"/>
      <c r="CL699" s="454"/>
      <c r="CM699" s="454"/>
      <c r="CN699" s="454"/>
      <c r="CO699" s="454"/>
      <c r="CP699" s="454"/>
      <c r="CQ699" s="454"/>
      <c r="CR699" s="454"/>
      <c r="CS699" s="454"/>
      <c r="CT699" s="454"/>
      <c r="CU699" s="454"/>
      <c r="CV699" s="454"/>
      <c r="CW699" s="454"/>
      <c r="CX699" s="454"/>
      <c r="CY699" s="454"/>
      <c r="CZ699" s="454"/>
      <c r="DA699" s="454"/>
      <c r="DB699" s="454"/>
      <c r="DC699" s="454"/>
      <c r="DD699" s="454"/>
      <c r="DE699" s="454"/>
      <c r="DF699" s="454"/>
      <c r="DG699" s="517"/>
      <c r="DH699" s="517"/>
      <c r="DI699" s="517"/>
      <c r="DJ699" s="517"/>
      <c r="DK699" s="517"/>
      <c r="DL699" s="517"/>
      <c r="DM699" s="517"/>
      <c r="DN699" s="517"/>
      <c r="DO699" s="517"/>
      <c r="DP699" s="517"/>
      <c r="DQ699" s="517"/>
      <c r="DR699" s="517"/>
      <c r="DS699" s="454"/>
      <c r="DT699" s="454"/>
      <c r="DU699" s="454"/>
      <c r="DV699" s="454"/>
      <c r="DW699" s="454"/>
      <c r="DX699" s="454"/>
      <c r="DY699" s="454"/>
      <c r="DZ699" s="454"/>
      <c r="EA699" s="454"/>
      <c r="EB699" s="454"/>
      <c r="EC699" s="454"/>
      <c r="ED699" s="454"/>
      <c r="EE699" s="454"/>
      <c r="EF699" s="454"/>
      <c r="EG699" s="454"/>
      <c r="EH699" s="454"/>
      <c r="EI699" s="454"/>
      <c r="EJ699" s="454"/>
      <c r="EK699" s="454"/>
      <c r="EL699" s="454"/>
      <c r="EM699" s="454"/>
      <c r="EN699" s="454"/>
      <c r="EO699" s="454"/>
      <c r="EP699" s="454"/>
      <c r="EQ699" s="454"/>
      <c r="ER699" s="454"/>
      <c r="ES699" s="454"/>
      <c r="ET699" s="454"/>
      <c r="EU699" s="454"/>
      <c r="EV699" s="454"/>
      <c r="EW699" s="454"/>
      <c r="EX699" s="454"/>
      <c r="EY699" s="454"/>
      <c r="EZ699" s="454"/>
      <c r="FA699" s="454"/>
      <c r="FB699" s="454"/>
      <c r="FC699" s="454"/>
      <c r="FD699" s="454"/>
      <c r="FE699" s="454"/>
      <c r="FF699" s="454"/>
      <c r="FG699" s="454"/>
      <c r="FH699" s="454"/>
      <c r="FI699" s="454"/>
      <c r="FJ699" s="454"/>
      <c r="FK699" s="454"/>
      <c r="FL699" s="454"/>
      <c r="FM699" s="454"/>
      <c r="FN699" s="454"/>
      <c r="FO699" s="454"/>
      <c r="FP699" s="454"/>
      <c r="FQ699" s="290"/>
    </row>
    <row r="700" spans="1:173" s="4" customFormat="1">
      <c r="A700" s="486">
        <f>MATCH(C700,$C$5:$C$700,0)</f>
        <v>696</v>
      </c>
      <c r="B700" s="56"/>
      <c r="C700" s="510" t="s">
        <v>1512</v>
      </c>
      <c r="D700" s="510"/>
      <c r="E700" s="510">
        <f t="shared" ref="E700:S700" si="255">SUM(E8:E699)/2</f>
        <v>17955.999999999989</v>
      </c>
      <c r="F700" s="510">
        <f t="shared" si="255"/>
        <v>0</v>
      </c>
      <c r="G700" s="510">
        <f t="shared" si="255"/>
        <v>0</v>
      </c>
      <c r="H700" s="510">
        <f t="shared" si="255"/>
        <v>0</v>
      </c>
      <c r="I700" s="510">
        <f t="shared" si="255"/>
        <v>2701.3000000000006</v>
      </c>
      <c r="J700" s="510">
        <f t="shared" si="255"/>
        <v>0</v>
      </c>
      <c r="K700" s="510">
        <f t="shared" si="255"/>
        <v>0</v>
      </c>
      <c r="L700" s="510">
        <f t="shared" si="255"/>
        <v>0</v>
      </c>
      <c r="M700" s="510">
        <f t="shared" si="255"/>
        <v>0</v>
      </c>
      <c r="N700" s="510">
        <f t="shared" si="255"/>
        <v>0</v>
      </c>
      <c r="O700" s="510">
        <f t="shared" si="255"/>
        <v>7485.8999999999978</v>
      </c>
      <c r="P700" s="510">
        <f t="shared" si="255"/>
        <v>7803.800000000002</v>
      </c>
      <c r="Q700" s="510">
        <f t="shared" si="255"/>
        <v>0</v>
      </c>
      <c r="R700" s="510">
        <f t="shared" si="255"/>
        <v>0</v>
      </c>
      <c r="S700" s="510">
        <f t="shared" si="255"/>
        <v>0</v>
      </c>
      <c r="T700" s="510">
        <f>T68+T638+T669</f>
        <v>0</v>
      </c>
      <c r="U700" s="511">
        <f>U68+U638+U669</f>
        <v>0</v>
      </c>
      <c r="V700" s="511">
        <f>SUM(V7:V669)/2</f>
        <v>11</v>
      </c>
      <c r="W700" s="511">
        <f>SUM(W7:W669)/2</f>
        <v>200</v>
      </c>
      <c r="X700" s="511">
        <f>SUM(X7:X669)/2</f>
        <v>0</v>
      </c>
      <c r="Y700" s="511">
        <f>SUM(Y7:Y669)/2</f>
        <v>0</v>
      </c>
      <c r="Z700" s="511">
        <f>SUM(Z7:Z669)/2</f>
        <v>65</v>
      </c>
      <c r="AA700" s="511">
        <f t="shared" ref="AA700:BF700" si="256">SUM(AA7:AA699)/2</f>
        <v>2</v>
      </c>
      <c r="AB700" s="511">
        <f t="shared" si="256"/>
        <v>0</v>
      </c>
      <c r="AC700" s="511">
        <f t="shared" si="256"/>
        <v>0</v>
      </c>
      <c r="AD700" s="511">
        <f t="shared" si="256"/>
        <v>0</v>
      </c>
      <c r="AE700" s="511">
        <f t="shared" si="256"/>
        <v>60</v>
      </c>
      <c r="AF700" s="958">
        <f t="shared" si="256"/>
        <v>12</v>
      </c>
      <c r="AG700" s="511">
        <f t="shared" si="256"/>
        <v>0</v>
      </c>
      <c r="AH700" s="511">
        <f t="shared" si="256"/>
        <v>0</v>
      </c>
      <c r="AI700" s="511">
        <f t="shared" si="256"/>
        <v>0</v>
      </c>
      <c r="AJ700" s="511">
        <f t="shared" si="256"/>
        <v>0</v>
      </c>
      <c r="AK700" s="511">
        <f t="shared" si="256"/>
        <v>0</v>
      </c>
      <c r="AL700" s="511">
        <f t="shared" si="256"/>
        <v>0</v>
      </c>
      <c r="AM700" s="511">
        <f t="shared" si="256"/>
        <v>4</v>
      </c>
      <c r="AN700" s="511">
        <f t="shared" si="256"/>
        <v>0</v>
      </c>
      <c r="AO700" s="511">
        <f t="shared" si="256"/>
        <v>0</v>
      </c>
      <c r="AP700" s="511">
        <f t="shared" si="256"/>
        <v>0</v>
      </c>
      <c r="AQ700" s="511">
        <f t="shared" si="256"/>
        <v>3</v>
      </c>
      <c r="AR700" s="511">
        <f t="shared" si="256"/>
        <v>0</v>
      </c>
      <c r="AS700" s="511">
        <f t="shared" si="256"/>
        <v>0</v>
      </c>
      <c r="AT700" s="511">
        <f t="shared" si="256"/>
        <v>0</v>
      </c>
      <c r="AU700" s="511">
        <f t="shared" si="256"/>
        <v>97</v>
      </c>
      <c r="AV700" s="511">
        <f t="shared" si="256"/>
        <v>0</v>
      </c>
      <c r="AW700" s="511">
        <f t="shared" si="256"/>
        <v>330</v>
      </c>
      <c r="AX700" s="511">
        <f t="shared" si="256"/>
        <v>4</v>
      </c>
      <c r="AY700" s="511">
        <f t="shared" si="256"/>
        <v>2</v>
      </c>
      <c r="AZ700" s="511">
        <f t="shared" si="256"/>
        <v>471</v>
      </c>
      <c r="BA700" s="511">
        <f t="shared" si="256"/>
        <v>193</v>
      </c>
      <c r="BB700" s="511">
        <f t="shared" si="256"/>
        <v>0</v>
      </c>
      <c r="BC700" s="511">
        <f t="shared" si="256"/>
        <v>0</v>
      </c>
      <c r="BD700" s="511">
        <f t="shared" si="256"/>
        <v>359</v>
      </c>
      <c r="BE700" s="511">
        <f t="shared" si="256"/>
        <v>221</v>
      </c>
      <c r="BF700" s="511">
        <f t="shared" si="256"/>
        <v>52</v>
      </c>
      <c r="BG700" s="511">
        <f t="shared" ref="BG700:CL700" si="257">SUM(BG7:BG699)/2</f>
        <v>0</v>
      </c>
      <c r="BH700" s="511">
        <f t="shared" si="257"/>
        <v>0</v>
      </c>
      <c r="BI700" s="511">
        <f t="shared" si="257"/>
        <v>851</v>
      </c>
      <c r="BJ700" s="511">
        <f t="shared" si="257"/>
        <v>1186</v>
      </c>
      <c r="BK700" s="511">
        <f t="shared" si="257"/>
        <v>0</v>
      </c>
      <c r="BL700" s="511">
        <f t="shared" si="257"/>
        <v>0</v>
      </c>
      <c r="BM700" s="511">
        <f t="shared" si="257"/>
        <v>0</v>
      </c>
      <c r="BN700" s="511">
        <f t="shared" si="257"/>
        <v>0</v>
      </c>
      <c r="BO700" s="511">
        <f t="shared" si="257"/>
        <v>0</v>
      </c>
      <c r="BP700" s="511">
        <f t="shared" si="257"/>
        <v>0</v>
      </c>
      <c r="BQ700" s="511">
        <f t="shared" si="257"/>
        <v>71</v>
      </c>
      <c r="BR700" s="511">
        <f t="shared" si="257"/>
        <v>0</v>
      </c>
      <c r="BS700" s="511">
        <f t="shared" si="257"/>
        <v>184</v>
      </c>
      <c r="BT700" s="511">
        <f t="shared" si="257"/>
        <v>208</v>
      </c>
      <c r="BU700" s="511">
        <f t="shared" si="257"/>
        <v>0</v>
      </c>
      <c r="BV700" s="511">
        <f t="shared" si="257"/>
        <v>28</v>
      </c>
      <c r="BW700" s="511">
        <f t="shared" si="257"/>
        <v>0</v>
      </c>
      <c r="BX700" s="511">
        <f t="shared" si="257"/>
        <v>153</v>
      </c>
      <c r="BY700" s="511">
        <f t="shared" si="257"/>
        <v>171</v>
      </c>
      <c r="BZ700" s="511">
        <f t="shared" si="257"/>
        <v>0</v>
      </c>
      <c r="CA700" s="511">
        <f t="shared" si="257"/>
        <v>0</v>
      </c>
      <c r="CB700" s="511">
        <f t="shared" si="257"/>
        <v>365</v>
      </c>
      <c r="CC700" s="511">
        <f t="shared" si="257"/>
        <v>8</v>
      </c>
      <c r="CD700" s="511">
        <f t="shared" si="257"/>
        <v>1506</v>
      </c>
      <c r="CE700" s="511">
        <f t="shared" si="257"/>
        <v>123</v>
      </c>
      <c r="CF700" s="511">
        <f t="shared" si="257"/>
        <v>45</v>
      </c>
      <c r="CG700" s="511">
        <f t="shared" si="257"/>
        <v>218</v>
      </c>
      <c r="CH700" s="511">
        <f t="shared" si="257"/>
        <v>78</v>
      </c>
      <c r="CI700" s="511">
        <f t="shared" si="257"/>
        <v>117</v>
      </c>
      <c r="CJ700" s="511">
        <f t="shared" si="257"/>
        <v>144</v>
      </c>
      <c r="CK700" s="511">
        <f t="shared" si="257"/>
        <v>0</v>
      </c>
      <c r="CL700" s="511">
        <f t="shared" si="257"/>
        <v>86</v>
      </c>
      <c r="CM700" s="511">
        <f t="shared" ref="CM700:DR700" si="258">SUM(CM7:CM699)/2</f>
        <v>88</v>
      </c>
      <c r="CN700" s="511">
        <f t="shared" si="258"/>
        <v>116</v>
      </c>
      <c r="CO700" s="511">
        <f t="shared" si="258"/>
        <v>159</v>
      </c>
      <c r="CP700" s="511">
        <f t="shared" si="258"/>
        <v>0</v>
      </c>
      <c r="CQ700" s="511">
        <f t="shared" si="258"/>
        <v>7</v>
      </c>
      <c r="CR700" s="511">
        <f t="shared" si="258"/>
        <v>1</v>
      </c>
      <c r="CS700" s="511">
        <f t="shared" si="258"/>
        <v>0</v>
      </c>
      <c r="CT700" s="511">
        <f t="shared" si="258"/>
        <v>0</v>
      </c>
      <c r="CU700" s="511">
        <f t="shared" si="258"/>
        <v>35</v>
      </c>
      <c r="CV700" s="511">
        <f t="shared" si="258"/>
        <v>5</v>
      </c>
      <c r="CW700" s="511">
        <f t="shared" si="258"/>
        <v>4</v>
      </c>
      <c r="CX700" s="511">
        <f t="shared" si="258"/>
        <v>4</v>
      </c>
      <c r="CY700" s="511">
        <f t="shared" si="258"/>
        <v>2</v>
      </c>
      <c r="CZ700" s="511">
        <f t="shared" si="258"/>
        <v>14</v>
      </c>
      <c r="DA700" s="511">
        <f t="shared" si="258"/>
        <v>46</v>
      </c>
      <c r="DB700" s="511">
        <f t="shared" si="258"/>
        <v>0</v>
      </c>
      <c r="DC700" s="511">
        <f t="shared" si="258"/>
        <v>0</v>
      </c>
      <c r="DD700" s="511">
        <f t="shared" si="258"/>
        <v>0</v>
      </c>
      <c r="DE700" s="511">
        <f t="shared" si="258"/>
        <v>0</v>
      </c>
      <c r="DF700" s="511">
        <f t="shared" si="258"/>
        <v>0</v>
      </c>
      <c r="DG700" s="520">
        <f t="shared" si="258"/>
        <v>0</v>
      </c>
      <c r="DH700" s="520">
        <f t="shared" si="258"/>
        <v>0</v>
      </c>
      <c r="DI700" s="520">
        <f t="shared" si="258"/>
        <v>0</v>
      </c>
      <c r="DJ700" s="520">
        <f t="shared" si="258"/>
        <v>0</v>
      </c>
      <c r="DK700" s="520">
        <f t="shared" si="258"/>
        <v>0</v>
      </c>
      <c r="DL700" s="520">
        <f t="shared" si="258"/>
        <v>0</v>
      </c>
      <c r="DM700" s="520">
        <f t="shared" si="258"/>
        <v>0</v>
      </c>
      <c r="DN700" s="520">
        <f t="shared" si="258"/>
        <v>0</v>
      </c>
      <c r="DO700" s="520">
        <f t="shared" si="258"/>
        <v>0</v>
      </c>
      <c r="DP700" s="520">
        <f t="shared" si="258"/>
        <v>0</v>
      </c>
      <c r="DQ700" s="520">
        <f t="shared" si="258"/>
        <v>0</v>
      </c>
      <c r="DR700" s="520">
        <f t="shared" si="258"/>
        <v>0</v>
      </c>
      <c r="DS700" s="511">
        <f t="shared" ref="DS700:EX700" si="259">SUM(DS7:DS699)/2</f>
        <v>0</v>
      </c>
      <c r="DT700" s="511">
        <f t="shared" si="259"/>
        <v>0</v>
      </c>
      <c r="DU700" s="511">
        <f t="shared" si="259"/>
        <v>0</v>
      </c>
      <c r="DV700" s="511">
        <f t="shared" si="259"/>
        <v>0</v>
      </c>
      <c r="DW700" s="511">
        <f t="shared" si="259"/>
        <v>0</v>
      </c>
      <c r="DX700" s="511">
        <f t="shared" si="259"/>
        <v>0</v>
      </c>
      <c r="DY700" s="511">
        <f t="shared" si="259"/>
        <v>0</v>
      </c>
      <c r="DZ700" s="511">
        <f t="shared" si="259"/>
        <v>0</v>
      </c>
      <c r="EA700" s="511">
        <f t="shared" si="259"/>
        <v>0</v>
      </c>
      <c r="EB700" s="511">
        <f t="shared" si="259"/>
        <v>0</v>
      </c>
      <c r="EC700" s="511">
        <f t="shared" si="259"/>
        <v>0</v>
      </c>
      <c r="ED700" s="511">
        <f t="shared" si="259"/>
        <v>0</v>
      </c>
      <c r="EE700" s="511">
        <f t="shared" si="259"/>
        <v>0</v>
      </c>
      <c r="EF700" s="511">
        <f t="shared" si="259"/>
        <v>0</v>
      </c>
      <c r="EG700" s="511">
        <f t="shared" si="259"/>
        <v>0</v>
      </c>
      <c r="EH700" s="511">
        <f t="shared" si="259"/>
        <v>0</v>
      </c>
      <c r="EI700" s="511">
        <f t="shared" si="259"/>
        <v>0</v>
      </c>
      <c r="EJ700" s="511">
        <f t="shared" si="259"/>
        <v>0</v>
      </c>
      <c r="EK700" s="511">
        <f t="shared" si="259"/>
        <v>0</v>
      </c>
      <c r="EL700" s="511">
        <f t="shared" si="259"/>
        <v>0</v>
      </c>
      <c r="EM700" s="511">
        <f t="shared" si="259"/>
        <v>0</v>
      </c>
      <c r="EN700" s="511">
        <f t="shared" si="259"/>
        <v>0</v>
      </c>
      <c r="EO700" s="511">
        <f t="shared" si="259"/>
        <v>0</v>
      </c>
      <c r="EP700" s="511">
        <f t="shared" si="259"/>
        <v>0</v>
      </c>
      <c r="EQ700" s="511">
        <f t="shared" si="259"/>
        <v>0</v>
      </c>
      <c r="ER700" s="511">
        <f t="shared" si="259"/>
        <v>0</v>
      </c>
      <c r="ES700" s="511">
        <f t="shared" si="259"/>
        <v>0</v>
      </c>
      <c r="ET700" s="511">
        <f t="shared" si="259"/>
        <v>0</v>
      </c>
      <c r="EU700" s="511">
        <f t="shared" si="259"/>
        <v>0</v>
      </c>
      <c r="EV700" s="511">
        <f t="shared" si="259"/>
        <v>0</v>
      </c>
      <c r="EW700" s="511">
        <f t="shared" si="259"/>
        <v>0</v>
      </c>
      <c r="EX700" s="511">
        <f t="shared" si="259"/>
        <v>0</v>
      </c>
      <c r="EY700" s="511">
        <f t="shared" ref="EY700:FP700" si="260">SUM(EY7:EY699)/2</f>
        <v>0</v>
      </c>
      <c r="EZ700" s="511">
        <f t="shared" si="260"/>
        <v>0</v>
      </c>
      <c r="FA700" s="511">
        <f t="shared" si="260"/>
        <v>0</v>
      </c>
      <c r="FB700" s="511">
        <f t="shared" si="260"/>
        <v>0</v>
      </c>
      <c r="FC700" s="511">
        <f t="shared" si="260"/>
        <v>0</v>
      </c>
      <c r="FD700" s="511">
        <f t="shared" si="260"/>
        <v>0</v>
      </c>
      <c r="FE700" s="511">
        <f t="shared" si="260"/>
        <v>0</v>
      </c>
      <c r="FF700" s="511">
        <f t="shared" si="260"/>
        <v>0</v>
      </c>
      <c r="FG700" s="511">
        <f t="shared" si="260"/>
        <v>0</v>
      </c>
      <c r="FH700" s="511">
        <f t="shared" si="260"/>
        <v>0</v>
      </c>
      <c r="FI700" s="511">
        <f t="shared" si="260"/>
        <v>0</v>
      </c>
      <c r="FJ700" s="511">
        <f t="shared" si="260"/>
        <v>0</v>
      </c>
      <c r="FK700" s="511">
        <f t="shared" si="260"/>
        <v>0</v>
      </c>
      <c r="FL700" s="511">
        <f t="shared" si="260"/>
        <v>0</v>
      </c>
      <c r="FM700" s="511">
        <f t="shared" si="260"/>
        <v>0</v>
      </c>
      <c r="FN700" s="511">
        <f t="shared" si="260"/>
        <v>0</v>
      </c>
      <c r="FO700" s="511">
        <f t="shared" si="260"/>
        <v>0</v>
      </c>
      <c r="FP700" s="511">
        <f t="shared" si="260"/>
        <v>0</v>
      </c>
      <c r="FQ700" s="510"/>
    </row>
    <row r="702" spans="1:173">
      <c r="D702" s="1" t="s">
        <v>3894</v>
      </c>
      <c r="E702" s="1">
        <f>SUM(I702:P702)</f>
        <v>3016.2</v>
      </c>
      <c r="O702" s="1">
        <f>SUM(O597:O636,O529:O552,O229:O239,O204:O214,O165:O177)</f>
        <v>1017.9</v>
      </c>
      <c r="P702" s="1">
        <f t="shared" ref="P702:T702" si="261">SUM(P597:P636,P529:P552,P229:P239,P204:P214,P165:P177)</f>
        <v>1998.3</v>
      </c>
      <c r="Q702" s="1">
        <f t="shared" si="261"/>
        <v>0</v>
      </c>
      <c r="R702" s="1">
        <f t="shared" si="261"/>
        <v>0</v>
      </c>
      <c r="S702" s="1">
        <f t="shared" si="261"/>
        <v>0</v>
      </c>
      <c r="T702" s="1">
        <f t="shared" si="261"/>
        <v>0</v>
      </c>
      <c r="Z702" s="1">
        <f>Z700+AE700*2+AF700*2+AA700</f>
        <v>211</v>
      </c>
      <c r="CB702" s="1">
        <f>CB108+CB256+CB572+CB669</f>
        <v>156</v>
      </c>
    </row>
    <row r="703" spans="1:173">
      <c r="D703" s="1" t="s">
        <v>3896</v>
      </c>
      <c r="E703" s="1">
        <f>SUM(I703:P703)</f>
        <v>9883.6000000000022</v>
      </c>
      <c r="I703" s="684">
        <f>SUM(I574:I596,I431:I478,I399:I405)</f>
        <v>2701.3</v>
      </c>
      <c r="J703" s="684"/>
      <c r="K703" s="684"/>
      <c r="L703" s="684"/>
      <c r="M703" s="684"/>
      <c r="N703" s="684"/>
      <c r="O703" s="684">
        <f>SUM(O8:O67,O331:O355,O358:O478,O481:O506,O556:O571,O509:O528,O574:O596)</f>
        <v>4673.4000000000005</v>
      </c>
      <c r="P703" s="684">
        <f>SUM(P8:P67,P331:P355,P358:P478,P481:P506,P556:P571,P509:P528,P574:P596,P70:P107)</f>
        <v>2508.9000000000005</v>
      </c>
      <c r="CB703" s="1">
        <f>CB700-CB702</f>
        <v>209</v>
      </c>
    </row>
    <row r="704" spans="1:173">
      <c r="D704" s="1" t="s">
        <v>3895</v>
      </c>
      <c r="E704" s="1">
        <f>SUM(I704:P704)</f>
        <v>5091.2</v>
      </c>
      <c r="O704" s="1">
        <f>SUM(O110:O164,O179:O203,O215:O227,O241:O254,O258:O328)</f>
        <v>1794.6000000000006</v>
      </c>
      <c r="P704" s="1">
        <f t="shared" ref="P704:T704" si="262">SUM(P110:P164,P179:P203,P215:P227,P241:P254,P258:P328)</f>
        <v>3296.599999999999</v>
      </c>
      <c r="Q704" s="1">
        <f t="shared" si="262"/>
        <v>0</v>
      </c>
      <c r="R704" s="1">
        <f t="shared" si="262"/>
        <v>0</v>
      </c>
      <c r="S704" s="1">
        <f t="shared" si="262"/>
        <v>0</v>
      </c>
      <c r="T704" s="1">
        <f t="shared" si="262"/>
        <v>0</v>
      </c>
    </row>
    <row r="705" spans="5:23">
      <c r="P705" s="1">
        <f>P704-35</f>
        <v>3261.599999999999</v>
      </c>
    </row>
    <row r="706" spans="5:23">
      <c r="E706" s="1">
        <f>E700-7-SUM(E702:E705)</f>
        <v>-42.000000000014552</v>
      </c>
      <c r="W706" s="684"/>
    </row>
    <row r="707" spans="5:23">
      <c r="W707" s="684"/>
    </row>
    <row r="708" spans="5:23">
      <c r="E708" s="1">
        <f>SUM(E110:E139,E155:E164,E179:E187,E198:E203,E259:E276,E303:E328)</f>
        <v>3261.599999999999</v>
      </c>
      <c r="I708" s="1">
        <v>3232.6</v>
      </c>
      <c r="W708" s="684"/>
    </row>
    <row r="709" spans="5:23">
      <c r="E709" s="1">
        <f>SUM(E142:E152,E188:E195,E215:E226,E242:E253,E279:E300)</f>
        <v>1794.6000000000006</v>
      </c>
      <c r="I709" s="1">
        <v>1613.6</v>
      </c>
    </row>
    <row r="710" spans="5:23">
      <c r="E710" s="1">
        <f>SUM(E70:E107,E358:E397,E407:E417,E509:E528)</f>
        <v>3204</v>
      </c>
      <c r="I710" s="1">
        <v>3218.7</v>
      </c>
    </row>
    <row r="711" spans="5:23">
      <c r="E711" s="1">
        <f>SUM(E8:E67,E331:E355,E418:E428,E481:E506,E556:E570)</f>
        <v>3978.3000000000006</v>
      </c>
      <c r="I711" s="1">
        <v>3978.3</v>
      </c>
    </row>
    <row r="712" spans="5:23">
      <c r="E712" s="1">
        <f>I700</f>
        <v>2701.3000000000006</v>
      </c>
      <c r="I712" s="1">
        <v>2701.3</v>
      </c>
    </row>
    <row r="713" spans="5:23">
      <c r="E713" s="1">
        <f>SUM(E165:E177,E204:E214,E529:E541,E597:E624)</f>
        <v>2089.1999999999998</v>
      </c>
      <c r="I713" s="1">
        <v>2135.4</v>
      </c>
    </row>
    <row r="714" spans="5:23">
      <c r="E714" s="1">
        <f>SUM(E229:E239,E544:E552,E627:E636)</f>
        <v>927</v>
      </c>
      <c r="I714" s="1">
        <v>927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59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197"/>
  <sheetViews>
    <sheetView tabSelected="1" workbookViewId="0">
      <pane xSplit="6" ySplit="1" topLeftCell="G95" activePane="bottomRight" state="frozen"/>
      <selection activeCell="L194" sqref="L194"/>
      <selection pane="topRight" activeCell="L194" sqref="L194"/>
      <selection pane="bottomLeft" activeCell="L194" sqref="L194"/>
      <selection pane="bottomRight" activeCell="L194" sqref="L194"/>
    </sheetView>
  </sheetViews>
  <sheetFormatPr defaultColWidth="9.109375" defaultRowHeight="15.6"/>
  <cols>
    <col min="1" max="1" width="5.88671875" style="939" customWidth="1"/>
    <col min="2" max="3" width="15.109375" style="939" customWidth="1"/>
    <col min="4" max="9" width="11.6640625" style="1" customWidth="1"/>
    <col min="10" max="10" width="25.88671875" style="1" customWidth="1"/>
    <col min="11" max="11" width="16" style="1" customWidth="1"/>
    <col min="12" max="12" width="20.109375" style="991" customWidth="1"/>
    <col min="13" max="16384" width="9.109375" style="1"/>
  </cols>
  <sheetData>
    <row r="1" spans="1:15" ht="46.8">
      <c r="A1" s="940" t="s">
        <v>1763</v>
      </c>
      <c r="B1" s="940" t="s">
        <v>1418</v>
      </c>
      <c r="C1" s="878" t="s">
        <v>1525</v>
      </c>
      <c r="D1" s="878" t="s">
        <v>3007</v>
      </c>
      <c r="E1" s="879" t="s">
        <v>1526</v>
      </c>
      <c r="F1" s="879" t="s">
        <v>2599</v>
      </c>
      <c r="G1" s="879" t="s">
        <v>1530</v>
      </c>
      <c r="H1" s="879" t="s">
        <v>1590</v>
      </c>
      <c r="I1" s="879" t="s">
        <v>3438</v>
      </c>
      <c r="J1" s="873" t="s">
        <v>4050</v>
      </c>
      <c r="K1" s="873" t="s">
        <v>4051</v>
      </c>
    </row>
    <row r="2" spans="1:15">
      <c r="A2" s="936" t="s">
        <v>1765</v>
      </c>
      <c r="B2" s="941" t="s">
        <v>4047</v>
      </c>
      <c r="C2" s="949"/>
      <c r="D2" s="949"/>
      <c r="E2" s="949"/>
      <c r="F2" s="949"/>
      <c r="G2" s="949"/>
      <c r="H2" s="949"/>
      <c r="I2" s="949"/>
      <c r="J2" s="874"/>
      <c r="K2" s="874"/>
    </row>
    <row r="3" spans="1:15">
      <c r="A3" s="937" t="s">
        <v>1631</v>
      </c>
      <c r="B3" s="942" t="s">
        <v>4107</v>
      </c>
      <c r="C3" s="950"/>
      <c r="D3" s="950"/>
      <c r="E3" s="950"/>
      <c r="F3" s="950"/>
      <c r="G3" s="950"/>
      <c r="H3" s="950"/>
      <c r="I3" s="950"/>
      <c r="J3" s="877"/>
      <c r="K3" s="877"/>
    </row>
    <row r="4" spans="1:15">
      <c r="A4" s="938">
        <v>1</v>
      </c>
      <c r="B4" s="938" t="s">
        <v>3040</v>
      </c>
      <c r="C4" s="948"/>
      <c r="D4" s="948"/>
      <c r="E4" s="948">
        <v>1</v>
      </c>
      <c r="F4" s="948"/>
      <c r="G4" s="948"/>
      <c r="H4" s="948"/>
      <c r="I4" s="948"/>
      <c r="J4" s="980" t="s">
        <v>4041</v>
      </c>
      <c r="K4" s="876"/>
      <c r="O4" s="1">
        <f>560/0.22/3</f>
        <v>848.4848484848485</v>
      </c>
    </row>
    <row r="5" spans="1:15">
      <c r="A5" s="938">
        <f>A4+1</f>
        <v>2</v>
      </c>
      <c r="B5" s="938" t="s">
        <v>3042</v>
      </c>
      <c r="C5" s="948"/>
      <c r="D5" s="948"/>
      <c r="E5" s="948">
        <v>1</v>
      </c>
      <c r="F5" s="948"/>
      <c r="G5" s="948"/>
      <c r="H5" s="948"/>
      <c r="I5" s="948"/>
      <c r="J5" s="980" t="s">
        <v>4041</v>
      </c>
      <c r="K5" s="876"/>
    </row>
    <row r="6" spans="1:15">
      <c r="A6" s="938">
        <f t="shared" ref="A6:A95" si="0">A5+1</f>
        <v>3</v>
      </c>
      <c r="B6" s="938" t="s">
        <v>3047</v>
      </c>
      <c r="C6" s="948"/>
      <c r="D6" s="948"/>
      <c r="E6" s="948">
        <v>1</v>
      </c>
      <c r="F6" s="948"/>
      <c r="G6" s="948"/>
      <c r="H6" s="948"/>
      <c r="I6" s="948"/>
      <c r="J6" s="980" t="s">
        <v>4041</v>
      </c>
      <c r="K6" s="876"/>
    </row>
    <row r="7" spans="1:15">
      <c r="A7" s="938">
        <f t="shared" si="0"/>
        <v>4</v>
      </c>
      <c r="B7" s="938" t="s">
        <v>3049</v>
      </c>
      <c r="C7" s="948"/>
      <c r="D7" s="948"/>
      <c r="E7" s="948">
        <v>1</v>
      </c>
      <c r="F7" s="948"/>
      <c r="G7" s="948"/>
      <c r="H7" s="948"/>
      <c r="I7" s="948"/>
      <c r="J7" s="980" t="s">
        <v>4041</v>
      </c>
      <c r="K7" s="876"/>
    </row>
    <row r="8" spans="1:15">
      <c r="A8" s="938">
        <f t="shared" si="0"/>
        <v>5</v>
      </c>
      <c r="B8" s="938" t="s">
        <v>3050</v>
      </c>
      <c r="C8" s="948"/>
      <c r="D8" s="948"/>
      <c r="E8" s="948">
        <v>1</v>
      </c>
      <c r="F8" s="948"/>
      <c r="G8" s="948"/>
      <c r="H8" s="948"/>
      <c r="I8" s="948"/>
      <c r="J8" s="980" t="s">
        <v>4041</v>
      </c>
      <c r="K8" s="876"/>
    </row>
    <row r="9" spans="1:15">
      <c r="A9" s="938">
        <f t="shared" si="0"/>
        <v>6</v>
      </c>
      <c r="B9" s="938" t="s">
        <v>3029</v>
      </c>
      <c r="C9" s="948"/>
      <c r="D9" s="948"/>
      <c r="E9" s="948">
        <v>1</v>
      </c>
      <c r="F9" s="948"/>
      <c r="G9" s="948"/>
      <c r="H9" s="948"/>
      <c r="I9" s="948"/>
      <c r="J9" s="980" t="s">
        <v>4041</v>
      </c>
      <c r="K9" s="876"/>
    </row>
    <row r="10" spans="1:15">
      <c r="A10" s="937" t="s">
        <v>1663</v>
      </c>
      <c r="B10" s="943" t="s">
        <v>4109</v>
      </c>
      <c r="C10" s="951"/>
      <c r="D10" s="948"/>
      <c r="E10" s="948"/>
      <c r="F10" s="948"/>
      <c r="G10" s="948"/>
      <c r="H10" s="948"/>
      <c r="I10" s="948"/>
      <c r="J10" s="875"/>
      <c r="K10" s="876"/>
    </row>
    <row r="11" spans="1:15">
      <c r="A11" s="938" t="s">
        <v>4108</v>
      </c>
      <c r="B11" s="938" t="s">
        <v>3000</v>
      </c>
      <c r="C11" s="948"/>
      <c r="D11" s="948"/>
      <c r="E11" s="948">
        <v>1</v>
      </c>
      <c r="F11" s="948"/>
      <c r="G11" s="948"/>
      <c r="H11" s="948"/>
      <c r="I11" s="948"/>
      <c r="J11" s="980" t="s">
        <v>4041</v>
      </c>
      <c r="K11" s="876"/>
    </row>
    <row r="12" spans="1:15">
      <c r="A12" s="938">
        <f t="shared" si="0"/>
        <v>2</v>
      </c>
      <c r="B12" s="938" t="s">
        <v>3003</v>
      </c>
      <c r="C12" s="948"/>
      <c r="D12" s="948"/>
      <c r="E12" s="948">
        <v>1</v>
      </c>
      <c r="F12" s="948"/>
      <c r="G12" s="948"/>
      <c r="H12" s="948"/>
      <c r="I12" s="948"/>
      <c r="J12" s="980" t="s">
        <v>4041</v>
      </c>
      <c r="K12" s="876"/>
    </row>
    <row r="13" spans="1:15">
      <c r="A13" s="938">
        <f t="shared" si="0"/>
        <v>3</v>
      </c>
      <c r="B13" s="938" t="s">
        <v>3004</v>
      </c>
      <c r="C13" s="948"/>
      <c r="D13" s="948"/>
      <c r="E13" s="948">
        <v>1</v>
      </c>
      <c r="F13" s="948"/>
      <c r="G13" s="948"/>
      <c r="H13" s="948"/>
      <c r="I13" s="948"/>
      <c r="J13" s="980" t="s">
        <v>4041</v>
      </c>
      <c r="K13" s="876"/>
    </row>
    <row r="14" spans="1:15">
      <c r="A14" s="938">
        <f t="shared" si="0"/>
        <v>4</v>
      </c>
      <c r="B14" s="938" t="s">
        <v>3039</v>
      </c>
      <c r="C14" s="948"/>
      <c r="D14" s="948"/>
      <c r="E14" s="948"/>
      <c r="F14" s="948"/>
      <c r="G14" s="948">
        <v>1</v>
      </c>
      <c r="H14" s="948"/>
      <c r="I14" s="948"/>
      <c r="J14" s="875" t="s">
        <v>4044</v>
      </c>
      <c r="K14" s="876"/>
    </row>
    <row r="15" spans="1:15">
      <c r="A15" s="938">
        <f t="shared" si="0"/>
        <v>5</v>
      </c>
      <c r="B15" s="938" t="s">
        <v>3041</v>
      </c>
      <c r="C15" s="948"/>
      <c r="D15" s="948"/>
      <c r="E15" s="948"/>
      <c r="F15" s="948"/>
      <c r="G15" s="948">
        <v>1</v>
      </c>
      <c r="H15" s="948"/>
      <c r="I15" s="948"/>
      <c r="J15" s="875" t="s">
        <v>4044</v>
      </c>
      <c r="K15" s="876"/>
    </row>
    <row r="16" spans="1:15">
      <c r="A16" s="938">
        <f t="shared" si="0"/>
        <v>6</v>
      </c>
      <c r="B16" s="938" t="s">
        <v>3042</v>
      </c>
      <c r="C16" s="948"/>
      <c r="D16" s="948"/>
      <c r="E16" s="948"/>
      <c r="F16" s="948"/>
      <c r="G16" s="948">
        <v>1</v>
      </c>
      <c r="H16" s="948"/>
      <c r="I16" s="948"/>
      <c r="J16" s="875" t="s">
        <v>4044</v>
      </c>
      <c r="K16" s="876"/>
    </row>
    <row r="17" spans="1:11">
      <c r="A17" s="938">
        <f t="shared" si="0"/>
        <v>7</v>
      </c>
      <c r="B17" s="938" t="s">
        <v>3043</v>
      </c>
      <c r="C17" s="948"/>
      <c r="D17" s="948"/>
      <c r="E17" s="948"/>
      <c r="F17" s="948"/>
      <c r="G17" s="948">
        <v>1</v>
      </c>
      <c r="H17" s="948"/>
      <c r="I17" s="948"/>
      <c r="J17" s="875" t="s">
        <v>4044</v>
      </c>
      <c r="K17" s="876"/>
    </row>
    <row r="18" spans="1:11">
      <c r="A18" s="938">
        <f t="shared" si="0"/>
        <v>8</v>
      </c>
      <c r="B18" s="938" t="s">
        <v>3045</v>
      </c>
      <c r="C18" s="948"/>
      <c r="D18" s="948"/>
      <c r="E18" s="948">
        <v>1</v>
      </c>
      <c r="F18" s="948"/>
      <c r="G18" s="948"/>
      <c r="H18" s="948"/>
      <c r="I18" s="948"/>
      <c r="J18" s="980" t="s">
        <v>4041</v>
      </c>
      <c r="K18" s="876"/>
    </row>
    <row r="19" spans="1:11">
      <c r="A19" s="938">
        <f t="shared" si="0"/>
        <v>9</v>
      </c>
      <c r="B19" s="938" t="s">
        <v>3047</v>
      </c>
      <c r="C19" s="948"/>
      <c r="D19" s="948"/>
      <c r="E19" s="948">
        <v>1</v>
      </c>
      <c r="F19" s="948"/>
      <c r="G19" s="948"/>
      <c r="H19" s="948"/>
      <c r="I19" s="948"/>
      <c r="J19" s="980" t="s">
        <v>4041</v>
      </c>
      <c r="K19" s="876"/>
    </row>
    <row r="20" spans="1:11">
      <c r="A20" s="938">
        <f t="shared" si="0"/>
        <v>10</v>
      </c>
      <c r="B20" s="938" t="s">
        <v>3048</v>
      </c>
      <c r="C20" s="948"/>
      <c r="D20" s="948"/>
      <c r="E20" s="948">
        <v>1</v>
      </c>
      <c r="F20" s="948"/>
      <c r="G20" s="948"/>
      <c r="H20" s="948"/>
      <c r="I20" s="948"/>
      <c r="J20" s="980" t="s">
        <v>4041</v>
      </c>
      <c r="K20" s="876"/>
    </row>
    <row r="21" spans="1:11">
      <c r="A21" s="938">
        <f t="shared" si="0"/>
        <v>11</v>
      </c>
      <c r="B21" s="938" t="s">
        <v>3081</v>
      </c>
      <c r="C21" s="948"/>
      <c r="D21" s="948"/>
      <c r="E21" s="948">
        <v>1</v>
      </c>
      <c r="F21" s="948"/>
      <c r="G21" s="948"/>
      <c r="H21" s="948"/>
      <c r="I21" s="948"/>
      <c r="J21" s="980" t="s">
        <v>4041</v>
      </c>
      <c r="K21" s="876"/>
    </row>
    <row r="22" spans="1:11">
      <c r="A22" s="938">
        <f t="shared" si="0"/>
        <v>12</v>
      </c>
      <c r="B22" s="938" t="s">
        <v>3022</v>
      </c>
      <c r="C22" s="948"/>
      <c r="D22" s="948"/>
      <c r="E22" s="948">
        <v>1</v>
      </c>
      <c r="F22" s="948"/>
      <c r="G22" s="948"/>
      <c r="H22" s="948"/>
      <c r="I22" s="948"/>
      <c r="J22" s="980" t="s">
        <v>4041</v>
      </c>
      <c r="K22" s="876"/>
    </row>
    <row r="23" spans="1:11">
      <c r="A23" s="938">
        <f t="shared" si="0"/>
        <v>13</v>
      </c>
      <c r="B23" s="938" t="s">
        <v>3027</v>
      </c>
      <c r="C23" s="948"/>
      <c r="D23" s="948"/>
      <c r="E23" s="948">
        <v>1</v>
      </c>
      <c r="F23" s="948"/>
      <c r="G23" s="948"/>
      <c r="H23" s="948"/>
      <c r="I23" s="948"/>
      <c r="J23" s="980" t="s">
        <v>4041</v>
      </c>
      <c r="K23" s="876"/>
    </row>
    <row r="24" spans="1:11">
      <c r="A24" s="944" t="s">
        <v>1673</v>
      </c>
      <c r="B24" s="943" t="s">
        <v>4110</v>
      </c>
      <c r="C24" s="951"/>
      <c r="D24" s="948"/>
      <c r="E24" s="948"/>
      <c r="F24" s="948"/>
      <c r="G24" s="948"/>
      <c r="H24" s="948"/>
      <c r="I24" s="948"/>
      <c r="J24" s="875"/>
      <c r="K24" s="876"/>
    </row>
    <row r="25" spans="1:11">
      <c r="A25" s="938" t="s">
        <v>4108</v>
      </c>
      <c r="B25" s="938" t="s">
        <v>2996</v>
      </c>
      <c r="C25" s="948">
        <v>1</v>
      </c>
      <c r="D25" s="948"/>
      <c r="E25" s="948"/>
      <c r="F25" s="948"/>
      <c r="G25" s="948"/>
      <c r="H25" s="948"/>
      <c r="I25" s="948"/>
      <c r="J25" s="979" t="s">
        <v>4034</v>
      </c>
      <c r="K25" s="876"/>
    </row>
    <row r="26" spans="1:11">
      <c r="A26" s="938">
        <f t="shared" si="0"/>
        <v>2</v>
      </c>
      <c r="B26" s="938" t="s">
        <v>3000</v>
      </c>
      <c r="C26" s="948"/>
      <c r="D26" s="948"/>
      <c r="E26" s="948">
        <v>1</v>
      </c>
      <c r="F26" s="948"/>
      <c r="G26" s="948"/>
      <c r="H26" s="948"/>
      <c r="I26" s="948"/>
      <c r="J26" s="980" t="s">
        <v>4041</v>
      </c>
      <c r="K26" s="876"/>
    </row>
    <row r="27" spans="1:11">
      <c r="A27" s="938">
        <f t="shared" si="0"/>
        <v>3</v>
      </c>
      <c r="B27" s="938" t="s">
        <v>3002</v>
      </c>
      <c r="C27" s="948"/>
      <c r="D27" s="948"/>
      <c r="E27" s="948">
        <v>1</v>
      </c>
      <c r="F27" s="948"/>
      <c r="G27" s="948"/>
      <c r="H27" s="948"/>
      <c r="I27" s="948"/>
      <c r="J27" s="980" t="s">
        <v>4041</v>
      </c>
      <c r="K27" s="876"/>
    </row>
    <row r="28" spans="1:11">
      <c r="A28" s="938">
        <f t="shared" si="0"/>
        <v>4</v>
      </c>
      <c r="B28" s="938" t="s">
        <v>3003</v>
      </c>
      <c r="C28" s="948"/>
      <c r="D28" s="948"/>
      <c r="E28" s="948">
        <v>1</v>
      </c>
      <c r="F28" s="948"/>
      <c r="G28" s="948"/>
      <c r="H28" s="948"/>
      <c r="I28" s="948"/>
      <c r="J28" s="980" t="s">
        <v>4041</v>
      </c>
      <c r="K28" s="876"/>
    </row>
    <row r="29" spans="1:11">
      <c r="A29" s="938">
        <f t="shared" si="0"/>
        <v>5</v>
      </c>
      <c r="B29" s="938" t="s">
        <v>3004</v>
      </c>
      <c r="C29" s="948"/>
      <c r="D29" s="948"/>
      <c r="E29" s="948">
        <v>1</v>
      </c>
      <c r="F29" s="948"/>
      <c r="G29" s="948"/>
      <c r="H29" s="948"/>
      <c r="I29" s="948"/>
      <c r="J29" s="980" t="s">
        <v>4041</v>
      </c>
      <c r="K29" s="876"/>
    </row>
    <row r="30" spans="1:11">
      <c r="A30" s="938">
        <f t="shared" si="0"/>
        <v>6</v>
      </c>
      <c r="B30" s="938" t="s">
        <v>3038</v>
      </c>
      <c r="C30" s="948"/>
      <c r="D30" s="948"/>
      <c r="E30" s="948">
        <v>1</v>
      </c>
      <c r="F30" s="948"/>
      <c r="G30" s="948"/>
      <c r="H30" s="948"/>
      <c r="I30" s="948"/>
      <c r="J30" s="980" t="s">
        <v>4041</v>
      </c>
      <c r="K30" s="876"/>
    </row>
    <row r="31" spans="1:11">
      <c r="A31" s="938">
        <f t="shared" si="0"/>
        <v>7</v>
      </c>
      <c r="B31" s="938" t="s">
        <v>3039</v>
      </c>
      <c r="C31" s="948"/>
      <c r="D31" s="948"/>
      <c r="E31" s="948">
        <v>1</v>
      </c>
      <c r="F31" s="948"/>
      <c r="G31" s="948"/>
      <c r="H31" s="948"/>
      <c r="I31" s="948"/>
      <c r="J31" s="980" t="s">
        <v>4041</v>
      </c>
      <c r="K31" s="876"/>
    </row>
    <row r="32" spans="1:11">
      <c r="A32" s="944" t="s">
        <v>1717</v>
      </c>
      <c r="B32" s="943" t="s">
        <v>4111</v>
      </c>
      <c r="C32" s="948"/>
      <c r="D32" s="948"/>
      <c r="E32" s="948"/>
      <c r="F32" s="948"/>
      <c r="G32" s="948"/>
      <c r="H32" s="948"/>
      <c r="I32" s="948"/>
      <c r="J32" s="875"/>
      <c r="K32" s="876"/>
    </row>
    <row r="33" spans="1:11">
      <c r="A33" s="938" t="s">
        <v>4108</v>
      </c>
      <c r="B33" s="938" t="s">
        <v>3044</v>
      </c>
      <c r="C33" s="948"/>
      <c r="D33" s="948"/>
      <c r="E33" s="948"/>
      <c r="F33" s="948">
        <v>1</v>
      </c>
      <c r="G33" s="948"/>
      <c r="H33" s="948"/>
      <c r="I33" s="948"/>
      <c r="J33" s="982" t="s">
        <v>4042</v>
      </c>
      <c r="K33" s="876"/>
    </row>
    <row r="34" spans="1:11">
      <c r="A34" s="938">
        <f t="shared" si="0"/>
        <v>2</v>
      </c>
      <c r="B34" s="938" t="s">
        <v>3047</v>
      </c>
      <c r="C34" s="948"/>
      <c r="D34" s="948">
        <v>1</v>
      </c>
      <c r="E34" s="948"/>
      <c r="F34" s="948"/>
      <c r="G34" s="948"/>
      <c r="H34" s="948"/>
      <c r="I34" s="948"/>
      <c r="J34" s="981" t="s">
        <v>4038</v>
      </c>
      <c r="K34" s="876"/>
    </row>
    <row r="35" spans="1:11">
      <c r="A35" s="944" t="s">
        <v>1729</v>
      </c>
      <c r="B35" s="943" t="s">
        <v>4112</v>
      </c>
      <c r="C35" s="948"/>
      <c r="D35" s="948"/>
      <c r="E35" s="948"/>
      <c r="F35" s="948"/>
      <c r="G35" s="948"/>
      <c r="H35" s="948"/>
      <c r="I35" s="948"/>
      <c r="J35" s="875"/>
      <c r="K35" s="876"/>
    </row>
    <row r="36" spans="1:11">
      <c r="A36" s="938" t="s">
        <v>4108</v>
      </c>
      <c r="B36" s="938" t="s">
        <v>3003</v>
      </c>
      <c r="C36" s="948"/>
      <c r="D36" s="948"/>
      <c r="E36" s="948">
        <v>1</v>
      </c>
      <c r="F36" s="948"/>
      <c r="G36" s="948"/>
      <c r="H36" s="948"/>
      <c r="I36" s="948"/>
      <c r="J36" s="980" t="s">
        <v>4041</v>
      </c>
      <c r="K36" s="876"/>
    </row>
    <row r="37" spans="1:11">
      <c r="A37" s="938">
        <f t="shared" si="0"/>
        <v>2</v>
      </c>
      <c r="B37" s="938" t="s">
        <v>3004</v>
      </c>
      <c r="C37" s="948"/>
      <c r="D37" s="948"/>
      <c r="E37" s="948">
        <v>1</v>
      </c>
      <c r="F37" s="948"/>
      <c r="G37" s="948"/>
      <c r="H37" s="948"/>
      <c r="I37" s="948"/>
      <c r="J37" s="980" t="s">
        <v>4041</v>
      </c>
      <c r="K37" s="876"/>
    </row>
    <row r="38" spans="1:11">
      <c r="A38" s="938">
        <f t="shared" si="0"/>
        <v>3</v>
      </c>
      <c r="B38" s="938" t="s">
        <v>3038</v>
      </c>
      <c r="C38" s="948"/>
      <c r="D38" s="948"/>
      <c r="E38" s="948">
        <v>1</v>
      </c>
      <c r="F38" s="948"/>
      <c r="G38" s="948"/>
      <c r="H38" s="948"/>
      <c r="I38" s="948"/>
      <c r="J38" s="980" t="s">
        <v>4041</v>
      </c>
      <c r="K38" s="876"/>
    </row>
    <row r="39" spans="1:11">
      <c r="A39" s="938">
        <f t="shared" si="0"/>
        <v>4</v>
      </c>
      <c r="B39" s="938" t="s">
        <v>3039</v>
      </c>
      <c r="C39" s="948"/>
      <c r="D39" s="948"/>
      <c r="E39" s="948">
        <v>1</v>
      </c>
      <c r="F39" s="948"/>
      <c r="G39" s="948"/>
      <c r="H39" s="948"/>
      <c r="I39" s="948"/>
      <c r="J39" s="980" t="s">
        <v>4041</v>
      </c>
      <c r="K39" s="876"/>
    </row>
    <row r="40" spans="1:11">
      <c r="A40" s="938">
        <f t="shared" si="0"/>
        <v>5</v>
      </c>
      <c r="B40" s="938" t="s">
        <v>3040</v>
      </c>
      <c r="C40" s="948"/>
      <c r="D40" s="948"/>
      <c r="E40" s="948">
        <v>1</v>
      </c>
      <c r="F40" s="948"/>
      <c r="G40" s="948"/>
      <c r="H40" s="948"/>
      <c r="I40" s="948"/>
      <c r="J40" s="980" t="s">
        <v>4041</v>
      </c>
      <c r="K40" s="876"/>
    </row>
    <row r="41" spans="1:11">
      <c r="A41" s="938">
        <f t="shared" si="0"/>
        <v>6</v>
      </c>
      <c r="B41" s="938" t="s">
        <v>3041</v>
      </c>
      <c r="C41" s="948"/>
      <c r="D41" s="948"/>
      <c r="E41" s="948">
        <v>1</v>
      </c>
      <c r="F41" s="948"/>
      <c r="G41" s="948"/>
      <c r="H41" s="948"/>
      <c r="I41" s="948"/>
      <c r="J41" s="980" t="s">
        <v>4041</v>
      </c>
      <c r="K41" s="876"/>
    </row>
    <row r="42" spans="1:11">
      <c r="A42" s="938">
        <f t="shared" si="0"/>
        <v>7</v>
      </c>
      <c r="B42" s="938" t="s">
        <v>3042</v>
      </c>
      <c r="C42" s="948">
        <v>1</v>
      </c>
      <c r="D42" s="948"/>
      <c r="E42" s="948"/>
      <c r="F42" s="948"/>
      <c r="G42" s="948"/>
      <c r="H42" s="948"/>
      <c r="I42" s="948"/>
      <c r="J42" s="979" t="s">
        <v>4034</v>
      </c>
      <c r="K42" s="876"/>
    </row>
    <row r="43" spans="1:11">
      <c r="A43" s="938">
        <f t="shared" si="0"/>
        <v>8</v>
      </c>
      <c r="B43" s="938" t="s">
        <v>3043</v>
      </c>
      <c r="C43" s="948">
        <v>1</v>
      </c>
      <c r="D43" s="948"/>
      <c r="E43" s="948"/>
      <c r="F43" s="948"/>
      <c r="G43" s="948"/>
      <c r="H43" s="948"/>
      <c r="I43" s="948"/>
      <c r="J43" s="979" t="s">
        <v>4034</v>
      </c>
      <c r="K43" s="876"/>
    </row>
    <row r="44" spans="1:11">
      <c r="A44" s="938">
        <f t="shared" si="0"/>
        <v>9</v>
      </c>
      <c r="B44" s="938" t="s">
        <v>3044</v>
      </c>
      <c r="C44" s="948"/>
      <c r="D44" s="948"/>
      <c r="E44" s="948">
        <v>1</v>
      </c>
      <c r="F44" s="948"/>
      <c r="G44" s="948"/>
      <c r="H44" s="948"/>
      <c r="I44" s="948"/>
      <c r="J44" s="980" t="s">
        <v>4041</v>
      </c>
      <c r="K44" s="876"/>
    </row>
    <row r="45" spans="1:11">
      <c r="A45" s="938">
        <f t="shared" si="0"/>
        <v>10</v>
      </c>
      <c r="B45" s="938" t="s">
        <v>3045</v>
      </c>
      <c r="C45" s="948"/>
      <c r="D45" s="948"/>
      <c r="E45" s="948">
        <v>1</v>
      </c>
      <c r="F45" s="948"/>
      <c r="G45" s="948"/>
      <c r="H45" s="948"/>
      <c r="I45" s="948"/>
      <c r="J45" s="980" t="s">
        <v>4041</v>
      </c>
      <c r="K45" s="876"/>
    </row>
    <row r="46" spans="1:11">
      <c r="A46" s="938">
        <f t="shared" si="0"/>
        <v>11</v>
      </c>
      <c r="B46" s="938" t="s">
        <v>3046</v>
      </c>
      <c r="C46" s="948"/>
      <c r="D46" s="948"/>
      <c r="E46" s="948">
        <v>1</v>
      </c>
      <c r="F46" s="948"/>
      <c r="G46" s="948"/>
      <c r="H46" s="948"/>
      <c r="I46" s="948"/>
      <c r="J46" s="980" t="s">
        <v>4041</v>
      </c>
      <c r="K46" s="876"/>
    </row>
    <row r="47" spans="1:11">
      <c r="A47" s="938">
        <f t="shared" si="0"/>
        <v>12</v>
      </c>
      <c r="B47" s="938" t="s">
        <v>3047</v>
      </c>
      <c r="C47" s="948"/>
      <c r="D47" s="948"/>
      <c r="E47" s="948">
        <v>1</v>
      </c>
      <c r="F47" s="948"/>
      <c r="G47" s="948"/>
      <c r="H47" s="948"/>
      <c r="I47" s="948"/>
      <c r="J47" s="980" t="s">
        <v>4041</v>
      </c>
      <c r="K47" s="876"/>
    </row>
    <row r="48" spans="1:11">
      <c r="A48" s="938">
        <f t="shared" si="0"/>
        <v>13</v>
      </c>
      <c r="B48" s="938" t="s">
        <v>3048</v>
      </c>
      <c r="C48" s="948"/>
      <c r="D48" s="948"/>
      <c r="E48" s="948">
        <v>1</v>
      </c>
      <c r="F48" s="948"/>
      <c r="G48" s="948"/>
      <c r="H48" s="948"/>
      <c r="I48" s="948"/>
      <c r="J48" s="980" t="s">
        <v>4041</v>
      </c>
      <c r="K48" s="876"/>
    </row>
    <row r="49" spans="1:11">
      <c r="A49" s="944" t="s">
        <v>1732</v>
      </c>
      <c r="B49" s="943" t="s">
        <v>4113</v>
      </c>
      <c r="C49" s="948"/>
      <c r="D49" s="948"/>
      <c r="E49" s="948"/>
      <c r="F49" s="948"/>
      <c r="G49" s="948"/>
      <c r="H49" s="948"/>
      <c r="I49" s="948"/>
      <c r="J49" s="875"/>
      <c r="K49" s="876"/>
    </row>
    <row r="50" spans="1:11">
      <c r="A50" s="938" t="s">
        <v>4108</v>
      </c>
      <c r="B50" s="938" t="s">
        <v>4114</v>
      </c>
      <c r="C50" s="948"/>
      <c r="D50" s="948"/>
      <c r="E50" s="948">
        <v>1</v>
      </c>
      <c r="F50" s="948"/>
      <c r="G50" s="948"/>
      <c r="H50" s="948"/>
      <c r="I50" s="948"/>
      <c r="J50" s="980" t="s">
        <v>4041</v>
      </c>
      <c r="K50" s="876"/>
    </row>
    <row r="51" spans="1:11">
      <c r="A51" s="938">
        <f t="shared" si="0"/>
        <v>2</v>
      </c>
      <c r="B51" s="938" t="s">
        <v>3006</v>
      </c>
      <c r="C51" s="948"/>
      <c r="D51" s="948"/>
      <c r="E51" s="948">
        <v>1</v>
      </c>
      <c r="F51" s="948"/>
      <c r="G51" s="948"/>
      <c r="H51" s="948"/>
      <c r="I51" s="948"/>
      <c r="J51" s="980" t="s">
        <v>4041</v>
      </c>
      <c r="K51" s="876"/>
    </row>
    <row r="52" spans="1:11">
      <c r="A52" s="938">
        <f t="shared" si="0"/>
        <v>3</v>
      </c>
      <c r="B52" s="938" t="s">
        <v>2991</v>
      </c>
      <c r="C52" s="948"/>
      <c r="D52" s="948"/>
      <c r="E52" s="948">
        <v>1</v>
      </c>
      <c r="F52" s="948"/>
      <c r="G52" s="948"/>
      <c r="H52" s="948"/>
      <c r="I52" s="948"/>
      <c r="J52" s="980" t="s">
        <v>4041</v>
      </c>
      <c r="K52" s="876"/>
    </row>
    <row r="53" spans="1:11">
      <c r="A53" s="938">
        <f t="shared" si="0"/>
        <v>4</v>
      </c>
      <c r="B53" s="938" t="s">
        <v>2992</v>
      </c>
      <c r="C53" s="948"/>
      <c r="D53" s="948"/>
      <c r="E53" s="948">
        <v>1</v>
      </c>
      <c r="F53" s="948"/>
      <c r="G53" s="948"/>
      <c r="H53" s="948"/>
      <c r="I53" s="948"/>
      <c r="J53" s="980" t="s">
        <v>4041</v>
      </c>
      <c r="K53" s="876"/>
    </row>
    <row r="54" spans="1:11">
      <c r="A54" s="938">
        <f t="shared" si="0"/>
        <v>5</v>
      </c>
      <c r="B54" s="938" t="s">
        <v>2993</v>
      </c>
      <c r="C54" s="948"/>
      <c r="D54" s="948"/>
      <c r="E54" s="948">
        <v>1</v>
      </c>
      <c r="F54" s="948"/>
      <c r="G54" s="948"/>
      <c r="H54" s="948"/>
      <c r="I54" s="948"/>
      <c r="J54" s="980" t="s">
        <v>4041</v>
      </c>
      <c r="K54" s="876"/>
    </row>
    <row r="55" spans="1:11">
      <c r="A55" s="938">
        <f t="shared" si="0"/>
        <v>6</v>
      </c>
      <c r="B55" s="938" t="s">
        <v>2994</v>
      </c>
      <c r="C55" s="948"/>
      <c r="D55" s="948"/>
      <c r="E55" s="948">
        <v>1</v>
      </c>
      <c r="F55" s="948"/>
      <c r="G55" s="948"/>
      <c r="H55" s="948"/>
      <c r="I55" s="948"/>
      <c r="J55" s="980" t="s">
        <v>4041</v>
      </c>
      <c r="K55" s="876"/>
    </row>
    <row r="56" spans="1:11">
      <c r="A56" s="938">
        <f t="shared" si="0"/>
        <v>7</v>
      </c>
      <c r="B56" s="938" t="s">
        <v>2995</v>
      </c>
      <c r="C56" s="948">
        <v>1</v>
      </c>
      <c r="D56" s="948"/>
      <c r="E56" s="948"/>
      <c r="F56" s="948"/>
      <c r="G56" s="948"/>
      <c r="H56" s="948"/>
      <c r="I56" s="948"/>
      <c r="J56" s="979" t="s">
        <v>4034</v>
      </c>
      <c r="K56" s="876"/>
    </row>
    <row r="57" spans="1:11">
      <c r="A57" s="938">
        <f t="shared" si="0"/>
        <v>8</v>
      </c>
      <c r="B57" s="938" t="s">
        <v>2996</v>
      </c>
      <c r="C57" s="948"/>
      <c r="D57" s="948"/>
      <c r="E57" s="948">
        <v>1</v>
      </c>
      <c r="F57" s="948"/>
      <c r="G57" s="948"/>
      <c r="H57" s="948"/>
      <c r="I57" s="948"/>
      <c r="J57" s="980" t="s">
        <v>4041</v>
      </c>
      <c r="K57" s="876"/>
    </row>
    <row r="58" spans="1:11">
      <c r="A58" s="938">
        <f t="shared" si="0"/>
        <v>9</v>
      </c>
      <c r="B58" s="938" t="s">
        <v>2997</v>
      </c>
      <c r="C58" s="948"/>
      <c r="D58" s="948"/>
      <c r="E58" s="948">
        <v>1</v>
      </c>
      <c r="F58" s="948"/>
      <c r="G58" s="948"/>
      <c r="H58" s="948"/>
      <c r="I58" s="948"/>
      <c r="J58" s="980" t="s">
        <v>4041</v>
      </c>
      <c r="K58" s="876"/>
    </row>
    <row r="59" spans="1:11">
      <c r="A59" s="938">
        <f t="shared" si="0"/>
        <v>10</v>
      </c>
      <c r="B59" s="938" t="s">
        <v>2998</v>
      </c>
      <c r="C59" s="948"/>
      <c r="D59" s="948"/>
      <c r="E59" s="948">
        <v>1</v>
      </c>
      <c r="F59" s="948"/>
      <c r="G59" s="948"/>
      <c r="H59" s="948"/>
      <c r="I59" s="948"/>
      <c r="J59" s="980" t="s">
        <v>4041</v>
      </c>
      <c r="K59" s="876"/>
    </row>
    <row r="60" spans="1:11">
      <c r="A60" s="938">
        <f t="shared" si="0"/>
        <v>11</v>
      </c>
      <c r="B60" s="938" t="s">
        <v>2999</v>
      </c>
      <c r="C60" s="948">
        <v>1</v>
      </c>
      <c r="D60" s="948"/>
      <c r="E60" s="948"/>
      <c r="F60" s="948"/>
      <c r="G60" s="948"/>
      <c r="H60" s="948"/>
      <c r="I60" s="948"/>
      <c r="J60" s="979" t="s">
        <v>4034</v>
      </c>
      <c r="K60" s="876"/>
    </row>
    <row r="61" spans="1:11">
      <c r="A61" s="938">
        <f t="shared" si="0"/>
        <v>12</v>
      </c>
      <c r="B61" s="938" t="s">
        <v>3000</v>
      </c>
      <c r="C61" s="948"/>
      <c r="D61" s="948"/>
      <c r="E61" s="948">
        <v>1</v>
      </c>
      <c r="F61" s="948"/>
      <c r="G61" s="948"/>
      <c r="H61" s="948"/>
      <c r="I61" s="948"/>
      <c r="J61" s="980" t="s">
        <v>4041</v>
      </c>
      <c r="K61" s="876"/>
    </row>
    <row r="62" spans="1:11">
      <c r="A62" s="938">
        <f t="shared" si="0"/>
        <v>13</v>
      </c>
      <c r="B62" s="938" t="s">
        <v>3001</v>
      </c>
      <c r="C62" s="948"/>
      <c r="D62" s="948"/>
      <c r="E62" s="948">
        <v>1</v>
      </c>
      <c r="F62" s="948"/>
      <c r="G62" s="948"/>
      <c r="H62" s="948"/>
      <c r="I62" s="948"/>
      <c r="J62" s="980" t="s">
        <v>4041</v>
      </c>
      <c r="K62" s="876"/>
    </row>
    <row r="63" spans="1:11">
      <c r="A63" s="938">
        <f t="shared" si="0"/>
        <v>14</v>
      </c>
      <c r="B63" s="938" t="s">
        <v>3002</v>
      </c>
      <c r="C63" s="948">
        <v>1</v>
      </c>
      <c r="D63" s="948"/>
      <c r="E63" s="948"/>
      <c r="F63" s="948"/>
      <c r="G63" s="948"/>
      <c r="H63" s="948"/>
      <c r="I63" s="948"/>
      <c r="J63" s="979" t="s">
        <v>4034</v>
      </c>
      <c r="K63" s="876"/>
    </row>
    <row r="64" spans="1:11">
      <c r="A64" s="938">
        <f t="shared" si="0"/>
        <v>15</v>
      </c>
      <c r="B64" s="938" t="s">
        <v>3003</v>
      </c>
      <c r="C64" s="948"/>
      <c r="D64" s="948"/>
      <c r="E64" s="948">
        <v>1</v>
      </c>
      <c r="F64" s="948"/>
      <c r="G64" s="948"/>
      <c r="H64" s="948"/>
      <c r="I64" s="948"/>
      <c r="J64" s="980" t="s">
        <v>4041</v>
      </c>
      <c r="K64" s="876"/>
    </row>
    <row r="65" spans="1:12">
      <c r="A65" s="944" t="s">
        <v>1771</v>
      </c>
      <c r="B65" s="943" t="s">
        <v>4115</v>
      </c>
      <c r="C65" s="948"/>
      <c r="D65" s="948"/>
      <c r="E65" s="948"/>
      <c r="F65" s="948"/>
      <c r="G65" s="948"/>
      <c r="H65" s="948"/>
      <c r="I65" s="948"/>
      <c r="J65" s="875"/>
      <c r="K65" s="876"/>
    </row>
    <row r="66" spans="1:12">
      <c r="A66" s="938" t="s">
        <v>4108</v>
      </c>
      <c r="B66" s="938" t="s">
        <v>3006</v>
      </c>
      <c r="C66" s="948"/>
      <c r="D66" s="948"/>
      <c r="E66" s="948">
        <v>1</v>
      </c>
      <c r="F66" s="948"/>
      <c r="G66" s="948"/>
      <c r="H66" s="948"/>
      <c r="I66" s="948"/>
      <c r="J66" s="980" t="s">
        <v>4041</v>
      </c>
      <c r="K66" s="876"/>
    </row>
    <row r="67" spans="1:12">
      <c r="A67" s="938">
        <f t="shared" si="0"/>
        <v>2</v>
      </c>
      <c r="B67" s="938" t="s">
        <v>2994</v>
      </c>
      <c r="C67" s="948"/>
      <c r="D67" s="948"/>
      <c r="E67" s="948">
        <v>1</v>
      </c>
      <c r="F67" s="948"/>
      <c r="G67" s="948"/>
      <c r="H67" s="948"/>
      <c r="I67" s="948"/>
      <c r="J67" s="980" t="s">
        <v>4041</v>
      </c>
      <c r="K67" s="876"/>
    </row>
    <row r="68" spans="1:12">
      <c r="A68" s="938">
        <f t="shared" si="0"/>
        <v>3</v>
      </c>
      <c r="B68" s="938" t="s">
        <v>2995</v>
      </c>
      <c r="C68" s="948"/>
      <c r="D68" s="948"/>
      <c r="E68" s="948">
        <v>1</v>
      </c>
      <c r="F68" s="948"/>
      <c r="G68" s="948"/>
      <c r="H68" s="948"/>
      <c r="I68" s="948"/>
      <c r="J68" s="980" t="s">
        <v>4041</v>
      </c>
      <c r="K68" s="876"/>
    </row>
    <row r="69" spans="1:12">
      <c r="A69" s="938">
        <f t="shared" si="0"/>
        <v>4</v>
      </c>
      <c r="B69" s="938" t="s">
        <v>2996</v>
      </c>
      <c r="C69" s="948"/>
      <c r="D69" s="948"/>
      <c r="E69" s="948">
        <v>1</v>
      </c>
      <c r="F69" s="948"/>
      <c r="G69" s="948"/>
      <c r="H69" s="948"/>
      <c r="I69" s="948"/>
      <c r="J69" s="980" t="s">
        <v>4041</v>
      </c>
      <c r="K69" s="876"/>
    </row>
    <row r="70" spans="1:12">
      <c r="A70" s="938">
        <f t="shared" si="0"/>
        <v>5</v>
      </c>
      <c r="B70" s="938" t="s">
        <v>2998</v>
      </c>
      <c r="C70" s="948"/>
      <c r="D70" s="948"/>
      <c r="E70" s="948">
        <v>1</v>
      </c>
      <c r="F70" s="948"/>
      <c r="G70" s="948"/>
      <c r="H70" s="948"/>
      <c r="I70" s="948"/>
      <c r="J70" s="980" t="s">
        <v>4041</v>
      </c>
      <c r="K70" s="876"/>
    </row>
    <row r="71" spans="1:12">
      <c r="A71" s="938">
        <f t="shared" si="0"/>
        <v>6</v>
      </c>
      <c r="B71" s="938" t="s">
        <v>2999</v>
      </c>
      <c r="C71" s="948"/>
      <c r="D71" s="948"/>
      <c r="E71" s="948">
        <v>1</v>
      </c>
      <c r="F71" s="948"/>
      <c r="G71" s="948"/>
      <c r="H71" s="948"/>
      <c r="I71" s="948"/>
      <c r="J71" s="980" t="s">
        <v>4041</v>
      </c>
      <c r="K71" s="876"/>
    </row>
    <row r="72" spans="1:12">
      <c r="A72" s="938">
        <f t="shared" si="0"/>
        <v>7</v>
      </c>
      <c r="B72" s="938" t="s">
        <v>3000</v>
      </c>
      <c r="C72" s="948"/>
      <c r="D72" s="948"/>
      <c r="E72" s="948">
        <v>1</v>
      </c>
      <c r="F72" s="948"/>
      <c r="G72" s="948"/>
      <c r="H72" s="948"/>
      <c r="I72" s="948"/>
      <c r="J72" s="980" t="s">
        <v>4041</v>
      </c>
      <c r="K72" s="876"/>
    </row>
    <row r="73" spans="1:12">
      <c r="A73" s="938">
        <f t="shared" si="0"/>
        <v>8</v>
      </c>
      <c r="B73" s="938" t="s">
        <v>3038</v>
      </c>
      <c r="C73" s="948"/>
      <c r="D73" s="948"/>
      <c r="E73" s="948">
        <v>1</v>
      </c>
      <c r="F73" s="948"/>
      <c r="G73" s="948"/>
      <c r="H73" s="948"/>
      <c r="I73" s="948"/>
      <c r="J73" s="980" t="s">
        <v>4041</v>
      </c>
      <c r="K73" s="876"/>
    </row>
    <row r="74" spans="1:12">
      <c r="A74" s="938">
        <f t="shared" si="0"/>
        <v>9</v>
      </c>
      <c r="B74" s="938" t="s">
        <v>3039</v>
      </c>
      <c r="C74" s="948"/>
      <c r="D74" s="948"/>
      <c r="E74" s="948">
        <v>1</v>
      </c>
      <c r="F74" s="948"/>
      <c r="G74" s="948"/>
      <c r="H74" s="948"/>
      <c r="I74" s="948"/>
      <c r="J74" s="980" t="s">
        <v>4041</v>
      </c>
      <c r="K74" s="876"/>
    </row>
    <row r="75" spans="1:12">
      <c r="A75" s="938">
        <f t="shared" si="0"/>
        <v>10</v>
      </c>
      <c r="B75" s="938" t="s">
        <v>3041</v>
      </c>
      <c r="C75" s="948"/>
      <c r="D75" s="948"/>
      <c r="E75" s="948">
        <v>1</v>
      </c>
      <c r="F75" s="948"/>
      <c r="G75" s="948"/>
      <c r="H75" s="948"/>
      <c r="I75" s="948"/>
      <c r="J75" s="980" t="s">
        <v>4041</v>
      </c>
      <c r="K75" s="876"/>
    </row>
    <row r="76" spans="1:12">
      <c r="A76" s="944" t="s">
        <v>4116</v>
      </c>
      <c r="B76" s="943" t="s">
        <v>4117</v>
      </c>
      <c r="C76" s="948"/>
      <c r="D76" s="948"/>
      <c r="E76" s="948"/>
      <c r="F76" s="948"/>
      <c r="G76" s="948"/>
      <c r="H76" s="948"/>
      <c r="I76" s="948"/>
      <c r="J76" s="875"/>
      <c r="K76" s="876"/>
      <c r="L76" s="991">
        <v>44028</v>
      </c>
    </row>
    <row r="77" spans="1:12">
      <c r="A77" s="938" t="s">
        <v>4108</v>
      </c>
      <c r="B77" s="938" t="s">
        <v>3006</v>
      </c>
      <c r="C77" s="948"/>
      <c r="D77" s="948"/>
      <c r="E77" s="948">
        <v>1</v>
      </c>
      <c r="F77" s="948"/>
      <c r="G77" s="948"/>
      <c r="H77" s="948"/>
      <c r="I77" s="948"/>
      <c r="J77" s="980" t="s">
        <v>4041</v>
      </c>
      <c r="K77" s="876"/>
      <c r="L77" s="991">
        <v>44028</v>
      </c>
    </row>
    <row r="78" spans="1:12">
      <c r="A78" s="938">
        <f t="shared" si="0"/>
        <v>2</v>
      </c>
      <c r="B78" s="938" t="s">
        <v>2991</v>
      </c>
      <c r="C78" s="948"/>
      <c r="D78" s="948"/>
      <c r="E78" s="948">
        <v>1</v>
      </c>
      <c r="F78" s="948"/>
      <c r="G78" s="948"/>
      <c r="H78" s="948"/>
      <c r="I78" s="948"/>
      <c r="J78" s="980" t="s">
        <v>4041</v>
      </c>
      <c r="K78" s="876"/>
      <c r="L78" s="991">
        <v>44028</v>
      </c>
    </row>
    <row r="79" spans="1:12">
      <c r="A79" s="938">
        <f t="shared" si="0"/>
        <v>3</v>
      </c>
      <c r="B79" s="938" t="s">
        <v>2995</v>
      </c>
      <c r="C79" s="948"/>
      <c r="D79" s="948"/>
      <c r="E79" s="948">
        <v>1</v>
      </c>
      <c r="F79" s="948"/>
      <c r="G79" s="948"/>
      <c r="H79" s="948"/>
      <c r="I79" s="948"/>
      <c r="J79" s="980" t="s">
        <v>4041</v>
      </c>
      <c r="K79" s="876"/>
      <c r="L79" s="991">
        <v>44028</v>
      </c>
    </row>
    <row r="80" spans="1:12">
      <c r="A80" s="944" t="s">
        <v>4118</v>
      </c>
      <c r="B80" s="943" t="s">
        <v>4119</v>
      </c>
      <c r="C80" s="948"/>
      <c r="D80" s="948"/>
      <c r="E80" s="948"/>
      <c r="F80" s="948"/>
      <c r="G80" s="948"/>
      <c r="H80" s="948"/>
      <c r="I80" s="948"/>
      <c r="J80" s="875"/>
      <c r="K80" s="876"/>
      <c r="L80" s="991">
        <v>44028</v>
      </c>
    </row>
    <row r="81" spans="1:12">
      <c r="A81" s="938" t="s">
        <v>4108</v>
      </c>
      <c r="B81" s="938" t="s">
        <v>3006</v>
      </c>
      <c r="C81" s="948"/>
      <c r="D81" s="948"/>
      <c r="E81" s="948">
        <v>1</v>
      </c>
      <c r="F81" s="948"/>
      <c r="G81" s="948"/>
      <c r="H81" s="948"/>
      <c r="I81" s="948"/>
      <c r="J81" s="980" t="s">
        <v>4041</v>
      </c>
      <c r="K81" s="876"/>
      <c r="L81" s="991">
        <v>44028</v>
      </c>
    </row>
    <row r="82" spans="1:12">
      <c r="A82" s="938">
        <f t="shared" si="0"/>
        <v>2</v>
      </c>
      <c r="B82" s="938" t="s">
        <v>2995</v>
      </c>
      <c r="C82" s="948"/>
      <c r="D82" s="948"/>
      <c r="E82" s="948">
        <v>1</v>
      </c>
      <c r="F82" s="948"/>
      <c r="G82" s="948"/>
      <c r="H82" s="948"/>
      <c r="I82" s="948"/>
      <c r="J82" s="980" t="s">
        <v>4041</v>
      </c>
      <c r="K82" s="876"/>
      <c r="L82" s="991">
        <v>44028</v>
      </c>
    </row>
    <row r="83" spans="1:12">
      <c r="A83" s="944" t="s">
        <v>4120</v>
      </c>
      <c r="B83" s="943" t="s">
        <v>4122</v>
      </c>
      <c r="C83" s="948"/>
      <c r="D83" s="948"/>
      <c r="E83" s="948"/>
      <c r="F83" s="948"/>
      <c r="G83" s="948"/>
      <c r="H83" s="948"/>
      <c r="I83" s="948"/>
      <c r="J83" s="875"/>
      <c r="K83" s="876"/>
    </row>
    <row r="84" spans="1:12">
      <c r="A84" s="938" t="s">
        <v>4108</v>
      </c>
      <c r="B84" s="938" t="s">
        <v>3790</v>
      </c>
      <c r="C84" s="948"/>
      <c r="D84" s="948"/>
      <c r="E84" s="948"/>
      <c r="F84" s="948">
        <v>1</v>
      </c>
      <c r="G84" s="948"/>
      <c r="H84" s="948"/>
      <c r="I84" s="948"/>
      <c r="J84" s="982" t="s">
        <v>4042</v>
      </c>
      <c r="K84" s="876"/>
    </row>
    <row r="85" spans="1:12">
      <c r="A85" s="938">
        <f t="shared" si="0"/>
        <v>2</v>
      </c>
      <c r="B85" s="938" t="s">
        <v>3006</v>
      </c>
      <c r="C85" s="948"/>
      <c r="D85" s="948"/>
      <c r="E85" s="948"/>
      <c r="F85" s="948">
        <v>1</v>
      </c>
      <c r="G85" s="948"/>
      <c r="H85" s="948"/>
      <c r="I85" s="948"/>
      <c r="J85" s="982" t="s">
        <v>4042</v>
      </c>
      <c r="K85" s="876"/>
    </row>
    <row r="86" spans="1:12">
      <c r="A86" s="938">
        <f t="shared" si="0"/>
        <v>3</v>
      </c>
      <c r="B86" s="938" t="s">
        <v>2991</v>
      </c>
      <c r="C86" s="948"/>
      <c r="D86" s="948"/>
      <c r="E86" s="948"/>
      <c r="F86" s="948">
        <v>1</v>
      </c>
      <c r="G86" s="948"/>
      <c r="H86" s="948"/>
      <c r="I86" s="948"/>
      <c r="J86" s="982" t="s">
        <v>4042</v>
      </c>
      <c r="K86" s="876"/>
    </row>
    <row r="87" spans="1:12">
      <c r="A87" s="938">
        <f t="shared" si="0"/>
        <v>4</v>
      </c>
      <c r="B87" s="938" t="s">
        <v>2992</v>
      </c>
      <c r="C87" s="948"/>
      <c r="D87" s="948"/>
      <c r="E87" s="948"/>
      <c r="F87" s="948">
        <v>1</v>
      </c>
      <c r="G87" s="948"/>
      <c r="H87" s="948"/>
      <c r="I87" s="948"/>
      <c r="J87" s="982" t="s">
        <v>4042</v>
      </c>
      <c r="K87" s="876"/>
    </row>
    <row r="88" spans="1:12">
      <c r="A88" s="938">
        <f t="shared" si="0"/>
        <v>5</v>
      </c>
      <c r="B88" s="938" t="s">
        <v>2993</v>
      </c>
      <c r="C88" s="948"/>
      <c r="D88" s="948"/>
      <c r="E88" s="948"/>
      <c r="F88" s="948">
        <v>1</v>
      </c>
      <c r="G88" s="948"/>
      <c r="H88" s="948"/>
      <c r="I88" s="948"/>
      <c r="J88" s="982" t="s">
        <v>4042</v>
      </c>
      <c r="K88" s="876"/>
    </row>
    <row r="89" spans="1:12">
      <c r="A89" s="938">
        <f t="shared" si="0"/>
        <v>6</v>
      </c>
      <c r="B89" s="938" t="s">
        <v>2999</v>
      </c>
      <c r="C89" s="948"/>
      <c r="D89" s="948"/>
      <c r="E89" s="948"/>
      <c r="F89" s="948">
        <v>1</v>
      </c>
      <c r="G89" s="948"/>
      <c r="H89" s="948"/>
      <c r="I89" s="948"/>
      <c r="J89" s="982" t="s">
        <v>4042</v>
      </c>
      <c r="K89" s="876"/>
    </row>
    <row r="90" spans="1:12">
      <c r="A90" s="938">
        <f t="shared" si="0"/>
        <v>7</v>
      </c>
      <c r="B90" s="938" t="s">
        <v>3001</v>
      </c>
      <c r="C90" s="948"/>
      <c r="D90" s="948"/>
      <c r="E90" s="948"/>
      <c r="F90" s="948">
        <v>1</v>
      </c>
      <c r="G90" s="948"/>
      <c r="H90" s="948"/>
      <c r="I90" s="948"/>
      <c r="J90" s="982" t="s">
        <v>4042</v>
      </c>
      <c r="K90" s="876"/>
    </row>
    <row r="91" spans="1:12">
      <c r="A91" s="944" t="s">
        <v>4121</v>
      </c>
      <c r="B91" s="943" t="s">
        <v>4123</v>
      </c>
      <c r="C91" s="948"/>
      <c r="D91" s="948"/>
      <c r="E91" s="948"/>
      <c r="F91" s="948"/>
      <c r="G91" s="948"/>
      <c r="H91" s="948"/>
      <c r="I91" s="948"/>
      <c r="J91" s="875"/>
      <c r="K91" s="876"/>
    </row>
    <row r="92" spans="1:12">
      <c r="A92" s="938" t="s">
        <v>4108</v>
      </c>
      <c r="B92" s="938" t="s">
        <v>3006</v>
      </c>
      <c r="C92" s="948"/>
      <c r="D92" s="948"/>
      <c r="E92" s="948"/>
      <c r="F92" s="948">
        <v>1</v>
      </c>
      <c r="G92" s="948"/>
      <c r="H92" s="948"/>
      <c r="I92" s="948"/>
      <c r="J92" s="982" t="s">
        <v>4042</v>
      </c>
      <c r="K92" s="876"/>
    </row>
    <row r="93" spans="1:12">
      <c r="A93" s="938">
        <f t="shared" si="0"/>
        <v>2</v>
      </c>
      <c r="B93" s="938" t="s">
        <v>2991</v>
      </c>
      <c r="C93" s="948"/>
      <c r="D93" s="948"/>
      <c r="E93" s="948"/>
      <c r="F93" s="948">
        <v>1</v>
      </c>
      <c r="G93" s="948"/>
      <c r="H93" s="948"/>
      <c r="I93" s="948"/>
      <c r="J93" s="982" t="s">
        <v>4042</v>
      </c>
      <c r="K93" s="876"/>
    </row>
    <row r="94" spans="1:12">
      <c r="A94" s="938">
        <f t="shared" si="0"/>
        <v>3</v>
      </c>
      <c r="B94" s="938" t="s">
        <v>2992</v>
      </c>
      <c r="C94" s="948"/>
      <c r="D94" s="948"/>
      <c r="E94" s="948"/>
      <c r="F94" s="948">
        <v>1</v>
      </c>
      <c r="G94" s="948"/>
      <c r="H94" s="948"/>
      <c r="I94" s="948"/>
      <c r="J94" s="982" t="s">
        <v>4042</v>
      </c>
      <c r="K94" s="876"/>
    </row>
    <row r="95" spans="1:12">
      <c r="A95" s="938">
        <f t="shared" si="0"/>
        <v>4</v>
      </c>
      <c r="B95" s="938" t="s">
        <v>2995</v>
      </c>
      <c r="C95" s="948"/>
      <c r="D95" s="948"/>
      <c r="E95" s="948"/>
      <c r="F95" s="948">
        <v>1</v>
      </c>
      <c r="G95" s="948"/>
      <c r="H95" s="948"/>
      <c r="I95" s="948"/>
      <c r="J95" s="982" t="s">
        <v>4042</v>
      </c>
      <c r="K95" s="876"/>
    </row>
    <row r="96" spans="1:12">
      <c r="A96" s="938">
        <f t="shared" ref="A96:A157" si="1">A95+1</f>
        <v>5</v>
      </c>
      <c r="B96" s="938" t="s">
        <v>2996</v>
      </c>
      <c r="C96" s="948"/>
      <c r="D96" s="948"/>
      <c r="E96" s="948"/>
      <c r="F96" s="948">
        <v>1</v>
      </c>
      <c r="G96" s="948"/>
      <c r="H96" s="948"/>
      <c r="I96" s="948"/>
      <c r="J96" s="982" t="s">
        <v>4042</v>
      </c>
      <c r="K96" s="876"/>
    </row>
    <row r="97" spans="1:12">
      <c r="A97" s="938">
        <f t="shared" si="1"/>
        <v>6</v>
      </c>
      <c r="B97" s="938" t="s">
        <v>2998</v>
      </c>
      <c r="C97" s="948"/>
      <c r="D97" s="948"/>
      <c r="E97" s="948"/>
      <c r="F97" s="948">
        <v>1</v>
      </c>
      <c r="G97" s="948"/>
      <c r="H97" s="948"/>
      <c r="I97" s="948"/>
      <c r="J97" s="982" t="s">
        <v>4042</v>
      </c>
      <c r="K97" s="876"/>
    </row>
    <row r="98" spans="1:12">
      <c r="A98" s="938">
        <f t="shared" si="1"/>
        <v>7</v>
      </c>
      <c r="B98" s="938" t="s">
        <v>2999</v>
      </c>
      <c r="C98" s="948"/>
      <c r="D98" s="948"/>
      <c r="E98" s="948"/>
      <c r="F98" s="948">
        <v>1</v>
      </c>
      <c r="G98" s="948"/>
      <c r="H98" s="948"/>
      <c r="I98" s="948"/>
      <c r="J98" s="982" t="s">
        <v>4042</v>
      </c>
      <c r="K98" s="876"/>
    </row>
    <row r="99" spans="1:12">
      <c r="A99" s="944" t="s">
        <v>4124</v>
      </c>
      <c r="B99" s="943" t="s">
        <v>4125</v>
      </c>
      <c r="C99" s="948"/>
      <c r="D99" s="948"/>
      <c r="E99" s="948"/>
      <c r="F99" s="948"/>
      <c r="G99" s="948"/>
      <c r="H99" s="948"/>
      <c r="I99" s="948"/>
      <c r="J99" s="875"/>
      <c r="K99" s="876"/>
    </row>
    <row r="100" spans="1:12">
      <c r="A100" s="938" t="s">
        <v>4108</v>
      </c>
      <c r="B100" s="938" t="s">
        <v>3006</v>
      </c>
      <c r="C100" s="948"/>
      <c r="D100" s="948"/>
      <c r="E100" s="948">
        <v>1</v>
      </c>
      <c r="F100" s="948"/>
      <c r="G100" s="948"/>
      <c r="H100" s="948"/>
      <c r="I100" s="948"/>
      <c r="J100" s="980" t="s">
        <v>4041</v>
      </c>
      <c r="K100" s="876"/>
    </row>
    <row r="101" spans="1:12">
      <c r="A101" s="944" t="s">
        <v>4127</v>
      </c>
      <c r="B101" s="943" t="s">
        <v>4126</v>
      </c>
      <c r="C101" s="948"/>
      <c r="D101" s="948"/>
      <c r="E101" s="948"/>
      <c r="F101" s="948"/>
      <c r="G101" s="948"/>
      <c r="H101" s="948"/>
      <c r="I101" s="948"/>
      <c r="J101" s="875"/>
      <c r="K101" s="876"/>
      <c r="L101" s="991">
        <v>44029</v>
      </c>
    </row>
    <row r="102" spans="1:12">
      <c r="A102" s="938" t="s">
        <v>4108</v>
      </c>
      <c r="B102" s="938" t="s">
        <v>4128</v>
      </c>
      <c r="C102" s="948"/>
      <c r="D102" s="948"/>
      <c r="E102" s="948">
        <v>1</v>
      </c>
      <c r="F102" s="948"/>
      <c r="G102" s="948"/>
      <c r="H102" s="948"/>
      <c r="I102" s="948"/>
      <c r="J102" s="980" t="s">
        <v>4041</v>
      </c>
      <c r="K102" s="876"/>
      <c r="L102" s="991">
        <v>44029</v>
      </c>
    </row>
    <row r="103" spans="1:12">
      <c r="A103" s="938">
        <f t="shared" si="1"/>
        <v>2</v>
      </c>
      <c r="B103" s="938" t="s">
        <v>3737</v>
      </c>
      <c r="C103" s="948"/>
      <c r="D103" s="948"/>
      <c r="E103" s="948">
        <v>1</v>
      </c>
      <c r="F103" s="948"/>
      <c r="G103" s="948"/>
      <c r="H103" s="948"/>
      <c r="I103" s="948"/>
      <c r="J103" s="980" t="s">
        <v>4041</v>
      </c>
      <c r="K103" s="876"/>
      <c r="L103" s="991">
        <v>44029</v>
      </c>
    </row>
    <row r="104" spans="1:12">
      <c r="A104" s="938">
        <f t="shared" si="1"/>
        <v>3</v>
      </c>
      <c r="B104" s="938" t="s">
        <v>3743</v>
      </c>
      <c r="C104" s="948"/>
      <c r="D104" s="948"/>
      <c r="E104" s="948">
        <v>1</v>
      </c>
      <c r="F104" s="948"/>
      <c r="G104" s="948"/>
      <c r="H104" s="948"/>
      <c r="I104" s="948"/>
      <c r="J104" s="980" t="s">
        <v>4041</v>
      </c>
      <c r="K104" s="876"/>
      <c r="L104" s="991">
        <v>44029</v>
      </c>
    </row>
    <row r="105" spans="1:12">
      <c r="A105" s="938">
        <f t="shared" si="1"/>
        <v>4</v>
      </c>
      <c r="B105" s="938" t="s">
        <v>3755</v>
      </c>
      <c r="C105" s="948"/>
      <c r="D105" s="948"/>
      <c r="E105" s="948">
        <v>1</v>
      </c>
      <c r="F105" s="948"/>
      <c r="G105" s="948"/>
      <c r="H105" s="948"/>
      <c r="I105" s="948"/>
      <c r="J105" s="980" t="s">
        <v>4041</v>
      </c>
      <c r="K105" s="876"/>
      <c r="L105" s="991">
        <v>44029</v>
      </c>
    </row>
    <row r="106" spans="1:12">
      <c r="A106" s="938">
        <f t="shared" si="1"/>
        <v>5</v>
      </c>
      <c r="B106" s="938" t="s">
        <v>3795</v>
      </c>
      <c r="C106" s="948"/>
      <c r="D106" s="948"/>
      <c r="E106" s="948">
        <v>1</v>
      </c>
      <c r="F106" s="948"/>
      <c r="G106" s="948"/>
      <c r="H106" s="948"/>
      <c r="I106" s="948"/>
      <c r="J106" s="980" t="s">
        <v>4041</v>
      </c>
      <c r="K106" s="876"/>
      <c r="L106" s="991">
        <v>44029</v>
      </c>
    </row>
    <row r="107" spans="1:12">
      <c r="A107" s="938">
        <f t="shared" si="1"/>
        <v>6</v>
      </c>
      <c r="B107" s="938" t="s">
        <v>3796</v>
      </c>
      <c r="C107" s="948"/>
      <c r="D107" s="948"/>
      <c r="E107" s="948">
        <v>1</v>
      </c>
      <c r="F107" s="948"/>
      <c r="G107" s="948"/>
      <c r="H107" s="948"/>
      <c r="I107" s="948"/>
      <c r="J107" s="980" t="s">
        <v>4041</v>
      </c>
      <c r="K107" s="876"/>
      <c r="L107" s="991">
        <v>44029</v>
      </c>
    </row>
    <row r="108" spans="1:12">
      <c r="A108" s="938">
        <f t="shared" si="1"/>
        <v>7</v>
      </c>
      <c r="B108" s="938" t="s">
        <v>3799</v>
      </c>
      <c r="C108" s="948"/>
      <c r="D108" s="948"/>
      <c r="E108" s="948">
        <v>1</v>
      </c>
      <c r="F108" s="948"/>
      <c r="G108" s="948"/>
      <c r="H108" s="948"/>
      <c r="I108" s="948"/>
      <c r="J108" s="980" t="s">
        <v>4041</v>
      </c>
      <c r="K108" s="876"/>
      <c r="L108" s="991">
        <v>44029</v>
      </c>
    </row>
    <row r="109" spans="1:12">
      <c r="A109" s="938">
        <f t="shared" si="1"/>
        <v>8</v>
      </c>
      <c r="B109" s="938" t="s">
        <v>3800</v>
      </c>
      <c r="C109" s="948"/>
      <c r="D109" s="948"/>
      <c r="E109" s="948">
        <v>1</v>
      </c>
      <c r="F109" s="948"/>
      <c r="G109" s="948"/>
      <c r="H109" s="948"/>
      <c r="I109" s="948"/>
      <c r="J109" s="980" t="s">
        <v>4041</v>
      </c>
      <c r="K109" s="876"/>
      <c r="L109" s="991">
        <v>44029</v>
      </c>
    </row>
    <row r="110" spans="1:12">
      <c r="A110" s="938">
        <f t="shared" si="1"/>
        <v>9</v>
      </c>
      <c r="B110" s="938" t="s">
        <v>3803</v>
      </c>
      <c r="C110" s="948"/>
      <c r="D110" s="948"/>
      <c r="E110" s="948">
        <v>1</v>
      </c>
      <c r="F110" s="948"/>
      <c r="G110" s="948"/>
      <c r="H110" s="948"/>
      <c r="I110" s="948"/>
      <c r="J110" s="980" t="s">
        <v>4041</v>
      </c>
      <c r="K110" s="876"/>
      <c r="L110" s="991">
        <v>44029</v>
      </c>
    </row>
    <row r="111" spans="1:12">
      <c r="A111" s="944" t="s">
        <v>4129</v>
      </c>
      <c r="B111" s="943" t="s">
        <v>3659</v>
      </c>
      <c r="C111" s="948"/>
      <c r="D111" s="948"/>
      <c r="E111" s="948"/>
      <c r="F111" s="948"/>
      <c r="G111" s="948"/>
      <c r="H111" s="948"/>
      <c r="I111" s="948"/>
      <c r="J111" s="875"/>
      <c r="K111" s="876"/>
    </row>
    <row r="112" spans="1:12">
      <c r="A112" s="938" t="s">
        <v>4108</v>
      </c>
      <c r="B112" s="938" t="s">
        <v>3670</v>
      </c>
      <c r="C112" s="948"/>
      <c r="D112" s="948"/>
      <c r="E112" s="948">
        <v>1</v>
      </c>
      <c r="F112" s="948"/>
      <c r="G112" s="948"/>
      <c r="H112" s="948"/>
      <c r="I112" s="948"/>
      <c r="J112" s="980" t="s">
        <v>4041</v>
      </c>
      <c r="K112" s="876"/>
    </row>
    <row r="113" spans="1:11">
      <c r="A113" s="945">
        <f t="shared" si="1"/>
        <v>2</v>
      </c>
      <c r="B113" s="945" t="s">
        <v>4072</v>
      </c>
      <c r="C113" s="970"/>
      <c r="D113" s="970"/>
      <c r="E113" s="970">
        <v>1</v>
      </c>
      <c r="F113" s="970"/>
      <c r="G113" s="970"/>
      <c r="H113" s="970"/>
      <c r="I113" s="970"/>
      <c r="J113" s="980" t="s">
        <v>4041</v>
      </c>
      <c r="K113" s="947"/>
    </row>
    <row r="114" spans="1:11">
      <c r="A114" s="966" t="s">
        <v>4130</v>
      </c>
      <c r="B114" s="967"/>
      <c r="C114" s="974">
        <f>SUM(C2:C113)</f>
        <v>6</v>
      </c>
      <c r="D114" s="974">
        <f t="shared" ref="D114:I114" si="2">SUM(D2:D113)</f>
        <v>1</v>
      </c>
      <c r="E114" s="974">
        <f>SUM(E2:E113)</f>
        <v>71</v>
      </c>
      <c r="F114" s="974">
        <f t="shared" si="2"/>
        <v>15</v>
      </c>
      <c r="G114" s="974">
        <f t="shared" si="2"/>
        <v>4</v>
      </c>
      <c r="H114" s="974">
        <f t="shared" si="2"/>
        <v>0</v>
      </c>
      <c r="I114" s="974">
        <f t="shared" si="2"/>
        <v>0</v>
      </c>
      <c r="J114" s="975"/>
      <c r="K114" s="976"/>
    </row>
    <row r="115" spans="1:11">
      <c r="A115" s="937" t="s">
        <v>1764</v>
      </c>
      <c r="B115" s="942" t="s">
        <v>4058</v>
      </c>
      <c r="C115" s="971"/>
      <c r="D115" s="972"/>
      <c r="E115" s="972"/>
      <c r="F115" s="972"/>
      <c r="G115" s="972"/>
      <c r="H115" s="972"/>
      <c r="I115" s="972"/>
      <c r="J115" s="972"/>
      <c r="K115" s="973"/>
    </row>
    <row r="116" spans="1:11">
      <c r="A116" s="944" t="s">
        <v>1631</v>
      </c>
      <c r="B116" s="943" t="s">
        <v>3603</v>
      </c>
      <c r="C116" s="938"/>
      <c r="D116" s="875"/>
      <c r="E116" s="875"/>
      <c r="F116" s="875"/>
      <c r="G116" s="875"/>
      <c r="H116" s="875"/>
      <c r="I116" s="875"/>
      <c r="J116" s="875"/>
      <c r="K116" s="876"/>
    </row>
    <row r="117" spans="1:11">
      <c r="A117" s="938" t="s">
        <v>4108</v>
      </c>
      <c r="B117" s="938" t="s">
        <v>4131</v>
      </c>
      <c r="C117" s="938"/>
      <c r="D117" s="875"/>
      <c r="E117" s="875"/>
      <c r="F117" s="875"/>
      <c r="G117" s="875"/>
      <c r="H117" s="875">
        <v>1</v>
      </c>
      <c r="I117" s="875"/>
      <c r="J117" s="977" t="s">
        <v>4031</v>
      </c>
      <c r="K117" s="876"/>
    </row>
    <row r="118" spans="1:11">
      <c r="A118" s="938">
        <f t="shared" si="1"/>
        <v>2</v>
      </c>
      <c r="B118" s="938" t="s">
        <v>4132</v>
      </c>
      <c r="C118" s="945"/>
      <c r="D118" s="946"/>
      <c r="E118" s="946"/>
      <c r="F118" s="946"/>
      <c r="G118" s="946"/>
      <c r="H118" s="946">
        <v>1</v>
      </c>
      <c r="I118" s="946"/>
      <c r="J118" s="977" t="s">
        <v>4031</v>
      </c>
      <c r="K118" s="947"/>
    </row>
    <row r="119" spans="1:11">
      <c r="A119" s="938">
        <f t="shared" si="1"/>
        <v>3</v>
      </c>
      <c r="B119" s="938" t="s">
        <v>4133</v>
      </c>
      <c r="C119" s="945"/>
      <c r="D119" s="946"/>
      <c r="E119" s="946"/>
      <c r="F119" s="946"/>
      <c r="G119" s="946"/>
      <c r="H119" s="946">
        <v>1</v>
      </c>
      <c r="I119" s="946"/>
      <c r="J119" s="977" t="s">
        <v>4031</v>
      </c>
      <c r="K119" s="947"/>
    </row>
    <row r="120" spans="1:11">
      <c r="A120" s="938">
        <f t="shared" si="1"/>
        <v>4</v>
      </c>
      <c r="B120" s="945" t="s">
        <v>4134</v>
      </c>
      <c r="C120" s="945"/>
      <c r="D120" s="946"/>
      <c r="E120" s="946"/>
      <c r="F120" s="946"/>
      <c r="G120" s="946"/>
      <c r="H120" s="946">
        <v>1</v>
      </c>
      <c r="I120" s="946"/>
      <c r="J120" s="977" t="s">
        <v>4031</v>
      </c>
      <c r="K120" s="947"/>
    </row>
    <row r="121" spans="1:11">
      <c r="A121" s="944" t="s">
        <v>1663</v>
      </c>
      <c r="B121" s="962" t="s">
        <v>3643</v>
      </c>
      <c r="C121" s="945"/>
      <c r="D121" s="946"/>
      <c r="E121" s="946"/>
      <c r="F121" s="946"/>
      <c r="G121" s="946"/>
      <c r="H121" s="946"/>
      <c r="I121" s="946"/>
      <c r="J121" s="946"/>
      <c r="K121" s="947"/>
    </row>
    <row r="122" spans="1:11">
      <c r="A122" s="938" t="s">
        <v>4108</v>
      </c>
      <c r="B122" s="945" t="s">
        <v>4135</v>
      </c>
      <c r="C122" s="945"/>
      <c r="D122" s="946"/>
      <c r="E122" s="946"/>
      <c r="F122" s="946"/>
      <c r="G122" s="946"/>
      <c r="H122" s="946"/>
      <c r="I122" s="946">
        <v>1</v>
      </c>
      <c r="J122" s="978" t="s">
        <v>4032</v>
      </c>
      <c r="K122" s="947"/>
    </row>
    <row r="123" spans="1:11">
      <c r="A123" s="938">
        <f t="shared" si="1"/>
        <v>2</v>
      </c>
      <c r="B123" s="945" t="s">
        <v>4136</v>
      </c>
      <c r="C123" s="945"/>
      <c r="D123" s="946"/>
      <c r="E123" s="946"/>
      <c r="F123" s="946"/>
      <c r="G123" s="946"/>
      <c r="H123" s="946"/>
      <c r="I123" s="946">
        <v>1</v>
      </c>
      <c r="J123" s="978" t="s">
        <v>4032</v>
      </c>
      <c r="K123" s="947"/>
    </row>
    <row r="124" spans="1:11">
      <c r="A124" s="944" t="s">
        <v>1673</v>
      </c>
      <c r="B124" s="962" t="s">
        <v>3659</v>
      </c>
      <c r="C124" s="945"/>
      <c r="D124" s="946"/>
      <c r="E124" s="946"/>
      <c r="F124" s="946"/>
      <c r="G124" s="946"/>
      <c r="H124" s="946"/>
      <c r="I124" s="946"/>
      <c r="J124" s="946"/>
      <c r="K124" s="947"/>
    </row>
    <row r="125" spans="1:11">
      <c r="A125" s="938" t="s">
        <v>4108</v>
      </c>
      <c r="B125" s="945" t="s">
        <v>4073</v>
      </c>
      <c r="C125" s="945"/>
      <c r="D125" s="946"/>
      <c r="E125" s="946"/>
      <c r="F125" s="946"/>
      <c r="G125" s="946"/>
      <c r="H125" s="946">
        <v>1</v>
      </c>
      <c r="I125" s="946"/>
      <c r="J125" s="977" t="s">
        <v>4031</v>
      </c>
      <c r="K125" s="947"/>
    </row>
    <row r="126" spans="1:11">
      <c r="A126" s="938">
        <f t="shared" si="1"/>
        <v>2</v>
      </c>
      <c r="B126" s="945" t="s">
        <v>4137</v>
      </c>
      <c r="C126" s="945"/>
      <c r="D126" s="946"/>
      <c r="E126" s="946"/>
      <c r="F126" s="946"/>
      <c r="G126" s="946"/>
      <c r="H126" s="946">
        <v>1</v>
      </c>
      <c r="I126" s="946"/>
      <c r="J126" s="977" t="s">
        <v>4031</v>
      </c>
      <c r="K126" s="947"/>
    </row>
    <row r="127" spans="1:11">
      <c r="A127" s="938">
        <f t="shared" si="1"/>
        <v>3</v>
      </c>
      <c r="B127" s="945" t="s">
        <v>4138</v>
      </c>
      <c r="C127" s="945"/>
      <c r="D127" s="946"/>
      <c r="E127" s="946"/>
      <c r="F127" s="946"/>
      <c r="G127" s="946"/>
      <c r="H127" s="946">
        <v>1</v>
      </c>
      <c r="I127" s="946"/>
      <c r="J127" s="977" t="s">
        <v>4031</v>
      </c>
      <c r="K127" s="947"/>
    </row>
    <row r="128" spans="1:11">
      <c r="A128" s="938">
        <f t="shared" si="1"/>
        <v>4</v>
      </c>
      <c r="B128" s="945" t="s">
        <v>4076</v>
      </c>
      <c r="C128" s="945"/>
      <c r="D128" s="946"/>
      <c r="E128" s="946"/>
      <c r="F128" s="946"/>
      <c r="G128" s="946"/>
      <c r="H128" s="946">
        <v>1</v>
      </c>
      <c r="I128" s="946"/>
      <c r="J128" s="977" t="s">
        <v>4031</v>
      </c>
      <c r="K128" s="947"/>
    </row>
    <row r="129" spans="1:11">
      <c r="A129" s="938">
        <f t="shared" si="1"/>
        <v>5</v>
      </c>
      <c r="B129" s="945" t="s">
        <v>4139</v>
      </c>
      <c r="C129" s="945"/>
      <c r="D129" s="946"/>
      <c r="E129" s="946"/>
      <c r="F129" s="946"/>
      <c r="G129" s="946"/>
      <c r="H129" s="946">
        <v>1</v>
      </c>
      <c r="I129" s="946"/>
      <c r="J129" s="977" t="s">
        <v>4031</v>
      </c>
      <c r="K129" s="947"/>
    </row>
    <row r="130" spans="1:11">
      <c r="A130" s="938">
        <f t="shared" si="1"/>
        <v>6</v>
      </c>
      <c r="B130" s="945" t="s">
        <v>4140</v>
      </c>
      <c r="C130" s="945"/>
      <c r="D130" s="946"/>
      <c r="E130" s="946"/>
      <c r="F130" s="946"/>
      <c r="G130" s="946"/>
      <c r="H130" s="946">
        <v>1</v>
      </c>
      <c r="I130" s="946"/>
      <c r="J130" s="977" t="s">
        <v>4031</v>
      </c>
      <c r="K130" s="947"/>
    </row>
    <row r="131" spans="1:11">
      <c r="A131" s="938">
        <f t="shared" si="1"/>
        <v>7</v>
      </c>
      <c r="B131" s="945" t="s">
        <v>4141</v>
      </c>
      <c r="C131" s="945"/>
      <c r="D131" s="946"/>
      <c r="E131" s="946"/>
      <c r="F131" s="946"/>
      <c r="G131" s="946"/>
      <c r="H131" s="946">
        <v>1</v>
      </c>
      <c r="I131" s="946"/>
      <c r="J131" s="977" t="s">
        <v>4031</v>
      </c>
      <c r="K131" s="947"/>
    </row>
    <row r="132" spans="1:11">
      <c r="A132" s="938">
        <f t="shared" si="1"/>
        <v>8</v>
      </c>
      <c r="B132" s="945" t="s">
        <v>4075</v>
      </c>
      <c r="C132" s="945"/>
      <c r="D132" s="946"/>
      <c r="E132" s="946"/>
      <c r="F132" s="946"/>
      <c r="G132" s="946"/>
      <c r="H132" s="946">
        <v>1</v>
      </c>
      <c r="I132" s="946"/>
      <c r="J132" s="977" t="s">
        <v>4031</v>
      </c>
      <c r="K132" s="947"/>
    </row>
    <row r="133" spans="1:11">
      <c r="A133" s="938">
        <f t="shared" si="1"/>
        <v>9</v>
      </c>
      <c r="B133" s="945" t="s">
        <v>4061</v>
      </c>
      <c r="C133" s="945"/>
      <c r="D133" s="946"/>
      <c r="E133" s="946"/>
      <c r="F133" s="946"/>
      <c r="G133" s="946"/>
      <c r="H133" s="946">
        <v>1</v>
      </c>
      <c r="I133" s="946"/>
      <c r="J133" s="977" t="s">
        <v>4031</v>
      </c>
      <c r="K133" s="947"/>
    </row>
    <row r="134" spans="1:11">
      <c r="A134" s="938">
        <f t="shared" si="1"/>
        <v>10</v>
      </c>
      <c r="B134" s="945" t="s">
        <v>4062</v>
      </c>
      <c r="C134" s="945"/>
      <c r="D134" s="946"/>
      <c r="E134" s="946"/>
      <c r="F134" s="946"/>
      <c r="G134" s="946"/>
      <c r="H134" s="946">
        <v>1</v>
      </c>
      <c r="I134" s="946"/>
      <c r="J134" s="977" t="s">
        <v>4031</v>
      </c>
      <c r="K134" s="947"/>
    </row>
    <row r="135" spans="1:11">
      <c r="A135" s="938">
        <f t="shared" si="1"/>
        <v>11</v>
      </c>
      <c r="B135" s="945" t="s">
        <v>4063</v>
      </c>
      <c r="C135" s="945"/>
      <c r="D135" s="946"/>
      <c r="E135" s="946"/>
      <c r="F135" s="946"/>
      <c r="G135" s="946"/>
      <c r="H135" s="946">
        <v>1</v>
      </c>
      <c r="I135" s="946"/>
      <c r="J135" s="977" t="s">
        <v>4031</v>
      </c>
      <c r="K135" s="947"/>
    </row>
    <row r="136" spans="1:11">
      <c r="A136" s="938">
        <f t="shared" si="1"/>
        <v>12</v>
      </c>
      <c r="B136" s="945" t="s">
        <v>4064</v>
      </c>
      <c r="C136" s="945"/>
      <c r="D136" s="946"/>
      <c r="E136" s="946"/>
      <c r="F136" s="946"/>
      <c r="G136" s="946"/>
      <c r="H136" s="946">
        <v>1</v>
      </c>
      <c r="I136" s="946"/>
      <c r="J136" s="977" t="s">
        <v>4031</v>
      </c>
      <c r="K136" s="947"/>
    </row>
    <row r="137" spans="1:11">
      <c r="A137" s="938">
        <f t="shared" si="1"/>
        <v>13</v>
      </c>
      <c r="B137" s="945" t="s">
        <v>4065</v>
      </c>
      <c r="C137" s="945"/>
      <c r="D137" s="946"/>
      <c r="E137" s="946"/>
      <c r="F137" s="946"/>
      <c r="G137" s="946"/>
      <c r="H137" s="946">
        <v>1</v>
      </c>
      <c r="I137" s="946"/>
      <c r="J137" s="977" t="s">
        <v>4031</v>
      </c>
      <c r="K137" s="947"/>
    </row>
    <row r="138" spans="1:11">
      <c r="A138" s="938">
        <f t="shared" si="1"/>
        <v>14</v>
      </c>
      <c r="B138" s="945" t="s">
        <v>4066</v>
      </c>
      <c r="C138" s="945"/>
      <c r="D138" s="946"/>
      <c r="E138" s="946"/>
      <c r="F138" s="946"/>
      <c r="G138" s="946"/>
      <c r="H138" s="946">
        <v>1</v>
      </c>
      <c r="I138" s="946"/>
      <c r="J138" s="977" t="s">
        <v>4031</v>
      </c>
      <c r="K138" s="947"/>
    </row>
    <row r="139" spans="1:11">
      <c r="A139" s="938">
        <f t="shared" si="1"/>
        <v>15</v>
      </c>
      <c r="B139" s="945" t="s">
        <v>4067</v>
      </c>
      <c r="C139" s="945"/>
      <c r="D139" s="946"/>
      <c r="E139" s="946"/>
      <c r="F139" s="946"/>
      <c r="G139" s="946"/>
      <c r="H139" s="946">
        <v>1</v>
      </c>
      <c r="I139" s="946"/>
      <c r="J139" s="977" t="s">
        <v>4031</v>
      </c>
      <c r="K139" s="947"/>
    </row>
    <row r="140" spans="1:11">
      <c r="A140" s="938">
        <f t="shared" si="1"/>
        <v>16</v>
      </c>
      <c r="B140" s="945" t="s">
        <v>4068</v>
      </c>
      <c r="C140" s="945"/>
      <c r="D140" s="946"/>
      <c r="E140" s="946"/>
      <c r="F140" s="946"/>
      <c r="G140" s="946"/>
      <c r="H140" s="946">
        <v>1</v>
      </c>
      <c r="I140" s="946"/>
      <c r="J140" s="977" t="s">
        <v>4031</v>
      </c>
      <c r="K140" s="947"/>
    </row>
    <row r="141" spans="1:11">
      <c r="A141" s="938">
        <f t="shared" si="1"/>
        <v>17</v>
      </c>
      <c r="B141" s="945" t="s">
        <v>4069</v>
      </c>
      <c r="C141" s="945"/>
      <c r="D141" s="946"/>
      <c r="E141" s="946"/>
      <c r="F141" s="946"/>
      <c r="G141" s="946"/>
      <c r="H141" s="946">
        <v>1</v>
      </c>
      <c r="I141" s="946"/>
      <c r="J141" s="977" t="s">
        <v>4031</v>
      </c>
      <c r="K141" s="947"/>
    </row>
    <row r="142" spans="1:11">
      <c r="A142" s="938">
        <f t="shared" si="1"/>
        <v>18</v>
      </c>
      <c r="B142" s="945" t="s">
        <v>4070</v>
      </c>
      <c r="C142" s="945"/>
      <c r="D142" s="946"/>
      <c r="E142" s="946"/>
      <c r="F142" s="946"/>
      <c r="G142" s="946"/>
      <c r="H142" s="946">
        <v>1</v>
      </c>
      <c r="I142" s="946"/>
      <c r="J142" s="977" t="s">
        <v>4031</v>
      </c>
      <c r="K142" s="947"/>
    </row>
    <row r="143" spans="1:11">
      <c r="A143" s="938">
        <f t="shared" si="1"/>
        <v>19</v>
      </c>
      <c r="B143" s="945" t="s">
        <v>4077</v>
      </c>
      <c r="C143" s="945"/>
      <c r="D143" s="946"/>
      <c r="E143" s="946"/>
      <c r="F143" s="946"/>
      <c r="G143" s="946"/>
      <c r="H143" s="946">
        <v>1</v>
      </c>
      <c r="I143" s="946"/>
      <c r="J143" s="977" t="s">
        <v>4031</v>
      </c>
      <c r="K143" s="947"/>
    </row>
    <row r="144" spans="1:11">
      <c r="A144" s="938">
        <f t="shared" si="1"/>
        <v>20</v>
      </c>
      <c r="B144" s="945" t="s">
        <v>4142</v>
      </c>
      <c r="C144" s="945"/>
      <c r="D144" s="946"/>
      <c r="E144" s="946"/>
      <c r="F144" s="946"/>
      <c r="G144" s="946"/>
      <c r="H144" s="946">
        <v>1</v>
      </c>
      <c r="I144" s="946"/>
      <c r="J144" s="977" t="s">
        <v>4031</v>
      </c>
      <c r="K144" s="947"/>
    </row>
    <row r="145" spans="1:11">
      <c r="A145" s="938">
        <f t="shared" si="1"/>
        <v>21</v>
      </c>
      <c r="B145" s="945" t="s">
        <v>4078</v>
      </c>
      <c r="C145" s="945"/>
      <c r="D145" s="946"/>
      <c r="E145" s="946"/>
      <c r="F145" s="946"/>
      <c r="G145" s="946"/>
      <c r="H145" s="946">
        <v>1</v>
      </c>
      <c r="I145" s="946"/>
      <c r="J145" s="977" t="s">
        <v>4031</v>
      </c>
      <c r="K145" s="947"/>
    </row>
    <row r="146" spans="1:11">
      <c r="A146" s="938">
        <f t="shared" si="1"/>
        <v>22</v>
      </c>
      <c r="B146" s="945" t="s">
        <v>4079</v>
      </c>
      <c r="C146" s="945"/>
      <c r="D146" s="946"/>
      <c r="E146" s="946"/>
      <c r="F146" s="946"/>
      <c r="G146" s="946"/>
      <c r="H146" s="946">
        <v>1</v>
      </c>
      <c r="I146" s="946"/>
      <c r="J146" s="977" t="s">
        <v>4031</v>
      </c>
      <c r="K146" s="947"/>
    </row>
    <row r="147" spans="1:11">
      <c r="A147" s="938">
        <f t="shared" si="1"/>
        <v>23</v>
      </c>
      <c r="B147" s="945" t="s">
        <v>4080</v>
      </c>
      <c r="C147" s="945"/>
      <c r="D147" s="946"/>
      <c r="E147" s="946"/>
      <c r="F147" s="946"/>
      <c r="G147" s="946"/>
      <c r="H147" s="946">
        <v>1</v>
      </c>
      <c r="I147" s="946"/>
      <c r="J147" s="977" t="s">
        <v>4031</v>
      </c>
      <c r="K147" s="947"/>
    </row>
    <row r="148" spans="1:11">
      <c r="A148" s="938">
        <f t="shared" si="1"/>
        <v>24</v>
      </c>
      <c r="B148" s="945" t="s">
        <v>4081</v>
      </c>
      <c r="C148" s="945"/>
      <c r="D148" s="946"/>
      <c r="E148" s="946"/>
      <c r="F148" s="946"/>
      <c r="G148" s="946"/>
      <c r="H148" s="946">
        <v>1</v>
      </c>
      <c r="I148" s="946"/>
      <c r="J148" s="977" t="s">
        <v>4031</v>
      </c>
      <c r="K148" s="947"/>
    </row>
    <row r="149" spans="1:11">
      <c r="A149" s="938">
        <f t="shared" si="1"/>
        <v>25</v>
      </c>
      <c r="B149" s="945" t="s">
        <v>4082</v>
      </c>
      <c r="C149" s="945"/>
      <c r="D149" s="946"/>
      <c r="E149" s="946"/>
      <c r="F149" s="946"/>
      <c r="G149" s="946"/>
      <c r="H149" s="946">
        <v>1</v>
      </c>
      <c r="I149" s="946"/>
      <c r="J149" s="977" t="s">
        <v>4031</v>
      </c>
      <c r="K149" s="947"/>
    </row>
    <row r="150" spans="1:11">
      <c r="A150" s="944" t="s">
        <v>1717</v>
      </c>
      <c r="B150" s="962" t="s">
        <v>3723</v>
      </c>
      <c r="C150" s="963"/>
      <c r="D150" s="964"/>
      <c r="E150" s="964"/>
      <c r="F150" s="964"/>
      <c r="G150" s="964"/>
      <c r="H150" s="964"/>
      <c r="I150" s="964"/>
      <c r="J150" s="964"/>
      <c r="K150" s="965"/>
    </row>
    <row r="151" spans="1:11">
      <c r="A151" s="938" t="s">
        <v>4108</v>
      </c>
      <c r="B151" s="945" t="s">
        <v>3648</v>
      </c>
      <c r="C151" s="945"/>
      <c r="D151" s="946"/>
      <c r="E151" s="946"/>
      <c r="F151" s="946"/>
      <c r="G151" s="946"/>
      <c r="H151" s="946"/>
      <c r="I151" s="946">
        <v>1</v>
      </c>
      <c r="J151" s="978" t="s">
        <v>4032</v>
      </c>
      <c r="K151" s="947"/>
    </row>
    <row r="152" spans="1:11">
      <c r="A152" s="938">
        <f t="shared" si="1"/>
        <v>2</v>
      </c>
      <c r="B152" s="945" t="s">
        <v>3992</v>
      </c>
      <c r="C152" s="945"/>
      <c r="D152" s="946"/>
      <c r="E152" s="946"/>
      <c r="F152" s="946"/>
      <c r="G152" s="946"/>
      <c r="H152" s="946"/>
      <c r="I152" s="946">
        <v>1</v>
      </c>
      <c r="J152" s="978" t="s">
        <v>4032</v>
      </c>
      <c r="K152" s="947"/>
    </row>
    <row r="153" spans="1:11">
      <c r="A153" s="944" t="s">
        <v>1729</v>
      </c>
      <c r="B153" s="962" t="s">
        <v>3728</v>
      </c>
      <c r="C153" s="945"/>
      <c r="D153" s="946"/>
      <c r="E153" s="946"/>
      <c r="F153" s="946"/>
      <c r="G153" s="946"/>
      <c r="H153" s="946"/>
      <c r="I153" s="946"/>
      <c r="J153" s="946"/>
      <c r="K153" s="947"/>
    </row>
    <row r="154" spans="1:11">
      <c r="A154" s="938" t="s">
        <v>4108</v>
      </c>
      <c r="B154" s="945" t="s">
        <v>4143</v>
      </c>
      <c r="C154" s="945"/>
      <c r="D154" s="946"/>
      <c r="E154" s="946"/>
      <c r="F154" s="946"/>
      <c r="G154" s="946"/>
      <c r="H154" s="946"/>
      <c r="I154" s="946">
        <v>1</v>
      </c>
      <c r="J154" s="978" t="s">
        <v>4032</v>
      </c>
      <c r="K154" s="947"/>
    </row>
    <row r="155" spans="1:11">
      <c r="A155" s="938">
        <f t="shared" si="1"/>
        <v>2</v>
      </c>
      <c r="B155" s="945" t="s">
        <v>4144</v>
      </c>
      <c r="C155" s="945"/>
      <c r="D155" s="946"/>
      <c r="E155" s="946"/>
      <c r="F155" s="946"/>
      <c r="G155" s="946"/>
      <c r="H155" s="946"/>
      <c r="I155" s="946">
        <v>1</v>
      </c>
      <c r="J155" s="978" t="s">
        <v>4032</v>
      </c>
      <c r="K155" s="947"/>
    </row>
    <row r="156" spans="1:11">
      <c r="A156" s="938">
        <f t="shared" si="1"/>
        <v>3</v>
      </c>
      <c r="B156" s="945" t="s">
        <v>4145</v>
      </c>
      <c r="C156" s="945"/>
      <c r="D156" s="946"/>
      <c r="E156" s="946"/>
      <c r="F156" s="946"/>
      <c r="G156" s="946"/>
      <c r="H156" s="946"/>
      <c r="I156" s="946">
        <v>1</v>
      </c>
      <c r="J156" s="978" t="s">
        <v>4032</v>
      </c>
      <c r="K156" s="947"/>
    </row>
    <row r="157" spans="1:11">
      <c r="A157" s="938">
        <f t="shared" si="1"/>
        <v>4</v>
      </c>
      <c r="B157" s="945" t="s">
        <v>4146</v>
      </c>
      <c r="C157" s="945"/>
      <c r="D157" s="946"/>
      <c r="E157" s="946"/>
      <c r="F157" s="946"/>
      <c r="G157" s="946"/>
      <c r="H157" s="946"/>
      <c r="I157" s="946">
        <v>1</v>
      </c>
      <c r="J157" s="978" t="s">
        <v>4032</v>
      </c>
      <c r="K157" s="947"/>
    </row>
    <row r="158" spans="1:11">
      <c r="A158" s="944" t="s">
        <v>1732</v>
      </c>
      <c r="B158" s="962" t="s">
        <v>3729</v>
      </c>
      <c r="C158" s="945"/>
      <c r="D158" s="946"/>
      <c r="E158" s="946"/>
      <c r="F158" s="946"/>
      <c r="G158" s="946"/>
      <c r="H158" s="946"/>
      <c r="I158" s="946"/>
      <c r="J158" s="946"/>
      <c r="K158" s="947"/>
    </row>
    <row r="159" spans="1:11">
      <c r="A159" s="938" t="s">
        <v>4108</v>
      </c>
      <c r="B159" s="945" t="s">
        <v>4077</v>
      </c>
      <c r="C159" s="945"/>
      <c r="D159" s="946"/>
      <c r="E159" s="946"/>
      <c r="F159" s="946"/>
      <c r="G159" s="946"/>
      <c r="H159" s="946"/>
      <c r="I159" s="946">
        <v>1</v>
      </c>
      <c r="J159" s="978" t="s">
        <v>4032</v>
      </c>
      <c r="K159" s="947"/>
    </row>
    <row r="160" spans="1:11">
      <c r="A160" s="938">
        <f t="shared" ref="A160:A161" si="3">A159+1</f>
        <v>2</v>
      </c>
      <c r="B160" s="945" t="s">
        <v>4147</v>
      </c>
      <c r="C160" s="945"/>
      <c r="D160" s="946"/>
      <c r="E160" s="946"/>
      <c r="F160" s="946"/>
      <c r="G160" s="946"/>
      <c r="H160" s="946"/>
      <c r="I160" s="946">
        <v>1</v>
      </c>
      <c r="J160" s="978" t="s">
        <v>4032</v>
      </c>
      <c r="K160" s="947"/>
    </row>
    <row r="161" spans="1:11">
      <c r="A161" s="938">
        <f t="shared" si="3"/>
        <v>3</v>
      </c>
      <c r="B161" s="945" t="s">
        <v>4148</v>
      </c>
      <c r="C161" s="945"/>
      <c r="D161" s="946"/>
      <c r="E161" s="946"/>
      <c r="F161" s="946"/>
      <c r="G161" s="946"/>
      <c r="H161" s="946"/>
      <c r="I161" s="946">
        <v>1</v>
      </c>
      <c r="J161" s="978" t="s">
        <v>4032</v>
      </c>
      <c r="K161" s="947"/>
    </row>
    <row r="162" spans="1:11">
      <c r="A162" s="944" t="s">
        <v>1771</v>
      </c>
      <c r="B162" s="962" t="s">
        <v>3730</v>
      </c>
      <c r="C162" s="945"/>
      <c r="D162" s="946"/>
      <c r="E162" s="946"/>
      <c r="F162" s="946"/>
      <c r="G162" s="946"/>
      <c r="H162" s="946"/>
      <c r="I162" s="946"/>
      <c r="J162" s="946"/>
      <c r="K162" s="947"/>
    </row>
    <row r="163" spans="1:11">
      <c r="A163" s="938" t="s">
        <v>4108</v>
      </c>
      <c r="B163" s="945" t="s">
        <v>4149</v>
      </c>
      <c r="C163" s="945"/>
      <c r="D163" s="946"/>
      <c r="E163" s="946"/>
      <c r="F163" s="946"/>
      <c r="G163" s="946"/>
      <c r="H163" s="946">
        <v>1</v>
      </c>
      <c r="I163" s="946"/>
      <c r="J163" s="977" t="s">
        <v>4031</v>
      </c>
      <c r="K163" s="947"/>
    </row>
    <row r="164" spans="1:11">
      <c r="A164" s="938">
        <f t="shared" ref="A164:A196" si="4">A163+1</f>
        <v>2</v>
      </c>
      <c r="B164" s="945" t="s">
        <v>4150</v>
      </c>
      <c r="C164" s="945"/>
      <c r="D164" s="946"/>
      <c r="E164" s="946"/>
      <c r="F164" s="946"/>
      <c r="G164" s="946"/>
      <c r="H164" s="946">
        <v>1</v>
      </c>
      <c r="I164" s="946"/>
      <c r="J164" s="977" t="s">
        <v>4031</v>
      </c>
      <c r="K164" s="947"/>
    </row>
    <row r="165" spans="1:11">
      <c r="A165" s="938">
        <f t="shared" si="4"/>
        <v>3</v>
      </c>
      <c r="B165" s="945" t="s">
        <v>4151</v>
      </c>
      <c r="C165" s="945"/>
      <c r="D165" s="946"/>
      <c r="E165" s="946"/>
      <c r="F165" s="946"/>
      <c r="G165" s="946"/>
      <c r="H165" s="946">
        <v>1</v>
      </c>
      <c r="I165" s="946"/>
      <c r="J165" s="977" t="s">
        <v>4031</v>
      </c>
      <c r="K165" s="947"/>
    </row>
    <row r="166" spans="1:11">
      <c r="A166" s="938">
        <f t="shared" si="4"/>
        <v>4</v>
      </c>
      <c r="B166" s="945" t="s">
        <v>4152</v>
      </c>
      <c r="C166" s="945"/>
      <c r="D166" s="946"/>
      <c r="E166" s="946"/>
      <c r="F166" s="946"/>
      <c r="G166" s="946"/>
      <c r="H166" s="946">
        <v>1</v>
      </c>
      <c r="I166" s="946"/>
      <c r="J166" s="977" t="s">
        <v>4031</v>
      </c>
      <c r="K166" s="947"/>
    </row>
    <row r="167" spans="1:11">
      <c r="A167" s="938">
        <f t="shared" si="4"/>
        <v>5</v>
      </c>
      <c r="B167" s="945" t="s">
        <v>4153</v>
      </c>
      <c r="C167" s="945"/>
      <c r="D167" s="946"/>
      <c r="E167" s="946"/>
      <c r="F167" s="946"/>
      <c r="G167" s="946"/>
      <c r="H167" s="946">
        <v>1</v>
      </c>
      <c r="I167" s="946"/>
      <c r="J167" s="977" t="s">
        <v>4031</v>
      </c>
      <c r="K167" s="947"/>
    </row>
    <row r="168" spans="1:11">
      <c r="A168" s="938">
        <f t="shared" si="4"/>
        <v>6</v>
      </c>
      <c r="B168" s="945" t="s">
        <v>4154</v>
      </c>
      <c r="C168" s="945"/>
      <c r="D168" s="946"/>
      <c r="E168" s="946"/>
      <c r="F168" s="946"/>
      <c r="G168" s="946"/>
      <c r="H168" s="946">
        <v>1</v>
      </c>
      <c r="I168" s="946"/>
      <c r="J168" s="977" t="s">
        <v>4031</v>
      </c>
      <c r="K168" s="947"/>
    </row>
    <row r="169" spans="1:11">
      <c r="A169" s="938">
        <f t="shared" si="4"/>
        <v>7</v>
      </c>
      <c r="B169" s="945" t="s">
        <v>4155</v>
      </c>
      <c r="C169" s="945"/>
      <c r="D169" s="946"/>
      <c r="E169" s="946"/>
      <c r="F169" s="946"/>
      <c r="G169" s="946"/>
      <c r="H169" s="946">
        <v>1</v>
      </c>
      <c r="I169" s="946"/>
      <c r="J169" s="977" t="s">
        <v>4031</v>
      </c>
      <c r="K169" s="947"/>
    </row>
    <row r="170" spans="1:11">
      <c r="A170" s="938">
        <f t="shared" si="4"/>
        <v>8</v>
      </c>
      <c r="B170" s="945" t="s">
        <v>4156</v>
      </c>
      <c r="C170" s="945"/>
      <c r="D170" s="946"/>
      <c r="E170" s="946"/>
      <c r="F170" s="946"/>
      <c r="G170" s="946"/>
      <c r="H170" s="946">
        <v>1</v>
      </c>
      <c r="I170" s="946"/>
      <c r="J170" s="977" t="s">
        <v>4031</v>
      </c>
      <c r="K170" s="947"/>
    </row>
    <row r="171" spans="1:11">
      <c r="A171" s="938">
        <f t="shared" si="4"/>
        <v>9</v>
      </c>
      <c r="B171" s="945" t="s">
        <v>4157</v>
      </c>
      <c r="C171" s="945"/>
      <c r="D171" s="946"/>
      <c r="E171" s="946"/>
      <c r="F171" s="946"/>
      <c r="G171" s="946"/>
      <c r="H171" s="946">
        <v>1</v>
      </c>
      <c r="I171" s="946"/>
      <c r="J171" s="977" t="s">
        <v>4031</v>
      </c>
      <c r="K171" s="947"/>
    </row>
    <row r="172" spans="1:11">
      <c r="A172" s="938">
        <f t="shared" si="4"/>
        <v>10</v>
      </c>
      <c r="B172" s="945" t="s">
        <v>4158</v>
      </c>
      <c r="C172" s="945"/>
      <c r="D172" s="946"/>
      <c r="E172" s="946"/>
      <c r="F172" s="946"/>
      <c r="G172" s="946"/>
      <c r="H172" s="946">
        <v>1</v>
      </c>
      <c r="I172" s="946"/>
      <c r="J172" s="977" t="s">
        <v>4031</v>
      </c>
      <c r="K172" s="947"/>
    </row>
    <row r="173" spans="1:11">
      <c r="A173" s="938">
        <f t="shared" si="4"/>
        <v>11</v>
      </c>
      <c r="B173" s="945" t="s">
        <v>4159</v>
      </c>
      <c r="C173" s="945"/>
      <c r="D173" s="946"/>
      <c r="E173" s="946"/>
      <c r="F173" s="946"/>
      <c r="G173" s="946"/>
      <c r="H173" s="946">
        <v>1</v>
      </c>
      <c r="I173" s="946"/>
      <c r="J173" s="977" t="s">
        <v>4031</v>
      </c>
      <c r="K173" s="947"/>
    </row>
    <row r="174" spans="1:11">
      <c r="A174" s="938">
        <f t="shared" si="4"/>
        <v>12</v>
      </c>
      <c r="B174" s="945" t="s">
        <v>4160</v>
      </c>
      <c r="C174" s="945"/>
      <c r="D174" s="946"/>
      <c r="E174" s="946"/>
      <c r="F174" s="946"/>
      <c r="G174" s="946"/>
      <c r="H174" s="946">
        <v>1</v>
      </c>
      <c r="I174" s="946"/>
      <c r="J174" s="977" t="s">
        <v>4031</v>
      </c>
      <c r="K174" s="947"/>
    </row>
    <row r="175" spans="1:11">
      <c r="A175" s="938">
        <f t="shared" si="4"/>
        <v>13</v>
      </c>
      <c r="B175" s="945" t="s">
        <v>4161</v>
      </c>
      <c r="C175" s="945"/>
      <c r="D175" s="946"/>
      <c r="E175" s="946"/>
      <c r="F175" s="946"/>
      <c r="G175" s="946"/>
      <c r="H175" s="946">
        <v>1</v>
      </c>
      <c r="I175" s="946"/>
      <c r="J175" s="977" t="s">
        <v>4031</v>
      </c>
      <c r="K175" s="947"/>
    </row>
    <row r="176" spans="1:11">
      <c r="A176" s="938">
        <f t="shared" si="4"/>
        <v>14</v>
      </c>
      <c r="B176" s="945" t="s">
        <v>4162</v>
      </c>
      <c r="C176" s="945"/>
      <c r="D176" s="946"/>
      <c r="E176" s="946"/>
      <c r="F176" s="946"/>
      <c r="G176" s="946"/>
      <c r="H176" s="946">
        <v>1</v>
      </c>
      <c r="I176" s="946"/>
      <c r="J176" s="977" t="s">
        <v>4031</v>
      </c>
      <c r="K176" s="947"/>
    </row>
    <row r="177" spans="1:12">
      <c r="A177" s="944" t="s">
        <v>4116</v>
      </c>
      <c r="B177" s="962" t="s">
        <v>3836</v>
      </c>
      <c r="C177" s="945"/>
      <c r="D177" s="946"/>
      <c r="E177" s="946"/>
      <c r="F177" s="946"/>
      <c r="G177" s="946"/>
      <c r="H177" s="946"/>
      <c r="I177" s="946"/>
      <c r="J177" s="946"/>
      <c r="K177" s="947"/>
    </row>
    <row r="178" spans="1:12">
      <c r="A178" s="938" t="s">
        <v>4108</v>
      </c>
      <c r="B178" s="945" t="s">
        <v>3839</v>
      </c>
      <c r="C178" s="945"/>
      <c r="D178" s="946"/>
      <c r="E178" s="946"/>
      <c r="F178" s="946"/>
      <c r="G178" s="946"/>
      <c r="H178" s="946"/>
      <c r="I178" s="946">
        <v>1</v>
      </c>
      <c r="J178" s="978" t="s">
        <v>4032</v>
      </c>
      <c r="K178" s="947"/>
    </row>
    <row r="179" spans="1:12">
      <c r="A179" s="944" t="s">
        <v>4118</v>
      </c>
      <c r="B179" s="962" t="s">
        <v>3837</v>
      </c>
      <c r="C179" s="945"/>
      <c r="D179" s="946"/>
      <c r="E179" s="946"/>
      <c r="F179" s="946"/>
      <c r="G179" s="946"/>
      <c r="H179" s="946"/>
      <c r="I179" s="946"/>
      <c r="J179" s="946"/>
      <c r="K179" s="947"/>
    </row>
    <row r="180" spans="1:12">
      <c r="A180" s="938" t="s">
        <v>4108</v>
      </c>
      <c r="B180" s="945" t="s">
        <v>4163</v>
      </c>
      <c r="C180" s="945"/>
      <c r="D180" s="946"/>
      <c r="E180" s="946"/>
      <c r="F180" s="946"/>
      <c r="G180" s="946"/>
      <c r="H180" s="946">
        <v>1</v>
      </c>
      <c r="I180" s="946"/>
      <c r="J180" s="977" t="s">
        <v>4031</v>
      </c>
      <c r="K180" s="947"/>
      <c r="L180" s="991">
        <v>44028</v>
      </c>
    </row>
    <row r="181" spans="1:12">
      <c r="A181" s="938">
        <f t="shared" si="4"/>
        <v>2</v>
      </c>
      <c r="B181" s="945" t="s">
        <v>4164</v>
      </c>
      <c r="C181" s="945"/>
      <c r="D181" s="946"/>
      <c r="E181" s="946"/>
      <c r="F181" s="946"/>
      <c r="G181" s="946"/>
      <c r="H181" s="946">
        <v>1</v>
      </c>
      <c r="I181" s="946"/>
      <c r="J181" s="977" t="s">
        <v>4031</v>
      </c>
      <c r="K181" s="947"/>
      <c r="L181" s="991">
        <v>44028</v>
      </c>
    </row>
    <row r="182" spans="1:12">
      <c r="A182" s="938">
        <f t="shared" si="4"/>
        <v>3</v>
      </c>
      <c r="B182" s="945" t="s">
        <v>4165</v>
      </c>
      <c r="C182" s="945"/>
      <c r="D182" s="946"/>
      <c r="E182" s="946"/>
      <c r="F182" s="946"/>
      <c r="G182" s="946"/>
      <c r="H182" s="946">
        <v>1</v>
      </c>
      <c r="I182" s="946"/>
      <c r="J182" s="977" t="s">
        <v>4031</v>
      </c>
      <c r="K182" s="947"/>
      <c r="L182" s="991">
        <v>44028</v>
      </c>
    </row>
    <row r="183" spans="1:12">
      <c r="A183" s="938">
        <f t="shared" si="4"/>
        <v>4</v>
      </c>
      <c r="B183" s="945" t="s">
        <v>4166</v>
      </c>
      <c r="C183" s="945"/>
      <c r="D183" s="946"/>
      <c r="E183" s="946"/>
      <c r="F183" s="946"/>
      <c r="G183" s="946"/>
      <c r="H183" s="946">
        <v>1</v>
      </c>
      <c r="I183" s="946"/>
      <c r="J183" s="977" t="s">
        <v>4031</v>
      </c>
      <c r="K183" s="947"/>
      <c r="L183" s="991">
        <v>44028</v>
      </c>
    </row>
    <row r="184" spans="1:12">
      <c r="A184" s="938">
        <f t="shared" si="4"/>
        <v>5</v>
      </c>
      <c r="B184" s="945" t="s">
        <v>4167</v>
      </c>
      <c r="C184" s="945"/>
      <c r="D184" s="946"/>
      <c r="E184" s="946"/>
      <c r="F184" s="946"/>
      <c r="G184" s="946"/>
      <c r="H184" s="946">
        <v>1</v>
      </c>
      <c r="I184" s="946"/>
      <c r="J184" s="977" t="s">
        <v>4031</v>
      </c>
      <c r="K184" s="947"/>
      <c r="L184" s="991">
        <v>44028</v>
      </c>
    </row>
    <row r="185" spans="1:12">
      <c r="A185" s="938">
        <f t="shared" si="4"/>
        <v>6</v>
      </c>
      <c r="B185" s="945" t="s">
        <v>4168</v>
      </c>
      <c r="C185" s="945"/>
      <c r="D185" s="946"/>
      <c r="E185" s="946"/>
      <c r="F185" s="946"/>
      <c r="G185" s="946"/>
      <c r="H185" s="946">
        <v>1</v>
      </c>
      <c r="I185" s="946"/>
      <c r="J185" s="977" t="s">
        <v>4031</v>
      </c>
      <c r="K185" s="947"/>
      <c r="L185" s="991">
        <v>44028</v>
      </c>
    </row>
    <row r="186" spans="1:12">
      <c r="A186" s="938">
        <f t="shared" si="4"/>
        <v>7</v>
      </c>
      <c r="B186" s="945" t="s">
        <v>4169</v>
      </c>
      <c r="C186" s="945"/>
      <c r="D186" s="946"/>
      <c r="E186" s="946"/>
      <c r="F186" s="946"/>
      <c r="G186" s="946"/>
      <c r="H186" s="946">
        <v>1</v>
      </c>
      <c r="I186" s="946"/>
      <c r="J186" s="977" t="s">
        <v>4031</v>
      </c>
      <c r="K186" s="947"/>
      <c r="L186" s="991">
        <v>44028</v>
      </c>
    </row>
    <row r="187" spans="1:12">
      <c r="A187" s="938">
        <f t="shared" si="4"/>
        <v>8</v>
      </c>
      <c r="B187" s="945" t="s">
        <v>4170</v>
      </c>
      <c r="C187" s="945"/>
      <c r="D187" s="946"/>
      <c r="E187" s="946"/>
      <c r="F187" s="946"/>
      <c r="G187" s="946"/>
      <c r="H187" s="946">
        <v>1</v>
      </c>
      <c r="I187" s="946"/>
      <c r="J187" s="977" t="s">
        <v>4031</v>
      </c>
      <c r="K187" s="947"/>
      <c r="L187" s="991">
        <v>44029</v>
      </c>
    </row>
    <row r="188" spans="1:12">
      <c r="A188" s="938">
        <f t="shared" si="4"/>
        <v>9</v>
      </c>
      <c r="B188" s="945" t="s">
        <v>4171</v>
      </c>
      <c r="C188" s="945"/>
      <c r="D188" s="946"/>
      <c r="E188" s="946"/>
      <c r="F188" s="946"/>
      <c r="G188" s="946"/>
      <c r="H188" s="946">
        <v>1</v>
      </c>
      <c r="I188" s="946"/>
      <c r="J188" s="977" t="s">
        <v>4031</v>
      </c>
      <c r="K188" s="947"/>
      <c r="L188" s="991">
        <v>44029</v>
      </c>
    </row>
    <row r="189" spans="1:12">
      <c r="A189" s="938">
        <f t="shared" si="4"/>
        <v>10</v>
      </c>
      <c r="B189" s="945" t="s">
        <v>4172</v>
      </c>
      <c r="C189" s="945"/>
      <c r="D189" s="946"/>
      <c r="E189" s="946"/>
      <c r="F189" s="946"/>
      <c r="G189" s="946"/>
      <c r="H189" s="946">
        <v>1</v>
      </c>
      <c r="I189" s="946"/>
      <c r="J189" s="977" t="s">
        <v>4031</v>
      </c>
      <c r="K189" s="947"/>
      <c r="L189" s="991">
        <v>44029</v>
      </c>
    </row>
    <row r="190" spans="1:12">
      <c r="A190" s="938">
        <f t="shared" si="4"/>
        <v>11</v>
      </c>
      <c r="B190" s="945" t="s">
        <v>4173</v>
      </c>
      <c r="C190" s="945"/>
      <c r="D190" s="946"/>
      <c r="E190" s="946"/>
      <c r="F190" s="946"/>
      <c r="G190" s="946"/>
      <c r="H190" s="946">
        <v>1</v>
      </c>
      <c r="I190" s="946"/>
      <c r="J190" s="977" t="s">
        <v>4031</v>
      </c>
      <c r="K190" s="947"/>
      <c r="L190" s="991">
        <v>44029</v>
      </c>
    </row>
    <row r="191" spans="1:12">
      <c r="A191" s="938">
        <f t="shared" si="4"/>
        <v>12</v>
      </c>
      <c r="B191" s="945" t="s">
        <v>4174</v>
      </c>
      <c r="C191" s="945"/>
      <c r="D191" s="946"/>
      <c r="E191" s="946"/>
      <c r="F191" s="946"/>
      <c r="G191" s="946"/>
      <c r="H191" s="946">
        <v>1</v>
      </c>
      <c r="I191" s="946"/>
      <c r="J191" s="977" t="s">
        <v>4031</v>
      </c>
      <c r="K191" s="947"/>
      <c r="L191" s="991">
        <v>44029</v>
      </c>
    </row>
    <row r="192" spans="1:12">
      <c r="A192" s="938">
        <f t="shared" si="4"/>
        <v>13</v>
      </c>
      <c r="B192" s="945" t="s">
        <v>4175</v>
      </c>
      <c r="C192" s="945"/>
      <c r="D192" s="946"/>
      <c r="E192" s="946"/>
      <c r="F192" s="946"/>
      <c r="G192" s="946"/>
      <c r="H192" s="946">
        <v>1</v>
      </c>
      <c r="I192" s="946"/>
      <c r="J192" s="977" t="s">
        <v>4031</v>
      </c>
      <c r="K192" s="947"/>
      <c r="L192" s="991">
        <v>44029</v>
      </c>
    </row>
    <row r="193" spans="1:12">
      <c r="A193" s="938">
        <f t="shared" si="4"/>
        <v>14</v>
      </c>
      <c r="B193" s="945" t="s">
        <v>4176</v>
      </c>
      <c r="C193" s="945"/>
      <c r="D193" s="946"/>
      <c r="E193" s="946"/>
      <c r="F193" s="946"/>
      <c r="G193" s="946"/>
      <c r="H193" s="946">
        <v>1</v>
      </c>
      <c r="I193" s="946"/>
      <c r="J193" s="977" t="s">
        <v>4031</v>
      </c>
      <c r="K193" s="947"/>
      <c r="L193" s="991">
        <v>44029</v>
      </c>
    </row>
    <row r="194" spans="1:12">
      <c r="A194" s="938">
        <f t="shared" si="4"/>
        <v>15</v>
      </c>
      <c r="B194" s="945" t="s">
        <v>4177</v>
      </c>
      <c r="C194" s="945"/>
      <c r="D194" s="946"/>
      <c r="E194" s="946"/>
      <c r="F194" s="946"/>
      <c r="G194" s="946"/>
      <c r="H194" s="946">
        <v>1</v>
      </c>
      <c r="I194" s="946"/>
      <c r="J194" s="977" t="s">
        <v>4031</v>
      </c>
      <c r="K194" s="947"/>
      <c r="L194" s="991">
        <v>44029</v>
      </c>
    </row>
    <row r="195" spans="1:12">
      <c r="A195" s="938">
        <f t="shared" si="4"/>
        <v>16</v>
      </c>
      <c r="B195" s="945" t="s">
        <v>4178</v>
      </c>
      <c r="C195" s="945"/>
      <c r="D195" s="946"/>
      <c r="E195" s="946"/>
      <c r="F195" s="946"/>
      <c r="G195" s="946"/>
      <c r="H195" s="946">
        <v>1</v>
      </c>
      <c r="I195" s="946"/>
      <c r="J195" s="977" t="s">
        <v>4031</v>
      </c>
      <c r="K195" s="947"/>
      <c r="L195" s="991">
        <v>44029</v>
      </c>
    </row>
    <row r="196" spans="1:12">
      <c r="A196" s="945">
        <f t="shared" si="4"/>
        <v>17</v>
      </c>
      <c r="B196" s="945" t="s">
        <v>4179</v>
      </c>
      <c r="C196" s="945"/>
      <c r="D196" s="946"/>
      <c r="E196" s="946"/>
      <c r="F196" s="946"/>
      <c r="G196" s="946"/>
      <c r="H196" s="946">
        <v>1</v>
      </c>
      <c r="I196" s="946"/>
      <c r="J196" s="977" t="s">
        <v>4031</v>
      </c>
      <c r="K196" s="947"/>
      <c r="L196" s="991">
        <v>44029</v>
      </c>
    </row>
    <row r="197" spans="1:12">
      <c r="A197" s="966"/>
      <c r="B197" s="966" t="s">
        <v>4180</v>
      </c>
      <c r="C197" s="967"/>
      <c r="D197" s="968"/>
      <c r="E197" s="968"/>
      <c r="F197" s="968"/>
      <c r="G197" s="968"/>
      <c r="H197" s="975">
        <f>SUM(H116:H196)</f>
        <v>60</v>
      </c>
      <c r="I197" s="975">
        <f>SUM(I116:I196)</f>
        <v>12</v>
      </c>
      <c r="J197" s="968"/>
      <c r="K197" s="969"/>
    </row>
  </sheetData>
  <autoFilter ref="A1:O197" xr:uid="{00000000-0009-0000-0000-00001A000000}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B3:J32"/>
  <sheetViews>
    <sheetView workbookViewId="0">
      <selection activeCell="D9" sqref="D9"/>
    </sheetView>
  </sheetViews>
  <sheetFormatPr defaultColWidth="9.109375" defaultRowHeight="15.6"/>
  <cols>
    <col min="1" max="2" width="9.109375" style="1"/>
    <col min="3" max="3" width="22" style="1" customWidth="1"/>
    <col min="4" max="4" width="19.88671875" style="1" customWidth="1"/>
    <col min="5" max="5" width="19.88671875" style="1" hidden="1" customWidth="1"/>
    <col min="6" max="6" width="18.88671875" style="1" customWidth="1"/>
    <col min="7" max="7" width="18.44140625" style="1" hidden="1" customWidth="1"/>
    <col min="8" max="8" width="18.6640625" style="1" hidden="1" customWidth="1"/>
    <col min="9" max="9" width="23.109375" style="1" hidden="1" customWidth="1"/>
    <col min="10" max="10" width="20" style="1" hidden="1" customWidth="1"/>
    <col min="11" max="11" width="12" style="1" customWidth="1"/>
    <col min="12" max="12" width="11.44140625" style="1" customWidth="1"/>
    <col min="13" max="16384" width="9.109375" style="1"/>
  </cols>
  <sheetData>
    <row r="3" spans="2:10">
      <c r="B3" s="671" t="s">
        <v>4023</v>
      </c>
      <c r="C3" s="671" t="s">
        <v>4024</v>
      </c>
      <c r="D3" s="671" t="s">
        <v>4030</v>
      </c>
      <c r="E3" s="671" t="s">
        <v>4045</v>
      </c>
      <c r="F3" s="671" t="s">
        <v>4025</v>
      </c>
      <c r="G3" s="671" t="s">
        <v>4026</v>
      </c>
      <c r="H3" s="671" t="s">
        <v>4027</v>
      </c>
      <c r="I3" s="671" t="s">
        <v>4028</v>
      </c>
      <c r="J3" s="671" t="s">
        <v>4029</v>
      </c>
    </row>
    <row r="4" spans="2:10">
      <c r="B4" s="861">
        <v>1</v>
      </c>
      <c r="C4" s="856" t="s">
        <v>4035</v>
      </c>
      <c r="D4" s="861" t="s">
        <v>4031</v>
      </c>
      <c r="E4" s="861">
        <f>ROUND(1.45*0.5*2+1.15*0.5*2,3)</f>
        <v>2.6</v>
      </c>
      <c r="F4" s="861">
        <v>60</v>
      </c>
      <c r="G4" s="856">
        <v>8.6999999999999994E-3</v>
      </c>
      <c r="H4" s="856">
        <v>5.4999999999999997E-3</v>
      </c>
      <c r="I4" s="856">
        <v>2.06E-2</v>
      </c>
      <c r="J4" s="856"/>
    </row>
    <row r="5" spans="2:10" ht="31.2">
      <c r="B5" s="862">
        <f>B4+1</f>
        <v>2</v>
      </c>
      <c r="C5" s="863" t="s">
        <v>4036</v>
      </c>
      <c r="D5" s="862" t="s">
        <v>4032</v>
      </c>
      <c r="E5" s="862">
        <f>ROUND(1.3*0.5*2+1*0.5*2,3)</f>
        <v>2.2999999999999998</v>
      </c>
      <c r="F5" s="862">
        <v>12</v>
      </c>
      <c r="G5" s="864">
        <v>7.7000000000000002E-3</v>
      </c>
      <c r="H5" s="864">
        <v>4.7999999999999996E-3</v>
      </c>
      <c r="I5" s="864">
        <v>1.8200000000000001E-2</v>
      </c>
      <c r="J5" s="858"/>
    </row>
    <row r="6" spans="2:10">
      <c r="B6" s="862">
        <f t="shared" ref="B6:B10" si="0">B5+1</f>
        <v>3</v>
      </c>
      <c r="C6" s="858" t="s">
        <v>4033</v>
      </c>
      <c r="D6" s="862" t="s">
        <v>4034</v>
      </c>
      <c r="E6" s="862">
        <f>ROUND(1.2*0.8*4,3)</f>
        <v>3.84</v>
      </c>
      <c r="F6" s="862">
        <v>6</v>
      </c>
      <c r="G6" s="858">
        <v>1.29E-2</v>
      </c>
      <c r="H6" s="858">
        <v>8.0999999999999996E-3</v>
      </c>
      <c r="I6" s="858">
        <v>3.04E-2</v>
      </c>
      <c r="J6" s="858"/>
    </row>
    <row r="7" spans="2:10" ht="31.2">
      <c r="B7" s="862">
        <f t="shared" si="0"/>
        <v>4</v>
      </c>
      <c r="C7" s="865" t="s">
        <v>4037</v>
      </c>
      <c r="D7" s="862" t="s">
        <v>4038</v>
      </c>
      <c r="E7" s="862">
        <f>ROUND(1*0.8*4,3)</f>
        <v>3.2</v>
      </c>
      <c r="F7" s="862">
        <v>1</v>
      </c>
      <c r="G7" s="864">
        <v>1.0699999999999999E-2</v>
      </c>
      <c r="H7" s="864">
        <v>6.7000000000000002E-3</v>
      </c>
      <c r="I7" s="864">
        <v>2.53E-2</v>
      </c>
      <c r="J7" s="858"/>
    </row>
    <row r="8" spans="2:10">
      <c r="B8" s="862">
        <f t="shared" si="0"/>
        <v>5</v>
      </c>
      <c r="C8" s="865" t="s">
        <v>4040</v>
      </c>
      <c r="D8" s="862" t="s">
        <v>4041</v>
      </c>
      <c r="E8" s="862">
        <f>ROUND(1.5*0.8*2+1.3*0.8*2,3)</f>
        <v>4.4800000000000004</v>
      </c>
      <c r="F8" s="862">
        <v>71</v>
      </c>
      <c r="G8" s="866">
        <v>1.4999999999999999E-2</v>
      </c>
      <c r="H8" s="866">
        <v>9.4000000000000004E-3</v>
      </c>
      <c r="I8" s="866">
        <v>3.5499999999999997E-2</v>
      </c>
      <c r="J8" s="858"/>
    </row>
    <row r="9" spans="2:10" ht="31.2">
      <c r="B9" s="862">
        <f t="shared" si="0"/>
        <v>6</v>
      </c>
      <c r="C9" s="865" t="s">
        <v>4039</v>
      </c>
      <c r="D9" s="862" t="s">
        <v>4042</v>
      </c>
      <c r="E9" s="862">
        <f>ROUND(1.2*0.8*2+1.4*0.8*2,3)</f>
        <v>4.16</v>
      </c>
      <c r="F9" s="862">
        <v>15</v>
      </c>
      <c r="G9" s="866">
        <v>1.3899999999999999E-2</v>
      </c>
      <c r="H9" s="866">
        <v>8.6999999999999994E-3</v>
      </c>
      <c r="I9" s="866">
        <v>3.2899999999999999E-2</v>
      </c>
      <c r="J9" s="858"/>
    </row>
    <row r="10" spans="2:10">
      <c r="B10" s="862">
        <f t="shared" si="0"/>
        <v>7</v>
      </c>
      <c r="C10" s="865" t="s">
        <v>4043</v>
      </c>
      <c r="D10" s="862" t="s">
        <v>4044</v>
      </c>
      <c r="E10" s="862">
        <f>ROUND(1.8*1.2*2+1.5*1.2*2,3)</f>
        <v>7.92</v>
      </c>
      <c r="F10" s="862">
        <v>4</v>
      </c>
      <c r="G10" s="858">
        <v>2.6499999999999999E-2</v>
      </c>
      <c r="H10" s="858">
        <v>1.66E-2</v>
      </c>
      <c r="I10" s="858">
        <v>6.2700000000000006E-2</v>
      </c>
      <c r="J10" s="858"/>
    </row>
    <row r="11" spans="2:10">
      <c r="B11" s="857"/>
      <c r="C11" s="858"/>
      <c r="D11" s="857"/>
      <c r="E11" s="857"/>
      <c r="F11" s="857"/>
      <c r="G11" s="857"/>
      <c r="H11" s="857"/>
      <c r="I11" s="857"/>
      <c r="J11" s="858"/>
    </row>
    <row r="12" spans="2:10" hidden="1">
      <c r="B12" s="857"/>
      <c r="C12" s="858"/>
      <c r="D12" s="857"/>
      <c r="E12" s="857"/>
      <c r="F12" s="857"/>
      <c r="G12" s="857"/>
      <c r="H12" s="857"/>
      <c r="I12" s="857"/>
      <c r="J12" s="858"/>
    </row>
    <row r="13" spans="2:10" hidden="1">
      <c r="B13" s="857"/>
      <c r="C13" s="858"/>
      <c r="D13" s="857"/>
      <c r="E13" s="857"/>
      <c r="F13" s="857"/>
      <c r="G13" s="857"/>
      <c r="H13" s="857"/>
      <c r="I13" s="857"/>
      <c r="J13" s="858"/>
    </row>
    <row r="14" spans="2:10" hidden="1">
      <c r="B14" s="857"/>
      <c r="C14" s="858"/>
      <c r="D14" s="857"/>
      <c r="E14" s="857"/>
      <c r="F14" s="857"/>
      <c r="G14" s="857"/>
      <c r="H14" s="857"/>
      <c r="I14" s="857"/>
      <c r="J14" s="858"/>
    </row>
    <row r="15" spans="2:10" hidden="1">
      <c r="B15" s="857"/>
      <c r="C15" s="858"/>
      <c r="D15" s="857"/>
      <c r="E15" s="857"/>
      <c r="F15" s="857"/>
      <c r="G15" s="857"/>
      <c r="H15" s="857"/>
      <c r="I15" s="857"/>
      <c r="J15" s="858"/>
    </row>
    <row r="16" spans="2:10" hidden="1">
      <c r="B16" s="857"/>
      <c r="C16" s="858"/>
      <c r="D16" s="857"/>
      <c r="E16" s="857"/>
      <c r="F16" s="857"/>
      <c r="G16" s="857"/>
      <c r="H16" s="857"/>
      <c r="I16" s="857"/>
      <c r="J16" s="858"/>
    </row>
    <row r="17" spans="2:10" hidden="1">
      <c r="B17" s="857"/>
      <c r="C17" s="858"/>
      <c r="D17" s="857"/>
      <c r="E17" s="857"/>
      <c r="F17" s="857"/>
      <c r="G17" s="857"/>
      <c r="H17" s="857"/>
      <c r="I17" s="857"/>
      <c r="J17" s="858"/>
    </row>
    <row r="18" spans="2:10" hidden="1">
      <c r="B18" s="857"/>
      <c r="C18" s="858"/>
      <c r="D18" s="857"/>
      <c r="E18" s="857"/>
      <c r="F18" s="857"/>
      <c r="G18" s="857"/>
      <c r="H18" s="857"/>
      <c r="I18" s="857"/>
      <c r="J18" s="858"/>
    </row>
    <row r="19" spans="2:10" hidden="1">
      <c r="B19" s="857"/>
      <c r="C19" s="858"/>
      <c r="D19" s="857"/>
      <c r="E19" s="857"/>
      <c r="F19" s="857"/>
      <c r="G19" s="857"/>
      <c r="H19" s="857"/>
      <c r="I19" s="857"/>
      <c r="J19" s="858"/>
    </row>
    <row r="20" spans="2:10" hidden="1">
      <c r="B20" s="857"/>
      <c r="C20" s="858"/>
      <c r="D20" s="857"/>
      <c r="E20" s="857"/>
      <c r="F20" s="857"/>
      <c r="G20" s="857"/>
      <c r="H20" s="857"/>
      <c r="I20" s="857"/>
      <c r="J20" s="858"/>
    </row>
    <row r="21" spans="2:10" hidden="1">
      <c r="B21" s="857"/>
      <c r="C21" s="858"/>
      <c r="D21" s="857"/>
      <c r="E21" s="857"/>
      <c r="F21" s="857"/>
      <c r="G21" s="857"/>
      <c r="H21" s="857"/>
      <c r="I21" s="857"/>
      <c r="J21" s="858"/>
    </row>
    <row r="22" spans="2:10" hidden="1">
      <c r="B22" s="857"/>
      <c r="C22" s="858"/>
      <c r="D22" s="857"/>
      <c r="E22" s="857"/>
      <c r="F22" s="857"/>
      <c r="G22" s="857"/>
      <c r="H22" s="857"/>
      <c r="I22" s="857"/>
      <c r="J22" s="858"/>
    </row>
    <row r="23" spans="2:10" hidden="1">
      <c r="B23" s="857"/>
      <c r="C23" s="858"/>
      <c r="D23" s="857"/>
      <c r="E23" s="857"/>
      <c r="F23" s="857"/>
      <c r="G23" s="857"/>
      <c r="H23" s="857"/>
      <c r="I23" s="857"/>
      <c r="J23" s="858"/>
    </row>
    <row r="24" spans="2:10" hidden="1">
      <c r="B24" s="857"/>
      <c r="C24" s="858"/>
      <c r="D24" s="857"/>
      <c r="E24" s="857"/>
      <c r="F24" s="857"/>
      <c r="G24" s="857"/>
      <c r="H24" s="857"/>
      <c r="I24" s="857"/>
      <c r="J24" s="858"/>
    </row>
    <row r="25" spans="2:10" hidden="1">
      <c r="B25" s="857"/>
      <c r="C25" s="858"/>
      <c r="D25" s="857"/>
      <c r="E25" s="857"/>
      <c r="F25" s="857"/>
      <c r="G25" s="857"/>
      <c r="H25" s="857"/>
      <c r="I25" s="857"/>
      <c r="J25" s="858"/>
    </row>
    <row r="26" spans="2:10" hidden="1">
      <c r="B26" s="857"/>
      <c r="C26" s="858"/>
      <c r="D26" s="857"/>
      <c r="E26" s="857"/>
      <c r="F26" s="857"/>
      <c r="G26" s="857"/>
      <c r="H26" s="857"/>
      <c r="I26" s="857"/>
      <c r="J26" s="858"/>
    </row>
    <row r="27" spans="2:10" hidden="1">
      <c r="B27" s="857"/>
      <c r="C27" s="858"/>
      <c r="D27" s="857"/>
      <c r="E27" s="857"/>
      <c r="F27" s="857"/>
      <c r="G27" s="857"/>
      <c r="H27" s="857"/>
      <c r="I27" s="857"/>
      <c r="J27" s="858"/>
    </row>
    <row r="28" spans="2:10">
      <c r="B28" s="859"/>
      <c r="C28" s="859"/>
      <c r="D28" s="859"/>
      <c r="E28" s="859"/>
      <c r="F28" s="859"/>
      <c r="G28" s="859"/>
      <c r="H28" s="859"/>
      <c r="I28" s="859"/>
      <c r="J28" s="860"/>
    </row>
    <row r="29" spans="2:10">
      <c r="B29" s="19"/>
      <c r="C29" s="19"/>
      <c r="D29" s="19"/>
      <c r="E29" s="19"/>
      <c r="F29" s="19"/>
      <c r="G29" s="19"/>
      <c r="H29" s="19"/>
      <c r="I29" s="19"/>
    </row>
    <row r="30" spans="2:10">
      <c r="B30" s="19"/>
      <c r="C30" s="19"/>
      <c r="D30" s="19"/>
      <c r="E30" s="19"/>
      <c r="F30" s="19"/>
      <c r="G30" s="19"/>
      <c r="H30" s="19"/>
      <c r="I30" s="19"/>
    </row>
    <row r="31" spans="2:10">
      <c r="B31" s="19"/>
      <c r="C31" s="19"/>
      <c r="D31" s="19"/>
      <c r="E31" s="19"/>
      <c r="F31" s="19"/>
      <c r="G31" s="19"/>
      <c r="H31" s="19"/>
      <c r="I31" s="19"/>
    </row>
    <row r="32" spans="2:10">
      <c r="B32" s="19"/>
      <c r="C32" s="19"/>
      <c r="D32" s="19"/>
      <c r="E32" s="19"/>
      <c r="F32" s="19"/>
      <c r="G32" s="19"/>
      <c r="H32" s="19"/>
      <c r="I32" s="19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203"/>
  <sheetViews>
    <sheetView tabSelected="1" workbookViewId="0">
      <pane xSplit="8" ySplit="1" topLeftCell="I2" activePane="bottomRight" state="frozen"/>
      <selection activeCell="L194" sqref="L194"/>
      <selection pane="topRight" activeCell="L194" sqref="L194"/>
      <selection pane="bottomLeft" activeCell="L194" sqref="L194"/>
      <selection pane="bottomRight" activeCell="L194" sqref="L194"/>
    </sheetView>
  </sheetViews>
  <sheetFormatPr defaultColWidth="9.109375" defaultRowHeight="15.6"/>
  <cols>
    <col min="2" max="2" width="56.44140625" style="1" customWidth="1"/>
    <col min="3" max="3" width="5.88671875" style="939" hidden="1" customWidth="1"/>
    <col min="4" max="5" width="15.109375" style="939" customWidth="1"/>
    <col min="6" max="11" width="11.6640625" style="1" customWidth="1"/>
    <col min="12" max="12" width="25.88671875" style="1" customWidth="1"/>
    <col min="13" max="13" width="16" style="1" customWidth="1"/>
    <col min="14" max="14" width="17.6640625" style="991" customWidth="1"/>
    <col min="15" max="15" width="17" style="1" customWidth="1"/>
    <col min="16" max="16384" width="9.109375" style="1"/>
  </cols>
  <sheetData>
    <row r="1" spans="1:15" ht="46.8">
      <c r="B1" s="990" t="s">
        <v>2134</v>
      </c>
      <c r="C1" s="940" t="s">
        <v>1763</v>
      </c>
      <c r="D1" s="940" t="s">
        <v>1418</v>
      </c>
      <c r="E1" s="878" t="s">
        <v>1525</v>
      </c>
      <c r="F1" s="878" t="s">
        <v>3007</v>
      </c>
      <c r="G1" s="879" t="s">
        <v>1526</v>
      </c>
      <c r="H1" s="879" t="s">
        <v>2599</v>
      </c>
      <c r="I1" s="879" t="s">
        <v>1530</v>
      </c>
      <c r="J1" s="879" t="s">
        <v>1590</v>
      </c>
      <c r="K1" s="879" t="s">
        <v>3438</v>
      </c>
      <c r="L1" s="873" t="s">
        <v>4050</v>
      </c>
      <c r="M1" s="873" t="s">
        <v>4051</v>
      </c>
      <c r="N1" s="992" t="s">
        <v>4190</v>
      </c>
    </row>
    <row r="2" spans="1:15">
      <c r="A2">
        <f>COLUMN()</f>
        <v>1</v>
      </c>
      <c r="B2">
        <f>COLUMN()</f>
        <v>2</v>
      </c>
      <c r="C2">
        <f>COLUMN()</f>
        <v>3</v>
      </c>
      <c r="D2">
        <f>COLUMN()</f>
        <v>4</v>
      </c>
      <c r="E2">
        <f>COLUMN()</f>
        <v>5</v>
      </c>
      <c r="F2">
        <f>COLUMN()</f>
        <v>6</v>
      </c>
      <c r="G2">
        <f>COLUMN()</f>
        <v>7</v>
      </c>
      <c r="H2">
        <f>COLUMN()</f>
        <v>8</v>
      </c>
      <c r="I2">
        <f>COLUMN()</f>
        <v>9</v>
      </c>
      <c r="J2">
        <f>COLUMN()</f>
        <v>10</v>
      </c>
      <c r="K2">
        <f>COLUMN()</f>
        <v>11</v>
      </c>
      <c r="L2">
        <f>COLUMN()</f>
        <v>12</v>
      </c>
      <c r="M2">
        <f>COLUMN()</f>
        <v>13</v>
      </c>
      <c r="N2">
        <f>COLUMN()</f>
        <v>14</v>
      </c>
      <c r="O2">
        <f>COLUMN()</f>
        <v>15</v>
      </c>
    </row>
    <row r="3" spans="1:15">
      <c r="C3" s="936" t="s">
        <v>1765</v>
      </c>
      <c r="D3" s="941" t="s">
        <v>4047</v>
      </c>
      <c r="E3" s="949"/>
      <c r="F3" s="949"/>
      <c r="G3" s="949"/>
      <c r="H3" s="949"/>
      <c r="I3" s="949"/>
      <c r="J3" s="949"/>
      <c r="K3" s="949"/>
      <c r="L3" s="874"/>
      <c r="M3" s="874"/>
    </row>
    <row r="4" spans="1:15">
      <c r="C4" s="937" t="s">
        <v>1631</v>
      </c>
      <c r="D4" s="942" t="s">
        <v>4107</v>
      </c>
      <c r="E4" s="950"/>
      <c r="F4" s="950"/>
      <c r="G4" s="950"/>
      <c r="H4" s="950"/>
      <c r="I4" s="950"/>
      <c r="J4" s="950"/>
      <c r="K4" s="950"/>
      <c r="L4" s="877"/>
      <c r="M4" s="877"/>
    </row>
    <row r="5" spans="1:15">
      <c r="A5" s="993" t="str">
        <f>B5&amp;D5</f>
        <v>Lưới điện trung thế 1 pha Xuân Tây 19A018</v>
      </c>
      <c r="B5" s="942" t="s">
        <v>4107</v>
      </c>
      <c r="C5" s="938">
        <v>1</v>
      </c>
      <c r="D5" s="983" t="s">
        <v>3040</v>
      </c>
      <c r="E5" s="984"/>
      <c r="F5" s="984"/>
      <c r="G5" s="984">
        <v>1</v>
      </c>
      <c r="H5" s="984"/>
      <c r="I5" s="984"/>
      <c r="J5" s="984"/>
      <c r="K5" s="984"/>
      <c r="L5" s="980" t="s">
        <v>4041</v>
      </c>
      <c r="M5" s="876"/>
      <c r="N5" s="991">
        <v>44037</v>
      </c>
      <c r="O5" s="19" t="s">
        <v>4181</v>
      </c>
    </row>
    <row r="6" spans="1:15">
      <c r="A6" s="993" t="str">
        <f t="shared" ref="A6:A69" si="0">B6&amp;D6</f>
        <v>Lưới điện trung thế 1 pha Xuân Tây 19A020</v>
      </c>
      <c r="B6" s="942" t="s">
        <v>4107</v>
      </c>
      <c r="C6" s="938">
        <f>C5+1</f>
        <v>2</v>
      </c>
      <c r="D6" s="983" t="s">
        <v>3042</v>
      </c>
      <c r="E6" s="984"/>
      <c r="F6" s="984"/>
      <c r="G6" s="984">
        <v>1</v>
      </c>
      <c r="H6" s="984"/>
      <c r="I6" s="984"/>
      <c r="J6" s="984"/>
      <c r="K6" s="984"/>
      <c r="L6" s="980" t="s">
        <v>4041</v>
      </c>
      <c r="M6" s="876"/>
      <c r="N6" s="991">
        <v>44037</v>
      </c>
      <c r="O6" s="19" t="s">
        <v>4181</v>
      </c>
    </row>
    <row r="7" spans="1:15">
      <c r="A7" s="993" t="str">
        <f t="shared" si="0"/>
        <v>Lưới điện trung thế 1 pha Xuân Tây 19A025</v>
      </c>
      <c r="B7" s="942" t="s">
        <v>4107</v>
      </c>
      <c r="C7" s="938">
        <f t="shared" ref="C7:C71" si="1">C6+1</f>
        <v>3</v>
      </c>
      <c r="D7" s="983" t="s">
        <v>3047</v>
      </c>
      <c r="E7" s="984"/>
      <c r="F7" s="984"/>
      <c r="G7" s="984">
        <v>1</v>
      </c>
      <c r="H7" s="984"/>
      <c r="I7" s="984"/>
      <c r="J7" s="984"/>
      <c r="K7" s="984"/>
      <c r="L7" s="980" t="s">
        <v>4041</v>
      </c>
      <c r="M7" s="876"/>
      <c r="N7" s="991">
        <v>44037</v>
      </c>
      <c r="O7" s="19" t="s">
        <v>4181</v>
      </c>
    </row>
    <row r="8" spans="1:15">
      <c r="A8" s="993" t="str">
        <f t="shared" si="0"/>
        <v>Lưới điện trung thế 1 pha Xuân Tây 19A027</v>
      </c>
      <c r="B8" s="942" t="s">
        <v>4107</v>
      </c>
      <c r="C8" s="938">
        <f t="shared" si="1"/>
        <v>4</v>
      </c>
      <c r="D8" s="983" t="s">
        <v>3049</v>
      </c>
      <c r="E8" s="984"/>
      <c r="F8" s="984"/>
      <c r="G8" s="984">
        <v>1</v>
      </c>
      <c r="H8" s="984"/>
      <c r="I8" s="984"/>
      <c r="J8" s="984"/>
      <c r="K8" s="984"/>
      <c r="L8" s="980" t="s">
        <v>4041</v>
      </c>
      <c r="M8" s="876"/>
      <c r="N8" s="991">
        <v>44037</v>
      </c>
      <c r="O8" s="19" t="s">
        <v>4181</v>
      </c>
    </row>
    <row r="9" spans="1:15">
      <c r="A9" s="993" t="str">
        <f t="shared" si="0"/>
        <v>Lưới điện trung thế 1 pha Xuân Tây 19A029</v>
      </c>
      <c r="B9" s="942" t="s">
        <v>4107</v>
      </c>
      <c r="C9" s="938">
        <f t="shared" si="1"/>
        <v>5</v>
      </c>
      <c r="D9" s="983" t="s">
        <v>3050</v>
      </c>
      <c r="E9" s="984"/>
      <c r="F9" s="984"/>
      <c r="G9" s="984">
        <v>1</v>
      </c>
      <c r="H9" s="984"/>
      <c r="I9" s="984"/>
      <c r="J9" s="984"/>
      <c r="K9" s="984"/>
      <c r="L9" s="980" t="s">
        <v>4041</v>
      </c>
      <c r="M9" s="876"/>
      <c r="N9" s="991">
        <v>44037</v>
      </c>
      <c r="O9" s="19" t="s">
        <v>4181</v>
      </c>
    </row>
    <row r="10" spans="1:15">
      <c r="A10" s="993" t="str">
        <f t="shared" si="0"/>
        <v>Lưới điện trung thế 1 pha Xuân Tây 19A033</v>
      </c>
      <c r="B10" s="942" t="s">
        <v>4107</v>
      </c>
      <c r="C10" s="938">
        <f t="shared" si="1"/>
        <v>6</v>
      </c>
      <c r="D10" s="983" t="s">
        <v>3029</v>
      </c>
      <c r="E10" s="984"/>
      <c r="F10" s="984"/>
      <c r="G10" s="984">
        <v>1</v>
      </c>
      <c r="H10" s="984"/>
      <c r="I10" s="984"/>
      <c r="J10" s="984"/>
      <c r="K10" s="984"/>
      <c r="L10" s="980" t="s">
        <v>4041</v>
      </c>
      <c r="M10" s="876"/>
      <c r="N10" s="991">
        <v>44037</v>
      </c>
      <c r="O10" s="19" t="s">
        <v>4181</v>
      </c>
    </row>
    <row r="11" spans="1:15">
      <c r="A11" s="993" t="str">
        <f t="shared" si="0"/>
        <v>Lưới điện trung thế 1 pha Thừa Đức 11A</v>
      </c>
      <c r="C11" s="937" t="s">
        <v>1663</v>
      </c>
      <c r="D11" s="943" t="s">
        <v>4109</v>
      </c>
      <c r="E11" s="951"/>
      <c r="F11" s="948"/>
      <c r="G11" s="948"/>
      <c r="H11" s="948"/>
      <c r="I11" s="948"/>
      <c r="J11" s="948"/>
      <c r="K11" s="948"/>
      <c r="L11" s="875"/>
      <c r="M11" s="876"/>
    </row>
    <row r="12" spans="1:15">
      <c r="A12" s="993" t="str">
        <f t="shared" si="0"/>
        <v>Lưới điện trung thế 1 pha Thừa Đức 11A011</v>
      </c>
      <c r="B12" s="943" t="s">
        <v>4109</v>
      </c>
      <c r="C12" s="938" t="s">
        <v>4108</v>
      </c>
      <c r="D12" s="983" t="s">
        <v>3000</v>
      </c>
      <c r="E12" s="984"/>
      <c r="F12" s="984"/>
      <c r="G12" s="984">
        <v>1</v>
      </c>
      <c r="H12" s="984"/>
      <c r="I12" s="984"/>
      <c r="J12" s="984"/>
      <c r="K12" s="984"/>
      <c r="L12" s="980" t="s">
        <v>4041</v>
      </c>
      <c r="M12" s="876"/>
      <c r="N12" s="991">
        <v>44057</v>
      </c>
      <c r="O12" s="19" t="s">
        <v>4181</v>
      </c>
    </row>
    <row r="13" spans="1:15">
      <c r="A13" s="993" t="str">
        <f t="shared" si="0"/>
        <v>Lưới điện trung thế 1 pha Thừa Đức 11A014</v>
      </c>
      <c r="B13" s="943" t="s">
        <v>4109</v>
      </c>
      <c r="C13" s="938">
        <f t="shared" si="1"/>
        <v>2</v>
      </c>
      <c r="D13" s="983" t="s">
        <v>3003</v>
      </c>
      <c r="E13" s="984"/>
      <c r="F13" s="984"/>
      <c r="G13" s="984">
        <v>1</v>
      </c>
      <c r="H13" s="984"/>
      <c r="I13" s="984"/>
      <c r="J13" s="984"/>
      <c r="K13" s="984"/>
      <c r="L13" s="980" t="s">
        <v>4041</v>
      </c>
      <c r="M13" s="876"/>
      <c r="N13" s="991">
        <v>44057</v>
      </c>
      <c r="O13" s="19" t="s">
        <v>4181</v>
      </c>
    </row>
    <row r="14" spans="1:15">
      <c r="A14" s="993" t="str">
        <f t="shared" si="0"/>
        <v>Lưới điện trung thế 1 pha Thừa Đức 11A015</v>
      </c>
      <c r="B14" s="943" t="s">
        <v>4109</v>
      </c>
      <c r="C14" s="938">
        <f t="shared" si="1"/>
        <v>3</v>
      </c>
      <c r="D14" s="983" t="s">
        <v>3004</v>
      </c>
      <c r="E14" s="984"/>
      <c r="F14" s="984"/>
      <c r="G14" s="984">
        <v>1</v>
      </c>
      <c r="H14" s="984"/>
      <c r="I14" s="984"/>
      <c r="J14" s="984"/>
      <c r="K14" s="984"/>
      <c r="L14" s="980" t="s">
        <v>4041</v>
      </c>
      <c r="M14" s="876"/>
      <c r="N14" s="991">
        <v>44057</v>
      </c>
      <c r="O14" s="19" t="s">
        <v>4181</v>
      </c>
    </row>
    <row r="15" spans="1:15">
      <c r="A15" s="993" t="str">
        <f t="shared" si="0"/>
        <v>Lưới điện trung thế 1 pha Thừa Đức 11A017</v>
      </c>
      <c r="B15" s="943" t="s">
        <v>4109</v>
      </c>
      <c r="C15" s="938">
        <f t="shared" si="1"/>
        <v>4</v>
      </c>
      <c r="D15" s="983" t="s">
        <v>3039</v>
      </c>
      <c r="E15" s="984"/>
      <c r="F15" s="984"/>
      <c r="G15" s="984"/>
      <c r="H15" s="984"/>
      <c r="I15" s="984">
        <v>1</v>
      </c>
      <c r="J15" s="984"/>
      <c r="K15" s="984"/>
      <c r="L15" s="875" t="s">
        <v>4044</v>
      </c>
      <c r="M15" s="876"/>
      <c r="N15" s="991">
        <v>44057</v>
      </c>
      <c r="O15" s="19" t="s">
        <v>4181</v>
      </c>
    </row>
    <row r="16" spans="1:15">
      <c r="A16" s="993" t="str">
        <f t="shared" si="0"/>
        <v>Lưới điện trung thế 1 pha Thừa Đức 11A019</v>
      </c>
      <c r="B16" s="943" t="s">
        <v>4109</v>
      </c>
      <c r="C16" s="938">
        <f t="shared" si="1"/>
        <v>5</v>
      </c>
      <c r="D16" s="983" t="s">
        <v>3041</v>
      </c>
      <c r="E16" s="984"/>
      <c r="F16" s="984"/>
      <c r="G16" s="984"/>
      <c r="H16" s="984"/>
      <c r="I16" s="984">
        <v>1</v>
      </c>
      <c r="J16" s="984"/>
      <c r="K16" s="984"/>
      <c r="L16" s="875" t="s">
        <v>4044</v>
      </c>
      <c r="M16" s="876"/>
      <c r="N16" s="991">
        <v>44057</v>
      </c>
      <c r="O16" s="19" t="s">
        <v>4181</v>
      </c>
    </row>
    <row r="17" spans="1:15">
      <c r="A17" s="993" t="str">
        <f t="shared" si="0"/>
        <v>Lưới điện trung thế 1 pha Thừa Đức 11A020</v>
      </c>
      <c r="B17" s="943" t="s">
        <v>4109</v>
      </c>
      <c r="C17" s="938">
        <f t="shared" si="1"/>
        <v>6</v>
      </c>
      <c r="D17" s="983" t="s">
        <v>3042</v>
      </c>
      <c r="E17" s="984"/>
      <c r="F17" s="984"/>
      <c r="G17" s="984"/>
      <c r="H17" s="984"/>
      <c r="I17" s="984">
        <v>1</v>
      </c>
      <c r="J17" s="984"/>
      <c r="K17" s="984"/>
      <c r="L17" s="875" t="s">
        <v>4044</v>
      </c>
      <c r="M17" s="876"/>
      <c r="N17" s="991">
        <v>44057</v>
      </c>
      <c r="O17" s="19" t="s">
        <v>4181</v>
      </c>
    </row>
    <row r="18" spans="1:15">
      <c r="A18" s="993" t="str">
        <f t="shared" si="0"/>
        <v>Lưới điện trung thế 1 pha Thừa Đức 11A021</v>
      </c>
      <c r="B18" s="943" t="s">
        <v>4109</v>
      </c>
      <c r="C18" s="938">
        <f t="shared" si="1"/>
        <v>7</v>
      </c>
      <c r="D18" s="983" t="s">
        <v>3043</v>
      </c>
      <c r="E18" s="984"/>
      <c r="F18" s="984"/>
      <c r="G18" s="984"/>
      <c r="H18" s="984"/>
      <c r="I18" s="984">
        <v>1</v>
      </c>
      <c r="J18" s="984"/>
      <c r="K18" s="984"/>
      <c r="L18" s="875" t="s">
        <v>4044</v>
      </c>
      <c r="M18" s="876"/>
      <c r="N18" s="991">
        <v>44057</v>
      </c>
      <c r="O18" s="19" t="s">
        <v>4181</v>
      </c>
    </row>
    <row r="19" spans="1:15">
      <c r="A19" s="993" t="str">
        <f t="shared" si="0"/>
        <v>Lưới điện trung thế 1 pha Thừa Đức 11A022</v>
      </c>
      <c r="B19" s="943" t="s">
        <v>4109</v>
      </c>
      <c r="C19" s="938">
        <f t="shared" si="1"/>
        <v>8</v>
      </c>
      <c r="D19" s="983" t="s">
        <v>3044</v>
      </c>
      <c r="E19" s="984"/>
      <c r="F19" s="984"/>
      <c r="G19" s="985">
        <v>1</v>
      </c>
      <c r="H19" s="984"/>
      <c r="I19" s="984"/>
      <c r="J19" s="984"/>
      <c r="K19" s="984"/>
      <c r="L19" s="980" t="s">
        <v>4041</v>
      </c>
      <c r="M19" s="876"/>
      <c r="N19" s="991">
        <v>44057</v>
      </c>
      <c r="O19" s="19" t="s">
        <v>4181</v>
      </c>
    </row>
    <row r="20" spans="1:15">
      <c r="A20" s="993" t="str">
        <f t="shared" si="0"/>
        <v>Lưới điện trung thế 1 pha Thừa Đức 11A023</v>
      </c>
      <c r="B20" s="943" t="s">
        <v>4109</v>
      </c>
      <c r="C20" s="938">
        <f t="shared" si="1"/>
        <v>9</v>
      </c>
      <c r="D20" s="983" t="s">
        <v>3045</v>
      </c>
      <c r="E20" s="984"/>
      <c r="F20" s="984"/>
      <c r="G20" s="985"/>
      <c r="H20" s="984"/>
      <c r="I20" s="984"/>
      <c r="J20" s="984"/>
      <c r="K20" s="984"/>
      <c r="L20" s="980" t="s">
        <v>4041</v>
      </c>
      <c r="M20" s="876"/>
      <c r="N20" s="991">
        <v>44057</v>
      </c>
    </row>
    <row r="21" spans="1:15">
      <c r="A21" s="993" t="str">
        <f t="shared" si="0"/>
        <v>Lưới điện trung thế 1 pha Thừa Đức 11A025</v>
      </c>
      <c r="B21" s="943" t="s">
        <v>4109</v>
      </c>
      <c r="C21" s="938">
        <f t="shared" si="1"/>
        <v>10</v>
      </c>
      <c r="D21" s="983" t="s">
        <v>3047</v>
      </c>
      <c r="E21" s="984"/>
      <c r="F21" s="984"/>
      <c r="G21" s="984">
        <v>1</v>
      </c>
      <c r="H21" s="984"/>
      <c r="I21" s="984"/>
      <c r="J21" s="984"/>
      <c r="K21" s="984"/>
      <c r="L21" s="980" t="s">
        <v>4041</v>
      </c>
      <c r="M21" s="876"/>
      <c r="N21" s="991">
        <v>44057</v>
      </c>
      <c r="O21" s="19" t="s">
        <v>4181</v>
      </c>
    </row>
    <row r="22" spans="1:15">
      <c r="A22" s="993" t="str">
        <f t="shared" si="0"/>
        <v>Lưới điện trung thế 1 pha Thừa Đức 11A026</v>
      </c>
      <c r="B22" s="943" t="s">
        <v>4109</v>
      </c>
      <c r="C22" s="938">
        <f t="shared" si="1"/>
        <v>11</v>
      </c>
      <c r="D22" s="983" t="s">
        <v>3048</v>
      </c>
      <c r="E22" s="984"/>
      <c r="F22" s="984"/>
      <c r="G22" s="984">
        <v>1</v>
      </c>
      <c r="H22" s="984"/>
      <c r="I22" s="984"/>
      <c r="J22" s="984"/>
      <c r="K22" s="984"/>
      <c r="L22" s="980" t="s">
        <v>4041</v>
      </c>
      <c r="M22" s="876"/>
      <c r="N22" s="991">
        <v>44057</v>
      </c>
      <c r="O22" s="19" t="s">
        <v>4181</v>
      </c>
    </row>
    <row r="23" spans="1:15">
      <c r="A23" s="993" t="str">
        <f t="shared" si="0"/>
        <v>Lưới điện trung thế 1 pha Thừa Đức 11A030</v>
      </c>
      <c r="B23" s="943" t="s">
        <v>4109</v>
      </c>
      <c r="C23" s="938">
        <f t="shared" si="1"/>
        <v>12</v>
      </c>
      <c r="D23" s="983" t="s">
        <v>3081</v>
      </c>
      <c r="E23" s="984"/>
      <c r="F23" s="984"/>
      <c r="G23" s="984">
        <v>1</v>
      </c>
      <c r="H23" s="984"/>
      <c r="I23" s="984"/>
      <c r="J23" s="984"/>
      <c r="K23" s="984"/>
      <c r="L23" s="980" t="s">
        <v>4041</v>
      </c>
      <c r="M23" s="876"/>
      <c r="N23" s="991">
        <v>44057</v>
      </c>
      <c r="O23" s="19" t="s">
        <v>4181</v>
      </c>
    </row>
    <row r="24" spans="1:15">
      <c r="A24" s="993" t="str">
        <f t="shared" si="0"/>
        <v>Lưới điện trung thế 1 pha Thừa Đức 11A031</v>
      </c>
      <c r="B24" s="943" t="s">
        <v>4109</v>
      </c>
      <c r="C24" s="938">
        <f t="shared" si="1"/>
        <v>13</v>
      </c>
      <c r="D24" s="983" t="s">
        <v>3022</v>
      </c>
      <c r="E24" s="984"/>
      <c r="F24" s="984"/>
      <c r="G24" s="984">
        <v>1</v>
      </c>
      <c r="H24" s="984"/>
      <c r="I24" s="984"/>
      <c r="J24" s="984"/>
      <c r="K24" s="984"/>
      <c r="L24" s="980" t="s">
        <v>4041</v>
      </c>
      <c r="M24" s="876"/>
      <c r="N24" s="991">
        <v>44057</v>
      </c>
      <c r="O24" s="19" t="s">
        <v>4181</v>
      </c>
    </row>
    <row r="25" spans="1:15">
      <c r="A25" s="993" t="str">
        <f t="shared" si="0"/>
        <v>Lưới điện trung thế 1 pha Thừa Đức 11A032</v>
      </c>
      <c r="B25" s="943" t="s">
        <v>4109</v>
      </c>
      <c r="C25" s="938">
        <f t="shared" si="1"/>
        <v>14</v>
      </c>
      <c r="D25" s="983" t="s">
        <v>3027</v>
      </c>
      <c r="E25" s="984"/>
      <c r="F25" s="984"/>
      <c r="G25" s="984">
        <v>1</v>
      </c>
      <c r="H25" s="984"/>
      <c r="I25" s="984"/>
      <c r="J25" s="984"/>
      <c r="K25" s="984"/>
      <c r="L25" s="980" t="s">
        <v>4041</v>
      </c>
      <c r="M25" s="876"/>
      <c r="N25" s="991">
        <v>44057</v>
      </c>
      <c r="O25" s="19" t="s">
        <v>4181</v>
      </c>
    </row>
    <row r="26" spans="1:15">
      <c r="A26" s="993" t="str">
        <f t="shared" si="0"/>
        <v>Lưới trung thế 1 pha Suối Râm 7A</v>
      </c>
      <c r="C26" s="944" t="s">
        <v>1673</v>
      </c>
      <c r="D26" s="943" t="s">
        <v>4110</v>
      </c>
      <c r="E26" s="951"/>
      <c r="F26" s="948"/>
      <c r="G26" s="948"/>
      <c r="H26" s="948"/>
      <c r="I26" s="948"/>
      <c r="J26" s="948"/>
      <c r="K26" s="948"/>
      <c r="L26" s="875"/>
      <c r="M26" s="876"/>
    </row>
    <row r="27" spans="1:15">
      <c r="A27" s="993" t="str">
        <f t="shared" si="0"/>
        <v>Lưới trung thế 1 pha Suối Râm 7A007</v>
      </c>
      <c r="B27" s="943" t="s">
        <v>4110</v>
      </c>
      <c r="C27" s="938" t="s">
        <v>4108</v>
      </c>
      <c r="D27" s="938" t="s">
        <v>2996</v>
      </c>
      <c r="E27" s="948">
        <v>1</v>
      </c>
      <c r="F27" s="948"/>
      <c r="G27" s="948"/>
      <c r="H27" s="948"/>
      <c r="I27" s="948"/>
      <c r="J27" s="948"/>
      <c r="K27" s="948"/>
      <c r="L27" s="979" t="s">
        <v>4034</v>
      </c>
      <c r="M27" s="876"/>
      <c r="N27" s="991">
        <v>44056</v>
      </c>
      <c r="O27" s="19" t="s">
        <v>4181</v>
      </c>
    </row>
    <row r="28" spans="1:15">
      <c r="A28" s="993" t="str">
        <f t="shared" si="0"/>
        <v>Lưới trung thế 1 pha Suối Râm 7A011</v>
      </c>
      <c r="B28" s="943" t="s">
        <v>4110</v>
      </c>
      <c r="C28" s="938">
        <f t="shared" si="1"/>
        <v>2</v>
      </c>
      <c r="D28" s="938" t="s">
        <v>3000</v>
      </c>
      <c r="E28" s="948"/>
      <c r="F28" s="948"/>
      <c r="G28" s="948">
        <v>1</v>
      </c>
      <c r="H28" s="948"/>
      <c r="I28" s="948"/>
      <c r="J28" s="948"/>
      <c r="K28" s="948"/>
      <c r="L28" s="980" t="s">
        <v>4041</v>
      </c>
      <c r="M28" s="876"/>
      <c r="N28" s="991">
        <v>44056</v>
      </c>
      <c r="O28" s="19" t="s">
        <v>4181</v>
      </c>
    </row>
    <row r="29" spans="1:15">
      <c r="A29" s="993" t="str">
        <f t="shared" si="0"/>
        <v>Lưới trung thế 1 pha Suối Râm 7A013</v>
      </c>
      <c r="B29" s="943" t="s">
        <v>4110</v>
      </c>
      <c r="C29" s="938">
        <f t="shared" si="1"/>
        <v>3</v>
      </c>
      <c r="D29" s="938" t="s">
        <v>3002</v>
      </c>
      <c r="E29" s="948"/>
      <c r="F29" s="948"/>
      <c r="G29" s="948">
        <v>1</v>
      </c>
      <c r="H29" s="948"/>
      <c r="I29" s="948"/>
      <c r="J29" s="948"/>
      <c r="K29" s="948"/>
      <c r="L29" s="980" t="s">
        <v>4041</v>
      </c>
      <c r="M29" s="876"/>
      <c r="N29" s="991">
        <v>44056</v>
      </c>
      <c r="O29" s="19" t="s">
        <v>4181</v>
      </c>
    </row>
    <row r="30" spans="1:15">
      <c r="A30" s="993" t="str">
        <f t="shared" si="0"/>
        <v>Lưới trung thế 1 pha Suối Râm 7A014</v>
      </c>
      <c r="B30" s="943" t="s">
        <v>4110</v>
      </c>
      <c r="C30" s="938">
        <f t="shared" si="1"/>
        <v>4</v>
      </c>
      <c r="D30" s="938" t="s">
        <v>3003</v>
      </c>
      <c r="E30" s="948"/>
      <c r="F30" s="948"/>
      <c r="G30" s="948">
        <v>1</v>
      </c>
      <c r="H30" s="948"/>
      <c r="I30" s="948"/>
      <c r="J30" s="948"/>
      <c r="K30" s="948"/>
      <c r="L30" s="980" t="s">
        <v>4041</v>
      </c>
      <c r="M30" s="876"/>
      <c r="N30" s="991">
        <v>44056</v>
      </c>
      <c r="O30" s="19" t="s">
        <v>4181</v>
      </c>
    </row>
    <row r="31" spans="1:15">
      <c r="A31" s="993" t="str">
        <f t="shared" si="0"/>
        <v>Lưới trung thế 1 pha Suối Râm 7A015</v>
      </c>
      <c r="B31" s="943" t="s">
        <v>4110</v>
      </c>
      <c r="C31" s="938">
        <f t="shared" si="1"/>
        <v>5</v>
      </c>
      <c r="D31" s="938" t="s">
        <v>3004</v>
      </c>
      <c r="E31" s="948"/>
      <c r="F31" s="948"/>
      <c r="G31" s="948">
        <v>1</v>
      </c>
      <c r="H31" s="948"/>
      <c r="I31" s="948"/>
      <c r="J31" s="948"/>
      <c r="K31" s="948"/>
      <c r="L31" s="980" t="s">
        <v>4041</v>
      </c>
      <c r="M31" s="876"/>
      <c r="N31" s="991">
        <v>44056</v>
      </c>
      <c r="O31" s="19" t="s">
        <v>4181</v>
      </c>
    </row>
    <row r="32" spans="1:15">
      <c r="A32" s="993" t="str">
        <f t="shared" si="0"/>
        <v>Lưới trung thế 1 pha Suối Râm 7A016</v>
      </c>
      <c r="B32" s="943" t="s">
        <v>4110</v>
      </c>
      <c r="C32" s="938">
        <f t="shared" si="1"/>
        <v>6</v>
      </c>
      <c r="D32" s="938" t="s">
        <v>3038</v>
      </c>
      <c r="E32" s="948"/>
      <c r="F32" s="948"/>
      <c r="G32" s="948">
        <v>1</v>
      </c>
      <c r="H32" s="948"/>
      <c r="I32" s="948"/>
      <c r="J32" s="948"/>
      <c r="K32" s="948"/>
      <c r="L32" s="980" t="s">
        <v>4041</v>
      </c>
      <c r="M32" s="876"/>
      <c r="N32" s="991">
        <v>44056</v>
      </c>
      <c r="O32" s="19" t="s">
        <v>4181</v>
      </c>
    </row>
    <row r="33" spans="1:15">
      <c r="A33" s="993" t="str">
        <f t="shared" si="0"/>
        <v>Lưới trung thế 1 pha Suối Râm 7A017</v>
      </c>
      <c r="B33" s="943" t="s">
        <v>4110</v>
      </c>
      <c r="C33" s="938">
        <f t="shared" si="1"/>
        <v>7</v>
      </c>
      <c r="D33" s="938" t="s">
        <v>3039</v>
      </c>
      <c r="E33" s="948"/>
      <c r="F33" s="948"/>
      <c r="G33" s="948">
        <v>1</v>
      </c>
      <c r="H33" s="948"/>
      <c r="I33" s="948"/>
      <c r="J33" s="948"/>
      <c r="K33" s="948"/>
      <c r="L33" s="980" t="s">
        <v>4041</v>
      </c>
      <c r="M33" s="876"/>
      <c r="N33" s="991">
        <v>44056</v>
      </c>
      <c r="O33" s="19" t="s">
        <v>4181</v>
      </c>
    </row>
    <row r="34" spans="1:15">
      <c r="A34" s="993" t="str">
        <f t="shared" si="0"/>
        <v>Lưới điện trung thế 1 pha Thoại Hương 4A</v>
      </c>
      <c r="C34" s="944" t="s">
        <v>1717</v>
      </c>
      <c r="D34" s="943" t="s">
        <v>4111</v>
      </c>
      <c r="E34" s="948"/>
      <c r="F34" s="948"/>
      <c r="G34" s="948"/>
      <c r="H34" s="948"/>
      <c r="I34" s="948"/>
      <c r="J34" s="948"/>
      <c r="K34" s="948"/>
      <c r="L34" s="875"/>
      <c r="M34" s="876"/>
    </row>
    <row r="35" spans="1:15">
      <c r="A35" s="993" t="str">
        <f t="shared" si="0"/>
        <v>Lưới điện trung thế 1 pha Thoại Hương 4A022</v>
      </c>
      <c r="B35" s="943" t="s">
        <v>4111</v>
      </c>
      <c r="C35" s="938" t="s">
        <v>4108</v>
      </c>
      <c r="D35" s="938" t="s">
        <v>3044</v>
      </c>
      <c r="E35" s="948"/>
      <c r="F35" s="948"/>
      <c r="G35" s="985">
        <v>1</v>
      </c>
      <c r="H35" s="985"/>
      <c r="I35" s="948"/>
      <c r="J35" s="948"/>
      <c r="K35" s="948"/>
      <c r="L35" s="980" t="s">
        <v>4041</v>
      </c>
      <c r="M35" s="876"/>
      <c r="N35" s="991">
        <v>44028</v>
      </c>
      <c r="O35" s="19" t="s">
        <v>4181</v>
      </c>
    </row>
    <row r="36" spans="1:15">
      <c r="A36" s="993" t="str">
        <f t="shared" si="0"/>
        <v>Lưới điện trung thế 1 pha Thoại Hương 4A025</v>
      </c>
      <c r="B36" s="943" t="s">
        <v>4111</v>
      </c>
      <c r="C36" s="938">
        <f t="shared" si="1"/>
        <v>2</v>
      </c>
      <c r="D36" s="938" t="s">
        <v>3047</v>
      </c>
      <c r="E36" s="985">
        <v>1</v>
      </c>
      <c r="F36" s="985"/>
      <c r="G36" s="948"/>
      <c r="H36" s="948"/>
      <c r="I36" s="948"/>
      <c r="J36" s="948"/>
      <c r="K36" s="948"/>
      <c r="L36" s="979" t="s">
        <v>4034</v>
      </c>
      <c r="M36" s="876"/>
      <c r="N36" s="991">
        <v>44028</v>
      </c>
      <c r="O36" s="19" t="s">
        <v>4181</v>
      </c>
    </row>
    <row r="37" spans="1:15">
      <c r="A37" s="993" t="str">
        <f t="shared" si="0"/>
        <v>Lưới điện trung thế 3 pha Cánh đồng Xuân Tây 1A</v>
      </c>
      <c r="C37" s="944" t="s">
        <v>1729</v>
      </c>
      <c r="D37" s="943" t="s">
        <v>4112</v>
      </c>
      <c r="E37" s="948"/>
      <c r="F37" s="948"/>
      <c r="G37" s="948"/>
      <c r="H37" s="948"/>
      <c r="I37" s="948"/>
      <c r="J37" s="948"/>
      <c r="K37" s="948"/>
      <c r="L37" s="875"/>
      <c r="M37" s="876"/>
    </row>
    <row r="38" spans="1:15">
      <c r="A38" s="993" t="str">
        <f t="shared" si="0"/>
        <v>Lưới điện trung thế 3 pha Cánh đồng Xuân Tây 1A014</v>
      </c>
      <c r="B38" s="943" t="s">
        <v>4112</v>
      </c>
      <c r="C38" s="938" t="s">
        <v>4108</v>
      </c>
      <c r="D38" s="938" t="s">
        <v>3003</v>
      </c>
      <c r="E38" s="948"/>
      <c r="F38" s="948"/>
      <c r="G38" s="948">
        <v>1</v>
      </c>
      <c r="H38" s="948"/>
      <c r="I38" s="948"/>
      <c r="J38" s="948"/>
      <c r="K38" s="948"/>
      <c r="L38" s="980" t="s">
        <v>4041</v>
      </c>
      <c r="M38" s="876"/>
      <c r="N38" s="991">
        <v>44037</v>
      </c>
      <c r="O38" s="19" t="s">
        <v>4181</v>
      </c>
    </row>
    <row r="39" spans="1:15">
      <c r="A39" s="993" t="str">
        <f t="shared" si="0"/>
        <v>Lưới điện trung thế 3 pha Cánh đồng Xuân Tây 1A015</v>
      </c>
      <c r="B39" s="943" t="s">
        <v>4112</v>
      </c>
      <c r="C39" s="938">
        <f t="shared" si="1"/>
        <v>2</v>
      </c>
      <c r="D39" s="938" t="s">
        <v>3004</v>
      </c>
      <c r="E39" s="948"/>
      <c r="F39" s="948"/>
      <c r="G39" s="948">
        <v>1</v>
      </c>
      <c r="H39" s="948"/>
      <c r="I39" s="948"/>
      <c r="J39" s="948"/>
      <c r="K39" s="948"/>
      <c r="L39" s="980" t="s">
        <v>4041</v>
      </c>
      <c r="M39" s="876"/>
      <c r="N39" s="991">
        <v>44037</v>
      </c>
      <c r="O39" s="19" t="s">
        <v>4181</v>
      </c>
    </row>
    <row r="40" spans="1:15">
      <c r="A40" s="993" t="str">
        <f t="shared" si="0"/>
        <v>Lưới điện trung thế 3 pha Cánh đồng Xuân Tây 1A016</v>
      </c>
      <c r="B40" s="943" t="s">
        <v>4112</v>
      </c>
      <c r="C40" s="938">
        <f t="shared" si="1"/>
        <v>3</v>
      </c>
      <c r="D40" s="938" t="s">
        <v>3038</v>
      </c>
      <c r="E40" s="948"/>
      <c r="F40" s="948"/>
      <c r="G40" s="948">
        <v>1</v>
      </c>
      <c r="H40" s="948"/>
      <c r="I40" s="948"/>
      <c r="J40" s="948"/>
      <c r="K40" s="948"/>
      <c r="L40" s="980" t="s">
        <v>4041</v>
      </c>
      <c r="M40" s="876"/>
      <c r="N40" s="991">
        <v>44037</v>
      </c>
      <c r="O40" s="19" t="s">
        <v>4181</v>
      </c>
    </row>
    <row r="41" spans="1:15">
      <c r="A41" s="993" t="str">
        <f t="shared" si="0"/>
        <v>Lưới điện trung thế 3 pha Cánh đồng Xuân Tây 1A017</v>
      </c>
      <c r="B41" s="943" t="s">
        <v>4112</v>
      </c>
      <c r="C41" s="938">
        <f t="shared" si="1"/>
        <v>4</v>
      </c>
      <c r="D41" s="938" t="s">
        <v>3039</v>
      </c>
      <c r="E41" s="948"/>
      <c r="F41" s="948"/>
      <c r="G41" s="948">
        <v>1</v>
      </c>
      <c r="H41" s="948"/>
      <c r="I41" s="948"/>
      <c r="J41" s="948"/>
      <c r="K41" s="948"/>
      <c r="L41" s="980" t="s">
        <v>4041</v>
      </c>
      <c r="M41" s="876"/>
      <c r="N41" s="991">
        <v>44037</v>
      </c>
      <c r="O41" s="19" t="s">
        <v>4181</v>
      </c>
    </row>
    <row r="42" spans="1:15">
      <c r="A42" s="993" t="str">
        <f t="shared" si="0"/>
        <v>Lưới điện trung thế 3 pha Cánh đồng Xuân Tây 1A018</v>
      </c>
      <c r="B42" s="943" t="s">
        <v>4112</v>
      </c>
      <c r="C42" s="938">
        <f t="shared" si="1"/>
        <v>5</v>
      </c>
      <c r="D42" s="938" t="s">
        <v>3040</v>
      </c>
      <c r="E42" s="948"/>
      <c r="F42" s="948"/>
      <c r="G42" s="948">
        <v>1</v>
      </c>
      <c r="H42" s="948"/>
      <c r="I42" s="948"/>
      <c r="J42" s="948"/>
      <c r="K42" s="948"/>
      <c r="L42" s="980" t="s">
        <v>4041</v>
      </c>
      <c r="M42" s="876"/>
      <c r="N42" s="991">
        <v>44037</v>
      </c>
      <c r="O42" s="19" t="s">
        <v>4181</v>
      </c>
    </row>
    <row r="43" spans="1:15">
      <c r="A43" s="993" t="str">
        <f t="shared" si="0"/>
        <v>Lưới điện trung thế 3 pha Cánh đồng Xuân Tây 1A019</v>
      </c>
      <c r="B43" s="943" t="s">
        <v>4112</v>
      </c>
      <c r="C43" s="938">
        <f t="shared" si="1"/>
        <v>6</v>
      </c>
      <c r="D43" s="938" t="s">
        <v>3041</v>
      </c>
      <c r="E43" s="948"/>
      <c r="F43" s="948"/>
      <c r="G43" s="948">
        <v>1</v>
      </c>
      <c r="H43" s="948"/>
      <c r="I43" s="948"/>
      <c r="J43" s="948"/>
      <c r="K43" s="948"/>
      <c r="L43" s="980" t="s">
        <v>4041</v>
      </c>
      <c r="M43" s="876"/>
      <c r="N43" s="991">
        <v>44037</v>
      </c>
      <c r="O43" s="19" t="s">
        <v>4181</v>
      </c>
    </row>
    <row r="44" spans="1:15">
      <c r="A44" s="993" t="str">
        <f t="shared" si="0"/>
        <v>Lưới điện trung thế 3 pha Cánh đồng Xuân Tây 1A020</v>
      </c>
      <c r="B44" s="943" t="s">
        <v>4112</v>
      </c>
      <c r="C44" s="938">
        <f t="shared" si="1"/>
        <v>7</v>
      </c>
      <c r="D44" s="938" t="s">
        <v>3042</v>
      </c>
      <c r="E44" s="948">
        <v>1</v>
      </c>
      <c r="F44" s="948"/>
      <c r="G44" s="948"/>
      <c r="H44" s="948"/>
      <c r="I44" s="948"/>
      <c r="J44" s="948"/>
      <c r="K44" s="948"/>
      <c r="L44" s="979" t="s">
        <v>4034</v>
      </c>
      <c r="M44" s="876"/>
      <c r="N44" s="991">
        <v>44037</v>
      </c>
      <c r="O44" s="19" t="s">
        <v>4181</v>
      </c>
    </row>
    <row r="45" spans="1:15">
      <c r="A45" s="993" t="str">
        <f t="shared" si="0"/>
        <v>Lưới điện trung thế 3 pha Cánh đồng Xuân Tây 1A021</v>
      </c>
      <c r="B45" s="943" t="s">
        <v>4112</v>
      </c>
      <c r="C45" s="938">
        <f t="shared" si="1"/>
        <v>8</v>
      </c>
      <c r="D45" s="938" t="s">
        <v>3043</v>
      </c>
      <c r="E45" s="948">
        <v>1</v>
      </c>
      <c r="F45" s="948"/>
      <c r="G45" s="948"/>
      <c r="H45" s="948"/>
      <c r="I45" s="948"/>
      <c r="J45" s="948"/>
      <c r="K45" s="948"/>
      <c r="L45" s="979" t="s">
        <v>4034</v>
      </c>
      <c r="M45" s="876"/>
      <c r="N45" s="991">
        <v>44037</v>
      </c>
      <c r="O45" s="19" t="s">
        <v>4181</v>
      </c>
    </row>
    <row r="46" spans="1:15">
      <c r="A46" s="993" t="str">
        <f t="shared" si="0"/>
        <v>Lưới điện trung thế 3 pha Cánh đồng Xuân Tây 1A022</v>
      </c>
      <c r="B46" s="943" t="s">
        <v>4112</v>
      </c>
      <c r="C46" s="938">
        <f t="shared" si="1"/>
        <v>9</v>
      </c>
      <c r="D46" s="938" t="s">
        <v>3044</v>
      </c>
      <c r="E46" s="948"/>
      <c r="F46" s="948"/>
      <c r="G46" s="948">
        <v>1</v>
      </c>
      <c r="H46" s="948"/>
      <c r="I46" s="948"/>
      <c r="J46" s="948"/>
      <c r="K46" s="948"/>
      <c r="L46" s="980" t="s">
        <v>4041</v>
      </c>
      <c r="M46" s="876"/>
      <c r="N46" s="991">
        <v>44037</v>
      </c>
      <c r="O46" s="19" t="s">
        <v>4181</v>
      </c>
    </row>
    <row r="47" spans="1:15">
      <c r="A47" s="993" t="str">
        <f t="shared" si="0"/>
        <v>Lưới điện trung thế 3 pha Cánh đồng Xuân Tây 1A023</v>
      </c>
      <c r="B47" s="943" t="s">
        <v>4112</v>
      </c>
      <c r="C47" s="938">
        <f t="shared" si="1"/>
        <v>10</v>
      </c>
      <c r="D47" s="938" t="s">
        <v>3045</v>
      </c>
      <c r="E47" s="948"/>
      <c r="F47" s="948"/>
      <c r="G47" s="948">
        <v>1</v>
      </c>
      <c r="H47" s="948"/>
      <c r="I47" s="948"/>
      <c r="J47" s="948"/>
      <c r="K47" s="948"/>
      <c r="L47" s="980" t="s">
        <v>4041</v>
      </c>
      <c r="M47" s="876"/>
      <c r="N47" s="991">
        <v>44037</v>
      </c>
      <c r="O47" s="19" t="s">
        <v>4181</v>
      </c>
    </row>
    <row r="48" spans="1:15">
      <c r="A48" s="993" t="str">
        <f t="shared" si="0"/>
        <v>Lưới điện trung thế 3 pha Cánh đồng Xuân Tây 1A024</v>
      </c>
      <c r="B48" s="943" t="s">
        <v>4112</v>
      </c>
      <c r="C48" s="938">
        <f t="shared" si="1"/>
        <v>11</v>
      </c>
      <c r="D48" s="938" t="s">
        <v>3046</v>
      </c>
      <c r="E48" s="948"/>
      <c r="F48" s="948"/>
      <c r="G48" s="948">
        <v>1</v>
      </c>
      <c r="H48" s="948"/>
      <c r="I48" s="948"/>
      <c r="J48" s="948"/>
      <c r="K48" s="948"/>
      <c r="L48" s="980" t="s">
        <v>4041</v>
      </c>
      <c r="M48" s="876"/>
      <c r="N48" s="991">
        <v>44037</v>
      </c>
      <c r="O48" s="19" t="s">
        <v>4181</v>
      </c>
    </row>
    <row r="49" spans="1:15">
      <c r="A49" s="993" t="str">
        <f t="shared" si="0"/>
        <v>Lưới điện trung thế 3 pha Cánh đồng Xuân Tây 1A025</v>
      </c>
      <c r="B49" s="943" t="s">
        <v>4112</v>
      </c>
      <c r="C49" s="938">
        <f t="shared" si="1"/>
        <v>12</v>
      </c>
      <c r="D49" s="938" t="s">
        <v>3047</v>
      </c>
      <c r="E49" s="948"/>
      <c r="F49" s="948"/>
      <c r="G49" s="948">
        <v>1</v>
      </c>
      <c r="H49" s="948"/>
      <c r="I49" s="948"/>
      <c r="J49" s="948"/>
      <c r="K49" s="948"/>
      <c r="L49" s="980" t="s">
        <v>4041</v>
      </c>
      <c r="M49" s="876"/>
      <c r="N49" s="991">
        <v>44037</v>
      </c>
      <c r="O49" s="19" t="s">
        <v>4181</v>
      </c>
    </row>
    <row r="50" spans="1:15">
      <c r="A50" s="993" t="str">
        <f t="shared" si="0"/>
        <v>Lưới điện trung thế 3 pha Cánh đồng Xuân Tây 1A026</v>
      </c>
      <c r="B50" s="943" t="s">
        <v>4112</v>
      </c>
      <c r="C50" s="938">
        <f t="shared" si="1"/>
        <v>13</v>
      </c>
      <c r="D50" s="938" t="s">
        <v>3048</v>
      </c>
      <c r="E50" s="948"/>
      <c r="F50" s="948"/>
      <c r="G50" s="948">
        <v>1</v>
      </c>
      <c r="H50" s="948"/>
      <c r="I50" s="948"/>
      <c r="J50" s="948"/>
      <c r="K50" s="948"/>
      <c r="L50" s="980" t="s">
        <v>4041</v>
      </c>
      <c r="M50" s="876"/>
      <c r="N50" s="991">
        <v>44037</v>
      </c>
      <c r="O50" s="19" t="s">
        <v>4181</v>
      </c>
    </row>
    <row r="51" spans="1:15">
      <c r="A51" s="993" t="str">
        <f t="shared" si="0"/>
        <v>Lưới điện trung thế 3 pha Cánh Đồng Xuân Tây 1B</v>
      </c>
      <c r="C51" s="944" t="s">
        <v>1732</v>
      </c>
      <c r="D51" s="943" t="s">
        <v>4113</v>
      </c>
      <c r="E51" s="948"/>
      <c r="F51" s="948"/>
      <c r="G51" s="948"/>
      <c r="H51" s="948"/>
      <c r="I51" s="948"/>
      <c r="J51" s="948"/>
      <c r="K51" s="948"/>
      <c r="L51" s="875"/>
      <c r="M51" s="876"/>
    </row>
    <row r="52" spans="1:15">
      <c r="A52" s="993" t="str">
        <f t="shared" si="0"/>
        <v>Lưới điện trung thế 3 pha Cánh Đồng Xuân Tây 1B009A</v>
      </c>
      <c r="B52" s="943" t="s">
        <v>4113</v>
      </c>
      <c r="C52" s="938" t="s">
        <v>4108</v>
      </c>
      <c r="D52" s="938" t="s">
        <v>4114</v>
      </c>
      <c r="E52" s="948"/>
      <c r="F52" s="986"/>
      <c r="G52" s="985"/>
      <c r="H52" s="985">
        <v>1</v>
      </c>
      <c r="I52" s="948"/>
      <c r="J52" s="948"/>
      <c r="K52" s="948"/>
      <c r="L52" s="982" t="s">
        <v>4042</v>
      </c>
      <c r="M52" s="876"/>
      <c r="N52" s="991">
        <v>44037</v>
      </c>
      <c r="O52" s="19" t="s">
        <v>4182</v>
      </c>
    </row>
    <row r="53" spans="1:15">
      <c r="A53" s="993" t="str">
        <f t="shared" si="0"/>
        <v>Lưới điện trung thế 3 pha Cánh Đồng Xuân Tây 1B001</v>
      </c>
      <c r="B53" s="943" t="s">
        <v>4113</v>
      </c>
      <c r="C53" s="938">
        <f t="shared" si="1"/>
        <v>2</v>
      </c>
      <c r="D53" s="938" t="s">
        <v>3006</v>
      </c>
      <c r="E53" s="948"/>
      <c r="F53" s="986"/>
      <c r="G53" s="986">
        <v>1</v>
      </c>
      <c r="H53" s="986"/>
      <c r="I53" s="948"/>
      <c r="J53" s="948"/>
      <c r="K53" s="948"/>
      <c r="L53" s="980" t="s">
        <v>4041</v>
      </c>
      <c r="M53" s="876"/>
      <c r="N53" s="991">
        <v>44037</v>
      </c>
      <c r="O53" s="19" t="s">
        <v>4181</v>
      </c>
    </row>
    <row r="54" spans="1:15">
      <c r="A54" s="993" t="str">
        <f t="shared" si="0"/>
        <v>Lưới điện trung thế 3 pha Cánh Đồng Xuân Tây 1B002</v>
      </c>
      <c r="B54" s="943" t="s">
        <v>4113</v>
      </c>
      <c r="C54" s="938">
        <f t="shared" si="1"/>
        <v>3</v>
      </c>
      <c r="D54" s="938" t="s">
        <v>2991</v>
      </c>
      <c r="E54" s="948"/>
      <c r="F54" s="948"/>
      <c r="G54" s="948">
        <v>1</v>
      </c>
      <c r="H54" s="948"/>
      <c r="I54" s="948"/>
      <c r="J54" s="948"/>
      <c r="K54" s="948"/>
      <c r="L54" s="980" t="s">
        <v>4041</v>
      </c>
      <c r="M54" s="876"/>
      <c r="N54" s="991">
        <v>44037</v>
      </c>
      <c r="O54" s="19" t="s">
        <v>4181</v>
      </c>
    </row>
    <row r="55" spans="1:15">
      <c r="A55" s="993" t="str">
        <f t="shared" si="0"/>
        <v>Lưới điện trung thế 3 pha Cánh Đồng Xuân Tây 1B003</v>
      </c>
      <c r="B55" s="943" t="s">
        <v>4113</v>
      </c>
      <c r="C55" s="938">
        <f t="shared" si="1"/>
        <v>4</v>
      </c>
      <c r="D55" s="938" t="s">
        <v>2992</v>
      </c>
      <c r="E55" s="948"/>
      <c r="F55" s="948"/>
      <c r="G55" s="948">
        <v>1</v>
      </c>
      <c r="H55" s="948"/>
      <c r="I55" s="948"/>
      <c r="J55" s="948"/>
      <c r="K55" s="948"/>
      <c r="L55" s="980" t="s">
        <v>4041</v>
      </c>
      <c r="M55" s="876"/>
      <c r="N55" s="991">
        <v>44037</v>
      </c>
      <c r="O55" s="19" t="s">
        <v>4181</v>
      </c>
    </row>
    <row r="56" spans="1:15">
      <c r="A56" s="993" t="str">
        <f t="shared" si="0"/>
        <v>Lưới điện trung thế 3 pha Cánh Đồng Xuân Tây 1B004</v>
      </c>
      <c r="B56" s="943" t="s">
        <v>4113</v>
      </c>
      <c r="C56" s="938">
        <f t="shared" si="1"/>
        <v>5</v>
      </c>
      <c r="D56" s="938" t="s">
        <v>2993</v>
      </c>
      <c r="E56" s="948"/>
      <c r="F56" s="948"/>
      <c r="G56" s="948">
        <v>1</v>
      </c>
      <c r="H56" s="948"/>
      <c r="I56" s="948"/>
      <c r="J56" s="948"/>
      <c r="K56" s="948"/>
      <c r="L56" s="980" t="s">
        <v>4041</v>
      </c>
      <c r="M56" s="876"/>
      <c r="N56" s="991">
        <v>44037</v>
      </c>
      <c r="O56" s="19" t="s">
        <v>4181</v>
      </c>
    </row>
    <row r="57" spans="1:15">
      <c r="A57" s="993" t="str">
        <f t="shared" si="0"/>
        <v>Lưới điện trung thế 3 pha Cánh Đồng Xuân Tây 1B005</v>
      </c>
      <c r="B57" s="943" t="s">
        <v>4113</v>
      </c>
      <c r="C57" s="938">
        <f t="shared" si="1"/>
        <v>6</v>
      </c>
      <c r="D57" s="938" t="s">
        <v>2994</v>
      </c>
      <c r="E57" s="948"/>
      <c r="F57" s="948"/>
      <c r="G57" s="948">
        <v>1</v>
      </c>
      <c r="H57" s="948"/>
      <c r="I57" s="948"/>
      <c r="J57" s="948"/>
      <c r="K57" s="948"/>
      <c r="L57" s="980" t="s">
        <v>4041</v>
      </c>
      <c r="M57" s="876"/>
      <c r="N57" s="991">
        <v>44037</v>
      </c>
      <c r="O57" s="19" t="s">
        <v>4181</v>
      </c>
    </row>
    <row r="58" spans="1:15">
      <c r="A58" s="993" t="str">
        <f t="shared" si="0"/>
        <v>Lưới điện trung thế 3 pha Cánh Đồng Xuân Tây 1B006</v>
      </c>
      <c r="B58" s="943" t="s">
        <v>4113</v>
      </c>
      <c r="C58" s="938">
        <f t="shared" si="1"/>
        <v>7</v>
      </c>
      <c r="D58" s="938" t="s">
        <v>2995</v>
      </c>
      <c r="E58" s="985"/>
      <c r="F58" s="985">
        <v>1</v>
      </c>
      <c r="G58" s="948"/>
      <c r="H58" s="948"/>
      <c r="I58" s="948"/>
      <c r="J58" s="948"/>
      <c r="K58" s="948"/>
      <c r="L58" s="981" t="s">
        <v>4038</v>
      </c>
      <c r="M58" s="876"/>
      <c r="N58" s="991">
        <v>44037</v>
      </c>
      <c r="O58" s="19" t="s">
        <v>4181</v>
      </c>
    </row>
    <row r="59" spans="1:15">
      <c r="A59" s="993" t="str">
        <f t="shared" si="0"/>
        <v>Lưới điện trung thế 3 pha Cánh Đồng Xuân Tây 1B007</v>
      </c>
      <c r="B59" s="943" t="s">
        <v>4113</v>
      </c>
      <c r="C59" s="938">
        <f t="shared" si="1"/>
        <v>8</v>
      </c>
      <c r="D59" s="938" t="s">
        <v>2996</v>
      </c>
      <c r="E59" s="948"/>
      <c r="F59" s="948"/>
      <c r="G59" s="948">
        <v>1</v>
      </c>
      <c r="H59" s="948"/>
      <c r="I59" s="948"/>
      <c r="J59" s="948"/>
      <c r="K59" s="948"/>
      <c r="L59" s="980" t="s">
        <v>4041</v>
      </c>
      <c r="M59" s="876"/>
      <c r="N59" s="991">
        <v>44037</v>
      </c>
      <c r="O59" s="19" t="s">
        <v>4181</v>
      </c>
    </row>
    <row r="60" spans="1:15">
      <c r="A60" s="993" t="str">
        <f t="shared" si="0"/>
        <v>Lưới điện trung thế 3 pha Cánh Đồng Xuân Tây 1B008</v>
      </c>
      <c r="B60" s="943" t="s">
        <v>4113</v>
      </c>
      <c r="C60" s="938">
        <f t="shared" si="1"/>
        <v>9</v>
      </c>
      <c r="D60" s="938" t="s">
        <v>2997</v>
      </c>
      <c r="E60" s="948"/>
      <c r="F60" s="948"/>
      <c r="G60" s="948">
        <v>1</v>
      </c>
      <c r="H60" s="948"/>
      <c r="I60" s="948"/>
      <c r="J60" s="948"/>
      <c r="K60" s="948"/>
      <c r="L60" s="980" t="s">
        <v>4041</v>
      </c>
      <c r="M60" s="876"/>
      <c r="N60" s="991">
        <v>44037</v>
      </c>
      <c r="O60" s="19" t="s">
        <v>4181</v>
      </c>
    </row>
    <row r="61" spans="1:15">
      <c r="A61" s="993" t="str">
        <f t="shared" si="0"/>
        <v>Lưới điện trung thế 3 pha Cánh Đồng Xuân Tây 1B009</v>
      </c>
      <c r="B61" s="943" t="s">
        <v>4113</v>
      </c>
      <c r="C61" s="938">
        <f t="shared" si="1"/>
        <v>10</v>
      </c>
      <c r="D61" s="938" t="s">
        <v>2998</v>
      </c>
      <c r="E61" s="948"/>
      <c r="F61" s="948"/>
      <c r="G61" s="948">
        <v>1</v>
      </c>
      <c r="H61" s="948"/>
      <c r="I61" s="948"/>
      <c r="J61" s="948"/>
      <c r="K61" s="948"/>
      <c r="L61" s="980" t="s">
        <v>4041</v>
      </c>
      <c r="M61" s="876"/>
      <c r="N61" s="991">
        <v>44037</v>
      </c>
      <c r="O61" s="19" t="s">
        <v>4181</v>
      </c>
    </row>
    <row r="62" spans="1:15">
      <c r="A62" s="993" t="str">
        <f t="shared" si="0"/>
        <v>Lưới điện trung thế 3 pha Cánh Đồng Xuân Tây 1B010</v>
      </c>
      <c r="B62" s="943" t="s">
        <v>4113</v>
      </c>
      <c r="C62" s="938">
        <f t="shared" si="1"/>
        <v>11</v>
      </c>
      <c r="D62" s="938" t="s">
        <v>2999</v>
      </c>
      <c r="E62" s="948">
        <v>1</v>
      </c>
      <c r="F62" s="948"/>
      <c r="G62" s="948"/>
      <c r="H62" s="948"/>
      <c r="I62" s="948"/>
      <c r="J62" s="948"/>
      <c r="K62" s="948"/>
      <c r="L62" s="979" t="s">
        <v>4034</v>
      </c>
      <c r="M62" s="876"/>
      <c r="N62" s="991">
        <v>44037</v>
      </c>
      <c r="O62" s="19" t="s">
        <v>4181</v>
      </c>
    </row>
    <row r="63" spans="1:15">
      <c r="A63" s="993" t="str">
        <f t="shared" si="0"/>
        <v>Lưới điện trung thế 3 pha Cánh Đồng Xuân Tây 1B011</v>
      </c>
      <c r="B63" s="943" t="s">
        <v>4113</v>
      </c>
      <c r="C63" s="938">
        <f t="shared" si="1"/>
        <v>12</v>
      </c>
      <c r="D63" s="938" t="s">
        <v>3000</v>
      </c>
      <c r="E63" s="948"/>
      <c r="F63" s="948"/>
      <c r="G63" s="948">
        <v>1</v>
      </c>
      <c r="H63" s="948"/>
      <c r="I63" s="948"/>
      <c r="J63" s="948"/>
      <c r="K63" s="948"/>
      <c r="L63" s="980" t="s">
        <v>4041</v>
      </c>
      <c r="M63" s="876"/>
      <c r="N63" s="991">
        <v>44037</v>
      </c>
      <c r="O63" s="19" t="s">
        <v>4181</v>
      </c>
    </row>
    <row r="64" spans="1:15">
      <c r="A64" s="993" t="str">
        <f t="shared" si="0"/>
        <v>Lưới điện trung thế 3 pha Cánh Đồng Xuân Tây 1B012</v>
      </c>
      <c r="B64" s="943" t="s">
        <v>4113</v>
      </c>
      <c r="C64" s="938">
        <f t="shared" si="1"/>
        <v>13</v>
      </c>
      <c r="D64" s="938" t="s">
        <v>3001</v>
      </c>
      <c r="E64" s="948"/>
      <c r="F64" s="948"/>
      <c r="G64" s="948">
        <v>1</v>
      </c>
      <c r="H64" s="948"/>
      <c r="I64" s="948"/>
      <c r="J64" s="948"/>
      <c r="K64" s="948"/>
      <c r="L64" s="980" t="s">
        <v>4041</v>
      </c>
      <c r="M64" s="876"/>
      <c r="N64" s="991">
        <v>44037</v>
      </c>
      <c r="O64" s="19" t="s">
        <v>4181</v>
      </c>
    </row>
    <row r="65" spans="1:15">
      <c r="A65" s="993" t="str">
        <f t="shared" si="0"/>
        <v>Lưới điện trung thế 3 pha Cánh Đồng Xuân Tây 1B013</v>
      </c>
      <c r="B65" s="943" t="s">
        <v>4113</v>
      </c>
      <c r="C65" s="938">
        <f t="shared" si="1"/>
        <v>14</v>
      </c>
      <c r="D65" s="938" t="s">
        <v>3002</v>
      </c>
      <c r="E65" s="948">
        <v>1</v>
      </c>
      <c r="F65" s="948"/>
      <c r="G65" s="948"/>
      <c r="H65" s="948"/>
      <c r="I65" s="948"/>
      <c r="J65" s="948"/>
      <c r="K65" s="948"/>
      <c r="L65" s="979" t="s">
        <v>4034</v>
      </c>
      <c r="M65" s="876"/>
      <c r="N65" s="991">
        <v>44037</v>
      </c>
      <c r="O65" s="19" t="s">
        <v>4181</v>
      </c>
    </row>
    <row r="66" spans="1:15">
      <c r="A66" s="993" t="str">
        <f t="shared" si="0"/>
        <v>Lưới điện trung thế 3 pha Cánh Đồng Xuân Tây 1B014</v>
      </c>
      <c r="B66" s="943" t="s">
        <v>4113</v>
      </c>
      <c r="C66" s="938">
        <f t="shared" si="1"/>
        <v>15</v>
      </c>
      <c r="D66" s="938" t="s">
        <v>3003</v>
      </c>
      <c r="E66" s="948"/>
      <c r="F66" s="948"/>
      <c r="G66" s="948">
        <v>1</v>
      </c>
      <c r="H66" s="948"/>
      <c r="I66" s="948"/>
      <c r="J66" s="948"/>
      <c r="K66" s="948"/>
      <c r="L66" s="980" t="s">
        <v>4041</v>
      </c>
      <c r="M66" s="876"/>
      <c r="N66" s="991">
        <v>44037</v>
      </c>
      <c r="O66" s="19" t="s">
        <v>4181</v>
      </c>
    </row>
    <row r="67" spans="1:15">
      <c r="A67" s="993" t="str">
        <f t="shared" si="0"/>
        <v>Lưới điện trung thế 3 pha Nam Hà 3B</v>
      </c>
      <c r="C67" s="944" t="s">
        <v>1771</v>
      </c>
      <c r="D67" s="943" t="s">
        <v>4115</v>
      </c>
      <c r="E67" s="948"/>
      <c r="F67" s="948"/>
      <c r="G67" s="948"/>
      <c r="H67" s="948"/>
      <c r="I67" s="948"/>
      <c r="J67" s="948"/>
      <c r="K67" s="948"/>
      <c r="L67" s="875"/>
      <c r="M67" s="876"/>
    </row>
    <row r="68" spans="1:15">
      <c r="A68" s="993" t="str">
        <f t="shared" si="0"/>
        <v>Lưới điện trung thế 3 pha Nam Hà 3B001</v>
      </c>
      <c r="B68" s="943" t="s">
        <v>4115</v>
      </c>
      <c r="C68" s="938" t="s">
        <v>4108</v>
      </c>
      <c r="D68" s="938" t="s">
        <v>3006</v>
      </c>
      <c r="E68" s="948"/>
      <c r="F68" s="948"/>
      <c r="G68" s="948">
        <v>1</v>
      </c>
      <c r="H68" s="948"/>
      <c r="I68" s="948"/>
      <c r="J68" s="948"/>
      <c r="K68" s="948"/>
      <c r="L68" s="980" t="s">
        <v>4041</v>
      </c>
      <c r="M68" s="876"/>
      <c r="N68" s="991">
        <v>44048</v>
      </c>
      <c r="O68" s="19" t="s">
        <v>4181</v>
      </c>
    </row>
    <row r="69" spans="1:15">
      <c r="A69" s="993" t="str">
        <f t="shared" si="0"/>
        <v>Lưới điện trung thế 3 pha Nam Hà 3B005</v>
      </c>
      <c r="B69" s="943" t="s">
        <v>4115</v>
      </c>
      <c r="C69" s="938">
        <f t="shared" si="1"/>
        <v>2</v>
      </c>
      <c r="D69" s="938" t="s">
        <v>2994</v>
      </c>
      <c r="E69" s="948"/>
      <c r="F69" s="948"/>
      <c r="G69" s="985"/>
      <c r="H69" s="948"/>
      <c r="I69" s="948"/>
      <c r="J69" s="948"/>
      <c r="K69" s="948"/>
      <c r="L69" s="980" t="s">
        <v>4041</v>
      </c>
      <c r="M69" s="876"/>
      <c r="N69" s="991">
        <v>44048</v>
      </c>
      <c r="O69" s="1" t="s">
        <v>4101</v>
      </c>
    </row>
    <row r="70" spans="1:15">
      <c r="A70" s="993" t="str">
        <f t="shared" ref="A70:A133" si="2">B70&amp;D70</f>
        <v>Lưới điện trung thế 3 pha Nam Hà 3B006</v>
      </c>
      <c r="B70" s="943" t="s">
        <v>4115</v>
      </c>
      <c r="C70" s="938">
        <f t="shared" si="1"/>
        <v>3</v>
      </c>
      <c r="D70" s="938" t="s">
        <v>2995</v>
      </c>
      <c r="E70" s="948"/>
      <c r="F70" s="948"/>
      <c r="G70" s="985"/>
      <c r="H70" s="948"/>
      <c r="I70" s="948"/>
      <c r="J70" s="948"/>
      <c r="K70" s="948"/>
      <c r="L70" s="980" t="s">
        <v>4041</v>
      </c>
      <c r="M70" s="876"/>
      <c r="N70" s="991">
        <v>44048</v>
      </c>
      <c r="O70" s="1" t="s">
        <v>4101</v>
      </c>
    </row>
    <row r="71" spans="1:15">
      <c r="A71" s="993" t="str">
        <f t="shared" si="2"/>
        <v>Lưới điện trung thế 3 pha Nam Hà 3B007</v>
      </c>
      <c r="B71" s="943" t="s">
        <v>4115</v>
      </c>
      <c r="C71" s="938">
        <f t="shared" si="1"/>
        <v>4</v>
      </c>
      <c r="D71" s="938" t="s">
        <v>2996</v>
      </c>
      <c r="E71" s="948"/>
      <c r="F71" s="948"/>
      <c r="G71" s="948">
        <v>1</v>
      </c>
      <c r="H71" s="948"/>
      <c r="I71" s="948"/>
      <c r="J71" s="948"/>
      <c r="K71" s="948"/>
      <c r="L71" s="980" t="s">
        <v>4041</v>
      </c>
      <c r="M71" s="876"/>
      <c r="N71" s="991">
        <v>44048</v>
      </c>
      <c r="O71" s="19" t="s">
        <v>4181</v>
      </c>
    </row>
    <row r="72" spans="1:15">
      <c r="A72" s="993" t="str">
        <f t="shared" si="2"/>
        <v>Lưới điện trung thế 3 pha Nam Hà 3B009</v>
      </c>
      <c r="B72" s="943" t="s">
        <v>4115</v>
      </c>
      <c r="C72" s="938">
        <f t="shared" ref="C72:C138" si="3">C71+1</f>
        <v>5</v>
      </c>
      <c r="D72" s="938" t="s">
        <v>2998</v>
      </c>
      <c r="E72" s="948"/>
      <c r="F72" s="948"/>
      <c r="G72" s="948">
        <v>1</v>
      </c>
      <c r="H72" s="948"/>
      <c r="I72" s="948"/>
      <c r="J72" s="948"/>
      <c r="K72" s="948"/>
      <c r="L72" s="980" t="s">
        <v>4041</v>
      </c>
      <c r="M72" s="876"/>
      <c r="N72" s="991">
        <v>44048</v>
      </c>
      <c r="O72" s="19" t="s">
        <v>4181</v>
      </c>
    </row>
    <row r="73" spans="1:15">
      <c r="A73" s="993" t="str">
        <f t="shared" si="2"/>
        <v>Lưới điện trung thế 3 pha Nam Hà 3B010</v>
      </c>
      <c r="B73" s="943" t="s">
        <v>4115</v>
      </c>
      <c r="C73" s="938">
        <f t="shared" si="3"/>
        <v>6</v>
      </c>
      <c r="D73" s="938" t="s">
        <v>2999</v>
      </c>
      <c r="E73" s="948"/>
      <c r="F73" s="948"/>
      <c r="G73" s="948">
        <v>1</v>
      </c>
      <c r="H73" s="948"/>
      <c r="I73" s="948"/>
      <c r="J73" s="948"/>
      <c r="K73" s="948"/>
      <c r="L73" s="980" t="s">
        <v>4041</v>
      </c>
      <c r="M73" s="876"/>
      <c r="N73" s="991">
        <v>44048</v>
      </c>
      <c r="O73" s="19" t="s">
        <v>4181</v>
      </c>
    </row>
    <row r="74" spans="1:15">
      <c r="A74" s="993" t="str">
        <f t="shared" si="2"/>
        <v>Lưới điện trung thế 3 pha Nam Hà 3B011</v>
      </c>
      <c r="B74" s="943" t="s">
        <v>4115</v>
      </c>
      <c r="C74" s="938">
        <f t="shared" si="3"/>
        <v>7</v>
      </c>
      <c r="D74" s="938" t="s">
        <v>3000</v>
      </c>
      <c r="E74" s="948"/>
      <c r="F74" s="948"/>
      <c r="G74" s="948">
        <v>1</v>
      </c>
      <c r="H74" s="948"/>
      <c r="I74" s="948"/>
      <c r="J74" s="948"/>
      <c r="K74" s="948"/>
      <c r="L74" s="980" t="s">
        <v>4041</v>
      </c>
      <c r="M74" s="876"/>
      <c r="N74" s="991">
        <v>44048</v>
      </c>
      <c r="O74" s="19" t="s">
        <v>4181</v>
      </c>
    </row>
    <row r="75" spans="1:15">
      <c r="A75" s="993" t="str">
        <f t="shared" si="2"/>
        <v>Lưới điện trung thế 3 pha Nam Hà 3B016</v>
      </c>
      <c r="B75" s="943" t="s">
        <v>4115</v>
      </c>
      <c r="C75" s="938">
        <f t="shared" si="3"/>
        <v>8</v>
      </c>
      <c r="D75" s="938" t="s">
        <v>3038</v>
      </c>
      <c r="E75" s="948"/>
      <c r="F75" s="948"/>
      <c r="G75" s="948">
        <v>1</v>
      </c>
      <c r="H75" s="948"/>
      <c r="I75" s="948"/>
      <c r="J75" s="948"/>
      <c r="K75" s="948"/>
      <c r="L75" s="980" t="s">
        <v>4041</v>
      </c>
      <c r="M75" s="876"/>
      <c r="N75" s="991">
        <v>44048</v>
      </c>
      <c r="O75" s="19" t="s">
        <v>4181</v>
      </c>
    </row>
    <row r="76" spans="1:15">
      <c r="A76" s="993" t="str">
        <f t="shared" si="2"/>
        <v>Lưới điện trung thế 3 pha Nam Hà 3B017</v>
      </c>
      <c r="B76" s="943" t="s">
        <v>4115</v>
      </c>
      <c r="C76" s="938">
        <f t="shared" si="3"/>
        <v>9</v>
      </c>
      <c r="D76" s="938" t="s">
        <v>3039</v>
      </c>
      <c r="E76" s="948"/>
      <c r="F76" s="948"/>
      <c r="G76" s="948">
        <v>1</v>
      </c>
      <c r="H76" s="948"/>
      <c r="I76" s="948"/>
      <c r="J76" s="948"/>
      <c r="K76" s="948"/>
      <c r="L76" s="980" t="s">
        <v>4041</v>
      </c>
      <c r="M76" s="876"/>
      <c r="N76" s="991">
        <v>44048</v>
      </c>
      <c r="O76" s="19" t="s">
        <v>4181</v>
      </c>
    </row>
    <row r="77" spans="1:15">
      <c r="A77" s="993" t="str">
        <f t="shared" si="2"/>
        <v>Lưới điện trung thế 3 pha Nam Hà 3B019</v>
      </c>
      <c r="B77" s="943" t="s">
        <v>4115</v>
      </c>
      <c r="C77" s="938">
        <f t="shared" si="3"/>
        <v>10</v>
      </c>
      <c r="D77" s="938" t="s">
        <v>3041</v>
      </c>
      <c r="E77" s="948"/>
      <c r="F77" s="948"/>
      <c r="G77" s="948">
        <v>1</v>
      </c>
      <c r="H77" s="948"/>
      <c r="I77" s="948"/>
      <c r="J77" s="948"/>
      <c r="K77" s="948"/>
      <c r="L77" s="980" t="s">
        <v>4041</v>
      </c>
      <c r="M77" s="876"/>
      <c r="N77" s="991">
        <v>44048</v>
      </c>
      <c r="O77" s="19" t="s">
        <v>4181</v>
      </c>
    </row>
    <row r="78" spans="1:15">
      <c r="A78" s="993" t="str">
        <f t="shared" si="2"/>
        <v>Lưới điện trung thế 3 pha Láng Me 5A-1</v>
      </c>
      <c r="C78" s="944" t="s">
        <v>4116</v>
      </c>
      <c r="D78" s="943" t="s">
        <v>4117</v>
      </c>
      <c r="E78" s="948"/>
      <c r="F78" s="948"/>
      <c r="G78" s="948"/>
      <c r="H78" s="948"/>
      <c r="I78" s="948"/>
      <c r="J78" s="948"/>
      <c r="K78" s="948"/>
      <c r="L78" s="875"/>
      <c r="M78" s="876"/>
    </row>
    <row r="79" spans="1:15">
      <c r="A79" s="993" t="str">
        <f t="shared" si="2"/>
        <v>Lưới điện trung thế 3 pha Láng Me 5A-1001</v>
      </c>
      <c r="B79" s="943" t="s">
        <v>4117</v>
      </c>
      <c r="C79" s="938" t="s">
        <v>4108</v>
      </c>
      <c r="D79" s="938" t="s">
        <v>3006</v>
      </c>
      <c r="E79" s="948"/>
      <c r="F79" s="948"/>
      <c r="G79" s="948">
        <v>1</v>
      </c>
      <c r="H79" s="948"/>
      <c r="I79" s="948"/>
      <c r="J79" s="948"/>
      <c r="K79" s="948"/>
      <c r="L79" s="980" t="s">
        <v>4041</v>
      </c>
      <c r="M79" s="876"/>
      <c r="N79" s="991">
        <v>44028</v>
      </c>
      <c r="O79" s="19" t="s">
        <v>4181</v>
      </c>
    </row>
    <row r="80" spans="1:15">
      <c r="A80" s="993" t="str">
        <f t="shared" si="2"/>
        <v>Lưới điện trung thế 3 pha Láng Me 5A-1002</v>
      </c>
      <c r="B80" s="943" t="s">
        <v>4117</v>
      </c>
      <c r="C80" s="938">
        <f t="shared" si="3"/>
        <v>2</v>
      </c>
      <c r="D80" s="938" t="s">
        <v>2991</v>
      </c>
      <c r="E80" s="948"/>
      <c r="F80" s="948"/>
      <c r="G80" s="948">
        <v>1</v>
      </c>
      <c r="H80" s="948"/>
      <c r="I80" s="948"/>
      <c r="J80" s="948"/>
      <c r="K80" s="948"/>
      <c r="L80" s="980" t="s">
        <v>4041</v>
      </c>
      <c r="M80" s="876"/>
      <c r="N80" s="991">
        <v>44028</v>
      </c>
      <c r="O80" s="19" t="s">
        <v>4181</v>
      </c>
    </row>
    <row r="81" spans="1:15">
      <c r="A81" s="993" t="str">
        <f t="shared" si="2"/>
        <v>Lưới điện trung thế 3 pha Láng Me 5A-1006</v>
      </c>
      <c r="B81" s="943" t="s">
        <v>4117</v>
      </c>
      <c r="C81" s="938">
        <f t="shared" si="3"/>
        <v>3</v>
      </c>
      <c r="D81" s="938" t="s">
        <v>2995</v>
      </c>
      <c r="E81" s="948"/>
      <c r="F81" s="948"/>
      <c r="G81" s="948">
        <v>1</v>
      </c>
      <c r="H81" s="948"/>
      <c r="I81" s="948"/>
      <c r="J81" s="948"/>
      <c r="K81" s="948"/>
      <c r="L81" s="980" t="s">
        <v>4041</v>
      </c>
      <c r="M81" s="876"/>
      <c r="N81" s="991">
        <v>44028</v>
      </c>
      <c r="O81" s="19" t="s">
        <v>4181</v>
      </c>
    </row>
    <row r="82" spans="1:15">
      <c r="A82" s="993" t="str">
        <f t="shared" si="2"/>
        <v>Lưới điện trung thế 3 pha Láng Me 3B</v>
      </c>
      <c r="C82" s="944" t="s">
        <v>4118</v>
      </c>
      <c r="D82" s="943" t="s">
        <v>4119</v>
      </c>
      <c r="E82" s="948"/>
      <c r="F82" s="948"/>
      <c r="G82" s="948"/>
      <c r="H82" s="948"/>
      <c r="I82" s="948"/>
      <c r="J82" s="948"/>
      <c r="K82" s="948"/>
      <c r="L82" s="875"/>
      <c r="M82" s="876"/>
    </row>
    <row r="83" spans="1:15">
      <c r="A83" s="993" t="str">
        <f t="shared" si="2"/>
        <v>Lưới điện trung thế 3 pha Láng Me 3B001</v>
      </c>
      <c r="B83" s="943" t="s">
        <v>4119</v>
      </c>
      <c r="C83" s="938" t="s">
        <v>4108</v>
      </c>
      <c r="D83" s="938" t="s">
        <v>3006</v>
      </c>
      <c r="E83" s="948"/>
      <c r="F83" s="948"/>
      <c r="G83" s="948">
        <v>1</v>
      </c>
      <c r="H83" s="948"/>
      <c r="I83" s="948"/>
      <c r="J83" s="948"/>
      <c r="K83" s="948"/>
      <c r="L83" s="980" t="s">
        <v>4041</v>
      </c>
      <c r="M83" s="876"/>
      <c r="N83" s="991">
        <v>44028</v>
      </c>
      <c r="O83" s="19" t="s">
        <v>4181</v>
      </c>
    </row>
    <row r="84" spans="1:15">
      <c r="A84" s="993" t="str">
        <f t="shared" si="2"/>
        <v>Lưới điện trung thế 3 pha Láng Me 3B006</v>
      </c>
      <c r="B84" s="943" t="s">
        <v>4119</v>
      </c>
      <c r="C84" s="938">
        <f t="shared" si="3"/>
        <v>2</v>
      </c>
      <c r="D84" s="938" t="s">
        <v>2995</v>
      </c>
      <c r="E84" s="948"/>
      <c r="F84" s="948"/>
      <c r="G84" s="948">
        <v>1</v>
      </c>
      <c r="H84" s="948"/>
      <c r="I84" s="948"/>
      <c r="J84" s="948"/>
      <c r="K84" s="948"/>
      <c r="L84" s="980" t="s">
        <v>4041</v>
      </c>
      <c r="M84" s="876"/>
      <c r="N84" s="991">
        <v>44028</v>
      </c>
      <c r="O84" s="19" t="s">
        <v>4181</v>
      </c>
    </row>
    <row r="85" spans="1:15">
      <c r="A85" s="993" t="str">
        <f t="shared" si="2"/>
        <v>Lưới điện trung thế 3 pha Sông Ray 4A</v>
      </c>
      <c r="C85" s="944" t="s">
        <v>4120</v>
      </c>
      <c r="D85" s="943" t="s">
        <v>4122</v>
      </c>
      <c r="E85" s="948"/>
      <c r="F85" s="948"/>
      <c r="G85" s="948"/>
      <c r="H85" s="948"/>
      <c r="I85" s="948"/>
      <c r="J85" s="948"/>
      <c r="K85" s="948"/>
      <c r="L85" s="875"/>
      <c r="M85" s="876"/>
    </row>
    <row r="86" spans="1:15">
      <c r="A86" s="993" t="str">
        <f t="shared" si="2"/>
        <v>Lưới điện trung thế 3 pha Sông Ray 4A072A</v>
      </c>
      <c r="B86" s="943" t="s">
        <v>4122</v>
      </c>
      <c r="C86" s="938" t="s">
        <v>4108</v>
      </c>
      <c r="D86" s="938" t="s">
        <v>3790</v>
      </c>
      <c r="E86" s="948"/>
      <c r="F86" s="948"/>
      <c r="G86" s="948"/>
      <c r="H86" s="948">
        <v>1</v>
      </c>
      <c r="I86" s="948"/>
      <c r="J86" s="948"/>
      <c r="K86" s="948"/>
      <c r="L86" s="982" t="s">
        <v>4042</v>
      </c>
      <c r="M86" s="876"/>
      <c r="N86" s="991">
        <v>44043</v>
      </c>
      <c r="O86" s="19" t="s">
        <v>4182</v>
      </c>
    </row>
    <row r="87" spans="1:15">
      <c r="A87" s="993" t="str">
        <f t="shared" si="2"/>
        <v>Lưới điện trung thế 3 pha Sông Ray 4A001</v>
      </c>
      <c r="B87" s="943" t="s">
        <v>4122</v>
      </c>
      <c r="C87" s="938">
        <f t="shared" si="3"/>
        <v>2</v>
      </c>
      <c r="D87" s="938" t="s">
        <v>3006</v>
      </c>
      <c r="E87" s="948"/>
      <c r="F87" s="948"/>
      <c r="G87" s="948"/>
      <c r="H87" s="948">
        <v>1</v>
      </c>
      <c r="I87" s="948"/>
      <c r="J87" s="948"/>
      <c r="K87" s="948"/>
      <c r="L87" s="982" t="s">
        <v>4042</v>
      </c>
      <c r="M87" s="876"/>
      <c r="N87" s="991">
        <v>44043</v>
      </c>
      <c r="O87" s="19" t="s">
        <v>4181</v>
      </c>
    </row>
    <row r="88" spans="1:15">
      <c r="A88" s="993" t="str">
        <f t="shared" si="2"/>
        <v>Lưới điện trung thế 3 pha Sông Ray 4A002</v>
      </c>
      <c r="B88" s="943" t="s">
        <v>4122</v>
      </c>
      <c r="C88" s="938">
        <f t="shared" si="3"/>
        <v>3</v>
      </c>
      <c r="D88" s="938" t="s">
        <v>2991</v>
      </c>
      <c r="E88" s="948"/>
      <c r="F88" s="948"/>
      <c r="G88" s="948"/>
      <c r="H88" s="948">
        <v>1</v>
      </c>
      <c r="I88" s="948"/>
      <c r="J88" s="948"/>
      <c r="K88" s="948"/>
      <c r="L88" s="982" t="s">
        <v>4042</v>
      </c>
      <c r="M88" s="876"/>
      <c r="N88" s="991">
        <v>44043</v>
      </c>
      <c r="O88" s="19" t="s">
        <v>4181</v>
      </c>
    </row>
    <row r="89" spans="1:15">
      <c r="A89" s="993" t="str">
        <f t="shared" si="2"/>
        <v>Lưới điện trung thế 3 pha Sông Ray 4A003</v>
      </c>
      <c r="B89" s="943" t="s">
        <v>4122</v>
      </c>
      <c r="C89" s="938">
        <f t="shared" si="3"/>
        <v>4</v>
      </c>
      <c r="D89" s="938" t="s">
        <v>2992</v>
      </c>
      <c r="E89" s="948"/>
      <c r="F89" s="948"/>
      <c r="G89" s="948"/>
      <c r="H89" s="948">
        <v>1</v>
      </c>
      <c r="I89" s="948"/>
      <c r="J89" s="948"/>
      <c r="K89" s="948"/>
      <c r="L89" s="982" t="s">
        <v>4042</v>
      </c>
      <c r="M89" s="876"/>
      <c r="N89" s="991">
        <v>44043</v>
      </c>
      <c r="O89" s="19" t="s">
        <v>4181</v>
      </c>
    </row>
    <row r="90" spans="1:15">
      <c r="A90" s="993" t="str">
        <f t="shared" si="2"/>
        <v>Lưới điện trung thế 3 pha Sông Ray 4A004</v>
      </c>
      <c r="B90" s="943" t="s">
        <v>4122</v>
      </c>
      <c r="C90" s="938">
        <f t="shared" si="3"/>
        <v>5</v>
      </c>
      <c r="D90" s="938" t="s">
        <v>2993</v>
      </c>
      <c r="E90" s="948"/>
      <c r="F90" s="948"/>
      <c r="G90" s="948"/>
      <c r="H90" s="948">
        <v>1</v>
      </c>
      <c r="I90" s="948"/>
      <c r="J90" s="948"/>
      <c r="K90" s="948"/>
      <c r="L90" s="982" t="s">
        <v>4042</v>
      </c>
      <c r="M90" s="876"/>
      <c r="N90" s="991">
        <v>44043</v>
      </c>
      <c r="O90" s="19" t="s">
        <v>4181</v>
      </c>
    </row>
    <row r="91" spans="1:15">
      <c r="A91" s="993" t="str">
        <f t="shared" si="2"/>
        <v>Lưới điện trung thế 3 pha Sông Ray 4A010</v>
      </c>
      <c r="B91" s="943" t="s">
        <v>4122</v>
      </c>
      <c r="C91" s="938">
        <f t="shared" si="3"/>
        <v>6</v>
      </c>
      <c r="D91" s="938" t="s">
        <v>2999</v>
      </c>
      <c r="E91" s="948"/>
      <c r="F91" s="948"/>
      <c r="G91" s="948"/>
      <c r="H91" s="948">
        <v>1</v>
      </c>
      <c r="I91" s="948"/>
      <c r="J91" s="948"/>
      <c r="K91" s="948"/>
      <c r="L91" s="982" t="s">
        <v>4042</v>
      </c>
      <c r="M91" s="876"/>
      <c r="N91" s="991">
        <v>44043</v>
      </c>
      <c r="O91" s="19" t="s">
        <v>4181</v>
      </c>
    </row>
    <row r="92" spans="1:15">
      <c r="A92" s="993" t="str">
        <f t="shared" si="2"/>
        <v>Lưới điện trung thế 3 pha Sông Ray 4A012</v>
      </c>
      <c r="B92" s="943" t="s">
        <v>4122</v>
      </c>
      <c r="C92" s="938">
        <f t="shared" si="3"/>
        <v>7</v>
      </c>
      <c r="D92" s="938" t="s">
        <v>3001</v>
      </c>
      <c r="E92" s="948"/>
      <c r="F92" s="948"/>
      <c r="G92" s="948"/>
      <c r="H92" s="948">
        <v>1</v>
      </c>
      <c r="I92" s="948"/>
      <c r="J92" s="948"/>
      <c r="K92" s="948"/>
      <c r="L92" s="982" t="s">
        <v>4042</v>
      </c>
      <c r="M92" s="876"/>
      <c r="N92" s="991">
        <v>44043</v>
      </c>
      <c r="O92" s="19" t="s">
        <v>4181</v>
      </c>
    </row>
    <row r="93" spans="1:15">
      <c r="A93" s="993" t="str">
        <f t="shared" si="2"/>
        <v>Lưới điện trung thế 3 pha Sông Ray 2B</v>
      </c>
      <c r="C93" s="944" t="s">
        <v>4121</v>
      </c>
      <c r="D93" s="943" t="s">
        <v>4123</v>
      </c>
      <c r="E93" s="948"/>
      <c r="F93" s="948"/>
      <c r="G93" s="948"/>
      <c r="H93" s="948"/>
      <c r="I93" s="948"/>
      <c r="J93" s="948"/>
      <c r="K93" s="948"/>
      <c r="L93" s="875"/>
      <c r="M93" s="876"/>
    </row>
    <row r="94" spans="1:15">
      <c r="A94" s="993" t="str">
        <f t="shared" si="2"/>
        <v>Lưới điện trung thế 3 pha Sông Ray 2B015A</v>
      </c>
      <c r="B94" s="943" t="s">
        <v>4123</v>
      </c>
      <c r="C94" s="944"/>
      <c r="D94" s="938" t="s">
        <v>4055</v>
      </c>
      <c r="E94" s="948"/>
      <c r="F94" s="948"/>
      <c r="G94" s="948"/>
      <c r="H94" s="948"/>
      <c r="I94" s="948"/>
      <c r="J94" s="948"/>
      <c r="K94" s="948"/>
      <c r="L94" s="1008" t="s">
        <v>4042</v>
      </c>
      <c r="M94" s="876"/>
      <c r="N94" s="991">
        <v>44043</v>
      </c>
    </row>
    <row r="95" spans="1:15">
      <c r="A95" s="993" t="str">
        <f t="shared" si="2"/>
        <v>Lưới điện trung thế 3 pha Sông Ray 2B001</v>
      </c>
      <c r="B95" s="943" t="s">
        <v>4123</v>
      </c>
      <c r="C95" s="938" t="s">
        <v>4108</v>
      </c>
      <c r="D95" s="938" t="s">
        <v>3006</v>
      </c>
      <c r="E95" s="948"/>
      <c r="F95" s="948"/>
      <c r="G95" s="948"/>
      <c r="H95" s="948">
        <v>1</v>
      </c>
      <c r="I95" s="948"/>
      <c r="J95" s="948"/>
      <c r="K95" s="948"/>
      <c r="L95" s="982" t="s">
        <v>4042</v>
      </c>
      <c r="M95" s="876"/>
      <c r="N95" s="991">
        <v>44043</v>
      </c>
      <c r="O95" s="19" t="s">
        <v>4181</v>
      </c>
    </row>
    <row r="96" spans="1:15">
      <c r="A96" s="993" t="str">
        <f t="shared" si="2"/>
        <v>Lưới điện trung thế 3 pha Sông Ray 2B002</v>
      </c>
      <c r="B96" s="943" t="s">
        <v>4123</v>
      </c>
      <c r="C96" s="938">
        <f t="shared" si="3"/>
        <v>2</v>
      </c>
      <c r="D96" s="938" t="s">
        <v>2991</v>
      </c>
      <c r="E96" s="948"/>
      <c r="F96" s="948"/>
      <c r="G96" s="948"/>
      <c r="H96" s="948">
        <v>1</v>
      </c>
      <c r="I96" s="948"/>
      <c r="J96" s="948"/>
      <c r="K96" s="948"/>
      <c r="L96" s="982" t="s">
        <v>4042</v>
      </c>
      <c r="M96" s="876"/>
      <c r="N96" s="991">
        <v>44043</v>
      </c>
      <c r="O96" s="19" t="s">
        <v>4181</v>
      </c>
    </row>
    <row r="97" spans="1:15">
      <c r="A97" s="993" t="str">
        <f t="shared" si="2"/>
        <v>Lưới điện trung thế 3 pha Sông Ray 2B003</v>
      </c>
      <c r="B97" s="943" t="s">
        <v>4123</v>
      </c>
      <c r="C97" s="938">
        <f t="shared" si="3"/>
        <v>3</v>
      </c>
      <c r="D97" s="938" t="s">
        <v>2992</v>
      </c>
      <c r="E97" s="948"/>
      <c r="F97" s="948"/>
      <c r="G97" s="948"/>
      <c r="H97" s="985"/>
      <c r="I97" s="948"/>
      <c r="J97" s="948"/>
      <c r="K97" s="948"/>
      <c r="L97" s="987"/>
      <c r="M97" s="876"/>
      <c r="N97" s="991">
        <v>44043</v>
      </c>
      <c r="O97" s="19" t="s">
        <v>4181</v>
      </c>
    </row>
    <row r="98" spans="1:15">
      <c r="A98" s="993" t="str">
        <f t="shared" si="2"/>
        <v>Lưới điện trung thế 3 pha Sông Ray 2B004</v>
      </c>
      <c r="B98" s="943" t="s">
        <v>4123</v>
      </c>
      <c r="C98" s="938">
        <f t="shared" si="3"/>
        <v>4</v>
      </c>
      <c r="D98" s="938" t="s">
        <v>2993</v>
      </c>
      <c r="E98" s="948"/>
      <c r="F98" s="948"/>
      <c r="G98" s="948"/>
      <c r="H98" s="985">
        <v>1</v>
      </c>
      <c r="I98" s="948"/>
      <c r="J98" s="948"/>
      <c r="K98" s="948"/>
      <c r="L98" s="982" t="s">
        <v>4042</v>
      </c>
      <c r="M98" s="876"/>
      <c r="N98" s="991">
        <v>44043</v>
      </c>
      <c r="O98" s="19" t="s">
        <v>4181</v>
      </c>
    </row>
    <row r="99" spans="1:15">
      <c r="A99" s="993" t="str">
        <f t="shared" si="2"/>
        <v>Lưới điện trung thế 3 pha Sông Ray 2B006</v>
      </c>
      <c r="B99" s="943" t="s">
        <v>4123</v>
      </c>
      <c r="C99" s="938">
        <f t="shared" si="3"/>
        <v>5</v>
      </c>
      <c r="D99" s="938" t="s">
        <v>2995</v>
      </c>
      <c r="E99" s="948"/>
      <c r="F99" s="948"/>
      <c r="G99" s="948"/>
      <c r="H99" s="948">
        <v>1</v>
      </c>
      <c r="I99" s="948"/>
      <c r="J99" s="948"/>
      <c r="K99" s="948"/>
      <c r="L99" s="982" t="s">
        <v>4042</v>
      </c>
      <c r="M99" s="876"/>
      <c r="N99" s="991">
        <v>44043</v>
      </c>
      <c r="O99" s="19" t="s">
        <v>4181</v>
      </c>
    </row>
    <row r="100" spans="1:15">
      <c r="A100" s="993" t="str">
        <f t="shared" si="2"/>
        <v>Lưới điện trung thế 3 pha Sông Ray 2B007</v>
      </c>
      <c r="B100" s="943" t="s">
        <v>4123</v>
      </c>
      <c r="C100" s="938">
        <f t="shared" si="3"/>
        <v>6</v>
      </c>
      <c r="D100" s="938" t="s">
        <v>2996</v>
      </c>
      <c r="E100" s="948"/>
      <c r="F100" s="948"/>
      <c r="G100" s="948"/>
      <c r="H100" s="948">
        <v>1</v>
      </c>
      <c r="I100" s="948"/>
      <c r="J100" s="948"/>
      <c r="K100" s="948"/>
      <c r="L100" s="982" t="s">
        <v>4042</v>
      </c>
      <c r="M100" s="876"/>
      <c r="N100" s="991">
        <v>44043</v>
      </c>
      <c r="O100" s="19" t="s">
        <v>4181</v>
      </c>
    </row>
    <row r="101" spans="1:15">
      <c r="A101" s="993" t="str">
        <f t="shared" si="2"/>
        <v>Lưới điện trung thế 3 pha Sông Ray 2B009</v>
      </c>
      <c r="B101" s="943" t="s">
        <v>4123</v>
      </c>
      <c r="C101" s="938">
        <f t="shared" si="3"/>
        <v>7</v>
      </c>
      <c r="D101" s="938" t="s">
        <v>2998</v>
      </c>
      <c r="E101" s="948"/>
      <c r="F101" s="948"/>
      <c r="G101" s="948"/>
      <c r="H101" s="985"/>
      <c r="I101" s="948"/>
      <c r="J101" s="948"/>
      <c r="K101" s="948"/>
      <c r="L101" s="987"/>
      <c r="M101" s="876"/>
      <c r="N101" s="991">
        <v>44043</v>
      </c>
      <c r="O101" s="19" t="s">
        <v>4181</v>
      </c>
    </row>
    <row r="102" spans="1:15">
      <c r="A102" s="993" t="str">
        <f t="shared" si="2"/>
        <v>Lưới điện trung thế 3 pha Sông Ray 2B010</v>
      </c>
      <c r="B102" s="943" t="s">
        <v>4123</v>
      </c>
      <c r="C102" s="938">
        <f t="shared" si="3"/>
        <v>8</v>
      </c>
      <c r="D102" s="938" t="s">
        <v>2999</v>
      </c>
      <c r="E102" s="948"/>
      <c r="F102" s="948"/>
      <c r="G102" s="948"/>
      <c r="H102" s="948">
        <v>1</v>
      </c>
      <c r="I102" s="948"/>
      <c r="J102" s="948"/>
      <c r="K102" s="948"/>
      <c r="L102" s="982" t="s">
        <v>4042</v>
      </c>
      <c r="M102" s="876"/>
      <c r="N102" s="991">
        <v>44043</v>
      </c>
      <c r="O102" s="19" t="s">
        <v>4181</v>
      </c>
    </row>
    <row r="103" spans="1:15">
      <c r="A103" s="993" t="str">
        <f t="shared" si="2"/>
        <v>Lưới điện trung thế 3 pha Sông Ray 7A</v>
      </c>
      <c r="C103" s="944" t="s">
        <v>4124</v>
      </c>
      <c r="D103" s="943" t="s">
        <v>4125</v>
      </c>
      <c r="E103" s="948"/>
      <c r="F103" s="948"/>
      <c r="G103" s="948"/>
      <c r="H103" s="948"/>
      <c r="I103" s="948"/>
      <c r="J103" s="948"/>
      <c r="K103" s="948"/>
      <c r="L103" s="875"/>
      <c r="M103" s="876"/>
    </row>
    <row r="104" spans="1:15">
      <c r="A104" s="993" t="str">
        <f t="shared" si="2"/>
        <v>Lưới điện trung thế 3 pha Sông Ray 7A001</v>
      </c>
      <c r="B104" s="943" t="s">
        <v>4125</v>
      </c>
      <c r="C104" s="938" t="s">
        <v>4108</v>
      </c>
      <c r="D104" s="938" t="s">
        <v>3006</v>
      </c>
      <c r="E104" s="948"/>
      <c r="F104" s="948"/>
      <c r="G104" s="948">
        <v>1</v>
      </c>
      <c r="H104" s="948"/>
      <c r="I104" s="948"/>
      <c r="J104" s="948"/>
      <c r="K104" s="948"/>
      <c r="L104" s="980" t="s">
        <v>4041</v>
      </c>
      <c r="M104" s="876"/>
      <c r="N104" s="991">
        <v>44043</v>
      </c>
      <c r="O104" s="19" t="s">
        <v>4181</v>
      </c>
    </row>
    <row r="105" spans="1:15">
      <c r="A105" s="993" t="str">
        <f t="shared" si="2"/>
        <v>Lưới điện trung thế 3 pha Láng Me 5B-5C</v>
      </c>
      <c r="C105" s="944" t="s">
        <v>4127</v>
      </c>
      <c r="D105" s="943" t="s">
        <v>4126</v>
      </c>
      <c r="E105" s="948"/>
      <c r="F105" s="948"/>
      <c r="G105" s="948"/>
      <c r="H105" s="948"/>
      <c r="I105" s="948"/>
      <c r="J105" s="948"/>
      <c r="K105" s="948"/>
      <c r="L105" s="875"/>
      <c r="M105" s="876"/>
    </row>
    <row r="106" spans="1:15">
      <c r="A106" s="993" t="str">
        <f t="shared" si="2"/>
        <v>Lưới điện trung thế 3 pha Láng Me 5B-5C119/001</v>
      </c>
      <c r="B106" s="943" t="s">
        <v>4126</v>
      </c>
      <c r="C106" s="938" t="s">
        <v>4108</v>
      </c>
      <c r="D106" s="938" t="s">
        <v>4128</v>
      </c>
      <c r="E106" s="948"/>
      <c r="F106" s="948"/>
      <c r="G106" s="948">
        <v>1</v>
      </c>
      <c r="H106" s="948"/>
      <c r="I106" s="948"/>
      <c r="J106" s="948"/>
      <c r="K106" s="948"/>
      <c r="L106" s="980" t="s">
        <v>4041</v>
      </c>
      <c r="M106" s="876"/>
      <c r="N106" s="991">
        <v>44028</v>
      </c>
      <c r="O106" s="19" t="s">
        <v>4181</v>
      </c>
    </row>
    <row r="107" spans="1:15">
      <c r="A107" s="993" t="str">
        <f t="shared" si="2"/>
        <v>Lưới điện trung thế 3 pha Láng Me 5B-5C120</v>
      </c>
      <c r="B107" s="943" t="s">
        <v>4126</v>
      </c>
      <c r="C107" s="938">
        <f t="shared" si="3"/>
        <v>2</v>
      </c>
      <c r="D107" s="938" t="s">
        <v>3737</v>
      </c>
      <c r="E107" s="948"/>
      <c r="F107" s="948"/>
      <c r="G107" s="948">
        <v>1</v>
      </c>
      <c r="H107" s="948"/>
      <c r="I107" s="948"/>
      <c r="J107" s="948"/>
      <c r="K107" s="948"/>
      <c r="L107" s="980" t="s">
        <v>4041</v>
      </c>
      <c r="M107" s="876"/>
      <c r="N107" s="991">
        <v>44028</v>
      </c>
      <c r="O107" s="19" t="s">
        <v>4181</v>
      </c>
    </row>
    <row r="108" spans="1:15">
      <c r="A108" s="993" t="str">
        <f t="shared" si="2"/>
        <v>Lưới điện trung thế 3 pha Láng Me 5B-5C126</v>
      </c>
      <c r="B108" s="943" t="s">
        <v>4126</v>
      </c>
      <c r="C108" s="938">
        <f t="shared" si="3"/>
        <v>3</v>
      </c>
      <c r="D108" s="938" t="s">
        <v>3743</v>
      </c>
      <c r="E108" s="948"/>
      <c r="F108" s="948"/>
      <c r="G108" s="948">
        <v>1</v>
      </c>
      <c r="H108" s="948"/>
      <c r="I108" s="948"/>
      <c r="J108" s="948"/>
      <c r="K108" s="948"/>
      <c r="L108" s="980" t="s">
        <v>4041</v>
      </c>
      <c r="M108" s="876"/>
      <c r="N108" s="991">
        <v>44028</v>
      </c>
      <c r="O108" s="19" t="s">
        <v>4182</v>
      </c>
    </row>
    <row r="109" spans="1:15">
      <c r="A109" s="993" t="str">
        <f t="shared" si="2"/>
        <v>Lưới điện trung thế 3 pha Láng Me 5B-5C136</v>
      </c>
      <c r="B109" s="943" t="s">
        <v>4126</v>
      </c>
      <c r="C109" s="938">
        <f t="shared" si="3"/>
        <v>4</v>
      </c>
      <c r="D109" s="938" t="s">
        <v>3755</v>
      </c>
      <c r="E109" s="948"/>
      <c r="F109" s="948"/>
      <c r="G109" s="948">
        <v>1</v>
      </c>
      <c r="H109" s="948"/>
      <c r="I109" s="948"/>
      <c r="J109" s="948"/>
      <c r="K109" s="948"/>
      <c r="L109" s="980" t="s">
        <v>4041</v>
      </c>
      <c r="M109" s="876"/>
      <c r="N109" s="991">
        <v>44028</v>
      </c>
      <c r="O109" s="19" t="s">
        <v>4181</v>
      </c>
    </row>
    <row r="110" spans="1:15">
      <c r="A110" s="993" t="str">
        <f t="shared" si="2"/>
        <v>Lưới điện trung thế 3 pha Láng Me 5B-5C142</v>
      </c>
      <c r="B110" s="943" t="s">
        <v>4126</v>
      </c>
      <c r="C110" s="938">
        <f t="shared" si="3"/>
        <v>5</v>
      </c>
      <c r="D110" s="938" t="s">
        <v>3795</v>
      </c>
      <c r="E110" s="948"/>
      <c r="F110" s="948"/>
      <c r="G110" s="948">
        <v>1</v>
      </c>
      <c r="H110" s="948"/>
      <c r="I110" s="948"/>
      <c r="J110" s="948"/>
      <c r="K110" s="948"/>
      <c r="L110" s="980" t="s">
        <v>4041</v>
      </c>
      <c r="M110" s="876"/>
      <c r="N110" s="991">
        <v>44028</v>
      </c>
      <c r="O110" s="19" t="s">
        <v>4181</v>
      </c>
    </row>
    <row r="111" spans="1:15">
      <c r="A111" s="993" t="str">
        <f t="shared" si="2"/>
        <v>Lưới điện trung thế 3 pha Láng Me 5B-5C143</v>
      </c>
      <c r="B111" s="943" t="s">
        <v>4126</v>
      </c>
      <c r="C111" s="938">
        <f t="shared" si="3"/>
        <v>6</v>
      </c>
      <c r="D111" s="938" t="s">
        <v>3796</v>
      </c>
      <c r="E111" s="948"/>
      <c r="F111" s="948"/>
      <c r="G111" s="948">
        <v>1</v>
      </c>
      <c r="H111" s="948"/>
      <c r="I111" s="948"/>
      <c r="J111" s="948"/>
      <c r="K111" s="948"/>
      <c r="L111" s="980" t="s">
        <v>4041</v>
      </c>
      <c r="M111" s="876"/>
      <c r="N111" s="991">
        <v>44028</v>
      </c>
      <c r="O111" s="19" t="s">
        <v>4181</v>
      </c>
    </row>
    <row r="112" spans="1:15">
      <c r="A112" s="993" t="str">
        <f t="shared" si="2"/>
        <v>Lưới điện trung thế 3 pha Láng Me 5B-5C146</v>
      </c>
      <c r="B112" s="943" t="s">
        <v>4126</v>
      </c>
      <c r="C112" s="938">
        <f t="shared" si="3"/>
        <v>7</v>
      </c>
      <c r="D112" s="938" t="s">
        <v>3799</v>
      </c>
      <c r="E112" s="948"/>
      <c r="F112" s="948"/>
      <c r="G112" s="948">
        <v>1</v>
      </c>
      <c r="H112" s="948"/>
      <c r="I112" s="948"/>
      <c r="J112" s="948"/>
      <c r="K112" s="948"/>
      <c r="L112" s="980" t="s">
        <v>4041</v>
      </c>
      <c r="M112" s="876"/>
      <c r="N112" s="991">
        <v>44028</v>
      </c>
      <c r="O112" s="19" t="s">
        <v>4181</v>
      </c>
    </row>
    <row r="113" spans="1:15">
      <c r="A113" s="993" t="str">
        <f t="shared" si="2"/>
        <v>Lưới điện trung thế 3 pha Láng Me 5B-5C147</v>
      </c>
      <c r="B113" s="943" t="s">
        <v>4126</v>
      </c>
      <c r="C113" s="938">
        <f t="shared" si="3"/>
        <v>8</v>
      </c>
      <c r="D113" s="938" t="s">
        <v>3800</v>
      </c>
      <c r="E113" s="948"/>
      <c r="F113" s="948"/>
      <c r="G113" s="948">
        <v>1</v>
      </c>
      <c r="H113" s="948"/>
      <c r="I113" s="948"/>
      <c r="J113" s="948"/>
      <c r="K113" s="948"/>
      <c r="L113" s="980" t="s">
        <v>4041</v>
      </c>
      <c r="M113" s="876"/>
      <c r="N113" s="991">
        <v>44028</v>
      </c>
      <c r="O113" s="19" t="s">
        <v>4181</v>
      </c>
    </row>
    <row r="114" spans="1:15">
      <c r="A114" s="993" t="str">
        <f t="shared" si="2"/>
        <v>Lưới điện trung thế 3 pha Láng Me 5B-5C150</v>
      </c>
      <c r="B114" s="943" t="s">
        <v>4126</v>
      </c>
      <c r="C114" s="938">
        <f t="shared" si="3"/>
        <v>9</v>
      </c>
      <c r="D114" s="938" t="s">
        <v>3803</v>
      </c>
      <c r="E114" s="948"/>
      <c r="F114" s="948"/>
      <c r="G114" s="948">
        <v>1</v>
      </c>
      <c r="H114" s="948"/>
      <c r="I114" s="948"/>
      <c r="J114" s="948"/>
      <c r="K114" s="948"/>
      <c r="L114" s="980" t="s">
        <v>4041</v>
      </c>
      <c r="M114" s="876"/>
      <c r="N114" s="991">
        <v>44028</v>
      </c>
      <c r="O114" s="19" t="s">
        <v>4181</v>
      </c>
    </row>
    <row r="115" spans="1:15">
      <c r="A115" s="993" t="str">
        <f t="shared" si="2"/>
        <v>Lưới hạ thế sau TBA Nam Hà 1</v>
      </c>
      <c r="C115" s="944" t="s">
        <v>4129</v>
      </c>
      <c r="D115" s="943" t="s">
        <v>3659</v>
      </c>
      <c r="E115" s="948"/>
      <c r="F115" s="948"/>
      <c r="G115" s="948"/>
      <c r="H115" s="948"/>
      <c r="I115" s="948"/>
      <c r="J115" s="948"/>
      <c r="K115" s="948"/>
      <c r="L115" s="875"/>
      <c r="M115" s="876"/>
    </row>
    <row r="116" spans="1:15">
      <c r="A116" s="993" t="str">
        <f t="shared" si="2"/>
        <v>Lưới hạ thế sau TBA Nam Hà 1344</v>
      </c>
      <c r="B116" s="943" t="s">
        <v>3659</v>
      </c>
      <c r="C116" s="938" t="s">
        <v>4108</v>
      </c>
      <c r="D116" s="938" t="s">
        <v>3670</v>
      </c>
      <c r="E116" s="948"/>
      <c r="F116" s="948"/>
      <c r="G116" s="948">
        <v>1</v>
      </c>
      <c r="H116" s="948"/>
      <c r="I116" s="948"/>
      <c r="J116" s="948"/>
      <c r="K116" s="948"/>
      <c r="L116" s="980" t="s">
        <v>4041</v>
      </c>
      <c r="M116" s="876"/>
      <c r="N116" s="991">
        <v>44048</v>
      </c>
      <c r="O116" s="19" t="s">
        <v>4182</v>
      </c>
    </row>
    <row r="117" spans="1:15">
      <c r="A117" s="993" t="str">
        <f t="shared" si="2"/>
        <v>Lưới hạ thế sau TBA Nam Hà 1344/01</v>
      </c>
      <c r="B117" s="943" t="s">
        <v>3659</v>
      </c>
      <c r="C117" s="945">
        <f t="shared" si="3"/>
        <v>2</v>
      </c>
      <c r="D117" s="945" t="s">
        <v>4072</v>
      </c>
      <c r="E117" s="970"/>
      <c r="F117" s="970"/>
      <c r="G117" s="970">
        <v>1</v>
      </c>
      <c r="H117" s="970"/>
      <c r="I117" s="970"/>
      <c r="J117" s="970"/>
      <c r="K117" s="970"/>
      <c r="L117" s="980" t="s">
        <v>4041</v>
      </c>
      <c r="M117" s="947"/>
      <c r="N117" s="991">
        <v>44048</v>
      </c>
      <c r="O117" s="19" t="s">
        <v>4181</v>
      </c>
    </row>
    <row r="118" spans="1:15">
      <c r="A118" s="993" t="str">
        <f t="shared" si="2"/>
        <v/>
      </c>
      <c r="C118" s="966" t="s">
        <v>4130</v>
      </c>
      <c r="D118" s="967"/>
      <c r="E118" s="974">
        <f t="shared" ref="E118:K118" si="4">SUM(E3:E117)</f>
        <v>6</v>
      </c>
      <c r="F118" s="974">
        <f t="shared" si="4"/>
        <v>1</v>
      </c>
      <c r="G118" s="974">
        <f t="shared" si="4"/>
        <v>69</v>
      </c>
      <c r="H118" s="974">
        <f t="shared" si="4"/>
        <v>14</v>
      </c>
      <c r="I118" s="974">
        <f t="shared" si="4"/>
        <v>4</v>
      </c>
      <c r="J118" s="974">
        <f t="shared" si="4"/>
        <v>0</v>
      </c>
      <c r="K118" s="974">
        <f t="shared" si="4"/>
        <v>0</v>
      </c>
      <c r="L118" s="975"/>
      <c r="M118" s="976"/>
    </row>
    <row r="119" spans="1:15">
      <c r="A119" s="993" t="str">
        <f t="shared" si="2"/>
        <v>PHẦN ĐƯỜNG DÂY HẠ THẾ</v>
      </c>
      <c r="C119" s="937" t="s">
        <v>1764</v>
      </c>
      <c r="D119" s="942" t="s">
        <v>4058</v>
      </c>
      <c r="E119" s="971"/>
      <c r="F119" s="972"/>
      <c r="G119" s="972"/>
      <c r="H119" s="972"/>
      <c r="I119" s="972"/>
      <c r="J119" s="972"/>
      <c r="K119" s="972"/>
      <c r="L119" s="972"/>
      <c r="M119" s="973"/>
    </row>
    <row r="120" spans="1:15">
      <c r="A120" s="993" t="str">
        <f t="shared" si="2"/>
        <v>Lưới hạ thế sau TBA Lâm San 11A</v>
      </c>
      <c r="C120" s="944" t="s">
        <v>1631</v>
      </c>
      <c r="D120" s="943" t="s">
        <v>3603</v>
      </c>
      <c r="E120" s="938"/>
      <c r="F120" s="875"/>
      <c r="G120" s="875"/>
      <c r="H120" s="875"/>
      <c r="I120" s="875"/>
      <c r="J120" s="875"/>
      <c r="K120" s="875"/>
      <c r="L120" s="875"/>
      <c r="M120" s="876"/>
    </row>
    <row r="121" spans="1:15">
      <c r="A121" s="993" t="str">
        <f t="shared" si="2"/>
        <v>Lưới hạ thế sau TBA Lâm San 11A058/08</v>
      </c>
      <c r="B121" s="943" t="s">
        <v>3603</v>
      </c>
      <c r="C121" s="938" t="s">
        <v>4108</v>
      </c>
      <c r="D121" s="938" t="s">
        <v>4131</v>
      </c>
      <c r="E121" s="938"/>
      <c r="F121" s="875"/>
      <c r="G121" s="875"/>
      <c r="H121" s="875"/>
      <c r="I121" s="875"/>
      <c r="J121" s="875">
        <v>1</v>
      </c>
      <c r="K121" s="875"/>
      <c r="L121" s="977" t="s">
        <v>4031</v>
      </c>
      <c r="M121" s="876"/>
      <c r="N121" s="991">
        <v>44043</v>
      </c>
      <c r="O121" s="19" t="s">
        <v>4181</v>
      </c>
    </row>
    <row r="122" spans="1:15">
      <c r="A122" s="993" t="str">
        <f t="shared" si="2"/>
        <v>Lưới hạ thế sau TBA Lâm San 11A058/10</v>
      </c>
      <c r="B122" s="943" t="s">
        <v>3603</v>
      </c>
      <c r="C122" s="938">
        <f t="shared" si="3"/>
        <v>2</v>
      </c>
      <c r="D122" s="938" t="s">
        <v>4132</v>
      </c>
      <c r="E122" s="945"/>
      <c r="F122" s="946"/>
      <c r="G122" s="946"/>
      <c r="H122" s="946"/>
      <c r="I122" s="946"/>
      <c r="J122" s="946">
        <v>1</v>
      </c>
      <c r="K122" s="946"/>
      <c r="L122" s="977" t="s">
        <v>4031</v>
      </c>
      <c r="M122" s="947"/>
      <c r="N122" s="991">
        <v>44043</v>
      </c>
      <c r="O122" s="19" t="s">
        <v>4181</v>
      </c>
    </row>
    <row r="123" spans="1:15">
      <c r="A123" s="993" t="str">
        <f t="shared" si="2"/>
        <v>Lưới hạ thế sau TBA Lâm San 11A058/11</v>
      </c>
      <c r="B123" s="943" t="s">
        <v>3603</v>
      </c>
      <c r="C123" s="938">
        <f t="shared" si="3"/>
        <v>3</v>
      </c>
      <c r="D123" s="938" t="s">
        <v>4133</v>
      </c>
      <c r="E123" s="945"/>
      <c r="F123" s="946"/>
      <c r="G123" s="946"/>
      <c r="H123" s="946"/>
      <c r="I123" s="946"/>
      <c r="J123" s="946">
        <v>1</v>
      </c>
      <c r="K123" s="946"/>
      <c r="L123" s="977" t="s">
        <v>4031</v>
      </c>
      <c r="M123" s="947"/>
      <c r="N123" s="991">
        <v>44043</v>
      </c>
      <c r="O123" s="19" t="s">
        <v>4181</v>
      </c>
    </row>
    <row r="124" spans="1:15">
      <c r="A124" s="993" t="str">
        <f t="shared" si="2"/>
        <v>Lưới hạ thế sau TBA Lâm San 11A046/03</v>
      </c>
      <c r="B124" s="943" t="s">
        <v>3603</v>
      </c>
      <c r="C124" s="938">
        <f t="shared" si="3"/>
        <v>4</v>
      </c>
      <c r="D124" s="945" t="s">
        <v>4134</v>
      </c>
      <c r="E124" s="945"/>
      <c r="F124" s="946"/>
      <c r="G124" s="946"/>
      <c r="H124" s="946"/>
      <c r="I124" s="946"/>
      <c r="J124" s="946">
        <v>1</v>
      </c>
      <c r="K124" s="946"/>
      <c r="L124" s="977" t="s">
        <v>4031</v>
      </c>
      <c r="M124" s="947"/>
      <c r="N124" s="991">
        <v>44043</v>
      </c>
      <c r="O124" s="19" t="s">
        <v>4181</v>
      </c>
    </row>
    <row r="125" spans="1:15">
      <c r="A125" s="993" t="str">
        <f t="shared" si="2"/>
        <v>Lưới hạ thế sau TBA Sông Ray 4A</v>
      </c>
      <c r="C125" s="944" t="s">
        <v>1663</v>
      </c>
      <c r="D125" s="962" t="s">
        <v>3643</v>
      </c>
      <c r="E125" s="945"/>
      <c r="F125" s="946"/>
      <c r="G125" s="946"/>
      <c r="H125" s="946"/>
      <c r="I125" s="946"/>
      <c r="J125" s="946"/>
      <c r="K125" s="946"/>
      <c r="L125" s="946"/>
      <c r="M125" s="947"/>
    </row>
    <row r="126" spans="1:15">
      <c r="A126" s="993" t="str">
        <f t="shared" si="2"/>
        <v>Lưới hạ thế sau TBA Sông Ray 4A012/02</v>
      </c>
      <c r="B126" s="962" t="s">
        <v>3643</v>
      </c>
      <c r="C126" s="938" t="s">
        <v>4108</v>
      </c>
      <c r="D126" s="945" t="s">
        <v>4135</v>
      </c>
      <c r="E126" s="945"/>
      <c r="F126" s="946"/>
      <c r="G126" s="946"/>
      <c r="H126" s="946"/>
      <c r="I126" s="946"/>
      <c r="J126" s="946"/>
      <c r="K126" s="946">
        <v>1</v>
      </c>
      <c r="L126" s="978" t="s">
        <v>4032</v>
      </c>
      <c r="M126" s="947"/>
      <c r="N126" s="991">
        <v>44043</v>
      </c>
      <c r="O126" s="19" t="s">
        <v>4181</v>
      </c>
    </row>
    <row r="127" spans="1:15">
      <c r="A127" s="993" t="str">
        <f t="shared" si="2"/>
        <v>Lưới hạ thế sau TBA Sông Ray 4A012/03</v>
      </c>
      <c r="B127" s="962" t="s">
        <v>3643</v>
      </c>
      <c r="C127" s="938">
        <f t="shared" si="3"/>
        <v>2</v>
      </c>
      <c r="D127" s="945" t="s">
        <v>4136</v>
      </c>
      <c r="E127" s="945"/>
      <c r="F127" s="946"/>
      <c r="G127" s="946"/>
      <c r="H127" s="946"/>
      <c r="I127" s="946"/>
      <c r="J127" s="946"/>
      <c r="K127" s="946">
        <v>1</v>
      </c>
      <c r="L127" s="978" t="s">
        <v>4032</v>
      </c>
      <c r="M127" s="947"/>
      <c r="N127" s="991">
        <v>44043</v>
      </c>
      <c r="O127" s="19" t="s">
        <v>4181</v>
      </c>
    </row>
    <row r="128" spans="1:15">
      <c r="A128" s="993" t="str">
        <f t="shared" si="2"/>
        <v>Lưới hạ thế sau TBA Nam Hà 1</v>
      </c>
      <c r="C128" s="944" t="s">
        <v>1673</v>
      </c>
      <c r="D128" s="962" t="s">
        <v>3659</v>
      </c>
      <c r="E128" s="945"/>
      <c r="F128" s="946"/>
      <c r="G128" s="946"/>
      <c r="H128" s="946"/>
      <c r="I128" s="946"/>
      <c r="J128" s="946"/>
      <c r="K128" s="946"/>
      <c r="L128" s="946"/>
      <c r="M128" s="947"/>
    </row>
    <row r="129" spans="1:15">
      <c r="A129" s="993" t="str">
        <f t="shared" si="2"/>
        <v>Lưới hạ thế sau TBA Nam Hà 1344/03</v>
      </c>
      <c r="B129" s="962" t="s">
        <v>3659</v>
      </c>
      <c r="C129" s="938" t="s">
        <v>4108</v>
      </c>
      <c r="D129" s="945" t="s">
        <v>4073</v>
      </c>
      <c r="E129" s="945"/>
      <c r="F129" s="946"/>
      <c r="G129" s="946"/>
      <c r="H129" s="946"/>
      <c r="I129" s="946"/>
      <c r="J129" s="946">
        <v>1</v>
      </c>
      <c r="K129" s="946"/>
      <c r="L129" s="977" t="s">
        <v>4031</v>
      </c>
      <c r="M129" s="947"/>
      <c r="N129" s="991">
        <v>44048</v>
      </c>
      <c r="O129" s="19" t="s">
        <v>4181</v>
      </c>
    </row>
    <row r="130" spans="1:15">
      <c r="A130" s="993" t="str">
        <f t="shared" si="2"/>
        <v>Lưới hạ thế sau TBA Nam Hà 1344/08</v>
      </c>
      <c r="B130" s="962" t="s">
        <v>3659</v>
      </c>
      <c r="C130" s="938">
        <f t="shared" si="3"/>
        <v>2</v>
      </c>
      <c r="D130" s="945" t="s">
        <v>4137</v>
      </c>
      <c r="E130" s="945"/>
      <c r="F130" s="946"/>
      <c r="G130" s="946"/>
      <c r="H130" s="946"/>
      <c r="I130" s="946"/>
      <c r="J130" s="988"/>
      <c r="K130" s="946"/>
      <c r="L130" s="977" t="s">
        <v>4031</v>
      </c>
      <c r="M130" s="947"/>
      <c r="N130" s="991">
        <v>44048</v>
      </c>
    </row>
    <row r="131" spans="1:15" ht="31.2">
      <c r="A131" s="993" t="str">
        <f t="shared" si="2"/>
        <v>Lưới hạ thế sau TBA Nam Hà 1344/09</v>
      </c>
      <c r="B131" s="962" t="s">
        <v>3659</v>
      </c>
      <c r="C131" s="938">
        <f>C130+1</f>
        <v>3</v>
      </c>
      <c r="D131" s="945" t="s">
        <v>4183</v>
      </c>
      <c r="E131" s="945"/>
      <c r="F131" s="946"/>
      <c r="G131" s="946"/>
      <c r="H131" s="946"/>
      <c r="I131" s="946"/>
      <c r="J131" s="988">
        <v>1</v>
      </c>
      <c r="K131" s="946"/>
      <c r="L131" s="1008" t="s">
        <v>4031</v>
      </c>
      <c r="M131" s="989" t="s">
        <v>4184</v>
      </c>
      <c r="N131" s="991">
        <v>44048</v>
      </c>
      <c r="O131" s="18" t="s">
        <v>4181</v>
      </c>
    </row>
    <row r="132" spans="1:15">
      <c r="A132" s="993" t="str">
        <f t="shared" si="2"/>
        <v>Lưới hạ thế sau TBA Nam Hà 1344/11</v>
      </c>
      <c r="B132" s="962" t="s">
        <v>3659</v>
      </c>
      <c r="C132" s="938">
        <f>C131+1</f>
        <v>4</v>
      </c>
      <c r="D132" s="945" t="s">
        <v>4138</v>
      </c>
      <c r="E132" s="945"/>
      <c r="F132" s="946"/>
      <c r="G132" s="946"/>
      <c r="H132" s="946"/>
      <c r="I132" s="946"/>
      <c r="J132" s="946">
        <v>1</v>
      </c>
      <c r="K132" s="946"/>
      <c r="L132" s="977" t="s">
        <v>4031</v>
      </c>
      <c r="M132" s="947"/>
      <c r="N132" s="991">
        <v>44048</v>
      </c>
      <c r="O132" s="18" t="s">
        <v>4181</v>
      </c>
    </row>
    <row r="133" spans="1:15">
      <c r="A133" s="993" t="str">
        <f t="shared" si="2"/>
        <v>Lưới hạ thế sau TBA Nam Hà 1344/13</v>
      </c>
      <c r="B133" s="962" t="s">
        <v>3659</v>
      </c>
      <c r="C133" s="948">
        <f t="shared" si="3"/>
        <v>5</v>
      </c>
      <c r="D133" s="945" t="s">
        <v>4076</v>
      </c>
      <c r="E133" s="945"/>
      <c r="F133" s="946"/>
      <c r="G133" s="946"/>
      <c r="H133" s="946"/>
      <c r="I133" s="946"/>
      <c r="J133" s="946">
        <v>1</v>
      </c>
      <c r="K133" s="946"/>
      <c r="L133" s="977" t="s">
        <v>4031</v>
      </c>
      <c r="M133" s="947"/>
      <c r="N133" s="991">
        <v>44048</v>
      </c>
      <c r="O133" s="18" t="s">
        <v>4181</v>
      </c>
    </row>
    <row r="134" spans="1:15">
      <c r="A134" s="993" t="str">
        <f t="shared" ref="A134:A197" si="5">B134&amp;D134</f>
        <v>Lưới hạ thế sau TBA Nam Hà 1344/14</v>
      </c>
      <c r="B134" s="962" t="s">
        <v>3659</v>
      </c>
      <c r="C134" s="948">
        <f t="shared" si="3"/>
        <v>6</v>
      </c>
      <c r="D134" s="945" t="s">
        <v>4139</v>
      </c>
      <c r="E134" s="945"/>
      <c r="F134" s="946"/>
      <c r="G134" s="946"/>
      <c r="H134" s="946"/>
      <c r="I134" s="946"/>
      <c r="J134" s="946">
        <v>1</v>
      </c>
      <c r="K134" s="946"/>
      <c r="L134" s="977" t="s">
        <v>4031</v>
      </c>
      <c r="M134" s="947"/>
      <c r="N134" s="991">
        <v>44048</v>
      </c>
      <c r="O134" s="18" t="s">
        <v>4181</v>
      </c>
    </row>
    <row r="135" spans="1:15">
      <c r="A135" s="993" t="str">
        <f t="shared" si="5"/>
        <v>Lưới hạ thế sau TBA Nam Hà 1344/15</v>
      </c>
      <c r="B135" s="962" t="s">
        <v>3659</v>
      </c>
      <c r="C135" s="948">
        <f t="shared" si="3"/>
        <v>7</v>
      </c>
      <c r="D135" s="945" t="s">
        <v>4140</v>
      </c>
      <c r="E135" s="945"/>
      <c r="F135" s="946"/>
      <c r="G135" s="946"/>
      <c r="H135" s="946"/>
      <c r="I135" s="946"/>
      <c r="J135" s="946">
        <v>1</v>
      </c>
      <c r="K135" s="946"/>
      <c r="L135" s="977" t="s">
        <v>4031</v>
      </c>
      <c r="M135" s="947"/>
      <c r="N135" s="991">
        <v>44048</v>
      </c>
      <c r="O135" s="18" t="s">
        <v>4181</v>
      </c>
    </row>
    <row r="136" spans="1:15">
      <c r="A136" s="993" t="str">
        <f t="shared" si="5"/>
        <v>Lưới hạ thế sau TBA Nam Hà 1344/16</v>
      </c>
      <c r="B136" s="962" t="s">
        <v>3659</v>
      </c>
      <c r="C136" s="948">
        <f t="shared" si="3"/>
        <v>8</v>
      </c>
      <c r="D136" s="945" t="s">
        <v>4141</v>
      </c>
      <c r="E136" s="945"/>
      <c r="F136" s="946"/>
      <c r="G136" s="946"/>
      <c r="H136" s="946"/>
      <c r="I136" s="946"/>
      <c r="J136" s="946">
        <v>1</v>
      </c>
      <c r="K136" s="946"/>
      <c r="L136" s="977" t="s">
        <v>4031</v>
      </c>
      <c r="M136" s="947"/>
      <c r="N136" s="991">
        <v>44048</v>
      </c>
      <c r="O136" s="18" t="s">
        <v>4181</v>
      </c>
    </row>
    <row r="137" spans="1:15">
      <c r="A137" s="993" t="str">
        <f t="shared" si="5"/>
        <v>Lưới hạ thế sau TBA Nam Hà 1344/22</v>
      </c>
      <c r="B137" s="962" t="s">
        <v>3659</v>
      </c>
      <c r="C137" s="948">
        <f t="shared" si="3"/>
        <v>9</v>
      </c>
      <c r="D137" s="945" t="s">
        <v>4075</v>
      </c>
      <c r="E137" s="945"/>
      <c r="F137" s="946"/>
      <c r="G137" s="946"/>
      <c r="H137" s="946"/>
      <c r="I137" s="946"/>
      <c r="J137" s="946">
        <v>1</v>
      </c>
      <c r="K137" s="946"/>
      <c r="L137" s="977" t="s">
        <v>4031</v>
      </c>
      <c r="M137" s="947"/>
      <c r="N137" s="991">
        <v>44048</v>
      </c>
      <c r="O137" s="18" t="s">
        <v>4181</v>
      </c>
    </row>
    <row r="138" spans="1:15">
      <c r="A138" s="993" t="str">
        <f t="shared" si="5"/>
        <v>Lưới hạ thế sau TBA Nam Hà 1347/06</v>
      </c>
      <c r="B138" s="962" t="s">
        <v>3659</v>
      </c>
      <c r="C138" s="948">
        <f t="shared" si="3"/>
        <v>10</v>
      </c>
      <c r="D138" s="945" t="s">
        <v>4061</v>
      </c>
      <c r="E138" s="945"/>
      <c r="F138" s="946"/>
      <c r="G138" s="946"/>
      <c r="H138" s="946"/>
      <c r="I138" s="946"/>
      <c r="J138" s="946">
        <v>1</v>
      </c>
      <c r="K138" s="946"/>
      <c r="L138" s="977" t="s">
        <v>4031</v>
      </c>
      <c r="M138" s="947"/>
      <c r="N138" s="991">
        <v>44048</v>
      </c>
      <c r="O138" s="18" t="s">
        <v>4181</v>
      </c>
    </row>
    <row r="139" spans="1:15">
      <c r="A139" s="993" t="str">
        <f t="shared" si="5"/>
        <v>Lưới hạ thế sau TBA Nam Hà 1347/08</v>
      </c>
      <c r="B139" s="962" t="s">
        <v>3659</v>
      </c>
      <c r="C139" s="948">
        <f t="shared" ref="C139:C162" si="6">C138+1</f>
        <v>11</v>
      </c>
      <c r="D139" s="945" t="s">
        <v>4062</v>
      </c>
      <c r="E139" s="945"/>
      <c r="F139" s="946"/>
      <c r="G139" s="946"/>
      <c r="H139" s="946"/>
      <c r="I139" s="946"/>
      <c r="J139" s="946">
        <v>1</v>
      </c>
      <c r="K139" s="946"/>
      <c r="L139" s="977" t="s">
        <v>4031</v>
      </c>
      <c r="M139" s="947"/>
      <c r="N139" s="991">
        <v>44048</v>
      </c>
      <c r="O139" s="18" t="s">
        <v>4181</v>
      </c>
    </row>
    <row r="140" spans="1:15">
      <c r="A140" s="993" t="str">
        <f t="shared" si="5"/>
        <v>Lưới hạ thế sau TBA Nam Hà 1347/09</v>
      </c>
      <c r="B140" s="962" t="s">
        <v>3659</v>
      </c>
      <c r="C140" s="948">
        <f t="shared" si="6"/>
        <v>12</v>
      </c>
      <c r="D140" s="945" t="s">
        <v>4063</v>
      </c>
      <c r="E140" s="945"/>
      <c r="F140" s="946"/>
      <c r="G140" s="946"/>
      <c r="H140" s="946"/>
      <c r="I140" s="946"/>
      <c r="J140" s="946">
        <v>1</v>
      </c>
      <c r="K140" s="946"/>
      <c r="L140" s="977" t="s">
        <v>4031</v>
      </c>
      <c r="M140" s="947"/>
      <c r="N140" s="991">
        <v>44048</v>
      </c>
      <c r="O140" s="18" t="s">
        <v>4181</v>
      </c>
    </row>
    <row r="141" spans="1:15">
      <c r="A141" s="993" t="str">
        <f t="shared" si="5"/>
        <v>Lưới hạ thế sau TBA Nam Hà 1347/10</v>
      </c>
      <c r="B141" s="962" t="s">
        <v>3659</v>
      </c>
      <c r="C141" s="948">
        <f t="shared" si="6"/>
        <v>13</v>
      </c>
      <c r="D141" s="945" t="s">
        <v>4064</v>
      </c>
      <c r="E141" s="945"/>
      <c r="F141" s="946"/>
      <c r="G141" s="946"/>
      <c r="H141" s="946"/>
      <c r="I141" s="946"/>
      <c r="J141" s="946">
        <v>1</v>
      </c>
      <c r="K141" s="946"/>
      <c r="L141" s="977" t="s">
        <v>4031</v>
      </c>
      <c r="M141" s="947"/>
      <c r="N141" s="991">
        <v>44048</v>
      </c>
      <c r="O141" s="18" t="s">
        <v>4181</v>
      </c>
    </row>
    <row r="142" spans="1:15">
      <c r="A142" s="993" t="str">
        <f t="shared" si="5"/>
        <v>Lưới hạ thế sau TBA Nam Hà 1347/12</v>
      </c>
      <c r="B142" s="962" t="s">
        <v>3659</v>
      </c>
      <c r="C142" s="948">
        <f t="shared" si="6"/>
        <v>14</v>
      </c>
      <c r="D142" s="945" t="s">
        <v>4065</v>
      </c>
      <c r="E142" s="945"/>
      <c r="F142" s="946"/>
      <c r="G142" s="946"/>
      <c r="H142" s="946"/>
      <c r="I142" s="946"/>
      <c r="J142" s="946">
        <v>1</v>
      </c>
      <c r="K142" s="946"/>
      <c r="L142" s="977" t="s">
        <v>4031</v>
      </c>
      <c r="M142" s="947"/>
      <c r="N142" s="991">
        <v>44048</v>
      </c>
      <c r="O142" s="18" t="s">
        <v>4181</v>
      </c>
    </row>
    <row r="143" spans="1:15">
      <c r="A143" s="993" t="str">
        <f t="shared" si="5"/>
        <v>Lưới hạ thế sau TBA Nam Hà 1347/14</v>
      </c>
      <c r="B143" s="962" t="s">
        <v>3659</v>
      </c>
      <c r="C143" s="948">
        <f t="shared" si="6"/>
        <v>15</v>
      </c>
      <c r="D143" s="945" t="s">
        <v>4066</v>
      </c>
      <c r="E143" s="945"/>
      <c r="F143" s="946"/>
      <c r="G143" s="946"/>
      <c r="H143" s="946"/>
      <c r="I143" s="946"/>
      <c r="J143" s="946">
        <v>1</v>
      </c>
      <c r="K143" s="946"/>
      <c r="L143" s="977" t="s">
        <v>4031</v>
      </c>
      <c r="M143" s="947"/>
      <c r="N143" s="991">
        <v>44048</v>
      </c>
      <c r="O143" s="18" t="s">
        <v>4181</v>
      </c>
    </row>
    <row r="144" spans="1:15">
      <c r="A144" s="993" t="str">
        <f t="shared" si="5"/>
        <v>Lưới hạ thế sau TBA Nam Hà 1347/15</v>
      </c>
      <c r="B144" s="962" t="s">
        <v>3659</v>
      </c>
      <c r="C144" s="948">
        <f t="shared" si="6"/>
        <v>16</v>
      </c>
      <c r="D144" s="945" t="s">
        <v>4067</v>
      </c>
      <c r="E144" s="945"/>
      <c r="F144" s="946"/>
      <c r="G144" s="946"/>
      <c r="H144" s="946"/>
      <c r="I144" s="946"/>
      <c r="J144" s="946">
        <v>1</v>
      </c>
      <c r="K144" s="946"/>
      <c r="L144" s="977" t="s">
        <v>4031</v>
      </c>
      <c r="M144" s="947"/>
      <c r="N144" s="991">
        <v>44048</v>
      </c>
      <c r="O144" s="18" t="s">
        <v>4181</v>
      </c>
    </row>
    <row r="145" spans="1:15">
      <c r="A145" s="993" t="str">
        <f t="shared" si="5"/>
        <v>Lưới hạ thế sau TBA Nam Hà 1347/16</v>
      </c>
      <c r="B145" s="962" t="s">
        <v>3659</v>
      </c>
      <c r="C145" s="948">
        <f t="shared" si="6"/>
        <v>17</v>
      </c>
      <c r="D145" s="945" t="s">
        <v>4068</v>
      </c>
      <c r="E145" s="945"/>
      <c r="F145" s="946"/>
      <c r="G145" s="946"/>
      <c r="H145" s="946"/>
      <c r="I145" s="946"/>
      <c r="J145" s="946">
        <v>1</v>
      </c>
      <c r="K145" s="946"/>
      <c r="L145" s="977" t="s">
        <v>4031</v>
      </c>
      <c r="M145" s="947"/>
      <c r="N145" s="991">
        <v>44048</v>
      </c>
      <c r="O145" s="18" t="s">
        <v>4181</v>
      </c>
    </row>
    <row r="146" spans="1:15">
      <c r="A146" s="993" t="str">
        <f t="shared" si="5"/>
        <v>Lưới hạ thế sau TBA Nam Hà 1347/17</v>
      </c>
      <c r="B146" s="962" t="s">
        <v>3659</v>
      </c>
      <c r="C146" s="948">
        <f t="shared" si="6"/>
        <v>18</v>
      </c>
      <c r="D146" s="945" t="s">
        <v>4069</v>
      </c>
      <c r="E146" s="945"/>
      <c r="F146" s="946"/>
      <c r="G146" s="946"/>
      <c r="H146" s="946"/>
      <c r="I146" s="946"/>
      <c r="J146" s="946">
        <v>1</v>
      </c>
      <c r="K146" s="946"/>
      <c r="L146" s="977" t="s">
        <v>4031</v>
      </c>
      <c r="M146" s="947"/>
      <c r="N146" s="991">
        <v>44048</v>
      </c>
      <c r="O146" s="18" t="s">
        <v>4181</v>
      </c>
    </row>
    <row r="147" spans="1:15">
      <c r="A147" s="993" t="str">
        <f t="shared" si="5"/>
        <v>Lưới hạ thế sau TBA Nam Hà 1347/21</v>
      </c>
      <c r="B147" s="962" t="s">
        <v>3659</v>
      </c>
      <c r="C147" s="948">
        <f t="shared" si="6"/>
        <v>19</v>
      </c>
      <c r="D147" s="945" t="s">
        <v>4070</v>
      </c>
      <c r="E147" s="945"/>
      <c r="F147" s="946"/>
      <c r="G147" s="946"/>
      <c r="H147" s="946"/>
      <c r="I147" s="946"/>
      <c r="J147" s="988"/>
      <c r="K147" s="946"/>
      <c r="L147" s="977" t="s">
        <v>4031</v>
      </c>
      <c r="M147" s="947"/>
      <c r="N147" s="991">
        <v>44048</v>
      </c>
      <c r="O147" s="18" t="s">
        <v>4185</v>
      </c>
    </row>
    <row r="148" spans="1:15">
      <c r="A148" s="993" t="str">
        <f t="shared" si="5"/>
        <v>Lưới hạ thế sau TBA Nam Hà 1348/01</v>
      </c>
      <c r="B148" s="962" t="s">
        <v>3659</v>
      </c>
      <c r="C148" s="948">
        <f t="shared" si="6"/>
        <v>20</v>
      </c>
      <c r="D148" s="945" t="s">
        <v>4077</v>
      </c>
      <c r="E148" s="945"/>
      <c r="F148" s="946"/>
      <c r="G148" s="946"/>
      <c r="H148" s="946"/>
      <c r="I148" s="946"/>
      <c r="J148" s="946">
        <v>1</v>
      </c>
      <c r="K148" s="946"/>
      <c r="L148" s="977" t="s">
        <v>4031</v>
      </c>
      <c r="M148" s="947"/>
      <c r="N148" s="991">
        <v>44048</v>
      </c>
      <c r="O148" s="18" t="s">
        <v>4181</v>
      </c>
    </row>
    <row r="149" spans="1:15">
      <c r="A149" s="993" t="str">
        <f t="shared" si="5"/>
        <v>Lưới hạ thế sau TBA Nam Hà 1350/01</v>
      </c>
      <c r="B149" s="962" t="s">
        <v>3659</v>
      </c>
      <c r="C149" s="948">
        <f t="shared" si="6"/>
        <v>21</v>
      </c>
      <c r="D149" s="945" t="s">
        <v>4142</v>
      </c>
      <c r="E149" s="945"/>
      <c r="F149" s="946"/>
      <c r="G149" s="946"/>
      <c r="H149" s="946"/>
      <c r="I149" s="946"/>
      <c r="J149" s="946">
        <v>1</v>
      </c>
      <c r="K149" s="946"/>
      <c r="L149" s="977" t="s">
        <v>4031</v>
      </c>
      <c r="M149" s="947"/>
      <c r="N149" s="991">
        <v>44048</v>
      </c>
      <c r="O149" s="18" t="s">
        <v>4181</v>
      </c>
    </row>
    <row r="150" spans="1:15">
      <c r="A150" s="993" t="str">
        <f t="shared" si="5"/>
        <v>Lưới hạ thế sau TBA Nam Hà 1350/06</v>
      </c>
      <c r="B150" s="962" t="s">
        <v>3659</v>
      </c>
      <c r="C150" s="948">
        <f t="shared" si="6"/>
        <v>22</v>
      </c>
      <c r="D150" s="945" t="s">
        <v>4078</v>
      </c>
      <c r="E150" s="945"/>
      <c r="F150" s="946"/>
      <c r="G150" s="946"/>
      <c r="H150" s="946"/>
      <c r="I150" s="946"/>
      <c r="J150" s="946">
        <v>1</v>
      </c>
      <c r="K150" s="946"/>
      <c r="L150" s="977" t="s">
        <v>4031</v>
      </c>
      <c r="M150" s="947"/>
      <c r="N150" s="991">
        <v>44048</v>
      </c>
      <c r="O150" s="18" t="s">
        <v>4181</v>
      </c>
    </row>
    <row r="151" spans="1:15">
      <c r="A151" s="993" t="str">
        <f t="shared" si="5"/>
        <v>Lưới hạ thế sau TBA Nam Hà 1350/07</v>
      </c>
      <c r="B151" s="962" t="s">
        <v>3659</v>
      </c>
      <c r="C151" s="948">
        <f t="shared" si="6"/>
        <v>23</v>
      </c>
      <c r="D151" s="945" t="s">
        <v>4079</v>
      </c>
      <c r="E151" s="945"/>
      <c r="F151" s="946"/>
      <c r="G151" s="946"/>
      <c r="H151" s="946"/>
      <c r="I151" s="946"/>
      <c r="J151" s="946">
        <v>1</v>
      </c>
      <c r="K151" s="946"/>
      <c r="L151" s="977" t="s">
        <v>4031</v>
      </c>
      <c r="M151" s="947"/>
      <c r="N151" s="991">
        <v>44048</v>
      </c>
      <c r="O151" s="18" t="s">
        <v>4181</v>
      </c>
    </row>
    <row r="152" spans="1:15">
      <c r="A152" s="993" t="str">
        <f t="shared" si="5"/>
        <v>Lưới hạ thế sau TBA Nam Hà 1350/08</v>
      </c>
      <c r="B152" s="962" t="s">
        <v>3659</v>
      </c>
      <c r="C152" s="948">
        <f t="shared" si="6"/>
        <v>24</v>
      </c>
      <c r="D152" s="945" t="s">
        <v>4080</v>
      </c>
      <c r="E152" s="945"/>
      <c r="F152" s="946"/>
      <c r="G152" s="946"/>
      <c r="H152" s="946"/>
      <c r="I152" s="946"/>
      <c r="J152" s="988"/>
      <c r="K152" s="946"/>
      <c r="L152" s="977" t="s">
        <v>4031</v>
      </c>
      <c r="M152" s="947"/>
      <c r="N152" s="991">
        <v>44048</v>
      </c>
      <c r="O152" s="18" t="s">
        <v>4185</v>
      </c>
    </row>
    <row r="153" spans="1:15">
      <c r="A153" s="993" t="str">
        <f t="shared" si="5"/>
        <v>Lưới hạ thế sau TBA Nam Hà 1350/09</v>
      </c>
      <c r="B153" s="962" t="s">
        <v>3659</v>
      </c>
      <c r="C153" s="948">
        <f t="shared" si="6"/>
        <v>25</v>
      </c>
      <c r="D153" s="945" t="s">
        <v>4081</v>
      </c>
      <c r="E153" s="945"/>
      <c r="F153" s="946"/>
      <c r="G153" s="946"/>
      <c r="H153" s="946"/>
      <c r="I153" s="946"/>
      <c r="J153" s="988"/>
      <c r="K153" s="946"/>
      <c r="L153" s="977" t="s">
        <v>4031</v>
      </c>
      <c r="M153" s="947"/>
      <c r="N153" s="991">
        <v>44048</v>
      </c>
      <c r="O153" s="18" t="s">
        <v>4185</v>
      </c>
    </row>
    <row r="154" spans="1:15">
      <c r="A154" s="993" t="str">
        <f t="shared" si="5"/>
        <v>Lưới hạ thế sau TBA Nam Hà 1350/11</v>
      </c>
      <c r="B154" s="962" t="s">
        <v>3659</v>
      </c>
      <c r="C154" s="948">
        <f t="shared" si="6"/>
        <v>26</v>
      </c>
      <c r="D154" s="945" t="s">
        <v>4082</v>
      </c>
      <c r="E154" s="945"/>
      <c r="F154" s="946"/>
      <c r="G154" s="946"/>
      <c r="H154" s="946"/>
      <c r="I154" s="946"/>
      <c r="J154" s="988"/>
      <c r="K154" s="946"/>
      <c r="L154" s="977" t="s">
        <v>4031</v>
      </c>
      <c r="M154" s="947"/>
      <c r="N154" s="991">
        <v>44048</v>
      </c>
      <c r="O154" s="18" t="s">
        <v>4185</v>
      </c>
    </row>
    <row r="155" spans="1:15">
      <c r="A155" s="993" t="str">
        <f t="shared" si="5"/>
        <v>Lưới hạ thế sau TBA Sông Ray 2</v>
      </c>
      <c r="C155" s="944" t="s">
        <v>1717</v>
      </c>
      <c r="D155" s="962" t="s">
        <v>3723</v>
      </c>
      <c r="E155" s="963"/>
      <c r="F155" s="964"/>
      <c r="G155" s="964"/>
      <c r="H155" s="964"/>
      <c r="I155" s="964"/>
      <c r="J155" s="964"/>
      <c r="K155" s="964"/>
      <c r="L155" s="964"/>
      <c r="M155" s="965"/>
    </row>
    <row r="156" spans="1:15">
      <c r="A156" s="993" t="str">
        <f t="shared" si="5"/>
        <v>Lưới hạ thế sau TBA Sông Ray 212</v>
      </c>
      <c r="B156" s="962" t="s">
        <v>3723</v>
      </c>
      <c r="C156" s="938" t="s">
        <v>4108</v>
      </c>
      <c r="D156" s="945" t="s">
        <v>3648</v>
      </c>
      <c r="E156" s="945"/>
      <c r="F156" s="946"/>
      <c r="G156" s="946"/>
      <c r="H156" s="946"/>
      <c r="I156" s="946"/>
      <c r="J156" s="946"/>
      <c r="K156" s="946">
        <v>1</v>
      </c>
      <c r="L156" s="978" t="s">
        <v>4032</v>
      </c>
      <c r="M156" s="947"/>
      <c r="N156" s="991">
        <v>44043</v>
      </c>
      <c r="O156" s="19" t="s">
        <v>4182</v>
      </c>
    </row>
    <row r="157" spans="1:15">
      <c r="A157" s="993" t="str">
        <f t="shared" si="5"/>
        <v>Lưới hạ thế sau TBA Sông Ray 2/13 HH</v>
      </c>
      <c r="B157" s="962" t="s">
        <v>3723</v>
      </c>
      <c r="C157" s="938">
        <f t="shared" si="6"/>
        <v>2</v>
      </c>
      <c r="D157" s="945" t="s">
        <v>3992</v>
      </c>
      <c r="E157" s="945"/>
      <c r="F157" s="946"/>
      <c r="G157" s="946"/>
      <c r="H157" s="946"/>
      <c r="I157" s="946"/>
      <c r="J157" s="946"/>
      <c r="K157" s="946">
        <v>1</v>
      </c>
      <c r="L157" s="978" t="s">
        <v>4032</v>
      </c>
      <c r="M157" s="947"/>
      <c r="N157" s="991">
        <v>44043</v>
      </c>
      <c r="O157" s="19" t="s">
        <v>4182</v>
      </c>
    </row>
    <row r="158" spans="1:15">
      <c r="A158" s="993" t="str">
        <f t="shared" si="5"/>
        <v>Lưới điện hạ thế sau TBA Sông Ray 7</v>
      </c>
      <c r="C158" s="944" t="s">
        <v>1729</v>
      </c>
      <c r="D158" s="962" t="s">
        <v>3728</v>
      </c>
      <c r="E158" s="945"/>
      <c r="F158" s="946"/>
      <c r="G158" s="946"/>
      <c r="H158" s="946"/>
      <c r="I158" s="946"/>
      <c r="J158" s="946"/>
      <c r="K158" s="946"/>
      <c r="L158" s="946"/>
      <c r="M158" s="947"/>
    </row>
    <row r="159" spans="1:15">
      <c r="A159" s="993" t="str">
        <f t="shared" si="5"/>
        <v>Lưới điện hạ thế sau TBA Sông Ray 7374/07</v>
      </c>
      <c r="B159" s="962" t="s">
        <v>3728</v>
      </c>
      <c r="C159" s="938" t="s">
        <v>4108</v>
      </c>
      <c r="D159" s="945" t="s">
        <v>4143</v>
      </c>
      <c r="E159" s="945"/>
      <c r="F159" s="946"/>
      <c r="G159" s="946"/>
      <c r="H159" s="946"/>
      <c r="I159" s="946"/>
      <c r="J159" s="946"/>
      <c r="K159" s="946">
        <v>1</v>
      </c>
      <c r="L159" s="978" t="s">
        <v>4032</v>
      </c>
      <c r="M159" s="947"/>
      <c r="N159" s="991">
        <v>44043</v>
      </c>
      <c r="O159" s="19" t="s">
        <v>4181</v>
      </c>
    </row>
    <row r="160" spans="1:15">
      <c r="A160" s="993" t="str">
        <f t="shared" si="5"/>
        <v>Lưới điện hạ thế sau TBA Sông Ray 7374/09</v>
      </c>
      <c r="B160" s="962" t="s">
        <v>3728</v>
      </c>
      <c r="C160" s="938">
        <f t="shared" si="6"/>
        <v>2</v>
      </c>
      <c r="D160" s="945" t="s">
        <v>4144</v>
      </c>
      <c r="E160" s="945"/>
      <c r="F160" s="946"/>
      <c r="G160" s="946"/>
      <c r="H160" s="946"/>
      <c r="I160" s="946"/>
      <c r="J160" s="946"/>
      <c r="K160" s="946">
        <v>1</v>
      </c>
      <c r="L160" s="978" t="s">
        <v>4032</v>
      </c>
      <c r="M160" s="947"/>
      <c r="N160" s="991">
        <v>44043</v>
      </c>
      <c r="O160" s="19" t="s">
        <v>4182</v>
      </c>
    </row>
    <row r="161" spans="1:15">
      <c r="A161" s="993" t="str">
        <f t="shared" si="5"/>
        <v>Lưới điện hạ thế sau TBA Sông Ray 7374/10</v>
      </c>
      <c r="B161" s="962" t="s">
        <v>3728</v>
      </c>
      <c r="C161" s="938">
        <f t="shared" si="6"/>
        <v>3</v>
      </c>
      <c r="D161" s="945" t="s">
        <v>4145</v>
      </c>
      <c r="E161" s="945"/>
      <c r="F161" s="946"/>
      <c r="G161" s="946"/>
      <c r="H161" s="946"/>
      <c r="I161" s="946"/>
      <c r="J161" s="946"/>
      <c r="K161" s="946">
        <v>1</v>
      </c>
      <c r="L161" s="978" t="s">
        <v>4032</v>
      </c>
      <c r="M161" s="947"/>
      <c r="N161" s="991">
        <v>44043</v>
      </c>
      <c r="O161" s="19" t="s">
        <v>4181</v>
      </c>
    </row>
    <row r="162" spans="1:15">
      <c r="A162" s="993" t="str">
        <f t="shared" si="5"/>
        <v>Lưới điện hạ thế sau TBA Sông Ray 7381/21</v>
      </c>
      <c r="B162" s="962" t="s">
        <v>3728</v>
      </c>
      <c r="C162" s="938">
        <f t="shared" si="6"/>
        <v>4</v>
      </c>
      <c r="D162" s="945" t="s">
        <v>4146</v>
      </c>
      <c r="E162" s="945"/>
      <c r="F162" s="946"/>
      <c r="G162" s="946"/>
      <c r="H162" s="946"/>
      <c r="I162" s="946"/>
      <c r="J162" s="946"/>
      <c r="K162" s="946">
        <v>1</v>
      </c>
      <c r="L162" s="978" t="s">
        <v>4032</v>
      </c>
      <c r="M162" s="947"/>
      <c r="N162" s="991">
        <v>44043</v>
      </c>
      <c r="O162" s="19" t="s">
        <v>4181</v>
      </c>
    </row>
    <row r="163" spans="1:15">
      <c r="A163" s="993" t="str">
        <f t="shared" si="5"/>
        <v>Lưới điện hạ thế sau TBA Sông Ray 8A</v>
      </c>
      <c r="C163" s="944" t="s">
        <v>1732</v>
      </c>
      <c r="D163" s="962" t="s">
        <v>3729</v>
      </c>
      <c r="E163" s="945"/>
      <c r="F163" s="946"/>
      <c r="G163" s="946"/>
      <c r="H163" s="946"/>
      <c r="I163" s="946"/>
      <c r="J163" s="946"/>
      <c r="K163" s="946"/>
      <c r="L163" s="946"/>
      <c r="M163" s="947"/>
    </row>
    <row r="164" spans="1:15">
      <c r="A164" s="993" t="str">
        <f t="shared" si="5"/>
        <v>Lưới điện hạ thế sau TBA Sông Ray 8A348/01</v>
      </c>
      <c r="B164" s="962" t="s">
        <v>3729</v>
      </c>
      <c r="C164" s="938" t="s">
        <v>4108</v>
      </c>
      <c r="D164" s="945" t="s">
        <v>4077</v>
      </c>
      <c r="E164" s="945"/>
      <c r="F164" s="946"/>
      <c r="G164" s="946"/>
      <c r="H164" s="946"/>
      <c r="I164" s="946"/>
      <c r="J164" s="946"/>
      <c r="K164" s="946">
        <v>1</v>
      </c>
      <c r="L164" s="978" t="s">
        <v>4032</v>
      </c>
      <c r="M164" s="947"/>
      <c r="N164" s="991">
        <v>44043</v>
      </c>
      <c r="O164" s="19" t="s">
        <v>4181</v>
      </c>
    </row>
    <row r="165" spans="1:15">
      <c r="A165" s="993" t="str">
        <f t="shared" si="5"/>
        <v>Lưới điện hạ thế sau TBA Sông Ray 8A348/04</v>
      </c>
      <c r="B165" s="962" t="s">
        <v>3729</v>
      </c>
      <c r="C165" s="938">
        <f t="shared" ref="C165:C166" si="7">C164+1</f>
        <v>2</v>
      </c>
      <c r="D165" s="945" t="s">
        <v>4147</v>
      </c>
      <c r="E165" s="945"/>
      <c r="F165" s="946"/>
      <c r="G165" s="946"/>
      <c r="H165" s="946"/>
      <c r="I165" s="946"/>
      <c r="J165" s="946"/>
      <c r="K165" s="946">
        <v>1</v>
      </c>
      <c r="L165" s="978" t="s">
        <v>4032</v>
      </c>
      <c r="M165" s="947"/>
      <c r="N165" s="991">
        <v>44043</v>
      </c>
      <c r="O165" s="19" t="s">
        <v>4181</v>
      </c>
    </row>
    <row r="166" spans="1:15">
      <c r="A166" s="993" t="str">
        <f t="shared" si="5"/>
        <v>Lưới điện hạ thế sau TBA Sông Ray 8A348/07</v>
      </c>
      <c r="B166" s="962" t="s">
        <v>3729</v>
      </c>
      <c r="C166" s="938">
        <f t="shared" si="7"/>
        <v>3</v>
      </c>
      <c r="D166" s="945" t="s">
        <v>4148</v>
      </c>
      <c r="E166" s="945"/>
      <c r="F166" s="946"/>
      <c r="G166" s="946"/>
      <c r="H166" s="946"/>
      <c r="I166" s="946"/>
      <c r="J166" s="946"/>
      <c r="K166" s="946">
        <v>1</v>
      </c>
      <c r="L166" s="978" t="s">
        <v>4032</v>
      </c>
      <c r="M166" s="947"/>
      <c r="N166" s="991">
        <v>44043</v>
      </c>
      <c r="O166" s="19" t="s">
        <v>4181</v>
      </c>
    </row>
    <row r="167" spans="1:15">
      <c r="A167" s="993" t="str">
        <f t="shared" si="5"/>
        <v>Lưới điện hạ thế sau TBA Tân Bảo 3</v>
      </c>
      <c r="C167" s="944" t="s">
        <v>1771</v>
      </c>
      <c r="D167" s="962" t="s">
        <v>3730</v>
      </c>
      <c r="E167" s="945"/>
      <c r="F167" s="946"/>
      <c r="G167" s="946"/>
      <c r="H167" s="946"/>
      <c r="I167" s="946"/>
      <c r="J167" s="946"/>
      <c r="K167" s="946"/>
      <c r="L167" s="946"/>
      <c r="M167" s="947"/>
    </row>
    <row r="168" spans="1:15">
      <c r="A168" s="993" t="str">
        <f t="shared" si="5"/>
        <v>Lưới điện hạ thế sau TBA Tân Bảo 3136/01</v>
      </c>
      <c r="B168" s="962" t="s">
        <v>3730</v>
      </c>
      <c r="C168" s="938" t="s">
        <v>4108</v>
      </c>
      <c r="D168" s="945" t="s">
        <v>4149</v>
      </c>
      <c r="E168" s="945"/>
      <c r="F168" s="946"/>
      <c r="G168" s="946"/>
      <c r="H168" s="946"/>
      <c r="I168" s="946"/>
      <c r="J168" s="946">
        <v>1</v>
      </c>
      <c r="K168" s="946"/>
      <c r="L168" s="977" t="s">
        <v>4031</v>
      </c>
      <c r="M168" s="947"/>
      <c r="N168" s="991">
        <v>44048</v>
      </c>
      <c r="O168" s="19" t="s">
        <v>4181</v>
      </c>
    </row>
    <row r="169" spans="1:15">
      <c r="A169" s="993" t="str">
        <f t="shared" si="5"/>
        <v>Lưới điện hạ thế sau TBA Tân Bảo 3136/02</v>
      </c>
      <c r="B169" s="962" t="s">
        <v>3730</v>
      </c>
      <c r="C169" s="938">
        <f t="shared" ref="C169:C202" si="8">C168+1</f>
        <v>2</v>
      </c>
      <c r="D169" s="945" t="s">
        <v>4150</v>
      </c>
      <c r="E169" s="945"/>
      <c r="F169" s="946"/>
      <c r="G169" s="946"/>
      <c r="H169" s="946"/>
      <c r="I169" s="946"/>
      <c r="J169" s="946">
        <v>1</v>
      </c>
      <c r="K169" s="946"/>
      <c r="L169" s="977" t="s">
        <v>4031</v>
      </c>
      <c r="M169" s="947"/>
      <c r="N169" s="991">
        <v>44048</v>
      </c>
      <c r="O169" s="19" t="s">
        <v>4181</v>
      </c>
    </row>
    <row r="170" spans="1:15">
      <c r="A170" s="993" t="str">
        <f t="shared" si="5"/>
        <v>Lưới điện hạ thế sau TBA Tân Bảo 3136/03</v>
      </c>
      <c r="B170" s="962" t="s">
        <v>3730</v>
      </c>
      <c r="C170" s="938">
        <f t="shared" si="8"/>
        <v>3</v>
      </c>
      <c r="D170" s="945" t="s">
        <v>4151</v>
      </c>
      <c r="E170" s="945"/>
      <c r="F170" s="946"/>
      <c r="G170" s="946"/>
      <c r="H170" s="946"/>
      <c r="I170" s="946"/>
      <c r="J170" s="946">
        <v>1</v>
      </c>
      <c r="K170" s="946"/>
      <c r="L170" s="977" t="s">
        <v>4031</v>
      </c>
      <c r="M170" s="947"/>
      <c r="N170" s="991">
        <v>44048</v>
      </c>
      <c r="O170" s="19" t="s">
        <v>4181</v>
      </c>
    </row>
    <row r="171" spans="1:15">
      <c r="A171" s="993" t="str">
        <f t="shared" si="5"/>
        <v>Lưới điện hạ thế sau TBA Tân Bảo 3136/04</v>
      </c>
      <c r="B171" s="962" t="s">
        <v>3730</v>
      </c>
      <c r="C171" s="938">
        <f t="shared" si="8"/>
        <v>4</v>
      </c>
      <c r="D171" s="945" t="s">
        <v>4152</v>
      </c>
      <c r="E171" s="945"/>
      <c r="F171" s="946"/>
      <c r="G171" s="946"/>
      <c r="H171" s="946"/>
      <c r="I171" s="946"/>
      <c r="J171" s="946">
        <v>1</v>
      </c>
      <c r="K171" s="946"/>
      <c r="L171" s="977" t="s">
        <v>4031</v>
      </c>
      <c r="M171" s="947"/>
      <c r="N171" s="991">
        <v>44048</v>
      </c>
      <c r="O171" s="19" t="s">
        <v>4181</v>
      </c>
    </row>
    <row r="172" spans="1:15">
      <c r="A172" s="993" t="str">
        <f t="shared" si="5"/>
        <v>Lưới điện hạ thế sau TBA Tân Bảo 3136/05</v>
      </c>
      <c r="B172" s="962" t="s">
        <v>3730</v>
      </c>
      <c r="C172" s="938">
        <f t="shared" si="8"/>
        <v>5</v>
      </c>
      <c r="D172" s="945" t="s">
        <v>4153</v>
      </c>
      <c r="E172" s="945"/>
      <c r="F172" s="946"/>
      <c r="G172" s="946"/>
      <c r="H172" s="946"/>
      <c r="I172" s="946"/>
      <c r="J172" s="946">
        <v>1</v>
      </c>
      <c r="K172" s="946"/>
      <c r="L172" s="977" t="s">
        <v>4031</v>
      </c>
      <c r="M172" s="947"/>
      <c r="N172" s="991">
        <v>44048</v>
      </c>
      <c r="O172" s="19" t="s">
        <v>4181</v>
      </c>
    </row>
    <row r="173" spans="1:15">
      <c r="A173" s="993" t="str">
        <f t="shared" si="5"/>
        <v>Lưới điện hạ thế sau TBA Tân Bảo 3136/07</v>
      </c>
      <c r="B173" s="962" t="s">
        <v>3730</v>
      </c>
      <c r="C173" s="938">
        <f t="shared" si="8"/>
        <v>6</v>
      </c>
      <c r="D173" s="945" t="s">
        <v>4154</v>
      </c>
      <c r="E173" s="945"/>
      <c r="F173" s="946"/>
      <c r="G173" s="946"/>
      <c r="H173" s="946"/>
      <c r="I173" s="946"/>
      <c r="J173" s="946">
        <v>1</v>
      </c>
      <c r="K173" s="946"/>
      <c r="L173" s="977" t="s">
        <v>4031</v>
      </c>
      <c r="M173" s="947"/>
      <c r="N173" s="991">
        <v>44048</v>
      </c>
      <c r="O173" s="19" t="s">
        <v>4181</v>
      </c>
    </row>
    <row r="174" spans="1:15">
      <c r="A174" s="993" t="str">
        <f t="shared" si="5"/>
        <v>Lưới điện hạ thế sau TBA Tân Bảo 3136/08</v>
      </c>
      <c r="B174" s="962" t="s">
        <v>3730</v>
      </c>
      <c r="C174" s="938">
        <f t="shared" si="8"/>
        <v>7</v>
      </c>
      <c r="D174" s="945" t="s">
        <v>4155</v>
      </c>
      <c r="E174" s="945"/>
      <c r="F174" s="946"/>
      <c r="G174" s="946"/>
      <c r="H174" s="946"/>
      <c r="I174" s="946"/>
      <c r="J174" s="946">
        <v>1</v>
      </c>
      <c r="K174" s="946"/>
      <c r="L174" s="977" t="s">
        <v>4031</v>
      </c>
      <c r="M174" s="947"/>
      <c r="N174" s="991">
        <v>44048</v>
      </c>
      <c r="O174" s="19" t="s">
        <v>4181</v>
      </c>
    </row>
    <row r="175" spans="1:15">
      <c r="A175" s="993" t="str">
        <f t="shared" si="5"/>
        <v>Lưới điện hạ thế sau TBA Tân Bảo 3136/09</v>
      </c>
      <c r="B175" s="962" t="s">
        <v>3730</v>
      </c>
      <c r="C175" s="938">
        <f t="shared" si="8"/>
        <v>8</v>
      </c>
      <c r="D175" s="945" t="s">
        <v>4156</v>
      </c>
      <c r="E175" s="945"/>
      <c r="F175" s="946"/>
      <c r="G175" s="946"/>
      <c r="H175" s="946"/>
      <c r="I175" s="946"/>
      <c r="J175" s="946">
        <v>1</v>
      </c>
      <c r="K175" s="946"/>
      <c r="L175" s="977" t="s">
        <v>4031</v>
      </c>
      <c r="M175" s="947"/>
      <c r="N175" s="991">
        <v>44048</v>
      </c>
      <c r="O175" s="19" t="s">
        <v>4181</v>
      </c>
    </row>
    <row r="176" spans="1:15">
      <c r="A176" s="993" t="str">
        <f t="shared" si="5"/>
        <v>Lưới điện hạ thế sau TBA Tân Bảo 3118/01</v>
      </c>
      <c r="B176" s="962" t="s">
        <v>3730</v>
      </c>
      <c r="C176" s="938">
        <f t="shared" si="8"/>
        <v>9</v>
      </c>
      <c r="D176" s="945" t="s">
        <v>4157</v>
      </c>
      <c r="E176" s="945"/>
      <c r="F176" s="946"/>
      <c r="G176" s="946"/>
      <c r="H176" s="946"/>
      <c r="I176" s="946"/>
      <c r="J176" s="946">
        <v>1</v>
      </c>
      <c r="K176" s="946"/>
      <c r="L176" s="977" t="s">
        <v>4031</v>
      </c>
      <c r="M176" s="947"/>
      <c r="N176" s="991">
        <v>44048</v>
      </c>
      <c r="O176" s="19" t="s">
        <v>4181</v>
      </c>
    </row>
    <row r="177" spans="1:15">
      <c r="A177" s="993" t="str">
        <f t="shared" si="5"/>
        <v>Lưới điện hạ thế sau TBA Tân Bảo 3118/03</v>
      </c>
      <c r="B177" s="962" t="s">
        <v>3730</v>
      </c>
      <c r="C177" s="938">
        <f t="shared" si="8"/>
        <v>10</v>
      </c>
      <c r="D177" s="945" t="s">
        <v>4158</v>
      </c>
      <c r="E177" s="945"/>
      <c r="F177" s="946"/>
      <c r="G177" s="946"/>
      <c r="H177" s="946"/>
      <c r="I177" s="946"/>
      <c r="J177" s="946">
        <v>1</v>
      </c>
      <c r="K177" s="946"/>
      <c r="L177" s="977" t="s">
        <v>4031</v>
      </c>
      <c r="M177" s="947"/>
      <c r="N177" s="991">
        <v>44048</v>
      </c>
      <c r="O177" s="19" t="s">
        <v>4181</v>
      </c>
    </row>
    <row r="178" spans="1:15">
      <c r="A178" s="993" t="str">
        <f t="shared" si="5"/>
        <v>Lưới điện hạ thế sau TBA Tân Bảo 3118/05</v>
      </c>
      <c r="B178" s="962" t="s">
        <v>3730</v>
      </c>
      <c r="C178" s="938">
        <f t="shared" si="8"/>
        <v>11</v>
      </c>
      <c r="D178" s="945" t="s">
        <v>4159</v>
      </c>
      <c r="E178" s="945"/>
      <c r="F178" s="946"/>
      <c r="G178" s="946"/>
      <c r="H178" s="946"/>
      <c r="I178" s="946"/>
      <c r="J178" s="946">
        <v>1</v>
      </c>
      <c r="K178" s="946"/>
      <c r="L178" s="977" t="s">
        <v>4031</v>
      </c>
      <c r="M178" s="947"/>
      <c r="N178" s="991">
        <v>44048</v>
      </c>
      <c r="O178" s="19" t="s">
        <v>4181</v>
      </c>
    </row>
    <row r="179" spans="1:15">
      <c r="A179" s="993" t="str">
        <f t="shared" si="5"/>
        <v>Lưới điện hạ thế sau TBA Tân Bảo 3118/06</v>
      </c>
      <c r="B179" s="962" t="s">
        <v>3730</v>
      </c>
      <c r="C179" s="938">
        <f t="shared" si="8"/>
        <v>12</v>
      </c>
      <c r="D179" s="945" t="s">
        <v>4160</v>
      </c>
      <c r="E179" s="945"/>
      <c r="F179" s="946"/>
      <c r="G179" s="946"/>
      <c r="H179" s="946"/>
      <c r="I179" s="946"/>
      <c r="J179" s="946">
        <v>1</v>
      </c>
      <c r="K179" s="946"/>
      <c r="L179" s="977" t="s">
        <v>4031</v>
      </c>
      <c r="M179" s="947"/>
      <c r="N179" s="991">
        <v>44048</v>
      </c>
      <c r="O179" s="19" t="s">
        <v>4181</v>
      </c>
    </row>
    <row r="180" spans="1:15">
      <c r="A180" s="993" t="str">
        <f t="shared" si="5"/>
        <v>Lưới điện hạ thế sau TBA Tân Bảo 3118/07</v>
      </c>
      <c r="B180" s="962" t="s">
        <v>3730</v>
      </c>
      <c r="C180" s="938">
        <f t="shared" si="8"/>
        <v>13</v>
      </c>
      <c r="D180" s="945" t="s">
        <v>4161</v>
      </c>
      <c r="E180" s="945"/>
      <c r="F180" s="946"/>
      <c r="G180" s="946"/>
      <c r="H180" s="946"/>
      <c r="I180" s="946"/>
      <c r="J180" s="946">
        <v>1</v>
      </c>
      <c r="K180" s="946"/>
      <c r="L180" s="977" t="s">
        <v>4031</v>
      </c>
      <c r="M180" s="947"/>
      <c r="N180" s="991">
        <v>44048</v>
      </c>
      <c r="O180" s="19" t="s">
        <v>4181</v>
      </c>
    </row>
    <row r="181" spans="1:15">
      <c r="A181" s="993" t="str">
        <f t="shared" si="5"/>
        <v>Lưới điện hạ thế sau TBA Tân Bảo 3118/09</v>
      </c>
      <c r="B181" s="962" t="s">
        <v>3730</v>
      </c>
      <c r="C181" s="938">
        <f t="shared" si="8"/>
        <v>14</v>
      </c>
      <c r="D181" s="945" t="s">
        <v>4162</v>
      </c>
      <c r="E181" s="945"/>
      <c r="F181" s="946"/>
      <c r="G181" s="946"/>
      <c r="H181" s="946"/>
      <c r="I181" s="946"/>
      <c r="J181" s="946">
        <v>1</v>
      </c>
      <c r="K181" s="946"/>
      <c r="L181" s="977" t="s">
        <v>4031</v>
      </c>
      <c r="M181" s="947"/>
      <c r="N181" s="991">
        <v>44048</v>
      </c>
      <c r="O181" s="19" t="s">
        <v>4181</v>
      </c>
    </row>
    <row r="182" spans="1:15">
      <c r="A182" s="993" t="str">
        <f t="shared" si="5"/>
        <v>NC lưới hạ thế sau TBA Xuân Tây 10A</v>
      </c>
      <c r="C182" s="944" t="s">
        <v>4116</v>
      </c>
      <c r="D182" s="962" t="s">
        <v>3836</v>
      </c>
      <c r="E182" s="945"/>
      <c r="F182" s="946"/>
      <c r="G182" s="946"/>
      <c r="H182" s="946"/>
      <c r="I182" s="946"/>
      <c r="J182" s="946"/>
      <c r="K182" s="946"/>
      <c r="L182" s="946"/>
      <c r="M182" s="947"/>
    </row>
    <row r="183" spans="1:15">
      <c r="A183" s="993" t="str">
        <f t="shared" si="5"/>
        <v>NC lưới hạ thế sau TBA Xuân Tây 10A07A</v>
      </c>
      <c r="B183" s="962" t="s">
        <v>3836</v>
      </c>
      <c r="C183" s="938" t="s">
        <v>4108</v>
      </c>
      <c r="D183" s="945" t="s">
        <v>3839</v>
      </c>
      <c r="E183" s="945"/>
      <c r="F183" s="946"/>
      <c r="G183" s="946"/>
      <c r="H183" s="946"/>
      <c r="I183" s="946"/>
      <c r="J183" s="946"/>
      <c r="K183" s="988"/>
      <c r="L183" s="978" t="s">
        <v>4032</v>
      </c>
      <c r="M183" s="947"/>
      <c r="N183" s="991">
        <v>44037</v>
      </c>
      <c r="O183" s="19" t="s">
        <v>4186</v>
      </c>
    </row>
    <row r="184" spans="1:15">
      <c r="A184" s="993" t="str">
        <f t="shared" si="5"/>
        <v>NC lưới hạ thế sau TBA Láng Me 5B, Láng Me 5C</v>
      </c>
      <c r="C184" s="944" t="s">
        <v>4118</v>
      </c>
      <c r="D184" s="962" t="s">
        <v>3837</v>
      </c>
      <c r="E184" s="945"/>
      <c r="F184" s="946"/>
      <c r="G184" s="946"/>
      <c r="H184" s="946"/>
      <c r="I184" s="946"/>
      <c r="J184" s="946"/>
      <c r="K184" s="946"/>
      <c r="L184" s="946"/>
      <c r="M184" s="947"/>
    </row>
    <row r="185" spans="1:15">
      <c r="A185" s="993" t="str">
        <f t="shared" si="5"/>
        <v>NC lưới hạ thế sau TBA Láng Me 5B, Láng Me 5C150/08</v>
      </c>
      <c r="B185" s="962" t="s">
        <v>3837</v>
      </c>
      <c r="C185" s="938" t="s">
        <v>4108</v>
      </c>
      <c r="D185" s="945" t="s">
        <v>4163</v>
      </c>
      <c r="E185" s="945"/>
      <c r="F185" s="946"/>
      <c r="G185" s="946"/>
      <c r="H185" s="946"/>
      <c r="I185" s="946"/>
      <c r="J185" s="946">
        <v>1</v>
      </c>
      <c r="K185" s="946"/>
      <c r="L185" s="977" t="s">
        <v>4031</v>
      </c>
      <c r="M185" s="947"/>
      <c r="N185" s="991">
        <v>44029</v>
      </c>
      <c r="O185" s="19" t="s">
        <v>4181</v>
      </c>
    </row>
    <row r="186" spans="1:15">
      <c r="A186" s="993" t="str">
        <f t="shared" si="5"/>
        <v>NC lưới hạ thế sau TBA Láng Me 5B, Láng Me 5C150/11</v>
      </c>
      <c r="B186" s="962" t="s">
        <v>3837</v>
      </c>
      <c r="C186" s="938">
        <f t="shared" si="8"/>
        <v>2</v>
      </c>
      <c r="D186" s="945" t="s">
        <v>4164</v>
      </c>
      <c r="E186" s="945"/>
      <c r="F186" s="946"/>
      <c r="G186" s="946"/>
      <c r="H186" s="946"/>
      <c r="I186" s="946"/>
      <c r="J186" s="946">
        <v>1</v>
      </c>
      <c r="K186" s="946"/>
      <c r="L186" s="977" t="s">
        <v>4031</v>
      </c>
      <c r="M186" s="947"/>
      <c r="N186" s="991">
        <v>44029</v>
      </c>
      <c r="O186" s="19" t="s">
        <v>4181</v>
      </c>
    </row>
    <row r="187" spans="1:15">
      <c r="A187" s="993" t="str">
        <f t="shared" si="5"/>
        <v>NC lưới hạ thế sau TBA Láng Me 5B, Láng Me 5C150/12</v>
      </c>
      <c r="B187" s="962" t="s">
        <v>3837</v>
      </c>
      <c r="C187" s="938">
        <f t="shared" si="8"/>
        <v>3</v>
      </c>
      <c r="D187" s="945" t="s">
        <v>4165</v>
      </c>
      <c r="E187" s="945"/>
      <c r="F187" s="946"/>
      <c r="G187" s="946"/>
      <c r="H187" s="946"/>
      <c r="I187" s="946"/>
      <c r="J187" s="946">
        <v>1</v>
      </c>
      <c r="K187" s="946"/>
      <c r="L187" s="977" t="s">
        <v>4031</v>
      </c>
      <c r="M187" s="947"/>
      <c r="N187" s="991">
        <v>44029</v>
      </c>
      <c r="O187" s="19" t="s">
        <v>4181</v>
      </c>
    </row>
    <row r="188" spans="1:15">
      <c r="A188" s="993" t="str">
        <f t="shared" si="5"/>
        <v>NC lưới hạ thế sau TBA Láng Me 5B, Láng Me 5C150/15</v>
      </c>
      <c r="B188" s="962" t="s">
        <v>3837</v>
      </c>
      <c r="C188" s="938">
        <f t="shared" si="8"/>
        <v>4</v>
      </c>
      <c r="D188" s="945" t="s">
        <v>4166</v>
      </c>
      <c r="E188" s="945"/>
      <c r="F188" s="946"/>
      <c r="G188" s="946"/>
      <c r="H188" s="946"/>
      <c r="I188" s="946"/>
      <c r="J188" s="946">
        <v>1</v>
      </c>
      <c r="K188" s="946"/>
      <c r="L188" s="977" t="s">
        <v>4031</v>
      </c>
      <c r="M188" s="947"/>
      <c r="N188" s="991">
        <v>44029</v>
      </c>
      <c r="O188" s="19" t="s">
        <v>4181</v>
      </c>
    </row>
    <row r="189" spans="1:15">
      <c r="A189" s="993" t="str">
        <f t="shared" si="5"/>
        <v>NC lưới hạ thế sau TBA Láng Me 5B, Láng Me 5C150/18</v>
      </c>
      <c r="B189" s="962" t="s">
        <v>3837</v>
      </c>
      <c r="C189" s="938">
        <f t="shared" si="8"/>
        <v>5</v>
      </c>
      <c r="D189" s="945" t="s">
        <v>4167</v>
      </c>
      <c r="E189" s="945"/>
      <c r="F189" s="946"/>
      <c r="G189" s="946"/>
      <c r="H189" s="946"/>
      <c r="I189" s="946"/>
      <c r="J189" s="946">
        <v>1</v>
      </c>
      <c r="K189" s="946"/>
      <c r="L189" s="977" t="s">
        <v>4031</v>
      </c>
      <c r="M189" s="947"/>
      <c r="N189" s="991">
        <v>44029</v>
      </c>
      <c r="O189" s="19" t="s">
        <v>4181</v>
      </c>
    </row>
    <row r="190" spans="1:15">
      <c r="A190" s="993" t="str">
        <f t="shared" si="5"/>
        <v>NC lưới hạ thế sau TBA Láng Me 5B, Láng Me 5C150/21</v>
      </c>
      <c r="B190" s="962" t="s">
        <v>3837</v>
      </c>
      <c r="C190" s="938">
        <f t="shared" si="8"/>
        <v>6</v>
      </c>
      <c r="D190" s="945" t="s">
        <v>4168</v>
      </c>
      <c r="E190" s="945"/>
      <c r="F190" s="946"/>
      <c r="G190" s="946"/>
      <c r="H190" s="946"/>
      <c r="I190" s="946"/>
      <c r="J190" s="946">
        <v>1</v>
      </c>
      <c r="K190" s="946"/>
      <c r="L190" s="977" t="s">
        <v>4031</v>
      </c>
      <c r="M190" s="947"/>
      <c r="N190" s="991">
        <v>44029</v>
      </c>
      <c r="O190" s="19" t="s">
        <v>4181</v>
      </c>
    </row>
    <row r="191" spans="1:15">
      <c r="A191" s="993" t="str">
        <f t="shared" si="5"/>
        <v>NC lưới hạ thế sau TBA Láng Me 5B, Láng Me 5C150/22</v>
      </c>
      <c r="B191" s="962" t="s">
        <v>3837</v>
      </c>
      <c r="C191" s="938">
        <f t="shared" si="8"/>
        <v>7</v>
      </c>
      <c r="D191" s="945" t="s">
        <v>4169</v>
      </c>
      <c r="E191" s="945"/>
      <c r="F191" s="946"/>
      <c r="G191" s="946"/>
      <c r="H191" s="946"/>
      <c r="I191" s="946"/>
      <c r="J191" s="946">
        <v>1</v>
      </c>
      <c r="K191" s="946"/>
      <c r="L191" s="977" t="s">
        <v>4031</v>
      </c>
      <c r="M191" s="947"/>
      <c r="N191" s="991">
        <v>44029</v>
      </c>
      <c r="O191" s="19" t="s">
        <v>4181</v>
      </c>
    </row>
    <row r="192" spans="1:15">
      <c r="A192" s="993" t="str">
        <f t="shared" si="5"/>
        <v>NC lưới hạ thế sau TBA Láng Me 5B, Láng Me 5C150/23</v>
      </c>
      <c r="B192" s="962" t="s">
        <v>3837</v>
      </c>
      <c r="C192" s="938">
        <f t="shared" si="8"/>
        <v>8</v>
      </c>
      <c r="D192" s="945" t="s">
        <v>4170</v>
      </c>
      <c r="E192" s="945"/>
      <c r="F192" s="946"/>
      <c r="G192" s="946"/>
      <c r="H192" s="946"/>
      <c r="I192" s="946"/>
      <c r="J192" s="946">
        <v>1</v>
      </c>
      <c r="K192" s="946"/>
      <c r="L192" s="977" t="s">
        <v>4031</v>
      </c>
      <c r="M192" s="947"/>
      <c r="N192" s="991">
        <v>44029</v>
      </c>
      <c r="O192" s="19" t="s">
        <v>4181</v>
      </c>
    </row>
    <row r="193" spans="1:15">
      <c r="A193" s="993" t="str">
        <f t="shared" si="5"/>
        <v>NC lưới hạ thế sau TBA Láng Me 5B, Láng Me 5C150/24</v>
      </c>
      <c r="B193" s="962" t="s">
        <v>3837</v>
      </c>
      <c r="C193" s="938">
        <f t="shared" si="8"/>
        <v>9</v>
      </c>
      <c r="D193" s="945" t="s">
        <v>4171</v>
      </c>
      <c r="E193" s="945"/>
      <c r="F193" s="946"/>
      <c r="G193" s="946"/>
      <c r="H193" s="946"/>
      <c r="I193" s="946"/>
      <c r="J193" s="946">
        <v>1</v>
      </c>
      <c r="K193" s="946"/>
      <c r="L193" s="977" t="s">
        <v>4031</v>
      </c>
      <c r="M193" s="947"/>
      <c r="N193" s="991">
        <v>44029</v>
      </c>
      <c r="O193" s="19" t="s">
        <v>4181</v>
      </c>
    </row>
    <row r="194" spans="1:15">
      <c r="A194" s="993" t="str">
        <f t="shared" si="5"/>
        <v>NC lưới hạ thế sau TBA Láng Me 5B, Láng Me 5C150/25</v>
      </c>
      <c r="B194" s="962" t="s">
        <v>3837</v>
      </c>
      <c r="C194" s="938">
        <f t="shared" si="8"/>
        <v>10</v>
      </c>
      <c r="D194" s="945" t="s">
        <v>4172</v>
      </c>
      <c r="E194" s="945"/>
      <c r="F194" s="946"/>
      <c r="G194" s="946"/>
      <c r="H194" s="946"/>
      <c r="I194" s="946"/>
      <c r="J194" s="946">
        <v>1</v>
      </c>
      <c r="K194" s="946"/>
      <c r="L194" s="977" t="s">
        <v>4031</v>
      </c>
      <c r="M194" s="947"/>
      <c r="N194" s="991">
        <v>44029</v>
      </c>
      <c r="O194" s="19" t="s">
        <v>4181</v>
      </c>
    </row>
    <row r="195" spans="1:15">
      <c r="A195" s="993" t="str">
        <f t="shared" si="5"/>
        <v>NC lưới hạ thế sau TBA Láng Me 5B, Láng Me 5C150/26</v>
      </c>
      <c r="B195" s="962" t="s">
        <v>3837</v>
      </c>
      <c r="C195" s="938">
        <f>C194+1</f>
        <v>11</v>
      </c>
      <c r="D195" s="945" t="s">
        <v>4187</v>
      </c>
      <c r="E195" s="945"/>
      <c r="F195" s="946"/>
      <c r="G195" s="946"/>
      <c r="H195" s="946"/>
      <c r="I195" s="946"/>
      <c r="J195" s="946">
        <v>1</v>
      </c>
      <c r="K195" s="946"/>
      <c r="L195" s="977" t="s">
        <v>4031</v>
      </c>
      <c r="M195" s="947"/>
      <c r="N195" s="991">
        <v>44029</v>
      </c>
      <c r="O195" s="19" t="s">
        <v>4181</v>
      </c>
    </row>
    <row r="196" spans="1:15">
      <c r="A196" s="993" t="str">
        <f t="shared" si="5"/>
        <v>NC lưới hạ thế sau TBA Láng Me 5B, Láng Me 5C150/28</v>
      </c>
      <c r="B196" s="962" t="s">
        <v>3837</v>
      </c>
      <c r="C196" s="938">
        <f>C195+1</f>
        <v>12</v>
      </c>
      <c r="D196" s="945" t="s">
        <v>4173</v>
      </c>
      <c r="E196" s="945"/>
      <c r="F196" s="946"/>
      <c r="G196" s="946"/>
      <c r="H196" s="946"/>
      <c r="I196" s="946"/>
      <c r="J196" s="946"/>
      <c r="K196" s="946"/>
      <c r="L196" s="977" t="s">
        <v>4031</v>
      </c>
      <c r="M196" s="965" t="s">
        <v>4188</v>
      </c>
      <c r="N196" s="991">
        <v>44029</v>
      </c>
    </row>
    <row r="197" spans="1:15">
      <c r="A197" s="993" t="str">
        <f t="shared" si="5"/>
        <v>NC lưới hạ thế sau TBA Láng Me 5B, Láng Me 5C150/08/01</v>
      </c>
      <c r="B197" s="962" t="s">
        <v>3837</v>
      </c>
      <c r="C197" s="938">
        <f t="shared" si="8"/>
        <v>13</v>
      </c>
      <c r="D197" s="945" t="s">
        <v>4174</v>
      </c>
      <c r="E197" s="945"/>
      <c r="F197" s="946"/>
      <c r="G197" s="946"/>
      <c r="H197" s="946"/>
      <c r="I197" s="946"/>
      <c r="J197" s="946">
        <v>1</v>
      </c>
      <c r="K197" s="946"/>
      <c r="L197" s="977" t="s">
        <v>4031</v>
      </c>
      <c r="M197" s="947"/>
      <c r="N197" s="991">
        <v>44029</v>
      </c>
      <c r="O197" s="19" t="s">
        <v>4181</v>
      </c>
    </row>
    <row r="198" spans="1:15">
      <c r="A198" s="993" t="str">
        <f t="shared" ref="A198:A202" si="9">B198&amp;D198</f>
        <v>NC lưới hạ thế sau TBA Láng Me 5B, Láng Me 5C150/08/02</v>
      </c>
      <c r="B198" s="962" t="s">
        <v>3837</v>
      </c>
      <c r="C198" s="938">
        <f t="shared" si="8"/>
        <v>14</v>
      </c>
      <c r="D198" s="945" t="s">
        <v>4175</v>
      </c>
      <c r="E198" s="945"/>
      <c r="F198" s="946"/>
      <c r="G198" s="946"/>
      <c r="H198" s="946"/>
      <c r="I198" s="946"/>
      <c r="J198" s="946">
        <v>1</v>
      </c>
      <c r="K198" s="946"/>
      <c r="L198" s="977" t="s">
        <v>4031</v>
      </c>
      <c r="M198" s="947"/>
      <c r="N198" s="991">
        <v>44029</v>
      </c>
      <c r="O198" s="19" t="s">
        <v>4181</v>
      </c>
    </row>
    <row r="199" spans="1:15">
      <c r="A199" s="993" t="str">
        <f t="shared" si="9"/>
        <v>NC lưới hạ thế sau TBA Láng Me 5B, Láng Me 5C150/08/04</v>
      </c>
      <c r="B199" s="962" t="s">
        <v>3837</v>
      </c>
      <c r="C199" s="938">
        <f t="shared" si="8"/>
        <v>15</v>
      </c>
      <c r="D199" s="945" t="s">
        <v>4176</v>
      </c>
      <c r="E199" s="945"/>
      <c r="F199" s="946"/>
      <c r="G199" s="946"/>
      <c r="H199" s="946"/>
      <c r="I199" s="946"/>
      <c r="J199" s="946">
        <v>1</v>
      </c>
      <c r="K199" s="946"/>
      <c r="L199" s="977" t="s">
        <v>4031</v>
      </c>
      <c r="M199" s="947"/>
      <c r="N199" s="991">
        <v>44029</v>
      </c>
      <c r="O199" s="19" t="s">
        <v>4181</v>
      </c>
    </row>
    <row r="200" spans="1:15">
      <c r="A200" s="993" t="str">
        <f t="shared" si="9"/>
        <v>NC lưới hạ thế sau TBA Láng Me 5B, Láng Me 5C150/08/06</v>
      </c>
      <c r="B200" s="962" t="s">
        <v>3837</v>
      </c>
      <c r="C200" s="938">
        <f t="shared" si="8"/>
        <v>16</v>
      </c>
      <c r="D200" s="945" t="s">
        <v>4177</v>
      </c>
      <c r="E200" s="945"/>
      <c r="F200" s="946"/>
      <c r="G200" s="946"/>
      <c r="H200" s="946"/>
      <c r="I200" s="946"/>
      <c r="J200" s="946">
        <v>1</v>
      </c>
      <c r="K200" s="946"/>
      <c r="L200" s="977" t="s">
        <v>4031</v>
      </c>
      <c r="M200" s="947"/>
      <c r="N200" s="991">
        <v>44029</v>
      </c>
      <c r="O200" s="19" t="s">
        <v>4181</v>
      </c>
    </row>
    <row r="201" spans="1:15">
      <c r="A201" s="993" t="str">
        <f t="shared" si="9"/>
        <v>NC lưới hạ thế sau TBA Láng Me 5B, Láng Me 5C150/08/07</v>
      </c>
      <c r="B201" s="962" t="s">
        <v>3837</v>
      </c>
      <c r="C201" s="938">
        <f t="shared" si="8"/>
        <v>17</v>
      </c>
      <c r="D201" s="945" t="s">
        <v>4178</v>
      </c>
      <c r="E201" s="945"/>
      <c r="F201" s="946"/>
      <c r="G201" s="946"/>
      <c r="H201" s="946"/>
      <c r="I201" s="946"/>
      <c r="J201" s="946">
        <v>1</v>
      </c>
      <c r="K201" s="946"/>
      <c r="L201" s="977" t="s">
        <v>4031</v>
      </c>
      <c r="M201" s="947"/>
      <c r="N201" s="991">
        <v>44029</v>
      </c>
      <c r="O201" s="19" t="s">
        <v>4181</v>
      </c>
    </row>
    <row r="202" spans="1:15">
      <c r="A202" s="993" t="str">
        <f t="shared" si="9"/>
        <v>NC lưới hạ thế sau TBA Láng Me 5B, Láng Me 5C150/08/10</v>
      </c>
      <c r="B202" s="962" t="s">
        <v>3837</v>
      </c>
      <c r="C202" s="945">
        <f t="shared" si="8"/>
        <v>18</v>
      </c>
      <c r="D202" s="945" t="s">
        <v>4179</v>
      </c>
      <c r="E202" s="945"/>
      <c r="F202" s="946"/>
      <c r="G202" s="946"/>
      <c r="H202" s="946"/>
      <c r="I202" s="946"/>
      <c r="J202" s="946">
        <v>1</v>
      </c>
      <c r="K202" s="946"/>
      <c r="L202" s="977" t="s">
        <v>4031</v>
      </c>
      <c r="M202" s="947"/>
      <c r="N202" s="991">
        <v>44029</v>
      </c>
      <c r="O202" s="19" t="s">
        <v>4181</v>
      </c>
    </row>
    <row r="203" spans="1:15">
      <c r="C203" s="966"/>
      <c r="D203" s="966" t="s">
        <v>4180</v>
      </c>
      <c r="E203" s="967"/>
      <c r="F203" s="968"/>
      <c r="G203" s="968"/>
      <c r="H203" s="968"/>
      <c r="I203" s="968"/>
      <c r="J203" s="975">
        <f>SUM(J120:J202)</f>
        <v>56</v>
      </c>
      <c r="K203" s="975">
        <f>SUM(K120:K202)</f>
        <v>11</v>
      </c>
      <c r="L203" s="968"/>
      <c r="M203" s="969"/>
    </row>
  </sheetData>
  <autoFilter ref="B1:O203" xr:uid="{00000000-0009-0000-0000-00001C000000}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B1:K93"/>
  <sheetViews>
    <sheetView tabSelected="1" topLeftCell="E1" workbookViewId="0">
      <selection activeCell="L194" sqref="L194"/>
    </sheetView>
  </sheetViews>
  <sheetFormatPr defaultRowHeight="14.4"/>
  <cols>
    <col min="2" max="2" width="32.5546875" customWidth="1"/>
    <col min="3" max="3" width="45.6640625" customWidth="1"/>
    <col min="4" max="4" width="10.6640625" customWidth="1"/>
    <col min="5" max="5" width="8.88671875" style="994"/>
    <col min="6" max="6" width="28.5546875" bestFit="1" customWidth="1"/>
    <col min="7" max="7" width="17.33203125" style="996" customWidth="1"/>
    <col min="8" max="8" width="13" customWidth="1"/>
    <col min="9" max="9" width="21.109375" customWidth="1"/>
    <col min="10" max="10" width="19.33203125" customWidth="1"/>
    <col min="11" max="11" width="13.6640625" customWidth="1"/>
    <col min="12" max="12" width="14" customWidth="1"/>
  </cols>
  <sheetData>
    <row r="1" spans="2:11" s="995" customFormat="1" ht="28.2" customHeight="1">
      <c r="C1" s="997" t="str">
        <f>'BANG KE MONG TRU THUC TE'!$B$1</f>
        <v>Vị trí</v>
      </c>
      <c r="D1" s="997" t="s">
        <v>4191</v>
      </c>
      <c r="E1" s="997" t="s">
        <v>4025</v>
      </c>
      <c r="F1" s="997" t="s">
        <v>4192</v>
      </c>
      <c r="G1" s="998" t="s">
        <v>4190</v>
      </c>
      <c r="H1" s="997" t="s">
        <v>4193</v>
      </c>
      <c r="I1" s="995" t="s">
        <v>4194</v>
      </c>
      <c r="J1" s="995" t="s">
        <v>4202</v>
      </c>
      <c r="K1" s="995" t="s">
        <v>1623</v>
      </c>
    </row>
    <row r="2" spans="2:11">
      <c r="B2" t="str">
        <f>C2&amp;D2</f>
        <v>Lưới trung thế 1 pha Suối Râm 7A007</v>
      </c>
      <c r="C2" s="999" t="str">
        <f>'BANG KE MONG TRU THUC TE'!$B$27</f>
        <v>Lưới trung thế 1 pha Suối Râm 7A</v>
      </c>
      <c r="D2" s="1000" t="str">
        <f>'BANG KE MONG TRU THUC TE'!D27</f>
        <v>007</v>
      </c>
      <c r="E2" s="1001">
        <f>'BANG KE MONG TRU THUC TE'!E27</f>
        <v>1</v>
      </c>
      <c r="F2" s="999" t="s">
        <v>1525</v>
      </c>
      <c r="G2" s="1002">
        <v>44056</v>
      </c>
      <c r="H2" s="1000" t="str">
        <f>VLOOKUP(B2,'BANG KE MONG TRU THUC TE'!A:O,15,0)</f>
        <v>Đổ đủ</v>
      </c>
      <c r="I2" t="s">
        <v>4199</v>
      </c>
      <c r="J2" t="str">
        <f>VLOOKUP(B2,'BANG KE MONG TRU THUC TE'!A:O,12,0)</f>
        <v>1200x1200x800</v>
      </c>
    </row>
    <row r="3" spans="2:11">
      <c r="B3" t="str">
        <f t="shared" ref="B3:B66" si="0">C3&amp;D3</f>
        <v>Lưới điện trung thế 1 pha Thoại Hương 4A025</v>
      </c>
      <c r="C3" s="999" t="str">
        <f>'BANG KE MONG TRU THUC TE'!$B$36</f>
        <v>Lưới điện trung thế 1 pha Thoại Hương 4A</v>
      </c>
      <c r="D3" s="1000" t="str">
        <f>'BANG KE MONG TRU THUC TE'!D36</f>
        <v>025</v>
      </c>
      <c r="E3" s="1001">
        <f>'BANG KE MONG TRU THUC TE'!E36</f>
        <v>1</v>
      </c>
      <c r="F3" s="999" t="s">
        <v>1525</v>
      </c>
      <c r="G3" s="1002">
        <v>44028</v>
      </c>
      <c r="H3" s="1000" t="str">
        <f>VLOOKUP(B3,'BANG KE MONG TRU THUC TE'!A:O,15,0)</f>
        <v>Đổ đủ</v>
      </c>
      <c r="I3" t="s">
        <v>4200</v>
      </c>
      <c r="J3" t="str">
        <f>VLOOKUP(B3,'BANG KE MONG TRU THUC TE'!A:O,12,0)</f>
        <v>1200x1200x800</v>
      </c>
    </row>
    <row r="4" spans="2:11">
      <c r="B4" t="str">
        <f t="shared" si="0"/>
        <v>Lưới điện trung thế 3 pha Cánh đồng Xuân Tây 1A020</v>
      </c>
      <c r="C4" s="999" t="str">
        <f>'BANG KE MONG TRU THUC TE'!B44</f>
        <v>Lưới điện trung thế 3 pha Cánh đồng Xuân Tây 1A</v>
      </c>
      <c r="D4" s="1000" t="str">
        <f>'BANG KE MONG TRU THUC TE'!D44</f>
        <v>020</v>
      </c>
      <c r="E4" s="1001">
        <f>'BANG KE MONG TRU THUC TE'!E44</f>
        <v>1</v>
      </c>
      <c r="F4" s="999" t="s">
        <v>1525</v>
      </c>
      <c r="G4" s="1002">
        <v>44037</v>
      </c>
      <c r="H4" s="1000" t="str">
        <f>VLOOKUP(B4,'BANG KE MONG TRU THUC TE'!A:O,15,0)</f>
        <v>Đổ đủ</v>
      </c>
      <c r="I4" t="s">
        <v>4195</v>
      </c>
      <c r="J4" t="str">
        <f>VLOOKUP(B4,'BANG KE MONG TRU THUC TE'!A:O,12,0)</f>
        <v>1200x1200x800</v>
      </c>
    </row>
    <row r="5" spans="2:11">
      <c r="B5" t="str">
        <f t="shared" si="0"/>
        <v>Lưới điện trung thế 3 pha Cánh đồng Xuân Tây 1A021</v>
      </c>
      <c r="C5" s="999" t="str">
        <f>'BANG KE MONG TRU THUC TE'!B45</f>
        <v>Lưới điện trung thế 3 pha Cánh đồng Xuân Tây 1A</v>
      </c>
      <c r="D5" s="1000" t="str">
        <f>'BANG KE MONG TRU THUC TE'!D45</f>
        <v>021</v>
      </c>
      <c r="E5" s="1001">
        <f>'BANG KE MONG TRU THUC TE'!E45</f>
        <v>1</v>
      </c>
      <c r="F5" s="999" t="s">
        <v>1525</v>
      </c>
      <c r="G5" s="1002">
        <v>44037</v>
      </c>
      <c r="H5" s="1000" t="str">
        <f>VLOOKUP(B5,'BANG KE MONG TRU THUC TE'!A:O,15,0)</f>
        <v>Đổ đủ</v>
      </c>
      <c r="I5" t="s">
        <v>4195</v>
      </c>
      <c r="J5" t="str">
        <f>VLOOKUP(B5,'BANG KE MONG TRU THUC TE'!A:O,12,0)</f>
        <v>1200x1200x800</v>
      </c>
    </row>
    <row r="6" spans="2:11">
      <c r="B6" t="str">
        <f t="shared" si="0"/>
        <v>Lưới điện trung thế 3 pha Cánh Đồng Xuân Tây 1B010</v>
      </c>
      <c r="C6" s="999" t="str">
        <f>'BANG KE MONG TRU THUC TE'!$B$62</f>
        <v>Lưới điện trung thế 3 pha Cánh Đồng Xuân Tây 1B</v>
      </c>
      <c r="D6" s="1000" t="str">
        <f>'BANG KE MONG TRU THUC TE'!D62</f>
        <v>010</v>
      </c>
      <c r="E6" s="1001">
        <f>'BANG KE MONG TRU THUC TE'!E62</f>
        <v>1</v>
      </c>
      <c r="F6" s="999" t="s">
        <v>1525</v>
      </c>
      <c r="G6" s="1002">
        <v>44037</v>
      </c>
      <c r="H6" s="1000" t="str">
        <f>VLOOKUP(B6,'BANG KE MONG TRU THUC TE'!A:O,15,0)</f>
        <v>Đổ đủ</v>
      </c>
      <c r="I6" t="s">
        <v>4195</v>
      </c>
      <c r="J6" t="str">
        <f>VLOOKUP(B6,'BANG KE MONG TRU THUC TE'!A:O,12,0)</f>
        <v>1200x1200x800</v>
      </c>
    </row>
    <row r="7" spans="2:11">
      <c r="B7" t="str">
        <f t="shared" si="0"/>
        <v>Lưới điện trung thế 3 pha Cánh Đồng Xuân Tây 1B013</v>
      </c>
      <c r="C7" s="999" t="str">
        <f>'BANG KE MONG TRU THUC TE'!$B$65</f>
        <v>Lưới điện trung thế 3 pha Cánh Đồng Xuân Tây 1B</v>
      </c>
      <c r="D7" s="1000" t="str">
        <f>'BANG KE MONG TRU THUC TE'!D65</f>
        <v>013</v>
      </c>
      <c r="E7" s="1001">
        <f>'BANG KE MONG TRU THUC TE'!E65</f>
        <v>1</v>
      </c>
      <c r="F7" s="999" t="s">
        <v>1525</v>
      </c>
      <c r="G7" s="1002">
        <v>44037</v>
      </c>
      <c r="H7" s="1000" t="str">
        <f>VLOOKUP(B7,'BANG KE MONG TRU THUC TE'!A:O,15,0)</f>
        <v>Đổ đủ</v>
      </c>
      <c r="I7" t="s">
        <v>4195</v>
      </c>
      <c r="J7" t="str">
        <f>VLOOKUP(B7,'BANG KE MONG TRU THUC TE'!A:O,12,0)</f>
        <v>1200x1200x800</v>
      </c>
    </row>
    <row r="8" spans="2:11">
      <c r="B8" t="str">
        <f t="shared" si="0"/>
        <v>Lưới điện trung thế 3 pha Cánh Đồng Xuân Tây 1B006</v>
      </c>
      <c r="C8" s="999" t="str">
        <f>'BANG KE MONG TRU THUC TE'!$B$58</f>
        <v>Lưới điện trung thế 3 pha Cánh Đồng Xuân Tây 1B</v>
      </c>
      <c r="D8" s="1000" t="str">
        <f>'BANG KE MONG TRU THUC TE'!$D$58</f>
        <v>006</v>
      </c>
      <c r="E8" s="1003">
        <f>'BANG KE MONG TRU THUC TE'!$F$58</f>
        <v>1</v>
      </c>
      <c r="F8" s="1000" t="s">
        <v>2598</v>
      </c>
      <c r="G8" s="1002">
        <v>44037</v>
      </c>
      <c r="H8" s="1000" t="str">
        <f>VLOOKUP(B8,'BANG KE MONG TRU THUC TE'!A:O,15,0)</f>
        <v>Đổ đủ</v>
      </c>
      <c r="I8" t="s">
        <v>4195</v>
      </c>
      <c r="J8" t="str">
        <f>VLOOKUP(B8,'BANG KE MONG TRU THUC TE'!A:O,12,0)</f>
        <v>1000x1000x800</v>
      </c>
    </row>
    <row r="9" spans="2:11">
      <c r="B9" t="str">
        <f t="shared" si="0"/>
        <v>Lưới điện trung thế 3 pha Cánh Đồng Xuân Tây 1B009A</v>
      </c>
      <c r="C9" s="999" t="str">
        <f>'BANG KE MONG TRU THUC TE'!$B$52</f>
        <v>Lưới điện trung thế 3 pha Cánh Đồng Xuân Tây 1B</v>
      </c>
      <c r="D9" s="1000" t="str">
        <f>'BANG KE MONG TRU THUC TE'!$D$52</f>
        <v>009A</v>
      </c>
      <c r="E9" s="1003">
        <f>'BANG KE MONG TRU THUC TE'!$H$52</f>
        <v>1</v>
      </c>
      <c r="F9" s="1000" t="s">
        <v>2598</v>
      </c>
      <c r="G9" s="1002">
        <f>'BANG KE MONG TRU THUC TE'!$N$52</f>
        <v>44037</v>
      </c>
      <c r="H9" s="1000" t="str">
        <f>VLOOKUP(B9,'BANG KE MONG TRU THUC TE'!A:O,15,0)</f>
        <v>Chưa đổ</v>
      </c>
      <c r="I9" t="s">
        <v>4195</v>
      </c>
      <c r="J9" t="str">
        <f>VLOOKUP(B9,'BANG KE MONG TRU THUC TE'!A:O,12,0)</f>
        <v>1400x1200x800</v>
      </c>
    </row>
    <row r="10" spans="2:11">
      <c r="B10" t="str">
        <f t="shared" si="0"/>
        <v>Lưới điện trung thế 3 pha Sông Ray 4A072A</v>
      </c>
      <c r="C10" s="999" t="str">
        <f>'BANG KE MONG TRU THUC TE'!B86</f>
        <v>Lưới điện trung thế 3 pha Sông Ray 4A</v>
      </c>
      <c r="D10" s="1000" t="str">
        <f>'BANG KE MONG TRU THUC TE'!D86</f>
        <v>072A</v>
      </c>
      <c r="E10" s="1003">
        <f>'BANG KE MONG TRU THUC TE'!H86</f>
        <v>1</v>
      </c>
      <c r="F10" s="1000" t="s">
        <v>2598</v>
      </c>
      <c r="G10" s="1002">
        <f>'BANG KE MONG TRU THUC TE'!N86</f>
        <v>44043</v>
      </c>
      <c r="H10" s="1000" t="str">
        <f>VLOOKUP(B10,'BANG KE MONG TRU THUC TE'!A:O,15,0)</f>
        <v>Chưa đổ</v>
      </c>
      <c r="I10" t="s">
        <v>4196</v>
      </c>
      <c r="J10" t="str">
        <f>VLOOKUP(B10,'BANG KE MONG TRU THUC TE'!A:O,12,0)</f>
        <v>1400x1200x800</v>
      </c>
    </row>
    <row r="11" spans="2:11">
      <c r="B11" t="str">
        <f t="shared" si="0"/>
        <v>Lưới điện trung thế 3 pha Sông Ray 4A001</v>
      </c>
      <c r="C11" s="999" t="str">
        <f>'BANG KE MONG TRU THUC TE'!B87</f>
        <v>Lưới điện trung thế 3 pha Sông Ray 4A</v>
      </c>
      <c r="D11" s="1000" t="str">
        <f>'BANG KE MONG TRU THUC TE'!D87</f>
        <v>001</v>
      </c>
      <c r="E11" s="1003">
        <f>'BANG KE MONG TRU THUC TE'!H87</f>
        <v>1</v>
      </c>
      <c r="F11" s="1000" t="s">
        <v>2598</v>
      </c>
      <c r="G11" s="1002">
        <f>'BANG KE MONG TRU THUC TE'!N87</f>
        <v>44043</v>
      </c>
      <c r="H11" s="1000" t="str">
        <f>VLOOKUP(B11,'BANG KE MONG TRU THUC TE'!A:O,15,0)</f>
        <v>Đổ đủ</v>
      </c>
      <c r="I11" t="s">
        <v>4196</v>
      </c>
      <c r="J11" t="str">
        <f>VLOOKUP(B11,'BANG KE MONG TRU THUC TE'!A:O,12,0)</f>
        <v>1400x1200x800</v>
      </c>
    </row>
    <row r="12" spans="2:11">
      <c r="B12" t="str">
        <f t="shared" si="0"/>
        <v>Lưới điện trung thế 3 pha Sông Ray 4A002</v>
      </c>
      <c r="C12" s="999" t="str">
        <f>'BANG KE MONG TRU THUC TE'!B88</f>
        <v>Lưới điện trung thế 3 pha Sông Ray 4A</v>
      </c>
      <c r="D12" s="1000" t="str">
        <f>'BANG KE MONG TRU THUC TE'!D88</f>
        <v>002</v>
      </c>
      <c r="E12" s="1003">
        <f>'BANG KE MONG TRU THUC TE'!H88</f>
        <v>1</v>
      </c>
      <c r="F12" s="1000" t="s">
        <v>2598</v>
      </c>
      <c r="G12" s="1002">
        <f>'BANG KE MONG TRU THUC TE'!N88</f>
        <v>44043</v>
      </c>
      <c r="H12" s="1000" t="str">
        <f>VLOOKUP(B12,'BANG KE MONG TRU THUC TE'!A:O,15,0)</f>
        <v>Đổ đủ</v>
      </c>
      <c r="I12" t="s">
        <v>4196</v>
      </c>
      <c r="J12" t="str">
        <f>VLOOKUP(B12,'BANG KE MONG TRU THUC TE'!A:O,12,0)</f>
        <v>1400x1200x800</v>
      </c>
    </row>
    <row r="13" spans="2:11">
      <c r="B13" t="str">
        <f t="shared" si="0"/>
        <v>Lưới điện trung thế 3 pha Sông Ray 4A003</v>
      </c>
      <c r="C13" s="999" t="str">
        <f>'BANG KE MONG TRU THUC TE'!B89</f>
        <v>Lưới điện trung thế 3 pha Sông Ray 4A</v>
      </c>
      <c r="D13" s="1000" t="str">
        <f>'BANG KE MONG TRU THUC TE'!D89</f>
        <v>003</v>
      </c>
      <c r="E13" s="1003">
        <f>'BANG KE MONG TRU THUC TE'!H89</f>
        <v>1</v>
      </c>
      <c r="F13" s="1000" t="s">
        <v>2598</v>
      </c>
      <c r="G13" s="1002">
        <f>'BANG KE MONG TRU THUC TE'!N89</f>
        <v>44043</v>
      </c>
      <c r="H13" s="1000" t="str">
        <f>VLOOKUP(B13,'BANG KE MONG TRU THUC TE'!A:O,15,0)</f>
        <v>Đổ đủ</v>
      </c>
      <c r="I13" t="s">
        <v>4196</v>
      </c>
      <c r="J13" t="str">
        <f>VLOOKUP(B13,'BANG KE MONG TRU THUC TE'!A:O,12,0)</f>
        <v>1400x1200x800</v>
      </c>
    </row>
    <row r="14" spans="2:11">
      <c r="B14" t="str">
        <f t="shared" si="0"/>
        <v>Lưới điện trung thế 3 pha Sông Ray 4A004</v>
      </c>
      <c r="C14" s="999" t="str">
        <f>'BANG KE MONG TRU THUC TE'!B90</f>
        <v>Lưới điện trung thế 3 pha Sông Ray 4A</v>
      </c>
      <c r="D14" s="1000" t="str">
        <f>'BANG KE MONG TRU THUC TE'!D90</f>
        <v>004</v>
      </c>
      <c r="E14" s="1003">
        <f>'BANG KE MONG TRU THUC TE'!H90</f>
        <v>1</v>
      </c>
      <c r="F14" s="1000" t="s">
        <v>2598</v>
      </c>
      <c r="G14" s="1002">
        <f>'BANG KE MONG TRU THUC TE'!N90</f>
        <v>44043</v>
      </c>
      <c r="H14" s="1000" t="str">
        <f>VLOOKUP(B14,'BANG KE MONG TRU THUC TE'!A:O,15,0)</f>
        <v>Đổ đủ</v>
      </c>
      <c r="I14" t="s">
        <v>4196</v>
      </c>
      <c r="J14" t="str">
        <f>VLOOKUP(B14,'BANG KE MONG TRU THUC TE'!A:O,12,0)</f>
        <v>1400x1200x800</v>
      </c>
    </row>
    <row r="15" spans="2:11">
      <c r="B15" t="str">
        <f t="shared" si="0"/>
        <v>Lưới điện trung thế 3 pha Sông Ray 4A010</v>
      </c>
      <c r="C15" s="999" t="str">
        <f>'BANG KE MONG TRU THUC TE'!B91</f>
        <v>Lưới điện trung thế 3 pha Sông Ray 4A</v>
      </c>
      <c r="D15" s="1000" t="str">
        <f>'BANG KE MONG TRU THUC TE'!D91</f>
        <v>010</v>
      </c>
      <c r="E15" s="1003">
        <f>'BANG KE MONG TRU THUC TE'!H91</f>
        <v>1</v>
      </c>
      <c r="F15" s="1000" t="s">
        <v>2598</v>
      </c>
      <c r="G15" s="1002">
        <f>'BANG KE MONG TRU THUC TE'!N91</f>
        <v>44043</v>
      </c>
      <c r="H15" s="1000" t="str">
        <f>VLOOKUP(B15,'BANG KE MONG TRU THUC TE'!A:O,15,0)</f>
        <v>Đổ đủ</v>
      </c>
      <c r="I15" t="s">
        <v>4196</v>
      </c>
      <c r="J15" t="str">
        <f>VLOOKUP(B15,'BANG KE MONG TRU THUC TE'!A:O,12,0)</f>
        <v>1400x1200x800</v>
      </c>
    </row>
    <row r="16" spans="2:11">
      <c r="B16" t="str">
        <f t="shared" si="0"/>
        <v>Lưới điện trung thế 3 pha Sông Ray 4A012</v>
      </c>
      <c r="C16" s="999" t="str">
        <f>'BANG KE MONG TRU THUC TE'!B92</f>
        <v>Lưới điện trung thế 3 pha Sông Ray 4A</v>
      </c>
      <c r="D16" s="1000" t="str">
        <f>'BANG KE MONG TRU THUC TE'!D92</f>
        <v>012</v>
      </c>
      <c r="E16" s="1003">
        <f>'BANG KE MONG TRU THUC TE'!H92</f>
        <v>1</v>
      </c>
      <c r="F16" s="1000" t="s">
        <v>2598</v>
      </c>
      <c r="G16" s="1002">
        <f>'BANG KE MONG TRU THUC TE'!N92</f>
        <v>44043</v>
      </c>
      <c r="H16" s="1000" t="str">
        <f>VLOOKUP(B16,'BANG KE MONG TRU THUC TE'!A:O,15,0)</f>
        <v>Đổ đủ</v>
      </c>
      <c r="I16" t="s">
        <v>4196</v>
      </c>
      <c r="J16" t="str">
        <f>VLOOKUP(B16,'BANG KE MONG TRU THUC TE'!A:O,12,0)</f>
        <v>1400x1200x800</v>
      </c>
    </row>
    <row r="17" spans="2:10">
      <c r="B17" t="str">
        <f t="shared" si="0"/>
        <v>Lưới điện trung thế 3 pha Sông Ray 2B001</v>
      </c>
      <c r="C17" s="999" t="str">
        <f>'BANG KE MONG TRU THUC TE'!B95</f>
        <v>Lưới điện trung thế 3 pha Sông Ray 2B</v>
      </c>
      <c r="D17" s="1000" t="str">
        <f>'BANG KE MONG TRU THUC TE'!D95</f>
        <v>001</v>
      </c>
      <c r="E17" s="1003">
        <f>'BANG KE MONG TRU THUC TE'!H95</f>
        <v>1</v>
      </c>
      <c r="F17" s="1000" t="s">
        <v>2598</v>
      </c>
      <c r="G17" s="1002">
        <f>'BANG KE MONG TRU THUC TE'!N95</f>
        <v>44043</v>
      </c>
      <c r="H17" s="1000" t="str">
        <f>VLOOKUP(B17,'BANG KE MONG TRU THUC TE'!A:O,15,0)</f>
        <v>Đổ đủ</v>
      </c>
      <c r="I17" t="s">
        <v>4196</v>
      </c>
      <c r="J17" t="str">
        <f>VLOOKUP(B17,'BANG KE MONG TRU THUC TE'!A:O,12,0)</f>
        <v>1400x1200x800</v>
      </c>
    </row>
    <row r="18" spans="2:10">
      <c r="B18" t="str">
        <f t="shared" si="0"/>
        <v>Lưới điện trung thế 3 pha Sông Ray 2B002</v>
      </c>
      <c r="C18" s="999" t="str">
        <f>'BANG KE MONG TRU THUC TE'!B96</f>
        <v>Lưới điện trung thế 3 pha Sông Ray 2B</v>
      </c>
      <c r="D18" s="1000" t="str">
        <f>'BANG KE MONG TRU THUC TE'!D96</f>
        <v>002</v>
      </c>
      <c r="E18" s="1003">
        <f>'BANG KE MONG TRU THUC TE'!H96</f>
        <v>1</v>
      </c>
      <c r="F18" s="1000" t="s">
        <v>2598</v>
      </c>
      <c r="G18" s="1002">
        <f>'BANG KE MONG TRU THUC TE'!N96</f>
        <v>44043</v>
      </c>
      <c r="H18" s="1000" t="str">
        <f>VLOOKUP(B18,'BANG KE MONG TRU THUC TE'!A:O,15,0)</f>
        <v>Đổ đủ</v>
      </c>
      <c r="I18" t="s">
        <v>4196</v>
      </c>
      <c r="J18" t="str">
        <f>VLOOKUP(B18,'BANG KE MONG TRU THUC TE'!A:O,12,0)</f>
        <v>1400x1200x800</v>
      </c>
    </row>
    <row r="19" spans="2:10">
      <c r="B19" t="str">
        <f t="shared" si="0"/>
        <v>Lưới điện trung thế 3 pha Sông Ray 2B004</v>
      </c>
      <c r="C19" s="999" t="str">
        <f>'BANG KE MONG TRU THUC TE'!B98</f>
        <v>Lưới điện trung thế 3 pha Sông Ray 2B</v>
      </c>
      <c r="D19" s="1000" t="str">
        <f>'BANG KE MONG TRU THUC TE'!D98</f>
        <v>004</v>
      </c>
      <c r="E19" s="1003">
        <f>'BANG KE MONG TRU THUC TE'!H98</f>
        <v>1</v>
      </c>
      <c r="F19" s="1000" t="s">
        <v>2598</v>
      </c>
      <c r="G19" s="1002">
        <f>'BANG KE MONG TRU THUC TE'!N98</f>
        <v>44043</v>
      </c>
      <c r="H19" s="1000" t="str">
        <f>VLOOKUP(B19,'BANG KE MONG TRU THUC TE'!A:O,15,0)</f>
        <v>Đổ đủ</v>
      </c>
      <c r="I19" t="s">
        <v>4196</v>
      </c>
      <c r="J19" t="str">
        <f>VLOOKUP(B19,'BANG KE MONG TRU THUC TE'!A:O,12,0)</f>
        <v>1400x1200x800</v>
      </c>
    </row>
    <row r="20" spans="2:10">
      <c r="B20" t="str">
        <f t="shared" si="0"/>
        <v>Lưới điện trung thế 3 pha Sông Ray 2B006</v>
      </c>
      <c r="C20" s="999" t="str">
        <f>'BANG KE MONG TRU THUC TE'!B99</f>
        <v>Lưới điện trung thế 3 pha Sông Ray 2B</v>
      </c>
      <c r="D20" s="1000" t="str">
        <f>'BANG KE MONG TRU THUC TE'!D99</f>
        <v>006</v>
      </c>
      <c r="E20" s="1003">
        <f>'BANG KE MONG TRU THUC TE'!H99</f>
        <v>1</v>
      </c>
      <c r="F20" s="1000" t="s">
        <v>2598</v>
      </c>
      <c r="G20" s="1002">
        <f>'BANG KE MONG TRU THUC TE'!N99</f>
        <v>44043</v>
      </c>
      <c r="H20" s="1000" t="str">
        <f>VLOOKUP(B20,'BANG KE MONG TRU THUC TE'!A:O,15,0)</f>
        <v>Đổ đủ</v>
      </c>
      <c r="I20" t="s">
        <v>4196</v>
      </c>
      <c r="J20" t="str">
        <f>VLOOKUP(B20,'BANG KE MONG TRU THUC TE'!A:O,12,0)</f>
        <v>1400x1200x800</v>
      </c>
    </row>
    <row r="21" spans="2:10">
      <c r="B21" t="str">
        <f t="shared" si="0"/>
        <v>Lưới điện trung thế 3 pha Sông Ray 2B007</v>
      </c>
      <c r="C21" s="999" t="str">
        <f>'BANG KE MONG TRU THUC TE'!B100</f>
        <v>Lưới điện trung thế 3 pha Sông Ray 2B</v>
      </c>
      <c r="D21" s="1000" t="str">
        <f>'BANG KE MONG TRU THUC TE'!D100</f>
        <v>007</v>
      </c>
      <c r="E21" s="1003">
        <f>'BANG KE MONG TRU THUC TE'!H100</f>
        <v>1</v>
      </c>
      <c r="F21" s="1000" t="s">
        <v>2598</v>
      </c>
      <c r="G21" s="1002">
        <f>'BANG KE MONG TRU THUC TE'!N100</f>
        <v>44043</v>
      </c>
      <c r="H21" s="1000" t="str">
        <f>VLOOKUP(B21,'BANG KE MONG TRU THUC TE'!A:O,15,0)</f>
        <v>Đổ đủ</v>
      </c>
      <c r="I21" t="s">
        <v>4196</v>
      </c>
      <c r="J21" t="str">
        <f>VLOOKUP(B21,'BANG KE MONG TRU THUC TE'!A:O,12,0)</f>
        <v>1400x1200x800</v>
      </c>
    </row>
    <row r="22" spans="2:10">
      <c r="B22" t="str">
        <f t="shared" si="0"/>
        <v>Lưới điện trung thế 3 pha Sông Ray 2B010</v>
      </c>
      <c r="C22" s="999" t="str">
        <f>'BANG KE MONG TRU THUC TE'!$B$102</f>
        <v>Lưới điện trung thế 3 pha Sông Ray 2B</v>
      </c>
      <c r="D22" s="1000" t="str">
        <f>'BANG KE MONG TRU THUC TE'!$D$102</f>
        <v>010</v>
      </c>
      <c r="E22" s="1003">
        <f>'BANG KE MONG TRU THUC TE'!$H$102</f>
        <v>1</v>
      </c>
      <c r="F22" s="1000" t="s">
        <v>2598</v>
      </c>
      <c r="G22" s="1002">
        <f>'BANG KE MONG TRU THUC TE'!$N$102</f>
        <v>44043</v>
      </c>
      <c r="H22" s="1000" t="str">
        <f>VLOOKUP(B22,'BANG KE MONG TRU THUC TE'!A:O,15,0)</f>
        <v>Đổ đủ</v>
      </c>
      <c r="I22" t="s">
        <v>4196</v>
      </c>
      <c r="J22" t="str">
        <f>VLOOKUP(B22,'BANG KE MONG TRU THUC TE'!A:O,12,0)</f>
        <v>1400x1200x800</v>
      </c>
    </row>
    <row r="23" spans="2:10">
      <c r="B23" t="str">
        <f t="shared" si="0"/>
        <v>Lưới điện trung thế 1 pha Thừa Đức 11A017</v>
      </c>
      <c r="C23" s="999" t="str">
        <f>'BANG KE MONG TRU THUC TE'!B15</f>
        <v>Lưới điện trung thế 1 pha Thừa Đức 11A</v>
      </c>
      <c r="D23" s="1000" t="str">
        <f>'BANG KE MONG TRU THUC TE'!D15</f>
        <v>017</v>
      </c>
      <c r="E23" s="1003">
        <f>'BANG KE MONG TRU THUC TE'!I15</f>
        <v>1</v>
      </c>
      <c r="F23" s="1000" t="s">
        <v>1530</v>
      </c>
      <c r="G23" s="1002">
        <f>'BANG KE MONG TRU THUC TE'!N15</f>
        <v>44057</v>
      </c>
      <c r="H23" s="1000" t="str">
        <f>VLOOKUP(B23,'BANG KE MONG TRU THUC TE'!A:O,15,0)</f>
        <v>Đổ đủ</v>
      </c>
      <c r="I23" t="s">
        <v>4199</v>
      </c>
      <c r="J23" t="str">
        <f>VLOOKUP(B23,'BANG KE MONG TRU THUC TE'!A:O,12,0)</f>
        <v>1800x1500x1200</v>
      </c>
    </row>
    <row r="24" spans="2:10">
      <c r="B24" t="str">
        <f t="shared" si="0"/>
        <v>Lưới điện trung thế 1 pha Thừa Đức 11A019</v>
      </c>
      <c r="C24" s="999" t="str">
        <f>'BANG KE MONG TRU THUC TE'!B16</f>
        <v>Lưới điện trung thế 1 pha Thừa Đức 11A</v>
      </c>
      <c r="D24" s="1000" t="str">
        <f>'BANG KE MONG TRU THUC TE'!D16</f>
        <v>019</v>
      </c>
      <c r="E24" s="1003">
        <f>'BANG KE MONG TRU THUC TE'!I16</f>
        <v>1</v>
      </c>
      <c r="F24" s="1000" t="s">
        <v>1530</v>
      </c>
      <c r="G24" s="1002">
        <f>'BANG KE MONG TRU THUC TE'!N16</f>
        <v>44057</v>
      </c>
      <c r="H24" s="1000" t="str">
        <f>VLOOKUP(B24,'BANG KE MONG TRU THUC TE'!A:O,15,0)</f>
        <v>Đổ đủ</v>
      </c>
      <c r="I24" t="s">
        <v>4199</v>
      </c>
      <c r="J24" t="str">
        <f>VLOOKUP(B24,'BANG KE MONG TRU THUC TE'!A:O,12,0)</f>
        <v>1800x1500x1200</v>
      </c>
    </row>
    <row r="25" spans="2:10">
      <c r="B25" t="str">
        <f t="shared" si="0"/>
        <v>Lưới điện trung thế 1 pha Thừa Đức 11A020</v>
      </c>
      <c r="C25" s="999" t="str">
        <f>'BANG KE MONG TRU THUC TE'!B17</f>
        <v>Lưới điện trung thế 1 pha Thừa Đức 11A</v>
      </c>
      <c r="D25" s="1000" t="str">
        <f>'BANG KE MONG TRU THUC TE'!D17</f>
        <v>020</v>
      </c>
      <c r="E25" s="1003">
        <f>'BANG KE MONG TRU THUC TE'!I17</f>
        <v>1</v>
      </c>
      <c r="F25" s="1000" t="s">
        <v>1530</v>
      </c>
      <c r="G25" s="1002">
        <f>'BANG KE MONG TRU THUC TE'!N17</f>
        <v>44057</v>
      </c>
      <c r="H25" s="1000" t="str">
        <f>VLOOKUP(B25,'BANG KE MONG TRU THUC TE'!A:O,15,0)</f>
        <v>Đổ đủ</v>
      </c>
      <c r="I25" t="s">
        <v>4199</v>
      </c>
      <c r="J25" t="str">
        <f>VLOOKUP(B25,'BANG KE MONG TRU THUC TE'!A:O,12,0)</f>
        <v>1800x1500x1200</v>
      </c>
    </row>
    <row r="26" spans="2:10">
      <c r="B26" t="str">
        <f t="shared" si="0"/>
        <v>Lưới điện trung thế 1 pha Thừa Đức 11A021</v>
      </c>
      <c r="C26" s="999" t="str">
        <f>'BANG KE MONG TRU THUC TE'!B18</f>
        <v>Lưới điện trung thế 1 pha Thừa Đức 11A</v>
      </c>
      <c r="D26" s="1000" t="str">
        <f>'BANG KE MONG TRU THUC TE'!D18</f>
        <v>021</v>
      </c>
      <c r="E26" s="1003">
        <f>'BANG KE MONG TRU THUC TE'!I18</f>
        <v>1</v>
      </c>
      <c r="F26" s="1000" t="s">
        <v>1530</v>
      </c>
      <c r="G26" s="1002">
        <f>'BANG KE MONG TRU THUC TE'!N18</f>
        <v>44057</v>
      </c>
      <c r="H26" s="1000" t="str">
        <f>VLOOKUP(B26,'BANG KE MONG TRU THUC TE'!A:O,15,0)</f>
        <v>Đổ đủ</v>
      </c>
      <c r="I26" t="s">
        <v>4199</v>
      </c>
      <c r="J26" t="str">
        <f>VLOOKUP(B26,'BANG KE MONG TRU THUC TE'!A:O,12,0)</f>
        <v>1800x1500x1200</v>
      </c>
    </row>
    <row r="27" spans="2:10">
      <c r="B27" t="str">
        <f t="shared" si="0"/>
        <v>Lưới hạ thế sau TBA Lâm San 11A058/08</v>
      </c>
      <c r="C27" s="999" t="str">
        <f>'BANG KE MONG TRU THUC TE'!B121</f>
        <v>Lưới hạ thế sau TBA Lâm San 11A</v>
      </c>
      <c r="D27" s="1000" t="str">
        <f>'BANG KE MONG TRU THUC TE'!D121</f>
        <v>058/08</v>
      </c>
      <c r="E27" s="1003">
        <f>'BANG KE MONG TRU THUC TE'!J121</f>
        <v>1</v>
      </c>
      <c r="F27" s="1000" t="s">
        <v>1590</v>
      </c>
      <c r="G27" s="1002">
        <f>'BANG KE MONG TRU THUC TE'!N121</f>
        <v>44043</v>
      </c>
      <c r="H27" s="1000" t="str">
        <f>VLOOKUP(B27,'BANG KE MONG TRU THUC TE'!A:O,15,0)</f>
        <v>Đổ đủ</v>
      </c>
      <c r="I27" t="s">
        <v>4197</v>
      </c>
      <c r="J27" t="str">
        <f>VLOOKUP(B27,'BANG KE MONG TRU THUC TE'!A:O,12,0)</f>
        <v>1450x1150x500</v>
      </c>
    </row>
    <row r="28" spans="2:10">
      <c r="B28" t="str">
        <f t="shared" si="0"/>
        <v>Lưới hạ thế sau TBA Lâm San 11A058/10</v>
      </c>
      <c r="C28" s="999" t="str">
        <f>'BANG KE MONG TRU THUC TE'!B122</f>
        <v>Lưới hạ thế sau TBA Lâm San 11A</v>
      </c>
      <c r="D28" s="1000" t="str">
        <f>'BANG KE MONG TRU THUC TE'!D122</f>
        <v>058/10</v>
      </c>
      <c r="E28" s="1003">
        <f>'BANG KE MONG TRU THUC TE'!J122</f>
        <v>1</v>
      </c>
      <c r="F28" s="1000" t="s">
        <v>1590</v>
      </c>
      <c r="G28" s="1002">
        <f>'BANG KE MONG TRU THUC TE'!N122</f>
        <v>44043</v>
      </c>
      <c r="H28" s="1000" t="str">
        <f>VLOOKUP(B28,'BANG KE MONG TRU THUC TE'!A:O,15,0)</f>
        <v>Đổ đủ</v>
      </c>
      <c r="I28" t="s">
        <v>4197</v>
      </c>
      <c r="J28" t="str">
        <f>VLOOKUP(B28,'BANG KE MONG TRU THUC TE'!A:O,12,0)</f>
        <v>1450x1150x500</v>
      </c>
    </row>
    <row r="29" spans="2:10">
      <c r="B29" t="str">
        <f t="shared" si="0"/>
        <v>Lưới hạ thế sau TBA Lâm San 11A058/11</v>
      </c>
      <c r="C29" s="999" t="str">
        <f>'BANG KE MONG TRU THUC TE'!B123</f>
        <v>Lưới hạ thế sau TBA Lâm San 11A</v>
      </c>
      <c r="D29" s="1000" t="str">
        <f>'BANG KE MONG TRU THUC TE'!D123</f>
        <v>058/11</v>
      </c>
      <c r="E29" s="1003">
        <f>'BANG KE MONG TRU THUC TE'!J123</f>
        <v>1</v>
      </c>
      <c r="F29" s="1000" t="s">
        <v>1590</v>
      </c>
      <c r="G29" s="1002">
        <f>'BANG KE MONG TRU THUC TE'!N123</f>
        <v>44043</v>
      </c>
      <c r="H29" s="1000" t="str">
        <f>VLOOKUP(B29,'BANG KE MONG TRU THUC TE'!A:O,15,0)</f>
        <v>Đổ đủ</v>
      </c>
      <c r="I29" t="s">
        <v>4197</v>
      </c>
      <c r="J29" t="str">
        <f>VLOOKUP(B29,'BANG KE MONG TRU THUC TE'!A:O,12,0)</f>
        <v>1450x1150x500</v>
      </c>
    </row>
    <row r="30" spans="2:10">
      <c r="B30" t="str">
        <f t="shared" si="0"/>
        <v>Lưới hạ thế sau TBA Lâm San 11A046/03</v>
      </c>
      <c r="C30" s="999" t="str">
        <f>'BANG KE MONG TRU THUC TE'!B124</f>
        <v>Lưới hạ thế sau TBA Lâm San 11A</v>
      </c>
      <c r="D30" s="1000" t="str">
        <f>'BANG KE MONG TRU THUC TE'!D124</f>
        <v>046/03</v>
      </c>
      <c r="E30" s="1003">
        <f>'BANG KE MONG TRU THUC TE'!J124</f>
        <v>1</v>
      </c>
      <c r="F30" s="1000" t="s">
        <v>1590</v>
      </c>
      <c r="G30" s="1002">
        <f>'BANG KE MONG TRU THUC TE'!N124</f>
        <v>44043</v>
      </c>
      <c r="H30" s="1000" t="str">
        <f>VLOOKUP(B30,'BANG KE MONG TRU THUC TE'!A:O,15,0)</f>
        <v>Đổ đủ</v>
      </c>
      <c r="I30" t="s">
        <v>4197</v>
      </c>
      <c r="J30" t="str">
        <f>VLOOKUP(B30,'BANG KE MONG TRU THUC TE'!A:O,12,0)</f>
        <v>1450x1150x500</v>
      </c>
    </row>
    <row r="31" spans="2:10">
      <c r="B31" t="str">
        <f t="shared" si="0"/>
        <v>Lưới hạ thế sau TBA Nam Hà 1344/03</v>
      </c>
      <c r="C31" s="999" t="str">
        <f>'BANG KE MONG TRU THUC TE'!$B$129</f>
        <v>Lưới hạ thế sau TBA Nam Hà 1</v>
      </c>
      <c r="D31" s="1000" t="str">
        <f>'BANG KE MONG TRU THUC TE'!$D$129</f>
        <v>344/03</v>
      </c>
      <c r="E31" s="1003">
        <f>'BANG KE MONG TRU THUC TE'!$J$129</f>
        <v>1</v>
      </c>
      <c r="F31" s="1000" t="s">
        <v>1590</v>
      </c>
      <c r="G31" s="1002">
        <f>'BANG KE MONG TRU THUC TE'!$N$129</f>
        <v>44048</v>
      </c>
      <c r="H31" s="1000" t="str">
        <f>VLOOKUP(B31,'BANG KE MONG TRU THUC TE'!A:O,15,0)</f>
        <v>Đổ đủ</v>
      </c>
      <c r="I31" t="s">
        <v>4201</v>
      </c>
      <c r="J31" t="str">
        <f>VLOOKUP(B31,'BANG KE MONG TRU THUC TE'!A:O,12,0)</f>
        <v>1450x1150x500</v>
      </c>
    </row>
    <row r="32" spans="2:10">
      <c r="B32" t="str">
        <f t="shared" si="0"/>
        <v>Lưới hạ thế sau TBA Nam Hà 1344/09</v>
      </c>
      <c r="C32" s="999" t="str">
        <f>'BANG KE MONG TRU THUC TE'!B131</f>
        <v>Lưới hạ thế sau TBA Nam Hà 1</v>
      </c>
      <c r="D32" s="1000" t="str">
        <f>'BANG KE MONG TRU THUC TE'!D131</f>
        <v>344/09</v>
      </c>
      <c r="E32" s="1003">
        <f>'BANG KE MONG TRU THUC TE'!J131</f>
        <v>1</v>
      </c>
      <c r="F32" s="1000" t="s">
        <v>1590</v>
      </c>
      <c r="G32" s="1002">
        <f>'BANG KE MONG TRU THUC TE'!N131</f>
        <v>44048</v>
      </c>
      <c r="H32" s="1000" t="str">
        <f>VLOOKUP(B32,'BANG KE MONG TRU THUC TE'!A:O,15,0)</f>
        <v>Đổ đủ</v>
      </c>
      <c r="I32" t="s">
        <v>4201</v>
      </c>
      <c r="J32" t="str">
        <f>VLOOKUP(B32,'BANG KE MONG TRU THUC TE'!A:O,12,0)</f>
        <v>1450x1150x500</v>
      </c>
    </row>
    <row r="33" spans="2:10">
      <c r="B33" t="str">
        <f t="shared" si="0"/>
        <v>Lưới hạ thế sau TBA Nam Hà 1344/11</v>
      </c>
      <c r="C33" s="999" t="str">
        <f>'BANG KE MONG TRU THUC TE'!B132</f>
        <v>Lưới hạ thế sau TBA Nam Hà 1</v>
      </c>
      <c r="D33" s="1000" t="str">
        <f>'BANG KE MONG TRU THUC TE'!D132</f>
        <v>344/11</v>
      </c>
      <c r="E33" s="1003">
        <f>'BANG KE MONG TRU THUC TE'!J132</f>
        <v>1</v>
      </c>
      <c r="F33" s="1000" t="s">
        <v>1590</v>
      </c>
      <c r="G33" s="1002">
        <f>'BANG KE MONG TRU THUC TE'!N132</f>
        <v>44048</v>
      </c>
      <c r="H33" s="1000" t="str">
        <f>VLOOKUP(B33,'BANG KE MONG TRU THUC TE'!A:O,15,0)</f>
        <v>Đổ đủ</v>
      </c>
      <c r="I33" t="s">
        <v>4201</v>
      </c>
      <c r="J33" t="str">
        <f>VLOOKUP(B33,'BANG KE MONG TRU THUC TE'!A:O,12,0)</f>
        <v>1450x1150x500</v>
      </c>
    </row>
    <row r="34" spans="2:10">
      <c r="B34" t="str">
        <f t="shared" si="0"/>
        <v>Lưới hạ thế sau TBA Nam Hà 1344/13</v>
      </c>
      <c r="C34" s="999" t="str">
        <f>'BANG KE MONG TRU THUC TE'!B133</f>
        <v>Lưới hạ thế sau TBA Nam Hà 1</v>
      </c>
      <c r="D34" s="1000" t="str">
        <f>'BANG KE MONG TRU THUC TE'!D133</f>
        <v>344/13</v>
      </c>
      <c r="E34" s="1003">
        <f>'BANG KE MONG TRU THUC TE'!J133</f>
        <v>1</v>
      </c>
      <c r="F34" s="1000" t="s">
        <v>1590</v>
      </c>
      <c r="G34" s="1002">
        <f>'BANG KE MONG TRU THUC TE'!N133</f>
        <v>44048</v>
      </c>
      <c r="H34" s="1000" t="str">
        <f>VLOOKUP(B34,'BANG KE MONG TRU THUC TE'!A:O,15,0)</f>
        <v>Đổ đủ</v>
      </c>
      <c r="I34" t="s">
        <v>4201</v>
      </c>
      <c r="J34" t="str">
        <f>VLOOKUP(B34,'BANG KE MONG TRU THUC TE'!A:O,12,0)</f>
        <v>1450x1150x500</v>
      </c>
    </row>
    <row r="35" spans="2:10">
      <c r="B35" t="str">
        <f t="shared" si="0"/>
        <v>Lưới hạ thế sau TBA Nam Hà 1344/14</v>
      </c>
      <c r="C35" s="999" t="str">
        <f>'BANG KE MONG TRU THUC TE'!B134</f>
        <v>Lưới hạ thế sau TBA Nam Hà 1</v>
      </c>
      <c r="D35" s="1000" t="str">
        <f>'BANG KE MONG TRU THUC TE'!D134</f>
        <v>344/14</v>
      </c>
      <c r="E35" s="1003">
        <f>'BANG KE MONG TRU THUC TE'!J134</f>
        <v>1</v>
      </c>
      <c r="F35" s="1000" t="s">
        <v>1590</v>
      </c>
      <c r="G35" s="1002">
        <f>'BANG KE MONG TRU THUC TE'!N134</f>
        <v>44048</v>
      </c>
      <c r="H35" s="1000" t="str">
        <f>VLOOKUP(B35,'BANG KE MONG TRU THUC TE'!A:O,15,0)</f>
        <v>Đổ đủ</v>
      </c>
      <c r="I35" t="s">
        <v>4201</v>
      </c>
      <c r="J35" t="str">
        <f>VLOOKUP(B35,'BANG KE MONG TRU THUC TE'!A:O,12,0)</f>
        <v>1450x1150x500</v>
      </c>
    </row>
    <row r="36" spans="2:10">
      <c r="B36" t="str">
        <f t="shared" si="0"/>
        <v>Lưới hạ thế sau TBA Nam Hà 1344/15</v>
      </c>
      <c r="C36" s="999" t="str">
        <f>'BANG KE MONG TRU THUC TE'!B135</f>
        <v>Lưới hạ thế sau TBA Nam Hà 1</v>
      </c>
      <c r="D36" s="1000" t="str">
        <f>'BANG KE MONG TRU THUC TE'!D135</f>
        <v>344/15</v>
      </c>
      <c r="E36" s="1003">
        <f>'BANG KE MONG TRU THUC TE'!J135</f>
        <v>1</v>
      </c>
      <c r="F36" s="1000" t="s">
        <v>1590</v>
      </c>
      <c r="G36" s="1002">
        <f>'BANG KE MONG TRU THUC TE'!N135</f>
        <v>44048</v>
      </c>
      <c r="H36" s="1000" t="str">
        <f>VLOOKUP(B36,'BANG KE MONG TRU THUC TE'!A:O,15,0)</f>
        <v>Đổ đủ</v>
      </c>
      <c r="I36" t="s">
        <v>4201</v>
      </c>
      <c r="J36" t="str">
        <f>VLOOKUP(B36,'BANG KE MONG TRU THUC TE'!A:O,12,0)</f>
        <v>1450x1150x500</v>
      </c>
    </row>
    <row r="37" spans="2:10">
      <c r="B37" t="str">
        <f t="shared" si="0"/>
        <v>Lưới hạ thế sau TBA Nam Hà 1344/16</v>
      </c>
      <c r="C37" s="999" t="str">
        <f>'BANG KE MONG TRU THUC TE'!B136</f>
        <v>Lưới hạ thế sau TBA Nam Hà 1</v>
      </c>
      <c r="D37" s="1000" t="str">
        <f>'BANG KE MONG TRU THUC TE'!D136</f>
        <v>344/16</v>
      </c>
      <c r="E37" s="1003">
        <f>'BANG KE MONG TRU THUC TE'!J136</f>
        <v>1</v>
      </c>
      <c r="F37" s="1000" t="s">
        <v>1590</v>
      </c>
      <c r="G37" s="1002">
        <f>'BANG KE MONG TRU THUC TE'!N136</f>
        <v>44048</v>
      </c>
      <c r="H37" s="1000" t="str">
        <f>VLOOKUP(B37,'BANG KE MONG TRU THUC TE'!A:O,15,0)</f>
        <v>Đổ đủ</v>
      </c>
      <c r="I37" t="s">
        <v>4201</v>
      </c>
      <c r="J37" t="str">
        <f>VLOOKUP(B37,'BANG KE MONG TRU THUC TE'!A:O,12,0)</f>
        <v>1450x1150x500</v>
      </c>
    </row>
    <row r="38" spans="2:10">
      <c r="B38" t="str">
        <f t="shared" si="0"/>
        <v>Lưới hạ thế sau TBA Nam Hà 1344/22</v>
      </c>
      <c r="C38" s="999" t="str">
        <f>'BANG KE MONG TRU THUC TE'!B137</f>
        <v>Lưới hạ thế sau TBA Nam Hà 1</v>
      </c>
      <c r="D38" s="1000" t="str">
        <f>'BANG KE MONG TRU THUC TE'!D137</f>
        <v>344/22</v>
      </c>
      <c r="E38" s="1003">
        <f>'BANG KE MONG TRU THUC TE'!J137</f>
        <v>1</v>
      </c>
      <c r="F38" s="1000" t="s">
        <v>1590</v>
      </c>
      <c r="G38" s="1002">
        <f>'BANG KE MONG TRU THUC TE'!N137</f>
        <v>44048</v>
      </c>
      <c r="H38" s="1000" t="str">
        <f>VLOOKUP(B38,'BANG KE MONG TRU THUC TE'!A:O,15,0)</f>
        <v>Đổ đủ</v>
      </c>
      <c r="I38" t="s">
        <v>4201</v>
      </c>
      <c r="J38" t="str">
        <f>VLOOKUP(B38,'BANG KE MONG TRU THUC TE'!A:O,12,0)</f>
        <v>1450x1150x500</v>
      </c>
    </row>
    <row r="39" spans="2:10">
      <c r="B39" t="str">
        <f t="shared" si="0"/>
        <v>Lưới hạ thế sau TBA Nam Hà 1347/06</v>
      </c>
      <c r="C39" s="999" t="str">
        <f>'BANG KE MONG TRU THUC TE'!B138</f>
        <v>Lưới hạ thế sau TBA Nam Hà 1</v>
      </c>
      <c r="D39" s="1000" t="str">
        <f>'BANG KE MONG TRU THUC TE'!D138</f>
        <v>347/06</v>
      </c>
      <c r="E39" s="1003">
        <f>'BANG KE MONG TRU THUC TE'!J138</f>
        <v>1</v>
      </c>
      <c r="F39" s="1000" t="s">
        <v>1590</v>
      </c>
      <c r="G39" s="1002">
        <f>'BANG KE MONG TRU THUC TE'!N138</f>
        <v>44048</v>
      </c>
      <c r="H39" s="1000" t="str">
        <f>VLOOKUP(B39,'BANG KE MONG TRU THUC TE'!A:O,15,0)</f>
        <v>Đổ đủ</v>
      </c>
      <c r="I39" t="s">
        <v>4201</v>
      </c>
      <c r="J39" t="str">
        <f>VLOOKUP(B39,'BANG KE MONG TRU THUC TE'!A:O,12,0)</f>
        <v>1450x1150x500</v>
      </c>
    </row>
    <row r="40" spans="2:10">
      <c r="B40" t="str">
        <f t="shared" si="0"/>
        <v>Lưới hạ thế sau TBA Nam Hà 1347/08</v>
      </c>
      <c r="C40" s="999" t="str">
        <f>'BANG KE MONG TRU THUC TE'!B139</f>
        <v>Lưới hạ thế sau TBA Nam Hà 1</v>
      </c>
      <c r="D40" s="1000" t="str">
        <f>'BANG KE MONG TRU THUC TE'!D139</f>
        <v>347/08</v>
      </c>
      <c r="E40" s="1003">
        <f>'BANG KE MONG TRU THUC TE'!J139</f>
        <v>1</v>
      </c>
      <c r="F40" s="1000" t="s">
        <v>1590</v>
      </c>
      <c r="G40" s="1002">
        <f>'BANG KE MONG TRU THUC TE'!N139</f>
        <v>44048</v>
      </c>
      <c r="H40" s="1000" t="str">
        <f>VLOOKUP(B40,'BANG KE MONG TRU THUC TE'!A:O,15,0)</f>
        <v>Đổ đủ</v>
      </c>
      <c r="I40" t="s">
        <v>4201</v>
      </c>
      <c r="J40" t="str">
        <f>VLOOKUP(B40,'BANG KE MONG TRU THUC TE'!A:O,12,0)</f>
        <v>1450x1150x500</v>
      </c>
    </row>
    <row r="41" spans="2:10">
      <c r="B41" t="str">
        <f t="shared" si="0"/>
        <v>Lưới hạ thế sau TBA Nam Hà 1347/09</v>
      </c>
      <c r="C41" s="999" t="str">
        <f>'BANG KE MONG TRU THUC TE'!B140</f>
        <v>Lưới hạ thế sau TBA Nam Hà 1</v>
      </c>
      <c r="D41" s="1000" t="str">
        <f>'BANG KE MONG TRU THUC TE'!D140</f>
        <v>347/09</v>
      </c>
      <c r="E41" s="1003">
        <f>'BANG KE MONG TRU THUC TE'!J140</f>
        <v>1</v>
      </c>
      <c r="F41" s="1000" t="s">
        <v>1590</v>
      </c>
      <c r="G41" s="1002">
        <f>'BANG KE MONG TRU THUC TE'!N140</f>
        <v>44048</v>
      </c>
      <c r="H41" s="1000" t="str">
        <f>VLOOKUP(B41,'BANG KE MONG TRU THUC TE'!A:O,15,0)</f>
        <v>Đổ đủ</v>
      </c>
      <c r="I41" t="s">
        <v>4201</v>
      </c>
      <c r="J41" t="str">
        <f>VLOOKUP(B41,'BANG KE MONG TRU THUC TE'!A:O,12,0)</f>
        <v>1450x1150x500</v>
      </c>
    </row>
    <row r="42" spans="2:10">
      <c r="B42" t="str">
        <f t="shared" si="0"/>
        <v>Lưới hạ thế sau TBA Nam Hà 1347/10</v>
      </c>
      <c r="C42" s="999" t="str">
        <f>'BANG KE MONG TRU THUC TE'!B141</f>
        <v>Lưới hạ thế sau TBA Nam Hà 1</v>
      </c>
      <c r="D42" s="1000" t="str">
        <f>'BANG KE MONG TRU THUC TE'!D141</f>
        <v>347/10</v>
      </c>
      <c r="E42" s="1003">
        <f>'BANG KE MONG TRU THUC TE'!J141</f>
        <v>1</v>
      </c>
      <c r="F42" s="1000" t="s">
        <v>1590</v>
      </c>
      <c r="G42" s="1002">
        <f>'BANG KE MONG TRU THUC TE'!N141</f>
        <v>44048</v>
      </c>
      <c r="H42" s="1000" t="str">
        <f>VLOOKUP(B42,'BANG KE MONG TRU THUC TE'!A:O,15,0)</f>
        <v>Đổ đủ</v>
      </c>
      <c r="I42" t="s">
        <v>4201</v>
      </c>
      <c r="J42" t="str">
        <f>VLOOKUP(B42,'BANG KE MONG TRU THUC TE'!A:O,12,0)</f>
        <v>1450x1150x500</v>
      </c>
    </row>
    <row r="43" spans="2:10">
      <c r="B43" t="str">
        <f t="shared" si="0"/>
        <v>Lưới hạ thế sau TBA Nam Hà 1347/12</v>
      </c>
      <c r="C43" s="999" t="str">
        <f>'BANG KE MONG TRU THUC TE'!B142</f>
        <v>Lưới hạ thế sau TBA Nam Hà 1</v>
      </c>
      <c r="D43" s="1000" t="str">
        <f>'BANG KE MONG TRU THUC TE'!D142</f>
        <v>347/12</v>
      </c>
      <c r="E43" s="1003">
        <f>'BANG KE MONG TRU THUC TE'!J142</f>
        <v>1</v>
      </c>
      <c r="F43" s="1000" t="s">
        <v>1590</v>
      </c>
      <c r="G43" s="1002">
        <f>'BANG KE MONG TRU THUC TE'!N142</f>
        <v>44048</v>
      </c>
      <c r="H43" s="1000" t="str">
        <f>VLOOKUP(B43,'BANG KE MONG TRU THUC TE'!A:O,15,0)</f>
        <v>Đổ đủ</v>
      </c>
      <c r="I43" t="s">
        <v>4201</v>
      </c>
      <c r="J43" t="str">
        <f>VLOOKUP(B43,'BANG KE MONG TRU THUC TE'!A:O,12,0)</f>
        <v>1450x1150x500</v>
      </c>
    </row>
    <row r="44" spans="2:10">
      <c r="B44" t="str">
        <f t="shared" si="0"/>
        <v>Lưới hạ thế sau TBA Nam Hà 1347/14</v>
      </c>
      <c r="C44" s="999" t="str">
        <f>'BANG KE MONG TRU THUC TE'!B143</f>
        <v>Lưới hạ thế sau TBA Nam Hà 1</v>
      </c>
      <c r="D44" s="1000" t="str">
        <f>'BANG KE MONG TRU THUC TE'!D143</f>
        <v>347/14</v>
      </c>
      <c r="E44" s="1003">
        <f>'BANG KE MONG TRU THUC TE'!J143</f>
        <v>1</v>
      </c>
      <c r="F44" s="1000" t="s">
        <v>1590</v>
      </c>
      <c r="G44" s="1002">
        <f>'BANG KE MONG TRU THUC TE'!N143</f>
        <v>44048</v>
      </c>
      <c r="H44" s="1000" t="str">
        <f>VLOOKUP(B44,'BANG KE MONG TRU THUC TE'!A:O,15,0)</f>
        <v>Đổ đủ</v>
      </c>
      <c r="I44" t="s">
        <v>4201</v>
      </c>
      <c r="J44" t="str">
        <f>VLOOKUP(B44,'BANG KE MONG TRU THUC TE'!A:O,12,0)</f>
        <v>1450x1150x500</v>
      </c>
    </row>
    <row r="45" spans="2:10">
      <c r="B45" t="str">
        <f t="shared" si="0"/>
        <v>Lưới hạ thế sau TBA Nam Hà 1347/15</v>
      </c>
      <c r="C45" s="999" t="str">
        <f>'BANG KE MONG TRU THUC TE'!B144</f>
        <v>Lưới hạ thế sau TBA Nam Hà 1</v>
      </c>
      <c r="D45" s="1000" t="str">
        <f>'BANG KE MONG TRU THUC TE'!D144</f>
        <v>347/15</v>
      </c>
      <c r="E45" s="1003">
        <f>'BANG KE MONG TRU THUC TE'!J144</f>
        <v>1</v>
      </c>
      <c r="F45" s="1000" t="s">
        <v>1590</v>
      </c>
      <c r="G45" s="1002">
        <f>'BANG KE MONG TRU THUC TE'!N144</f>
        <v>44048</v>
      </c>
      <c r="H45" s="1000" t="str">
        <f>VLOOKUP(B45,'BANG KE MONG TRU THUC TE'!A:O,15,0)</f>
        <v>Đổ đủ</v>
      </c>
      <c r="I45" t="s">
        <v>4201</v>
      </c>
      <c r="J45" t="str">
        <f>VLOOKUP(B45,'BANG KE MONG TRU THUC TE'!A:O,12,0)</f>
        <v>1450x1150x500</v>
      </c>
    </row>
    <row r="46" spans="2:10">
      <c r="B46" t="str">
        <f t="shared" si="0"/>
        <v>Lưới hạ thế sau TBA Nam Hà 1347/16</v>
      </c>
      <c r="C46" s="999" t="str">
        <f>'BANG KE MONG TRU THUC TE'!B145</f>
        <v>Lưới hạ thế sau TBA Nam Hà 1</v>
      </c>
      <c r="D46" s="1000" t="str">
        <f>'BANG KE MONG TRU THUC TE'!D145</f>
        <v>347/16</v>
      </c>
      <c r="E46" s="1003">
        <f>'BANG KE MONG TRU THUC TE'!J145</f>
        <v>1</v>
      </c>
      <c r="F46" s="1000" t="s">
        <v>1590</v>
      </c>
      <c r="G46" s="1002">
        <f>'BANG KE MONG TRU THUC TE'!N145</f>
        <v>44048</v>
      </c>
      <c r="H46" s="1000" t="str">
        <f>VLOOKUP(B46,'BANG KE MONG TRU THUC TE'!A:O,15,0)</f>
        <v>Đổ đủ</v>
      </c>
      <c r="I46" t="s">
        <v>4201</v>
      </c>
      <c r="J46" t="str">
        <f>VLOOKUP(B46,'BANG KE MONG TRU THUC TE'!A:O,12,0)</f>
        <v>1450x1150x500</v>
      </c>
    </row>
    <row r="47" spans="2:10">
      <c r="B47" t="str">
        <f t="shared" si="0"/>
        <v>Lưới hạ thế sau TBA Nam Hà 1347/17</v>
      </c>
      <c r="C47" s="999" t="str">
        <f>'BANG KE MONG TRU THUC TE'!B146</f>
        <v>Lưới hạ thế sau TBA Nam Hà 1</v>
      </c>
      <c r="D47" s="1000" t="str">
        <f>'BANG KE MONG TRU THUC TE'!D146</f>
        <v>347/17</v>
      </c>
      <c r="E47" s="1003">
        <f>'BANG KE MONG TRU THUC TE'!J146</f>
        <v>1</v>
      </c>
      <c r="F47" s="1000" t="s">
        <v>1590</v>
      </c>
      <c r="G47" s="1002">
        <f>'BANG KE MONG TRU THUC TE'!N146</f>
        <v>44048</v>
      </c>
      <c r="H47" s="1000" t="str">
        <f>VLOOKUP(B47,'BANG KE MONG TRU THUC TE'!A:O,15,0)</f>
        <v>Đổ đủ</v>
      </c>
      <c r="I47" t="s">
        <v>4201</v>
      </c>
      <c r="J47" t="str">
        <f>VLOOKUP(B47,'BANG KE MONG TRU THUC TE'!A:O,12,0)</f>
        <v>1450x1150x500</v>
      </c>
    </row>
    <row r="48" spans="2:10">
      <c r="B48" t="str">
        <f t="shared" si="0"/>
        <v>Lưới hạ thế sau TBA Nam Hà 1348/01</v>
      </c>
      <c r="C48" s="999" t="str">
        <f>'BANG KE MONG TRU THUC TE'!B148</f>
        <v>Lưới hạ thế sau TBA Nam Hà 1</v>
      </c>
      <c r="D48" s="1000" t="str">
        <f>'BANG KE MONG TRU THUC TE'!D148</f>
        <v>348/01</v>
      </c>
      <c r="E48" s="1003">
        <f>'BANG KE MONG TRU THUC TE'!J148</f>
        <v>1</v>
      </c>
      <c r="F48" s="1000" t="s">
        <v>1590</v>
      </c>
      <c r="G48" s="1002">
        <f>'BANG KE MONG TRU THUC TE'!N148</f>
        <v>44048</v>
      </c>
      <c r="H48" s="1000" t="str">
        <f>VLOOKUP(B48,'BANG KE MONG TRU THUC TE'!A:O,15,0)</f>
        <v>Đổ đủ</v>
      </c>
      <c r="I48" t="s">
        <v>4201</v>
      </c>
      <c r="J48" t="str">
        <f>VLOOKUP(B48,'BANG KE MONG TRU THUC TE'!A:O,12,0)</f>
        <v>1450x1150x500</v>
      </c>
    </row>
    <row r="49" spans="2:10">
      <c r="B49" t="str">
        <f t="shared" si="0"/>
        <v>Lưới hạ thế sau TBA Nam Hà 1350/01</v>
      </c>
      <c r="C49" s="999" t="str">
        <f>'BANG KE MONG TRU THUC TE'!B149</f>
        <v>Lưới hạ thế sau TBA Nam Hà 1</v>
      </c>
      <c r="D49" s="1000" t="str">
        <f>'BANG KE MONG TRU THUC TE'!D149</f>
        <v>350/01</v>
      </c>
      <c r="E49" s="1003">
        <f>'BANG KE MONG TRU THUC TE'!J149</f>
        <v>1</v>
      </c>
      <c r="F49" s="1000" t="s">
        <v>1590</v>
      </c>
      <c r="G49" s="1002">
        <f>'BANG KE MONG TRU THUC TE'!N149</f>
        <v>44048</v>
      </c>
      <c r="H49" s="1000" t="str">
        <f>VLOOKUP(B49,'BANG KE MONG TRU THUC TE'!A:O,15,0)</f>
        <v>Đổ đủ</v>
      </c>
      <c r="I49" t="s">
        <v>4201</v>
      </c>
      <c r="J49" t="str">
        <f>VLOOKUP(B49,'BANG KE MONG TRU THUC TE'!A:O,12,0)</f>
        <v>1450x1150x500</v>
      </c>
    </row>
    <row r="50" spans="2:10">
      <c r="B50" t="str">
        <f t="shared" si="0"/>
        <v>Lưới hạ thế sau TBA Nam Hà 1350/06</v>
      </c>
      <c r="C50" s="999" t="str">
        <f>'BANG KE MONG TRU THUC TE'!B150</f>
        <v>Lưới hạ thế sau TBA Nam Hà 1</v>
      </c>
      <c r="D50" s="1000" t="str">
        <f>'BANG KE MONG TRU THUC TE'!D150</f>
        <v>350/06</v>
      </c>
      <c r="E50" s="1003">
        <f>'BANG KE MONG TRU THUC TE'!J150</f>
        <v>1</v>
      </c>
      <c r="F50" s="1000" t="s">
        <v>1590</v>
      </c>
      <c r="G50" s="1002">
        <f>'BANG KE MONG TRU THUC TE'!N150</f>
        <v>44048</v>
      </c>
      <c r="H50" s="1000" t="str">
        <f>VLOOKUP(B50,'BANG KE MONG TRU THUC TE'!A:O,15,0)</f>
        <v>Đổ đủ</v>
      </c>
      <c r="I50" t="s">
        <v>4201</v>
      </c>
      <c r="J50" t="str">
        <f>VLOOKUP(B50,'BANG KE MONG TRU THUC TE'!A:O,12,0)</f>
        <v>1450x1150x500</v>
      </c>
    </row>
    <row r="51" spans="2:10">
      <c r="B51" t="str">
        <f t="shared" si="0"/>
        <v>Lưới hạ thế sau TBA Nam Hà 1350/07</v>
      </c>
      <c r="C51" s="999" t="str">
        <f>'BANG KE MONG TRU THUC TE'!B151</f>
        <v>Lưới hạ thế sau TBA Nam Hà 1</v>
      </c>
      <c r="D51" s="1000" t="str">
        <f>'BANG KE MONG TRU THUC TE'!D151</f>
        <v>350/07</v>
      </c>
      <c r="E51" s="1003">
        <f>'BANG KE MONG TRU THUC TE'!J151</f>
        <v>1</v>
      </c>
      <c r="F51" s="1000" t="s">
        <v>1590</v>
      </c>
      <c r="G51" s="1002">
        <f>'BANG KE MONG TRU THUC TE'!N151</f>
        <v>44048</v>
      </c>
      <c r="H51" s="1000" t="str">
        <f>VLOOKUP(B51,'BANG KE MONG TRU THUC TE'!A:O,15,0)</f>
        <v>Đổ đủ</v>
      </c>
      <c r="I51" t="s">
        <v>4201</v>
      </c>
      <c r="J51" t="str">
        <f>VLOOKUP(B51,'BANG KE MONG TRU THUC TE'!A:O,12,0)</f>
        <v>1450x1150x500</v>
      </c>
    </row>
    <row r="52" spans="2:10">
      <c r="B52" t="str">
        <f t="shared" si="0"/>
        <v>Lưới điện hạ thế sau TBA Tân Bảo 3136/01</v>
      </c>
      <c r="C52" s="999" t="str">
        <f>'BANG KE MONG TRU THUC TE'!B168</f>
        <v>Lưới điện hạ thế sau TBA Tân Bảo 3</v>
      </c>
      <c r="D52" s="1000" t="str">
        <f>'BANG KE MONG TRU THUC TE'!D168</f>
        <v>136/01</v>
      </c>
      <c r="E52" s="1003">
        <f>'BANG KE MONG TRU THUC TE'!J168</f>
        <v>1</v>
      </c>
      <c r="F52" s="1000" t="s">
        <v>1590</v>
      </c>
      <c r="G52" s="1002">
        <f>'BANG KE MONG TRU THUC TE'!N168</f>
        <v>44048</v>
      </c>
      <c r="H52" s="1000" t="str">
        <f>VLOOKUP(B52,'BANG KE MONG TRU THUC TE'!A:O,15,0)</f>
        <v>Đổ đủ</v>
      </c>
      <c r="I52" t="s">
        <v>4198</v>
      </c>
      <c r="J52" t="str">
        <f>VLOOKUP(B52,'BANG KE MONG TRU THUC TE'!A:O,12,0)</f>
        <v>1450x1150x500</v>
      </c>
    </row>
    <row r="53" spans="2:10">
      <c r="B53" t="str">
        <f t="shared" si="0"/>
        <v>Lưới điện hạ thế sau TBA Tân Bảo 3136/02</v>
      </c>
      <c r="C53" s="999" t="str">
        <f>'BANG KE MONG TRU THUC TE'!B169</f>
        <v>Lưới điện hạ thế sau TBA Tân Bảo 3</v>
      </c>
      <c r="D53" s="1000" t="str">
        <f>'BANG KE MONG TRU THUC TE'!D169</f>
        <v>136/02</v>
      </c>
      <c r="E53" s="1003">
        <f>'BANG KE MONG TRU THUC TE'!J169</f>
        <v>1</v>
      </c>
      <c r="F53" s="1000" t="s">
        <v>1590</v>
      </c>
      <c r="G53" s="1002">
        <f>'BANG KE MONG TRU THUC TE'!N169</f>
        <v>44048</v>
      </c>
      <c r="H53" s="1000" t="str">
        <f>VLOOKUP(B53,'BANG KE MONG TRU THUC TE'!A:O,15,0)</f>
        <v>Đổ đủ</v>
      </c>
      <c r="I53" t="s">
        <v>4198</v>
      </c>
      <c r="J53" t="str">
        <f>VLOOKUP(B53,'BANG KE MONG TRU THUC TE'!A:O,12,0)</f>
        <v>1450x1150x500</v>
      </c>
    </row>
    <row r="54" spans="2:10">
      <c r="B54" t="str">
        <f t="shared" si="0"/>
        <v>Lưới điện hạ thế sau TBA Tân Bảo 3136/03</v>
      </c>
      <c r="C54" s="999" t="str">
        <f>'BANG KE MONG TRU THUC TE'!B170</f>
        <v>Lưới điện hạ thế sau TBA Tân Bảo 3</v>
      </c>
      <c r="D54" s="1000" t="str">
        <f>'BANG KE MONG TRU THUC TE'!D170</f>
        <v>136/03</v>
      </c>
      <c r="E54" s="1003">
        <f>'BANG KE MONG TRU THUC TE'!J170</f>
        <v>1</v>
      </c>
      <c r="F54" s="1000" t="s">
        <v>1590</v>
      </c>
      <c r="G54" s="1002">
        <f>'BANG KE MONG TRU THUC TE'!N170</f>
        <v>44048</v>
      </c>
      <c r="H54" s="1000" t="str">
        <f>VLOOKUP(B54,'BANG KE MONG TRU THUC TE'!A:O,15,0)</f>
        <v>Đổ đủ</v>
      </c>
      <c r="I54" t="s">
        <v>4198</v>
      </c>
      <c r="J54" t="str">
        <f>VLOOKUP(B54,'BANG KE MONG TRU THUC TE'!A:O,12,0)</f>
        <v>1450x1150x500</v>
      </c>
    </row>
    <row r="55" spans="2:10">
      <c r="B55" t="str">
        <f t="shared" si="0"/>
        <v>Lưới điện hạ thế sau TBA Tân Bảo 3136/04</v>
      </c>
      <c r="C55" s="999" t="str">
        <f>'BANG KE MONG TRU THUC TE'!B171</f>
        <v>Lưới điện hạ thế sau TBA Tân Bảo 3</v>
      </c>
      <c r="D55" s="1000" t="str">
        <f>'BANG KE MONG TRU THUC TE'!D171</f>
        <v>136/04</v>
      </c>
      <c r="E55" s="1003">
        <f>'BANG KE MONG TRU THUC TE'!J171</f>
        <v>1</v>
      </c>
      <c r="F55" s="1000" t="s">
        <v>1590</v>
      </c>
      <c r="G55" s="1002">
        <f>'BANG KE MONG TRU THUC TE'!N171</f>
        <v>44048</v>
      </c>
      <c r="H55" s="1000" t="str">
        <f>VLOOKUP(B55,'BANG KE MONG TRU THUC TE'!A:O,15,0)</f>
        <v>Đổ đủ</v>
      </c>
      <c r="I55" t="s">
        <v>4198</v>
      </c>
      <c r="J55" t="str">
        <f>VLOOKUP(B55,'BANG KE MONG TRU THUC TE'!A:O,12,0)</f>
        <v>1450x1150x500</v>
      </c>
    </row>
    <row r="56" spans="2:10">
      <c r="B56" t="str">
        <f t="shared" si="0"/>
        <v>Lưới điện hạ thế sau TBA Tân Bảo 3136/05</v>
      </c>
      <c r="C56" s="999" t="str">
        <f>'BANG KE MONG TRU THUC TE'!B172</f>
        <v>Lưới điện hạ thế sau TBA Tân Bảo 3</v>
      </c>
      <c r="D56" s="1000" t="str">
        <f>'BANG KE MONG TRU THUC TE'!D172</f>
        <v>136/05</v>
      </c>
      <c r="E56" s="1003">
        <f>'BANG KE MONG TRU THUC TE'!J172</f>
        <v>1</v>
      </c>
      <c r="F56" s="1000" t="s">
        <v>1590</v>
      </c>
      <c r="G56" s="1002">
        <f>'BANG KE MONG TRU THUC TE'!N172</f>
        <v>44048</v>
      </c>
      <c r="H56" s="1000" t="str">
        <f>VLOOKUP(B56,'BANG KE MONG TRU THUC TE'!A:O,15,0)</f>
        <v>Đổ đủ</v>
      </c>
      <c r="I56" t="s">
        <v>4198</v>
      </c>
      <c r="J56" t="str">
        <f>VLOOKUP(B56,'BANG KE MONG TRU THUC TE'!A:O,12,0)</f>
        <v>1450x1150x500</v>
      </c>
    </row>
    <row r="57" spans="2:10">
      <c r="B57" t="str">
        <f t="shared" si="0"/>
        <v>Lưới điện hạ thế sau TBA Tân Bảo 3136/07</v>
      </c>
      <c r="C57" s="999" t="str">
        <f>'BANG KE MONG TRU THUC TE'!B173</f>
        <v>Lưới điện hạ thế sau TBA Tân Bảo 3</v>
      </c>
      <c r="D57" s="1000" t="str">
        <f>'BANG KE MONG TRU THUC TE'!D173</f>
        <v>136/07</v>
      </c>
      <c r="E57" s="1003">
        <f>'BANG KE MONG TRU THUC TE'!J173</f>
        <v>1</v>
      </c>
      <c r="F57" s="1000" t="s">
        <v>1590</v>
      </c>
      <c r="G57" s="1002">
        <f>'BANG KE MONG TRU THUC TE'!N173</f>
        <v>44048</v>
      </c>
      <c r="H57" s="1000" t="str">
        <f>VLOOKUP(B57,'BANG KE MONG TRU THUC TE'!A:O,15,0)</f>
        <v>Đổ đủ</v>
      </c>
      <c r="I57" t="s">
        <v>4198</v>
      </c>
      <c r="J57" t="str">
        <f>VLOOKUP(B57,'BANG KE MONG TRU THUC TE'!A:O,12,0)</f>
        <v>1450x1150x500</v>
      </c>
    </row>
    <row r="58" spans="2:10">
      <c r="B58" t="str">
        <f t="shared" si="0"/>
        <v>Lưới điện hạ thế sau TBA Tân Bảo 3136/08</v>
      </c>
      <c r="C58" s="999" t="str">
        <f>'BANG KE MONG TRU THUC TE'!B174</f>
        <v>Lưới điện hạ thế sau TBA Tân Bảo 3</v>
      </c>
      <c r="D58" s="1000" t="str">
        <f>'BANG KE MONG TRU THUC TE'!D174</f>
        <v>136/08</v>
      </c>
      <c r="E58" s="1003">
        <f>'BANG KE MONG TRU THUC TE'!J174</f>
        <v>1</v>
      </c>
      <c r="F58" s="1000" t="s">
        <v>1590</v>
      </c>
      <c r="G58" s="1002">
        <f>'BANG KE MONG TRU THUC TE'!N174</f>
        <v>44048</v>
      </c>
      <c r="H58" s="1000" t="str">
        <f>VLOOKUP(B58,'BANG KE MONG TRU THUC TE'!A:O,15,0)</f>
        <v>Đổ đủ</v>
      </c>
      <c r="I58" t="s">
        <v>4198</v>
      </c>
      <c r="J58" t="str">
        <f>VLOOKUP(B58,'BANG KE MONG TRU THUC TE'!A:O,12,0)</f>
        <v>1450x1150x500</v>
      </c>
    </row>
    <row r="59" spans="2:10">
      <c r="B59" t="str">
        <f t="shared" si="0"/>
        <v>Lưới điện hạ thế sau TBA Tân Bảo 3136/09</v>
      </c>
      <c r="C59" s="999" t="str">
        <f>'BANG KE MONG TRU THUC TE'!B175</f>
        <v>Lưới điện hạ thế sau TBA Tân Bảo 3</v>
      </c>
      <c r="D59" s="1000" t="str">
        <f>'BANG KE MONG TRU THUC TE'!D175</f>
        <v>136/09</v>
      </c>
      <c r="E59" s="1003">
        <f>'BANG KE MONG TRU THUC TE'!J175</f>
        <v>1</v>
      </c>
      <c r="F59" s="1000" t="s">
        <v>1590</v>
      </c>
      <c r="G59" s="1002">
        <f>'BANG KE MONG TRU THUC TE'!N175</f>
        <v>44048</v>
      </c>
      <c r="H59" s="1000" t="str">
        <f>VLOOKUP(B59,'BANG KE MONG TRU THUC TE'!A:O,15,0)</f>
        <v>Đổ đủ</v>
      </c>
      <c r="I59" t="s">
        <v>4198</v>
      </c>
      <c r="J59" t="str">
        <f>VLOOKUP(B59,'BANG KE MONG TRU THUC TE'!A:O,12,0)</f>
        <v>1450x1150x500</v>
      </c>
    </row>
    <row r="60" spans="2:10">
      <c r="B60" t="str">
        <f t="shared" si="0"/>
        <v>Lưới điện hạ thế sau TBA Tân Bảo 3118/01</v>
      </c>
      <c r="C60" s="999" t="str">
        <f>'BANG KE MONG TRU THUC TE'!B176</f>
        <v>Lưới điện hạ thế sau TBA Tân Bảo 3</v>
      </c>
      <c r="D60" s="1000" t="str">
        <f>'BANG KE MONG TRU THUC TE'!D176</f>
        <v>118/01</v>
      </c>
      <c r="E60" s="1003">
        <f>'BANG KE MONG TRU THUC TE'!J176</f>
        <v>1</v>
      </c>
      <c r="F60" s="1000" t="s">
        <v>1590</v>
      </c>
      <c r="G60" s="1002">
        <f>'BANG KE MONG TRU THUC TE'!N176</f>
        <v>44048</v>
      </c>
      <c r="H60" s="1000" t="str">
        <f>VLOOKUP(B60,'BANG KE MONG TRU THUC TE'!A:O,15,0)</f>
        <v>Đổ đủ</v>
      </c>
      <c r="I60" t="s">
        <v>4198</v>
      </c>
      <c r="J60" t="str">
        <f>VLOOKUP(B60,'BANG KE MONG TRU THUC TE'!A:O,12,0)</f>
        <v>1450x1150x500</v>
      </c>
    </row>
    <row r="61" spans="2:10">
      <c r="B61" t="str">
        <f t="shared" si="0"/>
        <v>Lưới điện hạ thế sau TBA Tân Bảo 3118/03</v>
      </c>
      <c r="C61" s="999" t="str">
        <f>'BANG KE MONG TRU THUC TE'!B177</f>
        <v>Lưới điện hạ thế sau TBA Tân Bảo 3</v>
      </c>
      <c r="D61" s="1000" t="str">
        <f>'BANG KE MONG TRU THUC TE'!D177</f>
        <v>118/03</v>
      </c>
      <c r="E61" s="1003">
        <f>'BANG KE MONG TRU THUC TE'!J177</f>
        <v>1</v>
      </c>
      <c r="F61" s="1000" t="s">
        <v>1590</v>
      </c>
      <c r="G61" s="1002">
        <f>'BANG KE MONG TRU THUC TE'!N177</f>
        <v>44048</v>
      </c>
      <c r="H61" s="1000" t="str">
        <f>VLOOKUP(B61,'BANG KE MONG TRU THUC TE'!A:O,15,0)</f>
        <v>Đổ đủ</v>
      </c>
      <c r="I61" t="s">
        <v>4198</v>
      </c>
      <c r="J61" t="str">
        <f>VLOOKUP(B61,'BANG KE MONG TRU THUC TE'!A:O,12,0)</f>
        <v>1450x1150x500</v>
      </c>
    </row>
    <row r="62" spans="2:10">
      <c r="B62" t="str">
        <f t="shared" si="0"/>
        <v>Lưới điện hạ thế sau TBA Tân Bảo 3118/05</v>
      </c>
      <c r="C62" s="999" t="str">
        <f>'BANG KE MONG TRU THUC TE'!B178</f>
        <v>Lưới điện hạ thế sau TBA Tân Bảo 3</v>
      </c>
      <c r="D62" s="1000" t="str">
        <f>'BANG KE MONG TRU THUC TE'!D178</f>
        <v>118/05</v>
      </c>
      <c r="E62" s="1003">
        <f>'BANG KE MONG TRU THUC TE'!J178</f>
        <v>1</v>
      </c>
      <c r="F62" s="1000" t="s">
        <v>1590</v>
      </c>
      <c r="G62" s="1002">
        <f>'BANG KE MONG TRU THUC TE'!N178</f>
        <v>44048</v>
      </c>
      <c r="H62" s="1000" t="str">
        <f>VLOOKUP(B62,'BANG KE MONG TRU THUC TE'!A:O,15,0)</f>
        <v>Đổ đủ</v>
      </c>
      <c r="I62" t="s">
        <v>4198</v>
      </c>
      <c r="J62" t="str">
        <f>VLOOKUP(B62,'BANG KE MONG TRU THUC TE'!A:O,12,0)</f>
        <v>1450x1150x500</v>
      </c>
    </row>
    <row r="63" spans="2:10">
      <c r="B63" t="str">
        <f t="shared" si="0"/>
        <v>Lưới điện hạ thế sau TBA Tân Bảo 3118/06</v>
      </c>
      <c r="C63" s="999" t="str">
        <f>'BANG KE MONG TRU THUC TE'!B179</f>
        <v>Lưới điện hạ thế sau TBA Tân Bảo 3</v>
      </c>
      <c r="D63" s="1000" t="str">
        <f>'BANG KE MONG TRU THUC TE'!D179</f>
        <v>118/06</v>
      </c>
      <c r="E63" s="1003">
        <f>'BANG KE MONG TRU THUC TE'!J179</f>
        <v>1</v>
      </c>
      <c r="F63" s="1000" t="s">
        <v>1590</v>
      </c>
      <c r="G63" s="1002">
        <f>'BANG KE MONG TRU THUC TE'!N179</f>
        <v>44048</v>
      </c>
      <c r="H63" s="1000" t="str">
        <f>VLOOKUP(B63,'BANG KE MONG TRU THUC TE'!A:O,15,0)</f>
        <v>Đổ đủ</v>
      </c>
      <c r="I63" t="s">
        <v>4198</v>
      </c>
      <c r="J63" t="str">
        <f>VLOOKUP(B63,'BANG KE MONG TRU THUC TE'!A:O,12,0)</f>
        <v>1450x1150x500</v>
      </c>
    </row>
    <row r="64" spans="2:10">
      <c r="B64" t="str">
        <f t="shared" si="0"/>
        <v>Lưới điện hạ thế sau TBA Tân Bảo 3118/07</v>
      </c>
      <c r="C64" s="999" t="str">
        <f>'BANG KE MONG TRU THUC TE'!B180</f>
        <v>Lưới điện hạ thế sau TBA Tân Bảo 3</v>
      </c>
      <c r="D64" s="1000" t="str">
        <f>'BANG KE MONG TRU THUC TE'!D180</f>
        <v>118/07</v>
      </c>
      <c r="E64" s="1003">
        <f>'BANG KE MONG TRU THUC TE'!J180</f>
        <v>1</v>
      </c>
      <c r="F64" s="1000" t="s">
        <v>1590</v>
      </c>
      <c r="G64" s="1002">
        <f>'BANG KE MONG TRU THUC TE'!N180</f>
        <v>44048</v>
      </c>
      <c r="H64" s="1000" t="str">
        <f>VLOOKUP(B64,'BANG KE MONG TRU THUC TE'!A:O,15,0)</f>
        <v>Đổ đủ</v>
      </c>
      <c r="I64" t="s">
        <v>4198</v>
      </c>
      <c r="J64" t="str">
        <f>VLOOKUP(B64,'BANG KE MONG TRU THUC TE'!A:O,12,0)</f>
        <v>1450x1150x500</v>
      </c>
    </row>
    <row r="65" spans="2:10">
      <c r="B65" t="str">
        <f t="shared" si="0"/>
        <v>Lưới điện hạ thế sau TBA Tân Bảo 3118/09</v>
      </c>
      <c r="C65" s="999" t="str">
        <f>'BANG KE MONG TRU THUC TE'!B181</f>
        <v>Lưới điện hạ thế sau TBA Tân Bảo 3</v>
      </c>
      <c r="D65" s="1000" t="str">
        <f>'BANG KE MONG TRU THUC TE'!D181</f>
        <v>118/09</v>
      </c>
      <c r="E65" s="1003">
        <f>'BANG KE MONG TRU THUC TE'!J181</f>
        <v>1</v>
      </c>
      <c r="F65" s="1000" t="s">
        <v>1590</v>
      </c>
      <c r="G65" s="1002">
        <f>'BANG KE MONG TRU THUC TE'!N181</f>
        <v>44048</v>
      </c>
      <c r="H65" s="1000" t="str">
        <f>VLOOKUP(B65,'BANG KE MONG TRU THUC TE'!A:O,15,0)</f>
        <v>Đổ đủ</v>
      </c>
      <c r="I65" t="s">
        <v>4198</v>
      </c>
      <c r="J65" t="str">
        <f>VLOOKUP(B65,'BANG KE MONG TRU THUC TE'!A:O,12,0)</f>
        <v>1450x1150x500</v>
      </c>
    </row>
    <row r="66" spans="2:10">
      <c r="B66" t="str">
        <f t="shared" si="0"/>
        <v>NC lưới hạ thế sau TBA Láng Me 5B, Láng Me 5C150/08</v>
      </c>
      <c r="C66" s="999" t="str">
        <f>'BANG KE MONG TRU THUC TE'!B185</f>
        <v>NC lưới hạ thế sau TBA Láng Me 5B, Láng Me 5C</v>
      </c>
      <c r="D66" s="1000" t="str">
        <f>'BANG KE MONG TRU THUC TE'!D185</f>
        <v>150/08</v>
      </c>
      <c r="E66" s="1003">
        <f>'BANG KE MONG TRU THUC TE'!J185</f>
        <v>1</v>
      </c>
      <c r="F66" s="1000" t="s">
        <v>1590</v>
      </c>
      <c r="G66" s="1002">
        <f>'BANG KE MONG TRU THUC TE'!N185</f>
        <v>44029</v>
      </c>
      <c r="H66" s="1000" t="str">
        <f>VLOOKUP(B66,'BANG KE MONG TRU THUC TE'!A:O,15,0)</f>
        <v>Đổ đủ</v>
      </c>
      <c r="I66" t="s">
        <v>4200</v>
      </c>
      <c r="J66" t="str">
        <f>VLOOKUP(B66,'BANG KE MONG TRU THUC TE'!A:O,12,0)</f>
        <v>1450x1150x500</v>
      </c>
    </row>
    <row r="67" spans="2:10">
      <c r="B67" t="str">
        <f t="shared" ref="B67:B93" si="1">C67&amp;D67</f>
        <v>NC lưới hạ thế sau TBA Láng Me 5B, Láng Me 5C150/11</v>
      </c>
      <c r="C67" s="999" t="str">
        <f>'BANG KE MONG TRU THUC TE'!B186</f>
        <v>NC lưới hạ thế sau TBA Láng Me 5B, Láng Me 5C</v>
      </c>
      <c r="D67" s="1000" t="str">
        <f>'BANG KE MONG TRU THUC TE'!D186</f>
        <v>150/11</v>
      </c>
      <c r="E67" s="1003">
        <f>'BANG KE MONG TRU THUC TE'!J186</f>
        <v>1</v>
      </c>
      <c r="F67" s="1000" t="s">
        <v>1590</v>
      </c>
      <c r="G67" s="1002">
        <f>'BANG KE MONG TRU THUC TE'!N186</f>
        <v>44029</v>
      </c>
      <c r="H67" s="1000" t="str">
        <f>VLOOKUP(B67,'BANG KE MONG TRU THUC TE'!A:O,15,0)</f>
        <v>Đổ đủ</v>
      </c>
      <c r="I67" t="s">
        <v>4200</v>
      </c>
      <c r="J67" t="str">
        <f>VLOOKUP(B67,'BANG KE MONG TRU THUC TE'!A:O,12,0)</f>
        <v>1450x1150x500</v>
      </c>
    </row>
    <row r="68" spans="2:10">
      <c r="B68" t="str">
        <f t="shared" si="1"/>
        <v>NC lưới hạ thế sau TBA Láng Me 5B, Láng Me 5C150/12</v>
      </c>
      <c r="C68" s="999" t="str">
        <f>'BANG KE MONG TRU THUC TE'!B187</f>
        <v>NC lưới hạ thế sau TBA Láng Me 5B, Láng Me 5C</v>
      </c>
      <c r="D68" s="1000" t="str">
        <f>'BANG KE MONG TRU THUC TE'!D187</f>
        <v>150/12</v>
      </c>
      <c r="E68" s="1003">
        <f>'BANG KE MONG TRU THUC TE'!J187</f>
        <v>1</v>
      </c>
      <c r="F68" s="1000" t="s">
        <v>1590</v>
      </c>
      <c r="G68" s="1002">
        <f>'BANG KE MONG TRU THUC TE'!N187</f>
        <v>44029</v>
      </c>
      <c r="H68" s="1000" t="str">
        <f>VLOOKUP(B68,'BANG KE MONG TRU THUC TE'!A:O,15,0)</f>
        <v>Đổ đủ</v>
      </c>
      <c r="I68" t="s">
        <v>4200</v>
      </c>
      <c r="J68" t="str">
        <f>VLOOKUP(B68,'BANG KE MONG TRU THUC TE'!A:O,12,0)</f>
        <v>1450x1150x500</v>
      </c>
    </row>
    <row r="69" spans="2:10">
      <c r="B69" t="str">
        <f t="shared" si="1"/>
        <v>NC lưới hạ thế sau TBA Láng Me 5B, Láng Me 5C150/15</v>
      </c>
      <c r="C69" s="999" t="str">
        <f>'BANG KE MONG TRU THUC TE'!B188</f>
        <v>NC lưới hạ thế sau TBA Láng Me 5B, Láng Me 5C</v>
      </c>
      <c r="D69" s="1000" t="str">
        <f>'BANG KE MONG TRU THUC TE'!D188</f>
        <v>150/15</v>
      </c>
      <c r="E69" s="1003">
        <f>'BANG KE MONG TRU THUC TE'!J188</f>
        <v>1</v>
      </c>
      <c r="F69" s="1000" t="s">
        <v>1590</v>
      </c>
      <c r="G69" s="1002">
        <f>'BANG KE MONG TRU THUC TE'!N188</f>
        <v>44029</v>
      </c>
      <c r="H69" s="1000" t="str">
        <f>VLOOKUP(B69,'BANG KE MONG TRU THUC TE'!A:O,15,0)</f>
        <v>Đổ đủ</v>
      </c>
      <c r="I69" t="s">
        <v>4200</v>
      </c>
      <c r="J69" t="str">
        <f>VLOOKUP(B69,'BANG KE MONG TRU THUC TE'!A:O,12,0)</f>
        <v>1450x1150x500</v>
      </c>
    </row>
    <row r="70" spans="2:10">
      <c r="B70" t="str">
        <f t="shared" si="1"/>
        <v>NC lưới hạ thế sau TBA Láng Me 5B, Láng Me 5C150/18</v>
      </c>
      <c r="C70" s="999" t="str">
        <f>'BANG KE MONG TRU THUC TE'!B189</f>
        <v>NC lưới hạ thế sau TBA Láng Me 5B, Láng Me 5C</v>
      </c>
      <c r="D70" s="1000" t="str">
        <f>'BANG KE MONG TRU THUC TE'!D189</f>
        <v>150/18</v>
      </c>
      <c r="E70" s="1003">
        <f>'BANG KE MONG TRU THUC TE'!J189</f>
        <v>1</v>
      </c>
      <c r="F70" s="1000" t="s">
        <v>1590</v>
      </c>
      <c r="G70" s="1002">
        <f>'BANG KE MONG TRU THUC TE'!N189</f>
        <v>44029</v>
      </c>
      <c r="H70" s="1000" t="str">
        <f>VLOOKUP(B70,'BANG KE MONG TRU THUC TE'!A:O,15,0)</f>
        <v>Đổ đủ</v>
      </c>
      <c r="I70" t="s">
        <v>4200</v>
      </c>
      <c r="J70" t="str">
        <f>VLOOKUP(B70,'BANG KE MONG TRU THUC TE'!A:O,12,0)</f>
        <v>1450x1150x500</v>
      </c>
    </row>
    <row r="71" spans="2:10">
      <c r="B71" t="str">
        <f t="shared" si="1"/>
        <v>NC lưới hạ thế sau TBA Láng Me 5B, Láng Me 5C150/21</v>
      </c>
      <c r="C71" s="999" t="str">
        <f>'BANG KE MONG TRU THUC TE'!B190</f>
        <v>NC lưới hạ thế sau TBA Láng Me 5B, Láng Me 5C</v>
      </c>
      <c r="D71" s="1000" t="str">
        <f>'BANG KE MONG TRU THUC TE'!D190</f>
        <v>150/21</v>
      </c>
      <c r="E71" s="1003">
        <f>'BANG KE MONG TRU THUC TE'!J190</f>
        <v>1</v>
      </c>
      <c r="F71" s="1000" t="s">
        <v>1590</v>
      </c>
      <c r="G71" s="1002">
        <f>'BANG KE MONG TRU THUC TE'!N190</f>
        <v>44029</v>
      </c>
      <c r="H71" s="1000" t="str">
        <f>VLOOKUP(B71,'BANG KE MONG TRU THUC TE'!A:O,15,0)</f>
        <v>Đổ đủ</v>
      </c>
      <c r="I71" t="s">
        <v>4200</v>
      </c>
      <c r="J71" t="str">
        <f>VLOOKUP(B71,'BANG KE MONG TRU THUC TE'!A:O,12,0)</f>
        <v>1450x1150x500</v>
      </c>
    </row>
    <row r="72" spans="2:10">
      <c r="B72" t="str">
        <f t="shared" si="1"/>
        <v>NC lưới hạ thế sau TBA Láng Me 5B, Láng Me 5C150/22</v>
      </c>
      <c r="C72" s="999" t="str">
        <f>'BANG KE MONG TRU THUC TE'!B191</f>
        <v>NC lưới hạ thế sau TBA Láng Me 5B, Láng Me 5C</v>
      </c>
      <c r="D72" s="1000" t="str">
        <f>'BANG KE MONG TRU THUC TE'!D191</f>
        <v>150/22</v>
      </c>
      <c r="E72" s="1003">
        <f>'BANG KE MONG TRU THUC TE'!J191</f>
        <v>1</v>
      </c>
      <c r="F72" s="1000" t="s">
        <v>1590</v>
      </c>
      <c r="G72" s="1002">
        <f>'BANG KE MONG TRU THUC TE'!N191</f>
        <v>44029</v>
      </c>
      <c r="H72" s="1000" t="str">
        <f>VLOOKUP(B72,'BANG KE MONG TRU THUC TE'!A:O,15,0)</f>
        <v>Đổ đủ</v>
      </c>
      <c r="I72" t="s">
        <v>4200</v>
      </c>
      <c r="J72" t="str">
        <f>VLOOKUP(B72,'BANG KE MONG TRU THUC TE'!A:O,12,0)</f>
        <v>1450x1150x500</v>
      </c>
    </row>
    <row r="73" spans="2:10">
      <c r="B73" t="str">
        <f t="shared" si="1"/>
        <v>NC lưới hạ thế sau TBA Láng Me 5B, Láng Me 5C150/23</v>
      </c>
      <c r="C73" s="999" t="str">
        <f>'BANG KE MONG TRU THUC TE'!B192</f>
        <v>NC lưới hạ thế sau TBA Láng Me 5B, Láng Me 5C</v>
      </c>
      <c r="D73" s="1000" t="str">
        <f>'BANG KE MONG TRU THUC TE'!D192</f>
        <v>150/23</v>
      </c>
      <c r="E73" s="1003">
        <f>'BANG KE MONG TRU THUC TE'!J192</f>
        <v>1</v>
      </c>
      <c r="F73" s="1000" t="s">
        <v>1590</v>
      </c>
      <c r="G73" s="1002">
        <f>'BANG KE MONG TRU THUC TE'!N192</f>
        <v>44029</v>
      </c>
      <c r="H73" s="1000" t="str">
        <f>VLOOKUP(B73,'BANG KE MONG TRU THUC TE'!A:O,15,0)</f>
        <v>Đổ đủ</v>
      </c>
      <c r="I73" t="s">
        <v>4200</v>
      </c>
      <c r="J73" t="str">
        <f>VLOOKUP(B73,'BANG KE MONG TRU THUC TE'!A:O,12,0)</f>
        <v>1450x1150x500</v>
      </c>
    </row>
    <row r="74" spans="2:10">
      <c r="B74" t="str">
        <f t="shared" si="1"/>
        <v>NC lưới hạ thế sau TBA Láng Me 5B, Láng Me 5C150/24</v>
      </c>
      <c r="C74" s="999" t="str">
        <f>'BANG KE MONG TRU THUC TE'!B193</f>
        <v>NC lưới hạ thế sau TBA Láng Me 5B, Láng Me 5C</v>
      </c>
      <c r="D74" s="1000" t="str">
        <f>'BANG KE MONG TRU THUC TE'!D193</f>
        <v>150/24</v>
      </c>
      <c r="E74" s="1003">
        <f>'BANG KE MONG TRU THUC TE'!J193</f>
        <v>1</v>
      </c>
      <c r="F74" s="1000" t="s">
        <v>1590</v>
      </c>
      <c r="G74" s="1002">
        <f>'BANG KE MONG TRU THUC TE'!N193</f>
        <v>44029</v>
      </c>
      <c r="H74" s="1000" t="str">
        <f>VLOOKUP(B74,'BANG KE MONG TRU THUC TE'!A:O,15,0)</f>
        <v>Đổ đủ</v>
      </c>
      <c r="I74" t="s">
        <v>4200</v>
      </c>
      <c r="J74" t="str">
        <f>VLOOKUP(B74,'BANG KE MONG TRU THUC TE'!A:O,12,0)</f>
        <v>1450x1150x500</v>
      </c>
    </row>
    <row r="75" spans="2:10">
      <c r="B75" t="str">
        <f t="shared" si="1"/>
        <v>NC lưới hạ thế sau TBA Láng Me 5B, Láng Me 5C150/25</v>
      </c>
      <c r="C75" s="999" t="str">
        <f>'BANG KE MONG TRU THUC TE'!B194</f>
        <v>NC lưới hạ thế sau TBA Láng Me 5B, Láng Me 5C</v>
      </c>
      <c r="D75" s="1000" t="str">
        <f>'BANG KE MONG TRU THUC TE'!D194</f>
        <v>150/25</v>
      </c>
      <c r="E75" s="1003">
        <f>'BANG KE MONG TRU THUC TE'!J194</f>
        <v>1</v>
      </c>
      <c r="F75" s="1000" t="s">
        <v>1590</v>
      </c>
      <c r="G75" s="1002">
        <f>'BANG KE MONG TRU THUC TE'!N194</f>
        <v>44029</v>
      </c>
      <c r="H75" s="1000" t="str">
        <f>VLOOKUP(B75,'BANG KE MONG TRU THUC TE'!A:O,15,0)</f>
        <v>Đổ đủ</v>
      </c>
      <c r="I75" t="s">
        <v>4200</v>
      </c>
      <c r="J75" t="str">
        <f>VLOOKUP(B75,'BANG KE MONG TRU THUC TE'!A:O,12,0)</f>
        <v>1450x1150x500</v>
      </c>
    </row>
    <row r="76" spans="2:10">
      <c r="B76" t="str">
        <f t="shared" si="1"/>
        <v>NC lưới hạ thế sau TBA Láng Me 5B, Láng Me 5C150/26</v>
      </c>
      <c r="C76" s="999" t="str">
        <f>'BANG KE MONG TRU THUC TE'!B195</f>
        <v>NC lưới hạ thế sau TBA Láng Me 5B, Láng Me 5C</v>
      </c>
      <c r="D76" s="1000" t="str">
        <f>'BANG KE MONG TRU THUC TE'!D195</f>
        <v>150/26</v>
      </c>
      <c r="E76" s="1003">
        <f>'BANG KE MONG TRU THUC TE'!J195</f>
        <v>1</v>
      </c>
      <c r="F76" s="1000" t="s">
        <v>1590</v>
      </c>
      <c r="G76" s="1002">
        <f>'BANG KE MONG TRU THUC TE'!N195</f>
        <v>44029</v>
      </c>
      <c r="H76" s="1000" t="str">
        <f>VLOOKUP(B76,'BANG KE MONG TRU THUC TE'!A:O,15,0)</f>
        <v>Đổ đủ</v>
      </c>
      <c r="I76" t="s">
        <v>4200</v>
      </c>
      <c r="J76" t="str">
        <f>VLOOKUP(B76,'BANG KE MONG TRU THUC TE'!A:O,12,0)</f>
        <v>1450x1150x500</v>
      </c>
    </row>
    <row r="77" spans="2:10">
      <c r="B77" t="str">
        <f t="shared" si="1"/>
        <v>NC lưới hạ thế sau TBA Láng Me 5B, Láng Me 5C150/08/01</v>
      </c>
      <c r="C77" s="999" t="str">
        <f>'BANG KE MONG TRU THUC TE'!B197</f>
        <v>NC lưới hạ thế sau TBA Láng Me 5B, Láng Me 5C</v>
      </c>
      <c r="D77" s="1000" t="str">
        <f>'BANG KE MONG TRU THUC TE'!D197</f>
        <v>150/08/01</v>
      </c>
      <c r="E77" s="1003">
        <f>'BANG KE MONG TRU THUC TE'!J197</f>
        <v>1</v>
      </c>
      <c r="F77" s="1000" t="s">
        <v>1590</v>
      </c>
      <c r="G77" s="1002">
        <f>'BANG KE MONG TRU THUC TE'!N197</f>
        <v>44029</v>
      </c>
      <c r="H77" s="1000" t="str">
        <f>VLOOKUP(B77,'BANG KE MONG TRU THUC TE'!A:O,15,0)</f>
        <v>Đổ đủ</v>
      </c>
      <c r="I77" t="s">
        <v>4200</v>
      </c>
      <c r="J77" t="str">
        <f>VLOOKUP(B77,'BANG KE MONG TRU THUC TE'!A:O,12,0)</f>
        <v>1450x1150x500</v>
      </c>
    </row>
    <row r="78" spans="2:10">
      <c r="B78" t="str">
        <f t="shared" si="1"/>
        <v>NC lưới hạ thế sau TBA Láng Me 5B, Láng Me 5C150/08/02</v>
      </c>
      <c r="C78" s="999" t="str">
        <f>'BANG KE MONG TRU THUC TE'!B198</f>
        <v>NC lưới hạ thế sau TBA Láng Me 5B, Láng Me 5C</v>
      </c>
      <c r="D78" s="1000" t="str">
        <f>'BANG KE MONG TRU THUC TE'!D198</f>
        <v>150/08/02</v>
      </c>
      <c r="E78" s="1003">
        <f>'BANG KE MONG TRU THUC TE'!J198</f>
        <v>1</v>
      </c>
      <c r="F78" s="1000" t="s">
        <v>1590</v>
      </c>
      <c r="G78" s="1002">
        <f>'BANG KE MONG TRU THUC TE'!N198</f>
        <v>44029</v>
      </c>
      <c r="H78" s="1000" t="str">
        <f>VLOOKUP(B78,'BANG KE MONG TRU THUC TE'!A:O,15,0)</f>
        <v>Đổ đủ</v>
      </c>
      <c r="I78" t="s">
        <v>4200</v>
      </c>
      <c r="J78" t="str">
        <f>VLOOKUP(B78,'BANG KE MONG TRU THUC TE'!A:O,12,0)</f>
        <v>1450x1150x500</v>
      </c>
    </row>
    <row r="79" spans="2:10">
      <c r="B79" t="str">
        <f t="shared" si="1"/>
        <v>NC lưới hạ thế sau TBA Láng Me 5B, Láng Me 5C150/08/04</v>
      </c>
      <c r="C79" s="999" t="str">
        <f>'BANG KE MONG TRU THUC TE'!B199</f>
        <v>NC lưới hạ thế sau TBA Láng Me 5B, Láng Me 5C</v>
      </c>
      <c r="D79" s="1000" t="str">
        <f>'BANG KE MONG TRU THUC TE'!D199</f>
        <v>150/08/04</v>
      </c>
      <c r="E79" s="1003">
        <f>'BANG KE MONG TRU THUC TE'!J199</f>
        <v>1</v>
      </c>
      <c r="F79" s="1000" t="s">
        <v>1590</v>
      </c>
      <c r="G79" s="1002">
        <f>'BANG KE MONG TRU THUC TE'!N199</f>
        <v>44029</v>
      </c>
      <c r="H79" s="1000" t="str">
        <f>VLOOKUP(B79,'BANG KE MONG TRU THUC TE'!A:O,15,0)</f>
        <v>Đổ đủ</v>
      </c>
      <c r="I79" t="s">
        <v>4200</v>
      </c>
      <c r="J79" t="str">
        <f>VLOOKUP(B79,'BANG KE MONG TRU THUC TE'!A:O,12,0)</f>
        <v>1450x1150x500</v>
      </c>
    </row>
    <row r="80" spans="2:10">
      <c r="B80" t="str">
        <f t="shared" si="1"/>
        <v>NC lưới hạ thế sau TBA Láng Me 5B, Láng Me 5C150/08/06</v>
      </c>
      <c r="C80" s="999" t="str">
        <f>'BANG KE MONG TRU THUC TE'!B200</f>
        <v>NC lưới hạ thế sau TBA Láng Me 5B, Láng Me 5C</v>
      </c>
      <c r="D80" s="1000" t="str">
        <f>'BANG KE MONG TRU THUC TE'!D200</f>
        <v>150/08/06</v>
      </c>
      <c r="E80" s="1003">
        <f>'BANG KE MONG TRU THUC TE'!J200</f>
        <v>1</v>
      </c>
      <c r="F80" s="1000" t="s">
        <v>1590</v>
      </c>
      <c r="G80" s="1002">
        <f>'BANG KE MONG TRU THUC TE'!N200</f>
        <v>44029</v>
      </c>
      <c r="H80" s="1000" t="str">
        <f>VLOOKUP(B80,'BANG KE MONG TRU THUC TE'!A:O,15,0)</f>
        <v>Đổ đủ</v>
      </c>
      <c r="I80" t="s">
        <v>4200</v>
      </c>
      <c r="J80" t="str">
        <f>VLOOKUP(B80,'BANG KE MONG TRU THUC TE'!A:O,12,0)</f>
        <v>1450x1150x500</v>
      </c>
    </row>
    <row r="81" spans="2:10">
      <c r="B81" t="str">
        <f t="shared" si="1"/>
        <v>NC lưới hạ thế sau TBA Láng Me 5B, Láng Me 5C150/08/07</v>
      </c>
      <c r="C81" s="999" t="str">
        <f>'BANG KE MONG TRU THUC TE'!B201</f>
        <v>NC lưới hạ thế sau TBA Láng Me 5B, Láng Me 5C</v>
      </c>
      <c r="D81" s="1000" t="str">
        <f>'BANG KE MONG TRU THUC TE'!D201</f>
        <v>150/08/07</v>
      </c>
      <c r="E81" s="1003">
        <f>'BANG KE MONG TRU THUC TE'!J201</f>
        <v>1</v>
      </c>
      <c r="F81" s="1000" t="s">
        <v>1590</v>
      </c>
      <c r="G81" s="1002">
        <f>'BANG KE MONG TRU THUC TE'!N201</f>
        <v>44029</v>
      </c>
      <c r="H81" s="1000" t="str">
        <f>VLOOKUP(B81,'BANG KE MONG TRU THUC TE'!A:O,15,0)</f>
        <v>Đổ đủ</v>
      </c>
      <c r="I81" t="s">
        <v>4200</v>
      </c>
      <c r="J81" t="str">
        <f>VLOOKUP(B81,'BANG KE MONG TRU THUC TE'!A:O,12,0)</f>
        <v>1450x1150x500</v>
      </c>
    </row>
    <row r="82" spans="2:10">
      <c r="B82" t="str">
        <f t="shared" si="1"/>
        <v>NC lưới hạ thế sau TBA Láng Me 5B, Láng Me 5C150/08/10</v>
      </c>
      <c r="C82" s="999" t="str">
        <f>'BANG KE MONG TRU THUC TE'!B202</f>
        <v>NC lưới hạ thế sau TBA Láng Me 5B, Láng Me 5C</v>
      </c>
      <c r="D82" s="1000" t="str">
        <f>'BANG KE MONG TRU THUC TE'!D202</f>
        <v>150/08/10</v>
      </c>
      <c r="E82" s="1003">
        <f>'BANG KE MONG TRU THUC TE'!J202</f>
        <v>1</v>
      </c>
      <c r="F82" s="1000" t="s">
        <v>1590</v>
      </c>
      <c r="G82" s="1002">
        <f>'BANG KE MONG TRU THUC TE'!N202</f>
        <v>44029</v>
      </c>
      <c r="H82" s="1000" t="str">
        <f>VLOOKUP(B82,'BANG KE MONG TRU THUC TE'!A:O,15,0)</f>
        <v>Đổ đủ</v>
      </c>
      <c r="I82" t="s">
        <v>4200</v>
      </c>
      <c r="J82" t="str">
        <f>VLOOKUP(B82,'BANG KE MONG TRU THUC TE'!A:O,12,0)</f>
        <v>1450x1150x500</v>
      </c>
    </row>
    <row r="83" spans="2:10">
      <c r="B83" t="str">
        <f t="shared" si="1"/>
        <v>Lưới hạ thế sau TBA Sông Ray 4A012/02</v>
      </c>
      <c r="C83" s="999" t="str">
        <f>'BANG KE MONG TRU THUC TE'!B126</f>
        <v>Lưới hạ thế sau TBA Sông Ray 4A</v>
      </c>
      <c r="D83" s="999" t="str">
        <f>'BANG KE MONG TRU THUC TE'!D126</f>
        <v>012/02</v>
      </c>
      <c r="E83" s="1003">
        <f>'BANG KE MONG TRU THUC TE'!K126</f>
        <v>1</v>
      </c>
      <c r="F83" s="1000" t="s">
        <v>4203</v>
      </c>
      <c r="G83" s="1002">
        <f>'BANG KE MONG TRU THUC TE'!N126</f>
        <v>44043</v>
      </c>
      <c r="H83" s="1000" t="str">
        <f>VLOOKUP(B83,'BANG KE MONG TRU THUC TE'!A:O,15,0)</f>
        <v>Đổ đủ</v>
      </c>
      <c r="I83" t="s">
        <v>4196</v>
      </c>
      <c r="J83" t="str">
        <f>VLOOKUP(B83,'BANG KE MONG TRU THUC TE'!A:O,12,0)</f>
        <v>1300x1000x500</v>
      </c>
    </row>
    <row r="84" spans="2:10">
      <c r="B84" t="str">
        <f t="shared" si="1"/>
        <v>Lưới hạ thế sau TBA Sông Ray 4A012/03</v>
      </c>
      <c r="C84" s="999" t="str">
        <f>'BANG KE MONG TRU THUC TE'!B127</f>
        <v>Lưới hạ thế sau TBA Sông Ray 4A</v>
      </c>
      <c r="D84" s="999" t="str">
        <f>'BANG KE MONG TRU THUC TE'!D127</f>
        <v>012/03</v>
      </c>
      <c r="E84" s="1003">
        <f>'BANG KE MONG TRU THUC TE'!K127</f>
        <v>1</v>
      </c>
      <c r="F84" s="1000" t="s">
        <v>4203</v>
      </c>
      <c r="G84" s="1002">
        <f>'BANG KE MONG TRU THUC TE'!N127</f>
        <v>44043</v>
      </c>
      <c r="H84" s="1000" t="str">
        <f>VLOOKUP(B84,'BANG KE MONG TRU THUC TE'!A:O,15,0)</f>
        <v>Đổ đủ</v>
      </c>
      <c r="I84" t="s">
        <v>4196</v>
      </c>
      <c r="J84" t="str">
        <f>VLOOKUP(B84,'BANG KE MONG TRU THUC TE'!A:O,12,0)</f>
        <v>1300x1000x500</v>
      </c>
    </row>
    <row r="85" spans="2:10">
      <c r="B85" t="str">
        <f t="shared" si="1"/>
        <v>Lưới hạ thế sau TBA Sông Ray 212</v>
      </c>
      <c r="C85" s="999" t="str">
        <f>'BANG KE MONG TRU THUC TE'!B156</f>
        <v>Lưới hạ thế sau TBA Sông Ray 2</v>
      </c>
      <c r="D85" s="999" t="str">
        <f>'BANG KE MONG TRU THUC TE'!D156</f>
        <v>12</v>
      </c>
      <c r="E85" s="1003">
        <f>'BANG KE MONG TRU THUC TE'!K156</f>
        <v>1</v>
      </c>
      <c r="F85" s="1000" t="s">
        <v>4203</v>
      </c>
      <c r="G85" s="1002">
        <f>'BANG KE MONG TRU THUC TE'!N156</f>
        <v>44043</v>
      </c>
      <c r="H85" s="1000" t="str">
        <f>VLOOKUP(B85,'BANG KE MONG TRU THUC TE'!A:O,15,0)</f>
        <v>Chưa đổ</v>
      </c>
      <c r="I85" t="s">
        <v>4196</v>
      </c>
      <c r="J85" t="str">
        <f>VLOOKUP(B85,'BANG KE MONG TRU THUC TE'!A:O,12,0)</f>
        <v>1300x1000x500</v>
      </c>
    </row>
    <row r="86" spans="2:10">
      <c r="B86" t="str">
        <f t="shared" si="1"/>
        <v>Lưới hạ thế sau TBA Sông Ray 2/13 HH</v>
      </c>
      <c r="C86" s="999" t="str">
        <f>'BANG KE MONG TRU THUC TE'!B157</f>
        <v>Lưới hạ thế sau TBA Sông Ray 2</v>
      </c>
      <c r="D86" s="999" t="str">
        <f>'BANG KE MONG TRU THUC TE'!D157</f>
        <v>/13 HH</v>
      </c>
      <c r="E86" s="1003">
        <f>'BANG KE MONG TRU THUC TE'!K157</f>
        <v>1</v>
      </c>
      <c r="F86" s="1000" t="s">
        <v>4203</v>
      </c>
      <c r="G86" s="1002">
        <f>'BANG KE MONG TRU THUC TE'!N157</f>
        <v>44043</v>
      </c>
      <c r="H86" s="1000" t="str">
        <f>VLOOKUP(B86,'BANG KE MONG TRU THUC TE'!A:O,15,0)</f>
        <v>Chưa đổ</v>
      </c>
      <c r="I86" t="s">
        <v>4196</v>
      </c>
      <c r="J86" t="str">
        <f>VLOOKUP(B86,'BANG KE MONG TRU THUC TE'!A:O,12,0)</f>
        <v>1300x1000x500</v>
      </c>
    </row>
    <row r="87" spans="2:10">
      <c r="B87" t="str">
        <f t="shared" si="1"/>
        <v>Lưới điện hạ thế sau TBA Sông Ray 7374/07</v>
      </c>
      <c r="C87" s="999" t="str">
        <f>'BANG KE MONG TRU THUC TE'!B159</f>
        <v>Lưới điện hạ thế sau TBA Sông Ray 7</v>
      </c>
      <c r="D87" s="999" t="str">
        <f>'BANG KE MONG TRU THUC TE'!D159</f>
        <v>374/07</v>
      </c>
      <c r="E87" s="1003">
        <f>'BANG KE MONG TRU THUC TE'!K159</f>
        <v>1</v>
      </c>
      <c r="F87" s="1000" t="s">
        <v>4203</v>
      </c>
      <c r="G87" s="1002">
        <f>'BANG KE MONG TRU THUC TE'!N159</f>
        <v>44043</v>
      </c>
      <c r="H87" s="1000" t="str">
        <f>VLOOKUP(B87,'BANG KE MONG TRU THUC TE'!A:O,15,0)</f>
        <v>Đổ đủ</v>
      </c>
      <c r="I87" t="s">
        <v>4196</v>
      </c>
      <c r="J87" t="str">
        <f>VLOOKUP(B87,'BANG KE MONG TRU THUC TE'!A:O,12,0)</f>
        <v>1300x1000x500</v>
      </c>
    </row>
    <row r="88" spans="2:10">
      <c r="B88" t="str">
        <f t="shared" si="1"/>
        <v>Lưới điện hạ thế sau TBA Sông Ray 7374/09</v>
      </c>
      <c r="C88" s="999" t="str">
        <f>'BANG KE MONG TRU THUC TE'!B160</f>
        <v>Lưới điện hạ thế sau TBA Sông Ray 7</v>
      </c>
      <c r="D88" s="999" t="str">
        <f>'BANG KE MONG TRU THUC TE'!D160</f>
        <v>374/09</v>
      </c>
      <c r="E88" s="1003">
        <f>'BANG KE MONG TRU THUC TE'!K160</f>
        <v>1</v>
      </c>
      <c r="F88" s="1000" t="s">
        <v>4203</v>
      </c>
      <c r="G88" s="1002">
        <f>'BANG KE MONG TRU THUC TE'!N160</f>
        <v>44043</v>
      </c>
      <c r="H88" s="1000" t="str">
        <f>VLOOKUP(B88,'BANG KE MONG TRU THUC TE'!A:O,15,0)</f>
        <v>Chưa đổ</v>
      </c>
      <c r="I88" t="s">
        <v>4196</v>
      </c>
      <c r="J88" t="str">
        <f>VLOOKUP(B88,'BANG KE MONG TRU THUC TE'!A:O,12,0)</f>
        <v>1300x1000x500</v>
      </c>
    </row>
    <row r="89" spans="2:10">
      <c r="B89" t="str">
        <f t="shared" si="1"/>
        <v>Lưới điện hạ thế sau TBA Sông Ray 7374/10</v>
      </c>
      <c r="C89" s="999" t="str">
        <f>'BANG KE MONG TRU THUC TE'!B161</f>
        <v>Lưới điện hạ thế sau TBA Sông Ray 7</v>
      </c>
      <c r="D89" s="999" t="str">
        <f>'BANG KE MONG TRU THUC TE'!D161</f>
        <v>374/10</v>
      </c>
      <c r="E89" s="1003">
        <f>'BANG KE MONG TRU THUC TE'!K161</f>
        <v>1</v>
      </c>
      <c r="F89" s="1000" t="s">
        <v>4203</v>
      </c>
      <c r="G89" s="1002">
        <f>'BANG KE MONG TRU THUC TE'!N161</f>
        <v>44043</v>
      </c>
      <c r="H89" s="1000" t="str">
        <f>VLOOKUP(B89,'BANG KE MONG TRU THUC TE'!A:O,15,0)</f>
        <v>Đổ đủ</v>
      </c>
      <c r="I89" t="s">
        <v>4196</v>
      </c>
      <c r="J89" t="str">
        <f>VLOOKUP(B89,'BANG KE MONG TRU THUC TE'!A:O,12,0)</f>
        <v>1300x1000x500</v>
      </c>
    </row>
    <row r="90" spans="2:10">
      <c r="B90" t="str">
        <f t="shared" si="1"/>
        <v>Lưới điện hạ thế sau TBA Sông Ray 7381/21</v>
      </c>
      <c r="C90" s="999" t="str">
        <f>'BANG KE MONG TRU THUC TE'!B162</f>
        <v>Lưới điện hạ thế sau TBA Sông Ray 7</v>
      </c>
      <c r="D90" s="999" t="str">
        <f>'BANG KE MONG TRU THUC TE'!D162</f>
        <v>381/21</v>
      </c>
      <c r="E90" s="1003">
        <f>'BANG KE MONG TRU THUC TE'!K162</f>
        <v>1</v>
      </c>
      <c r="F90" s="1000" t="s">
        <v>4203</v>
      </c>
      <c r="G90" s="1002">
        <f>'BANG KE MONG TRU THUC TE'!N162</f>
        <v>44043</v>
      </c>
      <c r="H90" s="1000" t="str">
        <f>VLOOKUP(B90,'BANG KE MONG TRU THUC TE'!A:O,15,0)</f>
        <v>Đổ đủ</v>
      </c>
      <c r="I90" t="s">
        <v>4196</v>
      </c>
      <c r="J90" t="str">
        <f>VLOOKUP(B90,'BANG KE MONG TRU THUC TE'!A:O,12,0)</f>
        <v>1300x1000x500</v>
      </c>
    </row>
    <row r="91" spans="2:10">
      <c r="B91" t="str">
        <f t="shared" si="1"/>
        <v>Lưới điện hạ thế sau TBA Sông Ray 8A348/01</v>
      </c>
      <c r="C91" s="999" t="str">
        <f>'BANG KE MONG TRU THUC TE'!B164</f>
        <v>Lưới điện hạ thế sau TBA Sông Ray 8A</v>
      </c>
      <c r="D91" s="999" t="str">
        <f>'BANG KE MONG TRU THUC TE'!D164</f>
        <v>348/01</v>
      </c>
      <c r="E91" s="1003">
        <f>'BANG KE MONG TRU THUC TE'!K164</f>
        <v>1</v>
      </c>
      <c r="F91" s="1000" t="s">
        <v>4203</v>
      </c>
      <c r="G91" s="1002">
        <f>'BANG KE MONG TRU THUC TE'!N164</f>
        <v>44043</v>
      </c>
      <c r="H91" s="1000" t="str">
        <f>VLOOKUP(B91,'BANG KE MONG TRU THUC TE'!A:O,15,0)</f>
        <v>Đổ đủ</v>
      </c>
      <c r="I91" t="s">
        <v>4196</v>
      </c>
      <c r="J91" t="str">
        <f>VLOOKUP(B91,'BANG KE MONG TRU THUC TE'!A:O,12,0)</f>
        <v>1300x1000x500</v>
      </c>
    </row>
    <row r="92" spans="2:10">
      <c r="B92" t="str">
        <f t="shared" si="1"/>
        <v>Lưới điện hạ thế sau TBA Sông Ray 8A348/04</v>
      </c>
      <c r="C92" s="999" t="str">
        <f>'BANG KE MONG TRU THUC TE'!B165</f>
        <v>Lưới điện hạ thế sau TBA Sông Ray 8A</v>
      </c>
      <c r="D92" s="999" t="str">
        <f>'BANG KE MONG TRU THUC TE'!D165</f>
        <v>348/04</v>
      </c>
      <c r="E92" s="1003">
        <f>'BANG KE MONG TRU THUC TE'!K165</f>
        <v>1</v>
      </c>
      <c r="F92" s="1000" t="s">
        <v>4203</v>
      </c>
      <c r="G92" s="1002">
        <f>'BANG KE MONG TRU THUC TE'!N165</f>
        <v>44043</v>
      </c>
      <c r="H92" s="1000" t="str">
        <f>VLOOKUP(B92,'BANG KE MONG TRU THUC TE'!A:O,15,0)</f>
        <v>Đổ đủ</v>
      </c>
      <c r="I92" t="s">
        <v>4196</v>
      </c>
      <c r="J92" t="str">
        <f>VLOOKUP(B92,'BANG KE MONG TRU THUC TE'!A:O,12,0)</f>
        <v>1300x1000x500</v>
      </c>
    </row>
    <row r="93" spans="2:10">
      <c r="B93" t="str">
        <f t="shared" si="1"/>
        <v>Lưới điện hạ thế sau TBA Sông Ray 8A348/07</v>
      </c>
      <c r="C93" s="1004" t="str">
        <f>'BANG KE MONG TRU THUC TE'!B166</f>
        <v>Lưới điện hạ thế sau TBA Sông Ray 8A</v>
      </c>
      <c r="D93" s="1004" t="str">
        <f>'BANG KE MONG TRU THUC TE'!D166</f>
        <v>348/07</v>
      </c>
      <c r="E93" s="1005">
        <f>'BANG KE MONG TRU THUC TE'!K166</f>
        <v>1</v>
      </c>
      <c r="F93" s="1000" t="s">
        <v>4203</v>
      </c>
      <c r="G93" s="1007">
        <f>'BANG KE MONG TRU THUC TE'!N166</f>
        <v>44043</v>
      </c>
      <c r="H93" s="1006" t="str">
        <f>VLOOKUP(B93,'BANG KE MONG TRU THUC TE'!A:O,15,0)</f>
        <v>Đổ đủ</v>
      </c>
      <c r="I93" t="s">
        <v>4196</v>
      </c>
      <c r="J93" t="str">
        <f>VLOOKUP(B93,'BANG KE MONG TRU THUC TE'!A:O,12,0)</f>
        <v>1300x1000x500</v>
      </c>
    </row>
  </sheetData>
  <autoFilter ref="B1:I93" xr:uid="{00000000-0009-0000-0000-00001D000000}"/>
  <pageMargins left="0.70866141732283472" right="0.70866141732283472" top="0.45" bottom="0.42" header="0.31496062992125984" footer="0.31496062992125984"/>
  <pageSetup paperSize="9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72"/>
  <sheetViews>
    <sheetView tabSelected="1" workbookViewId="0">
      <selection activeCell="L194" sqref="L194"/>
    </sheetView>
  </sheetViews>
  <sheetFormatPr defaultColWidth="9.109375" defaultRowHeight="15.6"/>
  <cols>
    <col min="1" max="2" width="9.109375" style="1"/>
    <col min="3" max="3" width="22.88671875" style="1" customWidth="1"/>
    <col min="4" max="4" width="28" style="1" customWidth="1"/>
    <col min="5" max="5" width="20.6640625" style="1" customWidth="1"/>
    <col min="6" max="6" width="18.44140625" style="1" customWidth="1"/>
    <col min="7" max="16384" width="9.109375" style="1"/>
  </cols>
  <sheetData>
    <row r="1" spans="1:7">
      <c r="A1" s="1056" t="s">
        <v>4046</v>
      </c>
      <c r="B1" s="1056"/>
      <c r="C1" s="1056"/>
      <c r="D1" s="1056"/>
      <c r="E1" s="1056"/>
      <c r="F1" s="872"/>
      <c r="G1" s="872"/>
    </row>
    <row r="2" spans="1:7">
      <c r="A2" s="57"/>
      <c r="B2" s="57"/>
      <c r="C2" s="57"/>
      <c r="D2" s="57"/>
      <c r="E2" s="57"/>
      <c r="F2" s="57"/>
      <c r="G2" s="57"/>
    </row>
    <row r="3" spans="1:7">
      <c r="A3" s="57"/>
      <c r="B3" s="57"/>
      <c r="C3" s="57"/>
      <c r="D3" s="57"/>
      <c r="E3" s="57"/>
      <c r="F3" s="57"/>
      <c r="G3" s="57"/>
    </row>
    <row r="4" spans="1:7">
      <c r="A4" s="867" t="s">
        <v>1763</v>
      </c>
      <c r="B4" s="671" t="s">
        <v>1418</v>
      </c>
      <c r="C4" s="671" t="s">
        <v>4049</v>
      </c>
      <c r="D4" s="671" t="s">
        <v>4050</v>
      </c>
      <c r="E4" s="671" t="s">
        <v>4051</v>
      </c>
      <c r="F4" s="57" t="s">
        <v>4189</v>
      </c>
      <c r="G4" s="54"/>
    </row>
    <row r="5" spans="1:7">
      <c r="A5" s="671" t="s">
        <v>1765</v>
      </c>
      <c r="B5" s="869" t="s">
        <v>4047</v>
      </c>
      <c r="C5" s="869"/>
      <c r="D5" s="869"/>
      <c r="E5" s="869"/>
    </row>
    <row r="6" spans="1:7">
      <c r="A6" s="671">
        <v>1</v>
      </c>
      <c r="B6" s="869" t="s">
        <v>4048</v>
      </c>
      <c r="C6" s="869"/>
      <c r="D6" s="671"/>
      <c r="E6" s="869"/>
    </row>
    <row r="7" spans="1:7">
      <c r="A7" s="671"/>
      <c r="B7" s="871" t="s">
        <v>3004</v>
      </c>
      <c r="C7" s="868" t="s">
        <v>4040</v>
      </c>
      <c r="D7" s="454" t="str">
        <f>VLOOKUP(C7,Sheet2!$C$4:$F$10,2,0)</f>
        <v>1500x1300x800</v>
      </c>
      <c r="E7" s="868" t="s">
        <v>4098</v>
      </c>
    </row>
    <row r="8" spans="1:7">
      <c r="A8" s="671"/>
      <c r="B8" s="871" t="s">
        <v>3038</v>
      </c>
      <c r="C8" s="868" t="s">
        <v>4040</v>
      </c>
      <c r="D8" s="454" t="str">
        <f>VLOOKUP(C8,Sheet2!$C$4:$F$10,2,0)</f>
        <v>1500x1300x800</v>
      </c>
      <c r="E8" s="868" t="s">
        <v>4098</v>
      </c>
    </row>
    <row r="9" spans="1:7">
      <c r="A9" s="671">
        <v>2</v>
      </c>
      <c r="B9" s="869" t="s">
        <v>4052</v>
      </c>
      <c r="C9" s="869"/>
      <c r="D9" s="454"/>
      <c r="E9" s="869"/>
    </row>
    <row r="10" spans="1:7">
      <c r="A10" s="671"/>
      <c r="B10" s="871" t="s">
        <v>3039</v>
      </c>
      <c r="C10" s="868" t="s">
        <v>4043</v>
      </c>
      <c r="D10" s="454" t="str">
        <f>VLOOKUP(C10,Sheet2!$C$4:$F$10,2,0)</f>
        <v>1800x1500x1200</v>
      </c>
      <c r="E10" s="868" t="s">
        <v>4098</v>
      </c>
    </row>
    <row r="11" spans="1:7">
      <c r="A11" s="671"/>
      <c r="B11" s="871" t="s">
        <v>3043</v>
      </c>
      <c r="C11" s="868" t="s">
        <v>4043</v>
      </c>
      <c r="D11" s="454" t="str">
        <f>VLOOKUP(C11,Sheet2!$C$4:$F$10,2,0)</f>
        <v>1800x1500x1200</v>
      </c>
      <c r="E11" s="868" t="s">
        <v>4098</v>
      </c>
    </row>
    <row r="12" spans="1:7">
      <c r="A12" s="671"/>
      <c r="B12" s="871" t="s">
        <v>3044</v>
      </c>
      <c r="C12" s="868" t="s">
        <v>4040</v>
      </c>
      <c r="D12" s="454" t="str">
        <f>VLOOKUP(C12,Sheet2!$C$4:$F$10,2,0)</f>
        <v>1500x1300x800</v>
      </c>
      <c r="E12" s="868" t="s">
        <v>4098</v>
      </c>
    </row>
    <row r="13" spans="1:7">
      <c r="A13" s="671"/>
      <c r="B13" s="871" t="s">
        <v>3047</v>
      </c>
      <c r="C13" s="868" t="s">
        <v>4040</v>
      </c>
      <c r="D13" s="454" t="str">
        <f>VLOOKUP(C13,Sheet2!$C$4:$F$10,2,0)</f>
        <v>1500x1300x800</v>
      </c>
      <c r="E13" s="868" t="s">
        <v>4098</v>
      </c>
    </row>
    <row r="14" spans="1:7">
      <c r="A14" s="671"/>
      <c r="B14" s="871" t="s">
        <v>3048</v>
      </c>
      <c r="C14" s="868" t="s">
        <v>4040</v>
      </c>
      <c r="D14" s="454" t="str">
        <f>VLOOKUP(C14,Sheet2!$C$4:$F$10,2,0)</f>
        <v>1500x1300x800</v>
      </c>
      <c r="E14" s="868" t="s">
        <v>4098</v>
      </c>
    </row>
    <row r="15" spans="1:7">
      <c r="A15" s="671"/>
      <c r="B15" s="871" t="s">
        <v>3027</v>
      </c>
      <c r="C15" s="868" t="s">
        <v>4040</v>
      </c>
      <c r="D15" s="454" t="str">
        <f>VLOOKUP(C15,Sheet2!$C$4:$F$10,2,0)</f>
        <v>1500x1300x800</v>
      </c>
      <c r="E15" s="868" t="s">
        <v>4099</v>
      </c>
    </row>
    <row r="16" spans="1:7">
      <c r="A16" s="671">
        <v>3</v>
      </c>
      <c r="B16" s="869" t="s">
        <v>4053</v>
      </c>
      <c r="C16" s="869"/>
      <c r="D16" s="454"/>
      <c r="E16" s="869"/>
    </row>
    <row r="17" spans="1:5">
      <c r="A17" s="671"/>
      <c r="B17" s="871" t="s">
        <v>3006</v>
      </c>
      <c r="C17" s="868" t="s">
        <v>4040</v>
      </c>
      <c r="D17" s="454" t="str">
        <f>VLOOKUP(C17,Sheet2!$C$4:$F$10,2,0)</f>
        <v>1500x1300x800</v>
      </c>
      <c r="E17" s="868" t="s">
        <v>4098</v>
      </c>
    </row>
    <row r="18" spans="1:5">
      <c r="A18" s="671"/>
      <c r="B18" s="871" t="s">
        <v>2991</v>
      </c>
      <c r="C18" s="868" t="s">
        <v>4040</v>
      </c>
      <c r="D18" s="454" t="str">
        <f>VLOOKUP(C18,Sheet2!$C$4:$F$10,2,0)</f>
        <v>1500x1300x800</v>
      </c>
      <c r="E18" s="868" t="s">
        <v>4098</v>
      </c>
    </row>
    <row r="19" spans="1:5">
      <c r="A19" s="671"/>
      <c r="B19" s="871" t="s">
        <v>2992</v>
      </c>
      <c r="C19" s="868" t="s">
        <v>4040</v>
      </c>
      <c r="D19" s="454" t="str">
        <f>VLOOKUP(C19,Sheet2!$C$4:$F$10,2,0)</f>
        <v>1500x1300x800</v>
      </c>
      <c r="E19" s="868" t="s">
        <v>4099</v>
      </c>
    </row>
    <row r="20" spans="1:5">
      <c r="A20" s="671"/>
      <c r="B20" s="871" t="s">
        <v>2993</v>
      </c>
      <c r="C20" s="868" t="s">
        <v>4040</v>
      </c>
      <c r="D20" s="454" t="str">
        <f>VLOOKUP(C20,Sheet2!$C$4:$F$10,2,0)</f>
        <v>1500x1300x800</v>
      </c>
      <c r="E20" s="868" t="s">
        <v>4099</v>
      </c>
    </row>
    <row r="21" spans="1:5">
      <c r="A21" s="671"/>
      <c r="B21" s="871" t="s">
        <v>2999</v>
      </c>
      <c r="C21" s="868" t="s">
        <v>4040</v>
      </c>
      <c r="D21" s="454" t="str">
        <f>VLOOKUP(C21,Sheet2!$C$4:$F$10,2,0)</f>
        <v>1500x1300x800</v>
      </c>
      <c r="E21" s="868" t="s">
        <v>4098</v>
      </c>
    </row>
    <row r="22" spans="1:5">
      <c r="A22" s="671">
        <v>4</v>
      </c>
      <c r="B22" s="869" t="s">
        <v>4054</v>
      </c>
      <c r="C22" s="869"/>
      <c r="D22" s="454"/>
      <c r="E22" s="869"/>
    </row>
    <row r="23" spans="1:5">
      <c r="A23" s="671"/>
      <c r="B23" s="454" t="s">
        <v>4055</v>
      </c>
      <c r="C23" s="868" t="s">
        <v>4040</v>
      </c>
      <c r="D23" s="454" t="str">
        <f>VLOOKUP(C23,Sheet2!$C$4:$F$10,2,0)</f>
        <v>1500x1300x800</v>
      </c>
      <c r="E23" s="868" t="s">
        <v>4100</v>
      </c>
    </row>
    <row r="24" spans="1:5">
      <c r="A24" s="671"/>
      <c r="B24" s="871" t="s">
        <v>3006</v>
      </c>
      <c r="C24" s="868" t="s">
        <v>4040</v>
      </c>
      <c r="D24" s="454" t="str">
        <f>VLOOKUP(C24,Sheet2!$C$4:$F$10,2,0)</f>
        <v>1500x1300x800</v>
      </c>
      <c r="E24" s="868" t="s">
        <v>4100</v>
      </c>
    </row>
    <row r="25" spans="1:5">
      <c r="A25" s="671"/>
      <c r="B25" s="871" t="s">
        <v>2991</v>
      </c>
      <c r="C25" s="868" t="s">
        <v>4040</v>
      </c>
      <c r="D25" s="454" t="str">
        <f>VLOOKUP(C25,Sheet2!$C$4:$F$10,2,0)</f>
        <v>1500x1300x800</v>
      </c>
      <c r="E25" s="868" t="s">
        <v>4100</v>
      </c>
    </row>
    <row r="26" spans="1:5">
      <c r="A26" s="671"/>
      <c r="B26" s="871" t="s">
        <v>2995</v>
      </c>
      <c r="C26" s="868" t="s">
        <v>4040</v>
      </c>
      <c r="D26" s="454" t="str">
        <f>VLOOKUP(C26,Sheet2!$C$4:$F$10,2,0)</f>
        <v>1500x1300x800</v>
      </c>
      <c r="E26" s="868" t="s">
        <v>4100</v>
      </c>
    </row>
    <row r="27" spans="1:5">
      <c r="A27" s="671"/>
      <c r="B27" s="871" t="s">
        <v>2996</v>
      </c>
      <c r="C27" s="868" t="s">
        <v>4040</v>
      </c>
      <c r="D27" s="454" t="str">
        <f>VLOOKUP(C27,Sheet2!$C$4:$F$10,2,0)</f>
        <v>1500x1300x800</v>
      </c>
      <c r="E27" s="868" t="s">
        <v>4100</v>
      </c>
    </row>
    <row r="28" spans="1:5">
      <c r="A28" s="671">
        <v>5</v>
      </c>
      <c r="B28" s="869" t="s">
        <v>4056</v>
      </c>
      <c r="C28" s="869"/>
      <c r="D28" s="454"/>
      <c r="E28" s="869"/>
    </row>
    <row r="29" spans="1:5">
      <c r="A29" s="671"/>
      <c r="B29" s="871" t="s">
        <v>3040</v>
      </c>
      <c r="C29" s="868" t="s">
        <v>4040</v>
      </c>
      <c r="D29" s="454" t="str">
        <f>VLOOKUP(C29,Sheet2!$C$4:$F$10,2,0)</f>
        <v>1500x1300x800</v>
      </c>
      <c r="E29" s="868" t="s">
        <v>4098</v>
      </c>
    </row>
    <row r="30" spans="1:5">
      <c r="A30" s="671"/>
      <c r="B30" s="871" t="s">
        <v>3047</v>
      </c>
      <c r="C30" s="868" t="s">
        <v>4040</v>
      </c>
      <c r="D30" s="454" t="str">
        <f>VLOOKUP(C30,Sheet2!$C$4:$F$10,2,0)</f>
        <v>1500x1300x800</v>
      </c>
      <c r="E30" s="868" t="s">
        <v>4098</v>
      </c>
    </row>
    <row r="31" spans="1:5">
      <c r="A31" s="671"/>
      <c r="B31" s="871" t="s">
        <v>3049</v>
      </c>
      <c r="C31" s="868" t="s">
        <v>4040</v>
      </c>
      <c r="D31" s="454" t="str">
        <f>VLOOKUP(C31,Sheet2!$C$4:$F$10,2,0)</f>
        <v>1500x1300x800</v>
      </c>
      <c r="E31" s="868" t="s">
        <v>4098</v>
      </c>
    </row>
    <row r="32" spans="1:5">
      <c r="A32" s="671">
        <v>6</v>
      </c>
      <c r="B32" s="869" t="s">
        <v>4057</v>
      </c>
      <c r="C32" s="869"/>
      <c r="D32" s="454"/>
      <c r="E32" s="869"/>
    </row>
    <row r="33" spans="1:5">
      <c r="A33" s="671"/>
      <c r="B33" s="871" t="s">
        <v>3006</v>
      </c>
      <c r="C33" s="868" t="s">
        <v>4040</v>
      </c>
      <c r="D33" s="454" t="str">
        <f>VLOOKUP(C33,Sheet2!$C$4:$F$10,2,0)</f>
        <v>1500x1300x800</v>
      </c>
      <c r="E33" s="868" t="s">
        <v>4098</v>
      </c>
    </row>
    <row r="34" spans="1:5">
      <c r="A34" s="671"/>
      <c r="B34" s="871" t="s">
        <v>2994</v>
      </c>
      <c r="C34" s="868" t="s">
        <v>4040</v>
      </c>
      <c r="D34" s="454" t="str">
        <f>VLOOKUP(C34,Sheet2!$C$4:$F$10,2,0)</f>
        <v>1500x1300x800</v>
      </c>
      <c r="E34" s="868" t="s">
        <v>4101</v>
      </c>
    </row>
    <row r="35" spans="1:5">
      <c r="A35" s="671" t="s">
        <v>4102</v>
      </c>
      <c r="B35" s="871" t="s">
        <v>2995</v>
      </c>
      <c r="C35" s="868" t="s">
        <v>4040</v>
      </c>
      <c r="D35" s="454" t="str">
        <f>VLOOKUP(C35,Sheet2!$C$4:$F$10,2,0)</f>
        <v>1500x1300x800</v>
      </c>
      <c r="E35" s="868" t="s">
        <v>4101</v>
      </c>
    </row>
    <row r="36" spans="1:5">
      <c r="A36" s="671"/>
      <c r="B36" s="871" t="s">
        <v>3000</v>
      </c>
      <c r="C36" s="868" t="s">
        <v>4040</v>
      </c>
      <c r="D36" s="454" t="str">
        <f>VLOOKUP(C36,Sheet2!$C$4:$F$10,2,0)</f>
        <v>1500x1300x800</v>
      </c>
      <c r="E36" s="868" t="s">
        <v>4098</v>
      </c>
    </row>
    <row r="37" spans="1:5">
      <c r="A37" s="671">
        <v>7</v>
      </c>
      <c r="B37" s="869" t="s">
        <v>4071</v>
      </c>
      <c r="C37" s="869"/>
      <c r="D37" s="454"/>
      <c r="E37" s="868"/>
    </row>
    <row r="38" spans="1:5">
      <c r="A38" s="671"/>
      <c r="B38" s="868" t="s">
        <v>4072</v>
      </c>
      <c r="C38" s="868" t="s">
        <v>4040</v>
      </c>
      <c r="D38" s="454" t="str">
        <f>VLOOKUP(C38,Sheet2!$C$4:$F$10,2,0)</f>
        <v>1500x1300x800</v>
      </c>
      <c r="E38" s="868" t="s">
        <v>4098</v>
      </c>
    </row>
    <row r="39" spans="1:5">
      <c r="A39" s="868"/>
      <c r="B39" s="868"/>
      <c r="C39" s="868"/>
      <c r="D39" s="454"/>
      <c r="E39" s="868"/>
    </row>
    <row r="40" spans="1:5">
      <c r="A40" s="671" t="s">
        <v>1765</v>
      </c>
      <c r="B40" s="870" t="s">
        <v>4058</v>
      </c>
      <c r="C40" s="671"/>
      <c r="D40" s="454"/>
      <c r="E40" s="671"/>
    </row>
    <row r="41" spans="1:5">
      <c r="A41" s="671">
        <v>1</v>
      </c>
      <c r="B41" s="869" t="s">
        <v>4059</v>
      </c>
      <c r="C41" s="869"/>
      <c r="D41" s="454"/>
      <c r="E41" s="869"/>
    </row>
    <row r="42" spans="1:5">
      <c r="A42" s="869"/>
      <c r="B42" s="871" t="s">
        <v>3632</v>
      </c>
      <c r="C42" s="868" t="s">
        <v>4035</v>
      </c>
      <c r="D42" s="454" t="str">
        <f>VLOOKUP(C42,Sheet2!$C$4:$F$10,2,0)</f>
        <v>1450x1150x500</v>
      </c>
      <c r="E42" s="868" t="s">
        <v>4100</v>
      </c>
    </row>
    <row r="43" spans="1:5">
      <c r="A43" s="869"/>
      <c r="B43" s="871" t="s">
        <v>3634</v>
      </c>
      <c r="C43" s="868" t="s">
        <v>4035</v>
      </c>
      <c r="D43" s="454" t="str">
        <f>VLOOKUP(C43,Sheet2!$C$4:$F$10,2,0)</f>
        <v>1450x1150x500</v>
      </c>
      <c r="E43" s="868" t="s">
        <v>4100</v>
      </c>
    </row>
    <row r="44" spans="1:5">
      <c r="A44" s="671">
        <v>2</v>
      </c>
      <c r="B44" s="869" t="s">
        <v>4060</v>
      </c>
      <c r="C44" s="868"/>
      <c r="D44" s="454"/>
      <c r="E44" s="868"/>
    </row>
    <row r="45" spans="1:5">
      <c r="A45" s="868"/>
      <c r="B45" s="868" t="s">
        <v>4061</v>
      </c>
      <c r="C45" s="868" t="s">
        <v>4035</v>
      </c>
      <c r="D45" s="454" t="str">
        <f>VLOOKUP(C45,Sheet2!$C$4:$F$10,2,0)</f>
        <v>1450x1150x500</v>
      </c>
      <c r="E45" s="454" t="s">
        <v>4103</v>
      </c>
    </row>
    <row r="46" spans="1:5">
      <c r="A46" s="868"/>
      <c r="B46" s="868" t="s">
        <v>4062</v>
      </c>
      <c r="C46" s="868" t="s">
        <v>4035</v>
      </c>
      <c r="D46" s="454" t="str">
        <f>VLOOKUP(C46,Sheet2!$C$4:$F$10,2,0)</f>
        <v>1450x1150x500</v>
      </c>
      <c r="E46" s="868" t="s">
        <v>4098</v>
      </c>
    </row>
    <row r="47" spans="1:5">
      <c r="A47" s="868"/>
      <c r="B47" s="868" t="s">
        <v>4063</v>
      </c>
      <c r="C47" s="868" t="s">
        <v>4035</v>
      </c>
      <c r="D47" s="454" t="str">
        <f>VLOOKUP(C47,Sheet2!$C$4:$F$10,2,0)</f>
        <v>1450x1150x500</v>
      </c>
      <c r="E47" s="868" t="s">
        <v>4098</v>
      </c>
    </row>
    <row r="48" spans="1:5">
      <c r="A48" s="868"/>
      <c r="B48" s="868" t="s">
        <v>4064</v>
      </c>
      <c r="C48" s="868" t="s">
        <v>4035</v>
      </c>
      <c r="D48" s="454" t="str">
        <f>VLOOKUP(C48,Sheet2!$C$4:$F$10,2,0)</f>
        <v>1450x1150x500</v>
      </c>
      <c r="E48" s="868" t="s">
        <v>4098</v>
      </c>
    </row>
    <row r="49" spans="1:6">
      <c r="A49" s="868"/>
      <c r="B49" s="868" t="s">
        <v>4065</v>
      </c>
      <c r="C49" s="868" t="s">
        <v>4035</v>
      </c>
      <c r="D49" s="454" t="str">
        <f>VLOOKUP(C49,Sheet2!$C$4:$F$10,2,0)</f>
        <v>1450x1150x500</v>
      </c>
      <c r="E49" s="868" t="s">
        <v>4098</v>
      </c>
    </row>
    <row r="50" spans="1:6">
      <c r="A50" s="868"/>
      <c r="B50" s="868" t="s">
        <v>4066</v>
      </c>
      <c r="C50" s="868" t="s">
        <v>4035</v>
      </c>
      <c r="D50" s="454" t="str">
        <f>VLOOKUP(C50,Sheet2!$C$4:$F$10,2,0)</f>
        <v>1450x1150x500</v>
      </c>
      <c r="E50" s="868" t="s">
        <v>4101</v>
      </c>
    </row>
    <row r="51" spans="1:6">
      <c r="A51" s="868"/>
      <c r="B51" s="868" t="s">
        <v>4067</v>
      </c>
      <c r="C51" s="868" t="s">
        <v>4035</v>
      </c>
      <c r="D51" s="454" t="str">
        <f>VLOOKUP(C51,Sheet2!$C$4:$F$10,2,0)</f>
        <v>1450x1150x500</v>
      </c>
      <c r="E51" s="868" t="s">
        <v>4098</v>
      </c>
    </row>
    <row r="52" spans="1:6">
      <c r="A52" s="868"/>
      <c r="B52" s="868" t="s">
        <v>4068</v>
      </c>
      <c r="C52" s="868" t="s">
        <v>4035</v>
      </c>
      <c r="D52" s="454" t="str">
        <f>VLOOKUP(C52,Sheet2!$C$4:$F$10,2,0)</f>
        <v>1450x1150x500</v>
      </c>
      <c r="E52" s="868" t="s">
        <v>4098</v>
      </c>
    </row>
    <row r="53" spans="1:6">
      <c r="A53" s="868"/>
      <c r="B53" s="868" t="s">
        <v>4069</v>
      </c>
      <c r="C53" s="868" t="s">
        <v>4035</v>
      </c>
      <c r="D53" s="454" t="str">
        <f>VLOOKUP(C53,Sheet2!$C$4:$F$10,2,0)</f>
        <v>1450x1150x500</v>
      </c>
      <c r="E53" s="868" t="s">
        <v>4098</v>
      </c>
    </row>
    <row r="54" spans="1:6">
      <c r="A54" s="868"/>
      <c r="B54" s="868" t="s">
        <v>4070</v>
      </c>
      <c r="C54" s="868" t="s">
        <v>4035</v>
      </c>
      <c r="D54" s="454" t="str">
        <f>VLOOKUP(C54,Sheet2!$C$4:$F$10,2,0)</f>
        <v>1450x1150x500</v>
      </c>
      <c r="E54" s="868" t="s">
        <v>4101</v>
      </c>
    </row>
    <row r="55" spans="1:6">
      <c r="A55" s="868"/>
      <c r="B55" s="868" t="s">
        <v>4073</v>
      </c>
      <c r="C55" s="868" t="s">
        <v>4035</v>
      </c>
      <c r="D55" s="454" t="str">
        <f>VLOOKUP(C55,Sheet2!$C$4:$F$10,2,0)</f>
        <v>1450x1150x500</v>
      </c>
      <c r="E55" s="868" t="s">
        <v>4103</v>
      </c>
    </row>
    <row r="56" spans="1:6">
      <c r="A56" s="868"/>
      <c r="B56" s="868" t="s">
        <v>4074</v>
      </c>
      <c r="C56" s="868" t="s">
        <v>4035</v>
      </c>
      <c r="D56" s="454" t="str">
        <f>VLOOKUP(C56,Sheet2!$C$4:$F$10,2,0)</f>
        <v>1450x1150x500</v>
      </c>
      <c r="E56" s="868" t="s">
        <v>4098</v>
      </c>
    </row>
    <row r="57" spans="1:6">
      <c r="A57" s="868"/>
      <c r="B57" s="868" t="s">
        <v>4075</v>
      </c>
      <c r="C57" s="868" t="s">
        <v>4035</v>
      </c>
      <c r="D57" s="454" t="str">
        <f>VLOOKUP(C57,Sheet2!$C$4:$F$10,2,0)</f>
        <v>1450x1150x500</v>
      </c>
      <c r="E57" s="868" t="s">
        <v>4098</v>
      </c>
    </row>
    <row r="58" spans="1:6">
      <c r="A58" s="868"/>
      <c r="B58" s="868" t="s">
        <v>4076</v>
      </c>
      <c r="C58" s="868" t="s">
        <v>4035</v>
      </c>
      <c r="D58" s="454" t="str">
        <f>VLOOKUP(C58,Sheet2!$C$4:$F$10,2,0)</f>
        <v>1450x1150x500</v>
      </c>
      <c r="E58" s="868" t="s">
        <v>4104</v>
      </c>
    </row>
    <row r="59" spans="1:6">
      <c r="A59" s="868"/>
      <c r="B59" s="868" t="s">
        <v>4077</v>
      </c>
      <c r="C59" s="868" t="s">
        <v>4035</v>
      </c>
      <c r="D59" s="454" t="str">
        <f>VLOOKUP(C59,Sheet2!$C$4:$F$10,2,0)</f>
        <v>1450x1150x500</v>
      </c>
      <c r="E59" s="868" t="s">
        <v>4098</v>
      </c>
    </row>
    <row r="60" spans="1:6">
      <c r="A60" s="868"/>
      <c r="B60" s="868" t="s">
        <v>4078</v>
      </c>
      <c r="C60" s="868" t="s">
        <v>4035</v>
      </c>
      <c r="D60" s="454" t="str">
        <f>VLOOKUP(C60,Sheet2!$C$4:$F$10,2,0)</f>
        <v>1450x1150x500</v>
      </c>
      <c r="E60" s="868" t="s">
        <v>4098</v>
      </c>
    </row>
    <row r="61" spans="1:6">
      <c r="A61" s="868"/>
      <c r="B61" s="868" t="s">
        <v>4079</v>
      </c>
      <c r="C61" s="868" t="s">
        <v>4035</v>
      </c>
      <c r="D61" s="454" t="str">
        <f>VLOOKUP(C61,Sheet2!$C$4:$F$10,2,0)</f>
        <v>1450x1150x500</v>
      </c>
      <c r="E61" s="868" t="s">
        <v>4098</v>
      </c>
    </row>
    <row r="62" spans="1:6">
      <c r="A62" s="868"/>
      <c r="B62" s="868" t="s">
        <v>4080</v>
      </c>
      <c r="C62" s="868" t="s">
        <v>4035</v>
      </c>
      <c r="D62" s="454" t="str">
        <f>VLOOKUP(C62,Sheet2!$C$4:$F$10,2,0)</f>
        <v>1450x1150x500</v>
      </c>
      <c r="E62" s="868" t="s">
        <v>4101</v>
      </c>
    </row>
    <row r="63" spans="1:6">
      <c r="A63" s="868" t="s">
        <v>4105</v>
      </c>
      <c r="B63" s="868" t="s">
        <v>4081</v>
      </c>
      <c r="C63" s="868" t="s">
        <v>4035</v>
      </c>
      <c r="D63" s="454" t="str">
        <f>VLOOKUP(C63,Sheet2!$C$4:$F$10,2,0)</f>
        <v>1450x1150x500</v>
      </c>
      <c r="E63" s="868" t="s">
        <v>4101</v>
      </c>
      <c r="F63" s="1" t="s">
        <v>4106</v>
      </c>
    </row>
    <row r="64" spans="1:6">
      <c r="A64" s="868"/>
      <c r="B64" s="868" t="s">
        <v>4082</v>
      </c>
      <c r="C64" s="868" t="s">
        <v>4035</v>
      </c>
      <c r="D64" s="454" t="str">
        <f>VLOOKUP(C64,Sheet2!$C$4:$F$10,2,0)</f>
        <v>1450x1150x500</v>
      </c>
      <c r="E64" s="868" t="s">
        <v>4101</v>
      </c>
    </row>
    <row r="65" spans="1:5">
      <c r="A65" s="869" t="s">
        <v>4084</v>
      </c>
      <c r="B65" s="869"/>
      <c r="C65" s="869"/>
      <c r="D65" s="870" t="s">
        <v>4088</v>
      </c>
      <c r="E65" s="868"/>
    </row>
    <row r="66" spans="1:5">
      <c r="A66" s="869" t="s">
        <v>4083</v>
      </c>
      <c r="B66" s="869"/>
      <c r="C66" s="869"/>
      <c r="D66" s="870" t="s">
        <v>4087</v>
      </c>
      <c r="E66" s="868"/>
    </row>
    <row r="67" spans="1:5">
      <c r="A67" s="869" t="s">
        <v>4085</v>
      </c>
      <c r="B67" s="869"/>
      <c r="C67" s="869"/>
      <c r="D67" s="869" t="s">
        <v>4086</v>
      </c>
      <c r="E67" s="868"/>
    </row>
    <row r="68" spans="1:5">
      <c r="A68" s="868"/>
      <c r="B68" s="868"/>
      <c r="C68" s="868"/>
      <c r="D68" s="868"/>
      <c r="E68" s="868"/>
    </row>
    <row r="69" spans="1:5">
      <c r="A69" s="671" t="s">
        <v>4089</v>
      </c>
      <c r="B69" s="869" t="s">
        <v>4090</v>
      </c>
      <c r="C69" s="869"/>
      <c r="D69" s="869" t="s">
        <v>4094</v>
      </c>
      <c r="E69" s="868"/>
    </row>
    <row r="70" spans="1:5">
      <c r="A70" s="868"/>
      <c r="B70" s="869" t="s">
        <v>4091</v>
      </c>
      <c r="C70" s="869"/>
      <c r="D70" s="869" t="s">
        <v>4095</v>
      </c>
      <c r="E70" s="868"/>
    </row>
    <row r="71" spans="1:5">
      <c r="A71" s="868"/>
      <c r="B71" s="869" t="s">
        <v>4092</v>
      </c>
      <c r="C71" s="869"/>
      <c r="D71" s="869" t="s">
        <v>4097</v>
      </c>
      <c r="E71" s="868"/>
    </row>
    <row r="72" spans="1:5">
      <c r="A72" s="868"/>
      <c r="B72" s="869" t="s">
        <v>4093</v>
      </c>
      <c r="C72" s="869"/>
      <c r="D72" s="869" t="s">
        <v>4096</v>
      </c>
      <c r="E72" s="868"/>
    </row>
  </sheetData>
  <mergeCells count="1">
    <mergeCell ref="A1:E1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FK511"/>
  <sheetViews>
    <sheetView showZeros="0" view="pageBreakPreview" topLeftCell="C6" zoomScale="85" zoomScaleNormal="85" zoomScaleSheetLayoutView="85" workbookViewId="0">
      <pane xSplit="91" ySplit="1" topLeftCell="CP419" activePane="bottomRight" state="frozen"/>
      <selection activeCell="C6" sqref="C6"/>
      <selection pane="topRight" activeCell="CP6" sqref="CP6"/>
      <selection pane="bottomLeft" activeCell="C7" sqref="C7"/>
      <selection pane="bottomRight" activeCell="DS426" sqref="DS426"/>
    </sheetView>
  </sheetViews>
  <sheetFormatPr defaultColWidth="9.109375" defaultRowHeight="15.6"/>
  <cols>
    <col min="1" max="2" width="9.109375" style="54"/>
    <col min="3" max="5" width="9.109375" style="1"/>
    <col min="6" max="19" width="9.109375" style="1" hidden="1" customWidth="1"/>
    <col min="20" max="20" width="9.109375" style="1" customWidth="1"/>
    <col min="21" max="21" width="9.109375" style="1"/>
    <col min="22" max="55" width="4.5546875" style="1" hidden="1" customWidth="1"/>
    <col min="56" max="56" width="5.88671875" style="1" hidden="1" customWidth="1"/>
    <col min="57" max="93" width="4.5546875" style="1" hidden="1" customWidth="1"/>
    <col min="94" max="95" width="4.5546875" style="1" customWidth="1"/>
    <col min="96" max="96" width="4.5546875" style="1" hidden="1" customWidth="1"/>
    <col min="97" max="97" width="4.5546875" style="1" customWidth="1"/>
    <col min="98" max="98" width="4.5546875" style="1" hidden="1" customWidth="1"/>
    <col min="99" max="99" width="4.5546875" style="1" customWidth="1"/>
    <col min="100" max="102" width="8" style="1" customWidth="1"/>
    <col min="103" max="103" width="8" style="1" hidden="1" customWidth="1"/>
    <col min="104" max="104" width="8" style="1" customWidth="1"/>
    <col min="105" max="105" width="9.88671875" style="1" customWidth="1"/>
    <col min="106" max="106" width="8" style="1" customWidth="1"/>
    <col min="107" max="107" width="8" style="1" hidden="1" customWidth="1"/>
    <col min="108" max="108" width="8" style="1" customWidth="1"/>
    <col min="109" max="112" width="8" style="1" hidden="1" customWidth="1"/>
    <col min="113" max="114" width="4.5546875" style="1" hidden="1" customWidth="1"/>
    <col min="115" max="116" width="4.5546875" style="1" customWidth="1"/>
    <col min="117" max="117" width="7.109375" style="1" customWidth="1"/>
    <col min="118" max="127" width="4.5546875" style="1" customWidth="1"/>
    <col min="128" max="129" width="4.5546875" style="1" hidden="1" customWidth="1"/>
    <col min="130" max="132" width="4.5546875" style="1" customWidth="1"/>
    <col min="133" max="133" width="4.5546875" style="1" hidden="1" customWidth="1"/>
    <col min="134" max="135" width="4.5546875" style="1" customWidth="1"/>
    <col min="136" max="153" width="4.5546875" style="1" hidden="1" customWidth="1"/>
    <col min="154" max="157" width="4.5546875" style="1" customWidth="1"/>
    <col min="158" max="162" width="4.5546875" style="1" hidden="1" customWidth="1"/>
    <col min="163" max="163" width="6.44140625" style="1" customWidth="1"/>
    <col min="164" max="16384" width="9.109375" style="1"/>
  </cols>
  <sheetData>
    <row r="2" spans="1:16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</row>
    <row r="3" spans="1:16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</row>
    <row r="4" spans="1:163" s="6" customFormat="1">
      <c r="A4" s="54"/>
      <c r="B4" s="54"/>
    </row>
    <row r="5" spans="1:16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1787</v>
      </c>
      <c r="W5" s="499" t="s">
        <v>1478</v>
      </c>
      <c r="X5" s="499" t="s">
        <v>1479</v>
      </c>
      <c r="Y5" s="499" t="s">
        <v>1391</v>
      </c>
      <c r="Z5" s="499" t="s">
        <v>1399</v>
      </c>
      <c r="AA5" s="499" t="s">
        <v>1607</v>
      </c>
      <c r="AB5" s="499" t="s">
        <v>1608</v>
      </c>
      <c r="AC5" s="499" t="s">
        <v>1400</v>
      </c>
      <c r="AD5" s="499" t="s">
        <v>1401</v>
      </c>
      <c r="AE5" s="499" t="s">
        <v>1482</v>
      </c>
      <c r="AF5" s="499" t="s">
        <v>1483</v>
      </c>
      <c r="AG5" s="499" t="s">
        <v>1485</v>
      </c>
      <c r="AH5" s="499" t="s">
        <v>1486</v>
      </c>
      <c r="AI5" s="499" t="s">
        <v>1609</v>
      </c>
      <c r="AJ5" s="499" t="s">
        <v>1610</v>
      </c>
      <c r="AK5" s="499" t="s">
        <v>1471</v>
      </c>
      <c r="AL5" s="499" t="s">
        <v>1472</v>
      </c>
      <c r="AM5" s="499" t="s">
        <v>1693</v>
      </c>
      <c r="AN5" s="499" t="s">
        <v>1694</v>
      </c>
      <c r="AO5" s="499" t="s">
        <v>1788</v>
      </c>
      <c r="AP5" s="499" t="s">
        <v>1779</v>
      </c>
      <c r="AQ5" s="499" t="s">
        <v>397</v>
      </c>
      <c r="AR5" s="499" t="s">
        <v>400</v>
      </c>
      <c r="AS5" s="499" t="s">
        <v>402</v>
      </c>
      <c r="AT5" s="499" t="s">
        <v>33</v>
      </c>
      <c r="AU5" s="499" t="s">
        <v>35</v>
      </c>
      <c r="AV5" s="499" t="s">
        <v>37</v>
      </c>
      <c r="AW5" s="499" t="s">
        <v>39</v>
      </c>
      <c r="AX5" s="499" t="s">
        <v>117</v>
      </c>
      <c r="AY5" s="499" t="s">
        <v>119</v>
      </c>
      <c r="AZ5" s="499" t="s">
        <v>121</v>
      </c>
      <c r="BA5" s="499" t="s">
        <v>123</v>
      </c>
      <c r="BB5" s="499" t="s">
        <v>1241</v>
      </c>
      <c r="BC5" s="499" t="s">
        <v>1243</v>
      </c>
      <c r="BD5" s="499" t="s">
        <v>1244</v>
      </c>
      <c r="BE5" s="499" t="s">
        <v>2020</v>
      </c>
      <c r="BF5" s="499" t="s">
        <v>2021</v>
      </c>
      <c r="BG5" s="499" t="s">
        <v>316</v>
      </c>
      <c r="BH5" s="499" t="s">
        <v>314</v>
      </c>
      <c r="BI5" s="499" t="s">
        <v>312</v>
      </c>
      <c r="BJ5" s="499" t="s">
        <v>310</v>
      </c>
      <c r="BK5" s="499" t="s">
        <v>1611</v>
      </c>
      <c r="BL5" s="499" t="s">
        <v>1612</v>
      </c>
      <c r="BM5" s="499" t="s">
        <v>2024</v>
      </c>
      <c r="BN5" s="499" t="s">
        <v>2025</v>
      </c>
      <c r="BO5" s="499" t="s">
        <v>1613</v>
      </c>
      <c r="BP5" s="499" t="s">
        <v>345</v>
      </c>
      <c r="BQ5" s="499" t="s">
        <v>292</v>
      </c>
      <c r="BR5" s="499" t="s">
        <v>294</v>
      </c>
      <c r="BS5" s="499" t="s">
        <v>297</v>
      </c>
      <c r="BT5" s="499" t="s">
        <v>299</v>
      </c>
      <c r="BU5" s="499" t="s">
        <v>304</v>
      </c>
      <c r="BV5" s="499" t="s">
        <v>301</v>
      </c>
      <c r="BW5" s="499" t="s">
        <v>306</v>
      </c>
      <c r="BX5" s="499" t="s">
        <v>1733</v>
      </c>
      <c r="BY5" s="499" t="s">
        <v>1907</v>
      </c>
      <c r="BZ5" s="499" t="s">
        <v>1742</v>
      </c>
      <c r="CA5" s="499" t="s">
        <v>1113</v>
      </c>
      <c r="CB5" s="499" t="s">
        <v>1116</v>
      </c>
      <c r="CC5" s="499" t="s">
        <v>387</v>
      </c>
      <c r="CD5" s="499" t="s">
        <v>396</v>
      </c>
      <c r="CE5" s="499" t="s">
        <v>325</v>
      </c>
      <c r="CF5" s="499" t="s">
        <v>327</v>
      </c>
      <c r="CG5" s="499" t="s">
        <v>329</v>
      </c>
      <c r="CH5" s="499" t="s">
        <v>992</v>
      </c>
      <c r="CI5" s="499" t="s">
        <v>2948</v>
      </c>
      <c r="CJ5" s="499" t="s">
        <v>995</v>
      </c>
      <c r="CK5" s="499" t="s">
        <v>996</v>
      </c>
      <c r="CL5" s="499" t="s">
        <v>992</v>
      </c>
      <c r="CM5" s="499" t="s">
        <v>2948</v>
      </c>
      <c r="CN5" s="499" t="s">
        <v>995</v>
      </c>
      <c r="CO5" s="499" t="s">
        <v>996</v>
      </c>
      <c r="CP5" s="513" t="s">
        <v>3149</v>
      </c>
      <c r="CQ5" s="513" t="s">
        <v>3148</v>
      </c>
      <c r="CR5" s="513" t="s">
        <v>3147</v>
      </c>
      <c r="CS5" s="513" t="s">
        <v>3146</v>
      </c>
      <c r="CT5" s="513"/>
      <c r="CU5" s="513"/>
      <c r="CV5" s="513" t="s">
        <v>3150</v>
      </c>
      <c r="CW5" s="513" t="s">
        <v>3151</v>
      </c>
      <c r="CX5" s="513" t="s">
        <v>3752</v>
      </c>
      <c r="CY5" s="513" t="s">
        <v>3152</v>
      </c>
      <c r="CZ5" s="513" t="s">
        <v>3153</v>
      </c>
      <c r="DA5" s="513" t="s">
        <v>3154</v>
      </c>
      <c r="DB5" s="513" t="s">
        <v>3155</v>
      </c>
      <c r="DC5" s="513" t="s">
        <v>3156</v>
      </c>
      <c r="DD5" s="513" t="s">
        <v>3157</v>
      </c>
      <c r="DE5" s="513" t="s">
        <v>3158</v>
      </c>
      <c r="DF5" s="513" t="s">
        <v>3159</v>
      </c>
      <c r="DG5" s="513" t="s">
        <v>3160</v>
      </c>
      <c r="DH5" s="513" t="s">
        <v>3161</v>
      </c>
      <c r="DI5" s="513" t="s">
        <v>3162</v>
      </c>
      <c r="DJ5" s="513" t="s">
        <v>3163</v>
      </c>
      <c r="DK5" s="513" t="s">
        <v>3164</v>
      </c>
      <c r="DL5" s="513" t="s">
        <v>3165</v>
      </c>
      <c r="DM5" s="513" t="s">
        <v>3166</v>
      </c>
      <c r="DN5" s="513" t="s">
        <v>3167</v>
      </c>
      <c r="DO5" s="513" t="s">
        <v>3168</v>
      </c>
      <c r="DP5" s="513" t="s">
        <v>3169</v>
      </c>
      <c r="DQ5" s="513" t="s">
        <v>3170</v>
      </c>
      <c r="DR5" s="513" t="s">
        <v>3171</v>
      </c>
      <c r="DS5" s="513" t="s">
        <v>3172</v>
      </c>
      <c r="DT5" s="513" t="s">
        <v>3173</v>
      </c>
      <c r="DU5" s="513" t="s">
        <v>3174</v>
      </c>
      <c r="DV5" s="513" t="s">
        <v>3175</v>
      </c>
      <c r="DW5" s="513" t="s">
        <v>3176</v>
      </c>
      <c r="DX5" s="513" t="s">
        <v>3177</v>
      </c>
      <c r="DY5" s="513" t="s">
        <v>3175</v>
      </c>
      <c r="DZ5" s="513" t="s">
        <v>3178</v>
      </c>
      <c r="EA5" s="513" t="s">
        <v>3179</v>
      </c>
      <c r="EB5" s="513" t="s">
        <v>3180</v>
      </c>
      <c r="EC5" s="513" t="s">
        <v>3181</v>
      </c>
      <c r="ED5" s="513" t="s">
        <v>3182</v>
      </c>
      <c r="EE5" s="513" t="s">
        <v>3183</v>
      </c>
      <c r="EF5" s="513" t="s">
        <v>3184</v>
      </c>
      <c r="EG5" s="513" t="s">
        <v>3185</v>
      </c>
      <c r="EH5" s="513" t="s">
        <v>3186</v>
      </c>
      <c r="EI5" s="513" t="s">
        <v>3187</v>
      </c>
      <c r="EJ5" s="513" t="s">
        <v>3188</v>
      </c>
      <c r="EK5" s="513" t="s">
        <v>3189</v>
      </c>
      <c r="EL5" s="513" t="s">
        <v>3190</v>
      </c>
      <c r="EM5" s="513" t="s">
        <v>3191</v>
      </c>
      <c r="EN5" s="513" t="s">
        <v>3193</v>
      </c>
      <c r="EO5" s="513" t="s">
        <v>3192</v>
      </c>
      <c r="EP5" s="513" t="s">
        <v>3194</v>
      </c>
      <c r="EQ5" s="513" t="s">
        <v>3195</v>
      </c>
      <c r="ER5" s="513" t="s">
        <v>3196</v>
      </c>
      <c r="ES5" s="513" t="s">
        <v>3197</v>
      </c>
      <c r="ET5" s="513" t="s">
        <v>3198</v>
      </c>
      <c r="EU5" s="513" t="s">
        <v>3199</v>
      </c>
      <c r="EV5" s="513" t="s">
        <v>3200</v>
      </c>
      <c r="EW5" s="513" t="s">
        <v>3201</v>
      </c>
      <c r="EX5" s="513" t="s">
        <v>3204</v>
      </c>
      <c r="EY5" s="513" t="s">
        <v>3205</v>
      </c>
      <c r="EZ5" s="513" t="s">
        <v>3202</v>
      </c>
      <c r="FA5" s="513" t="s">
        <v>3203</v>
      </c>
      <c r="FB5" s="513"/>
      <c r="FC5" s="513"/>
      <c r="FD5" s="513"/>
      <c r="FE5" s="513"/>
      <c r="FF5" s="513"/>
      <c r="FG5" s="499"/>
    </row>
    <row r="6" spans="1:16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1586</v>
      </c>
      <c r="W6" s="500" t="s">
        <v>1457</v>
      </c>
      <c r="X6" s="500" t="s">
        <v>1514</v>
      </c>
      <c r="Y6" s="500" t="s">
        <v>1587</v>
      </c>
      <c r="Z6" s="500" t="s">
        <v>1588</v>
      </c>
      <c r="AA6" s="500" t="s">
        <v>1589</v>
      </c>
      <c r="AB6" s="500" t="s">
        <v>1590</v>
      </c>
      <c r="AC6" s="500" t="s">
        <v>1518</v>
      </c>
      <c r="AD6" s="500" t="s">
        <v>1519</v>
      </c>
      <c r="AE6" s="500" t="s">
        <v>1591</v>
      </c>
      <c r="AF6" s="500" t="s">
        <v>1592</v>
      </c>
      <c r="AG6" s="500" t="s">
        <v>3228</v>
      </c>
      <c r="AH6" s="500" t="s">
        <v>3227</v>
      </c>
      <c r="AI6" s="500" t="s">
        <v>1593</v>
      </c>
      <c r="AJ6" s="500" t="s">
        <v>1594</v>
      </c>
      <c r="AK6" s="500" t="s">
        <v>1595</v>
      </c>
      <c r="AL6" s="500" t="s">
        <v>1596</v>
      </c>
      <c r="AM6" s="500" t="s">
        <v>1597</v>
      </c>
      <c r="AN6" s="500" t="s">
        <v>1598</v>
      </c>
      <c r="AO6" s="500" t="s">
        <v>1599</v>
      </c>
      <c r="AP6" s="500" t="s">
        <v>1558</v>
      </c>
      <c r="AQ6" s="500" t="s">
        <v>1395</v>
      </c>
      <c r="AR6" s="500" t="s">
        <v>401</v>
      </c>
      <c r="AS6" s="500" t="s">
        <v>403</v>
      </c>
      <c r="AT6" s="500" t="s">
        <v>3136</v>
      </c>
      <c r="AU6" s="500" t="s">
        <v>3137</v>
      </c>
      <c r="AV6" s="500" t="s">
        <v>3138</v>
      </c>
      <c r="AW6" s="500" t="s">
        <v>3139</v>
      </c>
      <c r="AX6" s="500" t="s">
        <v>3140</v>
      </c>
      <c r="AY6" s="500" t="s">
        <v>3141</v>
      </c>
      <c r="AZ6" s="500" t="s">
        <v>3142</v>
      </c>
      <c r="BA6" s="500" t="s">
        <v>3143</v>
      </c>
      <c r="BB6" s="500" t="s">
        <v>1404</v>
      </c>
      <c r="BC6" s="500" t="s">
        <v>1403</v>
      </c>
      <c r="BD6" s="500" t="s">
        <v>1396</v>
      </c>
      <c r="BE6" s="500" t="s">
        <v>1605</v>
      </c>
      <c r="BF6" s="500" t="s">
        <v>1602</v>
      </c>
      <c r="BG6" s="500" t="s">
        <v>1407</v>
      </c>
      <c r="BH6" s="500" t="s">
        <v>1406</v>
      </c>
      <c r="BI6" s="500" t="s">
        <v>1606</v>
      </c>
      <c r="BJ6" s="500" t="s">
        <v>1405</v>
      </c>
      <c r="BK6" s="500" t="s">
        <v>287</v>
      </c>
      <c r="BL6" s="500" t="s">
        <v>1614</v>
      </c>
      <c r="BM6" s="500" t="s">
        <v>1615</v>
      </c>
      <c r="BN6" s="500" t="s">
        <v>1616</v>
      </c>
      <c r="BO6" s="500" t="s">
        <v>1617</v>
      </c>
      <c r="BP6" s="500" t="s">
        <v>1792</v>
      </c>
      <c r="BQ6" s="500" t="s">
        <v>1618</v>
      </c>
      <c r="BR6" s="500" t="s">
        <v>1619</v>
      </c>
      <c r="BS6" s="500" t="s">
        <v>1620</v>
      </c>
      <c r="BT6" s="500" t="s">
        <v>1621</v>
      </c>
      <c r="BU6" s="500" t="s">
        <v>3145</v>
      </c>
      <c r="BV6" s="500" t="s">
        <v>3144</v>
      </c>
      <c r="BW6" s="500" t="s">
        <v>1397</v>
      </c>
      <c r="BX6" s="500" t="s">
        <v>3249</v>
      </c>
      <c r="BY6" s="500" t="s">
        <v>3250</v>
      </c>
      <c r="BZ6" s="500" t="s">
        <v>3256</v>
      </c>
      <c r="CA6" s="500" t="s">
        <v>3251</v>
      </c>
      <c r="CB6" s="500" t="s">
        <v>3257</v>
      </c>
      <c r="CC6" s="500" t="s">
        <v>3258</v>
      </c>
      <c r="CD6" s="500" t="s">
        <v>3259</v>
      </c>
      <c r="CE6" s="500" t="s">
        <v>1437</v>
      </c>
      <c r="CF6" s="500" t="s">
        <v>1438</v>
      </c>
      <c r="CG6" s="500" t="s">
        <v>1439</v>
      </c>
      <c r="CH6" s="500" t="s">
        <v>1408</v>
      </c>
      <c r="CI6" s="500" t="s">
        <v>3252</v>
      </c>
      <c r="CJ6" s="500" t="s">
        <v>1409</v>
      </c>
      <c r="CK6" s="500" t="s">
        <v>1410</v>
      </c>
      <c r="CL6" s="500" t="s">
        <v>1411</v>
      </c>
      <c r="CM6" s="500" t="s">
        <v>3253</v>
      </c>
      <c r="CN6" s="500" t="s">
        <v>1412</v>
      </c>
      <c r="CO6" s="500" t="s">
        <v>1413</v>
      </c>
      <c r="CP6" s="514" t="s">
        <v>3097</v>
      </c>
      <c r="CQ6" s="514" t="s">
        <v>3098</v>
      </c>
      <c r="CR6" s="514" t="s">
        <v>3099</v>
      </c>
      <c r="CS6" s="514" t="s">
        <v>3100</v>
      </c>
      <c r="CT6" s="514" t="s">
        <v>3536</v>
      </c>
      <c r="CU6" s="514" t="s">
        <v>3535</v>
      </c>
      <c r="CV6" s="514" t="s">
        <v>3092</v>
      </c>
      <c r="CW6" s="514" t="s">
        <v>3091</v>
      </c>
      <c r="CX6" s="514" t="s">
        <v>3753</v>
      </c>
      <c r="CY6" s="514" t="s">
        <v>3090</v>
      </c>
      <c r="CZ6" s="514" t="s">
        <v>3089</v>
      </c>
      <c r="DA6" s="514" t="s">
        <v>3088</v>
      </c>
      <c r="DB6" s="514" t="s">
        <v>3087</v>
      </c>
      <c r="DC6" s="514" t="s">
        <v>212</v>
      </c>
      <c r="DD6" s="514" t="s">
        <v>216</v>
      </c>
      <c r="DE6" s="514" t="s">
        <v>220</v>
      </c>
      <c r="DF6" s="514" t="s">
        <v>210</v>
      </c>
      <c r="DG6" s="514" t="s">
        <v>214</v>
      </c>
      <c r="DH6" s="514" t="s">
        <v>218</v>
      </c>
      <c r="DI6" s="514" t="s">
        <v>3096</v>
      </c>
      <c r="DJ6" s="514" t="s">
        <v>3093</v>
      </c>
      <c r="DK6" s="514" t="s">
        <v>3094</v>
      </c>
      <c r="DL6" s="514" t="s">
        <v>3095</v>
      </c>
      <c r="DM6" s="514" t="s">
        <v>1467</v>
      </c>
      <c r="DN6" s="514" t="s">
        <v>3101</v>
      </c>
      <c r="DO6" s="514" t="s">
        <v>3106</v>
      </c>
      <c r="DP6" s="514" t="s">
        <v>3102</v>
      </c>
      <c r="DQ6" s="514" t="s">
        <v>3103</v>
      </c>
      <c r="DR6" s="514" t="s">
        <v>3104</v>
      </c>
      <c r="DS6" s="514" t="s">
        <v>3105</v>
      </c>
      <c r="DT6" s="514" t="s">
        <v>3108</v>
      </c>
      <c r="DU6" s="514" t="s">
        <v>3107</v>
      </c>
      <c r="DV6" s="514" t="s">
        <v>3109</v>
      </c>
      <c r="DW6" s="514" t="s">
        <v>3110</v>
      </c>
      <c r="DX6" s="514" t="s">
        <v>3111</v>
      </c>
      <c r="DY6" s="514" t="s">
        <v>3112</v>
      </c>
      <c r="DZ6" s="514" t="s">
        <v>3113</v>
      </c>
      <c r="EA6" s="514" t="s">
        <v>3114</v>
      </c>
      <c r="EB6" s="514" t="s">
        <v>3115</v>
      </c>
      <c r="EC6" s="514" t="s">
        <v>3116</v>
      </c>
      <c r="ED6" s="514" t="s">
        <v>3117</v>
      </c>
      <c r="EE6" s="514" t="s">
        <v>3118</v>
      </c>
      <c r="EF6" s="514" t="s">
        <v>3119</v>
      </c>
      <c r="EG6" s="514" t="s">
        <v>3121</v>
      </c>
      <c r="EH6" s="514" t="s">
        <v>3120</v>
      </c>
      <c r="EI6" s="514" t="s">
        <v>3122</v>
      </c>
      <c r="EJ6" s="514" t="s">
        <v>3123</v>
      </c>
      <c r="EK6" s="514" t="s">
        <v>3132</v>
      </c>
      <c r="EL6" s="514" t="s">
        <v>3125</v>
      </c>
      <c r="EM6" s="514" t="s">
        <v>3126</v>
      </c>
      <c r="EN6" s="514" t="s">
        <v>1204</v>
      </c>
      <c r="EO6" s="514" t="s">
        <v>1210</v>
      </c>
      <c r="EP6" s="514" t="s">
        <v>3124</v>
      </c>
      <c r="EQ6" s="514" t="s">
        <v>3127</v>
      </c>
      <c r="ER6" s="514" t="s">
        <v>3128</v>
      </c>
      <c r="ES6" s="514" t="s">
        <v>1206</v>
      </c>
      <c r="ET6" s="514" t="s">
        <v>1212</v>
      </c>
      <c r="EU6" s="514" t="s">
        <v>3129</v>
      </c>
      <c r="EV6" s="514" t="s">
        <v>3130</v>
      </c>
      <c r="EW6" s="514" t="s">
        <v>3131</v>
      </c>
      <c r="EX6" s="514" t="s">
        <v>3441</v>
      </c>
      <c r="EY6" s="514" t="s">
        <v>3440</v>
      </c>
      <c r="EZ6" s="514" t="s">
        <v>1381</v>
      </c>
      <c r="FA6" s="514" t="s">
        <v>3135</v>
      </c>
      <c r="FB6" s="514" t="s">
        <v>287</v>
      </c>
      <c r="FC6" s="514" t="s">
        <v>3260</v>
      </c>
      <c r="FD6" s="514" t="s">
        <v>3344</v>
      </c>
      <c r="FE6" s="514" t="s">
        <v>3414</v>
      </c>
      <c r="FF6" s="514" t="s">
        <v>3415</v>
      </c>
      <c r="FG6" s="500" t="s">
        <v>1398</v>
      </c>
    </row>
    <row r="7" spans="1:16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5"/>
    </row>
    <row r="8" spans="1:163" s="696" customFormat="1">
      <c r="A8" s="690"/>
      <c r="B8" s="690"/>
      <c r="C8" s="708"/>
      <c r="D8" s="708" t="s">
        <v>3604</v>
      </c>
      <c r="E8" s="694"/>
      <c r="F8" s="694"/>
      <c r="G8" s="694"/>
      <c r="H8" s="694"/>
      <c r="I8" s="694"/>
      <c r="J8" s="694"/>
      <c r="K8" s="694"/>
      <c r="L8" s="694"/>
      <c r="M8" s="694"/>
      <c r="N8" s="694"/>
      <c r="O8" s="694"/>
      <c r="P8" s="694"/>
      <c r="Q8" s="694"/>
      <c r="R8" s="694"/>
      <c r="S8" s="694"/>
      <c r="T8" s="694" t="s">
        <v>2990</v>
      </c>
      <c r="U8" s="694"/>
      <c r="V8" s="694"/>
      <c r="W8" s="694"/>
      <c r="X8" s="694"/>
      <c r="Y8" s="694"/>
      <c r="Z8" s="694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  <c r="BX8" s="694"/>
      <c r="BY8" s="694"/>
      <c r="BZ8" s="694"/>
      <c r="CA8" s="694"/>
      <c r="CB8" s="694"/>
      <c r="CC8" s="694"/>
      <c r="CD8" s="694"/>
      <c r="CE8" s="694"/>
      <c r="CF8" s="694"/>
      <c r="CG8" s="694"/>
      <c r="CH8" s="694"/>
      <c r="CI8" s="694"/>
      <c r="CJ8" s="694"/>
      <c r="CK8" s="694"/>
      <c r="CL8" s="694"/>
      <c r="CM8" s="694"/>
      <c r="CN8" s="694"/>
      <c r="CO8" s="694"/>
      <c r="CP8" s="694"/>
      <c r="CQ8" s="694"/>
      <c r="CR8" s="694"/>
      <c r="CS8" s="694"/>
      <c r="CT8" s="694"/>
      <c r="CU8" s="694"/>
      <c r="CV8" s="695"/>
      <c r="CW8" s="695">
        <f>E8</f>
        <v>0</v>
      </c>
      <c r="CX8" s="695"/>
      <c r="CY8" s="695"/>
      <c r="CZ8" s="695"/>
      <c r="DA8" s="695">
        <f>E8*2</f>
        <v>0</v>
      </c>
      <c r="DB8" s="695"/>
      <c r="DC8" s="695"/>
      <c r="DD8" s="695"/>
      <c r="DE8" s="695"/>
      <c r="DF8" s="695"/>
      <c r="DG8" s="695"/>
      <c r="DH8" s="695"/>
      <c r="DI8" s="694"/>
      <c r="DJ8" s="694"/>
      <c r="DK8" s="694">
        <v>1</v>
      </c>
      <c r="DL8" s="694"/>
      <c r="DM8" s="694">
        <v>3</v>
      </c>
      <c r="DN8" s="694"/>
      <c r="DO8" s="694"/>
      <c r="DP8" s="694"/>
      <c r="DQ8" s="694"/>
      <c r="DR8" s="694"/>
      <c r="DS8" s="694"/>
      <c r="DT8" s="694"/>
      <c r="DU8" s="694">
        <v>4</v>
      </c>
      <c r="DV8" s="694"/>
      <c r="DW8" s="694"/>
      <c r="DX8" s="694"/>
      <c r="DY8" s="694"/>
      <c r="DZ8" s="694"/>
      <c r="EA8" s="694">
        <v>2</v>
      </c>
      <c r="EB8" s="694"/>
      <c r="EC8" s="694"/>
      <c r="ED8" s="694"/>
      <c r="EE8" s="694"/>
      <c r="EF8" s="694"/>
      <c r="EG8" s="694"/>
      <c r="EH8" s="694"/>
      <c r="EI8" s="694"/>
      <c r="EJ8" s="694"/>
      <c r="EK8" s="694"/>
      <c r="EL8" s="694"/>
      <c r="EM8" s="694"/>
      <c r="EN8" s="694"/>
      <c r="EO8" s="694"/>
      <c r="EP8" s="694"/>
      <c r="EQ8" s="694"/>
      <c r="ER8" s="694"/>
      <c r="ES8" s="694"/>
      <c r="ET8" s="694"/>
      <c r="EU8" s="694"/>
      <c r="EV8" s="694"/>
      <c r="EW8" s="694"/>
      <c r="EX8" s="694"/>
      <c r="EY8" s="694"/>
      <c r="EZ8" s="694"/>
      <c r="FA8" s="694"/>
      <c r="FB8" s="694"/>
      <c r="FC8" s="694"/>
      <c r="FD8" s="694"/>
      <c r="FE8" s="694"/>
      <c r="FF8" s="694"/>
      <c r="FG8" s="697"/>
    </row>
    <row r="9" spans="1:163" s="696" customFormat="1">
      <c r="A9" s="690"/>
      <c r="B9" s="690"/>
      <c r="C9" s="708" t="s">
        <v>3608</v>
      </c>
      <c r="D9" s="708"/>
      <c r="E9" s="694">
        <v>30.3</v>
      </c>
      <c r="F9" s="694"/>
      <c r="G9" s="694"/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  <c r="T9" s="694" t="s">
        <v>1631</v>
      </c>
      <c r="U9" s="694"/>
      <c r="V9" s="694"/>
      <c r="W9" s="694"/>
      <c r="X9" s="694"/>
      <c r="Y9" s="694"/>
      <c r="Z9" s="694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  <c r="BX9" s="694"/>
      <c r="BY9" s="694"/>
      <c r="BZ9" s="694"/>
      <c r="CA9" s="694"/>
      <c r="CB9" s="694"/>
      <c r="CC9" s="694"/>
      <c r="CD9" s="694"/>
      <c r="CE9" s="694"/>
      <c r="CF9" s="694"/>
      <c r="CG9" s="694"/>
      <c r="CH9" s="694"/>
      <c r="CI9" s="694"/>
      <c r="CJ9" s="694"/>
      <c r="CK9" s="694"/>
      <c r="CL9" s="694"/>
      <c r="CM9" s="694"/>
      <c r="CN9" s="694"/>
      <c r="CO9" s="694"/>
      <c r="CP9" s="694"/>
      <c r="CQ9" s="694"/>
      <c r="CR9" s="694"/>
      <c r="CS9" s="694"/>
      <c r="CT9" s="694"/>
      <c r="CU9" s="694"/>
      <c r="CV9" s="695"/>
      <c r="CW9" s="695">
        <f t="shared" ref="CW9:CW62" si="0">E9</f>
        <v>30.3</v>
      </c>
      <c r="CX9" s="695"/>
      <c r="CY9" s="695"/>
      <c r="CZ9" s="695"/>
      <c r="DA9" s="695">
        <f t="shared" ref="DA9:DA62" si="1">E9*2</f>
        <v>60.6</v>
      </c>
      <c r="DB9" s="695"/>
      <c r="DC9" s="695"/>
      <c r="DD9" s="695"/>
      <c r="DE9" s="695"/>
      <c r="DF9" s="695"/>
      <c r="DG9" s="695"/>
      <c r="DH9" s="695"/>
      <c r="DI9" s="694"/>
      <c r="DJ9" s="694"/>
      <c r="DK9" s="694">
        <v>1</v>
      </c>
      <c r="DL9" s="694"/>
      <c r="DM9" s="694">
        <v>3</v>
      </c>
      <c r="DN9" s="694"/>
      <c r="DO9" s="694"/>
      <c r="DP9" s="694"/>
      <c r="DQ9" s="694"/>
      <c r="DR9" s="694"/>
      <c r="DS9" s="694"/>
      <c r="DT9" s="694"/>
      <c r="DU9" s="694"/>
      <c r="DV9" s="694"/>
      <c r="DW9" s="694"/>
      <c r="DX9" s="694"/>
      <c r="DY9" s="694"/>
      <c r="DZ9" s="694"/>
      <c r="EA9" s="694">
        <v>2</v>
      </c>
      <c r="EB9" s="694"/>
      <c r="EC9" s="694"/>
      <c r="ED9" s="694"/>
      <c r="EE9" s="694"/>
      <c r="EF9" s="694"/>
      <c r="EG9" s="694"/>
      <c r="EH9" s="694"/>
      <c r="EI9" s="694"/>
      <c r="EJ9" s="694"/>
      <c r="EK9" s="694"/>
      <c r="EL9" s="694"/>
      <c r="EM9" s="694"/>
      <c r="EN9" s="694"/>
      <c r="EO9" s="694"/>
      <c r="EP9" s="694"/>
      <c r="EQ9" s="694"/>
      <c r="ER9" s="694"/>
      <c r="ES9" s="694"/>
      <c r="ET9" s="694"/>
      <c r="EU9" s="694"/>
      <c r="EV9" s="694"/>
      <c r="EW9" s="694"/>
      <c r="EX9" s="694"/>
      <c r="EY9" s="694"/>
      <c r="EZ9" s="694"/>
      <c r="FA9" s="694"/>
      <c r="FB9" s="694"/>
      <c r="FC9" s="694"/>
      <c r="FD9" s="694"/>
      <c r="FE9" s="694"/>
      <c r="FF9" s="694"/>
      <c r="FG9" s="697"/>
    </row>
    <row r="10" spans="1:163" s="696" customFormat="1">
      <c r="A10" s="690"/>
      <c r="B10" s="690"/>
      <c r="C10" s="708"/>
      <c r="D10" s="708" t="s">
        <v>3605</v>
      </c>
      <c r="E10" s="694">
        <v>29.2</v>
      </c>
      <c r="F10" s="694"/>
      <c r="G10" s="694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  <c r="T10" s="694" t="s">
        <v>2989</v>
      </c>
      <c r="U10" s="694"/>
      <c r="V10" s="694"/>
      <c r="W10" s="694"/>
      <c r="X10" s="694"/>
      <c r="Y10" s="694"/>
      <c r="Z10" s="694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  <c r="BX10" s="694"/>
      <c r="BY10" s="694"/>
      <c r="BZ10" s="694"/>
      <c r="CA10" s="694"/>
      <c r="CB10" s="694"/>
      <c r="CC10" s="694"/>
      <c r="CD10" s="694"/>
      <c r="CE10" s="694"/>
      <c r="CF10" s="694"/>
      <c r="CG10" s="694"/>
      <c r="CH10" s="694"/>
      <c r="CI10" s="694"/>
      <c r="CJ10" s="694"/>
      <c r="CK10" s="694"/>
      <c r="CL10" s="694"/>
      <c r="CM10" s="694"/>
      <c r="CN10" s="694"/>
      <c r="CO10" s="694"/>
      <c r="CP10" s="694"/>
      <c r="CQ10" s="694"/>
      <c r="CR10" s="694"/>
      <c r="CS10" s="694"/>
      <c r="CT10" s="694"/>
      <c r="CU10" s="694"/>
      <c r="CV10" s="695"/>
      <c r="CW10" s="695">
        <f t="shared" si="0"/>
        <v>29.2</v>
      </c>
      <c r="CX10" s="695"/>
      <c r="CY10" s="695"/>
      <c r="CZ10" s="695"/>
      <c r="DA10" s="695">
        <f t="shared" si="1"/>
        <v>58.4</v>
      </c>
      <c r="DB10" s="695"/>
      <c r="DC10" s="695"/>
      <c r="DD10" s="695"/>
      <c r="DE10" s="695"/>
      <c r="DF10" s="695"/>
      <c r="DG10" s="695"/>
      <c r="DH10" s="695"/>
      <c r="DI10" s="694"/>
      <c r="DJ10" s="694"/>
      <c r="DK10" s="694">
        <v>2</v>
      </c>
      <c r="DL10" s="694"/>
      <c r="DM10" s="694">
        <v>6</v>
      </c>
      <c r="DN10" s="694"/>
      <c r="DO10" s="694"/>
      <c r="DP10" s="694"/>
      <c r="DQ10" s="694"/>
      <c r="DR10" s="694"/>
      <c r="DS10" s="694"/>
      <c r="DT10" s="694"/>
      <c r="DU10" s="694">
        <v>6</v>
      </c>
      <c r="DV10" s="694"/>
      <c r="DW10" s="694"/>
      <c r="DX10" s="694"/>
      <c r="DY10" s="694"/>
      <c r="DZ10" s="694"/>
      <c r="EA10" s="694"/>
      <c r="EB10" s="694"/>
      <c r="EC10" s="694"/>
      <c r="ED10" s="694"/>
      <c r="EE10" s="694"/>
      <c r="EF10" s="694"/>
      <c r="EG10" s="694"/>
      <c r="EH10" s="694"/>
      <c r="EI10" s="694"/>
      <c r="EJ10" s="694"/>
      <c r="EK10" s="694"/>
      <c r="EL10" s="694"/>
      <c r="EM10" s="694"/>
      <c r="EN10" s="694"/>
      <c r="EO10" s="694"/>
      <c r="EP10" s="694"/>
      <c r="EQ10" s="694"/>
      <c r="ER10" s="694"/>
      <c r="ES10" s="694"/>
      <c r="ET10" s="694"/>
      <c r="EU10" s="694"/>
      <c r="EV10" s="694"/>
      <c r="EW10" s="694"/>
      <c r="EX10" s="694"/>
      <c r="EY10" s="694"/>
      <c r="EZ10" s="694"/>
      <c r="FA10" s="694"/>
      <c r="FB10" s="694"/>
      <c r="FC10" s="694"/>
      <c r="FD10" s="694"/>
      <c r="FE10" s="694"/>
      <c r="FF10" s="694">
        <v>2</v>
      </c>
      <c r="FG10" s="697"/>
    </row>
    <row r="11" spans="1:163" s="696" customFormat="1">
      <c r="A11" s="690"/>
      <c r="B11" s="690"/>
      <c r="C11" s="708" t="s">
        <v>3609</v>
      </c>
      <c r="D11" s="708"/>
      <c r="E11" s="694">
        <v>41.1</v>
      </c>
      <c r="F11" s="694"/>
      <c r="G11" s="694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  <c r="T11" s="694" t="s">
        <v>1631</v>
      </c>
      <c r="U11" s="694"/>
      <c r="V11" s="694"/>
      <c r="W11" s="694"/>
      <c r="X11" s="694"/>
      <c r="Y11" s="694"/>
      <c r="Z11" s="694"/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  <c r="BX11" s="694"/>
      <c r="BY11" s="694"/>
      <c r="BZ11" s="694"/>
      <c r="CA11" s="694"/>
      <c r="CB11" s="694"/>
      <c r="CC11" s="694"/>
      <c r="CD11" s="694"/>
      <c r="CE11" s="694"/>
      <c r="CF11" s="694"/>
      <c r="CG11" s="694"/>
      <c r="CH11" s="694"/>
      <c r="CI11" s="694"/>
      <c r="CJ11" s="694"/>
      <c r="CK11" s="694"/>
      <c r="CL11" s="694"/>
      <c r="CM11" s="694"/>
      <c r="CN11" s="694"/>
      <c r="CO11" s="694"/>
      <c r="CP11" s="694"/>
      <c r="CQ11" s="694"/>
      <c r="CR11" s="694"/>
      <c r="CS11" s="694"/>
      <c r="CT11" s="694"/>
      <c r="CU11" s="694"/>
      <c r="CV11" s="695"/>
      <c r="CW11" s="695">
        <f t="shared" si="0"/>
        <v>41.1</v>
      </c>
      <c r="CX11" s="695"/>
      <c r="CY11" s="695"/>
      <c r="CZ11" s="695"/>
      <c r="DA11" s="695">
        <f t="shared" si="1"/>
        <v>82.2</v>
      </c>
      <c r="DB11" s="695"/>
      <c r="DC11" s="695"/>
      <c r="DD11" s="695"/>
      <c r="DE11" s="695"/>
      <c r="DF11" s="695"/>
      <c r="DG11" s="695"/>
      <c r="DH11" s="695"/>
      <c r="DI11" s="694"/>
      <c r="DJ11" s="694"/>
      <c r="DK11" s="694">
        <v>1</v>
      </c>
      <c r="DL11" s="694"/>
      <c r="DM11" s="694">
        <v>3</v>
      </c>
      <c r="DN11" s="694">
        <v>1</v>
      </c>
      <c r="DO11" s="694">
        <v>3</v>
      </c>
      <c r="DP11" s="694">
        <v>2</v>
      </c>
      <c r="DQ11" s="694"/>
      <c r="DR11" s="694"/>
      <c r="DS11" s="694"/>
      <c r="DT11" s="694"/>
      <c r="DU11" s="694"/>
      <c r="DV11" s="694"/>
      <c r="DW11" s="694"/>
      <c r="DX11" s="694"/>
      <c r="DY11" s="694"/>
      <c r="DZ11" s="694"/>
      <c r="EA11" s="694">
        <v>2</v>
      </c>
      <c r="EB11" s="694"/>
      <c r="EC11" s="694"/>
      <c r="ED11" s="694"/>
      <c r="EE11" s="694"/>
      <c r="EF11" s="694"/>
      <c r="EG11" s="694"/>
      <c r="EH11" s="694"/>
      <c r="EI11" s="694"/>
      <c r="EJ11" s="694"/>
      <c r="EK11" s="694"/>
      <c r="EL11" s="694"/>
      <c r="EM11" s="694"/>
      <c r="EN11" s="694"/>
      <c r="EO11" s="694"/>
      <c r="EP11" s="694"/>
      <c r="EQ11" s="694"/>
      <c r="ER11" s="694"/>
      <c r="ES11" s="694"/>
      <c r="ET11" s="694"/>
      <c r="EU11" s="694"/>
      <c r="EV11" s="694"/>
      <c r="EW11" s="694"/>
      <c r="EX11" s="694"/>
      <c r="EY11" s="694"/>
      <c r="EZ11" s="694"/>
      <c r="FA11" s="694"/>
      <c r="FB11" s="694"/>
      <c r="FC11" s="694"/>
      <c r="FD11" s="694"/>
      <c r="FE11" s="694"/>
      <c r="FF11" s="694"/>
      <c r="FG11" s="697"/>
    </row>
    <row r="12" spans="1:163" s="696" customFormat="1">
      <c r="A12" s="690"/>
      <c r="B12" s="690"/>
      <c r="C12" s="708"/>
      <c r="D12" s="708" t="s">
        <v>3606</v>
      </c>
      <c r="E12" s="694">
        <v>12.3</v>
      </c>
      <c r="F12" s="694"/>
      <c r="G12" s="694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  <c r="T12" s="694" t="s">
        <v>1631</v>
      </c>
      <c r="U12" s="694"/>
      <c r="V12" s="694"/>
      <c r="W12" s="694"/>
      <c r="X12" s="694"/>
      <c r="Y12" s="694"/>
      <c r="Z12" s="694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  <c r="BX12" s="694"/>
      <c r="BY12" s="694"/>
      <c r="BZ12" s="694"/>
      <c r="CA12" s="694"/>
      <c r="CB12" s="694"/>
      <c r="CC12" s="694"/>
      <c r="CD12" s="694"/>
      <c r="CE12" s="694"/>
      <c r="CF12" s="694"/>
      <c r="CG12" s="694"/>
      <c r="CH12" s="694"/>
      <c r="CI12" s="694"/>
      <c r="CJ12" s="694"/>
      <c r="CK12" s="694"/>
      <c r="CL12" s="694"/>
      <c r="CM12" s="694"/>
      <c r="CN12" s="694"/>
      <c r="CO12" s="694"/>
      <c r="CP12" s="694"/>
      <c r="CQ12" s="694"/>
      <c r="CR12" s="694"/>
      <c r="CS12" s="694"/>
      <c r="CT12" s="694"/>
      <c r="CU12" s="694"/>
      <c r="CV12" s="695"/>
      <c r="CW12" s="695">
        <f t="shared" si="0"/>
        <v>12.3</v>
      </c>
      <c r="CX12" s="695"/>
      <c r="CY12" s="695"/>
      <c r="CZ12" s="695"/>
      <c r="DA12" s="695">
        <f t="shared" si="1"/>
        <v>24.6</v>
      </c>
      <c r="DB12" s="695"/>
      <c r="DC12" s="695"/>
      <c r="DD12" s="695"/>
      <c r="DE12" s="695"/>
      <c r="DF12" s="695"/>
      <c r="DG12" s="695"/>
      <c r="DH12" s="695"/>
      <c r="DI12" s="694"/>
      <c r="DJ12" s="694"/>
      <c r="DK12" s="694">
        <v>1</v>
      </c>
      <c r="DL12" s="694"/>
      <c r="DM12" s="694">
        <v>3</v>
      </c>
      <c r="DN12" s="694"/>
      <c r="DO12" s="694"/>
      <c r="DP12" s="694"/>
      <c r="DQ12" s="694"/>
      <c r="DR12" s="694"/>
      <c r="DS12" s="694"/>
      <c r="DT12" s="694"/>
      <c r="DU12" s="694"/>
      <c r="DV12" s="694"/>
      <c r="DW12" s="694"/>
      <c r="DX12" s="694"/>
      <c r="DY12" s="694"/>
      <c r="DZ12" s="694"/>
      <c r="EA12" s="694">
        <v>1</v>
      </c>
      <c r="EB12" s="694"/>
      <c r="EC12" s="694"/>
      <c r="ED12" s="694"/>
      <c r="EE12" s="694"/>
      <c r="EF12" s="694"/>
      <c r="EG12" s="694"/>
      <c r="EH12" s="694"/>
      <c r="EI12" s="694"/>
      <c r="EJ12" s="694"/>
      <c r="EK12" s="694"/>
      <c r="EL12" s="694"/>
      <c r="EM12" s="694"/>
      <c r="EN12" s="694"/>
      <c r="EO12" s="694"/>
      <c r="EP12" s="694"/>
      <c r="EQ12" s="694"/>
      <c r="ER12" s="694"/>
      <c r="ES12" s="694"/>
      <c r="ET12" s="694"/>
      <c r="EU12" s="694"/>
      <c r="EV12" s="694"/>
      <c r="EW12" s="694"/>
      <c r="EX12" s="694"/>
      <c r="EY12" s="694"/>
      <c r="EZ12" s="694"/>
      <c r="FA12" s="694"/>
      <c r="FB12" s="694"/>
      <c r="FC12" s="694"/>
      <c r="FD12" s="694"/>
      <c r="FE12" s="694"/>
      <c r="FF12" s="694"/>
      <c r="FG12" s="697"/>
    </row>
    <row r="13" spans="1:163" s="696" customFormat="1">
      <c r="A13" s="690"/>
      <c r="B13" s="690"/>
      <c r="C13" s="708" t="s">
        <v>3607</v>
      </c>
      <c r="D13" s="708"/>
      <c r="E13" s="694">
        <v>37.9</v>
      </c>
      <c r="F13" s="694"/>
      <c r="G13" s="694"/>
      <c r="H13" s="694"/>
      <c r="I13" s="694"/>
      <c r="J13" s="694"/>
      <c r="K13" s="694"/>
      <c r="L13" s="694"/>
      <c r="M13" s="694"/>
      <c r="N13" s="694"/>
      <c r="O13" s="694"/>
      <c r="P13" s="694"/>
      <c r="Q13" s="694"/>
      <c r="R13" s="694"/>
      <c r="S13" s="694"/>
      <c r="T13" s="694" t="s">
        <v>1631</v>
      </c>
      <c r="U13" s="694"/>
      <c r="V13" s="694"/>
      <c r="W13" s="694"/>
      <c r="X13" s="694"/>
      <c r="Y13" s="694"/>
      <c r="Z13" s="694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  <c r="BX13" s="694"/>
      <c r="BY13" s="694"/>
      <c r="BZ13" s="694"/>
      <c r="CA13" s="694"/>
      <c r="CB13" s="694"/>
      <c r="CC13" s="694"/>
      <c r="CD13" s="694"/>
      <c r="CE13" s="694"/>
      <c r="CF13" s="694"/>
      <c r="CG13" s="694"/>
      <c r="CH13" s="694"/>
      <c r="CI13" s="694"/>
      <c r="CJ13" s="694"/>
      <c r="CK13" s="694"/>
      <c r="CL13" s="694"/>
      <c r="CM13" s="694"/>
      <c r="CN13" s="694"/>
      <c r="CO13" s="694"/>
      <c r="CP13" s="694"/>
      <c r="CQ13" s="694"/>
      <c r="CR13" s="694"/>
      <c r="CS13" s="694"/>
      <c r="CT13" s="694"/>
      <c r="CU13" s="694"/>
      <c r="CV13" s="695"/>
      <c r="CW13" s="695">
        <f t="shared" si="0"/>
        <v>37.9</v>
      </c>
      <c r="CX13" s="695"/>
      <c r="CY13" s="695"/>
      <c r="CZ13" s="695"/>
      <c r="DA13" s="695">
        <f t="shared" si="1"/>
        <v>75.8</v>
      </c>
      <c r="DB13" s="695"/>
      <c r="DC13" s="695"/>
      <c r="DD13" s="695"/>
      <c r="DE13" s="695"/>
      <c r="DF13" s="695"/>
      <c r="DG13" s="695"/>
      <c r="DH13" s="695"/>
      <c r="DI13" s="694"/>
      <c r="DJ13" s="694"/>
      <c r="DK13" s="694">
        <v>1</v>
      </c>
      <c r="DL13" s="694"/>
      <c r="DM13" s="694">
        <v>3</v>
      </c>
      <c r="DN13" s="694">
        <v>1</v>
      </c>
      <c r="DO13" s="694">
        <v>3</v>
      </c>
      <c r="DP13" s="694">
        <v>2</v>
      </c>
      <c r="DQ13" s="694"/>
      <c r="DR13" s="694"/>
      <c r="DS13" s="694"/>
      <c r="DT13" s="694"/>
      <c r="DU13" s="694"/>
      <c r="DV13" s="694"/>
      <c r="DW13" s="694"/>
      <c r="DX13" s="694"/>
      <c r="DY13" s="694"/>
      <c r="DZ13" s="694"/>
      <c r="EA13" s="694">
        <v>2</v>
      </c>
      <c r="EB13" s="694"/>
      <c r="EC13" s="694"/>
      <c r="ED13" s="694"/>
      <c r="EE13" s="694"/>
      <c r="EF13" s="694"/>
      <c r="EG13" s="694"/>
      <c r="EH13" s="694"/>
      <c r="EI13" s="694"/>
      <c r="EJ13" s="694"/>
      <c r="EK13" s="694"/>
      <c r="EL13" s="694"/>
      <c r="EM13" s="694"/>
      <c r="EN13" s="694"/>
      <c r="EO13" s="694"/>
      <c r="EP13" s="694"/>
      <c r="EQ13" s="694"/>
      <c r="ER13" s="694"/>
      <c r="ES13" s="694"/>
      <c r="ET13" s="694"/>
      <c r="EU13" s="694"/>
      <c r="EV13" s="694"/>
      <c r="EW13" s="694"/>
      <c r="EX13" s="694"/>
      <c r="EY13" s="694"/>
      <c r="EZ13" s="694"/>
      <c r="FA13" s="694"/>
      <c r="FB13" s="694"/>
      <c r="FC13" s="694"/>
      <c r="FD13" s="694"/>
      <c r="FE13" s="694"/>
      <c r="FF13" s="694"/>
      <c r="FG13" s="697"/>
    </row>
    <row r="14" spans="1:163" s="696" customFormat="1">
      <c r="A14" s="690"/>
      <c r="B14" s="690"/>
      <c r="C14" s="708"/>
      <c r="D14" s="708" t="s">
        <v>3610</v>
      </c>
      <c r="E14" s="694">
        <v>24.8</v>
      </c>
      <c r="F14" s="694"/>
      <c r="G14" s="694"/>
      <c r="H14" s="694"/>
      <c r="I14" s="694"/>
      <c r="J14" s="694"/>
      <c r="K14" s="694"/>
      <c r="L14" s="694"/>
      <c r="M14" s="694"/>
      <c r="N14" s="694"/>
      <c r="O14" s="694"/>
      <c r="P14" s="694"/>
      <c r="Q14" s="694"/>
      <c r="R14" s="694"/>
      <c r="S14" s="694"/>
      <c r="T14" s="694" t="s">
        <v>1903</v>
      </c>
      <c r="U14" s="694"/>
      <c r="V14" s="694"/>
      <c r="W14" s="694"/>
      <c r="X14" s="694"/>
      <c r="Y14" s="694"/>
      <c r="Z14" s="694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  <c r="BX14" s="694"/>
      <c r="BY14" s="694"/>
      <c r="BZ14" s="694"/>
      <c r="CA14" s="694"/>
      <c r="CB14" s="694"/>
      <c r="CC14" s="694"/>
      <c r="CD14" s="694"/>
      <c r="CE14" s="694"/>
      <c r="CF14" s="694"/>
      <c r="CG14" s="694"/>
      <c r="CH14" s="694"/>
      <c r="CI14" s="694"/>
      <c r="CJ14" s="694"/>
      <c r="CK14" s="694"/>
      <c r="CL14" s="694"/>
      <c r="CM14" s="694"/>
      <c r="CN14" s="694"/>
      <c r="CO14" s="694"/>
      <c r="CP14" s="694"/>
      <c r="CQ14" s="694"/>
      <c r="CR14" s="694"/>
      <c r="CS14" s="694"/>
      <c r="CT14" s="694"/>
      <c r="CU14" s="694"/>
      <c r="CV14" s="695"/>
      <c r="CW14" s="695">
        <f t="shared" si="0"/>
        <v>24.8</v>
      </c>
      <c r="CX14" s="695"/>
      <c r="CY14" s="695"/>
      <c r="CZ14" s="695"/>
      <c r="DA14" s="695">
        <f t="shared" si="1"/>
        <v>49.6</v>
      </c>
      <c r="DB14" s="695"/>
      <c r="DC14" s="695"/>
      <c r="DD14" s="695"/>
      <c r="DE14" s="695"/>
      <c r="DF14" s="695"/>
      <c r="DG14" s="695"/>
      <c r="DH14" s="695"/>
      <c r="DI14" s="694"/>
      <c r="DJ14" s="694"/>
      <c r="DK14" s="694">
        <v>1</v>
      </c>
      <c r="DL14" s="694"/>
      <c r="DM14" s="694">
        <v>3</v>
      </c>
      <c r="DN14" s="694">
        <v>1</v>
      </c>
      <c r="DO14" s="694">
        <v>3</v>
      </c>
      <c r="DP14" s="694">
        <v>3</v>
      </c>
      <c r="DQ14" s="694"/>
      <c r="DR14" s="694"/>
      <c r="DS14" s="694"/>
      <c r="DT14" s="694"/>
      <c r="DU14" s="694"/>
      <c r="DV14" s="694"/>
      <c r="DW14" s="694"/>
      <c r="DX14" s="694"/>
      <c r="DY14" s="694"/>
      <c r="DZ14" s="694"/>
      <c r="EA14" s="694">
        <v>2</v>
      </c>
      <c r="EB14" s="694"/>
      <c r="EC14" s="694"/>
      <c r="ED14" s="694"/>
      <c r="EE14" s="694"/>
      <c r="EF14" s="694"/>
      <c r="EG14" s="694"/>
      <c r="EH14" s="694"/>
      <c r="EI14" s="694"/>
      <c r="EJ14" s="694"/>
      <c r="EK14" s="694"/>
      <c r="EL14" s="694"/>
      <c r="EM14" s="694"/>
      <c r="EN14" s="694"/>
      <c r="EO14" s="694"/>
      <c r="EP14" s="694"/>
      <c r="EQ14" s="694"/>
      <c r="ER14" s="694"/>
      <c r="ES14" s="694"/>
      <c r="ET14" s="694"/>
      <c r="EU14" s="694"/>
      <c r="EV14" s="694"/>
      <c r="EW14" s="694"/>
      <c r="EX14" s="694"/>
      <c r="EY14" s="694"/>
      <c r="EZ14" s="694"/>
      <c r="FA14" s="694"/>
      <c r="FB14" s="694"/>
      <c r="FC14" s="694"/>
      <c r="FD14" s="694"/>
      <c r="FE14" s="694"/>
      <c r="FF14" s="694"/>
      <c r="FG14" s="697"/>
    </row>
    <row r="15" spans="1:163" s="696" customFormat="1">
      <c r="A15" s="690"/>
      <c r="B15" s="690"/>
      <c r="C15" s="708" t="s">
        <v>3785</v>
      </c>
      <c r="D15" s="708"/>
      <c r="E15" s="694">
        <v>34.1</v>
      </c>
      <c r="F15" s="694"/>
      <c r="G15" s="694"/>
      <c r="H15" s="694"/>
      <c r="I15" s="694"/>
      <c r="J15" s="694"/>
      <c r="K15" s="694"/>
      <c r="L15" s="694"/>
      <c r="M15" s="694"/>
      <c r="N15" s="694"/>
      <c r="O15" s="694"/>
      <c r="P15" s="694"/>
      <c r="Q15" s="694"/>
      <c r="R15" s="694"/>
      <c r="S15" s="694"/>
      <c r="T15" s="694" t="s">
        <v>1631</v>
      </c>
      <c r="U15" s="694"/>
      <c r="V15" s="694"/>
      <c r="W15" s="694"/>
      <c r="X15" s="694"/>
      <c r="Y15" s="694"/>
      <c r="Z15" s="694"/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  <c r="BX15" s="694"/>
      <c r="BY15" s="694"/>
      <c r="BZ15" s="694"/>
      <c r="CA15" s="694"/>
      <c r="CB15" s="694"/>
      <c r="CC15" s="694"/>
      <c r="CD15" s="694"/>
      <c r="CE15" s="694"/>
      <c r="CF15" s="694"/>
      <c r="CG15" s="694"/>
      <c r="CH15" s="694"/>
      <c r="CI15" s="694"/>
      <c r="CJ15" s="694"/>
      <c r="CK15" s="694"/>
      <c r="CL15" s="694"/>
      <c r="CM15" s="694"/>
      <c r="CN15" s="694"/>
      <c r="CO15" s="694"/>
      <c r="CP15" s="694"/>
      <c r="CQ15" s="694"/>
      <c r="CR15" s="694"/>
      <c r="CS15" s="694"/>
      <c r="CT15" s="694"/>
      <c r="CU15" s="694"/>
      <c r="CV15" s="695"/>
      <c r="CW15" s="695">
        <f t="shared" si="0"/>
        <v>34.1</v>
      </c>
      <c r="CX15" s="695"/>
      <c r="CY15" s="695"/>
      <c r="CZ15" s="695"/>
      <c r="DA15" s="695">
        <f t="shared" si="1"/>
        <v>68.2</v>
      </c>
      <c r="DB15" s="695"/>
      <c r="DC15" s="695"/>
      <c r="DD15" s="695"/>
      <c r="DE15" s="695"/>
      <c r="DF15" s="695"/>
      <c r="DG15" s="695"/>
      <c r="DH15" s="695"/>
      <c r="DI15" s="694"/>
      <c r="DJ15" s="694"/>
      <c r="DK15" s="694">
        <v>1</v>
      </c>
      <c r="DL15" s="694"/>
      <c r="DM15" s="694">
        <v>3</v>
      </c>
      <c r="DN15" s="694">
        <v>1</v>
      </c>
      <c r="DO15" s="694">
        <v>3</v>
      </c>
      <c r="DP15" s="694">
        <v>2</v>
      </c>
      <c r="DQ15" s="694"/>
      <c r="DR15" s="694"/>
      <c r="DS15" s="694"/>
      <c r="DT15" s="694"/>
      <c r="DU15" s="694"/>
      <c r="DV15" s="694"/>
      <c r="DW15" s="694"/>
      <c r="DX15" s="694"/>
      <c r="DY15" s="694"/>
      <c r="DZ15" s="694"/>
      <c r="EA15" s="694">
        <v>2</v>
      </c>
      <c r="EB15" s="694"/>
      <c r="EC15" s="694"/>
      <c r="ED15" s="694"/>
      <c r="EE15" s="694"/>
      <c r="EF15" s="694"/>
      <c r="EG15" s="694"/>
      <c r="EH15" s="694"/>
      <c r="EI15" s="694"/>
      <c r="EJ15" s="694"/>
      <c r="EK15" s="694"/>
      <c r="EL15" s="694"/>
      <c r="EM15" s="694"/>
      <c r="EN15" s="694"/>
      <c r="EO15" s="694"/>
      <c r="EP15" s="694"/>
      <c r="EQ15" s="694"/>
      <c r="ER15" s="694"/>
      <c r="ES15" s="694"/>
      <c r="ET15" s="694"/>
      <c r="EU15" s="694"/>
      <c r="EV15" s="694"/>
      <c r="EW15" s="694"/>
      <c r="EX15" s="694"/>
      <c r="EY15" s="694"/>
      <c r="EZ15" s="694"/>
      <c r="FA15" s="694"/>
      <c r="FB15" s="694"/>
      <c r="FC15" s="694"/>
      <c r="FD15" s="694"/>
      <c r="FE15" s="694"/>
      <c r="FF15" s="694"/>
      <c r="FG15" s="697"/>
    </row>
    <row r="16" spans="1:163" s="696" customFormat="1">
      <c r="A16" s="690"/>
      <c r="B16" s="690"/>
      <c r="C16" s="708"/>
      <c r="D16" s="708" t="s">
        <v>3611</v>
      </c>
      <c r="E16" s="694">
        <v>30.4</v>
      </c>
      <c r="F16" s="694"/>
      <c r="G16" s="694"/>
      <c r="H16" s="694"/>
      <c r="I16" s="694"/>
      <c r="J16" s="694"/>
      <c r="K16" s="694"/>
      <c r="L16" s="694"/>
      <c r="M16" s="694"/>
      <c r="N16" s="694"/>
      <c r="O16" s="694"/>
      <c r="P16" s="694"/>
      <c r="Q16" s="694"/>
      <c r="R16" s="694"/>
      <c r="S16" s="694"/>
      <c r="T16" s="694" t="s">
        <v>1631</v>
      </c>
      <c r="U16" s="694"/>
      <c r="V16" s="694"/>
      <c r="W16" s="694"/>
      <c r="X16" s="694"/>
      <c r="Y16" s="694"/>
      <c r="Z16" s="694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  <c r="BX16" s="694"/>
      <c r="BY16" s="694"/>
      <c r="BZ16" s="694"/>
      <c r="CA16" s="694"/>
      <c r="CB16" s="694"/>
      <c r="CC16" s="694"/>
      <c r="CD16" s="694"/>
      <c r="CE16" s="694"/>
      <c r="CF16" s="694"/>
      <c r="CG16" s="694"/>
      <c r="CH16" s="694"/>
      <c r="CI16" s="694"/>
      <c r="CJ16" s="694"/>
      <c r="CK16" s="694"/>
      <c r="CL16" s="694"/>
      <c r="CM16" s="694"/>
      <c r="CN16" s="694"/>
      <c r="CO16" s="694"/>
      <c r="CP16" s="694"/>
      <c r="CQ16" s="694"/>
      <c r="CR16" s="694"/>
      <c r="CS16" s="694"/>
      <c r="CT16" s="694"/>
      <c r="CU16" s="694"/>
      <c r="CV16" s="695"/>
      <c r="CW16" s="695">
        <f t="shared" si="0"/>
        <v>30.4</v>
      </c>
      <c r="CX16" s="695"/>
      <c r="CY16" s="695"/>
      <c r="CZ16" s="695"/>
      <c r="DA16" s="695">
        <f t="shared" si="1"/>
        <v>60.8</v>
      </c>
      <c r="DB16" s="695"/>
      <c r="DC16" s="695"/>
      <c r="DD16" s="695"/>
      <c r="DE16" s="695"/>
      <c r="DF16" s="695"/>
      <c r="DG16" s="695"/>
      <c r="DH16" s="695"/>
      <c r="DI16" s="694"/>
      <c r="DJ16" s="694"/>
      <c r="DK16" s="694">
        <v>1</v>
      </c>
      <c r="DL16" s="694"/>
      <c r="DM16" s="694">
        <v>3</v>
      </c>
      <c r="DN16" s="694">
        <v>1</v>
      </c>
      <c r="DO16" s="694">
        <v>3</v>
      </c>
      <c r="DP16" s="694">
        <v>3</v>
      </c>
      <c r="DQ16" s="694"/>
      <c r="DR16" s="694"/>
      <c r="DS16" s="694"/>
      <c r="DT16" s="694"/>
      <c r="DU16" s="694"/>
      <c r="DV16" s="694"/>
      <c r="DW16" s="694"/>
      <c r="DX16" s="694"/>
      <c r="DY16" s="694"/>
      <c r="DZ16" s="694"/>
      <c r="EA16" s="694">
        <v>3</v>
      </c>
      <c r="EB16" s="694"/>
      <c r="EC16" s="694"/>
      <c r="ED16" s="694"/>
      <c r="EE16" s="694"/>
      <c r="EF16" s="694"/>
      <c r="EG16" s="694"/>
      <c r="EH16" s="694"/>
      <c r="EI16" s="694"/>
      <c r="EJ16" s="694"/>
      <c r="EK16" s="694"/>
      <c r="EL16" s="694"/>
      <c r="EM16" s="694"/>
      <c r="EN16" s="694"/>
      <c r="EO16" s="694"/>
      <c r="EP16" s="694"/>
      <c r="EQ16" s="694"/>
      <c r="ER16" s="694"/>
      <c r="ES16" s="694"/>
      <c r="ET16" s="694"/>
      <c r="EU16" s="694"/>
      <c r="EV16" s="694"/>
      <c r="EW16" s="694"/>
      <c r="EX16" s="694"/>
      <c r="EY16" s="694"/>
      <c r="EZ16" s="694"/>
      <c r="FA16" s="694"/>
      <c r="FB16" s="694"/>
      <c r="FC16" s="694"/>
      <c r="FD16" s="694"/>
      <c r="FE16" s="694"/>
      <c r="FF16" s="694"/>
      <c r="FG16" s="697"/>
    </row>
    <row r="17" spans="1:163" s="696" customFormat="1">
      <c r="A17" s="690"/>
      <c r="B17" s="690"/>
      <c r="C17" s="708"/>
      <c r="D17" s="708" t="s">
        <v>3612</v>
      </c>
      <c r="E17" s="694">
        <v>34.6</v>
      </c>
      <c r="F17" s="694"/>
      <c r="G17" s="694"/>
      <c r="H17" s="694"/>
      <c r="I17" s="694"/>
      <c r="J17" s="694"/>
      <c r="K17" s="694"/>
      <c r="L17" s="694"/>
      <c r="M17" s="694"/>
      <c r="N17" s="694"/>
      <c r="O17" s="694"/>
      <c r="P17" s="694"/>
      <c r="Q17" s="694"/>
      <c r="R17" s="694"/>
      <c r="S17" s="694"/>
      <c r="T17" s="694" t="s">
        <v>1631</v>
      </c>
      <c r="U17" s="694"/>
      <c r="V17" s="694"/>
      <c r="W17" s="694"/>
      <c r="X17" s="694"/>
      <c r="Y17" s="694"/>
      <c r="Z17" s="694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  <c r="BX17" s="694"/>
      <c r="BY17" s="694"/>
      <c r="BZ17" s="694"/>
      <c r="CA17" s="694"/>
      <c r="CB17" s="694"/>
      <c r="CC17" s="694"/>
      <c r="CD17" s="694"/>
      <c r="CE17" s="694"/>
      <c r="CF17" s="694"/>
      <c r="CG17" s="694"/>
      <c r="CH17" s="694"/>
      <c r="CI17" s="694"/>
      <c r="CJ17" s="694"/>
      <c r="CK17" s="694"/>
      <c r="CL17" s="694"/>
      <c r="CM17" s="694"/>
      <c r="CN17" s="694"/>
      <c r="CO17" s="694"/>
      <c r="CP17" s="694"/>
      <c r="CQ17" s="694"/>
      <c r="CR17" s="694"/>
      <c r="CS17" s="694"/>
      <c r="CT17" s="694"/>
      <c r="CU17" s="694"/>
      <c r="CV17" s="695"/>
      <c r="CW17" s="695">
        <f t="shared" si="0"/>
        <v>34.6</v>
      </c>
      <c r="CX17" s="695"/>
      <c r="CY17" s="695"/>
      <c r="CZ17" s="695"/>
      <c r="DA17" s="695">
        <f t="shared" si="1"/>
        <v>69.2</v>
      </c>
      <c r="DB17" s="695"/>
      <c r="DC17" s="695"/>
      <c r="DD17" s="695"/>
      <c r="DE17" s="695"/>
      <c r="DF17" s="695"/>
      <c r="DG17" s="695"/>
      <c r="DH17" s="695"/>
      <c r="DI17" s="694"/>
      <c r="DJ17" s="694"/>
      <c r="DK17" s="694">
        <v>1</v>
      </c>
      <c r="DL17" s="694"/>
      <c r="DM17" s="694">
        <v>3</v>
      </c>
      <c r="DN17" s="694">
        <v>1</v>
      </c>
      <c r="DO17" s="694">
        <v>3</v>
      </c>
      <c r="DP17" s="694">
        <v>2</v>
      </c>
      <c r="DQ17" s="694"/>
      <c r="DR17" s="694"/>
      <c r="DS17" s="694"/>
      <c r="DT17" s="694"/>
      <c r="DU17" s="694"/>
      <c r="DV17" s="694"/>
      <c r="DW17" s="694"/>
      <c r="DX17" s="694"/>
      <c r="DY17" s="694"/>
      <c r="DZ17" s="694"/>
      <c r="EA17" s="694">
        <v>2</v>
      </c>
      <c r="EB17" s="694"/>
      <c r="EC17" s="694"/>
      <c r="ED17" s="694"/>
      <c r="EE17" s="694"/>
      <c r="EF17" s="694"/>
      <c r="EG17" s="694"/>
      <c r="EH17" s="694"/>
      <c r="EI17" s="694"/>
      <c r="EJ17" s="694"/>
      <c r="EK17" s="694"/>
      <c r="EL17" s="694"/>
      <c r="EM17" s="694"/>
      <c r="EN17" s="694"/>
      <c r="EO17" s="694"/>
      <c r="EP17" s="694"/>
      <c r="EQ17" s="694"/>
      <c r="ER17" s="694"/>
      <c r="ES17" s="694"/>
      <c r="ET17" s="694"/>
      <c r="EU17" s="694"/>
      <c r="EV17" s="694"/>
      <c r="EW17" s="694"/>
      <c r="EX17" s="694"/>
      <c r="EY17" s="694"/>
      <c r="EZ17" s="694"/>
      <c r="FA17" s="694"/>
      <c r="FB17" s="694"/>
      <c r="FC17" s="694"/>
      <c r="FD17" s="694"/>
      <c r="FE17" s="694"/>
      <c r="FF17" s="694"/>
      <c r="FG17" s="697"/>
    </row>
    <row r="18" spans="1:163" s="696" customFormat="1">
      <c r="A18" s="690"/>
      <c r="B18" s="690"/>
      <c r="C18" s="708"/>
      <c r="D18" s="708" t="s">
        <v>3613</v>
      </c>
      <c r="E18" s="694">
        <v>34.799999999999997</v>
      </c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 t="s">
        <v>1631</v>
      </c>
      <c r="U18" s="694"/>
      <c r="V18" s="694"/>
      <c r="W18" s="694"/>
      <c r="X18" s="694"/>
      <c r="Y18" s="694"/>
      <c r="Z18" s="694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  <c r="BX18" s="694"/>
      <c r="BY18" s="694"/>
      <c r="BZ18" s="694"/>
      <c r="CA18" s="694"/>
      <c r="CB18" s="694"/>
      <c r="CC18" s="694"/>
      <c r="CD18" s="694"/>
      <c r="CE18" s="694"/>
      <c r="CF18" s="694"/>
      <c r="CG18" s="694"/>
      <c r="CH18" s="694"/>
      <c r="CI18" s="694"/>
      <c r="CJ18" s="694"/>
      <c r="CK18" s="694"/>
      <c r="CL18" s="694"/>
      <c r="CM18" s="694"/>
      <c r="CN18" s="694"/>
      <c r="CO18" s="694"/>
      <c r="CP18" s="694"/>
      <c r="CQ18" s="694"/>
      <c r="CR18" s="694"/>
      <c r="CS18" s="694"/>
      <c r="CT18" s="694"/>
      <c r="CU18" s="694"/>
      <c r="CV18" s="695"/>
      <c r="CW18" s="695">
        <f t="shared" si="0"/>
        <v>34.799999999999997</v>
      </c>
      <c r="CX18" s="695"/>
      <c r="CY18" s="695"/>
      <c r="CZ18" s="695"/>
      <c r="DA18" s="695">
        <f t="shared" si="1"/>
        <v>69.599999999999994</v>
      </c>
      <c r="DB18" s="695"/>
      <c r="DC18" s="695"/>
      <c r="DD18" s="695"/>
      <c r="DE18" s="695"/>
      <c r="DF18" s="695"/>
      <c r="DG18" s="695"/>
      <c r="DH18" s="695"/>
      <c r="DI18" s="694"/>
      <c r="DJ18" s="694"/>
      <c r="DK18" s="694">
        <v>1</v>
      </c>
      <c r="DL18" s="694"/>
      <c r="DM18" s="694">
        <v>3</v>
      </c>
      <c r="DN18" s="694"/>
      <c r="DO18" s="694"/>
      <c r="DP18" s="694"/>
      <c r="DQ18" s="694"/>
      <c r="DR18" s="694"/>
      <c r="DS18" s="694"/>
      <c r="DT18" s="694"/>
      <c r="DU18" s="694"/>
      <c r="DV18" s="694"/>
      <c r="DW18" s="694"/>
      <c r="DX18" s="694"/>
      <c r="DY18" s="694"/>
      <c r="DZ18" s="694"/>
      <c r="EA18" s="694">
        <v>2</v>
      </c>
      <c r="EB18" s="694"/>
      <c r="EC18" s="694"/>
      <c r="ED18" s="694"/>
      <c r="EE18" s="694"/>
      <c r="EF18" s="694"/>
      <c r="EG18" s="694"/>
      <c r="EH18" s="694"/>
      <c r="EI18" s="694"/>
      <c r="EJ18" s="694"/>
      <c r="EK18" s="694"/>
      <c r="EL18" s="694"/>
      <c r="EM18" s="694"/>
      <c r="EN18" s="694"/>
      <c r="EO18" s="694"/>
      <c r="EP18" s="694"/>
      <c r="EQ18" s="694"/>
      <c r="ER18" s="694"/>
      <c r="ES18" s="694"/>
      <c r="ET18" s="694"/>
      <c r="EU18" s="694"/>
      <c r="EV18" s="694"/>
      <c r="EW18" s="694"/>
      <c r="EX18" s="694"/>
      <c r="EY18" s="694"/>
      <c r="EZ18" s="694"/>
      <c r="FA18" s="694"/>
      <c r="FB18" s="694"/>
      <c r="FC18" s="694"/>
      <c r="FD18" s="694"/>
      <c r="FE18" s="694"/>
      <c r="FF18" s="694"/>
      <c r="FG18" s="697"/>
    </row>
    <row r="19" spans="1:163" s="696" customFormat="1">
      <c r="A19" s="690"/>
      <c r="B19" s="690"/>
      <c r="C19" s="708"/>
      <c r="D19" s="708" t="s">
        <v>3614</v>
      </c>
      <c r="E19" s="694">
        <v>36</v>
      </c>
      <c r="F19" s="694"/>
      <c r="G19" s="694"/>
      <c r="H19" s="694"/>
      <c r="I19" s="694"/>
      <c r="J19" s="694"/>
      <c r="K19" s="694"/>
      <c r="L19" s="694"/>
      <c r="M19" s="694"/>
      <c r="N19" s="694"/>
      <c r="O19" s="694"/>
      <c r="P19" s="694"/>
      <c r="Q19" s="694"/>
      <c r="R19" s="694"/>
      <c r="S19" s="694"/>
      <c r="T19" s="694" t="s">
        <v>1631</v>
      </c>
      <c r="U19" s="694"/>
      <c r="V19" s="694"/>
      <c r="W19" s="694"/>
      <c r="X19" s="694"/>
      <c r="Y19" s="694"/>
      <c r="Z19" s="694"/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  <c r="BX19" s="694"/>
      <c r="BY19" s="694"/>
      <c r="BZ19" s="694"/>
      <c r="CA19" s="694"/>
      <c r="CB19" s="694"/>
      <c r="CC19" s="694"/>
      <c r="CD19" s="694"/>
      <c r="CE19" s="694"/>
      <c r="CF19" s="694"/>
      <c r="CG19" s="694"/>
      <c r="CH19" s="694"/>
      <c r="CI19" s="694"/>
      <c r="CJ19" s="694"/>
      <c r="CK19" s="694"/>
      <c r="CL19" s="694"/>
      <c r="CM19" s="694"/>
      <c r="CN19" s="694"/>
      <c r="CO19" s="694"/>
      <c r="CP19" s="694"/>
      <c r="CQ19" s="694"/>
      <c r="CR19" s="694"/>
      <c r="CS19" s="694"/>
      <c r="CT19" s="694"/>
      <c r="CU19" s="694"/>
      <c r="CV19" s="695"/>
      <c r="CW19" s="695">
        <f t="shared" si="0"/>
        <v>36</v>
      </c>
      <c r="CX19" s="695"/>
      <c r="CY19" s="695"/>
      <c r="CZ19" s="695"/>
      <c r="DA19" s="695">
        <f t="shared" si="1"/>
        <v>72</v>
      </c>
      <c r="DB19" s="695"/>
      <c r="DC19" s="695"/>
      <c r="DD19" s="695"/>
      <c r="DE19" s="695"/>
      <c r="DF19" s="695"/>
      <c r="DG19" s="695"/>
      <c r="DH19" s="695"/>
      <c r="DI19" s="694"/>
      <c r="DJ19" s="694"/>
      <c r="DK19" s="694">
        <v>1</v>
      </c>
      <c r="DL19" s="694"/>
      <c r="DM19" s="694">
        <v>3</v>
      </c>
      <c r="DN19" s="694">
        <v>1</v>
      </c>
      <c r="DO19" s="694">
        <v>3</v>
      </c>
      <c r="DP19" s="694">
        <v>2</v>
      </c>
      <c r="DQ19" s="694"/>
      <c r="DR19" s="694"/>
      <c r="DS19" s="694"/>
      <c r="DT19" s="694"/>
      <c r="DU19" s="694"/>
      <c r="DV19" s="694"/>
      <c r="DW19" s="694"/>
      <c r="DX19" s="694"/>
      <c r="DY19" s="694"/>
      <c r="DZ19" s="694"/>
      <c r="EA19" s="694">
        <v>2</v>
      </c>
      <c r="EB19" s="694"/>
      <c r="EC19" s="694"/>
      <c r="ED19" s="694"/>
      <c r="EE19" s="694"/>
      <c r="EF19" s="694"/>
      <c r="EG19" s="694"/>
      <c r="EH19" s="694"/>
      <c r="EI19" s="694"/>
      <c r="EJ19" s="694"/>
      <c r="EK19" s="694"/>
      <c r="EL19" s="694"/>
      <c r="EM19" s="694"/>
      <c r="EN19" s="694"/>
      <c r="EO19" s="694"/>
      <c r="EP19" s="694"/>
      <c r="EQ19" s="694"/>
      <c r="ER19" s="694"/>
      <c r="ES19" s="694"/>
      <c r="ET19" s="694"/>
      <c r="EU19" s="694"/>
      <c r="EV19" s="694"/>
      <c r="EW19" s="694"/>
      <c r="EX19" s="694">
        <v>1</v>
      </c>
      <c r="EY19" s="694">
        <v>1</v>
      </c>
      <c r="EZ19" s="694"/>
      <c r="FA19" s="694"/>
      <c r="FB19" s="694"/>
      <c r="FC19" s="694"/>
      <c r="FD19" s="694"/>
      <c r="FE19" s="694"/>
      <c r="FF19" s="694"/>
      <c r="FG19" s="697"/>
    </row>
    <row r="20" spans="1:163" s="696" customFormat="1">
      <c r="A20" s="690"/>
      <c r="B20" s="690"/>
      <c r="C20" s="708"/>
      <c r="D20" s="708" t="s">
        <v>3615</v>
      </c>
      <c r="E20" s="694">
        <v>33.299999999999997</v>
      </c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694"/>
      <c r="T20" s="694" t="s">
        <v>1903</v>
      </c>
      <c r="U20" s="694"/>
      <c r="V20" s="694"/>
      <c r="W20" s="694"/>
      <c r="X20" s="694"/>
      <c r="Y20" s="694"/>
      <c r="Z20" s="694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  <c r="BX20" s="694"/>
      <c r="BY20" s="694"/>
      <c r="BZ20" s="694"/>
      <c r="CA20" s="694"/>
      <c r="CB20" s="694"/>
      <c r="CC20" s="694"/>
      <c r="CD20" s="694"/>
      <c r="CE20" s="694"/>
      <c r="CF20" s="694"/>
      <c r="CG20" s="694"/>
      <c r="CH20" s="694"/>
      <c r="CI20" s="694"/>
      <c r="CJ20" s="694"/>
      <c r="CK20" s="694"/>
      <c r="CL20" s="694"/>
      <c r="CM20" s="694"/>
      <c r="CN20" s="694"/>
      <c r="CO20" s="694"/>
      <c r="CP20" s="694"/>
      <c r="CQ20" s="694"/>
      <c r="CR20" s="694"/>
      <c r="CS20" s="694"/>
      <c r="CT20" s="694"/>
      <c r="CU20" s="694"/>
      <c r="CV20" s="695"/>
      <c r="CW20" s="695">
        <f t="shared" si="0"/>
        <v>33.299999999999997</v>
      </c>
      <c r="CX20" s="695"/>
      <c r="CY20" s="695"/>
      <c r="CZ20" s="695"/>
      <c r="DA20" s="695">
        <f t="shared" si="1"/>
        <v>66.599999999999994</v>
      </c>
      <c r="DB20" s="695"/>
      <c r="DC20" s="695"/>
      <c r="DD20" s="695"/>
      <c r="DE20" s="695"/>
      <c r="DF20" s="695"/>
      <c r="DG20" s="695"/>
      <c r="DH20" s="695"/>
      <c r="DI20" s="694"/>
      <c r="DJ20" s="694"/>
      <c r="DK20" s="694">
        <v>1</v>
      </c>
      <c r="DL20" s="694"/>
      <c r="DM20" s="694">
        <v>3</v>
      </c>
      <c r="DN20" s="694">
        <v>1</v>
      </c>
      <c r="DO20" s="694">
        <v>3</v>
      </c>
      <c r="DP20" s="694">
        <v>2</v>
      </c>
      <c r="DQ20" s="694"/>
      <c r="DR20" s="694"/>
      <c r="DS20" s="694"/>
      <c r="DT20" s="694"/>
      <c r="DU20" s="694"/>
      <c r="DV20" s="694"/>
      <c r="DW20" s="694"/>
      <c r="DX20" s="694"/>
      <c r="DY20" s="694"/>
      <c r="DZ20" s="694"/>
      <c r="EA20" s="694">
        <v>2</v>
      </c>
      <c r="EB20" s="694"/>
      <c r="EC20" s="694"/>
      <c r="ED20" s="694"/>
      <c r="EE20" s="694"/>
      <c r="EF20" s="694"/>
      <c r="EG20" s="694"/>
      <c r="EH20" s="694"/>
      <c r="EI20" s="694"/>
      <c r="EJ20" s="694"/>
      <c r="EK20" s="694"/>
      <c r="EL20" s="694"/>
      <c r="EM20" s="694"/>
      <c r="EN20" s="694"/>
      <c r="EO20" s="694"/>
      <c r="EP20" s="694"/>
      <c r="EQ20" s="694"/>
      <c r="ER20" s="694"/>
      <c r="ES20" s="694"/>
      <c r="ET20" s="694"/>
      <c r="EU20" s="694"/>
      <c r="EV20" s="694"/>
      <c r="EW20" s="694"/>
      <c r="EX20" s="694"/>
      <c r="EY20" s="694"/>
      <c r="EZ20" s="694"/>
      <c r="FA20" s="694"/>
      <c r="FB20" s="694"/>
      <c r="FC20" s="694"/>
      <c r="FD20" s="694"/>
      <c r="FE20" s="694"/>
      <c r="FF20" s="694"/>
      <c r="FG20" s="697"/>
    </row>
    <row r="21" spans="1:163" s="696" customFormat="1">
      <c r="A21" s="690"/>
      <c r="B21" s="690"/>
      <c r="C21" s="708"/>
      <c r="D21" s="708" t="s">
        <v>3616</v>
      </c>
      <c r="E21" s="694">
        <v>35.200000000000003</v>
      </c>
      <c r="F21" s="694"/>
      <c r="G21" s="694"/>
      <c r="H21" s="694"/>
      <c r="I21" s="694"/>
      <c r="J21" s="694"/>
      <c r="K21" s="694"/>
      <c r="L21" s="694"/>
      <c r="M21" s="694"/>
      <c r="N21" s="694"/>
      <c r="O21" s="694"/>
      <c r="P21" s="694"/>
      <c r="Q21" s="694"/>
      <c r="R21" s="694"/>
      <c r="S21" s="694"/>
      <c r="T21" s="694" t="s">
        <v>1631</v>
      </c>
      <c r="U21" s="694"/>
      <c r="V21" s="694"/>
      <c r="W21" s="694"/>
      <c r="X21" s="694"/>
      <c r="Y21" s="694"/>
      <c r="Z21" s="694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  <c r="BX21" s="694"/>
      <c r="BY21" s="694"/>
      <c r="BZ21" s="694"/>
      <c r="CA21" s="694"/>
      <c r="CB21" s="694"/>
      <c r="CC21" s="694"/>
      <c r="CD21" s="694"/>
      <c r="CE21" s="694"/>
      <c r="CF21" s="694"/>
      <c r="CG21" s="694"/>
      <c r="CH21" s="694"/>
      <c r="CI21" s="694"/>
      <c r="CJ21" s="694"/>
      <c r="CK21" s="694"/>
      <c r="CL21" s="694"/>
      <c r="CM21" s="694"/>
      <c r="CN21" s="694"/>
      <c r="CO21" s="694"/>
      <c r="CP21" s="694"/>
      <c r="CQ21" s="694"/>
      <c r="CR21" s="694"/>
      <c r="CS21" s="694"/>
      <c r="CT21" s="694"/>
      <c r="CU21" s="694"/>
      <c r="CV21" s="695"/>
      <c r="CW21" s="695">
        <f t="shared" si="0"/>
        <v>35.200000000000003</v>
      </c>
      <c r="CX21" s="695"/>
      <c r="CY21" s="695"/>
      <c r="CZ21" s="695"/>
      <c r="DA21" s="695">
        <f t="shared" si="1"/>
        <v>70.400000000000006</v>
      </c>
      <c r="DB21" s="695"/>
      <c r="DC21" s="695"/>
      <c r="DD21" s="695"/>
      <c r="DE21" s="695"/>
      <c r="DF21" s="695"/>
      <c r="DG21" s="695"/>
      <c r="DH21" s="695"/>
      <c r="DI21" s="694"/>
      <c r="DJ21" s="694"/>
      <c r="DK21" s="694">
        <v>1</v>
      </c>
      <c r="DL21" s="694"/>
      <c r="DM21" s="694">
        <v>3</v>
      </c>
      <c r="DN21" s="694">
        <v>1</v>
      </c>
      <c r="DO21" s="694">
        <v>3</v>
      </c>
      <c r="DP21" s="694">
        <v>2</v>
      </c>
      <c r="DQ21" s="694"/>
      <c r="DR21" s="694"/>
      <c r="DS21" s="694"/>
      <c r="DT21" s="694"/>
      <c r="DU21" s="694"/>
      <c r="DV21" s="694"/>
      <c r="DW21" s="694"/>
      <c r="DX21" s="694"/>
      <c r="DY21" s="694"/>
      <c r="DZ21" s="694"/>
      <c r="EA21" s="694">
        <v>1</v>
      </c>
      <c r="EB21" s="694"/>
      <c r="EC21" s="694"/>
      <c r="ED21" s="694"/>
      <c r="EE21" s="694"/>
      <c r="EF21" s="694"/>
      <c r="EG21" s="694"/>
      <c r="EH21" s="694"/>
      <c r="EI21" s="694"/>
      <c r="EJ21" s="694"/>
      <c r="EK21" s="694"/>
      <c r="EL21" s="694"/>
      <c r="EM21" s="694"/>
      <c r="EN21" s="694"/>
      <c r="EO21" s="694"/>
      <c r="EP21" s="694"/>
      <c r="EQ21" s="694"/>
      <c r="ER21" s="694"/>
      <c r="ES21" s="694"/>
      <c r="ET21" s="694"/>
      <c r="EU21" s="694"/>
      <c r="EV21" s="694"/>
      <c r="EW21" s="694"/>
      <c r="EX21" s="694"/>
      <c r="EY21" s="694"/>
      <c r="EZ21" s="694"/>
      <c r="FA21" s="694"/>
      <c r="FB21" s="694"/>
      <c r="FC21" s="694"/>
      <c r="FD21" s="694"/>
      <c r="FE21" s="694"/>
      <c r="FF21" s="694"/>
      <c r="FG21" s="697"/>
    </row>
    <row r="22" spans="1:163" s="696" customFormat="1">
      <c r="A22" s="690"/>
      <c r="B22" s="690"/>
      <c r="C22" s="708"/>
      <c r="D22" s="708" t="s">
        <v>3617</v>
      </c>
      <c r="E22" s="694">
        <v>31.7</v>
      </c>
      <c r="F22" s="694"/>
      <c r="G22" s="694"/>
      <c r="H22" s="694"/>
      <c r="I22" s="694"/>
      <c r="J22" s="694"/>
      <c r="K22" s="694"/>
      <c r="L22" s="694"/>
      <c r="M22" s="694"/>
      <c r="N22" s="694"/>
      <c r="O22" s="694"/>
      <c r="P22" s="694"/>
      <c r="Q22" s="694"/>
      <c r="R22" s="694"/>
      <c r="S22" s="694"/>
      <c r="T22" s="694" t="s">
        <v>1631</v>
      </c>
      <c r="U22" s="694"/>
      <c r="V22" s="694"/>
      <c r="W22" s="694"/>
      <c r="X22" s="694"/>
      <c r="Y22" s="694"/>
      <c r="Z22" s="694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  <c r="BX22" s="694"/>
      <c r="BY22" s="694"/>
      <c r="BZ22" s="694"/>
      <c r="CA22" s="694"/>
      <c r="CB22" s="694"/>
      <c r="CC22" s="694"/>
      <c r="CD22" s="694"/>
      <c r="CE22" s="694"/>
      <c r="CF22" s="694"/>
      <c r="CG22" s="694"/>
      <c r="CH22" s="694"/>
      <c r="CI22" s="694"/>
      <c r="CJ22" s="694"/>
      <c r="CK22" s="694"/>
      <c r="CL22" s="694"/>
      <c r="CM22" s="694"/>
      <c r="CN22" s="694"/>
      <c r="CO22" s="694"/>
      <c r="CP22" s="694"/>
      <c r="CQ22" s="694"/>
      <c r="CR22" s="694"/>
      <c r="CS22" s="694"/>
      <c r="CT22" s="694"/>
      <c r="CU22" s="694"/>
      <c r="CV22" s="695"/>
      <c r="CW22" s="695">
        <f t="shared" si="0"/>
        <v>31.7</v>
      </c>
      <c r="CX22" s="695"/>
      <c r="CY22" s="695"/>
      <c r="CZ22" s="695"/>
      <c r="DA22" s="695">
        <f t="shared" si="1"/>
        <v>63.4</v>
      </c>
      <c r="DB22" s="695"/>
      <c r="DC22" s="695"/>
      <c r="DD22" s="695"/>
      <c r="DE22" s="695"/>
      <c r="DF22" s="695"/>
      <c r="DG22" s="695"/>
      <c r="DH22" s="695"/>
      <c r="DI22" s="694"/>
      <c r="DJ22" s="694"/>
      <c r="DK22" s="694">
        <v>1</v>
      </c>
      <c r="DL22" s="694"/>
      <c r="DM22" s="694">
        <v>3</v>
      </c>
      <c r="DN22" s="694">
        <v>1</v>
      </c>
      <c r="DO22" s="694">
        <v>3</v>
      </c>
      <c r="DP22" s="694">
        <v>3</v>
      </c>
      <c r="DQ22" s="694"/>
      <c r="DR22" s="694"/>
      <c r="DS22" s="694"/>
      <c r="DT22" s="694"/>
      <c r="DU22" s="694"/>
      <c r="DV22" s="694"/>
      <c r="DW22" s="694"/>
      <c r="DX22" s="694"/>
      <c r="DY22" s="694"/>
      <c r="DZ22" s="694"/>
      <c r="EA22" s="694">
        <v>3</v>
      </c>
      <c r="EB22" s="694"/>
      <c r="EC22" s="694"/>
      <c r="ED22" s="694"/>
      <c r="EE22" s="694"/>
      <c r="EF22" s="694"/>
      <c r="EG22" s="694"/>
      <c r="EH22" s="694"/>
      <c r="EI22" s="694"/>
      <c r="EJ22" s="694"/>
      <c r="EK22" s="694"/>
      <c r="EL22" s="694"/>
      <c r="EM22" s="694"/>
      <c r="EN22" s="694"/>
      <c r="EO22" s="694"/>
      <c r="EP22" s="694"/>
      <c r="EQ22" s="694"/>
      <c r="ER22" s="694"/>
      <c r="ES22" s="694"/>
      <c r="ET22" s="694"/>
      <c r="EU22" s="694"/>
      <c r="EV22" s="694"/>
      <c r="EW22" s="694"/>
      <c r="EX22" s="694"/>
      <c r="EY22" s="694"/>
      <c r="EZ22" s="694"/>
      <c r="FA22" s="694"/>
      <c r="FB22" s="694"/>
      <c r="FC22" s="694"/>
      <c r="FD22" s="694"/>
      <c r="FE22" s="694"/>
      <c r="FF22" s="694"/>
      <c r="FG22" s="697"/>
    </row>
    <row r="23" spans="1:163" s="696" customFormat="1">
      <c r="A23" s="690"/>
      <c r="B23" s="690"/>
      <c r="C23" s="708" t="s">
        <v>3618</v>
      </c>
      <c r="D23" s="708"/>
      <c r="E23" s="694">
        <v>34.1</v>
      </c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 t="s">
        <v>1631</v>
      </c>
      <c r="U23" s="694"/>
      <c r="V23" s="694"/>
      <c r="W23" s="694"/>
      <c r="X23" s="694"/>
      <c r="Y23" s="694"/>
      <c r="Z23" s="694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  <c r="BX23" s="694"/>
      <c r="BY23" s="694"/>
      <c r="BZ23" s="694"/>
      <c r="CA23" s="694"/>
      <c r="CB23" s="694"/>
      <c r="CC23" s="694"/>
      <c r="CD23" s="694"/>
      <c r="CE23" s="694"/>
      <c r="CF23" s="694"/>
      <c r="CG23" s="694"/>
      <c r="CH23" s="694"/>
      <c r="CI23" s="694"/>
      <c r="CJ23" s="694"/>
      <c r="CK23" s="694"/>
      <c r="CL23" s="694"/>
      <c r="CM23" s="694"/>
      <c r="CN23" s="694"/>
      <c r="CO23" s="694"/>
      <c r="CP23" s="694"/>
      <c r="CQ23" s="694"/>
      <c r="CR23" s="694"/>
      <c r="CS23" s="694"/>
      <c r="CT23" s="694"/>
      <c r="CU23" s="694"/>
      <c r="CV23" s="695"/>
      <c r="CW23" s="695">
        <f t="shared" si="0"/>
        <v>34.1</v>
      </c>
      <c r="CX23" s="695"/>
      <c r="CY23" s="695"/>
      <c r="CZ23" s="695"/>
      <c r="DA23" s="695">
        <f t="shared" si="1"/>
        <v>68.2</v>
      </c>
      <c r="DB23" s="695"/>
      <c r="DC23" s="695"/>
      <c r="DD23" s="695"/>
      <c r="DE23" s="695"/>
      <c r="DF23" s="695"/>
      <c r="DG23" s="695"/>
      <c r="DH23" s="695"/>
      <c r="DI23" s="694"/>
      <c r="DJ23" s="694"/>
      <c r="DK23" s="694">
        <v>1</v>
      </c>
      <c r="DL23" s="694"/>
      <c r="DM23" s="694">
        <v>3</v>
      </c>
      <c r="DN23" s="694">
        <v>1</v>
      </c>
      <c r="DO23" s="694">
        <v>3</v>
      </c>
      <c r="DP23" s="694">
        <v>2</v>
      </c>
      <c r="DQ23" s="694"/>
      <c r="DR23" s="694"/>
      <c r="DS23" s="694"/>
      <c r="DT23" s="694"/>
      <c r="DU23" s="694"/>
      <c r="DV23" s="694"/>
      <c r="DW23" s="694"/>
      <c r="DX23" s="694"/>
      <c r="DY23" s="694"/>
      <c r="DZ23" s="694"/>
      <c r="EA23" s="694"/>
      <c r="EB23" s="694"/>
      <c r="EC23" s="694"/>
      <c r="ED23" s="694"/>
      <c r="EE23" s="694"/>
      <c r="EF23" s="694"/>
      <c r="EG23" s="694"/>
      <c r="EH23" s="694"/>
      <c r="EI23" s="694"/>
      <c r="EJ23" s="694"/>
      <c r="EK23" s="694"/>
      <c r="EL23" s="694"/>
      <c r="EM23" s="694"/>
      <c r="EN23" s="694"/>
      <c r="EO23" s="694"/>
      <c r="EP23" s="694"/>
      <c r="EQ23" s="694"/>
      <c r="ER23" s="694"/>
      <c r="ES23" s="694"/>
      <c r="ET23" s="694"/>
      <c r="EU23" s="694"/>
      <c r="EV23" s="694"/>
      <c r="EW23" s="694"/>
      <c r="EX23" s="694"/>
      <c r="EY23" s="694"/>
      <c r="EZ23" s="694"/>
      <c r="FA23" s="694"/>
      <c r="FB23" s="694"/>
      <c r="FC23" s="694"/>
      <c r="FD23" s="694"/>
      <c r="FE23" s="694"/>
      <c r="FF23" s="694"/>
      <c r="FG23" s="697"/>
    </row>
    <row r="24" spans="1:163" s="696" customFormat="1">
      <c r="A24" s="690"/>
      <c r="B24" s="690"/>
      <c r="C24" s="708"/>
      <c r="D24" s="708" t="s">
        <v>3619</v>
      </c>
      <c r="E24" s="694">
        <v>10.199999999999999</v>
      </c>
      <c r="F24" s="694"/>
      <c r="G24" s="694"/>
      <c r="H24" s="694"/>
      <c r="I24" s="694"/>
      <c r="J24" s="694"/>
      <c r="K24" s="694"/>
      <c r="L24" s="694"/>
      <c r="M24" s="694"/>
      <c r="N24" s="694"/>
      <c r="O24" s="694"/>
      <c r="P24" s="694"/>
      <c r="Q24" s="694"/>
      <c r="R24" s="694"/>
      <c r="S24" s="694"/>
      <c r="T24" s="694" t="s">
        <v>1631</v>
      </c>
      <c r="U24" s="694"/>
      <c r="V24" s="694"/>
      <c r="W24" s="694"/>
      <c r="X24" s="694"/>
      <c r="Y24" s="694"/>
      <c r="Z24" s="694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  <c r="BX24" s="694"/>
      <c r="BY24" s="694"/>
      <c r="BZ24" s="694"/>
      <c r="CA24" s="694"/>
      <c r="CB24" s="694"/>
      <c r="CC24" s="694"/>
      <c r="CD24" s="694"/>
      <c r="CE24" s="694"/>
      <c r="CF24" s="694"/>
      <c r="CG24" s="694"/>
      <c r="CH24" s="694"/>
      <c r="CI24" s="694"/>
      <c r="CJ24" s="694"/>
      <c r="CK24" s="694"/>
      <c r="CL24" s="694"/>
      <c r="CM24" s="694"/>
      <c r="CN24" s="694"/>
      <c r="CO24" s="694"/>
      <c r="CP24" s="694"/>
      <c r="CQ24" s="694"/>
      <c r="CR24" s="694"/>
      <c r="CS24" s="694"/>
      <c r="CT24" s="694"/>
      <c r="CU24" s="694"/>
      <c r="CV24" s="695"/>
      <c r="CW24" s="695">
        <f t="shared" si="0"/>
        <v>10.199999999999999</v>
      </c>
      <c r="CX24" s="695"/>
      <c r="CY24" s="695"/>
      <c r="CZ24" s="695"/>
      <c r="DA24" s="695">
        <f t="shared" si="1"/>
        <v>20.399999999999999</v>
      </c>
      <c r="DB24" s="695"/>
      <c r="DC24" s="695"/>
      <c r="DD24" s="695"/>
      <c r="DE24" s="695"/>
      <c r="DF24" s="695"/>
      <c r="DG24" s="695"/>
      <c r="DH24" s="695"/>
      <c r="DI24" s="694"/>
      <c r="DJ24" s="694"/>
      <c r="DK24" s="694"/>
      <c r="DL24" s="694"/>
      <c r="DM24" s="694"/>
      <c r="DN24" s="694"/>
      <c r="DO24" s="694"/>
      <c r="DP24" s="694"/>
      <c r="DQ24" s="694"/>
      <c r="DR24" s="694"/>
      <c r="DS24" s="694"/>
      <c r="DT24" s="694"/>
      <c r="DU24" s="694"/>
      <c r="DV24" s="694"/>
      <c r="DW24" s="694"/>
      <c r="DX24" s="694"/>
      <c r="DY24" s="694"/>
      <c r="DZ24" s="694"/>
      <c r="EA24" s="694"/>
      <c r="EB24" s="694"/>
      <c r="EC24" s="694"/>
      <c r="ED24" s="694"/>
      <c r="EE24" s="694"/>
      <c r="EF24" s="694"/>
      <c r="EG24" s="694"/>
      <c r="EH24" s="694"/>
      <c r="EI24" s="694"/>
      <c r="EJ24" s="694"/>
      <c r="EK24" s="694"/>
      <c r="EL24" s="694"/>
      <c r="EM24" s="694"/>
      <c r="EN24" s="694"/>
      <c r="EO24" s="694"/>
      <c r="EP24" s="694"/>
      <c r="EQ24" s="694"/>
      <c r="ER24" s="694"/>
      <c r="ES24" s="694"/>
      <c r="ET24" s="694"/>
      <c r="EU24" s="694"/>
      <c r="EV24" s="694"/>
      <c r="EW24" s="694"/>
      <c r="EX24" s="694"/>
      <c r="EY24" s="694"/>
      <c r="EZ24" s="694"/>
      <c r="FA24" s="694"/>
      <c r="FB24" s="694"/>
      <c r="FC24" s="694"/>
      <c r="FD24" s="694"/>
      <c r="FE24" s="694"/>
      <c r="FF24" s="694"/>
      <c r="FG24" s="697"/>
    </row>
    <row r="25" spans="1:163" s="696" customFormat="1">
      <c r="A25" s="690"/>
      <c r="B25" s="690"/>
      <c r="C25" s="708" t="s">
        <v>3620</v>
      </c>
      <c r="D25" s="708"/>
      <c r="E25" s="694">
        <v>21.6</v>
      </c>
      <c r="F25" s="694"/>
      <c r="G25" s="694"/>
      <c r="H25" s="694"/>
      <c r="I25" s="694"/>
      <c r="J25" s="694"/>
      <c r="K25" s="694"/>
      <c r="L25" s="694"/>
      <c r="M25" s="694"/>
      <c r="N25" s="694"/>
      <c r="O25" s="694"/>
      <c r="P25" s="694"/>
      <c r="Q25" s="694"/>
      <c r="R25" s="694"/>
      <c r="S25" s="694"/>
      <c r="T25" s="694" t="s">
        <v>1903</v>
      </c>
      <c r="U25" s="694"/>
      <c r="V25" s="694"/>
      <c r="W25" s="694"/>
      <c r="X25" s="694"/>
      <c r="Y25" s="694"/>
      <c r="Z25" s="694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  <c r="BX25" s="694"/>
      <c r="BY25" s="694"/>
      <c r="BZ25" s="694"/>
      <c r="CA25" s="694"/>
      <c r="CB25" s="694"/>
      <c r="CC25" s="694"/>
      <c r="CD25" s="694"/>
      <c r="CE25" s="694"/>
      <c r="CF25" s="694"/>
      <c r="CG25" s="694"/>
      <c r="CH25" s="694"/>
      <c r="CI25" s="694"/>
      <c r="CJ25" s="694"/>
      <c r="CK25" s="694"/>
      <c r="CL25" s="694"/>
      <c r="CM25" s="694"/>
      <c r="CN25" s="694"/>
      <c r="CO25" s="694"/>
      <c r="CP25" s="694"/>
      <c r="CQ25" s="694"/>
      <c r="CR25" s="694"/>
      <c r="CS25" s="694"/>
      <c r="CT25" s="694"/>
      <c r="CU25" s="694"/>
      <c r="CV25" s="695"/>
      <c r="CW25" s="695">
        <f t="shared" si="0"/>
        <v>21.6</v>
      </c>
      <c r="CX25" s="695"/>
      <c r="CY25" s="695"/>
      <c r="CZ25" s="695"/>
      <c r="DA25" s="695">
        <f t="shared" si="1"/>
        <v>43.2</v>
      </c>
      <c r="DB25" s="695"/>
      <c r="DC25" s="695"/>
      <c r="DD25" s="695"/>
      <c r="DE25" s="695"/>
      <c r="DF25" s="695"/>
      <c r="DG25" s="695"/>
      <c r="DH25" s="695"/>
      <c r="DI25" s="694"/>
      <c r="DJ25" s="694"/>
      <c r="DK25" s="694">
        <v>1</v>
      </c>
      <c r="DL25" s="694"/>
      <c r="DM25" s="694">
        <v>3</v>
      </c>
      <c r="DN25" s="694">
        <v>1</v>
      </c>
      <c r="DO25" s="694">
        <v>3</v>
      </c>
      <c r="DP25" s="694">
        <v>3</v>
      </c>
      <c r="DQ25" s="694"/>
      <c r="DR25" s="694"/>
      <c r="DS25" s="694"/>
      <c r="DT25" s="694"/>
      <c r="DU25" s="694"/>
      <c r="DV25" s="694"/>
      <c r="DW25" s="694"/>
      <c r="DX25" s="694"/>
      <c r="DY25" s="694"/>
      <c r="DZ25" s="694"/>
      <c r="EA25" s="694">
        <v>2</v>
      </c>
      <c r="EB25" s="694"/>
      <c r="EC25" s="694"/>
      <c r="ED25" s="694"/>
      <c r="EE25" s="694"/>
      <c r="EF25" s="694"/>
      <c r="EG25" s="694"/>
      <c r="EH25" s="694"/>
      <c r="EI25" s="694"/>
      <c r="EJ25" s="694"/>
      <c r="EK25" s="694"/>
      <c r="EL25" s="694"/>
      <c r="EM25" s="694"/>
      <c r="EN25" s="694"/>
      <c r="EO25" s="694"/>
      <c r="EP25" s="694"/>
      <c r="EQ25" s="694"/>
      <c r="ER25" s="694"/>
      <c r="ES25" s="694"/>
      <c r="ET25" s="694"/>
      <c r="EU25" s="694"/>
      <c r="EV25" s="694"/>
      <c r="EW25" s="694"/>
      <c r="EX25" s="694"/>
      <c r="EY25" s="694"/>
      <c r="EZ25" s="694"/>
      <c r="FA25" s="694"/>
      <c r="FB25" s="694"/>
      <c r="FC25" s="694"/>
      <c r="FD25" s="694"/>
      <c r="FE25" s="694"/>
      <c r="FF25" s="694"/>
      <c r="FG25" s="697"/>
    </row>
    <row r="26" spans="1:163" s="696" customFormat="1">
      <c r="A26" s="690"/>
      <c r="B26" s="690"/>
      <c r="C26" s="708"/>
      <c r="D26" s="708" t="s">
        <v>3621</v>
      </c>
      <c r="E26" s="694">
        <v>21.4</v>
      </c>
      <c r="F26" s="694"/>
      <c r="G26" s="694"/>
      <c r="H26" s="694"/>
      <c r="I26" s="694"/>
      <c r="J26" s="694"/>
      <c r="K26" s="694"/>
      <c r="L26" s="694"/>
      <c r="M26" s="694"/>
      <c r="N26" s="694"/>
      <c r="O26" s="694"/>
      <c r="P26" s="694"/>
      <c r="Q26" s="694"/>
      <c r="R26" s="694"/>
      <c r="S26" s="694"/>
      <c r="T26" s="694" t="s">
        <v>1631</v>
      </c>
      <c r="U26" s="694"/>
      <c r="V26" s="694"/>
      <c r="W26" s="694"/>
      <c r="X26" s="694"/>
      <c r="Y26" s="694"/>
      <c r="Z26" s="694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  <c r="BX26" s="694"/>
      <c r="BY26" s="694"/>
      <c r="BZ26" s="694"/>
      <c r="CA26" s="694"/>
      <c r="CB26" s="694"/>
      <c r="CC26" s="694"/>
      <c r="CD26" s="694"/>
      <c r="CE26" s="694"/>
      <c r="CF26" s="694"/>
      <c r="CG26" s="694"/>
      <c r="CH26" s="694"/>
      <c r="CI26" s="694"/>
      <c r="CJ26" s="694"/>
      <c r="CK26" s="694"/>
      <c r="CL26" s="694"/>
      <c r="CM26" s="694"/>
      <c r="CN26" s="694"/>
      <c r="CO26" s="694"/>
      <c r="CP26" s="694"/>
      <c r="CQ26" s="694"/>
      <c r="CR26" s="694"/>
      <c r="CS26" s="694"/>
      <c r="CT26" s="694"/>
      <c r="CU26" s="694"/>
      <c r="CV26" s="695"/>
      <c r="CW26" s="695">
        <f t="shared" si="0"/>
        <v>21.4</v>
      </c>
      <c r="CX26" s="695"/>
      <c r="CY26" s="695"/>
      <c r="CZ26" s="695"/>
      <c r="DA26" s="695">
        <f t="shared" si="1"/>
        <v>42.8</v>
      </c>
      <c r="DB26" s="695"/>
      <c r="DC26" s="695"/>
      <c r="DD26" s="695"/>
      <c r="DE26" s="695"/>
      <c r="DF26" s="695"/>
      <c r="DG26" s="695"/>
      <c r="DH26" s="695"/>
      <c r="DI26" s="694"/>
      <c r="DJ26" s="694"/>
      <c r="DK26" s="694"/>
      <c r="DL26" s="694"/>
      <c r="DM26" s="694"/>
      <c r="DN26" s="694"/>
      <c r="DO26" s="694"/>
      <c r="DP26" s="694"/>
      <c r="DQ26" s="694"/>
      <c r="DR26" s="694"/>
      <c r="DS26" s="694"/>
      <c r="DT26" s="694"/>
      <c r="DU26" s="694"/>
      <c r="DV26" s="694"/>
      <c r="DW26" s="694"/>
      <c r="DX26" s="694"/>
      <c r="DY26" s="694"/>
      <c r="DZ26" s="694"/>
      <c r="EA26" s="694"/>
      <c r="EB26" s="694"/>
      <c r="EC26" s="694"/>
      <c r="ED26" s="694"/>
      <c r="EE26" s="694"/>
      <c r="EF26" s="694"/>
      <c r="EG26" s="694"/>
      <c r="EH26" s="694"/>
      <c r="EI26" s="694"/>
      <c r="EJ26" s="694"/>
      <c r="EK26" s="694"/>
      <c r="EL26" s="694"/>
      <c r="EM26" s="694"/>
      <c r="EN26" s="694"/>
      <c r="EO26" s="694"/>
      <c r="EP26" s="694"/>
      <c r="EQ26" s="694"/>
      <c r="ER26" s="694"/>
      <c r="ES26" s="694"/>
      <c r="ET26" s="694"/>
      <c r="EU26" s="694"/>
      <c r="EV26" s="694"/>
      <c r="EW26" s="694"/>
      <c r="EX26" s="694"/>
      <c r="EY26" s="694"/>
      <c r="EZ26" s="694"/>
      <c r="FA26" s="694"/>
      <c r="FB26" s="694"/>
      <c r="FC26" s="694"/>
      <c r="FD26" s="694"/>
      <c r="FE26" s="694"/>
      <c r="FF26" s="694"/>
      <c r="FG26" s="697"/>
    </row>
    <row r="27" spans="1:163" s="696" customFormat="1">
      <c r="A27" s="690"/>
      <c r="B27" s="690"/>
      <c r="C27" s="708" t="s">
        <v>3622</v>
      </c>
      <c r="D27" s="708"/>
      <c r="E27" s="694">
        <v>13.7</v>
      </c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 t="s">
        <v>1631</v>
      </c>
      <c r="U27" s="694"/>
      <c r="V27" s="694"/>
      <c r="W27" s="694"/>
      <c r="X27" s="694"/>
      <c r="Y27" s="694"/>
      <c r="Z27" s="694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4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694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694"/>
      <c r="BV27" s="694"/>
      <c r="BW27" s="694"/>
      <c r="BX27" s="694"/>
      <c r="BY27" s="694"/>
      <c r="BZ27" s="694"/>
      <c r="CA27" s="694"/>
      <c r="CB27" s="694"/>
      <c r="CC27" s="694"/>
      <c r="CD27" s="694"/>
      <c r="CE27" s="694"/>
      <c r="CF27" s="694"/>
      <c r="CG27" s="694"/>
      <c r="CH27" s="694"/>
      <c r="CI27" s="694"/>
      <c r="CJ27" s="694"/>
      <c r="CK27" s="694"/>
      <c r="CL27" s="694"/>
      <c r="CM27" s="694"/>
      <c r="CN27" s="694"/>
      <c r="CO27" s="694"/>
      <c r="CP27" s="694"/>
      <c r="CQ27" s="694">
        <v>1</v>
      </c>
      <c r="CR27" s="694"/>
      <c r="CS27" s="694"/>
      <c r="CT27" s="694"/>
      <c r="CU27" s="694">
        <v>1</v>
      </c>
      <c r="CV27" s="695"/>
      <c r="CW27" s="695">
        <f t="shared" si="0"/>
        <v>13.7</v>
      </c>
      <c r="CX27" s="695"/>
      <c r="CY27" s="695"/>
      <c r="CZ27" s="695"/>
      <c r="DA27" s="695">
        <f t="shared" si="1"/>
        <v>27.4</v>
      </c>
      <c r="DB27" s="695"/>
      <c r="DC27" s="695"/>
      <c r="DD27" s="695"/>
      <c r="DE27" s="695"/>
      <c r="DF27" s="695"/>
      <c r="DG27" s="695"/>
      <c r="DH27" s="695"/>
      <c r="DI27" s="694"/>
      <c r="DJ27" s="694"/>
      <c r="DK27" s="694">
        <v>1</v>
      </c>
      <c r="DL27" s="694"/>
      <c r="DM27" s="694">
        <v>3</v>
      </c>
      <c r="DN27" s="694">
        <v>1</v>
      </c>
      <c r="DO27" s="694">
        <v>3</v>
      </c>
      <c r="DP27" s="694">
        <v>2</v>
      </c>
      <c r="DQ27" s="694"/>
      <c r="DR27" s="694"/>
      <c r="DS27" s="694"/>
      <c r="DT27" s="694"/>
      <c r="DU27" s="694"/>
      <c r="DV27" s="694"/>
      <c r="DW27" s="694"/>
      <c r="DX27" s="694"/>
      <c r="DY27" s="694"/>
      <c r="DZ27" s="694"/>
      <c r="EA27" s="694">
        <v>2</v>
      </c>
      <c r="EB27" s="694"/>
      <c r="EC27" s="694"/>
      <c r="ED27" s="694"/>
      <c r="EE27" s="694"/>
      <c r="EF27" s="694"/>
      <c r="EG27" s="694"/>
      <c r="EH27" s="694"/>
      <c r="EI27" s="694"/>
      <c r="EJ27" s="694"/>
      <c r="EK27" s="694"/>
      <c r="EL27" s="694"/>
      <c r="EM27" s="694"/>
      <c r="EN27" s="694"/>
      <c r="EO27" s="694"/>
      <c r="EP27" s="694"/>
      <c r="EQ27" s="694"/>
      <c r="ER27" s="694"/>
      <c r="ES27" s="694"/>
      <c r="ET27" s="694"/>
      <c r="EU27" s="694"/>
      <c r="EV27" s="694"/>
      <c r="EW27" s="694"/>
      <c r="EX27" s="694"/>
      <c r="EY27" s="694"/>
      <c r="EZ27" s="694"/>
      <c r="FA27" s="694"/>
      <c r="FB27" s="694"/>
      <c r="FC27" s="694"/>
      <c r="FD27" s="694"/>
      <c r="FE27" s="694"/>
      <c r="FF27" s="694"/>
      <c r="FG27" s="697"/>
    </row>
    <row r="28" spans="1:163" s="696" customFormat="1">
      <c r="A28" s="690"/>
      <c r="B28" s="690"/>
      <c r="C28" s="708"/>
      <c r="D28" s="708" t="s">
        <v>3623</v>
      </c>
      <c r="E28" s="694">
        <v>32.6</v>
      </c>
      <c r="F28" s="694"/>
      <c r="G28" s="694"/>
      <c r="H28" s="694"/>
      <c r="I28" s="694"/>
      <c r="J28" s="694"/>
      <c r="K28" s="694"/>
      <c r="L28" s="694"/>
      <c r="M28" s="694"/>
      <c r="N28" s="694"/>
      <c r="O28" s="694"/>
      <c r="P28" s="694"/>
      <c r="Q28" s="694"/>
      <c r="R28" s="694"/>
      <c r="S28" s="694"/>
      <c r="T28" s="694" t="s">
        <v>3624</v>
      </c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4"/>
      <c r="BL28" s="694"/>
      <c r="BM28" s="694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  <c r="BX28" s="694"/>
      <c r="BY28" s="694"/>
      <c r="BZ28" s="694"/>
      <c r="CA28" s="694"/>
      <c r="CB28" s="694"/>
      <c r="CC28" s="694"/>
      <c r="CD28" s="694"/>
      <c r="CE28" s="694"/>
      <c r="CF28" s="694"/>
      <c r="CG28" s="694"/>
      <c r="CH28" s="694"/>
      <c r="CI28" s="694"/>
      <c r="CJ28" s="694"/>
      <c r="CK28" s="694"/>
      <c r="CL28" s="694"/>
      <c r="CM28" s="694"/>
      <c r="CN28" s="694"/>
      <c r="CO28" s="694"/>
      <c r="CP28" s="694"/>
      <c r="CQ28" s="694"/>
      <c r="CR28" s="694"/>
      <c r="CS28" s="694"/>
      <c r="CT28" s="694"/>
      <c r="CU28" s="694"/>
      <c r="CV28" s="695"/>
      <c r="CW28" s="695">
        <f t="shared" si="0"/>
        <v>32.6</v>
      </c>
      <c r="CX28" s="695"/>
      <c r="CY28" s="695"/>
      <c r="CZ28" s="695"/>
      <c r="DA28" s="695">
        <f t="shared" si="1"/>
        <v>65.2</v>
      </c>
      <c r="DB28" s="695"/>
      <c r="DC28" s="695"/>
      <c r="DD28" s="695"/>
      <c r="DE28" s="695"/>
      <c r="DF28" s="695"/>
      <c r="DG28" s="695"/>
      <c r="DH28" s="695"/>
      <c r="DI28" s="694"/>
      <c r="DJ28" s="694"/>
      <c r="DK28" s="694">
        <v>2</v>
      </c>
      <c r="DL28" s="694"/>
      <c r="DM28" s="694">
        <v>6</v>
      </c>
      <c r="DN28" s="694"/>
      <c r="DO28" s="694"/>
      <c r="DP28" s="694"/>
      <c r="DQ28" s="694"/>
      <c r="DR28" s="694"/>
      <c r="DS28" s="694"/>
      <c r="DT28" s="694"/>
      <c r="DU28" s="694">
        <v>6</v>
      </c>
      <c r="DV28" s="694"/>
      <c r="DW28" s="694"/>
      <c r="DX28" s="694"/>
      <c r="DY28" s="694"/>
      <c r="DZ28" s="694"/>
      <c r="EA28" s="694"/>
      <c r="EB28" s="694">
        <v>2</v>
      </c>
      <c r="EC28" s="694"/>
      <c r="ED28" s="694"/>
      <c r="EE28" s="694"/>
      <c r="EF28" s="694"/>
      <c r="EG28" s="694"/>
      <c r="EH28" s="694"/>
      <c r="EI28" s="694"/>
      <c r="EJ28" s="694"/>
      <c r="EK28" s="694"/>
      <c r="EL28" s="694"/>
      <c r="EM28" s="694"/>
      <c r="EN28" s="694"/>
      <c r="EO28" s="694"/>
      <c r="EP28" s="694"/>
      <c r="EQ28" s="694"/>
      <c r="ER28" s="694"/>
      <c r="ES28" s="694"/>
      <c r="ET28" s="694"/>
      <c r="EU28" s="694"/>
      <c r="EV28" s="694"/>
      <c r="EW28" s="694"/>
      <c r="EX28" s="694"/>
      <c r="EY28" s="694"/>
      <c r="EZ28" s="694"/>
      <c r="FA28" s="694"/>
      <c r="FB28" s="694"/>
      <c r="FC28" s="694"/>
      <c r="FD28" s="694"/>
      <c r="FE28" s="694"/>
      <c r="FF28" s="694"/>
      <c r="FG28" s="697"/>
    </row>
    <row r="29" spans="1:163" s="696" customFormat="1">
      <c r="A29" s="690"/>
      <c r="B29" s="690"/>
      <c r="C29" s="708" t="s">
        <v>3625</v>
      </c>
      <c r="D29" s="708"/>
      <c r="E29" s="694">
        <v>26</v>
      </c>
      <c r="F29" s="694"/>
      <c r="G29" s="694"/>
      <c r="H29" s="694"/>
      <c r="I29" s="694"/>
      <c r="J29" s="694"/>
      <c r="K29" s="694"/>
      <c r="L29" s="694"/>
      <c r="M29" s="694"/>
      <c r="N29" s="694"/>
      <c r="O29" s="694"/>
      <c r="P29" s="694"/>
      <c r="Q29" s="694"/>
      <c r="R29" s="694"/>
      <c r="S29" s="694"/>
      <c r="T29" s="694" t="s">
        <v>1631</v>
      </c>
      <c r="U29" s="694"/>
      <c r="V29" s="694"/>
      <c r="W29" s="694"/>
      <c r="X29" s="694"/>
      <c r="Y29" s="694"/>
      <c r="Z29" s="694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4"/>
      <c r="BL29" s="694"/>
      <c r="BM29" s="694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  <c r="BX29" s="694"/>
      <c r="BY29" s="694"/>
      <c r="BZ29" s="694"/>
      <c r="CA29" s="694"/>
      <c r="CB29" s="694"/>
      <c r="CC29" s="694"/>
      <c r="CD29" s="694"/>
      <c r="CE29" s="694"/>
      <c r="CF29" s="694"/>
      <c r="CG29" s="694"/>
      <c r="CH29" s="694"/>
      <c r="CI29" s="694"/>
      <c r="CJ29" s="694"/>
      <c r="CK29" s="694"/>
      <c r="CL29" s="694"/>
      <c r="CM29" s="694"/>
      <c r="CN29" s="694"/>
      <c r="CO29" s="694"/>
      <c r="CP29" s="694"/>
      <c r="CQ29" s="694"/>
      <c r="CR29" s="694"/>
      <c r="CS29" s="694"/>
      <c r="CT29" s="694"/>
      <c r="CU29" s="694"/>
      <c r="CV29" s="695"/>
      <c r="CW29" s="695">
        <f t="shared" si="0"/>
        <v>26</v>
      </c>
      <c r="CX29" s="695"/>
      <c r="CY29" s="695"/>
      <c r="CZ29" s="695"/>
      <c r="DA29" s="695">
        <f t="shared" si="1"/>
        <v>52</v>
      </c>
      <c r="DB29" s="695"/>
      <c r="DC29" s="695"/>
      <c r="DD29" s="695"/>
      <c r="DE29" s="695"/>
      <c r="DF29" s="695"/>
      <c r="DG29" s="695"/>
      <c r="DH29" s="695"/>
      <c r="DI29" s="694"/>
      <c r="DJ29" s="694"/>
      <c r="DK29" s="694">
        <v>1</v>
      </c>
      <c r="DL29" s="694"/>
      <c r="DM29" s="694">
        <v>3</v>
      </c>
      <c r="DN29" s="694">
        <v>1</v>
      </c>
      <c r="DO29" s="694">
        <v>3</v>
      </c>
      <c r="DP29" s="694">
        <v>2</v>
      </c>
      <c r="DQ29" s="694"/>
      <c r="DR29" s="694"/>
      <c r="DS29" s="694"/>
      <c r="DT29" s="694"/>
      <c r="DU29" s="694"/>
      <c r="DV29" s="694"/>
      <c r="DW29" s="694"/>
      <c r="DX29" s="694"/>
      <c r="DY29" s="694"/>
      <c r="DZ29" s="694"/>
      <c r="EA29" s="694">
        <v>2</v>
      </c>
      <c r="EB29" s="694"/>
      <c r="EC29" s="694"/>
      <c r="ED29" s="694"/>
      <c r="EE29" s="694"/>
      <c r="EF29" s="694"/>
      <c r="EG29" s="694"/>
      <c r="EH29" s="694"/>
      <c r="EI29" s="694"/>
      <c r="EJ29" s="694"/>
      <c r="EK29" s="694"/>
      <c r="EL29" s="694"/>
      <c r="EM29" s="694"/>
      <c r="EN29" s="694"/>
      <c r="EO29" s="694"/>
      <c r="EP29" s="694"/>
      <c r="EQ29" s="694"/>
      <c r="ER29" s="694"/>
      <c r="ES29" s="694"/>
      <c r="ET29" s="694"/>
      <c r="EU29" s="694"/>
      <c r="EV29" s="694"/>
      <c r="EW29" s="694"/>
      <c r="EX29" s="694"/>
      <c r="EY29" s="694"/>
      <c r="EZ29" s="694"/>
      <c r="FA29" s="694"/>
      <c r="FB29" s="694"/>
      <c r="FC29" s="694"/>
      <c r="FD29" s="694"/>
      <c r="FE29" s="694"/>
      <c r="FF29" s="694"/>
      <c r="FG29" s="697"/>
    </row>
    <row r="30" spans="1:163" s="696" customFormat="1">
      <c r="A30" s="690"/>
      <c r="B30" s="690"/>
      <c r="C30" s="708"/>
      <c r="D30" s="708" t="s">
        <v>3626</v>
      </c>
      <c r="E30" s="694">
        <v>31.3</v>
      </c>
      <c r="F30" s="694"/>
      <c r="G30" s="694"/>
      <c r="H30" s="694"/>
      <c r="I30" s="694"/>
      <c r="J30" s="694"/>
      <c r="K30" s="694"/>
      <c r="L30" s="694"/>
      <c r="M30" s="694"/>
      <c r="N30" s="694"/>
      <c r="O30" s="694"/>
      <c r="P30" s="694"/>
      <c r="Q30" s="694"/>
      <c r="R30" s="694"/>
      <c r="S30" s="694"/>
      <c r="T30" s="694" t="s">
        <v>1631</v>
      </c>
      <c r="U30" s="694"/>
      <c r="V30" s="694"/>
      <c r="W30" s="694"/>
      <c r="X30" s="694"/>
      <c r="Y30" s="694"/>
      <c r="Z30" s="694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4"/>
      <c r="BL30" s="694"/>
      <c r="BM30" s="694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  <c r="BX30" s="694"/>
      <c r="BY30" s="694"/>
      <c r="BZ30" s="694"/>
      <c r="CA30" s="694"/>
      <c r="CB30" s="694"/>
      <c r="CC30" s="694"/>
      <c r="CD30" s="694"/>
      <c r="CE30" s="694"/>
      <c r="CF30" s="694"/>
      <c r="CG30" s="694"/>
      <c r="CH30" s="694"/>
      <c r="CI30" s="694"/>
      <c r="CJ30" s="694"/>
      <c r="CK30" s="694"/>
      <c r="CL30" s="694"/>
      <c r="CM30" s="694"/>
      <c r="CN30" s="694"/>
      <c r="CO30" s="694"/>
      <c r="CP30" s="694"/>
      <c r="CQ30" s="694"/>
      <c r="CR30" s="694"/>
      <c r="CS30" s="694"/>
      <c r="CT30" s="694"/>
      <c r="CU30" s="694"/>
      <c r="CV30" s="695"/>
      <c r="CW30" s="695">
        <f t="shared" si="0"/>
        <v>31.3</v>
      </c>
      <c r="CX30" s="695"/>
      <c r="CY30" s="695"/>
      <c r="CZ30" s="695"/>
      <c r="DA30" s="695">
        <f t="shared" si="1"/>
        <v>62.6</v>
      </c>
      <c r="DB30" s="695"/>
      <c r="DC30" s="695"/>
      <c r="DD30" s="695"/>
      <c r="DE30" s="695"/>
      <c r="DF30" s="695"/>
      <c r="DG30" s="695"/>
      <c r="DH30" s="695"/>
      <c r="DI30" s="694"/>
      <c r="DJ30" s="694"/>
      <c r="DK30" s="694">
        <v>1</v>
      </c>
      <c r="DL30" s="694"/>
      <c r="DM30" s="694">
        <v>3</v>
      </c>
      <c r="DN30" s="694">
        <v>1</v>
      </c>
      <c r="DO30" s="694">
        <v>3</v>
      </c>
      <c r="DP30" s="694">
        <v>3</v>
      </c>
      <c r="DQ30" s="694"/>
      <c r="DR30" s="694"/>
      <c r="DS30" s="694"/>
      <c r="DT30" s="694"/>
      <c r="DU30" s="694"/>
      <c r="DV30" s="694"/>
      <c r="DW30" s="694"/>
      <c r="DX30" s="694"/>
      <c r="DY30" s="694"/>
      <c r="DZ30" s="694"/>
      <c r="EA30" s="694">
        <v>2</v>
      </c>
      <c r="EB30" s="694"/>
      <c r="EC30" s="694"/>
      <c r="ED30" s="694"/>
      <c r="EE30" s="694"/>
      <c r="EF30" s="694"/>
      <c r="EG30" s="694"/>
      <c r="EH30" s="694"/>
      <c r="EI30" s="694"/>
      <c r="EJ30" s="694"/>
      <c r="EK30" s="694"/>
      <c r="EL30" s="694"/>
      <c r="EM30" s="694"/>
      <c r="EN30" s="694"/>
      <c r="EO30" s="694"/>
      <c r="EP30" s="694"/>
      <c r="EQ30" s="694"/>
      <c r="ER30" s="694"/>
      <c r="ES30" s="694"/>
      <c r="ET30" s="694"/>
      <c r="EU30" s="694"/>
      <c r="EV30" s="694"/>
      <c r="EW30" s="694"/>
      <c r="EX30" s="694"/>
      <c r="EY30" s="694"/>
      <c r="EZ30" s="694"/>
      <c r="FA30" s="694"/>
      <c r="FB30" s="694"/>
      <c r="FC30" s="694"/>
      <c r="FD30" s="694"/>
      <c r="FE30" s="694"/>
      <c r="FF30" s="694"/>
      <c r="FG30" s="697"/>
    </row>
    <row r="31" spans="1:163" s="696" customFormat="1">
      <c r="A31" s="690"/>
      <c r="B31" s="690"/>
      <c r="C31" s="708" t="s">
        <v>3627</v>
      </c>
      <c r="D31" s="708"/>
      <c r="E31" s="694">
        <v>17.399999999999999</v>
      </c>
      <c r="F31" s="694"/>
      <c r="G31" s="694"/>
      <c r="H31" s="694"/>
      <c r="I31" s="694"/>
      <c r="J31" s="694"/>
      <c r="K31" s="694"/>
      <c r="L31" s="694"/>
      <c r="M31" s="694"/>
      <c r="N31" s="694"/>
      <c r="O31" s="694"/>
      <c r="P31" s="694"/>
      <c r="Q31" s="694"/>
      <c r="R31" s="694"/>
      <c r="S31" s="694"/>
      <c r="T31" s="694" t="s">
        <v>1631</v>
      </c>
      <c r="U31" s="694"/>
      <c r="V31" s="694"/>
      <c r="W31" s="694"/>
      <c r="X31" s="694"/>
      <c r="Y31" s="694"/>
      <c r="Z31" s="694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694"/>
      <c r="BL31" s="694"/>
      <c r="BM31" s="694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  <c r="BX31" s="694"/>
      <c r="BY31" s="694"/>
      <c r="BZ31" s="694"/>
      <c r="CA31" s="694"/>
      <c r="CB31" s="694"/>
      <c r="CC31" s="694"/>
      <c r="CD31" s="694"/>
      <c r="CE31" s="694"/>
      <c r="CF31" s="694"/>
      <c r="CG31" s="694"/>
      <c r="CH31" s="694"/>
      <c r="CI31" s="694"/>
      <c r="CJ31" s="694"/>
      <c r="CK31" s="694"/>
      <c r="CL31" s="694"/>
      <c r="CM31" s="694"/>
      <c r="CN31" s="694"/>
      <c r="CO31" s="694"/>
      <c r="CP31" s="694"/>
      <c r="CQ31" s="694"/>
      <c r="CR31" s="694"/>
      <c r="CS31" s="694"/>
      <c r="CT31" s="694"/>
      <c r="CU31" s="694"/>
      <c r="CV31" s="695"/>
      <c r="CW31" s="695">
        <f t="shared" si="0"/>
        <v>17.399999999999999</v>
      </c>
      <c r="CX31" s="695"/>
      <c r="CY31" s="695"/>
      <c r="CZ31" s="695"/>
      <c r="DA31" s="695">
        <f t="shared" si="1"/>
        <v>34.799999999999997</v>
      </c>
      <c r="DB31" s="695"/>
      <c r="DC31" s="695"/>
      <c r="DD31" s="695"/>
      <c r="DE31" s="695"/>
      <c r="DF31" s="695"/>
      <c r="DG31" s="695"/>
      <c r="DH31" s="695"/>
      <c r="DI31" s="694"/>
      <c r="DJ31" s="694"/>
      <c r="DK31" s="694">
        <v>1</v>
      </c>
      <c r="DL31" s="694"/>
      <c r="DM31" s="694">
        <v>3</v>
      </c>
      <c r="DN31" s="694">
        <v>1</v>
      </c>
      <c r="DO31" s="694">
        <v>3</v>
      </c>
      <c r="DP31" s="694">
        <v>2</v>
      </c>
      <c r="DQ31" s="694"/>
      <c r="DR31" s="694"/>
      <c r="DS31" s="694"/>
      <c r="DT31" s="694"/>
      <c r="DU31" s="694"/>
      <c r="DV31" s="694"/>
      <c r="DW31" s="694"/>
      <c r="DX31" s="694"/>
      <c r="DY31" s="694"/>
      <c r="DZ31" s="694"/>
      <c r="EA31" s="694">
        <v>2</v>
      </c>
      <c r="EB31" s="694"/>
      <c r="EC31" s="694"/>
      <c r="ED31" s="694"/>
      <c r="EE31" s="694"/>
      <c r="EF31" s="694"/>
      <c r="EG31" s="694"/>
      <c r="EH31" s="694"/>
      <c r="EI31" s="694"/>
      <c r="EJ31" s="694"/>
      <c r="EK31" s="694"/>
      <c r="EL31" s="694"/>
      <c r="EM31" s="694"/>
      <c r="EN31" s="694"/>
      <c r="EO31" s="694"/>
      <c r="EP31" s="694"/>
      <c r="EQ31" s="694"/>
      <c r="ER31" s="694"/>
      <c r="ES31" s="694"/>
      <c r="ET31" s="694"/>
      <c r="EU31" s="694"/>
      <c r="EV31" s="694"/>
      <c r="EW31" s="694"/>
      <c r="EX31" s="694"/>
      <c r="EY31" s="694"/>
      <c r="EZ31" s="694"/>
      <c r="FA31" s="694"/>
      <c r="FB31" s="694"/>
      <c r="FC31" s="694"/>
      <c r="FD31" s="694"/>
      <c r="FE31" s="694"/>
      <c r="FF31" s="694"/>
      <c r="FG31" s="697"/>
    </row>
    <row r="32" spans="1:163" s="696" customFormat="1">
      <c r="A32" s="690"/>
      <c r="B32" s="690"/>
      <c r="C32" s="708"/>
      <c r="D32" s="708" t="s">
        <v>3628</v>
      </c>
      <c r="E32" s="694">
        <v>27.3</v>
      </c>
      <c r="F32" s="694"/>
      <c r="G32" s="694"/>
      <c r="H32" s="694"/>
      <c r="I32" s="694"/>
      <c r="J32" s="694"/>
      <c r="K32" s="694"/>
      <c r="L32" s="694"/>
      <c r="M32" s="694"/>
      <c r="N32" s="694"/>
      <c r="O32" s="694"/>
      <c r="P32" s="694"/>
      <c r="Q32" s="694"/>
      <c r="R32" s="694"/>
      <c r="S32" s="694"/>
      <c r="T32" s="694" t="s">
        <v>1903</v>
      </c>
      <c r="U32" s="694"/>
      <c r="V32" s="694"/>
      <c r="W32" s="694"/>
      <c r="X32" s="694"/>
      <c r="Y32" s="694"/>
      <c r="Z32" s="694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4"/>
      <c r="BL32" s="694"/>
      <c r="BM32" s="694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  <c r="BX32" s="694"/>
      <c r="BY32" s="694"/>
      <c r="BZ32" s="694"/>
      <c r="CA32" s="694"/>
      <c r="CB32" s="694"/>
      <c r="CC32" s="694"/>
      <c r="CD32" s="694"/>
      <c r="CE32" s="694"/>
      <c r="CF32" s="694"/>
      <c r="CG32" s="694"/>
      <c r="CH32" s="694"/>
      <c r="CI32" s="694"/>
      <c r="CJ32" s="694"/>
      <c r="CK32" s="694"/>
      <c r="CL32" s="694"/>
      <c r="CM32" s="694"/>
      <c r="CN32" s="694"/>
      <c r="CO32" s="694"/>
      <c r="CP32" s="694"/>
      <c r="CQ32" s="694"/>
      <c r="CR32" s="694"/>
      <c r="CS32" s="694"/>
      <c r="CT32" s="694"/>
      <c r="CU32" s="694"/>
      <c r="CV32" s="695"/>
      <c r="CW32" s="695">
        <f t="shared" si="0"/>
        <v>27.3</v>
      </c>
      <c r="CX32" s="695"/>
      <c r="CY32" s="695"/>
      <c r="CZ32" s="695"/>
      <c r="DA32" s="695">
        <f t="shared" si="1"/>
        <v>54.6</v>
      </c>
      <c r="DB32" s="695"/>
      <c r="DC32" s="695"/>
      <c r="DD32" s="695"/>
      <c r="DE32" s="695"/>
      <c r="DF32" s="695"/>
      <c r="DG32" s="695"/>
      <c r="DH32" s="695"/>
      <c r="DI32" s="694"/>
      <c r="DJ32" s="694"/>
      <c r="DK32" s="694">
        <v>1</v>
      </c>
      <c r="DL32" s="694"/>
      <c r="DM32" s="694">
        <v>3</v>
      </c>
      <c r="DN32" s="694"/>
      <c r="DO32" s="694"/>
      <c r="DP32" s="694"/>
      <c r="DQ32" s="694"/>
      <c r="DR32" s="694"/>
      <c r="DS32" s="694"/>
      <c r="DT32" s="694"/>
      <c r="DU32" s="694"/>
      <c r="DV32" s="694"/>
      <c r="DW32" s="694"/>
      <c r="DX32" s="694"/>
      <c r="DY32" s="694"/>
      <c r="DZ32" s="694"/>
      <c r="EA32" s="694">
        <v>2</v>
      </c>
      <c r="EB32" s="694"/>
      <c r="EC32" s="694"/>
      <c r="ED32" s="694"/>
      <c r="EE32" s="694"/>
      <c r="EF32" s="694"/>
      <c r="EG32" s="694"/>
      <c r="EH32" s="694"/>
      <c r="EI32" s="694"/>
      <c r="EJ32" s="694"/>
      <c r="EK32" s="694"/>
      <c r="EL32" s="694"/>
      <c r="EM32" s="694"/>
      <c r="EN32" s="694"/>
      <c r="EO32" s="694"/>
      <c r="EP32" s="694"/>
      <c r="EQ32" s="694"/>
      <c r="ER32" s="694"/>
      <c r="ES32" s="694"/>
      <c r="ET32" s="694"/>
      <c r="EU32" s="694"/>
      <c r="EV32" s="694"/>
      <c r="EW32" s="694"/>
      <c r="EX32" s="694"/>
      <c r="EY32" s="694"/>
      <c r="EZ32" s="694"/>
      <c r="FA32" s="694"/>
      <c r="FB32" s="694"/>
      <c r="FC32" s="694"/>
      <c r="FD32" s="694"/>
      <c r="FE32" s="694"/>
      <c r="FF32" s="694"/>
      <c r="FG32" s="697"/>
    </row>
    <row r="33" spans="1:163" s="696" customFormat="1">
      <c r="A33" s="690"/>
      <c r="B33" s="690"/>
      <c r="C33" s="708" t="s">
        <v>3629</v>
      </c>
      <c r="D33" s="708"/>
      <c r="E33" s="694">
        <v>38.1</v>
      </c>
      <c r="F33" s="694"/>
      <c r="G33" s="694"/>
      <c r="H33" s="694"/>
      <c r="I33" s="694"/>
      <c r="J33" s="694"/>
      <c r="K33" s="694"/>
      <c r="L33" s="694"/>
      <c r="M33" s="694"/>
      <c r="N33" s="694"/>
      <c r="O33" s="694"/>
      <c r="P33" s="694"/>
      <c r="Q33" s="694"/>
      <c r="R33" s="694"/>
      <c r="S33" s="694"/>
      <c r="T33" s="694" t="s">
        <v>1631</v>
      </c>
      <c r="U33" s="694"/>
      <c r="V33" s="694"/>
      <c r="W33" s="694"/>
      <c r="X33" s="694"/>
      <c r="Y33" s="694"/>
      <c r="Z33" s="694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4"/>
      <c r="BL33" s="694"/>
      <c r="BM33" s="694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  <c r="BX33" s="694"/>
      <c r="BY33" s="694"/>
      <c r="BZ33" s="694"/>
      <c r="CA33" s="694"/>
      <c r="CB33" s="694"/>
      <c r="CC33" s="694"/>
      <c r="CD33" s="694"/>
      <c r="CE33" s="694"/>
      <c r="CF33" s="694"/>
      <c r="CG33" s="694"/>
      <c r="CH33" s="694"/>
      <c r="CI33" s="694"/>
      <c r="CJ33" s="694"/>
      <c r="CK33" s="694"/>
      <c r="CL33" s="694"/>
      <c r="CM33" s="694"/>
      <c r="CN33" s="694"/>
      <c r="CO33" s="694"/>
      <c r="CP33" s="694"/>
      <c r="CQ33" s="694"/>
      <c r="CR33" s="694"/>
      <c r="CS33" s="694"/>
      <c r="CT33" s="694"/>
      <c r="CU33" s="694"/>
      <c r="CV33" s="695"/>
      <c r="CW33" s="695">
        <f t="shared" si="0"/>
        <v>38.1</v>
      </c>
      <c r="CX33" s="695"/>
      <c r="CY33" s="695"/>
      <c r="CZ33" s="695"/>
      <c r="DA33" s="695">
        <f t="shared" si="1"/>
        <v>76.2</v>
      </c>
      <c r="DB33" s="695"/>
      <c r="DC33" s="695"/>
      <c r="DD33" s="695"/>
      <c r="DE33" s="695"/>
      <c r="DF33" s="695"/>
      <c r="DG33" s="695"/>
      <c r="DH33" s="695"/>
      <c r="DI33" s="694"/>
      <c r="DJ33" s="694"/>
      <c r="DK33" s="694">
        <v>1</v>
      </c>
      <c r="DL33" s="694"/>
      <c r="DM33" s="694">
        <v>3</v>
      </c>
      <c r="DN33" s="694">
        <v>1</v>
      </c>
      <c r="DO33" s="694">
        <v>3</v>
      </c>
      <c r="DP33" s="694">
        <v>2</v>
      </c>
      <c r="DQ33" s="694"/>
      <c r="DR33" s="694"/>
      <c r="DS33" s="694"/>
      <c r="DT33" s="694"/>
      <c r="DU33" s="694"/>
      <c r="DV33" s="694"/>
      <c r="DW33" s="694"/>
      <c r="DX33" s="694"/>
      <c r="DY33" s="694"/>
      <c r="DZ33" s="694"/>
      <c r="EA33" s="694"/>
      <c r="EB33" s="694"/>
      <c r="EC33" s="694"/>
      <c r="ED33" s="694"/>
      <c r="EE33" s="694"/>
      <c r="EF33" s="694"/>
      <c r="EG33" s="694"/>
      <c r="EH33" s="694"/>
      <c r="EI33" s="694"/>
      <c r="EJ33" s="694"/>
      <c r="EK33" s="694"/>
      <c r="EL33" s="694"/>
      <c r="EM33" s="694"/>
      <c r="EN33" s="694"/>
      <c r="EO33" s="694"/>
      <c r="EP33" s="694"/>
      <c r="EQ33" s="694"/>
      <c r="ER33" s="694"/>
      <c r="ES33" s="694"/>
      <c r="ET33" s="694"/>
      <c r="EU33" s="694"/>
      <c r="EV33" s="694"/>
      <c r="EW33" s="694"/>
      <c r="EX33" s="694">
        <v>1</v>
      </c>
      <c r="EY33" s="694">
        <v>1</v>
      </c>
      <c r="EZ33" s="694"/>
      <c r="FA33" s="694"/>
      <c r="FB33" s="694"/>
      <c r="FC33" s="694"/>
      <c r="FD33" s="694"/>
      <c r="FE33" s="694"/>
      <c r="FF33" s="694"/>
      <c r="FG33" s="697"/>
    </row>
    <row r="34" spans="1:163" s="696" customFormat="1">
      <c r="A34" s="690"/>
      <c r="B34" s="690"/>
      <c r="C34" s="708"/>
      <c r="D34" s="708" t="s">
        <v>3630</v>
      </c>
      <c r="E34" s="694">
        <v>40</v>
      </c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694"/>
      <c r="T34" s="694" t="s">
        <v>2990</v>
      </c>
      <c r="U34" s="694"/>
      <c r="V34" s="694"/>
      <c r="W34" s="694"/>
      <c r="X34" s="694"/>
      <c r="Y34" s="694"/>
      <c r="Z34" s="694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  <c r="BX34" s="694"/>
      <c r="BY34" s="694"/>
      <c r="BZ34" s="694"/>
      <c r="CA34" s="694"/>
      <c r="CB34" s="694"/>
      <c r="CC34" s="694"/>
      <c r="CD34" s="694"/>
      <c r="CE34" s="694"/>
      <c r="CF34" s="694"/>
      <c r="CG34" s="694"/>
      <c r="CH34" s="694"/>
      <c r="CI34" s="694"/>
      <c r="CJ34" s="694"/>
      <c r="CK34" s="694"/>
      <c r="CL34" s="694"/>
      <c r="CM34" s="694"/>
      <c r="CN34" s="694"/>
      <c r="CO34" s="694"/>
      <c r="CP34" s="694"/>
      <c r="CQ34" s="694"/>
      <c r="CR34" s="694"/>
      <c r="CS34" s="694"/>
      <c r="CT34" s="694"/>
      <c r="CU34" s="694"/>
      <c r="CV34" s="695"/>
      <c r="CW34" s="695">
        <f t="shared" si="0"/>
        <v>40</v>
      </c>
      <c r="CX34" s="695"/>
      <c r="CY34" s="695"/>
      <c r="CZ34" s="695"/>
      <c r="DA34" s="695">
        <f t="shared" si="1"/>
        <v>80</v>
      </c>
      <c r="DB34" s="695"/>
      <c r="DC34" s="695"/>
      <c r="DD34" s="695"/>
      <c r="DE34" s="695"/>
      <c r="DF34" s="695"/>
      <c r="DG34" s="695"/>
      <c r="DH34" s="695"/>
      <c r="DI34" s="694"/>
      <c r="DJ34" s="694"/>
      <c r="DK34" s="694"/>
      <c r="DL34" s="694"/>
      <c r="DM34" s="694"/>
      <c r="DN34" s="694"/>
      <c r="DO34" s="694"/>
      <c r="DP34" s="694"/>
      <c r="DQ34" s="694"/>
      <c r="DR34" s="694"/>
      <c r="DS34" s="694"/>
      <c r="DT34" s="694"/>
      <c r="DU34" s="694"/>
      <c r="DV34" s="694"/>
      <c r="DW34" s="694"/>
      <c r="DX34" s="694"/>
      <c r="DY34" s="694"/>
      <c r="DZ34" s="694"/>
      <c r="EA34" s="694"/>
      <c r="EB34" s="694"/>
      <c r="EC34" s="694"/>
      <c r="ED34" s="694"/>
      <c r="EE34" s="694"/>
      <c r="EF34" s="694"/>
      <c r="EG34" s="694"/>
      <c r="EH34" s="694"/>
      <c r="EI34" s="694"/>
      <c r="EJ34" s="694"/>
      <c r="EK34" s="694"/>
      <c r="EL34" s="694"/>
      <c r="EM34" s="694"/>
      <c r="EN34" s="694"/>
      <c r="EO34" s="694"/>
      <c r="EP34" s="694"/>
      <c r="EQ34" s="694"/>
      <c r="ER34" s="694"/>
      <c r="ES34" s="694"/>
      <c r="ET34" s="694"/>
      <c r="EU34" s="694"/>
      <c r="EV34" s="694"/>
      <c r="EW34" s="694"/>
      <c r="EX34" s="694"/>
      <c r="EY34" s="694"/>
      <c r="EZ34" s="694"/>
      <c r="FA34" s="694"/>
      <c r="FB34" s="694"/>
      <c r="FC34" s="694"/>
      <c r="FD34" s="694"/>
      <c r="FE34" s="694"/>
      <c r="FF34" s="694"/>
      <c r="FG34" s="697"/>
    </row>
    <row r="35" spans="1:163" s="696" customFormat="1">
      <c r="A35" s="690"/>
      <c r="B35" s="690"/>
      <c r="C35" s="708"/>
      <c r="D35" s="708"/>
      <c r="E35" s="694"/>
      <c r="F35" s="694"/>
      <c r="G35" s="694"/>
      <c r="H35" s="694"/>
      <c r="I35" s="694"/>
      <c r="J35" s="694"/>
      <c r="K35" s="694"/>
      <c r="L35" s="694"/>
      <c r="M35" s="694"/>
      <c r="N35" s="694"/>
      <c r="O35" s="694"/>
      <c r="P35" s="694"/>
      <c r="Q35" s="694"/>
      <c r="R35" s="694"/>
      <c r="S35" s="694"/>
      <c r="T35" s="694"/>
      <c r="U35" s="694"/>
      <c r="V35" s="694"/>
      <c r="W35" s="694"/>
      <c r="X35" s="694"/>
      <c r="Y35" s="694"/>
      <c r="Z35" s="694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694"/>
      <c r="BL35" s="694"/>
      <c r="BM35" s="694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  <c r="BX35" s="694"/>
      <c r="BY35" s="694"/>
      <c r="BZ35" s="694"/>
      <c r="CA35" s="694"/>
      <c r="CB35" s="694"/>
      <c r="CC35" s="694"/>
      <c r="CD35" s="694"/>
      <c r="CE35" s="694"/>
      <c r="CF35" s="694"/>
      <c r="CG35" s="694"/>
      <c r="CH35" s="694"/>
      <c r="CI35" s="694"/>
      <c r="CJ35" s="694"/>
      <c r="CK35" s="694"/>
      <c r="CL35" s="694"/>
      <c r="CM35" s="694"/>
      <c r="CN35" s="694"/>
      <c r="CO35" s="694"/>
      <c r="CP35" s="694"/>
      <c r="CQ35" s="694"/>
      <c r="CR35" s="694"/>
      <c r="CS35" s="694"/>
      <c r="CT35" s="694"/>
      <c r="CU35" s="694"/>
      <c r="CV35" s="695"/>
      <c r="CW35" s="695">
        <f t="shared" si="0"/>
        <v>0</v>
      </c>
      <c r="CX35" s="695"/>
      <c r="CY35" s="695"/>
      <c r="CZ35" s="695"/>
      <c r="DA35" s="695">
        <f t="shared" si="1"/>
        <v>0</v>
      </c>
      <c r="DB35" s="695"/>
      <c r="DC35" s="695"/>
      <c r="DD35" s="695"/>
      <c r="DE35" s="695"/>
      <c r="DF35" s="695"/>
      <c r="DG35" s="695"/>
      <c r="DH35" s="695"/>
      <c r="DI35" s="694"/>
      <c r="DJ35" s="694"/>
      <c r="DK35" s="694"/>
      <c r="DL35" s="694"/>
      <c r="DM35" s="694"/>
      <c r="DN35" s="694"/>
      <c r="DO35" s="694"/>
      <c r="DP35" s="694"/>
      <c r="DQ35" s="694"/>
      <c r="DR35" s="694"/>
      <c r="DS35" s="694"/>
      <c r="DT35" s="694"/>
      <c r="DU35" s="694"/>
      <c r="DV35" s="694"/>
      <c r="DW35" s="694"/>
      <c r="DX35" s="694"/>
      <c r="DY35" s="694"/>
      <c r="DZ35" s="694"/>
      <c r="EA35" s="694"/>
      <c r="EB35" s="694"/>
      <c r="EC35" s="694"/>
      <c r="ED35" s="694"/>
      <c r="EE35" s="694"/>
      <c r="EF35" s="694"/>
      <c r="EG35" s="694"/>
      <c r="EH35" s="694"/>
      <c r="EI35" s="694"/>
      <c r="EJ35" s="694"/>
      <c r="EK35" s="694"/>
      <c r="EL35" s="694"/>
      <c r="EM35" s="694"/>
      <c r="EN35" s="694"/>
      <c r="EO35" s="694"/>
      <c r="EP35" s="694"/>
      <c r="EQ35" s="694"/>
      <c r="ER35" s="694"/>
      <c r="ES35" s="694"/>
      <c r="ET35" s="694"/>
      <c r="EU35" s="694"/>
      <c r="EV35" s="694"/>
      <c r="EW35" s="694"/>
      <c r="EX35" s="694"/>
      <c r="EY35" s="694"/>
      <c r="EZ35" s="694"/>
      <c r="FA35" s="694"/>
      <c r="FB35" s="694"/>
      <c r="FC35" s="694"/>
      <c r="FD35" s="694"/>
      <c r="FE35" s="694"/>
      <c r="FF35" s="694"/>
      <c r="FG35" s="697"/>
    </row>
    <row r="36" spans="1:163" s="696" customFormat="1">
      <c r="A36" s="690"/>
      <c r="B36" s="690"/>
      <c r="C36" s="708"/>
      <c r="D36" s="709" t="s">
        <v>3631</v>
      </c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4"/>
      <c r="V36" s="694"/>
      <c r="W36" s="694"/>
      <c r="X36" s="694"/>
      <c r="Y36" s="694"/>
      <c r="Z36" s="694"/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4"/>
      <c r="BL36" s="694"/>
      <c r="BM36" s="694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  <c r="BX36" s="694"/>
      <c r="BY36" s="694"/>
      <c r="BZ36" s="694"/>
      <c r="CA36" s="694"/>
      <c r="CB36" s="694"/>
      <c r="CC36" s="694"/>
      <c r="CD36" s="694"/>
      <c r="CE36" s="694"/>
      <c r="CF36" s="694"/>
      <c r="CG36" s="694"/>
      <c r="CH36" s="694"/>
      <c r="CI36" s="694"/>
      <c r="CJ36" s="694"/>
      <c r="CK36" s="694"/>
      <c r="CL36" s="694"/>
      <c r="CM36" s="694"/>
      <c r="CN36" s="694"/>
      <c r="CO36" s="694"/>
      <c r="CP36" s="694"/>
      <c r="CQ36" s="694"/>
      <c r="CR36" s="694"/>
      <c r="CS36" s="694"/>
      <c r="CT36" s="694"/>
      <c r="CU36" s="694"/>
      <c r="CV36" s="695"/>
      <c r="CW36" s="695">
        <f t="shared" si="0"/>
        <v>0</v>
      </c>
      <c r="CX36" s="695"/>
      <c r="CY36" s="695"/>
      <c r="CZ36" s="695"/>
      <c r="DA36" s="695">
        <f t="shared" si="1"/>
        <v>0</v>
      </c>
      <c r="DB36" s="695"/>
      <c r="DC36" s="695"/>
      <c r="DD36" s="695"/>
      <c r="DE36" s="695"/>
      <c r="DF36" s="695"/>
      <c r="DG36" s="695"/>
      <c r="DH36" s="695"/>
      <c r="DI36" s="694"/>
      <c r="DJ36" s="694"/>
      <c r="DK36" s="694"/>
      <c r="DL36" s="694"/>
      <c r="DM36" s="694"/>
      <c r="DN36" s="694"/>
      <c r="DO36" s="694"/>
      <c r="DP36" s="694"/>
      <c r="DQ36" s="694"/>
      <c r="DR36" s="694"/>
      <c r="DS36" s="694"/>
      <c r="DT36" s="694"/>
      <c r="DU36" s="694"/>
      <c r="DV36" s="694"/>
      <c r="DW36" s="694"/>
      <c r="DX36" s="694"/>
      <c r="DY36" s="694"/>
      <c r="DZ36" s="694"/>
      <c r="EA36" s="694"/>
      <c r="EB36" s="694"/>
      <c r="EC36" s="694"/>
      <c r="ED36" s="694"/>
      <c r="EE36" s="694"/>
      <c r="EF36" s="694"/>
      <c r="EG36" s="694"/>
      <c r="EH36" s="694"/>
      <c r="EI36" s="694"/>
      <c r="EJ36" s="694"/>
      <c r="EK36" s="694"/>
      <c r="EL36" s="694"/>
      <c r="EM36" s="694"/>
      <c r="EN36" s="694"/>
      <c r="EO36" s="694"/>
      <c r="EP36" s="694"/>
      <c r="EQ36" s="694"/>
      <c r="ER36" s="694"/>
      <c r="ES36" s="694"/>
      <c r="ET36" s="694"/>
      <c r="EU36" s="694"/>
      <c r="EV36" s="694"/>
      <c r="EW36" s="694"/>
      <c r="EX36" s="694"/>
      <c r="EY36" s="694"/>
      <c r="EZ36" s="694"/>
      <c r="FA36" s="694"/>
      <c r="FB36" s="694"/>
      <c r="FC36" s="694"/>
      <c r="FD36" s="694"/>
      <c r="FE36" s="694"/>
      <c r="FF36" s="694"/>
      <c r="FG36" s="697"/>
    </row>
    <row r="37" spans="1:163" s="696" customFormat="1">
      <c r="A37" s="690"/>
      <c r="B37" s="690"/>
      <c r="C37" s="708" t="s">
        <v>3632</v>
      </c>
      <c r="D37" s="708"/>
      <c r="E37" s="694">
        <v>39.799999999999997</v>
      </c>
      <c r="F37" s="694"/>
      <c r="G37" s="694"/>
      <c r="H37" s="694"/>
      <c r="I37" s="694"/>
      <c r="J37" s="694"/>
      <c r="K37" s="694"/>
      <c r="L37" s="694"/>
      <c r="M37" s="694"/>
      <c r="N37" s="694"/>
      <c r="O37" s="694"/>
      <c r="P37" s="694"/>
      <c r="Q37" s="694"/>
      <c r="R37" s="694"/>
      <c r="S37" s="694"/>
      <c r="T37" s="694" t="s">
        <v>1631</v>
      </c>
      <c r="U37" s="694"/>
      <c r="V37" s="694"/>
      <c r="W37" s="694"/>
      <c r="X37" s="694"/>
      <c r="Y37" s="694"/>
      <c r="Z37" s="694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4"/>
      <c r="BL37" s="694"/>
      <c r="BM37" s="694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  <c r="BX37" s="694"/>
      <c r="BY37" s="694"/>
      <c r="BZ37" s="694"/>
      <c r="CA37" s="694"/>
      <c r="CB37" s="694"/>
      <c r="CC37" s="694"/>
      <c r="CD37" s="694"/>
      <c r="CE37" s="694"/>
      <c r="CF37" s="694"/>
      <c r="CG37" s="694"/>
      <c r="CH37" s="694"/>
      <c r="CI37" s="694"/>
      <c r="CJ37" s="694"/>
      <c r="CK37" s="694"/>
      <c r="CL37" s="694"/>
      <c r="CM37" s="694"/>
      <c r="CN37" s="694"/>
      <c r="CO37" s="694"/>
      <c r="CP37" s="694"/>
      <c r="CQ37" s="694"/>
      <c r="CR37" s="694"/>
      <c r="CS37" s="694"/>
      <c r="CT37" s="694"/>
      <c r="CU37" s="694"/>
      <c r="CV37" s="695"/>
      <c r="CW37" s="695">
        <f t="shared" si="0"/>
        <v>39.799999999999997</v>
      </c>
      <c r="CX37" s="695"/>
      <c r="CY37" s="695"/>
      <c r="CZ37" s="695"/>
      <c r="DA37" s="695">
        <f t="shared" si="1"/>
        <v>79.599999999999994</v>
      </c>
      <c r="DB37" s="695"/>
      <c r="DC37" s="695"/>
      <c r="DD37" s="695"/>
      <c r="DE37" s="695"/>
      <c r="DF37" s="695"/>
      <c r="DG37" s="695"/>
      <c r="DH37" s="695"/>
      <c r="DI37" s="694"/>
      <c r="DJ37" s="694"/>
      <c r="DK37" s="694">
        <v>1</v>
      </c>
      <c r="DL37" s="694"/>
      <c r="DM37" s="694">
        <v>3</v>
      </c>
      <c r="DN37" s="694">
        <v>1</v>
      </c>
      <c r="DO37" s="694">
        <v>3</v>
      </c>
      <c r="DP37" s="694">
        <v>2</v>
      </c>
      <c r="DQ37" s="694"/>
      <c r="DR37" s="694"/>
      <c r="DS37" s="694"/>
      <c r="DT37" s="694"/>
      <c r="DU37" s="694"/>
      <c r="DV37" s="694"/>
      <c r="DW37" s="694"/>
      <c r="DX37" s="694"/>
      <c r="DY37" s="694"/>
      <c r="DZ37" s="694"/>
      <c r="EA37" s="694">
        <v>2</v>
      </c>
      <c r="EB37" s="694"/>
      <c r="EC37" s="694"/>
      <c r="ED37" s="694"/>
      <c r="EE37" s="694"/>
      <c r="EF37" s="694"/>
      <c r="EG37" s="694"/>
      <c r="EH37" s="694"/>
      <c r="EI37" s="694"/>
      <c r="EJ37" s="694"/>
      <c r="EK37" s="694"/>
      <c r="EL37" s="694"/>
      <c r="EM37" s="694"/>
      <c r="EN37" s="694"/>
      <c r="EO37" s="694"/>
      <c r="EP37" s="694"/>
      <c r="EQ37" s="694"/>
      <c r="ER37" s="694"/>
      <c r="ES37" s="694"/>
      <c r="ET37" s="694"/>
      <c r="EU37" s="694"/>
      <c r="EV37" s="694"/>
      <c r="EW37" s="694"/>
      <c r="EX37" s="694"/>
      <c r="EY37" s="694"/>
      <c r="EZ37" s="694"/>
      <c r="FA37" s="694"/>
      <c r="FB37" s="694"/>
      <c r="FC37" s="694"/>
      <c r="FD37" s="694"/>
      <c r="FE37" s="694"/>
      <c r="FF37" s="694"/>
      <c r="FG37" s="697"/>
    </row>
    <row r="38" spans="1:163" s="696" customFormat="1">
      <c r="A38" s="690"/>
      <c r="B38" s="690"/>
      <c r="C38" s="708" t="s">
        <v>3633</v>
      </c>
      <c r="D38" s="708"/>
      <c r="E38" s="694">
        <v>35.200000000000003</v>
      </c>
      <c r="F38" s="694"/>
      <c r="G38" s="694"/>
      <c r="H38" s="694"/>
      <c r="I38" s="694"/>
      <c r="J38" s="694"/>
      <c r="K38" s="694"/>
      <c r="L38" s="694"/>
      <c r="M38" s="694"/>
      <c r="N38" s="694"/>
      <c r="O38" s="694"/>
      <c r="P38" s="694"/>
      <c r="Q38" s="694"/>
      <c r="R38" s="694"/>
      <c r="S38" s="694"/>
      <c r="T38" s="694" t="s">
        <v>2989</v>
      </c>
      <c r="U38" s="694"/>
      <c r="V38" s="694"/>
      <c r="W38" s="694"/>
      <c r="X38" s="694"/>
      <c r="Y38" s="694"/>
      <c r="Z38" s="694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4"/>
      <c r="BL38" s="694"/>
      <c r="BM38" s="694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  <c r="BX38" s="694"/>
      <c r="BY38" s="694"/>
      <c r="BZ38" s="694"/>
      <c r="CA38" s="694"/>
      <c r="CB38" s="694"/>
      <c r="CC38" s="694"/>
      <c r="CD38" s="694"/>
      <c r="CE38" s="694"/>
      <c r="CF38" s="694"/>
      <c r="CG38" s="694"/>
      <c r="CH38" s="694"/>
      <c r="CI38" s="694"/>
      <c r="CJ38" s="694"/>
      <c r="CK38" s="694"/>
      <c r="CL38" s="694"/>
      <c r="CM38" s="694"/>
      <c r="CN38" s="694"/>
      <c r="CO38" s="694"/>
      <c r="CP38" s="694"/>
      <c r="CQ38" s="694"/>
      <c r="CR38" s="694"/>
      <c r="CS38" s="694"/>
      <c r="CT38" s="694"/>
      <c r="CU38" s="694"/>
      <c r="CV38" s="695"/>
      <c r="CW38" s="695">
        <f t="shared" si="0"/>
        <v>35.200000000000003</v>
      </c>
      <c r="CX38" s="695"/>
      <c r="CY38" s="695"/>
      <c r="CZ38" s="695"/>
      <c r="DA38" s="695">
        <f t="shared" si="1"/>
        <v>70.400000000000006</v>
      </c>
      <c r="DB38" s="695"/>
      <c r="DC38" s="695"/>
      <c r="DD38" s="695"/>
      <c r="DE38" s="695"/>
      <c r="DF38" s="695"/>
      <c r="DG38" s="695"/>
      <c r="DH38" s="695"/>
      <c r="DI38" s="694"/>
      <c r="DJ38" s="694"/>
      <c r="DK38" s="694">
        <v>2</v>
      </c>
      <c r="DL38" s="694"/>
      <c r="DM38" s="694">
        <v>6</v>
      </c>
      <c r="DN38" s="694">
        <v>1</v>
      </c>
      <c r="DO38" s="694">
        <v>3</v>
      </c>
      <c r="DP38" s="694">
        <v>2</v>
      </c>
      <c r="DQ38" s="694"/>
      <c r="DR38" s="694"/>
      <c r="DS38" s="694"/>
      <c r="DT38" s="694"/>
      <c r="DU38" s="694">
        <v>12</v>
      </c>
      <c r="DV38" s="694">
        <v>2</v>
      </c>
      <c r="DW38" s="694"/>
      <c r="DX38" s="694"/>
      <c r="DY38" s="694"/>
      <c r="DZ38" s="694"/>
      <c r="EA38" s="694">
        <v>2</v>
      </c>
      <c r="EB38" s="694"/>
      <c r="EC38" s="694"/>
      <c r="ED38" s="694"/>
      <c r="EE38" s="694"/>
      <c r="EF38" s="694"/>
      <c r="EG38" s="694"/>
      <c r="EH38" s="694"/>
      <c r="EI38" s="694"/>
      <c r="EJ38" s="694"/>
      <c r="EK38" s="694"/>
      <c r="EL38" s="694"/>
      <c r="EM38" s="694"/>
      <c r="EN38" s="694"/>
      <c r="EO38" s="694"/>
      <c r="EP38" s="694"/>
      <c r="EQ38" s="694"/>
      <c r="ER38" s="694"/>
      <c r="ES38" s="694"/>
      <c r="ET38" s="694"/>
      <c r="EU38" s="694"/>
      <c r="EV38" s="694"/>
      <c r="EW38" s="694"/>
      <c r="EX38" s="694"/>
      <c r="EY38" s="694"/>
      <c r="EZ38" s="694"/>
      <c r="FA38" s="694"/>
      <c r="FB38" s="694"/>
      <c r="FC38" s="694"/>
      <c r="FD38" s="694"/>
      <c r="FE38" s="694"/>
      <c r="FF38" s="694"/>
      <c r="FG38" s="697"/>
    </row>
    <row r="39" spans="1:163" s="696" customFormat="1">
      <c r="A39" s="690"/>
      <c r="B39" s="690"/>
      <c r="C39" s="708" t="s">
        <v>3634</v>
      </c>
      <c r="D39" s="708"/>
      <c r="E39" s="694">
        <v>28.4</v>
      </c>
      <c r="F39" s="694"/>
      <c r="G39" s="694"/>
      <c r="H39" s="694"/>
      <c r="I39" s="694"/>
      <c r="J39" s="694"/>
      <c r="K39" s="694"/>
      <c r="L39" s="694"/>
      <c r="M39" s="694"/>
      <c r="N39" s="694"/>
      <c r="O39" s="694"/>
      <c r="P39" s="694"/>
      <c r="Q39" s="694"/>
      <c r="R39" s="694"/>
      <c r="S39" s="694"/>
      <c r="T39" s="694" t="s">
        <v>1631</v>
      </c>
      <c r="U39" s="694"/>
      <c r="V39" s="694"/>
      <c r="W39" s="694"/>
      <c r="X39" s="694"/>
      <c r="Y39" s="694"/>
      <c r="Z39" s="694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694"/>
      <c r="BL39" s="694"/>
      <c r="BM39" s="694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  <c r="BX39" s="694"/>
      <c r="BY39" s="694"/>
      <c r="BZ39" s="694"/>
      <c r="CA39" s="694"/>
      <c r="CB39" s="694"/>
      <c r="CC39" s="694"/>
      <c r="CD39" s="694"/>
      <c r="CE39" s="694"/>
      <c r="CF39" s="694"/>
      <c r="CG39" s="694"/>
      <c r="CH39" s="694"/>
      <c r="CI39" s="694"/>
      <c r="CJ39" s="694"/>
      <c r="CK39" s="694"/>
      <c r="CL39" s="694"/>
      <c r="CM39" s="694"/>
      <c r="CN39" s="694"/>
      <c r="CO39" s="694"/>
      <c r="CP39" s="694"/>
      <c r="CQ39" s="694"/>
      <c r="CR39" s="694"/>
      <c r="CS39" s="694"/>
      <c r="CT39" s="694"/>
      <c r="CU39" s="694"/>
      <c r="CV39" s="695"/>
      <c r="CW39" s="695">
        <f t="shared" si="0"/>
        <v>28.4</v>
      </c>
      <c r="CX39" s="695"/>
      <c r="CY39" s="695"/>
      <c r="CZ39" s="695"/>
      <c r="DA39" s="695">
        <f t="shared" si="1"/>
        <v>56.8</v>
      </c>
      <c r="DB39" s="695"/>
      <c r="DC39" s="695"/>
      <c r="DD39" s="695"/>
      <c r="DE39" s="695"/>
      <c r="DF39" s="695"/>
      <c r="DG39" s="695"/>
      <c r="DH39" s="695"/>
      <c r="DI39" s="694"/>
      <c r="DJ39" s="694"/>
      <c r="DK39" s="694">
        <v>1</v>
      </c>
      <c r="DL39" s="694"/>
      <c r="DM39" s="694">
        <v>3</v>
      </c>
      <c r="DN39" s="694">
        <v>1</v>
      </c>
      <c r="DO39" s="694">
        <v>3</v>
      </c>
      <c r="DP39" s="694">
        <v>2</v>
      </c>
      <c r="DQ39" s="694"/>
      <c r="DR39" s="694"/>
      <c r="DS39" s="694"/>
      <c r="DT39" s="694"/>
      <c r="DU39" s="694"/>
      <c r="DV39" s="694"/>
      <c r="DW39" s="694"/>
      <c r="DX39" s="694"/>
      <c r="DY39" s="694"/>
      <c r="DZ39" s="694"/>
      <c r="EA39" s="694">
        <v>2</v>
      </c>
      <c r="EB39" s="694"/>
      <c r="EC39" s="694"/>
      <c r="ED39" s="694"/>
      <c r="EE39" s="694"/>
      <c r="EF39" s="694"/>
      <c r="EG39" s="694"/>
      <c r="EH39" s="694"/>
      <c r="EI39" s="694"/>
      <c r="EJ39" s="694"/>
      <c r="EK39" s="694"/>
      <c r="EL39" s="694"/>
      <c r="EM39" s="694"/>
      <c r="EN39" s="694"/>
      <c r="EO39" s="694"/>
      <c r="EP39" s="694"/>
      <c r="EQ39" s="694"/>
      <c r="ER39" s="694"/>
      <c r="ES39" s="694"/>
      <c r="ET39" s="694"/>
      <c r="EU39" s="694"/>
      <c r="EV39" s="694"/>
      <c r="EW39" s="694"/>
      <c r="EX39" s="694"/>
      <c r="EY39" s="694"/>
      <c r="EZ39" s="694"/>
      <c r="FA39" s="694"/>
      <c r="FB39" s="694"/>
      <c r="FC39" s="694"/>
      <c r="FD39" s="694"/>
      <c r="FE39" s="694"/>
      <c r="FF39" s="694"/>
      <c r="FG39" s="697"/>
    </row>
    <row r="40" spans="1:163" s="696" customFormat="1">
      <c r="A40" s="690"/>
      <c r="B40" s="690"/>
      <c r="C40" s="708" t="s">
        <v>3635</v>
      </c>
      <c r="D40" s="708"/>
      <c r="E40" s="694">
        <v>28.7</v>
      </c>
      <c r="F40" s="694"/>
      <c r="G40" s="694"/>
      <c r="H40" s="694"/>
      <c r="I40" s="694"/>
      <c r="J40" s="694"/>
      <c r="K40" s="694"/>
      <c r="L40" s="694"/>
      <c r="M40" s="694"/>
      <c r="N40" s="694"/>
      <c r="O40" s="694"/>
      <c r="P40" s="694"/>
      <c r="Q40" s="694"/>
      <c r="R40" s="694"/>
      <c r="S40" s="694"/>
      <c r="T40" s="694" t="s">
        <v>1903</v>
      </c>
      <c r="U40" s="694"/>
      <c r="V40" s="694"/>
      <c r="W40" s="694"/>
      <c r="X40" s="694"/>
      <c r="Y40" s="694"/>
      <c r="Z40" s="694"/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4"/>
      <c r="BL40" s="694"/>
      <c r="BM40" s="694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  <c r="BX40" s="694"/>
      <c r="BY40" s="694"/>
      <c r="BZ40" s="694"/>
      <c r="CA40" s="694"/>
      <c r="CB40" s="694"/>
      <c r="CC40" s="694"/>
      <c r="CD40" s="694"/>
      <c r="CE40" s="694"/>
      <c r="CF40" s="694"/>
      <c r="CG40" s="694"/>
      <c r="CH40" s="694"/>
      <c r="CI40" s="694"/>
      <c r="CJ40" s="694"/>
      <c r="CK40" s="694"/>
      <c r="CL40" s="694"/>
      <c r="CM40" s="694"/>
      <c r="CN40" s="694"/>
      <c r="CO40" s="694"/>
      <c r="CP40" s="694"/>
      <c r="CQ40" s="694"/>
      <c r="CR40" s="694"/>
      <c r="CS40" s="694"/>
      <c r="CT40" s="694"/>
      <c r="CU40" s="694"/>
      <c r="CV40" s="695"/>
      <c r="CW40" s="695">
        <f t="shared" si="0"/>
        <v>28.7</v>
      </c>
      <c r="CX40" s="695"/>
      <c r="CY40" s="695"/>
      <c r="CZ40" s="695"/>
      <c r="DA40" s="695">
        <f t="shared" si="1"/>
        <v>57.4</v>
      </c>
      <c r="DB40" s="695"/>
      <c r="DC40" s="695"/>
      <c r="DD40" s="695"/>
      <c r="DE40" s="695"/>
      <c r="DF40" s="695"/>
      <c r="DG40" s="695"/>
      <c r="DH40" s="695"/>
      <c r="DI40" s="694"/>
      <c r="DJ40" s="694"/>
      <c r="DK40" s="694">
        <v>1</v>
      </c>
      <c r="DL40" s="694"/>
      <c r="DM40" s="694">
        <v>3</v>
      </c>
      <c r="DN40" s="694">
        <v>1</v>
      </c>
      <c r="DO40" s="694">
        <v>3</v>
      </c>
      <c r="DP40" s="694">
        <v>2</v>
      </c>
      <c r="DQ40" s="694"/>
      <c r="DR40" s="694"/>
      <c r="DS40" s="694"/>
      <c r="DT40" s="694"/>
      <c r="DU40" s="694"/>
      <c r="DV40" s="694"/>
      <c r="DW40" s="694"/>
      <c r="DX40" s="694"/>
      <c r="DY40" s="694"/>
      <c r="DZ40" s="694"/>
      <c r="EA40" s="694">
        <v>2</v>
      </c>
      <c r="EB40" s="694"/>
      <c r="EC40" s="694"/>
      <c r="ED40" s="694"/>
      <c r="EE40" s="694"/>
      <c r="EF40" s="694"/>
      <c r="EG40" s="694"/>
      <c r="EH40" s="694"/>
      <c r="EI40" s="694"/>
      <c r="EJ40" s="694"/>
      <c r="EK40" s="694"/>
      <c r="EL40" s="694"/>
      <c r="EM40" s="694"/>
      <c r="EN40" s="694"/>
      <c r="EO40" s="694"/>
      <c r="EP40" s="694"/>
      <c r="EQ40" s="694"/>
      <c r="ER40" s="694"/>
      <c r="ES40" s="694"/>
      <c r="ET40" s="694"/>
      <c r="EU40" s="694"/>
      <c r="EV40" s="694"/>
      <c r="EW40" s="694"/>
      <c r="EX40" s="694"/>
      <c r="EY40" s="694"/>
      <c r="EZ40" s="694"/>
      <c r="FA40" s="694"/>
      <c r="FB40" s="694"/>
      <c r="FC40" s="694"/>
      <c r="FD40" s="694"/>
      <c r="FE40" s="694"/>
      <c r="FF40" s="694"/>
      <c r="FG40" s="697"/>
    </row>
    <row r="41" spans="1:163" s="696" customFormat="1">
      <c r="A41" s="690"/>
      <c r="B41" s="690"/>
      <c r="C41" s="708" t="s">
        <v>3636</v>
      </c>
      <c r="D41" s="708"/>
      <c r="E41" s="694">
        <v>32.799999999999997</v>
      </c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694"/>
      <c r="T41" s="694" t="s">
        <v>1903</v>
      </c>
      <c r="U41" s="694"/>
      <c r="V41" s="694"/>
      <c r="W41" s="694"/>
      <c r="X41" s="694"/>
      <c r="Y41" s="694"/>
      <c r="Z41" s="694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  <c r="BX41" s="694"/>
      <c r="BY41" s="694"/>
      <c r="BZ41" s="694"/>
      <c r="CA41" s="694"/>
      <c r="CB41" s="694"/>
      <c r="CC41" s="694"/>
      <c r="CD41" s="694"/>
      <c r="CE41" s="694"/>
      <c r="CF41" s="694"/>
      <c r="CG41" s="694"/>
      <c r="CH41" s="694"/>
      <c r="CI41" s="694"/>
      <c r="CJ41" s="694"/>
      <c r="CK41" s="694"/>
      <c r="CL41" s="694"/>
      <c r="CM41" s="694"/>
      <c r="CN41" s="694"/>
      <c r="CO41" s="694"/>
      <c r="CP41" s="694"/>
      <c r="CQ41" s="694"/>
      <c r="CR41" s="694"/>
      <c r="CS41" s="694"/>
      <c r="CT41" s="694"/>
      <c r="CU41" s="694"/>
      <c r="CV41" s="695"/>
      <c r="CW41" s="695">
        <f t="shared" si="0"/>
        <v>32.799999999999997</v>
      </c>
      <c r="CX41" s="695"/>
      <c r="CY41" s="695"/>
      <c r="CZ41" s="695"/>
      <c r="DA41" s="695">
        <f t="shared" si="1"/>
        <v>65.599999999999994</v>
      </c>
      <c r="DB41" s="695"/>
      <c r="DC41" s="695"/>
      <c r="DD41" s="695"/>
      <c r="DE41" s="695"/>
      <c r="DF41" s="695"/>
      <c r="DG41" s="695"/>
      <c r="DH41" s="695"/>
      <c r="DI41" s="694"/>
      <c r="DJ41" s="694"/>
      <c r="DK41" s="694">
        <v>1</v>
      </c>
      <c r="DL41" s="694"/>
      <c r="DM41" s="694">
        <v>3</v>
      </c>
      <c r="DN41" s="694">
        <v>1</v>
      </c>
      <c r="DO41" s="694">
        <v>3</v>
      </c>
      <c r="DP41" s="694">
        <v>2</v>
      </c>
      <c r="DQ41" s="694"/>
      <c r="DR41" s="694"/>
      <c r="DS41" s="694"/>
      <c r="DT41" s="694"/>
      <c r="DU41" s="694"/>
      <c r="DV41" s="694"/>
      <c r="DW41" s="694"/>
      <c r="DX41" s="694"/>
      <c r="DY41" s="694"/>
      <c r="DZ41" s="694"/>
      <c r="EA41" s="694">
        <v>2</v>
      </c>
      <c r="EB41" s="694"/>
      <c r="EC41" s="694"/>
      <c r="ED41" s="694"/>
      <c r="EE41" s="694"/>
      <c r="EF41" s="694"/>
      <c r="EG41" s="694"/>
      <c r="EH41" s="694"/>
      <c r="EI41" s="694"/>
      <c r="EJ41" s="694"/>
      <c r="EK41" s="694"/>
      <c r="EL41" s="694"/>
      <c r="EM41" s="694"/>
      <c r="EN41" s="694"/>
      <c r="EO41" s="694"/>
      <c r="EP41" s="694"/>
      <c r="EQ41" s="694"/>
      <c r="ER41" s="694"/>
      <c r="ES41" s="694"/>
      <c r="ET41" s="694"/>
      <c r="EU41" s="694"/>
      <c r="EV41" s="694"/>
      <c r="EW41" s="694"/>
      <c r="EX41" s="694"/>
      <c r="EY41" s="694"/>
      <c r="EZ41" s="694"/>
      <c r="FA41" s="694"/>
      <c r="FB41" s="694"/>
      <c r="FC41" s="694"/>
      <c r="FD41" s="694"/>
      <c r="FE41" s="694"/>
      <c r="FF41" s="694"/>
      <c r="FG41" s="697"/>
    </row>
    <row r="42" spans="1:163" s="696" customFormat="1">
      <c r="A42" s="690"/>
      <c r="B42" s="690"/>
      <c r="C42" s="708" t="s">
        <v>3637</v>
      </c>
      <c r="D42" s="708"/>
      <c r="E42" s="694">
        <v>25.5</v>
      </c>
      <c r="F42" s="694"/>
      <c r="G42" s="694"/>
      <c r="H42" s="694"/>
      <c r="I42" s="694"/>
      <c r="J42" s="694"/>
      <c r="K42" s="694"/>
      <c r="L42" s="694"/>
      <c r="M42" s="694"/>
      <c r="N42" s="694"/>
      <c r="O42" s="694"/>
      <c r="P42" s="694"/>
      <c r="Q42" s="694"/>
      <c r="R42" s="694"/>
      <c r="S42" s="694"/>
      <c r="T42" s="694" t="s">
        <v>1631</v>
      </c>
      <c r="U42" s="694"/>
      <c r="V42" s="694"/>
      <c r="W42" s="694"/>
      <c r="X42" s="694"/>
      <c r="Y42" s="694"/>
      <c r="Z42" s="694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4"/>
      <c r="BL42" s="694"/>
      <c r="BM42" s="694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  <c r="BX42" s="694"/>
      <c r="BY42" s="694"/>
      <c r="BZ42" s="694"/>
      <c r="CA42" s="694"/>
      <c r="CB42" s="694"/>
      <c r="CC42" s="694"/>
      <c r="CD42" s="694"/>
      <c r="CE42" s="694"/>
      <c r="CF42" s="694"/>
      <c r="CG42" s="694"/>
      <c r="CH42" s="694"/>
      <c r="CI42" s="694"/>
      <c r="CJ42" s="694"/>
      <c r="CK42" s="694"/>
      <c r="CL42" s="694"/>
      <c r="CM42" s="694"/>
      <c r="CN42" s="694"/>
      <c r="CO42" s="694"/>
      <c r="CP42" s="694"/>
      <c r="CQ42" s="694"/>
      <c r="CR42" s="694"/>
      <c r="CS42" s="694"/>
      <c r="CT42" s="694"/>
      <c r="CU42" s="694"/>
      <c r="CV42" s="695"/>
      <c r="CW42" s="695">
        <f t="shared" si="0"/>
        <v>25.5</v>
      </c>
      <c r="CX42" s="695"/>
      <c r="CY42" s="695"/>
      <c r="CZ42" s="695"/>
      <c r="DA42" s="695">
        <f t="shared" si="1"/>
        <v>51</v>
      </c>
      <c r="DB42" s="695"/>
      <c r="DC42" s="695"/>
      <c r="DD42" s="695"/>
      <c r="DE42" s="695"/>
      <c r="DF42" s="695"/>
      <c r="DG42" s="695"/>
      <c r="DH42" s="695"/>
      <c r="DI42" s="694"/>
      <c r="DJ42" s="694"/>
      <c r="DK42" s="694">
        <v>1</v>
      </c>
      <c r="DL42" s="694"/>
      <c r="DM42" s="694">
        <v>3</v>
      </c>
      <c r="DN42" s="694">
        <v>1</v>
      </c>
      <c r="DO42" s="694">
        <v>3</v>
      </c>
      <c r="DP42" s="694">
        <v>2</v>
      </c>
      <c r="DQ42" s="694"/>
      <c r="DR42" s="694"/>
      <c r="DS42" s="694"/>
      <c r="DT42" s="694"/>
      <c r="DU42" s="694"/>
      <c r="DV42" s="694"/>
      <c r="DW42" s="694"/>
      <c r="DX42" s="694"/>
      <c r="DY42" s="694"/>
      <c r="DZ42" s="694"/>
      <c r="EA42" s="694">
        <v>2</v>
      </c>
      <c r="EB42" s="694"/>
      <c r="EC42" s="694"/>
      <c r="ED42" s="694"/>
      <c r="EE42" s="694"/>
      <c r="EF42" s="694"/>
      <c r="EG42" s="694"/>
      <c r="EH42" s="694"/>
      <c r="EI42" s="694"/>
      <c r="EJ42" s="694"/>
      <c r="EK42" s="694"/>
      <c r="EL42" s="694"/>
      <c r="EM42" s="694"/>
      <c r="EN42" s="694"/>
      <c r="EO42" s="694"/>
      <c r="EP42" s="694"/>
      <c r="EQ42" s="694"/>
      <c r="ER42" s="694"/>
      <c r="ES42" s="694"/>
      <c r="ET42" s="694"/>
      <c r="EU42" s="694"/>
      <c r="EV42" s="694"/>
      <c r="EW42" s="694"/>
      <c r="EX42" s="694"/>
      <c r="EY42" s="694"/>
      <c r="EZ42" s="694"/>
      <c r="FA42" s="694"/>
      <c r="FB42" s="694"/>
      <c r="FC42" s="694"/>
      <c r="FD42" s="694"/>
      <c r="FE42" s="694"/>
      <c r="FF42" s="694"/>
      <c r="FG42" s="697"/>
    </row>
    <row r="43" spans="1:163" s="696" customFormat="1">
      <c r="A43" s="690"/>
      <c r="B43" s="690"/>
      <c r="C43" s="708" t="s">
        <v>3638</v>
      </c>
      <c r="D43" s="708"/>
      <c r="E43" s="694">
        <v>25.1</v>
      </c>
      <c r="F43" s="694"/>
      <c r="G43" s="694"/>
      <c r="H43" s="694"/>
      <c r="I43" s="694"/>
      <c r="J43" s="694"/>
      <c r="K43" s="694"/>
      <c r="L43" s="694"/>
      <c r="M43" s="694"/>
      <c r="N43" s="694"/>
      <c r="O43" s="694"/>
      <c r="P43" s="694"/>
      <c r="Q43" s="694"/>
      <c r="R43" s="694"/>
      <c r="S43" s="694"/>
      <c r="T43" s="694" t="s">
        <v>2989</v>
      </c>
      <c r="U43" s="694"/>
      <c r="V43" s="694"/>
      <c r="W43" s="694"/>
      <c r="X43" s="694"/>
      <c r="Y43" s="694"/>
      <c r="Z43" s="694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694"/>
      <c r="BL43" s="694"/>
      <c r="BM43" s="694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  <c r="BX43" s="694"/>
      <c r="BY43" s="694"/>
      <c r="BZ43" s="694"/>
      <c r="CA43" s="694"/>
      <c r="CB43" s="694"/>
      <c r="CC43" s="694"/>
      <c r="CD43" s="694"/>
      <c r="CE43" s="694"/>
      <c r="CF43" s="694"/>
      <c r="CG43" s="694"/>
      <c r="CH43" s="694"/>
      <c r="CI43" s="694"/>
      <c r="CJ43" s="694"/>
      <c r="CK43" s="694"/>
      <c r="CL43" s="694"/>
      <c r="CM43" s="694"/>
      <c r="CN43" s="694"/>
      <c r="CO43" s="694"/>
      <c r="CP43" s="694">
        <v>1</v>
      </c>
      <c r="CQ43" s="694"/>
      <c r="CR43" s="694"/>
      <c r="CS43" s="694"/>
      <c r="CT43" s="694"/>
      <c r="CU43" s="694"/>
      <c r="CV43" s="695"/>
      <c r="CW43" s="695">
        <f t="shared" si="0"/>
        <v>25.1</v>
      </c>
      <c r="CX43" s="695"/>
      <c r="CY43" s="695"/>
      <c r="CZ43" s="695"/>
      <c r="DA43" s="695">
        <f t="shared" si="1"/>
        <v>50.2</v>
      </c>
      <c r="DB43" s="695"/>
      <c r="DC43" s="695"/>
      <c r="DD43" s="695"/>
      <c r="DE43" s="695"/>
      <c r="DF43" s="695"/>
      <c r="DG43" s="695"/>
      <c r="DH43" s="695"/>
      <c r="DI43" s="694"/>
      <c r="DJ43" s="694"/>
      <c r="DK43" s="694">
        <v>2</v>
      </c>
      <c r="DL43" s="694"/>
      <c r="DM43" s="694">
        <v>6</v>
      </c>
      <c r="DN43" s="694">
        <v>2</v>
      </c>
      <c r="DO43" s="694">
        <v>6</v>
      </c>
      <c r="DP43" s="694">
        <v>4</v>
      </c>
      <c r="DQ43" s="694"/>
      <c r="DR43" s="694"/>
      <c r="DS43" s="694"/>
      <c r="DT43" s="694"/>
      <c r="DU43" s="694">
        <v>12</v>
      </c>
      <c r="DV43" s="694"/>
      <c r="DW43" s="694">
        <v>2</v>
      </c>
      <c r="DX43" s="694"/>
      <c r="DY43" s="694"/>
      <c r="DZ43" s="694"/>
      <c r="EA43" s="694">
        <v>3</v>
      </c>
      <c r="EB43" s="694"/>
      <c r="EC43" s="694"/>
      <c r="ED43" s="694"/>
      <c r="EE43" s="694"/>
      <c r="EF43" s="694"/>
      <c r="EG43" s="694"/>
      <c r="EH43" s="694"/>
      <c r="EI43" s="694"/>
      <c r="EJ43" s="694"/>
      <c r="EK43" s="694"/>
      <c r="EL43" s="694"/>
      <c r="EM43" s="694"/>
      <c r="EN43" s="694"/>
      <c r="EO43" s="694"/>
      <c r="EP43" s="694"/>
      <c r="EQ43" s="694"/>
      <c r="ER43" s="694"/>
      <c r="ES43" s="694"/>
      <c r="ET43" s="694"/>
      <c r="EU43" s="694"/>
      <c r="EV43" s="694"/>
      <c r="EW43" s="694"/>
      <c r="EX43" s="694">
        <v>10</v>
      </c>
      <c r="EY43" s="694">
        <v>10</v>
      </c>
      <c r="EZ43" s="694"/>
      <c r="FA43" s="694"/>
      <c r="FB43" s="694"/>
      <c r="FC43" s="694"/>
      <c r="FD43" s="694"/>
      <c r="FE43" s="694"/>
      <c r="FF43" s="694"/>
      <c r="FG43" s="697"/>
    </row>
    <row r="44" spans="1:163" s="696" customFormat="1">
      <c r="A44" s="690"/>
      <c r="B44" s="690"/>
      <c r="C44" s="708" t="s">
        <v>3639</v>
      </c>
      <c r="D44" s="708"/>
      <c r="E44" s="694">
        <v>25.2</v>
      </c>
      <c r="F44" s="694"/>
      <c r="G44" s="694"/>
      <c r="H44" s="694"/>
      <c r="I44" s="694"/>
      <c r="J44" s="694"/>
      <c r="K44" s="694"/>
      <c r="L44" s="694"/>
      <c r="M44" s="694"/>
      <c r="N44" s="694"/>
      <c r="O44" s="694"/>
      <c r="P44" s="694"/>
      <c r="Q44" s="694"/>
      <c r="R44" s="694"/>
      <c r="S44" s="694"/>
      <c r="T44" s="694" t="s">
        <v>2989</v>
      </c>
      <c r="U44" s="694"/>
      <c r="V44" s="694"/>
      <c r="W44" s="694"/>
      <c r="X44" s="694"/>
      <c r="Y44" s="694"/>
      <c r="Z44" s="694"/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4"/>
      <c r="BL44" s="694"/>
      <c r="BM44" s="694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  <c r="BX44" s="694"/>
      <c r="BY44" s="694"/>
      <c r="BZ44" s="694"/>
      <c r="CA44" s="694"/>
      <c r="CB44" s="694"/>
      <c r="CC44" s="694"/>
      <c r="CD44" s="694"/>
      <c r="CE44" s="694"/>
      <c r="CF44" s="694"/>
      <c r="CG44" s="694"/>
      <c r="CH44" s="694"/>
      <c r="CI44" s="694"/>
      <c r="CJ44" s="694"/>
      <c r="CK44" s="694"/>
      <c r="CL44" s="694"/>
      <c r="CM44" s="694"/>
      <c r="CN44" s="694"/>
      <c r="CO44" s="694"/>
      <c r="CP44" s="694">
        <v>1</v>
      </c>
      <c r="CQ44" s="694"/>
      <c r="CR44" s="694"/>
      <c r="CS44" s="694"/>
      <c r="CT44" s="694"/>
      <c r="CU44" s="694"/>
      <c r="CV44" s="695"/>
      <c r="CW44" s="695">
        <f t="shared" si="0"/>
        <v>25.2</v>
      </c>
      <c r="CX44" s="695"/>
      <c r="CY44" s="695"/>
      <c r="CZ44" s="695"/>
      <c r="DA44" s="695">
        <f t="shared" si="1"/>
        <v>50.4</v>
      </c>
      <c r="DB44" s="695"/>
      <c r="DC44" s="695"/>
      <c r="DD44" s="695"/>
      <c r="DE44" s="695"/>
      <c r="DF44" s="695"/>
      <c r="DG44" s="695"/>
      <c r="DH44" s="695"/>
      <c r="DI44" s="694"/>
      <c r="DJ44" s="694"/>
      <c r="DK44" s="694">
        <v>2</v>
      </c>
      <c r="DL44" s="694"/>
      <c r="DM44" s="694">
        <v>6</v>
      </c>
      <c r="DN44" s="694">
        <v>1</v>
      </c>
      <c r="DO44" s="694">
        <v>3</v>
      </c>
      <c r="DP44" s="694">
        <v>2</v>
      </c>
      <c r="DQ44" s="694"/>
      <c r="DR44" s="694"/>
      <c r="DS44" s="694"/>
      <c r="DT44" s="694"/>
      <c r="DU44" s="694">
        <v>12</v>
      </c>
      <c r="DV44" s="694">
        <v>2</v>
      </c>
      <c r="DW44" s="694"/>
      <c r="DX44" s="694"/>
      <c r="DY44" s="694"/>
      <c r="DZ44" s="694"/>
      <c r="EA44" s="694">
        <v>2</v>
      </c>
      <c r="EB44" s="694"/>
      <c r="EC44" s="694"/>
      <c r="ED44" s="694"/>
      <c r="EE44" s="694"/>
      <c r="EF44" s="694"/>
      <c r="EG44" s="694"/>
      <c r="EH44" s="694"/>
      <c r="EI44" s="694"/>
      <c r="EJ44" s="694"/>
      <c r="EK44" s="694"/>
      <c r="EL44" s="694"/>
      <c r="EM44" s="694"/>
      <c r="EN44" s="694"/>
      <c r="EO44" s="694"/>
      <c r="EP44" s="694"/>
      <c r="EQ44" s="694"/>
      <c r="ER44" s="694"/>
      <c r="ES44" s="694"/>
      <c r="ET44" s="694"/>
      <c r="EU44" s="694"/>
      <c r="EV44" s="694"/>
      <c r="EW44" s="694"/>
      <c r="EX44" s="694">
        <v>1</v>
      </c>
      <c r="EY44" s="694"/>
      <c r="EZ44" s="694"/>
      <c r="FA44" s="694"/>
      <c r="FB44" s="694"/>
      <c r="FC44" s="694"/>
      <c r="FD44" s="694"/>
      <c r="FE44" s="694"/>
      <c r="FF44" s="694"/>
      <c r="FG44" s="697"/>
    </row>
    <row r="45" spans="1:163" s="696" customFormat="1">
      <c r="A45" s="690"/>
      <c r="B45" s="690"/>
      <c r="C45" s="708" t="s">
        <v>3640</v>
      </c>
      <c r="D45" s="708"/>
      <c r="E45" s="694">
        <v>36</v>
      </c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 t="s">
        <v>1903</v>
      </c>
      <c r="U45" s="694"/>
      <c r="V45" s="694"/>
      <c r="W45" s="694"/>
      <c r="X45" s="694"/>
      <c r="Y45" s="694"/>
      <c r="Z45" s="694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4"/>
      <c r="BL45" s="694"/>
      <c r="BM45" s="694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  <c r="BX45" s="694"/>
      <c r="BY45" s="694"/>
      <c r="BZ45" s="694"/>
      <c r="CA45" s="694"/>
      <c r="CB45" s="694"/>
      <c r="CC45" s="694"/>
      <c r="CD45" s="694"/>
      <c r="CE45" s="694"/>
      <c r="CF45" s="694"/>
      <c r="CG45" s="694"/>
      <c r="CH45" s="694"/>
      <c r="CI45" s="694"/>
      <c r="CJ45" s="694"/>
      <c r="CK45" s="694"/>
      <c r="CL45" s="694"/>
      <c r="CM45" s="694"/>
      <c r="CN45" s="694"/>
      <c r="CO45" s="694"/>
      <c r="CP45" s="694"/>
      <c r="CQ45" s="694"/>
      <c r="CR45" s="694"/>
      <c r="CS45" s="694"/>
      <c r="CT45" s="694"/>
      <c r="CU45" s="694"/>
      <c r="CV45" s="695"/>
      <c r="CW45" s="695">
        <f t="shared" si="0"/>
        <v>36</v>
      </c>
      <c r="CX45" s="695"/>
      <c r="CY45" s="695"/>
      <c r="CZ45" s="695"/>
      <c r="DA45" s="695">
        <f t="shared" si="1"/>
        <v>72</v>
      </c>
      <c r="DB45" s="695"/>
      <c r="DC45" s="695"/>
      <c r="DD45" s="695"/>
      <c r="DE45" s="695"/>
      <c r="DF45" s="695"/>
      <c r="DG45" s="695"/>
      <c r="DH45" s="695"/>
      <c r="DI45" s="694"/>
      <c r="DJ45" s="694"/>
      <c r="DK45" s="694">
        <v>1</v>
      </c>
      <c r="DL45" s="694"/>
      <c r="DM45" s="694">
        <v>3</v>
      </c>
      <c r="DN45" s="694">
        <v>1</v>
      </c>
      <c r="DO45" s="694">
        <v>3</v>
      </c>
      <c r="DP45" s="694">
        <v>2</v>
      </c>
      <c r="DQ45" s="694"/>
      <c r="DR45" s="694"/>
      <c r="DS45" s="694"/>
      <c r="DT45" s="694"/>
      <c r="DU45" s="694"/>
      <c r="DV45" s="694"/>
      <c r="DW45" s="694"/>
      <c r="DX45" s="694"/>
      <c r="DY45" s="694"/>
      <c r="DZ45" s="694"/>
      <c r="EA45" s="694">
        <v>2</v>
      </c>
      <c r="EB45" s="694"/>
      <c r="EC45" s="694"/>
      <c r="ED45" s="694"/>
      <c r="EE45" s="694"/>
      <c r="EF45" s="694"/>
      <c r="EG45" s="694"/>
      <c r="EH45" s="694"/>
      <c r="EI45" s="694"/>
      <c r="EJ45" s="694"/>
      <c r="EK45" s="694"/>
      <c r="EL45" s="694"/>
      <c r="EM45" s="694"/>
      <c r="EN45" s="694"/>
      <c r="EO45" s="694"/>
      <c r="EP45" s="694"/>
      <c r="EQ45" s="694"/>
      <c r="ER45" s="694"/>
      <c r="ES45" s="694"/>
      <c r="ET45" s="694"/>
      <c r="EU45" s="694"/>
      <c r="EV45" s="694"/>
      <c r="EW45" s="694"/>
      <c r="EX45" s="694"/>
      <c r="EY45" s="694"/>
      <c r="EZ45" s="694"/>
      <c r="FA45" s="694"/>
      <c r="FB45" s="694"/>
      <c r="FC45" s="694"/>
      <c r="FD45" s="694"/>
      <c r="FE45" s="694"/>
      <c r="FF45" s="694"/>
      <c r="FG45" s="697"/>
    </row>
    <row r="46" spans="1:163" s="696" customFormat="1">
      <c r="A46" s="690"/>
      <c r="B46" s="690"/>
      <c r="C46" s="708" t="s">
        <v>3641</v>
      </c>
      <c r="D46" s="708"/>
      <c r="E46" s="694">
        <v>31.8</v>
      </c>
      <c r="F46" s="694"/>
      <c r="G46" s="694"/>
      <c r="H46" s="694"/>
      <c r="I46" s="694"/>
      <c r="J46" s="694"/>
      <c r="K46" s="694"/>
      <c r="L46" s="694"/>
      <c r="M46" s="694"/>
      <c r="N46" s="694"/>
      <c r="O46" s="694"/>
      <c r="P46" s="694"/>
      <c r="Q46" s="694"/>
      <c r="R46" s="694"/>
      <c r="S46" s="694"/>
      <c r="T46" s="694" t="s">
        <v>2990</v>
      </c>
      <c r="U46" s="694"/>
      <c r="V46" s="694"/>
      <c r="W46" s="694"/>
      <c r="X46" s="694"/>
      <c r="Y46" s="694"/>
      <c r="Z46" s="694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4"/>
      <c r="BL46" s="694"/>
      <c r="BM46" s="694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  <c r="BX46" s="694"/>
      <c r="BY46" s="694"/>
      <c r="BZ46" s="694"/>
      <c r="CA46" s="694"/>
      <c r="CB46" s="694"/>
      <c r="CC46" s="694"/>
      <c r="CD46" s="694"/>
      <c r="CE46" s="694"/>
      <c r="CF46" s="694"/>
      <c r="CG46" s="694"/>
      <c r="CH46" s="694"/>
      <c r="CI46" s="694"/>
      <c r="CJ46" s="694"/>
      <c r="CK46" s="694"/>
      <c r="CL46" s="694"/>
      <c r="CM46" s="694"/>
      <c r="CN46" s="694"/>
      <c r="CO46" s="694"/>
      <c r="CP46" s="694"/>
      <c r="CQ46" s="694"/>
      <c r="CR46" s="694"/>
      <c r="CS46" s="694"/>
      <c r="CT46" s="694"/>
      <c r="CU46" s="694"/>
      <c r="CV46" s="695"/>
      <c r="CW46" s="695">
        <f t="shared" si="0"/>
        <v>31.8</v>
      </c>
      <c r="CX46" s="695"/>
      <c r="CY46" s="695"/>
      <c r="CZ46" s="695"/>
      <c r="DA46" s="695">
        <f t="shared" si="1"/>
        <v>63.6</v>
      </c>
      <c r="DB46" s="695"/>
      <c r="DC46" s="695"/>
      <c r="DD46" s="695"/>
      <c r="DE46" s="695"/>
      <c r="DF46" s="695"/>
      <c r="DG46" s="695"/>
      <c r="DH46" s="695"/>
      <c r="DI46" s="694"/>
      <c r="DJ46" s="694"/>
      <c r="DK46" s="694">
        <v>1</v>
      </c>
      <c r="DL46" s="694"/>
      <c r="DM46" s="694">
        <v>3</v>
      </c>
      <c r="DN46" s="694">
        <v>1</v>
      </c>
      <c r="DO46" s="694">
        <v>3</v>
      </c>
      <c r="DP46" s="694">
        <v>2</v>
      </c>
      <c r="DQ46" s="694"/>
      <c r="DR46" s="694"/>
      <c r="DS46" s="694"/>
      <c r="DT46" s="694"/>
      <c r="DU46" s="694">
        <v>6</v>
      </c>
      <c r="DV46" s="694"/>
      <c r="DW46" s="694"/>
      <c r="DX46" s="694"/>
      <c r="DY46" s="694"/>
      <c r="DZ46" s="694"/>
      <c r="EA46" s="694">
        <v>2</v>
      </c>
      <c r="EB46" s="694"/>
      <c r="EC46" s="694"/>
      <c r="ED46" s="694"/>
      <c r="EE46" s="694"/>
      <c r="EF46" s="694"/>
      <c r="EG46" s="694"/>
      <c r="EH46" s="694"/>
      <c r="EI46" s="694"/>
      <c r="EJ46" s="694"/>
      <c r="EK46" s="694"/>
      <c r="EL46" s="694"/>
      <c r="EM46" s="694"/>
      <c r="EN46" s="694"/>
      <c r="EO46" s="694"/>
      <c r="EP46" s="694"/>
      <c r="EQ46" s="694"/>
      <c r="ER46" s="694"/>
      <c r="ES46" s="694"/>
      <c r="ET46" s="694"/>
      <c r="EU46" s="694"/>
      <c r="EV46" s="694"/>
      <c r="EW46" s="694"/>
      <c r="EX46" s="694"/>
      <c r="EY46" s="694"/>
      <c r="EZ46" s="694"/>
      <c r="FA46" s="694"/>
      <c r="FB46" s="694"/>
      <c r="FC46" s="694"/>
      <c r="FD46" s="694"/>
      <c r="FE46" s="694"/>
      <c r="FF46" s="694"/>
      <c r="FG46" s="697"/>
    </row>
    <row r="47" spans="1:163" s="696" customFormat="1">
      <c r="A47" s="690"/>
      <c r="B47" s="690"/>
      <c r="C47" s="708"/>
      <c r="D47" s="708"/>
      <c r="E47" s="694"/>
      <c r="F47" s="694"/>
      <c r="G47" s="694"/>
      <c r="H47" s="694"/>
      <c r="I47" s="694"/>
      <c r="J47" s="694"/>
      <c r="K47" s="694"/>
      <c r="L47" s="694"/>
      <c r="M47" s="694"/>
      <c r="N47" s="694"/>
      <c r="O47" s="694"/>
      <c r="P47" s="694"/>
      <c r="Q47" s="694"/>
      <c r="R47" s="694"/>
      <c r="S47" s="694"/>
      <c r="T47" s="694"/>
      <c r="U47" s="694"/>
      <c r="V47" s="694"/>
      <c r="W47" s="694"/>
      <c r="X47" s="694"/>
      <c r="Y47" s="694"/>
      <c r="Z47" s="694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694"/>
      <c r="BL47" s="694"/>
      <c r="BM47" s="694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  <c r="BX47" s="694"/>
      <c r="BY47" s="694"/>
      <c r="BZ47" s="694"/>
      <c r="CA47" s="694"/>
      <c r="CB47" s="694"/>
      <c r="CC47" s="694"/>
      <c r="CD47" s="694"/>
      <c r="CE47" s="694"/>
      <c r="CF47" s="694"/>
      <c r="CG47" s="694"/>
      <c r="CH47" s="694"/>
      <c r="CI47" s="694"/>
      <c r="CJ47" s="694"/>
      <c r="CK47" s="694"/>
      <c r="CL47" s="694"/>
      <c r="CM47" s="694"/>
      <c r="CN47" s="694"/>
      <c r="CO47" s="694"/>
      <c r="CP47" s="694"/>
      <c r="CQ47" s="694"/>
      <c r="CR47" s="694"/>
      <c r="CS47" s="694"/>
      <c r="CT47" s="694"/>
      <c r="CU47" s="694"/>
      <c r="CV47" s="695"/>
      <c r="CW47" s="695">
        <f t="shared" si="0"/>
        <v>0</v>
      </c>
      <c r="CX47" s="695"/>
      <c r="CY47" s="695"/>
      <c r="CZ47" s="695"/>
      <c r="DA47" s="695">
        <f t="shared" si="1"/>
        <v>0</v>
      </c>
      <c r="DB47" s="695"/>
      <c r="DC47" s="695"/>
      <c r="DD47" s="695"/>
      <c r="DE47" s="695"/>
      <c r="DF47" s="695"/>
      <c r="DG47" s="695"/>
      <c r="DH47" s="695"/>
      <c r="DI47" s="694"/>
      <c r="DJ47" s="694"/>
      <c r="DK47" s="694"/>
      <c r="DL47" s="694"/>
      <c r="DM47" s="694"/>
      <c r="DN47" s="694"/>
      <c r="DO47" s="694"/>
      <c r="DP47" s="694"/>
      <c r="DQ47" s="694"/>
      <c r="DR47" s="694"/>
      <c r="DS47" s="694"/>
      <c r="DT47" s="694"/>
      <c r="DU47" s="694"/>
      <c r="DV47" s="694"/>
      <c r="DW47" s="694"/>
      <c r="DX47" s="694"/>
      <c r="DY47" s="694"/>
      <c r="DZ47" s="694"/>
      <c r="EA47" s="694"/>
      <c r="EB47" s="694"/>
      <c r="EC47" s="694"/>
      <c r="ED47" s="694"/>
      <c r="EE47" s="694"/>
      <c r="EF47" s="694"/>
      <c r="EG47" s="694"/>
      <c r="EH47" s="694"/>
      <c r="EI47" s="694"/>
      <c r="EJ47" s="694"/>
      <c r="EK47" s="694"/>
      <c r="EL47" s="694"/>
      <c r="EM47" s="694"/>
      <c r="EN47" s="694"/>
      <c r="EO47" s="694"/>
      <c r="EP47" s="694"/>
      <c r="EQ47" s="694"/>
      <c r="ER47" s="694"/>
      <c r="ES47" s="694"/>
      <c r="ET47" s="694"/>
      <c r="EU47" s="694"/>
      <c r="EV47" s="694"/>
      <c r="EW47" s="694"/>
      <c r="EX47" s="694"/>
      <c r="EY47" s="694"/>
      <c r="EZ47" s="694"/>
      <c r="FA47" s="694"/>
      <c r="FB47" s="694"/>
      <c r="FC47" s="694"/>
      <c r="FD47" s="694"/>
      <c r="FE47" s="694"/>
      <c r="FF47" s="694"/>
      <c r="FG47" s="697"/>
    </row>
    <row r="48" spans="1:163" s="696" customFormat="1">
      <c r="A48" s="690"/>
      <c r="B48" s="690"/>
      <c r="C48" s="708"/>
      <c r="D48" s="709" t="s">
        <v>3642</v>
      </c>
      <c r="E48" s="694"/>
      <c r="F48" s="694"/>
      <c r="G48" s="694"/>
      <c r="H48" s="694"/>
      <c r="I48" s="694"/>
      <c r="J48" s="694"/>
      <c r="K48" s="694"/>
      <c r="L48" s="694"/>
      <c r="M48" s="694"/>
      <c r="N48" s="694"/>
      <c r="O48" s="694"/>
      <c r="P48" s="694"/>
      <c r="Q48" s="694"/>
      <c r="R48" s="694"/>
      <c r="S48" s="694"/>
      <c r="T48" s="694" t="s">
        <v>2989</v>
      </c>
      <c r="U48" s="694"/>
      <c r="V48" s="694"/>
      <c r="W48" s="694"/>
      <c r="X48" s="694"/>
      <c r="Y48" s="694"/>
      <c r="Z48" s="694"/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4"/>
      <c r="BL48" s="694"/>
      <c r="BM48" s="694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  <c r="BX48" s="694"/>
      <c r="BY48" s="694"/>
      <c r="BZ48" s="694"/>
      <c r="CA48" s="694"/>
      <c r="CB48" s="694"/>
      <c r="CC48" s="694"/>
      <c r="CD48" s="694"/>
      <c r="CE48" s="694"/>
      <c r="CF48" s="694"/>
      <c r="CG48" s="694"/>
      <c r="CH48" s="694"/>
      <c r="CI48" s="694"/>
      <c r="CJ48" s="694"/>
      <c r="CK48" s="694"/>
      <c r="CL48" s="694"/>
      <c r="CM48" s="694"/>
      <c r="CN48" s="694"/>
      <c r="CO48" s="694"/>
      <c r="CP48" s="694">
        <v>1</v>
      </c>
      <c r="CQ48" s="694"/>
      <c r="CR48" s="694"/>
      <c r="CS48" s="694"/>
      <c r="CT48" s="694"/>
      <c r="CU48" s="694"/>
      <c r="CV48" s="695"/>
      <c r="CW48" s="695">
        <f t="shared" si="0"/>
        <v>0</v>
      </c>
      <c r="CX48" s="695"/>
      <c r="CY48" s="695"/>
      <c r="CZ48" s="695"/>
      <c r="DA48" s="695">
        <f t="shared" si="1"/>
        <v>0</v>
      </c>
      <c r="DB48" s="695"/>
      <c r="DC48" s="695"/>
      <c r="DD48" s="695"/>
      <c r="DE48" s="695"/>
      <c r="DF48" s="695"/>
      <c r="DG48" s="695"/>
      <c r="DH48" s="695"/>
      <c r="DI48" s="694"/>
      <c r="DJ48" s="694"/>
      <c r="DK48" s="694"/>
      <c r="DL48" s="694"/>
      <c r="DM48" s="694"/>
      <c r="DN48" s="694"/>
      <c r="DO48" s="694"/>
      <c r="DP48" s="694"/>
      <c r="DQ48" s="694"/>
      <c r="DR48" s="694"/>
      <c r="DS48" s="694"/>
      <c r="DT48" s="694"/>
      <c r="DU48" s="694"/>
      <c r="DV48" s="694"/>
      <c r="DW48" s="694"/>
      <c r="DX48" s="694"/>
      <c r="DY48" s="694"/>
      <c r="DZ48" s="694"/>
      <c r="EA48" s="694"/>
      <c r="EB48" s="694"/>
      <c r="EC48" s="694"/>
      <c r="ED48" s="694"/>
      <c r="EE48" s="694"/>
      <c r="EF48" s="694"/>
      <c r="EG48" s="694"/>
      <c r="EH48" s="694"/>
      <c r="EI48" s="694"/>
      <c r="EJ48" s="694"/>
      <c r="EK48" s="694"/>
      <c r="EL48" s="694"/>
      <c r="EM48" s="694"/>
      <c r="EN48" s="694"/>
      <c r="EO48" s="694"/>
      <c r="EP48" s="694"/>
      <c r="EQ48" s="694"/>
      <c r="ER48" s="694"/>
      <c r="ES48" s="694"/>
      <c r="ET48" s="694"/>
      <c r="EU48" s="694"/>
      <c r="EV48" s="694"/>
      <c r="EW48" s="694"/>
      <c r="EX48" s="694"/>
      <c r="EY48" s="694"/>
      <c r="EZ48" s="694"/>
      <c r="FA48" s="694"/>
      <c r="FB48" s="694"/>
      <c r="FC48" s="694"/>
      <c r="FD48" s="694"/>
      <c r="FE48" s="694"/>
      <c r="FF48" s="694"/>
      <c r="FG48" s="697"/>
    </row>
    <row r="49" spans="1:167" s="696" customFormat="1">
      <c r="A49" s="690"/>
      <c r="B49" s="690"/>
      <c r="C49" s="708"/>
      <c r="D49" s="708" t="s">
        <v>3006</v>
      </c>
      <c r="E49" s="694">
        <v>20.2</v>
      </c>
      <c r="F49" s="694"/>
      <c r="G49" s="694"/>
      <c r="H49" s="694"/>
      <c r="I49" s="694"/>
      <c r="J49" s="694"/>
      <c r="K49" s="694"/>
      <c r="L49" s="694"/>
      <c r="M49" s="694"/>
      <c r="N49" s="694"/>
      <c r="O49" s="694"/>
      <c r="P49" s="694"/>
      <c r="Q49" s="694"/>
      <c r="R49" s="694"/>
      <c r="S49" s="694"/>
      <c r="T49" s="694"/>
      <c r="U49" s="694"/>
      <c r="V49" s="694"/>
      <c r="W49" s="694"/>
      <c r="X49" s="694"/>
      <c r="Y49" s="694"/>
      <c r="Z49" s="694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4"/>
      <c r="BL49" s="694"/>
      <c r="BM49" s="694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  <c r="BX49" s="694"/>
      <c r="BY49" s="694"/>
      <c r="BZ49" s="694"/>
      <c r="CA49" s="694"/>
      <c r="CB49" s="694"/>
      <c r="CC49" s="694"/>
      <c r="CD49" s="694"/>
      <c r="CE49" s="694"/>
      <c r="CF49" s="694"/>
      <c r="CG49" s="694"/>
      <c r="CH49" s="694"/>
      <c r="CI49" s="694"/>
      <c r="CJ49" s="694"/>
      <c r="CK49" s="694"/>
      <c r="CL49" s="694"/>
      <c r="CM49" s="694"/>
      <c r="CN49" s="694"/>
      <c r="CO49" s="694"/>
      <c r="CP49" s="694"/>
      <c r="CQ49" s="694"/>
      <c r="CR49" s="694"/>
      <c r="CS49" s="694"/>
      <c r="CT49" s="694"/>
      <c r="CU49" s="694"/>
      <c r="CV49" s="695"/>
      <c r="CW49" s="695">
        <f t="shared" si="0"/>
        <v>20.2</v>
      </c>
      <c r="CX49" s="695"/>
      <c r="CY49" s="695"/>
      <c r="CZ49" s="695"/>
      <c r="DA49" s="695">
        <f t="shared" si="1"/>
        <v>40.4</v>
      </c>
      <c r="DB49" s="695"/>
      <c r="DC49" s="695"/>
      <c r="DD49" s="695"/>
      <c r="DE49" s="695"/>
      <c r="DF49" s="695"/>
      <c r="DG49" s="695"/>
      <c r="DH49" s="695"/>
      <c r="DI49" s="694"/>
      <c r="DJ49" s="694"/>
      <c r="DK49" s="694">
        <v>2</v>
      </c>
      <c r="DL49" s="694"/>
      <c r="DM49" s="694">
        <v>6</v>
      </c>
      <c r="DN49" s="694">
        <v>1</v>
      </c>
      <c r="DO49" s="694">
        <v>3</v>
      </c>
      <c r="DP49" s="694">
        <v>2</v>
      </c>
      <c r="DQ49" s="694"/>
      <c r="DR49" s="694"/>
      <c r="DS49" s="694"/>
      <c r="DT49" s="694"/>
      <c r="DU49" s="694">
        <v>12</v>
      </c>
      <c r="DV49" s="694">
        <v>1</v>
      </c>
      <c r="DW49" s="694"/>
      <c r="DX49" s="694"/>
      <c r="DY49" s="694"/>
      <c r="DZ49" s="694"/>
      <c r="EA49" s="694">
        <v>4</v>
      </c>
      <c r="EB49" s="694"/>
      <c r="EC49" s="694"/>
      <c r="ED49" s="694"/>
      <c r="EE49" s="694"/>
      <c r="EF49" s="694"/>
      <c r="EG49" s="694"/>
      <c r="EH49" s="694"/>
      <c r="EI49" s="694"/>
      <c r="EJ49" s="694"/>
      <c r="EK49" s="694"/>
      <c r="EL49" s="694"/>
      <c r="EM49" s="694"/>
      <c r="EN49" s="694"/>
      <c r="EO49" s="694"/>
      <c r="EP49" s="694"/>
      <c r="EQ49" s="694"/>
      <c r="ER49" s="694"/>
      <c r="ES49" s="694"/>
      <c r="ET49" s="694"/>
      <c r="EU49" s="694"/>
      <c r="EV49" s="694"/>
      <c r="EW49" s="694"/>
      <c r="EX49" s="694">
        <v>6</v>
      </c>
      <c r="EY49" s="694">
        <v>6</v>
      </c>
      <c r="EZ49" s="694"/>
      <c r="FA49" s="694"/>
      <c r="FB49" s="694"/>
      <c r="FC49" s="694"/>
      <c r="FD49" s="694"/>
      <c r="FE49" s="694"/>
      <c r="FF49" s="694"/>
      <c r="FG49" s="697"/>
    </row>
    <row r="50" spans="1:167" s="696" customFormat="1">
      <c r="A50" s="690"/>
      <c r="B50" s="690"/>
      <c r="C50" s="708" t="s">
        <v>3632</v>
      </c>
      <c r="D50" s="708"/>
      <c r="E50" s="694">
        <v>14.6</v>
      </c>
      <c r="F50" s="694"/>
      <c r="G50" s="694"/>
      <c r="H50" s="694"/>
      <c r="I50" s="694"/>
      <c r="J50" s="694"/>
      <c r="K50" s="694"/>
      <c r="L50" s="694"/>
      <c r="M50" s="694"/>
      <c r="N50" s="694"/>
      <c r="O50" s="694"/>
      <c r="P50" s="694"/>
      <c r="Q50" s="694"/>
      <c r="R50" s="694"/>
      <c r="S50" s="694"/>
      <c r="T50" s="694" t="s">
        <v>1631</v>
      </c>
      <c r="U50" s="694"/>
      <c r="V50" s="694"/>
      <c r="W50" s="694"/>
      <c r="X50" s="694"/>
      <c r="Y50" s="694"/>
      <c r="Z50" s="694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4"/>
      <c r="BL50" s="694"/>
      <c r="BM50" s="694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  <c r="BX50" s="694"/>
      <c r="BY50" s="694"/>
      <c r="BZ50" s="694"/>
      <c r="CA50" s="694"/>
      <c r="CB50" s="694"/>
      <c r="CC50" s="694"/>
      <c r="CD50" s="694"/>
      <c r="CE50" s="694"/>
      <c r="CF50" s="694"/>
      <c r="CG50" s="694"/>
      <c r="CH50" s="694"/>
      <c r="CI50" s="694"/>
      <c r="CJ50" s="694"/>
      <c r="CK50" s="694"/>
      <c r="CL50" s="694"/>
      <c r="CM50" s="694"/>
      <c r="CN50" s="694"/>
      <c r="CO50" s="694"/>
      <c r="CP50" s="694"/>
      <c r="CQ50" s="694"/>
      <c r="CR50" s="694"/>
      <c r="CS50" s="694"/>
      <c r="CT50" s="694"/>
      <c r="CU50" s="694"/>
      <c r="CV50" s="695"/>
      <c r="CW50" s="695">
        <f t="shared" si="0"/>
        <v>14.6</v>
      </c>
      <c r="CX50" s="695"/>
      <c r="CY50" s="695"/>
      <c r="CZ50" s="695"/>
      <c r="DA50" s="695">
        <f t="shared" si="1"/>
        <v>29.2</v>
      </c>
      <c r="DB50" s="695"/>
      <c r="DC50" s="695"/>
      <c r="DD50" s="695"/>
      <c r="DE50" s="695"/>
      <c r="DF50" s="695"/>
      <c r="DG50" s="695"/>
      <c r="DH50" s="695"/>
      <c r="DI50" s="694"/>
      <c r="DJ50" s="694"/>
      <c r="DK50" s="694">
        <v>1</v>
      </c>
      <c r="DL50" s="694"/>
      <c r="DM50" s="694">
        <v>3</v>
      </c>
      <c r="DN50" s="694">
        <v>1</v>
      </c>
      <c r="DO50" s="694">
        <v>3</v>
      </c>
      <c r="DP50" s="694">
        <v>2</v>
      </c>
      <c r="DQ50" s="694"/>
      <c r="DR50" s="694"/>
      <c r="DS50" s="694"/>
      <c r="DT50" s="694"/>
      <c r="DU50" s="694"/>
      <c r="DV50" s="694"/>
      <c r="DW50" s="694"/>
      <c r="DX50" s="694"/>
      <c r="DY50" s="694"/>
      <c r="DZ50" s="694"/>
      <c r="EA50" s="694">
        <v>2</v>
      </c>
      <c r="EB50" s="694"/>
      <c r="EC50" s="694"/>
      <c r="ED50" s="694"/>
      <c r="EE50" s="694"/>
      <c r="EF50" s="694"/>
      <c r="EG50" s="694"/>
      <c r="EH50" s="694"/>
      <c r="EI50" s="694"/>
      <c r="EJ50" s="694"/>
      <c r="EK50" s="694"/>
      <c r="EL50" s="694"/>
      <c r="EM50" s="694"/>
      <c r="EN50" s="694"/>
      <c r="EO50" s="694"/>
      <c r="EP50" s="694"/>
      <c r="EQ50" s="694"/>
      <c r="ER50" s="694"/>
      <c r="ES50" s="694"/>
      <c r="ET50" s="694"/>
      <c r="EU50" s="694"/>
      <c r="EV50" s="694"/>
      <c r="EW50" s="694"/>
      <c r="EX50" s="694"/>
      <c r="EY50" s="694"/>
      <c r="EZ50" s="694"/>
      <c r="FA50" s="694"/>
      <c r="FB50" s="694"/>
      <c r="FC50" s="694"/>
      <c r="FD50" s="694"/>
      <c r="FE50" s="694"/>
      <c r="FF50" s="694"/>
      <c r="FG50" s="697"/>
    </row>
    <row r="51" spans="1:167" s="696" customFormat="1">
      <c r="A51" s="690"/>
      <c r="B51" s="690"/>
      <c r="C51" s="708" t="s">
        <v>3633</v>
      </c>
      <c r="D51" s="708"/>
      <c r="E51" s="694">
        <v>32.5</v>
      </c>
      <c r="F51" s="694"/>
      <c r="G51" s="694"/>
      <c r="H51" s="694"/>
      <c r="I51" s="694"/>
      <c r="J51" s="694"/>
      <c r="K51" s="694"/>
      <c r="L51" s="694"/>
      <c r="M51" s="694"/>
      <c r="N51" s="694"/>
      <c r="O51" s="694"/>
      <c r="P51" s="694"/>
      <c r="Q51" s="694"/>
      <c r="R51" s="694"/>
      <c r="S51" s="694"/>
      <c r="T51" s="694" t="s">
        <v>1631</v>
      </c>
      <c r="U51" s="694"/>
      <c r="V51" s="694"/>
      <c r="W51" s="694"/>
      <c r="X51" s="694"/>
      <c r="Y51" s="694"/>
      <c r="Z51" s="694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694"/>
      <c r="BL51" s="694"/>
      <c r="BM51" s="694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  <c r="BX51" s="694"/>
      <c r="BY51" s="694"/>
      <c r="BZ51" s="694"/>
      <c r="CA51" s="694"/>
      <c r="CB51" s="694"/>
      <c r="CC51" s="694"/>
      <c r="CD51" s="694"/>
      <c r="CE51" s="694"/>
      <c r="CF51" s="694"/>
      <c r="CG51" s="694"/>
      <c r="CH51" s="694"/>
      <c r="CI51" s="694"/>
      <c r="CJ51" s="694"/>
      <c r="CK51" s="694"/>
      <c r="CL51" s="694"/>
      <c r="CM51" s="694"/>
      <c r="CN51" s="694"/>
      <c r="CO51" s="694"/>
      <c r="CP51" s="694">
        <v>1</v>
      </c>
      <c r="CQ51" s="694"/>
      <c r="CR51" s="694"/>
      <c r="CS51" s="694"/>
      <c r="CT51" s="694"/>
      <c r="CU51" s="694"/>
      <c r="CV51" s="695"/>
      <c r="CW51" s="695">
        <f t="shared" si="0"/>
        <v>32.5</v>
      </c>
      <c r="CX51" s="695"/>
      <c r="CY51" s="695"/>
      <c r="CZ51" s="695"/>
      <c r="DA51" s="695">
        <f t="shared" si="1"/>
        <v>65</v>
      </c>
      <c r="DB51" s="695"/>
      <c r="DC51" s="695"/>
      <c r="DD51" s="695"/>
      <c r="DE51" s="695"/>
      <c r="DF51" s="695"/>
      <c r="DG51" s="695"/>
      <c r="DH51" s="695"/>
      <c r="DI51" s="694"/>
      <c r="DJ51" s="694"/>
      <c r="DK51" s="694">
        <v>1</v>
      </c>
      <c r="DL51" s="694"/>
      <c r="DM51" s="694">
        <v>3</v>
      </c>
      <c r="DN51" s="694">
        <v>1</v>
      </c>
      <c r="DO51" s="694">
        <v>3</v>
      </c>
      <c r="DP51" s="694">
        <v>2</v>
      </c>
      <c r="DQ51" s="694"/>
      <c r="DR51" s="694"/>
      <c r="DS51" s="694"/>
      <c r="DT51" s="694"/>
      <c r="DU51" s="694"/>
      <c r="DV51" s="694"/>
      <c r="DW51" s="694"/>
      <c r="DX51" s="694"/>
      <c r="DY51" s="694"/>
      <c r="DZ51" s="694"/>
      <c r="EA51" s="694">
        <v>2</v>
      </c>
      <c r="EB51" s="694"/>
      <c r="EC51" s="694"/>
      <c r="ED51" s="694"/>
      <c r="EE51" s="694"/>
      <c r="EF51" s="694"/>
      <c r="EG51" s="694"/>
      <c r="EH51" s="694"/>
      <c r="EI51" s="694"/>
      <c r="EJ51" s="694"/>
      <c r="EK51" s="694"/>
      <c r="EL51" s="694"/>
      <c r="EM51" s="694"/>
      <c r="EN51" s="694"/>
      <c r="EO51" s="694"/>
      <c r="EP51" s="694"/>
      <c r="EQ51" s="694"/>
      <c r="ER51" s="694"/>
      <c r="ES51" s="694"/>
      <c r="ET51" s="694"/>
      <c r="EU51" s="694"/>
      <c r="EV51" s="694"/>
      <c r="EW51" s="694"/>
      <c r="EX51" s="694">
        <v>7</v>
      </c>
      <c r="EY51" s="694">
        <v>5</v>
      </c>
      <c r="EZ51" s="694"/>
      <c r="FA51" s="694"/>
      <c r="FB51" s="694"/>
      <c r="FC51" s="694"/>
      <c r="FD51" s="694"/>
      <c r="FE51" s="694"/>
      <c r="FF51" s="694"/>
      <c r="FG51" s="697"/>
    </row>
    <row r="52" spans="1:167" s="696" customFormat="1">
      <c r="A52" s="690"/>
      <c r="B52" s="690"/>
      <c r="C52" s="708"/>
      <c r="D52" s="708" t="s">
        <v>2991</v>
      </c>
      <c r="E52" s="694">
        <v>5.8</v>
      </c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694"/>
      <c r="V52" s="694"/>
      <c r="W52" s="694"/>
      <c r="X52" s="694"/>
      <c r="Y52" s="694"/>
      <c r="Z52" s="694"/>
      <c r="AA52" s="694"/>
      <c r="AB52" s="694"/>
      <c r="AC52" s="694"/>
      <c r="AD52" s="694"/>
      <c r="AE52" s="694"/>
      <c r="AF52" s="694"/>
      <c r="AG52" s="694"/>
      <c r="AH52" s="694"/>
      <c r="AI52" s="694"/>
      <c r="AJ52" s="694"/>
      <c r="AK52" s="694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694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694"/>
      <c r="BV52" s="694"/>
      <c r="BW52" s="694"/>
      <c r="BX52" s="694"/>
      <c r="BY52" s="694"/>
      <c r="BZ52" s="694"/>
      <c r="CA52" s="694"/>
      <c r="CB52" s="694"/>
      <c r="CC52" s="694"/>
      <c r="CD52" s="694"/>
      <c r="CE52" s="694"/>
      <c r="CF52" s="694"/>
      <c r="CG52" s="694"/>
      <c r="CH52" s="694"/>
      <c r="CI52" s="694"/>
      <c r="CJ52" s="694"/>
      <c r="CK52" s="694"/>
      <c r="CL52" s="694"/>
      <c r="CM52" s="694"/>
      <c r="CN52" s="694"/>
      <c r="CO52" s="694"/>
      <c r="CP52" s="694"/>
      <c r="CQ52" s="694"/>
      <c r="CR52" s="694"/>
      <c r="CS52" s="694"/>
      <c r="CT52" s="694"/>
      <c r="CU52" s="694"/>
      <c r="CV52" s="695"/>
      <c r="CW52" s="695">
        <f t="shared" si="0"/>
        <v>5.8</v>
      </c>
      <c r="CX52" s="695"/>
      <c r="CY52" s="695"/>
      <c r="CZ52" s="695"/>
      <c r="DA52" s="695">
        <f t="shared" si="1"/>
        <v>11.6</v>
      </c>
      <c r="DB52" s="695"/>
      <c r="DC52" s="695"/>
      <c r="DD52" s="695"/>
      <c r="DE52" s="695"/>
      <c r="DF52" s="695"/>
      <c r="DG52" s="695"/>
      <c r="DH52" s="695"/>
      <c r="DI52" s="694"/>
      <c r="DJ52" s="694"/>
      <c r="DK52" s="694"/>
      <c r="DL52" s="694"/>
      <c r="DM52" s="694"/>
      <c r="DN52" s="694"/>
      <c r="DO52" s="694"/>
      <c r="DP52" s="694"/>
      <c r="DQ52" s="694"/>
      <c r="DR52" s="694"/>
      <c r="DS52" s="694"/>
      <c r="DT52" s="694"/>
      <c r="DU52" s="694"/>
      <c r="DV52" s="694"/>
      <c r="DW52" s="694"/>
      <c r="DX52" s="694"/>
      <c r="DY52" s="694"/>
      <c r="DZ52" s="694"/>
      <c r="EA52" s="694"/>
      <c r="EB52" s="694"/>
      <c r="EC52" s="694"/>
      <c r="ED52" s="694"/>
      <c r="EE52" s="694"/>
      <c r="EF52" s="694"/>
      <c r="EG52" s="694"/>
      <c r="EH52" s="694"/>
      <c r="EI52" s="694"/>
      <c r="EJ52" s="694"/>
      <c r="EK52" s="694"/>
      <c r="EL52" s="694"/>
      <c r="EM52" s="694"/>
      <c r="EN52" s="694"/>
      <c r="EO52" s="694"/>
      <c r="EP52" s="694"/>
      <c r="EQ52" s="694"/>
      <c r="ER52" s="694"/>
      <c r="ES52" s="694"/>
      <c r="ET52" s="694"/>
      <c r="EU52" s="694"/>
      <c r="EV52" s="694"/>
      <c r="EW52" s="694"/>
      <c r="EX52" s="694"/>
      <c r="EY52" s="694"/>
      <c r="EZ52" s="694"/>
      <c r="FA52" s="694"/>
      <c r="FB52" s="694"/>
      <c r="FC52" s="694"/>
      <c r="FD52" s="694"/>
      <c r="FE52" s="694"/>
      <c r="FF52" s="694"/>
      <c r="FG52" s="697"/>
    </row>
    <row r="53" spans="1:167" s="696" customFormat="1">
      <c r="A53" s="690"/>
      <c r="B53" s="690"/>
      <c r="C53" s="708" t="s">
        <v>3634</v>
      </c>
      <c r="D53" s="708"/>
      <c r="E53" s="694">
        <v>30.9</v>
      </c>
      <c r="F53" s="694"/>
      <c r="G53" s="694"/>
      <c r="H53" s="694"/>
      <c r="I53" s="694"/>
      <c r="J53" s="694"/>
      <c r="K53" s="694"/>
      <c r="L53" s="694"/>
      <c r="M53" s="694"/>
      <c r="N53" s="694"/>
      <c r="O53" s="694"/>
      <c r="P53" s="694"/>
      <c r="Q53" s="694"/>
      <c r="R53" s="694"/>
      <c r="S53" s="694"/>
      <c r="T53" s="694" t="s">
        <v>1903</v>
      </c>
      <c r="U53" s="694"/>
      <c r="V53" s="694"/>
      <c r="W53" s="694"/>
      <c r="X53" s="694"/>
      <c r="Y53" s="694"/>
      <c r="Z53" s="694"/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4"/>
      <c r="BL53" s="694"/>
      <c r="BM53" s="694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  <c r="BX53" s="694"/>
      <c r="BY53" s="694"/>
      <c r="BZ53" s="694"/>
      <c r="CA53" s="694"/>
      <c r="CB53" s="694"/>
      <c r="CC53" s="694"/>
      <c r="CD53" s="694"/>
      <c r="CE53" s="694"/>
      <c r="CF53" s="694"/>
      <c r="CG53" s="694"/>
      <c r="CH53" s="694"/>
      <c r="CI53" s="694"/>
      <c r="CJ53" s="694"/>
      <c r="CK53" s="694"/>
      <c r="CL53" s="694"/>
      <c r="CM53" s="694"/>
      <c r="CN53" s="694"/>
      <c r="CO53" s="694"/>
      <c r="CP53" s="694"/>
      <c r="CQ53" s="694"/>
      <c r="CR53" s="694"/>
      <c r="CS53" s="694"/>
      <c r="CT53" s="694"/>
      <c r="CU53" s="694"/>
      <c r="CV53" s="695"/>
      <c r="CW53" s="695">
        <f t="shared" si="0"/>
        <v>30.9</v>
      </c>
      <c r="CX53" s="695"/>
      <c r="CY53" s="695"/>
      <c r="CZ53" s="695"/>
      <c r="DA53" s="695">
        <f t="shared" si="1"/>
        <v>61.8</v>
      </c>
      <c r="DB53" s="695"/>
      <c r="DC53" s="695"/>
      <c r="DD53" s="695"/>
      <c r="DE53" s="695"/>
      <c r="DF53" s="695"/>
      <c r="DG53" s="695"/>
      <c r="DH53" s="695"/>
      <c r="DI53" s="694"/>
      <c r="DJ53" s="694"/>
      <c r="DK53" s="694">
        <v>1</v>
      </c>
      <c r="DL53" s="694"/>
      <c r="DM53" s="694">
        <v>3</v>
      </c>
      <c r="DN53" s="694">
        <v>1</v>
      </c>
      <c r="DO53" s="694">
        <v>3</v>
      </c>
      <c r="DP53" s="694">
        <v>2</v>
      </c>
      <c r="DQ53" s="694"/>
      <c r="DR53" s="694"/>
      <c r="DS53" s="694"/>
      <c r="DT53" s="694"/>
      <c r="DU53" s="694"/>
      <c r="DV53" s="694"/>
      <c r="DW53" s="694"/>
      <c r="DX53" s="694"/>
      <c r="DY53" s="694"/>
      <c r="DZ53" s="694"/>
      <c r="EA53" s="694">
        <v>2</v>
      </c>
      <c r="EB53" s="694"/>
      <c r="EC53" s="694"/>
      <c r="ED53" s="694"/>
      <c r="EE53" s="694"/>
      <c r="EF53" s="694"/>
      <c r="EG53" s="694"/>
      <c r="EH53" s="694"/>
      <c r="EI53" s="694"/>
      <c r="EJ53" s="694"/>
      <c r="EK53" s="694"/>
      <c r="EL53" s="694"/>
      <c r="EM53" s="694"/>
      <c r="EN53" s="694"/>
      <c r="EO53" s="694"/>
      <c r="EP53" s="694"/>
      <c r="EQ53" s="694"/>
      <c r="ER53" s="694"/>
      <c r="ES53" s="694"/>
      <c r="ET53" s="694"/>
      <c r="EU53" s="694"/>
      <c r="EV53" s="694"/>
      <c r="EW53" s="694"/>
      <c r="EX53" s="694"/>
      <c r="EY53" s="694"/>
      <c r="EZ53" s="694"/>
      <c r="FA53" s="694"/>
      <c r="FB53" s="694"/>
      <c r="FC53" s="694"/>
      <c r="FD53" s="694"/>
      <c r="FE53" s="694"/>
      <c r="FF53" s="694"/>
      <c r="FG53" s="697"/>
    </row>
    <row r="54" spans="1:167" s="696" customFormat="1">
      <c r="A54" s="690"/>
      <c r="B54" s="690"/>
      <c r="C54" s="708"/>
      <c r="D54" s="708" t="s">
        <v>2992</v>
      </c>
      <c r="E54" s="694">
        <v>15.7</v>
      </c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4"/>
      <c r="V54" s="694"/>
      <c r="W54" s="694"/>
      <c r="X54" s="694"/>
      <c r="Y54" s="694"/>
      <c r="Z54" s="694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4"/>
      <c r="BL54" s="694"/>
      <c r="BM54" s="694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  <c r="BX54" s="694"/>
      <c r="BY54" s="694"/>
      <c r="BZ54" s="694"/>
      <c r="CA54" s="694"/>
      <c r="CB54" s="694"/>
      <c r="CC54" s="694"/>
      <c r="CD54" s="694"/>
      <c r="CE54" s="694"/>
      <c r="CF54" s="694"/>
      <c r="CG54" s="694"/>
      <c r="CH54" s="694"/>
      <c r="CI54" s="694"/>
      <c r="CJ54" s="694"/>
      <c r="CK54" s="694"/>
      <c r="CL54" s="694"/>
      <c r="CM54" s="694"/>
      <c r="CN54" s="694"/>
      <c r="CO54" s="694"/>
      <c r="CP54" s="694"/>
      <c r="CQ54" s="694"/>
      <c r="CR54" s="694"/>
      <c r="CS54" s="694"/>
      <c r="CT54" s="694"/>
      <c r="CU54" s="694"/>
      <c r="CV54" s="695"/>
      <c r="CW54" s="695">
        <f t="shared" si="0"/>
        <v>15.7</v>
      </c>
      <c r="CX54" s="695"/>
      <c r="CY54" s="695"/>
      <c r="CZ54" s="695"/>
      <c r="DA54" s="695">
        <f t="shared" si="1"/>
        <v>31.4</v>
      </c>
      <c r="DB54" s="695"/>
      <c r="DC54" s="695"/>
      <c r="DD54" s="695"/>
      <c r="DE54" s="695"/>
      <c r="DF54" s="695"/>
      <c r="DG54" s="695"/>
      <c r="DH54" s="695"/>
      <c r="DI54" s="694"/>
      <c r="DJ54" s="694"/>
      <c r="DK54" s="694"/>
      <c r="DL54" s="694"/>
      <c r="DM54" s="694"/>
      <c r="DN54" s="694"/>
      <c r="DO54" s="694"/>
      <c r="DP54" s="694"/>
      <c r="DQ54" s="694"/>
      <c r="DR54" s="694"/>
      <c r="DS54" s="694"/>
      <c r="DT54" s="694"/>
      <c r="DU54" s="694"/>
      <c r="DV54" s="694"/>
      <c r="DW54" s="694"/>
      <c r="DX54" s="694"/>
      <c r="DY54" s="694"/>
      <c r="DZ54" s="694"/>
      <c r="EA54" s="694"/>
      <c r="EB54" s="694"/>
      <c r="EC54" s="694"/>
      <c r="ED54" s="694"/>
      <c r="EE54" s="694"/>
      <c r="EF54" s="694"/>
      <c r="EG54" s="694"/>
      <c r="EH54" s="694"/>
      <c r="EI54" s="694"/>
      <c r="EJ54" s="694"/>
      <c r="EK54" s="694"/>
      <c r="EL54" s="694"/>
      <c r="EM54" s="694"/>
      <c r="EN54" s="694"/>
      <c r="EO54" s="694"/>
      <c r="EP54" s="694"/>
      <c r="EQ54" s="694"/>
      <c r="ER54" s="694"/>
      <c r="ES54" s="694"/>
      <c r="ET54" s="694"/>
      <c r="EU54" s="694"/>
      <c r="EV54" s="694"/>
      <c r="EW54" s="694"/>
      <c r="EX54" s="694"/>
      <c r="EY54" s="694"/>
      <c r="EZ54" s="694"/>
      <c r="FA54" s="694"/>
      <c r="FB54" s="694"/>
      <c r="FC54" s="694"/>
      <c r="FD54" s="694"/>
      <c r="FE54" s="694"/>
      <c r="FF54" s="694"/>
      <c r="FG54" s="697"/>
    </row>
    <row r="55" spans="1:167" s="696" customFormat="1">
      <c r="A55" s="690"/>
      <c r="B55" s="690"/>
      <c r="C55" s="708" t="s">
        <v>3635</v>
      </c>
      <c r="D55" s="708"/>
      <c r="E55" s="694">
        <v>22.2</v>
      </c>
      <c r="F55" s="694"/>
      <c r="G55" s="694"/>
      <c r="H55" s="694"/>
      <c r="I55" s="694"/>
      <c r="J55" s="694"/>
      <c r="K55" s="694"/>
      <c r="L55" s="694"/>
      <c r="M55" s="694"/>
      <c r="N55" s="694"/>
      <c r="O55" s="694"/>
      <c r="P55" s="694"/>
      <c r="Q55" s="694"/>
      <c r="R55" s="694"/>
      <c r="S55" s="694"/>
      <c r="T55" s="694" t="s">
        <v>1903</v>
      </c>
      <c r="U55" s="694"/>
      <c r="V55" s="694"/>
      <c r="W55" s="694"/>
      <c r="X55" s="694"/>
      <c r="Y55" s="694"/>
      <c r="Z55" s="694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4"/>
      <c r="BL55" s="694"/>
      <c r="BM55" s="694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  <c r="BX55" s="694"/>
      <c r="BY55" s="694"/>
      <c r="BZ55" s="694"/>
      <c r="CA55" s="694"/>
      <c r="CB55" s="694"/>
      <c r="CC55" s="694"/>
      <c r="CD55" s="694"/>
      <c r="CE55" s="694"/>
      <c r="CF55" s="694"/>
      <c r="CG55" s="694"/>
      <c r="CH55" s="694"/>
      <c r="CI55" s="694"/>
      <c r="CJ55" s="694"/>
      <c r="CK55" s="694"/>
      <c r="CL55" s="694"/>
      <c r="CM55" s="694"/>
      <c r="CN55" s="694"/>
      <c r="CO55" s="694"/>
      <c r="CP55" s="694"/>
      <c r="CQ55" s="694"/>
      <c r="CR55" s="694"/>
      <c r="CS55" s="694"/>
      <c r="CT55" s="694"/>
      <c r="CU55" s="694"/>
      <c r="CV55" s="695"/>
      <c r="CW55" s="695">
        <f t="shared" si="0"/>
        <v>22.2</v>
      </c>
      <c r="CX55" s="695"/>
      <c r="CY55" s="695"/>
      <c r="CZ55" s="695"/>
      <c r="DA55" s="695">
        <f t="shared" si="1"/>
        <v>44.4</v>
      </c>
      <c r="DB55" s="695"/>
      <c r="DC55" s="695"/>
      <c r="DD55" s="695"/>
      <c r="DE55" s="695"/>
      <c r="DF55" s="695"/>
      <c r="DG55" s="695"/>
      <c r="DH55" s="695"/>
      <c r="DI55" s="694"/>
      <c r="DJ55" s="694"/>
      <c r="DK55" s="694">
        <v>1</v>
      </c>
      <c r="DL55" s="694"/>
      <c r="DM55" s="694">
        <v>3</v>
      </c>
      <c r="DN55" s="694">
        <v>1</v>
      </c>
      <c r="DO55" s="694">
        <v>3</v>
      </c>
      <c r="DP55" s="694">
        <v>2</v>
      </c>
      <c r="DQ55" s="694"/>
      <c r="DR55" s="694"/>
      <c r="DS55" s="694"/>
      <c r="DT55" s="694"/>
      <c r="DU55" s="694"/>
      <c r="DV55" s="694"/>
      <c r="DW55" s="694"/>
      <c r="DX55" s="694"/>
      <c r="DY55" s="694"/>
      <c r="DZ55" s="694"/>
      <c r="EA55" s="694">
        <v>2</v>
      </c>
      <c r="EB55" s="694"/>
      <c r="EC55" s="694"/>
      <c r="ED55" s="694"/>
      <c r="EE55" s="694"/>
      <c r="EF55" s="694"/>
      <c r="EG55" s="694"/>
      <c r="EH55" s="694"/>
      <c r="EI55" s="694"/>
      <c r="EJ55" s="694"/>
      <c r="EK55" s="694"/>
      <c r="EL55" s="694"/>
      <c r="EM55" s="694"/>
      <c r="EN55" s="694"/>
      <c r="EO55" s="694"/>
      <c r="EP55" s="694"/>
      <c r="EQ55" s="694"/>
      <c r="ER55" s="694"/>
      <c r="ES55" s="694"/>
      <c r="ET55" s="694"/>
      <c r="EU55" s="694"/>
      <c r="EV55" s="694"/>
      <c r="EW55" s="694"/>
      <c r="EX55" s="694"/>
      <c r="EY55" s="694"/>
      <c r="EZ55" s="694"/>
      <c r="FA55" s="694"/>
      <c r="FB55" s="694"/>
      <c r="FC55" s="694"/>
      <c r="FD55" s="694"/>
      <c r="FE55" s="694"/>
      <c r="FF55" s="694"/>
      <c r="FG55" s="697"/>
    </row>
    <row r="56" spans="1:167" s="696" customFormat="1">
      <c r="A56" s="690"/>
      <c r="B56" s="690"/>
      <c r="C56" s="708"/>
      <c r="D56" s="708" t="s">
        <v>2993</v>
      </c>
      <c r="E56" s="694">
        <v>18.899999999999999</v>
      </c>
      <c r="F56" s="694"/>
      <c r="G56" s="694"/>
      <c r="H56" s="694"/>
      <c r="I56" s="694"/>
      <c r="J56" s="694"/>
      <c r="K56" s="694"/>
      <c r="L56" s="694"/>
      <c r="M56" s="694"/>
      <c r="N56" s="694"/>
      <c r="O56" s="694"/>
      <c r="P56" s="694"/>
      <c r="Q56" s="694"/>
      <c r="R56" s="694"/>
      <c r="S56" s="694"/>
      <c r="T56" s="694"/>
      <c r="U56" s="694"/>
      <c r="V56" s="694"/>
      <c r="W56" s="694"/>
      <c r="X56" s="694"/>
      <c r="Y56" s="694"/>
      <c r="Z56" s="694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694"/>
      <c r="BL56" s="694"/>
      <c r="BM56" s="694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  <c r="BX56" s="694"/>
      <c r="BY56" s="694"/>
      <c r="BZ56" s="694"/>
      <c r="CA56" s="694"/>
      <c r="CB56" s="694"/>
      <c r="CC56" s="694"/>
      <c r="CD56" s="694"/>
      <c r="CE56" s="694"/>
      <c r="CF56" s="694"/>
      <c r="CG56" s="694"/>
      <c r="CH56" s="694"/>
      <c r="CI56" s="694"/>
      <c r="CJ56" s="694"/>
      <c r="CK56" s="694"/>
      <c r="CL56" s="694"/>
      <c r="CM56" s="694"/>
      <c r="CN56" s="694"/>
      <c r="CO56" s="694"/>
      <c r="CP56" s="694"/>
      <c r="CQ56" s="694"/>
      <c r="CR56" s="694"/>
      <c r="CS56" s="694"/>
      <c r="CT56" s="694"/>
      <c r="CU56" s="694"/>
      <c r="CV56" s="695"/>
      <c r="CW56" s="695">
        <f t="shared" si="0"/>
        <v>18.899999999999999</v>
      </c>
      <c r="CX56" s="695"/>
      <c r="CY56" s="695"/>
      <c r="CZ56" s="695"/>
      <c r="DA56" s="695">
        <f t="shared" si="1"/>
        <v>37.799999999999997</v>
      </c>
      <c r="DB56" s="695"/>
      <c r="DC56" s="695"/>
      <c r="DD56" s="695"/>
      <c r="DE56" s="695"/>
      <c r="DF56" s="695"/>
      <c r="DG56" s="695"/>
      <c r="DH56" s="695"/>
      <c r="DI56" s="694"/>
      <c r="DJ56" s="694"/>
      <c r="DK56" s="694"/>
      <c r="DL56" s="694"/>
      <c r="DM56" s="694"/>
      <c r="DN56" s="694"/>
      <c r="DO56" s="694"/>
      <c r="DP56" s="694"/>
      <c r="DQ56" s="694"/>
      <c r="DR56" s="694"/>
      <c r="DS56" s="694"/>
      <c r="DT56" s="694"/>
      <c r="DU56" s="694"/>
      <c r="DV56" s="694"/>
      <c r="DW56" s="694"/>
      <c r="DX56" s="694"/>
      <c r="DY56" s="694"/>
      <c r="DZ56" s="694"/>
      <c r="EA56" s="694"/>
      <c r="EB56" s="694"/>
      <c r="EC56" s="694"/>
      <c r="ED56" s="694"/>
      <c r="EE56" s="694"/>
      <c r="EF56" s="694"/>
      <c r="EG56" s="694"/>
      <c r="EH56" s="694"/>
      <c r="EI56" s="694"/>
      <c r="EJ56" s="694"/>
      <c r="EK56" s="694"/>
      <c r="EL56" s="694"/>
      <c r="EM56" s="694"/>
      <c r="EN56" s="694"/>
      <c r="EO56" s="694"/>
      <c r="EP56" s="694"/>
      <c r="EQ56" s="694"/>
      <c r="ER56" s="694"/>
      <c r="ES56" s="694"/>
      <c r="ET56" s="694"/>
      <c r="EU56" s="694"/>
      <c r="EV56" s="694"/>
      <c r="EW56" s="694"/>
      <c r="EX56" s="694"/>
      <c r="EY56" s="694"/>
      <c r="EZ56" s="694"/>
      <c r="FA56" s="694"/>
      <c r="FB56" s="694"/>
      <c r="FC56" s="694"/>
      <c r="FD56" s="694"/>
      <c r="FE56" s="694"/>
      <c r="FF56" s="694"/>
      <c r="FG56" s="697"/>
    </row>
    <row r="57" spans="1:167" s="696" customFormat="1">
      <c r="A57" s="690"/>
      <c r="B57" s="690"/>
      <c r="C57" s="708" t="s">
        <v>3636</v>
      </c>
      <c r="D57" s="708"/>
      <c r="E57" s="694">
        <v>26.2</v>
      </c>
      <c r="F57" s="694"/>
      <c r="G57" s="694"/>
      <c r="H57" s="694"/>
      <c r="I57" s="694"/>
      <c r="J57" s="694"/>
      <c r="K57" s="694"/>
      <c r="L57" s="694"/>
      <c r="M57" s="694"/>
      <c r="N57" s="694"/>
      <c r="O57" s="694"/>
      <c r="P57" s="694"/>
      <c r="Q57" s="694"/>
      <c r="R57" s="694"/>
      <c r="S57" s="694"/>
      <c r="T57" s="694" t="s">
        <v>1631</v>
      </c>
      <c r="U57" s="694"/>
      <c r="V57" s="694"/>
      <c r="W57" s="694"/>
      <c r="X57" s="694"/>
      <c r="Y57" s="694"/>
      <c r="Z57" s="694"/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4"/>
      <c r="BL57" s="694"/>
      <c r="BM57" s="694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  <c r="BX57" s="694"/>
      <c r="BY57" s="694"/>
      <c r="BZ57" s="694"/>
      <c r="CA57" s="694"/>
      <c r="CB57" s="694"/>
      <c r="CC57" s="694"/>
      <c r="CD57" s="694"/>
      <c r="CE57" s="694"/>
      <c r="CF57" s="694"/>
      <c r="CG57" s="694"/>
      <c r="CH57" s="694"/>
      <c r="CI57" s="694"/>
      <c r="CJ57" s="694"/>
      <c r="CK57" s="694"/>
      <c r="CL57" s="694"/>
      <c r="CM57" s="694"/>
      <c r="CN57" s="694"/>
      <c r="CO57" s="694"/>
      <c r="CP57" s="694"/>
      <c r="CQ57" s="694"/>
      <c r="CR57" s="694"/>
      <c r="CS57" s="694"/>
      <c r="CT57" s="694"/>
      <c r="CU57" s="694"/>
      <c r="CV57" s="695"/>
      <c r="CW57" s="695">
        <f t="shared" si="0"/>
        <v>26.2</v>
      </c>
      <c r="CX57" s="695"/>
      <c r="CY57" s="695"/>
      <c r="CZ57" s="695"/>
      <c r="DA57" s="695">
        <f t="shared" si="1"/>
        <v>52.4</v>
      </c>
      <c r="DB57" s="695"/>
      <c r="DC57" s="695"/>
      <c r="DD57" s="695"/>
      <c r="DE57" s="695"/>
      <c r="DF57" s="695"/>
      <c r="DG57" s="695"/>
      <c r="DH57" s="695"/>
      <c r="DI57" s="694"/>
      <c r="DJ57" s="694"/>
      <c r="DK57" s="694">
        <v>1</v>
      </c>
      <c r="DL57" s="694"/>
      <c r="DM57" s="694">
        <v>3</v>
      </c>
      <c r="DN57" s="694">
        <v>1</v>
      </c>
      <c r="DO57" s="694">
        <v>3</v>
      </c>
      <c r="DP57" s="694">
        <v>2</v>
      </c>
      <c r="DQ57" s="694"/>
      <c r="DR57" s="694"/>
      <c r="DS57" s="694"/>
      <c r="DT57" s="694"/>
      <c r="DU57" s="694"/>
      <c r="DV57" s="694"/>
      <c r="DW57" s="694"/>
      <c r="DX57" s="694"/>
      <c r="DY57" s="694"/>
      <c r="DZ57" s="694"/>
      <c r="EA57" s="694">
        <v>2</v>
      </c>
      <c r="EB57" s="694"/>
      <c r="EC57" s="694"/>
      <c r="ED57" s="694"/>
      <c r="EE57" s="694"/>
      <c r="EF57" s="694"/>
      <c r="EG57" s="694"/>
      <c r="EH57" s="694"/>
      <c r="EI57" s="694"/>
      <c r="EJ57" s="694"/>
      <c r="EK57" s="694"/>
      <c r="EL57" s="694"/>
      <c r="EM57" s="694"/>
      <c r="EN57" s="694"/>
      <c r="EO57" s="694"/>
      <c r="EP57" s="694"/>
      <c r="EQ57" s="694"/>
      <c r="ER57" s="694"/>
      <c r="ES57" s="694"/>
      <c r="ET57" s="694"/>
      <c r="EU57" s="694"/>
      <c r="EV57" s="694"/>
      <c r="EW57" s="694"/>
      <c r="EX57" s="694"/>
      <c r="EY57" s="694"/>
      <c r="EZ57" s="694"/>
      <c r="FA57" s="694"/>
      <c r="FB57" s="694"/>
      <c r="FC57" s="694"/>
      <c r="FD57" s="694"/>
      <c r="FE57" s="694"/>
      <c r="FF57" s="694"/>
      <c r="FG57" s="697"/>
    </row>
    <row r="58" spans="1:167" s="696" customFormat="1">
      <c r="A58" s="690"/>
      <c r="B58" s="690"/>
      <c r="C58" s="708"/>
      <c r="D58" s="708" t="s">
        <v>2994</v>
      </c>
      <c r="E58" s="694">
        <v>23.9</v>
      </c>
      <c r="F58" s="694"/>
      <c r="G58" s="694"/>
      <c r="H58" s="694"/>
      <c r="I58" s="694"/>
      <c r="J58" s="694"/>
      <c r="K58" s="694"/>
      <c r="L58" s="694"/>
      <c r="M58" s="694"/>
      <c r="N58" s="694"/>
      <c r="O58" s="694"/>
      <c r="P58" s="694"/>
      <c r="Q58" s="694"/>
      <c r="R58" s="694"/>
      <c r="S58" s="694"/>
      <c r="T58" s="694"/>
      <c r="U58" s="694"/>
      <c r="V58" s="694"/>
      <c r="W58" s="694"/>
      <c r="X58" s="694"/>
      <c r="Y58" s="694"/>
      <c r="Z58" s="694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4"/>
      <c r="BL58" s="694"/>
      <c r="BM58" s="694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  <c r="BX58" s="694"/>
      <c r="BY58" s="694"/>
      <c r="BZ58" s="694"/>
      <c r="CA58" s="694"/>
      <c r="CB58" s="694"/>
      <c r="CC58" s="694"/>
      <c r="CD58" s="694"/>
      <c r="CE58" s="694"/>
      <c r="CF58" s="694"/>
      <c r="CG58" s="694"/>
      <c r="CH58" s="694"/>
      <c r="CI58" s="694"/>
      <c r="CJ58" s="694"/>
      <c r="CK58" s="694"/>
      <c r="CL58" s="694"/>
      <c r="CM58" s="694"/>
      <c r="CN58" s="694"/>
      <c r="CO58" s="694"/>
      <c r="CP58" s="694"/>
      <c r="CQ58" s="694"/>
      <c r="CR58" s="694"/>
      <c r="CS58" s="694"/>
      <c r="CT58" s="694"/>
      <c r="CU58" s="694"/>
      <c r="CV58" s="695"/>
      <c r="CW58" s="695">
        <f t="shared" si="0"/>
        <v>23.9</v>
      </c>
      <c r="CX58" s="695"/>
      <c r="CY58" s="695"/>
      <c r="CZ58" s="695"/>
      <c r="DA58" s="695">
        <f t="shared" si="1"/>
        <v>47.8</v>
      </c>
      <c r="DB58" s="695"/>
      <c r="DC58" s="695"/>
      <c r="DD58" s="695"/>
      <c r="DE58" s="695"/>
      <c r="DF58" s="695"/>
      <c r="DG58" s="695"/>
      <c r="DH58" s="695"/>
      <c r="DI58" s="694"/>
      <c r="DJ58" s="694"/>
      <c r="DK58" s="694"/>
      <c r="DL58" s="694"/>
      <c r="DM58" s="694"/>
      <c r="DN58" s="694"/>
      <c r="DO58" s="694"/>
      <c r="DP58" s="694"/>
      <c r="DQ58" s="694"/>
      <c r="DR58" s="694"/>
      <c r="DS58" s="694"/>
      <c r="DT58" s="694"/>
      <c r="DU58" s="694"/>
      <c r="DV58" s="694"/>
      <c r="DW58" s="694"/>
      <c r="DX58" s="694"/>
      <c r="DY58" s="694"/>
      <c r="DZ58" s="694"/>
      <c r="EA58" s="694"/>
      <c r="EB58" s="694"/>
      <c r="EC58" s="694"/>
      <c r="ED58" s="694"/>
      <c r="EE58" s="694"/>
      <c r="EF58" s="694"/>
      <c r="EG58" s="694"/>
      <c r="EH58" s="694"/>
      <c r="EI58" s="694"/>
      <c r="EJ58" s="694"/>
      <c r="EK58" s="694"/>
      <c r="EL58" s="694"/>
      <c r="EM58" s="694"/>
      <c r="EN58" s="694"/>
      <c r="EO58" s="694"/>
      <c r="EP58" s="694"/>
      <c r="EQ58" s="694"/>
      <c r="ER58" s="694"/>
      <c r="ES58" s="694"/>
      <c r="ET58" s="694"/>
      <c r="EU58" s="694"/>
      <c r="EV58" s="694"/>
      <c r="EW58" s="694"/>
      <c r="EX58" s="694"/>
      <c r="EY58" s="694"/>
      <c r="EZ58" s="694"/>
      <c r="FA58" s="694"/>
      <c r="FB58" s="694"/>
      <c r="FC58" s="694"/>
      <c r="FD58" s="694"/>
      <c r="FE58" s="694"/>
      <c r="FF58" s="694"/>
      <c r="FG58" s="697"/>
    </row>
    <row r="59" spans="1:167" s="696" customFormat="1">
      <c r="A59" s="690"/>
      <c r="B59" s="690"/>
      <c r="C59" s="708" t="s">
        <v>3637</v>
      </c>
      <c r="D59" s="708"/>
      <c r="E59" s="694">
        <v>19.100000000000001</v>
      </c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694"/>
      <c r="T59" s="694" t="s">
        <v>1631</v>
      </c>
      <c r="U59" s="694"/>
      <c r="V59" s="694"/>
      <c r="W59" s="694"/>
      <c r="X59" s="694"/>
      <c r="Y59" s="694"/>
      <c r="Z59" s="694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  <c r="BX59" s="694"/>
      <c r="BY59" s="694"/>
      <c r="BZ59" s="694"/>
      <c r="CA59" s="694"/>
      <c r="CB59" s="694"/>
      <c r="CC59" s="694"/>
      <c r="CD59" s="694"/>
      <c r="CE59" s="694"/>
      <c r="CF59" s="694"/>
      <c r="CG59" s="694"/>
      <c r="CH59" s="694"/>
      <c r="CI59" s="694"/>
      <c r="CJ59" s="694"/>
      <c r="CK59" s="694"/>
      <c r="CL59" s="694"/>
      <c r="CM59" s="694"/>
      <c r="CN59" s="694"/>
      <c r="CO59" s="694"/>
      <c r="CP59" s="694"/>
      <c r="CQ59" s="694"/>
      <c r="CR59" s="694"/>
      <c r="CS59" s="694"/>
      <c r="CT59" s="694"/>
      <c r="CU59" s="694"/>
      <c r="CV59" s="695"/>
      <c r="CW59" s="695">
        <f t="shared" si="0"/>
        <v>19.100000000000001</v>
      </c>
      <c r="CX59" s="695"/>
      <c r="CY59" s="695"/>
      <c r="CZ59" s="695"/>
      <c r="DA59" s="695">
        <f t="shared" si="1"/>
        <v>38.200000000000003</v>
      </c>
      <c r="DB59" s="695"/>
      <c r="DC59" s="695"/>
      <c r="DD59" s="695"/>
      <c r="DE59" s="695"/>
      <c r="DF59" s="695"/>
      <c r="DG59" s="695"/>
      <c r="DH59" s="695"/>
      <c r="DI59" s="694"/>
      <c r="DJ59" s="694"/>
      <c r="DK59" s="694">
        <v>1</v>
      </c>
      <c r="DL59" s="694"/>
      <c r="DM59" s="694">
        <v>3</v>
      </c>
      <c r="DN59" s="694">
        <v>1</v>
      </c>
      <c r="DO59" s="694">
        <v>3</v>
      </c>
      <c r="DP59" s="694">
        <v>2</v>
      </c>
      <c r="DQ59" s="694"/>
      <c r="DR59" s="694"/>
      <c r="DS59" s="694"/>
      <c r="DT59" s="694"/>
      <c r="DU59" s="694"/>
      <c r="DV59" s="694"/>
      <c r="DW59" s="694"/>
      <c r="DX59" s="694"/>
      <c r="DY59" s="694"/>
      <c r="DZ59" s="694"/>
      <c r="EA59" s="694">
        <v>2</v>
      </c>
      <c r="EB59" s="694"/>
      <c r="EC59" s="694"/>
      <c r="ED59" s="694"/>
      <c r="EE59" s="694"/>
      <c r="EF59" s="694"/>
      <c r="EG59" s="694"/>
      <c r="EH59" s="694"/>
      <c r="EI59" s="694"/>
      <c r="EJ59" s="694"/>
      <c r="EK59" s="694"/>
      <c r="EL59" s="694"/>
      <c r="EM59" s="694"/>
      <c r="EN59" s="694"/>
      <c r="EO59" s="694"/>
      <c r="EP59" s="694"/>
      <c r="EQ59" s="694"/>
      <c r="ER59" s="694"/>
      <c r="ES59" s="694"/>
      <c r="ET59" s="694"/>
      <c r="EU59" s="694"/>
      <c r="EV59" s="694"/>
      <c r="EW59" s="694"/>
      <c r="EX59" s="694"/>
      <c r="EY59" s="694"/>
      <c r="EZ59" s="694"/>
      <c r="FA59" s="694"/>
      <c r="FB59" s="694"/>
      <c r="FC59" s="694"/>
      <c r="FD59" s="694"/>
      <c r="FE59" s="694"/>
      <c r="FF59" s="694"/>
      <c r="FG59" s="697"/>
    </row>
    <row r="60" spans="1:167" s="696" customFormat="1">
      <c r="A60" s="690"/>
      <c r="B60" s="690"/>
      <c r="C60" s="708"/>
      <c r="D60" s="708" t="s">
        <v>2995</v>
      </c>
      <c r="E60" s="694">
        <v>32.4</v>
      </c>
      <c r="F60" s="694"/>
      <c r="G60" s="694"/>
      <c r="H60" s="694"/>
      <c r="I60" s="694"/>
      <c r="J60" s="694"/>
      <c r="K60" s="694"/>
      <c r="L60" s="694"/>
      <c r="M60" s="694"/>
      <c r="N60" s="694"/>
      <c r="O60" s="694"/>
      <c r="P60" s="694"/>
      <c r="Q60" s="694"/>
      <c r="R60" s="694"/>
      <c r="S60" s="694"/>
      <c r="T60" s="694"/>
      <c r="U60" s="694"/>
      <c r="V60" s="694"/>
      <c r="W60" s="694"/>
      <c r="X60" s="694"/>
      <c r="Y60" s="694"/>
      <c r="Z60" s="694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694"/>
      <c r="BL60" s="694"/>
      <c r="BM60" s="694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  <c r="BX60" s="694"/>
      <c r="BY60" s="694"/>
      <c r="BZ60" s="694"/>
      <c r="CA60" s="694"/>
      <c r="CB60" s="694"/>
      <c r="CC60" s="694"/>
      <c r="CD60" s="694"/>
      <c r="CE60" s="694"/>
      <c r="CF60" s="694"/>
      <c r="CG60" s="694"/>
      <c r="CH60" s="694"/>
      <c r="CI60" s="694"/>
      <c r="CJ60" s="694"/>
      <c r="CK60" s="694"/>
      <c r="CL60" s="694"/>
      <c r="CM60" s="694"/>
      <c r="CN60" s="694"/>
      <c r="CO60" s="694"/>
      <c r="CP60" s="694"/>
      <c r="CQ60" s="694"/>
      <c r="CR60" s="694"/>
      <c r="CS60" s="694"/>
      <c r="CT60" s="694"/>
      <c r="CU60" s="694"/>
      <c r="CV60" s="695"/>
      <c r="CW60" s="695">
        <f t="shared" si="0"/>
        <v>32.4</v>
      </c>
      <c r="CX60" s="695"/>
      <c r="CY60" s="695"/>
      <c r="CZ60" s="695"/>
      <c r="DA60" s="695">
        <f t="shared" si="1"/>
        <v>64.8</v>
      </c>
      <c r="DB60" s="695"/>
      <c r="DC60" s="695"/>
      <c r="DD60" s="695"/>
      <c r="DE60" s="695"/>
      <c r="DF60" s="695"/>
      <c r="DG60" s="695"/>
      <c r="DH60" s="695"/>
      <c r="DI60" s="694"/>
      <c r="DJ60" s="694"/>
      <c r="DK60" s="694"/>
      <c r="DL60" s="694"/>
      <c r="DM60" s="694"/>
      <c r="DN60" s="694"/>
      <c r="DO60" s="694"/>
      <c r="DP60" s="694"/>
      <c r="DQ60" s="694"/>
      <c r="DR60" s="694"/>
      <c r="DS60" s="694"/>
      <c r="DT60" s="694"/>
      <c r="DU60" s="694"/>
      <c r="DV60" s="694"/>
      <c r="DW60" s="694"/>
      <c r="DX60" s="694"/>
      <c r="DY60" s="694"/>
      <c r="DZ60" s="694"/>
      <c r="EA60" s="694"/>
      <c r="EB60" s="694"/>
      <c r="EC60" s="694"/>
      <c r="ED60" s="694"/>
      <c r="EE60" s="694"/>
      <c r="EF60" s="694"/>
      <c r="EG60" s="694"/>
      <c r="EH60" s="694"/>
      <c r="EI60" s="694"/>
      <c r="EJ60" s="694"/>
      <c r="EK60" s="694"/>
      <c r="EL60" s="694"/>
      <c r="EM60" s="694"/>
      <c r="EN60" s="694"/>
      <c r="EO60" s="694"/>
      <c r="EP60" s="694"/>
      <c r="EQ60" s="694"/>
      <c r="ER60" s="694"/>
      <c r="ES60" s="694"/>
      <c r="ET60" s="694"/>
      <c r="EU60" s="694"/>
      <c r="EV60" s="694"/>
      <c r="EW60" s="694"/>
      <c r="EX60" s="694"/>
      <c r="EY60" s="694"/>
      <c r="EZ60" s="694"/>
      <c r="FA60" s="694"/>
      <c r="FB60" s="694"/>
      <c r="FC60" s="694"/>
      <c r="FD60" s="694"/>
      <c r="FE60" s="694"/>
      <c r="FF60" s="694"/>
      <c r="FG60" s="697"/>
    </row>
    <row r="61" spans="1:167" s="696" customFormat="1">
      <c r="A61" s="690"/>
      <c r="B61" s="690"/>
      <c r="C61" s="708" t="s">
        <v>3638</v>
      </c>
      <c r="D61" s="708"/>
      <c r="E61" s="694">
        <v>20.9</v>
      </c>
      <c r="F61" s="694"/>
      <c r="G61" s="694"/>
      <c r="H61" s="694"/>
      <c r="I61" s="694"/>
      <c r="J61" s="694"/>
      <c r="K61" s="694"/>
      <c r="L61" s="694"/>
      <c r="M61" s="694"/>
      <c r="N61" s="694"/>
      <c r="O61" s="694"/>
      <c r="P61" s="694"/>
      <c r="Q61" s="694"/>
      <c r="R61" s="694"/>
      <c r="S61" s="694"/>
      <c r="T61" s="694" t="s">
        <v>2990</v>
      </c>
      <c r="U61" s="694"/>
      <c r="V61" s="694"/>
      <c r="W61" s="694"/>
      <c r="X61" s="694"/>
      <c r="Y61" s="694"/>
      <c r="Z61" s="694"/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4"/>
      <c r="BL61" s="694"/>
      <c r="BM61" s="694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  <c r="BX61" s="694"/>
      <c r="BY61" s="694"/>
      <c r="BZ61" s="694"/>
      <c r="CA61" s="694"/>
      <c r="CB61" s="694"/>
      <c r="CC61" s="694"/>
      <c r="CD61" s="694"/>
      <c r="CE61" s="694"/>
      <c r="CF61" s="694"/>
      <c r="CG61" s="694"/>
      <c r="CH61" s="694"/>
      <c r="CI61" s="694"/>
      <c r="CJ61" s="694"/>
      <c r="CK61" s="694"/>
      <c r="CL61" s="694"/>
      <c r="CM61" s="694"/>
      <c r="CN61" s="694"/>
      <c r="CO61" s="694"/>
      <c r="CP61" s="694"/>
      <c r="CQ61" s="694"/>
      <c r="CR61" s="694"/>
      <c r="CS61" s="694"/>
      <c r="CT61" s="694"/>
      <c r="CU61" s="694"/>
      <c r="CV61" s="695"/>
      <c r="CW61" s="695">
        <f t="shared" si="0"/>
        <v>20.9</v>
      </c>
      <c r="CX61" s="695"/>
      <c r="CY61" s="695"/>
      <c r="CZ61" s="695"/>
      <c r="DA61" s="695">
        <f t="shared" si="1"/>
        <v>41.8</v>
      </c>
      <c r="DB61" s="695"/>
      <c r="DC61" s="695"/>
      <c r="DD61" s="695"/>
      <c r="DE61" s="695"/>
      <c r="DF61" s="695"/>
      <c r="DG61" s="695"/>
      <c r="DH61" s="695"/>
      <c r="DI61" s="694"/>
      <c r="DJ61" s="694"/>
      <c r="DK61" s="694"/>
      <c r="DL61" s="694"/>
      <c r="DM61" s="694"/>
      <c r="DN61" s="694"/>
      <c r="DO61" s="694"/>
      <c r="DP61" s="694"/>
      <c r="DQ61" s="694"/>
      <c r="DR61" s="694"/>
      <c r="DS61" s="694"/>
      <c r="DT61" s="694"/>
      <c r="DU61" s="694"/>
      <c r="DV61" s="694"/>
      <c r="DW61" s="694"/>
      <c r="DX61" s="694"/>
      <c r="DY61" s="694"/>
      <c r="DZ61" s="694"/>
      <c r="EA61" s="694"/>
      <c r="EB61" s="694"/>
      <c r="EC61" s="694"/>
      <c r="ED61" s="694"/>
      <c r="EE61" s="694"/>
      <c r="EF61" s="694"/>
      <c r="EG61" s="694"/>
      <c r="EH61" s="694"/>
      <c r="EI61" s="694"/>
      <c r="EJ61" s="694"/>
      <c r="EK61" s="694"/>
      <c r="EL61" s="694"/>
      <c r="EM61" s="694"/>
      <c r="EN61" s="694"/>
      <c r="EO61" s="694"/>
      <c r="EP61" s="694"/>
      <c r="EQ61" s="694"/>
      <c r="ER61" s="694"/>
      <c r="ES61" s="694"/>
      <c r="ET61" s="694"/>
      <c r="EU61" s="694"/>
      <c r="EV61" s="694"/>
      <c r="EW61" s="694"/>
      <c r="EX61" s="694"/>
      <c r="EY61" s="694"/>
      <c r="EZ61" s="694"/>
      <c r="FA61" s="694"/>
      <c r="FB61" s="694"/>
      <c r="FC61" s="694"/>
      <c r="FD61" s="694"/>
      <c r="FE61" s="694"/>
      <c r="FF61" s="694"/>
      <c r="FG61" s="697"/>
    </row>
    <row r="62" spans="1:167" s="696" customFormat="1">
      <c r="A62" s="690"/>
      <c r="B62" s="690"/>
      <c r="C62" s="708"/>
      <c r="D62" s="708"/>
      <c r="E62" s="694"/>
      <c r="F62" s="694"/>
      <c r="G62" s="694"/>
      <c r="H62" s="694"/>
      <c r="I62" s="694"/>
      <c r="J62" s="694"/>
      <c r="K62" s="694"/>
      <c r="L62" s="694"/>
      <c r="M62" s="694"/>
      <c r="N62" s="694"/>
      <c r="O62" s="694"/>
      <c r="P62" s="694"/>
      <c r="Q62" s="694"/>
      <c r="R62" s="694"/>
      <c r="S62" s="694"/>
      <c r="T62" s="694"/>
      <c r="U62" s="694"/>
      <c r="V62" s="694"/>
      <c r="W62" s="694"/>
      <c r="X62" s="694"/>
      <c r="Y62" s="694"/>
      <c r="Z62" s="694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4"/>
      <c r="BL62" s="694"/>
      <c r="BM62" s="694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  <c r="BX62" s="694"/>
      <c r="BY62" s="694"/>
      <c r="BZ62" s="694"/>
      <c r="CA62" s="694"/>
      <c r="CB62" s="694"/>
      <c r="CC62" s="694"/>
      <c r="CD62" s="694"/>
      <c r="CE62" s="694"/>
      <c r="CF62" s="694"/>
      <c r="CG62" s="694"/>
      <c r="CH62" s="694"/>
      <c r="CI62" s="694"/>
      <c r="CJ62" s="694"/>
      <c r="CK62" s="694"/>
      <c r="CL62" s="694"/>
      <c r="CM62" s="694"/>
      <c r="CN62" s="694"/>
      <c r="CO62" s="694"/>
      <c r="CP62" s="694"/>
      <c r="CQ62" s="694"/>
      <c r="CR62" s="694"/>
      <c r="CS62" s="694"/>
      <c r="CT62" s="694"/>
      <c r="CU62" s="694"/>
      <c r="CV62" s="695"/>
      <c r="CW62" s="695">
        <f t="shared" si="0"/>
        <v>0</v>
      </c>
      <c r="CX62" s="695"/>
      <c r="CY62" s="695"/>
      <c r="CZ62" s="695"/>
      <c r="DA62" s="695">
        <f t="shared" si="1"/>
        <v>0</v>
      </c>
      <c r="DB62" s="695"/>
      <c r="DC62" s="695"/>
      <c r="DD62" s="695"/>
      <c r="DE62" s="695"/>
      <c r="DF62" s="695"/>
      <c r="DG62" s="695"/>
      <c r="DH62" s="695"/>
      <c r="DI62" s="694"/>
      <c r="DJ62" s="694"/>
      <c r="DK62" s="694"/>
      <c r="DL62" s="694"/>
      <c r="DM62" s="694"/>
      <c r="DN62" s="694"/>
      <c r="DO62" s="694"/>
      <c r="DP62" s="694"/>
      <c r="DQ62" s="694"/>
      <c r="DR62" s="694"/>
      <c r="DS62" s="694"/>
      <c r="DT62" s="694"/>
      <c r="DU62" s="694"/>
      <c r="DV62" s="694"/>
      <c r="DW62" s="694"/>
      <c r="DX62" s="694"/>
      <c r="DY62" s="694"/>
      <c r="DZ62" s="694"/>
      <c r="EA62" s="694"/>
      <c r="EB62" s="694"/>
      <c r="EC62" s="694"/>
      <c r="ED62" s="694"/>
      <c r="EE62" s="694"/>
      <c r="EF62" s="694"/>
      <c r="EG62" s="694"/>
      <c r="EH62" s="694"/>
      <c r="EI62" s="694"/>
      <c r="EJ62" s="694"/>
      <c r="EK62" s="694"/>
      <c r="EL62" s="694"/>
      <c r="EM62" s="694"/>
      <c r="EN62" s="694"/>
      <c r="EO62" s="694"/>
      <c r="EP62" s="694"/>
      <c r="EQ62" s="694"/>
      <c r="ER62" s="694"/>
      <c r="ES62" s="694"/>
      <c r="ET62" s="694"/>
      <c r="EU62" s="694"/>
      <c r="EV62" s="694"/>
      <c r="EW62" s="694"/>
      <c r="EX62" s="694"/>
      <c r="EY62" s="694"/>
      <c r="EZ62" s="694"/>
      <c r="FA62" s="694"/>
      <c r="FB62" s="694"/>
      <c r="FC62" s="694"/>
      <c r="FD62" s="694"/>
      <c r="FE62" s="694"/>
      <c r="FF62" s="694"/>
      <c r="FG62" s="697"/>
    </row>
    <row r="63" spans="1:167" s="4" customFormat="1">
      <c r="A63" s="486">
        <f>MATCH(C63,$C$5:$C$507,0)</f>
        <v>59</v>
      </c>
      <c r="B63" s="56"/>
      <c r="C63" s="507" t="s">
        <v>1566</v>
      </c>
      <c r="D63" s="507"/>
      <c r="E63" s="591">
        <f t="shared" ref="E63:Q63" si="2">SUM(E8:E62)</f>
        <v>1351.2000000000003</v>
      </c>
      <c r="F63" s="508">
        <f t="shared" si="2"/>
        <v>0</v>
      </c>
      <c r="G63" s="508">
        <f t="shared" si="2"/>
        <v>0</v>
      </c>
      <c r="H63" s="508">
        <f t="shared" si="2"/>
        <v>0</v>
      </c>
      <c r="I63" s="508">
        <f t="shared" si="2"/>
        <v>0</v>
      </c>
      <c r="J63" s="508">
        <f t="shared" si="2"/>
        <v>0</v>
      </c>
      <c r="K63" s="508">
        <f t="shared" si="2"/>
        <v>0</v>
      </c>
      <c r="L63" s="508">
        <f t="shared" si="2"/>
        <v>0</v>
      </c>
      <c r="M63" s="508">
        <f t="shared" si="2"/>
        <v>0</v>
      </c>
      <c r="N63" s="508">
        <f t="shared" si="2"/>
        <v>0</v>
      </c>
      <c r="O63" s="508">
        <f t="shared" si="2"/>
        <v>0</v>
      </c>
      <c r="P63" s="508">
        <f t="shared" si="2"/>
        <v>0</v>
      </c>
      <c r="Q63" s="508">
        <f t="shared" si="2"/>
        <v>0</v>
      </c>
      <c r="R63" s="508">
        <f>SUM(R8:R30)</f>
        <v>0</v>
      </c>
      <c r="S63" s="508">
        <f>SUM(S8:S30)</f>
        <v>0</v>
      </c>
      <c r="T63" s="508">
        <f>SUM(T8:T30)</f>
        <v>0</v>
      </c>
      <c r="U63" s="509">
        <f>SUM(U8:U30)</f>
        <v>0</v>
      </c>
      <c r="V63" s="509">
        <f t="shared" ref="V63:BA63" si="3">SUM(V8:V62)</f>
        <v>0</v>
      </c>
      <c r="W63" s="509">
        <f t="shared" si="3"/>
        <v>0</v>
      </c>
      <c r="X63" s="509">
        <f t="shared" si="3"/>
        <v>0</v>
      </c>
      <c r="Y63" s="509">
        <f t="shared" si="3"/>
        <v>0</v>
      </c>
      <c r="Z63" s="509">
        <f t="shared" si="3"/>
        <v>0</v>
      </c>
      <c r="AA63" s="509">
        <f t="shared" si="3"/>
        <v>0</v>
      </c>
      <c r="AB63" s="509">
        <f t="shared" si="3"/>
        <v>0</v>
      </c>
      <c r="AC63" s="509">
        <f t="shared" si="3"/>
        <v>0</v>
      </c>
      <c r="AD63" s="509">
        <f t="shared" si="3"/>
        <v>0</v>
      </c>
      <c r="AE63" s="509">
        <f t="shared" si="3"/>
        <v>0</v>
      </c>
      <c r="AF63" s="509">
        <f t="shared" si="3"/>
        <v>0</v>
      </c>
      <c r="AG63" s="509">
        <f t="shared" si="3"/>
        <v>0</v>
      </c>
      <c r="AH63" s="509">
        <f t="shared" si="3"/>
        <v>0</v>
      </c>
      <c r="AI63" s="509">
        <f t="shared" si="3"/>
        <v>0</v>
      </c>
      <c r="AJ63" s="509">
        <f t="shared" si="3"/>
        <v>0</v>
      </c>
      <c r="AK63" s="509">
        <f t="shared" si="3"/>
        <v>0</v>
      </c>
      <c r="AL63" s="509">
        <f t="shared" si="3"/>
        <v>0</v>
      </c>
      <c r="AM63" s="509">
        <f t="shared" si="3"/>
        <v>0</v>
      </c>
      <c r="AN63" s="509">
        <f t="shared" si="3"/>
        <v>0</v>
      </c>
      <c r="AO63" s="509">
        <f t="shared" si="3"/>
        <v>0</v>
      </c>
      <c r="AP63" s="509">
        <f t="shared" si="3"/>
        <v>0</v>
      </c>
      <c r="AQ63" s="509">
        <f t="shared" si="3"/>
        <v>0</v>
      </c>
      <c r="AR63" s="509">
        <f t="shared" si="3"/>
        <v>0</v>
      </c>
      <c r="AS63" s="509">
        <f t="shared" si="3"/>
        <v>0</v>
      </c>
      <c r="AT63" s="509">
        <f t="shared" si="3"/>
        <v>0</v>
      </c>
      <c r="AU63" s="509">
        <f t="shared" si="3"/>
        <v>0</v>
      </c>
      <c r="AV63" s="509">
        <f t="shared" si="3"/>
        <v>0</v>
      </c>
      <c r="AW63" s="509">
        <f t="shared" si="3"/>
        <v>0</v>
      </c>
      <c r="AX63" s="509">
        <f t="shared" si="3"/>
        <v>0</v>
      </c>
      <c r="AY63" s="509">
        <f t="shared" si="3"/>
        <v>0</v>
      </c>
      <c r="AZ63" s="509">
        <f t="shared" si="3"/>
        <v>0</v>
      </c>
      <c r="BA63" s="509">
        <f t="shared" si="3"/>
        <v>0</v>
      </c>
      <c r="BB63" s="509">
        <f t="shared" ref="BB63:CG63" si="4">SUM(BB8:BB62)</f>
        <v>0</v>
      </c>
      <c r="BC63" s="509">
        <f t="shared" si="4"/>
        <v>0</v>
      </c>
      <c r="BD63" s="509">
        <f t="shared" si="4"/>
        <v>0</v>
      </c>
      <c r="BE63" s="509">
        <f t="shared" si="4"/>
        <v>0</v>
      </c>
      <c r="BF63" s="509">
        <f t="shared" si="4"/>
        <v>0</v>
      </c>
      <c r="BG63" s="509">
        <f t="shared" si="4"/>
        <v>0</v>
      </c>
      <c r="BH63" s="509">
        <f t="shared" si="4"/>
        <v>0</v>
      </c>
      <c r="BI63" s="509">
        <f t="shared" si="4"/>
        <v>0</v>
      </c>
      <c r="BJ63" s="509">
        <f t="shared" si="4"/>
        <v>0</v>
      </c>
      <c r="BK63" s="509">
        <f t="shared" si="4"/>
        <v>0</v>
      </c>
      <c r="BL63" s="509">
        <f t="shared" si="4"/>
        <v>0</v>
      </c>
      <c r="BM63" s="509">
        <f t="shared" si="4"/>
        <v>0</v>
      </c>
      <c r="BN63" s="509">
        <f t="shared" si="4"/>
        <v>0</v>
      </c>
      <c r="BO63" s="509">
        <f t="shared" si="4"/>
        <v>0</v>
      </c>
      <c r="BP63" s="509">
        <f t="shared" si="4"/>
        <v>0</v>
      </c>
      <c r="BQ63" s="509">
        <f t="shared" si="4"/>
        <v>0</v>
      </c>
      <c r="BR63" s="509">
        <f t="shared" si="4"/>
        <v>0</v>
      </c>
      <c r="BS63" s="509">
        <f t="shared" si="4"/>
        <v>0</v>
      </c>
      <c r="BT63" s="509">
        <f t="shared" si="4"/>
        <v>0</v>
      </c>
      <c r="BU63" s="509">
        <f t="shared" si="4"/>
        <v>0</v>
      </c>
      <c r="BV63" s="509">
        <f t="shared" si="4"/>
        <v>0</v>
      </c>
      <c r="BW63" s="509">
        <f t="shared" si="4"/>
        <v>0</v>
      </c>
      <c r="BX63" s="509">
        <f t="shared" si="4"/>
        <v>0</v>
      </c>
      <c r="BY63" s="509">
        <f t="shared" si="4"/>
        <v>0</v>
      </c>
      <c r="BZ63" s="509">
        <f t="shared" si="4"/>
        <v>0</v>
      </c>
      <c r="CA63" s="509">
        <f t="shared" si="4"/>
        <v>0</v>
      </c>
      <c r="CB63" s="509">
        <f t="shared" si="4"/>
        <v>0</v>
      </c>
      <c r="CC63" s="509">
        <f t="shared" si="4"/>
        <v>0</v>
      </c>
      <c r="CD63" s="509">
        <f t="shared" si="4"/>
        <v>0</v>
      </c>
      <c r="CE63" s="509">
        <f t="shared" si="4"/>
        <v>0</v>
      </c>
      <c r="CF63" s="509">
        <f t="shared" si="4"/>
        <v>0</v>
      </c>
      <c r="CG63" s="509">
        <f t="shared" si="4"/>
        <v>0</v>
      </c>
      <c r="CH63" s="509">
        <f t="shared" ref="CH63:DM63" si="5">SUM(CH8:CH62)</f>
        <v>0</v>
      </c>
      <c r="CI63" s="509">
        <f t="shared" si="5"/>
        <v>0</v>
      </c>
      <c r="CJ63" s="509">
        <f t="shared" si="5"/>
        <v>0</v>
      </c>
      <c r="CK63" s="509">
        <f t="shared" si="5"/>
        <v>0</v>
      </c>
      <c r="CL63" s="509">
        <f t="shared" si="5"/>
        <v>0</v>
      </c>
      <c r="CM63" s="509">
        <f t="shared" si="5"/>
        <v>0</v>
      </c>
      <c r="CN63" s="509">
        <f t="shared" si="5"/>
        <v>0</v>
      </c>
      <c r="CO63" s="509">
        <f t="shared" si="5"/>
        <v>0</v>
      </c>
      <c r="CP63" s="509">
        <f t="shared" si="5"/>
        <v>4</v>
      </c>
      <c r="CQ63" s="509">
        <f t="shared" si="5"/>
        <v>1</v>
      </c>
      <c r="CR63" s="509">
        <f t="shared" si="5"/>
        <v>0</v>
      </c>
      <c r="CS63" s="509">
        <f t="shared" si="5"/>
        <v>0</v>
      </c>
      <c r="CT63" s="509">
        <f t="shared" si="5"/>
        <v>0</v>
      </c>
      <c r="CU63" s="509">
        <f t="shared" si="5"/>
        <v>1</v>
      </c>
      <c r="CV63" s="518">
        <f t="shared" si="5"/>
        <v>0</v>
      </c>
      <c r="CW63" s="518">
        <f t="shared" si="5"/>
        <v>1351.2000000000003</v>
      </c>
      <c r="CX63" s="518">
        <f t="shared" si="5"/>
        <v>0</v>
      </c>
      <c r="CY63" s="518">
        <f t="shared" si="5"/>
        <v>0</v>
      </c>
      <c r="CZ63" s="518">
        <f t="shared" si="5"/>
        <v>0</v>
      </c>
      <c r="DA63" s="518">
        <f t="shared" si="5"/>
        <v>2702.4000000000005</v>
      </c>
      <c r="DB63" s="518">
        <f t="shared" si="5"/>
        <v>0</v>
      </c>
      <c r="DC63" s="518">
        <f t="shared" si="5"/>
        <v>0</v>
      </c>
      <c r="DD63" s="518">
        <f t="shared" si="5"/>
        <v>0</v>
      </c>
      <c r="DE63" s="518">
        <f t="shared" si="5"/>
        <v>0</v>
      </c>
      <c r="DF63" s="518">
        <f t="shared" si="5"/>
        <v>0</v>
      </c>
      <c r="DG63" s="518">
        <f t="shared" si="5"/>
        <v>0</v>
      </c>
      <c r="DH63" s="518">
        <f t="shared" si="5"/>
        <v>0</v>
      </c>
      <c r="DI63" s="509">
        <f t="shared" si="5"/>
        <v>0</v>
      </c>
      <c r="DJ63" s="509">
        <f t="shared" si="5"/>
        <v>0</v>
      </c>
      <c r="DK63" s="509">
        <f t="shared" si="5"/>
        <v>47</v>
      </c>
      <c r="DL63" s="509">
        <f t="shared" si="5"/>
        <v>0</v>
      </c>
      <c r="DM63" s="509">
        <f t="shared" si="5"/>
        <v>141</v>
      </c>
      <c r="DN63" s="509">
        <f t="shared" ref="DN63:ES63" si="6">SUM(DN8:DN62)</f>
        <v>35</v>
      </c>
      <c r="DO63" s="509">
        <f t="shared" si="6"/>
        <v>105</v>
      </c>
      <c r="DP63" s="509">
        <f t="shared" si="6"/>
        <v>75</v>
      </c>
      <c r="DQ63" s="509">
        <f t="shared" si="6"/>
        <v>0</v>
      </c>
      <c r="DR63" s="509">
        <f t="shared" si="6"/>
        <v>0</v>
      </c>
      <c r="DS63" s="509">
        <f t="shared" si="6"/>
        <v>0</v>
      </c>
      <c r="DT63" s="509">
        <f t="shared" si="6"/>
        <v>0</v>
      </c>
      <c r="DU63" s="509">
        <f t="shared" si="6"/>
        <v>70</v>
      </c>
      <c r="DV63" s="509">
        <f t="shared" si="6"/>
        <v>5</v>
      </c>
      <c r="DW63" s="509">
        <f t="shared" si="6"/>
        <v>2</v>
      </c>
      <c r="DX63" s="509">
        <f t="shared" si="6"/>
        <v>0</v>
      </c>
      <c r="DY63" s="509">
        <f t="shared" si="6"/>
        <v>0</v>
      </c>
      <c r="DZ63" s="509">
        <f t="shared" si="6"/>
        <v>0</v>
      </c>
      <c r="EA63" s="509">
        <f t="shared" si="6"/>
        <v>77</v>
      </c>
      <c r="EB63" s="509">
        <f t="shared" si="6"/>
        <v>2</v>
      </c>
      <c r="EC63" s="509">
        <f t="shared" si="6"/>
        <v>0</v>
      </c>
      <c r="ED63" s="509">
        <f t="shared" si="6"/>
        <v>0</v>
      </c>
      <c r="EE63" s="509">
        <f t="shared" si="6"/>
        <v>0</v>
      </c>
      <c r="EF63" s="509">
        <f t="shared" si="6"/>
        <v>0</v>
      </c>
      <c r="EG63" s="509">
        <f t="shared" si="6"/>
        <v>0</v>
      </c>
      <c r="EH63" s="509">
        <f t="shared" si="6"/>
        <v>0</v>
      </c>
      <c r="EI63" s="509">
        <f t="shared" si="6"/>
        <v>0</v>
      </c>
      <c r="EJ63" s="509">
        <f t="shared" si="6"/>
        <v>0</v>
      </c>
      <c r="EK63" s="509">
        <f t="shared" si="6"/>
        <v>0</v>
      </c>
      <c r="EL63" s="509">
        <f t="shared" si="6"/>
        <v>0</v>
      </c>
      <c r="EM63" s="509">
        <f t="shared" si="6"/>
        <v>0</v>
      </c>
      <c r="EN63" s="509">
        <f t="shared" si="6"/>
        <v>0</v>
      </c>
      <c r="EO63" s="509">
        <f t="shared" si="6"/>
        <v>0</v>
      </c>
      <c r="EP63" s="509">
        <f t="shared" si="6"/>
        <v>0</v>
      </c>
      <c r="EQ63" s="509">
        <f t="shared" si="6"/>
        <v>0</v>
      </c>
      <c r="ER63" s="509">
        <f t="shared" si="6"/>
        <v>0</v>
      </c>
      <c r="ES63" s="509">
        <f t="shared" si="6"/>
        <v>0</v>
      </c>
      <c r="ET63" s="509">
        <f t="shared" ref="ET63:FE63" si="7">SUM(ET8:ET62)</f>
        <v>0</v>
      </c>
      <c r="EU63" s="509">
        <f t="shared" si="7"/>
        <v>0</v>
      </c>
      <c r="EV63" s="509">
        <f t="shared" si="7"/>
        <v>0</v>
      </c>
      <c r="EW63" s="509">
        <f t="shared" si="7"/>
        <v>0</v>
      </c>
      <c r="EX63" s="509">
        <f t="shared" si="7"/>
        <v>26</v>
      </c>
      <c r="EY63" s="509">
        <f t="shared" si="7"/>
        <v>23</v>
      </c>
      <c r="EZ63" s="509">
        <f t="shared" si="7"/>
        <v>0</v>
      </c>
      <c r="FA63" s="509">
        <f t="shared" si="7"/>
        <v>0</v>
      </c>
      <c r="FB63" s="509">
        <f t="shared" si="7"/>
        <v>0</v>
      </c>
      <c r="FC63" s="509">
        <f t="shared" si="7"/>
        <v>0</v>
      </c>
      <c r="FD63" s="509">
        <f t="shared" si="7"/>
        <v>0</v>
      </c>
      <c r="FE63" s="509">
        <f t="shared" si="7"/>
        <v>0</v>
      </c>
      <c r="FF63" s="509"/>
      <c r="FG63" s="508"/>
      <c r="FK63" s="4">
        <f>DO63-FC63</f>
        <v>105</v>
      </c>
    </row>
    <row r="64" spans="1:167" s="4" customFormat="1">
      <c r="A64" s="56"/>
      <c r="B64" s="56">
        <v>2</v>
      </c>
      <c r="C64" s="501" t="s">
        <v>3643</v>
      </c>
      <c r="D64" s="502"/>
      <c r="E64" s="503"/>
      <c r="F64" s="503"/>
      <c r="G64" s="503"/>
      <c r="H64" s="503"/>
      <c r="I64" s="503"/>
      <c r="J64" s="503"/>
      <c r="K64" s="503"/>
      <c r="L64" s="503"/>
      <c r="M64" s="503"/>
      <c r="N64" s="503"/>
      <c r="O64" s="503"/>
      <c r="P64" s="503"/>
      <c r="Q64" s="503"/>
      <c r="R64" s="503"/>
      <c r="S64" s="503"/>
      <c r="T64" s="503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  <c r="CH64" s="504"/>
      <c r="CI64" s="504"/>
      <c r="CJ64" s="504"/>
      <c r="CK64" s="504"/>
      <c r="CL64" s="504"/>
      <c r="CM64" s="504"/>
      <c r="CN64" s="504"/>
      <c r="CO64" s="504"/>
      <c r="CP64" s="504"/>
      <c r="CQ64" s="504"/>
      <c r="CR64" s="504"/>
      <c r="CS64" s="504"/>
      <c r="CT64" s="504"/>
      <c r="CU64" s="504"/>
      <c r="CV64" s="519"/>
      <c r="CW64" s="519"/>
      <c r="CX64" s="519"/>
      <c r="CY64" s="519"/>
      <c r="CZ64" s="519"/>
      <c r="DA64" s="519"/>
      <c r="DB64" s="519"/>
      <c r="DC64" s="519"/>
      <c r="DD64" s="519"/>
      <c r="DE64" s="519"/>
      <c r="DF64" s="519"/>
      <c r="DG64" s="519"/>
      <c r="DH64" s="519"/>
      <c r="DI64" s="504"/>
      <c r="DJ64" s="504"/>
      <c r="DK64" s="504"/>
      <c r="DL64" s="504"/>
      <c r="DM64" s="504"/>
      <c r="DN64" s="504"/>
      <c r="DO64" s="504"/>
      <c r="DP64" s="504"/>
      <c r="DQ64" s="504"/>
      <c r="DR64" s="504"/>
      <c r="DS64" s="504"/>
      <c r="DT64" s="504"/>
      <c r="DU64" s="504"/>
      <c r="DV64" s="504"/>
      <c r="DW64" s="504"/>
      <c r="DX64" s="504"/>
      <c r="DY64" s="504"/>
      <c r="DZ64" s="504"/>
      <c r="EA64" s="504"/>
      <c r="EB64" s="504"/>
      <c r="EC64" s="504"/>
      <c r="ED64" s="504"/>
      <c r="EE64" s="504"/>
      <c r="EF64" s="504"/>
      <c r="EG64" s="504"/>
      <c r="EH64" s="504"/>
      <c r="EI64" s="504"/>
      <c r="EJ64" s="504"/>
      <c r="EK64" s="504"/>
      <c r="EL64" s="504"/>
      <c r="EM64" s="504"/>
      <c r="EN64" s="504"/>
      <c r="EO64" s="504"/>
      <c r="EP64" s="504"/>
      <c r="EQ64" s="504"/>
      <c r="ER64" s="504"/>
      <c r="ES64" s="504"/>
      <c r="ET64" s="504"/>
      <c r="EU64" s="504"/>
      <c r="EV64" s="504"/>
      <c r="EW64" s="504"/>
      <c r="EX64" s="504"/>
      <c r="EY64" s="504"/>
      <c r="EZ64" s="504"/>
      <c r="FA64" s="504"/>
      <c r="FB64" s="504"/>
      <c r="FC64" s="504"/>
      <c r="FD64" s="504"/>
      <c r="FE64" s="504"/>
      <c r="FF64" s="504"/>
      <c r="FG64" s="505"/>
      <c r="FK64" s="4">
        <f>DO64-FC64</f>
        <v>0</v>
      </c>
    </row>
    <row r="65" spans="1:164" s="4" customFormat="1">
      <c r="A65" s="56"/>
      <c r="B65" s="56"/>
      <c r="C65" s="498"/>
      <c r="D65" s="498" t="s">
        <v>3644</v>
      </c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/>
      <c r="R65" s="454"/>
      <c r="S65" s="454"/>
      <c r="T65" s="454" t="s">
        <v>2989</v>
      </c>
      <c r="U65" s="454"/>
      <c r="V65" s="454"/>
      <c r="W65" s="454"/>
      <c r="X65" s="454"/>
      <c r="Y65" s="454"/>
      <c r="Z65" s="454"/>
      <c r="AA65" s="454"/>
      <c r="AB65" s="454"/>
      <c r="AC65" s="454"/>
      <c r="AD65" s="454"/>
      <c r="AE65" s="454"/>
      <c r="AF65" s="454"/>
      <c r="AG65" s="454"/>
      <c r="AH65" s="454"/>
      <c r="AI65" s="454"/>
      <c r="AJ65" s="454"/>
      <c r="AK65" s="454"/>
      <c r="AL65" s="454"/>
      <c r="AM65" s="454"/>
      <c r="AN65" s="454"/>
      <c r="AO65" s="454"/>
      <c r="AP65" s="454"/>
      <c r="AQ65" s="454"/>
      <c r="AR65" s="454"/>
      <c r="AS65" s="454"/>
      <c r="AT65" s="454"/>
      <c r="AU65" s="454"/>
      <c r="AV65" s="454"/>
      <c r="AW65" s="454"/>
      <c r="AX65" s="454"/>
      <c r="AY65" s="454"/>
      <c r="AZ65" s="454"/>
      <c r="BA65" s="454"/>
      <c r="BB65" s="454"/>
      <c r="BC65" s="454"/>
      <c r="BD65" s="454"/>
      <c r="BE65" s="454"/>
      <c r="BF65" s="454"/>
      <c r="BG65" s="454"/>
      <c r="BH65" s="454"/>
      <c r="BI65" s="454"/>
      <c r="BJ65" s="454"/>
      <c r="BK65" s="454"/>
      <c r="BL65" s="454"/>
      <c r="BM65" s="454"/>
      <c r="BN65" s="454"/>
      <c r="BO65" s="454"/>
      <c r="BP65" s="454"/>
      <c r="BQ65" s="454"/>
      <c r="BR65" s="454"/>
      <c r="BS65" s="454"/>
      <c r="BT65" s="454"/>
      <c r="BU65" s="454"/>
      <c r="BV65" s="454"/>
      <c r="BW65" s="454"/>
      <c r="BX65" s="454"/>
      <c r="BY65" s="454"/>
      <c r="BZ65" s="454"/>
      <c r="CA65" s="454"/>
      <c r="CB65" s="454"/>
      <c r="CC65" s="454"/>
      <c r="CD65" s="454"/>
      <c r="CE65" s="454"/>
      <c r="CF65" s="454"/>
      <c r="CG65" s="454"/>
      <c r="CH65" s="454"/>
      <c r="CI65" s="454"/>
      <c r="CJ65" s="454"/>
      <c r="CK65" s="454"/>
      <c r="CL65" s="454"/>
      <c r="CM65" s="454"/>
      <c r="CN65" s="454"/>
      <c r="CO65" s="454"/>
      <c r="CP65" s="454"/>
      <c r="CQ65" s="454"/>
      <c r="CR65" s="454"/>
      <c r="CS65" s="454"/>
      <c r="CT65" s="454"/>
      <c r="CU65" s="454"/>
      <c r="CV65" s="517"/>
      <c r="CW65" s="695">
        <f>E65</f>
        <v>0</v>
      </c>
      <c r="CX65" s="695"/>
      <c r="CY65" s="695"/>
      <c r="CZ65" s="695"/>
      <c r="DA65" s="695">
        <f>E65*2</f>
        <v>0</v>
      </c>
      <c r="DB65" s="517"/>
      <c r="DC65" s="517"/>
      <c r="DD65" s="517"/>
      <c r="DE65" s="517"/>
      <c r="DF65" s="517"/>
      <c r="DG65" s="517"/>
      <c r="DH65" s="517"/>
      <c r="DI65" s="454"/>
      <c r="DJ65" s="454"/>
      <c r="DK65" s="454">
        <v>2</v>
      </c>
      <c r="DL65" s="454"/>
      <c r="DM65" s="454">
        <v>6</v>
      </c>
      <c r="DN65" s="454"/>
      <c r="DO65" s="454"/>
      <c r="DP65" s="454"/>
      <c r="DQ65" s="454"/>
      <c r="DR65" s="454"/>
      <c r="DS65" s="454"/>
      <c r="DT65" s="454"/>
      <c r="DU65" s="454">
        <v>9</v>
      </c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>
        <v>2</v>
      </c>
      <c r="FG65" s="290"/>
    </row>
    <row r="66" spans="1:164" s="4" customFormat="1">
      <c r="A66" s="56"/>
      <c r="B66" s="56"/>
      <c r="C66" s="498" t="s">
        <v>3645</v>
      </c>
      <c r="D66" s="498"/>
      <c r="E66" s="454">
        <v>13</v>
      </c>
      <c r="F66" s="454"/>
      <c r="G66" s="454"/>
      <c r="H66" s="454"/>
      <c r="I66" s="454"/>
      <c r="J66" s="454"/>
      <c r="K66" s="454"/>
      <c r="L66" s="454"/>
      <c r="M66" s="454"/>
      <c r="N66" s="454"/>
      <c r="O66" s="454"/>
      <c r="P66" s="454"/>
      <c r="Q66" s="454"/>
      <c r="R66" s="454"/>
      <c r="S66" s="454"/>
      <c r="T66" s="454" t="s">
        <v>3005</v>
      </c>
      <c r="U66" s="454"/>
      <c r="V66" s="454"/>
      <c r="W66" s="454"/>
      <c r="X66" s="454"/>
      <c r="Y66" s="454"/>
      <c r="Z66" s="454"/>
      <c r="AA66" s="454"/>
      <c r="AB66" s="454"/>
      <c r="AC66" s="454"/>
      <c r="AD66" s="454"/>
      <c r="AE66" s="454"/>
      <c r="AF66" s="454"/>
      <c r="AG66" s="454"/>
      <c r="AH66" s="454"/>
      <c r="AI66" s="454"/>
      <c r="AJ66" s="454"/>
      <c r="AK66" s="454"/>
      <c r="AL66" s="454"/>
      <c r="AM66" s="454"/>
      <c r="AN66" s="454"/>
      <c r="AO66" s="454"/>
      <c r="AP66" s="454"/>
      <c r="AQ66" s="454"/>
      <c r="AR66" s="454"/>
      <c r="AS66" s="454"/>
      <c r="AT66" s="454"/>
      <c r="AU66" s="454"/>
      <c r="AV66" s="454"/>
      <c r="AW66" s="454"/>
      <c r="AX66" s="454"/>
      <c r="AY66" s="454"/>
      <c r="AZ66" s="454"/>
      <c r="BA66" s="454"/>
      <c r="BB66" s="454"/>
      <c r="BC66" s="454"/>
      <c r="BD66" s="454"/>
      <c r="BE66" s="454"/>
      <c r="BF66" s="454"/>
      <c r="BG66" s="454"/>
      <c r="BH66" s="454"/>
      <c r="BI66" s="454"/>
      <c r="BJ66" s="454"/>
      <c r="BK66" s="454"/>
      <c r="BL66" s="454"/>
      <c r="BM66" s="454"/>
      <c r="BN66" s="454"/>
      <c r="BO66" s="454"/>
      <c r="BP66" s="454"/>
      <c r="BQ66" s="454"/>
      <c r="BR66" s="454"/>
      <c r="BS66" s="454"/>
      <c r="BT66" s="454"/>
      <c r="BU66" s="454"/>
      <c r="BV66" s="454"/>
      <c r="BW66" s="454"/>
      <c r="BX66" s="454"/>
      <c r="BY66" s="454"/>
      <c r="BZ66" s="454"/>
      <c r="CA66" s="454"/>
      <c r="CB66" s="454"/>
      <c r="CC66" s="454"/>
      <c r="CD66" s="454"/>
      <c r="CE66" s="454"/>
      <c r="CF66" s="454"/>
      <c r="CG66" s="454"/>
      <c r="CH66" s="454"/>
      <c r="CI66" s="454"/>
      <c r="CJ66" s="454"/>
      <c r="CK66" s="454"/>
      <c r="CL66" s="454"/>
      <c r="CM66" s="454"/>
      <c r="CN66" s="454"/>
      <c r="CO66" s="454"/>
      <c r="CP66" s="454">
        <v>1</v>
      </c>
      <c r="CQ66" s="454"/>
      <c r="CR66" s="454"/>
      <c r="CS66" s="454"/>
      <c r="CT66" s="454"/>
      <c r="CU66" s="454"/>
      <c r="CV66" s="517"/>
      <c r="CW66" s="695">
        <f t="shared" ref="CW66:CW90" si="8">E66</f>
        <v>13</v>
      </c>
      <c r="CX66" s="695"/>
      <c r="CY66" s="695"/>
      <c r="CZ66" s="695"/>
      <c r="DA66" s="695">
        <f t="shared" ref="DA66:DA90" si="9">E66*2</f>
        <v>26</v>
      </c>
      <c r="DB66" s="517"/>
      <c r="DC66" s="517"/>
      <c r="DD66" s="517"/>
      <c r="DE66" s="517"/>
      <c r="DF66" s="517"/>
      <c r="DG66" s="517"/>
      <c r="DH66" s="517"/>
      <c r="DI66" s="454"/>
      <c r="DJ66" s="454"/>
      <c r="DK66" s="454">
        <v>3</v>
      </c>
      <c r="DL66" s="454"/>
      <c r="DM66" s="454">
        <v>9</v>
      </c>
      <c r="DN66" s="454">
        <v>1</v>
      </c>
      <c r="DO66" s="454">
        <v>3</v>
      </c>
      <c r="DP66" s="454">
        <v>3</v>
      </c>
      <c r="DQ66" s="454"/>
      <c r="DR66" s="454"/>
      <c r="DS66" s="454"/>
      <c r="DT66" s="454"/>
      <c r="DU66" s="454">
        <v>12</v>
      </c>
      <c r="DV66" s="454"/>
      <c r="DW66" s="454"/>
      <c r="DX66" s="454"/>
      <c r="DY66" s="454"/>
      <c r="DZ66" s="454"/>
      <c r="EA66" s="454">
        <v>4</v>
      </c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>
        <v>2</v>
      </c>
      <c r="EY66" s="454"/>
      <c r="EZ66" s="454"/>
      <c r="FA66" s="454"/>
      <c r="FB66" s="454"/>
      <c r="FC66" s="454"/>
      <c r="FD66" s="454"/>
      <c r="FE66" s="454"/>
      <c r="FF66" s="454"/>
      <c r="FG66" s="290"/>
    </row>
    <row r="67" spans="1:164" s="4" customFormat="1">
      <c r="A67" s="56"/>
      <c r="B67" s="56"/>
      <c r="C67" s="498" t="s">
        <v>3632</v>
      </c>
      <c r="D67" s="498"/>
      <c r="E67" s="454">
        <v>29</v>
      </c>
      <c r="F67" s="454"/>
      <c r="G67" s="454"/>
      <c r="H67" s="454"/>
      <c r="I67" s="454"/>
      <c r="J67" s="454"/>
      <c r="K67" s="454"/>
      <c r="L67" s="454"/>
      <c r="M67" s="454"/>
      <c r="N67" s="454"/>
      <c r="O67" s="454"/>
      <c r="P67" s="454"/>
      <c r="Q67" s="454"/>
      <c r="R67" s="454"/>
      <c r="S67" s="454"/>
      <c r="T67" s="454" t="s">
        <v>2989</v>
      </c>
      <c r="U67" s="454"/>
      <c r="V67" s="454"/>
      <c r="W67" s="454"/>
      <c r="X67" s="454"/>
      <c r="Y67" s="454"/>
      <c r="Z67" s="454"/>
      <c r="AA67" s="454"/>
      <c r="AB67" s="454"/>
      <c r="AC67" s="454"/>
      <c r="AD67" s="454"/>
      <c r="AE67" s="454"/>
      <c r="AF67" s="454"/>
      <c r="AG67" s="454"/>
      <c r="AH67" s="454"/>
      <c r="AI67" s="454"/>
      <c r="AJ67" s="454"/>
      <c r="AK67" s="454"/>
      <c r="AL67" s="454"/>
      <c r="AM67" s="454"/>
      <c r="AN67" s="454"/>
      <c r="AO67" s="454"/>
      <c r="AP67" s="454"/>
      <c r="AQ67" s="454"/>
      <c r="AR67" s="454"/>
      <c r="AS67" s="454"/>
      <c r="AT67" s="454"/>
      <c r="AU67" s="454"/>
      <c r="AV67" s="454"/>
      <c r="AW67" s="454"/>
      <c r="AX67" s="454"/>
      <c r="AY67" s="454"/>
      <c r="AZ67" s="454"/>
      <c r="BA67" s="454"/>
      <c r="BB67" s="454"/>
      <c r="BC67" s="454"/>
      <c r="BD67" s="454"/>
      <c r="BE67" s="454"/>
      <c r="BF67" s="454"/>
      <c r="BG67" s="454"/>
      <c r="BH67" s="454"/>
      <c r="BI67" s="454"/>
      <c r="BJ67" s="454"/>
      <c r="BK67" s="454"/>
      <c r="BL67" s="454"/>
      <c r="BM67" s="454"/>
      <c r="BN67" s="454"/>
      <c r="BO67" s="454"/>
      <c r="BP67" s="454"/>
      <c r="BQ67" s="454"/>
      <c r="BR67" s="454"/>
      <c r="BS67" s="454"/>
      <c r="BT67" s="454"/>
      <c r="BU67" s="454"/>
      <c r="BV67" s="454"/>
      <c r="BW67" s="454"/>
      <c r="BX67" s="454"/>
      <c r="BY67" s="454"/>
      <c r="BZ67" s="454"/>
      <c r="CA67" s="454"/>
      <c r="CB67" s="454"/>
      <c r="CC67" s="454"/>
      <c r="CD67" s="454"/>
      <c r="CE67" s="454"/>
      <c r="CF67" s="454"/>
      <c r="CG67" s="454"/>
      <c r="CH67" s="454"/>
      <c r="CI67" s="454"/>
      <c r="CJ67" s="454"/>
      <c r="CK67" s="454"/>
      <c r="CL67" s="454"/>
      <c r="CM67" s="454"/>
      <c r="CN67" s="454"/>
      <c r="CO67" s="454"/>
      <c r="CP67" s="454"/>
      <c r="CQ67" s="454"/>
      <c r="CR67" s="454"/>
      <c r="CS67" s="454"/>
      <c r="CT67" s="454"/>
      <c r="CU67" s="454"/>
      <c r="CV67" s="517"/>
      <c r="CW67" s="695">
        <f t="shared" si="8"/>
        <v>29</v>
      </c>
      <c r="CX67" s="695"/>
      <c r="CY67" s="695"/>
      <c r="CZ67" s="695"/>
      <c r="DA67" s="695">
        <f t="shared" si="9"/>
        <v>58</v>
      </c>
      <c r="DB67" s="517"/>
      <c r="DC67" s="517"/>
      <c r="DD67" s="517"/>
      <c r="DE67" s="517"/>
      <c r="DF67" s="517"/>
      <c r="DG67" s="517"/>
      <c r="DH67" s="517"/>
      <c r="DI67" s="454"/>
      <c r="DJ67" s="454"/>
      <c r="DK67" s="454">
        <v>2</v>
      </c>
      <c r="DL67" s="454"/>
      <c r="DM67" s="454">
        <v>6</v>
      </c>
      <c r="DN67" s="454">
        <v>1</v>
      </c>
      <c r="DO67" s="454">
        <v>3</v>
      </c>
      <c r="DP67" s="454">
        <v>3</v>
      </c>
      <c r="DQ67" s="454"/>
      <c r="DR67" s="454"/>
      <c r="DS67" s="454"/>
      <c r="DT67" s="454"/>
      <c r="DU67" s="454">
        <v>12</v>
      </c>
      <c r="DV67" s="454">
        <v>1</v>
      </c>
      <c r="DW67" s="454"/>
      <c r="DX67" s="454"/>
      <c r="DY67" s="454"/>
      <c r="DZ67" s="454"/>
      <c r="EA67" s="454">
        <v>2</v>
      </c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>
        <v>1</v>
      </c>
      <c r="EZ67" s="454"/>
      <c r="FA67" s="454"/>
      <c r="FB67" s="454"/>
      <c r="FC67" s="454"/>
      <c r="FD67" s="454"/>
      <c r="FE67" s="454"/>
      <c r="FF67" s="454"/>
      <c r="FG67" s="290"/>
      <c r="FH67" s="4" t="s">
        <v>3646</v>
      </c>
    </row>
    <row r="68" spans="1:164" s="4" customFormat="1">
      <c r="A68" s="56"/>
      <c r="B68" s="56"/>
      <c r="C68" s="498" t="s">
        <v>3633</v>
      </c>
      <c r="D68" s="498"/>
      <c r="E68" s="454">
        <v>36</v>
      </c>
      <c r="F68" s="454"/>
      <c r="G68" s="454"/>
      <c r="H68" s="454"/>
      <c r="I68" s="454"/>
      <c r="J68" s="454"/>
      <c r="K68" s="454"/>
      <c r="L68" s="454"/>
      <c r="M68" s="454"/>
      <c r="N68" s="454"/>
      <c r="O68" s="454"/>
      <c r="P68" s="454"/>
      <c r="Q68" s="454"/>
      <c r="R68" s="454"/>
      <c r="S68" s="454"/>
      <c r="T68" s="454" t="s">
        <v>1903</v>
      </c>
      <c r="U68" s="454"/>
      <c r="V68" s="454"/>
      <c r="W68" s="454"/>
      <c r="X68" s="454"/>
      <c r="Y68" s="454"/>
      <c r="Z68" s="454"/>
      <c r="AA68" s="454"/>
      <c r="AB68" s="454"/>
      <c r="AC68" s="454"/>
      <c r="AD68" s="454"/>
      <c r="AE68" s="454"/>
      <c r="AF68" s="454"/>
      <c r="AG68" s="454"/>
      <c r="AH68" s="454"/>
      <c r="AI68" s="454"/>
      <c r="AJ68" s="454"/>
      <c r="AK68" s="454"/>
      <c r="AL68" s="454"/>
      <c r="AM68" s="454"/>
      <c r="AN68" s="454"/>
      <c r="AO68" s="454"/>
      <c r="AP68" s="454"/>
      <c r="AQ68" s="454"/>
      <c r="AR68" s="454"/>
      <c r="AS68" s="454"/>
      <c r="AT68" s="454"/>
      <c r="AU68" s="454"/>
      <c r="AV68" s="454"/>
      <c r="AW68" s="454"/>
      <c r="AX68" s="454"/>
      <c r="AY68" s="454"/>
      <c r="AZ68" s="454"/>
      <c r="BA68" s="454"/>
      <c r="BB68" s="454"/>
      <c r="BC68" s="454"/>
      <c r="BD68" s="454"/>
      <c r="BE68" s="454"/>
      <c r="BF68" s="454"/>
      <c r="BG68" s="454"/>
      <c r="BH68" s="454"/>
      <c r="BI68" s="454"/>
      <c r="BJ68" s="454"/>
      <c r="BK68" s="454"/>
      <c r="BL68" s="454"/>
      <c r="BM68" s="454"/>
      <c r="BN68" s="454"/>
      <c r="BO68" s="454"/>
      <c r="BP68" s="454"/>
      <c r="BQ68" s="454"/>
      <c r="BR68" s="454"/>
      <c r="BS68" s="454"/>
      <c r="BT68" s="454"/>
      <c r="BU68" s="454"/>
      <c r="BV68" s="454"/>
      <c r="BW68" s="454"/>
      <c r="BX68" s="454"/>
      <c r="BY68" s="454"/>
      <c r="BZ68" s="454"/>
      <c r="CA68" s="454"/>
      <c r="CB68" s="454"/>
      <c r="CC68" s="454"/>
      <c r="CD68" s="454"/>
      <c r="CE68" s="454"/>
      <c r="CF68" s="454"/>
      <c r="CG68" s="454"/>
      <c r="CH68" s="454"/>
      <c r="CI68" s="454"/>
      <c r="CJ68" s="454"/>
      <c r="CK68" s="454"/>
      <c r="CL68" s="454"/>
      <c r="CM68" s="454"/>
      <c r="CN68" s="454"/>
      <c r="CO68" s="454"/>
      <c r="CP68" s="454">
        <v>1</v>
      </c>
      <c r="CQ68" s="454"/>
      <c r="CR68" s="454"/>
      <c r="CS68" s="454"/>
      <c r="CT68" s="454"/>
      <c r="CU68" s="454"/>
      <c r="CV68" s="517"/>
      <c r="CW68" s="695">
        <f t="shared" si="8"/>
        <v>36</v>
      </c>
      <c r="CX68" s="695"/>
      <c r="CY68" s="695"/>
      <c r="CZ68" s="695"/>
      <c r="DA68" s="695">
        <f t="shared" si="9"/>
        <v>72</v>
      </c>
      <c r="DB68" s="517"/>
      <c r="DC68" s="517"/>
      <c r="DD68" s="517"/>
      <c r="DE68" s="517"/>
      <c r="DF68" s="517"/>
      <c r="DG68" s="517"/>
      <c r="DH68" s="517"/>
      <c r="DI68" s="454"/>
      <c r="DJ68" s="454"/>
      <c r="DK68" s="454">
        <v>1</v>
      </c>
      <c r="DL68" s="454"/>
      <c r="DM68" s="454">
        <v>3</v>
      </c>
      <c r="DN68" s="454">
        <v>1</v>
      </c>
      <c r="DO68" s="454">
        <v>3</v>
      </c>
      <c r="DP68" s="454">
        <v>2</v>
      </c>
      <c r="DQ68" s="454"/>
      <c r="DR68" s="454"/>
      <c r="DS68" s="454"/>
      <c r="DT68" s="454"/>
      <c r="DU68" s="454"/>
      <c r="DV68" s="454"/>
      <c r="DW68" s="454"/>
      <c r="DX68" s="454"/>
      <c r="DY68" s="454"/>
      <c r="DZ68" s="454"/>
      <c r="EA68" s="454">
        <v>2</v>
      </c>
      <c r="EB68" s="454"/>
      <c r="EC68" s="454"/>
      <c r="ED68" s="454"/>
      <c r="EE68" s="454"/>
      <c r="EF68" s="454"/>
      <c r="EG68" s="454"/>
      <c r="EH68" s="454"/>
      <c r="EI68" s="454"/>
      <c r="EJ68" s="454"/>
      <c r="EK68" s="454"/>
      <c r="EL68" s="454"/>
      <c r="EM68" s="454"/>
      <c r="EN68" s="454"/>
      <c r="EO68" s="454"/>
      <c r="EP68" s="454"/>
      <c r="EQ68" s="454"/>
      <c r="ER68" s="454"/>
      <c r="ES68" s="454"/>
      <c r="ET68" s="454"/>
      <c r="EU68" s="454"/>
      <c r="EV68" s="454"/>
      <c r="EW68" s="454"/>
      <c r="EX68" s="454"/>
      <c r="EY68" s="454"/>
      <c r="EZ68" s="454"/>
      <c r="FA68" s="454"/>
      <c r="FB68" s="454"/>
      <c r="FC68" s="454"/>
      <c r="FD68" s="454"/>
      <c r="FE68" s="454"/>
      <c r="FF68" s="454"/>
      <c r="FG68" s="290"/>
      <c r="FH68" s="4" t="s">
        <v>3646</v>
      </c>
    </row>
    <row r="69" spans="1:164" s="4" customFormat="1">
      <c r="A69" s="56"/>
      <c r="B69" s="56"/>
      <c r="C69" s="498" t="s">
        <v>3634</v>
      </c>
      <c r="D69" s="498"/>
      <c r="E69" s="454">
        <v>50.5</v>
      </c>
      <c r="F69" s="454"/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4"/>
      <c r="S69" s="454"/>
      <c r="T69" s="454" t="s">
        <v>1631</v>
      </c>
      <c r="U69" s="454"/>
      <c r="V69" s="454"/>
      <c r="W69" s="454"/>
      <c r="X69" s="454"/>
      <c r="Y69" s="454"/>
      <c r="Z69" s="454"/>
      <c r="AA69" s="454"/>
      <c r="AB69" s="454"/>
      <c r="AC69" s="454"/>
      <c r="AD69" s="454"/>
      <c r="AE69" s="454"/>
      <c r="AF69" s="454"/>
      <c r="AG69" s="454"/>
      <c r="AH69" s="454"/>
      <c r="AI69" s="454"/>
      <c r="AJ69" s="454"/>
      <c r="AK69" s="454"/>
      <c r="AL69" s="454"/>
      <c r="AM69" s="454"/>
      <c r="AN69" s="454"/>
      <c r="AO69" s="454"/>
      <c r="AP69" s="454"/>
      <c r="AQ69" s="454"/>
      <c r="AR69" s="454"/>
      <c r="AS69" s="454"/>
      <c r="AT69" s="454"/>
      <c r="AU69" s="454"/>
      <c r="AV69" s="454"/>
      <c r="AW69" s="454"/>
      <c r="AX69" s="454"/>
      <c r="AY69" s="454"/>
      <c r="AZ69" s="454"/>
      <c r="BA69" s="454"/>
      <c r="BB69" s="454"/>
      <c r="BC69" s="454"/>
      <c r="BD69" s="454"/>
      <c r="BE69" s="454"/>
      <c r="BF69" s="454"/>
      <c r="BG69" s="454"/>
      <c r="BH69" s="454"/>
      <c r="BI69" s="454"/>
      <c r="BJ69" s="454"/>
      <c r="BK69" s="454"/>
      <c r="BL69" s="454"/>
      <c r="BM69" s="454"/>
      <c r="BN69" s="454"/>
      <c r="BO69" s="454"/>
      <c r="BP69" s="454"/>
      <c r="BQ69" s="454"/>
      <c r="BR69" s="454"/>
      <c r="BS69" s="454"/>
      <c r="BT69" s="454"/>
      <c r="BU69" s="454"/>
      <c r="BV69" s="454"/>
      <c r="BW69" s="454"/>
      <c r="BX69" s="454"/>
      <c r="BY69" s="454"/>
      <c r="BZ69" s="454"/>
      <c r="CA69" s="454"/>
      <c r="CB69" s="454"/>
      <c r="CC69" s="454"/>
      <c r="CD69" s="454"/>
      <c r="CE69" s="454"/>
      <c r="CF69" s="454"/>
      <c r="CG69" s="454"/>
      <c r="CH69" s="454"/>
      <c r="CI69" s="454"/>
      <c r="CJ69" s="454"/>
      <c r="CK69" s="454"/>
      <c r="CL69" s="454"/>
      <c r="CM69" s="454"/>
      <c r="CN69" s="454"/>
      <c r="CO69" s="454"/>
      <c r="CP69" s="454"/>
      <c r="CQ69" s="454"/>
      <c r="CR69" s="454"/>
      <c r="CS69" s="454"/>
      <c r="CT69" s="454"/>
      <c r="CU69" s="454"/>
      <c r="CV69" s="517"/>
      <c r="CW69" s="695">
        <f t="shared" si="8"/>
        <v>50.5</v>
      </c>
      <c r="CX69" s="695"/>
      <c r="CY69" s="695"/>
      <c r="CZ69" s="695"/>
      <c r="DA69" s="695">
        <f t="shared" si="9"/>
        <v>101</v>
      </c>
      <c r="DB69" s="517"/>
      <c r="DC69" s="517"/>
      <c r="DD69" s="517"/>
      <c r="DE69" s="517"/>
      <c r="DF69" s="517"/>
      <c r="DG69" s="517"/>
      <c r="DH69" s="517"/>
      <c r="DI69" s="454"/>
      <c r="DJ69" s="454"/>
      <c r="DK69" s="454">
        <v>1</v>
      </c>
      <c r="DL69" s="454"/>
      <c r="DM69" s="454">
        <v>3</v>
      </c>
      <c r="DN69" s="454">
        <v>1</v>
      </c>
      <c r="DO69" s="454">
        <v>3</v>
      </c>
      <c r="DP69" s="454">
        <v>2</v>
      </c>
      <c r="DQ69" s="454"/>
      <c r="DR69" s="454"/>
      <c r="DS69" s="454"/>
      <c r="DT69" s="454"/>
      <c r="DU69" s="454"/>
      <c r="DV69" s="454"/>
      <c r="DW69" s="454"/>
      <c r="DX69" s="454"/>
      <c r="DY69" s="454"/>
      <c r="DZ69" s="454"/>
      <c r="EA69" s="454">
        <v>2</v>
      </c>
      <c r="EB69" s="454"/>
      <c r="EC69" s="454"/>
      <c r="ED69" s="454"/>
      <c r="EE69" s="454"/>
      <c r="EF69" s="454"/>
      <c r="EG69" s="454"/>
      <c r="EH69" s="454"/>
      <c r="EI69" s="454"/>
      <c r="EJ69" s="454"/>
      <c r="EK69" s="454"/>
      <c r="EL69" s="454"/>
      <c r="EM69" s="454"/>
      <c r="EN69" s="454"/>
      <c r="EO69" s="454"/>
      <c r="EP69" s="454"/>
      <c r="EQ69" s="454"/>
      <c r="ER69" s="454"/>
      <c r="ES69" s="454"/>
      <c r="ET69" s="454"/>
      <c r="EU69" s="454"/>
      <c r="EV69" s="454"/>
      <c r="EW69" s="454"/>
      <c r="EX69" s="454"/>
      <c r="EY69" s="454"/>
      <c r="EZ69" s="454"/>
      <c r="FA69" s="454"/>
      <c r="FB69" s="454"/>
      <c r="FC69" s="454"/>
      <c r="FD69" s="454"/>
      <c r="FE69" s="454"/>
      <c r="FF69" s="454"/>
      <c r="FG69" s="290"/>
    </row>
    <row r="70" spans="1:164" s="4" customFormat="1">
      <c r="A70" s="56"/>
      <c r="B70" s="56"/>
      <c r="C70" s="498" t="s">
        <v>3635</v>
      </c>
      <c r="D70" s="498"/>
      <c r="E70" s="454">
        <v>47.4</v>
      </c>
      <c r="F70" s="454"/>
      <c r="G70" s="454"/>
      <c r="H70" s="454"/>
      <c r="I70" s="454"/>
      <c r="J70" s="454"/>
      <c r="K70" s="454"/>
      <c r="L70" s="454"/>
      <c r="M70" s="454"/>
      <c r="N70" s="454"/>
      <c r="O70" s="454"/>
      <c r="P70" s="454"/>
      <c r="Q70" s="454"/>
      <c r="R70" s="454"/>
      <c r="S70" s="454"/>
      <c r="T70" s="454" t="s">
        <v>1631</v>
      </c>
      <c r="U70" s="454"/>
      <c r="V70" s="454"/>
      <c r="W70" s="454"/>
      <c r="X70" s="454"/>
      <c r="Y70" s="454"/>
      <c r="Z70" s="454"/>
      <c r="AA70" s="454"/>
      <c r="AB70" s="454"/>
      <c r="AC70" s="454"/>
      <c r="AD70" s="454"/>
      <c r="AE70" s="454"/>
      <c r="AF70" s="454"/>
      <c r="AG70" s="454"/>
      <c r="AH70" s="454"/>
      <c r="AI70" s="454"/>
      <c r="AJ70" s="454"/>
      <c r="AK70" s="454"/>
      <c r="AL70" s="454"/>
      <c r="AM70" s="454"/>
      <c r="AN70" s="454"/>
      <c r="AO70" s="454"/>
      <c r="AP70" s="454"/>
      <c r="AQ70" s="454"/>
      <c r="AR70" s="454"/>
      <c r="AS70" s="454"/>
      <c r="AT70" s="454"/>
      <c r="AU70" s="454"/>
      <c r="AV70" s="454"/>
      <c r="AW70" s="454"/>
      <c r="AX70" s="454"/>
      <c r="AY70" s="454"/>
      <c r="AZ70" s="454"/>
      <c r="BA70" s="454"/>
      <c r="BB70" s="454"/>
      <c r="BC70" s="454"/>
      <c r="BD70" s="454"/>
      <c r="BE70" s="454"/>
      <c r="BF70" s="454"/>
      <c r="BG70" s="454"/>
      <c r="BH70" s="454"/>
      <c r="BI70" s="454"/>
      <c r="BJ70" s="454"/>
      <c r="BK70" s="454"/>
      <c r="BL70" s="454"/>
      <c r="BM70" s="454"/>
      <c r="BN70" s="454"/>
      <c r="BO70" s="454"/>
      <c r="BP70" s="454"/>
      <c r="BQ70" s="454"/>
      <c r="BR70" s="454"/>
      <c r="BS70" s="454"/>
      <c r="BT70" s="454"/>
      <c r="BU70" s="454"/>
      <c r="BV70" s="454"/>
      <c r="BW70" s="454"/>
      <c r="BX70" s="454"/>
      <c r="BY70" s="454"/>
      <c r="BZ70" s="454"/>
      <c r="CA70" s="454"/>
      <c r="CB70" s="454"/>
      <c r="CC70" s="454"/>
      <c r="CD70" s="454"/>
      <c r="CE70" s="454"/>
      <c r="CF70" s="454"/>
      <c r="CG70" s="454"/>
      <c r="CH70" s="454"/>
      <c r="CI70" s="454"/>
      <c r="CJ70" s="454"/>
      <c r="CK70" s="454"/>
      <c r="CL70" s="454"/>
      <c r="CM70" s="454"/>
      <c r="CN70" s="454"/>
      <c r="CO70" s="454"/>
      <c r="CP70" s="454"/>
      <c r="CQ70" s="454"/>
      <c r="CR70" s="454"/>
      <c r="CS70" s="454"/>
      <c r="CT70" s="454"/>
      <c r="CU70" s="454"/>
      <c r="CV70" s="517"/>
      <c r="CW70" s="695">
        <f t="shared" si="8"/>
        <v>47.4</v>
      </c>
      <c r="CX70" s="695"/>
      <c r="CY70" s="695"/>
      <c r="CZ70" s="695"/>
      <c r="DA70" s="695">
        <f t="shared" si="9"/>
        <v>94.8</v>
      </c>
      <c r="DB70" s="517"/>
      <c r="DC70" s="517"/>
      <c r="DD70" s="517"/>
      <c r="DE70" s="517"/>
      <c r="DF70" s="517"/>
      <c r="DG70" s="517"/>
      <c r="DH70" s="517"/>
      <c r="DI70" s="454"/>
      <c r="DJ70" s="454"/>
      <c r="DK70" s="454">
        <v>1</v>
      </c>
      <c r="DL70" s="454"/>
      <c r="DM70" s="454">
        <v>3</v>
      </c>
      <c r="DN70" s="454">
        <v>1</v>
      </c>
      <c r="DO70" s="454">
        <v>3</v>
      </c>
      <c r="DP70" s="454">
        <v>2</v>
      </c>
      <c r="DQ70" s="454"/>
      <c r="DR70" s="454"/>
      <c r="DS70" s="454"/>
      <c r="DT70" s="454"/>
      <c r="DU70" s="454"/>
      <c r="DV70" s="454"/>
      <c r="DW70" s="454"/>
      <c r="DX70" s="454"/>
      <c r="DY70" s="454"/>
      <c r="DZ70" s="454"/>
      <c r="EA70" s="454">
        <v>2</v>
      </c>
      <c r="EB70" s="454"/>
      <c r="EC70" s="454"/>
      <c r="ED70" s="454"/>
      <c r="EE70" s="454"/>
      <c r="EF70" s="454"/>
      <c r="EG70" s="454"/>
      <c r="EH70" s="454"/>
      <c r="EI70" s="454"/>
      <c r="EJ70" s="454"/>
      <c r="EK70" s="454"/>
      <c r="EL70" s="454"/>
      <c r="EM70" s="454"/>
      <c r="EN70" s="454"/>
      <c r="EO70" s="454"/>
      <c r="EP70" s="454"/>
      <c r="EQ70" s="454"/>
      <c r="ER70" s="454"/>
      <c r="ES70" s="454"/>
      <c r="ET70" s="454"/>
      <c r="EU70" s="454"/>
      <c r="EV70" s="454"/>
      <c r="EW70" s="454"/>
      <c r="EX70" s="454"/>
      <c r="EY70" s="454"/>
      <c r="EZ70" s="454"/>
      <c r="FA70" s="454"/>
      <c r="FB70" s="454"/>
      <c r="FC70" s="454"/>
      <c r="FD70" s="454"/>
      <c r="FE70" s="454"/>
      <c r="FF70" s="454"/>
      <c r="FG70" s="290"/>
    </row>
    <row r="71" spans="1:164" s="4" customFormat="1">
      <c r="A71" s="56"/>
      <c r="B71" s="56"/>
      <c r="C71" s="498" t="s">
        <v>3636</v>
      </c>
      <c r="D71" s="498"/>
      <c r="E71" s="454">
        <v>45.1</v>
      </c>
      <c r="F71" s="454"/>
      <c r="G71" s="454"/>
      <c r="H71" s="454"/>
      <c r="I71" s="454"/>
      <c r="J71" s="454"/>
      <c r="K71" s="454"/>
      <c r="L71" s="454"/>
      <c r="M71" s="454"/>
      <c r="N71" s="454"/>
      <c r="O71" s="454"/>
      <c r="P71" s="454"/>
      <c r="Q71" s="454"/>
      <c r="R71" s="454"/>
      <c r="S71" s="454"/>
      <c r="T71" s="454" t="s">
        <v>1631</v>
      </c>
      <c r="U71" s="454"/>
      <c r="V71" s="454"/>
      <c r="W71" s="454"/>
      <c r="X71" s="454"/>
      <c r="Y71" s="454"/>
      <c r="Z71" s="454"/>
      <c r="AA71" s="454"/>
      <c r="AB71" s="454"/>
      <c r="AC71" s="454"/>
      <c r="AD71" s="454"/>
      <c r="AE71" s="454"/>
      <c r="AF71" s="454"/>
      <c r="AG71" s="454"/>
      <c r="AH71" s="454"/>
      <c r="AI71" s="454"/>
      <c r="AJ71" s="454"/>
      <c r="AK71" s="454"/>
      <c r="AL71" s="454"/>
      <c r="AM71" s="454"/>
      <c r="AN71" s="454"/>
      <c r="AO71" s="454"/>
      <c r="AP71" s="454"/>
      <c r="AQ71" s="454"/>
      <c r="AR71" s="454"/>
      <c r="AS71" s="454"/>
      <c r="AT71" s="454"/>
      <c r="AU71" s="454"/>
      <c r="AV71" s="454"/>
      <c r="AW71" s="454"/>
      <c r="AX71" s="454"/>
      <c r="AY71" s="454"/>
      <c r="AZ71" s="454"/>
      <c r="BA71" s="454"/>
      <c r="BB71" s="454"/>
      <c r="BC71" s="454"/>
      <c r="BD71" s="454"/>
      <c r="BE71" s="454"/>
      <c r="BF71" s="454"/>
      <c r="BG71" s="454"/>
      <c r="BH71" s="454"/>
      <c r="BI71" s="454"/>
      <c r="BJ71" s="454"/>
      <c r="BK71" s="454"/>
      <c r="BL71" s="454"/>
      <c r="BM71" s="454"/>
      <c r="BN71" s="454"/>
      <c r="BO71" s="454"/>
      <c r="BP71" s="454"/>
      <c r="BQ71" s="454"/>
      <c r="BR71" s="454"/>
      <c r="BS71" s="454"/>
      <c r="BT71" s="454"/>
      <c r="BU71" s="454"/>
      <c r="BV71" s="454"/>
      <c r="BW71" s="454"/>
      <c r="BX71" s="454"/>
      <c r="BY71" s="454"/>
      <c r="BZ71" s="454"/>
      <c r="CA71" s="454"/>
      <c r="CB71" s="454"/>
      <c r="CC71" s="454"/>
      <c r="CD71" s="454"/>
      <c r="CE71" s="454"/>
      <c r="CF71" s="454"/>
      <c r="CG71" s="454"/>
      <c r="CH71" s="454"/>
      <c r="CI71" s="454"/>
      <c r="CJ71" s="454"/>
      <c r="CK71" s="454"/>
      <c r="CL71" s="454"/>
      <c r="CM71" s="454"/>
      <c r="CN71" s="454"/>
      <c r="CO71" s="454"/>
      <c r="CP71" s="454"/>
      <c r="CQ71" s="454"/>
      <c r="CR71" s="454"/>
      <c r="CS71" s="454"/>
      <c r="CT71" s="454"/>
      <c r="CU71" s="454"/>
      <c r="CV71" s="517"/>
      <c r="CW71" s="695">
        <f t="shared" si="8"/>
        <v>45.1</v>
      </c>
      <c r="CX71" s="695"/>
      <c r="CY71" s="695"/>
      <c r="CZ71" s="695"/>
      <c r="DA71" s="695">
        <f t="shared" si="9"/>
        <v>90.2</v>
      </c>
      <c r="DB71" s="517"/>
      <c r="DC71" s="517"/>
      <c r="DD71" s="517"/>
      <c r="DE71" s="517"/>
      <c r="DF71" s="517"/>
      <c r="DG71" s="517"/>
      <c r="DH71" s="517"/>
      <c r="DI71" s="454"/>
      <c r="DJ71" s="454"/>
      <c r="DK71" s="454">
        <v>1</v>
      </c>
      <c r="DL71" s="454"/>
      <c r="DM71" s="454">
        <v>3</v>
      </c>
      <c r="DN71" s="454">
        <v>1</v>
      </c>
      <c r="DO71" s="454">
        <v>3</v>
      </c>
      <c r="DP71" s="454">
        <v>2</v>
      </c>
      <c r="DQ71" s="454"/>
      <c r="DR71" s="454"/>
      <c r="DS71" s="454"/>
      <c r="DT71" s="454"/>
      <c r="DU71" s="454"/>
      <c r="DV71" s="454"/>
      <c r="DW71" s="454"/>
      <c r="DX71" s="454"/>
      <c r="DY71" s="454"/>
      <c r="DZ71" s="454"/>
      <c r="EA71" s="454">
        <v>2</v>
      </c>
      <c r="EB71" s="454"/>
      <c r="EC71" s="454"/>
      <c r="ED71" s="454"/>
      <c r="EE71" s="454"/>
      <c r="EF71" s="454"/>
      <c r="EG71" s="454"/>
      <c r="EH71" s="454"/>
      <c r="EI71" s="454"/>
      <c r="EJ71" s="454"/>
      <c r="EK71" s="454"/>
      <c r="EL71" s="454"/>
      <c r="EM71" s="454"/>
      <c r="EN71" s="454"/>
      <c r="EO71" s="454"/>
      <c r="EP71" s="454"/>
      <c r="EQ71" s="454"/>
      <c r="ER71" s="454"/>
      <c r="ES71" s="454"/>
      <c r="ET71" s="454"/>
      <c r="EU71" s="454"/>
      <c r="EV71" s="454"/>
      <c r="EW71" s="454"/>
      <c r="EX71" s="454"/>
      <c r="EY71" s="454"/>
      <c r="EZ71" s="454"/>
      <c r="FA71" s="454"/>
      <c r="FB71" s="454"/>
      <c r="FC71" s="454"/>
      <c r="FD71" s="454"/>
      <c r="FE71" s="454"/>
      <c r="FF71" s="454"/>
      <c r="FG71" s="290"/>
    </row>
    <row r="72" spans="1:164" s="4" customFormat="1">
      <c r="A72" s="56"/>
      <c r="B72" s="56"/>
      <c r="C72" s="498" t="s">
        <v>3637</v>
      </c>
      <c r="D72" s="498"/>
      <c r="E72" s="454">
        <v>39.5</v>
      </c>
      <c r="F72" s="454"/>
      <c r="G72" s="454"/>
      <c r="H72" s="454"/>
      <c r="I72" s="454"/>
      <c r="J72" s="454"/>
      <c r="K72" s="454"/>
      <c r="L72" s="454"/>
      <c r="M72" s="454"/>
      <c r="N72" s="454"/>
      <c r="O72" s="454"/>
      <c r="P72" s="454"/>
      <c r="Q72" s="454"/>
      <c r="R72" s="454"/>
      <c r="S72" s="454"/>
      <c r="T72" s="454" t="s">
        <v>1631</v>
      </c>
      <c r="U72" s="454"/>
      <c r="V72" s="454"/>
      <c r="W72" s="454"/>
      <c r="X72" s="454"/>
      <c r="Y72" s="454"/>
      <c r="Z72" s="454"/>
      <c r="AA72" s="454"/>
      <c r="AB72" s="454"/>
      <c r="AC72" s="454"/>
      <c r="AD72" s="454"/>
      <c r="AE72" s="454"/>
      <c r="AF72" s="454"/>
      <c r="AG72" s="454"/>
      <c r="AH72" s="454"/>
      <c r="AI72" s="454"/>
      <c r="AJ72" s="454"/>
      <c r="AK72" s="454"/>
      <c r="AL72" s="454"/>
      <c r="AM72" s="454"/>
      <c r="AN72" s="454"/>
      <c r="AO72" s="454"/>
      <c r="AP72" s="454"/>
      <c r="AQ72" s="454"/>
      <c r="AR72" s="454"/>
      <c r="AS72" s="454"/>
      <c r="AT72" s="454"/>
      <c r="AU72" s="454"/>
      <c r="AV72" s="454"/>
      <c r="AW72" s="454"/>
      <c r="AX72" s="454"/>
      <c r="AY72" s="454"/>
      <c r="AZ72" s="454"/>
      <c r="BA72" s="454"/>
      <c r="BB72" s="454"/>
      <c r="BC72" s="454"/>
      <c r="BD72" s="454"/>
      <c r="BE72" s="454"/>
      <c r="BF72" s="454"/>
      <c r="BG72" s="454"/>
      <c r="BH72" s="454"/>
      <c r="BI72" s="454"/>
      <c r="BJ72" s="454"/>
      <c r="BK72" s="454"/>
      <c r="BL72" s="454"/>
      <c r="BM72" s="454"/>
      <c r="BN72" s="454"/>
      <c r="BO72" s="454"/>
      <c r="BP72" s="454"/>
      <c r="BQ72" s="454"/>
      <c r="BR72" s="454"/>
      <c r="BS72" s="454"/>
      <c r="BT72" s="454"/>
      <c r="BU72" s="454"/>
      <c r="BV72" s="454"/>
      <c r="BW72" s="454"/>
      <c r="BX72" s="454"/>
      <c r="BY72" s="454"/>
      <c r="BZ72" s="454"/>
      <c r="CA72" s="454"/>
      <c r="CB72" s="454"/>
      <c r="CC72" s="454"/>
      <c r="CD72" s="454"/>
      <c r="CE72" s="454"/>
      <c r="CF72" s="454"/>
      <c r="CG72" s="454"/>
      <c r="CH72" s="454"/>
      <c r="CI72" s="454"/>
      <c r="CJ72" s="454"/>
      <c r="CK72" s="454"/>
      <c r="CL72" s="454"/>
      <c r="CM72" s="454"/>
      <c r="CN72" s="454"/>
      <c r="CO72" s="454"/>
      <c r="CP72" s="454"/>
      <c r="CQ72" s="454"/>
      <c r="CR72" s="454"/>
      <c r="CS72" s="454"/>
      <c r="CT72" s="454"/>
      <c r="CU72" s="454"/>
      <c r="CV72" s="517"/>
      <c r="CW72" s="695">
        <f t="shared" si="8"/>
        <v>39.5</v>
      </c>
      <c r="CX72" s="695"/>
      <c r="CY72" s="695"/>
      <c r="CZ72" s="695"/>
      <c r="DA72" s="695">
        <f t="shared" si="9"/>
        <v>79</v>
      </c>
      <c r="DB72" s="517"/>
      <c r="DC72" s="517"/>
      <c r="DD72" s="517"/>
      <c r="DE72" s="517"/>
      <c r="DF72" s="517"/>
      <c r="DG72" s="517"/>
      <c r="DH72" s="517"/>
      <c r="DI72" s="454"/>
      <c r="DJ72" s="454"/>
      <c r="DK72" s="454">
        <v>1</v>
      </c>
      <c r="DL72" s="454"/>
      <c r="DM72" s="454">
        <v>3</v>
      </c>
      <c r="DN72" s="454">
        <v>1</v>
      </c>
      <c r="DO72" s="454">
        <v>3</v>
      </c>
      <c r="DP72" s="454">
        <v>2</v>
      </c>
      <c r="DQ72" s="454"/>
      <c r="DR72" s="454"/>
      <c r="DS72" s="454"/>
      <c r="DT72" s="454"/>
      <c r="DU72" s="454"/>
      <c r="DV72" s="454"/>
      <c r="DW72" s="454"/>
      <c r="DX72" s="454"/>
      <c r="DY72" s="454"/>
      <c r="DZ72" s="454"/>
      <c r="EA72" s="454">
        <v>2</v>
      </c>
      <c r="EB72" s="454"/>
      <c r="EC72" s="454"/>
      <c r="ED72" s="454"/>
      <c r="EE72" s="454"/>
      <c r="EF72" s="454"/>
      <c r="EG72" s="454"/>
      <c r="EH72" s="454"/>
      <c r="EI72" s="454"/>
      <c r="EJ72" s="454"/>
      <c r="EK72" s="454"/>
      <c r="EL72" s="454"/>
      <c r="EM72" s="454"/>
      <c r="EN72" s="454"/>
      <c r="EO72" s="454"/>
      <c r="EP72" s="454"/>
      <c r="EQ72" s="454"/>
      <c r="ER72" s="454"/>
      <c r="ES72" s="454"/>
      <c r="ET72" s="454"/>
      <c r="EU72" s="454"/>
      <c r="EV72" s="454"/>
      <c r="EW72" s="454"/>
      <c r="EX72" s="454"/>
      <c r="EY72" s="454"/>
      <c r="EZ72" s="454"/>
      <c r="FA72" s="454"/>
      <c r="FB72" s="454"/>
      <c r="FC72" s="454"/>
      <c r="FD72" s="454"/>
      <c r="FE72" s="454"/>
      <c r="FF72" s="454"/>
      <c r="FG72" s="290"/>
    </row>
    <row r="73" spans="1:164" s="4" customFormat="1">
      <c r="A73" s="56"/>
      <c r="B73" s="56"/>
      <c r="C73" s="498" t="s">
        <v>3638</v>
      </c>
      <c r="D73" s="498"/>
      <c r="E73" s="454">
        <v>46.2</v>
      </c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4"/>
      <c r="S73" s="454"/>
      <c r="T73" s="454" t="s">
        <v>1631</v>
      </c>
      <c r="U73" s="454"/>
      <c r="V73" s="454"/>
      <c r="W73" s="454"/>
      <c r="X73" s="454"/>
      <c r="Y73" s="454"/>
      <c r="Z73" s="454"/>
      <c r="AA73" s="454"/>
      <c r="AB73" s="454"/>
      <c r="AC73" s="454"/>
      <c r="AD73" s="454"/>
      <c r="AE73" s="454"/>
      <c r="AF73" s="454"/>
      <c r="AG73" s="454"/>
      <c r="AH73" s="454"/>
      <c r="AI73" s="454"/>
      <c r="AJ73" s="454"/>
      <c r="AK73" s="454"/>
      <c r="AL73" s="454"/>
      <c r="AM73" s="454"/>
      <c r="AN73" s="454"/>
      <c r="AO73" s="454"/>
      <c r="AP73" s="454"/>
      <c r="AQ73" s="454"/>
      <c r="AR73" s="454"/>
      <c r="AS73" s="454"/>
      <c r="AT73" s="454"/>
      <c r="AU73" s="454"/>
      <c r="AV73" s="454"/>
      <c r="AW73" s="454"/>
      <c r="AX73" s="454"/>
      <c r="AY73" s="454"/>
      <c r="AZ73" s="454"/>
      <c r="BA73" s="454"/>
      <c r="BB73" s="454"/>
      <c r="BC73" s="454"/>
      <c r="BD73" s="454"/>
      <c r="BE73" s="454"/>
      <c r="BF73" s="454"/>
      <c r="BG73" s="454"/>
      <c r="BH73" s="454"/>
      <c r="BI73" s="454"/>
      <c r="BJ73" s="454"/>
      <c r="BK73" s="454"/>
      <c r="BL73" s="454"/>
      <c r="BM73" s="454"/>
      <c r="BN73" s="454"/>
      <c r="BO73" s="454"/>
      <c r="BP73" s="454"/>
      <c r="BQ73" s="454"/>
      <c r="BR73" s="454"/>
      <c r="BS73" s="454"/>
      <c r="BT73" s="454"/>
      <c r="BU73" s="454"/>
      <c r="BV73" s="454"/>
      <c r="BW73" s="454"/>
      <c r="BX73" s="454"/>
      <c r="BY73" s="454"/>
      <c r="BZ73" s="454"/>
      <c r="CA73" s="454"/>
      <c r="CB73" s="454"/>
      <c r="CC73" s="454"/>
      <c r="CD73" s="454"/>
      <c r="CE73" s="454"/>
      <c r="CF73" s="454"/>
      <c r="CG73" s="454"/>
      <c r="CH73" s="454"/>
      <c r="CI73" s="454"/>
      <c r="CJ73" s="454"/>
      <c r="CK73" s="454"/>
      <c r="CL73" s="454"/>
      <c r="CM73" s="454"/>
      <c r="CN73" s="454"/>
      <c r="CO73" s="454"/>
      <c r="CP73" s="454"/>
      <c r="CQ73" s="454"/>
      <c r="CR73" s="454"/>
      <c r="CS73" s="454"/>
      <c r="CT73" s="454"/>
      <c r="CU73" s="454"/>
      <c r="CV73" s="517"/>
      <c r="CW73" s="695">
        <f t="shared" si="8"/>
        <v>46.2</v>
      </c>
      <c r="CX73" s="695"/>
      <c r="CY73" s="695"/>
      <c r="CZ73" s="695"/>
      <c r="DA73" s="695">
        <f t="shared" si="9"/>
        <v>92.4</v>
      </c>
      <c r="DB73" s="517"/>
      <c r="DC73" s="517"/>
      <c r="DD73" s="517"/>
      <c r="DE73" s="517"/>
      <c r="DF73" s="517"/>
      <c r="DG73" s="517"/>
      <c r="DH73" s="517"/>
      <c r="DI73" s="454"/>
      <c r="DJ73" s="454"/>
      <c r="DK73" s="454">
        <v>1</v>
      </c>
      <c r="DL73" s="454"/>
      <c r="DM73" s="454">
        <v>3</v>
      </c>
      <c r="DN73" s="454"/>
      <c r="DO73" s="454"/>
      <c r="DP73" s="454"/>
      <c r="DQ73" s="454"/>
      <c r="DR73" s="454"/>
      <c r="DS73" s="454"/>
      <c r="DT73" s="454"/>
      <c r="DU73" s="454"/>
      <c r="DV73" s="454"/>
      <c r="DW73" s="454"/>
      <c r="DX73" s="454"/>
      <c r="DY73" s="454"/>
      <c r="DZ73" s="454"/>
      <c r="EA73" s="454">
        <v>2</v>
      </c>
      <c r="EB73" s="454"/>
      <c r="EC73" s="454"/>
      <c r="ED73" s="454"/>
      <c r="EE73" s="454"/>
      <c r="EF73" s="454"/>
      <c r="EG73" s="454"/>
      <c r="EH73" s="454"/>
      <c r="EI73" s="454"/>
      <c r="EJ73" s="454"/>
      <c r="EK73" s="454"/>
      <c r="EL73" s="454"/>
      <c r="EM73" s="454"/>
      <c r="EN73" s="454"/>
      <c r="EO73" s="454"/>
      <c r="EP73" s="454"/>
      <c r="EQ73" s="454"/>
      <c r="ER73" s="454"/>
      <c r="ES73" s="454"/>
      <c r="ET73" s="454"/>
      <c r="EU73" s="454"/>
      <c r="EV73" s="454"/>
      <c r="EW73" s="454"/>
      <c r="EX73" s="454"/>
      <c r="EY73" s="454"/>
      <c r="EZ73" s="454"/>
      <c r="FA73" s="454"/>
      <c r="FB73" s="454"/>
      <c r="FC73" s="454"/>
      <c r="FD73" s="454"/>
      <c r="FE73" s="454"/>
      <c r="FF73" s="454"/>
      <c r="FG73" s="290"/>
    </row>
    <row r="74" spans="1:164" s="4" customFormat="1">
      <c r="A74" s="56"/>
      <c r="B74" s="56"/>
      <c r="C74" s="498" t="s">
        <v>3639</v>
      </c>
      <c r="D74" s="498"/>
      <c r="E74" s="454">
        <v>43</v>
      </c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 t="s">
        <v>1631</v>
      </c>
      <c r="U74" s="454"/>
      <c r="V74" s="454"/>
      <c r="W74" s="454"/>
      <c r="X74" s="454"/>
      <c r="Y74" s="454"/>
      <c r="Z74" s="454"/>
      <c r="AA74" s="454"/>
      <c r="AB74" s="454"/>
      <c r="AC74" s="454"/>
      <c r="AD74" s="454"/>
      <c r="AE74" s="454"/>
      <c r="AF74" s="454"/>
      <c r="AG74" s="454"/>
      <c r="AH74" s="454"/>
      <c r="AI74" s="454"/>
      <c r="AJ74" s="454"/>
      <c r="AK74" s="454"/>
      <c r="AL74" s="454"/>
      <c r="AM74" s="454"/>
      <c r="AN74" s="454"/>
      <c r="AO74" s="454"/>
      <c r="AP74" s="454"/>
      <c r="AQ74" s="454"/>
      <c r="AR74" s="454"/>
      <c r="AS74" s="454"/>
      <c r="AT74" s="454"/>
      <c r="AU74" s="454"/>
      <c r="AV74" s="454"/>
      <c r="AW74" s="454"/>
      <c r="AX74" s="454"/>
      <c r="AY74" s="454"/>
      <c r="AZ74" s="454"/>
      <c r="BA74" s="454"/>
      <c r="BB74" s="454"/>
      <c r="BC74" s="454"/>
      <c r="BD74" s="454"/>
      <c r="BE74" s="454"/>
      <c r="BF74" s="454"/>
      <c r="BG74" s="454"/>
      <c r="BH74" s="454"/>
      <c r="BI74" s="454"/>
      <c r="BJ74" s="454"/>
      <c r="BK74" s="454"/>
      <c r="BL74" s="454"/>
      <c r="BM74" s="454"/>
      <c r="BN74" s="454"/>
      <c r="BO74" s="454"/>
      <c r="BP74" s="454"/>
      <c r="BQ74" s="454"/>
      <c r="BR74" s="454"/>
      <c r="BS74" s="454"/>
      <c r="BT74" s="454"/>
      <c r="BU74" s="454"/>
      <c r="BV74" s="454"/>
      <c r="BW74" s="454"/>
      <c r="BX74" s="454"/>
      <c r="BY74" s="454"/>
      <c r="BZ74" s="454"/>
      <c r="CA74" s="454"/>
      <c r="CB74" s="454"/>
      <c r="CC74" s="454"/>
      <c r="CD74" s="454"/>
      <c r="CE74" s="454"/>
      <c r="CF74" s="454"/>
      <c r="CG74" s="454"/>
      <c r="CH74" s="454"/>
      <c r="CI74" s="454"/>
      <c r="CJ74" s="454"/>
      <c r="CK74" s="454"/>
      <c r="CL74" s="454"/>
      <c r="CM74" s="454"/>
      <c r="CN74" s="454"/>
      <c r="CO74" s="454"/>
      <c r="CP74" s="454"/>
      <c r="CQ74" s="454"/>
      <c r="CR74" s="454"/>
      <c r="CS74" s="454"/>
      <c r="CT74" s="454"/>
      <c r="CU74" s="454"/>
      <c r="CV74" s="517"/>
      <c r="CW74" s="695">
        <f t="shared" si="8"/>
        <v>43</v>
      </c>
      <c r="CX74" s="695"/>
      <c r="CY74" s="695"/>
      <c r="CZ74" s="695"/>
      <c r="DA74" s="695">
        <f t="shared" si="9"/>
        <v>86</v>
      </c>
      <c r="DB74" s="517"/>
      <c r="DC74" s="517"/>
      <c r="DD74" s="517"/>
      <c r="DE74" s="517"/>
      <c r="DF74" s="517"/>
      <c r="DG74" s="517"/>
      <c r="DH74" s="517"/>
      <c r="DI74" s="454"/>
      <c r="DJ74" s="454"/>
      <c r="DK74" s="454">
        <v>1</v>
      </c>
      <c r="DL74" s="454"/>
      <c r="DM74" s="454">
        <v>3</v>
      </c>
      <c r="DN74" s="454">
        <v>1</v>
      </c>
      <c r="DO74" s="454">
        <v>3</v>
      </c>
      <c r="DP74" s="454">
        <v>3</v>
      </c>
      <c r="DQ74" s="454"/>
      <c r="DR74" s="454"/>
      <c r="DS74" s="454"/>
      <c r="DT74" s="454"/>
      <c r="DU74" s="454"/>
      <c r="DV74" s="454"/>
      <c r="DW74" s="454"/>
      <c r="DX74" s="454"/>
      <c r="DY74" s="454"/>
      <c r="DZ74" s="454"/>
      <c r="EA74" s="454">
        <v>2</v>
      </c>
      <c r="EB74" s="454"/>
      <c r="EC74" s="454"/>
      <c r="ED74" s="454"/>
      <c r="EE74" s="454"/>
      <c r="EF74" s="454"/>
      <c r="EG74" s="454"/>
      <c r="EH74" s="454"/>
      <c r="EI74" s="454"/>
      <c r="EJ74" s="454"/>
      <c r="EK74" s="454"/>
      <c r="EL74" s="454"/>
      <c r="EM74" s="454"/>
      <c r="EN74" s="454"/>
      <c r="EO74" s="454"/>
      <c r="EP74" s="454"/>
      <c r="EQ74" s="454"/>
      <c r="ER74" s="454"/>
      <c r="ES74" s="454"/>
      <c r="ET74" s="454"/>
      <c r="EU74" s="454"/>
      <c r="EV74" s="454"/>
      <c r="EW74" s="454"/>
      <c r="EX74" s="454"/>
      <c r="EY74" s="454"/>
      <c r="EZ74" s="454"/>
      <c r="FA74" s="454">
        <v>2</v>
      </c>
      <c r="FB74" s="454"/>
      <c r="FC74" s="454"/>
      <c r="FD74" s="454"/>
      <c r="FE74" s="454"/>
      <c r="FF74" s="454"/>
      <c r="FG74" s="290"/>
    </row>
    <row r="75" spans="1:164" s="4" customFormat="1">
      <c r="A75" s="56"/>
      <c r="B75" s="56"/>
      <c r="C75" s="498" t="s">
        <v>3640</v>
      </c>
      <c r="D75" s="498"/>
      <c r="E75" s="454">
        <v>39.4</v>
      </c>
      <c r="F75" s="454"/>
      <c r="G75" s="454"/>
      <c r="H75" s="454"/>
      <c r="I75" s="454"/>
      <c r="J75" s="454"/>
      <c r="K75" s="454"/>
      <c r="L75" s="454"/>
      <c r="M75" s="454"/>
      <c r="N75" s="454"/>
      <c r="O75" s="454"/>
      <c r="P75" s="454"/>
      <c r="Q75" s="454"/>
      <c r="R75" s="454"/>
      <c r="S75" s="454"/>
      <c r="T75" s="454" t="s">
        <v>1903</v>
      </c>
      <c r="U75" s="454"/>
      <c r="V75" s="454"/>
      <c r="W75" s="454"/>
      <c r="X75" s="454"/>
      <c r="Y75" s="454"/>
      <c r="Z75" s="454"/>
      <c r="AA75" s="454"/>
      <c r="AB75" s="454"/>
      <c r="AC75" s="454"/>
      <c r="AD75" s="454"/>
      <c r="AE75" s="454"/>
      <c r="AF75" s="454"/>
      <c r="AG75" s="454"/>
      <c r="AH75" s="454"/>
      <c r="AI75" s="454"/>
      <c r="AJ75" s="454"/>
      <c r="AK75" s="454"/>
      <c r="AL75" s="454"/>
      <c r="AM75" s="454"/>
      <c r="AN75" s="454"/>
      <c r="AO75" s="454"/>
      <c r="AP75" s="454"/>
      <c r="AQ75" s="454"/>
      <c r="AR75" s="454"/>
      <c r="AS75" s="454"/>
      <c r="AT75" s="454"/>
      <c r="AU75" s="454"/>
      <c r="AV75" s="454"/>
      <c r="AW75" s="454"/>
      <c r="AX75" s="454"/>
      <c r="AY75" s="454"/>
      <c r="AZ75" s="454"/>
      <c r="BA75" s="454"/>
      <c r="BB75" s="454"/>
      <c r="BC75" s="454"/>
      <c r="BD75" s="454"/>
      <c r="BE75" s="454"/>
      <c r="BF75" s="454"/>
      <c r="BG75" s="454"/>
      <c r="BH75" s="454"/>
      <c r="BI75" s="454"/>
      <c r="BJ75" s="454"/>
      <c r="BK75" s="454"/>
      <c r="BL75" s="454"/>
      <c r="BM75" s="454"/>
      <c r="BN75" s="454"/>
      <c r="BO75" s="454"/>
      <c r="BP75" s="454"/>
      <c r="BQ75" s="454"/>
      <c r="BR75" s="454"/>
      <c r="BS75" s="454"/>
      <c r="BT75" s="454"/>
      <c r="BU75" s="454"/>
      <c r="BV75" s="454"/>
      <c r="BW75" s="454"/>
      <c r="BX75" s="454"/>
      <c r="BY75" s="454"/>
      <c r="BZ75" s="454"/>
      <c r="CA75" s="454"/>
      <c r="CB75" s="454"/>
      <c r="CC75" s="454"/>
      <c r="CD75" s="454"/>
      <c r="CE75" s="454"/>
      <c r="CF75" s="454"/>
      <c r="CG75" s="454"/>
      <c r="CH75" s="454"/>
      <c r="CI75" s="454"/>
      <c r="CJ75" s="454"/>
      <c r="CK75" s="454"/>
      <c r="CL75" s="454"/>
      <c r="CM75" s="454"/>
      <c r="CN75" s="454"/>
      <c r="CO75" s="454"/>
      <c r="CP75" s="454">
        <v>1</v>
      </c>
      <c r="CQ75" s="454"/>
      <c r="CR75" s="454"/>
      <c r="CS75" s="454"/>
      <c r="CT75" s="454"/>
      <c r="CU75" s="454"/>
      <c r="CV75" s="517"/>
      <c r="CW75" s="695">
        <f t="shared" si="8"/>
        <v>39.4</v>
      </c>
      <c r="CX75" s="695"/>
      <c r="CY75" s="695"/>
      <c r="CZ75" s="695"/>
      <c r="DA75" s="695">
        <f t="shared" si="9"/>
        <v>78.8</v>
      </c>
      <c r="DB75" s="517"/>
      <c r="DC75" s="517"/>
      <c r="DD75" s="517"/>
      <c r="DE75" s="517"/>
      <c r="DF75" s="517"/>
      <c r="DG75" s="517"/>
      <c r="DH75" s="517"/>
      <c r="DI75" s="454"/>
      <c r="DJ75" s="454"/>
      <c r="DK75" s="454">
        <v>1</v>
      </c>
      <c r="DL75" s="454"/>
      <c r="DM75" s="454">
        <v>3</v>
      </c>
      <c r="DN75" s="454">
        <v>1</v>
      </c>
      <c r="DO75" s="454">
        <v>3</v>
      </c>
      <c r="DP75" s="454">
        <v>2</v>
      </c>
      <c r="DQ75" s="454"/>
      <c r="DR75" s="454"/>
      <c r="DS75" s="454"/>
      <c r="DT75" s="454"/>
      <c r="DU75" s="454"/>
      <c r="DV75" s="454"/>
      <c r="DW75" s="454"/>
      <c r="DX75" s="454"/>
      <c r="DY75" s="454"/>
      <c r="DZ75" s="454"/>
      <c r="EA75" s="454">
        <v>2</v>
      </c>
      <c r="EB75" s="454"/>
      <c r="EC75" s="454"/>
      <c r="ED75" s="454"/>
      <c r="EE75" s="454"/>
      <c r="EF75" s="454"/>
      <c r="EG75" s="454"/>
      <c r="EH75" s="454"/>
      <c r="EI75" s="454"/>
      <c r="EJ75" s="454"/>
      <c r="EK75" s="454"/>
      <c r="EL75" s="454"/>
      <c r="EM75" s="454"/>
      <c r="EN75" s="454"/>
      <c r="EO75" s="454"/>
      <c r="EP75" s="454"/>
      <c r="EQ75" s="454"/>
      <c r="ER75" s="454"/>
      <c r="ES75" s="454"/>
      <c r="ET75" s="454"/>
      <c r="EU75" s="454"/>
      <c r="EV75" s="454"/>
      <c r="EW75" s="454"/>
      <c r="EX75" s="454"/>
      <c r="EY75" s="454"/>
      <c r="EZ75" s="454"/>
      <c r="FA75" s="454"/>
      <c r="FB75" s="454"/>
      <c r="FC75" s="454"/>
      <c r="FD75" s="454"/>
      <c r="FE75" s="454"/>
      <c r="FF75" s="454"/>
      <c r="FG75" s="290"/>
    </row>
    <row r="76" spans="1:164" s="4" customFormat="1">
      <c r="A76" s="56"/>
      <c r="B76" s="56"/>
      <c r="C76" s="498" t="s">
        <v>3641</v>
      </c>
      <c r="D76" s="498"/>
      <c r="E76" s="454">
        <v>45.6</v>
      </c>
      <c r="F76" s="454"/>
      <c r="G76" s="454"/>
      <c r="H76" s="454"/>
      <c r="I76" s="454"/>
      <c r="J76" s="454"/>
      <c r="K76" s="454"/>
      <c r="L76" s="454"/>
      <c r="M76" s="454"/>
      <c r="N76" s="454"/>
      <c r="O76" s="454"/>
      <c r="P76" s="454"/>
      <c r="Q76" s="454"/>
      <c r="R76" s="454"/>
      <c r="S76" s="454"/>
      <c r="T76" s="454" t="s">
        <v>1631</v>
      </c>
      <c r="U76" s="454"/>
      <c r="V76" s="454"/>
      <c r="W76" s="454"/>
      <c r="X76" s="454"/>
      <c r="Y76" s="454"/>
      <c r="Z76" s="454"/>
      <c r="AA76" s="454"/>
      <c r="AB76" s="454"/>
      <c r="AC76" s="454"/>
      <c r="AD76" s="454"/>
      <c r="AE76" s="454"/>
      <c r="AF76" s="454"/>
      <c r="AG76" s="454"/>
      <c r="AH76" s="454"/>
      <c r="AI76" s="454"/>
      <c r="AJ76" s="454"/>
      <c r="AK76" s="454"/>
      <c r="AL76" s="454"/>
      <c r="AM76" s="454"/>
      <c r="AN76" s="454"/>
      <c r="AO76" s="454"/>
      <c r="AP76" s="454"/>
      <c r="AQ76" s="454"/>
      <c r="AR76" s="454"/>
      <c r="AS76" s="454"/>
      <c r="AT76" s="454"/>
      <c r="AU76" s="454"/>
      <c r="AV76" s="454"/>
      <c r="AW76" s="454"/>
      <c r="AX76" s="454"/>
      <c r="AY76" s="454"/>
      <c r="AZ76" s="454"/>
      <c r="BA76" s="454"/>
      <c r="BB76" s="454"/>
      <c r="BC76" s="454"/>
      <c r="BD76" s="454"/>
      <c r="BE76" s="454"/>
      <c r="BF76" s="454"/>
      <c r="BG76" s="454"/>
      <c r="BH76" s="454"/>
      <c r="BI76" s="454"/>
      <c r="BJ76" s="454"/>
      <c r="BK76" s="454"/>
      <c r="BL76" s="454"/>
      <c r="BM76" s="454"/>
      <c r="BN76" s="454"/>
      <c r="BO76" s="454"/>
      <c r="BP76" s="454"/>
      <c r="BQ76" s="454"/>
      <c r="BR76" s="454"/>
      <c r="BS76" s="454"/>
      <c r="BT76" s="454"/>
      <c r="BU76" s="454"/>
      <c r="BV76" s="454"/>
      <c r="BW76" s="454"/>
      <c r="BX76" s="454"/>
      <c r="BY76" s="454"/>
      <c r="BZ76" s="454"/>
      <c r="CA76" s="454"/>
      <c r="CB76" s="454"/>
      <c r="CC76" s="454"/>
      <c r="CD76" s="454"/>
      <c r="CE76" s="454"/>
      <c r="CF76" s="454"/>
      <c r="CG76" s="454"/>
      <c r="CH76" s="454"/>
      <c r="CI76" s="454"/>
      <c r="CJ76" s="454"/>
      <c r="CK76" s="454"/>
      <c r="CL76" s="454"/>
      <c r="CM76" s="454"/>
      <c r="CN76" s="454"/>
      <c r="CO76" s="454"/>
      <c r="CP76" s="454">
        <v>1</v>
      </c>
      <c r="CQ76" s="454"/>
      <c r="CR76" s="454"/>
      <c r="CS76" s="454"/>
      <c r="CT76" s="454"/>
      <c r="CU76" s="454"/>
      <c r="CV76" s="517"/>
      <c r="CW76" s="695">
        <f t="shared" si="8"/>
        <v>45.6</v>
      </c>
      <c r="CX76" s="695"/>
      <c r="CY76" s="695"/>
      <c r="CZ76" s="695"/>
      <c r="DA76" s="695">
        <f t="shared" si="9"/>
        <v>91.2</v>
      </c>
      <c r="DB76" s="517"/>
      <c r="DC76" s="517"/>
      <c r="DD76" s="517"/>
      <c r="DE76" s="517"/>
      <c r="DF76" s="517"/>
      <c r="DG76" s="517"/>
      <c r="DH76" s="517"/>
      <c r="DI76" s="454"/>
      <c r="DJ76" s="454"/>
      <c r="DK76" s="454">
        <v>1</v>
      </c>
      <c r="DL76" s="454"/>
      <c r="DM76" s="454">
        <v>3</v>
      </c>
      <c r="DN76" s="454">
        <v>1</v>
      </c>
      <c r="DO76" s="454">
        <v>3</v>
      </c>
      <c r="DP76" s="454">
        <v>2</v>
      </c>
      <c r="DQ76" s="454"/>
      <c r="DR76" s="454"/>
      <c r="DS76" s="454"/>
      <c r="DT76" s="454"/>
      <c r="DU76" s="454"/>
      <c r="DV76" s="454"/>
      <c r="DW76" s="454"/>
      <c r="DX76" s="454"/>
      <c r="DY76" s="454"/>
      <c r="DZ76" s="454"/>
      <c r="EA76" s="454">
        <v>2</v>
      </c>
      <c r="EB76" s="454"/>
      <c r="EC76" s="454"/>
      <c r="ED76" s="454"/>
      <c r="EE76" s="454"/>
      <c r="EF76" s="454"/>
      <c r="EG76" s="454"/>
      <c r="EH76" s="454"/>
      <c r="EI76" s="454"/>
      <c r="EJ76" s="454"/>
      <c r="EK76" s="454"/>
      <c r="EL76" s="454"/>
      <c r="EM76" s="454"/>
      <c r="EN76" s="454"/>
      <c r="EO76" s="454"/>
      <c r="EP76" s="454"/>
      <c r="EQ76" s="454"/>
      <c r="ER76" s="454"/>
      <c r="ES76" s="454"/>
      <c r="ET76" s="454"/>
      <c r="EU76" s="454"/>
      <c r="EV76" s="454"/>
      <c r="EW76" s="454"/>
      <c r="EX76" s="454"/>
      <c r="EY76" s="454"/>
      <c r="EZ76" s="454"/>
      <c r="FA76" s="454"/>
      <c r="FB76" s="454"/>
      <c r="FC76" s="454"/>
      <c r="FD76" s="454"/>
      <c r="FE76" s="454"/>
      <c r="FF76" s="454"/>
      <c r="FG76" s="290"/>
    </row>
    <row r="77" spans="1:164" s="4" customFormat="1">
      <c r="A77" s="56"/>
      <c r="B77" s="56"/>
      <c r="C77" s="498" t="s">
        <v>3647</v>
      </c>
      <c r="D77" s="498"/>
      <c r="E77" s="454">
        <v>43.7</v>
      </c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 t="s">
        <v>1631</v>
      </c>
      <c r="U77" s="454"/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4"/>
      <c r="AG77" s="454"/>
      <c r="AH77" s="454"/>
      <c r="AI77" s="454"/>
      <c r="AJ77" s="454"/>
      <c r="AK77" s="454"/>
      <c r="AL77" s="454"/>
      <c r="AM77" s="454"/>
      <c r="AN77" s="454"/>
      <c r="AO77" s="454"/>
      <c r="AP77" s="454"/>
      <c r="AQ77" s="454"/>
      <c r="AR77" s="454"/>
      <c r="AS77" s="454"/>
      <c r="AT77" s="454"/>
      <c r="AU77" s="454"/>
      <c r="AV77" s="454"/>
      <c r="AW77" s="454"/>
      <c r="AX77" s="454"/>
      <c r="AY77" s="454"/>
      <c r="AZ77" s="454"/>
      <c r="BA77" s="454"/>
      <c r="BB77" s="454"/>
      <c r="BC77" s="454"/>
      <c r="BD77" s="454"/>
      <c r="BE77" s="454"/>
      <c r="BF77" s="454"/>
      <c r="BG77" s="454"/>
      <c r="BH77" s="454"/>
      <c r="BI77" s="454"/>
      <c r="BJ77" s="454"/>
      <c r="BK77" s="454"/>
      <c r="BL77" s="454"/>
      <c r="BM77" s="454"/>
      <c r="BN77" s="454"/>
      <c r="BO77" s="454"/>
      <c r="BP77" s="454"/>
      <c r="BQ77" s="454"/>
      <c r="BR77" s="454"/>
      <c r="BS77" s="454"/>
      <c r="BT77" s="454"/>
      <c r="BU77" s="454"/>
      <c r="BV77" s="454"/>
      <c r="BW77" s="454"/>
      <c r="BX77" s="454"/>
      <c r="BY77" s="454"/>
      <c r="BZ77" s="454"/>
      <c r="CA77" s="454"/>
      <c r="CB77" s="454"/>
      <c r="CC77" s="454"/>
      <c r="CD77" s="454"/>
      <c r="CE77" s="454"/>
      <c r="CF77" s="454"/>
      <c r="CG77" s="454"/>
      <c r="CH77" s="454"/>
      <c r="CI77" s="454"/>
      <c r="CJ77" s="454"/>
      <c r="CK77" s="454"/>
      <c r="CL77" s="454"/>
      <c r="CM77" s="454"/>
      <c r="CN77" s="454"/>
      <c r="CO77" s="454"/>
      <c r="CP77" s="454"/>
      <c r="CQ77" s="454"/>
      <c r="CR77" s="454"/>
      <c r="CS77" s="454"/>
      <c r="CT77" s="454"/>
      <c r="CU77" s="454"/>
      <c r="CV77" s="517"/>
      <c r="CW77" s="695">
        <f t="shared" si="8"/>
        <v>43.7</v>
      </c>
      <c r="CX77" s="695"/>
      <c r="CY77" s="695"/>
      <c r="CZ77" s="695"/>
      <c r="DA77" s="695">
        <f t="shared" si="9"/>
        <v>87.4</v>
      </c>
      <c r="DB77" s="517"/>
      <c r="DC77" s="517"/>
      <c r="DD77" s="517"/>
      <c r="DE77" s="517"/>
      <c r="DF77" s="517"/>
      <c r="DG77" s="517"/>
      <c r="DH77" s="517"/>
      <c r="DI77" s="454"/>
      <c r="DJ77" s="454"/>
      <c r="DK77" s="454">
        <v>1</v>
      </c>
      <c r="DL77" s="454"/>
      <c r="DM77" s="454">
        <v>3</v>
      </c>
      <c r="DN77" s="454">
        <v>1</v>
      </c>
      <c r="DO77" s="454">
        <v>3</v>
      </c>
      <c r="DP77" s="454">
        <v>2</v>
      </c>
      <c r="DQ77" s="454"/>
      <c r="DR77" s="454"/>
      <c r="DS77" s="454"/>
      <c r="DT77" s="454"/>
      <c r="DU77" s="454"/>
      <c r="DV77" s="454"/>
      <c r="DW77" s="454"/>
      <c r="DX77" s="454"/>
      <c r="DY77" s="454"/>
      <c r="DZ77" s="454"/>
      <c r="EA77" s="454">
        <v>2</v>
      </c>
      <c r="EB77" s="454"/>
      <c r="EC77" s="454"/>
      <c r="ED77" s="454"/>
      <c r="EE77" s="454"/>
      <c r="EF77" s="454"/>
      <c r="EG77" s="454"/>
      <c r="EH77" s="454"/>
      <c r="EI77" s="454"/>
      <c r="EJ77" s="454"/>
      <c r="EK77" s="454"/>
      <c r="EL77" s="454"/>
      <c r="EM77" s="454"/>
      <c r="EN77" s="454"/>
      <c r="EO77" s="454"/>
      <c r="EP77" s="454"/>
      <c r="EQ77" s="454"/>
      <c r="ER77" s="454"/>
      <c r="ES77" s="454"/>
      <c r="ET77" s="454"/>
      <c r="EU77" s="454"/>
      <c r="EV77" s="454"/>
      <c r="EW77" s="454"/>
      <c r="EX77" s="454"/>
      <c r="EY77" s="454"/>
      <c r="EZ77" s="454"/>
      <c r="FA77" s="454"/>
      <c r="FB77" s="454"/>
      <c r="FC77" s="454"/>
      <c r="FD77" s="454"/>
      <c r="FE77" s="454"/>
      <c r="FF77" s="454"/>
      <c r="FG77" s="290"/>
    </row>
    <row r="78" spans="1:164" s="4" customFormat="1">
      <c r="A78" s="56"/>
      <c r="B78" s="56"/>
      <c r="C78" s="498" t="s">
        <v>3648</v>
      </c>
      <c r="D78" s="498"/>
      <c r="E78" s="454">
        <v>48.5</v>
      </c>
      <c r="F78" s="454"/>
      <c r="G78" s="454"/>
      <c r="H78" s="454"/>
      <c r="I78" s="454"/>
      <c r="J78" s="454"/>
      <c r="K78" s="454"/>
      <c r="L78" s="454"/>
      <c r="M78" s="454"/>
      <c r="N78" s="454"/>
      <c r="O78" s="454"/>
      <c r="P78" s="454"/>
      <c r="Q78" s="454"/>
      <c r="R78" s="454"/>
      <c r="S78" s="454"/>
      <c r="T78" s="454" t="s">
        <v>2989</v>
      </c>
      <c r="U78" s="454"/>
      <c r="V78" s="454"/>
      <c r="W78" s="454"/>
      <c r="X78" s="454"/>
      <c r="Y78" s="454"/>
      <c r="Z78" s="454"/>
      <c r="AA78" s="454"/>
      <c r="AB78" s="454"/>
      <c r="AC78" s="454"/>
      <c r="AD78" s="454"/>
      <c r="AE78" s="454"/>
      <c r="AF78" s="454"/>
      <c r="AG78" s="454"/>
      <c r="AH78" s="454"/>
      <c r="AI78" s="454"/>
      <c r="AJ78" s="454"/>
      <c r="AK78" s="454"/>
      <c r="AL78" s="454"/>
      <c r="AM78" s="454"/>
      <c r="AN78" s="454"/>
      <c r="AO78" s="454"/>
      <c r="AP78" s="454"/>
      <c r="AQ78" s="454"/>
      <c r="AR78" s="454"/>
      <c r="AS78" s="454"/>
      <c r="AT78" s="454"/>
      <c r="AU78" s="454"/>
      <c r="AV78" s="454"/>
      <c r="AW78" s="454"/>
      <c r="AX78" s="454"/>
      <c r="AY78" s="454"/>
      <c r="AZ78" s="454"/>
      <c r="BA78" s="454"/>
      <c r="BB78" s="454"/>
      <c r="BC78" s="454"/>
      <c r="BD78" s="454"/>
      <c r="BE78" s="454"/>
      <c r="BF78" s="454"/>
      <c r="BG78" s="454"/>
      <c r="BH78" s="454"/>
      <c r="BI78" s="454"/>
      <c r="BJ78" s="454"/>
      <c r="BK78" s="454"/>
      <c r="BL78" s="454"/>
      <c r="BM78" s="454"/>
      <c r="BN78" s="454"/>
      <c r="BO78" s="454"/>
      <c r="BP78" s="454"/>
      <c r="BQ78" s="454"/>
      <c r="BR78" s="454"/>
      <c r="BS78" s="454"/>
      <c r="BT78" s="454"/>
      <c r="BU78" s="454"/>
      <c r="BV78" s="454"/>
      <c r="BW78" s="454"/>
      <c r="BX78" s="454"/>
      <c r="BY78" s="454"/>
      <c r="BZ78" s="454"/>
      <c r="CA78" s="454"/>
      <c r="CB78" s="454"/>
      <c r="CC78" s="454"/>
      <c r="CD78" s="454"/>
      <c r="CE78" s="454"/>
      <c r="CF78" s="454"/>
      <c r="CG78" s="454"/>
      <c r="CH78" s="454"/>
      <c r="CI78" s="454"/>
      <c r="CJ78" s="454"/>
      <c r="CK78" s="454"/>
      <c r="CL78" s="454"/>
      <c r="CM78" s="454"/>
      <c r="CN78" s="454"/>
      <c r="CO78" s="454"/>
      <c r="CP78" s="454">
        <v>1</v>
      </c>
      <c r="CQ78" s="454"/>
      <c r="CR78" s="454"/>
      <c r="CS78" s="454"/>
      <c r="CT78" s="454"/>
      <c r="CU78" s="454"/>
      <c r="CV78" s="517"/>
      <c r="CW78" s="695">
        <f t="shared" si="8"/>
        <v>48.5</v>
      </c>
      <c r="CX78" s="695"/>
      <c r="CY78" s="695"/>
      <c r="CZ78" s="695"/>
      <c r="DA78" s="695">
        <f t="shared" si="9"/>
        <v>97</v>
      </c>
      <c r="DB78" s="517"/>
      <c r="DC78" s="517"/>
      <c r="DD78" s="517"/>
      <c r="DE78" s="517"/>
      <c r="DF78" s="517"/>
      <c r="DG78" s="517"/>
      <c r="DH78" s="517"/>
      <c r="DI78" s="454"/>
      <c r="DJ78" s="454"/>
      <c r="DK78" s="454">
        <v>2</v>
      </c>
      <c r="DL78" s="454"/>
      <c r="DM78" s="454">
        <v>6</v>
      </c>
      <c r="DN78" s="454">
        <v>1</v>
      </c>
      <c r="DO78" s="454">
        <v>3</v>
      </c>
      <c r="DP78" s="454">
        <v>2</v>
      </c>
      <c r="DQ78" s="454"/>
      <c r="DR78" s="454"/>
      <c r="DS78" s="454"/>
      <c r="DT78" s="454"/>
      <c r="DU78" s="454">
        <v>12</v>
      </c>
      <c r="DV78" s="454">
        <v>2</v>
      </c>
      <c r="DW78" s="454"/>
      <c r="DX78" s="454"/>
      <c r="DY78" s="454"/>
      <c r="DZ78" s="454"/>
      <c r="EA78" s="454">
        <v>2</v>
      </c>
      <c r="EB78" s="454"/>
      <c r="EC78" s="454"/>
      <c r="ED78" s="454"/>
      <c r="EE78" s="454"/>
      <c r="EF78" s="454"/>
      <c r="EG78" s="454"/>
      <c r="EH78" s="454"/>
      <c r="EI78" s="454"/>
      <c r="EJ78" s="454"/>
      <c r="EK78" s="454"/>
      <c r="EL78" s="454"/>
      <c r="EM78" s="454"/>
      <c r="EN78" s="454"/>
      <c r="EO78" s="454"/>
      <c r="EP78" s="454"/>
      <c r="EQ78" s="454"/>
      <c r="ER78" s="454"/>
      <c r="ES78" s="454"/>
      <c r="ET78" s="454"/>
      <c r="EU78" s="454"/>
      <c r="EV78" s="454"/>
      <c r="EW78" s="454"/>
      <c r="EX78" s="454"/>
      <c r="EY78" s="454"/>
      <c r="EZ78" s="454"/>
      <c r="FA78" s="454"/>
      <c r="FB78" s="454"/>
      <c r="FC78" s="454"/>
      <c r="FD78" s="454"/>
      <c r="FE78" s="454"/>
      <c r="FF78" s="454"/>
      <c r="FG78" s="290"/>
    </row>
    <row r="79" spans="1:164" s="4" customFormat="1">
      <c r="A79" s="56"/>
      <c r="B79" s="56"/>
      <c r="C79" s="498" t="s">
        <v>3649</v>
      </c>
      <c r="D79" s="498"/>
      <c r="E79" s="454">
        <v>46.6</v>
      </c>
      <c r="F79" s="454"/>
      <c r="G79" s="454"/>
      <c r="H79" s="454"/>
      <c r="I79" s="454"/>
      <c r="J79" s="454"/>
      <c r="K79" s="454"/>
      <c r="L79" s="454"/>
      <c r="M79" s="454"/>
      <c r="N79" s="454"/>
      <c r="O79" s="454"/>
      <c r="P79" s="454"/>
      <c r="Q79" s="454"/>
      <c r="R79" s="454"/>
      <c r="S79" s="454"/>
      <c r="T79" s="454" t="s">
        <v>1903</v>
      </c>
      <c r="U79" s="454"/>
      <c r="V79" s="454"/>
      <c r="W79" s="454"/>
      <c r="X79" s="454"/>
      <c r="Y79" s="454"/>
      <c r="Z79" s="454"/>
      <c r="AA79" s="454"/>
      <c r="AB79" s="454"/>
      <c r="AC79" s="454"/>
      <c r="AD79" s="454"/>
      <c r="AE79" s="454"/>
      <c r="AF79" s="454"/>
      <c r="AG79" s="454"/>
      <c r="AH79" s="454"/>
      <c r="AI79" s="454"/>
      <c r="AJ79" s="454"/>
      <c r="AK79" s="454"/>
      <c r="AL79" s="454"/>
      <c r="AM79" s="454"/>
      <c r="AN79" s="454"/>
      <c r="AO79" s="454"/>
      <c r="AP79" s="454"/>
      <c r="AQ79" s="454"/>
      <c r="AR79" s="454"/>
      <c r="AS79" s="454"/>
      <c r="AT79" s="454"/>
      <c r="AU79" s="454"/>
      <c r="AV79" s="454"/>
      <c r="AW79" s="454"/>
      <c r="AX79" s="454"/>
      <c r="AY79" s="454"/>
      <c r="AZ79" s="454"/>
      <c r="BA79" s="454"/>
      <c r="BB79" s="454"/>
      <c r="BC79" s="454"/>
      <c r="BD79" s="454"/>
      <c r="BE79" s="454"/>
      <c r="BF79" s="454"/>
      <c r="BG79" s="454"/>
      <c r="BH79" s="454"/>
      <c r="BI79" s="454"/>
      <c r="BJ79" s="454"/>
      <c r="BK79" s="454"/>
      <c r="BL79" s="454"/>
      <c r="BM79" s="454"/>
      <c r="BN79" s="454"/>
      <c r="BO79" s="454"/>
      <c r="BP79" s="454"/>
      <c r="BQ79" s="454"/>
      <c r="BR79" s="454"/>
      <c r="BS79" s="454"/>
      <c r="BT79" s="454"/>
      <c r="BU79" s="454"/>
      <c r="BV79" s="454"/>
      <c r="BW79" s="454"/>
      <c r="BX79" s="454"/>
      <c r="BY79" s="454"/>
      <c r="BZ79" s="454"/>
      <c r="CA79" s="454"/>
      <c r="CB79" s="454"/>
      <c r="CC79" s="454"/>
      <c r="CD79" s="454"/>
      <c r="CE79" s="454"/>
      <c r="CF79" s="454"/>
      <c r="CG79" s="454"/>
      <c r="CH79" s="454"/>
      <c r="CI79" s="454"/>
      <c r="CJ79" s="454"/>
      <c r="CK79" s="454"/>
      <c r="CL79" s="454"/>
      <c r="CM79" s="454"/>
      <c r="CN79" s="454"/>
      <c r="CO79" s="454"/>
      <c r="CP79" s="454"/>
      <c r="CQ79" s="454"/>
      <c r="CR79" s="454"/>
      <c r="CS79" s="454"/>
      <c r="CT79" s="454"/>
      <c r="CU79" s="454"/>
      <c r="CV79" s="517"/>
      <c r="CW79" s="695">
        <f t="shared" si="8"/>
        <v>46.6</v>
      </c>
      <c r="CX79" s="695"/>
      <c r="CY79" s="695"/>
      <c r="CZ79" s="695"/>
      <c r="DA79" s="695">
        <f t="shared" si="9"/>
        <v>93.2</v>
      </c>
      <c r="DB79" s="517"/>
      <c r="DC79" s="517"/>
      <c r="DD79" s="517"/>
      <c r="DE79" s="517"/>
      <c r="DF79" s="517"/>
      <c r="DG79" s="517"/>
      <c r="DH79" s="517"/>
      <c r="DI79" s="454"/>
      <c r="DJ79" s="454"/>
      <c r="DK79" s="454">
        <v>1</v>
      </c>
      <c r="DL79" s="454"/>
      <c r="DM79" s="454">
        <v>3</v>
      </c>
      <c r="DN79" s="454">
        <v>1</v>
      </c>
      <c r="DO79" s="454">
        <v>3</v>
      </c>
      <c r="DP79" s="454">
        <v>2</v>
      </c>
      <c r="DQ79" s="454"/>
      <c r="DR79" s="454"/>
      <c r="DS79" s="454"/>
      <c r="DT79" s="454"/>
      <c r="DU79" s="454"/>
      <c r="DV79" s="454"/>
      <c r="DW79" s="454"/>
      <c r="DX79" s="454"/>
      <c r="DY79" s="454"/>
      <c r="DZ79" s="454"/>
      <c r="EA79" s="454">
        <v>2</v>
      </c>
      <c r="EB79" s="454"/>
      <c r="EC79" s="454"/>
      <c r="ED79" s="454"/>
      <c r="EE79" s="454"/>
      <c r="EF79" s="454"/>
      <c r="EG79" s="454"/>
      <c r="EH79" s="454"/>
      <c r="EI79" s="454"/>
      <c r="EJ79" s="454"/>
      <c r="EK79" s="454"/>
      <c r="EL79" s="454"/>
      <c r="EM79" s="454"/>
      <c r="EN79" s="454"/>
      <c r="EO79" s="454"/>
      <c r="EP79" s="454"/>
      <c r="EQ79" s="454"/>
      <c r="ER79" s="454"/>
      <c r="ES79" s="454"/>
      <c r="ET79" s="454"/>
      <c r="EU79" s="454"/>
      <c r="EV79" s="454"/>
      <c r="EW79" s="454"/>
      <c r="EX79" s="454"/>
      <c r="EY79" s="454"/>
      <c r="EZ79" s="454"/>
      <c r="FA79" s="454"/>
      <c r="FB79" s="454"/>
      <c r="FC79" s="454"/>
      <c r="FD79" s="454"/>
      <c r="FE79" s="454"/>
      <c r="FF79" s="454"/>
      <c r="FG79" s="290"/>
    </row>
    <row r="80" spans="1:164" s="4" customFormat="1">
      <c r="A80" s="56"/>
      <c r="B80" s="56"/>
      <c r="C80" s="498" t="s">
        <v>3650</v>
      </c>
      <c r="D80" s="498"/>
      <c r="E80" s="454">
        <v>44</v>
      </c>
      <c r="F80" s="454"/>
      <c r="G80" s="454"/>
      <c r="H80" s="454"/>
      <c r="I80" s="454"/>
      <c r="J80" s="454"/>
      <c r="K80" s="454"/>
      <c r="L80" s="454"/>
      <c r="M80" s="454"/>
      <c r="N80" s="454"/>
      <c r="O80" s="454"/>
      <c r="P80" s="454"/>
      <c r="Q80" s="454"/>
      <c r="R80" s="454"/>
      <c r="S80" s="454"/>
      <c r="T80" s="454" t="s">
        <v>1631</v>
      </c>
      <c r="U80" s="454"/>
      <c r="V80" s="454"/>
      <c r="W80" s="454"/>
      <c r="X80" s="454"/>
      <c r="Y80" s="454"/>
      <c r="Z80" s="454"/>
      <c r="AA80" s="454"/>
      <c r="AB80" s="454"/>
      <c r="AC80" s="454"/>
      <c r="AD80" s="454"/>
      <c r="AE80" s="454"/>
      <c r="AF80" s="454"/>
      <c r="AG80" s="454"/>
      <c r="AH80" s="454"/>
      <c r="AI80" s="454"/>
      <c r="AJ80" s="454"/>
      <c r="AK80" s="454"/>
      <c r="AL80" s="454"/>
      <c r="AM80" s="454"/>
      <c r="AN80" s="454"/>
      <c r="AO80" s="454"/>
      <c r="AP80" s="454"/>
      <c r="AQ80" s="454"/>
      <c r="AR80" s="454"/>
      <c r="AS80" s="454"/>
      <c r="AT80" s="454"/>
      <c r="AU80" s="454"/>
      <c r="AV80" s="454"/>
      <c r="AW80" s="454"/>
      <c r="AX80" s="454"/>
      <c r="AY80" s="454"/>
      <c r="AZ80" s="454"/>
      <c r="BA80" s="454"/>
      <c r="BB80" s="454"/>
      <c r="BC80" s="454"/>
      <c r="BD80" s="454"/>
      <c r="BE80" s="454"/>
      <c r="BF80" s="454"/>
      <c r="BG80" s="454"/>
      <c r="BH80" s="454"/>
      <c r="BI80" s="454"/>
      <c r="BJ80" s="454"/>
      <c r="BK80" s="454"/>
      <c r="BL80" s="454"/>
      <c r="BM80" s="454"/>
      <c r="BN80" s="454"/>
      <c r="BO80" s="454"/>
      <c r="BP80" s="454"/>
      <c r="BQ80" s="454"/>
      <c r="BR80" s="454"/>
      <c r="BS80" s="454"/>
      <c r="BT80" s="454"/>
      <c r="BU80" s="454"/>
      <c r="BV80" s="454"/>
      <c r="BW80" s="454"/>
      <c r="BX80" s="454"/>
      <c r="BY80" s="454"/>
      <c r="BZ80" s="454"/>
      <c r="CA80" s="454"/>
      <c r="CB80" s="454"/>
      <c r="CC80" s="454"/>
      <c r="CD80" s="454"/>
      <c r="CE80" s="454"/>
      <c r="CF80" s="454"/>
      <c r="CG80" s="454"/>
      <c r="CH80" s="454"/>
      <c r="CI80" s="454"/>
      <c r="CJ80" s="454"/>
      <c r="CK80" s="454"/>
      <c r="CL80" s="454"/>
      <c r="CM80" s="454"/>
      <c r="CN80" s="454"/>
      <c r="CO80" s="454"/>
      <c r="CP80" s="454"/>
      <c r="CQ80" s="454"/>
      <c r="CR80" s="454"/>
      <c r="CS80" s="454"/>
      <c r="CT80" s="454"/>
      <c r="CU80" s="454"/>
      <c r="CV80" s="517"/>
      <c r="CW80" s="695">
        <f t="shared" si="8"/>
        <v>44</v>
      </c>
      <c r="CX80" s="695"/>
      <c r="CY80" s="695"/>
      <c r="CZ80" s="695"/>
      <c r="DA80" s="695">
        <f t="shared" si="9"/>
        <v>88</v>
      </c>
      <c r="DB80" s="517"/>
      <c r="DC80" s="517"/>
      <c r="DD80" s="517"/>
      <c r="DE80" s="517"/>
      <c r="DF80" s="517"/>
      <c r="DG80" s="517"/>
      <c r="DH80" s="517"/>
      <c r="DI80" s="454"/>
      <c r="DJ80" s="454"/>
      <c r="DK80" s="454">
        <v>1</v>
      </c>
      <c r="DL80" s="454"/>
      <c r="DM80" s="454">
        <v>3</v>
      </c>
      <c r="DN80" s="454">
        <v>1</v>
      </c>
      <c r="DO80" s="454">
        <v>3</v>
      </c>
      <c r="DP80" s="454">
        <v>2</v>
      </c>
      <c r="DQ80" s="454"/>
      <c r="DR80" s="454"/>
      <c r="DS80" s="454"/>
      <c r="DT80" s="454"/>
      <c r="DU80" s="454"/>
      <c r="DV80" s="454"/>
      <c r="DW80" s="454"/>
      <c r="DX80" s="454"/>
      <c r="DY80" s="454"/>
      <c r="DZ80" s="454"/>
      <c r="EA80" s="454">
        <v>2</v>
      </c>
      <c r="EB80" s="454"/>
      <c r="EC80" s="454"/>
      <c r="ED80" s="454"/>
      <c r="EE80" s="454"/>
      <c r="EF80" s="454"/>
      <c r="EG80" s="454"/>
      <c r="EH80" s="454"/>
      <c r="EI80" s="454"/>
      <c r="EJ80" s="454"/>
      <c r="EK80" s="454"/>
      <c r="EL80" s="454"/>
      <c r="EM80" s="454"/>
      <c r="EN80" s="454"/>
      <c r="EO80" s="454"/>
      <c r="EP80" s="454"/>
      <c r="EQ80" s="454"/>
      <c r="ER80" s="454"/>
      <c r="ES80" s="454"/>
      <c r="ET80" s="454"/>
      <c r="EU80" s="454"/>
      <c r="EV80" s="454"/>
      <c r="EW80" s="454"/>
      <c r="EX80" s="454"/>
      <c r="EY80" s="454"/>
      <c r="EZ80" s="454"/>
      <c r="FA80" s="454"/>
      <c r="FB80" s="454"/>
      <c r="FC80" s="454"/>
      <c r="FD80" s="454"/>
      <c r="FE80" s="454"/>
      <c r="FF80" s="454"/>
      <c r="FG80" s="290"/>
    </row>
    <row r="81" spans="1:167" s="4" customFormat="1">
      <c r="A81" s="56"/>
      <c r="B81" s="56"/>
      <c r="C81" s="498" t="s">
        <v>3651</v>
      </c>
      <c r="D81" s="498"/>
      <c r="E81" s="454">
        <v>47.8</v>
      </c>
      <c r="F81" s="454"/>
      <c r="G81" s="454"/>
      <c r="H81" s="454"/>
      <c r="I81" s="454"/>
      <c r="J81" s="454"/>
      <c r="K81" s="454"/>
      <c r="L81" s="454"/>
      <c r="M81" s="454"/>
      <c r="N81" s="454"/>
      <c r="O81" s="454"/>
      <c r="P81" s="454"/>
      <c r="Q81" s="454"/>
      <c r="R81" s="454"/>
      <c r="S81" s="454"/>
      <c r="T81" s="454" t="s">
        <v>1631</v>
      </c>
      <c r="U81" s="454"/>
      <c r="V81" s="454"/>
      <c r="W81" s="454"/>
      <c r="X81" s="454"/>
      <c r="Y81" s="454"/>
      <c r="Z81" s="454"/>
      <c r="AA81" s="454"/>
      <c r="AB81" s="454"/>
      <c r="AC81" s="454"/>
      <c r="AD81" s="454"/>
      <c r="AE81" s="454"/>
      <c r="AF81" s="454"/>
      <c r="AG81" s="454"/>
      <c r="AH81" s="454"/>
      <c r="AI81" s="454"/>
      <c r="AJ81" s="454"/>
      <c r="AK81" s="454"/>
      <c r="AL81" s="454"/>
      <c r="AM81" s="454"/>
      <c r="AN81" s="454"/>
      <c r="AO81" s="454"/>
      <c r="AP81" s="454"/>
      <c r="AQ81" s="454"/>
      <c r="AR81" s="454"/>
      <c r="AS81" s="454"/>
      <c r="AT81" s="454"/>
      <c r="AU81" s="454"/>
      <c r="AV81" s="454"/>
      <c r="AW81" s="454"/>
      <c r="AX81" s="454"/>
      <c r="AY81" s="454"/>
      <c r="AZ81" s="454"/>
      <c r="BA81" s="454"/>
      <c r="BB81" s="454"/>
      <c r="BC81" s="454"/>
      <c r="BD81" s="454"/>
      <c r="BE81" s="454"/>
      <c r="BF81" s="454"/>
      <c r="BG81" s="454"/>
      <c r="BH81" s="454"/>
      <c r="BI81" s="454"/>
      <c r="BJ81" s="454"/>
      <c r="BK81" s="454"/>
      <c r="BL81" s="454"/>
      <c r="BM81" s="454"/>
      <c r="BN81" s="454"/>
      <c r="BO81" s="454"/>
      <c r="BP81" s="454"/>
      <c r="BQ81" s="454"/>
      <c r="BR81" s="454"/>
      <c r="BS81" s="454"/>
      <c r="BT81" s="454"/>
      <c r="BU81" s="454"/>
      <c r="BV81" s="454"/>
      <c r="BW81" s="454"/>
      <c r="BX81" s="454"/>
      <c r="BY81" s="454"/>
      <c r="BZ81" s="454"/>
      <c r="CA81" s="454"/>
      <c r="CB81" s="454"/>
      <c r="CC81" s="454"/>
      <c r="CD81" s="454"/>
      <c r="CE81" s="454"/>
      <c r="CF81" s="454"/>
      <c r="CG81" s="454"/>
      <c r="CH81" s="454"/>
      <c r="CI81" s="454"/>
      <c r="CJ81" s="454"/>
      <c r="CK81" s="454"/>
      <c r="CL81" s="454"/>
      <c r="CM81" s="454"/>
      <c r="CN81" s="454"/>
      <c r="CO81" s="454"/>
      <c r="CP81" s="454"/>
      <c r="CQ81" s="454"/>
      <c r="CR81" s="454"/>
      <c r="CS81" s="454"/>
      <c r="CT81" s="454"/>
      <c r="CU81" s="454"/>
      <c r="CV81" s="517"/>
      <c r="CW81" s="695">
        <f t="shared" si="8"/>
        <v>47.8</v>
      </c>
      <c r="CX81" s="695"/>
      <c r="CY81" s="695"/>
      <c r="CZ81" s="695"/>
      <c r="DA81" s="695">
        <f t="shared" si="9"/>
        <v>95.6</v>
      </c>
      <c r="DB81" s="517"/>
      <c r="DC81" s="517"/>
      <c r="DD81" s="517"/>
      <c r="DE81" s="517"/>
      <c r="DF81" s="517"/>
      <c r="DG81" s="517"/>
      <c r="DH81" s="517"/>
      <c r="DI81" s="454"/>
      <c r="DJ81" s="454"/>
      <c r="DK81" s="454">
        <v>1</v>
      </c>
      <c r="DL81" s="454"/>
      <c r="DM81" s="454">
        <v>3</v>
      </c>
      <c r="DN81" s="454">
        <v>1</v>
      </c>
      <c r="DO81" s="454">
        <v>3</v>
      </c>
      <c r="DP81" s="454">
        <v>2</v>
      </c>
      <c r="DQ81" s="454"/>
      <c r="DR81" s="454"/>
      <c r="DS81" s="454"/>
      <c r="DT81" s="454"/>
      <c r="DU81" s="454"/>
      <c r="DV81" s="454"/>
      <c r="DW81" s="454"/>
      <c r="DX81" s="454"/>
      <c r="DY81" s="454"/>
      <c r="DZ81" s="454"/>
      <c r="EA81" s="454">
        <v>2</v>
      </c>
      <c r="EB81" s="454"/>
      <c r="EC81" s="454"/>
      <c r="ED81" s="454"/>
      <c r="EE81" s="454"/>
      <c r="EF81" s="454"/>
      <c r="EG81" s="454"/>
      <c r="EH81" s="454"/>
      <c r="EI81" s="454"/>
      <c r="EJ81" s="454"/>
      <c r="EK81" s="454"/>
      <c r="EL81" s="454"/>
      <c r="EM81" s="454"/>
      <c r="EN81" s="454"/>
      <c r="EO81" s="454"/>
      <c r="EP81" s="454"/>
      <c r="EQ81" s="454"/>
      <c r="ER81" s="454"/>
      <c r="ES81" s="454"/>
      <c r="ET81" s="454"/>
      <c r="EU81" s="454"/>
      <c r="EV81" s="454"/>
      <c r="EW81" s="454"/>
      <c r="EX81" s="454"/>
      <c r="EY81" s="454"/>
      <c r="EZ81" s="454"/>
      <c r="FA81" s="454"/>
      <c r="FB81" s="454"/>
      <c r="FC81" s="454"/>
      <c r="FD81" s="454"/>
      <c r="FE81" s="454"/>
      <c r="FF81" s="454"/>
      <c r="FG81" s="290"/>
    </row>
    <row r="82" spans="1:167" s="4" customFormat="1">
      <c r="A82" s="56"/>
      <c r="B82" s="56"/>
      <c r="C82" s="498" t="s">
        <v>3652</v>
      </c>
      <c r="D82" s="498"/>
      <c r="E82" s="454">
        <v>45.3</v>
      </c>
      <c r="F82" s="454"/>
      <c r="G82" s="454"/>
      <c r="H82" s="454"/>
      <c r="I82" s="454"/>
      <c r="J82" s="454"/>
      <c r="K82" s="454"/>
      <c r="L82" s="454"/>
      <c r="M82" s="454"/>
      <c r="N82" s="454"/>
      <c r="O82" s="454"/>
      <c r="P82" s="454"/>
      <c r="Q82" s="454"/>
      <c r="R82" s="454"/>
      <c r="S82" s="454"/>
      <c r="T82" s="454" t="s">
        <v>1631</v>
      </c>
      <c r="U82" s="454"/>
      <c r="V82" s="454"/>
      <c r="W82" s="454"/>
      <c r="X82" s="454"/>
      <c r="Y82" s="454"/>
      <c r="Z82" s="454"/>
      <c r="AA82" s="454"/>
      <c r="AB82" s="454"/>
      <c r="AC82" s="454"/>
      <c r="AD82" s="454"/>
      <c r="AE82" s="454"/>
      <c r="AF82" s="454"/>
      <c r="AG82" s="454"/>
      <c r="AH82" s="454"/>
      <c r="AI82" s="454"/>
      <c r="AJ82" s="454"/>
      <c r="AK82" s="454"/>
      <c r="AL82" s="454"/>
      <c r="AM82" s="454"/>
      <c r="AN82" s="454"/>
      <c r="AO82" s="454"/>
      <c r="AP82" s="454"/>
      <c r="AQ82" s="454"/>
      <c r="AR82" s="454"/>
      <c r="AS82" s="454"/>
      <c r="AT82" s="454"/>
      <c r="AU82" s="454"/>
      <c r="AV82" s="454"/>
      <c r="AW82" s="454"/>
      <c r="AX82" s="454"/>
      <c r="AY82" s="454"/>
      <c r="AZ82" s="454"/>
      <c r="BA82" s="454"/>
      <c r="BB82" s="454"/>
      <c r="BC82" s="454"/>
      <c r="BD82" s="454"/>
      <c r="BE82" s="454"/>
      <c r="BF82" s="454"/>
      <c r="BG82" s="454"/>
      <c r="BH82" s="454"/>
      <c r="BI82" s="454"/>
      <c r="BJ82" s="454"/>
      <c r="BK82" s="454"/>
      <c r="BL82" s="454"/>
      <c r="BM82" s="454"/>
      <c r="BN82" s="454"/>
      <c r="BO82" s="454"/>
      <c r="BP82" s="454"/>
      <c r="BQ82" s="454"/>
      <c r="BR82" s="454"/>
      <c r="BS82" s="454"/>
      <c r="BT82" s="454"/>
      <c r="BU82" s="454"/>
      <c r="BV82" s="454"/>
      <c r="BW82" s="454"/>
      <c r="BX82" s="454"/>
      <c r="BY82" s="454"/>
      <c r="BZ82" s="454"/>
      <c r="CA82" s="454"/>
      <c r="CB82" s="454"/>
      <c r="CC82" s="454"/>
      <c r="CD82" s="454"/>
      <c r="CE82" s="454"/>
      <c r="CF82" s="454"/>
      <c r="CG82" s="454"/>
      <c r="CH82" s="454"/>
      <c r="CI82" s="454"/>
      <c r="CJ82" s="454"/>
      <c r="CK82" s="454"/>
      <c r="CL82" s="454"/>
      <c r="CM82" s="454"/>
      <c r="CN82" s="454"/>
      <c r="CO82" s="454"/>
      <c r="CP82" s="454"/>
      <c r="CQ82" s="454"/>
      <c r="CR82" s="454"/>
      <c r="CS82" s="454"/>
      <c r="CT82" s="454"/>
      <c r="CU82" s="454"/>
      <c r="CV82" s="517"/>
      <c r="CW82" s="695">
        <f t="shared" si="8"/>
        <v>45.3</v>
      </c>
      <c r="CX82" s="695"/>
      <c r="CY82" s="695"/>
      <c r="CZ82" s="695"/>
      <c r="DA82" s="695">
        <f t="shared" si="9"/>
        <v>90.6</v>
      </c>
      <c r="DB82" s="517"/>
      <c r="DC82" s="517"/>
      <c r="DD82" s="517"/>
      <c r="DE82" s="517"/>
      <c r="DF82" s="517"/>
      <c r="DG82" s="517"/>
      <c r="DH82" s="517"/>
      <c r="DI82" s="454"/>
      <c r="DJ82" s="454"/>
      <c r="DK82" s="454">
        <v>1</v>
      </c>
      <c r="DL82" s="454"/>
      <c r="DM82" s="454">
        <v>3</v>
      </c>
      <c r="DN82" s="454">
        <v>1</v>
      </c>
      <c r="DO82" s="454">
        <v>3</v>
      </c>
      <c r="DP82" s="454">
        <v>3</v>
      </c>
      <c r="DQ82" s="454"/>
      <c r="DR82" s="454"/>
      <c r="DS82" s="454"/>
      <c r="DT82" s="454"/>
      <c r="DU82" s="454"/>
      <c r="DV82" s="454"/>
      <c r="DW82" s="454"/>
      <c r="DX82" s="454"/>
      <c r="DY82" s="454"/>
      <c r="DZ82" s="454"/>
      <c r="EA82" s="454">
        <v>3</v>
      </c>
      <c r="EB82" s="454"/>
      <c r="EC82" s="454"/>
      <c r="ED82" s="454"/>
      <c r="EE82" s="454"/>
      <c r="EF82" s="454"/>
      <c r="EG82" s="454"/>
      <c r="EH82" s="454"/>
      <c r="EI82" s="454"/>
      <c r="EJ82" s="454"/>
      <c r="EK82" s="454"/>
      <c r="EL82" s="454"/>
      <c r="EM82" s="454"/>
      <c r="EN82" s="454"/>
      <c r="EO82" s="454"/>
      <c r="EP82" s="454"/>
      <c r="EQ82" s="454"/>
      <c r="ER82" s="454"/>
      <c r="ES82" s="454"/>
      <c r="ET82" s="454"/>
      <c r="EU82" s="454"/>
      <c r="EV82" s="454"/>
      <c r="EW82" s="454"/>
      <c r="EX82" s="454"/>
      <c r="EY82" s="454"/>
      <c r="EZ82" s="454"/>
      <c r="FA82" s="454"/>
      <c r="FB82" s="454"/>
      <c r="FC82" s="454"/>
      <c r="FD82" s="454"/>
      <c r="FE82" s="454"/>
      <c r="FF82" s="454"/>
      <c r="FG82" s="290"/>
    </row>
    <row r="83" spans="1:167" s="4" customFormat="1">
      <c r="A83" s="56"/>
      <c r="B83" s="56"/>
      <c r="C83" s="498" t="s">
        <v>3653</v>
      </c>
      <c r="D83" s="498"/>
      <c r="E83" s="454">
        <v>40</v>
      </c>
      <c r="F83" s="454"/>
      <c r="G83" s="454"/>
      <c r="H83" s="454"/>
      <c r="I83" s="454"/>
      <c r="J83" s="454"/>
      <c r="K83" s="454"/>
      <c r="L83" s="454"/>
      <c r="M83" s="454"/>
      <c r="N83" s="454"/>
      <c r="O83" s="454"/>
      <c r="P83" s="454"/>
      <c r="Q83" s="454"/>
      <c r="R83" s="454"/>
      <c r="S83" s="454"/>
      <c r="T83" s="454" t="s">
        <v>1903</v>
      </c>
      <c r="U83" s="454"/>
      <c r="V83" s="454"/>
      <c r="W83" s="454"/>
      <c r="X83" s="454"/>
      <c r="Y83" s="454"/>
      <c r="Z83" s="454"/>
      <c r="AA83" s="454"/>
      <c r="AB83" s="454"/>
      <c r="AC83" s="454"/>
      <c r="AD83" s="454"/>
      <c r="AE83" s="454"/>
      <c r="AF83" s="454"/>
      <c r="AG83" s="454"/>
      <c r="AH83" s="454"/>
      <c r="AI83" s="454"/>
      <c r="AJ83" s="454"/>
      <c r="AK83" s="454"/>
      <c r="AL83" s="454"/>
      <c r="AM83" s="454"/>
      <c r="AN83" s="454"/>
      <c r="AO83" s="454"/>
      <c r="AP83" s="454"/>
      <c r="AQ83" s="454"/>
      <c r="AR83" s="454"/>
      <c r="AS83" s="454"/>
      <c r="AT83" s="454"/>
      <c r="AU83" s="454"/>
      <c r="AV83" s="454"/>
      <c r="AW83" s="454"/>
      <c r="AX83" s="454"/>
      <c r="AY83" s="454"/>
      <c r="AZ83" s="454"/>
      <c r="BA83" s="454"/>
      <c r="BB83" s="454"/>
      <c r="BC83" s="454"/>
      <c r="BD83" s="454"/>
      <c r="BE83" s="454"/>
      <c r="BF83" s="454"/>
      <c r="BG83" s="454"/>
      <c r="BH83" s="454"/>
      <c r="BI83" s="454"/>
      <c r="BJ83" s="454"/>
      <c r="BK83" s="454"/>
      <c r="BL83" s="454"/>
      <c r="BM83" s="454"/>
      <c r="BN83" s="454"/>
      <c r="BO83" s="454"/>
      <c r="BP83" s="454"/>
      <c r="BQ83" s="454"/>
      <c r="BR83" s="454"/>
      <c r="BS83" s="454"/>
      <c r="BT83" s="454"/>
      <c r="BU83" s="454"/>
      <c r="BV83" s="454"/>
      <c r="BW83" s="454"/>
      <c r="BX83" s="454"/>
      <c r="BY83" s="454"/>
      <c r="BZ83" s="454"/>
      <c r="CA83" s="454"/>
      <c r="CB83" s="454"/>
      <c r="CC83" s="454"/>
      <c r="CD83" s="454"/>
      <c r="CE83" s="454"/>
      <c r="CF83" s="454"/>
      <c r="CG83" s="454"/>
      <c r="CH83" s="454"/>
      <c r="CI83" s="454"/>
      <c r="CJ83" s="454"/>
      <c r="CK83" s="454"/>
      <c r="CL83" s="454"/>
      <c r="CM83" s="454"/>
      <c r="CN83" s="454"/>
      <c r="CO83" s="454"/>
      <c r="CP83" s="454"/>
      <c r="CQ83" s="454"/>
      <c r="CR83" s="454"/>
      <c r="CS83" s="454"/>
      <c r="CT83" s="454"/>
      <c r="CU83" s="454"/>
      <c r="CV83" s="517"/>
      <c r="CW83" s="695">
        <f t="shared" si="8"/>
        <v>40</v>
      </c>
      <c r="CX83" s="695"/>
      <c r="CY83" s="695"/>
      <c r="CZ83" s="695"/>
      <c r="DA83" s="695">
        <f t="shared" si="9"/>
        <v>80</v>
      </c>
      <c r="DB83" s="517"/>
      <c r="DC83" s="517"/>
      <c r="DD83" s="517"/>
      <c r="DE83" s="517"/>
      <c r="DF83" s="517"/>
      <c r="DG83" s="517"/>
      <c r="DH83" s="517"/>
      <c r="DI83" s="454"/>
      <c r="DJ83" s="454"/>
      <c r="DK83" s="454">
        <v>1</v>
      </c>
      <c r="DL83" s="454"/>
      <c r="DM83" s="454">
        <v>3</v>
      </c>
      <c r="DN83" s="454">
        <v>1</v>
      </c>
      <c r="DO83" s="454">
        <v>3</v>
      </c>
      <c r="DP83" s="454">
        <v>2</v>
      </c>
      <c r="DQ83" s="454"/>
      <c r="DR83" s="454"/>
      <c r="DS83" s="454"/>
      <c r="DT83" s="454"/>
      <c r="DU83" s="454"/>
      <c r="DV83" s="454"/>
      <c r="DW83" s="454"/>
      <c r="DX83" s="454"/>
      <c r="DY83" s="454"/>
      <c r="DZ83" s="454"/>
      <c r="EA83" s="454">
        <v>1</v>
      </c>
      <c r="EB83" s="454"/>
      <c r="EC83" s="454"/>
      <c r="ED83" s="454"/>
      <c r="EE83" s="454"/>
      <c r="EF83" s="454"/>
      <c r="EG83" s="454"/>
      <c r="EH83" s="454"/>
      <c r="EI83" s="454"/>
      <c r="EJ83" s="454"/>
      <c r="EK83" s="454"/>
      <c r="EL83" s="454"/>
      <c r="EM83" s="454"/>
      <c r="EN83" s="454"/>
      <c r="EO83" s="454"/>
      <c r="EP83" s="454"/>
      <c r="EQ83" s="454"/>
      <c r="ER83" s="454"/>
      <c r="ES83" s="454"/>
      <c r="ET83" s="454"/>
      <c r="EU83" s="454"/>
      <c r="EV83" s="454"/>
      <c r="EW83" s="454"/>
      <c r="EX83" s="454"/>
      <c r="EY83" s="454"/>
      <c r="EZ83" s="454"/>
      <c r="FA83" s="454"/>
      <c r="FB83" s="454"/>
      <c r="FC83" s="454"/>
      <c r="FD83" s="454"/>
      <c r="FE83" s="454"/>
      <c r="FF83" s="454"/>
      <c r="FG83" s="290"/>
    </row>
    <row r="84" spans="1:167" s="4" customFormat="1">
      <c r="A84" s="56"/>
      <c r="B84" s="56"/>
      <c r="C84" s="498" t="s">
        <v>3654</v>
      </c>
      <c r="D84" s="498"/>
      <c r="E84" s="454">
        <v>45</v>
      </c>
      <c r="F84" s="454"/>
      <c r="G84" s="454"/>
      <c r="H84" s="454"/>
      <c r="I84" s="454"/>
      <c r="J84" s="454"/>
      <c r="K84" s="454"/>
      <c r="L84" s="454"/>
      <c r="M84" s="454"/>
      <c r="N84" s="454"/>
      <c r="O84" s="454"/>
      <c r="P84" s="454"/>
      <c r="Q84" s="454"/>
      <c r="R84" s="454"/>
      <c r="S84" s="454"/>
      <c r="T84" s="454" t="s">
        <v>1903</v>
      </c>
      <c r="U84" s="454"/>
      <c r="V84" s="454"/>
      <c r="W84" s="454"/>
      <c r="X84" s="454"/>
      <c r="Y84" s="454"/>
      <c r="Z84" s="454"/>
      <c r="AA84" s="454"/>
      <c r="AB84" s="454"/>
      <c r="AC84" s="454"/>
      <c r="AD84" s="454"/>
      <c r="AE84" s="454"/>
      <c r="AF84" s="454"/>
      <c r="AG84" s="454"/>
      <c r="AH84" s="454"/>
      <c r="AI84" s="454"/>
      <c r="AJ84" s="454"/>
      <c r="AK84" s="454"/>
      <c r="AL84" s="454"/>
      <c r="AM84" s="454"/>
      <c r="AN84" s="454"/>
      <c r="AO84" s="454"/>
      <c r="AP84" s="454"/>
      <c r="AQ84" s="454"/>
      <c r="AR84" s="454"/>
      <c r="AS84" s="454"/>
      <c r="AT84" s="454"/>
      <c r="AU84" s="454"/>
      <c r="AV84" s="454"/>
      <c r="AW84" s="454"/>
      <c r="AX84" s="454"/>
      <c r="AY84" s="454"/>
      <c r="AZ84" s="454"/>
      <c r="BA84" s="454"/>
      <c r="BB84" s="454"/>
      <c r="BC84" s="454"/>
      <c r="BD84" s="454"/>
      <c r="BE84" s="454"/>
      <c r="BF84" s="454"/>
      <c r="BG84" s="454"/>
      <c r="BH84" s="454"/>
      <c r="BI84" s="454"/>
      <c r="BJ84" s="454"/>
      <c r="BK84" s="454"/>
      <c r="BL84" s="454"/>
      <c r="BM84" s="454"/>
      <c r="BN84" s="454"/>
      <c r="BO84" s="454"/>
      <c r="BP84" s="454"/>
      <c r="BQ84" s="454"/>
      <c r="BR84" s="454"/>
      <c r="BS84" s="454"/>
      <c r="BT84" s="454"/>
      <c r="BU84" s="454"/>
      <c r="BV84" s="454"/>
      <c r="BW84" s="454"/>
      <c r="BX84" s="454"/>
      <c r="BY84" s="454"/>
      <c r="BZ84" s="454"/>
      <c r="CA84" s="454"/>
      <c r="CB84" s="454"/>
      <c r="CC84" s="454"/>
      <c r="CD84" s="454"/>
      <c r="CE84" s="454"/>
      <c r="CF84" s="454"/>
      <c r="CG84" s="454"/>
      <c r="CH84" s="454"/>
      <c r="CI84" s="454"/>
      <c r="CJ84" s="454"/>
      <c r="CK84" s="454"/>
      <c r="CL84" s="454"/>
      <c r="CM84" s="454"/>
      <c r="CN84" s="454"/>
      <c r="CO84" s="454"/>
      <c r="CP84" s="454"/>
      <c r="CQ84" s="454"/>
      <c r="CR84" s="454"/>
      <c r="CS84" s="454"/>
      <c r="CT84" s="454"/>
      <c r="CU84" s="454"/>
      <c r="CV84" s="517"/>
      <c r="CW84" s="695">
        <f t="shared" si="8"/>
        <v>45</v>
      </c>
      <c r="CX84" s="695"/>
      <c r="CY84" s="695"/>
      <c r="CZ84" s="695"/>
      <c r="DA84" s="695">
        <f t="shared" si="9"/>
        <v>90</v>
      </c>
      <c r="DB84" s="517"/>
      <c r="DC84" s="517"/>
      <c r="DD84" s="517"/>
      <c r="DE84" s="517"/>
      <c r="DF84" s="517"/>
      <c r="DG84" s="517"/>
      <c r="DH84" s="517"/>
      <c r="DI84" s="454"/>
      <c r="DJ84" s="454"/>
      <c r="DK84" s="454">
        <v>1</v>
      </c>
      <c r="DL84" s="454"/>
      <c r="DM84" s="454">
        <v>3</v>
      </c>
      <c r="DN84" s="454">
        <v>1</v>
      </c>
      <c r="DO84" s="454">
        <v>3</v>
      </c>
      <c r="DP84" s="454">
        <v>3</v>
      </c>
      <c r="DQ84" s="454"/>
      <c r="DR84" s="454"/>
      <c r="DS84" s="454"/>
      <c r="DT84" s="454"/>
      <c r="DU84" s="454"/>
      <c r="DV84" s="454"/>
      <c r="DW84" s="454"/>
      <c r="DX84" s="454"/>
      <c r="DY84" s="454"/>
      <c r="DZ84" s="454"/>
      <c r="EA84" s="454">
        <v>2</v>
      </c>
      <c r="EB84" s="454"/>
      <c r="EC84" s="454"/>
      <c r="ED84" s="454"/>
      <c r="EE84" s="454"/>
      <c r="EF84" s="454"/>
      <c r="EG84" s="454"/>
      <c r="EH84" s="454"/>
      <c r="EI84" s="454"/>
      <c r="EJ84" s="454"/>
      <c r="EK84" s="454"/>
      <c r="EL84" s="454"/>
      <c r="EM84" s="454"/>
      <c r="EN84" s="454"/>
      <c r="EO84" s="454"/>
      <c r="EP84" s="454"/>
      <c r="EQ84" s="454"/>
      <c r="ER84" s="454"/>
      <c r="ES84" s="454"/>
      <c r="ET84" s="454"/>
      <c r="EU84" s="454"/>
      <c r="EV84" s="454"/>
      <c r="EW84" s="454"/>
      <c r="EX84" s="454"/>
      <c r="EY84" s="454"/>
      <c r="EZ84" s="454"/>
      <c r="FA84" s="454"/>
      <c r="FB84" s="454"/>
      <c r="FC84" s="454"/>
      <c r="FD84" s="454"/>
      <c r="FE84" s="454"/>
      <c r="FF84" s="454"/>
      <c r="FG84" s="290"/>
    </row>
    <row r="85" spans="1:167" s="4" customFormat="1">
      <c r="A85" s="56"/>
      <c r="B85" s="56"/>
      <c r="C85" s="498" t="s">
        <v>3655</v>
      </c>
      <c r="D85" s="498"/>
      <c r="E85" s="454">
        <v>44.5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454"/>
      <c r="T85" s="454" t="s">
        <v>1903</v>
      </c>
      <c r="U85" s="454"/>
      <c r="V85" s="454"/>
      <c r="W85" s="454"/>
      <c r="X85" s="454"/>
      <c r="Y85" s="454"/>
      <c r="Z85" s="454"/>
      <c r="AA85" s="454"/>
      <c r="AB85" s="454"/>
      <c r="AC85" s="454"/>
      <c r="AD85" s="454"/>
      <c r="AE85" s="454"/>
      <c r="AF85" s="454"/>
      <c r="AG85" s="454"/>
      <c r="AH85" s="454"/>
      <c r="AI85" s="454"/>
      <c r="AJ85" s="454"/>
      <c r="AK85" s="454"/>
      <c r="AL85" s="454"/>
      <c r="AM85" s="454"/>
      <c r="AN85" s="454"/>
      <c r="AO85" s="454"/>
      <c r="AP85" s="454"/>
      <c r="AQ85" s="454"/>
      <c r="AR85" s="454"/>
      <c r="AS85" s="454"/>
      <c r="AT85" s="454"/>
      <c r="AU85" s="454"/>
      <c r="AV85" s="454"/>
      <c r="AW85" s="454"/>
      <c r="AX85" s="454"/>
      <c r="AY85" s="454"/>
      <c r="AZ85" s="454"/>
      <c r="BA85" s="454"/>
      <c r="BB85" s="454"/>
      <c r="BC85" s="454"/>
      <c r="BD85" s="454"/>
      <c r="BE85" s="454"/>
      <c r="BF85" s="454"/>
      <c r="BG85" s="454"/>
      <c r="BH85" s="454"/>
      <c r="BI85" s="454"/>
      <c r="BJ85" s="454"/>
      <c r="BK85" s="454"/>
      <c r="BL85" s="454"/>
      <c r="BM85" s="454"/>
      <c r="BN85" s="454"/>
      <c r="BO85" s="454"/>
      <c r="BP85" s="454"/>
      <c r="BQ85" s="454"/>
      <c r="BR85" s="454"/>
      <c r="BS85" s="454"/>
      <c r="BT85" s="454"/>
      <c r="BU85" s="454"/>
      <c r="BV85" s="454"/>
      <c r="BW85" s="454"/>
      <c r="BX85" s="454"/>
      <c r="BY85" s="454"/>
      <c r="BZ85" s="454"/>
      <c r="CA85" s="454"/>
      <c r="CB85" s="454"/>
      <c r="CC85" s="454"/>
      <c r="CD85" s="454"/>
      <c r="CE85" s="454"/>
      <c r="CF85" s="454"/>
      <c r="CG85" s="454"/>
      <c r="CH85" s="454"/>
      <c r="CI85" s="454"/>
      <c r="CJ85" s="454"/>
      <c r="CK85" s="454"/>
      <c r="CL85" s="454"/>
      <c r="CM85" s="454"/>
      <c r="CN85" s="454"/>
      <c r="CO85" s="454"/>
      <c r="CP85" s="454"/>
      <c r="CQ85" s="454"/>
      <c r="CR85" s="454"/>
      <c r="CS85" s="454"/>
      <c r="CT85" s="454"/>
      <c r="CU85" s="454"/>
      <c r="CV85" s="517"/>
      <c r="CW85" s="695">
        <f t="shared" si="8"/>
        <v>44.5</v>
      </c>
      <c r="CX85" s="695"/>
      <c r="CY85" s="695"/>
      <c r="CZ85" s="695"/>
      <c r="DA85" s="695">
        <f t="shared" si="9"/>
        <v>89</v>
      </c>
      <c r="DB85" s="517"/>
      <c r="DC85" s="517"/>
      <c r="DD85" s="517"/>
      <c r="DE85" s="517"/>
      <c r="DF85" s="517"/>
      <c r="DG85" s="517"/>
      <c r="DH85" s="517"/>
      <c r="DI85" s="454"/>
      <c r="DJ85" s="454"/>
      <c r="DK85" s="454">
        <v>1</v>
      </c>
      <c r="DL85" s="454"/>
      <c r="DM85" s="454">
        <v>3</v>
      </c>
      <c r="DN85" s="454">
        <v>1</v>
      </c>
      <c r="DO85" s="454">
        <v>3</v>
      </c>
      <c r="DP85" s="454">
        <v>3</v>
      </c>
      <c r="DQ85" s="454"/>
      <c r="DR85" s="454"/>
      <c r="DS85" s="454"/>
      <c r="DT85" s="454"/>
      <c r="DU85" s="454"/>
      <c r="DV85" s="454"/>
      <c r="DW85" s="454"/>
      <c r="DX85" s="454"/>
      <c r="DY85" s="454"/>
      <c r="DZ85" s="454"/>
      <c r="EA85" s="454">
        <v>2</v>
      </c>
      <c r="EB85" s="454"/>
      <c r="EC85" s="454"/>
      <c r="ED85" s="454"/>
      <c r="EE85" s="454"/>
      <c r="EF85" s="454"/>
      <c r="EG85" s="454"/>
      <c r="EH85" s="454"/>
      <c r="EI85" s="454"/>
      <c r="EJ85" s="454"/>
      <c r="EK85" s="454"/>
      <c r="EL85" s="454"/>
      <c r="EM85" s="454"/>
      <c r="EN85" s="454"/>
      <c r="EO85" s="454"/>
      <c r="EP85" s="454"/>
      <c r="EQ85" s="454"/>
      <c r="ER85" s="454"/>
      <c r="ES85" s="454"/>
      <c r="ET85" s="454"/>
      <c r="EU85" s="454"/>
      <c r="EV85" s="454"/>
      <c r="EW85" s="454"/>
      <c r="EX85" s="454"/>
      <c r="EY85" s="454"/>
      <c r="EZ85" s="454"/>
      <c r="FA85" s="454"/>
      <c r="FB85" s="454"/>
      <c r="FC85" s="454"/>
      <c r="FD85" s="454"/>
      <c r="FE85" s="454"/>
      <c r="FF85" s="454"/>
      <c r="FG85" s="290"/>
    </row>
    <row r="86" spans="1:167" s="4" customFormat="1">
      <c r="A86" s="56"/>
      <c r="B86" s="56"/>
      <c r="C86" s="498" t="s">
        <v>3656</v>
      </c>
      <c r="D86" s="498"/>
      <c r="E86" s="454">
        <v>40.6</v>
      </c>
      <c r="F86" s="454"/>
      <c r="G86" s="454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454"/>
      <c r="T86" s="454" t="s">
        <v>2990</v>
      </c>
      <c r="U86" s="454"/>
      <c r="V86" s="454"/>
      <c r="W86" s="454"/>
      <c r="X86" s="454"/>
      <c r="Y86" s="454"/>
      <c r="Z86" s="454"/>
      <c r="AA86" s="454"/>
      <c r="AB86" s="454"/>
      <c r="AC86" s="454"/>
      <c r="AD86" s="454"/>
      <c r="AE86" s="454"/>
      <c r="AF86" s="454"/>
      <c r="AG86" s="454"/>
      <c r="AH86" s="454"/>
      <c r="AI86" s="454"/>
      <c r="AJ86" s="454"/>
      <c r="AK86" s="454"/>
      <c r="AL86" s="454"/>
      <c r="AM86" s="454"/>
      <c r="AN86" s="454"/>
      <c r="AO86" s="454"/>
      <c r="AP86" s="454"/>
      <c r="AQ86" s="454"/>
      <c r="AR86" s="454"/>
      <c r="AS86" s="454"/>
      <c r="AT86" s="454"/>
      <c r="AU86" s="454"/>
      <c r="AV86" s="454"/>
      <c r="AW86" s="454"/>
      <c r="AX86" s="454"/>
      <c r="AY86" s="454"/>
      <c r="AZ86" s="454"/>
      <c r="BA86" s="454"/>
      <c r="BB86" s="454"/>
      <c r="BC86" s="454"/>
      <c r="BD86" s="454"/>
      <c r="BE86" s="454"/>
      <c r="BF86" s="454"/>
      <c r="BG86" s="454"/>
      <c r="BH86" s="454"/>
      <c r="BI86" s="454"/>
      <c r="BJ86" s="454"/>
      <c r="BK86" s="454"/>
      <c r="BL86" s="454"/>
      <c r="BM86" s="454"/>
      <c r="BN86" s="454"/>
      <c r="BO86" s="454"/>
      <c r="BP86" s="454"/>
      <c r="BQ86" s="454"/>
      <c r="BR86" s="454"/>
      <c r="BS86" s="454"/>
      <c r="BT86" s="454"/>
      <c r="BU86" s="454"/>
      <c r="BV86" s="454"/>
      <c r="BW86" s="454"/>
      <c r="BX86" s="454"/>
      <c r="BY86" s="454"/>
      <c r="BZ86" s="454"/>
      <c r="CA86" s="454"/>
      <c r="CB86" s="454"/>
      <c r="CC86" s="454"/>
      <c r="CD86" s="454"/>
      <c r="CE86" s="454"/>
      <c r="CF86" s="454"/>
      <c r="CG86" s="454"/>
      <c r="CH86" s="454"/>
      <c r="CI86" s="454"/>
      <c r="CJ86" s="454"/>
      <c r="CK86" s="454"/>
      <c r="CL86" s="454"/>
      <c r="CM86" s="454"/>
      <c r="CN86" s="454"/>
      <c r="CO86" s="454"/>
      <c r="CP86" s="454"/>
      <c r="CQ86" s="454"/>
      <c r="CR86" s="454"/>
      <c r="CS86" s="454"/>
      <c r="CT86" s="454"/>
      <c r="CU86" s="454"/>
      <c r="CV86" s="517"/>
      <c r="CW86" s="695">
        <f t="shared" si="8"/>
        <v>40.6</v>
      </c>
      <c r="CX86" s="695"/>
      <c r="CY86" s="695"/>
      <c r="CZ86" s="695"/>
      <c r="DA86" s="695">
        <f t="shared" si="9"/>
        <v>81.2</v>
      </c>
      <c r="DB86" s="517"/>
      <c r="DC86" s="517"/>
      <c r="DD86" s="517"/>
      <c r="DE86" s="517"/>
      <c r="DF86" s="517"/>
      <c r="DG86" s="517"/>
      <c r="DH86" s="517"/>
      <c r="DI86" s="454"/>
      <c r="DJ86" s="454"/>
      <c r="DK86" s="454">
        <v>1</v>
      </c>
      <c r="DL86" s="454"/>
      <c r="DM86" s="454">
        <v>3</v>
      </c>
      <c r="DN86" s="454">
        <v>1</v>
      </c>
      <c r="DO86" s="454">
        <v>3</v>
      </c>
      <c r="DP86" s="454">
        <v>2</v>
      </c>
      <c r="DQ86" s="454"/>
      <c r="DR86" s="454"/>
      <c r="DS86" s="454"/>
      <c r="DT86" s="454"/>
      <c r="DU86" s="454"/>
      <c r="DV86" s="454"/>
      <c r="DW86" s="454"/>
      <c r="DX86" s="454"/>
      <c r="DY86" s="454"/>
      <c r="DZ86" s="454"/>
      <c r="EA86" s="454">
        <v>2</v>
      </c>
      <c r="EB86" s="454"/>
      <c r="EC86" s="454"/>
      <c r="ED86" s="454"/>
      <c r="EE86" s="454"/>
      <c r="EF86" s="454"/>
      <c r="EG86" s="454"/>
      <c r="EH86" s="454"/>
      <c r="EI86" s="454"/>
      <c r="EJ86" s="454"/>
      <c r="EK86" s="454"/>
      <c r="EL86" s="454"/>
      <c r="EM86" s="454"/>
      <c r="EN86" s="454"/>
      <c r="EO86" s="454"/>
      <c r="EP86" s="454"/>
      <c r="EQ86" s="454"/>
      <c r="ER86" s="454"/>
      <c r="ES86" s="454"/>
      <c r="ET86" s="454"/>
      <c r="EU86" s="454"/>
      <c r="EV86" s="454"/>
      <c r="EW86" s="454"/>
      <c r="EX86" s="454"/>
      <c r="EY86" s="454"/>
      <c r="EZ86" s="454"/>
      <c r="FA86" s="454"/>
      <c r="FB86" s="454"/>
      <c r="FC86" s="454"/>
      <c r="FD86" s="454"/>
      <c r="FE86" s="454"/>
      <c r="FF86" s="454"/>
      <c r="FG86" s="290"/>
    </row>
    <row r="87" spans="1:167" s="4" customFormat="1">
      <c r="A87" s="56"/>
      <c r="B87" s="56"/>
      <c r="C87" s="498"/>
      <c r="D87" s="498"/>
      <c r="E87" s="454"/>
      <c r="F87" s="454"/>
      <c r="G87" s="454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454"/>
      <c r="T87" s="454"/>
      <c r="U87" s="454"/>
      <c r="V87" s="454"/>
      <c r="W87" s="454"/>
      <c r="X87" s="454"/>
      <c r="Y87" s="454"/>
      <c r="Z87" s="454"/>
      <c r="AA87" s="454"/>
      <c r="AB87" s="454"/>
      <c r="AC87" s="454"/>
      <c r="AD87" s="454"/>
      <c r="AE87" s="454"/>
      <c r="AF87" s="454"/>
      <c r="AG87" s="454"/>
      <c r="AH87" s="454"/>
      <c r="AI87" s="454"/>
      <c r="AJ87" s="454"/>
      <c r="AK87" s="454"/>
      <c r="AL87" s="454"/>
      <c r="AM87" s="454"/>
      <c r="AN87" s="454"/>
      <c r="AO87" s="454"/>
      <c r="AP87" s="454"/>
      <c r="AQ87" s="454"/>
      <c r="AR87" s="454"/>
      <c r="AS87" s="454"/>
      <c r="AT87" s="454"/>
      <c r="AU87" s="454"/>
      <c r="AV87" s="454"/>
      <c r="AW87" s="454"/>
      <c r="AX87" s="454"/>
      <c r="AY87" s="454"/>
      <c r="AZ87" s="454"/>
      <c r="BA87" s="454"/>
      <c r="BB87" s="454"/>
      <c r="BC87" s="454"/>
      <c r="BD87" s="454"/>
      <c r="BE87" s="454"/>
      <c r="BF87" s="454"/>
      <c r="BG87" s="454"/>
      <c r="BH87" s="454"/>
      <c r="BI87" s="454"/>
      <c r="BJ87" s="454"/>
      <c r="BK87" s="454"/>
      <c r="BL87" s="454"/>
      <c r="BM87" s="454"/>
      <c r="BN87" s="454"/>
      <c r="BO87" s="454"/>
      <c r="BP87" s="454"/>
      <c r="BQ87" s="454"/>
      <c r="BR87" s="454"/>
      <c r="BS87" s="454"/>
      <c r="BT87" s="454"/>
      <c r="BU87" s="454"/>
      <c r="BV87" s="454"/>
      <c r="BW87" s="454"/>
      <c r="BX87" s="454"/>
      <c r="BY87" s="454"/>
      <c r="BZ87" s="454"/>
      <c r="CA87" s="454"/>
      <c r="CB87" s="454"/>
      <c r="CC87" s="454"/>
      <c r="CD87" s="454"/>
      <c r="CE87" s="454"/>
      <c r="CF87" s="454"/>
      <c r="CG87" s="454"/>
      <c r="CH87" s="454"/>
      <c r="CI87" s="454"/>
      <c r="CJ87" s="454"/>
      <c r="CK87" s="454"/>
      <c r="CL87" s="454"/>
      <c r="CM87" s="454"/>
      <c r="CN87" s="454"/>
      <c r="CO87" s="454"/>
      <c r="CP87" s="454"/>
      <c r="CQ87" s="454"/>
      <c r="CR87" s="454"/>
      <c r="CS87" s="454"/>
      <c r="CT87" s="454"/>
      <c r="CU87" s="454"/>
      <c r="CV87" s="517"/>
      <c r="CW87" s="695">
        <f>E87</f>
        <v>0</v>
      </c>
      <c r="CX87" s="695"/>
      <c r="CY87" s="695"/>
      <c r="CZ87" s="695"/>
      <c r="DA87" s="695">
        <f>E87*2</f>
        <v>0</v>
      </c>
      <c r="DB87" s="517"/>
      <c r="DC87" s="517"/>
      <c r="DD87" s="517"/>
      <c r="DE87" s="517"/>
      <c r="DF87" s="517"/>
      <c r="DG87" s="517"/>
      <c r="DH87" s="517"/>
      <c r="DI87" s="454"/>
      <c r="DJ87" s="454"/>
      <c r="DK87" s="454"/>
      <c r="DL87" s="454"/>
      <c r="DM87" s="454"/>
      <c r="DN87" s="454"/>
      <c r="DO87" s="454"/>
      <c r="DP87" s="454"/>
      <c r="DQ87" s="454"/>
      <c r="DR87" s="454"/>
      <c r="DS87" s="454"/>
      <c r="DT87" s="454"/>
      <c r="DU87" s="454"/>
      <c r="DV87" s="454"/>
      <c r="DW87" s="454"/>
      <c r="DX87" s="454"/>
      <c r="DY87" s="454"/>
      <c r="DZ87" s="454"/>
      <c r="EA87" s="454"/>
      <c r="EB87" s="454"/>
      <c r="EC87" s="454"/>
      <c r="ED87" s="454"/>
      <c r="EE87" s="454"/>
      <c r="EF87" s="454"/>
      <c r="EG87" s="454"/>
      <c r="EH87" s="454"/>
      <c r="EI87" s="454"/>
      <c r="EJ87" s="454"/>
      <c r="EK87" s="454"/>
      <c r="EL87" s="454"/>
      <c r="EM87" s="454"/>
      <c r="EN87" s="454"/>
      <c r="EO87" s="454"/>
      <c r="EP87" s="454"/>
      <c r="EQ87" s="454"/>
      <c r="ER87" s="454"/>
      <c r="ES87" s="454"/>
      <c r="ET87" s="454"/>
      <c r="EU87" s="454"/>
      <c r="EV87" s="454"/>
      <c r="EW87" s="454"/>
      <c r="EX87" s="454"/>
      <c r="EY87" s="454"/>
      <c r="EZ87" s="454"/>
      <c r="FA87" s="454"/>
      <c r="FB87" s="454"/>
      <c r="FC87" s="454"/>
      <c r="FD87" s="454"/>
      <c r="FE87" s="454"/>
      <c r="FF87" s="454"/>
      <c r="FG87" s="290"/>
    </row>
    <row r="88" spans="1:167" s="4" customFormat="1">
      <c r="A88" s="56"/>
      <c r="B88" s="56"/>
      <c r="C88" s="498" t="s">
        <v>3657</v>
      </c>
      <c r="D88" s="506"/>
      <c r="E88" s="454">
        <v>26</v>
      </c>
      <c r="F88" s="454"/>
      <c r="G88" s="454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454"/>
      <c r="T88" s="454" t="s">
        <v>1631</v>
      </c>
      <c r="U88" s="454"/>
      <c r="V88" s="454"/>
      <c r="W88" s="454"/>
      <c r="X88" s="454"/>
      <c r="Y88" s="454"/>
      <c r="Z88" s="454"/>
      <c r="AA88" s="454"/>
      <c r="AB88" s="454"/>
      <c r="AC88" s="454"/>
      <c r="AD88" s="454"/>
      <c r="AE88" s="454"/>
      <c r="AF88" s="454"/>
      <c r="AG88" s="454"/>
      <c r="AH88" s="454"/>
      <c r="AI88" s="454"/>
      <c r="AJ88" s="454"/>
      <c r="AK88" s="454"/>
      <c r="AL88" s="454"/>
      <c r="AM88" s="454"/>
      <c r="AN88" s="454"/>
      <c r="AO88" s="454"/>
      <c r="AP88" s="454"/>
      <c r="AQ88" s="454"/>
      <c r="AR88" s="454"/>
      <c r="AS88" s="454"/>
      <c r="AT88" s="454"/>
      <c r="AU88" s="454"/>
      <c r="AV88" s="454"/>
      <c r="AW88" s="454"/>
      <c r="AX88" s="454"/>
      <c r="AY88" s="454"/>
      <c r="AZ88" s="454"/>
      <c r="BA88" s="454"/>
      <c r="BB88" s="454"/>
      <c r="BC88" s="454"/>
      <c r="BD88" s="454"/>
      <c r="BE88" s="454"/>
      <c r="BF88" s="454"/>
      <c r="BG88" s="454"/>
      <c r="BH88" s="454"/>
      <c r="BI88" s="454"/>
      <c r="BJ88" s="454"/>
      <c r="BK88" s="454"/>
      <c r="BL88" s="454"/>
      <c r="BM88" s="454"/>
      <c r="BN88" s="454"/>
      <c r="BO88" s="454"/>
      <c r="BP88" s="454"/>
      <c r="BQ88" s="454"/>
      <c r="BR88" s="454"/>
      <c r="BS88" s="454"/>
      <c r="BT88" s="454"/>
      <c r="BU88" s="454"/>
      <c r="BV88" s="454"/>
      <c r="BW88" s="454"/>
      <c r="BX88" s="454"/>
      <c r="BY88" s="454"/>
      <c r="BZ88" s="454"/>
      <c r="CA88" s="454"/>
      <c r="CB88" s="454"/>
      <c r="CC88" s="454"/>
      <c r="CD88" s="454"/>
      <c r="CE88" s="454"/>
      <c r="CF88" s="454"/>
      <c r="CG88" s="454"/>
      <c r="CH88" s="454"/>
      <c r="CI88" s="454"/>
      <c r="CJ88" s="454"/>
      <c r="CK88" s="454"/>
      <c r="CL88" s="454"/>
      <c r="CM88" s="454"/>
      <c r="CN88" s="454"/>
      <c r="CO88" s="454"/>
      <c r="CP88" s="454"/>
      <c r="CQ88" s="454"/>
      <c r="CR88" s="454"/>
      <c r="CS88" s="454"/>
      <c r="CT88" s="454"/>
      <c r="CU88" s="454"/>
      <c r="CV88" s="517"/>
      <c r="CW88" s="695">
        <f>E88</f>
        <v>26</v>
      </c>
      <c r="CX88" s="695"/>
      <c r="CY88" s="695"/>
      <c r="CZ88" s="695"/>
      <c r="DA88" s="695">
        <f>E88*2</f>
        <v>52</v>
      </c>
      <c r="DB88" s="517"/>
      <c r="DC88" s="517"/>
      <c r="DD88" s="517"/>
      <c r="DE88" s="517"/>
      <c r="DF88" s="517"/>
      <c r="DG88" s="517"/>
      <c r="DH88" s="517"/>
      <c r="DI88" s="454"/>
      <c r="DJ88" s="454"/>
      <c r="DK88" s="454">
        <v>1</v>
      </c>
      <c r="DL88" s="454"/>
      <c r="DM88" s="454">
        <v>3</v>
      </c>
      <c r="DN88" s="454">
        <v>1</v>
      </c>
      <c r="DO88" s="454">
        <v>3</v>
      </c>
      <c r="DP88" s="454">
        <v>3</v>
      </c>
      <c r="DQ88" s="454"/>
      <c r="DR88" s="454"/>
      <c r="DS88" s="454">
        <v>3</v>
      </c>
      <c r="DT88" s="454"/>
      <c r="DU88" s="454"/>
      <c r="DV88" s="454"/>
      <c r="DW88" s="454"/>
      <c r="DX88" s="454"/>
      <c r="DY88" s="454"/>
      <c r="DZ88" s="454"/>
      <c r="EA88" s="454">
        <v>2</v>
      </c>
      <c r="EB88" s="454"/>
      <c r="EC88" s="454"/>
      <c r="ED88" s="454"/>
      <c r="EE88" s="454"/>
      <c r="EF88" s="454"/>
      <c r="EG88" s="454"/>
      <c r="EH88" s="454"/>
      <c r="EI88" s="454"/>
      <c r="EJ88" s="454"/>
      <c r="EK88" s="454"/>
      <c r="EL88" s="454"/>
      <c r="EM88" s="454"/>
      <c r="EN88" s="454"/>
      <c r="EO88" s="454"/>
      <c r="EP88" s="454"/>
      <c r="EQ88" s="454"/>
      <c r="ER88" s="454"/>
      <c r="ES88" s="454"/>
      <c r="ET88" s="454"/>
      <c r="EU88" s="454"/>
      <c r="EV88" s="454"/>
      <c r="EW88" s="454"/>
      <c r="EX88" s="454"/>
      <c r="EY88" s="454"/>
      <c r="EZ88" s="454"/>
      <c r="FA88" s="454"/>
      <c r="FB88" s="454"/>
      <c r="FC88" s="454"/>
      <c r="FD88" s="454"/>
      <c r="FE88" s="454"/>
      <c r="FF88" s="454"/>
      <c r="FG88" s="290"/>
    </row>
    <row r="89" spans="1:167" s="4" customFormat="1">
      <c r="A89" s="56"/>
      <c r="B89" s="56"/>
      <c r="C89" s="498"/>
      <c r="D89" s="498" t="s">
        <v>3658</v>
      </c>
      <c r="E89" s="454">
        <v>41.8</v>
      </c>
      <c r="F89" s="454"/>
      <c r="G89" s="454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454"/>
      <c r="T89" s="454" t="s">
        <v>2990</v>
      </c>
      <c r="U89" s="454"/>
      <c r="V89" s="454"/>
      <c r="W89" s="454"/>
      <c r="X89" s="454"/>
      <c r="Y89" s="454"/>
      <c r="Z89" s="454"/>
      <c r="AA89" s="454"/>
      <c r="AB89" s="454"/>
      <c r="AC89" s="454"/>
      <c r="AD89" s="454"/>
      <c r="AE89" s="454"/>
      <c r="AF89" s="454"/>
      <c r="AG89" s="454"/>
      <c r="AH89" s="454"/>
      <c r="AI89" s="454"/>
      <c r="AJ89" s="454"/>
      <c r="AK89" s="454"/>
      <c r="AL89" s="454"/>
      <c r="AM89" s="454"/>
      <c r="AN89" s="454"/>
      <c r="AO89" s="454"/>
      <c r="AP89" s="454"/>
      <c r="AQ89" s="454"/>
      <c r="AR89" s="454"/>
      <c r="AS89" s="454"/>
      <c r="AT89" s="454"/>
      <c r="AU89" s="454"/>
      <c r="AV89" s="454"/>
      <c r="AW89" s="454"/>
      <c r="AX89" s="454"/>
      <c r="AY89" s="454"/>
      <c r="AZ89" s="454"/>
      <c r="BA89" s="454"/>
      <c r="BB89" s="454"/>
      <c r="BC89" s="454"/>
      <c r="BD89" s="454"/>
      <c r="BE89" s="454"/>
      <c r="BF89" s="454"/>
      <c r="BG89" s="454"/>
      <c r="BH89" s="454"/>
      <c r="BI89" s="454"/>
      <c r="BJ89" s="454"/>
      <c r="BK89" s="454"/>
      <c r="BL89" s="454"/>
      <c r="BM89" s="454"/>
      <c r="BN89" s="454"/>
      <c r="BO89" s="454"/>
      <c r="BP89" s="454"/>
      <c r="BQ89" s="454"/>
      <c r="BR89" s="454"/>
      <c r="BS89" s="454"/>
      <c r="BT89" s="454"/>
      <c r="BU89" s="454"/>
      <c r="BV89" s="454"/>
      <c r="BW89" s="454"/>
      <c r="BX89" s="454"/>
      <c r="BY89" s="454"/>
      <c r="BZ89" s="454"/>
      <c r="CA89" s="454"/>
      <c r="CB89" s="454"/>
      <c r="CC89" s="454"/>
      <c r="CD89" s="454"/>
      <c r="CE89" s="454"/>
      <c r="CF89" s="454"/>
      <c r="CG89" s="454"/>
      <c r="CH89" s="454"/>
      <c r="CI89" s="454"/>
      <c r="CJ89" s="454"/>
      <c r="CK89" s="454"/>
      <c r="CL89" s="454"/>
      <c r="CM89" s="454"/>
      <c r="CN89" s="454"/>
      <c r="CO89" s="454"/>
      <c r="CP89" s="454"/>
      <c r="CQ89" s="454"/>
      <c r="CR89" s="454"/>
      <c r="CS89" s="454"/>
      <c r="CT89" s="454"/>
      <c r="CU89" s="454"/>
      <c r="CV89" s="517"/>
      <c r="CW89" s="695">
        <f>E89</f>
        <v>41.8</v>
      </c>
      <c r="CX89" s="695"/>
      <c r="CY89" s="695"/>
      <c r="CZ89" s="695"/>
      <c r="DA89" s="695">
        <f>E89*2</f>
        <v>83.6</v>
      </c>
      <c r="DB89" s="517"/>
      <c r="DC89" s="517"/>
      <c r="DD89" s="517"/>
      <c r="DE89" s="517"/>
      <c r="DF89" s="517"/>
      <c r="DG89" s="517"/>
      <c r="DH89" s="517"/>
      <c r="DI89" s="454"/>
      <c r="DJ89" s="454"/>
      <c r="DK89" s="454"/>
      <c r="DL89" s="454"/>
      <c r="DM89" s="454"/>
      <c r="DN89" s="454"/>
      <c r="DO89" s="454"/>
      <c r="DP89" s="454"/>
      <c r="DQ89" s="454"/>
      <c r="DR89" s="454"/>
      <c r="DS89" s="454"/>
      <c r="DT89" s="454">
        <v>2</v>
      </c>
      <c r="DU89" s="454">
        <v>8</v>
      </c>
      <c r="DV89" s="454"/>
      <c r="DW89" s="454"/>
      <c r="DX89" s="454"/>
      <c r="DY89" s="454"/>
      <c r="DZ89" s="454"/>
      <c r="EA89" s="454"/>
      <c r="EB89" s="454"/>
      <c r="EC89" s="454"/>
      <c r="ED89" s="454"/>
      <c r="EE89" s="454"/>
      <c r="EF89" s="454"/>
      <c r="EG89" s="454"/>
      <c r="EH89" s="454"/>
      <c r="EI89" s="454"/>
      <c r="EJ89" s="454"/>
      <c r="EK89" s="454"/>
      <c r="EL89" s="454"/>
      <c r="EM89" s="454"/>
      <c r="EN89" s="454"/>
      <c r="EO89" s="454"/>
      <c r="EP89" s="454"/>
      <c r="EQ89" s="454"/>
      <c r="ER89" s="454"/>
      <c r="ES89" s="454"/>
      <c r="ET89" s="454"/>
      <c r="EU89" s="454"/>
      <c r="EV89" s="454"/>
      <c r="EW89" s="454"/>
      <c r="EX89" s="454"/>
      <c r="EY89" s="454"/>
      <c r="EZ89" s="454">
        <v>2</v>
      </c>
      <c r="FA89" s="454"/>
      <c r="FB89" s="454"/>
      <c r="FC89" s="454"/>
      <c r="FD89" s="454"/>
      <c r="FE89" s="454"/>
      <c r="FF89" s="454"/>
      <c r="FG89" s="290"/>
    </row>
    <row r="90" spans="1:167" s="4" customFormat="1">
      <c r="A90" s="56"/>
      <c r="B90" s="56"/>
      <c r="C90" s="498"/>
      <c r="D90" s="498"/>
      <c r="E90" s="454"/>
      <c r="F90" s="454"/>
      <c r="G90" s="454"/>
      <c r="H90" s="454"/>
      <c r="I90" s="454"/>
      <c r="J90" s="454"/>
      <c r="K90" s="454"/>
      <c r="L90" s="454"/>
      <c r="M90" s="454"/>
      <c r="N90" s="454"/>
      <c r="O90" s="454"/>
      <c r="P90" s="454"/>
      <c r="Q90" s="454"/>
      <c r="R90" s="454"/>
      <c r="S90" s="454"/>
      <c r="T90" s="454"/>
      <c r="U90" s="454"/>
      <c r="V90" s="454"/>
      <c r="W90" s="454"/>
      <c r="X90" s="454"/>
      <c r="Y90" s="454"/>
      <c r="Z90" s="454"/>
      <c r="AA90" s="454"/>
      <c r="AB90" s="454"/>
      <c r="AC90" s="454"/>
      <c r="AD90" s="454"/>
      <c r="AE90" s="454"/>
      <c r="AF90" s="454"/>
      <c r="AG90" s="454"/>
      <c r="AH90" s="454"/>
      <c r="AI90" s="454"/>
      <c r="AJ90" s="454"/>
      <c r="AK90" s="454"/>
      <c r="AL90" s="454"/>
      <c r="AM90" s="454"/>
      <c r="AN90" s="454"/>
      <c r="AO90" s="454"/>
      <c r="AP90" s="454"/>
      <c r="AQ90" s="454"/>
      <c r="AR90" s="454"/>
      <c r="AS90" s="454"/>
      <c r="AT90" s="454"/>
      <c r="AU90" s="454"/>
      <c r="AV90" s="454"/>
      <c r="AW90" s="454"/>
      <c r="AX90" s="454"/>
      <c r="AY90" s="454"/>
      <c r="AZ90" s="454"/>
      <c r="BA90" s="454"/>
      <c r="BB90" s="454"/>
      <c r="BC90" s="454"/>
      <c r="BD90" s="454"/>
      <c r="BE90" s="454"/>
      <c r="BF90" s="454"/>
      <c r="BG90" s="454"/>
      <c r="BH90" s="454"/>
      <c r="BI90" s="454"/>
      <c r="BJ90" s="454"/>
      <c r="BK90" s="454"/>
      <c r="BL90" s="454"/>
      <c r="BM90" s="454"/>
      <c r="BN90" s="454"/>
      <c r="BO90" s="454"/>
      <c r="BP90" s="454"/>
      <c r="BQ90" s="454"/>
      <c r="BR90" s="454"/>
      <c r="BS90" s="454"/>
      <c r="BT90" s="454"/>
      <c r="BU90" s="454"/>
      <c r="BV90" s="454"/>
      <c r="BW90" s="454"/>
      <c r="BX90" s="454"/>
      <c r="BY90" s="454"/>
      <c r="BZ90" s="454"/>
      <c r="CA90" s="454"/>
      <c r="CB90" s="454"/>
      <c r="CC90" s="454"/>
      <c r="CD90" s="454"/>
      <c r="CE90" s="454"/>
      <c r="CF90" s="454"/>
      <c r="CG90" s="454"/>
      <c r="CH90" s="454"/>
      <c r="CI90" s="454"/>
      <c r="CJ90" s="454"/>
      <c r="CK90" s="454"/>
      <c r="CL90" s="454"/>
      <c r="CM90" s="454"/>
      <c r="CN90" s="454"/>
      <c r="CO90" s="454"/>
      <c r="CP90" s="454"/>
      <c r="CQ90" s="454"/>
      <c r="CR90" s="454"/>
      <c r="CS90" s="454"/>
      <c r="CT90" s="454"/>
      <c r="CU90" s="454"/>
      <c r="CV90" s="517"/>
      <c r="CW90" s="695">
        <f t="shared" si="8"/>
        <v>0</v>
      </c>
      <c r="CX90" s="695"/>
      <c r="CY90" s="695"/>
      <c r="CZ90" s="695"/>
      <c r="DA90" s="695">
        <f t="shared" si="9"/>
        <v>0</v>
      </c>
      <c r="DB90" s="517"/>
      <c r="DC90" s="517"/>
      <c r="DD90" s="517"/>
      <c r="DE90" s="517"/>
      <c r="DF90" s="517"/>
      <c r="DG90" s="517"/>
      <c r="DH90" s="517"/>
      <c r="DI90" s="454"/>
      <c r="DJ90" s="454"/>
      <c r="DK90" s="454"/>
      <c r="DL90" s="454"/>
      <c r="DM90" s="454"/>
      <c r="DN90" s="454"/>
      <c r="DO90" s="454"/>
      <c r="DP90" s="454"/>
      <c r="DQ90" s="454"/>
      <c r="DR90" s="454"/>
      <c r="DS90" s="454"/>
      <c r="DT90" s="454"/>
      <c r="DU90" s="454"/>
      <c r="DV90" s="454"/>
      <c r="DW90" s="454"/>
      <c r="DX90" s="454"/>
      <c r="DY90" s="454"/>
      <c r="DZ90" s="454"/>
      <c r="EA90" s="454"/>
      <c r="EB90" s="454"/>
      <c r="EC90" s="454"/>
      <c r="ED90" s="454"/>
      <c r="EE90" s="454"/>
      <c r="EF90" s="454"/>
      <c r="EG90" s="454"/>
      <c r="EH90" s="454"/>
      <c r="EI90" s="454"/>
      <c r="EJ90" s="454"/>
      <c r="EK90" s="454"/>
      <c r="EL90" s="454"/>
      <c r="EM90" s="454"/>
      <c r="EN90" s="454"/>
      <c r="EO90" s="454"/>
      <c r="EP90" s="454"/>
      <c r="EQ90" s="454"/>
      <c r="ER90" s="454"/>
      <c r="ES90" s="454"/>
      <c r="ET90" s="454"/>
      <c r="EU90" s="454"/>
      <c r="EV90" s="454"/>
      <c r="EW90" s="454"/>
      <c r="EX90" s="454"/>
      <c r="EY90" s="454"/>
      <c r="EZ90" s="454"/>
      <c r="FA90" s="454"/>
      <c r="FB90" s="454"/>
      <c r="FC90" s="454"/>
      <c r="FD90" s="454"/>
      <c r="FE90" s="454"/>
      <c r="FF90" s="454"/>
      <c r="FG90" s="290"/>
    </row>
    <row r="91" spans="1:167" s="4" customFormat="1">
      <c r="A91" s="486">
        <f>MATCH(C91,$C$5:$C$507,0)</f>
        <v>87</v>
      </c>
      <c r="B91" s="56"/>
      <c r="C91" s="507" t="s">
        <v>1567</v>
      </c>
      <c r="D91" s="507"/>
      <c r="E91" s="591">
        <f t="shared" ref="E91:AJ91" si="10">SUM(E65:E90)</f>
        <v>948.49999999999989</v>
      </c>
      <c r="F91" s="508">
        <f t="shared" si="10"/>
        <v>0</v>
      </c>
      <c r="G91" s="508">
        <f t="shared" si="10"/>
        <v>0</v>
      </c>
      <c r="H91" s="508">
        <f t="shared" si="10"/>
        <v>0</v>
      </c>
      <c r="I91" s="508">
        <f t="shared" si="10"/>
        <v>0</v>
      </c>
      <c r="J91" s="508">
        <f t="shared" si="10"/>
        <v>0</v>
      </c>
      <c r="K91" s="508">
        <f t="shared" si="10"/>
        <v>0</v>
      </c>
      <c r="L91" s="508">
        <f t="shared" si="10"/>
        <v>0</v>
      </c>
      <c r="M91" s="508">
        <f t="shared" si="10"/>
        <v>0</v>
      </c>
      <c r="N91" s="508">
        <f t="shared" si="10"/>
        <v>0</v>
      </c>
      <c r="O91" s="508">
        <f t="shared" si="10"/>
        <v>0</v>
      </c>
      <c r="P91" s="508">
        <f t="shared" si="10"/>
        <v>0</v>
      </c>
      <c r="Q91" s="508">
        <f t="shared" si="10"/>
        <v>0</v>
      </c>
      <c r="R91" s="508">
        <f t="shared" si="10"/>
        <v>0</v>
      </c>
      <c r="S91" s="508">
        <f t="shared" si="10"/>
        <v>0</v>
      </c>
      <c r="T91" s="508">
        <f t="shared" si="10"/>
        <v>0</v>
      </c>
      <c r="U91" s="509">
        <f t="shared" si="10"/>
        <v>0</v>
      </c>
      <c r="V91" s="509">
        <f t="shared" si="10"/>
        <v>0</v>
      </c>
      <c r="W91" s="509">
        <f t="shared" si="10"/>
        <v>0</v>
      </c>
      <c r="X91" s="509">
        <f t="shared" si="10"/>
        <v>0</v>
      </c>
      <c r="Y91" s="509">
        <f t="shared" si="10"/>
        <v>0</v>
      </c>
      <c r="Z91" s="509">
        <f t="shared" si="10"/>
        <v>0</v>
      </c>
      <c r="AA91" s="509">
        <f t="shared" si="10"/>
        <v>0</v>
      </c>
      <c r="AB91" s="509">
        <f t="shared" si="10"/>
        <v>0</v>
      </c>
      <c r="AC91" s="509">
        <f t="shared" si="10"/>
        <v>0</v>
      </c>
      <c r="AD91" s="509">
        <f t="shared" si="10"/>
        <v>0</v>
      </c>
      <c r="AE91" s="509">
        <f t="shared" si="10"/>
        <v>0</v>
      </c>
      <c r="AF91" s="509">
        <f t="shared" si="10"/>
        <v>0</v>
      </c>
      <c r="AG91" s="509">
        <f t="shared" si="10"/>
        <v>0</v>
      </c>
      <c r="AH91" s="509">
        <f t="shared" si="10"/>
        <v>0</v>
      </c>
      <c r="AI91" s="509">
        <f t="shared" si="10"/>
        <v>0</v>
      </c>
      <c r="AJ91" s="509">
        <f t="shared" si="10"/>
        <v>0</v>
      </c>
      <c r="AK91" s="509">
        <f t="shared" ref="AK91:BP91" si="11">SUM(AK65:AK90)</f>
        <v>0</v>
      </c>
      <c r="AL91" s="509">
        <f t="shared" si="11"/>
        <v>0</v>
      </c>
      <c r="AM91" s="509">
        <f t="shared" si="11"/>
        <v>0</v>
      </c>
      <c r="AN91" s="509">
        <f t="shared" si="11"/>
        <v>0</v>
      </c>
      <c r="AO91" s="509">
        <f t="shared" si="11"/>
        <v>0</v>
      </c>
      <c r="AP91" s="509">
        <f t="shared" si="11"/>
        <v>0</v>
      </c>
      <c r="AQ91" s="509">
        <f t="shared" si="11"/>
        <v>0</v>
      </c>
      <c r="AR91" s="509">
        <f t="shared" si="11"/>
        <v>0</v>
      </c>
      <c r="AS91" s="509">
        <f t="shared" si="11"/>
        <v>0</v>
      </c>
      <c r="AT91" s="509">
        <f t="shared" si="11"/>
        <v>0</v>
      </c>
      <c r="AU91" s="509">
        <f t="shared" si="11"/>
        <v>0</v>
      </c>
      <c r="AV91" s="509">
        <f t="shared" si="11"/>
        <v>0</v>
      </c>
      <c r="AW91" s="509">
        <f t="shared" si="11"/>
        <v>0</v>
      </c>
      <c r="AX91" s="509">
        <f t="shared" si="11"/>
        <v>0</v>
      </c>
      <c r="AY91" s="509">
        <f t="shared" si="11"/>
        <v>0</v>
      </c>
      <c r="AZ91" s="509">
        <f t="shared" si="11"/>
        <v>0</v>
      </c>
      <c r="BA91" s="509">
        <f t="shared" si="11"/>
        <v>0</v>
      </c>
      <c r="BB91" s="509">
        <f t="shared" si="11"/>
        <v>0</v>
      </c>
      <c r="BC91" s="509">
        <f t="shared" si="11"/>
        <v>0</v>
      </c>
      <c r="BD91" s="509">
        <f t="shared" si="11"/>
        <v>0</v>
      </c>
      <c r="BE91" s="509">
        <f t="shared" si="11"/>
        <v>0</v>
      </c>
      <c r="BF91" s="509">
        <f t="shared" si="11"/>
        <v>0</v>
      </c>
      <c r="BG91" s="509">
        <f t="shared" si="11"/>
        <v>0</v>
      </c>
      <c r="BH91" s="509">
        <f t="shared" si="11"/>
        <v>0</v>
      </c>
      <c r="BI91" s="509">
        <f t="shared" si="11"/>
        <v>0</v>
      </c>
      <c r="BJ91" s="509">
        <f t="shared" si="11"/>
        <v>0</v>
      </c>
      <c r="BK91" s="509">
        <f t="shared" si="11"/>
        <v>0</v>
      </c>
      <c r="BL91" s="509">
        <f t="shared" si="11"/>
        <v>0</v>
      </c>
      <c r="BM91" s="509">
        <f t="shared" si="11"/>
        <v>0</v>
      </c>
      <c r="BN91" s="509">
        <f t="shared" si="11"/>
        <v>0</v>
      </c>
      <c r="BO91" s="509">
        <f t="shared" si="11"/>
        <v>0</v>
      </c>
      <c r="BP91" s="509">
        <f t="shared" si="11"/>
        <v>0</v>
      </c>
      <c r="BQ91" s="509">
        <f t="shared" ref="BQ91:CV91" si="12">SUM(BQ65:BQ90)</f>
        <v>0</v>
      </c>
      <c r="BR91" s="509">
        <f t="shared" si="12"/>
        <v>0</v>
      </c>
      <c r="BS91" s="509">
        <f t="shared" si="12"/>
        <v>0</v>
      </c>
      <c r="BT91" s="509">
        <f t="shared" si="12"/>
        <v>0</v>
      </c>
      <c r="BU91" s="509">
        <f t="shared" si="12"/>
        <v>0</v>
      </c>
      <c r="BV91" s="509">
        <f t="shared" si="12"/>
        <v>0</v>
      </c>
      <c r="BW91" s="509">
        <f t="shared" si="12"/>
        <v>0</v>
      </c>
      <c r="BX91" s="509">
        <f t="shared" si="12"/>
        <v>0</v>
      </c>
      <c r="BY91" s="509">
        <f t="shared" si="12"/>
        <v>0</v>
      </c>
      <c r="BZ91" s="509">
        <f t="shared" si="12"/>
        <v>0</v>
      </c>
      <c r="CA91" s="509">
        <f t="shared" si="12"/>
        <v>0</v>
      </c>
      <c r="CB91" s="509">
        <f t="shared" si="12"/>
        <v>0</v>
      </c>
      <c r="CC91" s="509">
        <f t="shared" si="12"/>
        <v>0</v>
      </c>
      <c r="CD91" s="509">
        <f t="shared" si="12"/>
        <v>0</v>
      </c>
      <c r="CE91" s="509">
        <f t="shared" si="12"/>
        <v>0</v>
      </c>
      <c r="CF91" s="509">
        <f t="shared" si="12"/>
        <v>0</v>
      </c>
      <c r="CG91" s="509">
        <f t="shared" si="12"/>
        <v>0</v>
      </c>
      <c r="CH91" s="509">
        <f t="shared" si="12"/>
        <v>0</v>
      </c>
      <c r="CI91" s="509">
        <f t="shared" si="12"/>
        <v>0</v>
      </c>
      <c r="CJ91" s="509">
        <f t="shared" si="12"/>
        <v>0</v>
      </c>
      <c r="CK91" s="509">
        <f t="shared" si="12"/>
        <v>0</v>
      </c>
      <c r="CL91" s="509">
        <f t="shared" si="12"/>
        <v>0</v>
      </c>
      <c r="CM91" s="509">
        <f t="shared" si="12"/>
        <v>0</v>
      </c>
      <c r="CN91" s="509">
        <f t="shared" si="12"/>
        <v>0</v>
      </c>
      <c r="CO91" s="509">
        <f t="shared" si="12"/>
        <v>0</v>
      </c>
      <c r="CP91" s="509">
        <f t="shared" si="12"/>
        <v>5</v>
      </c>
      <c r="CQ91" s="509">
        <f t="shared" si="12"/>
        <v>0</v>
      </c>
      <c r="CR91" s="509">
        <f t="shared" si="12"/>
        <v>0</v>
      </c>
      <c r="CS91" s="509">
        <f t="shared" si="12"/>
        <v>0</v>
      </c>
      <c r="CT91" s="509">
        <f t="shared" si="12"/>
        <v>0</v>
      </c>
      <c r="CU91" s="509">
        <f t="shared" si="12"/>
        <v>0</v>
      </c>
      <c r="CV91" s="518">
        <f t="shared" si="12"/>
        <v>0</v>
      </c>
      <c r="CW91" s="518">
        <f t="shared" ref="CW91:EC91" si="13">SUM(CW65:CW90)</f>
        <v>948.49999999999989</v>
      </c>
      <c r="CX91" s="518">
        <f>SUM(CX65:CX90)</f>
        <v>0</v>
      </c>
      <c r="CY91" s="518">
        <f t="shared" si="13"/>
        <v>0</v>
      </c>
      <c r="CZ91" s="518">
        <f t="shared" si="13"/>
        <v>0</v>
      </c>
      <c r="DA91" s="518">
        <f t="shared" si="13"/>
        <v>1896.9999999999998</v>
      </c>
      <c r="DB91" s="518">
        <f t="shared" si="13"/>
        <v>0</v>
      </c>
      <c r="DC91" s="518">
        <f t="shared" si="13"/>
        <v>0</v>
      </c>
      <c r="DD91" s="518">
        <f t="shared" si="13"/>
        <v>0</v>
      </c>
      <c r="DE91" s="518">
        <f t="shared" si="13"/>
        <v>0</v>
      </c>
      <c r="DF91" s="518">
        <f t="shared" si="13"/>
        <v>0</v>
      </c>
      <c r="DG91" s="518">
        <f t="shared" si="13"/>
        <v>0</v>
      </c>
      <c r="DH91" s="518">
        <f t="shared" si="13"/>
        <v>0</v>
      </c>
      <c r="DI91" s="509">
        <f t="shared" si="13"/>
        <v>0</v>
      </c>
      <c r="DJ91" s="509">
        <f t="shared" si="13"/>
        <v>0</v>
      </c>
      <c r="DK91" s="509">
        <f t="shared" si="13"/>
        <v>28</v>
      </c>
      <c r="DL91" s="509">
        <f t="shared" si="13"/>
        <v>0</v>
      </c>
      <c r="DM91" s="509">
        <f t="shared" si="13"/>
        <v>84</v>
      </c>
      <c r="DN91" s="509">
        <f t="shared" si="13"/>
        <v>21</v>
      </c>
      <c r="DO91" s="509">
        <f t="shared" si="13"/>
        <v>63</v>
      </c>
      <c r="DP91" s="509">
        <f t="shared" si="13"/>
        <v>49</v>
      </c>
      <c r="DQ91" s="509">
        <f t="shared" si="13"/>
        <v>0</v>
      </c>
      <c r="DR91" s="509">
        <f t="shared" si="13"/>
        <v>0</v>
      </c>
      <c r="DS91" s="509">
        <f t="shared" si="13"/>
        <v>3</v>
      </c>
      <c r="DT91" s="509">
        <f t="shared" si="13"/>
        <v>2</v>
      </c>
      <c r="DU91" s="509">
        <f t="shared" si="13"/>
        <v>53</v>
      </c>
      <c r="DV91" s="509">
        <f t="shared" si="13"/>
        <v>3</v>
      </c>
      <c r="DW91" s="509">
        <f t="shared" si="13"/>
        <v>0</v>
      </c>
      <c r="DX91" s="509">
        <f t="shared" si="13"/>
        <v>0</v>
      </c>
      <c r="DY91" s="509">
        <f t="shared" si="13"/>
        <v>0</v>
      </c>
      <c r="DZ91" s="509">
        <f t="shared" si="13"/>
        <v>0</v>
      </c>
      <c r="EA91" s="509">
        <f t="shared" si="13"/>
        <v>46</v>
      </c>
      <c r="EB91" s="509">
        <f t="shared" si="13"/>
        <v>0</v>
      </c>
      <c r="EC91" s="509">
        <f t="shared" si="13"/>
        <v>0</v>
      </c>
      <c r="ED91" s="509">
        <f t="shared" ref="ED91:FE91" si="14">SUM(ED65:ED90)</f>
        <v>0</v>
      </c>
      <c r="EE91" s="509">
        <f t="shared" si="14"/>
        <v>0</v>
      </c>
      <c r="EF91" s="509">
        <f t="shared" si="14"/>
        <v>0</v>
      </c>
      <c r="EG91" s="509">
        <f t="shared" si="14"/>
        <v>0</v>
      </c>
      <c r="EH91" s="509">
        <f t="shared" si="14"/>
        <v>0</v>
      </c>
      <c r="EI91" s="509">
        <f t="shared" si="14"/>
        <v>0</v>
      </c>
      <c r="EJ91" s="509">
        <f t="shared" si="14"/>
        <v>0</v>
      </c>
      <c r="EK91" s="509">
        <f t="shared" si="14"/>
        <v>0</v>
      </c>
      <c r="EL91" s="509">
        <f t="shared" si="14"/>
        <v>0</v>
      </c>
      <c r="EM91" s="509">
        <f t="shared" si="14"/>
        <v>0</v>
      </c>
      <c r="EN91" s="509">
        <f t="shared" si="14"/>
        <v>0</v>
      </c>
      <c r="EO91" s="509">
        <f t="shared" si="14"/>
        <v>0</v>
      </c>
      <c r="EP91" s="509">
        <f t="shared" si="14"/>
        <v>0</v>
      </c>
      <c r="EQ91" s="509">
        <f t="shared" si="14"/>
        <v>0</v>
      </c>
      <c r="ER91" s="509">
        <f t="shared" si="14"/>
        <v>0</v>
      </c>
      <c r="ES91" s="509">
        <f t="shared" si="14"/>
        <v>0</v>
      </c>
      <c r="ET91" s="509">
        <f t="shared" si="14"/>
        <v>0</v>
      </c>
      <c r="EU91" s="509">
        <f t="shared" si="14"/>
        <v>0</v>
      </c>
      <c r="EV91" s="509">
        <f t="shared" si="14"/>
        <v>0</v>
      </c>
      <c r="EW91" s="509">
        <f t="shared" si="14"/>
        <v>0</v>
      </c>
      <c r="EX91" s="509">
        <f t="shared" si="14"/>
        <v>2</v>
      </c>
      <c r="EY91" s="509">
        <f t="shared" si="14"/>
        <v>1</v>
      </c>
      <c r="EZ91" s="509">
        <f t="shared" si="14"/>
        <v>2</v>
      </c>
      <c r="FA91" s="509">
        <f t="shared" si="14"/>
        <v>2</v>
      </c>
      <c r="FB91" s="509">
        <f t="shared" si="14"/>
        <v>0</v>
      </c>
      <c r="FC91" s="509">
        <f t="shared" si="14"/>
        <v>0</v>
      </c>
      <c r="FD91" s="509">
        <f t="shared" si="14"/>
        <v>0</v>
      </c>
      <c r="FE91" s="509">
        <f t="shared" si="14"/>
        <v>0</v>
      </c>
      <c r="FF91" s="509"/>
      <c r="FG91" s="508"/>
      <c r="FK91" s="4">
        <f>DO91-FC91</f>
        <v>63</v>
      </c>
    </row>
    <row r="92" spans="1:167" s="4" customFormat="1">
      <c r="A92" s="56"/>
      <c r="B92" s="56">
        <v>3</v>
      </c>
      <c r="C92" s="501" t="s">
        <v>3659</v>
      </c>
      <c r="D92" s="502"/>
      <c r="E92" s="503"/>
      <c r="F92" s="503"/>
      <c r="G92" s="503"/>
      <c r="H92" s="503"/>
      <c r="I92" s="503"/>
      <c r="J92" s="503"/>
      <c r="K92" s="503"/>
      <c r="L92" s="503"/>
      <c r="M92" s="503"/>
      <c r="N92" s="503"/>
      <c r="O92" s="503"/>
      <c r="P92" s="503"/>
      <c r="Q92" s="503"/>
      <c r="R92" s="503"/>
      <c r="S92" s="503"/>
      <c r="T92" s="503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  <c r="CH92" s="504"/>
      <c r="CI92" s="504"/>
      <c r="CJ92" s="504"/>
      <c r="CK92" s="504"/>
      <c r="CL92" s="504"/>
      <c r="CM92" s="504"/>
      <c r="CN92" s="504"/>
      <c r="CO92" s="504"/>
      <c r="CP92" s="504"/>
      <c r="CQ92" s="504"/>
      <c r="CR92" s="504"/>
      <c r="CS92" s="504"/>
      <c r="CT92" s="504"/>
      <c r="CU92" s="504"/>
      <c r="CV92" s="519"/>
      <c r="CW92" s="519"/>
      <c r="CX92" s="519"/>
      <c r="CY92" s="519"/>
      <c r="CZ92" s="519"/>
      <c r="DA92" s="519"/>
      <c r="DB92" s="519"/>
      <c r="DC92" s="519"/>
      <c r="DD92" s="519"/>
      <c r="DE92" s="519"/>
      <c r="DF92" s="519"/>
      <c r="DG92" s="519"/>
      <c r="DH92" s="519"/>
      <c r="DI92" s="504"/>
      <c r="DJ92" s="504"/>
      <c r="DK92" s="504"/>
      <c r="DL92" s="504"/>
      <c r="DM92" s="504"/>
      <c r="DN92" s="504"/>
      <c r="DO92" s="504"/>
      <c r="DP92" s="504"/>
      <c r="DQ92" s="504"/>
      <c r="DR92" s="504"/>
      <c r="DS92" s="504"/>
      <c r="DT92" s="504"/>
      <c r="DU92" s="504"/>
      <c r="DV92" s="504"/>
      <c r="DW92" s="504"/>
      <c r="DX92" s="504"/>
      <c r="DY92" s="504"/>
      <c r="DZ92" s="504"/>
      <c r="EA92" s="504"/>
      <c r="EB92" s="504"/>
      <c r="EC92" s="504"/>
      <c r="ED92" s="504"/>
      <c r="EE92" s="504"/>
      <c r="EF92" s="504"/>
      <c r="EG92" s="504"/>
      <c r="EH92" s="504"/>
      <c r="EI92" s="504"/>
      <c r="EJ92" s="504"/>
      <c r="EK92" s="504"/>
      <c r="EL92" s="504"/>
      <c r="EM92" s="504"/>
      <c r="EN92" s="504"/>
      <c r="EO92" s="504"/>
      <c r="EP92" s="504"/>
      <c r="EQ92" s="504"/>
      <c r="ER92" s="504"/>
      <c r="ES92" s="504"/>
      <c r="ET92" s="504"/>
      <c r="EU92" s="504"/>
      <c r="EV92" s="504"/>
      <c r="EW92" s="504"/>
      <c r="EX92" s="504"/>
      <c r="EY92" s="504"/>
      <c r="EZ92" s="504"/>
      <c r="FA92" s="504"/>
      <c r="FB92" s="504"/>
      <c r="FC92" s="504"/>
      <c r="FD92" s="504"/>
      <c r="FE92" s="504"/>
      <c r="FF92" s="504"/>
      <c r="FG92" s="505"/>
      <c r="FK92" s="4">
        <f>DO92-FC92</f>
        <v>0</v>
      </c>
    </row>
    <row r="93" spans="1:167" s="4" customFormat="1">
      <c r="A93" s="56"/>
      <c r="B93" s="56"/>
      <c r="C93" s="498"/>
      <c r="D93" s="498" t="s">
        <v>3663</v>
      </c>
      <c r="E93" s="454"/>
      <c r="F93" s="454"/>
      <c r="G93" s="454"/>
      <c r="H93" s="454"/>
      <c r="I93" s="454"/>
      <c r="J93" s="454"/>
      <c r="K93" s="454"/>
      <c r="L93" s="454"/>
      <c r="M93" s="454"/>
      <c r="N93" s="454"/>
      <c r="O93" s="454"/>
      <c r="P93" s="454"/>
      <c r="Q93" s="454"/>
      <c r="R93" s="290"/>
      <c r="S93" s="290"/>
      <c r="T93" s="454" t="s">
        <v>2989</v>
      </c>
      <c r="U93" s="454" t="s">
        <v>2989</v>
      </c>
      <c r="V93" s="454"/>
      <c r="W93" s="454"/>
      <c r="X93" s="454"/>
      <c r="Y93" s="454"/>
      <c r="Z93" s="454"/>
      <c r="AA93" s="454"/>
      <c r="AB93" s="454"/>
      <c r="AC93" s="454"/>
      <c r="AD93" s="454"/>
      <c r="AE93" s="454"/>
      <c r="AF93" s="454"/>
      <c r="AG93" s="454"/>
      <c r="AH93" s="454"/>
      <c r="AI93" s="454"/>
      <c r="AJ93" s="454"/>
      <c r="AK93" s="454"/>
      <c r="AL93" s="454"/>
      <c r="AM93" s="454"/>
      <c r="AN93" s="454"/>
      <c r="AO93" s="454"/>
      <c r="AP93" s="454"/>
      <c r="AQ93" s="454"/>
      <c r="AR93" s="454"/>
      <c r="AS93" s="454"/>
      <c r="AT93" s="454"/>
      <c r="AU93" s="454"/>
      <c r="AV93" s="454"/>
      <c r="AW93" s="454"/>
      <c r="AX93" s="454"/>
      <c r="AY93" s="454"/>
      <c r="AZ93" s="454"/>
      <c r="BA93" s="454"/>
      <c r="BB93" s="454"/>
      <c r="BC93" s="454"/>
      <c r="BD93" s="454"/>
      <c r="BE93" s="454"/>
      <c r="BF93" s="454"/>
      <c r="BG93" s="454"/>
      <c r="BH93" s="454"/>
      <c r="BI93" s="454"/>
      <c r="BJ93" s="454"/>
      <c r="BK93" s="454"/>
      <c r="BL93" s="454"/>
      <c r="BM93" s="454"/>
      <c r="BN93" s="454"/>
      <c r="BO93" s="454"/>
      <c r="BP93" s="454"/>
      <c r="BQ93" s="454"/>
      <c r="BR93" s="454"/>
      <c r="BS93" s="454"/>
      <c r="BT93" s="454"/>
      <c r="BU93" s="454"/>
      <c r="BV93" s="454"/>
      <c r="BW93" s="454"/>
      <c r="BX93" s="454"/>
      <c r="BY93" s="454"/>
      <c r="BZ93" s="454"/>
      <c r="CA93" s="454"/>
      <c r="CB93" s="454"/>
      <c r="CC93" s="454"/>
      <c r="CD93" s="454"/>
      <c r="CE93" s="454"/>
      <c r="CF93" s="454"/>
      <c r="CG93" s="454"/>
      <c r="CH93" s="454"/>
      <c r="CI93" s="454"/>
      <c r="CJ93" s="454"/>
      <c r="CK93" s="454"/>
      <c r="CL93" s="454"/>
      <c r="CM93" s="454"/>
      <c r="CN93" s="454"/>
      <c r="CO93" s="454"/>
      <c r="CP93" s="454"/>
      <c r="CQ93" s="454"/>
      <c r="CR93" s="454"/>
      <c r="CS93" s="454"/>
      <c r="CT93" s="454"/>
      <c r="CU93" s="454"/>
      <c r="CV93" s="517"/>
      <c r="CW93" s="517"/>
      <c r="CX93" s="517">
        <f>E93</f>
        <v>0</v>
      </c>
      <c r="CY93" s="517"/>
      <c r="CZ93" s="517"/>
      <c r="DA93" s="517"/>
      <c r="DB93" s="517">
        <f>E93*3</f>
        <v>0</v>
      </c>
      <c r="DC93" s="517"/>
      <c r="DD93" s="517"/>
      <c r="DE93" s="517"/>
      <c r="DF93" s="517"/>
      <c r="DG93" s="517"/>
      <c r="DH93" s="517"/>
      <c r="DI93" s="454"/>
      <c r="DJ93" s="454"/>
      <c r="DK93" s="454"/>
      <c r="DL93" s="454">
        <v>2</v>
      </c>
      <c r="DM93" s="454">
        <v>8</v>
      </c>
      <c r="DN93" s="454">
        <v>1</v>
      </c>
      <c r="DO93" s="454">
        <v>3</v>
      </c>
      <c r="DP93" s="454">
        <v>2</v>
      </c>
      <c r="DQ93" s="454"/>
      <c r="DR93" s="454"/>
      <c r="DS93" s="454"/>
      <c r="DT93" s="454"/>
      <c r="DU93" s="454">
        <v>10</v>
      </c>
      <c r="DV93" s="454"/>
      <c r="DW93" s="454"/>
      <c r="DX93" s="454"/>
      <c r="DY93" s="454"/>
      <c r="DZ93" s="454"/>
      <c r="EA93" s="454"/>
      <c r="EB93" s="454">
        <v>4</v>
      </c>
      <c r="EC93" s="454"/>
      <c r="ED93" s="454"/>
      <c r="EE93" s="454"/>
      <c r="EF93" s="454"/>
      <c r="EG93" s="454"/>
      <c r="EH93" s="454"/>
      <c r="EI93" s="454"/>
      <c r="EJ93" s="454"/>
      <c r="EK93" s="454"/>
      <c r="EL93" s="454"/>
      <c r="EM93" s="454"/>
      <c r="EN93" s="454"/>
      <c r="EO93" s="454"/>
      <c r="EP93" s="454"/>
      <c r="EQ93" s="454"/>
      <c r="ER93" s="454"/>
      <c r="ES93" s="454"/>
      <c r="ET93" s="454"/>
      <c r="EU93" s="454"/>
      <c r="EV93" s="454"/>
      <c r="EW93" s="454"/>
      <c r="EX93" s="454"/>
      <c r="EY93" s="454"/>
      <c r="EZ93" s="454"/>
      <c r="FA93" s="454"/>
      <c r="FB93" s="454"/>
      <c r="FC93" s="454"/>
      <c r="FD93" s="454"/>
      <c r="FE93" s="454"/>
      <c r="FF93" s="454"/>
      <c r="FG93" s="481"/>
    </row>
    <row r="94" spans="1:167" s="4" customFormat="1">
      <c r="A94" s="56"/>
      <c r="B94" s="56"/>
      <c r="C94" s="498" t="s">
        <v>3664</v>
      </c>
      <c r="D94" s="498"/>
      <c r="E94" s="454">
        <v>17.600000000000001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290"/>
      <c r="S94" s="290"/>
      <c r="T94" s="454" t="s">
        <v>1631</v>
      </c>
      <c r="U94" s="454" t="s">
        <v>1631</v>
      </c>
      <c r="V94" s="454"/>
      <c r="W94" s="454"/>
      <c r="X94" s="454"/>
      <c r="Y94" s="454"/>
      <c r="Z94" s="454"/>
      <c r="AA94" s="454"/>
      <c r="AB94" s="454"/>
      <c r="AC94" s="454"/>
      <c r="AD94" s="454"/>
      <c r="AE94" s="454"/>
      <c r="AF94" s="454"/>
      <c r="AG94" s="454"/>
      <c r="AH94" s="454"/>
      <c r="AI94" s="454"/>
      <c r="AJ94" s="454"/>
      <c r="AK94" s="454"/>
      <c r="AL94" s="454"/>
      <c r="AM94" s="454"/>
      <c r="AN94" s="454"/>
      <c r="AO94" s="454"/>
      <c r="AP94" s="454"/>
      <c r="AQ94" s="454"/>
      <c r="AR94" s="454"/>
      <c r="AS94" s="454"/>
      <c r="AT94" s="454"/>
      <c r="AU94" s="454"/>
      <c r="AV94" s="454"/>
      <c r="AW94" s="454"/>
      <c r="AX94" s="454"/>
      <c r="AY94" s="454"/>
      <c r="AZ94" s="454"/>
      <c r="BA94" s="454"/>
      <c r="BB94" s="454"/>
      <c r="BC94" s="454"/>
      <c r="BD94" s="454"/>
      <c r="BE94" s="454"/>
      <c r="BF94" s="454"/>
      <c r="BG94" s="454"/>
      <c r="BH94" s="454"/>
      <c r="BI94" s="454"/>
      <c r="BJ94" s="454"/>
      <c r="BK94" s="454"/>
      <c r="BL94" s="454"/>
      <c r="BM94" s="454"/>
      <c r="BN94" s="454"/>
      <c r="BO94" s="454"/>
      <c r="BP94" s="454"/>
      <c r="BQ94" s="454"/>
      <c r="BR94" s="454"/>
      <c r="BS94" s="454"/>
      <c r="BT94" s="454"/>
      <c r="BU94" s="454"/>
      <c r="BV94" s="454"/>
      <c r="BW94" s="454"/>
      <c r="BX94" s="454"/>
      <c r="BY94" s="454"/>
      <c r="BZ94" s="454"/>
      <c r="CA94" s="454"/>
      <c r="CB94" s="454"/>
      <c r="CC94" s="454"/>
      <c r="CD94" s="454"/>
      <c r="CE94" s="454"/>
      <c r="CF94" s="454"/>
      <c r="CG94" s="454"/>
      <c r="CH94" s="454"/>
      <c r="CI94" s="454"/>
      <c r="CJ94" s="454"/>
      <c r="CK94" s="454"/>
      <c r="CL94" s="454"/>
      <c r="CM94" s="454"/>
      <c r="CN94" s="454"/>
      <c r="CO94" s="454"/>
      <c r="CP94" s="454"/>
      <c r="CQ94" s="454"/>
      <c r="CR94" s="454"/>
      <c r="CS94" s="454"/>
      <c r="CT94" s="454"/>
      <c r="CU94" s="454"/>
      <c r="CV94" s="517"/>
      <c r="CW94" s="517"/>
      <c r="CX94" s="517">
        <f t="shared" ref="CX94:CX119" si="15">E94</f>
        <v>17.600000000000001</v>
      </c>
      <c r="CY94" s="517"/>
      <c r="CZ94" s="517"/>
      <c r="DA94" s="517"/>
      <c r="DB94" s="517">
        <f t="shared" ref="DB94:DB119" si="16">E94*3</f>
        <v>52.800000000000004</v>
      </c>
      <c r="DC94" s="517"/>
      <c r="DD94" s="517"/>
      <c r="DE94" s="517"/>
      <c r="DF94" s="517"/>
      <c r="DG94" s="517"/>
      <c r="DH94" s="517"/>
      <c r="DI94" s="454"/>
      <c r="DJ94" s="454"/>
      <c r="DK94" s="454"/>
      <c r="DL94" s="454">
        <v>1</v>
      </c>
      <c r="DM94" s="454">
        <v>4</v>
      </c>
      <c r="DN94" s="454"/>
      <c r="DO94" s="454"/>
      <c r="DP94" s="454"/>
      <c r="DQ94" s="454"/>
      <c r="DR94" s="454"/>
      <c r="DS94" s="454">
        <v>2</v>
      </c>
      <c r="DT94" s="454"/>
      <c r="DU94" s="454"/>
      <c r="DV94" s="454"/>
      <c r="DW94" s="454"/>
      <c r="DX94" s="454"/>
      <c r="DY94" s="454"/>
      <c r="DZ94" s="454"/>
      <c r="EA94" s="454">
        <v>2</v>
      </c>
      <c r="EB94" s="454"/>
      <c r="EC94" s="454"/>
      <c r="ED94" s="454"/>
      <c r="EE94" s="454"/>
      <c r="EF94" s="454"/>
      <c r="EG94" s="454"/>
      <c r="EH94" s="454"/>
      <c r="EI94" s="454"/>
      <c r="EJ94" s="454"/>
      <c r="EK94" s="454"/>
      <c r="EL94" s="454"/>
      <c r="EM94" s="454"/>
      <c r="EN94" s="454"/>
      <c r="EO94" s="454"/>
      <c r="EP94" s="454"/>
      <c r="EQ94" s="454"/>
      <c r="ER94" s="454"/>
      <c r="ES94" s="454"/>
      <c r="ET94" s="454"/>
      <c r="EU94" s="454"/>
      <c r="EV94" s="454"/>
      <c r="EW94" s="454"/>
      <c r="EX94" s="454"/>
      <c r="EY94" s="454"/>
      <c r="EZ94" s="454"/>
      <c r="FA94" s="454"/>
      <c r="FB94" s="454"/>
      <c r="FC94" s="454"/>
      <c r="FD94" s="454"/>
      <c r="FE94" s="454"/>
      <c r="FF94" s="454"/>
      <c r="FG94" s="481"/>
    </row>
    <row r="95" spans="1:167" s="4" customFormat="1">
      <c r="A95" s="56"/>
      <c r="B95" s="56"/>
      <c r="C95" s="498"/>
      <c r="D95" s="498" t="s">
        <v>3662</v>
      </c>
      <c r="E95" s="454">
        <v>26</v>
      </c>
      <c r="F95" s="454"/>
      <c r="G95" s="454"/>
      <c r="H95" s="454"/>
      <c r="I95" s="454"/>
      <c r="J95" s="454"/>
      <c r="K95" s="454"/>
      <c r="L95" s="454"/>
      <c r="M95" s="454"/>
      <c r="N95" s="454"/>
      <c r="O95" s="454"/>
      <c r="P95" s="454"/>
      <c r="Q95" s="454"/>
      <c r="R95" s="290"/>
      <c r="S95" s="290"/>
      <c r="T95" s="454" t="s">
        <v>1631</v>
      </c>
      <c r="U95" s="454" t="s">
        <v>1631</v>
      </c>
      <c r="V95" s="454"/>
      <c r="W95" s="454"/>
      <c r="X95" s="454"/>
      <c r="Y95" s="454"/>
      <c r="Z95" s="454"/>
      <c r="AA95" s="454"/>
      <c r="AB95" s="454"/>
      <c r="AC95" s="454"/>
      <c r="AD95" s="454"/>
      <c r="AE95" s="454"/>
      <c r="AF95" s="454"/>
      <c r="AG95" s="454"/>
      <c r="AH95" s="454"/>
      <c r="AI95" s="454"/>
      <c r="AJ95" s="454"/>
      <c r="AK95" s="454"/>
      <c r="AL95" s="454"/>
      <c r="AM95" s="454"/>
      <c r="AN95" s="454"/>
      <c r="AO95" s="454"/>
      <c r="AP95" s="454"/>
      <c r="AQ95" s="454"/>
      <c r="AR95" s="454"/>
      <c r="AS95" s="454"/>
      <c r="AT95" s="454"/>
      <c r="AU95" s="454"/>
      <c r="AV95" s="454"/>
      <c r="AW95" s="454"/>
      <c r="AX95" s="454"/>
      <c r="AY95" s="454"/>
      <c r="AZ95" s="454"/>
      <c r="BA95" s="454"/>
      <c r="BB95" s="454"/>
      <c r="BC95" s="454"/>
      <c r="BD95" s="454"/>
      <c r="BE95" s="454"/>
      <c r="BF95" s="454"/>
      <c r="BG95" s="454"/>
      <c r="BH95" s="454"/>
      <c r="BI95" s="454"/>
      <c r="BJ95" s="454"/>
      <c r="BK95" s="454"/>
      <c r="BL95" s="454"/>
      <c r="BM95" s="454"/>
      <c r="BN95" s="454"/>
      <c r="BO95" s="454"/>
      <c r="BP95" s="454"/>
      <c r="BQ95" s="454"/>
      <c r="BR95" s="454"/>
      <c r="BS95" s="454"/>
      <c r="BT95" s="454"/>
      <c r="BU95" s="454"/>
      <c r="BV95" s="454"/>
      <c r="BW95" s="454"/>
      <c r="BX95" s="454"/>
      <c r="BY95" s="454"/>
      <c r="BZ95" s="454"/>
      <c r="CA95" s="454"/>
      <c r="CB95" s="454"/>
      <c r="CC95" s="454"/>
      <c r="CD95" s="454"/>
      <c r="CE95" s="454"/>
      <c r="CF95" s="454"/>
      <c r="CG95" s="454"/>
      <c r="CH95" s="454"/>
      <c r="CI95" s="454"/>
      <c r="CJ95" s="454"/>
      <c r="CK95" s="454"/>
      <c r="CL95" s="454"/>
      <c r="CM95" s="454"/>
      <c r="CN95" s="454"/>
      <c r="CO95" s="454"/>
      <c r="CP95" s="454"/>
      <c r="CQ95" s="454"/>
      <c r="CR95" s="454"/>
      <c r="CS95" s="454"/>
      <c r="CT95" s="454"/>
      <c r="CU95" s="454"/>
      <c r="CV95" s="517"/>
      <c r="CW95" s="517"/>
      <c r="CX95" s="517">
        <f t="shared" si="15"/>
        <v>26</v>
      </c>
      <c r="CY95" s="517"/>
      <c r="CZ95" s="517"/>
      <c r="DA95" s="517"/>
      <c r="DB95" s="517">
        <f t="shared" si="16"/>
        <v>78</v>
      </c>
      <c r="DC95" s="517"/>
      <c r="DD95" s="517"/>
      <c r="DE95" s="517"/>
      <c r="DF95" s="517"/>
      <c r="DG95" s="517"/>
      <c r="DH95" s="517"/>
      <c r="DI95" s="454"/>
      <c r="DJ95" s="454"/>
      <c r="DK95" s="454"/>
      <c r="DL95" s="454">
        <v>1</v>
      </c>
      <c r="DM95" s="454">
        <v>4</v>
      </c>
      <c r="DN95" s="454">
        <v>1</v>
      </c>
      <c r="DO95" s="454">
        <v>3</v>
      </c>
      <c r="DP95" s="454">
        <v>2</v>
      </c>
      <c r="DQ95" s="454"/>
      <c r="DR95" s="454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>
        <v>2</v>
      </c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81"/>
    </row>
    <row r="96" spans="1:167" s="4" customFormat="1">
      <c r="A96" s="56"/>
      <c r="B96" s="56"/>
      <c r="C96" s="498"/>
      <c r="D96" s="498" t="s">
        <v>3665</v>
      </c>
      <c r="E96" s="454">
        <v>58.5</v>
      </c>
      <c r="F96" s="454"/>
      <c r="G96" s="454"/>
      <c r="H96" s="454"/>
      <c r="I96" s="454"/>
      <c r="J96" s="454"/>
      <c r="K96" s="454"/>
      <c r="L96" s="454"/>
      <c r="M96" s="454"/>
      <c r="N96" s="454"/>
      <c r="O96" s="454"/>
      <c r="P96" s="454"/>
      <c r="Q96" s="454"/>
      <c r="R96" s="290"/>
      <c r="S96" s="290"/>
      <c r="T96" s="454" t="s">
        <v>3005</v>
      </c>
      <c r="U96" s="454" t="s">
        <v>3005</v>
      </c>
      <c r="V96" s="454"/>
      <c r="W96" s="454"/>
      <c r="X96" s="454"/>
      <c r="Y96" s="454"/>
      <c r="Z96" s="454"/>
      <c r="AA96" s="454"/>
      <c r="AB96" s="454"/>
      <c r="AC96" s="454"/>
      <c r="AD96" s="454"/>
      <c r="AE96" s="454"/>
      <c r="AF96" s="454"/>
      <c r="AG96" s="454"/>
      <c r="AH96" s="454"/>
      <c r="AI96" s="454"/>
      <c r="AJ96" s="454"/>
      <c r="AK96" s="454"/>
      <c r="AL96" s="454"/>
      <c r="AM96" s="454"/>
      <c r="AN96" s="454"/>
      <c r="AO96" s="454"/>
      <c r="AP96" s="454"/>
      <c r="AQ96" s="454"/>
      <c r="AR96" s="454"/>
      <c r="AS96" s="454"/>
      <c r="AT96" s="454"/>
      <c r="AU96" s="454"/>
      <c r="AV96" s="454"/>
      <c r="AW96" s="454"/>
      <c r="AX96" s="454"/>
      <c r="AY96" s="454"/>
      <c r="AZ96" s="454"/>
      <c r="BA96" s="454"/>
      <c r="BB96" s="454"/>
      <c r="BC96" s="454"/>
      <c r="BD96" s="454"/>
      <c r="BE96" s="454"/>
      <c r="BF96" s="454"/>
      <c r="BG96" s="454"/>
      <c r="BH96" s="454"/>
      <c r="BI96" s="454"/>
      <c r="BJ96" s="454"/>
      <c r="BK96" s="454"/>
      <c r="BL96" s="454"/>
      <c r="BM96" s="454"/>
      <c r="BN96" s="454"/>
      <c r="BO96" s="454"/>
      <c r="BP96" s="454"/>
      <c r="BQ96" s="454"/>
      <c r="BR96" s="454"/>
      <c r="BS96" s="454"/>
      <c r="BT96" s="454"/>
      <c r="BU96" s="454"/>
      <c r="BV96" s="454"/>
      <c r="BW96" s="454"/>
      <c r="BX96" s="454"/>
      <c r="BY96" s="454"/>
      <c r="BZ96" s="454"/>
      <c r="CA96" s="454"/>
      <c r="CB96" s="454"/>
      <c r="CC96" s="454"/>
      <c r="CD96" s="454"/>
      <c r="CE96" s="454"/>
      <c r="CF96" s="454"/>
      <c r="CG96" s="454"/>
      <c r="CH96" s="454"/>
      <c r="CI96" s="454"/>
      <c r="CJ96" s="454"/>
      <c r="CK96" s="454"/>
      <c r="CL96" s="454"/>
      <c r="CM96" s="454"/>
      <c r="CN96" s="454"/>
      <c r="CO96" s="454"/>
      <c r="CP96" s="454"/>
      <c r="CQ96" s="454"/>
      <c r="CR96" s="454"/>
      <c r="CS96" s="454"/>
      <c r="CT96" s="454"/>
      <c r="CU96" s="454"/>
      <c r="CV96" s="517"/>
      <c r="CW96" s="517"/>
      <c r="CX96" s="517">
        <f t="shared" si="15"/>
        <v>58.5</v>
      </c>
      <c r="CY96" s="517"/>
      <c r="CZ96" s="517"/>
      <c r="DA96" s="517"/>
      <c r="DB96" s="517">
        <f t="shared" si="16"/>
        <v>175.5</v>
      </c>
      <c r="DC96" s="517"/>
      <c r="DD96" s="517"/>
      <c r="DE96" s="517"/>
      <c r="DF96" s="517"/>
      <c r="DG96" s="517"/>
      <c r="DH96" s="517"/>
      <c r="DI96" s="454"/>
      <c r="DJ96" s="454"/>
      <c r="DK96" s="454"/>
      <c r="DL96" s="454">
        <v>2</v>
      </c>
      <c r="DM96" s="454">
        <v>8</v>
      </c>
      <c r="DN96" s="454">
        <v>1</v>
      </c>
      <c r="DO96" s="454">
        <v>4</v>
      </c>
      <c r="DP96" s="454">
        <v>4</v>
      </c>
      <c r="DQ96" s="454"/>
      <c r="DR96" s="454"/>
      <c r="DS96" s="454"/>
      <c r="DT96" s="454"/>
      <c r="DU96" s="454">
        <v>4</v>
      </c>
      <c r="DV96" s="454"/>
      <c r="DW96" s="454"/>
      <c r="DX96" s="454"/>
      <c r="DY96" s="454"/>
      <c r="DZ96" s="454"/>
      <c r="EA96" s="454"/>
      <c r="EB96" s="454">
        <v>3</v>
      </c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81"/>
    </row>
    <row r="97" spans="1:163" s="4" customFormat="1">
      <c r="A97" s="56"/>
      <c r="B97" s="56"/>
      <c r="C97" s="498"/>
      <c r="D97" s="498" t="s">
        <v>3666</v>
      </c>
      <c r="E97" s="454">
        <v>52</v>
      </c>
      <c r="F97" s="454"/>
      <c r="G97" s="454"/>
      <c r="H97" s="454"/>
      <c r="I97" s="454"/>
      <c r="J97" s="454"/>
      <c r="K97" s="454"/>
      <c r="L97" s="454"/>
      <c r="M97" s="454"/>
      <c r="N97" s="454"/>
      <c r="O97" s="454"/>
      <c r="P97" s="454"/>
      <c r="Q97" s="454"/>
      <c r="R97" s="290"/>
      <c r="S97" s="290"/>
      <c r="T97" s="454" t="s">
        <v>1631</v>
      </c>
      <c r="U97" s="454" t="s">
        <v>1631</v>
      </c>
      <c r="V97" s="454"/>
      <c r="W97" s="454"/>
      <c r="X97" s="454"/>
      <c r="Y97" s="454"/>
      <c r="Z97" s="454"/>
      <c r="AA97" s="454"/>
      <c r="AB97" s="454"/>
      <c r="AC97" s="454"/>
      <c r="AD97" s="454"/>
      <c r="AE97" s="454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  <c r="AP97" s="454"/>
      <c r="AQ97" s="454"/>
      <c r="AR97" s="454"/>
      <c r="AS97" s="454"/>
      <c r="AT97" s="454"/>
      <c r="AU97" s="454"/>
      <c r="AV97" s="454"/>
      <c r="AW97" s="454"/>
      <c r="AX97" s="454"/>
      <c r="AY97" s="454"/>
      <c r="AZ97" s="454"/>
      <c r="BA97" s="454"/>
      <c r="BB97" s="454"/>
      <c r="BC97" s="454"/>
      <c r="BD97" s="454"/>
      <c r="BE97" s="454"/>
      <c r="BF97" s="454"/>
      <c r="BG97" s="454"/>
      <c r="BH97" s="454"/>
      <c r="BI97" s="454"/>
      <c r="BJ97" s="454"/>
      <c r="BK97" s="454"/>
      <c r="BL97" s="454"/>
      <c r="BM97" s="454"/>
      <c r="BN97" s="454"/>
      <c r="BO97" s="454"/>
      <c r="BP97" s="454"/>
      <c r="BQ97" s="454"/>
      <c r="BR97" s="454"/>
      <c r="BS97" s="454"/>
      <c r="BT97" s="454"/>
      <c r="BU97" s="454"/>
      <c r="BV97" s="454"/>
      <c r="BW97" s="454"/>
      <c r="BX97" s="454"/>
      <c r="BY97" s="454"/>
      <c r="BZ97" s="454"/>
      <c r="CA97" s="454"/>
      <c r="CB97" s="454"/>
      <c r="CC97" s="454"/>
      <c r="CD97" s="454"/>
      <c r="CE97" s="454"/>
      <c r="CF97" s="454"/>
      <c r="CG97" s="454"/>
      <c r="CH97" s="454"/>
      <c r="CI97" s="454"/>
      <c r="CJ97" s="454"/>
      <c r="CK97" s="454"/>
      <c r="CL97" s="454"/>
      <c r="CM97" s="454"/>
      <c r="CN97" s="454"/>
      <c r="CO97" s="454"/>
      <c r="CP97" s="454"/>
      <c r="CQ97" s="454"/>
      <c r="CR97" s="454"/>
      <c r="CS97" s="454"/>
      <c r="CT97" s="454"/>
      <c r="CU97" s="454"/>
      <c r="CV97" s="517"/>
      <c r="CW97" s="517"/>
      <c r="CX97" s="517">
        <f t="shared" si="15"/>
        <v>52</v>
      </c>
      <c r="CY97" s="517"/>
      <c r="CZ97" s="517"/>
      <c r="DA97" s="517"/>
      <c r="DB97" s="517">
        <f t="shared" si="16"/>
        <v>156</v>
      </c>
      <c r="DC97" s="517"/>
      <c r="DD97" s="517"/>
      <c r="DE97" s="517"/>
      <c r="DF97" s="517"/>
      <c r="DG97" s="517"/>
      <c r="DH97" s="517"/>
      <c r="DI97" s="454"/>
      <c r="DJ97" s="454"/>
      <c r="DK97" s="454"/>
      <c r="DL97" s="454">
        <v>1</v>
      </c>
      <c r="DM97" s="454">
        <v>4</v>
      </c>
      <c r="DN97" s="454">
        <v>1</v>
      </c>
      <c r="DO97" s="454">
        <v>1</v>
      </c>
      <c r="DP97" s="454">
        <v>1</v>
      </c>
      <c r="DQ97" s="454"/>
      <c r="DR97" s="454"/>
      <c r="DS97" s="454">
        <v>2</v>
      </c>
      <c r="DT97" s="454"/>
      <c r="DU97" s="454"/>
      <c r="DV97" s="454"/>
      <c r="DW97" s="454"/>
      <c r="DX97" s="454"/>
      <c r="DY97" s="454"/>
      <c r="DZ97" s="454"/>
      <c r="EA97" s="454"/>
      <c r="EB97" s="454">
        <v>2</v>
      </c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81"/>
    </row>
    <row r="98" spans="1:163" s="4" customFormat="1">
      <c r="A98" s="56"/>
      <c r="B98" s="56"/>
      <c r="C98" s="498"/>
      <c r="D98" s="498" t="s">
        <v>3667</v>
      </c>
      <c r="E98" s="454">
        <v>45.1</v>
      </c>
      <c r="F98" s="454"/>
      <c r="G98" s="454"/>
      <c r="H98" s="454"/>
      <c r="I98" s="454"/>
      <c r="J98" s="454"/>
      <c r="K98" s="454"/>
      <c r="L98" s="454"/>
      <c r="M98" s="454"/>
      <c r="N98" s="454"/>
      <c r="O98" s="454"/>
      <c r="P98" s="454"/>
      <c r="Q98" s="454"/>
      <c r="R98" s="290"/>
      <c r="S98" s="290"/>
      <c r="T98" s="454" t="s">
        <v>3668</v>
      </c>
      <c r="U98" s="454" t="s">
        <v>3668</v>
      </c>
      <c r="V98" s="454"/>
      <c r="W98" s="454"/>
      <c r="X98" s="454"/>
      <c r="Y98" s="454"/>
      <c r="Z98" s="454"/>
      <c r="AA98" s="454"/>
      <c r="AB98" s="454"/>
      <c r="AC98" s="454"/>
      <c r="AD98" s="454"/>
      <c r="AE98" s="454"/>
      <c r="AF98" s="454"/>
      <c r="AG98" s="454"/>
      <c r="AH98" s="454"/>
      <c r="AI98" s="454"/>
      <c r="AJ98" s="454"/>
      <c r="AK98" s="454"/>
      <c r="AL98" s="454"/>
      <c r="AM98" s="454"/>
      <c r="AN98" s="454"/>
      <c r="AO98" s="454"/>
      <c r="AP98" s="454"/>
      <c r="AQ98" s="454"/>
      <c r="AR98" s="454"/>
      <c r="AS98" s="454"/>
      <c r="AT98" s="454"/>
      <c r="AU98" s="454"/>
      <c r="AV98" s="454"/>
      <c r="AW98" s="454"/>
      <c r="AX98" s="454"/>
      <c r="AY98" s="454"/>
      <c r="AZ98" s="454"/>
      <c r="BA98" s="454"/>
      <c r="BB98" s="454"/>
      <c r="BC98" s="454"/>
      <c r="BD98" s="454"/>
      <c r="BE98" s="454"/>
      <c r="BF98" s="454"/>
      <c r="BG98" s="454"/>
      <c r="BH98" s="454"/>
      <c r="BI98" s="454"/>
      <c r="BJ98" s="454"/>
      <c r="BK98" s="454"/>
      <c r="BL98" s="454"/>
      <c r="BM98" s="454"/>
      <c r="BN98" s="454"/>
      <c r="BO98" s="454"/>
      <c r="BP98" s="454"/>
      <c r="BQ98" s="454"/>
      <c r="BR98" s="454"/>
      <c r="BS98" s="454"/>
      <c r="BT98" s="454"/>
      <c r="BU98" s="454"/>
      <c r="BV98" s="454"/>
      <c r="BW98" s="454"/>
      <c r="BX98" s="454"/>
      <c r="BY98" s="454"/>
      <c r="BZ98" s="454"/>
      <c r="CA98" s="454"/>
      <c r="CB98" s="454"/>
      <c r="CC98" s="454"/>
      <c r="CD98" s="454"/>
      <c r="CE98" s="454"/>
      <c r="CF98" s="454"/>
      <c r="CG98" s="454"/>
      <c r="CH98" s="454"/>
      <c r="CI98" s="454"/>
      <c r="CJ98" s="454"/>
      <c r="CK98" s="454"/>
      <c r="CL98" s="454"/>
      <c r="CM98" s="454"/>
      <c r="CN98" s="454"/>
      <c r="CO98" s="454"/>
      <c r="CP98" s="454"/>
      <c r="CQ98" s="454"/>
      <c r="CR98" s="454"/>
      <c r="CS98" s="454"/>
      <c r="CT98" s="454"/>
      <c r="CU98" s="454"/>
      <c r="CV98" s="517"/>
      <c r="CW98" s="517"/>
      <c r="CX98" s="517">
        <f t="shared" si="15"/>
        <v>45.1</v>
      </c>
      <c r="CY98" s="517"/>
      <c r="CZ98" s="517"/>
      <c r="DA98" s="517"/>
      <c r="DB98" s="517">
        <f t="shared" si="16"/>
        <v>135.30000000000001</v>
      </c>
      <c r="DC98" s="517"/>
      <c r="DD98" s="517"/>
      <c r="DE98" s="517"/>
      <c r="DF98" s="517"/>
      <c r="DG98" s="517"/>
      <c r="DH98" s="517"/>
      <c r="DI98" s="454"/>
      <c r="DJ98" s="454"/>
      <c r="DK98" s="454"/>
      <c r="DL98" s="454">
        <v>2</v>
      </c>
      <c r="DM98" s="454">
        <v>8</v>
      </c>
      <c r="DN98" s="454">
        <v>1</v>
      </c>
      <c r="DO98" s="454">
        <v>3</v>
      </c>
      <c r="DP98" s="454">
        <v>2</v>
      </c>
      <c r="DQ98" s="454"/>
      <c r="DR98" s="454"/>
      <c r="DS98" s="454"/>
      <c r="DT98" s="454">
        <v>6</v>
      </c>
      <c r="DU98" s="454"/>
      <c r="DV98" s="454"/>
      <c r="DW98" s="454"/>
      <c r="DX98" s="454"/>
      <c r="DY98" s="454"/>
      <c r="DZ98" s="454"/>
      <c r="EA98" s="454"/>
      <c r="EB98" s="454">
        <v>4</v>
      </c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81"/>
    </row>
    <row r="99" spans="1:163" s="4" customFormat="1">
      <c r="A99" s="56"/>
      <c r="B99" s="56"/>
      <c r="C99" s="498"/>
      <c r="D99" s="498" t="s">
        <v>3669</v>
      </c>
      <c r="E99" s="454">
        <v>38.799999999999997</v>
      </c>
      <c r="F99" s="454"/>
      <c r="G99" s="454"/>
      <c r="H99" s="454"/>
      <c r="I99" s="454"/>
      <c r="J99" s="454"/>
      <c r="K99" s="454"/>
      <c r="L99" s="454"/>
      <c r="M99" s="454"/>
      <c r="N99" s="454"/>
      <c r="O99" s="454"/>
      <c r="P99" s="454"/>
      <c r="Q99" s="454"/>
      <c r="R99" s="290"/>
      <c r="S99" s="290"/>
      <c r="T99" s="454" t="s">
        <v>1631</v>
      </c>
      <c r="U99" s="694" t="s">
        <v>1631</v>
      </c>
      <c r="V99" s="454"/>
      <c r="W99" s="454"/>
      <c r="X99" s="454"/>
      <c r="Y99" s="454"/>
      <c r="Z99" s="454"/>
      <c r="AA99" s="454"/>
      <c r="AB99" s="454"/>
      <c r="AC99" s="454"/>
      <c r="AD99" s="454"/>
      <c r="AE99" s="454"/>
      <c r="AF99" s="454"/>
      <c r="AG99" s="454"/>
      <c r="AH99" s="454"/>
      <c r="AI99" s="454"/>
      <c r="AJ99" s="454"/>
      <c r="AK99" s="454"/>
      <c r="AL99" s="454"/>
      <c r="AM99" s="454"/>
      <c r="AN99" s="454"/>
      <c r="AO99" s="454"/>
      <c r="AP99" s="454"/>
      <c r="AQ99" s="454"/>
      <c r="AR99" s="454"/>
      <c r="AS99" s="454"/>
      <c r="AT99" s="454"/>
      <c r="AU99" s="454"/>
      <c r="AV99" s="454"/>
      <c r="AW99" s="454"/>
      <c r="AX99" s="454"/>
      <c r="AY99" s="454"/>
      <c r="AZ99" s="454"/>
      <c r="BA99" s="454"/>
      <c r="BB99" s="454"/>
      <c r="BC99" s="454"/>
      <c r="BD99" s="454"/>
      <c r="BE99" s="454"/>
      <c r="BF99" s="454"/>
      <c r="BG99" s="454"/>
      <c r="BH99" s="454"/>
      <c r="BI99" s="454"/>
      <c r="BJ99" s="454"/>
      <c r="BK99" s="454"/>
      <c r="BL99" s="454"/>
      <c r="BM99" s="454"/>
      <c r="BN99" s="454"/>
      <c r="BO99" s="454"/>
      <c r="BP99" s="454"/>
      <c r="BQ99" s="454"/>
      <c r="BR99" s="454"/>
      <c r="BS99" s="454"/>
      <c r="BT99" s="454"/>
      <c r="BU99" s="454"/>
      <c r="BV99" s="454"/>
      <c r="BW99" s="454"/>
      <c r="BX99" s="454"/>
      <c r="BY99" s="454"/>
      <c r="BZ99" s="454"/>
      <c r="CA99" s="454"/>
      <c r="CB99" s="454"/>
      <c r="CC99" s="454"/>
      <c r="CD99" s="454"/>
      <c r="CE99" s="454"/>
      <c r="CF99" s="454"/>
      <c r="CG99" s="454"/>
      <c r="CH99" s="454"/>
      <c r="CI99" s="454"/>
      <c r="CJ99" s="454"/>
      <c r="CK99" s="454"/>
      <c r="CL99" s="454"/>
      <c r="CM99" s="454"/>
      <c r="CN99" s="454"/>
      <c r="CO99" s="454"/>
      <c r="CP99" s="454"/>
      <c r="CQ99" s="454"/>
      <c r="CR99" s="454"/>
      <c r="CS99" s="454"/>
      <c r="CT99" s="454"/>
      <c r="CU99" s="454"/>
      <c r="CV99" s="517"/>
      <c r="CW99" s="517"/>
      <c r="CX99" s="517">
        <f t="shared" si="15"/>
        <v>38.799999999999997</v>
      </c>
      <c r="CY99" s="517"/>
      <c r="CZ99" s="517"/>
      <c r="DA99" s="517"/>
      <c r="DB99" s="517">
        <f t="shared" si="16"/>
        <v>116.39999999999999</v>
      </c>
      <c r="DC99" s="517"/>
      <c r="DD99" s="517"/>
      <c r="DE99" s="517"/>
      <c r="DF99" s="517"/>
      <c r="DG99" s="517"/>
      <c r="DH99" s="517"/>
      <c r="DI99" s="454"/>
      <c r="DJ99" s="454"/>
      <c r="DK99" s="454"/>
      <c r="DL99" s="454">
        <v>1</v>
      </c>
      <c r="DM99" s="454">
        <v>4</v>
      </c>
      <c r="DN99" s="454">
        <v>1</v>
      </c>
      <c r="DO99" s="454">
        <v>4</v>
      </c>
      <c r="DP99" s="454">
        <v>3</v>
      </c>
      <c r="DQ99" s="454"/>
      <c r="DR99" s="454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>
        <v>2</v>
      </c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81"/>
    </row>
    <row r="100" spans="1:163" s="4" customFormat="1">
      <c r="A100" s="56"/>
      <c r="B100" s="56"/>
      <c r="C100" s="498"/>
      <c r="D100" s="498" t="s">
        <v>3670</v>
      </c>
      <c r="E100" s="454">
        <v>27.2</v>
      </c>
      <c r="F100" s="454"/>
      <c r="G100" s="454"/>
      <c r="H100" s="454"/>
      <c r="I100" s="454"/>
      <c r="J100" s="454"/>
      <c r="K100" s="454"/>
      <c r="L100" s="454"/>
      <c r="M100" s="454"/>
      <c r="N100" s="454"/>
      <c r="O100" s="454"/>
      <c r="P100" s="454"/>
      <c r="Q100" s="454"/>
      <c r="R100" s="290"/>
      <c r="S100" s="290"/>
      <c r="T100" s="454" t="s">
        <v>3671</v>
      </c>
      <c r="U100" s="692" t="s">
        <v>3671</v>
      </c>
      <c r="V100" s="454"/>
      <c r="W100" s="454"/>
      <c r="X100" s="454"/>
      <c r="Y100" s="454"/>
      <c r="Z100" s="454"/>
      <c r="AA100" s="454"/>
      <c r="AB100" s="454"/>
      <c r="AC100" s="454"/>
      <c r="AD100" s="454"/>
      <c r="AE100" s="454"/>
      <c r="AF100" s="454"/>
      <c r="AG100" s="454"/>
      <c r="AH100" s="454"/>
      <c r="AI100" s="454"/>
      <c r="AJ100" s="454"/>
      <c r="AK100" s="454"/>
      <c r="AL100" s="454"/>
      <c r="AM100" s="454"/>
      <c r="AN100" s="454"/>
      <c r="AO100" s="454"/>
      <c r="AP100" s="454"/>
      <c r="AQ100" s="454"/>
      <c r="AR100" s="454"/>
      <c r="AS100" s="454"/>
      <c r="AT100" s="454"/>
      <c r="AU100" s="454"/>
      <c r="AV100" s="454"/>
      <c r="AW100" s="454"/>
      <c r="AX100" s="454"/>
      <c r="AY100" s="454"/>
      <c r="AZ100" s="454"/>
      <c r="BA100" s="454"/>
      <c r="BB100" s="454"/>
      <c r="BC100" s="454"/>
      <c r="BD100" s="454"/>
      <c r="BE100" s="454"/>
      <c r="BF100" s="454"/>
      <c r="BG100" s="454"/>
      <c r="BH100" s="454"/>
      <c r="BI100" s="454"/>
      <c r="BJ100" s="454"/>
      <c r="BK100" s="454"/>
      <c r="BL100" s="454"/>
      <c r="BM100" s="454"/>
      <c r="BN100" s="454"/>
      <c r="BO100" s="454"/>
      <c r="BP100" s="454"/>
      <c r="BQ100" s="454"/>
      <c r="BR100" s="454"/>
      <c r="BS100" s="454"/>
      <c r="BT100" s="454"/>
      <c r="BU100" s="454"/>
      <c r="BV100" s="454"/>
      <c r="BW100" s="454"/>
      <c r="BX100" s="454"/>
      <c r="BY100" s="454"/>
      <c r="BZ100" s="454"/>
      <c r="CA100" s="454"/>
      <c r="CB100" s="454"/>
      <c r="CC100" s="454"/>
      <c r="CD100" s="454"/>
      <c r="CE100" s="454"/>
      <c r="CF100" s="454"/>
      <c r="CG100" s="454"/>
      <c r="CH100" s="454"/>
      <c r="CI100" s="454"/>
      <c r="CJ100" s="454"/>
      <c r="CK100" s="454"/>
      <c r="CL100" s="454"/>
      <c r="CM100" s="454"/>
      <c r="CN100" s="454"/>
      <c r="CO100" s="454"/>
      <c r="CP100" s="454"/>
      <c r="CQ100" s="454"/>
      <c r="CR100" s="454"/>
      <c r="CS100" s="454"/>
      <c r="CT100" s="454"/>
      <c r="CU100" s="454"/>
      <c r="CV100" s="517"/>
      <c r="CW100" s="517"/>
      <c r="CX100" s="517">
        <f t="shared" si="15"/>
        <v>27.2</v>
      </c>
      <c r="CY100" s="517"/>
      <c r="CZ100" s="517"/>
      <c r="DA100" s="517"/>
      <c r="DB100" s="517">
        <f t="shared" si="16"/>
        <v>81.599999999999994</v>
      </c>
      <c r="DC100" s="517"/>
      <c r="DD100" s="517"/>
      <c r="DE100" s="517"/>
      <c r="DF100" s="517"/>
      <c r="DG100" s="517"/>
      <c r="DH100" s="517"/>
      <c r="DI100" s="454"/>
      <c r="DJ100" s="454"/>
      <c r="DK100" s="454"/>
      <c r="DL100" s="454">
        <v>3</v>
      </c>
      <c r="DM100" s="454">
        <v>12</v>
      </c>
      <c r="DN100" s="454"/>
      <c r="DO100" s="454"/>
      <c r="DP100" s="454"/>
      <c r="DQ100" s="454"/>
      <c r="DR100" s="454"/>
      <c r="DS100" s="454"/>
      <c r="DT100" s="454"/>
      <c r="DU100" s="454">
        <v>19</v>
      </c>
      <c r="DV100" s="454"/>
      <c r="DW100" s="454"/>
      <c r="DX100" s="454"/>
      <c r="DY100" s="454"/>
      <c r="DZ100" s="454"/>
      <c r="EA100" s="454"/>
      <c r="EB100" s="454">
        <v>4</v>
      </c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81"/>
    </row>
    <row r="101" spans="1:163" s="4" customFormat="1">
      <c r="A101" s="56"/>
      <c r="B101" s="56"/>
      <c r="C101" s="498"/>
      <c r="D101" s="498" t="s">
        <v>3672</v>
      </c>
      <c r="E101" s="454">
        <v>53.1</v>
      </c>
      <c r="F101" s="454"/>
      <c r="G101" s="454"/>
      <c r="H101" s="454"/>
      <c r="I101" s="454"/>
      <c r="J101" s="454"/>
      <c r="K101" s="454"/>
      <c r="L101" s="454"/>
      <c r="M101" s="454"/>
      <c r="N101" s="454"/>
      <c r="O101" s="454"/>
      <c r="P101" s="454"/>
      <c r="Q101" s="454"/>
      <c r="R101" s="290"/>
      <c r="S101" s="290"/>
      <c r="T101" s="454" t="s">
        <v>1631</v>
      </c>
      <c r="U101" s="694" t="s">
        <v>1631</v>
      </c>
      <c r="V101" s="454"/>
      <c r="W101" s="454"/>
      <c r="X101" s="454"/>
      <c r="Y101" s="454"/>
      <c r="Z101" s="454"/>
      <c r="AA101" s="454"/>
      <c r="AB101" s="454"/>
      <c r="AC101" s="454"/>
      <c r="AD101" s="454"/>
      <c r="AE101" s="454"/>
      <c r="AF101" s="454"/>
      <c r="AG101" s="454"/>
      <c r="AH101" s="454"/>
      <c r="AI101" s="454"/>
      <c r="AJ101" s="454"/>
      <c r="AK101" s="454"/>
      <c r="AL101" s="454"/>
      <c r="AM101" s="454"/>
      <c r="AN101" s="454"/>
      <c r="AO101" s="454"/>
      <c r="AP101" s="454"/>
      <c r="AQ101" s="454"/>
      <c r="AR101" s="454"/>
      <c r="AS101" s="454"/>
      <c r="AT101" s="454"/>
      <c r="AU101" s="454"/>
      <c r="AV101" s="454"/>
      <c r="AW101" s="454"/>
      <c r="AX101" s="454"/>
      <c r="AY101" s="454"/>
      <c r="AZ101" s="454"/>
      <c r="BA101" s="454"/>
      <c r="BB101" s="454"/>
      <c r="BC101" s="454"/>
      <c r="BD101" s="454"/>
      <c r="BE101" s="454"/>
      <c r="BF101" s="454"/>
      <c r="BG101" s="454"/>
      <c r="BH101" s="454"/>
      <c r="BI101" s="454"/>
      <c r="BJ101" s="454"/>
      <c r="BK101" s="454"/>
      <c r="BL101" s="454"/>
      <c r="BM101" s="454"/>
      <c r="BN101" s="454"/>
      <c r="BO101" s="454"/>
      <c r="BP101" s="454"/>
      <c r="BQ101" s="454"/>
      <c r="BR101" s="454"/>
      <c r="BS101" s="454"/>
      <c r="BT101" s="454"/>
      <c r="BU101" s="454"/>
      <c r="BV101" s="454"/>
      <c r="BW101" s="454"/>
      <c r="BX101" s="454"/>
      <c r="BY101" s="454"/>
      <c r="BZ101" s="454"/>
      <c r="CA101" s="454"/>
      <c r="CB101" s="454"/>
      <c r="CC101" s="454"/>
      <c r="CD101" s="454"/>
      <c r="CE101" s="454"/>
      <c r="CF101" s="454"/>
      <c r="CG101" s="454"/>
      <c r="CH101" s="454"/>
      <c r="CI101" s="454"/>
      <c r="CJ101" s="454"/>
      <c r="CK101" s="454"/>
      <c r="CL101" s="454"/>
      <c r="CM101" s="454"/>
      <c r="CN101" s="454"/>
      <c r="CO101" s="454"/>
      <c r="CP101" s="454"/>
      <c r="CQ101" s="454"/>
      <c r="CR101" s="454"/>
      <c r="CS101" s="454"/>
      <c r="CT101" s="454"/>
      <c r="CU101" s="454"/>
      <c r="CV101" s="517"/>
      <c r="CW101" s="517"/>
      <c r="CX101" s="517">
        <f t="shared" si="15"/>
        <v>53.1</v>
      </c>
      <c r="CY101" s="517"/>
      <c r="CZ101" s="517"/>
      <c r="DA101" s="517"/>
      <c r="DB101" s="517">
        <f t="shared" si="16"/>
        <v>159.30000000000001</v>
      </c>
      <c r="DC101" s="517"/>
      <c r="DD101" s="517"/>
      <c r="DE101" s="517"/>
      <c r="DF101" s="517"/>
      <c r="DG101" s="517"/>
      <c r="DH101" s="517"/>
      <c r="DI101" s="454"/>
      <c r="DJ101" s="454"/>
      <c r="DK101" s="454"/>
      <c r="DL101" s="454">
        <v>1</v>
      </c>
      <c r="DM101" s="454">
        <v>4</v>
      </c>
      <c r="DN101" s="454">
        <v>1</v>
      </c>
      <c r="DO101" s="454">
        <v>4</v>
      </c>
      <c r="DP101" s="454">
        <v>3</v>
      </c>
      <c r="DQ101" s="454"/>
      <c r="DR101" s="454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>
        <v>2</v>
      </c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290"/>
    </row>
    <row r="102" spans="1:163" s="4" customFormat="1">
      <c r="A102" s="56"/>
      <c r="B102" s="56"/>
      <c r="C102" s="498"/>
      <c r="D102" s="498" t="s">
        <v>3673</v>
      </c>
      <c r="E102" s="454">
        <v>39.200000000000003</v>
      </c>
      <c r="F102" s="454"/>
      <c r="G102" s="454"/>
      <c r="H102" s="454"/>
      <c r="I102" s="454"/>
      <c r="J102" s="454"/>
      <c r="K102" s="454"/>
      <c r="L102" s="454"/>
      <c r="M102" s="454"/>
      <c r="N102" s="454"/>
      <c r="O102" s="454"/>
      <c r="P102" s="454"/>
      <c r="Q102" s="454"/>
      <c r="R102" s="290"/>
      <c r="S102" s="290"/>
      <c r="T102" s="454" t="s">
        <v>1631</v>
      </c>
      <c r="U102" s="454" t="s">
        <v>1631</v>
      </c>
      <c r="V102" s="454"/>
      <c r="W102" s="454"/>
      <c r="X102" s="454"/>
      <c r="Y102" s="454"/>
      <c r="Z102" s="454"/>
      <c r="AA102" s="454"/>
      <c r="AB102" s="454"/>
      <c r="AC102" s="454"/>
      <c r="AD102" s="454"/>
      <c r="AE102" s="454"/>
      <c r="AF102" s="454"/>
      <c r="AG102" s="454"/>
      <c r="AH102" s="454"/>
      <c r="AI102" s="454"/>
      <c r="AJ102" s="454"/>
      <c r="AK102" s="454"/>
      <c r="AL102" s="454"/>
      <c r="AM102" s="454"/>
      <c r="AN102" s="454"/>
      <c r="AO102" s="454"/>
      <c r="AP102" s="454"/>
      <c r="AQ102" s="454"/>
      <c r="AR102" s="454"/>
      <c r="AS102" s="454"/>
      <c r="AT102" s="454"/>
      <c r="AU102" s="454"/>
      <c r="AV102" s="454"/>
      <c r="AW102" s="454"/>
      <c r="AX102" s="454"/>
      <c r="AY102" s="454"/>
      <c r="AZ102" s="454"/>
      <c r="BA102" s="454"/>
      <c r="BB102" s="454"/>
      <c r="BC102" s="454"/>
      <c r="BD102" s="454"/>
      <c r="BE102" s="454"/>
      <c r="BF102" s="454"/>
      <c r="BG102" s="454"/>
      <c r="BH102" s="454"/>
      <c r="BI102" s="454"/>
      <c r="BJ102" s="454"/>
      <c r="BK102" s="454"/>
      <c r="BL102" s="454"/>
      <c r="BM102" s="454"/>
      <c r="BN102" s="454"/>
      <c r="BO102" s="454"/>
      <c r="BP102" s="454"/>
      <c r="BQ102" s="454"/>
      <c r="BR102" s="454"/>
      <c r="BS102" s="454"/>
      <c r="BT102" s="454"/>
      <c r="BU102" s="454"/>
      <c r="BV102" s="454"/>
      <c r="BW102" s="454"/>
      <c r="BX102" s="454"/>
      <c r="BY102" s="454"/>
      <c r="BZ102" s="454"/>
      <c r="CA102" s="454"/>
      <c r="CB102" s="454"/>
      <c r="CC102" s="454"/>
      <c r="CD102" s="454"/>
      <c r="CE102" s="454"/>
      <c r="CF102" s="454"/>
      <c r="CG102" s="454"/>
      <c r="CH102" s="454"/>
      <c r="CI102" s="454"/>
      <c r="CJ102" s="454"/>
      <c r="CK102" s="454"/>
      <c r="CL102" s="454"/>
      <c r="CM102" s="454"/>
      <c r="CN102" s="454"/>
      <c r="CO102" s="454"/>
      <c r="CP102" s="454"/>
      <c r="CQ102" s="454"/>
      <c r="CR102" s="454"/>
      <c r="CS102" s="454"/>
      <c r="CT102" s="454"/>
      <c r="CU102" s="454"/>
      <c r="CV102" s="517"/>
      <c r="CW102" s="517"/>
      <c r="CX102" s="517">
        <f t="shared" si="15"/>
        <v>39.200000000000003</v>
      </c>
      <c r="CY102" s="517"/>
      <c r="CZ102" s="517"/>
      <c r="DA102" s="517"/>
      <c r="DB102" s="517">
        <f t="shared" si="16"/>
        <v>117.60000000000001</v>
      </c>
      <c r="DC102" s="517"/>
      <c r="DD102" s="517"/>
      <c r="DE102" s="517"/>
      <c r="DF102" s="517"/>
      <c r="DG102" s="517"/>
      <c r="DH102" s="517"/>
      <c r="DI102" s="454"/>
      <c r="DJ102" s="454"/>
      <c r="DK102" s="454"/>
      <c r="DL102" s="454">
        <v>1</v>
      </c>
      <c r="DM102" s="454">
        <v>4</v>
      </c>
      <c r="DN102" s="454"/>
      <c r="DO102" s="454"/>
      <c r="DP102" s="454"/>
      <c r="DQ102" s="454"/>
      <c r="DR102" s="454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>
        <v>2</v>
      </c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290"/>
    </row>
    <row r="103" spans="1:163" s="4" customFormat="1">
      <c r="A103" s="56"/>
      <c r="B103" s="56"/>
      <c r="C103" s="498"/>
      <c r="D103" s="498" t="s">
        <v>3674</v>
      </c>
      <c r="E103" s="454">
        <v>40.5</v>
      </c>
      <c r="F103" s="454"/>
      <c r="G103" s="454"/>
      <c r="H103" s="454"/>
      <c r="I103" s="454"/>
      <c r="J103" s="454"/>
      <c r="K103" s="454"/>
      <c r="L103" s="454"/>
      <c r="M103" s="454"/>
      <c r="N103" s="454"/>
      <c r="O103" s="454"/>
      <c r="P103" s="454"/>
      <c r="Q103" s="454"/>
      <c r="R103" s="290"/>
      <c r="S103" s="290"/>
      <c r="T103" s="454" t="s">
        <v>3005</v>
      </c>
      <c r="U103" s="454" t="s">
        <v>3005</v>
      </c>
      <c r="V103" s="454"/>
      <c r="W103" s="454"/>
      <c r="X103" s="454"/>
      <c r="Y103" s="454"/>
      <c r="Z103" s="454"/>
      <c r="AA103" s="454"/>
      <c r="AB103" s="454"/>
      <c r="AC103" s="454"/>
      <c r="AD103" s="454"/>
      <c r="AE103" s="454"/>
      <c r="AF103" s="454"/>
      <c r="AG103" s="454"/>
      <c r="AH103" s="454"/>
      <c r="AI103" s="454"/>
      <c r="AJ103" s="454"/>
      <c r="AK103" s="454"/>
      <c r="AL103" s="454"/>
      <c r="AM103" s="454"/>
      <c r="AN103" s="454"/>
      <c r="AO103" s="454"/>
      <c r="AP103" s="454"/>
      <c r="AQ103" s="454"/>
      <c r="AR103" s="454"/>
      <c r="AS103" s="454"/>
      <c r="AT103" s="454"/>
      <c r="AU103" s="454"/>
      <c r="AV103" s="454"/>
      <c r="AW103" s="454"/>
      <c r="AX103" s="454"/>
      <c r="AY103" s="454"/>
      <c r="AZ103" s="454"/>
      <c r="BA103" s="454"/>
      <c r="BB103" s="454"/>
      <c r="BC103" s="454"/>
      <c r="BD103" s="454"/>
      <c r="BE103" s="454"/>
      <c r="BF103" s="454"/>
      <c r="BG103" s="454"/>
      <c r="BH103" s="454"/>
      <c r="BI103" s="454"/>
      <c r="BJ103" s="454"/>
      <c r="BK103" s="454"/>
      <c r="BL103" s="454"/>
      <c r="BM103" s="454"/>
      <c r="BN103" s="454"/>
      <c r="BO103" s="454"/>
      <c r="BP103" s="454"/>
      <c r="BQ103" s="454"/>
      <c r="BR103" s="454"/>
      <c r="BS103" s="454"/>
      <c r="BT103" s="454"/>
      <c r="BU103" s="454"/>
      <c r="BV103" s="454"/>
      <c r="BW103" s="454"/>
      <c r="BX103" s="454"/>
      <c r="BY103" s="454"/>
      <c r="BZ103" s="454"/>
      <c r="CA103" s="454"/>
      <c r="CB103" s="454"/>
      <c r="CC103" s="454"/>
      <c r="CD103" s="454"/>
      <c r="CE103" s="454"/>
      <c r="CF103" s="454"/>
      <c r="CG103" s="454"/>
      <c r="CH103" s="454"/>
      <c r="CI103" s="454"/>
      <c r="CJ103" s="454"/>
      <c r="CK103" s="454"/>
      <c r="CL103" s="454"/>
      <c r="CM103" s="454"/>
      <c r="CN103" s="454"/>
      <c r="CO103" s="454"/>
      <c r="CP103" s="454"/>
      <c r="CQ103" s="454"/>
      <c r="CR103" s="454"/>
      <c r="CS103" s="454"/>
      <c r="CT103" s="454"/>
      <c r="CU103" s="454"/>
      <c r="CV103" s="517"/>
      <c r="CW103" s="517"/>
      <c r="CX103" s="517">
        <f t="shared" si="15"/>
        <v>40.5</v>
      </c>
      <c r="CY103" s="517"/>
      <c r="CZ103" s="517"/>
      <c r="DA103" s="517"/>
      <c r="DB103" s="517">
        <f t="shared" si="16"/>
        <v>121.5</v>
      </c>
      <c r="DC103" s="517"/>
      <c r="DD103" s="517"/>
      <c r="DE103" s="517"/>
      <c r="DF103" s="517"/>
      <c r="DG103" s="517"/>
      <c r="DH103" s="517"/>
      <c r="DI103" s="454"/>
      <c r="DJ103" s="454"/>
      <c r="DK103" s="454"/>
      <c r="DL103" s="454">
        <v>1</v>
      </c>
      <c r="DM103" s="454">
        <v>4</v>
      </c>
      <c r="DN103" s="454">
        <v>1</v>
      </c>
      <c r="DO103" s="454">
        <v>3</v>
      </c>
      <c r="DP103" s="454">
        <v>2</v>
      </c>
      <c r="DQ103" s="454"/>
      <c r="DR103" s="454"/>
      <c r="DS103" s="454"/>
      <c r="DT103" s="454"/>
      <c r="DU103" s="454">
        <v>8</v>
      </c>
      <c r="DV103" s="454"/>
      <c r="DW103" s="454"/>
      <c r="DX103" s="454"/>
      <c r="DY103" s="454"/>
      <c r="DZ103" s="454"/>
      <c r="EA103" s="454"/>
      <c r="EB103" s="454">
        <v>2</v>
      </c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290"/>
    </row>
    <row r="104" spans="1:163" s="4" customFormat="1">
      <c r="A104" s="56"/>
      <c r="B104" s="56"/>
      <c r="C104" s="498"/>
      <c r="D104" s="498" t="s">
        <v>3675</v>
      </c>
      <c r="E104" s="454">
        <v>19.100000000000001</v>
      </c>
      <c r="F104" s="454"/>
      <c r="G104" s="454"/>
      <c r="H104" s="454"/>
      <c r="I104" s="454"/>
      <c r="J104" s="454"/>
      <c r="K104" s="454"/>
      <c r="L104" s="454"/>
      <c r="M104" s="454"/>
      <c r="N104" s="454"/>
      <c r="O104" s="454"/>
      <c r="P104" s="454"/>
      <c r="Q104" s="454"/>
      <c r="R104" s="290"/>
      <c r="S104" s="290"/>
      <c r="T104" s="454" t="s">
        <v>3005</v>
      </c>
      <c r="U104" s="454" t="s">
        <v>3005</v>
      </c>
      <c r="V104" s="454"/>
      <c r="W104" s="454"/>
      <c r="X104" s="454"/>
      <c r="Y104" s="454"/>
      <c r="Z104" s="454"/>
      <c r="AA104" s="454"/>
      <c r="AB104" s="454"/>
      <c r="AC104" s="454"/>
      <c r="AD104" s="454"/>
      <c r="AE104" s="454"/>
      <c r="AF104" s="454"/>
      <c r="AG104" s="454"/>
      <c r="AH104" s="454"/>
      <c r="AI104" s="454"/>
      <c r="AJ104" s="454"/>
      <c r="AK104" s="454"/>
      <c r="AL104" s="454"/>
      <c r="AM104" s="454"/>
      <c r="AN104" s="454"/>
      <c r="AO104" s="454"/>
      <c r="AP104" s="454"/>
      <c r="AQ104" s="454"/>
      <c r="AR104" s="454"/>
      <c r="AS104" s="454"/>
      <c r="AT104" s="454"/>
      <c r="AU104" s="454"/>
      <c r="AV104" s="454"/>
      <c r="AW104" s="454"/>
      <c r="AX104" s="454"/>
      <c r="AY104" s="454"/>
      <c r="AZ104" s="454"/>
      <c r="BA104" s="454"/>
      <c r="BB104" s="454"/>
      <c r="BC104" s="454"/>
      <c r="BD104" s="454"/>
      <c r="BE104" s="454"/>
      <c r="BF104" s="454"/>
      <c r="BG104" s="454"/>
      <c r="BH104" s="454"/>
      <c r="BI104" s="454"/>
      <c r="BJ104" s="454"/>
      <c r="BK104" s="454"/>
      <c r="BL104" s="454"/>
      <c r="BM104" s="454"/>
      <c r="BN104" s="454"/>
      <c r="BO104" s="454"/>
      <c r="BP104" s="454"/>
      <c r="BQ104" s="454"/>
      <c r="BR104" s="454"/>
      <c r="BS104" s="454"/>
      <c r="BT104" s="454"/>
      <c r="BU104" s="454"/>
      <c r="BV104" s="454"/>
      <c r="BW104" s="454"/>
      <c r="BX104" s="454"/>
      <c r="BY104" s="454"/>
      <c r="BZ104" s="454"/>
      <c r="CA104" s="454"/>
      <c r="CB104" s="454"/>
      <c r="CC104" s="454"/>
      <c r="CD104" s="454"/>
      <c r="CE104" s="454"/>
      <c r="CF104" s="454"/>
      <c r="CG104" s="454"/>
      <c r="CH104" s="454"/>
      <c r="CI104" s="454"/>
      <c r="CJ104" s="454"/>
      <c r="CK104" s="454"/>
      <c r="CL104" s="454"/>
      <c r="CM104" s="454"/>
      <c r="CN104" s="454"/>
      <c r="CO104" s="454"/>
      <c r="CP104" s="454"/>
      <c r="CQ104" s="454"/>
      <c r="CR104" s="454"/>
      <c r="CS104" s="454"/>
      <c r="CT104" s="454"/>
      <c r="CU104" s="454"/>
      <c r="CV104" s="517"/>
      <c r="CW104" s="517"/>
      <c r="CX104" s="517">
        <f t="shared" si="15"/>
        <v>19.100000000000001</v>
      </c>
      <c r="CY104" s="517"/>
      <c r="CZ104" s="517"/>
      <c r="DA104" s="517"/>
      <c r="DB104" s="517">
        <f t="shared" si="16"/>
        <v>57.300000000000004</v>
      </c>
      <c r="DC104" s="517"/>
      <c r="DD104" s="517"/>
      <c r="DE104" s="517"/>
      <c r="DF104" s="517"/>
      <c r="DG104" s="517"/>
      <c r="DH104" s="517"/>
      <c r="DI104" s="454"/>
      <c r="DJ104" s="454"/>
      <c r="DK104" s="454"/>
      <c r="DL104" s="454">
        <v>2</v>
      </c>
      <c r="DM104" s="454">
        <v>8</v>
      </c>
      <c r="DN104" s="454">
        <v>1</v>
      </c>
      <c r="DO104" s="454">
        <v>4</v>
      </c>
      <c r="DP104" s="454">
        <v>4</v>
      </c>
      <c r="DQ104" s="454"/>
      <c r="DR104" s="454"/>
      <c r="DS104" s="454"/>
      <c r="DT104" s="454"/>
      <c r="DU104" s="454">
        <v>7</v>
      </c>
      <c r="DV104" s="454"/>
      <c r="DW104" s="454"/>
      <c r="DX104" s="454"/>
      <c r="DY104" s="454"/>
      <c r="DZ104" s="454"/>
      <c r="EA104" s="454"/>
      <c r="EB104" s="454">
        <v>2</v>
      </c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290"/>
    </row>
    <row r="105" spans="1:163" s="4" customFormat="1">
      <c r="A105" s="56"/>
      <c r="B105" s="56"/>
      <c r="C105" s="498"/>
      <c r="D105" s="498" t="s">
        <v>3676</v>
      </c>
      <c r="E105" s="454">
        <v>60.5</v>
      </c>
      <c r="F105" s="454"/>
      <c r="G105" s="454"/>
      <c r="H105" s="454"/>
      <c r="I105" s="454"/>
      <c r="J105" s="454"/>
      <c r="K105" s="454"/>
      <c r="L105" s="454"/>
      <c r="M105" s="454"/>
      <c r="N105" s="454"/>
      <c r="O105" s="454"/>
      <c r="P105" s="454"/>
      <c r="Q105" s="454"/>
      <c r="R105" s="290"/>
      <c r="S105" s="290"/>
      <c r="T105" s="454" t="s">
        <v>2989</v>
      </c>
      <c r="U105" s="454" t="s">
        <v>2989</v>
      </c>
      <c r="V105" s="454"/>
      <c r="W105" s="454"/>
      <c r="X105" s="454"/>
      <c r="Y105" s="454"/>
      <c r="Z105" s="454"/>
      <c r="AA105" s="454"/>
      <c r="AB105" s="454"/>
      <c r="AC105" s="454"/>
      <c r="AD105" s="454"/>
      <c r="AE105" s="454"/>
      <c r="AF105" s="454"/>
      <c r="AG105" s="454"/>
      <c r="AH105" s="454"/>
      <c r="AI105" s="454"/>
      <c r="AJ105" s="454"/>
      <c r="AK105" s="454"/>
      <c r="AL105" s="454"/>
      <c r="AM105" s="454"/>
      <c r="AN105" s="454"/>
      <c r="AO105" s="454"/>
      <c r="AP105" s="454"/>
      <c r="AQ105" s="454"/>
      <c r="AR105" s="454"/>
      <c r="AS105" s="454"/>
      <c r="AT105" s="454"/>
      <c r="AU105" s="454"/>
      <c r="AV105" s="454"/>
      <c r="AW105" s="454"/>
      <c r="AX105" s="454"/>
      <c r="AY105" s="454"/>
      <c r="AZ105" s="454"/>
      <c r="BA105" s="454"/>
      <c r="BB105" s="454"/>
      <c r="BC105" s="454"/>
      <c r="BD105" s="454"/>
      <c r="BE105" s="454"/>
      <c r="BF105" s="454"/>
      <c r="BG105" s="454"/>
      <c r="BH105" s="454"/>
      <c r="BI105" s="454"/>
      <c r="BJ105" s="454"/>
      <c r="BK105" s="454"/>
      <c r="BL105" s="454"/>
      <c r="BM105" s="454"/>
      <c r="BN105" s="454"/>
      <c r="BO105" s="454"/>
      <c r="BP105" s="454"/>
      <c r="BQ105" s="454"/>
      <c r="BR105" s="454"/>
      <c r="BS105" s="454"/>
      <c r="BT105" s="454"/>
      <c r="BU105" s="454"/>
      <c r="BV105" s="454"/>
      <c r="BW105" s="454"/>
      <c r="BX105" s="454"/>
      <c r="BY105" s="454"/>
      <c r="BZ105" s="454"/>
      <c r="CA105" s="454"/>
      <c r="CB105" s="454"/>
      <c r="CC105" s="454"/>
      <c r="CD105" s="454"/>
      <c r="CE105" s="454"/>
      <c r="CF105" s="454"/>
      <c r="CG105" s="454"/>
      <c r="CH105" s="454"/>
      <c r="CI105" s="454"/>
      <c r="CJ105" s="454"/>
      <c r="CK105" s="454"/>
      <c r="CL105" s="454"/>
      <c r="CM105" s="454"/>
      <c r="CN105" s="454"/>
      <c r="CO105" s="454"/>
      <c r="CP105" s="454"/>
      <c r="CQ105" s="454"/>
      <c r="CR105" s="454"/>
      <c r="CS105" s="454"/>
      <c r="CT105" s="454"/>
      <c r="CU105" s="454"/>
      <c r="CV105" s="517"/>
      <c r="CW105" s="517"/>
      <c r="CX105" s="517">
        <f t="shared" si="15"/>
        <v>60.5</v>
      </c>
      <c r="CY105" s="517"/>
      <c r="CZ105" s="517"/>
      <c r="DA105" s="517"/>
      <c r="DB105" s="517">
        <f t="shared" si="16"/>
        <v>181.5</v>
      </c>
      <c r="DC105" s="517"/>
      <c r="DD105" s="517"/>
      <c r="DE105" s="517"/>
      <c r="DF105" s="517"/>
      <c r="DG105" s="517"/>
      <c r="DH105" s="517"/>
      <c r="DI105" s="454"/>
      <c r="DJ105" s="454"/>
      <c r="DK105" s="454"/>
      <c r="DL105" s="454">
        <v>2</v>
      </c>
      <c r="DM105" s="454">
        <v>8</v>
      </c>
      <c r="DN105" s="454">
        <v>1</v>
      </c>
      <c r="DO105" s="454">
        <v>4</v>
      </c>
      <c r="DP105" s="454">
        <v>3</v>
      </c>
      <c r="DQ105" s="454"/>
      <c r="DR105" s="454"/>
      <c r="DS105" s="454"/>
      <c r="DT105" s="454"/>
      <c r="DU105" s="454">
        <v>12</v>
      </c>
      <c r="DV105" s="454"/>
      <c r="DW105" s="454"/>
      <c r="DX105" s="454"/>
      <c r="DY105" s="454"/>
      <c r="DZ105" s="454"/>
      <c r="EA105" s="454"/>
      <c r="EB105" s="454">
        <v>3</v>
      </c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290"/>
    </row>
    <row r="106" spans="1:163" s="4" customFormat="1">
      <c r="A106" s="56"/>
      <c r="B106" s="56"/>
      <c r="C106" s="498"/>
      <c r="D106" s="498" t="s">
        <v>3677</v>
      </c>
      <c r="E106" s="454">
        <v>37.700000000000003</v>
      </c>
      <c r="F106" s="454"/>
      <c r="G106" s="454"/>
      <c r="H106" s="454"/>
      <c r="I106" s="454"/>
      <c r="J106" s="454"/>
      <c r="K106" s="454"/>
      <c r="L106" s="454"/>
      <c r="M106" s="454"/>
      <c r="N106" s="454"/>
      <c r="O106" s="454"/>
      <c r="P106" s="454"/>
      <c r="Q106" s="454"/>
      <c r="R106" s="290"/>
      <c r="S106" s="290"/>
      <c r="T106" s="454" t="s">
        <v>1631</v>
      </c>
      <c r="U106" s="454" t="s">
        <v>1631</v>
      </c>
      <c r="V106" s="454"/>
      <c r="W106" s="454"/>
      <c r="X106" s="454"/>
      <c r="Y106" s="454"/>
      <c r="Z106" s="454"/>
      <c r="AA106" s="454"/>
      <c r="AB106" s="454"/>
      <c r="AC106" s="454"/>
      <c r="AD106" s="454"/>
      <c r="AE106" s="454"/>
      <c r="AF106" s="454"/>
      <c r="AG106" s="454"/>
      <c r="AH106" s="454"/>
      <c r="AI106" s="454"/>
      <c r="AJ106" s="454"/>
      <c r="AK106" s="454"/>
      <c r="AL106" s="454"/>
      <c r="AM106" s="454"/>
      <c r="AN106" s="454"/>
      <c r="AO106" s="454"/>
      <c r="AP106" s="454"/>
      <c r="AQ106" s="454"/>
      <c r="AR106" s="454"/>
      <c r="AS106" s="454"/>
      <c r="AT106" s="454"/>
      <c r="AU106" s="454"/>
      <c r="AV106" s="454"/>
      <c r="AW106" s="454"/>
      <c r="AX106" s="454"/>
      <c r="AY106" s="454"/>
      <c r="AZ106" s="454"/>
      <c r="BA106" s="454"/>
      <c r="BB106" s="454"/>
      <c r="BC106" s="454"/>
      <c r="BD106" s="454"/>
      <c r="BE106" s="454"/>
      <c r="BF106" s="454"/>
      <c r="BG106" s="454"/>
      <c r="BH106" s="454"/>
      <c r="BI106" s="454"/>
      <c r="BJ106" s="454"/>
      <c r="BK106" s="454"/>
      <c r="BL106" s="454"/>
      <c r="BM106" s="454"/>
      <c r="BN106" s="454"/>
      <c r="BO106" s="454"/>
      <c r="BP106" s="454"/>
      <c r="BQ106" s="454"/>
      <c r="BR106" s="454"/>
      <c r="BS106" s="454"/>
      <c r="BT106" s="454"/>
      <c r="BU106" s="454"/>
      <c r="BV106" s="454"/>
      <c r="BW106" s="454"/>
      <c r="BX106" s="454"/>
      <c r="BY106" s="454"/>
      <c r="BZ106" s="454"/>
      <c r="CA106" s="454"/>
      <c r="CB106" s="454"/>
      <c r="CC106" s="454"/>
      <c r="CD106" s="454"/>
      <c r="CE106" s="454"/>
      <c r="CF106" s="454"/>
      <c r="CG106" s="454"/>
      <c r="CH106" s="454"/>
      <c r="CI106" s="454"/>
      <c r="CJ106" s="454"/>
      <c r="CK106" s="454"/>
      <c r="CL106" s="454"/>
      <c r="CM106" s="454"/>
      <c r="CN106" s="454"/>
      <c r="CO106" s="454"/>
      <c r="CP106" s="454"/>
      <c r="CQ106" s="454"/>
      <c r="CR106" s="454"/>
      <c r="CS106" s="454"/>
      <c r="CT106" s="454"/>
      <c r="CU106" s="454"/>
      <c r="CV106" s="517"/>
      <c r="CW106" s="517"/>
      <c r="CX106" s="517">
        <f t="shared" si="15"/>
        <v>37.700000000000003</v>
      </c>
      <c r="CY106" s="517"/>
      <c r="CZ106" s="517"/>
      <c r="DA106" s="517"/>
      <c r="DB106" s="517">
        <f t="shared" si="16"/>
        <v>113.10000000000001</v>
      </c>
      <c r="DC106" s="517"/>
      <c r="DD106" s="517"/>
      <c r="DE106" s="517"/>
      <c r="DF106" s="517"/>
      <c r="DG106" s="517"/>
      <c r="DH106" s="517"/>
      <c r="DI106" s="454"/>
      <c r="DJ106" s="454"/>
      <c r="DK106" s="454"/>
      <c r="DL106" s="454">
        <v>1</v>
      </c>
      <c r="DM106" s="454">
        <v>4</v>
      </c>
      <c r="DN106" s="454">
        <v>1</v>
      </c>
      <c r="DO106" s="454">
        <v>3</v>
      </c>
      <c r="DP106" s="454">
        <v>2</v>
      </c>
      <c r="DQ106" s="454"/>
      <c r="DR106" s="454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>
        <v>2</v>
      </c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290"/>
    </row>
    <row r="107" spans="1:163" s="4" customFormat="1">
      <c r="A107" s="56"/>
      <c r="B107" s="56"/>
      <c r="C107" s="498"/>
      <c r="D107" s="498" t="s">
        <v>3678</v>
      </c>
      <c r="E107" s="454">
        <v>42.3</v>
      </c>
      <c r="F107" s="454"/>
      <c r="G107" s="454"/>
      <c r="H107" s="454"/>
      <c r="I107" s="454"/>
      <c r="J107" s="454"/>
      <c r="K107" s="454"/>
      <c r="L107" s="454"/>
      <c r="M107" s="454"/>
      <c r="N107" s="454"/>
      <c r="O107" s="454"/>
      <c r="P107" s="454"/>
      <c r="Q107" s="454"/>
      <c r="R107" s="290"/>
      <c r="S107" s="290"/>
      <c r="T107" s="454" t="s">
        <v>1631</v>
      </c>
      <c r="U107" s="454" t="s">
        <v>1631</v>
      </c>
      <c r="V107" s="454"/>
      <c r="W107" s="454"/>
      <c r="X107" s="454"/>
      <c r="Y107" s="454"/>
      <c r="Z107" s="454"/>
      <c r="AA107" s="454"/>
      <c r="AB107" s="454"/>
      <c r="AC107" s="454"/>
      <c r="AD107" s="454"/>
      <c r="AE107" s="454"/>
      <c r="AF107" s="454"/>
      <c r="AG107" s="454"/>
      <c r="AH107" s="454"/>
      <c r="AI107" s="454"/>
      <c r="AJ107" s="454"/>
      <c r="AK107" s="454"/>
      <c r="AL107" s="454"/>
      <c r="AM107" s="454"/>
      <c r="AN107" s="454"/>
      <c r="AO107" s="454"/>
      <c r="AP107" s="454"/>
      <c r="AQ107" s="454"/>
      <c r="AR107" s="454"/>
      <c r="AS107" s="454"/>
      <c r="AT107" s="454"/>
      <c r="AU107" s="454"/>
      <c r="AV107" s="454"/>
      <c r="AW107" s="454"/>
      <c r="AX107" s="454"/>
      <c r="AY107" s="454"/>
      <c r="AZ107" s="454"/>
      <c r="BA107" s="454"/>
      <c r="BB107" s="454"/>
      <c r="BC107" s="454"/>
      <c r="BD107" s="454"/>
      <c r="BE107" s="454"/>
      <c r="BF107" s="454"/>
      <c r="BG107" s="454"/>
      <c r="BH107" s="454"/>
      <c r="BI107" s="454"/>
      <c r="BJ107" s="454"/>
      <c r="BK107" s="454"/>
      <c r="BL107" s="454"/>
      <c r="BM107" s="454"/>
      <c r="BN107" s="454"/>
      <c r="BO107" s="454"/>
      <c r="BP107" s="454"/>
      <c r="BQ107" s="454"/>
      <c r="BR107" s="454"/>
      <c r="BS107" s="454"/>
      <c r="BT107" s="454"/>
      <c r="BU107" s="454"/>
      <c r="BV107" s="454"/>
      <c r="BW107" s="454"/>
      <c r="BX107" s="454"/>
      <c r="BY107" s="454"/>
      <c r="BZ107" s="454"/>
      <c r="CA107" s="454"/>
      <c r="CB107" s="454"/>
      <c r="CC107" s="454"/>
      <c r="CD107" s="454"/>
      <c r="CE107" s="454"/>
      <c r="CF107" s="454"/>
      <c r="CG107" s="454"/>
      <c r="CH107" s="454"/>
      <c r="CI107" s="454"/>
      <c r="CJ107" s="454"/>
      <c r="CK107" s="454"/>
      <c r="CL107" s="454"/>
      <c r="CM107" s="454"/>
      <c r="CN107" s="454"/>
      <c r="CO107" s="454"/>
      <c r="CP107" s="454"/>
      <c r="CQ107" s="454"/>
      <c r="CR107" s="454"/>
      <c r="CS107" s="454"/>
      <c r="CT107" s="454"/>
      <c r="CU107" s="454"/>
      <c r="CV107" s="517"/>
      <c r="CW107" s="517"/>
      <c r="CX107" s="517">
        <f t="shared" si="15"/>
        <v>42.3</v>
      </c>
      <c r="CY107" s="517"/>
      <c r="CZ107" s="517"/>
      <c r="DA107" s="517"/>
      <c r="DB107" s="517">
        <f t="shared" si="16"/>
        <v>126.89999999999999</v>
      </c>
      <c r="DC107" s="517"/>
      <c r="DD107" s="517"/>
      <c r="DE107" s="517"/>
      <c r="DF107" s="517"/>
      <c r="DG107" s="517"/>
      <c r="DH107" s="517"/>
      <c r="DI107" s="454"/>
      <c r="DJ107" s="454"/>
      <c r="DK107" s="454"/>
      <c r="DL107" s="454">
        <v>1</v>
      </c>
      <c r="DM107" s="454">
        <v>4</v>
      </c>
      <c r="DN107" s="454">
        <v>2</v>
      </c>
      <c r="DO107" s="454">
        <v>4</v>
      </c>
      <c r="DP107" s="454">
        <v>4</v>
      </c>
      <c r="DQ107" s="454"/>
      <c r="DR107" s="454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>
        <v>3</v>
      </c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290"/>
    </row>
    <row r="108" spans="1:163" s="4" customFormat="1">
      <c r="A108" s="56"/>
      <c r="B108" s="56"/>
      <c r="C108" s="498"/>
      <c r="D108" s="498" t="s">
        <v>3679</v>
      </c>
      <c r="E108" s="454">
        <v>44</v>
      </c>
      <c r="F108" s="454"/>
      <c r="G108" s="454"/>
      <c r="H108" s="454"/>
      <c r="I108" s="454"/>
      <c r="J108" s="454"/>
      <c r="K108" s="454"/>
      <c r="L108" s="454"/>
      <c r="M108" s="454"/>
      <c r="N108" s="454"/>
      <c r="O108" s="454"/>
      <c r="P108" s="454"/>
      <c r="Q108" s="454"/>
      <c r="R108" s="290"/>
      <c r="S108" s="290"/>
      <c r="T108" s="454" t="s">
        <v>1631</v>
      </c>
      <c r="U108" s="454" t="s">
        <v>1631</v>
      </c>
      <c r="V108" s="454"/>
      <c r="W108" s="454"/>
      <c r="X108" s="454"/>
      <c r="Y108" s="454"/>
      <c r="Z108" s="454"/>
      <c r="AA108" s="454"/>
      <c r="AB108" s="454"/>
      <c r="AC108" s="454"/>
      <c r="AD108" s="454"/>
      <c r="AE108" s="454"/>
      <c r="AF108" s="454"/>
      <c r="AG108" s="454"/>
      <c r="AH108" s="454"/>
      <c r="AI108" s="454"/>
      <c r="AJ108" s="454"/>
      <c r="AK108" s="454"/>
      <c r="AL108" s="454"/>
      <c r="AM108" s="454"/>
      <c r="AN108" s="454"/>
      <c r="AO108" s="454"/>
      <c r="AP108" s="454"/>
      <c r="AQ108" s="454"/>
      <c r="AR108" s="454"/>
      <c r="AS108" s="454"/>
      <c r="AT108" s="454"/>
      <c r="AU108" s="454"/>
      <c r="AV108" s="454"/>
      <c r="AW108" s="454"/>
      <c r="AX108" s="454"/>
      <c r="AY108" s="454"/>
      <c r="AZ108" s="454"/>
      <c r="BA108" s="454"/>
      <c r="BB108" s="454"/>
      <c r="BC108" s="454"/>
      <c r="BD108" s="454"/>
      <c r="BE108" s="454"/>
      <c r="BF108" s="454"/>
      <c r="BG108" s="454"/>
      <c r="BH108" s="454"/>
      <c r="BI108" s="454"/>
      <c r="BJ108" s="454"/>
      <c r="BK108" s="454"/>
      <c r="BL108" s="454"/>
      <c r="BM108" s="454"/>
      <c r="BN108" s="454"/>
      <c r="BO108" s="454"/>
      <c r="BP108" s="454"/>
      <c r="BQ108" s="454"/>
      <c r="BR108" s="454"/>
      <c r="BS108" s="454"/>
      <c r="BT108" s="454"/>
      <c r="BU108" s="454"/>
      <c r="BV108" s="454"/>
      <c r="BW108" s="454"/>
      <c r="BX108" s="454"/>
      <c r="BY108" s="454"/>
      <c r="BZ108" s="454"/>
      <c r="CA108" s="454"/>
      <c r="CB108" s="454"/>
      <c r="CC108" s="454"/>
      <c r="CD108" s="454"/>
      <c r="CE108" s="454"/>
      <c r="CF108" s="454"/>
      <c r="CG108" s="454"/>
      <c r="CH108" s="454"/>
      <c r="CI108" s="454"/>
      <c r="CJ108" s="454"/>
      <c r="CK108" s="454"/>
      <c r="CL108" s="454"/>
      <c r="CM108" s="454"/>
      <c r="CN108" s="454"/>
      <c r="CO108" s="454"/>
      <c r="CP108" s="454"/>
      <c r="CQ108" s="454"/>
      <c r="CR108" s="454"/>
      <c r="CS108" s="454"/>
      <c r="CT108" s="454"/>
      <c r="CU108" s="454"/>
      <c r="CV108" s="517"/>
      <c r="CW108" s="517"/>
      <c r="CX108" s="517">
        <f t="shared" si="15"/>
        <v>44</v>
      </c>
      <c r="CY108" s="517"/>
      <c r="CZ108" s="517"/>
      <c r="DA108" s="517"/>
      <c r="DB108" s="517">
        <f t="shared" si="16"/>
        <v>132</v>
      </c>
      <c r="DC108" s="517"/>
      <c r="DD108" s="517"/>
      <c r="DE108" s="517"/>
      <c r="DF108" s="517"/>
      <c r="DG108" s="517"/>
      <c r="DH108" s="517"/>
      <c r="DI108" s="454"/>
      <c r="DJ108" s="454"/>
      <c r="DK108" s="454"/>
      <c r="DL108" s="454">
        <v>1</v>
      </c>
      <c r="DM108" s="454">
        <v>4</v>
      </c>
      <c r="DN108" s="454">
        <v>1</v>
      </c>
      <c r="DO108" s="454">
        <v>2</v>
      </c>
      <c r="DP108" s="454">
        <v>2</v>
      </c>
      <c r="DQ108" s="454"/>
      <c r="DR108" s="454"/>
      <c r="DS108" s="454"/>
      <c r="DT108" s="454"/>
      <c r="DU108" s="454"/>
      <c r="DV108" s="454"/>
      <c r="DW108" s="454"/>
      <c r="DX108" s="454"/>
      <c r="DY108" s="454"/>
      <c r="DZ108" s="454"/>
      <c r="EA108" s="454"/>
      <c r="EB108" s="454">
        <v>2</v>
      </c>
      <c r="EC108" s="454"/>
      <c r="ED108" s="454"/>
      <c r="EE108" s="454"/>
      <c r="EF108" s="454"/>
      <c r="EG108" s="454"/>
      <c r="EH108" s="454"/>
      <c r="EI108" s="454"/>
      <c r="EJ108" s="454"/>
      <c r="EK108" s="454"/>
      <c r="EL108" s="454"/>
      <c r="EM108" s="454"/>
      <c r="EN108" s="454"/>
      <c r="EO108" s="454"/>
      <c r="EP108" s="454"/>
      <c r="EQ108" s="454"/>
      <c r="ER108" s="454"/>
      <c r="ES108" s="454"/>
      <c r="ET108" s="454"/>
      <c r="EU108" s="454"/>
      <c r="EV108" s="454"/>
      <c r="EW108" s="454"/>
      <c r="EX108" s="454"/>
      <c r="EY108" s="454"/>
      <c r="EZ108" s="454"/>
      <c r="FA108" s="454"/>
      <c r="FB108" s="454"/>
      <c r="FC108" s="454"/>
      <c r="FD108" s="454"/>
      <c r="FE108" s="454"/>
      <c r="FF108" s="454"/>
      <c r="FG108" s="290"/>
    </row>
    <row r="109" spans="1:163" s="4" customFormat="1">
      <c r="A109" s="56"/>
      <c r="B109" s="56"/>
      <c r="C109" s="498"/>
      <c r="D109" s="498" t="s">
        <v>3680</v>
      </c>
      <c r="E109" s="454">
        <v>37.9</v>
      </c>
      <c r="F109" s="454"/>
      <c r="G109" s="454"/>
      <c r="H109" s="454"/>
      <c r="I109" s="454"/>
      <c r="J109" s="454"/>
      <c r="K109" s="454"/>
      <c r="L109" s="454"/>
      <c r="M109" s="454"/>
      <c r="N109" s="454"/>
      <c r="O109" s="454"/>
      <c r="P109" s="454"/>
      <c r="Q109" s="454"/>
      <c r="R109" s="290"/>
      <c r="S109" s="290"/>
      <c r="T109" s="454" t="s">
        <v>1631</v>
      </c>
      <c r="U109" s="454" t="s">
        <v>1631</v>
      </c>
      <c r="V109" s="454"/>
      <c r="W109" s="454"/>
      <c r="X109" s="454"/>
      <c r="Y109" s="454"/>
      <c r="Z109" s="454"/>
      <c r="AA109" s="454"/>
      <c r="AB109" s="454"/>
      <c r="AC109" s="454"/>
      <c r="AD109" s="454"/>
      <c r="AE109" s="454"/>
      <c r="AF109" s="454"/>
      <c r="AG109" s="454"/>
      <c r="AH109" s="454"/>
      <c r="AI109" s="454"/>
      <c r="AJ109" s="454"/>
      <c r="AK109" s="454"/>
      <c r="AL109" s="454"/>
      <c r="AM109" s="454"/>
      <c r="AN109" s="454"/>
      <c r="AO109" s="454"/>
      <c r="AP109" s="454"/>
      <c r="AQ109" s="454"/>
      <c r="AR109" s="454"/>
      <c r="AS109" s="454"/>
      <c r="AT109" s="454"/>
      <c r="AU109" s="454"/>
      <c r="AV109" s="454"/>
      <c r="AW109" s="454"/>
      <c r="AX109" s="454"/>
      <c r="AY109" s="454"/>
      <c r="AZ109" s="454"/>
      <c r="BA109" s="454"/>
      <c r="BB109" s="454"/>
      <c r="BC109" s="454"/>
      <c r="BD109" s="454"/>
      <c r="BE109" s="454"/>
      <c r="BF109" s="454"/>
      <c r="BG109" s="454"/>
      <c r="BH109" s="454"/>
      <c r="BI109" s="454"/>
      <c r="BJ109" s="454"/>
      <c r="BK109" s="454"/>
      <c r="BL109" s="454"/>
      <c r="BM109" s="454"/>
      <c r="BN109" s="454"/>
      <c r="BO109" s="454"/>
      <c r="BP109" s="454"/>
      <c r="BQ109" s="454"/>
      <c r="BR109" s="454"/>
      <c r="BS109" s="454"/>
      <c r="BT109" s="454"/>
      <c r="BU109" s="454"/>
      <c r="BV109" s="454"/>
      <c r="BW109" s="454"/>
      <c r="BX109" s="454"/>
      <c r="BY109" s="454"/>
      <c r="BZ109" s="454"/>
      <c r="CA109" s="454"/>
      <c r="CB109" s="454"/>
      <c r="CC109" s="454"/>
      <c r="CD109" s="454"/>
      <c r="CE109" s="454"/>
      <c r="CF109" s="454"/>
      <c r="CG109" s="454"/>
      <c r="CH109" s="454"/>
      <c r="CI109" s="454"/>
      <c r="CJ109" s="454"/>
      <c r="CK109" s="454"/>
      <c r="CL109" s="454"/>
      <c r="CM109" s="454"/>
      <c r="CN109" s="454"/>
      <c r="CO109" s="454"/>
      <c r="CP109" s="454"/>
      <c r="CQ109" s="454"/>
      <c r="CR109" s="454"/>
      <c r="CS109" s="454"/>
      <c r="CT109" s="454"/>
      <c r="CU109" s="454"/>
      <c r="CV109" s="517"/>
      <c r="CW109" s="517"/>
      <c r="CX109" s="517">
        <f t="shared" si="15"/>
        <v>37.9</v>
      </c>
      <c r="CY109" s="517"/>
      <c r="CZ109" s="517"/>
      <c r="DA109" s="517"/>
      <c r="DB109" s="517">
        <f t="shared" si="16"/>
        <v>113.69999999999999</v>
      </c>
      <c r="DC109" s="517"/>
      <c r="DD109" s="517"/>
      <c r="DE109" s="517"/>
      <c r="DF109" s="517"/>
      <c r="DG109" s="517"/>
      <c r="DH109" s="517"/>
      <c r="DI109" s="454"/>
      <c r="DJ109" s="454"/>
      <c r="DK109" s="454"/>
      <c r="DL109" s="454">
        <v>1</v>
      </c>
      <c r="DM109" s="454">
        <v>4</v>
      </c>
      <c r="DN109" s="454">
        <v>1</v>
      </c>
      <c r="DO109" s="454">
        <v>3</v>
      </c>
      <c r="DP109" s="454">
        <v>2</v>
      </c>
      <c r="DQ109" s="454"/>
      <c r="DR109" s="454"/>
      <c r="DS109" s="454"/>
      <c r="DT109" s="454"/>
      <c r="DU109" s="454"/>
      <c r="DV109" s="454"/>
      <c r="DW109" s="454"/>
      <c r="DX109" s="454"/>
      <c r="DY109" s="454"/>
      <c r="DZ109" s="454"/>
      <c r="EA109" s="454"/>
      <c r="EB109" s="454">
        <v>2</v>
      </c>
      <c r="EC109" s="454"/>
      <c r="ED109" s="454"/>
      <c r="EE109" s="454"/>
      <c r="EF109" s="454"/>
      <c r="EG109" s="454"/>
      <c r="EH109" s="454"/>
      <c r="EI109" s="454"/>
      <c r="EJ109" s="454"/>
      <c r="EK109" s="454"/>
      <c r="EL109" s="454"/>
      <c r="EM109" s="454"/>
      <c r="EN109" s="454"/>
      <c r="EO109" s="454"/>
      <c r="EP109" s="454"/>
      <c r="EQ109" s="454"/>
      <c r="ER109" s="454"/>
      <c r="ES109" s="454"/>
      <c r="ET109" s="454"/>
      <c r="EU109" s="454"/>
      <c r="EV109" s="454"/>
      <c r="EW109" s="454"/>
      <c r="EX109" s="454"/>
      <c r="EY109" s="454"/>
      <c r="EZ109" s="454"/>
      <c r="FA109" s="454"/>
      <c r="FB109" s="454"/>
      <c r="FC109" s="454"/>
      <c r="FD109" s="454"/>
      <c r="FE109" s="454"/>
      <c r="FF109" s="454"/>
      <c r="FG109" s="290"/>
    </row>
    <row r="110" spans="1:163" s="4" customFormat="1">
      <c r="A110" s="56"/>
      <c r="B110" s="56"/>
      <c r="C110" s="498"/>
      <c r="D110" s="498" t="s">
        <v>3681</v>
      </c>
      <c r="E110" s="454">
        <v>40.799999999999997</v>
      </c>
      <c r="F110" s="454"/>
      <c r="G110" s="454"/>
      <c r="H110" s="454"/>
      <c r="I110" s="454"/>
      <c r="J110" s="454"/>
      <c r="K110" s="454"/>
      <c r="L110" s="454"/>
      <c r="M110" s="454"/>
      <c r="N110" s="454"/>
      <c r="O110" s="454"/>
      <c r="P110" s="454"/>
      <c r="Q110" s="454"/>
      <c r="R110" s="290"/>
      <c r="S110" s="290"/>
      <c r="T110" s="454" t="s">
        <v>3005</v>
      </c>
      <c r="U110" s="454" t="s">
        <v>3005</v>
      </c>
      <c r="V110" s="454"/>
      <c r="W110" s="454"/>
      <c r="X110" s="454"/>
      <c r="Y110" s="454"/>
      <c r="Z110" s="454"/>
      <c r="AA110" s="454"/>
      <c r="AB110" s="454"/>
      <c r="AC110" s="454"/>
      <c r="AD110" s="454"/>
      <c r="AE110" s="454"/>
      <c r="AF110" s="454"/>
      <c r="AG110" s="454"/>
      <c r="AH110" s="454"/>
      <c r="AI110" s="454"/>
      <c r="AJ110" s="454"/>
      <c r="AK110" s="454"/>
      <c r="AL110" s="454"/>
      <c r="AM110" s="454"/>
      <c r="AN110" s="454"/>
      <c r="AO110" s="454"/>
      <c r="AP110" s="454"/>
      <c r="AQ110" s="454"/>
      <c r="AR110" s="454"/>
      <c r="AS110" s="454"/>
      <c r="AT110" s="454"/>
      <c r="AU110" s="454"/>
      <c r="AV110" s="454"/>
      <c r="AW110" s="454"/>
      <c r="AX110" s="454"/>
      <c r="AY110" s="454"/>
      <c r="AZ110" s="454"/>
      <c r="BA110" s="454"/>
      <c r="BB110" s="454"/>
      <c r="BC110" s="454"/>
      <c r="BD110" s="454"/>
      <c r="BE110" s="454"/>
      <c r="BF110" s="454"/>
      <c r="BG110" s="454"/>
      <c r="BH110" s="454"/>
      <c r="BI110" s="454"/>
      <c r="BJ110" s="454"/>
      <c r="BK110" s="454"/>
      <c r="BL110" s="454"/>
      <c r="BM110" s="454"/>
      <c r="BN110" s="454"/>
      <c r="BO110" s="454"/>
      <c r="BP110" s="454"/>
      <c r="BQ110" s="454"/>
      <c r="BR110" s="454"/>
      <c r="BS110" s="454"/>
      <c r="BT110" s="454"/>
      <c r="BU110" s="454"/>
      <c r="BV110" s="454"/>
      <c r="BW110" s="454"/>
      <c r="BX110" s="454"/>
      <c r="BY110" s="454"/>
      <c r="BZ110" s="454"/>
      <c r="CA110" s="454"/>
      <c r="CB110" s="454"/>
      <c r="CC110" s="454"/>
      <c r="CD110" s="454"/>
      <c r="CE110" s="454"/>
      <c r="CF110" s="454"/>
      <c r="CG110" s="454"/>
      <c r="CH110" s="454"/>
      <c r="CI110" s="454"/>
      <c r="CJ110" s="454"/>
      <c r="CK110" s="454"/>
      <c r="CL110" s="454"/>
      <c r="CM110" s="454"/>
      <c r="CN110" s="454"/>
      <c r="CO110" s="454"/>
      <c r="CP110" s="454"/>
      <c r="CQ110" s="454"/>
      <c r="CR110" s="454"/>
      <c r="CS110" s="454"/>
      <c r="CT110" s="454"/>
      <c r="CU110" s="454"/>
      <c r="CV110" s="517"/>
      <c r="CW110" s="517"/>
      <c r="CX110" s="517">
        <f t="shared" si="15"/>
        <v>40.799999999999997</v>
      </c>
      <c r="CY110" s="517"/>
      <c r="CZ110" s="517"/>
      <c r="DA110" s="517"/>
      <c r="DB110" s="517">
        <f t="shared" si="16"/>
        <v>122.39999999999999</v>
      </c>
      <c r="DC110" s="517"/>
      <c r="DD110" s="517"/>
      <c r="DE110" s="517"/>
      <c r="DF110" s="517"/>
      <c r="DG110" s="517"/>
      <c r="DH110" s="517"/>
      <c r="DI110" s="454"/>
      <c r="DJ110" s="454"/>
      <c r="DK110" s="454"/>
      <c r="DL110" s="454">
        <v>1</v>
      </c>
      <c r="DM110" s="454">
        <v>4</v>
      </c>
      <c r="DN110" s="454">
        <v>2</v>
      </c>
      <c r="DO110" s="454">
        <v>5</v>
      </c>
      <c r="DP110" s="454">
        <v>4</v>
      </c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>
        <v>2</v>
      </c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  <c r="FG110" s="290"/>
    </row>
    <row r="111" spans="1:163" s="4" customFormat="1">
      <c r="A111" s="56"/>
      <c r="B111" s="56"/>
      <c r="C111" s="498"/>
      <c r="D111" s="498" t="s">
        <v>3682</v>
      </c>
      <c r="E111" s="454">
        <v>39</v>
      </c>
      <c r="F111" s="454"/>
      <c r="G111" s="454"/>
      <c r="H111" s="454"/>
      <c r="I111" s="454"/>
      <c r="J111" s="454"/>
      <c r="K111" s="454"/>
      <c r="L111" s="454"/>
      <c r="M111" s="454"/>
      <c r="N111" s="454"/>
      <c r="O111" s="454"/>
      <c r="P111" s="454"/>
      <c r="Q111" s="454"/>
      <c r="R111" s="290"/>
      <c r="S111" s="290"/>
      <c r="T111" s="454" t="s">
        <v>1903</v>
      </c>
      <c r="U111" s="454" t="s">
        <v>1903</v>
      </c>
      <c r="V111" s="454"/>
      <c r="W111" s="454"/>
      <c r="X111" s="454"/>
      <c r="Y111" s="454"/>
      <c r="Z111" s="454"/>
      <c r="AA111" s="454"/>
      <c r="AB111" s="454"/>
      <c r="AC111" s="454"/>
      <c r="AD111" s="454"/>
      <c r="AE111" s="454"/>
      <c r="AF111" s="454"/>
      <c r="AG111" s="454"/>
      <c r="AH111" s="454"/>
      <c r="AI111" s="454"/>
      <c r="AJ111" s="454"/>
      <c r="AK111" s="454"/>
      <c r="AL111" s="454"/>
      <c r="AM111" s="454"/>
      <c r="AN111" s="454"/>
      <c r="AO111" s="454"/>
      <c r="AP111" s="454"/>
      <c r="AQ111" s="454"/>
      <c r="AR111" s="454"/>
      <c r="AS111" s="454"/>
      <c r="AT111" s="454"/>
      <c r="AU111" s="454"/>
      <c r="AV111" s="454"/>
      <c r="AW111" s="454"/>
      <c r="AX111" s="454"/>
      <c r="AY111" s="454"/>
      <c r="AZ111" s="454"/>
      <c r="BA111" s="454"/>
      <c r="BB111" s="454"/>
      <c r="BC111" s="454"/>
      <c r="BD111" s="454"/>
      <c r="BE111" s="454"/>
      <c r="BF111" s="454"/>
      <c r="BG111" s="454"/>
      <c r="BH111" s="454"/>
      <c r="BI111" s="454"/>
      <c r="BJ111" s="454"/>
      <c r="BK111" s="454"/>
      <c r="BL111" s="454"/>
      <c r="BM111" s="454"/>
      <c r="BN111" s="454"/>
      <c r="BO111" s="454"/>
      <c r="BP111" s="454"/>
      <c r="BQ111" s="454"/>
      <c r="BR111" s="454"/>
      <c r="BS111" s="454"/>
      <c r="BT111" s="454"/>
      <c r="BU111" s="454"/>
      <c r="BV111" s="454"/>
      <c r="BW111" s="454"/>
      <c r="BX111" s="454"/>
      <c r="BY111" s="454"/>
      <c r="BZ111" s="454"/>
      <c r="CA111" s="454"/>
      <c r="CB111" s="454"/>
      <c r="CC111" s="454"/>
      <c r="CD111" s="454"/>
      <c r="CE111" s="454"/>
      <c r="CF111" s="454"/>
      <c r="CG111" s="454"/>
      <c r="CH111" s="454"/>
      <c r="CI111" s="454"/>
      <c r="CJ111" s="454"/>
      <c r="CK111" s="454"/>
      <c r="CL111" s="454"/>
      <c r="CM111" s="454"/>
      <c r="CN111" s="454"/>
      <c r="CO111" s="454"/>
      <c r="CP111" s="454"/>
      <c r="CQ111" s="454"/>
      <c r="CR111" s="454"/>
      <c r="CS111" s="454"/>
      <c r="CT111" s="454"/>
      <c r="CU111" s="454"/>
      <c r="CV111" s="517"/>
      <c r="CW111" s="517"/>
      <c r="CX111" s="517">
        <f t="shared" si="15"/>
        <v>39</v>
      </c>
      <c r="CY111" s="517"/>
      <c r="CZ111" s="517"/>
      <c r="DA111" s="517"/>
      <c r="DB111" s="517">
        <f t="shared" si="16"/>
        <v>117</v>
      </c>
      <c r="DC111" s="517"/>
      <c r="DD111" s="517"/>
      <c r="DE111" s="517"/>
      <c r="DF111" s="517"/>
      <c r="DG111" s="517"/>
      <c r="DH111" s="517"/>
      <c r="DI111" s="454"/>
      <c r="DJ111" s="454"/>
      <c r="DK111" s="454"/>
      <c r="DL111" s="454">
        <v>1</v>
      </c>
      <c r="DM111" s="454">
        <v>4</v>
      </c>
      <c r="DN111" s="454">
        <v>1</v>
      </c>
      <c r="DO111" s="454">
        <v>3</v>
      </c>
      <c r="DP111" s="454">
        <v>2</v>
      </c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>
        <v>2</v>
      </c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  <c r="FG111" s="290"/>
    </row>
    <row r="112" spans="1:163" s="4" customFormat="1">
      <c r="A112" s="56"/>
      <c r="B112" s="56"/>
      <c r="C112" s="498"/>
      <c r="D112" s="498" t="s">
        <v>3683</v>
      </c>
      <c r="E112" s="454">
        <v>41.2</v>
      </c>
      <c r="F112" s="454"/>
      <c r="G112" s="454"/>
      <c r="H112" s="454"/>
      <c r="I112" s="454"/>
      <c r="J112" s="454"/>
      <c r="K112" s="454"/>
      <c r="L112" s="454"/>
      <c r="M112" s="454"/>
      <c r="N112" s="454"/>
      <c r="O112" s="454"/>
      <c r="P112" s="454"/>
      <c r="Q112" s="454"/>
      <c r="R112" s="290"/>
      <c r="S112" s="290"/>
      <c r="T112" s="454" t="s">
        <v>2989</v>
      </c>
      <c r="U112" s="454" t="s">
        <v>2989</v>
      </c>
      <c r="V112" s="454"/>
      <c r="W112" s="454"/>
      <c r="X112" s="454"/>
      <c r="Y112" s="454"/>
      <c r="Z112" s="454"/>
      <c r="AA112" s="454"/>
      <c r="AB112" s="454"/>
      <c r="AC112" s="454"/>
      <c r="AD112" s="454"/>
      <c r="AE112" s="454"/>
      <c r="AF112" s="454"/>
      <c r="AG112" s="454"/>
      <c r="AH112" s="454"/>
      <c r="AI112" s="454"/>
      <c r="AJ112" s="454"/>
      <c r="AK112" s="454"/>
      <c r="AL112" s="454"/>
      <c r="AM112" s="454"/>
      <c r="AN112" s="454"/>
      <c r="AO112" s="454"/>
      <c r="AP112" s="454"/>
      <c r="AQ112" s="454"/>
      <c r="AR112" s="454"/>
      <c r="AS112" s="454"/>
      <c r="AT112" s="454"/>
      <c r="AU112" s="454"/>
      <c r="AV112" s="454"/>
      <c r="AW112" s="454"/>
      <c r="AX112" s="454"/>
      <c r="AY112" s="454"/>
      <c r="AZ112" s="454"/>
      <c r="BA112" s="454"/>
      <c r="BB112" s="454"/>
      <c r="BC112" s="454"/>
      <c r="BD112" s="454"/>
      <c r="BE112" s="454"/>
      <c r="BF112" s="454"/>
      <c r="BG112" s="454"/>
      <c r="BH112" s="454"/>
      <c r="BI112" s="454"/>
      <c r="BJ112" s="454"/>
      <c r="BK112" s="454"/>
      <c r="BL112" s="454"/>
      <c r="BM112" s="454"/>
      <c r="BN112" s="454"/>
      <c r="BO112" s="454"/>
      <c r="BP112" s="454"/>
      <c r="BQ112" s="454"/>
      <c r="BR112" s="454"/>
      <c r="BS112" s="454"/>
      <c r="BT112" s="454"/>
      <c r="BU112" s="454"/>
      <c r="BV112" s="454"/>
      <c r="BW112" s="454"/>
      <c r="BX112" s="454"/>
      <c r="BY112" s="454"/>
      <c r="BZ112" s="454"/>
      <c r="CA112" s="454"/>
      <c r="CB112" s="454"/>
      <c r="CC112" s="454"/>
      <c r="CD112" s="454"/>
      <c r="CE112" s="454"/>
      <c r="CF112" s="454"/>
      <c r="CG112" s="454"/>
      <c r="CH112" s="454"/>
      <c r="CI112" s="454"/>
      <c r="CJ112" s="454"/>
      <c r="CK112" s="454"/>
      <c r="CL112" s="454"/>
      <c r="CM112" s="454"/>
      <c r="CN112" s="454"/>
      <c r="CO112" s="454"/>
      <c r="CP112" s="454"/>
      <c r="CQ112" s="454"/>
      <c r="CR112" s="454"/>
      <c r="CS112" s="454"/>
      <c r="CT112" s="454"/>
      <c r="CU112" s="454"/>
      <c r="CV112" s="517"/>
      <c r="CW112" s="517"/>
      <c r="CX112" s="517">
        <f t="shared" si="15"/>
        <v>41.2</v>
      </c>
      <c r="CY112" s="517"/>
      <c r="CZ112" s="517"/>
      <c r="DA112" s="517"/>
      <c r="DB112" s="517">
        <f t="shared" si="16"/>
        <v>123.60000000000001</v>
      </c>
      <c r="DC112" s="517"/>
      <c r="DD112" s="517"/>
      <c r="DE112" s="517"/>
      <c r="DF112" s="517"/>
      <c r="DG112" s="517"/>
      <c r="DH112" s="517"/>
      <c r="DI112" s="454"/>
      <c r="DJ112" s="454"/>
      <c r="DK112" s="454"/>
      <c r="DL112" s="454">
        <v>2</v>
      </c>
      <c r="DM112" s="454">
        <v>8</v>
      </c>
      <c r="DN112" s="454">
        <v>1</v>
      </c>
      <c r="DO112" s="454">
        <v>3</v>
      </c>
      <c r="DP112" s="454">
        <v>3</v>
      </c>
      <c r="DQ112" s="454"/>
      <c r="DR112" s="454"/>
      <c r="DS112" s="454"/>
      <c r="DT112" s="454"/>
      <c r="DU112" s="454">
        <v>14</v>
      </c>
      <c r="DV112" s="454"/>
      <c r="DW112" s="454"/>
      <c r="DX112" s="454"/>
      <c r="DY112" s="454"/>
      <c r="DZ112" s="454"/>
      <c r="EA112" s="454"/>
      <c r="EB112" s="454">
        <v>2</v>
      </c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  <c r="FG112" s="290"/>
    </row>
    <row r="113" spans="1:163" s="4" customFormat="1">
      <c r="A113" s="56"/>
      <c r="B113" s="56"/>
      <c r="C113" s="498"/>
      <c r="D113" s="498" t="s">
        <v>3684</v>
      </c>
      <c r="E113" s="454">
        <v>31.9</v>
      </c>
      <c r="F113" s="454"/>
      <c r="G113" s="454"/>
      <c r="H113" s="454"/>
      <c r="I113" s="454"/>
      <c r="J113" s="454"/>
      <c r="K113" s="454"/>
      <c r="L113" s="454"/>
      <c r="M113" s="454"/>
      <c r="N113" s="454"/>
      <c r="O113" s="454"/>
      <c r="P113" s="454"/>
      <c r="Q113" s="454"/>
      <c r="R113" s="290"/>
      <c r="S113" s="290"/>
      <c r="T113" s="454" t="s">
        <v>1903</v>
      </c>
      <c r="U113" s="454" t="s">
        <v>1903</v>
      </c>
      <c r="V113" s="454"/>
      <c r="W113" s="454"/>
      <c r="X113" s="454"/>
      <c r="Y113" s="454"/>
      <c r="Z113" s="454"/>
      <c r="AA113" s="454"/>
      <c r="AB113" s="454"/>
      <c r="AC113" s="454"/>
      <c r="AD113" s="454"/>
      <c r="AE113" s="454"/>
      <c r="AF113" s="454"/>
      <c r="AG113" s="454"/>
      <c r="AH113" s="454"/>
      <c r="AI113" s="454"/>
      <c r="AJ113" s="454"/>
      <c r="AK113" s="454"/>
      <c r="AL113" s="454"/>
      <c r="AM113" s="454"/>
      <c r="AN113" s="454"/>
      <c r="AO113" s="454"/>
      <c r="AP113" s="454"/>
      <c r="AQ113" s="454"/>
      <c r="AR113" s="454"/>
      <c r="AS113" s="454"/>
      <c r="AT113" s="454"/>
      <c r="AU113" s="454"/>
      <c r="AV113" s="454"/>
      <c r="AW113" s="454"/>
      <c r="AX113" s="454"/>
      <c r="AY113" s="454"/>
      <c r="AZ113" s="454"/>
      <c r="BA113" s="454"/>
      <c r="BB113" s="454"/>
      <c r="BC113" s="454"/>
      <c r="BD113" s="454"/>
      <c r="BE113" s="454"/>
      <c r="BF113" s="454"/>
      <c r="BG113" s="454"/>
      <c r="BH113" s="454"/>
      <c r="BI113" s="454"/>
      <c r="BJ113" s="454"/>
      <c r="BK113" s="454"/>
      <c r="BL113" s="454"/>
      <c r="BM113" s="454"/>
      <c r="BN113" s="454"/>
      <c r="BO113" s="454"/>
      <c r="BP113" s="454"/>
      <c r="BQ113" s="454"/>
      <c r="BR113" s="454"/>
      <c r="BS113" s="454"/>
      <c r="BT113" s="454"/>
      <c r="BU113" s="454"/>
      <c r="BV113" s="454"/>
      <c r="BW113" s="454"/>
      <c r="BX113" s="454"/>
      <c r="BY113" s="454"/>
      <c r="BZ113" s="454"/>
      <c r="CA113" s="454"/>
      <c r="CB113" s="454"/>
      <c r="CC113" s="454"/>
      <c r="CD113" s="454"/>
      <c r="CE113" s="454"/>
      <c r="CF113" s="454"/>
      <c r="CG113" s="454"/>
      <c r="CH113" s="454"/>
      <c r="CI113" s="454"/>
      <c r="CJ113" s="454"/>
      <c r="CK113" s="454"/>
      <c r="CL113" s="454"/>
      <c r="CM113" s="454"/>
      <c r="CN113" s="454"/>
      <c r="CO113" s="454"/>
      <c r="CP113" s="454"/>
      <c r="CQ113" s="454"/>
      <c r="CR113" s="454"/>
      <c r="CS113" s="454"/>
      <c r="CT113" s="454"/>
      <c r="CU113" s="454"/>
      <c r="CV113" s="517"/>
      <c r="CW113" s="517"/>
      <c r="CX113" s="517">
        <f t="shared" si="15"/>
        <v>31.9</v>
      </c>
      <c r="CY113" s="517"/>
      <c r="CZ113" s="517"/>
      <c r="DA113" s="517"/>
      <c r="DB113" s="517">
        <f t="shared" si="16"/>
        <v>95.699999999999989</v>
      </c>
      <c r="DC113" s="517"/>
      <c r="DD113" s="517"/>
      <c r="DE113" s="517"/>
      <c r="DF113" s="517"/>
      <c r="DG113" s="517"/>
      <c r="DH113" s="517"/>
      <c r="DI113" s="454"/>
      <c r="DJ113" s="454"/>
      <c r="DK113" s="454"/>
      <c r="DL113" s="454">
        <v>1</v>
      </c>
      <c r="DM113" s="454">
        <v>4</v>
      </c>
      <c r="DN113" s="454">
        <v>1</v>
      </c>
      <c r="DO113" s="454">
        <v>2</v>
      </c>
      <c r="DP113" s="454">
        <v>2</v>
      </c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>
        <v>2</v>
      </c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  <c r="FG113" s="290"/>
    </row>
    <row r="114" spans="1:163" s="4" customFormat="1">
      <c r="A114" s="56"/>
      <c r="B114" s="56"/>
      <c r="C114" s="498"/>
      <c r="D114" s="498" t="s">
        <v>3660</v>
      </c>
      <c r="E114" s="454">
        <v>37.9</v>
      </c>
      <c r="F114" s="454"/>
      <c r="G114" s="454"/>
      <c r="H114" s="454"/>
      <c r="I114" s="454"/>
      <c r="J114" s="454"/>
      <c r="K114" s="454"/>
      <c r="L114" s="454"/>
      <c r="M114" s="454"/>
      <c r="N114" s="454"/>
      <c r="O114" s="454"/>
      <c r="P114" s="454"/>
      <c r="Q114" s="454"/>
      <c r="R114" s="290"/>
      <c r="S114" s="290"/>
      <c r="T114" s="454" t="s">
        <v>1631</v>
      </c>
      <c r="U114" s="454" t="s">
        <v>1631</v>
      </c>
      <c r="V114" s="454"/>
      <c r="W114" s="454"/>
      <c r="X114" s="454"/>
      <c r="Y114" s="454"/>
      <c r="Z114" s="454"/>
      <c r="AA114" s="454"/>
      <c r="AB114" s="454"/>
      <c r="AC114" s="454"/>
      <c r="AD114" s="454"/>
      <c r="AE114" s="454"/>
      <c r="AF114" s="454"/>
      <c r="AG114" s="454"/>
      <c r="AH114" s="454"/>
      <c r="AI114" s="454"/>
      <c r="AJ114" s="454"/>
      <c r="AK114" s="454"/>
      <c r="AL114" s="454"/>
      <c r="AM114" s="454"/>
      <c r="AN114" s="454"/>
      <c r="AO114" s="454"/>
      <c r="AP114" s="454"/>
      <c r="AQ114" s="454"/>
      <c r="AR114" s="454"/>
      <c r="AS114" s="454"/>
      <c r="AT114" s="454"/>
      <c r="AU114" s="454"/>
      <c r="AV114" s="454"/>
      <c r="AW114" s="454"/>
      <c r="AX114" s="454"/>
      <c r="AY114" s="454"/>
      <c r="AZ114" s="454"/>
      <c r="BA114" s="454"/>
      <c r="BB114" s="454"/>
      <c r="BC114" s="454"/>
      <c r="BD114" s="454"/>
      <c r="BE114" s="454"/>
      <c r="BF114" s="454"/>
      <c r="BG114" s="454"/>
      <c r="BH114" s="454"/>
      <c r="BI114" s="454"/>
      <c r="BJ114" s="454"/>
      <c r="BK114" s="454"/>
      <c r="BL114" s="454"/>
      <c r="BM114" s="454"/>
      <c r="BN114" s="454"/>
      <c r="BO114" s="454"/>
      <c r="BP114" s="454"/>
      <c r="BQ114" s="454"/>
      <c r="BR114" s="454"/>
      <c r="BS114" s="454"/>
      <c r="BT114" s="454"/>
      <c r="BU114" s="454"/>
      <c r="BV114" s="454"/>
      <c r="BW114" s="454"/>
      <c r="BX114" s="454"/>
      <c r="BY114" s="454"/>
      <c r="BZ114" s="454"/>
      <c r="CA114" s="454"/>
      <c r="CB114" s="454"/>
      <c r="CC114" s="454"/>
      <c r="CD114" s="454"/>
      <c r="CE114" s="454"/>
      <c r="CF114" s="454"/>
      <c r="CG114" s="454"/>
      <c r="CH114" s="454"/>
      <c r="CI114" s="454"/>
      <c r="CJ114" s="454"/>
      <c r="CK114" s="454"/>
      <c r="CL114" s="454"/>
      <c r="CM114" s="454"/>
      <c r="CN114" s="454"/>
      <c r="CO114" s="454"/>
      <c r="CP114" s="454"/>
      <c r="CQ114" s="454"/>
      <c r="CR114" s="454"/>
      <c r="CS114" s="454"/>
      <c r="CT114" s="454"/>
      <c r="CU114" s="454"/>
      <c r="CV114" s="517"/>
      <c r="CW114" s="517"/>
      <c r="CX114" s="517">
        <f t="shared" si="15"/>
        <v>37.9</v>
      </c>
      <c r="CY114" s="517"/>
      <c r="CZ114" s="517"/>
      <c r="DA114" s="517"/>
      <c r="DB114" s="517">
        <f t="shared" si="16"/>
        <v>113.69999999999999</v>
      </c>
      <c r="DC114" s="517"/>
      <c r="DD114" s="517"/>
      <c r="DE114" s="517"/>
      <c r="DF114" s="517"/>
      <c r="DG114" s="517"/>
      <c r="DH114" s="517"/>
      <c r="DI114" s="454"/>
      <c r="DJ114" s="454"/>
      <c r="DK114" s="454"/>
      <c r="DL114" s="454">
        <v>1</v>
      </c>
      <c r="DM114" s="454">
        <v>4</v>
      </c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>
        <v>2</v>
      </c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  <c r="FG114" s="290"/>
    </row>
    <row r="115" spans="1:163" s="4" customFormat="1">
      <c r="A115" s="56"/>
      <c r="B115" s="56"/>
      <c r="C115" s="498"/>
      <c r="D115" s="498" t="s">
        <v>3661</v>
      </c>
      <c r="E115" s="454">
        <v>36.1</v>
      </c>
      <c r="F115" s="454"/>
      <c r="G115" s="454"/>
      <c r="H115" s="454"/>
      <c r="I115" s="454"/>
      <c r="J115" s="454"/>
      <c r="K115" s="454"/>
      <c r="L115" s="454"/>
      <c r="M115" s="454"/>
      <c r="N115" s="454"/>
      <c r="O115" s="454"/>
      <c r="P115" s="454"/>
      <c r="Q115" s="454"/>
      <c r="R115" s="290"/>
      <c r="S115" s="290"/>
      <c r="T115" s="454" t="s">
        <v>1631</v>
      </c>
      <c r="U115" s="454" t="s">
        <v>1631</v>
      </c>
      <c r="V115" s="454"/>
      <c r="W115" s="454"/>
      <c r="X115" s="454"/>
      <c r="Y115" s="454"/>
      <c r="Z115" s="454"/>
      <c r="AA115" s="454"/>
      <c r="AB115" s="454"/>
      <c r="AC115" s="454"/>
      <c r="AD115" s="454"/>
      <c r="AE115" s="454"/>
      <c r="AF115" s="454"/>
      <c r="AG115" s="454"/>
      <c r="AH115" s="454"/>
      <c r="AI115" s="454"/>
      <c r="AJ115" s="454"/>
      <c r="AK115" s="454"/>
      <c r="AL115" s="454"/>
      <c r="AM115" s="454"/>
      <c r="AN115" s="454"/>
      <c r="AO115" s="454"/>
      <c r="AP115" s="454"/>
      <c r="AQ115" s="454"/>
      <c r="AR115" s="454"/>
      <c r="AS115" s="454"/>
      <c r="AT115" s="454"/>
      <c r="AU115" s="454"/>
      <c r="AV115" s="454"/>
      <c r="AW115" s="454"/>
      <c r="AX115" s="454"/>
      <c r="AY115" s="454"/>
      <c r="AZ115" s="454"/>
      <c r="BA115" s="454"/>
      <c r="BB115" s="454"/>
      <c r="BC115" s="454"/>
      <c r="BD115" s="454"/>
      <c r="BE115" s="454"/>
      <c r="BF115" s="454"/>
      <c r="BG115" s="454"/>
      <c r="BH115" s="454"/>
      <c r="BI115" s="454"/>
      <c r="BJ115" s="454"/>
      <c r="BK115" s="454"/>
      <c r="BL115" s="454"/>
      <c r="BM115" s="454"/>
      <c r="BN115" s="454"/>
      <c r="BO115" s="454"/>
      <c r="BP115" s="454"/>
      <c r="BQ115" s="454"/>
      <c r="BR115" s="454"/>
      <c r="BS115" s="454"/>
      <c r="BT115" s="454"/>
      <c r="BU115" s="454"/>
      <c r="BV115" s="454"/>
      <c r="BW115" s="454"/>
      <c r="BX115" s="454"/>
      <c r="BY115" s="454"/>
      <c r="BZ115" s="454"/>
      <c r="CA115" s="454"/>
      <c r="CB115" s="454"/>
      <c r="CC115" s="454"/>
      <c r="CD115" s="454"/>
      <c r="CE115" s="454"/>
      <c r="CF115" s="454"/>
      <c r="CG115" s="454"/>
      <c r="CH115" s="454"/>
      <c r="CI115" s="454"/>
      <c r="CJ115" s="454"/>
      <c r="CK115" s="454"/>
      <c r="CL115" s="454"/>
      <c r="CM115" s="454"/>
      <c r="CN115" s="454"/>
      <c r="CO115" s="454"/>
      <c r="CP115" s="454"/>
      <c r="CQ115" s="454"/>
      <c r="CR115" s="454"/>
      <c r="CS115" s="454"/>
      <c r="CT115" s="454"/>
      <c r="CU115" s="454"/>
      <c r="CV115" s="517"/>
      <c r="CW115" s="517"/>
      <c r="CX115" s="517">
        <f t="shared" si="15"/>
        <v>36.1</v>
      </c>
      <c r="CY115" s="517"/>
      <c r="CZ115" s="517"/>
      <c r="DA115" s="517"/>
      <c r="DB115" s="517">
        <f t="shared" si="16"/>
        <v>108.30000000000001</v>
      </c>
      <c r="DC115" s="517"/>
      <c r="DD115" s="517"/>
      <c r="DE115" s="517"/>
      <c r="DF115" s="517"/>
      <c r="DG115" s="517"/>
      <c r="DH115" s="517"/>
      <c r="DI115" s="454"/>
      <c r="DJ115" s="454"/>
      <c r="DK115" s="454"/>
      <c r="DL115" s="454">
        <v>1</v>
      </c>
      <c r="DM115" s="454">
        <v>4</v>
      </c>
      <c r="DN115" s="454">
        <v>1</v>
      </c>
      <c r="DO115" s="454">
        <v>3</v>
      </c>
      <c r="DP115" s="454">
        <v>3</v>
      </c>
      <c r="DQ115" s="454"/>
      <c r="DR115" s="454"/>
      <c r="DS115" s="454"/>
      <c r="DT115" s="454"/>
      <c r="DU115" s="454"/>
      <c r="DV115" s="454"/>
      <c r="DW115" s="454"/>
      <c r="DX115" s="454"/>
      <c r="DY115" s="454"/>
      <c r="DZ115" s="454"/>
      <c r="EA115" s="454"/>
      <c r="EB115" s="454">
        <v>2</v>
      </c>
      <c r="EC115" s="454"/>
      <c r="ED115" s="454"/>
      <c r="EE115" s="454"/>
      <c r="EF115" s="454"/>
      <c r="EG115" s="454"/>
      <c r="EH115" s="454"/>
      <c r="EI115" s="454"/>
      <c r="EJ115" s="454"/>
      <c r="EK115" s="454"/>
      <c r="EL115" s="454"/>
      <c r="EM115" s="454"/>
      <c r="EN115" s="454"/>
      <c r="EO115" s="454"/>
      <c r="EP115" s="454"/>
      <c r="EQ115" s="454"/>
      <c r="ER115" s="454"/>
      <c r="ES115" s="454"/>
      <c r="ET115" s="454"/>
      <c r="EU115" s="454"/>
      <c r="EV115" s="454"/>
      <c r="EW115" s="454"/>
      <c r="EX115" s="454"/>
      <c r="EY115" s="454"/>
      <c r="EZ115" s="454"/>
      <c r="FA115" s="454"/>
      <c r="FB115" s="454"/>
      <c r="FC115" s="454"/>
      <c r="FD115" s="454"/>
      <c r="FE115" s="454"/>
      <c r="FF115" s="454"/>
      <c r="FG115" s="481"/>
    </row>
    <row r="116" spans="1:163" s="4" customFormat="1">
      <c r="A116" s="56"/>
      <c r="B116" s="56"/>
      <c r="C116" s="498"/>
      <c r="D116" s="498" t="s">
        <v>3685</v>
      </c>
      <c r="E116" s="454">
        <v>26.6</v>
      </c>
      <c r="F116" s="454"/>
      <c r="G116" s="454"/>
      <c r="H116" s="454"/>
      <c r="I116" s="454"/>
      <c r="J116" s="454"/>
      <c r="K116" s="454"/>
      <c r="L116" s="454"/>
      <c r="M116" s="454"/>
      <c r="N116" s="454"/>
      <c r="O116" s="454"/>
      <c r="P116" s="454"/>
      <c r="Q116" s="454"/>
      <c r="R116" s="290"/>
      <c r="S116" s="290"/>
      <c r="T116" s="454" t="s">
        <v>1631</v>
      </c>
      <c r="U116" s="454" t="s">
        <v>1631</v>
      </c>
      <c r="V116" s="454"/>
      <c r="W116" s="454"/>
      <c r="X116" s="454"/>
      <c r="Y116" s="454"/>
      <c r="Z116" s="454"/>
      <c r="AA116" s="454"/>
      <c r="AB116" s="454"/>
      <c r="AC116" s="454"/>
      <c r="AD116" s="454"/>
      <c r="AE116" s="454"/>
      <c r="AF116" s="454"/>
      <c r="AG116" s="454"/>
      <c r="AH116" s="454"/>
      <c r="AI116" s="454"/>
      <c r="AJ116" s="454"/>
      <c r="AK116" s="454"/>
      <c r="AL116" s="454"/>
      <c r="AM116" s="454"/>
      <c r="AN116" s="454"/>
      <c r="AO116" s="454"/>
      <c r="AP116" s="454"/>
      <c r="AQ116" s="454"/>
      <c r="AR116" s="454"/>
      <c r="AS116" s="454"/>
      <c r="AT116" s="454"/>
      <c r="AU116" s="454"/>
      <c r="AV116" s="454"/>
      <c r="AW116" s="454"/>
      <c r="AX116" s="454"/>
      <c r="AY116" s="454"/>
      <c r="AZ116" s="454"/>
      <c r="BA116" s="454"/>
      <c r="BB116" s="454"/>
      <c r="BC116" s="454"/>
      <c r="BD116" s="454"/>
      <c r="BE116" s="454"/>
      <c r="BF116" s="454"/>
      <c r="BG116" s="454"/>
      <c r="BH116" s="454"/>
      <c r="BI116" s="454"/>
      <c r="BJ116" s="454"/>
      <c r="BK116" s="454"/>
      <c r="BL116" s="454"/>
      <c r="BM116" s="454"/>
      <c r="BN116" s="454"/>
      <c r="BO116" s="454"/>
      <c r="BP116" s="454"/>
      <c r="BQ116" s="454"/>
      <c r="BR116" s="454"/>
      <c r="BS116" s="454"/>
      <c r="BT116" s="454"/>
      <c r="BU116" s="454"/>
      <c r="BV116" s="454"/>
      <c r="BW116" s="454"/>
      <c r="BX116" s="454"/>
      <c r="BY116" s="454"/>
      <c r="BZ116" s="454"/>
      <c r="CA116" s="454"/>
      <c r="CB116" s="454"/>
      <c r="CC116" s="454"/>
      <c r="CD116" s="454"/>
      <c r="CE116" s="454"/>
      <c r="CF116" s="454"/>
      <c r="CG116" s="454"/>
      <c r="CH116" s="454"/>
      <c r="CI116" s="454"/>
      <c r="CJ116" s="454"/>
      <c r="CK116" s="454"/>
      <c r="CL116" s="454"/>
      <c r="CM116" s="454"/>
      <c r="CN116" s="454"/>
      <c r="CO116" s="454"/>
      <c r="CP116" s="454"/>
      <c r="CQ116" s="454"/>
      <c r="CR116" s="454"/>
      <c r="CS116" s="454"/>
      <c r="CT116" s="454"/>
      <c r="CU116" s="454"/>
      <c r="CV116" s="517"/>
      <c r="CW116" s="517"/>
      <c r="CX116" s="517">
        <f t="shared" si="15"/>
        <v>26.6</v>
      </c>
      <c r="CY116" s="517"/>
      <c r="CZ116" s="517"/>
      <c r="DA116" s="517"/>
      <c r="DB116" s="517">
        <f t="shared" si="16"/>
        <v>79.800000000000011</v>
      </c>
      <c r="DC116" s="517"/>
      <c r="DD116" s="517"/>
      <c r="DE116" s="517"/>
      <c r="DF116" s="517"/>
      <c r="DG116" s="517"/>
      <c r="DH116" s="517"/>
      <c r="DI116" s="454"/>
      <c r="DJ116" s="454"/>
      <c r="DK116" s="454"/>
      <c r="DL116" s="454">
        <v>1</v>
      </c>
      <c r="DM116" s="454">
        <v>4</v>
      </c>
      <c r="DN116" s="454">
        <v>1</v>
      </c>
      <c r="DO116" s="454">
        <v>2</v>
      </c>
      <c r="DP116" s="454">
        <v>1</v>
      </c>
      <c r="DQ116" s="454"/>
      <c r="DR116" s="454"/>
      <c r="DS116" s="454"/>
      <c r="DT116" s="454"/>
      <c r="DU116" s="454"/>
      <c r="DV116" s="454"/>
      <c r="DW116" s="454"/>
      <c r="DX116" s="454"/>
      <c r="DY116" s="454"/>
      <c r="DZ116" s="454"/>
      <c r="EA116" s="454"/>
      <c r="EB116" s="454">
        <v>1</v>
      </c>
      <c r="EC116" s="454"/>
      <c r="ED116" s="454"/>
      <c r="EE116" s="454"/>
      <c r="EF116" s="454"/>
      <c r="EG116" s="454"/>
      <c r="EH116" s="454"/>
      <c r="EI116" s="454"/>
      <c r="EJ116" s="454"/>
      <c r="EK116" s="454"/>
      <c r="EL116" s="454"/>
      <c r="EM116" s="454"/>
      <c r="EN116" s="454"/>
      <c r="EO116" s="454"/>
      <c r="EP116" s="454"/>
      <c r="EQ116" s="454"/>
      <c r="ER116" s="454"/>
      <c r="ES116" s="454"/>
      <c r="ET116" s="454"/>
      <c r="EU116" s="454"/>
      <c r="EV116" s="454"/>
      <c r="EW116" s="454"/>
      <c r="EX116" s="454"/>
      <c r="EY116" s="454"/>
      <c r="EZ116" s="454"/>
      <c r="FA116" s="454"/>
      <c r="FB116" s="454"/>
      <c r="FC116" s="454"/>
      <c r="FD116" s="454"/>
      <c r="FE116" s="454"/>
      <c r="FF116" s="454"/>
      <c r="FG116" s="481"/>
    </row>
    <row r="117" spans="1:163" s="4" customFormat="1">
      <c r="A117" s="56"/>
      <c r="B117" s="56"/>
      <c r="C117" s="498"/>
      <c r="D117" s="498" t="s">
        <v>3686</v>
      </c>
      <c r="E117" s="454">
        <v>47.2</v>
      </c>
      <c r="F117" s="454"/>
      <c r="G117" s="454"/>
      <c r="H117" s="454"/>
      <c r="I117" s="454"/>
      <c r="J117" s="454"/>
      <c r="K117" s="454"/>
      <c r="L117" s="454"/>
      <c r="M117" s="454"/>
      <c r="N117" s="454"/>
      <c r="O117" s="454"/>
      <c r="P117" s="454"/>
      <c r="Q117" s="454"/>
      <c r="R117" s="290"/>
      <c r="S117" s="290"/>
      <c r="T117" s="454" t="s">
        <v>2989</v>
      </c>
      <c r="U117" s="454" t="s">
        <v>2989</v>
      </c>
      <c r="V117" s="454"/>
      <c r="W117" s="454"/>
      <c r="X117" s="454"/>
      <c r="Y117" s="454"/>
      <c r="Z117" s="454"/>
      <c r="AA117" s="454"/>
      <c r="AB117" s="454"/>
      <c r="AC117" s="454"/>
      <c r="AD117" s="454"/>
      <c r="AE117" s="454"/>
      <c r="AF117" s="454"/>
      <c r="AG117" s="454"/>
      <c r="AH117" s="454"/>
      <c r="AI117" s="454"/>
      <c r="AJ117" s="454"/>
      <c r="AK117" s="454"/>
      <c r="AL117" s="454"/>
      <c r="AM117" s="454"/>
      <c r="AN117" s="454"/>
      <c r="AO117" s="454"/>
      <c r="AP117" s="454"/>
      <c r="AQ117" s="454"/>
      <c r="AR117" s="454"/>
      <c r="AS117" s="454"/>
      <c r="AT117" s="454"/>
      <c r="AU117" s="454"/>
      <c r="AV117" s="454"/>
      <c r="AW117" s="454"/>
      <c r="AX117" s="454"/>
      <c r="AY117" s="454"/>
      <c r="AZ117" s="454"/>
      <c r="BA117" s="454"/>
      <c r="BB117" s="454"/>
      <c r="BC117" s="454"/>
      <c r="BD117" s="454"/>
      <c r="BE117" s="454"/>
      <c r="BF117" s="454"/>
      <c r="BG117" s="454"/>
      <c r="BH117" s="454"/>
      <c r="BI117" s="454"/>
      <c r="BJ117" s="454"/>
      <c r="BK117" s="454"/>
      <c r="BL117" s="454"/>
      <c r="BM117" s="454"/>
      <c r="BN117" s="454"/>
      <c r="BO117" s="454"/>
      <c r="BP117" s="454"/>
      <c r="BQ117" s="454"/>
      <c r="BR117" s="454"/>
      <c r="BS117" s="454"/>
      <c r="BT117" s="454"/>
      <c r="BU117" s="454"/>
      <c r="BV117" s="454"/>
      <c r="BW117" s="454"/>
      <c r="BX117" s="454"/>
      <c r="BY117" s="454"/>
      <c r="BZ117" s="454"/>
      <c r="CA117" s="454"/>
      <c r="CB117" s="454"/>
      <c r="CC117" s="454"/>
      <c r="CD117" s="454"/>
      <c r="CE117" s="454"/>
      <c r="CF117" s="454"/>
      <c r="CG117" s="454"/>
      <c r="CH117" s="454"/>
      <c r="CI117" s="454"/>
      <c r="CJ117" s="454"/>
      <c r="CK117" s="454"/>
      <c r="CL117" s="454"/>
      <c r="CM117" s="454"/>
      <c r="CN117" s="454"/>
      <c r="CO117" s="454"/>
      <c r="CP117" s="454"/>
      <c r="CQ117" s="454"/>
      <c r="CR117" s="454"/>
      <c r="CS117" s="454"/>
      <c r="CT117" s="454"/>
      <c r="CU117" s="454"/>
      <c r="CV117" s="517"/>
      <c r="CW117" s="517"/>
      <c r="CX117" s="517">
        <f t="shared" si="15"/>
        <v>47.2</v>
      </c>
      <c r="CY117" s="517"/>
      <c r="CZ117" s="517"/>
      <c r="DA117" s="517"/>
      <c r="DB117" s="517">
        <f t="shared" si="16"/>
        <v>141.60000000000002</v>
      </c>
      <c r="DC117" s="517"/>
      <c r="DD117" s="517"/>
      <c r="DE117" s="517"/>
      <c r="DF117" s="517"/>
      <c r="DG117" s="517"/>
      <c r="DH117" s="517"/>
      <c r="DI117" s="454"/>
      <c r="DJ117" s="454"/>
      <c r="DK117" s="454"/>
      <c r="DL117" s="454">
        <v>2</v>
      </c>
      <c r="DM117" s="454">
        <v>8</v>
      </c>
      <c r="DN117" s="454">
        <v>1</v>
      </c>
      <c r="DO117" s="454">
        <v>3</v>
      </c>
      <c r="DP117" s="454">
        <v>2</v>
      </c>
      <c r="DQ117" s="454"/>
      <c r="DR117" s="454"/>
      <c r="DS117" s="454"/>
      <c r="DT117" s="454"/>
      <c r="DU117" s="454">
        <v>14</v>
      </c>
      <c r="DV117" s="454"/>
      <c r="DW117" s="454"/>
      <c r="DX117" s="454"/>
      <c r="DY117" s="454"/>
      <c r="DZ117" s="454"/>
      <c r="EA117" s="454"/>
      <c r="EB117" s="454">
        <v>2</v>
      </c>
      <c r="EC117" s="454"/>
      <c r="ED117" s="454"/>
      <c r="EE117" s="454"/>
      <c r="EF117" s="454"/>
      <c r="EG117" s="454"/>
      <c r="EH117" s="454"/>
      <c r="EI117" s="454"/>
      <c r="EJ117" s="454"/>
      <c r="EK117" s="454"/>
      <c r="EL117" s="454"/>
      <c r="EM117" s="454"/>
      <c r="EN117" s="454"/>
      <c r="EO117" s="454"/>
      <c r="EP117" s="454"/>
      <c r="EQ117" s="454"/>
      <c r="ER117" s="454"/>
      <c r="ES117" s="454"/>
      <c r="ET117" s="454"/>
      <c r="EU117" s="454"/>
      <c r="EV117" s="454"/>
      <c r="EW117" s="454"/>
      <c r="EX117" s="454"/>
      <c r="EY117" s="454"/>
      <c r="EZ117" s="454"/>
      <c r="FA117" s="454"/>
      <c r="FB117" s="454"/>
      <c r="FC117" s="454"/>
      <c r="FD117" s="454"/>
      <c r="FE117" s="454"/>
      <c r="FF117" s="454"/>
      <c r="FG117" s="481"/>
    </row>
    <row r="118" spans="1:163" s="4" customFormat="1">
      <c r="A118" s="56"/>
      <c r="B118" s="56"/>
      <c r="C118" s="498"/>
      <c r="D118" s="498" t="s">
        <v>3687</v>
      </c>
      <c r="E118" s="454">
        <v>45.6</v>
      </c>
      <c r="F118" s="454"/>
      <c r="G118" s="454"/>
      <c r="H118" s="454"/>
      <c r="I118" s="454"/>
      <c r="J118" s="454"/>
      <c r="K118" s="454"/>
      <c r="L118" s="454"/>
      <c r="M118" s="454"/>
      <c r="N118" s="454"/>
      <c r="O118" s="454"/>
      <c r="P118" s="454"/>
      <c r="Q118" s="454"/>
      <c r="R118" s="290"/>
      <c r="S118" s="290"/>
      <c r="T118" s="454" t="s">
        <v>1631</v>
      </c>
      <c r="U118" s="454" t="s">
        <v>1631</v>
      </c>
      <c r="V118" s="454"/>
      <c r="W118" s="454"/>
      <c r="X118" s="454"/>
      <c r="Y118" s="454"/>
      <c r="Z118" s="454"/>
      <c r="AA118" s="454"/>
      <c r="AB118" s="454"/>
      <c r="AC118" s="454"/>
      <c r="AD118" s="454"/>
      <c r="AE118" s="454"/>
      <c r="AF118" s="454"/>
      <c r="AG118" s="454"/>
      <c r="AH118" s="454"/>
      <c r="AI118" s="454"/>
      <c r="AJ118" s="454"/>
      <c r="AK118" s="454"/>
      <c r="AL118" s="454"/>
      <c r="AM118" s="454"/>
      <c r="AN118" s="454"/>
      <c r="AO118" s="454"/>
      <c r="AP118" s="454"/>
      <c r="AQ118" s="454"/>
      <c r="AR118" s="454"/>
      <c r="AS118" s="454"/>
      <c r="AT118" s="454"/>
      <c r="AU118" s="454"/>
      <c r="AV118" s="454"/>
      <c r="AW118" s="454"/>
      <c r="AX118" s="454"/>
      <c r="AY118" s="454"/>
      <c r="AZ118" s="454"/>
      <c r="BA118" s="454"/>
      <c r="BB118" s="454"/>
      <c r="BC118" s="454"/>
      <c r="BD118" s="454"/>
      <c r="BE118" s="454"/>
      <c r="BF118" s="454"/>
      <c r="BG118" s="454"/>
      <c r="BH118" s="454"/>
      <c r="BI118" s="454"/>
      <c r="BJ118" s="454"/>
      <c r="BK118" s="454"/>
      <c r="BL118" s="454"/>
      <c r="BM118" s="454"/>
      <c r="BN118" s="454"/>
      <c r="BO118" s="454"/>
      <c r="BP118" s="454"/>
      <c r="BQ118" s="454"/>
      <c r="BR118" s="454"/>
      <c r="BS118" s="454"/>
      <c r="BT118" s="454"/>
      <c r="BU118" s="454"/>
      <c r="BV118" s="454"/>
      <c r="BW118" s="454"/>
      <c r="BX118" s="454"/>
      <c r="BY118" s="454"/>
      <c r="BZ118" s="454"/>
      <c r="CA118" s="454"/>
      <c r="CB118" s="454"/>
      <c r="CC118" s="454"/>
      <c r="CD118" s="454"/>
      <c r="CE118" s="454"/>
      <c r="CF118" s="454"/>
      <c r="CG118" s="454"/>
      <c r="CH118" s="454"/>
      <c r="CI118" s="454"/>
      <c r="CJ118" s="454"/>
      <c r="CK118" s="454"/>
      <c r="CL118" s="454"/>
      <c r="CM118" s="454"/>
      <c r="CN118" s="454"/>
      <c r="CO118" s="454"/>
      <c r="CP118" s="454"/>
      <c r="CQ118" s="454"/>
      <c r="CR118" s="454"/>
      <c r="CS118" s="454"/>
      <c r="CT118" s="454"/>
      <c r="CU118" s="454"/>
      <c r="CV118" s="517"/>
      <c r="CW118" s="517"/>
      <c r="CX118" s="517">
        <f t="shared" si="15"/>
        <v>45.6</v>
      </c>
      <c r="CY118" s="517"/>
      <c r="CZ118" s="517"/>
      <c r="DA118" s="517"/>
      <c r="DB118" s="517">
        <f t="shared" si="16"/>
        <v>136.80000000000001</v>
      </c>
      <c r="DC118" s="517"/>
      <c r="DD118" s="517"/>
      <c r="DE118" s="517"/>
      <c r="DF118" s="517"/>
      <c r="DG118" s="517"/>
      <c r="DH118" s="517"/>
      <c r="DI118" s="454"/>
      <c r="DJ118" s="454"/>
      <c r="DK118" s="454"/>
      <c r="DL118" s="454">
        <v>1</v>
      </c>
      <c r="DM118" s="454">
        <v>4</v>
      </c>
      <c r="DN118" s="454">
        <v>1</v>
      </c>
      <c r="DO118" s="454">
        <v>4</v>
      </c>
      <c r="DP118" s="454">
        <v>4</v>
      </c>
      <c r="DQ118" s="454"/>
      <c r="DR118" s="454"/>
      <c r="DS118" s="454"/>
      <c r="DT118" s="454"/>
      <c r="DU118" s="454"/>
      <c r="DV118" s="454"/>
      <c r="DW118" s="454"/>
      <c r="DX118" s="454"/>
      <c r="DY118" s="454"/>
      <c r="DZ118" s="454"/>
      <c r="EA118" s="454"/>
      <c r="EB118" s="454">
        <v>2</v>
      </c>
      <c r="EC118" s="454"/>
      <c r="ED118" s="454"/>
      <c r="EE118" s="454"/>
      <c r="EF118" s="454"/>
      <c r="EG118" s="454"/>
      <c r="EH118" s="454"/>
      <c r="EI118" s="454"/>
      <c r="EJ118" s="454"/>
      <c r="EK118" s="454"/>
      <c r="EL118" s="454"/>
      <c r="EM118" s="454"/>
      <c r="EN118" s="454"/>
      <c r="EO118" s="454"/>
      <c r="EP118" s="454"/>
      <c r="EQ118" s="454"/>
      <c r="ER118" s="454"/>
      <c r="ES118" s="454"/>
      <c r="ET118" s="454"/>
      <c r="EU118" s="454"/>
      <c r="EV118" s="454"/>
      <c r="EW118" s="454"/>
      <c r="EX118" s="454"/>
      <c r="EY118" s="454"/>
      <c r="EZ118" s="454"/>
      <c r="FA118" s="454"/>
      <c r="FB118" s="454"/>
      <c r="FC118" s="454"/>
      <c r="FD118" s="454"/>
      <c r="FE118" s="454"/>
      <c r="FF118" s="454"/>
      <c r="FG118" s="481"/>
    </row>
    <row r="119" spans="1:163" s="4" customFormat="1">
      <c r="A119" s="56"/>
      <c r="B119" s="56"/>
      <c r="C119" s="498"/>
      <c r="D119" s="498" t="s">
        <v>3688</v>
      </c>
      <c r="E119" s="454">
        <v>36.799999999999997</v>
      </c>
      <c r="F119" s="454"/>
      <c r="G119" s="454"/>
      <c r="H119" s="454"/>
      <c r="I119" s="454"/>
      <c r="J119" s="454"/>
      <c r="K119" s="454"/>
      <c r="L119" s="454"/>
      <c r="M119" s="454"/>
      <c r="N119" s="454"/>
      <c r="O119" s="454"/>
      <c r="P119" s="454"/>
      <c r="Q119" s="454"/>
      <c r="R119" s="290"/>
      <c r="S119" s="290"/>
      <c r="T119" s="454" t="s">
        <v>2990</v>
      </c>
      <c r="U119" s="454" t="s">
        <v>2990</v>
      </c>
      <c r="V119" s="454"/>
      <c r="W119" s="454"/>
      <c r="X119" s="454"/>
      <c r="Y119" s="454"/>
      <c r="Z119" s="454"/>
      <c r="AA119" s="454"/>
      <c r="AB119" s="454"/>
      <c r="AC119" s="454"/>
      <c r="AD119" s="454"/>
      <c r="AE119" s="454"/>
      <c r="AF119" s="454"/>
      <c r="AG119" s="454"/>
      <c r="AH119" s="454"/>
      <c r="AI119" s="454"/>
      <c r="AJ119" s="454"/>
      <c r="AK119" s="454"/>
      <c r="AL119" s="454"/>
      <c r="AM119" s="454"/>
      <c r="AN119" s="454"/>
      <c r="AO119" s="454"/>
      <c r="AP119" s="454"/>
      <c r="AQ119" s="454"/>
      <c r="AR119" s="454"/>
      <c r="AS119" s="454"/>
      <c r="AT119" s="454"/>
      <c r="AU119" s="454"/>
      <c r="AV119" s="454"/>
      <c r="AW119" s="454"/>
      <c r="AX119" s="454"/>
      <c r="AY119" s="454"/>
      <c r="AZ119" s="454"/>
      <c r="BA119" s="454"/>
      <c r="BB119" s="454"/>
      <c r="BC119" s="454"/>
      <c r="BD119" s="454"/>
      <c r="BE119" s="454"/>
      <c r="BF119" s="454"/>
      <c r="BG119" s="454"/>
      <c r="BH119" s="454"/>
      <c r="BI119" s="454"/>
      <c r="BJ119" s="454"/>
      <c r="BK119" s="454"/>
      <c r="BL119" s="454"/>
      <c r="BM119" s="454"/>
      <c r="BN119" s="454"/>
      <c r="BO119" s="454"/>
      <c r="BP119" s="454"/>
      <c r="BQ119" s="454"/>
      <c r="BR119" s="454"/>
      <c r="BS119" s="454"/>
      <c r="BT119" s="454"/>
      <c r="BU119" s="454"/>
      <c r="BV119" s="454"/>
      <c r="BW119" s="454"/>
      <c r="BX119" s="454"/>
      <c r="BY119" s="454"/>
      <c r="BZ119" s="454"/>
      <c r="CA119" s="454"/>
      <c r="CB119" s="454"/>
      <c r="CC119" s="454"/>
      <c r="CD119" s="454"/>
      <c r="CE119" s="454"/>
      <c r="CF119" s="454"/>
      <c r="CG119" s="454"/>
      <c r="CH119" s="454"/>
      <c r="CI119" s="454"/>
      <c r="CJ119" s="454"/>
      <c r="CK119" s="454"/>
      <c r="CL119" s="454"/>
      <c r="CM119" s="454"/>
      <c r="CN119" s="454"/>
      <c r="CO119" s="454"/>
      <c r="CP119" s="454"/>
      <c r="CQ119" s="454">
        <v>1</v>
      </c>
      <c r="CR119" s="454"/>
      <c r="CS119" s="454"/>
      <c r="CT119" s="454"/>
      <c r="CU119" s="454"/>
      <c r="CV119" s="517"/>
      <c r="CW119" s="517"/>
      <c r="CX119" s="517">
        <f t="shared" si="15"/>
        <v>36.799999999999997</v>
      </c>
      <c r="CY119" s="517"/>
      <c r="CZ119" s="517"/>
      <c r="DA119" s="517"/>
      <c r="DB119" s="517">
        <f t="shared" si="16"/>
        <v>110.39999999999999</v>
      </c>
      <c r="DC119" s="517"/>
      <c r="DD119" s="517"/>
      <c r="DE119" s="517"/>
      <c r="DF119" s="517"/>
      <c r="DG119" s="517"/>
      <c r="DH119" s="517"/>
      <c r="DI119" s="454"/>
      <c r="DJ119" s="454"/>
      <c r="DK119" s="454"/>
      <c r="DL119" s="454">
        <v>1</v>
      </c>
      <c r="DM119" s="454">
        <v>4</v>
      </c>
      <c r="DN119" s="454">
        <v>1</v>
      </c>
      <c r="DO119" s="454">
        <v>3</v>
      </c>
      <c r="DP119" s="454">
        <v>2</v>
      </c>
      <c r="DQ119" s="454"/>
      <c r="DR119" s="454"/>
      <c r="DS119" s="454"/>
      <c r="DT119" s="454"/>
      <c r="DU119" s="454">
        <v>7</v>
      </c>
      <c r="DV119" s="454"/>
      <c r="DW119" s="454"/>
      <c r="DX119" s="454"/>
      <c r="DY119" s="454"/>
      <c r="DZ119" s="454"/>
      <c r="EA119" s="454"/>
      <c r="EB119" s="454">
        <v>2</v>
      </c>
      <c r="EC119" s="454"/>
      <c r="ED119" s="454"/>
      <c r="EE119" s="454"/>
      <c r="EF119" s="454"/>
      <c r="EG119" s="454"/>
      <c r="EH119" s="454"/>
      <c r="EI119" s="454"/>
      <c r="EJ119" s="454"/>
      <c r="EK119" s="454"/>
      <c r="EL119" s="454"/>
      <c r="EM119" s="454"/>
      <c r="EN119" s="454"/>
      <c r="EO119" s="454"/>
      <c r="EP119" s="454"/>
      <c r="EQ119" s="454"/>
      <c r="ER119" s="454"/>
      <c r="ES119" s="454"/>
      <c r="ET119" s="454"/>
      <c r="EU119" s="454"/>
      <c r="EV119" s="454"/>
      <c r="EW119" s="454"/>
      <c r="EX119" s="454">
        <v>3</v>
      </c>
      <c r="EY119" s="454">
        <v>1</v>
      </c>
      <c r="EZ119" s="454"/>
      <c r="FA119" s="454"/>
      <c r="FB119" s="454"/>
      <c r="FC119" s="454"/>
      <c r="FD119" s="454"/>
      <c r="FE119" s="454"/>
      <c r="FF119" s="454"/>
      <c r="FG119" s="481"/>
    </row>
    <row r="120" spans="1:163" s="4" customFormat="1">
      <c r="A120" s="56"/>
      <c r="B120" s="56"/>
      <c r="C120" s="498"/>
      <c r="D120" s="498"/>
      <c r="E120" s="454"/>
      <c r="F120" s="454"/>
      <c r="G120" s="454"/>
      <c r="H120" s="454"/>
      <c r="I120" s="454"/>
      <c r="J120" s="454"/>
      <c r="K120" s="454"/>
      <c r="L120" s="454"/>
      <c r="M120" s="454"/>
      <c r="N120" s="454"/>
      <c r="O120" s="454"/>
      <c r="P120" s="454"/>
      <c r="Q120" s="454"/>
      <c r="R120" s="290"/>
      <c r="S120" s="290"/>
      <c r="T120" s="454"/>
      <c r="U120" s="694"/>
      <c r="V120" s="454"/>
      <c r="W120" s="454"/>
      <c r="X120" s="454"/>
      <c r="Y120" s="454"/>
      <c r="Z120" s="454"/>
      <c r="AA120" s="454"/>
      <c r="AB120" s="454"/>
      <c r="AC120" s="454"/>
      <c r="AD120" s="454"/>
      <c r="AE120" s="454"/>
      <c r="AF120" s="454"/>
      <c r="AG120" s="454"/>
      <c r="AH120" s="454"/>
      <c r="AI120" s="454"/>
      <c r="AJ120" s="454"/>
      <c r="AK120" s="454"/>
      <c r="AL120" s="454"/>
      <c r="AM120" s="454"/>
      <c r="AN120" s="454"/>
      <c r="AO120" s="454"/>
      <c r="AP120" s="454"/>
      <c r="AQ120" s="454"/>
      <c r="AR120" s="454"/>
      <c r="AS120" s="454"/>
      <c r="AT120" s="454"/>
      <c r="AU120" s="454"/>
      <c r="AV120" s="454"/>
      <c r="AW120" s="454"/>
      <c r="AX120" s="454"/>
      <c r="AY120" s="454"/>
      <c r="AZ120" s="454"/>
      <c r="BA120" s="454"/>
      <c r="BB120" s="454"/>
      <c r="BC120" s="454"/>
      <c r="BD120" s="454"/>
      <c r="BE120" s="454"/>
      <c r="BF120" s="454"/>
      <c r="BG120" s="454"/>
      <c r="BH120" s="454"/>
      <c r="BI120" s="454"/>
      <c r="BJ120" s="454"/>
      <c r="BK120" s="454"/>
      <c r="BL120" s="454"/>
      <c r="BM120" s="454"/>
      <c r="BN120" s="454"/>
      <c r="BO120" s="454"/>
      <c r="BP120" s="454"/>
      <c r="BQ120" s="454"/>
      <c r="BR120" s="454"/>
      <c r="BS120" s="454"/>
      <c r="BT120" s="454"/>
      <c r="BU120" s="454"/>
      <c r="BV120" s="454"/>
      <c r="BW120" s="454"/>
      <c r="BX120" s="454"/>
      <c r="BY120" s="454"/>
      <c r="BZ120" s="454"/>
      <c r="CA120" s="454"/>
      <c r="CB120" s="454"/>
      <c r="CC120" s="454"/>
      <c r="CD120" s="454"/>
      <c r="CE120" s="454"/>
      <c r="CF120" s="454"/>
      <c r="CG120" s="454"/>
      <c r="CH120" s="454"/>
      <c r="CI120" s="454"/>
      <c r="CJ120" s="454"/>
      <c r="CK120" s="454"/>
      <c r="CL120" s="454"/>
      <c r="CM120" s="454"/>
      <c r="CN120" s="454"/>
      <c r="CO120" s="454"/>
      <c r="CP120" s="454"/>
      <c r="CQ120" s="454"/>
      <c r="CR120" s="454"/>
      <c r="CS120" s="454"/>
      <c r="CT120" s="454"/>
      <c r="CU120" s="454"/>
      <c r="CV120" s="517"/>
      <c r="CW120" s="517"/>
      <c r="CX120" s="517"/>
      <c r="CY120" s="517"/>
      <c r="CZ120" s="517"/>
      <c r="DA120" s="517"/>
      <c r="DB120" s="517"/>
      <c r="DC120" s="517"/>
      <c r="DD120" s="517"/>
      <c r="DE120" s="517"/>
      <c r="DF120" s="517"/>
      <c r="DG120" s="517"/>
      <c r="DH120" s="517"/>
      <c r="DI120" s="454"/>
      <c r="DJ120" s="454"/>
      <c r="DK120" s="454"/>
      <c r="DL120" s="454"/>
      <c r="DM120" s="454"/>
      <c r="DN120" s="454"/>
      <c r="DO120" s="454"/>
      <c r="DP120" s="454"/>
      <c r="DQ120" s="454"/>
      <c r="DR120" s="454"/>
      <c r="DS120" s="454"/>
      <c r="DT120" s="454"/>
      <c r="DU120" s="454"/>
      <c r="DV120" s="454"/>
      <c r="DW120" s="454"/>
      <c r="DX120" s="454"/>
      <c r="DY120" s="454"/>
      <c r="DZ120" s="454"/>
      <c r="EA120" s="454"/>
      <c r="EB120" s="454"/>
      <c r="EC120" s="454"/>
      <c r="ED120" s="454"/>
      <c r="EE120" s="454"/>
      <c r="EF120" s="454"/>
      <c r="EG120" s="454"/>
      <c r="EH120" s="454"/>
      <c r="EI120" s="454"/>
      <c r="EJ120" s="454"/>
      <c r="EK120" s="454"/>
      <c r="EL120" s="454"/>
      <c r="EM120" s="454"/>
      <c r="EN120" s="454"/>
      <c r="EO120" s="454"/>
      <c r="EP120" s="454"/>
      <c r="EQ120" s="454"/>
      <c r="ER120" s="454"/>
      <c r="ES120" s="454"/>
      <c r="ET120" s="454"/>
      <c r="EU120" s="454"/>
      <c r="EV120" s="454"/>
      <c r="EW120" s="454"/>
      <c r="EX120" s="454"/>
      <c r="EY120" s="454"/>
      <c r="EZ120" s="454"/>
      <c r="FA120" s="454"/>
      <c r="FB120" s="454"/>
      <c r="FC120" s="454"/>
      <c r="FD120" s="454"/>
      <c r="FE120" s="454"/>
      <c r="FF120" s="454"/>
      <c r="FG120" s="481"/>
    </row>
    <row r="121" spans="1:163" s="4" customFormat="1">
      <c r="A121" s="56"/>
      <c r="B121" s="56"/>
      <c r="C121" s="498"/>
      <c r="D121" s="506" t="s">
        <v>3689</v>
      </c>
      <c r="E121" s="454"/>
      <c r="F121" s="454"/>
      <c r="G121" s="454"/>
      <c r="H121" s="454"/>
      <c r="I121" s="454"/>
      <c r="J121" s="454"/>
      <c r="K121" s="454"/>
      <c r="L121" s="454"/>
      <c r="M121" s="454"/>
      <c r="N121" s="454"/>
      <c r="O121" s="454"/>
      <c r="P121" s="454"/>
      <c r="Q121" s="454"/>
      <c r="R121" s="290"/>
      <c r="S121" s="290"/>
      <c r="T121" s="454"/>
      <c r="U121" s="692"/>
      <c r="V121" s="454"/>
      <c r="W121" s="454"/>
      <c r="X121" s="454"/>
      <c r="Y121" s="454"/>
      <c r="Z121" s="454"/>
      <c r="AA121" s="454"/>
      <c r="AB121" s="454"/>
      <c r="AC121" s="454"/>
      <c r="AD121" s="454"/>
      <c r="AE121" s="454"/>
      <c r="AF121" s="454"/>
      <c r="AG121" s="454"/>
      <c r="AH121" s="454"/>
      <c r="AI121" s="454"/>
      <c r="AJ121" s="454"/>
      <c r="AK121" s="454"/>
      <c r="AL121" s="454"/>
      <c r="AM121" s="454"/>
      <c r="AN121" s="454"/>
      <c r="AO121" s="454"/>
      <c r="AP121" s="454"/>
      <c r="AQ121" s="454"/>
      <c r="AR121" s="454"/>
      <c r="AS121" s="454"/>
      <c r="AT121" s="454"/>
      <c r="AU121" s="454"/>
      <c r="AV121" s="454"/>
      <c r="AW121" s="454"/>
      <c r="AX121" s="454"/>
      <c r="AY121" s="454"/>
      <c r="AZ121" s="454"/>
      <c r="BA121" s="454"/>
      <c r="BB121" s="454"/>
      <c r="BC121" s="454"/>
      <c r="BD121" s="454"/>
      <c r="BE121" s="454"/>
      <c r="BF121" s="454"/>
      <c r="BG121" s="454"/>
      <c r="BH121" s="454"/>
      <c r="BI121" s="454"/>
      <c r="BJ121" s="454"/>
      <c r="BK121" s="454"/>
      <c r="BL121" s="454"/>
      <c r="BM121" s="454"/>
      <c r="BN121" s="454"/>
      <c r="BO121" s="454"/>
      <c r="BP121" s="454"/>
      <c r="BQ121" s="454"/>
      <c r="BR121" s="454"/>
      <c r="BS121" s="454"/>
      <c r="BT121" s="454"/>
      <c r="BU121" s="454"/>
      <c r="BV121" s="454"/>
      <c r="BW121" s="454"/>
      <c r="BX121" s="454"/>
      <c r="BY121" s="454"/>
      <c r="BZ121" s="454"/>
      <c r="CA121" s="454"/>
      <c r="CB121" s="454"/>
      <c r="CC121" s="454"/>
      <c r="CD121" s="454"/>
      <c r="CE121" s="454"/>
      <c r="CF121" s="454"/>
      <c r="CG121" s="454"/>
      <c r="CH121" s="454"/>
      <c r="CI121" s="454"/>
      <c r="CJ121" s="454"/>
      <c r="CK121" s="454"/>
      <c r="CL121" s="454"/>
      <c r="CM121" s="454"/>
      <c r="CN121" s="454"/>
      <c r="CO121" s="454"/>
      <c r="CP121" s="454"/>
      <c r="CQ121" s="454"/>
      <c r="CR121" s="454"/>
      <c r="CS121" s="454"/>
      <c r="CT121" s="454"/>
      <c r="CU121" s="454"/>
      <c r="CV121" s="517"/>
      <c r="CW121" s="517"/>
      <c r="CX121" s="517"/>
      <c r="CY121" s="517"/>
      <c r="CZ121" s="517"/>
      <c r="DA121" s="517"/>
      <c r="DB121" s="517"/>
      <c r="DC121" s="517"/>
      <c r="DD121" s="517"/>
      <c r="DE121" s="517"/>
      <c r="DF121" s="517"/>
      <c r="DG121" s="517"/>
      <c r="DH121" s="517"/>
      <c r="DI121" s="454"/>
      <c r="DJ121" s="454"/>
      <c r="DK121" s="454"/>
      <c r="DL121" s="454"/>
      <c r="DM121" s="454"/>
      <c r="DN121" s="454"/>
      <c r="DO121" s="454"/>
      <c r="DP121" s="454"/>
      <c r="DQ121" s="454"/>
      <c r="DR121" s="454"/>
      <c r="DS121" s="454"/>
      <c r="DT121" s="454"/>
      <c r="DU121" s="454"/>
      <c r="DV121" s="454"/>
      <c r="DW121" s="454"/>
      <c r="DX121" s="454"/>
      <c r="DY121" s="454"/>
      <c r="DZ121" s="454"/>
      <c r="EA121" s="454"/>
      <c r="EB121" s="454"/>
      <c r="EC121" s="454"/>
      <c r="ED121" s="454"/>
      <c r="EE121" s="454"/>
      <c r="EF121" s="454"/>
      <c r="EG121" s="454"/>
      <c r="EH121" s="454"/>
      <c r="EI121" s="454"/>
      <c r="EJ121" s="454"/>
      <c r="EK121" s="454"/>
      <c r="EL121" s="454"/>
      <c r="EM121" s="454"/>
      <c r="EN121" s="454"/>
      <c r="EO121" s="454"/>
      <c r="EP121" s="454"/>
      <c r="EQ121" s="454"/>
      <c r="ER121" s="454"/>
      <c r="ES121" s="454"/>
      <c r="ET121" s="454"/>
      <c r="EU121" s="454"/>
      <c r="EV121" s="454"/>
      <c r="EW121" s="454"/>
      <c r="EX121" s="454"/>
      <c r="EY121" s="454"/>
      <c r="EZ121" s="454"/>
      <c r="FA121" s="454"/>
      <c r="FB121" s="454"/>
      <c r="FC121" s="454"/>
      <c r="FD121" s="454"/>
      <c r="FE121" s="454"/>
      <c r="FF121" s="454"/>
      <c r="FG121" s="481"/>
    </row>
    <row r="122" spans="1:163" s="4" customFormat="1">
      <c r="A122" s="56"/>
      <c r="B122" s="56"/>
      <c r="C122" s="498" t="s">
        <v>3649</v>
      </c>
      <c r="D122" s="498"/>
      <c r="E122" s="454">
        <v>63.5</v>
      </c>
      <c r="F122" s="454"/>
      <c r="G122" s="454"/>
      <c r="H122" s="454"/>
      <c r="I122" s="454"/>
      <c r="J122" s="454"/>
      <c r="K122" s="454"/>
      <c r="L122" s="454"/>
      <c r="M122" s="454"/>
      <c r="N122" s="454"/>
      <c r="O122" s="454"/>
      <c r="P122" s="454"/>
      <c r="Q122" s="454"/>
      <c r="R122" s="290"/>
      <c r="S122" s="290"/>
      <c r="T122" s="454" t="s">
        <v>1631</v>
      </c>
      <c r="U122" s="694" t="s">
        <v>1631</v>
      </c>
      <c r="V122" s="454"/>
      <c r="W122" s="454"/>
      <c r="X122" s="454"/>
      <c r="Y122" s="454"/>
      <c r="Z122" s="454"/>
      <c r="AA122" s="454"/>
      <c r="AB122" s="454"/>
      <c r="AC122" s="454"/>
      <c r="AD122" s="454"/>
      <c r="AE122" s="454"/>
      <c r="AF122" s="454"/>
      <c r="AG122" s="454"/>
      <c r="AH122" s="454"/>
      <c r="AI122" s="454"/>
      <c r="AJ122" s="454"/>
      <c r="AK122" s="454"/>
      <c r="AL122" s="454"/>
      <c r="AM122" s="454"/>
      <c r="AN122" s="454"/>
      <c r="AO122" s="454"/>
      <c r="AP122" s="454"/>
      <c r="AQ122" s="454"/>
      <c r="AR122" s="454"/>
      <c r="AS122" s="454"/>
      <c r="AT122" s="454"/>
      <c r="AU122" s="454"/>
      <c r="AV122" s="454"/>
      <c r="AW122" s="454"/>
      <c r="AX122" s="454"/>
      <c r="AY122" s="454"/>
      <c r="AZ122" s="454"/>
      <c r="BA122" s="454"/>
      <c r="BB122" s="454"/>
      <c r="BC122" s="454"/>
      <c r="BD122" s="454"/>
      <c r="BE122" s="454"/>
      <c r="BF122" s="454"/>
      <c r="BG122" s="454"/>
      <c r="BH122" s="454"/>
      <c r="BI122" s="454"/>
      <c r="BJ122" s="454"/>
      <c r="BK122" s="454"/>
      <c r="BL122" s="454"/>
      <c r="BM122" s="454"/>
      <c r="BN122" s="454"/>
      <c r="BO122" s="454"/>
      <c r="BP122" s="454"/>
      <c r="BQ122" s="454"/>
      <c r="BR122" s="454"/>
      <c r="BS122" s="454"/>
      <c r="BT122" s="454"/>
      <c r="BU122" s="454"/>
      <c r="BV122" s="454"/>
      <c r="BW122" s="454"/>
      <c r="BX122" s="454"/>
      <c r="BY122" s="454"/>
      <c r="BZ122" s="454"/>
      <c r="CA122" s="454"/>
      <c r="CB122" s="454"/>
      <c r="CC122" s="454"/>
      <c r="CD122" s="454"/>
      <c r="CE122" s="454"/>
      <c r="CF122" s="454"/>
      <c r="CG122" s="454"/>
      <c r="CH122" s="454"/>
      <c r="CI122" s="454"/>
      <c r="CJ122" s="454"/>
      <c r="CK122" s="454"/>
      <c r="CL122" s="454"/>
      <c r="CM122" s="454"/>
      <c r="CN122" s="454"/>
      <c r="CO122" s="454"/>
      <c r="CP122" s="454"/>
      <c r="CQ122" s="454"/>
      <c r="CR122" s="454"/>
      <c r="CS122" s="454"/>
      <c r="CT122" s="454"/>
      <c r="CU122" s="454"/>
      <c r="CV122" s="517"/>
      <c r="CW122" s="517">
        <f>E122</f>
        <v>63.5</v>
      </c>
      <c r="CX122" s="517"/>
      <c r="CY122" s="517"/>
      <c r="CZ122" s="517"/>
      <c r="DA122" s="517">
        <f>E122*3</f>
        <v>190.5</v>
      </c>
      <c r="DB122" s="517"/>
      <c r="DC122" s="517"/>
      <c r="DD122" s="517"/>
      <c r="DE122" s="517"/>
      <c r="DF122" s="517"/>
      <c r="DG122" s="517"/>
      <c r="DH122" s="517"/>
      <c r="DI122" s="454"/>
      <c r="DJ122" s="454"/>
      <c r="DK122" s="454"/>
      <c r="DL122" s="454">
        <v>1</v>
      </c>
      <c r="DM122" s="454">
        <v>4</v>
      </c>
      <c r="DN122" s="454">
        <v>1</v>
      </c>
      <c r="DO122" s="454">
        <v>3</v>
      </c>
      <c r="DP122" s="454">
        <v>2</v>
      </c>
      <c r="DQ122" s="454"/>
      <c r="DR122" s="454"/>
      <c r="DS122" s="454">
        <v>2</v>
      </c>
      <c r="DT122" s="454"/>
      <c r="DU122" s="454"/>
      <c r="DV122" s="454"/>
      <c r="DW122" s="454"/>
      <c r="DX122" s="454"/>
      <c r="DY122" s="454"/>
      <c r="DZ122" s="454">
        <v>2</v>
      </c>
      <c r="EA122" s="454"/>
      <c r="EB122" s="454"/>
      <c r="EC122" s="454"/>
      <c r="ED122" s="454"/>
      <c r="EE122" s="454"/>
      <c r="EF122" s="454"/>
      <c r="EG122" s="454"/>
      <c r="EH122" s="454"/>
      <c r="EI122" s="454"/>
      <c r="EJ122" s="454"/>
      <c r="EK122" s="454"/>
      <c r="EL122" s="454"/>
      <c r="EM122" s="454"/>
      <c r="EN122" s="454"/>
      <c r="EO122" s="454"/>
      <c r="EP122" s="454"/>
      <c r="EQ122" s="454"/>
      <c r="ER122" s="454"/>
      <c r="ES122" s="454"/>
      <c r="ET122" s="454"/>
      <c r="EU122" s="454"/>
      <c r="EV122" s="454"/>
      <c r="EW122" s="454"/>
      <c r="EX122" s="454"/>
      <c r="EY122" s="454"/>
      <c r="EZ122" s="454"/>
      <c r="FA122" s="454"/>
      <c r="FB122" s="454"/>
      <c r="FC122" s="454"/>
      <c r="FD122" s="454"/>
      <c r="FE122" s="454"/>
      <c r="FF122" s="454"/>
      <c r="FG122" s="290"/>
    </row>
    <row r="123" spans="1:163" s="4" customFormat="1">
      <c r="A123" s="56"/>
      <c r="B123" s="56"/>
      <c r="C123" s="498" t="s">
        <v>3648</v>
      </c>
      <c r="D123" s="498"/>
      <c r="E123" s="454">
        <v>41</v>
      </c>
      <c r="F123" s="454"/>
      <c r="G123" s="454"/>
      <c r="H123" s="454"/>
      <c r="I123" s="454"/>
      <c r="J123" s="454"/>
      <c r="K123" s="454"/>
      <c r="L123" s="454"/>
      <c r="M123" s="454"/>
      <c r="N123" s="454"/>
      <c r="O123" s="454"/>
      <c r="P123" s="454"/>
      <c r="Q123" s="454"/>
      <c r="R123" s="290"/>
      <c r="S123" s="290"/>
      <c r="T123" s="454" t="s">
        <v>2990</v>
      </c>
      <c r="U123" s="454" t="s">
        <v>2990</v>
      </c>
      <c r="V123" s="454"/>
      <c r="W123" s="454"/>
      <c r="X123" s="454"/>
      <c r="Y123" s="454"/>
      <c r="Z123" s="454"/>
      <c r="AA123" s="454"/>
      <c r="AB123" s="454"/>
      <c r="AC123" s="454"/>
      <c r="AD123" s="454"/>
      <c r="AE123" s="454"/>
      <c r="AF123" s="454"/>
      <c r="AG123" s="454"/>
      <c r="AH123" s="454"/>
      <c r="AI123" s="454"/>
      <c r="AJ123" s="454"/>
      <c r="AK123" s="454"/>
      <c r="AL123" s="454"/>
      <c r="AM123" s="454"/>
      <c r="AN123" s="454"/>
      <c r="AO123" s="454"/>
      <c r="AP123" s="454"/>
      <c r="AQ123" s="454"/>
      <c r="AR123" s="454"/>
      <c r="AS123" s="454"/>
      <c r="AT123" s="454"/>
      <c r="AU123" s="454"/>
      <c r="AV123" s="454"/>
      <c r="AW123" s="454"/>
      <c r="AX123" s="454"/>
      <c r="AY123" s="454"/>
      <c r="AZ123" s="454"/>
      <c r="BA123" s="454"/>
      <c r="BB123" s="454"/>
      <c r="BC123" s="454"/>
      <c r="BD123" s="454"/>
      <c r="BE123" s="454"/>
      <c r="BF123" s="454"/>
      <c r="BG123" s="454"/>
      <c r="BH123" s="454"/>
      <c r="BI123" s="454"/>
      <c r="BJ123" s="454"/>
      <c r="BK123" s="454"/>
      <c r="BL123" s="454"/>
      <c r="BM123" s="454"/>
      <c r="BN123" s="454"/>
      <c r="BO123" s="454"/>
      <c r="BP123" s="454"/>
      <c r="BQ123" s="454"/>
      <c r="BR123" s="454"/>
      <c r="BS123" s="454"/>
      <c r="BT123" s="454"/>
      <c r="BU123" s="454"/>
      <c r="BV123" s="454"/>
      <c r="BW123" s="454"/>
      <c r="BX123" s="454"/>
      <c r="BY123" s="454"/>
      <c r="BZ123" s="454"/>
      <c r="CA123" s="454"/>
      <c r="CB123" s="454"/>
      <c r="CC123" s="454"/>
      <c r="CD123" s="454"/>
      <c r="CE123" s="454"/>
      <c r="CF123" s="454"/>
      <c r="CG123" s="454"/>
      <c r="CH123" s="454"/>
      <c r="CI123" s="454"/>
      <c r="CJ123" s="454"/>
      <c r="CK123" s="454"/>
      <c r="CL123" s="454"/>
      <c r="CM123" s="454"/>
      <c r="CN123" s="454"/>
      <c r="CO123" s="454"/>
      <c r="CP123" s="454"/>
      <c r="CQ123" s="454"/>
      <c r="CR123" s="454"/>
      <c r="CS123" s="454"/>
      <c r="CT123" s="454"/>
      <c r="CU123" s="454"/>
      <c r="CV123" s="517"/>
      <c r="CW123" s="517">
        <f t="shared" ref="CW123:CW184" si="17">E123</f>
        <v>41</v>
      </c>
      <c r="CX123" s="517"/>
      <c r="CY123" s="517"/>
      <c r="CZ123" s="517"/>
      <c r="DA123" s="517">
        <f t="shared" ref="DA123:DA184" si="18">E123*3</f>
        <v>123</v>
      </c>
      <c r="DB123" s="517"/>
      <c r="DC123" s="517"/>
      <c r="DD123" s="517"/>
      <c r="DE123" s="517"/>
      <c r="DF123" s="517"/>
      <c r="DG123" s="517"/>
      <c r="DH123" s="517"/>
      <c r="DI123" s="454"/>
      <c r="DJ123" s="454"/>
      <c r="DK123" s="454"/>
      <c r="DL123" s="454">
        <v>1</v>
      </c>
      <c r="DM123" s="454">
        <v>4</v>
      </c>
      <c r="DN123" s="454"/>
      <c r="DO123" s="454"/>
      <c r="DP123" s="454"/>
      <c r="DQ123" s="454"/>
      <c r="DR123" s="454"/>
      <c r="DS123" s="454">
        <v>1</v>
      </c>
      <c r="DT123" s="454"/>
      <c r="DU123" s="454">
        <v>8</v>
      </c>
      <c r="DV123" s="454"/>
      <c r="DW123" s="454"/>
      <c r="DX123" s="454"/>
      <c r="DY123" s="454"/>
      <c r="DZ123" s="454">
        <v>2</v>
      </c>
      <c r="EA123" s="454"/>
      <c r="EB123" s="454"/>
      <c r="EC123" s="454"/>
      <c r="ED123" s="454"/>
      <c r="EE123" s="454"/>
      <c r="EF123" s="454"/>
      <c r="EG123" s="454"/>
      <c r="EH123" s="454"/>
      <c r="EI123" s="454"/>
      <c r="EJ123" s="454"/>
      <c r="EK123" s="454"/>
      <c r="EL123" s="454"/>
      <c r="EM123" s="454"/>
      <c r="EN123" s="454"/>
      <c r="EO123" s="454"/>
      <c r="EP123" s="454"/>
      <c r="EQ123" s="454"/>
      <c r="ER123" s="454"/>
      <c r="ES123" s="454"/>
      <c r="ET123" s="454"/>
      <c r="EU123" s="454"/>
      <c r="EV123" s="454"/>
      <c r="EW123" s="454"/>
      <c r="EX123" s="454"/>
      <c r="EY123" s="454"/>
      <c r="EZ123" s="454"/>
      <c r="FA123" s="454"/>
      <c r="FB123" s="454"/>
      <c r="FC123" s="454"/>
      <c r="FD123" s="454"/>
      <c r="FE123" s="454"/>
      <c r="FF123" s="454"/>
      <c r="FG123" s="290"/>
    </row>
    <row r="124" spans="1:163" s="4" customFormat="1">
      <c r="A124" s="56"/>
      <c r="B124" s="56"/>
      <c r="C124" s="498"/>
      <c r="D124" s="498"/>
      <c r="E124" s="454"/>
      <c r="F124" s="454"/>
      <c r="G124" s="454"/>
      <c r="H124" s="454"/>
      <c r="I124" s="454"/>
      <c r="J124" s="454"/>
      <c r="K124" s="454"/>
      <c r="L124" s="454"/>
      <c r="M124" s="454"/>
      <c r="N124" s="454"/>
      <c r="O124" s="454"/>
      <c r="P124" s="454"/>
      <c r="Q124" s="454"/>
      <c r="R124" s="290"/>
      <c r="S124" s="290"/>
      <c r="T124" s="454"/>
      <c r="U124" s="454"/>
      <c r="V124" s="454"/>
      <c r="W124" s="454"/>
      <c r="X124" s="454"/>
      <c r="Y124" s="454"/>
      <c r="Z124" s="454"/>
      <c r="AA124" s="454"/>
      <c r="AB124" s="454"/>
      <c r="AC124" s="454"/>
      <c r="AD124" s="454"/>
      <c r="AE124" s="454"/>
      <c r="AF124" s="454"/>
      <c r="AG124" s="454"/>
      <c r="AH124" s="454"/>
      <c r="AI124" s="454"/>
      <c r="AJ124" s="454"/>
      <c r="AK124" s="454"/>
      <c r="AL124" s="454"/>
      <c r="AM124" s="454"/>
      <c r="AN124" s="454"/>
      <c r="AO124" s="454"/>
      <c r="AP124" s="454"/>
      <c r="AQ124" s="454"/>
      <c r="AR124" s="454"/>
      <c r="AS124" s="454"/>
      <c r="AT124" s="454"/>
      <c r="AU124" s="454"/>
      <c r="AV124" s="454"/>
      <c r="AW124" s="454"/>
      <c r="AX124" s="454"/>
      <c r="AY124" s="454"/>
      <c r="AZ124" s="454"/>
      <c r="BA124" s="454"/>
      <c r="BB124" s="454"/>
      <c r="BC124" s="454"/>
      <c r="BD124" s="454"/>
      <c r="BE124" s="454"/>
      <c r="BF124" s="454"/>
      <c r="BG124" s="454"/>
      <c r="BH124" s="454"/>
      <c r="BI124" s="454"/>
      <c r="BJ124" s="454"/>
      <c r="BK124" s="454"/>
      <c r="BL124" s="454"/>
      <c r="BM124" s="454"/>
      <c r="BN124" s="454"/>
      <c r="BO124" s="454"/>
      <c r="BP124" s="454"/>
      <c r="BQ124" s="454"/>
      <c r="BR124" s="454"/>
      <c r="BS124" s="454"/>
      <c r="BT124" s="454"/>
      <c r="BU124" s="454"/>
      <c r="BV124" s="454"/>
      <c r="BW124" s="454"/>
      <c r="BX124" s="454"/>
      <c r="BY124" s="454"/>
      <c r="BZ124" s="454"/>
      <c r="CA124" s="454"/>
      <c r="CB124" s="454"/>
      <c r="CC124" s="454"/>
      <c r="CD124" s="454"/>
      <c r="CE124" s="454"/>
      <c r="CF124" s="454"/>
      <c r="CG124" s="454"/>
      <c r="CH124" s="454"/>
      <c r="CI124" s="454"/>
      <c r="CJ124" s="454"/>
      <c r="CK124" s="454"/>
      <c r="CL124" s="454"/>
      <c r="CM124" s="454"/>
      <c r="CN124" s="454"/>
      <c r="CO124" s="454"/>
      <c r="CP124" s="454"/>
      <c r="CQ124" s="454"/>
      <c r="CR124" s="454"/>
      <c r="CS124" s="454"/>
      <c r="CT124" s="454"/>
      <c r="CU124" s="454"/>
      <c r="CV124" s="517"/>
      <c r="CW124" s="517">
        <f t="shared" si="17"/>
        <v>0</v>
      </c>
      <c r="CX124" s="517"/>
      <c r="CY124" s="517"/>
      <c r="CZ124" s="517"/>
      <c r="DA124" s="517">
        <f t="shared" si="18"/>
        <v>0</v>
      </c>
      <c r="DB124" s="517"/>
      <c r="DC124" s="517"/>
      <c r="DD124" s="517"/>
      <c r="DE124" s="517"/>
      <c r="DF124" s="517"/>
      <c r="DG124" s="517"/>
      <c r="DH124" s="517"/>
      <c r="DI124" s="454"/>
      <c r="DJ124" s="454"/>
      <c r="DK124" s="454"/>
      <c r="DL124" s="454"/>
      <c r="DM124" s="454"/>
      <c r="DN124" s="454"/>
      <c r="DO124" s="454"/>
      <c r="DP124" s="454"/>
      <c r="DQ124" s="454"/>
      <c r="DR124" s="454"/>
      <c r="DS124" s="454"/>
      <c r="DT124" s="454"/>
      <c r="DU124" s="454"/>
      <c r="DV124" s="454"/>
      <c r="DW124" s="454"/>
      <c r="DX124" s="454"/>
      <c r="DY124" s="454"/>
      <c r="DZ124" s="454"/>
      <c r="EA124" s="454"/>
      <c r="EB124" s="454"/>
      <c r="EC124" s="454"/>
      <c r="ED124" s="454"/>
      <c r="EE124" s="454"/>
      <c r="EF124" s="454"/>
      <c r="EG124" s="454"/>
      <c r="EH124" s="454"/>
      <c r="EI124" s="454"/>
      <c r="EJ124" s="454"/>
      <c r="EK124" s="454"/>
      <c r="EL124" s="454"/>
      <c r="EM124" s="454"/>
      <c r="EN124" s="454"/>
      <c r="EO124" s="454"/>
      <c r="EP124" s="454"/>
      <c r="EQ124" s="454"/>
      <c r="ER124" s="454"/>
      <c r="ES124" s="454"/>
      <c r="ET124" s="454"/>
      <c r="EU124" s="454"/>
      <c r="EV124" s="454"/>
      <c r="EW124" s="454"/>
      <c r="EX124" s="454"/>
      <c r="EY124" s="454"/>
      <c r="EZ124" s="454"/>
      <c r="FA124" s="454"/>
      <c r="FB124" s="454"/>
      <c r="FC124" s="454"/>
      <c r="FD124" s="454"/>
      <c r="FE124" s="454"/>
      <c r="FF124" s="454"/>
      <c r="FG124" s="290"/>
    </row>
    <row r="125" spans="1:163" s="4" customFormat="1">
      <c r="A125" s="56"/>
      <c r="B125" s="56"/>
      <c r="C125" s="498"/>
      <c r="D125" s="506" t="s">
        <v>3690</v>
      </c>
      <c r="E125" s="454"/>
      <c r="F125" s="454"/>
      <c r="G125" s="454"/>
      <c r="H125" s="454"/>
      <c r="I125" s="454"/>
      <c r="J125" s="454"/>
      <c r="K125" s="454"/>
      <c r="L125" s="454"/>
      <c r="M125" s="454"/>
      <c r="N125" s="454"/>
      <c r="O125" s="454"/>
      <c r="P125" s="454"/>
      <c r="Q125" s="454"/>
      <c r="R125" s="290"/>
      <c r="S125" s="290"/>
      <c r="T125" s="454"/>
      <c r="U125" s="454"/>
      <c r="V125" s="454"/>
      <c r="W125" s="454"/>
      <c r="X125" s="454"/>
      <c r="Y125" s="454"/>
      <c r="Z125" s="454"/>
      <c r="AA125" s="454"/>
      <c r="AB125" s="454"/>
      <c r="AC125" s="454"/>
      <c r="AD125" s="454"/>
      <c r="AE125" s="454"/>
      <c r="AF125" s="454"/>
      <c r="AG125" s="454"/>
      <c r="AH125" s="454"/>
      <c r="AI125" s="454"/>
      <c r="AJ125" s="454"/>
      <c r="AK125" s="454"/>
      <c r="AL125" s="454"/>
      <c r="AM125" s="454"/>
      <c r="AN125" s="454"/>
      <c r="AO125" s="454"/>
      <c r="AP125" s="454"/>
      <c r="AQ125" s="454"/>
      <c r="AR125" s="454"/>
      <c r="AS125" s="454"/>
      <c r="AT125" s="454"/>
      <c r="AU125" s="454"/>
      <c r="AV125" s="454"/>
      <c r="AW125" s="454"/>
      <c r="AX125" s="454"/>
      <c r="AY125" s="454"/>
      <c r="AZ125" s="454"/>
      <c r="BA125" s="454"/>
      <c r="BB125" s="454"/>
      <c r="BC125" s="454"/>
      <c r="BD125" s="454"/>
      <c r="BE125" s="454"/>
      <c r="BF125" s="454"/>
      <c r="BG125" s="454"/>
      <c r="BH125" s="454"/>
      <c r="BI125" s="454"/>
      <c r="BJ125" s="454"/>
      <c r="BK125" s="454"/>
      <c r="BL125" s="454"/>
      <c r="BM125" s="454"/>
      <c r="BN125" s="454"/>
      <c r="BO125" s="454"/>
      <c r="BP125" s="454"/>
      <c r="BQ125" s="454"/>
      <c r="BR125" s="454"/>
      <c r="BS125" s="454"/>
      <c r="BT125" s="454"/>
      <c r="BU125" s="454"/>
      <c r="BV125" s="454"/>
      <c r="BW125" s="454"/>
      <c r="BX125" s="454"/>
      <c r="BY125" s="454"/>
      <c r="BZ125" s="454"/>
      <c r="CA125" s="454"/>
      <c r="CB125" s="454"/>
      <c r="CC125" s="454"/>
      <c r="CD125" s="454"/>
      <c r="CE125" s="454"/>
      <c r="CF125" s="454"/>
      <c r="CG125" s="454"/>
      <c r="CH125" s="454"/>
      <c r="CI125" s="454"/>
      <c r="CJ125" s="454"/>
      <c r="CK125" s="454"/>
      <c r="CL125" s="454"/>
      <c r="CM125" s="454"/>
      <c r="CN125" s="454"/>
      <c r="CO125" s="454"/>
      <c r="CP125" s="454"/>
      <c r="CQ125" s="454"/>
      <c r="CR125" s="454"/>
      <c r="CS125" s="454"/>
      <c r="CT125" s="454"/>
      <c r="CU125" s="454"/>
      <c r="CV125" s="517"/>
      <c r="CW125" s="517">
        <f t="shared" si="17"/>
        <v>0</v>
      </c>
      <c r="CX125" s="517"/>
      <c r="CY125" s="517"/>
      <c r="CZ125" s="517"/>
      <c r="DA125" s="517">
        <f t="shared" si="18"/>
        <v>0</v>
      </c>
      <c r="DB125" s="517"/>
      <c r="DC125" s="517"/>
      <c r="DD125" s="517"/>
      <c r="DE125" s="517"/>
      <c r="DF125" s="517"/>
      <c r="DG125" s="517"/>
      <c r="DH125" s="517"/>
      <c r="DI125" s="454"/>
      <c r="DJ125" s="454"/>
      <c r="DK125" s="454"/>
      <c r="DL125" s="454"/>
      <c r="DM125" s="454"/>
      <c r="DN125" s="454"/>
      <c r="DO125" s="454"/>
      <c r="DP125" s="454"/>
      <c r="DQ125" s="454"/>
      <c r="DR125" s="454"/>
      <c r="DS125" s="454"/>
      <c r="DT125" s="454"/>
      <c r="DU125" s="454"/>
      <c r="DV125" s="454"/>
      <c r="DW125" s="454"/>
      <c r="DX125" s="454"/>
      <c r="DY125" s="454"/>
      <c r="DZ125" s="454"/>
      <c r="EA125" s="454"/>
      <c r="EB125" s="454"/>
      <c r="EC125" s="454"/>
      <c r="ED125" s="454"/>
      <c r="EE125" s="454"/>
      <c r="EF125" s="454"/>
      <c r="EG125" s="454"/>
      <c r="EH125" s="454"/>
      <c r="EI125" s="454"/>
      <c r="EJ125" s="454"/>
      <c r="EK125" s="454"/>
      <c r="EL125" s="454"/>
      <c r="EM125" s="454"/>
      <c r="EN125" s="454"/>
      <c r="EO125" s="454"/>
      <c r="EP125" s="454"/>
      <c r="EQ125" s="454"/>
      <c r="ER125" s="454"/>
      <c r="ES125" s="454"/>
      <c r="ET125" s="454"/>
      <c r="EU125" s="454"/>
      <c r="EV125" s="454"/>
      <c r="EW125" s="454"/>
      <c r="EX125" s="454"/>
      <c r="EY125" s="454"/>
      <c r="EZ125" s="454"/>
      <c r="FA125" s="454"/>
      <c r="FB125" s="454"/>
      <c r="FC125" s="454"/>
      <c r="FD125" s="454"/>
      <c r="FE125" s="454"/>
      <c r="FF125" s="454"/>
      <c r="FG125" s="290"/>
    </row>
    <row r="126" spans="1:163" s="4" customFormat="1">
      <c r="A126" s="56"/>
      <c r="B126" s="56"/>
      <c r="C126" s="498" t="s">
        <v>3650</v>
      </c>
      <c r="D126" s="498"/>
      <c r="E126" s="454">
        <v>46.3</v>
      </c>
      <c r="F126" s="454"/>
      <c r="G126" s="454"/>
      <c r="H126" s="454"/>
      <c r="I126" s="454"/>
      <c r="J126" s="454"/>
      <c r="K126" s="454"/>
      <c r="L126" s="454"/>
      <c r="M126" s="454"/>
      <c r="N126" s="454"/>
      <c r="O126" s="454"/>
      <c r="P126" s="454"/>
      <c r="Q126" s="454"/>
      <c r="R126" s="290"/>
      <c r="S126" s="290"/>
      <c r="T126" s="454" t="s">
        <v>1631</v>
      </c>
      <c r="U126" s="454" t="s">
        <v>1631</v>
      </c>
      <c r="V126" s="454"/>
      <c r="W126" s="454"/>
      <c r="X126" s="454"/>
      <c r="Y126" s="454"/>
      <c r="Z126" s="454"/>
      <c r="AA126" s="454"/>
      <c r="AB126" s="454"/>
      <c r="AC126" s="454"/>
      <c r="AD126" s="454"/>
      <c r="AE126" s="454"/>
      <c r="AF126" s="454"/>
      <c r="AG126" s="454"/>
      <c r="AH126" s="454"/>
      <c r="AI126" s="454"/>
      <c r="AJ126" s="454"/>
      <c r="AK126" s="454"/>
      <c r="AL126" s="454"/>
      <c r="AM126" s="454"/>
      <c r="AN126" s="454"/>
      <c r="AO126" s="454"/>
      <c r="AP126" s="454"/>
      <c r="AQ126" s="454"/>
      <c r="AR126" s="454"/>
      <c r="AS126" s="454"/>
      <c r="AT126" s="454"/>
      <c r="AU126" s="454"/>
      <c r="AV126" s="454"/>
      <c r="AW126" s="454"/>
      <c r="AX126" s="454"/>
      <c r="AY126" s="454"/>
      <c r="AZ126" s="454"/>
      <c r="BA126" s="454"/>
      <c r="BB126" s="454"/>
      <c r="BC126" s="454"/>
      <c r="BD126" s="454"/>
      <c r="BE126" s="454"/>
      <c r="BF126" s="454"/>
      <c r="BG126" s="454"/>
      <c r="BH126" s="454"/>
      <c r="BI126" s="454"/>
      <c r="BJ126" s="454"/>
      <c r="BK126" s="454"/>
      <c r="BL126" s="454"/>
      <c r="BM126" s="454"/>
      <c r="BN126" s="454"/>
      <c r="BO126" s="454"/>
      <c r="BP126" s="454"/>
      <c r="BQ126" s="454"/>
      <c r="BR126" s="454"/>
      <c r="BS126" s="454"/>
      <c r="BT126" s="454"/>
      <c r="BU126" s="454"/>
      <c r="BV126" s="454"/>
      <c r="BW126" s="454"/>
      <c r="BX126" s="454"/>
      <c r="BY126" s="454"/>
      <c r="BZ126" s="454"/>
      <c r="CA126" s="454"/>
      <c r="CB126" s="454"/>
      <c r="CC126" s="454"/>
      <c r="CD126" s="454"/>
      <c r="CE126" s="454"/>
      <c r="CF126" s="454"/>
      <c r="CG126" s="454"/>
      <c r="CH126" s="454"/>
      <c r="CI126" s="454"/>
      <c r="CJ126" s="454"/>
      <c r="CK126" s="454"/>
      <c r="CL126" s="454"/>
      <c r="CM126" s="454"/>
      <c r="CN126" s="454"/>
      <c r="CO126" s="454"/>
      <c r="CP126" s="454"/>
      <c r="CQ126" s="454"/>
      <c r="CR126" s="454"/>
      <c r="CS126" s="454"/>
      <c r="CT126" s="454"/>
      <c r="CU126" s="454"/>
      <c r="CV126" s="517"/>
      <c r="CW126" s="517">
        <f t="shared" si="17"/>
        <v>46.3</v>
      </c>
      <c r="CX126" s="517"/>
      <c r="CY126" s="517"/>
      <c r="CZ126" s="517"/>
      <c r="DA126" s="517">
        <f t="shared" si="18"/>
        <v>138.89999999999998</v>
      </c>
      <c r="DB126" s="517"/>
      <c r="DC126" s="517"/>
      <c r="DD126" s="517"/>
      <c r="DE126" s="517"/>
      <c r="DF126" s="517"/>
      <c r="DG126" s="517"/>
      <c r="DH126" s="517"/>
      <c r="DI126" s="454"/>
      <c r="DJ126" s="454"/>
      <c r="DK126" s="454"/>
      <c r="DL126" s="454">
        <v>1</v>
      </c>
      <c r="DM126" s="454">
        <v>4</v>
      </c>
      <c r="DN126" s="454">
        <v>1</v>
      </c>
      <c r="DO126" s="454">
        <v>3</v>
      </c>
      <c r="DP126" s="454">
        <v>2</v>
      </c>
      <c r="DQ126" s="454"/>
      <c r="DR126" s="454"/>
      <c r="DS126" s="454"/>
      <c r="DT126" s="454"/>
      <c r="DU126" s="454"/>
      <c r="DV126" s="454"/>
      <c r="DW126" s="454"/>
      <c r="DX126" s="454"/>
      <c r="DY126" s="454"/>
      <c r="DZ126" s="454">
        <v>2</v>
      </c>
      <c r="EA126" s="454"/>
      <c r="EB126" s="454"/>
      <c r="EC126" s="454"/>
      <c r="ED126" s="454"/>
      <c r="EE126" s="454"/>
      <c r="EF126" s="454"/>
      <c r="EG126" s="454"/>
      <c r="EH126" s="454"/>
      <c r="EI126" s="454"/>
      <c r="EJ126" s="454"/>
      <c r="EK126" s="454"/>
      <c r="EL126" s="454"/>
      <c r="EM126" s="454"/>
      <c r="EN126" s="454"/>
      <c r="EO126" s="454"/>
      <c r="EP126" s="454"/>
      <c r="EQ126" s="454"/>
      <c r="ER126" s="454"/>
      <c r="ES126" s="454"/>
      <c r="ET126" s="454"/>
      <c r="EU126" s="454"/>
      <c r="EV126" s="454"/>
      <c r="EW126" s="454"/>
      <c r="EX126" s="454"/>
      <c r="EY126" s="454"/>
      <c r="EZ126" s="454"/>
      <c r="FA126" s="454"/>
      <c r="FB126" s="454"/>
      <c r="FC126" s="454"/>
      <c r="FD126" s="454"/>
      <c r="FE126" s="454"/>
      <c r="FF126" s="454"/>
      <c r="FG126" s="290"/>
    </row>
    <row r="127" spans="1:163" s="4" customFormat="1">
      <c r="A127" s="56"/>
      <c r="B127" s="56"/>
      <c r="C127" s="498" t="s">
        <v>3641</v>
      </c>
      <c r="D127" s="498"/>
      <c r="E127" s="454">
        <v>56.9</v>
      </c>
      <c r="F127" s="454"/>
      <c r="G127" s="454"/>
      <c r="H127" s="454"/>
      <c r="I127" s="454"/>
      <c r="J127" s="454"/>
      <c r="K127" s="454"/>
      <c r="L127" s="454"/>
      <c r="M127" s="454"/>
      <c r="N127" s="454"/>
      <c r="O127" s="454"/>
      <c r="P127" s="454"/>
      <c r="Q127" s="454"/>
      <c r="R127" s="290"/>
      <c r="S127" s="290"/>
      <c r="T127" s="454" t="s">
        <v>2990</v>
      </c>
      <c r="U127" s="454" t="s">
        <v>2990</v>
      </c>
      <c r="V127" s="454"/>
      <c r="W127" s="454"/>
      <c r="X127" s="454"/>
      <c r="Y127" s="454"/>
      <c r="Z127" s="454"/>
      <c r="AA127" s="454"/>
      <c r="AB127" s="454"/>
      <c r="AC127" s="454"/>
      <c r="AD127" s="454"/>
      <c r="AE127" s="454"/>
      <c r="AF127" s="454"/>
      <c r="AG127" s="454"/>
      <c r="AH127" s="454"/>
      <c r="AI127" s="454"/>
      <c r="AJ127" s="454"/>
      <c r="AK127" s="454"/>
      <c r="AL127" s="454"/>
      <c r="AM127" s="454"/>
      <c r="AN127" s="454"/>
      <c r="AO127" s="454"/>
      <c r="AP127" s="454"/>
      <c r="AQ127" s="454"/>
      <c r="AR127" s="454"/>
      <c r="AS127" s="454"/>
      <c r="AT127" s="454"/>
      <c r="AU127" s="454"/>
      <c r="AV127" s="454"/>
      <c r="AW127" s="454"/>
      <c r="AX127" s="454"/>
      <c r="AY127" s="454"/>
      <c r="AZ127" s="454"/>
      <c r="BA127" s="454"/>
      <c r="BB127" s="454"/>
      <c r="BC127" s="454"/>
      <c r="BD127" s="454"/>
      <c r="BE127" s="454"/>
      <c r="BF127" s="454"/>
      <c r="BG127" s="454"/>
      <c r="BH127" s="454"/>
      <c r="BI127" s="454"/>
      <c r="BJ127" s="454"/>
      <c r="BK127" s="454"/>
      <c r="BL127" s="454"/>
      <c r="BM127" s="454"/>
      <c r="BN127" s="454"/>
      <c r="BO127" s="454"/>
      <c r="BP127" s="454"/>
      <c r="BQ127" s="454"/>
      <c r="BR127" s="454"/>
      <c r="BS127" s="454"/>
      <c r="BT127" s="454"/>
      <c r="BU127" s="454"/>
      <c r="BV127" s="454"/>
      <c r="BW127" s="454"/>
      <c r="BX127" s="454"/>
      <c r="BY127" s="454"/>
      <c r="BZ127" s="454"/>
      <c r="CA127" s="454"/>
      <c r="CB127" s="454"/>
      <c r="CC127" s="454"/>
      <c r="CD127" s="454"/>
      <c r="CE127" s="454"/>
      <c r="CF127" s="454"/>
      <c r="CG127" s="454"/>
      <c r="CH127" s="454"/>
      <c r="CI127" s="454"/>
      <c r="CJ127" s="454"/>
      <c r="CK127" s="454"/>
      <c r="CL127" s="454"/>
      <c r="CM127" s="454"/>
      <c r="CN127" s="454"/>
      <c r="CO127" s="454"/>
      <c r="CP127" s="454"/>
      <c r="CQ127" s="454"/>
      <c r="CR127" s="454"/>
      <c r="CS127" s="454"/>
      <c r="CT127" s="454"/>
      <c r="CU127" s="454"/>
      <c r="CV127" s="517"/>
      <c r="CW127" s="517">
        <f t="shared" si="17"/>
        <v>56.9</v>
      </c>
      <c r="CX127" s="517"/>
      <c r="CY127" s="517"/>
      <c r="CZ127" s="517"/>
      <c r="DA127" s="517">
        <f t="shared" si="18"/>
        <v>170.7</v>
      </c>
      <c r="DB127" s="517"/>
      <c r="DC127" s="517"/>
      <c r="DD127" s="517"/>
      <c r="DE127" s="517"/>
      <c r="DF127" s="517"/>
      <c r="DG127" s="517"/>
      <c r="DH127" s="517"/>
      <c r="DI127" s="454"/>
      <c r="DJ127" s="454"/>
      <c r="DK127" s="454"/>
      <c r="DL127" s="454">
        <v>1</v>
      </c>
      <c r="DM127" s="454">
        <v>4</v>
      </c>
      <c r="DN127" s="454"/>
      <c r="DO127" s="454"/>
      <c r="DP127" s="454"/>
      <c r="DQ127" s="454"/>
      <c r="DR127" s="454"/>
      <c r="DS127" s="454"/>
      <c r="DT127" s="454"/>
      <c r="DU127" s="454">
        <v>8</v>
      </c>
      <c r="DV127" s="454"/>
      <c r="DW127" s="454"/>
      <c r="DX127" s="454"/>
      <c r="DY127" s="454"/>
      <c r="DZ127" s="454">
        <v>2</v>
      </c>
      <c r="EA127" s="454"/>
      <c r="EB127" s="454"/>
      <c r="EC127" s="454"/>
      <c r="ED127" s="454"/>
      <c r="EE127" s="454"/>
      <c r="EF127" s="454"/>
      <c r="EG127" s="454"/>
      <c r="EH127" s="454"/>
      <c r="EI127" s="454"/>
      <c r="EJ127" s="454"/>
      <c r="EK127" s="454"/>
      <c r="EL127" s="454"/>
      <c r="EM127" s="454"/>
      <c r="EN127" s="454"/>
      <c r="EO127" s="454"/>
      <c r="EP127" s="454"/>
      <c r="EQ127" s="454"/>
      <c r="ER127" s="454"/>
      <c r="ES127" s="454"/>
      <c r="ET127" s="454"/>
      <c r="EU127" s="454"/>
      <c r="EV127" s="454"/>
      <c r="EW127" s="454"/>
      <c r="EX127" s="454"/>
      <c r="EY127" s="454"/>
      <c r="EZ127" s="454"/>
      <c r="FA127" s="454"/>
      <c r="FB127" s="454"/>
      <c r="FC127" s="454"/>
      <c r="FD127" s="454"/>
      <c r="FE127" s="454"/>
      <c r="FF127" s="454"/>
      <c r="FG127" s="290"/>
    </row>
    <row r="128" spans="1:163" s="4" customFormat="1">
      <c r="A128" s="56"/>
      <c r="B128" s="56"/>
      <c r="C128" s="498"/>
      <c r="D128" s="498"/>
      <c r="E128" s="454"/>
      <c r="F128" s="454"/>
      <c r="G128" s="454"/>
      <c r="H128" s="454"/>
      <c r="I128" s="454"/>
      <c r="J128" s="454"/>
      <c r="K128" s="454"/>
      <c r="L128" s="454"/>
      <c r="M128" s="454"/>
      <c r="N128" s="454"/>
      <c r="O128" s="454"/>
      <c r="P128" s="454"/>
      <c r="Q128" s="454"/>
      <c r="R128" s="290"/>
      <c r="S128" s="290"/>
      <c r="T128" s="454"/>
      <c r="U128" s="454"/>
      <c r="V128" s="454"/>
      <c r="W128" s="454"/>
      <c r="X128" s="454"/>
      <c r="Y128" s="454"/>
      <c r="Z128" s="454"/>
      <c r="AA128" s="454"/>
      <c r="AB128" s="454"/>
      <c r="AC128" s="454"/>
      <c r="AD128" s="454"/>
      <c r="AE128" s="454"/>
      <c r="AF128" s="454"/>
      <c r="AG128" s="454"/>
      <c r="AH128" s="454"/>
      <c r="AI128" s="454"/>
      <c r="AJ128" s="454"/>
      <c r="AK128" s="454"/>
      <c r="AL128" s="454"/>
      <c r="AM128" s="454"/>
      <c r="AN128" s="454"/>
      <c r="AO128" s="454"/>
      <c r="AP128" s="454"/>
      <c r="AQ128" s="454"/>
      <c r="AR128" s="454"/>
      <c r="AS128" s="454"/>
      <c r="AT128" s="454"/>
      <c r="AU128" s="454"/>
      <c r="AV128" s="454"/>
      <c r="AW128" s="454"/>
      <c r="AX128" s="454"/>
      <c r="AY128" s="454"/>
      <c r="AZ128" s="454"/>
      <c r="BA128" s="454"/>
      <c r="BB128" s="454"/>
      <c r="BC128" s="454"/>
      <c r="BD128" s="454"/>
      <c r="BE128" s="454"/>
      <c r="BF128" s="454"/>
      <c r="BG128" s="454"/>
      <c r="BH128" s="454"/>
      <c r="BI128" s="454"/>
      <c r="BJ128" s="454"/>
      <c r="BK128" s="454"/>
      <c r="BL128" s="454"/>
      <c r="BM128" s="454"/>
      <c r="BN128" s="454"/>
      <c r="BO128" s="454"/>
      <c r="BP128" s="454"/>
      <c r="BQ128" s="454"/>
      <c r="BR128" s="454"/>
      <c r="BS128" s="454"/>
      <c r="BT128" s="454"/>
      <c r="BU128" s="454"/>
      <c r="BV128" s="454"/>
      <c r="BW128" s="454"/>
      <c r="BX128" s="454"/>
      <c r="BY128" s="454"/>
      <c r="BZ128" s="454"/>
      <c r="CA128" s="454"/>
      <c r="CB128" s="454"/>
      <c r="CC128" s="454"/>
      <c r="CD128" s="454"/>
      <c r="CE128" s="454"/>
      <c r="CF128" s="454"/>
      <c r="CG128" s="454"/>
      <c r="CH128" s="454"/>
      <c r="CI128" s="454"/>
      <c r="CJ128" s="454"/>
      <c r="CK128" s="454"/>
      <c r="CL128" s="454"/>
      <c r="CM128" s="454"/>
      <c r="CN128" s="454"/>
      <c r="CO128" s="454"/>
      <c r="CP128" s="454"/>
      <c r="CQ128" s="454"/>
      <c r="CR128" s="454"/>
      <c r="CS128" s="454"/>
      <c r="CT128" s="454"/>
      <c r="CU128" s="454"/>
      <c r="CV128" s="517"/>
      <c r="CW128" s="517">
        <f t="shared" si="17"/>
        <v>0</v>
      </c>
      <c r="CX128" s="517"/>
      <c r="CY128" s="517"/>
      <c r="CZ128" s="517"/>
      <c r="DA128" s="517">
        <f t="shared" si="18"/>
        <v>0</v>
      </c>
      <c r="DB128" s="517"/>
      <c r="DC128" s="517"/>
      <c r="DD128" s="517"/>
      <c r="DE128" s="517"/>
      <c r="DF128" s="517"/>
      <c r="DG128" s="517"/>
      <c r="DH128" s="517"/>
      <c r="DI128" s="454"/>
      <c r="DJ128" s="454"/>
      <c r="DK128" s="454"/>
      <c r="DL128" s="454"/>
      <c r="DM128" s="454"/>
      <c r="DN128" s="454"/>
      <c r="DO128" s="454"/>
      <c r="DP128" s="454"/>
      <c r="DQ128" s="454"/>
      <c r="DR128" s="454"/>
      <c r="DS128" s="454"/>
      <c r="DT128" s="454"/>
      <c r="DU128" s="454"/>
      <c r="DV128" s="454"/>
      <c r="DW128" s="454"/>
      <c r="DX128" s="454"/>
      <c r="DY128" s="454"/>
      <c r="DZ128" s="454"/>
      <c r="EA128" s="454"/>
      <c r="EB128" s="454"/>
      <c r="EC128" s="454"/>
      <c r="ED128" s="454"/>
      <c r="EE128" s="454"/>
      <c r="EF128" s="454"/>
      <c r="EG128" s="454"/>
      <c r="EH128" s="454"/>
      <c r="EI128" s="454"/>
      <c r="EJ128" s="454"/>
      <c r="EK128" s="454"/>
      <c r="EL128" s="454"/>
      <c r="EM128" s="454"/>
      <c r="EN128" s="454"/>
      <c r="EO128" s="454"/>
      <c r="EP128" s="454"/>
      <c r="EQ128" s="454"/>
      <c r="ER128" s="454"/>
      <c r="ES128" s="454"/>
      <c r="ET128" s="454"/>
      <c r="EU128" s="454"/>
      <c r="EV128" s="454"/>
      <c r="EW128" s="454"/>
      <c r="EX128" s="454"/>
      <c r="EY128" s="454"/>
      <c r="EZ128" s="454"/>
      <c r="FA128" s="454"/>
      <c r="FB128" s="454"/>
      <c r="FC128" s="454"/>
      <c r="FD128" s="454"/>
      <c r="FE128" s="454"/>
      <c r="FF128" s="454"/>
      <c r="FG128" s="290"/>
    </row>
    <row r="129" spans="1:163" s="4" customFormat="1">
      <c r="A129" s="56"/>
      <c r="B129" s="56"/>
      <c r="C129" s="498"/>
      <c r="D129" s="506" t="s">
        <v>3691</v>
      </c>
      <c r="E129" s="454"/>
      <c r="F129" s="454"/>
      <c r="G129" s="454"/>
      <c r="H129" s="454"/>
      <c r="I129" s="454"/>
      <c r="J129" s="454"/>
      <c r="K129" s="454"/>
      <c r="L129" s="454"/>
      <c r="M129" s="454"/>
      <c r="N129" s="454"/>
      <c r="O129" s="454"/>
      <c r="P129" s="454"/>
      <c r="Q129" s="454"/>
      <c r="R129" s="290"/>
      <c r="S129" s="290"/>
      <c r="T129" s="454"/>
      <c r="U129" s="454"/>
      <c r="V129" s="454"/>
      <c r="W129" s="454"/>
      <c r="X129" s="454"/>
      <c r="Y129" s="454"/>
      <c r="Z129" s="454"/>
      <c r="AA129" s="454"/>
      <c r="AB129" s="454"/>
      <c r="AC129" s="454"/>
      <c r="AD129" s="454"/>
      <c r="AE129" s="454"/>
      <c r="AF129" s="454"/>
      <c r="AG129" s="454"/>
      <c r="AH129" s="454"/>
      <c r="AI129" s="454"/>
      <c r="AJ129" s="454"/>
      <c r="AK129" s="454"/>
      <c r="AL129" s="454"/>
      <c r="AM129" s="454"/>
      <c r="AN129" s="454"/>
      <c r="AO129" s="454"/>
      <c r="AP129" s="454"/>
      <c r="AQ129" s="454"/>
      <c r="AR129" s="454"/>
      <c r="AS129" s="454"/>
      <c r="AT129" s="454"/>
      <c r="AU129" s="454"/>
      <c r="AV129" s="454"/>
      <c r="AW129" s="454"/>
      <c r="AX129" s="454"/>
      <c r="AY129" s="454"/>
      <c r="AZ129" s="454"/>
      <c r="BA129" s="454"/>
      <c r="BB129" s="454"/>
      <c r="BC129" s="454"/>
      <c r="BD129" s="454"/>
      <c r="BE129" s="454"/>
      <c r="BF129" s="454"/>
      <c r="BG129" s="454"/>
      <c r="BH129" s="454"/>
      <c r="BI129" s="454"/>
      <c r="BJ129" s="454"/>
      <c r="BK129" s="454"/>
      <c r="BL129" s="454"/>
      <c r="BM129" s="454"/>
      <c r="BN129" s="454"/>
      <c r="BO129" s="454"/>
      <c r="BP129" s="454"/>
      <c r="BQ129" s="454"/>
      <c r="BR129" s="454"/>
      <c r="BS129" s="454"/>
      <c r="BT129" s="454"/>
      <c r="BU129" s="454"/>
      <c r="BV129" s="454"/>
      <c r="BW129" s="454"/>
      <c r="BX129" s="454"/>
      <c r="BY129" s="454"/>
      <c r="BZ129" s="454"/>
      <c r="CA129" s="454"/>
      <c r="CB129" s="454"/>
      <c r="CC129" s="454"/>
      <c r="CD129" s="454"/>
      <c r="CE129" s="454"/>
      <c r="CF129" s="454"/>
      <c r="CG129" s="454"/>
      <c r="CH129" s="454"/>
      <c r="CI129" s="454"/>
      <c r="CJ129" s="454"/>
      <c r="CK129" s="454"/>
      <c r="CL129" s="454"/>
      <c r="CM129" s="454"/>
      <c r="CN129" s="454"/>
      <c r="CO129" s="454"/>
      <c r="CP129" s="454"/>
      <c r="CQ129" s="454"/>
      <c r="CR129" s="454"/>
      <c r="CS129" s="454"/>
      <c r="CT129" s="454"/>
      <c r="CU129" s="454"/>
      <c r="CV129" s="517"/>
      <c r="CW129" s="517">
        <f t="shared" si="17"/>
        <v>0</v>
      </c>
      <c r="CX129" s="517"/>
      <c r="CY129" s="517"/>
      <c r="CZ129" s="517"/>
      <c r="DA129" s="517">
        <f t="shared" si="18"/>
        <v>0</v>
      </c>
      <c r="DB129" s="517"/>
      <c r="DC129" s="517"/>
      <c r="DD129" s="517"/>
      <c r="DE129" s="517"/>
      <c r="DF129" s="517"/>
      <c r="DG129" s="517"/>
      <c r="DH129" s="517"/>
      <c r="DI129" s="454"/>
      <c r="DJ129" s="454"/>
      <c r="DK129" s="454"/>
      <c r="DL129" s="454"/>
      <c r="DM129" s="454"/>
      <c r="DN129" s="454"/>
      <c r="DO129" s="454"/>
      <c r="DP129" s="454"/>
      <c r="DQ129" s="454"/>
      <c r="DR129" s="454"/>
      <c r="DS129" s="454"/>
      <c r="DT129" s="454"/>
      <c r="DU129" s="454"/>
      <c r="DV129" s="454"/>
      <c r="DW129" s="454"/>
      <c r="DX129" s="454"/>
      <c r="DY129" s="454"/>
      <c r="DZ129" s="454"/>
      <c r="EA129" s="454"/>
      <c r="EB129" s="454"/>
      <c r="EC129" s="454"/>
      <c r="ED129" s="454"/>
      <c r="EE129" s="454"/>
      <c r="EF129" s="454"/>
      <c r="EG129" s="454"/>
      <c r="EH129" s="454"/>
      <c r="EI129" s="454"/>
      <c r="EJ129" s="454"/>
      <c r="EK129" s="454"/>
      <c r="EL129" s="454"/>
      <c r="EM129" s="454"/>
      <c r="EN129" s="454"/>
      <c r="EO129" s="454"/>
      <c r="EP129" s="454"/>
      <c r="EQ129" s="454"/>
      <c r="ER129" s="454"/>
      <c r="ES129" s="454"/>
      <c r="ET129" s="454"/>
      <c r="EU129" s="454"/>
      <c r="EV129" s="454"/>
      <c r="EW129" s="454"/>
      <c r="EX129" s="454"/>
      <c r="EY129" s="454"/>
      <c r="EZ129" s="454"/>
      <c r="FA129" s="454"/>
      <c r="FB129" s="454"/>
      <c r="FC129" s="454"/>
      <c r="FD129" s="454"/>
      <c r="FE129" s="454"/>
      <c r="FF129" s="454"/>
      <c r="FG129" s="290"/>
    </row>
    <row r="130" spans="1:163" s="4" customFormat="1">
      <c r="A130" s="56"/>
      <c r="B130" s="56"/>
      <c r="C130" s="498" t="s">
        <v>3651</v>
      </c>
      <c r="D130" s="498"/>
      <c r="E130" s="454">
        <v>48.7</v>
      </c>
      <c r="F130" s="454"/>
      <c r="G130" s="454"/>
      <c r="H130" s="454"/>
      <c r="I130" s="454"/>
      <c r="J130" s="454"/>
      <c r="K130" s="454"/>
      <c r="L130" s="454"/>
      <c r="M130" s="454"/>
      <c r="N130" s="454"/>
      <c r="O130" s="454"/>
      <c r="P130" s="454"/>
      <c r="Q130" s="454"/>
      <c r="R130" s="290"/>
      <c r="S130" s="290"/>
      <c r="T130" s="454" t="s">
        <v>1631</v>
      </c>
      <c r="U130" s="454" t="s">
        <v>1631</v>
      </c>
      <c r="V130" s="454"/>
      <c r="W130" s="454"/>
      <c r="X130" s="454"/>
      <c r="Y130" s="454"/>
      <c r="Z130" s="454"/>
      <c r="AA130" s="454"/>
      <c r="AB130" s="454"/>
      <c r="AC130" s="454"/>
      <c r="AD130" s="454"/>
      <c r="AE130" s="454"/>
      <c r="AF130" s="454"/>
      <c r="AG130" s="454"/>
      <c r="AH130" s="454"/>
      <c r="AI130" s="454"/>
      <c r="AJ130" s="454"/>
      <c r="AK130" s="454"/>
      <c r="AL130" s="454"/>
      <c r="AM130" s="454"/>
      <c r="AN130" s="454"/>
      <c r="AO130" s="454"/>
      <c r="AP130" s="454"/>
      <c r="AQ130" s="454"/>
      <c r="AR130" s="454"/>
      <c r="AS130" s="454"/>
      <c r="AT130" s="454"/>
      <c r="AU130" s="454"/>
      <c r="AV130" s="454"/>
      <c r="AW130" s="454"/>
      <c r="AX130" s="454"/>
      <c r="AY130" s="454"/>
      <c r="AZ130" s="454"/>
      <c r="BA130" s="454"/>
      <c r="BB130" s="454"/>
      <c r="BC130" s="454"/>
      <c r="BD130" s="454"/>
      <c r="BE130" s="454"/>
      <c r="BF130" s="454"/>
      <c r="BG130" s="454"/>
      <c r="BH130" s="454"/>
      <c r="BI130" s="454"/>
      <c r="BJ130" s="454"/>
      <c r="BK130" s="454"/>
      <c r="BL130" s="454"/>
      <c r="BM130" s="454"/>
      <c r="BN130" s="454"/>
      <c r="BO130" s="454"/>
      <c r="BP130" s="454"/>
      <c r="BQ130" s="454"/>
      <c r="BR130" s="454"/>
      <c r="BS130" s="454"/>
      <c r="BT130" s="454"/>
      <c r="BU130" s="454"/>
      <c r="BV130" s="454"/>
      <c r="BW130" s="454"/>
      <c r="BX130" s="454"/>
      <c r="BY130" s="454"/>
      <c r="BZ130" s="454"/>
      <c r="CA130" s="454"/>
      <c r="CB130" s="454"/>
      <c r="CC130" s="454"/>
      <c r="CD130" s="454"/>
      <c r="CE130" s="454"/>
      <c r="CF130" s="454"/>
      <c r="CG130" s="454"/>
      <c r="CH130" s="454"/>
      <c r="CI130" s="454"/>
      <c r="CJ130" s="454"/>
      <c r="CK130" s="454"/>
      <c r="CL130" s="454"/>
      <c r="CM130" s="454"/>
      <c r="CN130" s="454"/>
      <c r="CO130" s="454"/>
      <c r="CP130" s="454"/>
      <c r="CQ130" s="454"/>
      <c r="CR130" s="454"/>
      <c r="CS130" s="454"/>
      <c r="CT130" s="454"/>
      <c r="CU130" s="454"/>
      <c r="CV130" s="517"/>
      <c r="CW130" s="517">
        <f t="shared" si="17"/>
        <v>48.7</v>
      </c>
      <c r="CX130" s="517"/>
      <c r="CY130" s="517"/>
      <c r="CZ130" s="517"/>
      <c r="DA130" s="517">
        <f t="shared" si="18"/>
        <v>146.10000000000002</v>
      </c>
      <c r="DB130" s="517"/>
      <c r="DC130" s="517"/>
      <c r="DD130" s="517"/>
      <c r="DE130" s="517"/>
      <c r="DF130" s="517"/>
      <c r="DG130" s="517"/>
      <c r="DH130" s="517"/>
      <c r="DI130" s="454"/>
      <c r="DJ130" s="454"/>
      <c r="DK130" s="454"/>
      <c r="DL130" s="454">
        <v>1</v>
      </c>
      <c r="DM130" s="454">
        <v>4</v>
      </c>
      <c r="DN130" s="454">
        <v>1</v>
      </c>
      <c r="DO130" s="454">
        <v>3</v>
      </c>
      <c r="DP130" s="454">
        <v>2</v>
      </c>
      <c r="DQ130" s="454"/>
      <c r="DR130" s="454"/>
      <c r="DS130" s="454"/>
      <c r="DT130" s="454"/>
      <c r="DU130" s="454"/>
      <c r="DV130" s="454"/>
      <c r="DW130" s="454"/>
      <c r="DX130" s="454"/>
      <c r="DY130" s="454"/>
      <c r="DZ130" s="454">
        <v>2</v>
      </c>
      <c r="EA130" s="454"/>
      <c r="EB130" s="454"/>
      <c r="EC130" s="454"/>
      <c r="ED130" s="454"/>
      <c r="EE130" s="454"/>
      <c r="EF130" s="454"/>
      <c r="EG130" s="454"/>
      <c r="EH130" s="454"/>
      <c r="EI130" s="454"/>
      <c r="EJ130" s="454"/>
      <c r="EK130" s="454"/>
      <c r="EL130" s="454"/>
      <c r="EM130" s="454"/>
      <c r="EN130" s="454"/>
      <c r="EO130" s="454"/>
      <c r="EP130" s="454"/>
      <c r="EQ130" s="454"/>
      <c r="ER130" s="454"/>
      <c r="ES130" s="454"/>
      <c r="ET130" s="454"/>
      <c r="EU130" s="454"/>
      <c r="EV130" s="454"/>
      <c r="EW130" s="454"/>
      <c r="EX130" s="454"/>
      <c r="EY130" s="454"/>
      <c r="EZ130" s="454"/>
      <c r="FA130" s="454"/>
      <c r="FB130" s="454"/>
      <c r="FC130" s="454"/>
      <c r="FD130" s="454"/>
      <c r="FE130" s="454"/>
      <c r="FF130" s="454"/>
      <c r="FG130" s="290"/>
    </row>
    <row r="131" spans="1:163" s="4" customFormat="1">
      <c r="A131" s="56"/>
      <c r="B131" s="56"/>
      <c r="C131" s="498" t="s">
        <v>3639</v>
      </c>
      <c r="D131" s="498"/>
      <c r="E131" s="454">
        <v>52.1</v>
      </c>
      <c r="F131" s="454"/>
      <c r="G131" s="454"/>
      <c r="H131" s="454"/>
      <c r="I131" s="454"/>
      <c r="J131" s="454"/>
      <c r="K131" s="454"/>
      <c r="L131" s="454"/>
      <c r="M131" s="454"/>
      <c r="N131" s="454"/>
      <c r="O131" s="454"/>
      <c r="P131" s="454"/>
      <c r="Q131" s="454"/>
      <c r="R131" s="290"/>
      <c r="S131" s="290"/>
      <c r="T131" s="454" t="s">
        <v>2990</v>
      </c>
      <c r="U131" s="454" t="s">
        <v>2990</v>
      </c>
      <c r="V131" s="454"/>
      <c r="W131" s="454"/>
      <c r="X131" s="454"/>
      <c r="Y131" s="454"/>
      <c r="Z131" s="454"/>
      <c r="AA131" s="454"/>
      <c r="AB131" s="454"/>
      <c r="AC131" s="454"/>
      <c r="AD131" s="454"/>
      <c r="AE131" s="454"/>
      <c r="AF131" s="454"/>
      <c r="AG131" s="454"/>
      <c r="AH131" s="454"/>
      <c r="AI131" s="454"/>
      <c r="AJ131" s="454"/>
      <c r="AK131" s="454"/>
      <c r="AL131" s="454"/>
      <c r="AM131" s="454"/>
      <c r="AN131" s="454"/>
      <c r="AO131" s="454"/>
      <c r="AP131" s="454"/>
      <c r="AQ131" s="454"/>
      <c r="AR131" s="454"/>
      <c r="AS131" s="454"/>
      <c r="AT131" s="454"/>
      <c r="AU131" s="454"/>
      <c r="AV131" s="454"/>
      <c r="AW131" s="454"/>
      <c r="AX131" s="454"/>
      <c r="AY131" s="454"/>
      <c r="AZ131" s="454"/>
      <c r="BA131" s="454"/>
      <c r="BB131" s="454"/>
      <c r="BC131" s="454"/>
      <c r="BD131" s="454"/>
      <c r="BE131" s="454"/>
      <c r="BF131" s="454"/>
      <c r="BG131" s="454"/>
      <c r="BH131" s="454"/>
      <c r="BI131" s="454"/>
      <c r="BJ131" s="454"/>
      <c r="BK131" s="454"/>
      <c r="BL131" s="454"/>
      <c r="BM131" s="454"/>
      <c r="BN131" s="454"/>
      <c r="BO131" s="454"/>
      <c r="BP131" s="454"/>
      <c r="BQ131" s="454"/>
      <c r="BR131" s="454"/>
      <c r="BS131" s="454"/>
      <c r="BT131" s="454"/>
      <c r="BU131" s="454"/>
      <c r="BV131" s="454"/>
      <c r="BW131" s="454"/>
      <c r="BX131" s="454"/>
      <c r="BY131" s="454"/>
      <c r="BZ131" s="454"/>
      <c r="CA131" s="454"/>
      <c r="CB131" s="454"/>
      <c r="CC131" s="454"/>
      <c r="CD131" s="454"/>
      <c r="CE131" s="454"/>
      <c r="CF131" s="454"/>
      <c r="CG131" s="454"/>
      <c r="CH131" s="454"/>
      <c r="CI131" s="454"/>
      <c r="CJ131" s="454"/>
      <c r="CK131" s="454"/>
      <c r="CL131" s="454"/>
      <c r="CM131" s="454"/>
      <c r="CN131" s="454"/>
      <c r="CO131" s="454"/>
      <c r="CP131" s="454"/>
      <c r="CQ131" s="454"/>
      <c r="CR131" s="454"/>
      <c r="CS131" s="454"/>
      <c r="CT131" s="454"/>
      <c r="CU131" s="454"/>
      <c r="CV131" s="517"/>
      <c r="CW131" s="517">
        <f t="shared" si="17"/>
        <v>52.1</v>
      </c>
      <c r="CX131" s="517"/>
      <c r="CY131" s="517"/>
      <c r="CZ131" s="517"/>
      <c r="DA131" s="517">
        <f t="shared" si="18"/>
        <v>156.30000000000001</v>
      </c>
      <c r="DB131" s="517"/>
      <c r="DC131" s="517"/>
      <c r="DD131" s="517"/>
      <c r="DE131" s="517"/>
      <c r="DF131" s="517"/>
      <c r="DG131" s="517"/>
      <c r="DH131" s="517"/>
      <c r="DI131" s="454"/>
      <c r="DJ131" s="454"/>
      <c r="DK131" s="454"/>
      <c r="DL131" s="454">
        <v>1</v>
      </c>
      <c r="DM131" s="454">
        <v>4</v>
      </c>
      <c r="DN131" s="454"/>
      <c r="DO131" s="454"/>
      <c r="DP131" s="454"/>
      <c r="DQ131" s="454"/>
      <c r="DR131" s="454"/>
      <c r="DS131" s="454"/>
      <c r="DT131" s="454"/>
      <c r="DU131" s="454">
        <v>8</v>
      </c>
      <c r="DV131" s="454"/>
      <c r="DW131" s="454"/>
      <c r="DX131" s="454"/>
      <c r="DY131" s="454"/>
      <c r="DZ131" s="454">
        <v>2</v>
      </c>
      <c r="EA131" s="454"/>
      <c r="EB131" s="454"/>
      <c r="EC131" s="454"/>
      <c r="ED131" s="454"/>
      <c r="EE131" s="454"/>
      <c r="EF131" s="454"/>
      <c r="EG131" s="454"/>
      <c r="EH131" s="454"/>
      <c r="EI131" s="454"/>
      <c r="EJ131" s="454"/>
      <c r="EK131" s="454"/>
      <c r="EL131" s="454"/>
      <c r="EM131" s="454"/>
      <c r="EN131" s="454"/>
      <c r="EO131" s="454"/>
      <c r="EP131" s="454"/>
      <c r="EQ131" s="454"/>
      <c r="ER131" s="454"/>
      <c r="ES131" s="454"/>
      <c r="ET131" s="454"/>
      <c r="EU131" s="454"/>
      <c r="EV131" s="454"/>
      <c r="EW131" s="454"/>
      <c r="EX131" s="454"/>
      <c r="EY131" s="454"/>
      <c r="EZ131" s="454"/>
      <c r="FA131" s="454"/>
      <c r="FB131" s="454"/>
      <c r="FC131" s="454"/>
      <c r="FD131" s="454"/>
      <c r="FE131" s="454"/>
      <c r="FF131" s="454"/>
      <c r="FG131" s="290"/>
    </row>
    <row r="132" spans="1:163" s="4" customFormat="1">
      <c r="A132" s="56"/>
      <c r="B132" s="56"/>
      <c r="C132" s="498"/>
      <c r="D132" s="498"/>
      <c r="E132" s="454"/>
      <c r="F132" s="454"/>
      <c r="G132" s="454"/>
      <c r="H132" s="454"/>
      <c r="I132" s="454"/>
      <c r="J132" s="454"/>
      <c r="K132" s="454"/>
      <c r="L132" s="454"/>
      <c r="M132" s="454"/>
      <c r="N132" s="454"/>
      <c r="O132" s="454"/>
      <c r="P132" s="454"/>
      <c r="Q132" s="454"/>
      <c r="R132" s="290"/>
      <c r="S132" s="290"/>
      <c r="T132" s="454"/>
      <c r="U132" s="454"/>
      <c r="V132" s="454"/>
      <c r="W132" s="454"/>
      <c r="X132" s="454"/>
      <c r="Y132" s="454"/>
      <c r="Z132" s="454"/>
      <c r="AA132" s="454"/>
      <c r="AB132" s="454"/>
      <c r="AC132" s="454"/>
      <c r="AD132" s="454"/>
      <c r="AE132" s="454"/>
      <c r="AF132" s="454"/>
      <c r="AG132" s="454"/>
      <c r="AH132" s="454"/>
      <c r="AI132" s="454"/>
      <c r="AJ132" s="454"/>
      <c r="AK132" s="454"/>
      <c r="AL132" s="454"/>
      <c r="AM132" s="454"/>
      <c r="AN132" s="454"/>
      <c r="AO132" s="454"/>
      <c r="AP132" s="454"/>
      <c r="AQ132" s="454"/>
      <c r="AR132" s="454"/>
      <c r="AS132" s="454"/>
      <c r="AT132" s="454"/>
      <c r="AU132" s="454"/>
      <c r="AV132" s="454"/>
      <c r="AW132" s="454"/>
      <c r="AX132" s="454"/>
      <c r="AY132" s="454"/>
      <c r="AZ132" s="454"/>
      <c r="BA132" s="454"/>
      <c r="BB132" s="454"/>
      <c r="BC132" s="454"/>
      <c r="BD132" s="454"/>
      <c r="BE132" s="454"/>
      <c r="BF132" s="454"/>
      <c r="BG132" s="454"/>
      <c r="BH132" s="454"/>
      <c r="BI132" s="454"/>
      <c r="BJ132" s="454"/>
      <c r="BK132" s="454"/>
      <c r="BL132" s="454"/>
      <c r="BM132" s="454"/>
      <c r="BN132" s="454"/>
      <c r="BO132" s="454"/>
      <c r="BP132" s="454"/>
      <c r="BQ132" s="454"/>
      <c r="BR132" s="454"/>
      <c r="BS132" s="454"/>
      <c r="BT132" s="454"/>
      <c r="BU132" s="454"/>
      <c r="BV132" s="454"/>
      <c r="BW132" s="454"/>
      <c r="BX132" s="454"/>
      <c r="BY132" s="454"/>
      <c r="BZ132" s="454"/>
      <c r="CA132" s="454"/>
      <c r="CB132" s="454"/>
      <c r="CC132" s="454"/>
      <c r="CD132" s="454"/>
      <c r="CE132" s="454"/>
      <c r="CF132" s="454"/>
      <c r="CG132" s="454"/>
      <c r="CH132" s="454"/>
      <c r="CI132" s="454"/>
      <c r="CJ132" s="454"/>
      <c r="CK132" s="454"/>
      <c r="CL132" s="454"/>
      <c r="CM132" s="454"/>
      <c r="CN132" s="454"/>
      <c r="CO132" s="454"/>
      <c r="CP132" s="454"/>
      <c r="CQ132" s="454"/>
      <c r="CR132" s="454"/>
      <c r="CS132" s="454"/>
      <c r="CT132" s="454"/>
      <c r="CU132" s="454"/>
      <c r="CV132" s="517"/>
      <c r="CW132" s="517">
        <f t="shared" si="17"/>
        <v>0</v>
      </c>
      <c r="CX132" s="517"/>
      <c r="CY132" s="517"/>
      <c r="CZ132" s="517"/>
      <c r="DA132" s="517">
        <f t="shared" si="18"/>
        <v>0</v>
      </c>
      <c r="DB132" s="517"/>
      <c r="DC132" s="517"/>
      <c r="DD132" s="517"/>
      <c r="DE132" s="517"/>
      <c r="DF132" s="517"/>
      <c r="DG132" s="517"/>
      <c r="DH132" s="517"/>
      <c r="DI132" s="454"/>
      <c r="DJ132" s="454"/>
      <c r="DK132" s="454"/>
      <c r="DL132" s="454"/>
      <c r="DM132" s="454"/>
      <c r="DN132" s="454"/>
      <c r="DO132" s="454"/>
      <c r="DP132" s="454"/>
      <c r="DQ132" s="454"/>
      <c r="DR132" s="454"/>
      <c r="DS132" s="454"/>
      <c r="DT132" s="454"/>
      <c r="DU132" s="454"/>
      <c r="DV132" s="454"/>
      <c r="DW132" s="454"/>
      <c r="DX132" s="454"/>
      <c r="DY132" s="454"/>
      <c r="DZ132" s="454"/>
      <c r="EA132" s="454"/>
      <c r="EB132" s="454"/>
      <c r="EC132" s="454"/>
      <c r="ED132" s="454"/>
      <c r="EE132" s="454"/>
      <c r="EF132" s="454"/>
      <c r="EG132" s="454"/>
      <c r="EH132" s="454"/>
      <c r="EI132" s="454"/>
      <c r="EJ132" s="454"/>
      <c r="EK132" s="454"/>
      <c r="EL132" s="454"/>
      <c r="EM132" s="454"/>
      <c r="EN132" s="454"/>
      <c r="EO132" s="454"/>
      <c r="EP132" s="454"/>
      <c r="EQ132" s="454"/>
      <c r="ER132" s="454"/>
      <c r="ES132" s="454"/>
      <c r="ET132" s="454"/>
      <c r="EU132" s="454"/>
      <c r="EV132" s="454"/>
      <c r="EW132" s="454"/>
      <c r="EX132" s="454"/>
      <c r="EY132" s="454"/>
      <c r="EZ132" s="454"/>
      <c r="FA132" s="454"/>
      <c r="FB132" s="454"/>
      <c r="FC132" s="454"/>
      <c r="FD132" s="454"/>
      <c r="FE132" s="454"/>
      <c r="FF132" s="454"/>
      <c r="FG132" s="290"/>
    </row>
    <row r="133" spans="1:163" s="4" customFormat="1">
      <c r="A133" s="56"/>
      <c r="B133" s="56"/>
      <c r="C133" s="498"/>
      <c r="D133" s="506" t="s">
        <v>3691</v>
      </c>
      <c r="E133" s="454"/>
      <c r="F133" s="454"/>
      <c r="G133" s="454"/>
      <c r="H133" s="454"/>
      <c r="I133" s="454"/>
      <c r="J133" s="454"/>
      <c r="K133" s="454"/>
      <c r="L133" s="454"/>
      <c r="M133" s="454"/>
      <c r="N133" s="454"/>
      <c r="O133" s="454"/>
      <c r="P133" s="454"/>
      <c r="Q133" s="454"/>
      <c r="R133" s="290"/>
      <c r="S133" s="290"/>
      <c r="T133" s="454"/>
      <c r="U133" s="454"/>
      <c r="V133" s="454"/>
      <c r="W133" s="454"/>
      <c r="X133" s="454"/>
      <c r="Y133" s="454"/>
      <c r="Z133" s="454"/>
      <c r="AA133" s="454"/>
      <c r="AB133" s="454"/>
      <c r="AC133" s="454"/>
      <c r="AD133" s="454"/>
      <c r="AE133" s="454"/>
      <c r="AF133" s="454"/>
      <c r="AG133" s="454"/>
      <c r="AH133" s="454"/>
      <c r="AI133" s="454"/>
      <c r="AJ133" s="454"/>
      <c r="AK133" s="454"/>
      <c r="AL133" s="454"/>
      <c r="AM133" s="454"/>
      <c r="AN133" s="454"/>
      <c r="AO133" s="454"/>
      <c r="AP133" s="454"/>
      <c r="AQ133" s="454"/>
      <c r="AR133" s="454"/>
      <c r="AS133" s="454"/>
      <c r="AT133" s="454"/>
      <c r="AU133" s="454"/>
      <c r="AV133" s="454"/>
      <c r="AW133" s="454"/>
      <c r="AX133" s="454"/>
      <c r="AY133" s="454"/>
      <c r="AZ133" s="454"/>
      <c r="BA133" s="454"/>
      <c r="BB133" s="454"/>
      <c r="BC133" s="454"/>
      <c r="BD133" s="454"/>
      <c r="BE133" s="454"/>
      <c r="BF133" s="454"/>
      <c r="BG133" s="454"/>
      <c r="BH133" s="454"/>
      <c r="BI133" s="454"/>
      <c r="BJ133" s="454"/>
      <c r="BK133" s="454"/>
      <c r="BL133" s="454"/>
      <c r="BM133" s="454"/>
      <c r="BN133" s="454"/>
      <c r="BO133" s="454"/>
      <c r="BP133" s="454"/>
      <c r="BQ133" s="454"/>
      <c r="BR133" s="454"/>
      <c r="BS133" s="454"/>
      <c r="BT133" s="454"/>
      <c r="BU133" s="454"/>
      <c r="BV133" s="454"/>
      <c r="BW133" s="454"/>
      <c r="BX133" s="454"/>
      <c r="BY133" s="454"/>
      <c r="BZ133" s="454"/>
      <c r="CA133" s="454"/>
      <c r="CB133" s="454"/>
      <c r="CC133" s="454"/>
      <c r="CD133" s="454"/>
      <c r="CE133" s="454"/>
      <c r="CF133" s="454"/>
      <c r="CG133" s="454"/>
      <c r="CH133" s="454"/>
      <c r="CI133" s="454"/>
      <c r="CJ133" s="454"/>
      <c r="CK133" s="454"/>
      <c r="CL133" s="454"/>
      <c r="CM133" s="454"/>
      <c r="CN133" s="454"/>
      <c r="CO133" s="454"/>
      <c r="CP133" s="454"/>
      <c r="CQ133" s="454"/>
      <c r="CR133" s="454"/>
      <c r="CS133" s="454"/>
      <c r="CT133" s="454"/>
      <c r="CU133" s="454"/>
      <c r="CV133" s="517"/>
      <c r="CW133" s="517">
        <f t="shared" si="17"/>
        <v>0</v>
      </c>
      <c r="CX133" s="517"/>
      <c r="CY133" s="517"/>
      <c r="CZ133" s="517"/>
      <c r="DA133" s="517">
        <f t="shared" si="18"/>
        <v>0</v>
      </c>
      <c r="DB133" s="517"/>
      <c r="DC133" s="517"/>
      <c r="DD133" s="517"/>
      <c r="DE133" s="517"/>
      <c r="DF133" s="517"/>
      <c r="DG133" s="517"/>
      <c r="DH133" s="517"/>
      <c r="DI133" s="454"/>
      <c r="DJ133" s="454"/>
      <c r="DK133" s="454"/>
      <c r="DL133" s="454"/>
      <c r="DM133" s="454"/>
      <c r="DN133" s="454"/>
      <c r="DO133" s="454"/>
      <c r="DP133" s="454"/>
      <c r="DQ133" s="454"/>
      <c r="DR133" s="454"/>
      <c r="DS133" s="454"/>
      <c r="DT133" s="454"/>
      <c r="DU133" s="454"/>
      <c r="DV133" s="454"/>
      <c r="DW133" s="454"/>
      <c r="DX133" s="454"/>
      <c r="DY133" s="454"/>
      <c r="DZ133" s="454"/>
      <c r="EA133" s="454"/>
      <c r="EB133" s="454"/>
      <c r="EC133" s="454"/>
      <c r="ED133" s="454"/>
      <c r="EE133" s="454"/>
      <c r="EF133" s="454"/>
      <c r="EG133" s="454"/>
      <c r="EH133" s="454"/>
      <c r="EI133" s="454"/>
      <c r="EJ133" s="454"/>
      <c r="EK133" s="454"/>
      <c r="EL133" s="454"/>
      <c r="EM133" s="454"/>
      <c r="EN133" s="454"/>
      <c r="EO133" s="454"/>
      <c r="EP133" s="454"/>
      <c r="EQ133" s="454"/>
      <c r="ER133" s="454"/>
      <c r="ES133" s="454"/>
      <c r="ET133" s="454"/>
      <c r="EU133" s="454"/>
      <c r="EV133" s="454"/>
      <c r="EW133" s="454"/>
      <c r="EX133" s="454"/>
      <c r="EY133" s="454"/>
      <c r="EZ133" s="454"/>
      <c r="FA133" s="454"/>
      <c r="FB133" s="454"/>
      <c r="FC133" s="454"/>
      <c r="FD133" s="454"/>
      <c r="FE133" s="454"/>
      <c r="FF133" s="454"/>
      <c r="FG133" s="290"/>
    </row>
    <row r="134" spans="1:163" s="4" customFormat="1">
      <c r="A134" s="56"/>
      <c r="B134" s="56"/>
      <c r="C134" s="498" t="s">
        <v>3652</v>
      </c>
      <c r="D134" s="498"/>
      <c r="E134" s="454">
        <v>32.700000000000003</v>
      </c>
      <c r="F134" s="454"/>
      <c r="G134" s="454"/>
      <c r="H134" s="454"/>
      <c r="I134" s="454"/>
      <c r="J134" s="454"/>
      <c r="K134" s="454"/>
      <c r="L134" s="454"/>
      <c r="M134" s="454"/>
      <c r="N134" s="454"/>
      <c r="O134" s="454"/>
      <c r="P134" s="454"/>
      <c r="Q134" s="454"/>
      <c r="R134" s="290"/>
      <c r="S134" s="290"/>
      <c r="T134" s="454" t="s">
        <v>1631</v>
      </c>
      <c r="U134" s="454" t="s">
        <v>1631</v>
      </c>
      <c r="V134" s="454"/>
      <c r="W134" s="454"/>
      <c r="X134" s="454"/>
      <c r="Y134" s="454"/>
      <c r="Z134" s="454"/>
      <c r="AA134" s="454"/>
      <c r="AB134" s="454"/>
      <c r="AC134" s="454"/>
      <c r="AD134" s="454"/>
      <c r="AE134" s="454"/>
      <c r="AF134" s="454"/>
      <c r="AG134" s="454"/>
      <c r="AH134" s="454"/>
      <c r="AI134" s="454"/>
      <c r="AJ134" s="454"/>
      <c r="AK134" s="454"/>
      <c r="AL134" s="454"/>
      <c r="AM134" s="454"/>
      <c r="AN134" s="454"/>
      <c r="AO134" s="454"/>
      <c r="AP134" s="454"/>
      <c r="AQ134" s="454"/>
      <c r="AR134" s="454"/>
      <c r="AS134" s="454"/>
      <c r="AT134" s="454"/>
      <c r="AU134" s="454"/>
      <c r="AV134" s="454"/>
      <c r="AW134" s="454"/>
      <c r="AX134" s="454"/>
      <c r="AY134" s="454"/>
      <c r="AZ134" s="454"/>
      <c r="BA134" s="454"/>
      <c r="BB134" s="454"/>
      <c r="BC134" s="454"/>
      <c r="BD134" s="454"/>
      <c r="BE134" s="454"/>
      <c r="BF134" s="454"/>
      <c r="BG134" s="454"/>
      <c r="BH134" s="454"/>
      <c r="BI134" s="454"/>
      <c r="BJ134" s="454"/>
      <c r="BK134" s="454"/>
      <c r="BL134" s="454"/>
      <c r="BM134" s="454"/>
      <c r="BN134" s="454"/>
      <c r="BO134" s="454"/>
      <c r="BP134" s="454"/>
      <c r="BQ134" s="454"/>
      <c r="BR134" s="454"/>
      <c r="BS134" s="454"/>
      <c r="BT134" s="454"/>
      <c r="BU134" s="454"/>
      <c r="BV134" s="454"/>
      <c r="BW134" s="454"/>
      <c r="BX134" s="454"/>
      <c r="BY134" s="454"/>
      <c r="BZ134" s="454"/>
      <c r="CA134" s="454"/>
      <c r="CB134" s="454"/>
      <c r="CC134" s="454"/>
      <c r="CD134" s="454"/>
      <c r="CE134" s="454"/>
      <c r="CF134" s="454"/>
      <c r="CG134" s="454"/>
      <c r="CH134" s="454"/>
      <c r="CI134" s="454"/>
      <c r="CJ134" s="454"/>
      <c r="CK134" s="454"/>
      <c r="CL134" s="454"/>
      <c r="CM134" s="454"/>
      <c r="CN134" s="454"/>
      <c r="CO134" s="454"/>
      <c r="CP134" s="454"/>
      <c r="CQ134" s="454"/>
      <c r="CR134" s="454"/>
      <c r="CS134" s="454"/>
      <c r="CT134" s="454"/>
      <c r="CU134" s="454"/>
      <c r="CV134" s="517"/>
      <c r="CW134" s="517">
        <f t="shared" si="17"/>
        <v>32.700000000000003</v>
      </c>
      <c r="CX134" s="517"/>
      <c r="CY134" s="517"/>
      <c r="CZ134" s="517"/>
      <c r="DA134" s="517">
        <f t="shared" si="18"/>
        <v>98.100000000000009</v>
      </c>
      <c r="DB134" s="517"/>
      <c r="DC134" s="517"/>
      <c r="DD134" s="517"/>
      <c r="DE134" s="517"/>
      <c r="DF134" s="517"/>
      <c r="DG134" s="517"/>
      <c r="DH134" s="517"/>
      <c r="DI134" s="454"/>
      <c r="DJ134" s="454"/>
      <c r="DK134" s="454"/>
      <c r="DL134" s="454">
        <v>1</v>
      </c>
      <c r="DM134" s="454">
        <v>4</v>
      </c>
      <c r="DN134" s="454">
        <v>1</v>
      </c>
      <c r="DO134" s="454">
        <v>3</v>
      </c>
      <c r="DP134" s="454">
        <v>2</v>
      </c>
      <c r="DQ134" s="454"/>
      <c r="DR134" s="454"/>
      <c r="DS134" s="454"/>
      <c r="DT134" s="454"/>
      <c r="DU134" s="454"/>
      <c r="DV134" s="454"/>
      <c r="DW134" s="454"/>
      <c r="DX134" s="454"/>
      <c r="DY134" s="454"/>
      <c r="DZ134" s="454">
        <v>2</v>
      </c>
      <c r="EA134" s="454"/>
      <c r="EB134" s="454"/>
      <c r="EC134" s="454"/>
      <c r="ED134" s="454"/>
      <c r="EE134" s="454"/>
      <c r="EF134" s="454"/>
      <c r="EG134" s="454"/>
      <c r="EH134" s="454"/>
      <c r="EI134" s="454"/>
      <c r="EJ134" s="454"/>
      <c r="EK134" s="454"/>
      <c r="EL134" s="454"/>
      <c r="EM134" s="454"/>
      <c r="EN134" s="454"/>
      <c r="EO134" s="454"/>
      <c r="EP134" s="454"/>
      <c r="EQ134" s="454"/>
      <c r="ER134" s="454"/>
      <c r="ES134" s="454"/>
      <c r="ET134" s="454"/>
      <c r="EU134" s="454"/>
      <c r="EV134" s="454"/>
      <c r="EW134" s="454"/>
      <c r="EX134" s="454"/>
      <c r="EY134" s="454"/>
      <c r="EZ134" s="454"/>
      <c r="FA134" s="454"/>
      <c r="FB134" s="454"/>
      <c r="FC134" s="454"/>
      <c r="FD134" s="454"/>
      <c r="FE134" s="454"/>
      <c r="FF134" s="454"/>
      <c r="FG134" s="290"/>
    </row>
    <row r="135" spans="1:163" s="4" customFormat="1">
      <c r="A135" s="56"/>
      <c r="B135" s="56"/>
      <c r="C135" s="498" t="s">
        <v>3653</v>
      </c>
      <c r="D135" s="498"/>
      <c r="E135" s="454">
        <v>35.9</v>
      </c>
      <c r="F135" s="454"/>
      <c r="G135" s="454"/>
      <c r="H135" s="454"/>
      <c r="I135" s="454"/>
      <c r="J135" s="454"/>
      <c r="K135" s="454"/>
      <c r="L135" s="454"/>
      <c r="M135" s="454"/>
      <c r="N135" s="454"/>
      <c r="O135" s="454"/>
      <c r="P135" s="454"/>
      <c r="Q135" s="454"/>
      <c r="R135" s="290"/>
      <c r="S135" s="290"/>
      <c r="T135" s="454" t="s">
        <v>1631</v>
      </c>
      <c r="U135" s="454" t="s">
        <v>1631</v>
      </c>
      <c r="V135" s="454"/>
      <c r="W135" s="454"/>
      <c r="X135" s="454"/>
      <c r="Y135" s="454"/>
      <c r="Z135" s="454"/>
      <c r="AA135" s="454"/>
      <c r="AB135" s="454"/>
      <c r="AC135" s="454"/>
      <c r="AD135" s="454"/>
      <c r="AE135" s="454"/>
      <c r="AF135" s="454"/>
      <c r="AG135" s="454"/>
      <c r="AH135" s="454"/>
      <c r="AI135" s="454"/>
      <c r="AJ135" s="454"/>
      <c r="AK135" s="454"/>
      <c r="AL135" s="454"/>
      <c r="AM135" s="454"/>
      <c r="AN135" s="454"/>
      <c r="AO135" s="454"/>
      <c r="AP135" s="454"/>
      <c r="AQ135" s="454"/>
      <c r="AR135" s="454"/>
      <c r="AS135" s="454"/>
      <c r="AT135" s="454"/>
      <c r="AU135" s="454"/>
      <c r="AV135" s="454"/>
      <c r="AW135" s="454"/>
      <c r="AX135" s="454"/>
      <c r="AY135" s="454"/>
      <c r="AZ135" s="454"/>
      <c r="BA135" s="454"/>
      <c r="BB135" s="454"/>
      <c r="BC135" s="454"/>
      <c r="BD135" s="454"/>
      <c r="BE135" s="454"/>
      <c r="BF135" s="454"/>
      <c r="BG135" s="454"/>
      <c r="BH135" s="454"/>
      <c r="BI135" s="454"/>
      <c r="BJ135" s="454"/>
      <c r="BK135" s="454"/>
      <c r="BL135" s="454"/>
      <c r="BM135" s="454"/>
      <c r="BN135" s="454"/>
      <c r="BO135" s="454"/>
      <c r="BP135" s="454"/>
      <c r="BQ135" s="454"/>
      <c r="BR135" s="454"/>
      <c r="BS135" s="454"/>
      <c r="BT135" s="454"/>
      <c r="BU135" s="454"/>
      <c r="BV135" s="454"/>
      <c r="BW135" s="454"/>
      <c r="BX135" s="454"/>
      <c r="BY135" s="454"/>
      <c r="BZ135" s="454"/>
      <c r="CA135" s="454"/>
      <c r="CB135" s="454"/>
      <c r="CC135" s="454"/>
      <c r="CD135" s="454"/>
      <c r="CE135" s="454"/>
      <c r="CF135" s="454"/>
      <c r="CG135" s="454"/>
      <c r="CH135" s="454"/>
      <c r="CI135" s="454"/>
      <c r="CJ135" s="454"/>
      <c r="CK135" s="454"/>
      <c r="CL135" s="454"/>
      <c r="CM135" s="454"/>
      <c r="CN135" s="454"/>
      <c r="CO135" s="454"/>
      <c r="CP135" s="454"/>
      <c r="CQ135" s="454"/>
      <c r="CR135" s="454"/>
      <c r="CS135" s="454"/>
      <c r="CT135" s="454"/>
      <c r="CU135" s="454"/>
      <c r="CV135" s="517"/>
      <c r="CW135" s="517">
        <f t="shared" si="17"/>
        <v>35.9</v>
      </c>
      <c r="CX135" s="517"/>
      <c r="CY135" s="517"/>
      <c r="CZ135" s="517"/>
      <c r="DA135" s="517">
        <f t="shared" si="18"/>
        <v>107.69999999999999</v>
      </c>
      <c r="DB135" s="517"/>
      <c r="DC135" s="517"/>
      <c r="DD135" s="517"/>
      <c r="DE135" s="517"/>
      <c r="DF135" s="517"/>
      <c r="DG135" s="517"/>
      <c r="DH135" s="517"/>
      <c r="DI135" s="454"/>
      <c r="DJ135" s="454"/>
      <c r="DK135" s="454"/>
      <c r="DL135" s="454">
        <v>1</v>
      </c>
      <c r="DM135" s="454">
        <v>4</v>
      </c>
      <c r="DN135" s="454">
        <v>1</v>
      </c>
      <c r="DO135" s="454">
        <v>4</v>
      </c>
      <c r="DP135" s="454">
        <v>3</v>
      </c>
      <c r="DQ135" s="454"/>
      <c r="DR135" s="454"/>
      <c r="DS135" s="454">
        <v>2</v>
      </c>
      <c r="DT135" s="454"/>
      <c r="DU135" s="454"/>
      <c r="DV135" s="454"/>
      <c r="DW135" s="454"/>
      <c r="DX135" s="454"/>
      <c r="DY135" s="454"/>
      <c r="DZ135" s="454">
        <v>2</v>
      </c>
      <c r="EA135" s="454"/>
      <c r="EB135" s="454"/>
      <c r="EC135" s="454"/>
      <c r="ED135" s="454"/>
      <c r="EE135" s="454"/>
      <c r="EF135" s="454"/>
      <c r="EG135" s="454"/>
      <c r="EH135" s="454"/>
      <c r="EI135" s="454"/>
      <c r="EJ135" s="454"/>
      <c r="EK135" s="454"/>
      <c r="EL135" s="454"/>
      <c r="EM135" s="454"/>
      <c r="EN135" s="454"/>
      <c r="EO135" s="454"/>
      <c r="EP135" s="454"/>
      <c r="EQ135" s="454"/>
      <c r="ER135" s="454"/>
      <c r="ES135" s="454"/>
      <c r="ET135" s="454"/>
      <c r="EU135" s="454"/>
      <c r="EV135" s="454"/>
      <c r="EW135" s="454"/>
      <c r="EX135" s="454"/>
      <c r="EY135" s="454"/>
      <c r="EZ135" s="454"/>
      <c r="FA135" s="454"/>
      <c r="FB135" s="454"/>
      <c r="FC135" s="454"/>
      <c r="FD135" s="454"/>
      <c r="FE135" s="454"/>
      <c r="FF135" s="454"/>
      <c r="FG135" s="290"/>
    </row>
    <row r="136" spans="1:163" s="4" customFormat="1">
      <c r="A136" s="56"/>
      <c r="B136" s="56"/>
      <c r="C136" s="498" t="s">
        <v>3654</v>
      </c>
      <c r="D136" s="498"/>
      <c r="E136" s="454">
        <v>36.299999999999997</v>
      </c>
      <c r="F136" s="454"/>
      <c r="G136" s="454"/>
      <c r="H136" s="454"/>
      <c r="I136" s="454"/>
      <c r="J136" s="454"/>
      <c r="K136" s="454"/>
      <c r="L136" s="454"/>
      <c r="M136" s="454"/>
      <c r="N136" s="454"/>
      <c r="O136" s="454"/>
      <c r="P136" s="454"/>
      <c r="Q136" s="454"/>
      <c r="R136" s="290"/>
      <c r="S136" s="290"/>
      <c r="T136" s="454" t="s">
        <v>1631</v>
      </c>
      <c r="U136" s="692" t="s">
        <v>1631</v>
      </c>
      <c r="V136" s="454"/>
      <c r="W136" s="454"/>
      <c r="X136" s="454"/>
      <c r="Y136" s="454"/>
      <c r="Z136" s="454"/>
      <c r="AA136" s="454"/>
      <c r="AB136" s="454"/>
      <c r="AC136" s="454"/>
      <c r="AD136" s="454"/>
      <c r="AE136" s="454"/>
      <c r="AF136" s="454"/>
      <c r="AG136" s="454"/>
      <c r="AH136" s="454"/>
      <c r="AI136" s="454"/>
      <c r="AJ136" s="454"/>
      <c r="AK136" s="454"/>
      <c r="AL136" s="454"/>
      <c r="AM136" s="454"/>
      <c r="AN136" s="454"/>
      <c r="AO136" s="454"/>
      <c r="AP136" s="454"/>
      <c r="AQ136" s="454"/>
      <c r="AR136" s="454"/>
      <c r="AS136" s="454"/>
      <c r="AT136" s="454"/>
      <c r="AU136" s="454"/>
      <c r="AV136" s="454"/>
      <c r="AW136" s="454"/>
      <c r="AX136" s="454"/>
      <c r="AY136" s="454"/>
      <c r="AZ136" s="454"/>
      <c r="BA136" s="454"/>
      <c r="BB136" s="454"/>
      <c r="BC136" s="454"/>
      <c r="BD136" s="454"/>
      <c r="BE136" s="454"/>
      <c r="BF136" s="454"/>
      <c r="BG136" s="454"/>
      <c r="BH136" s="454"/>
      <c r="BI136" s="454"/>
      <c r="BJ136" s="454"/>
      <c r="BK136" s="454"/>
      <c r="BL136" s="454"/>
      <c r="BM136" s="454"/>
      <c r="BN136" s="454"/>
      <c r="BO136" s="454"/>
      <c r="BP136" s="454"/>
      <c r="BQ136" s="454"/>
      <c r="BR136" s="454"/>
      <c r="BS136" s="454"/>
      <c r="BT136" s="454"/>
      <c r="BU136" s="454"/>
      <c r="BV136" s="454"/>
      <c r="BW136" s="454"/>
      <c r="BX136" s="454"/>
      <c r="BY136" s="454"/>
      <c r="BZ136" s="454"/>
      <c r="CA136" s="454"/>
      <c r="CB136" s="454"/>
      <c r="CC136" s="454"/>
      <c r="CD136" s="454"/>
      <c r="CE136" s="454"/>
      <c r="CF136" s="454"/>
      <c r="CG136" s="454"/>
      <c r="CH136" s="454"/>
      <c r="CI136" s="454"/>
      <c r="CJ136" s="454"/>
      <c r="CK136" s="454"/>
      <c r="CL136" s="454"/>
      <c r="CM136" s="454"/>
      <c r="CN136" s="454"/>
      <c r="CO136" s="454"/>
      <c r="CP136" s="454"/>
      <c r="CQ136" s="454"/>
      <c r="CR136" s="454"/>
      <c r="CS136" s="454"/>
      <c r="CT136" s="454"/>
      <c r="CU136" s="454"/>
      <c r="CV136" s="517"/>
      <c r="CW136" s="517">
        <f t="shared" si="17"/>
        <v>36.299999999999997</v>
      </c>
      <c r="CX136" s="517"/>
      <c r="CY136" s="517"/>
      <c r="CZ136" s="517"/>
      <c r="DA136" s="517">
        <f t="shared" si="18"/>
        <v>108.89999999999999</v>
      </c>
      <c r="DB136" s="517"/>
      <c r="DC136" s="517"/>
      <c r="DD136" s="517"/>
      <c r="DE136" s="517"/>
      <c r="DF136" s="517"/>
      <c r="DG136" s="517"/>
      <c r="DH136" s="517"/>
      <c r="DI136" s="454"/>
      <c r="DJ136" s="454"/>
      <c r="DK136" s="454"/>
      <c r="DL136" s="454">
        <v>1</v>
      </c>
      <c r="DM136" s="454">
        <v>4</v>
      </c>
      <c r="DN136" s="454">
        <v>1</v>
      </c>
      <c r="DO136" s="454">
        <v>3</v>
      </c>
      <c r="DP136" s="454">
        <v>2</v>
      </c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>
        <v>2</v>
      </c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  <c r="FG136" s="481"/>
    </row>
    <row r="137" spans="1:163" s="4" customFormat="1">
      <c r="A137" s="56"/>
      <c r="B137" s="56"/>
      <c r="C137" s="498" t="s">
        <v>3655</v>
      </c>
      <c r="D137" s="498"/>
      <c r="E137" s="454">
        <v>33.700000000000003</v>
      </c>
      <c r="F137" s="454"/>
      <c r="G137" s="454"/>
      <c r="H137" s="454"/>
      <c r="I137" s="454"/>
      <c r="J137" s="454"/>
      <c r="K137" s="454"/>
      <c r="L137" s="454"/>
      <c r="M137" s="454"/>
      <c r="N137" s="454"/>
      <c r="O137" s="454"/>
      <c r="P137" s="454"/>
      <c r="Q137" s="454"/>
      <c r="R137" s="290"/>
      <c r="S137" s="290"/>
      <c r="T137" s="454" t="s">
        <v>1631</v>
      </c>
      <c r="U137" s="694" t="s">
        <v>1631</v>
      </c>
      <c r="V137" s="454"/>
      <c r="W137" s="454"/>
      <c r="X137" s="454"/>
      <c r="Y137" s="454"/>
      <c r="Z137" s="454"/>
      <c r="AA137" s="454"/>
      <c r="AB137" s="454"/>
      <c r="AC137" s="454"/>
      <c r="AD137" s="454"/>
      <c r="AE137" s="454"/>
      <c r="AF137" s="454"/>
      <c r="AG137" s="454"/>
      <c r="AH137" s="454"/>
      <c r="AI137" s="454"/>
      <c r="AJ137" s="454"/>
      <c r="AK137" s="454"/>
      <c r="AL137" s="454"/>
      <c r="AM137" s="454"/>
      <c r="AN137" s="454"/>
      <c r="AO137" s="454"/>
      <c r="AP137" s="454"/>
      <c r="AQ137" s="454"/>
      <c r="AR137" s="454"/>
      <c r="AS137" s="454"/>
      <c r="AT137" s="454"/>
      <c r="AU137" s="454"/>
      <c r="AV137" s="454"/>
      <c r="AW137" s="454"/>
      <c r="AX137" s="454"/>
      <c r="AY137" s="454"/>
      <c r="AZ137" s="454"/>
      <c r="BA137" s="454"/>
      <c r="BB137" s="454"/>
      <c r="BC137" s="454"/>
      <c r="BD137" s="454"/>
      <c r="BE137" s="454"/>
      <c r="BF137" s="454"/>
      <c r="BG137" s="454"/>
      <c r="BH137" s="454"/>
      <c r="BI137" s="454"/>
      <c r="BJ137" s="454"/>
      <c r="BK137" s="454"/>
      <c r="BL137" s="454"/>
      <c r="BM137" s="454"/>
      <c r="BN137" s="454"/>
      <c r="BO137" s="454"/>
      <c r="BP137" s="454"/>
      <c r="BQ137" s="454"/>
      <c r="BR137" s="454"/>
      <c r="BS137" s="454"/>
      <c r="BT137" s="454"/>
      <c r="BU137" s="454"/>
      <c r="BV137" s="454"/>
      <c r="BW137" s="454"/>
      <c r="BX137" s="454"/>
      <c r="BY137" s="454"/>
      <c r="BZ137" s="454"/>
      <c r="CA137" s="454"/>
      <c r="CB137" s="454"/>
      <c r="CC137" s="454"/>
      <c r="CD137" s="454"/>
      <c r="CE137" s="454"/>
      <c r="CF137" s="454"/>
      <c r="CG137" s="454"/>
      <c r="CH137" s="454"/>
      <c r="CI137" s="454"/>
      <c r="CJ137" s="454"/>
      <c r="CK137" s="454"/>
      <c r="CL137" s="454"/>
      <c r="CM137" s="454"/>
      <c r="CN137" s="454"/>
      <c r="CO137" s="454"/>
      <c r="CP137" s="454"/>
      <c r="CQ137" s="454"/>
      <c r="CR137" s="454"/>
      <c r="CS137" s="454"/>
      <c r="CT137" s="454"/>
      <c r="CU137" s="454"/>
      <c r="CV137" s="517"/>
      <c r="CW137" s="517">
        <f t="shared" si="17"/>
        <v>33.700000000000003</v>
      </c>
      <c r="CX137" s="517"/>
      <c r="CY137" s="517"/>
      <c r="CZ137" s="517"/>
      <c r="DA137" s="517">
        <f t="shared" si="18"/>
        <v>101.10000000000001</v>
      </c>
      <c r="DB137" s="517"/>
      <c r="DC137" s="517"/>
      <c r="DD137" s="517"/>
      <c r="DE137" s="517"/>
      <c r="DF137" s="517"/>
      <c r="DG137" s="517"/>
      <c r="DH137" s="517"/>
      <c r="DI137" s="454"/>
      <c r="DJ137" s="454"/>
      <c r="DK137" s="454"/>
      <c r="DL137" s="454">
        <v>1</v>
      </c>
      <c r="DM137" s="454">
        <v>4</v>
      </c>
      <c r="DN137" s="454">
        <v>1</v>
      </c>
      <c r="DO137" s="454">
        <v>2</v>
      </c>
      <c r="DP137" s="454">
        <v>1</v>
      </c>
      <c r="DQ137" s="454"/>
      <c r="DR137" s="454"/>
      <c r="DS137" s="454"/>
      <c r="DT137" s="454"/>
      <c r="DU137" s="454"/>
      <c r="DV137" s="454"/>
      <c r="DW137" s="454"/>
      <c r="DX137" s="454"/>
      <c r="DY137" s="454"/>
      <c r="DZ137" s="454">
        <v>2</v>
      </c>
      <c r="EA137" s="454"/>
      <c r="EB137" s="454"/>
      <c r="EC137" s="454"/>
      <c r="ED137" s="454"/>
      <c r="EE137" s="454"/>
      <c r="EF137" s="454"/>
      <c r="EG137" s="454"/>
      <c r="EH137" s="454"/>
      <c r="EI137" s="454"/>
      <c r="EJ137" s="454"/>
      <c r="EK137" s="454"/>
      <c r="EL137" s="454"/>
      <c r="EM137" s="454"/>
      <c r="EN137" s="454"/>
      <c r="EO137" s="454"/>
      <c r="EP137" s="454"/>
      <c r="EQ137" s="454"/>
      <c r="ER137" s="454"/>
      <c r="ES137" s="454"/>
      <c r="ET137" s="454"/>
      <c r="EU137" s="454"/>
      <c r="EV137" s="454"/>
      <c r="EW137" s="454"/>
      <c r="EX137" s="454"/>
      <c r="EY137" s="454"/>
      <c r="EZ137" s="454"/>
      <c r="FA137" s="454"/>
      <c r="FB137" s="454"/>
      <c r="FC137" s="454"/>
      <c r="FD137" s="454"/>
      <c r="FE137" s="454"/>
      <c r="FF137" s="454"/>
      <c r="FG137" s="290"/>
    </row>
    <row r="138" spans="1:163" s="4" customFormat="1">
      <c r="A138" s="56"/>
      <c r="B138" s="56"/>
      <c r="C138" s="498" t="s">
        <v>3656</v>
      </c>
      <c r="D138" s="498"/>
      <c r="E138" s="454">
        <v>37.5</v>
      </c>
      <c r="F138" s="454"/>
      <c r="G138" s="454"/>
      <c r="H138" s="454"/>
      <c r="I138" s="454"/>
      <c r="J138" s="454"/>
      <c r="K138" s="454"/>
      <c r="L138" s="454"/>
      <c r="M138" s="454"/>
      <c r="N138" s="454"/>
      <c r="O138" s="454"/>
      <c r="P138" s="454"/>
      <c r="Q138" s="454"/>
      <c r="R138" s="290"/>
      <c r="S138" s="290"/>
      <c r="T138" s="454" t="s">
        <v>1631</v>
      </c>
      <c r="U138" s="454" t="s">
        <v>1631</v>
      </c>
      <c r="V138" s="454"/>
      <c r="W138" s="454"/>
      <c r="X138" s="454"/>
      <c r="Y138" s="454"/>
      <c r="Z138" s="454"/>
      <c r="AA138" s="454"/>
      <c r="AB138" s="454"/>
      <c r="AC138" s="454"/>
      <c r="AD138" s="454"/>
      <c r="AE138" s="454"/>
      <c r="AF138" s="454"/>
      <c r="AG138" s="454"/>
      <c r="AH138" s="454"/>
      <c r="AI138" s="454"/>
      <c r="AJ138" s="454"/>
      <c r="AK138" s="454"/>
      <c r="AL138" s="454"/>
      <c r="AM138" s="454"/>
      <c r="AN138" s="454"/>
      <c r="AO138" s="454"/>
      <c r="AP138" s="454"/>
      <c r="AQ138" s="454"/>
      <c r="AR138" s="454"/>
      <c r="AS138" s="454"/>
      <c r="AT138" s="454"/>
      <c r="AU138" s="454"/>
      <c r="AV138" s="454"/>
      <c r="AW138" s="454"/>
      <c r="AX138" s="454"/>
      <c r="AY138" s="454"/>
      <c r="AZ138" s="454"/>
      <c r="BA138" s="454"/>
      <c r="BB138" s="454"/>
      <c r="BC138" s="454"/>
      <c r="BD138" s="454"/>
      <c r="BE138" s="454"/>
      <c r="BF138" s="454"/>
      <c r="BG138" s="454"/>
      <c r="BH138" s="454"/>
      <c r="BI138" s="454"/>
      <c r="BJ138" s="454"/>
      <c r="BK138" s="454"/>
      <c r="BL138" s="454"/>
      <c r="BM138" s="454"/>
      <c r="BN138" s="454"/>
      <c r="BO138" s="454"/>
      <c r="BP138" s="454"/>
      <c r="BQ138" s="454"/>
      <c r="BR138" s="454"/>
      <c r="BS138" s="454"/>
      <c r="BT138" s="454"/>
      <c r="BU138" s="454"/>
      <c r="BV138" s="454"/>
      <c r="BW138" s="454"/>
      <c r="BX138" s="454"/>
      <c r="BY138" s="454"/>
      <c r="BZ138" s="454"/>
      <c r="CA138" s="454"/>
      <c r="CB138" s="454"/>
      <c r="CC138" s="454"/>
      <c r="CD138" s="454"/>
      <c r="CE138" s="454"/>
      <c r="CF138" s="454"/>
      <c r="CG138" s="454"/>
      <c r="CH138" s="454"/>
      <c r="CI138" s="454"/>
      <c r="CJ138" s="454"/>
      <c r="CK138" s="454"/>
      <c r="CL138" s="454"/>
      <c r="CM138" s="454"/>
      <c r="CN138" s="454"/>
      <c r="CO138" s="454"/>
      <c r="CP138" s="454"/>
      <c r="CQ138" s="454"/>
      <c r="CR138" s="454"/>
      <c r="CS138" s="454"/>
      <c r="CT138" s="454"/>
      <c r="CU138" s="454"/>
      <c r="CV138" s="517"/>
      <c r="CW138" s="517">
        <f t="shared" si="17"/>
        <v>37.5</v>
      </c>
      <c r="CX138" s="517"/>
      <c r="CY138" s="517"/>
      <c r="CZ138" s="517"/>
      <c r="DA138" s="517">
        <f t="shared" si="18"/>
        <v>112.5</v>
      </c>
      <c r="DB138" s="517"/>
      <c r="DC138" s="517"/>
      <c r="DD138" s="517"/>
      <c r="DE138" s="517"/>
      <c r="DF138" s="517"/>
      <c r="DG138" s="517"/>
      <c r="DH138" s="517"/>
      <c r="DI138" s="454"/>
      <c r="DJ138" s="454"/>
      <c r="DK138" s="454"/>
      <c r="DL138" s="454">
        <v>1</v>
      </c>
      <c r="DM138" s="454">
        <v>4</v>
      </c>
      <c r="DN138" s="454">
        <v>1</v>
      </c>
      <c r="DO138" s="454">
        <v>3</v>
      </c>
      <c r="DP138" s="454">
        <v>2</v>
      </c>
      <c r="DQ138" s="454"/>
      <c r="DR138" s="454"/>
      <c r="DS138" s="454"/>
      <c r="DT138" s="454"/>
      <c r="DU138" s="454"/>
      <c r="DV138" s="454"/>
      <c r="DW138" s="454"/>
      <c r="DX138" s="454"/>
      <c r="DY138" s="454"/>
      <c r="DZ138" s="454">
        <v>2</v>
      </c>
      <c r="EA138" s="454"/>
      <c r="EB138" s="454"/>
      <c r="EC138" s="454"/>
      <c r="ED138" s="454"/>
      <c r="EE138" s="454"/>
      <c r="EF138" s="454"/>
      <c r="EG138" s="454"/>
      <c r="EH138" s="454"/>
      <c r="EI138" s="454"/>
      <c r="EJ138" s="454"/>
      <c r="EK138" s="454"/>
      <c r="EL138" s="454"/>
      <c r="EM138" s="454"/>
      <c r="EN138" s="454"/>
      <c r="EO138" s="454"/>
      <c r="EP138" s="454"/>
      <c r="EQ138" s="454"/>
      <c r="ER138" s="454"/>
      <c r="ES138" s="454"/>
      <c r="ET138" s="454"/>
      <c r="EU138" s="454"/>
      <c r="EV138" s="454"/>
      <c r="EW138" s="454"/>
      <c r="EX138" s="454"/>
      <c r="EY138" s="454"/>
      <c r="EZ138" s="454"/>
      <c r="FA138" s="454"/>
      <c r="FB138" s="454"/>
      <c r="FC138" s="454"/>
      <c r="FD138" s="454"/>
      <c r="FE138" s="454"/>
      <c r="FF138" s="454"/>
      <c r="FG138" s="290"/>
    </row>
    <row r="139" spans="1:163" s="4" customFormat="1">
      <c r="A139" s="56"/>
      <c r="B139" s="56"/>
      <c r="C139" s="498" t="s">
        <v>3719</v>
      </c>
      <c r="D139" s="498"/>
      <c r="E139" s="454">
        <v>33</v>
      </c>
      <c r="F139" s="454"/>
      <c r="G139" s="454"/>
      <c r="H139" s="454"/>
      <c r="I139" s="454"/>
      <c r="J139" s="454"/>
      <c r="K139" s="454"/>
      <c r="L139" s="454"/>
      <c r="M139" s="454"/>
      <c r="N139" s="454"/>
      <c r="O139" s="454"/>
      <c r="P139" s="454"/>
      <c r="Q139" s="454"/>
      <c r="R139" s="290"/>
      <c r="S139" s="290"/>
      <c r="T139" s="454" t="s">
        <v>2990</v>
      </c>
      <c r="U139" s="454" t="s">
        <v>2990</v>
      </c>
      <c r="V139" s="454"/>
      <c r="W139" s="454"/>
      <c r="X139" s="454"/>
      <c r="Y139" s="454"/>
      <c r="Z139" s="454"/>
      <c r="AA139" s="454"/>
      <c r="AB139" s="454"/>
      <c r="AC139" s="454"/>
      <c r="AD139" s="454"/>
      <c r="AE139" s="454"/>
      <c r="AF139" s="454"/>
      <c r="AG139" s="454"/>
      <c r="AH139" s="454"/>
      <c r="AI139" s="454"/>
      <c r="AJ139" s="454"/>
      <c r="AK139" s="454"/>
      <c r="AL139" s="454"/>
      <c r="AM139" s="454"/>
      <c r="AN139" s="454"/>
      <c r="AO139" s="454"/>
      <c r="AP139" s="454"/>
      <c r="AQ139" s="454"/>
      <c r="AR139" s="454"/>
      <c r="AS139" s="454"/>
      <c r="AT139" s="454"/>
      <c r="AU139" s="454"/>
      <c r="AV139" s="454"/>
      <c r="AW139" s="454"/>
      <c r="AX139" s="454"/>
      <c r="AY139" s="454"/>
      <c r="AZ139" s="454"/>
      <c r="BA139" s="454"/>
      <c r="BB139" s="454"/>
      <c r="BC139" s="454"/>
      <c r="BD139" s="454"/>
      <c r="BE139" s="454"/>
      <c r="BF139" s="454"/>
      <c r="BG139" s="454"/>
      <c r="BH139" s="454"/>
      <c r="BI139" s="454"/>
      <c r="BJ139" s="454"/>
      <c r="BK139" s="454"/>
      <c r="BL139" s="454"/>
      <c r="BM139" s="454"/>
      <c r="BN139" s="454"/>
      <c r="BO139" s="454"/>
      <c r="BP139" s="454"/>
      <c r="BQ139" s="454"/>
      <c r="BR139" s="454"/>
      <c r="BS139" s="454"/>
      <c r="BT139" s="454"/>
      <c r="BU139" s="454"/>
      <c r="BV139" s="454"/>
      <c r="BW139" s="454"/>
      <c r="BX139" s="454"/>
      <c r="BY139" s="454"/>
      <c r="BZ139" s="454"/>
      <c r="CA139" s="454"/>
      <c r="CB139" s="454"/>
      <c r="CC139" s="454"/>
      <c r="CD139" s="454"/>
      <c r="CE139" s="454"/>
      <c r="CF139" s="454"/>
      <c r="CG139" s="454"/>
      <c r="CH139" s="454"/>
      <c r="CI139" s="454"/>
      <c r="CJ139" s="454"/>
      <c r="CK139" s="454"/>
      <c r="CL139" s="454"/>
      <c r="CM139" s="454"/>
      <c r="CN139" s="454"/>
      <c r="CO139" s="454"/>
      <c r="CP139" s="454"/>
      <c r="CQ139" s="454"/>
      <c r="CR139" s="454"/>
      <c r="CS139" s="454"/>
      <c r="CT139" s="454"/>
      <c r="CU139" s="454"/>
      <c r="CV139" s="517"/>
      <c r="CW139" s="517">
        <f t="shared" si="17"/>
        <v>33</v>
      </c>
      <c r="CX139" s="517"/>
      <c r="CY139" s="517"/>
      <c r="CZ139" s="517"/>
      <c r="DA139" s="517">
        <f t="shared" si="18"/>
        <v>99</v>
      </c>
      <c r="DB139" s="517"/>
      <c r="DC139" s="517"/>
      <c r="DD139" s="517"/>
      <c r="DE139" s="517"/>
      <c r="DF139" s="517"/>
      <c r="DG139" s="517"/>
      <c r="DH139" s="517"/>
      <c r="DI139" s="454"/>
      <c r="DJ139" s="454"/>
      <c r="DK139" s="454"/>
      <c r="DL139" s="454">
        <v>1</v>
      </c>
      <c r="DM139" s="454">
        <v>4</v>
      </c>
      <c r="DN139" s="454"/>
      <c r="DO139" s="454"/>
      <c r="DP139" s="454"/>
      <c r="DQ139" s="454"/>
      <c r="DR139" s="454"/>
      <c r="DS139" s="454"/>
      <c r="DT139" s="454"/>
      <c r="DU139" s="454">
        <v>16</v>
      </c>
      <c r="DV139" s="454"/>
      <c r="DW139" s="454"/>
      <c r="DX139" s="454"/>
      <c r="DY139" s="454"/>
      <c r="DZ139" s="454"/>
      <c r="EA139" s="454"/>
      <c r="EB139" s="454"/>
      <c r="EC139" s="454"/>
      <c r="ED139" s="454"/>
      <c r="EE139" s="454"/>
      <c r="EF139" s="454"/>
      <c r="EG139" s="454"/>
      <c r="EH139" s="454"/>
      <c r="EI139" s="454"/>
      <c r="EJ139" s="454"/>
      <c r="EK139" s="454"/>
      <c r="EL139" s="454"/>
      <c r="EM139" s="454"/>
      <c r="EN139" s="454"/>
      <c r="EO139" s="454"/>
      <c r="EP139" s="454"/>
      <c r="EQ139" s="454"/>
      <c r="ER139" s="454"/>
      <c r="ES139" s="454"/>
      <c r="ET139" s="454"/>
      <c r="EU139" s="454"/>
      <c r="EV139" s="454"/>
      <c r="EW139" s="454"/>
      <c r="EX139" s="454"/>
      <c r="EY139" s="454"/>
      <c r="EZ139" s="454">
        <v>2</v>
      </c>
      <c r="FA139" s="454"/>
      <c r="FB139" s="454"/>
      <c r="FC139" s="454"/>
      <c r="FD139" s="454"/>
      <c r="FE139" s="454"/>
      <c r="FF139" s="454"/>
      <c r="FG139" s="290"/>
    </row>
    <row r="140" spans="1:163" s="4" customFormat="1">
      <c r="A140" s="56"/>
      <c r="B140" s="56"/>
      <c r="C140" s="498"/>
      <c r="D140" s="498"/>
      <c r="E140" s="454"/>
      <c r="F140" s="454"/>
      <c r="G140" s="454"/>
      <c r="H140" s="454"/>
      <c r="I140" s="454"/>
      <c r="J140" s="454"/>
      <c r="K140" s="454"/>
      <c r="L140" s="454"/>
      <c r="M140" s="454"/>
      <c r="N140" s="454"/>
      <c r="O140" s="454"/>
      <c r="P140" s="454"/>
      <c r="Q140" s="454"/>
      <c r="R140" s="290"/>
      <c r="S140" s="290"/>
      <c r="T140" s="454"/>
      <c r="U140" s="454"/>
      <c r="V140" s="454"/>
      <c r="W140" s="454"/>
      <c r="X140" s="454"/>
      <c r="Y140" s="454"/>
      <c r="Z140" s="454"/>
      <c r="AA140" s="454"/>
      <c r="AB140" s="454"/>
      <c r="AC140" s="454"/>
      <c r="AD140" s="454"/>
      <c r="AE140" s="454"/>
      <c r="AF140" s="454"/>
      <c r="AG140" s="454"/>
      <c r="AH140" s="454"/>
      <c r="AI140" s="454"/>
      <c r="AJ140" s="454"/>
      <c r="AK140" s="454"/>
      <c r="AL140" s="454"/>
      <c r="AM140" s="454"/>
      <c r="AN140" s="454"/>
      <c r="AO140" s="454"/>
      <c r="AP140" s="454"/>
      <c r="AQ140" s="454"/>
      <c r="AR140" s="454"/>
      <c r="AS140" s="454"/>
      <c r="AT140" s="454"/>
      <c r="AU140" s="454"/>
      <c r="AV140" s="454"/>
      <c r="AW140" s="454"/>
      <c r="AX140" s="454"/>
      <c r="AY140" s="454"/>
      <c r="AZ140" s="454"/>
      <c r="BA140" s="454"/>
      <c r="BB140" s="454"/>
      <c r="BC140" s="454"/>
      <c r="BD140" s="454"/>
      <c r="BE140" s="454"/>
      <c r="BF140" s="454"/>
      <c r="BG140" s="454"/>
      <c r="BH140" s="454"/>
      <c r="BI140" s="454"/>
      <c r="BJ140" s="454"/>
      <c r="BK140" s="454"/>
      <c r="BL140" s="454"/>
      <c r="BM140" s="454"/>
      <c r="BN140" s="454"/>
      <c r="BO140" s="454"/>
      <c r="BP140" s="454"/>
      <c r="BQ140" s="454"/>
      <c r="BR140" s="454"/>
      <c r="BS140" s="454"/>
      <c r="BT140" s="454"/>
      <c r="BU140" s="454"/>
      <c r="BV140" s="454"/>
      <c r="BW140" s="454"/>
      <c r="BX140" s="454"/>
      <c r="BY140" s="454"/>
      <c r="BZ140" s="454"/>
      <c r="CA140" s="454"/>
      <c r="CB140" s="454"/>
      <c r="CC140" s="454"/>
      <c r="CD140" s="454"/>
      <c r="CE140" s="454"/>
      <c r="CF140" s="454"/>
      <c r="CG140" s="454"/>
      <c r="CH140" s="454"/>
      <c r="CI140" s="454"/>
      <c r="CJ140" s="454"/>
      <c r="CK140" s="454"/>
      <c r="CL140" s="454"/>
      <c r="CM140" s="454"/>
      <c r="CN140" s="454"/>
      <c r="CO140" s="454"/>
      <c r="CP140" s="454"/>
      <c r="CQ140" s="454"/>
      <c r="CR140" s="454"/>
      <c r="CS140" s="454"/>
      <c r="CT140" s="454"/>
      <c r="CU140" s="454"/>
      <c r="CV140" s="517"/>
      <c r="CW140" s="517">
        <f t="shared" si="17"/>
        <v>0</v>
      </c>
      <c r="CX140" s="517"/>
      <c r="CY140" s="517"/>
      <c r="CZ140" s="517"/>
      <c r="DA140" s="517">
        <f t="shared" si="18"/>
        <v>0</v>
      </c>
      <c r="DB140" s="517"/>
      <c r="DC140" s="517"/>
      <c r="DD140" s="517"/>
      <c r="DE140" s="517"/>
      <c r="DF140" s="517"/>
      <c r="DG140" s="517"/>
      <c r="DH140" s="517"/>
      <c r="DI140" s="454"/>
      <c r="DJ140" s="454"/>
      <c r="DK140" s="454"/>
      <c r="DL140" s="454"/>
      <c r="DM140" s="454"/>
      <c r="DN140" s="454"/>
      <c r="DO140" s="454"/>
      <c r="DP140" s="454"/>
      <c r="DQ140" s="454"/>
      <c r="DR140" s="454"/>
      <c r="DS140" s="454"/>
      <c r="DT140" s="454"/>
      <c r="DU140" s="454"/>
      <c r="DV140" s="454"/>
      <c r="DW140" s="454"/>
      <c r="DX140" s="454"/>
      <c r="DY140" s="454"/>
      <c r="DZ140" s="454"/>
      <c r="EA140" s="454"/>
      <c r="EB140" s="454"/>
      <c r="EC140" s="454"/>
      <c r="ED140" s="454"/>
      <c r="EE140" s="454"/>
      <c r="EF140" s="454"/>
      <c r="EG140" s="454"/>
      <c r="EH140" s="454"/>
      <c r="EI140" s="454"/>
      <c r="EJ140" s="454"/>
      <c r="EK140" s="454"/>
      <c r="EL140" s="454"/>
      <c r="EM140" s="454"/>
      <c r="EN140" s="454"/>
      <c r="EO140" s="454"/>
      <c r="EP140" s="454"/>
      <c r="EQ140" s="454"/>
      <c r="ER140" s="454"/>
      <c r="ES140" s="454"/>
      <c r="ET140" s="454"/>
      <c r="EU140" s="454"/>
      <c r="EV140" s="454"/>
      <c r="EW140" s="454"/>
      <c r="EX140" s="454"/>
      <c r="EY140" s="454"/>
      <c r="EZ140" s="454"/>
      <c r="FA140" s="454"/>
      <c r="FB140" s="454"/>
      <c r="FC140" s="454"/>
      <c r="FD140" s="454"/>
      <c r="FE140" s="454"/>
      <c r="FF140" s="454"/>
      <c r="FG140" s="290"/>
    </row>
    <row r="141" spans="1:163" s="4" customFormat="1">
      <c r="A141" s="56"/>
      <c r="B141" s="56"/>
      <c r="C141" s="498"/>
      <c r="D141" s="506" t="s">
        <v>3692</v>
      </c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4"/>
      <c r="P141" s="454"/>
      <c r="Q141" s="454"/>
      <c r="R141" s="290"/>
      <c r="S141" s="290"/>
      <c r="T141" s="454"/>
      <c r="U141" s="454"/>
      <c r="V141" s="454"/>
      <c r="W141" s="454"/>
      <c r="X141" s="454"/>
      <c r="Y141" s="454"/>
      <c r="Z141" s="454"/>
      <c r="AA141" s="454"/>
      <c r="AB141" s="454"/>
      <c r="AC141" s="454"/>
      <c r="AD141" s="454"/>
      <c r="AE141" s="454"/>
      <c r="AF141" s="454"/>
      <c r="AG141" s="454"/>
      <c r="AH141" s="454"/>
      <c r="AI141" s="454"/>
      <c r="AJ141" s="454"/>
      <c r="AK141" s="454"/>
      <c r="AL141" s="454"/>
      <c r="AM141" s="454"/>
      <c r="AN141" s="454"/>
      <c r="AO141" s="454"/>
      <c r="AP141" s="454"/>
      <c r="AQ141" s="454"/>
      <c r="AR141" s="454"/>
      <c r="AS141" s="454"/>
      <c r="AT141" s="454"/>
      <c r="AU141" s="454"/>
      <c r="AV141" s="454"/>
      <c r="AW141" s="454"/>
      <c r="AX141" s="454"/>
      <c r="AY141" s="454"/>
      <c r="AZ141" s="454"/>
      <c r="BA141" s="454"/>
      <c r="BB141" s="454"/>
      <c r="BC141" s="454"/>
      <c r="BD141" s="454"/>
      <c r="BE141" s="454"/>
      <c r="BF141" s="454"/>
      <c r="BG141" s="454"/>
      <c r="BH141" s="454"/>
      <c r="BI141" s="454"/>
      <c r="BJ141" s="454"/>
      <c r="BK141" s="454"/>
      <c r="BL141" s="454"/>
      <c r="BM141" s="454"/>
      <c r="BN141" s="454"/>
      <c r="BO141" s="454"/>
      <c r="BP141" s="454"/>
      <c r="BQ141" s="454"/>
      <c r="BR141" s="454"/>
      <c r="BS141" s="454"/>
      <c r="BT141" s="454"/>
      <c r="BU141" s="454"/>
      <c r="BV141" s="454"/>
      <c r="BW141" s="454"/>
      <c r="BX141" s="454"/>
      <c r="BY141" s="454"/>
      <c r="BZ141" s="454"/>
      <c r="CA141" s="454"/>
      <c r="CB141" s="454"/>
      <c r="CC141" s="454"/>
      <c r="CD141" s="454"/>
      <c r="CE141" s="454"/>
      <c r="CF141" s="454"/>
      <c r="CG141" s="454"/>
      <c r="CH141" s="454"/>
      <c r="CI141" s="454"/>
      <c r="CJ141" s="454"/>
      <c r="CK141" s="454"/>
      <c r="CL141" s="454"/>
      <c r="CM141" s="454"/>
      <c r="CN141" s="454"/>
      <c r="CO141" s="454"/>
      <c r="CP141" s="454"/>
      <c r="CQ141" s="454"/>
      <c r="CR141" s="454"/>
      <c r="CS141" s="454"/>
      <c r="CT141" s="454"/>
      <c r="CU141" s="454"/>
      <c r="CV141" s="517"/>
      <c r="CW141" s="517">
        <f t="shared" si="17"/>
        <v>0</v>
      </c>
      <c r="CX141" s="517"/>
      <c r="CY141" s="517"/>
      <c r="CZ141" s="517"/>
      <c r="DA141" s="517">
        <f t="shared" si="18"/>
        <v>0</v>
      </c>
      <c r="DB141" s="517"/>
      <c r="DC141" s="517"/>
      <c r="DD141" s="517"/>
      <c r="DE141" s="517"/>
      <c r="DF141" s="517"/>
      <c r="DG141" s="517"/>
      <c r="DH141" s="517"/>
      <c r="DI141" s="454"/>
      <c r="DJ141" s="454"/>
      <c r="DK141" s="454"/>
      <c r="DL141" s="454"/>
      <c r="DM141" s="454"/>
      <c r="DN141" s="454"/>
      <c r="DO141" s="454"/>
      <c r="DP141" s="454"/>
      <c r="DQ141" s="454"/>
      <c r="DR141" s="454"/>
      <c r="DS141" s="454"/>
      <c r="DT141" s="454"/>
      <c r="DU141" s="454"/>
      <c r="DV141" s="454"/>
      <c r="DW141" s="454"/>
      <c r="DX141" s="454"/>
      <c r="DY141" s="454"/>
      <c r="DZ141" s="454"/>
      <c r="EA141" s="454"/>
      <c r="EB141" s="454"/>
      <c r="EC141" s="454"/>
      <c r="ED141" s="454"/>
      <c r="EE141" s="454"/>
      <c r="EF141" s="454"/>
      <c r="EG141" s="454"/>
      <c r="EH141" s="454"/>
      <c r="EI141" s="454"/>
      <c r="EJ141" s="454"/>
      <c r="EK141" s="454"/>
      <c r="EL141" s="454"/>
      <c r="EM141" s="454"/>
      <c r="EN141" s="454"/>
      <c r="EO141" s="454"/>
      <c r="EP141" s="454"/>
      <c r="EQ141" s="454"/>
      <c r="ER141" s="454"/>
      <c r="ES141" s="454"/>
      <c r="ET141" s="454"/>
      <c r="EU141" s="454"/>
      <c r="EV141" s="454"/>
      <c r="EW141" s="454"/>
      <c r="EX141" s="454"/>
      <c r="EY141" s="454"/>
      <c r="EZ141" s="454"/>
      <c r="FA141" s="454"/>
      <c r="FB141" s="454"/>
      <c r="FC141" s="454"/>
      <c r="FD141" s="454"/>
      <c r="FE141" s="454"/>
      <c r="FF141" s="454"/>
      <c r="FG141" s="290"/>
    </row>
    <row r="142" spans="1:163" s="4" customFormat="1">
      <c r="A142" s="56"/>
      <c r="B142" s="56"/>
      <c r="C142" s="498" t="s">
        <v>3632</v>
      </c>
      <c r="D142" s="498"/>
      <c r="E142" s="454">
        <v>49.6</v>
      </c>
      <c r="F142" s="454"/>
      <c r="G142" s="454"/>
      <c r="H142" s="454"/>
      <c r="I142" s="454"/>
      <c r="J142" s="454"/>
      <c r="K142" s="454"/>
      <c r="L142" s="454"/>
      <c r="M142" s="454"/>
      <c r="N142" s="454"/>
      <c r="O142" s="454"/>
      <c r="P142" s="454"/>
      <c r="Q142" s="454"/>
      <c r="R142" s="290"/>
      <c r="S142" s="290"/>
      <c r="T142" s="454" t="s">
        <v>1631</v>
      </c>
      <c r="U142" s="454" t="s">
        <v>1631</v>
      </c>
      <c r="V142" s="454"/>
      <c r="W142" s="454"/>
      <c r="X142" s="454"/>
      <c r="Y142" s="454"/>
      <c r="Z142" s="454"/>
      <c r="AA142" s="454"/>
      <c r="AB142" s="454"/>
      <c r="AC142" s="454"/>
      <c r="AD142" s="454"/>
      <c r="AE142" s="454"/>
      <c r="AF142" s="454"/>
      <c r="AG142" s="454"/>
      <c r="AH142" s="454"/>
      <c r="AI142" s="454"/>
      <c r="AJ142" s="454"/>
      <c r="AK142" s="454"/>
      <c r="AL142" s="454"/>
      <c r="AM142" s="454"/>
      <c r="AN142" s="454"/>
      <c r="AO142" s="454"/>
      <c r="AP142" s="454"/>
      <c r="AQ142" s="454"/>
      <c r="AR142" s="454"/>
      <c r="AS142" s="454"/>
      <c r="AT142" s="454"/>
      <c r="AU142" s="454"/>
      <c r="AV142" s="454"/>
      <c r="AW142" s="454"/>
      <c r="AX142" s="454"/>
      <c r="AY142" s="454"/>
      <c r="AZ142" s="454"/>
      <c r="BA142" s="454"/>
      <c r="BB142" s="454"/>
      <c r="BC142" s="454"/>
      <c r="BD142" s="454"/>
      <c r="BE142" s="454"/>
      <c r="BF142" s="454"/>
      <c r="BG142" s="454"/>
      <c r="BH142" s="454"/>
      <c r="BI142" s="454"/>
      <c r="BJ142" s="454"/>
      <c r="BK142" s="454"/>
      <c r="BL142" s="454"/>
      <c r="BM142" s="454"/>
      <c r="BN142" s="454"/>
      <c r="BO142" s="454"/>
      <c r="BP142" s="454"/>
      <c r="BQ142" s="454"/>
      <c r="BR142" s="454"/>
      <c r="BS142" s="454"/>
      <c r="BT142" s="454"/>
      <c r="BU142" s="454"/>
      <c r="BV142" s="454"/>
      <c r="BW142" s="454"/>
      <c r="BX142" s="454"/>
      <c r="BY142" s="454"/>
      <c r="BZ142" s="454"/>
      <c r="CA142" s="454"/>
      <c r="CB142" s="454"/>
      <c r="CC142" s="454"/>
      <c r="CD142" s="454"/>
      <c r="CE142" s="454"/>
      <c r="CF142" s="454"/>
      <c r="CG142" s="454"/>
      <c r="CH142" s="454"/>
      <c r="CI142" s="454"/>
      <c r="CJ142" s="454"/>
      <c r="CK142" s="454"/>
      <c r="CL142" s="454"/>
      <c r="CM142" s="454"/>
      <c r="CN142" s="454"/>
      <c r="CO142" s="454"/>
      <c r="CP142" s="454"/>
      <c r="CQ142" s="454"/>
      <c r="CR142" s="454"/>
      <c r="CS142" s="454"/>
      <c r="CT142" s="454"/>
      <c r="CU142" s="454"/>
      <c r="CV142" s="517"/>
      <c r="CW142" s="517">
        <f t="shared" si="17"/>
        <v>49.6</v>
      </c>
      <c r="CX142" s="517"/>
      <c r="CY142" s="517"/>
      <c r="CZ142" s="517"/>
      <c r="DA142" s="517">
        <f t="shared" si="18"/>
        <v>148.80000000000001</v>
      </c>
      <c r="DB142" s="517"/>
      <c r="DC142" s="517"/>
      <c r="DD142" s="517"/>
      <c r="DE142" s="517"/>
      <c r="DF142" s="517"/>
      <c r="DG142" s="517"/>
      <c r="DH142" s="517"/>
      <c r="DI142" s="454"/>
      <c r="DJ142" s="454"/>
      <c r="DK142" s="454"/>
      <c r="DL142" s="454">
        <v>1</v>
      </c>
      <c r="DM142" s="454">
        <v>4</v>
      </c>
      <c r="DN142" s="454">
        <v>1</v>
      </c>
      <c r="DO142" s="454">
        <v>4</v>
      </c>
      <c r="DP142" s="454">
        <v>4</v>
      </c>
      <c r="DQ142" s="454"/>
      <c r="DR142" s="454"/>
      <c r="DS142" s="454"/>
      <c r="DT142" s="454"/>
      <c r="DU142" s="454"/>
      <c r="DV142" s="454"/>
      <c r="DW142" s="454"/>
      <c r="DX142" s="454"/>
      <c r="DY142" s="454"/>
      <c r="DZ142" s="454">
        <v>2</v>
      </c>
      <c r="EA142" s="454"/>
      <c r="EB142" s="454"/>
      <c r="EC142" s="454"/>
      <c r="ED142" s="454"/>
      <c r="EE142" s="454"/>
      <c r="EF142" s="454"/>
      <c r="EG142" s="454"/>
      <c r="EH142" s="454"/>
      <c r="EI142" s="454"/>
      <c r="EJ142" s="454"/>
      <c r="EK142" s="454"/>
      <c r="EL142" s="454"/>
      <c r="EM142" s="454"/>
      <c r="EN142" s="454"/>
      <c r="EO142" s="454"/>
      <c r="EP142" s="454"/>
      <c r="EQ142" s="454"/>
      <c r="ER142" s="454"/>
      <c r="ES142" s="454"/>
      <c r="ET142" s="454"/>
      <c r="EU142" s="454"/>
      <c r="EV142" s="454"/>
      <c r="EW142" s="454"/>
      <c r="EX142" s="454"/>
      <c r="EY142" s="454"/>
      <c r="EZ142" s="454"/>
      <c r="FA142" s="454"/>
      <c r="FB142" s="454"/>
      <c r="FC142" s="454"/>
      <c r="FD142" s="454"/>
      <c r="FE142" s="454"/>
      <c r="FF142" s="454"/>
      <c r="FG142" s="290"/>
    </row>
    <row r="143" spans="1:163" s="4" customFormat="1">
      <c r="A143" s="56"/>
      <c r="B143" s="56"/>
      <c r="C143" s="498" t="s">
        <v>3633</v>
      </c>
      <c r="D143" s="498"/>
      <c r="E143" s="454">
        <v>48.6</v>
      </c>
      <c r="F143" s="454"/>
      <c r="G143" s="454"/>
      <c r="H143" s="454"/>
      <c r="I143" s="454"/>
      <c r="J143" s="454"/>
      <c r="K143" s="454"/>
      <c r="L143" s="454"/>
      <c r="M143" s="454"/>
      <c r="N143" s="454"/>
      <c r="O143" s="454"/>
      <c r="P143" s="454"/>
      <c r="Q143" s="454"/>
      <c r="R143" s="290"/>
      <c r="S143" s="290"/>
      <c r="T143" s="454" t="s">
        <v>3005</v>
      </c>
      <c r="U143" s="454" t="s">
        <v>3005</v>
      </c>
      <c r="V143" s="454"/>
      <c r="W143" s="454"/>
      <c r="X143" s="454"/>
      <c r="Y143" s="454"/>
      <c r="Z143" s="454"/>
      <c r="AA143" s="454"/>
      <c r="AB143" s="454"/>
      <c r="AC143" s="454"/>
      <c r="AD143" s="454"/>
      <c r="AE143" s="454"/>
      <c r="AF143" s="454"/>
      <c r="AG143" s="454"/>
      <c r="AH143" s="454"/>
      <c r="AI143" s="454"/>
      <c r="AJ143" s="454"/>
      <c r="AK143" s="454"/>
      <c r="AL143" s="454"/>
      <c r="AM143" s="454"/>
      <c r="AN143" s="454"/>
      <c r="AO143" s="454"/>
      <c r="AP143" s="454"/>
      <c r="AQ143" s="454"/>
      <c r="AR143" s="454"/>
      <c r="AS143" s="454"/>
      <c r="AT143" s="454"/>
      <c r="AU143" s="454"/>
      <c r="AV143" s="454"/>
      <c r="AW143" s="454"/>
      <c r="AX143" s="454"/>
      <c r="AY143" s="454"/>
      <c r="AZ143" s="454"/>
      <c r="BA143" s="454"/>
      <c r="BB143" s="454"/>
      <c r="BC143" s="454"/>
      <c r="BD143" s="454"/>
      <c r="BE143" s="454"/>
      <c r="BF143" s="454"/>
      <c r="BG143" s="454"/>
      <c r="BH143" s="454"/>
      <c r="BI143" s="454"/>
      <c r="BJ143" s="454"/>
      <c r="BK143" s="454"/>
      <c r="BL143" s="454"/>
      <c r="BM143" s="454"/>
      <c r="BN143" s="454"/>
      <c r="BO143" s="454"/>
      <c r="BP143" s="454"/>
      <c r="BQ143" s="454"/>
      <c r="BR143" s="454"/>
      <c r="BS143" s="454"/>
      <c r="BT143" s="454"/>
      <c r="BU143" s="454"/>
      <c r="BV143" s="454"/>
      <c r="BW143" s="454"/>
      <c r="BX143" s="454"/>
      <c r="BY143" s="454"/>
      <c r="BZ143" s="454"/>
      <c r="CA143" s="454"/>
      <c r="CB143" s="454"/>
      <c r="CC143" s="454"/>
      <c r="CD143" s="454"/>
      <c r="CE143" s="454"/>
      <c r="CF143" s="454"/>
      <c r="CG143" s="454"/>
      <c r="CH143" s="454"/>
      <c r="CI143" s="454"/>
      <c r="CJ143" s="454"/>
      <c r="CK143" s="454"/>
      <c r="CL143" s="454"/>
      <c r="CM143" s="454"/>
      <c r="CN143" s="454"/>
      <c r="CO143" s="454"/>
      <c r="CP143" s="454"/>
      <c r="CQ143" s="454"/>
      <c r="CR143" s="454"/>
      <c r="CS143" s="454"/>
      <c r="CT143" s="454"/>
      <c r="CU143" s="454"/>
      <c r="CV143" s="517"/>
      <c r="CW143" s="517">
        <f t="shared" si="17"/>
        <v>48.6</v>
      </c>
      <c r="CX143" s="517"/>
      <c r="CY143" s="517"/>
      <c r="CZ143" s="517"/>
      <c r="DA143" s="517">
        <f t="shared" si="18"/>
        <v>145.80000000000001</v>
      </c>
      <c r="DB143" s="517"/>
      <c r="DC143" s="517"/>
      <c r="DD143" s="517"/>
      <c r="DE143" s="517"/>
      <c r="DF143" s="517"/>
      <c r="DG143" s="517"/>
      <c r="DH143" s="517"/>
      <c r="DI143" s="454"/>
      <c r="DJ143" s="454"/>
      <c r="DK143" s="454"/>
      <c r="DL143" s="454">
        <v>2</v>
      </c>
      <c r="DM143" s="454">
        <v>8</v>
      </c>
      <c r="DN143" s="454">
        <v>1</v>
      </c>
      <c r="DO143" s="454">
        <v>3</v>
      </c>
      <c r="DP143" s="454">
        <v>2</v>
      </c>
      <c r="DQ143" s="454"/>
      <c r="DR143" s="454"/>
      <c r="DS143" s="454"/>
      <c r="DT143" s="454">
        <v>6</v>
      </c>
      <c r="DU143" s="454">
        <v>8</v>
      </c>
      <c r="DV143" s="454">
        <v>1</v>
      </c>
      <c r="DW143" s="454"/>
      <c r="DX143" s="454"/>
      <c r="DY143" s="454"/>
      <c r="DZ143" s="454">
        <v>3</v>
      </c>
      <c r="EA143" s="454"/>
      <c r="EB143" s="454"/>
      <c r="EC143" s="454"/>
      <c r="ED143" s="454"/>
      <c r="EE143" s="454"/>
      <c r="EF143" s="454"/>
      <c r="EG143" s="454"/>
      <c r="EH143" s="454"/>
      <c r="EI143" s="454"/>
      <c r="EJ143" s="454"/>
      <c r="EK143" s="454"/>
      <c r="EL143" s="454"/>
      <c r="EM143" s="454"/>
      <c r="EN143" s="454"/>
      <c r="EO143" s="454"/>
      <c r="EP143" s="454"/>
      <c r="EQ143" s="454"/>
      <c r="ER143" s="454"/>
      <c r="ES143" s="454"/>
      <c r="ET143" s="454"/>
      <c r="EU143" s="454"/>
      <c r="EV143" s="454"/>
      <c r="EW143" s="454"/>
      <c r="EX143" s="454"/>
      <c r="EY143" s="454"/>
      <c r="EZ143" s="454"/>
      <c r="FA143" s="454"/>
      <c r="FB143" s="454"/>
      <c r="FC143" s="454"/>
      <c r="FD143" s="454"/>
      <c r="FE143" s="454"/>
      <c r="FF143" s="454"/>
      <c r="FG143" s="290"/>
    </row>
    <row r="144" spans="1:163" s="4" customFormat="1">
      <c r="A144" s="56"/>
      <c r="B144" s="56"/>
      <c r="C144" s="498" t="s">
        <v>3634</v>
      </c>
      <c r="D144" s="498"/>
      <c r="E144" s="454">
        <v>52.2</v>
      </c>
      <c r="F144" s="454"/>
      <c r="G144" s="454"/>
      <c r="H144" s="454"/>
      <c r="I144" s="454"/>
      <c r="J144" s="454"/>
      <c r="K144" s="454"/>
      <c r="L144" s="454"/>
      <c r="M144" s="454"/>
      <c r="N144" s="454"/>
      <c r="O144" s="454"/>
      <c r="P144" s="454"/>
      <c r="Q144" s="454"/>
      <c r="R144" s="290"/>
      <c r="S144" s="290"/>
      <c r="T144" s="454" t="s">
        <v>1903</v>
      </c>
      <c r="U144" s="454" t="s">
        <v>1903</v>
      </c>
      <c r="V144" s="454"/>
      <c r="W144" s="454"/>
      <c r="X144" s="454"/>
      <c r="Y144" s="454"/>
      <c r="Z144" s="454"/>
      <c r="AA144" s="454"/>
      <c r="AB144" s="454"/>
      <c r="AC144" s="454"/>
      <c r="AD144" s="454"/>
      <c r="AE144" s="454"/>
      <c r="AF144" s="454"/>
      <c r="AG144" s="454"/>
      <c r="AH144" s="454"/>
      <c r="AI144" s="454"/>
      <c r="AJ144" s="454"/>
      <c r="AK144" s="454"/>
      <c r="AL144" s="454"/>
      <c r="AM144" s="454"/>
      <c r="AN144" s="454"/>
      <c r="AO144" s="454"/>
      <c r="AP144" s="454"/>
      <c r="AQ144" s="454"/>
      <c r="AR144" s="454"/>
      <c r="AS144" s="454"/>
      <c r="AT144" s="454"/>
      <c r="AU144" s="454"/>
      <c r="AV144" s="454"/>
      <c r="AW144" s="454"/>
      <c r="AX144" s="454"/>
      <c r="AY144" s="454"/>
      <c r="AZ144" s="454"/>
      <c r="BA144" s="454"/>
      <c r="BB144" s="454"/>
      <c r="BC144" s="454"/>
      <c r="BD144" s="454"/>
      <c r="BE144" s="454"/>
      <c r="BF144" s="454"/>
      <c r="BG144" s="454"/>
      <c r="BH144" s="454"/>
      <c r="BI144" s="454"/>
      <c r="BJ144" s="454"/>
      <c r="BK144" s="454"/>
      <c r="BL144" s="454"/>
      <c r="BM144" s="454"/>
      <c r="BN144" s="454"/>
      <c r="BO144" s="454"/>
      <c r="BP144" s="454"/>
      <c r="BQ144" s="454"/>
      <c r="BR144" s="454"/>
      <c r="BS144" s="454"/>
      <c r="BT144" s="454"/>
      <c r="BU144" s="454"/>
      <c r="BV144" s="454"/>
      <c r="BW144" s="454"/>
      <c r="BX144" s="454"/>
      <c r="BY144" s="454"/>
      <c r="BZ144" s="454"/>
      <c r="CA144" s="454"/>
      <c r="CB144" s="454"/>
      <c r="CC144" s="454"/>
      <c r="CD144" s="454"/>
      <c r="CE144" s="454"/>
      <c r="CF144" s="454"/>
      <c r="CG144" s="454"/>
      <c r="CH144" s="454"/>
      <c r="CI144" s="454"/>
      <c r="CJ144" s="454"/>
      <c r="CK144" s="454"/>
      <c r="CL144" s="454"/>
      <c r="CM144" s="454"/>
      <c r="CN144" s="454"/>
      <c r="CO144" s="454"/>
      <c r="CP144" s="454"/>
      <c r="CQ144" s="454"/>
      <c r="CR144" s="454"/>
      <c r="CS144" s="454"/>
      <c r="CT144" s="454"/>
      <c r="CU144" s="454"/>
      <c r="CV144" s="517"/>
      <c r="CW144" s="517">
        <f t="shared" si="17"/>
        <v>52.2</v>
      </c>
      <c r="CX144" s="517"/>
      <c r="CY144" s="517"/>
      <c r="CZ144" s="517"/>
      <c r="DA144" s="517">
        <f t="shared" si="18"/>
        <v>156.60000000000002</v>
      </c>
      <c r="DB144" s="517"/>
      <c r="DC144" s="517"/>
      <c r="DD144" s="517"/>
      <c r="DE144" s="517"/>
      <c r="DF144" s="517"/>
      <c r="DG144" s="517"/>
      <c r="DH144" s="517"/>
      <c r="DI144" s="454"/>
      <c r="DJ144" s="454"/>
      <c r="DK144" s="454"/>
      <c r="DL144" s="454">
        <v>1</v>
      </c>
      <c r="DM144" s="454">
        <v>4</v>
      </c>
      <c r="DN144" s="454">
        <v>1</v>
      </c>
      <c r="DO144" s="454">
        <v>4</v>
      </c>
      <c r="DP144" s="454">
        <v>4</v>
      </c>
      <c r="DQ144" s="454"/>
      <c r="DR144" s="454"/>
      <c r="DS144" s="454"/>
      <c r="DT144" s="454"/>
      <c r="DU144" s="454"/>
      <c r="DV144" s="454"/>
      <c r="DW144" s="454"/>
      <c r="DX144" s="454"/>
      <c r="DY144" s="454"/>
      <c r="DZ144" s="454">
        <v>2</v>
      </c>
      <c r="EA144" s="454"/>
      <c r="EB144" s="454"/>
      <c r="EC144" s="454"/>
      <c r="ED144" s="454"/>
      <c r="EE144" s="454"/>
      <c r="EF144" s="454"/>
      <c r="EG144" s="454"/>
      <c r="EH144" s="454"/>
      <c r="EI144" s="454"/>
      <c r="EJ144" s="454"/>
      <c r="EK144" s="454"/>
      <c r="EL144" s="454"/>
      <c r="EM144" s="454"/>
      <c r="EN144" s="454"/>
      <c r="EO144" s="454"/>
      <c r="EP144" s="454"/>
      <c r="EQ144" s="454"/>
      <c r="ER144" s="454"/>
      <c r="ES144" s="454"/>
      <c r="ET144" s="454"/>
      <c r="EU144" s="454"/>
      <c r="EV144" s="454"/>
      <c r="EW144" s="454"/>
      <c r="EX144" s="454"/>
      <c r="EY144" s="454"/>
      <c r="EZ144" s="454"/>
      <c r="FA144" s="454"/>
      <c r="FB144" s="454"/>
      <c r="FC144" s="454"/>
      <c r="FD144" s="454"/>
      <c r="FE144" s="454"/>
      <c r="FF144" s="454"/>
      <c r="FG144" s="290"/>
    </row>
    <row r="145" spans="1:163" s="4" customFormat="1">
      <c r="A145" s="56"/>
      <c r="B145" s="56"/>
      <c r="C145" s="498" t="s">
        <v>3635</v>
      </c>
      <c r="D145" s="498"/>
      <c r="E145" s="454">
        <v>32</v>
      </c>
      <c r="F145" s="454"/>
      <c r="G145" s="454"/>
      <c r="H145" s="454"/>
      <c r="I145" s="454"/>
      <c r="J145" s="454"/>
      <c r="K145" s="454"/>
      <c r="L145" s="454"/>
      <c r="M145" s="454"/>
      <c r="N145" s="454"/>
      <c r="O145" s="454"/>
      <c r="P145" s="454"/>
      <c r="Q145" s="454"/>
      <c r="R145" s="290"/>
      <c r="S145" s="290"/>
      <c r="T145" s="454" t="s">
        <v>1903</v>
      </c>
      <c r="U145" s="454" t="s">
        <v>1903</v>
      </c>
      <c r="V145" s="454"/>
      <c r="W145" s="454"/>
      <c r="X145" s="454"/>
      <c r="Y145" s="454"/>
      <c r="Z145" s="454"/>
      <c r="AA145" s="454"/>
      <c r="AB145" s="454"/>
      <c r="AC145" s="454"/>
      <c r="AD145" s="454"/>
      <c r="AE145" s="454"/>
      <c r="AF145" s="454"/>
      <c r="AG145" s="454"/>
      <c r="AH145" s="454"/>
      <c r="AI145" s="454"/>
      <c r="AJ145" s="454"/>
      <c r="AK145" s="454"/>
      <c r="AL145" s="454"/>
      <c r="AM145" s="454"/>
      <c r="AN145" s="454"/>
      <c r="AO145" s="454"/>
      <c r="AP145" s="454"/>
      <c r="AQ145" s="454"/>
      <c r="AR145" s="454"/>
      <c r="AS145" s="454"/>
      <c r="AT145" s="454"/>
      <c r="AU145" s="454"/>
      <c r="AV145" s="454"/>
      <c r="AW145" s="454"/>
      <c r="AX145" s="454"/>
      <c r="AY145" s="454"/>
      <c r="AZ145" s="454"/>
      <c r="BA145" s="454"/>
      <c r="BB145" s="454"/>
      <c r="BC145" s="454"/>
      <c r="BD145" s="454"/>
      <c r="BE145" s="454"/>
      <c r="BF145" s="454"/>
      <c r="BG145" s="454"/>
      <c r="BH145" s="454"/>
      <c r="BI145" s="454"/>
      <c r="BJ145" s="454"/>
      <c r="BK145" s="454"/>
      <c r="BL145" s="454"/>
      <c r="BM145" s="454"/>
      <c r="BN145" s="454"/>
      <c r="BO145" s="454"/>
      <c r="BP145" s="454"/>
      <c r="BQ145" s="454"/>
      <c r="BR145" s="454"/>
      <c r="BS145" s="454"/>
      <c r="BT145" s="454"/>
      <c r="BU145" s="454"/>
      <c r="BV145" s="454"/>
      <c r="BW145" s="454"/>
      <c r="BX145" s="454"/>
      <c r="BY145" s="454"/>
      <c r="BZ145" s="454"/>
      <c r="CA145" s="454"/>
      <c r="CB145" s="454"/>
      <c r="CC145" s="454"/>
      <c r="CD145" s="454"/>
      <c r="CE145" s="454"/>
      <c r="CF145" s="454"/>
      <c r="CG145" s="454"/>
      <c r="CH145" s="454"/>
      <c r="CI145" s="454"/>
      <c r="CJ145" s="454"/>
      <c r="CK145" s="454"/>
      <c r="CL145" s="454"/>
      <c r="CM145" s="454"/>
      <c r="CN145" s="454"/>
      <c r="CO145" s="454"/>
      <c r="CP145" s="454"/>
      <c r="CQ145" s="454"/>
      <c r="CR145" s="454"/>
      <c r="CS145" s="454"/>
      <c r="CT145" s="454"/>
      <c r="CU145" s="454"/>
      <c r="CV145" s="517"/>
      <c r="CW145" s="517">
        <f t="shared" si="17"/>
        <v>32</v>
      </c>
      <c r="CX145" s="517"/>
      <c r="CY145" s="517"/>
      <c r="CZ145" s="517"/>
      <c r="DA145" s="517">
        <f t="shared" si="18"/>
        <v>96</v>
      </c>
      <c r="DB145" s="517"/>
      <c r="DC145" s="517"/>
      <c r="DD145" s="517"/>
      <c r="DE145" s="517"/>
      <c r="DF145" s="517"/>
      <c r="DG145" s="517"/>
      <c r="DH145" s="517"/>
      <c r="DI145" s="454"/>
      <c r="DJ145" s="454"/>
      <c r="DK145" s="454"/>
      <c r="DL145" s="454">
        <v>1</v>
      </c>
      <c r="DM145" s="454">
        <v>4</v>
      </c>
      <c r="DN145" s="454">
        <v>1</v>
      </c>
      <c r="DO145" s="454">
        <v>4</v>
      </c>
      <c r="DP145" s="454">
        <v>4</v>
      </c>
      <c r="DQ145" s="454"/>
      <c r="DR145" s="454"/>
      <c r="DS145" s="454"/>
      <c r="DT145" s="454"/>
      <c r="DU145" s="454"/>
      <c r="DV145" s="454"/>
      <c r="DW145" s="454"/>
      <c r="DX145" s="454"/>
      <c r="DY145" s="454"/>
      <c r="DZ145" s="454">
        <v>2</v>
      </c>
      <c r="EA145" s="454"/>
      <c r="EB145" s="454"/>
      <c r="EC145" s="454"/>
      <c r="ED145" s="454"/>
      <c r="EE145" s="454"/>
      <c r="EF145" s="454"/>
      <c r="EG145" s="454"/>
      <c r="EH145" s="454"/>
      <c r="EI145" s="454"/>
      <c r="EJ145" s="454"/>
      <c r="EK145" s="454"/>
      <c r="EL145" s="454"/>
      <c r="EM145" s="454"/>
      <c r="EN145" s="454"/>
      <c r="EO145" s="454"/>
      <c r="EP145" s="454"/>
      <c r="EQ145" s="454"/>
      <c r="ER145" s="454"/>
      <c r="ES145" s="454"/>
      <c r="ET145" s="454"/>
      <c r="EU145" s="454"/>
      <c r="EV145" s="454"/>
      <c r="EW145" s="454"/>
      <c r="EX145" s="454"/>
      <c r="EY145" s="454"/>
      <c r="EZ145" s="454"/>
      <c r="FA145" s="454"/>
      <c r="FB145" s="454"/>
      <c r="FC145" s="454"/>
      <c r="FD145" s="454"/>
      <c r="FE145" s="454"/>
      <c r="FF145" s="454"/>
      <c r="FG145" s="290"/>
    </row>
    <row r="146" spans="1:163" s="4" customFormat="1">
      <c r="A146" s="56"/>
      <c r="B146" s="56"/>
      <c r="C146" s="498" t="s">
        <v>3636</v>
      </c>
      <c r="D146" s="498"/>
      <c r="E146" s="454">
        <v>36.200000000000003</v>
      </c>
      <c r="F146" s="454"/>
      <c r="G146" s="454"/>
      <c r="H146" s="454"/>
      <c r="I146" s="454"/>
      <c r="J146" s="454"/>
      <c r="K146" s="454"/>
      <c r="L146" s="454"/>
      <c r="M146" s="454"/>
      <c r="N146" s="454"/>
      <c r="O146" s="454"/>
      <c r="P146" s="454"/>
      <c r="Q146" s="454"/>
      <c r="R146" s="290"/>
      <c r="S146" s="290"/>
      <c r="T146" s="454" t="s">
        <v>1903</v>
      </c>
      <c r="U146" s="454" t="s">
        <v>1903</v>
      </c>
      <c r="V146" s="454"/>
      <c r="W146" s="454"/>
      <c r="X146" s="454"/>
      <c r="Y146" s="454"/>
      <c r="Z146" s="454"/>
      <c r="AA146" s="454"/>
      <c r="AB146" s="454"/>
      <c r="AC146" s="454"/>
      <c r="AD146" s="454"/>
      <c r="AE146" s="454"/>
      <c r="AF146" s="454"/>
      <c r="AG146" s="454"/>
      <c r="AH146" s="454"/>
      <c r="AI146" s="454"/>
      <c r="AJ146" s="454"/>
      <c r="AK146" s="454"/>
      <c r="AL146" s="454"/>
      <c r="AM146" s="454"/>
      <c r="AN146" s="454"/>
      <c r="AO146" s="454"/>
      <c r="AP146" s="454"/>
      <c r="AQ146" s="454"/>
      <c r="AR146" s="454"/>
      <c r="AS146" s="454"/>
      <c r="AT146" s="454"/>
      <c r="AU146" s="454"/>
      <c r="AV146" s="454"/>
      <c r="AW146" s="454"/>
      <c r="AX146" s="454"/>
      <c r="AY146" s="454"/>
      <c r="AZ146" s="454"/>
      <c r="BA146" s="454"/>
      <c r="BB146" s="454"/>
      <c r="BC146" s="454"/>
      <c r="BD146" s="454"/>
      <c r="BE146" s="454"/>
      <c r="BF146" s="454"/>
      <c r="BG146" s="454"/>
      <c r="BH146" s="454"/>
      <c r="BI146" s="454"/>
      <c r="BJ146" s="454"/>
      <c r="BK146" s="454"/>
      <c r="BL146" s="454"/>
      <c r="BM146" s="454"/>
      <c r="BN146" s="454"/>
      <c r="BO146" s="454"/>
      <c r="BP146" s="454"/>
      <c r="BQ146" s="454"/>
      <c r="BR146" s="454"/>
      <c r="BS146" s="454"/>
      <c r="BT146" s="454"/>
      <c r="BU146" s="454"/>
      <c r="BV146" s="454"/>
      <c r="BW146" s="454"/>
      <c r="BX146" s="454"/>
      <c r="BY146" s="454"/>
      <c r="BZ146" s="454"/>
      <c r="CA146" s="454"/>
      <c r="CB146" s="454"/>
      <c r="CC146" s="454"/>
      <c r="CD146" s="454"/>
      <c r="CE146" s="454"/>
      <c r="CF146" s="454"/>
      <c r="CG146" s="454"/>
      <c r="CH146" s="454"/>
      <c r="CI146" s="454"/>
      <c r="CJ146" s="454"/>
      <c r="CK146" s="454"/>
      <c r="CL146" s="454"/>
      <c r="CM146" s="454"/>
      <c r="CN146" s="454"/>
      <c r="CO146" s="454"/>
      <c r="CP146" s="454"/>
      <c r="CQ146" s="454"/>
      <c r="CR146" s="454"/>
      <c r="CS146" s="454"/>
      <c r="CT146" s="454"/>
      <c r="CU146" s="454"/>
      <c r="CV146" s="517"/>
      <c r="CW146" s="517">
        <f t="shared" si="17"/>
        <v>36.200000000000003</v>
      </c>
      <c r="CX146" s="517"/>
      <c r="CY146" s="517"/>
      <c r="CZ146" s="517"/>
      <c r="DA146" s="517">
        <f t="shared" si="18"/>
        <v>108.60000000000001</v>
      </c>
      <c r="DB146" s="517"/>
      <c r="DC146" s="517"/>
      <c r="DD146" s="517"/>
      <c r="DE146" s="517"/>
      <c r="DF146" s="517"/>
      <c r="DG146" s="517"/>
      <c r="DH146" s="517"/>
      <c r="DI146" s="454"/>
      <c r="DJ146" s="454"/>
      <c r="DK146" s="454"/>
      <c r="DL146" s="454">
        <v>1</v>
      </c>
      <c r="DM146" s="454">
        <v>4</v>
      </c>
      <c r="DN146" s="454">
        <v>1</v>
      </c>
      <c r="DO146" s="454">
        <v>4</v>
      </c>
      <c r="DP146" s="454">
        <v>3</v>
      </c>
      <c r="DQ146" s="454"/>
      <c r="DR146" s="454"/>
      <c r="DS146" s="454"/>
      <c r="DT146" s="454"/>
      <c r="DU146" s="454"/>
      <c r="DV146" s="454"/>
      <c r="DW146" s="454"/>
      <c r="DX146" s="454"/>
      <c r="DY146" s="454"/>
      <c r="DZ146" s="454">
        <v>2</v>
      </c>
      <c r="EA146" s="454"/>
      <c r="EB146" s="454"/>
      <c r="EC146" s="454"/>
      <c r="ED146" s="454"/>
      <c r="EE146" s="454"/>
      <c r="EF146" s="454"/>
      <c r="EG146" s="454"/>
      <c r="EH146" s="454"/>
      <c r="EI146" s="454"/>
      <c r="EJ146" s="454"/>
      <c r="EK146" s="454"/>
      <c r="EL146" s="454"/>
      <c r="EM146" s="454"/>
      <c r="EN146" s="454"/>
      <c r="EO146" s="454"/>
      <c r="EP146" s="454"/>
      <c r="EQ146" s="454"/>
      <c r="ER146" s="454"/>
      <c r="ES146" s="454"/>
      <c r="ET146" s="454"/>
      <c r="EU146" s="454"/>
      <c r="EV146" s="454"/>
      <c r="EW146" s="454"/>
      <c r="EX146" s="454"/>
      <c r="EY146" s="454"/>
      <c r="EZ146" s="454"/>
      <c r="FA146" s="454"/>
      <c r="FB146" s="454"/>
      <c r="FC146" s="454"/>
      <c r="FD146" s="454"/>
      <c r="FE146" s="454"/>
      <c r="FF146" s="454"/>
      <c r="FG146" s="290"/>
    </row>
    <row r="147" spans="1:163" s="4" customFormat="1">
      <c r="A147" s="56"/>
      <c r="B147" s="56"/>
      <c r="C147" s="498" t="s">
        <v>3637</v>
      </c>
      <c r="D147" s="498"/>
      <c r="E147" s="454">
        <v>59.1</v>
      </c>
      <c r="F147" s="454"/>
      <c r="G147" s="454"/>
      <c r="H147" s="454"/>
      <c r="I147" s="454"/>
      <c r="J147" s="454"/>
      <c r="K147" s="454"/>
      <c r="L147" s="454"/>
      <c r="M147" s="454"/>
      <c r="N147" s="454"/>
      <c r="O147" s="454"/>
      <c r="P147" s="454"/>
      <c r="Q147" s="454"/>
      <c r="R147" s="290"/>
      <c r="S147" s="290"/>
      <c r="T147" s="454" t="s">
        <v>2990</v>
      </c>
      <c r="U147" s="454" t="s">
        <v>2990</v>
      </c>
      <c r="V147" s="454"/>
      <c r="W147" s="454"/>
      <c r="X147" s="454"/>
      <c r="Y147" s="454"/>
      <c r="Z147" s="454"/>
      <c r="AA147" s="454"/>
      <c r="AB147" s="454"/>
      <c r="AC147" s="454"/>
      <c r="AD147" s="454"/>
      <c r="AE147" s="454"/>
      <c r="AF147" s="454"/>
      <c r="AG147" s="454"/>
      <c r="AH147" s="454"/>
      <c r="AI147" s="454"/>
      <c r="AJ147" s="454"/>
      <c r="AK147" s="454"/>
      <c r="AL147" s="454"/>
      <c r="AM147" s="454"/>
      <c r="AN147" s="454"/>
      <c r="AO147" s="454"/>
      <c r="AP147" s="454"/>
      <c r="AQ147" s="454"/>
      <c r="AR147" s="454"/>
      <c r="AS147" s="454"/>
      <c r="AT147" s="454"/>
      <c r="AU147" s="454"/>
      <c r="AV147" s="454"/>
      <c r="AW147" s="454"/>
      <c r="AX147" s="454"/>
      <c r="AY147" s="454"/>
      <c r="AZ147" s="454"/>
      <c r="BA147" s="454"/>
      <c r="BB147" s="454"/>
      <c r="BC147" s="454"/>
      <c r="BD147" s="454"/>
      <c r="BE147" s="454"/>
      <c r="BF147" s="454"/>
      <c r="BG147" s="454"/>
      <c r="BH147" s="454"/>
      <c r="BI147" s="454"/>
      <c r="BJ147" s="454"/>
      <c r="BK147" s="454"/>
      <c r="BL147" s="454"/>
      <c r="BM147" s="454"/>
      <c r="BN147" s="454"/>
      <c r="BO147" s="454"/>
      <c r="BP147" s="454"/>
      <c r="BQ147" s="454"/>
      <c r="BR147" s="454"/>
      <c r="BS147" s="454"/>
      <c r="BT147" s="454"/>
      <c r="BU147" s="454"/>
      <c r="BV147" s="454"/>
      <c r="BW147" s="454"/>
      <c r="BX147" s="454"/>
      <c r="BY147" s="454"/>
      <c r="BZ147" s="454"/>
      <c r="CA147" s="454"/>
      <c r="CB147" s="454"/>
      <c r="CC147" s="454"/>
      <c r="CD147" s="454"/>
      <c r="CE147" s="454"/>
      <c r="CF147" s="454"/>
      <c r="CG147" s="454"/>
      <c r="CH147" s="454"/>
      <c r="CI147" s="454"/>
      <c r="CJ147" s="454"/>
      <c r="CK147" s="454"/>
      <c r="CL147" s="454"/>
      <c r="CM147" s="454"/>
      <c r="CN147" s="454"/>
      <c r="CO147" s="454"/>
      <c r="CP147" s="454"/>
      <c r="CQ147" s="454"/>
      <c r="CR147" s="454"/>
      <c r="CS147" s="454"/>
      <c r="CT147" s="454"/>
      <c r="CU147" s="454"/>
      <c r="CV147" s="517"/>
      <c r="CW147" s="517">
        <f t="shared" si="17"/>
        <v>59.1</v>
      </c>
      <c r="CX147" s="517"/>
      <c r="CY147" s="517"/>
      <c r="CZ147" s="517"/>
      <c r="DA147" s="517">
        <f t="shared" si="18"/>
        <v>177.3</v>
      </c>
      <c r="DB147" s="517"/>
      <c r="DC147" s="517"/>
      <c r="DD147" s="517"/>
      <c r="DE147" s="517"/>
      <c r="DF147" s="517"/>
      <c r="DG147" s="517"/>
      <c r="DH147" s="517"/>
      <c r="DI147" s="454"/>
      <c r="DJ147" s="454"/>
      <c r="DK147" s="454"/>
      <c r="DL147" s="454">
        <v>1</v>
      </c>
      <c r="DM147" s="454">
        <v>4</v>
      </c>
      <c r="DN147" s="454">
        <v>2</v>
      </c>
      <c r="DO147" s="454">
        <v>8</v>
      </c>
      <c r="DP147" s="454">
        <v>8</v>
      </c>
      <c r="DQ147" s="454"/>
      <c r="DR147" s="454"/>
      <c r="DS147" s="454"/>
      <c r="DT147" s="454"/>
      <c r="DU147" s="454">
        <v>8</v>
      </c>
      <c r="DV147" s="454"/>
      <c r="DW147" s="454"/>
      <c r="DX147" s="454"/>
      <c r="DY147" s="454"/>
      <c r="DZ147" s="454">
        <v>3</v>
      </c>
      <c r="EA147" s="454"/>
      <c r="EB147" s="454"/>
      <c r="EC147" s="454"/>
      <c r="ED147" s="454"/>
      <c r="EE147" s="454"/>
      <c r="EF147" s="454"/>
      <c r="EG147" s="454"/>
      <c r="EH147" s="454"/>
      <c r="EI147" s="454"/>
      <c r="EJ147" s="454"/>
      <c r="EK147" s="454"/>
      <c r="EL147" s="454"/>
      <c r="EM147" s="454"/>
      <c r="EN147" s="454"/>
      <c r="EO147" s="454"/>
      <c r="EP147" s="454"/>
      <c r="EQ147" s="454"/>
      <c r="ER147" s="454"/>
      <c r="ES147" s="454"/>
      <c r="ET147" s="454"/>
      <c r="EU147" s="454"/>
      <c r="EV147" s="454"/>
      <c r="EW147" s="454"/>
      <c r="EX147" s="454"/>
      <c r="EY147" s="454"/>
      <c r="EZ147" s="454"/>
      <c r="FA147" s="454"/>
      <c r="FB147" s="454"/>
      <c r="FC147" s="454"/>
      <c r="FD147" s="454"/>
      <c r="FE147" s="454"/>
      <c r="FF147" s="454"/>
      <c r="FG147" s="290"/>
    </row>
    <row r="148" spans="1:163" s="4" customFormat="1">
      <c r="A148" s="56"/>
      <c r="B148" s="56"/>
      <c r="C148" s="498"/>
      <c r="D148" s="506" t="s">
        <v>3693</v>
      </c>
      <c r="E148" s="454"/>
      <c r="F148" s="454"/>
      <c r="G148" s="454"/>
      <c r="H148" s="454"/>
      <c r="I148" s="454"/>
      <c r="J148" s="454"/>
      <c r="K148" s="454"/>
      <c r="L148" s="454"/>
      <c r="M148" s="454"/>
      <c r="N148" s="454"/>
      <c r="O148" s="454"/>
      <c r="P148" s="454"/>
      <c r="Q148" s="454"/>
      <c r="R148" s="290"/>
      <c r="S148" s="290"/>
      <c r="T148" s="454"/>
      <c r="U148" s="454"/>
      <c r="V148" s="454"/>
      <c r="W148" s="454"/>
      <c r="X148" s="454"/>
      <c r="Y148" s="454"/>
      <c r="Z148" s="454"/>
      <c r="AA148" s="454"/>
      <c r="AB148" s="454"/>
      <c r="AC148" s="454"/>
      <c r="AD148" s="454"/>
      <c r="AE148" s="454"/>
      <c r="AF148" s="454"/>
      <c r="AG148" s="454"/>
      <c r="AH148" s="454"/>
      <c r="AI148" s="454"/>
      <c r="AJ148" s="454"/>
      <c r="AK148" s="454"/>
      <c r="AL148" s="454"/>
      <c r="AM148" s="454"/>
      <c r="AN148" s="454"/>
      <c r="AO148" s="454"/>
      <c r="AP148" s="454"/>
      <c r="AQ148" s="454"/>
      <c r="AR148" s="454"/>
      <c r="AS148" s="454"/>
      <c r="AT148" s="454"/>
      <c r="AU148" s="454"/>
      <c r="AV148" s="454"/>
      <c r="AW148" s="454"/>
      <c r="AX148" s="454"/>
      <c r="AY148" s="454"/>
      <c r="AZ148" s="454"/>
      <c r="BA148" s="454"/>
      <c r="BB148" s="454"/>
      <c r="BC148" s="454"/>
      <c r="BD148" s="454"/>
      <c r="BE148" s="454"/>
      <c r="BF148" s="454"/>
      <c r="BG148" s="454"/>
      <c r="BH148" s="454"/>
      <c r="BI148" s="454"/>
      <c r="BJ148" s="454"/>
      <c r="BK148" s="454"/>
      <c r="BL148" s="454"/>
      <c r="BM148" s="454"/>
      <c r="BN148" s="454"/>
      <c r="BO148" s="454"/>
      <c r="BP148" s="454"/>
      <c r="BQ148" s="454"/>
      <c r="BR148" s="454"/>
      <c r="BS148" s="454"/>
      <c r="BT148" s="454"/>
      <c r="BU148" s="454"/>
      <c r="BV148" s="454"/>
      <c r="BW148" s="454"/>
      <c r="BX148" s="454"/>
      <c r="BY148" s="454"/>
      <c r="BZ148" s="454"/>
      <c r="CA148" s="454"/>
      <c r="CB148" s="454"/>
      <c r="CC148" s="454"/>
      <c r="CD148" s="454"/>
      <c r="CE148" s="454"/>
      <c r="CF148" s="454"/>
      <c r="CG148" s="454"/>
      <c r="CH148" s="454"/>
      <c r="CI148" s="454"/>
      <c r="CJ148" s="454"/>
      <c r="CK148" s="454"/>
      <c r="CL148" s="454"/>
      <c r="CM148" s="454"/>
      <c r="CN148" s="454"/>
      <c r="CO148" s="454"/>
      <c r="CP148" s="454"/>
      <c r="CQ148" s="454"/>
      <c r="CR148" s="454"/>
      <c r="CS148" s="454"/>
      <c r="CT148" s="454"/>
      <c r="CU148" s="454"/>
      <c r="CV148" s="517"/>
      <c r="CW148" s="517">
        <f t="shared" si="17"/>
        <v>0</v>
      </c>
      <c r="CX148" s="517"/>
      <c r="CY148" s="517"/>
      <c r="CZ148" s="517"/>
      <c r="DA148" s="517">
        <f t="shared" si="18"/>
        <v>0</v>
      </c>
      <c r="DB148" s="517"/>
      <c r="DC148" s="517"/>
      <c r="DD148" s="517"/>
      <c r="DE148" s="517"/>
      <c r="DF148" s="517"/>
      <c r="DG148" s="517"/>
      <c r="DH148" s="517"/>
      <c r="DI148" s="454"/>
      <c r="DJ148" s="454"/>
      <c r="DK148" s="454"/>
      <c r="DL148" s="454"/>
      <c r="DM148" s="454"/>
      <c r="DN148" s="454"/>
      <c r="DO148" s="454"/>
      <c r="DP148" s="454"/>
      <c r="DQ148" s="454"/>
      <c r="DR148" s="454"/>
      <c r="DS148" s="454"/>
      <c r="DT148" s="454"/>
      <c r="DU148" s="454"/>
      <c r="DV148" s="454"/>
      <c r="DW148" s="454"/>
      <c r="DX148" s="454"/>
      <c r="DY148" s="454"/>
      <c r="DZ148" s="454"/>
      <c r="EA148" s="454"/>
      <c r="EB148" s="454"/>
      <c r="EC148" s="454"/>
      <c r="ED148" s="454"/>
      <c r="EE148" s="454"/>
      <c r="EF148" s="454"/>
      <c r="EG148" s="454"/>
      <c r="EH148" s="454"/>
      <c r="EI148" s="454"/>
      <c r="EJ148" s="454"/>
      <c r="EK148" s="454"/>
      <c r="EL148" s="454"/>
      <c r="EM148" s="454"/>
      <c r="EN148" s="454"/>
      <c r="EO148" s="454"/>
      <c r="EP148" s="454"/>
      <c r="EQ148" s="454"/>
      <c r="ER148" s="454"/>
      <c r="ES148" s="454"/>
      <c r="ET148" s="454"/>
      <c r="EU148" s="454"/>
      <c r="EV148" s="454"/>
      <c r="EW148" s="454"/>
      <c r="EX148" s="454"/>
      <c r="EY148" s="454"/>
      <c r="EZ148" s="454"/>
      <c r="FA148" s="454"/>
      <c r="FB148" s="454"/>
      <c r="FC148" s="454"/>
      <c r="FD148" s="454"/>
      <c r="FE148" s="454"/>
      <c r="FF148" s="454"/>
      <c r="FG148" s="290"/>
    </row>
    <row r="149" spans="1:163" s="4" customFormat="1">
      <c r="A149" s="56"/>
      <c r="B149" s="56"/>
      <c r="C149" s="498" t="s">
        <v>3638</v>
      </c>
      <c r="D149" s="498"/>
      <c r="E149" s="454">
        <v>35.799999999999997</v>
      </c>
      <c r="F149" s="454"/>
      <c r="G149" s="454"/>
      <c r="H149" s="454"/>
      <c r="I149" s="454"/>
      <c r="J149" s="454"/>
      <c r="K149" s="454"/>
      <c r="L149" s="454"/>
      <c r="M149" s="454"/>
      <c r="N149" s="454"/>
      <c r="O149" s="454"/>
      <c r="P149" s="454"/>
      <c r="Q149" s="454"/>
      <c r="R149" s="290"/>
      <c r="S149" s="290"/>
      <c r="T149" s="454" t="s">
        <v>1631</v>
      </c>
      <c r="U149" s="454" t="s">
        <v>1631</v>
      </c>
      <c r="V149" s="454"/>
      <c r="W149" s="454"/>
      <c r="X149" s="454"/>
      <c r="Y149" s="454"/>
      <c r="Z149" s="454"/>
      <c r="AA149" s="454"/>
      <c r="AB149" s="454"/>
      <c r="AC149" s="454"/>
      <c r="AD149" s="454"/>
      <c r="AE149" s="454"/>
      <c r="AF149" s="454"/>
      <c r="AG149" s="454"/>
      <c r="AH149" s="454"/>
      <c r="AI149" s="454"/>
      <c r="AJ149" s="454"/>
      <c r="AK149" s="454"/>
      <c r="AL149" s="454"/>
      <c r="AM149" s="454"/>
      <c r="AN149" s="454"/>
      <c r="AO149" s="454"/>
      <c r="AP149" s="454"/>
      <c r="AQ149" s="454"/>
      <c r="AR149" s="454"/>
      <c r="AS149" s="454"/>
      <c r="AT149" s="454"/>
      <c r="AU149" s="454"/>
      <c r="AV149" s="454"/>
      <c r="AW149" s="454"/>
      <c r="AX149" s="454"/>
      <c r="AY149" s="454"/>
      <c r="AZ149" s="454"/>
      <c r="BA149" s="454"/>
      <c r="BB149" s="454"/>
      <c r="BC149" s="454"/>
      <c r="BD149" s="454"/>
      <c r="BE149" s="454"/>
      <c r="BF149" s="454"/>
      <c r="BG149" s="454"/>
      <c r="BH149" s="454"/>
      <c r="BI149" s="454"/>
      <c r="BJ149" s="454"/>
      <c r="BK149" s="454"/>
      <c r="BL149" s="454"/>
      <c r="BM149" s="454"/>
      <c r="BN149" s="454"/>
      <c r="BO149" s="454"/>
      <c r="BP149" s="454"/>
      <c r="BQ149" s="454"/>
      <c r="BR149" s="454"/>
      <c r="BS149" s="454"/>
      <c r="BT149" s="454"/>
      <c r="BU149" s="454"/>
      <c r="BV149" s="454"/>
      <c r="BW149" s="454"/>
      <c r="BX149" s="454"/>
      <c r="BY149" s="454"/>
      <c r="BZ149" s="454"/>
      <c r="CA149" s="454"/>
      <c r="CB149" s="454"/>
      <c r="CC149" s="454"/>
      <c r="CD149" s="454"/>
      <c r="CE149" s="454"/>
      <c r="CF149" s="454"/>
      <c r="CG149" s="454"/>
      <c r="CH149" s="454"/>
      <c r="CI149" s="454"/>
      <c r="CJ149" s="454"/>
      <c r="CK149" s="454"/>
      <c r="CL149" s="454"/>
      <c r="CM149" s="454"/>
      <c r="CN149" s="454"/>
      <c r="CO149" s="454"/>
      <c r="CP149" s="454"/>
      <c r="CQ149" s="454"/>
      <c r="CR149" s="454"/>
      <c r="CS149" s="454"/>
      <c r="CT149" s="454"/>
      <c r="CU149" s="454"/>
      <c r="CV149" s="517"/>
      <c r="CW149" s="517">
        <f t="shared" si="17"/>
        <v>35.799999999999997</v>
      </c>
      <c r="CX149" s="517"/>
      <c r="CY149" s="517"/>
      <c r="CZ149" s="517"/>
      <c r="DA149" s="517">
        <f t="shared" si="18"/>
        <v>107.39999999999999</v>
      </c>
      <c r="DB149" s="517"/>
      <c r="DC149" s="517"/>
      <c r="DD149" s="517"/>
      <c r="DE149" s="517"/>
      <c r="DF149" s="517"/>
      <c r="DG149" s="517"/>
      <c r="DH149" s="517"/>
      <c r="DI149" s="454"/>
      <c r="DJ149" s="454"/>
      <c r="DK149" s="454"/>
      <c r="DL149" s="454">
        <v>1</v>
      </c>
      <c r="DM149" s="454">
        <v>4</v>
      </c>
      <c r="DN149" s="454">
        <v>1</v>
      </c>
      <c r="DO149" s="454">
        <v>3</v>
      </c>
      <c r="DP149" s="454">
        <v>2</v>
      </c>
      <c r="DQ149" s="454"/>
      <c r="DR149" s="454"/>
      <c r="DS149" s="454">
        <v>2</v>
      </c>
      <c r="DT149" s="454"/>
      <c r="DU149" s="454"/>
      <c r="DV149" s="454"/>
      <c r="DW149" s="454"/>
      <c r="DX149" s="454"/>
      <c r="DY149" s="454"/>
      <c r="DZ149" s="454">
        <v>3</v>
      </c>
      <c r="EA149" s="454"/>
      <c r="EB149" s="454"/>
      <c r="EC149" s="454"/>
      <c r="ED149" s="454"/>
      <c r="EE149" s="454"/>
      <c r="EF149" s="454"/>
      <c r="EG149" s="454"/>
      <c r="EH149" s="454"/>
      <c r="EI149" s="454"/>
      <c r="EJ149" s="454"/>
      <c r="EK149" s="454"/>
      <c r="EL149" s="454"/>
      <c r="EM149" s="454"/>
      <c r="EN149" s="454"/>
      <c r="EO149" s="454"/>
      <c r="EP149" s="454"/>
      <c r="EQ149" s="454"/>
      <c r="ER149" s="454"/>
      <c r="ES149" s="454"/>
      <c r="ET149" s="454"/>
      <c r="EU149" s="454"/>
      <c r="EV149" s="454"/>
      <c r="EW149" s="454"/>
      <c r="EX149" s="454"/>
      <c r="EY149" s="454"/>
      <c r="EZ149" s="454"/>
      <c r="FA149" s="454"/>
      <c r="FB149" s="454"/>
      <c r="FC149" s="454"/>
      <c r="FD149" s="454"/>
      <c r="FE149" s="454"/>
      <c r="FF149" s="454"/>
      <c r="FG149" s="290"/>
    </row>
    <row r="150" spans="1:163" s="4" customFormat="1">
      <c r="A150" s="56"/>
      <c r="B150" s="56"/>
      <c r="C150" s="498" t="s">
        <v>3639</v>
      </c>
      <c r="D150" s="498"/>
      <c r="E150" s="454">
        <v>34.299999999999997</v>
      </c>
      <c r="F150" s="454"/>
      <c r="G150" s="454"/>
      <c r="H150" s="454"/>
      <c r="I150" s="454"/>
      <c r="J150" s="454"/>
      <c r="K150" s="454"/>
      <c r="L150" s="454"/>
      <c r="M150" s="454"/>
      <c r="N150" s="454"/>
      <c r="O150" s="454"/>
      <c r="P150" s="454"/>
      <c r="Q150" s="454"/>
      <c r="R150" s="290"/>
      <c r="S150" s="290"/>
      <c r="T150" s="454" t="s">
        <v>3005</v>
      </c>
      <c r="U150" s="454" t="s">
        <v>3005</v>
      </c>
      <c r="V150" s="454"/>
      <c r="W150" s="454"/>
      <c r="X150" s="454"/>
      <c r="Y150" s="454"/>
      <c r="Z150" s="454"/>
      <c r="AA150" s="454"/>
      <c r="AB150" s="454"/>
      <c r="AC150" s="454"/>
      <c r="AD150" s="454"/>
      <c r="AE150" s="454"/>
      <c r="AF150" s="454"/>
      <c r="AG150" s="454"/>
      <c r="AH150" s="454"/>
      <c r="AI150" s="454"/>
      <c r="AJ150" s="454"/>
      <c r="AK150" s="454"/>
      <c r="AL150" s="454"/>
      <c r="AM150" s="454"/>
      <c r="AN150" s="454"/>
      <c r="AO150" s="454"/>
      <c r="AP150" s="454"/>
      <c r="AQ150" s="454"/>
      <c r="AR150" s="454"/>
      <c r="AS150" s="454"/>
      <c r="AT150" s="454"/>
      <c r="AU150" s="454"/>
      <c r="AV150" s="454"/>
      <c r="AW150" s="454"/>
      <c r="AX150" s="454"/>
      <c r="AY150" s="454"/>
      <c r="AZ150" s="454"/>
      <c r="BA150" s="454"/>
      <c r="BB150" s="454"/>
      <c r="BC150" s="454"/>
      <c r="BD150" s="454"/>
      <c r="BE150" s="454"/>
      <c r="BF150" s="454"/>
      <c r="BG150" s="454"/>
      <c r="BH150" s="454"/>
      <c r="BI150" s="454"/>
      <c r="BJ150" s="454"/>
      <c r="BK150" s="454"/>
      <c r="BL150" s="454"/>
      <c r="BM150" s="454"/>
      <c r="BN150" s="454"/>
      <c r="BO150" s="454"/>
      <c r="BP150" s="454"/>
      <c r="BQ150" s="454"/>
      <c r="BR150" s="454"/>
      <c r="BS150" s="454"/>
      <c r="BT150" s="454"/>
      <c r="BU150" s="454"/>
      <c r="BV150" s="454"/>
      <c r="BW150" s="454"/>
      <c r="BX150" s="454"/>
      <c r="BY150" s="454"/>
      <c r="BZ150" s="454"/>
      <c r="CA150" s="454"/>
      <c r="CB150" s="454"/>
      <c r="CC150" s="454"/>
      <c r="CD150" s="454"/>
      <c r="CE150" s="454"/>
      <c r="CF150" s="454"/>
      <c r="CG150" s="454"/>
      <c r="CH150" s="454"/>
      <c r="CI150" s="454"/>
      <c r="CJ150" s="454"/>
      <c r="CK150" s="454"/>
      <c r="CL150" s="454"/>
      <c r="CM150" s="454"/>
      <c r="CN150" s="454"/>
      <c r="CO150" s="454"/>
      <c r="CP150" s="454"/>
      <c r="CQ150" s="454">
        <v>1</v>
      </c>
      <c r="CR150" s="454"/>
      <c r="CS150" s="454"/>
      <c r="CT150" s="454"/>
      <c r="CU150" s="454">
        <v>1</v>
      </c>
      <c r="CV150" s="517"/>
      <c r="CW150" s="517">
        <f t="shared" si="17"/>
        <v>34.299999999999997</v>
      </c>
      <c r="CX150" s="517"/>
      <c r="CY150" s="517"/>
      <c r="CZ150" s="517"/>
      <c r="DA150" s="517">
        <f t="shared" si="18"/>
        <v>102.89999999999999</v>
      </c>
      <c r="DB150" s="517"/>
      <c r="DC150" s="517"/>
      <c r="DD150" s="517"/>
      <c r="DE150" s="517"/>
      <c r="DF150" s="517"/>
      <c r="DG150" s="517"/>
      <c r="DH150" s="517"/>
      <c r="DI150" s="454"/>
      <c r="DJ150" s="454"/>
      <c r="DK150" s="454"/>
      <c r="DL150" s="454">
        <v>1</v>
      </c>
      <c r="DM150" s="454">
        <v>4</v>
      </c>
      <c r="DN150" s="454">
        <v>1</v>
      </c>
      <c r="DO150" s="454">
        <v>3</v>
      </c>
      <c r="DP150" s="454">
        <v>2</v>
      </c>
      <c r="DQ150" s="454"/>
      <c r="DR150" s="454"/>
      <c r="DS150" s="454">
        <v>2</v>
      </c>
      <c r="DT150" s="454"/>
      <c r="DU150" s="454"/>
      <c r="DV150" s="454"/>
      <c r="DW150" s="454"/>
      <c r="DX150" s="454"/>
      <c r="DY150" s="454"/>
      <c r="DZ150" s="454"/>
      <c r="EA150" s="454"/>
      <c r="EB150" s="454"/>
      <c r="EC150" s="454"/>
      <c r="ED150" s="454"/>
      <c r="EE150" s="454"/>
      <c r="EF150" s="454"/>
      <c r="EG150" s="454"/>
      <c r="EH150" s="454"/>
      <c r="EI150" s="454"/>
      <c r="EJ150" s="454"/>
      <c r="EK150" s="454"/>
      <c r="EL150" s="454"/>
      <c r="EM150" s="454"/>
      <c r="EN150" s="454"/>
      <c r="EO150" s="454"/>
      <c r="EP150" s="454"/>
      <c r="EQ150" s="454"/>
      <c r="ER150" s="454"/>
      <c r="ES150" s="454"/>
      <c r="ET150" s="454"/>
      <c r="EU150" s="454"/>
      <c r="EV150" s="454"/>
      <c r="EW150" s="454"/>
      <c r="EX150" s="454"/>
      <c r="EY150" s="454"/>
      <c r="EZ150" s="454"/>
      <c r="FA150" s="454"/>
      <c r="FB150" s="454"/>
      <c r="FC150" s="454"/>
      <c r="FD150" s="454"/>
      <c r="FE150" s="454"/>
      <c r="FF150" s="454"/>
      <c r="FG150" s="290"/>
    </row>
    <row r="151" spans="1:163" s="4" customFormat="1">
      <c r="A151" s="56"/>
      <c r="B151" s="56"/>
      <c r="C151" s="498" t="s">
        <v>3640</v>
      </c>
      <c r="D151" s="498"/>
      <c r="E151" s="454">
        <v>50</v>
      </c>
      <c r="F151" s="454"/>
      <c r="G151" s="454"/>
      <c r="H151" s="454"/>
      <c r="I151" s="454"/>
      <c r="J151" s="454"/>
      <c r="K151" s="454"/>
      <c r="L151" s="454"/>
      <c r="M151" s="454"/>
      <c r="N151" s="454"/>
      <c r="O151" s="454"/>
      <c r="P151" s="454"/>
      <c r="Q151" s="454"/>
      <c r="R151" s="290"/>
      <c r="S151" s="290"/>
      <c r="T151" s="454" t="s">
        <v>1631</v>
      </c>
      <c r="U151" s="692" t="s">
        <v>1631</v>
      </c>
      <c r="V151" s="454"/>
      <c r="W151" s="454"/>
      <c r="X151" s="454"/>
      <c r="Y151" s="454"/>
      <c r="Z151" s="454"/>
      <c r="AA151" s="454"/>
      <c r="AB151" s="454"/>
      <c r="AC151" s="454"/>
      <c r="AD151" s="454"/>
      <c r="AE151" s="454"/>
      <c r="AF151" s="454"/>
      <c r="AG151" s="454"/>
      <c r="AH151" s="454"/>
      <c r="AI151" s="454"/>
      <c r="AJ151" s="454"/>
      <c r="AK151" s="454"/>
      <c r="AL151" s="454"/>
      <c r="AM151" s="454"/>
      <c r="AN151" s="454"/>
      <c r="AO151" s="454"/>
      <c r="AP151" s="454"/>
      <c r="AQ151" s="454"/>
      <c r="AR151" s="454"/>
      <c r="AS151" s="454"/>
      <c r="AT151" s="454"/>
      <c r="AU151" s="454"/>
      <c r="AV151" s="454"/>
      <c r="AW151" s="454"/>
      <c r="AX151" s="454"/>
      <c r="AY151" s="454"/>
      <c r="AZ151" s="454"/>
      <c r="BA151" s="454"/>
      <c r="BB151" s="454"/>
      <c r="BC151" s="454"/>
      <c r="BD151" s="454"/>
      <c r="BE151" s="454"/>
      <c r="BF151" s="454"/>
      <c r="BG151" s="454"/>
      <c r="BH151" s="454"/>
      <c r="BI151" s="454"/>
      <c r="BJ151" s="454"/>
      <c r="BK151" s="454"/>
      <c r="BL151" s="454"/>
      <c r="BM151" s="454"/>
      <c r="BN151" s="454"/>
      <c r="BO151" s="454"/>
      <c r="BP151" s="454"/>
      <c r="BQ151" s="454"/>
      <c r="BR151" s="454"/>
      <c r="BS151" s="454"/>
      <c r="BT151" s="454"/>
      <c r="BU151" s="454"/>
      <c r="BV151" s="454"/>
      <c r="BW151" s="454"/>
      <c r="BX151" s="454"/>
      <c r="BY151" s="454"/>
      <c r="BZ151" s="454"/>
      <c r="CA151" s="454"/>
      <c r="CB151" s="454"/>
      <c r="CC151" s="454"/>
      <c r="CD151" s="454"/>
      <c r="CE151" s="454"/>
      <c r="CF151" s="454"/>
      <c r="CG151" s="454"/>
      <c r="CH151" s="454"/>
      <c r="CI151" s="454"/>
      <c r="CJ151" s="454"/>
      <c r="CK151" s="454"/>
      <c r="CL151" s="454"/>
      <c r="CM151" s="454"/>
      <c r="CN151" s="454"/>
      <c r="CO151" s="454"/>
      <c r="CP151" s="454"/>
      <c r="CQ151" s="454"/>
      <c r="CR151" s="454"/>
      <c r="CS151" s="454"/>
      <c r="CT151" s="454"/>
      <c r="CU151" s="454"/>
      <c r="CV151" s="517"/>
      <c r="CW151" s="517">
        <f t="shared" si="17"/>
        <v>50</v>
      </c>
      <c r="CX151" s="517"/>
      <c r="CY151" s="517"/>
      <c r="CZ151" s="517"/>
      <c r="DA151" s="517">
        <f t="shared" si="18"/>
        <v>150</v>
      </c>
      <c r="DB151" s="517"/>
      <c r="DC151" s="517"/>
      <c r="DD151" s="517"/>
      <c r="DE151" s="517"/>
      <c r="DF151" s="517"/>
      <c r="DG151" s="517"/>
      <c r="DH151" s="517"/>
      <c r="DI151" s="454"/>
      <c r="DJ151" s="454"/>
      <c r="DK151" s="454"/>
      <c r="DL151" s="454">
        <v>1</v>
      </c>
      <c r="DM151" s="454">
        <v>4</v>
      </c>
      <c r="DN151" s="454">
        <v>1</v>
      </c>
      <c r="DO151" s="454">
        <v>3</v>
      </c>
      <c r="DP151" s="454">
        <v>3</v>
      </c>
      <c r="DQ151" s="454"/>
      <c r="DR151" s="454"/>
      <c r="DS151" s="454">
        <v>2</v>
      </c>
      <c r="DT151" s="454"/>
      <c r="DU151" s="454"/>
      <c r="DV151" s="454"/>
      <c r="DW151" s="454"/>
      <c r="DX151" s="454"/>
      <c r="DY151" s="454"/>
      <c r="DZ151" s="454">
        <v>2</v>
      </c>
      <c r="EA151" s="454"/>
      <c r="EB151" s="454"/>
      <c r="EC151" s="454"/>
      <c r="ED151" s="454"/>
      <c r="EE151" s="454"/>
      <c r="EF151" s="454"/>
      <c r="EG151" s="454"/>
      <c r="EH151" s="454"/>
      <c r="EI151" s="454"/>
      <c r="EJ151" s="454"/>
      <c r="EK151" s="454"/>
      <c r="EL151" s="454"/>
      <c r="EM151" s="454"/>
      <c r="EN151" s="454"/>
      <c r="EO151" s="454"/>
      <c r="EP151" s="454"/>
      <c r="EQ151" s="454"/>
      <c r="ER151" s="454"/>
      <c r="ES151" s="454"/>
      <c r="ET151" s="454"/>
      <c r="EU151" s="454"/>
      <c r="EV151" s="454"/>
      <c r="EW151" s="454"/>
      <c r="EX151" s="454"/>
      <c r="EY151" s="454"/>
      <c r="EZ151" s="454"/>
      <c r="FA151" s="454"/>
      <c r="FB151" s="454"/>
      <c r="FC151" s="454"/>
      <c r="FD151" s="454"/>
      <c r="FE151" s="454"/>
      <c r="FF151" s="454"/>
      <c r="FG151" s="481"/>
    </row>
    <row r="152" spans="1:163" s="4" customFormat="1">
      <c r="A152" s="56"/>
      <c r="B152" s="56"/>
      <c r="C152" s="498" t="s">
        <v>3641</v>
      </c>
      <c r="D152" s="498"/>
      <c r="E152" s="454">
        <v>47.8</v>
      </c>
      <c r="F152" s="454"/>
      <c r="G152" s="454"/>
      <c r="H152" s="454"/>
      <c r="I152" s="454"/>
      <c r="J152" s="454"/>
      <c r="K152" s="454"/>
      <c r="L152" s="454"/>
      <c r="M152" s="454"/>
      <c r="N152" s="454"/>
      <c r="O152" s="454"/>
      <c r="P152" s="454"/>
      <c r="Q152" s="454"/>
      <c r="R152" s="290"/>
      <c r="S152" s="290"/>
      <c r="T152" s="454" t="s">
        <v>3005</v>
      </c>
      <c r="U152" s="694" t="s">
        <v>3005</v>
      </c>
      <c r="V152" s="454"/>
      <c r="W152" s="454"/>
      <c r="X152" s="454"/>
      <c r="Y152" s="454"/>
      <c r="Z152" s="454"/>
      <c r="AA152" s="454"/>
      <c r="AB152" s="454"/>
      <c r="AC152" s="454"/>
      <c r="AD152" s="454"/>
      <c r="AE152" s="454"/>
      <c r="AF152" s="454"/>
      <c r="AG152" s="454"/>
      <c r="AH152" s="454"/>
      <c r="AI152" s="454"/>
      <c r="AJ152" s="454"/>
      <c r="AK152" s="454"/>
      <c r="AL152" s="454"/>
      <c r="AM152" s="454"/>
      <c r="AN152" s="454"/>
      <c r="AO152" s="454"/>
      <c r="AP152" s="454"/>
      <c r="AQ152" s="454"/>
      <c r="AR152" s="454"/>
      <c r="AS152" s="454"/>
      <c r="AT152" s="454"/>
      <c r="AU152" s="454"/>
      <c r="AV152" s="454"/>
      <c r="AW152" s="454"/>
      <c r="AX152" s="454"/>
      <c r="AY152" s="454"/>
      <c r="AZ152" s="454"/>
      <c r="BA152" s="454"/>
      <c r="BB152" s="454"/>
      <c r="BC152" s="454"/>
      <c r="BD152" s="454"/>
      <c r="BE152" s="454"/>
      <c r="BF152" s="454"/>
      <c r="BG152" s="454"/>
      <c r="BH152" s="454"/>
      <c r="BI152" s="454"/>
      <c r="BJ152" s="454"/>
      <c r="BK152" s="454"/>
      <c r="BL152" s="454"/>
      <c r="BM152" s="454"/>
      <c r="BN152" s="454"/>
      <c r="BO152" s="454"/>
      <c r="BP152" s="454"/>
      <c r="BQ152" s="454"/>
      <c r="BR152" s="454"/>
      <c r="BS152" s="454"/>
      <c r="BT152" s="454"/>
      <c r="BU152" s="454"/>
      <c r="BV152" s="454"/>
      <c r="BW152" s="454"/>
      <c r="BX152" s="454"/>
      <c r="BY152" s="454"/>
      <c r="BZ152" s="454"/>
      <c r="CA152" s="454"/>
      <c r="CB152" s="454"/>
      <c r="CC152" s="454"/>
      <c r="CD152" s="454"/>
      <c r="CE152" s="454"/>
      <c r="CF152" s="454"/>
      <c r="CG152" s="454"/>
      <c r="CH152" s="454"/>
      <c r="CI152" s="454"/>
      <c r="CJ152" s="454"/>
      <c r="CK152" s="454"/>
      <c r="CL152" s="454"/>
      <c r="CM152" s="454"/>
      <c r="CN152" s="454"/>
      <c r="CO152" s="454"/>
      <c r="CP152" s="454"/>
      <c r="CQ152" s="454"/>
      <c r="CR152" s="454"/>
      <c r="CS152" s="454"/>
      <c r="CT152" s="454"/>
      <c r="CU152" s="454"/>
      <c r="CV152" s="517"/>
      <c r="CW152" s="517">
        <f t="shared" si="17"/>
        <v>47.8</v>
      </c>
      <c r="CX152" s="517"/>
      <c r="CY152" s="517"/>
      <c r="CZ152" s="517"/>
      <c r="DA152" s="517">
        <f t="shared" si="18"/>
        <v>143.39999999999998</v>
      </c>
      <c r="DB152" s="517"/>
      <c r="DC152" s="517"/>
      <c r="DD152" s="517"/>
      <c r="DE152" s="517"/>
      <c r="DF152" s="517"/>
      <c r="DG152" s="517"/>
      <c r="DH152" s="517"/>
      <c r="DI152" s="454"/>
      <c r="DJ152" s="454"/>
      <c r="DK152" s="454"/>
      <c r="DL152" s="454">
        <v>1</v>
      </c>
      <c r="DM152" s="454">
        <v>4</v>
      </c>
      <c r="DN152" s="454">
        <v>1</v>
      </c>
      <c r="DO152" s="454">
        <v>3</v>
      </c>
      <c r="DP152" s="454">
        <v>3</v>
      </c>
      <c r="DQ152" s="454"/>
      <c r="DR152" s="454"/>
      <c r="DS152" s="454"/>
      <c r="DT152" s="454"/>
      <c r="DU152" s="454"/>
      <c r="DV152" s="454"/>
      <c r="DW152" s="454"/>
      <c r="DX152" s="454"/>
      <c r="DY152" s="454"/>
      <c r="DZ152" s="454"/>
      <c r="EA152" s="454"/>
      <c r="EB152" s="454"/>
      <c r="EC152" s="454"/>
      <c r="ED152" s="454"/>
      <c r="EE152" s="454"/>
      <c r="EF152" s="454"/>
      <c r="EG152" s="454"/>
      <c r="EH152" s="454"/>
      <c r="EI152" s="454"/>
      <c r="EJ152" s="454"/>
      <c r="EK152" s="454"/>
      <c r="EL152" s="454"/>
      <c r="EM152" s="454"/>
      <c r="EN152" s="454"/>
      <c r="EO152" s="454"/>
      <c r="EP152" s="454"/>
      <c r="EQ152" s="454"/>
      <c r="ER152" s="454"/>
      <c r="ES152" s="454"/>
      <c r="ET152" s="454"/>
      <c r="EU152" s="454"/>
      <c r="EV152" s="454"/>
      <c r="EW152" s="454"/>
      <c r="EX152" s="454"/>
      <c r="EY152" s="454"/>
      <c r="EZ152" s="454"/>
      <c r="FA152" s="454"/>
      <c r="FB152" s="454"/>
      <c r="FC152" s="454"/>
      <c r="FD152" s="454"/>
      <c r="FE152" s="454"/>
      <c r="FF152" s="454"/>
      <c r="FG152" s="290"/>
    </row>
    <row r="153" spans="1:163" s="4" customFormat="1">
      <c r="A153" s="56"/>
      <c r="B153" s="56"/>
      <c r="C153" s="498" t="s">
        <v>3647</v>
      </c>
      <c r="D153" s="498"/>
      <c r="E153" s="454">
        <v>52.7</v>
      </c>
      <c r="F153" s="454"/>
      <c r="G153" s="454"/>
      <c r="H153" s="454"/>
      <c r="I153" s="454"/>
      <c r="J153" s="454"/>
      <c r="K153" s="454"/>
      <c r="L153" s="454"/>
      <c r="M153" s="454"/>
      <c r="N153" s="454"/>
      <c r="O153" s="454"/>
      <c r="P153" s="454"/>
      <c r="Q153" s="454"/>
      <c r="R153" s="290"/>
      <c r="S153" s="290"/>
      <c r="T153" s="454" t="s">
        <v>1631</v>
      </c>
      <c r="U153" s="454" t="s">
        <v>1631</v>
      </c>
      <c r="V153" s="454"/>
      <c r="W153" s="454"/>
      <c r="X153" s="454"/>
      <c r="Y153" s="454"/>
      <c r="Z153" s="454"/>
      <c r="AA153" s="454"/>
      <c r="AB153" s="454"/>
      <c r="AC153" s="454"/>
      <c r="AD153" s="454"/>
      <c r="AE153" s="454"/>
      <c r="AF153" s="454"/>
      <c r="AG153" s="454"/>
      <c r="AH153" s="454"/>
      <c r="AI153" s="454"/>
      <c r="AJ153" s="454"/>
      <c r="AK153" s="454"/>
      <c r="AL153" s="454"/>
      <c r="AM153" s="454"/>
      <c r="AN153" s="454"/>
      <c r="AO153" s="454"/>
      <c r="AP153" s="454"/>
      <c r="AQ153" s="454"/>
      <c r="AR153" s="454"/>
      <c r="AS153" s="454"/>
      <c r="AT153" s="454"/>
      <c r="AU153" s="454"/>
      <c r="AV153" s="454"/>
      <c r="AW153" s="454"/>
      <c r="AX153" s="454"/>
      <c r="AY153" s="454"/>
      <c r="AZ153" s="454"/>
      <c r="BA153" s="454"/>
      <c r="BB153" s="454"/>
      <c r="BC153" s="454"/>
      <c r="BD153" s="454"/>
      <c r="BE153" s="454"/>
      <c r="BF153" s="454"/>
      <c r="BG153" s="454"/>
      <c r="BH153" s="454"/>
      <c r="BI153" s="454"/>
      <c r="BJ153" s="454"/>
      <c r="BK153" s="454"/>
      <c r="BL153" s="454"/>
      <c r="BM153" s="454"/>
      <c r="BN153" s="454"/>
      <c r="BO153" s="454"/>
      <c r="BP153" s="454"/>
      <c r="BQ153" s="454"/>
      <c r="BR153" s="454"/>
      <c r="BS153" s="454"/>
      <c r="BT153" s="454"/>
      <c r="BU153" s="454"/>
      <c r="BV153" s="454"/>
      <c r="BW153" s="454"/>
      <c r="BX153" s="454"/>
      <c r="BY153" s="454"/>
      <c r="BZ153" s="454"/>
      <c r="CA153" s="454"/>
      <c r="CB153" s="454"/>
      <c r="CC153" s="454"/>
      <c r="CD153" s="454"/>
      <c r="CE153" s="454"/>
      <c r="CF153" s="454"/>
      <c r="CG153" s="454"/>
      <c r="CH153" s="454"/>
      <c r="CI153" s="454"/>
      <c r="CJ153" s="454"/>
      <c r="CK153" s="454"/>
      <c r="CL153" s="454"/>
      <c r="CM153" s="454"/>
      <c r="CN153" s="454"/>
      <c r="CO153" s="454"/>
      <c r="CP153" s="454"/>
      <c r="CQ153" s="454"/>
      <c r="CR153" s="454"/>
      <c r="CS153" s="454"/>
      <c r="CT153" s="454"/>
      <c r="CU153" s="454"/>
      <c r="CV153" s="517"/>
      <c r="CW153" s="517">
        <f t="shared" si="17"/>
        <v>52.7</v>
      </c>
      <c r="CX153" s="517"/>
      <c r="CY153" s="517"/>
      <c r="CZ153" s="517"/>
      <c r="DA153" s="517">
        <f t="shared" si="18"/>
        <v>158.10000000000002</v>
      </c>
      <c r="DB153" s="517"/>
      <c r="DC153" s="517"/>
      <c r="DD153" s="517"/>
      <c r="DE153" s="517"/>
      <c r="DF153" s="517"/>
      <c r="DG153" s="517"/>
      <c r="DH153" s="517"/>
      <c r="DI153" s="454"/>
      <c r="DJ153" s="454"/>
      <c r="DK153" s="454"/>
      <c r="DL153" s="454">
        <v>1</v>
      </c>
      <c r="DM153" s="454">
        <v>4</v>
      </c>
      <c r="DN153" s="454">
        <v>1</v>
      </c>
      <c r="DO153" s="454">
        <v>3</v>
      </c>
      <c r="DP153" s="454">
        <v>3</v>
      </c>
      <c r="DQ153" s="454"/>
      <c r="DR153" s="454"/>
      <c r="DS153" s="454">
        <v>1</v>
      </c>
      <c r="DT153" s="454"/>
      <c r="DU153" s="454"/>
      <c r="DV153" s="454"/>
      <c r="DW153" s="454"/>
      <c r="DX153" s="454"/>
      <c r="DY153" s="454"/>
      <c r="DZ153" s="454">
        <v>2</v>
      </c>
      <c r="EA153" s="454"/>
      <c r="EB153" s="454"/>
      <c r="EC153" s="454"/>
      <c r="ED153" s="454"/>
      <c r="EE153" s="454"/>
      <c r="EF153" s="454"/>
      <c r="EG153" s="454"/>
      <c r="EH153" s="454"/>
      <c r="EI153" s="454"/>
      <c r="EJ153" s="454"/>
      <c r="EK153" s="454"/>
      <c r="EL153" s="454"/>
      <c r="EM153" s="454"/>
      <c r="EN153" s="454"/>
      <c r="EO153" s="454"/>
      <c r="EP153" s="454"/>
      <c r="EQ153" s="454"/>
      <c r="ER153" s="454"/>
      <c r="ES153" s="454"/>
      <c r="ET153" s="454"/>
      <c r="EU153" s="454"/>
      <c r="EV153" s="454"/>
      <c r="EW153" s="454"/>
      <c r="EX153" s="454"/>
      <c r="EY153" s="454"/>
      <c r="EZ153" s="454"/>
      <c r="FA153" s="454"/>
      <c r="FB153" s="454"/>
      <c r="FC153" s="454"/>
      <c r="FD153" s="454"/>
      <c r="FE153" s="454"/>
      <c r="FF153" s="454"/>
      <c r="FG153" s="290"/>
    </row>
    <row r="154" spans="1:163" s="4" customFormat="1">
      <c r="A154" s="56"/>
      <c r="B154" s="56"/>
      <c r="C154" s="498" t="s">
        <v>3648</v>
      </c>
      <c r="D154" s="498"/>
      <c r="E154" s="454">
        <v>49.9</v>
      </c>
      <c r="F154" s="454"/>
      <c r="G154" s="454"/>
      <c r="H154" s="454"/>
      <c r="I154" s="454"/>
      <c r="J154" s="454"/>
      <c r="K154" s="454"/>
      <c r="L154" s="454"/>
      <c r="M154" s="454"/>
      <c r="N154" s="454"/>
      <c r="O154" s="454"/>
      <c r="P154" s="454"/>
      <c r="Q154" s="454"/>
      <c r="R154" s="290"/>
      <c r="S154" s="290"/>
      <c r="T154" s="454" t="s">
        <v>2990</v>
      </c>
      <c r="U154" s="454" t="s">
        <v>2990</v>
      </c>
      <c r="V154" s="454"/>
      <c r="W154" s="454"/>
      <c r="X154" s="454"/>
      <c r="Y154" s="454"/>
      <c r="Z154" s="454"/>
      <c r="AA154" s="454"/>
      <c r="AB154" s="454"/>
      <c r="AC154" s="454"/>
      <c r="AD154" s="454"/>
      <c r="AE154" s="454"/>
      <c r="AF154" s="454"/>
      <c r="AG154" s="454"/>
      <c r="AH154" s="454"/>
      <c r="AI154" s="454"/>
      <c r="AJ154" s="454"/>
      <c r="AK154" s="454"/>
      <c r="AL154" s="454"/>
      <c r="AM154" s="454"/>
      <c r="AN154" s="454"/>
      <c r="AO154" s="454"/>
      <c r="AP154" s="454"/>
      <c r="AQ154" s="454"/>
      <c r="AR154" s="454"/>
      <c r="AS154" s="454"/>
      <c r="AT154" s="454"/>
      <c r="AU154" s="454"/>
      <c r="AV154" s="454"/>
      <c r="AW154" s="454"/>
      <c r="AX154" s="454"/>
      <c r="AY154" s="454"/>
      <c r="AZ154" s="454"/>
      <c r="BA154" s="454"/>
      <c r="BB154" s="454"/>
      <c r="BC154" s="454"/>
      <c r="BD154" s="454"/>
      <c r="BE154" s="454"/>
      <c r="BF154" s="454"/>
      <c r="BG154" s="454"/>
      <c r="BH154" s="454"/>
      <c r="BI154" s="454"/>
      <c r="BJ154" s="454"/>
      <c r="BK154" s="454"/>
      <c r="BL154" s="454"/>
      <c r="BM154" s="454"/>
      <c r="BN154" s="454"/>
      <c r="BO154" s="454"/>
      <c r="BP154" s="454"/>
      <c r="BQ154" s="454"/>
      <c r="BR154" s="454"/>
      <c r="BS154" s="454"/>
      <c r="BT154" s="454"/>
      <c r="BU154" s="454"/>
      <c r="BV154" s="454"/>
      <c r="BW154" s="454"/>
      <c r="BX154" s="454"/>
      <c r="BY154" s="454"/>
      <c r="BZ154" s="454"/>
      <c r="CA154" s="454"/>
      <c r="CB154" s="454"/>
      <c r="CC154" s="454"/>
      <c r="CD154" s="454"/>
      <c r="CE154" s="454"/>
      <c r="CF154" s="454"/>
      <c r="CG154" s="454"/>
      <c r="CH154" s="454"/>
      <c r="CI154" s="454"/>
      <c r="CJ154" s="454"/>
      <c r="CK154" s="454"/>
      <c r="CL154" s="454"/>
      <c r="CM154" s="454"/>
      <c r="CN154" s="454"/>
      <c r="CO154" s="454"/>
      <c r="CP154" s="454"/>
      <c r="CQ154" s="454"/>
      <c r="CR154" s="454"/>
      <c r="CS154" s="454"/>
      <c r="CT154" s="454"/>
      <c r="CU154" s="454"/>
      <c r="CV154" s="517"/>
      <c r="CW154" s="517">
        <f t="shared" si="17"/>
        <v>49.9</v>
      </c>
      <c r="CX154" s="517"/>
      <c r="CY154" s="517"/>
      <c r="CZ154" s="517"/>
      <c r="DA154" s="517">
        <f t="shared" si="18"/>
        <v>149.69999999999999</v>
      </c>
      <c r="DB154" s="517"/>
      <c r="DC154" s="517"/>
      <c r="DD154" s="517"/>
      <c r="DE154" s="517"/>
      <c r="DF154" s="517"/>
      <c r="DG154" s="517"/>
      <c r="DH154" s="517"/>
      <c r="DI154" s="454"/>
      <c r="DJ154" s="454"/>
      <c r="DK154" s="454"/>
      <c r="DL154" s="454">
        <v>1</v>
      </c>
      <c r="DM154" s="454">
        <v>4</v>
      </c>
      <c r="DN154" s="454">
        <v>1</v>
      </c>
      <c r="DO154" s="454">
        <v>2</v>
      </c>
      <c r="DP154" s="454">
        <v>2</v>
      </c>
      <c r="DQ154" s="454"/>
      <c r="DR154" s="454"/>
      <c r="DS154" s="454"/>
      <c r="DT154" s="454"/>
      <c r="DU154" s="454">
        <v>8</v>
      </c>
      <c r="DV154" s="454"/>
      <c r="DW154" s="454"/>
      <c r="DX154" s="454"/>
      <c r="DY154" s="454"/>
      <c r="DZ154" s="454"/>
      <c r="EA154" s="454">
        <v>2</v>
      </c>
      <c r="EB154" s="454"/>
      <c r="EC154" s="454"/>
      <c r="ED154" s="454"/>
      <c r="EE154" s="454"/>
      <c r="EF154" s="454"/>
      <c r="EG154" s="454"/>
      <c r="EH154" s="454"/>
      <c r="EI154" s="454"/>
      <c r="EJ154" s="454"/>
      <c r="EK154" s="454"/>
      <c r="EL154" s="454"/>
      <c r="EM154" s="454"/>
      <c r="EN154" s="454"/>
      <c r="EO154" s="454"/>
      <c r="EP154" s="454"/>
      <c r="EQ154" s="454"/>
      <c r="ER154" s="454"/>
      <c r="ES154" s="454"/>
      <c r="ET154" s="454"/>
      <c r="EU154" s="454"/>
      <c r="EV154" s="454"/>
      <c r="EW154" s="454"/>
      <c r="EX154" s="454"/>
      <c r="EY154" s="454"/>
      <c r="EZ154" s="454"/>
      <c r="FA154" s="454"/>
      <c r="FB154" s="454"/>
      <c r="FC154" s="454"/>
      <c r="FD154" s="454"/>
      <c r="FE154" s="454"/>
      <c r="FF154" s="454"/>
      <c r="FG154" s="290"/>
    </row>
    <row r="155" spans="1:163" s="4" customFormat="1">
      <c r="A155" s="56"/>
      <c r="B155" s="56"/>
      <c r="C155" s="498"/>
      <c r="D155" s="498"/>
      <c r="E155" s="454"/>
      <c r="F155" s="454"/>
      <c r="G155" s="454"/>
      <c r="H155" s="454"/>
      <c r="I155" s="454"/>
      <c r="J155" s="454"/>
      <c r="K155" s="454"/>
      <c r="L155" s="454"/>
      <c r="M155" s="454"/>
      <c r="N155" s="454"/>
      <c r="O155" s="454"/>
      <c r="P155" s="454"/>
      <c r="Q155" s="454"/>
      <c r="R155" s="290"/>
      <c r="S155" s="290"/>
      <c r="T155" s="454"/>
      <c r="U155" s="454"/>
      <c r="V155" s="454"/>
      <c r="W155" s="454"/>
      <c r="X155" s="454"/>
      <c r="Y155" s="454"/>
      <c r="Z155" s="454"/>
      <c r="AA155" s="454"/>
      <c r="AB155" s="454"/>
      <c r="AC155" s="454"/>
      <c r="AD155" s="454"/>
      <c r="AE155" s="454"/>
      <c r="AF155" s="454"/>
      <c r="AG155" s="454"/>
      <c r="AH155" s="454"/>
      <c r="AI155" s="454"/>
      <c r="AJ155" s="454"/>
      <c r="AK155" s="454"/>
      <c r="AL155" s="454"/>
      <c r="AM155" s="454"/>
      <c r="AN155" s="454"/>
      <c r="AO155" s="454"/>
      <c r="AP155" s="454"/>
      <c r="AQ155" s="454"/>
      <c r="AR155" s="454"/>
      <c r="AS155" s="454"/>
      <c r="AT155" s="454"/>
      <c r="AU155" s="454"/>
      <c r="AV155" s="454"/>
      <c r="AW155" s="454"/>
      <c r="AX155" s="454"/>
      <c r="AY155" s="454"/>
      <c r="AZ155" s="454"/>
      <c r="BA155" s="454"/>
      <c r="BB155" s="454"/>
      <c r="BC155" s="454"/>
      <c r="BD155" s="454"/>
      <c r="BE155" s="454"/>
      <c r="BF155" s="454"/>
      <c r="BG155" s="454"/>
      <c r="BH155" s="454"/>
      <c r="BI155" s="454"/>
      <c r="BJ155" s="454"/>
      <c r="BK155" s="454"/>
      <c r="BL155" s="454"/>
      <c r="BM155" s="454"/>
      <c r="BN155" s="454"/>
      <c r="BO155" s="454"/>
      <c r="BP155" s="454"/>
      <c r="BQ155" s="454"/>
      <c r="BR155" s="454"/>
      <c r="BS155" s="454"/>
      <c r="BT155" s="454"/>
      <c r="BU155" s="454"/>
      <c r="BV155" s="454"/>
      <c r="BW155" s="454"/>
      <c r="BX155" s="454"/>
      <c r="BY155" s="454"/>
      <c r="BZ155" s="454"/>
      <c r="CA155" s="454"/>
      <c r="CB155" s="454"/>
      <c r="CC155" s="454"/>
      <c r="CD155" s="454"/>
      <c r="CE155" s="454"/>
      <c r="CF155" s="454"/>
      <c r="CG155" s="454"/>
      <c r="CH155" s="454"/>
      <c r="CI155" s="454"/>
      <c r="CJ155" s="454"/>
      <c r="CK155" s="454"/>
      <c r="CL155" s="454"/>
      <c r="CM155" s="454"/>
      <c r="CN155" s="454"/>
      <c r="CO155" s="454"/>
      <c r="CP155" s="454"/>
      <c r="CQ155" s="454"/>
      <c r="CR155" s="454"/>
      <c r="CS155" s="454"/>
      <c r="CT155" s="454"/>
      <c r="CU155" s="454"/>
      <c r="CV155" s="517"/>
      <c r="CW155" s="517">
        <f t="shared" si="17"/>
        <v>0</v>
      </c>
      <c r="CX155" s="517"/>
      <c r="CY155" s="517"/>
      <c r="CZ155" s="517"/>
      <c r="DA155" s="517">
        <f t="shared" si="18"/>
        <v>0</v>
      </c>
      <c r="DB155" s="517"/>
      <c r="DC155" s="517"/>
      <c r="DD155" s="517"/>
      <c r="DE155" s="517"/>
      <c r="DF155" s="517"/>
      <c r="DG155" s="517"/>
      <c r="DH155" s="517"/>
      <c r="DI155" s="454"/>
      <c r="DJ155" s="454"/>
      <c r="DK155" s="454"/>
      <c r="DL155" s="454"/>
      <c r="DM155" s="454"/>
      <c r="DN155" s="454"/>
      <c r="DO155" s="454"/>
      <c r="DP155" s="454"/>
      <c r="DQ155" s="454"/>
      <c r="DR155" s="454"/>
      <c r="DS155" s="454"/>
      <c r="DT155" s="454"/>
      <c r="DU155" s="454"/>
      <c r="DV155" s="454"/>
      <c r="DW155" s="454"/>
      <c r="DX155" s="454"/>
      <c r="DY155" s="454"/>
      <c r="DZ155" s="454"/>
      <c r="EA155" s="454"/>
      <c r="EB155" s="454"/>
      <c r="EC155" s="454"/>
      <c r="ED155" s="454"/>
      <c r="EE155" s="454"/>
      <c r="EF155" s="454"/>
      <c r="EG155" s="454"/>
      <c r="EH155" s="454"/>
      <c r="EI155" s="454"/>
      <c r="EJ155" s="454"/>
      <c r="EK155" s="454"/>
      <c r="EL155" s="454"/>
      <c r="EM155" s="454"/>
      <c r="EN155" s="454"/>
      <c r="EO155" s="454"/>
      <c r="EP155" s="454"/>
      <c r="EQ155" s="454"/>
      <c r="ER155" s="454"/>
      <c r="ES155" s="454"/>
      <c r="ET155" s="454"/>
      <c r="EU155" s="454"/>
      <c r="EV155" s="454"/>
      <c r="EW155" s="454"/>
      <c r="EX155" s="454"/>
      <c r="EY155" s="454"/>
      <c r="EZ155" s="454"/>
      <c r="FA155" s="454"/>
      <c r="FB155" s="454"/>
      <c r="FC155" s="454"/>
      <c r="FD155" s="454"/>
      <c r="FE155" s="454"/>
      <c r="FF155" s="454"/>
      <c r="FG155" s="290"/>
    </row>
    <row r="156" spans="1:163" s="4" customFormat="1">
      <c r="A156" s="56"/>
      <c r="B156" s="56"/>
      <c r="C156" s="498"/>
      <c r="D156" s="506" t="s">
        <v>3694</v>
      </c>
      <c r="E156" s="454"/>
      <c r="F156" s="454"/>
      <c r="G156" s="454"/>
      <c r="H156" s="454"/>
      <c r="I156" s="454"/>
      <c r="J156" s="454"/>
      <c r="K156" s="454"/>
      <c r="L156" s="454"/>
      <c r="M156" s="454"/>
      <c r="N156" s="454"/>
      <c r="O156" s="454"/>
      <c r="P156" s="454"/>
      <c r="Q156" s="454"/>
      <c r="R156" s="290"/>
      <c r="S156" s="290"/>
      <c r="T156" s="454"/>
      <c r="U156" s="454"/>
      <c r="V156" s="454"/>
      <c r="W156" s="454"/>
      <c r="X156" s="454"/>
      <c r="Y156" s="454"/>
      <c r="Z156" s="454"/>
      <c r="AA156" s="454"/>
      <c r="AB156" s="454"/>
      <c r="AC156" s="454"/>
      <c r="AD156" s="454"/>
      <c r="AE156" s="454"/>
      <c r="AF156" s="454"/>
      <c r="AG156" s="454"/>
      <c r="AH156" s="454"/>
      <c r="AI156" s="454"/>
      <c r="AJ156" s="454"/>
      <c r="AK156" s="454"/>
      <c r="AL156" s="454"/>
      <c r="AM156" s="454"/>
      <c r="AN156" s="454"/>
      <c r="AO156" s="454"/>
      <c r="AP156" s="454"/>
      <c r="AQ156" s="454"/>
      <c r="AR156" s="454"/>
      <c r="AS156" s="454"/>
      <c r="AT156" s="454"/>
      <c r="AU156" s="454"/>
      <c r="AV156" s="454"/>
      <c r="AW156" s="454"/>
      <c r="AX156" s="454"/>
      <c r="AY156" s="454"/>
      <c r="AZ156" s="454"/>
      <c r="BA156" s="454"/>
      <c r="BB156" s="454"/>
      <c r="BC156" s="454"/>
      <c r="BD156" s="454"/>
      <c r="BE156" s="454"/>
      <c r="BF156" s="454"/>
      <c r="BG156" s="454"/>
      <c r="BH156" s="454"/>
      <c r="BI156" s="454"/>
      <c r="BJ156" s="454"/>
      <c r="BK156" s="454"/>
      <c r="BL156" s="454"/>
      <c r="BM156" s="454"/>
      <c r="BN156" s="454"/>
      <c r="BO156" s="454"/>
      <c r="BP156" s="454"/>
      <c r="BQ156" s="454"/>
      <c r="BR156" s="454"/>
      <c r="BS156" s="454"/>
      <c r="BT156" s="454"/>
      <c r="BU156" s="454"/>
      <c r="BV156" s="454"/>
      <c r="BW156" s="454"/>
      <c r="BX156" s="454"/>
      <c r="BY156" s="454"/>
      <c r="BZ156" s="454"/>
      <c r="CA156" s="454"/>
      <c r="CB156" s="454"/>
      <c r="CC156" s="454"/>
      <c r="CD156" s="454"/>
      <c r="CE156" s="454"/>
      <c r="CF156" s="454"/>
      <c r="CG156" s="454"/>
      <c r="CH156" s="454"/>
      <c r="CI156" s="454"/>
      <c r="CJ156" s="454"/>
      <c r="CK156" s="454"/>
      <c r="CL156" s="454"/>
      <c r="CM156" s="454"/>
      <c r="CN156" s="454"/>
      <c r="CO156" s="454"/>
      <c r="CP156" s="454"/>
      <c r="CQ156" s="454"/>
      <c r="CR156" s="454"/>
      <c r="CS156" s="454"/>
      <c r="CT156" s="454"/>
      <c r="CU156" s="454"/>
      <c r="CV156" s="517"/>
      <c r="CW156" s="517">
        <f t="shared" si="17"/>
        <v>0</v>
      </c>
      <c r="CX156" s="517"/>
      <c r="CY156" s="517"/>
      <c r="CZ156" s="517"/>
      <c r="DA156" s="517">
        <f t="shared" si="18"/>
        <v>0</v>
      </c>
      <c r="DB156" s="517"/>
      <c r="DC156" s="517"/>
      <c r="DD156" s="517"/>
      <c r="DE156" s="517"/>
      <c r="DF156" s="517"/>
      <c r="DG156" s="517"/>
      <c r="DH156" s="517"/>
      <c r="DI156" s="454"/>
      <c r="DJ156" s="454"/>
      <c r="DK156" s="454"/>
      <c r="DL156" s="454"/>
      <c r="DM156" s="454"/>
      <c r="DN156" s="454"/>
      <c r="DO156" s="454"/>
      <c r="DP156" s="454"/>
      <c r="DQ156" s="454"/>
      <c r="DR156" s="454"/>
      <c r="DS156" s="454"/>
      <c r="DT156" s="454"/>
      <c r="DU156" s="454"/>
      <c r="DV156" s="454"/>
      <c r="DW156" s="454"/>
      <c r="DX156" s="454"/>
      <c r="DY156" s="454"/>
      <c r="DZ156" s="454"/>
      <c r="EA156" s="454"/>
      <c r="EB156" s="454"/>
      <c r="EC156" s="454"/>
      <c r="ED156" s="454"/>
      <c r="EE156" s="454"/>
      <c r="EF156" s="454"/>
      <c r="EG156" s="454"/>
      <c r="EH156" s="454"/>
      <c r="EI156" s="454"/>
      <c r="EJ156" s="454"/>
      <c r="EK156" s="454"/>
      <c r="EL156" s="454"/>
      <c r="EM156" s="454"/>
      <c r="EN156" s="454"/>
      <c r="EO156" s="454"/>
      <c r="EP156" s="454"/>
      <c r="EQ156" s="454"/>
      <c r="ER156" s="454"/>
      <c r="ES156" s="454"/>
      <c r="ET156" s="454"/>
      <c r="EU156" s="454"/>
      <c r="EV156" s="454"/>
      <c r="EW156" s="454"/>
      <c r="EX156" s="454"/>
      <c r="EY156" s="454"/>
      <c r="EZ156" s="454"/>
      <c r="FA156" s="454"/>
      <c r="FB156" s="454"/>
      <c r="FC156" s="454"/>
      <c r="FD156" s="454"/>
      <c r="FE156" s="454"/>
      <c r="FF156" s="454"/>
      <c r="FG156" s="290"/>
    </row>
    <row r="157" spans="1:163" s="4" customFormat="1">
      <c r="A157" s="56"/>
      <c r="B157" s="56"/>
      <c r="C157" s="498" t="s">
        <v>3632</v>
      </c>
      <c r="D157" s="498"/>
      <c r="E157" s="454">
        <v>34.799999999999997</v>
      </c>
      <c r="F157" s="454"/>
      <c r="G157" s="454"/>
      <c r="H157" s="454"/>
      <c r="I157" s="454"/>
      <c r="J157" s="454"/>
      <c r="K157" s="454"/>
      <c r="L157" s="454"/>
      <c r="M157" s="454"/>
      <c r="N157" s="454"/>
      <c r="O157" s="454"/>
      <c r="P157" s="454"/>
      <c r="Q157" s="454"/>
      <c r="R157" s="290"/>
      <c r="S157" s="290"/>
      <c r="T157" s="454" t="s">
        <v>1631</v>
      </c>
      <c r="U157" s="454" t="s">
        <v>1631</v>
      </c>
      <c r="V157" s="454"/>
      <c r="W157" s="454"/>
      <c r="X157" s="454"/>
      <c r="Y157" s="454"/>
      <c r="Z157" s="454"/>
      <c r="AA157" s="454"/>
      <c r="AB157" s="454"/>
      <c r="AC157" s="454"/>
      <c r="AD157" s="454"/>
      <c r="AE157" s="454"/>
      <c r="AF157" s="454"/>
      <c r="AG157" s="454"/>
      <c r="AH157" s="454"/>
      <c r="AI157" s="454"/>
      <c r="AJ157" s="454"/>
      <c r="AK157" s="454"/>
      <c r="AL157" s="454"/>
      <c r="AM157" s="454"/>
      <c r="AN157" s="454"/>
      <c r="AO157" s="454"/>
      <c r="AP157" s="454"/>
      <c r="AQ157" s="454"/>
      <c r="AR157" s="454"/>
      <c r="AS157" s="454"/>
      <c r="AT157" s="454"/>
      <c r="AU157" s="454"/>
      <c r="AV157" s="454"/>
      <c r="AW157" s="454"/>
      <c r="AX157" s="454"/>
      <c r="AY157" s="454"/>
      <c r="AZ157" s="454"/>
      <c r="BA157" s="454"/>
      <c r="BB157" s="454"/>
      <c r="BC157" s="454"/>
      <c r="BD157" s="454"/>
      <c r="BE157" s="454"/>
      <c r="BF157" s="454"/>
      <c r="BG157" s="454"/>
      <c r="BH157" s="454"/>
      <c r="BI157" s="454"/>
      <c r="BJ157" s="454"/>
      <c r="BK157" s="454"/>
      <c r="BL157" s="454"/>
      <c r="BM157" s="454"/>
      <c r="BN157" s="454"/>
      <c r="BO157" s="454"/>
      <c r="BP157" s="454"/>
      <c r="BQ157" s="454"/>
      <c r="BR157" s="454"/>
      <c r="BS157" s="454"/>
      <c r="BT157" s="454"/>
      <c r="BU157" s="454"/>
      <c r="BV157" s="454"/>
      <c r="BW157" s="454"/>
      <c r="BX157" s="454"/>
      <c r="BY157" s="454"/>
      <c r="BZ157" s="454"/>
      <c r="CA157" s="454"/>
      <c r="CB157" s="454"/>
      <c r="CC157" s="454"/>
      <c r="CD157" s="454"/>
      <c r="CE157" s="454"/>
      <c r="CF157" s="454"/>
      <c r="CG157" s="454"/>
      <c r="CH157" s="454"/>
      <c r="CI157" s="454"/>
      <c r="CJ157" s="454"/>
      <c r="CK157" s="454"/>
      <c r="CL157" s="454"/>
      <c r="CM157" s="454"/>
      <c r="CN157" s="454"/>
      <c r="CO157" s="454"/>
      <c r="CP157" s="454"/>
      <c r="CQ157" s="454"/>
      <c r="CR157" s="454"/>
      <c r="CS157" s="454"/>
      <c r="CT157" s="454"/>
      <c r="CU157" s="454"/>
      <c r="CV157" s="517"/>
      <c r="CW157" s="517">
        <f t="shared" si="17"/>
        <v>34.799999999999997</v>
      </c>
      <c r="CX157" s="517"/>
      <c r="CY157" s="517"/>
      <c r="CZ157" s="517"/>
      <c r="DA157" s="517">
        <f t="shared" si="18"/>
        <v>104.39999999999999</v>
      </c>
      <c r="DB157" s="517"/>
      <c r="DC157" s="517"/>
      <c r="DD157" s="517"/>
      <c r="DE157" s="517"/>
      <c r="DF157" s="517"/>
      <c r="DG157" s="517"/>
      <c r="DH157" s="517"/>
      <c r="DI157" s="454"/>
      <c r="DJ157" s="454"/>
      <c r="DK157" s="454"/>
      <c r="DL157" s="454">
        <v>1</v>
      </c>
      <c r="DM157" s="454">
        <v>4</v>
      </c>
      <c r="DN157" s="454">
        <v>1</v>
      </c>
      <c r="DO157" s="454">
        <v>4</v>
      </c>
      <c r="DP157" s="454">
        <v>4</v>
      </c>
      <c r="DQ157" s="454"/>
      <c r="DR157" s="454"/>
      <c r="DS157" s="454"/>
      <c r="DT157" s="454"/>
      <c r="DU157" s="454"/>
      <c r="DV157" s="454"/>
      <c r="DW157" s="454"/>
      <c r="DX157" s="454"/>
      <c r="DY157" s="454"/>
      <c r="DZ157" s="454">
        <v>2</v>
      </c>
      <c r="EA157" s="454"/>
      <c r="EB157" s="454"/>
      <c r="EC157" s="454"/>
      <c r="ED157" s="454"/>
      <c r="EE157" s="454"/>
      <c r="EF157" s="454"/>
      <c r="EG157" s="454"/>
      <c r="EH157" s="454"/>
      <c r="EI157" s="454"/>
      <c r="EJ157" s="454"/>
      <c r="EK157" s="454"/>
      <c r="EL157" s="454"/>
      <c r="EM157" s="454"/>
      <c r="EN157" s="454"/>
      <c r="EO157" s="454"/>
      <c r="EP157" s="454"/>
      <c r="EQ157" s="454"/>
      <c r="ER157" s="454"/>
      <c r="ES157" s="454"/>
      <c r="ET157" s="454"/>
      <c r="EU157" s="454"/>
      <c r="EV157" s="454"/>
      <c r="EW157" s="454"/>
      <c r="EX157" s="454"/>
      <c r="EY157" s="454"/>
      <c r="EZ157" s="454"/>
      <c r="FA157" s="454"/>
      <c r="FB157" s="454"/>
      <c r="FC157" s="454"/>
      <c r="FD157" s="454"/>
      <c r="FE157" s="454"/>
      <c r="FF157" s="454"/>
      <c r="FG157" s="290"/>
    </row>
    <row r="158" spans="1:163" s="4" customFormat="1">
      <c r="A158" s="56"/>
      <c r="B158" s="56"/>
      <c r="C158" s="498" t="s">
        <v>3633</v>
      </c>
      <c r="D158" s="498"/>
      <c r="E158" s="454">
        <v>37</v>
      </c>
      <c r="F158" s="454"/>
      <c r="G158" s="454"/>
      <c r="H158" s="454"/>
      <c r="I158" s="454"/>
      <c r="J158" s="454"/>
      <c r="K158" s="454"/>
      <c r="L158" s="454"/>
      <c r="M158" s="454"/>
      <c r="N158" s="454"/>
      <c r="O158" s="454"/>
      <c r="P158" s="454"/>
      <c r="Q158" s="454"/>
      <c r="R158" s="290"/>
      <c r="S158" s="290"/>
      <c r="T158" s="454" t="s">
        <v>3668</v>
      </c>
      <c r="U158" s="454" t="s">
        <v>3668</v>
      </c>
      <c r="V158" s="454"/>
      <c r="W158" s="454"/>
      <c r="X158" s="454"/>
      <c r="Y158" s="454"/>
      <c r="Z158" s="454"/>
      <c r="AA158" s="454"/>
      <c r="AB158" s="454"/>
      <c r="AC158" s="454"/>
      <c r="AD158" s="454"/>
      <c r="AE158" s="454"/>
      <c r="AF158" s="454"/>
      <c r="AG158" s="454"/>
      <c r="AH158" s="454"/>
      <c r="AI158" s="454"/>
      <c r="AJ158" s="454"/>
      <c r="AK158" s="454"/>
      <c r="AL158" s="454"/>
      <c r="AM158" s="454"/>
      <c r="AN158" s="454"/>
      <c r="AO158" s="454"/>
      <c r="AP158" s="454"/>
      <c r="AQ158" s="454"/>
      <c r="AR158" s="454"/>
      <c r="AS158" s="454"/>
      <c r="AT158" s="454"/>
      <c r="AU158" s="454"/>
      <c r="AV158" s="454"/>
      <c r="AW158" s="454"/>
      <c r="AX158" s="454"/>
      <c r="AY158" s="454"/>
      <c r="AZ158" s="454"/>
      <c r="BA158" s="454"/>
      <c r="BB158" s="454"/>
      <c r="BC158" s="454"/>
      <c r="BD158" s="454"/>
      <c r="BE158" s="454"/>
      <c r="BF158" s="454"/>
      <c r="BG158" s="454"/>
      <c r="BH158" s="454"/>
      <c r="BI158" s="454"/>
      <c r="BJ158" s="454"/>
      <c r="BK158" s="454"/>
      <c r="BL158" s="454"/>
      <c r="BM158" s="454"/>
      <c r="BN158" s="454"/>
      <c r="BO158" s="454"/>
      <c r="BP158" s="454"/>
      <c r="BQ158" s="454"/>
      <c r="BR158" s="454"/>
      <c r="BS158" s="454"/>
      <c r="BT158" s="454"/>
      <c r="BU158" s="454"/>
      <c r="BV158" s="454"/>
      <c r="BW158" s="454"/>
      <c r="BX158" s="454"/>
      <c r="BY158" s="454"/>
      <c r="BZ158" s="454"/>
      <c r="CA158" s="454"/>
      <c r="CB158" s="454"/>
      <c r="CC158" s="454"/>
      <c r="CD158" s="454"/>
      <c r="CE158" s="454"/>
      <c r="CF158" s="454"/>
      <c r="CG158" s="454"/>
      <c r="CH158" s="454"/>
      <c r="CI158" s="454"/>
      <c r="CJ158" s="454"/>
      <c r="CK158" s="454"/>
      <c r="CL158" s="454"/>
      <c r="CM158" s="454"/>
      <c r="CN158" s="454"/>
      <c r="CO158" s="454"/>
      <c r="CP158" s="454"/>
      <c r="CQ158" s="454"/>
      <c r="CR158" s="454"/>
      <c r="CS158" s="454"/>
      <c r="CT158" s="454"/>
      <c r="CU158" s="454"/>
      <c r="CV158" s="517"/>
      <c r="CW158" s="517">
        <f t="shared" si="17"/>
        <v>37</v>
      </c>
      <c r="CX158" s="517"/>
      <c r="CY158" s="517"/>
      <c r="CZ158" s="517"/>
      <c r="DA158" s="517">
        <f t="shared" si="18"/>
        <v>111</v>
      </c>
      <c r="DB158" s="517"/>
      <c r="DC158" s="517"/>
      <c r="DD158" s="517"/>
      <c r="DE158" s="517"/>
      <c r="DF158" s="517"/>
      <c r="DG158" s="517"/>
      <c r="DH158" s="517"/>
      <c r="DI158" s="454"/>
      <c r="DJ158" s="454"/>
      <c r="DK158" s="454"/>
      <c r="DL158" s="454">
        <v>2</v>
      </c>
      <c r="DM158" s="454">
        <v>8</v>
      </c>
      <c r="DN158" s="454">
        <v>1</v>
      </c>
      <c r="DO158" s="454">
        <v>3</v>
      </c>
      <c r="DP158" s="454">
        <v>2</v>
      </c>
      <c r="DQ158" s="454"/>
      <c r="DR158" s="454"/>
      <c r="DS158" s="454">
        <v>1</v>
      </c>
      <c r="DT158" s="454">
        <v>6</v>
      </c>
      <c r="DU158" s="454"/>
      <c r="DV158" s="454"/>
      <c r="DW158" s="454"/>
      <c r="DX158" s="454"/>
      <c r="DY158" s="454"/>
      <c r="DZ158" s="454">
        <v>4</v>
      </c>
      <c r="EA158" s="454"/>
      <c r="EB158" s="454"/>
      <c r="EC158" s="454"/>
      <c r="ED158" s="454"/>
      <c r="EE158" s="454"/>
      <c r="EF158" s="454"/>
      <c r="EG158" s="454"/>
      <c r="EH158" s="454"/>
      <c r="EI158" s="454"/>
      <c r="EJ158" s="454"/>
      <c r="EK158" s="454"/>
      <c r="EL158" s="454"/>
      <c r="EM158" s="454"/>
      <c r="EN158" s="454"/>
      <c r="EO158" s="454"/>
      <c r="EP158" s="454"/>
      <c r="EQ158" s="454"/>
      <c r="ER158" s="454"/>
      <c r="ES158" s="454"/>
      <c r="ET158" s="454"/>
      <c r="EU158" s="454"/>
      <c r="EV158" s="454"/>
      <c r="EW158" s="454"/>
      <c r="EX158" s="454"/>
      <c r="EY158" s="454"/>
      <c r="EZ158" s="454"/>
      <c r="FA158" s="454"/>
      <c r="FB158" s="454"/>
      <c r="FC158" s="454"/>
      <c r="FD158" s="454"/>
      <c r="FE158" s="454"/>
      <c r="FF158" s="454"/>
      <c r="FG158" s="290"/>
    </row>
    <row r="159" spans="1:163" s="4" customFormat="1">
      <c r="A159" s="56"/>
      <c r="B159" s="56"/>
      <c r="C159" s="498" t="s">
        <v>3634</v>
      </c>
      <c r="D159" s="498"/>
      <c r="E159" s="454">
        <v>56.1</v>
      </c>
      <c r="F159" s="454"/>
      <c r="G159" s="454"/>
      <c r="H159" s="454"/>
      <c r="I159" s="454"/>
      <c r="J159" s="454"/>
      <c r="K159" s="454"/>
      <c r="L159" s="454"/>
      <c r="M159" s="454"/>
      <c r="N159" s="454"/>
      <c r="O159" s="454"/>
      <c r="P159" s="454"/>
      <c r="Q159" s="454"/>
      <c r="R159" s="290"/>
      <c r="S159" s="290"/>
      <c r="T159" s="454" t="s">
        <v>1631</v>
      </c>
      <c r="U159" s="454" t="s">
        <v>1631</v>
      </c>
      <c r="V159" s="454"/>
      <c r="W159" s="454"/>
      <c r="X159" s="454"/>
      <c r="Y159" s="454"/>
      <c r="Z159" s="454"/>
      <c r="AA159" s="454"/>
      <c r="AB159" s="454"/>
      <c r="AC159" s="454"/>
      <c r="AD159" s="454"/>
      <c r="AE159" s="454"/>
      <c r="AF159" s="454"/>
      <c r="AG159" s="454"/>
      <c r="AH159" s="454"/>
      <c r="AI159" s="454"/>
      <c r="AJ159" s="454"/>
      <c r="AK159" s="454"/>
      <c r="AL159" s="454"/>
      <c r="AM159" s="454"/>
      <c r="AN159" s="454"/>
      <c r="AO159" s="454"/>
      <c r="AP159" s="454"/>
      <c r="AQ159" s="454"/>
      <c r="AR159" s="454"/>
      <c r="AS159" s="454"/>
      <c r="AT159" s="454"/>
      <c r="AU159" s="454"/>
      <c r="AV159" s="454"/>
      <c r="AW159" s="454"/>
      <c r="AX159" s="454"/>
      <c r="AY159" s="454"/>
      <c r="AZ159" s="454"/>
      <c r="BA159" s="454"/>
      <c r="BB159" s="454"/>
      <c r="BC159" s="454"/>
      <c r="BD159" s="454"/>
      <c r="BE159" s="454"/>
      <c r="BF159" s="454"/>
      <c r="BG159" s="454"/>
      <c r="BH159" s="454"/>
      <c r="BI159" s="454"/>
      <c r="BJ159" s="454"/>
      <c r="BK159" s="454"/>
      <c r="BL159" s="454"/>
      <c r="BM159" s="454"/>
      <c r="BN159" s="454"/>
      <c r="BO159" s="454"/>
      <c r="BP159" s="454"/>
      <c r="BQ159" s="454"/>
      <c r="BR159" s="454"/>
      <c r="BS159" s="454"/>
      <c r="BT159" s="454"/>
      <c r="BU159" s="454"/>
      <c r="BV159" s="454"/>
      <c r="BW159" s="454"/>
      <c r="BX159" s="454"/>
      <c r="BY159" s="454"/>
      <c r="BZ159" s="454"/>
      <c r="CA159" s="454"/>
      <c r="CB159" s="454"/>
      <c r="CC159" s="454"/>
      <c r="CD159" s="454"/>
      <c r="CE159" s="454"/>
      <c r="CF159" s="454"/>
      <c r="CG159" s="454"/>
      <c r="CH159" s="454"/>
      <c r="CI159" s="454"/>
      <c r="CJ159" s="454"/>
      <c r="CK159" s="454"/>
      <c r="CL159" s="454"/>
      <c r="CM159" s="454"/>
      <c r="CN159" s="454"/>
      <c r="CO159" s="454"/>
      <c r="CP159" s="454"/>
      <c r="CQ159" s="454"/>
      <c r="CR159" s="454"/>
      <c r="CS159" s="454"/>
      <c r="CT159" s="454"/>
      <c r="CU159" s="454"/>
      <c r="CV159" s="517"/>
      <c r="CW159" s="517">
        <f t="shared" si="17"/>
        <v>56.1</v>
      </c>
      <c r="CX159" s="517"/>
      <c r="CY159" s="517"/>
      <c r="CZ159" s="517"/>
      <c r="DA159" s="517">
        <f t="shared" si="18"/>
        <v>168.3</v>
      </c>
      <c r="DB159" s="517"/>
      <c r="DC159" s="517"/>
      <c r="DD159" s="517"/>
      <c r="DE159" s="517"/>
      <c r="DF159" s="517"/>
      <c r="DG159" s="517"/>
      <c r="DH159" s="517"/>
      <c r="DI159" s="454"/>
      <c r="DJ159" s="454"/>
      <c r="DK159" s="454"/>
      <c r="DL159" s="454">
        <v>1</v>
      </c>
      <c r="DM159" s="454">
        <v>4</v>
      </c>
      <c r="DN159" s="454">
        <v>1</v>
      </c>
      <c r="DO159" s="454">
        <v>4</v>
      </c>
      <c r="DP159" s="454">
        <v>5</v>
      </c>
      <c r="DQ159" s="454"/>
      <c r="DR159" s="454"/>
      <c r="DS159" s="454"/>
      <c r="DT159" s="454"/>
      <c r="DU159" s="454"/>
      <c r="DV159" s="454"/>
      <c r="DW159" s="454"/>
      <c r="DX159" s="454"/>
      <c r="DY159" s="454"/>
      <c r="DZ159" s="454">
        <v>2</v>
      </c>
      <c r="EA159" s="454"/>
      <c r="EB159" s="454"/>
      <c r="EC159" s="454"/>
      <c r="ED159" s="454"/>
      <c r="EE159" s="454"/>
      <c r="EF159" s="454"/>
      <c r="EG159" s="454"/>
      <c r="EH159" s="454"/>
      <c r="EI159" s="454"/>
      <c r="EJ159" s="454"/>
      <c r="EK159" s="454"/>
      <c r="EL159" s="454"/>
      <c r="EM159" s="454"/>
      <c r="EN159" s="454"/>
      <c r="EO159" s="454"/>
      <c r="EP159" s="454"/>
      <c r="EQ159" s="454"/>
      <c r="ER159" s="454"/>
      <c r="ES159" s="454"/>
      <c r="ET159" s="454"/>
      <c r="EU159" s="454"/>
      <c r="EV159" s="454"/>
      <c r="EW159" s="454"/>
      <c r="EX159" s="454"/>
      <c r="EY159" s="454"/>
      <c r="EZ159" s="454"/>
      <c r="FA159" s="454"/>
      <c r="FB159" s="454"/>
      <c r="FC159" s="454"/>
      <c r="FD159" s="454"/>
      <c r="FE159" s="454"/>
      <c r="FF159" s="454"/>
      <c r="FG159" s="290"/>
    </row>
    <row r="160" spans="1:163" s="4" customFormat="1">
      <c r="A160" s="56"/>
      <c r="B160" s="56"/>
      <c r="C160" s="498" t="s">
        <v>3635</v>
      </c>
      <c r="D160" s="498"/>
      <c r="E160" s="454">
        <v>26</v>
      </c>
      <c r="F160" s="454"/>
      <c r="G160" s="454"/>
      <c r="H160" s="454"/>
      <c r="I160" s="454"/>
      <c r="J160" s="454"/>
      <c r="K160" s="454"/>
      <c r="L160" s="454"/>
      <c r="M160" s="454"/>
      <c r="N160" s="454"/>
      <c r="O160" s="454"/>
      <c r="P160" s="454"/>
      <c r="Q160" s="454"/>
      <c r="R160" s="290"/>
      <c r="S160" s="290"/>
      <c r="T160" s="454" t="s">
        <v>1631</v>
      </c>
      <c r="U160" s="454" t="s">
        <v>1631</v>
      </c>
      <c r="V160" s="454"/>
      <c r="W160" s="454"/>
      <c r="X160" s="454"/>
      <c r="Y160" s="454"/>
      <c r="Z160" s="454"/>
      <c r="AA160" s="454"/>
      <c r="AB160" s="454"/>
      <c r="AC160" s="454"/>
      <c r="AD160" s="454"/>
      <c r="AE160" s="454"/>
      <c r="AF160" s="454"/>
      <c r="AG160" s="454"/>
      <c r="AH160" s="454"/>
      <c r="AI160" s="454"/>
      <c r="AJ160" s="454"/>
      <c r="AK160" s="454"/>
      <c r="AL160" s="454"/>
      <c r="AM160" s="454"/>
      <c r="AN160" s="454"/>
      <c r="AO160" s="454"/>
      <c r="AP160" s="454"/>
      <c r="AQ160" s="454"/>
      <c r="AR160" s="454"/>
      <c r="AS160" s="454"/>
      <c r="AT160" s="454"/>
      <c r="AU160" s="454"/>
      <c r="AV160" s="454"/>
      <c r="AW160" s="454"/>
      <c r="AX160" s="454"/>
      <c r="AY160" s="454"/>
      <c r="AZ160" s="454"/>
      <c r="BA160" s="454"/>
      <c r="BB160" s="454"/>
      <c r="BC160" s="454"/>
      <c r="BD160" s="454"/>
      <c r="BE160" s="454"/>
      <c r="BF160" s="454"/>
      <c r="BG160" s="454"/>
      <c r="BH160" s="454"/>
      <c r="BI160" s="454"/>
      <c r="BJ160" s="454"/>
      <c r="BK160" s="454"/>
      <c r="BL160" s="454"/>
      <c r="BM160" s="454"/>
      <c r="BN160" s="454"/>
      <c r="BO160" s="454"/>
      <c r="BP160" s="454"/>
      <c r="BQ160" s="454"/>
      <c r="BR160" s="454"/>
      <c r="BS160" s="454"/>
      <c r="BT160" s="454"/>
      <c r="BU160" s="454"/>
      <c r="BV160" s="454"/>
      <c r="BW160" s="454"/>
      <c r="BX160" s="454"/>
      <c r="BY160" s="454"/>
      <c r="BZ160" s="454"/>
      <c r="CA160" s="454"/>
      <c r="CB160" s="454"/>
      <c r="CC160" s="454"/>
      <c r="CD160" s="454"/>
      <c r="CE160" s="454"/>
      <c r="CF160" s="454"/>
      <c r="CG160" s="454"/>
      <c r="CH160" s="454"/>
      <c r="CI160" s="454"/>
      <c r="CJ160" s="454"/>
      <c r="CK160" s="454"/>
      <c r="CL160" s="454"/>
      <c r="CM160" s="454"/>
      <c r="CN160" s="454"/>
      <c r="CO160" s="454"/>
      <c r="CP160" s="454"/>
      <c r="CQ160" s="454"/>
      <c r="CR160" s="454"/>
      <c r="CS160" s="454"/>
      <c r="CT160" s="454"/>
      <c r="CU160" s="454"/>
      <c r="CV160" s="517"/>
      <c r="CW160" s="517">
        <f t="shared" si="17"/>
        <v>26</v>
      </c>
      <c r="CX160" s="517"/>
      <c r="CY160" s="517"/>
      <c r="CZ160" s="517"/>
      <c r="DA160" s="517">
        <f t="shared" si="18"/>
        <v>78</v>
      </c>
      <c r="DB160" s="517"/>
      <c r="DC160" s="517"/>
      <c r="DD160" s="517"/>
      <c r="DE160" s="517"/>
      <c r="DF160" s="517"/>
      <c r="DG160" s="517"/>
      <c r="DH160" s="517"/>
      <c r="DI160" s="454"/>
      <c r="DJ160" s="454"/>
      <c r="DK160" s="454"/>
      <c r="DL160" s="454">
        <v>1</v>
      </c>
      <c r="DM160" s="454">
        <v>4</v>
      </c>
      <c r="DN160" s="454">
        <v>1</v>
      </c>
      <c r="DO160" s="454">
        <v>4</v>
      </c>
      <c r="DP160" s="454">
        <v>4</v>
      </c>
      <c r="DQ160" s="454"/>
      <c r="DR160" s="454"/>
      <c r="DS160" s="454"/>
      <c r="DT160" s="454"/>
      <c r="DU160" s="454"/>
      <c r="DV160" s="454"/>
      <c r="DW160" s="454"/>
      <c r="DX160" s="454"/>
      <c r="DY160" s="454"/>
      <c r="DZ160" s="454">
        <v>2</v>
      </c>
      <c r="EA160" s="454"/>
      <c r="EB160" s="454"/>
      <c r="EC160" s="454"/>
      <c r="ED160" s="454"/>
      <c r="EE160" s="454"/>
      <c r="EF160" s="454"/>
      <c r="EG160" s="454"/>
      <c r="EH160" s="454"/>
      <c r="EI160" s="454"/>
      <c r="EJ160" s="454"/>
      <c r="EK160" s="454"/>
      <c r="EL160" s="454"/>
      <c r="EM160" s="454"/>
      <c r="EN160" s="454"/>
      <c r="EO160" s="454"/>
      <c r="EP160" s="454"/>
      <c r="EQ160" s="454"/>
      <c r="ER160" s="454"/>
      <c r="ES160" s="454"/>
      <c r="ET160" s="454"/>
      <c r="EU160" s="454"/>
      <c r="EV160" s="454"/>
      <c r="EW160" s="454"/>
      <c r="EX160" s="454"/>
      <c r="EY160" s="454"/>
      <c r="EZ160" s="454"/>
      <c r="FA160" s="454"/>
      <c r="FB160" s="454"/>
      <c r="FC160" s="454"/>
      <c r="FD160" s="454"/>
      <c r="FE160" s="454"/>
      <c r="FF160" s="454"/>
      <c r="FG160" s="290"/>
    </row>
    <row r="161" spans="1:163" s="4" customFormat="1">
      <c r="A161" s="56"/>
      <c r="B161" s="56"/>
      <c r="C161" s="498" t="s">
        <v>3636</v>
      </c>
      <c r="D161" s="498"/>
      <c r="E161" s="454">
        <v>34.799999999999997</v>
      </c>
      <c r="F161" s="454"/>
      <c r="G161" s="454"/>
      <c r="H161" s="454"/>
      <c r="I161" s="454"/>
      <c r="J161" s="454"/>
      <c r="K161" s="454"/>
      <c r="L161" s="454"/>
      <c r="M161" s="454"/>
      <c r="N161" s="454"/>
      <c r="O161" s="454"/>
      <c r="P161" s="454"/>
      <c r="Q161" s="454"/>
      <c r="R161" s="290"/>
      <c r="S161" s="290"/>
      <c r="T161" s="454" t="s">
        <v>2990</v>
      </c>
      <c r="U161" s="454" t="s">
        <v>2990</v>
      </c>
      <c r="V161" s="454"/>
      <c r="W161" s="454"/>
      <c r="X161" s="454"/>
      <c r="Y161" s="454"/>
      <c r="Z161" s="454"/>
      <c r="AA161" s="454"/>
      <c r="AB161" s="454"/>
      <c r="AC161" s="454"/>
      <c r="AD161" s="454"/>
      <c r="AE161" s="454"/>
      <c r="AF161" s="454"/>
      <c r="AG161" s="454"/>
      <c r="AH161" s="454"/>
      <c r="AI161" s="454"/>
      <c r="AJ161" s="454"/>
      <c r="AK161" s="454"/>
      <c r="AL161" s="454"/>
      <c r="AM161" s="454"/>
      <c r="AN161" s="454"/>
      <c r="AO161" s="454"/>
      <c r="AP161" s="454"/>
      <c r="AQ161" s="454"/>
      <c r="AR161" s="454"/>
      <c r="AS161" s="454"/>
      <c r="AT161" s="454"/>
      <c r="AU161" s="454"/>
      <c r="AV161" s="454"/>
      <c r="AW161" s="454"/>
      <c r="AX161" s="454"/>
      <c r="AY161" s="454"/>
      <c r="AZ161" s="454"/>
      <c r="BA161" s="454"/>
      <c r="BB161" s="454"/>
      <c r="BC161" s="454"/>
      <c r="BD161" s="454"/>
      <c r="BE161" s="454"/>
      <c r="BF161" s="454"/>
      <c r="BG161" s="454"/>
      <c r="BH161" s="454"/>
      <c r="BI161" s="454"/>
      <c r="BJ161" s="454"/>
      <c r="BK161" s="454"/>
      <c r="BL161" s="454"/>
      <c r="BM161" s="454"/>
      <c r="BN161" s="454"/>
      <c r="BO161" s="454"/>
      <c r="BP161" s="454"/>
      <c r="BQ161" s="454"/>
      <c r="BR161" s="454"/>
      <c r="BS161" s="454"/>
      <c r="BT161" s="454"/>
      <c r="BU161" s="454"/>
      <c r="BV161" s="454"/>
      <c r="BW161" s="454"/>
      <c r="BX161" s="454"/>
      <c r="BY161" s="454"/>
      <c r="BZ161" s="454"/>
      <c r="CA161" s="454"/>
      <c r="CB161" s="454"/>
      <c r="CC161" s="454"/>
      <c r="CD161" s="454"/>
      <c r="CE161" s="454"/>
      <c r="CF161" s="454"/>
      <c r="CG161" s="454"/>
      <c r="CH161" s="454"/>
      <c r="CI161" s="454"/>
      <c r="CJ161" s="454"/>
      <c r="CK161" s="454"/>
      <c r="CL161" s="454"/>
      <c r="CM161" s="454"/>
      <c r="CN161" s="454"/>
      <c r="CO161" s="454"/>
      <c r="CP161" s="454"/>
      <c r="CQ161" s="454"/>
      <c r="CR161" s="454"/>
      <c r="CS161" s="454"/>
      <c r="CT161" s="454"/>
      <c r="CU161" s="454"/>
      <c r="CV161" s="517"/>
      <c r="CW161" s="517">
        <f t="shared" si="17"/>
        <v>34.799999999999997</v>
      </c>
      <c r="CX161" s="517"/>
      <c r="CY161" s="517"/>
      <c r="CZ161" s="517"/>
      <c r="DA161" s="517">
        <f t="shared" si="18"/>
        <v>104.39999999999999</v>
      </c>
      <c r="DB161" s="517"/>
      <c r="DC161" s="517"/>
      <c r="DD161" s="517"/>
      <c r="DE161" s="517"/>
      <c r="DF161" s="517"/>
      <c r="DG161" s="517"/>
      <c r="DH161" s="517"/>
      <c r="DI161" s="454"/>
      <c r="DJ161" s="454"/>
      <c r="DK161" s="454"/>
      <c r="DL161" s="454">
        <v>1</v>
      </c>
      <c r="DM161" s="454">
        <v>4</v>
      </c>
      <c r="DN161" s="454">
        <v>2</v>
      </c>
      <c r="DO161" s="454">
        <v>8</v>
      </c>
      <c r="DP161" s="454">
        <v>6</v>
      </c>
      <c r="DQ161" s="454"/>
      <c r="DR161" s="454"/>
      <c r="DS161" s="454">
        <v>1</v>
      </c>
      <c r="DT161" s="454"/>
      <c r="DU161" s="454">
        <v>8</v>
      </c>
      <c r="DV161" s="454"/>
      <c r="DW161" s="454"/>
      <c r="DX161" s="454"/>
      <c r="DY161" s="454"/>
      <c r="DZ161" s="454">
        <v>3</v>
      </c>
      <c r="EA161" s="454"/>
      <c r="EB161" s="454"/>
      <c r="EC161" s="454"/>
      <c r="ED161" s="454"/>
      <c r="EE161" s="454"/>
      <c r="EF161" s="454"/>
      <c r="EG161" s="454"/>
      <c r="EH161" s="454"/>
      <c r="EI161" s="454"/>
      <c r="EJ161" s="454"/>
      <c r="EK161" s="454"/>
      <c r="EL161" s="454"/>
      <c r="EM161" s="454"/>
      <c r="EN161" s="454"/>
      <c r="EO161" s="454"/>
      <c r="EP161" s="454"/>
      <c r="EQ161" s="454"/>
      <c r="ER161" s="454"/>
      <c r="ES161" s="454"/>
      <c r="ET161" s="454"/>
      <c r="EU161" s="454"/>
      <c r="EV161" s="454"/>
      <c r="EW161" s="454"/>
      <c r="EX161" s="454"/>
      <c r="EY161" s="454"/>
      <c r="EZ161" s="454"/>
      <c r="FA161" s="454"/>
      <c r="FB161" s="454"/>
      <c r="FC161" s="454"/>
      <c r="FD161" s="454"/>
      <c r="FE161" s="454"/>
      <c r="FF161" s="454"/>
      <c r="FG161" s="290"/>
    </row>
    <row r="162" spans="1:163" s="4" customFormat="1">
      <c r="A162" s="56"/>
      <c r="B162" s="56"/>
      <c r="C162" s="498" t="s">
        <v>3637</v>
      </c>
      <c r="D162" s="498"/>
      <c r="E162" s="454">
        <v>57.1</v>
      </c>
      <c r="F162" s="454"/>
      <c r="G162" s="454"/>
      <c r="H162" s="454"/>
      <c r="I162" s="454"/>
      <c r="J162" s="454"/>
      <c r="K162" s="454"/>
      <c r="L162" s="454"/>
      <c r="M162" s="454"/>
      <c r="N162" s="454"/>
      <c r="O162" s="454"/>
      <c r="P162" s="454"/>
      <c r="Q162" s="454"/>
      <c r="R162" s="290"/>
      <c r="S162" s="290"/>
      <c r="T162" s="454" t="s">
        <v>2990</v>
      </c>
      <c r="U162" s="454" t="s">
        <v>2990</v>
      </c>
      <c r="V162" s="454"/>
      <c r="W162" s="454"/>
      <c r="X162" s="454"/>
      <c r="Y162" s="454"/>
      <c r="Z162" s="454"/>
      <c r="AA162" s="454"/>
      <c r="AB162" s="454"/>
      <c r="AC162" s="454"/>
      <c r="AD162" s="454"/>
      <c r="AE162" s="454"/>
      <c r="AF162" s="454"/>
      <c r="AG162" s="454"/>
      <c r="AH162" s="454"/>
      <c r="AI162" s="454"/>
      <c r="AJ162" s="454"/>
      <c r="AK162" s="454"/>
      <c r="AL162" s="454"/>
      <c r="AM162" s="454"/>
      <c r="AN162" s="454"/>
      <c r="AO162" s="454"/>
      <c r="AP162" s="454"/>
      <c r="AQ162" s="454"/>
      <c r="AR162" s="454"/>
      <c r="AS162" s="454"/>
      <c r="AT162" s="454"/>
      <c r="AU162" s="454"/>
      <c r="AV162" s="454"/>
      <c r="AW162" s="454"/>
      <c r="AX162" s="454"/>
      <c r="AY162" s="454"/>
      <c r="AZ162" s="454"/>
      <c r="BA162" s="454"/>
      <c r="BB162" s="454"/>
      <c r="BC162" s="454"/>
      <c r="BD162" s="454"/>
      <c r="BE162" s="454"/>
      <c r="BF162" s="454"/>
      <c r="BG162" s="454"/>
      <c r="BH162" s="454"/>
      <c r="BI162" s="454"/>
      <c r="BJ162" s="454"/>
      <c r="BK162" s="454"/>
      <c r="BL162" s="454"/>
      <c r="BM162" s="454"/>
      <c r="BN162" s="454"/>
      <c r="BO162" s="454"/>
      <c r="BP162" s="454"/>
      <c r="BQ162" s="454"/>
      <c r="BR162" s="454"/>
      <c r="BS162" s="454"/>
      <c r="BT162" s="454"/>
      <c r="BU162" s="454"/>
      <c r="BV162" s="454"/>
      <c r="BW162" s="454"/>
      <c r="BX162" s="454"/>
      <c r="BY162" s="454"/>
      <c r="BZ162" s="454"/>
      <c r="CA162" s="454"/>
      <c r="CB162" s="454"/>
      <c r="CC162" s="454"/>
      <c r="CD162" s="454"/>
      <c r="CE162" s="454"/>
      <c r="CF162" s="454"/>
      <c r="CG162" s="454"/>
      <c r="CH162" s="454"/>
      <c r="CI162" s="454"/>
      <c r="CJ162" s="454"/>
      <c r="CK162" s="454"/>
      <c r="CL162" s="454"/>
      <c r="CM162" s="454"/>
      <c r="CN162" s="454"/>
      <c r="CO162" s="454"/>
      <c r="CP162" s="454"/>
      <c r="CQ162" s="454"/>
      <c r="CR162" s="454"/>
      <c r="CS162" s="454"/>
      <c r="CT162" s="454"/>
      <c r="CU162" s="454"/>
      <c r="CV162" s="517"/>
      <c r="CW162" s="517">
        <f t="shared" si="17"/>
        <v>57.1</v>
      </c>
      <c r="CX162" s="517"/>
      <c r="CY162" s="517"/>
      <c r="CZ162" s="517"/>
      <c r="DA162" s="517">
        <f t="shared" si="18"/>
        <v>171.3</v>
      </c>
      <c r="DB162" s="517"/>
      <c r="DC162" s="517"/>
      <c r="DD162" s="517"/>
      <c r="DE162" s="517"/>
      <c r="DF162" s="517"/>
      <c r="DG162" s="517"/>
      <c r="DH162" s="517"/>
      <c r="DI162" s="454"/>
      <c r="DJ162" s="454"/>
      <c r="DK162" s="454"/>
      <c r="DL162" s="454">
        <v>1</v>
      </c>
      <c r="DM162" s="454">
        <v>4</v>
      </c>
      <c r="DN162" s="454">
        <v>1</v>
      </c>
      <c r="DO162" s="454">
        <v>4</v>
      </c>
      <c r="DP162" s="454">
        <v>4</v>
      </c>
      <c r="DQ162" s="454"/>
      <c r="DR162" s="454"/>
      <c r="DS162" s="454"/>
      <c r="DT162" s="454"/>
      <c r="DU162" s="454">
        <v>7</v>
      </c>
      <c r="DV162" s="454"/>
      <c r="DW162" s="454"/>
      <c r="DX162" s="454"/>
      <c r="DY162" s="454"/>
      <c r="DZ162" s="454">
        <v>2</v>
      </c>
      <c r="EA162" s="454"/>
      <c r="EB162" s="454"/>
      <c r="EC162" s="454"/>
      <c r="ED162" s="454"/>
      <c r="EE162" s="454"/>
      <c r="EF162" s="454"/>
      <c r="EG162" s="454"/>
      <c r="EH162" s="454"/>
      <c r="EI162" s="454"/>
      <c r="EJ162" s="454"/>
      <c r="EK162" s="454"/>
      <c r="EL162" s="454"/>
      <c r="EM162" s="454"/>
      <c r="EN162" s="454"/>
      <c r="EO162" s="454"/>
      <c r="EP162" s="454"/>
      <c r="EQ162" s="454"/>
      <c r="ER162" s="454"/>
      <c r="ES162" s="454"/>
      <c r="ET162" s="454"/>
      <c r="EU162" s="454"/>
      <c r="EV162" s="454"/>
      <c r="EW162" s="454"/>
      <c r="EX162" s="454"/>
      <c r="EY162" s="454"/>
      <c r="EZ162" s="454"/>
      <c r="FA162" s="454"/>
      <c r="FB162" s="454"/>
      <c r="FC162" s="454"/>
      <c r="FD162" s="454"/>
      <c r="FE162" s="454"/>
      <c r="FF162" s="454"/>
      <c r="FG162" s="290"/>
    </row>
    <row r="163" spans="1:163" s="4" customFormat="1">
      <c r="A163" s="56"/>
      <c r="B163" s="56"/>
      <c r="C163" s="498" t="s">
        <v>3638</v>
      </c>
      <c r="D163" s="498"/>
      <c r="E163" s="454">
        <f>33.3+27.2</f>
        <v>60.5</v>
      </c>
      <c r="F163" s="454"/>
      <c r="G163" s="454"/>
      <c r="H163" s="454"/>
      <c r="I163" s="454"/>
      <c r="J163" s="454"/>
      <c r="K163" s="454"/>
      <c r="L163" s="454"/>
      <c r="M163" s="454"/>
      <c r="N163" s="454"/>
      <c r="O163" s="454"/>
      <c r="P163" s="454"/>
      <c r="Q163" s="454"/>
      <c r="R163" s="290"/>
      <c r="S163" s="290"/>
      <c r="T163" s="454" t="s">
        <v>2990</v>
      </c>
      <c r="U163" s="454" t="s">
        <v>2990</v>
      </c>
      <c r="V163" s="454"/>
      <c r="W163" s="454"/>
      <c r="X163" s="454"/>
      <c r="Y163" s="454"/>
      <c r="Z163" s="454"/>
      <c r="AA163" s="454"/>
      <c r="AB163" s="454"/>
      <c r="AC163" s="454"/>
      <c r="AD163" s="454"/>
      <c r="AE163" s="454"/>
      <c r="AF163" s="454"/>
      <c r="AG163" s="454"/>
      <c r="AH163" s="454"/>
      <c r="AI163" s="454"/>
      <c r="AJ163" s="454"/>
      <c r="AK163" s="454"/>
      <c r="AL163" s="454"/>
      <c r="AM163" s="454"/>
      <c r="AN163" s="454"/>
      <c r="AO163" s="454"/>
      <c r="AP163" s="454"/>
      <c r="AQ163" s="454"/>
      <c r="AR163" s="454"/>
      <c r="AS163" s="454"/>
      <c r="AT163" s="454"/>
      <c r="AU163" s="454"/>
      <c r="AV163" s="454"/>
      <c r="AW163" s="454"/>
      <c r="AX163" s="454"/>
      <c r="AY163" s="454"/>
      <c r="AZ163" s="454"/>
      <c r="BA163" s="454"/>
      <c r="BB163" s="454"/>
      <c r="BC163" s="454"/>
      <c r="BD163" s="454"/>
      <c r="BE163" s="454"/>
      <c r="BF163" s="454"/>
      <c r="BG163" s="454"/>
      <c r="BH163" s="454"/>
      <c r="BI163" s="454"/>
      <c r="BJ163" s="454"/>
      <c r="BK163" s="454"/>
      <c r="BL163" s="454"/>
      <c r="BM163" s="454"/>
      <c r="BN163" s="454"/>
      <c r="BO163" s="454"/>
      <c r="BP163" s="454"/>
      <c r="BQ163" s="454"/>
      <c r="BR163" s="454"/>
      <c r="BS163" s="454"/>
      <c r="BT163" s="454"/>
      <c r="BU163" s="454"/>
      <c r="BV163" s="454"/>
      <c r="BW163" s="454"/>
      <c r="BX163" s="454"/>
      <c r="BY163" s="454"/>
      <c r="BZ163" s="454"/>
      <c r="CA163" s="454"/>
      <c r="CB163" s="454"/>
      <c r="CC163" s="454"/>
      <c r="CD163" s="454"/>
      <c r="CE163" s="454"/>
      <c r="CF163" s="454"/>
      <c r="CG163" s="454"/>
      <c r="CH163" s="454"/>
      <c r="CI163" s="454"/>
      <c r="CJ163" s="454"/>
      <c r="CK163" s="454"/>
      <c r="CL163" s="454"/>
      <c r="CM163" s="454"/>
      <c r="CN163" s="454"/>
      <c r="CO163" s="454"/>
      <c r="CP163" s="454"/>
      <c r="CQ163" s="454"/>
      <c r="CR163" s="454"/>
      <c r="CS163" s="454"/>
      <c r="CT163" s="454"/>
      <c r="CU163" s="454"/>
      <c r="CV163" s="517"/>
      <c r="CW163" s="517">
        <f t="shared" si="17"/>
        <v>60.5</v>
      </c>
      <c r="CX163" s="517"/>
      <c r="CY163" s="517"/>
      <c r="CZ163" s="517"/>
      <c r="DA163" s="517">
        <f t="shared" si="18"/>
        <v>181.5</v>
      </c>
      <c r="DB163" s="517"/>
      <c r="DC163" s="517"/>
      <c r="DD163" s="517"/>
      <c r="DE163" s="517"/>
      <c r="DF163" s="517"/>
      <c r="DG163" s="517"/>
      <c r="DH163" s="517"/>
      <c r="DI163" s="454"/>
      <c r="DJ163" s="454"/>
      <c r="DK163" s="454"/>
      <c r="DL163" s="454">
        <v>1</v>
      </c>
      <c r="DM163" s="454">
        <v>4</v>
      </c>
      <c r="DN163" s="454">
        <v>1</v>
      </c>
      <c r="DO163" s="454">
        <v>3</v>
      </c>
      <c r="DP163" s="454">
        <v>2</v>
      </c>
      <c r="DQ163" s="454"/>
      <c r="DR163" s="454"/>
      <c r="DS163" s="454">
        <v>2</v>
      </c>
      <c r="DT163" s="454"/>
      <c r="DU163" s="454">
        <v>7</v>
      </c>
      <c r="DV163" s="454"/>
      <c r="DW163" s="454"/>
      <c r="DX163" s="454"/>
      <c r="DY163" s="454"/>
      <c r="DZ163" s="454">
        <v>2</v>
      </c>
      <c r="EA163" s="454"/>
      <c r="EB163" s="454"/>
      <c r="EC163" s="454"/>
      <c r="ED163" s="454"/>
      <c r="EE163" s="454"/>
      <c r="EF163" s="454"/>
      <c r="EG163" s="454"/>
      <c r="EH163" s="454"/>
      <c r="EI163" s="454"/>
      <c r="EJ163" s="454"/>
      <c r="EK163" s="454"/>
      <c r="EL163" s="454"/>
      <c r="EM163" s="454"/>
      <c r="EN163" s="454"/>
      <c r="EO163" s="454"/>
      <c r="EP163" s="454"/>
      <c r="EQ163" s="454"/>
      <c r="ER163" s="454"/>
      <c r="ES163" s="454"/>
      <c r="ET163" s="454"/>
      <c r="EU163" s="454"/>
      <c r="EV163" s="454"/>
      <c r="EW163" s="454"/>
      <c r="EX163" s="454"/>
      <c r="EY163" s="454"/>
      <c r="EZ163" s="454"/>
      <c r="FA163" s="454"/>
      <c r="FB163" s="454"/>
      <c r="FC163" s="454"/>
      <c r="FD163" s="454"/>
      <c r="FE163" s="454"/>
      <c r="FF163" s="454"/>
      <c r="FG163" s="290"/>
    </row>
    <row r="164" spans="1:163" s="4" customFormat="1">
      <c r="A164" s="56"/>
      <c r="B164" s="56"/>
      <c r="C164" s="498"/>
      <c r="D164" s="498"/>
      <c r="E164" s="454"/>
      <c r="F164" s="454"/>
      <c r="G164" s="454"/>
      <c r="H164" s="454"/>
      <c r="I164" s="454"/>
      <c r="J164" s="454"/>
      <c r="K164" s="454"/>
      <c r="L164" s="454"/>
      <c r="M164" s="454"/>
      <c r="N164" s="454"/>
      <c r="O164" s="454"/>
      <c r="P164" s="454"/>
      <c r="Q164" s="454"/>
      <c r="R164" s="290"/>
      <c r="S164" s="290"/>
      <c r="T164" s="454"/>
      <c r="U164" s="454"/>
      <c r="V164" s="454"/>
      <c r="W164" s="454"/>
      <c r="X164" s="454"/>
      <c r="Y164" s="454"/>
      <c r="Z164" s="454"/>
      <c r="AA164" s="454"/>
      <c r="AB164" s="454"/>
      <c r="AC164" s="454"/>
      <c r="AD164" s="454"/>
      <c r="AE164" s="454"/>
      <c r="AF164" s="454"/>
      <c r="AG164" s="454"/>
      <c r="AH164" s="454"/>
      <c r="AI164" s="454"/>
      <c r="AJ164" s="454"/>
      <c r="AK164" s="454"/>
      <c r="AL164" s="454"/>
      <c r="AM164" s="454"/>
      <c r="AN164" s="454"/>
      <c r="AO164" s="454"/>
      <c r="AP164" s="454"/>
      <c r="AQ164" s="454"/>
      <c r="AR164" s="454"/>
      <c r="AS164" s="454"/>
      <c r="AT164" s="454"/>
      <c r="AU164" s="454"/>
      <c r="AV164" s="454"/>
      <c r="AW164" s="454"/>
      <c r="AX164" s="454"/>
      <c r="AY164" s="454"/>
      <c r="AZ164" s="454"/>
      <c r="BA164" s="454"/>
      <c r="BB164" s="454"/>
      <c r="BC164" s="454"/>
      <c r="BD164" s="454"/>
      <c r="BE164" s="454"/>
      <c r="BF164" s="454"/>
      <c r="BG164" s="454"/>
      <c r="BH164" s="454"/>
      <c r="BI164" s="454"/>
      <c r="BJ164" s="454"/>
      <c r="BK164" s="454"/>
      <c r="BL164" s="454"/>
      <c r="BM164" s="454"/>
      <c r="BN164" s="454"/>
      <c r="BO164" s="454"/>
      <c r="BP164" s="454"/>
      <c r="BQ164" s="454"/>
      <c r="BR164" s="454"/>
      <c r="BS164" s="454"/>
      <c r="BT164" s="454"/>
      <c r="BU164" s="454"/>
      <c r="BV164" s="454"/>
      <c r="BW164" s="454"/>
      <c r="BX164" s="454"/>
      <c r="BY164" s="454"/>
      <c r="BZ164" s="454"/>
      <c r="CA164" s="454"/>
      <c r="CB164" s="454"/>
      <c r="CC164" s="454"/>
      <c r="CD164" s="454"/>
      <c r="CE164" s="454"/>
      <c r="CF164" s="454"/>
      <c r="CG164" s="454"/>
      <c r="CH164" s="454"/>
      <c r="CI164" s="454"/>
      <c r="CJ164" s="454"/>
      <c r="CK164" s="454"/>
      <c r="CL164" s="454"/>
      <c r="CM164" s="454"/>
      <c r="CN164" s="454"/>
      <c r="CO164" s="454"/>
      <c r="CP164" s="454"/>
      <c r="CQ164" s="454"/>
      <c r="CR164" s="454"/>
      <c r="CS164" s="454"/>
      <c r="CT164" s="454"/>
      <c r="CU164" s="454"/>
      <c r="CV164" s="517"/>
      <c r="CW164" s="517">
        <f t="shared" si="17"/>
        <v>0</v>
      </c>
      <c r="CX164" s="517"/>
      <c r="CY164" s="517"/>
      <c r="CZ164" s="517"/>
      <c r="DA164" s="517">
        <f t="shared" si="18"/>
        <v>0</v>
      </c>
      <c r="DB164" s="517"/>
      <c r="DC164" s="517"/>
      <c r="DD164" s="517"/>
      <c r="DE164" s="517"/>
      <c r="DF164" s="517"/>
      <c r="DG164" s="517"/>
      <c r="DH164" s="517"/>
      <c r="DI164" s="454"/>
      <c r="DJ164" s="454"/>
      <c r="DK164" s="454"/>
      <c r="DL164" s="454"/>
      <c r="DM164" s="454"/>
      <c r="DN164" s="454"/>
      <c r="DO164" s="454"/>
      <c r="DP164" s="454"/>
      <c r="DQ164" s="454"/>
      <c r="DR164" s="454"/>
      <c r="DS164" s="454"/>
      <c r="DT164" s="454"/>
      <c r="DU164" s="454"/>
      <c r="DV164" s="454"/>
      <c r="DW164" s="454"/>
      <c r="DX164" s="454"/>
      <c r="DY164" s="454"/>
      <c r="DZ164" s="454"/>
      <c r="EA164" s="454"/>
      <c r="EB164" s="454"/>
      <c r="EC164" s="454"/>
      <c r="ED164" s="454"/>
      <c r="EE164" s="454"/>
      <c r="EF164" s="454"/>
      <c r="EG164" s="454"/>
      <c r="EH164" s="454"/>
      <c r="EI164" s="454"/>
      <c r="EJ164" s="454"/>
      <c r="EK164" s="454"/>
      <c r="EL164" s="454"/>
      <c r="EM164" s="454"/>
      <c r="EN164" s="454"/>
      <c r="EO164" s="454"/>
      <c r="EP164" s="454"/>
      <c r="EQ164" s="454"/>
      <c r="ER164" s="454"/>
      <c r="ES164" s="454"/>
      <c r="ET164" s="454"/>
      <c r="EU164" s="454"/>
      <c r="EV164" s="454"/>
      <c r="EW164" s="454"/>
      <c r="EX164" s="454"/>
      <c r="EY164" s="454"/>
      <c r="EZ164" s="454"/>
      <c r="FA164" s="454"/>
      <c r="FB164" s="454"/>
      <c r="FC164" s="454"/>
      <c r="FD164" s="454"/>
      <c r="FE164" s="454"/>
      <c r="FF164" s="454"/>
      <c r="FG164" s="290"/>
    </row>
    <row r="165" spans="1:163" s="4" customFormat="1">
      <c r="A165" s="56"/>
      <c r="B165" s="56"/>
      <c r="C165" s="498"/>
      <c r="D165" s="506" t="s">
        <v>3695</v>
      </c>
      <c r="E165" s="454"/>
      <c r="F165" s="454"/>
      <c r="G165" s="454"/>
      <c r="H165" s="454"/>
      <c r="I165" s="454"/>
      <c r="J165" s="454"/>
      <c r="K165" s="454"/>
      <c r="L165" s="454"/>
      <c r="M165" s="454"/>
      <c r="N165" s="454"/>
      <c r="O165" s="454"/>
      <c r="P165" s="454"/>
      <c r="Q165" s="454"/>
      <c r="R165" s="290"/>
      <c r="S165" s="290"/>
      <c r="T165" s="454"/>
      <c r="U165" s="454"/>
      <c r="V165" s="454"/>
      <c r="W165" s="454"/>
      <c r="X165" s="454"/>
      <c r="Y165" s="454"/>
      <c r="Z165" s="454"/>
      <c r="AA165" s="454"/>
      <c r="AB165" s="454"/>
      <c r="AC165" s="454"/>
      <c r="AD165" s="454"/>
      <c r="AE165" s="454"/>
      <c r="AF165" s="454"/>
      <c r="AG165" s="454"/>
      <c r="AH165" s="454"/>
      <c r="AI165" s="454"/>
      <c r="AJ165" s="454"/>
      <c r="AK165" s="454"/>
      <c r="AL165" s="454"/>
      <c r="AM165" s="454"/>
      <c r="AN165" s="454"/>
      <c r="AO165" s="454"/>
      <c r="AP165" s="454"/>
      <c r="AQ165" s="454"/>
      <c r="AR165" s="454"/>
      <c r="AS165" s="454"/>
      <c r="AT165" s="454"/>
      <c r="AU165" s="454"/>
      <c r="AV165" s="454"/>
      <c r="AW165" s="454"/>
      <c r="AX165" s="454"/>
      <c r="AY165" s="454"/>
      <c r="AZ165" s="454"/>
      <c r="BA165" s="454"/>
      <c r="BB165" s="454"/>
      <c r="BC165" s="454"/>
      <c r="BD165" s="454"/>
      <c r="BE165" s="454"/>
      <c r="BF165" s="454"/>
      <c r="BG165" s="454"/>
      <c r="BH165" s="454"/>
      <c r="BI165" s="454"/>
      <c r="BJ165" s="454"/>
      <c r="BK165" s="454"/>
      <c r="BL165" s="454"/>
      <c r="BM165" s="454"/>
      <c r="BN165" s="454"/>
      <c r="BO165" s="454"/>
      <c r="BP165" s="454"/>
      <c r="BQ165" s="454"/>
      <c r="BR165" s="454"/>
      <c r="BS165" s="454"/>
      <c r="BT165" s="454"/>
      <c r="BU165" s="454"/>
      <c r="BV165" s="454"/>
      <c r="BW165" s="454"/>
      <c r="BX165" s="454"/>
      <c r="BY165" s="454"/>
      <c r="BZ165" s="454"/>
      <c r="CA165" s="454"/>
      <c r="CB165" s="454"/>
      <c r="CC165" s="454"/>
      <c r="CD165" s="454"/>
      <c r="CE165" s="454"/>
      <c r="CF165" s="454"/>
      <c r="CG165" s="454"/>
      <c r="CH165" s="454"/>
      <c r="CI165" s="454"/>
      <c r="CJ165" s="454"/>
      <c r="CK165" s="454"/>
      <c r="CL165" s="454"/>
      <c r="CM165" s="454"/>
      <c r="CN165" s="454"/>
      <c r="CO165" s="454"/>
      <c r="CP165" s="454"/>
      <c r="CQ165" s="454"/>
      <c r="CR165" s="454"/>
      <c r="CS165" s="454"/>
      <c r="CT165" s="454"/>
      <c r="CU165" s="454"/>
      <c r="CV165" s="517"/>
      <c r="CW165" s="517">
        <f t="shared" si="17"/>
        <v>0</v>
      </c>
      <c r="CX165" s="517"/>
      <c r="CY165" s="517"/>
      <c r="CZ165" s="517"/>
      <c r="DA165" s="517">
        <f t="shared" si="18"/>
        <v>0</v>
      </c>
      <c r="DB165" s="517"/>
      <c r="DC165" s="517"/>
      <c r="DD165" s="517"/>
      <c r="DE165" s="517"/>
      <c r="DF165" s="517"/>
      <c r="DG165" s="517"/>
      <c r="DH165" s="517"/>
      <c r="DI165" s="454"/>
      <c r="DJ165" s="454"/>
      <c r="DK165" s="454"/>
      <c r="DL165" s="454"/>
      <c r="DM165" s="454"/>
      <c r="DN165" s="454"/>
      <c r="DO165" s="454"/>
      <c r="DP165" s="454"/>
      <c r="DQ165" s="454"/>
      <c r="DR165" s="454"/>
      <c r="DS165" s="454"/>
      <c r="DT165" s="454"/>
      <c r="DU165" s="454"/>
      <c r="DV165" s="454"/>
      <c r="DW165" s="454"/>
      <c r="DX165" s="454"/>
      <c r="DY165" s="454"/>
      <c r="DZ165" s="454"/>
      <c r="EA165" s="454"/>
      <c r="EB165" s="454"/>
      <c r="EC165" s="454"/>
      <c r="ED165" s="454"/>
      <c r="EE165" s="454"/>
      <c r="EF165" s="454"/>
      <c r="EG165" s="454"/>
      <c r="EH165" s="454"/>
      <c r="EI165" s="454"/>
      <c r="EJ165" s="454"/>
      <c r="EK165" s="454"/>
      <c r="EL165" s="454"/>
      <c r="EM165" s="454"/>
      <c r="EN165" s="454"/>
      <c r="EO165" s="454"/>
      <c r="EP165" s="454"/>
      <c r="EQ165" s="454"/>
      <c r="ER165" s="454"/>
      <c r="ES165" s="454"/>
      <c r="ET165" s="454"/>
      <c r="EU165" s="454"/>
      <c r="EV165" s="454"/>
      <c r="EW165" s="454"/>
      <c r="EX165" s="454"/>
      <c r="EY165" s="454"/>
      <c r="EZ165" s="454"/>
      <c r="FA165" s="454"/>
      <c r="FB165" s="454"/>
      <c r="FC165" s="454"/>
      <c r="FD165" s="454"/>
      <c r="FE165" s="454"/>
      <c r="FF165" s="454"/>
      <c r="FG165" s="290"/>
    </row>
    <row r="166" spans="1:163" s="4" customFormat="1">
      <c r="A166" s="56"/>
      <c r="B166" s="56"/>
      <c r="C166" s="498" t="s">
        <v>3632</v>
      </c>
      <c r="D166" s="498"/>
      <c r="E166" s="454">
        <v>32.700000000000003</v>
      </c>
      <c r="F166" s="454"/>
      <c r="G166" s="454"/>
      <c r="H166" s="454"/>
      <c r="I166" s="454"/>
      <c r="J166" s="454"/>
      <c r="K166" s="454"/>
      <c r="L166" s="454"/>
      <c r="M166" s="454"/>
      <c r="N166" s="454"/>
      <c r="O166" s="454"/>
      <c r="P166" s="454"/>
      <c r="Q166" s="454"/>
      <c r="R166" s="290"/>
      <c r="S166" s="290"/>
      <c r="T166" s="454" t="s">
        <v>1631</v>
      </c>
      <c r="U166" s="454" t="s">
        <v>1631</v>
      </c>
      <c r="V166" s="454"/>
      <c r="W166" s="454"/>
      <c r="X166" s="454"/>
      <c r="Y166" s="454"/>
      <c r="Z166" s="454"/>
      <c r="AA166" s="454"/>
      <c r="AB166" s="454"/>
      <c r="AC166" s="454"/>
      <c r="AD166" s="454"/>
      <c r="AE166" s="454"/>
      <c r="AF166" s="454"/>
      <c r="AG166" s="454"/>
      <c r="AH166" s="454"/>
      <c r="AI166" s="454"/>
      <c r="AJ166" s="454"/>
      <c r="AK166" s="454"/>
      <c r="AL166" s="454"/>
      <c r="AM166" s="454"/>
      <c r="AN166" s="454"/>
      <c r="AO166" s="454"/>
      <c r="AP166" s="454"/>
      <c r="AQ166" s="454"/>
      <c r="AR166" s="454"/>
      <c r="AS166" s="454"/>
      <c r="AT166" s="454"/>
      <c r="AU166" s="454"/>
      <c r="AV166" s="454"/>
      <c r="AW166" s="454"/>
      <c r="AX166" s="454"/>
      <c r="AY166" s="454"/>
      <c r="AZ166" s="454"/>
      <c r="BA166" s="454"/>
      <c r="BB166" s="454"/>
      <c r="BC166" s="454"/>
      <c r="BD166" s="454"/>
      <c r="BE166" s="454"/>
      <c r="BF166" s="454"/>
      <c r="BG166" s="454"/>
      <c r="BH166" s="454"/>
      <c r="BI166" s="454"/>
      <c r="BJ166" s="454"/>
      <c r="BK166" s="454"/>
      <c r="BL166" s="454"/>
      <c r="BM166" s="454"/>
      <c r="BN166" s="454"/>
      <c r="BO166" s="454"/>
      <c r="BP166" s="454"/>
      <c r="BQ166" s="454"/>
      <c r="BR166" s="454"/>
      <c r="BS166" s="454"/>
      <c r="BT166" s="454"/>
      <c r="BU166" s="454"/>
      <c r="BV166" s="454"/>
      <c r="BW166" s="454"/>
      <c r="BX166" s="454"/>
      <c r="BY166" s="454"/>
      <c r="BZ166" s="454"/>
      <c r="CA166" s="454"/>
      <c r="CB166" s="454"/>
      <c r="CC166" s="454"/>
      <c r="CD166" s="454"/>
      <c r="CE166" s="454"/>
      <c r="CF166" s="454"/>
      <c r="CG166" s="454"/>
      <c r="CH166" s="454"/>
      <c r="CI166" s="454"/>
      <c r="CJ166" s="454"/>
      <c r="CK166" s="454"/>
      <c r="CL166" s="454"/>
      <c r="CM166" s="454"/>
      <c r="CN166" s="454"/>
      <c r="CO166" s="454"/>
      <c r="CP166" s="454"/>
      <c r="CQ166" s="454"/>
      <c r="CR166" s="454"/>
      <c r="CS166" s="454"/>
      <c r="CT166" s="454"/>
      <c r="CU166" s="454"/>
      <c r="CV166" s="517"/>
      <c r="CW166" s="517">
        <f t="shared" si="17"/>
        <v>32.700000000000003</v>
      </c>
      <c r="CX166" s="517"/>
      <c r="CY166" s="517"/>
      <c r="CZ166" s="517"/>
      <c r="DA166" s="517">
        <f t="shared" si="18"/>
        <v>98.100000000000009</v>
      </c>
      <c r="DB166" s="517"/>
      <c r="DC166" s="517"/>
      <c r="DD166" s="517"/>
      <c r="DE166" s="517"/>
      <c r="DF166" s="517"/>
      <c r="DG166" s="517"/>
      <c r="DH166" s="517"/>
      <c r="DI166" s="454"/>
      <c r="DJ166" s="454"/>
      <c r="DK166" s="454"/>
      <c r="DL166" s="454">
        <v>1</v>
      </c>
      <c r="DM166" s="454">
        <v>4</v>
      </c>
      <c r="DN166" s="454">
        <v>1</v>
      </c>
      <c r="DO166" s="454">
        <v>4</v>
      </c>
      <c r="DP166" s="454">
        <v>5</v>
      </c>
      <c r="DQ166" s="454"/>
      <c r="DR166" s="454"/>
      <c r="DS166" s="454"/>
      <c r="DT166" s="454"/>
      <c r="DU166" s="454"/>
      <c r="DV166" s="454"/>
      <c r="DW166" s="454"/>
      <c r="DX166" s="454"/>
      <c r="DY166" s="454"/>
      <c r="DZ166" s="454">
        <v>3</v>
      </c>
      <c r="EA166" s="454"/>
      <c r="EB166" s="454"/>
      <c r="EC166" s="454"/>
      <c r="ED166" s="454"/>
      <c r="EE166" s="454"/>
      <c r="EF166" s="454"/>
      <c r="EG166" s="454"/>
      <c r="EH166" s="454"/>
      <c r="EI166" s="454"/>
      <c r="EJ166" s="454"/>
      <c r="EK166" s="454"/>
      <c r="EL166" s="454"/>
      <c r="EM166" s="454"/>
      <c r="EN166" s="454"/>
      <c r="EO166" s="454"/>
      <c r="EP166" s="454"/>
      <c r="EQ166" s="454"/>
      <c r="ER166" s="454"/>
      <c r="ES166" s="454"/>
      <c r="ET166" s="454"/>
      <c r="EU166" s="454"/>
      <c r="EV166" s="454"/>
      <c r="EW166" s="454"/>
      <c r="EX166" s="454"/>
      <c r="EY166" s="454"/>
      <c r="EZ166" s="454"/>
      <c r="FA166" s="454"/>
      <c r="FB166" s="454"/>
      <c r="FC166" s="454"/>
      <c r="FD166" s="454"/>
      <c r="FE166" s="454"/>
      <c r="FF166" s="454"/>
      <c r="FG166" s="290"/>
    </row>
    <row r="167" spans="1:163" s="4" customFormat="1">
      <c r="A167" s="56"/>
      <c r="B167" s="56"/>
      <c r="C167" s="498" t="s">
        <v>3633</v>
      </c>
      <c r="D167" s="498"/>
      <c r="E167" s="454">
        <v>32.200000000000003</v>
      </c>
      <c r="F167" s="454"/>
      <c r="G167" s="454"/>
      <c r="H167" s="454"/>
      <c r="I167" s="454"/>
      <c r="J167" s="454"/>
      <c r="K167" s="454"/>
      <c r="L167" s="454"/>
      <c r="M167" s="454"/>
      <c r="N167" s="454"/>
      <c r="O167" s="454"/>
      <c r="P167" s="454"/>
      <c r="Q167" s="454"/>
      <c r="R167" s="290"/>
      <c r="S167" s="290"/>
      <c r="T167" s="454" t="s">
        <v>1631</v>
      </c>
      <c r="U167" s="454" t="s">
        <v>1631</v>
      </c>
      <c r="V167" s="454"/>
      <c r="W167" s="454"/>
      <c r="X167" s="454"/>
      <c r="Y167" s="454"/>
      <c r="Z167" s="454"/>
      <c r="AA167" s="454"/>
      <c r="AB167" s="454"/>
      <c r="AC167" s="454"/>
      <c r="AD167" s="454"/>
      <c r="AE167" s="454"/>
      <c r="AF167" s="454"/>
      <c r="AG167" s="454"/>
      <c r="AH167" s="454"/>
      <c r="AI167" s="454"/>
      <c r="AJ167" s="454"/>
      <c r="AK167" s="454"/>
      <c r="AL167" s="454"/>
      <c r="AM167" s="454"/>
      <c r="AN167" s="454"/>
      <c r="AO167" s="454"/>
      <c r="AP167" s="454"/>
      <c r="AQ167" s="454"/>
      <c r="AR167" s="454"/>
      <c r="AS167" s="454"/>
      <c r="AT167" s="454"/>
      <c r="AU167" s="454"/>
      <c r="AV167" s="454"/>
      <c r="AW167" s="454"/>
      <c r="AX167" s="454"/>
      <c r="AY167" s="454"/>
      <c r="AZ167" s="454"/>
      <c r="BA167" s="454"/>
      <c r="BB167" s="454"/>
      <c r="BC167" s="454"/>
      <c r="BD167" s="454"/>
      <c r="BE167" s="454"/>
      <c r="BF167" s="454"/>
      <c r="BG167" s="454"/>
      <c r="BH167" s="454"/>
      <c r="BI167" s="454"/>
      <c r="BJ167" s="454"/>
      <c r="BK167" s="454"/>
      <c r="BL167" s="454"/>
      <c r="BM167" s="454"/>
      <c r="BN167" s="454"/>
      <c r="BO167" s="454"/>
      <c r="BP167" s="454"/>
      <c r="BQ167" s="454"/>
      <c r="BR167" s="454"/>
      <c r="BS167" s="454"/>
      <c r="BT167" s="454"/>
      <c r="BU167" s="454"/>
      <c r="BV167" s="454"/>
      <c r="BW167" s="454"/>
      <c r="BX167" s="454"/>
      <c r="BY167" s="454"/>
      <c r="BZ167" s="454"/>
      <c r="CA167" s="454"/>
      <c r="CB167" s="454"/>
      <c r="CC167" s="454"/>
      <c r="CD167" s="454"/>
      <c r="CE167" s="454"/>
      <c r="CF167" s="454"/>
      <c r="CG167" s="454"/>
      <c r="CH167" s="454"/>
      <c r="CI167" s="454"/>
      <c r="CJ167" s="454"/>
      <c r="CK167" s="454"/>
      <c r="CL167" s="454"/>
      <c r="CM167" s="454"/>
      <c r="CN167" s="454"/>
      <c r="CO167" s="454"/>
      <c r="CP167" s="454"/>
      <c r="CQ167" s="454"/>
      <c r="CR167" s="454"/>
      <c r="CS167" s="454"/>
      <c r="CT167" s="454"/>
      <c r="CU167" s="454"/>
      <c r="CV167" s="517"/>
      <c r="CW167" s="517">
        <f t="shared" si="17"/>
        <v>32.200000000000003</v>
      </c>
      <c r="CX167" s="517"/>
      <c r="CY167" s="517"/>
      <c r="CZ167" s="517"/>
      <c r="DA167" s="517">
        <f t="shared" si="18"/>
        <v>96.600000000000009</v>
      </c>
      <c r="DB167" s="517"/>
      <c r="DC167" s="517"/>
      <c r="DD167" s="517"/>
      <c r="DE167" s="517"/>
      <c r="DF167" s="517"/>
      <c r="DG167" s="517"/>
      <c r="DH167" s="517"/>
      <c r="DI167" s="454"/>
      <c r="DJ167" s="454"/>
      <c r="DK167" s="454"/>
      <c r="DL167" s="454">
        <v>1</v>
      </c>
      <c r="DM167" s="454">
        <v>4</v>
      </c>
      <c r="DN167" s="454"/>
      <c r="DO167" s="454"/>
      <c r="DP167" s="454"/>
      <c r="DQ167" s="454"/>
      <c r="DR167" s="454"/>
      <c r="DS167" s="454"/>
      <c r="DT167" s="454"/>
      <c r="DU167" s="454"/>
      <c r="DV167" s="454"/>
      <c r="DW167" s="454"/>
      <c r="DX167" s="454"/>
      <c r="DY167" s="454"/>
      <c r="DZ167" s="454">
        <v>2</v>
      </c>
      <c r="EA167" s="454"/>
      <c r="EB167" s="454"/>
      <c r="EC167" s="454"/>
      <c r="ED167" s="454"/>
      <c r="EE167" s="454"/>
      <c r="EF167" s="454"/>
      <c r="EG167" s="454"/>
      <c r="EH167" s="454"/>
      <c r="EI167" s="454"/>
      <c r="EJ167" s="454"/>
      <c r="EK167" s="454"/>
      <c r="EL167" s="454"/>
      <c r="EM167" s="454"/>
      <c r="EN167" s="454"/>
      <c r="EO167" s="454"/>
      <c r="EP167" s="454"/>
      <c r="EQ167" s="454"/>
      <c r="ER167" s="454"/>
      <c r="ES167" s="454"/>
      <c r="ET167" s="454"/>
      <c r="EU167" s="454"/>
      <c r="EV167" s="454"/>
      <c r="EW167" s="454"/>
      <c r="EX167" s="454"/>
      <c r="EY167" s="454"/>
      <c r="EZ167" s="454"/>
      <c r="FA167" s="454"/>
      <c r="FB167" s="454"/>
      <c r="FC167" s="454"/>
      <c r="FD167" s="454"/>
      <c r="FE167" s="454"/>
      <c r="FF167" s="454"/>
      <c r="FG167" s="290"/>
    </row>
    <row r="168" spans="1:163" s="4" customFormat="1">
      <c r="A168" s="56"/>
      <c r="B168" s="56"/>
      <c r="C168" s="498" t="s">
        <v>3634</v>
      </c>
      <c r="D168" s="498"/>
      <c r="E168" s="454">
        <v>28.7</v>
      </c>
      <c r="F168" s="454"/>
      <c r="G168" s="454"/>
      <c r="H168" s="454"/>
      <c r="I168" s="454"/>
      <c r="J168" s="454"/>
      <c r="K168" s="454"/>
      <c r="L168" s="454"/>
      <c r="M168" s="454"/>
      <c r="N168" s="454"/>
      <c r="O168" s="454"/>
      <c r="P168" s="454"/>
      <c r="Q168" s="454"/>
      <c r="R168" s="290"/>
      <c r="S168" s="290"/>
      <c r="T168" s="454" t="s">
        <v>1631</v>
      </c>
      <c r="U168" s="454" t="s">
        <v>1631</v>
      </c>
      <c r="V168" s="454"/>
      <c r="W168" s="454"/>
      <c r="X168" s="454"/>
      <c r="Y168" s="454"/>
      <c r="Z168" s="454"/>
      <c r="AA168" s="454"/>
      <c r="AB168" s="454"/>
      <c r="AC168" s="454"/>
      <c r="AD168" s="454"/>
      <c r="AE168" s="454"/>
      <c r="AF168" s="454"/>
      <c r="AG168" s="454"/>
      <c r="AH168" s="454"/>
      <c r="AI168" s="454"/>
      <c r="AJ168" s="454"/>
      <c r="AK168" s="454"/>
      <c r="AL168" s="454"/>
      <c r="AM168" s="454"/>
      <c r="AN168" s="454"/>
      <c r="AO168" s="454"/>
      <c r="AP168" s="454"/>
      <c r="AQ168" s="454"/>
      <c r="AR168" s="454"/>
      <c r="AS168" s="454"/>
      <c r="AT168" s="454"/>
      <c r="AU168" s="454"/>
      <c r="AV168" s="454"/>
      <c r="AW168" s="454"/>
      <c r="AX168" s="454"/>
      <c r="AY168" s="454"/>
      <c r="AZ168" s="454"/>
      <c r="BA168" s="454"/>
      <c r="BB168" s="454"/>
      <c r="BC168" s="454"/>
      <c r="BD168" s="454"/>
      <c r="BE168" s="454"/>
      <c r="BF168" s="454"/>
      <c r="BG168" s="454"/>
      <c r="BH168" s="454"/>
      <c r="BI168" s="454"/>
      <c r="BJ168" s="454"/>
      <c r="BK168" s="454"/>
      <c r="BL168" s="454"/>
      <c r="BM168" s="454"/>
      <c r="BN168" s="454"/>
      <c r="BO168" s="454"/>
      <c r="BP168" s="454"/>
      <c r="BQ168" s="454"/>
      <c r="BR168" s="454"/>
      <c r="BS168" s="454"/>
      <c r="BT168" s="454"/>
      <c r="BU168" s="454"/>
      <c r="BV168" s="454"/>
      <c r="BW168" s="454"/>
      <c r="BX168" s="454"/>
      <c r="BY168" s="454"/>
      <c r="BZ168" s="454"/>
      <c r="CA168" s="454"/>
      <c r="CB168" s="454"/>
      <c r="CC168" s="454"/>
      <c r="CD168" s="454"/>
      <c r="CE168" s="454"/>
      <c r="CF168" s="454"/>
      <c r="CG168" s="454"/>
      <c r="CH168" s="454"/>
      <c r="CI168" s="454"/>
      <c r="CJ168" s="454"/>
      <c r="CK168" s="454"/>
      <c r="CL168" s="454"/>
      <c r="CM168" s="454"/>
      <c r="CN168" s="454"/>
      <c r="CO168" s="454"/>
      <c r="CP168" s="454"/>
      <c r="CQ168" s="454"/>
      <c r="CR168" s="454"/>
      <c r="CS168" s="454"/>
      <c r="CT168" s="454"/>
      <c r="CU168" s="454"/>
      <c r="CV168" s="517"/>
      <c r="CW168" s="517">
        <f t="shared" si="17"/>
        <v>28.7</v>
      </c>
      <c r="CX168" s="517"/>
      <c r="CY168" s="517"/>
      <c r="CZ168" s="517"/>
      <c r="DA168" s="517">
        <f t="shared" si="18"/>
        <v>86.1</v>
      </c>
      <c r="DB168" s="517"/>
      <c r="DC168" s="517"/>
      <c r="DD168" s="517"/>
      <c r="DE168" s="517"/>
      <c r="DF168" s="517"/>
      <c r="DG168" s="517"/>
      <c r="DH168" s="517"/>
      <c r="DI168" s="454"/>
      <c r="DJ168" s="454"/>
      <c r="DK168" s="454"/>
      <c r="DL168" s="454">
        <v>1</v>
      </c>
      <c r="DM168" s="454">
        <v>4</v>
      </c>
      <c r="DN168" s="454">
        <v>1</v>
      </c>
      <c r="DO168" s="454">
        <v>2</v>
      </c>
      <c r="DP168" s="454">
        <v>1</v>
      </c>
      <c r="DQ168" s="454"/>
      <c r="DR168" s="454"/>
      <c r="DS168" s="454"/>
      <c r="DT168" s="454"/>
      <c r="DU168" s="454"/>
      <c r="DV168" s="454"/>
      <c r="DW168" s="454"/>
      <c r="DX168" s="454"/>
      <c r="DY168" s="454"/>
      <c r="DZ168" s="454">
        <v>2</v>
      </c>
      <c r="EA168" s="454"/>
      <c r="EB168" s="454"/>
      <c r="EC168" s="454"/>
      <c r="ED168" s="454"/>
      <c r="EE168" s="454"/>
      <c r="EF168" s="454"/>
      <c r="EG168" s="454"/>
      <c r="EH168" s="454"/>
      <c r="EI168" s="454"/>
      <c r="EJ168" s="454"/>
      <c r="EK168" s="454"/>
      <c r="EL168" s="454"/>
      <c r="EM168" s="454"/>
      <c r="EN168" s="454"/>
      <c r="EO168" s="454"/>
      <c r="EP168" s="454"/>
      <c r="EQ168" s="454"/>
      <c r="ER168" s="454"/>
      <c r="ES168" s="454"/>
      <c r="ET168" s="454"/>
      <c r="EU168" s="454"/>
      <c r="EV168" s="454"/>
      <c r="EW168" s="454"/>
      <c r="EX168" s="454"/>
      <c r="EY168" s="454"/>
      <c r="EZ168" s="454"/>
      <c r="FA168" s="454"/>
      <c r="FB168" s="454"/>
      <c r="FC168" s="454"/>
      <c r="FD168" s="454"/>
      <c r="FE168" s="454"/>
      <c r="FF168" s="454"/>
      <c r="FG168" s="290"/>
    </row>
    <row r="169" spans="1:163" s="4" customFormat="1">
      <c r="A169" s="56"/>
      <c r="B169" s="56"/>
      <c r="C169" s="498" t="s">
        <v>3635</v>
      </c>
      <c r="D169" s="498"/>
      <c r="E169" s="454">
        <v>31.5</v>
      </c>
      <c r="F169" s="454"/>
      <c r="G169" s="454"/>
      <c r="H169" s="454"/>
      <c r="I169" s="454"/>
      <c r="J169" s="454"/>
      <c r="K169" s="454"/>
      <c r="L169" s="454"/>
      <c r="M169" s="454"/>
      <c r="N169" s="454"/>
      <c r="O169" s="454"/>
      <c r="P169" s="454"/>
      <c r="Q169" s="454"/>
      <c r="R169" s="290"/>
      <c r="S169" s="290"/>
      <c r="T169" s="454" t="s">
        <v>1631</v>
      </c>
      <c r="U169" s="454" t="s">
        <v>1631</v>
      </c>
      <c r="V169" s="454"/>
      <c r="W169" s="454"/>
      <c r="X169" s="454"/>
      <c r="Y169" s="454"/>
      <c r="Z169" s="454"/>
      <c r="AA169" s="454"/>
      <c r="AB169" s="454"/>
      <c r="AC169" s="454"/>
      <c r="AD169" s="454"/>
      <c r="AE169" s="454"/>
      <c r="AF169" s="454"/>
      <c r="AG169" s="454"/>
      <c r="AH169" s="454"/>
      <c r="AI169" s="454"/>
      <c r="AJ169" s="454"/>
      <c r="AK169" s="454"/>
      <c r="AL169" s="454"/>
      <c r="AM169" s="454"/>
      <c r="AN169" s="454"/>
      <c r="AO169" s="454"/>
      <c r="AP169" s="454"/>
      <c r="AQ169" s="454"/>
      <c r="AR169" s="454"/>
      <c r="AS169" s="454"/>
      <c r="AT169" s="454"/>
      <c r="AU169" s="454"/>
      <c r="AV169" s="454"/>
      <c r="AW169" s="454"/>
      <c r="AX169" s="454"/>
      <c r="AY169" s="454"/>
      <c r="AZ169" s="454"/>
      <c r="BA169" s="454"/>
      <c r="BB169" s="454"/>
      <c r="BC169" s="454"/>
      <c r="BD169" s="454"/>
      <c r="BE169" s="454"/>
      <c r="BF169" s="454"/>
      <c r="BG169" s="454"/>
      <c r="BH169" s="454"/>
      <c r="BI169" s="454"/>
      <c r="BJ169" s="454"/>
      <c r="BK169" s="454"/>
      <c r="BL169" s="454"/>
      <c r="BM169" s="454"/>
      <c r="BN169" s="454"/>
      <c r="BO169" s="454"/>
      <c r="BP169" s="454"/>
      <c r="BQ169" s="454"/>
      <c r="BR169" s="454"/>
      <c r="BS169" s="454"/>
      <c r="BT169" s="454"/>
      <c r="BU169" s="454"/>
      <c r="BV169" s="454"/>
      <c r="BW169" s="454"/>
      <c r="BX169" s="454"/>
      <c r="BY169" s="454"/>
      <c r="BZ169" s="454"/>
      <c r="CA169" s="454"/>
      <c r="CB169" s="454"/>
      <c r="CC169" s="454"/>
      <c r="CD169" s="454"/>
      <c r="CE169" s="454"/>
      <c r="CF169" s="454"/>
      <c r="CG169" s="454"/>
      <c r="CH169" s="454"/>
      <c r="CI169" s="454"/>
      <c r="CJ169" s="454"/>
      <c r="CK169" s="454"/>
      <c r="CL169" s="454"/>
      <c r="CM169" s="454"/>
      <c r="CN169" s="454"/>
      <c r="CO169" s="454"/>
      <c r="CP169" s="454"/>
      <c r="CQ169" s="454"/>
      <c r="CR169" s="454"/>
      <c r="CS169" s="454"/>
      <c r="CT169" s="454"/>
      <c r="CU169" s="454"/>
      <c r="CV169" s="517"/>
      <c r="CW169" s="517">
        <f t="shared" si="17"/>
        <v>31.5</v>
      </c>
      <c r="CX169" s="517"/>
      <c r="CY169" s="517"/>
      <c r="CZ169" s="517"/>
      <c r="DA169" s="517">
        <f t="shared" si="18"/>
        <v>94.5</v>
      </c>
      <c r="DB169" s="517"/>
      <c r="DC169" s="517"/>
      <c r="DD169" s="517"/>
      <c r="DE169" s="517"/>
      <c r="DF169" s="517"/>
      <c r="DG169" s="517"/>
      <c r="DH169" s="517"/>
      <c r="DI169" s="454"/>
      <c r="DJ169" s="454"/>
      <c r="DK169" s="454"/>
      <c r="DL169" s="454">
        <v>1</v>
      </c>
      <c r="DM169" s="454">
        <v>4</v>
      </c>
      <c r="DN169" s="454">
        <v>1</v>
      </c>
      <c r="DO169" s="454">
        <v>3</v>
      </c>
      <c r="DP169" s="454">
        <v>3</v>
      </c>
      <c r="DQ169" s="454"/>
      <c r="DR169" s="454"/>
      <c r="DS169" s="454"/>
      <c r="DT169" s="454"/>
      <c r="DU169" s="454"/>
      <c r="DV169" s="454"/>
      <c r="DW169" s="454"/>
      <c r="DX169" s="454"/>
      <c r="DY169" s="454"/>
      <c r="DZ169" s="454">
        <v>2</v>
      </c>
      <c r="EA169" s="454"/>
      <c r="EB169" s="454"/>
      <c r="EC169" s="454"/>
      <c r="ED169" s="454"/>
      <c r="EE169" s="454"/>
      <c r="EF169" s="454"/>
      <c r="EG169" s="454"/>
      <c r="EH169" s="454"/>
      <c r="EI169" s="454"/>
      <c r="EJ169" s="454"/>
      <c r="EK169" s="454"/>
      <c r="EL169" s="454"/>
      <c r="EM169" s="454"/>
      <c r="EN169" s="454"/>
      <c r="EO169" s="454"/>
      <c r="EP169" s="454"/>
      <c r="EQ169" s="454"/>
      <c r="ER169" s="454"/>
      <c r="ES169" s="454"/>
      <c r="ET169" s="454"/>
      <c r="EU169" s="454"/>
      <c r="EV169" s="454"/>
      <c r="EW169" s="454"/>
      <c r="EX169" s="454"/>
      <c r="EY169" s="454"/>
      <c r="EZ169" s="454"/>
      <c r="FA169" s="454"/>
      <c r="FB169" s="454"/>
      <c r="FC169" s="454"/>
      <c r="FD169" s="454"/>
      <c r="FE169" s="454"/>
      <c r="FF169" s="454"/>
      <c r="FG169" s="290"/>
    </row>
    <row r="170" spans="1:163" s="4" customFormat="1">
      <c r="A170" s="56"/>
      <c r="B170" s="56"/>
      <c r="C170" s="498" t="s">
        <v>3636</v>
      </c>
      <c r="D170" s="498"/>
      <c r="E170" s="454">
        <v>55.8</v>
      </c>
      <c r="F170" s="454"/>
      <c r="G170" s="454"/>
      <c r="H170" s="454"/>
      <c r="I170" s="454"/>
      <c r="J170" s="454"/>
      <c r="K170" s="454"/>
      <c r="L170" s="454"/>
      <c r="M170" s="454"/>
      <c r="N170" s="454"/>
      <c r="O170" s="454"/>
      <c r="P170" s="454"/>
      <c r="Q170" s="454"/>
      <c r="R170" s="290"/>
      <c r="S170" s="290"/>
      <c r="T170" s="454" t="s">
        <v>2990</v>
      </c>
      <c r="U170" s="454" t="s">
        <v>2990</v>
      </c>
      <c r="V170" s="454"/>
      <c r="W170" s="454"/>
      <c r="X170" s="454"/>
      <c r="Y170" s="454"/>
      <c r="Z170" s="454"/>
      <c r="AA170" s="454"/>
      <c r="AB170" s="454"/>
      <c r="AC170" s="454"/>
      <c r="AD170" s="454"/>
      <c r="AE170" s="454"/>
      <c r="AF170" s="454"/>
      <c r="AG170" s="454"/>
      <c r="AH170" s="454"/>
      <c r="AI170" s="454"/>
      <c r="AJ170" s="454"/>
      <c r="AK170" s="454"/>
      <c r="AL170" s="454"/>
      <c r="AM170" s="454"/>
      <c r="AN170" s="454"/>
      <c r="AO170" s="454"/>
      <c r="AP170" s="454"/>
      <c r="AQ170" s="454"/>
      <c r="AR170" s="454"/>
      <c r="AS170" s="454"/>
      <c r="AT170" s="454"/>
      <c r="AU170" s="454"/>
      <c r="AV170" s="454"/>
      <c r="AW170" s="454"/>
      <c r="AX170" s="454"/>
      <c r="AY170" s="454"/>
      <c r="AZ170" s="454"/>
      <c r="BA170" s="454"/>
      <c r="BB170" s="454"/>
      <c r="BC170" s="454"/>
      <c r="BD170" s="454"/>
      <c r="BE170" s="454"/>
      <c r="BF170" s="454"/>
      <c r="BG170" s="454"/>
      <c r="BH170" s="454"/>
      <c r="BI170" s="454"/>
      <c r="BJ170" s="454"/>
      <c r="BK170" s="454"/>
      <c r="BL170" s="454"/>
      <c r="BM170" s="454"/>
      <c r="BN170" s="454"/>
      <c r="BO170" s="454"/>
      <c r="BP170" s="454"/>
      <c r="BQ170" s="454"/>
      <c r="BR170" s="454"/>
      <c r="BS170" s="454"/>
      <c r="BT170" s="454"/>
      <c r="BU170" s="454"/>
      <c r="BV170" s="454"/>
      <c r="BW170" s="454"/>
      <c r="BX170" s="454"/>
      <c r="BY170" s="454"/>
      <c r="BZ170" s="454"/>
      <c r="CA170" s="454"/>
      <c r="CB170" s="454"/>
      <c r="CC170" s="454"/>
      <c r="CD170" s="454"/>
      <c r="CE170" s="454"/>
      <c r="CF170" s="454"/>
      <c r="CG170" s="454"/>
      <c r="CH170" s="454"/>
      <c r="CI170" s="454"/>
      <c r="CJ170" s="454"/>
      <c r="CK170" s="454"/>
      <c r="CL170" s="454"/>
      <c r="CM170" s="454"/>
      <c r="CN170" s="454"/>
      <c r="CO170" s="454"/>
      <c r="CP170" s="454"/>
      <c r="CQ170" s="454"/>
      <c r="CR170" s="454"/>
      <c r="CS170" s="454"/>
      <c r="CT170" s="454"/>
      <c r="CU170" s="454"/>
      <c r="CV170" s="517"/>
      <c r="CW170" s="517">
        <f t="shared" si="17"/>
        <v>55.8</v>
      </c>
      <c r="CX170" s="517"/>
      <c r="CY170" s="517"/>
      <c r="CZ170" s="517"/>
      <c r="DA170" s="517">
        <f t="shared" si="18"/>
        <v>167.39999999999998</v>
      </c>
      <c r="DB170" s="517"/>
      <c r="DC170" s="517"/>
      <c r="DD170" s="517"/>
      <c r="DE170" s="517"/>
      <c r="DF170" s="517"/>
      <c r="DG170" s="517"/>
      <c r="DH170" s="517"/>
      <c r="DI170" s="454"/>
      <c r="DJ170" s="454"/>
      <c r="DK170" s="454"/>
      <c r="DL170" s="454">
        <v>1</v>
      </c>
      <c r="DM170" s="454">
        <v>4</v>
      </c>
      <c r="DN170" s="454">
        <v>1</v>
      </c>
      <c r="DO170" s="454">
        <v>4</v>
      </c>
      <c r="DP170" s="454">
        <v>4</v>
      </c>
      <c r="DQ170" s="454"/>
      <c r="DR170" s="454"/>
      <c r="DS170" s="454"/>
      <c r="DT170" s="454"/>
      <c r="DU170" s="454">
        <v>7</v>
      </c>
      <c r="DV170" s="454"/>
      <c r="DW170" s="454"/>
      <c r="DX170" s="454"/>
      <c r="DY170" s="454"/>
      <c r="DZ170" s="454">
        <v>2</v>
      </c>
      <c r="EA170" s="454"/>
      <c r="EB170" s="454"/>
      <c r="EC170" s="454"/>
      <c r="ED170" s="454"/>
      <c r="EE170" s="454"/>
      <c r="EF170" s="454"/>
      <c r="EG170" s="454"/>
      <c r="EH170" s="454"/>
      <c r="EI170" s="454"/>
      <c r="EJ170" s="454"/>
      <c r="EK170" s="454"/>
      <c r="EL170" s="454"/>
      <c r="EM170" s="454"/>
      <c r="EN170" s="454"/>
      <c r="EO170" s="454"/>
      <c r="EP170" s="454"/>
      <c r="EQ170" s="454"/>
      <c r="ER170" s="454"/>
      <c r="ES170" s="454"/>
      <c r="ET170" s="454"/>
      <c r="EU170" s="454"/>
      <c r="EV170" s="454"/>
      <c r="EW170" s="454"/>
      <c r="EX170" s="454"/>
      <c r="EY170" s="454"/>
      <c r="EZ170" s="454"/>
      <c r="FA170" s="454"/>
      <c r="FB170" s="454"/>
      <c r="FC170" s="454"/>
      <c r="FD170" s="454"/>
      <c r="FE170" s="454"/>
      <c r="FF170" s="454"/>
      <c r="FG170" s="290"/>
    </row>
    <row r="171" spans="1:163" s="4" customFormat="1">
      <c r="A171" s="56"/>
      <c r="B171" s="56"/>
      <c r="C171" s="498"/>
      <c r="D171" s="498"/>
      <c r="E171" s="454"/>
      <c r="F171" s="454"/>
      <c r="G171" s="454"/>
      <c r="H171" s="454"/>
      <c r="I171" s="454"/>
      <c r="J171" s="454"/>
      <c r="K171" s="454"/>
      <c r="L171" s="454"/>
      <c r="M171" s="454"/>
      <c r="N171" s="454"/>
      <c r="O171" s="454"/>
      <c r="P171" s="454"/>
      <c r="Q171" s="454"/>
      <c r="R171" s="290"/>
      <c r="S171" s="290"/>
      <c r="T171" s="454"/>
      <c r="U171" s="454"/>
      <c r="V171" s="454"/>
      <c r="W171" s="454"/>
      <c r="X171" s="454"/>
      <c r="Y171" s="454"/>
      <c r="Z171" s="454"/>
      <c r="AA171" s="454"/>
      <c r="AB171" s="454"/>
      <c r="AC171" s="454"/>
      <c r="AD171" s="454"/>
      <c r="AE171" s="454"/>
      <c r="AF171" s="454"/>
      <c r="AG171" s="454"/>
      <c r="AH171" s="454"/>
      <c r="AI171" s="454"/>
      <c r="AJ171" s="454"/>
      <c r="AK171" s="454"/>
      <c r="AL171" s="454"/>
      <c r="AM171" s="454"/>
      <c r="AN171" s="454"/>
      <c r="AO171" s="454"/>
      <c r="AP171" s="454"/>
      <c r="AQ171" s="454"/>
      <c r="AR171" s="454"/>
      <c r="AS171" s="454"/>
      <c r="AT171" s="454"/>
      <c r="AU171" s="454"/>
      <c r="AV171" s="454"/>
      <c r="AW171" s="454"/>
      <c r="AX171" s="454"/>
      <c r="AY171" s="454"/>
      <c r="AZ171" s="454"/>
      <c r="BA171" s="454"/>
      <c r="BB171" s="454"/>
      <c r="BC171" s="454"/>
      <c r="BD171" s="454"/>
      <c r="BE171" s="454"/>
      <c r="BF171" s="454"/>
      <c r="BG171" s="454"/>
      <c r="BH171" s="454"/>
      <c r="BI171" s="454"/>
      <c r="BJ171" s="454"/>
      <c r="BK171" s="454"/>
      <c r="BL171" s="454"/>
      <c r="BM171" s="454"/>
      <c r="BN171" s="454"/>
      <c r="BO171" s="454"/>
      <c r="BP171" s="454"/>
      <c r="BQ171" s="454"/>
      <c r="BR171" s="454"/>
      <c r="BS171" s="454"/>
      <c r="BT171" s="454"/>
      <c r="BU171" s="454"/>
      <c r="BV171" s="454"/>
      <c r="BW171" s="454"/>
      <c r="BX171" s="454"/>
      <c r="BY171" s="454"/>
      <c r="BZ171" s="454"/>
      <c r="CA171" s="454"/>
      <c r="CB171" s="454"/>
      <c r="CC171" s="454"/>
      <c r="CD171" s="454"/>
      <c r="CE171" s="454"/>
      <c r="CF171" s="454"/>
      <c r="CG171" s="454"/>
      <c r="CH171" s="454"/>
      <c r="CI171" s="454"/>
      <c r="CJ171" s="454"/>
      <c r="CK171" s="454"/>
      <c r="CL171" s="454"/>
      <c r="CM171" s="454"/>
      <c r="CN171" s="454"/>
      <c r="CO171" s="454"/>
      <c r="CP171" s="454"/>
      <c r="CQ171" s="454"/>
      <c r="CR171" s="454"/>
      <c r="CS171" s="454"/>
      <c r="CT171" s="454"/>
      <c r="CU171" s="454"/>
      <c r="CV171" s="517"/>
      <c r="CW171" s="517">
        <f t="shared" si="17"/>
        <v>0</v>
      </c>
      <c r="CX171" s="517"/>
      <c r="CY171" s="517"/>
      <c r="CZ171" s="517"/>
      <c r="DA171" s="517">
        <f t="shared" si="18"/>
        <v>0</v>
      </c>
      <c r="DB171" s="517"/>
      <c r="DC171" s="517"/>
      <c r="DD171" s="517"/>
      <c r="DE171" s="517"/>
      <c r="DF171" s="517"/>
      <c r="DG171" s="517"/>
      <c r="DH171" s="517"/>
      <c r="DI171" s="454"/>
      <c r="DJ171" s="454"/>
      <c r="DK171" s="454"/>
      <c r="DL171" s="454"/>
      <c r="DM171" s="454"/>
      <c r="DN171" s="454"/>
      <c r="DO171" s="454"/>
      <c r="DP171" s="454"/>
      <c r="DQ171" s="454"/>
      <c r="DR171" s="454"/>
      <c r="DS171" s="454"/>
      <c r="DT171" s="454"/>
      <c r="DU171" s="454"/>
      <c r="DV171" s="454"/>
      <c r="DW171" s="454"/>
      <c r="DX171" s="454"/>
      <c r="DY171" s="454"/>
      <c r="DZ171" s="454"/>
      <c r="EA171" s="454"/>
      <c r="EB171" s="454"/>
      <c r="EC171" s="454"/>
      <c r="ED171" s="454"/>
      <c r="EE171" s="454"/>
      <c r="EF171" s="454"/>
      <c r="EG171" s="454"/>
      <c r="EH171" s="454"/>
      <c r="EI171" s="454"/>
      <c r="EJ171" s="454"/>
      <c r="EK171" s="454"/>
      <c r="EL171" s="454"/>
      <c r="EM171" s="454"/>
      <c r="EN171" s="454"/>
      <c r="EO171" s="454"/>
      <c r="EP171" s="454"/>
      <c r="EQ171" s="454"/>
      <c r="ER171" s="454"/>
      <c r="ES171" s="454"/>
      <c r="ET171" s="454"/>
      <c r="EU171" s="454"/>
      <c r="EV171" s="454"/>
      <c r="EW171" s="454"/>
      <c r="EX171" s="454"/>
      <c r="EY171" s="454"/>
      <c r="EZ171" s="454"/>
      <c r="FA171" s="454"/>
      <c r="FB171" s="454"/>
      <c r="FC171" s="454"/>
      <c r="FD171" s="454"/>
      <c r="FE171" s="454"/>
      <c r="FF171" s="454"/>
      <c r="FG171" s="290"/>
    </row>
    <row r="172" spans="1:163" s="4" customFormat="1">
      <c r="A172" s="56"/>
      <c r="B172" s="56"/>
      <c r="C172" s="498"/>
      <c r="D172" s="506" t="s">
        <v>3696</v>
      </c>
      <c r="E172" s="454"/>
      <c r="F172" s="454"/>
      <c r="G172" s="454"/>
      <c r="H172" s="454"/>
      <c r="I172" s="454"/>
      <c r="J172" s="454"/>
      <c r="K172" s="454"/>
      <c r="L172" s="454"/>
      <c r="M172" s="454"/>
      <c r="N172" s="454"/>
      <c r="O172" s="454"/>
      <c r="P172" s="454"/>
      <c r="Q172" s="454"/>
      <c r="R172" s="290"/>
      <c r="S172" s="290"/>
      <c r="T172" s="454"/>
      <c r="U172" s="454"/>
      <c r="V172" s="454"/>
      <c r="W172" s="454"/>
      <c r="X172" s="454"/>
      <c r="Y172" s="454"/>
      <c r="Z172" s="454"/>
      <c r="AA172" s="454"/>
      <c r="AB172" s="454"/>
      <c r="AC172" s="454"/>
      <c r="AD172" s="454"/>
      <c r="AE172" s="454"/>
      <c r="AF172" s="454"/>
      <c r="AG172" s="454"/>
      <c r="AH172" s="454"/>
      <c r="AI172" s="454"/>
      <c r="AJ172" s="454"/>
      <c r="AK172" s="454"/>
      <c r="AL172" s="454"/>
      <c r="AM172" s="454"/>
      <c r="AN172" s="454"/>
      <c r="AO172" s="454"/>
      <c r="AP172" s="454"/>
      <c r="AQ172" s="454"/>
      <c r="AR172" s="454"/>
      <c r="AS172" s="454"/>
      <c r="AT172" s="454"/>
      <c r="AU172" s="454"/>
      <c r="AV172" s="454"/>
      <c r="AW172" s="454"/>
      <c r="AX172" s="454"/>
      <c r="AY172" s="454"/>
      <c r="AZ172" s="454"/>
      <c r="BA172" s="454"/>
      <c r="BB172" s="454"/>
      <c r="BC172" s="454"/>
      <c r="BD172" s="454"/>
      <c r="BE172" s="454"/>
      <c r="BF172" s="454"/>
      <c r="BG172" s="454"/>
      <c r="BH172" s="454"/>
      <c r="BI172" s="454"/>
      <c r="BJ172" s="454"/>
      <c r="BK172" s="454"/>
      <c r="BL172" s="454"/>
      <c r="BM172" s="454"/>
      <c r="BN172" s="454"/>
      <c r="BO172" s="454"/>
      <c r="BP172" s="454"/>
      <c r="BQ172" s="454"/>
      <c r="BR172" s="454"/>
      <c r="BS172" s="454"/>
      <c r="BT172" s="454"/>
      <c r="BU172" s="454"/>
      <c r="BV172" s="454"/>
      <c r="BW172" s="454"/>
      <c r="BX172" s="454"/>
      <c r="BY172" s="454"/>
      <c r="BZ172" s="454"/>
      <c r="CA172" s="454"/>
      <c r="CB172" s="454"/>
      <c r="CC172" s="454"/>
      <c r="CD172" s="454"/>
      <c r="CE172" s="454"/>
      <c r="CF172" s="454"/>
      <c r="CG172" s="454"/>
      <c r="CH172" s="454"/>
      <c r="CI172" s="454"/>
      <c r="CJ172" s="454"/>
      <c r="CK172" s="454"/>
      <c r="CL172" s="454"/>
      <c r="CM172" s="454"/>
      <c r="CN172" s="454"/>
      <c r="CO172" s="454"/>
      <c r="CP172" s="454"/>
      <c r="CQ172" s="454"/>
      <c r="CR172" s="454"/>
      <c r="CS172" s="454"/>
      <c r="CT172" s="454"/>
      <c r="CU172" s="454"/>
      <c r="CV172" s="517"/>
      <c r="CW172" s="517">
        <f t="shared" si="17"/>
        <v>0</v>
      </c>
      <c r="CX172" s="517"/>
      <c r="CY172" s="517"/>
      <c r="CZ172" s="517"/>
      <c r="DA172" s="517">
        <f t="shared" si="18"/>
        <v>0</v>
      </c>
      <c r="DB172" s="517"/>
      <c r="DC172" s="517"/>
      <c r="DD172" s="517"/>
      <c r="DE172" s="517"/>
      <c r="DF172" s="517"/>
      <c r="DG172" s="517"/>
      <c r="DH172" s="517"/>
      <c r="DI172" s="454"/>
      <c r="DJ172" s="454"/>
      <c r="DK172" s="454"/>
      <c r="DL172" s="454"/>
      <c r="DM172" s="454"/>
      <c r="DN172" s="454"/>
      <c r="DO172" s="454"/>
      <c r="DP172" s="454"/>
      <c r="DQ172" s="454"/>
      <c r="DR172" s="454"/>
      <c r="DS172" s="454"/>
      <c r="DT172" s="454"/>
      <c r="DU172" s="454">
        <v>4</v>
      </c>
      <c r="DV172" s="454"/>
      <c r="DW172" s="454"/>
      <c r="DX172" s="454"/>
      <c r="DY172" s="454"/>
      <c r="DZ172" s="454"/>
      <c r="EA172" s="454"/>
      <c r="EB172" s="454"/>
      <c r="EC172" s="454"/>
      <c r="ED172" s="454"/>
      <c r="EE172" s="454"/>
      <c r="EF172" s="454"/>
      <c r="EG172" s="454"/>
      <c r="EH172" s="454"/>
      <c r="EI172" s="454"/>
      <c r="EJ172" s="454"/>
      <c r="EK172" s="454"/>
      <c r="EL172" s="454"/>
      <c r="EM172" s="454"/>
      <c r="EN172" s="454"/>
      <c r="EO172" s="454"/>
      <c r="EP172" s="454"/>
      <c r="EQ172" s="454"/>
      <c r="ER172" s="454"/>
      <c r="ES172" s="454"/>
      <c r="ET172" s="454"/>
      <c r="EU172" s="454"/>
      <c r="EV172" s="454"/>
      <c r="EW172" s="454"/>
      <c r="EX172" s="454"/>
      <c r="EY172" s="454"/>
      <c r="EZ172" s="454"/>
      <c r="FA172" s="454"/>
      <c r="FB172" s="454"/>
      <c r="FC172" s="454"/>
      <c r="FD172" s="454"/>
      <c r="FE172" s="454"/>
      <c r="FF172" s="454"/>
      <c r="FG172" s="290"/>
    </row>
    <row r="173" spans="1:163" s="4" customFormat="1">
      <c r="A173" s="56"/>
      <c r="B173" s="56"/>
      <c r="C173" s="498" t="s">
        <v>3632</v>
      </c>
      <c r="D173" s="498"/>
      <c r="E173" s="454">
        <v>9.6999999999999993</v>
      </c>
      <c r="F173" s="454"/>
      <c r="G173" s="454"/>
      <c r="H173" s="454"/>
      <c r="I173" s="454"/>
      <c r="J173" s="454"/>
      <c r="K173" s="454"/>
      <c r="L173" s="454"/>
      <c r="M173" s="454"/>
      <c r="N173" s="454"/>
      <c r="O173" s="454"/>
      <c r="P173" s="454"/>
      <c r="Q173" s="454"/>
      <c r="R173" s="290"/>
      <c r="S173" s="290"/>
      <c r="T173" s="454" t="s">
        <v>2989</v>
      </c>
      <c r="U173" s="454" t="s">
        <v>2989</v>
      </c>
      <c r="V173" s="454"/>
      <c r="W173" s="454"/>
      <c r="X173" s="454"/>
      <c r="Y173" s="454"/>
      <c r="Z173" s="454"/>
      <c r="AA173" s="454"/>
      <c r="AB173" s="454"/>
      <c r="AC173" s="454"/>
      <c r="AD173" s="454"/>
      <c r="AE173" s="454"/>
      <c r="AF173" s="454"/>
      <c r="AG173" s="454"/>
      <c r="AH173" s="454"/>
      <c r="AI173" s="454"/>
      <c r="AJ173" s="454"/>
      <c r="AK173" s="454"/>
      <c r="AL173" s="454"/>
      <c r="AM173" s="454"/>
      <c r="AN173" s="454"/>
      <c r="AO173" s="454"/>
      <c r="AP173" s="454"/>
      <c r="AQ173" s="454"/>
      <c r="AR173" s="454"/>
      <c r="AS173" s="454"/>
      <c r="AT173" s="454"/>
      <c r="AU173" s="454"/>
      <c r="AV173" s="454"/>
      <c r="AW173" s="454"/>
      <c r="AX173" s="454"/>
      <c r="AY173" s="454"/>
      <c r="AZ173" s="454"/>
      <c r="BA173" s="454"/>
      <c r="BB173" s="454"/>
      <c r="BC173" s="454"/>
      <c r="BD173" s="454"/>
      <c r="BE173" s="454"/>
      <c r="BF173" s="454"/>
      <c r="BG173" s="454"/>
      <c r="BH173" s="454"/>
      <c r="BI173" s="454"/>
      <c r="BJ173" s="454"/>
      <c r="BK173" s="454"/>
      <c r="BL173" s="454"/>
      <c r="BM173" s="454"/>
      <c r="BN173" s="454"/>
      <c r="BO173" s="454"/>
      <c r="BP173" s="454"/>
      <c r="BQ173" s="454"/>
      <c r="BR173" s="454"/>
      <c r="BS173" s="454"/>
      <c r="BT173" s="454"/>
      <c r="BU173" s="454"/>
      <c r="BV173" s="454"/>
      <c r="BW173" s="454"/>
      <c r="BX173" s="454"/>
      <c r="BY173" s="454"/>
      <c r="BZ173" s="454"/>
      <c r="CA173" s="454"/>
      <c r="CB173" s="454"/>
      <c r="CC173" s="454"/>
      <c r="CD173" s="454"/>
      <c r="CE173" s="454"/>
      <c r="CF173" s="454"/>
      <c r="CG173" s="454"/>
      <c r="CH173" s="454"/>
      <c r="CI173" s="454"/>
      <c r="CJ173" s="454"/>
      <c r="CK173" s="454"/>
      <c r="CL173" s="454"/>
      <c r="CM173" s="454"/>
      <c r="CN173" s="454"/>
      <c r="CO173" s="454"/>
      <c r="CP173" s="454"/>
      <c r="CQ173" s="454"/>
      <c r="CR173" s="454"/>
      <c r="CS173" s="454"/>
      <c r="CT173" s="454"/>
      <c r="CU173" s="454"/>
      <c r="CV173" s="517"/>
      <c r="CW173" s="517">
        <f t="shared" si="17"/>
        <v>9.6999999999999993</v>
      </c>
      <c r="CX173" s="517"/>
      <c r="CY173" s="517"/>
      <c r="CZ173" s="517"/>
      <c r="DA173" s="517">
        <f t="shared" si="18"/>
        <v>29.099999999999998</v>
      </c>
      <c r="DB173" s="517"/>
      <c r="DC173" s="517"/>
      <c r="DD173" s="517"/>
      <c r="DE173" s="517"/>
      <c r="DF173" s="517"/>
      <c r="DG173" s="517"/>
      <c r="DH173" s="517"/>
      <c r="DI173" s="454"/>
      <c r="DJ173" s="454"/>
      <c r="DK173" s="454"/>
      <c r="DL173" s="454">
        <v>2</v>
      </c>
      <c r="DM173" s="454">
        <v>8</v>
      </c>
      <c r="DN173" s="454"/>
      <c r="DO173" s="454"/>
      <c r="DP173" s="454"/>
      <c r="DQ173" s="454"/>
      <c r="DR173" s="454"/>
      <c r="DS173" s="454"/>
      <c r="DT173" s="454"/>
      <c r="DU173" s="454">
        <v>8</v>
      </c>
      <c r="DV173" s="454"/>
      <c r="DW173" s="454"/>
      <c r="DX173" s="454"/>
      <c r="DY173" s="454"/>
      <c r="DZ173" s="454"/>
      <c r="EA173" s="454">
        <v>2</v>
      </c>
      <c r="EB173" s="454"/>
      <c r="EC173" s="454"/>
      <c r="ED173" s="454"/>
      <c r="EE173" s="454"/>
      <c r="EF173" s="454"/>
      <c r="EG173" s="454"/>
      <c r="EH173" s="454"/>
      <c r="EI173" s="454"/>
      <c r="EJ173" s="454"/>
      <c r="EK173" s="454"/>
      <c r="EL173" s="454"/>
      <c r="EM173" s="454"/>
      <c r="EN173" s="454"/>
      <c r="EO173" s="454"/>
      <c r="EP173" s="454"/>
      <c r="EQ173" s="454"/>
      <c r="ER173" s="454"/>
      <c r="ES173" s="454"/>
      <c r="ET173" s="454"/>
      <c r="EU173" s="454"/>
      <c r="EV173" s="454"/>
      <c r="EW173" s="454"/>
      <c r="EX173" s="454"/>
      <c r="EY173" s="454"/>
      <c r="EZ173" s="454"/>
      <c r="FA173" s="454"/>
      <c r="FB173" s="454"/>
      <c r="FC173" s="454"/>
      <c r="FD173" s="454"/>
      <c r="FE173" s="454"/>
      <c r="FF173" s="454"/>
      <c r="FG173" s="290"/>
    </row>
    <row r="174" spans="1:163" s="4" customFormat="1">
      <c r="A174" s="56"/>
      <c r="B174" s="56"/>
      <c r="C174" s="498" t="s">
        <v>3633</v>
      </c>
      <c r="D174" s="498"/>
      <c r="E174" s="454">
        <v>41.5</v>
      </c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290"/>
      <c r="S174" s="290"/>
      <c r="T174" s="454" t="s">
        <v>1631</v>
      </c>
      <c r="U174" s="454" t="s">
        <v>1631</v>
      </c>
      <c r="V174" s="454"/>
      <c r="W174" s="454"/>
      <c r="X174" s="454"/>
      <c r="Y174" s="454"/>
      <c r="Z174" s="454"/>
      <c r="AA174" s="454"/>
      <c r="AB174" s="454"/>
      <c r="AC174" s="454"/>
      <c r="AD174" s="454"/>
      <c r="AE174" s="454"/>
      <c r="AF174" s="454"/>
      <c r="AG174" s="454"/>
      <c r="AH174" s="454"/>
      <c r="AI174" s="454"/>
      <c r="AJ174" s="454"/>
      <c r="AK174" s="454"/>
      <c r="AL174" s="454"/>
      <c r="AM174" s="454"/>
      <c r="AN174" s="454"/>
      <c r="AO174" s="454"/>
      <c r="AP174" s="454"/>
      <c r="AQ174" s="454"/>
      <c r="AR174" s="454"/>
      <c r="AS174" s="454"/>
      <c r="AT174" s="454"/>
      <c r="AU174" s="454"/>
      <c r="AV174" s="454"/>
      <c r="AW174" s="454"/>
      <c r="AX174" s="454"/>
      <c r="AY174" s="454"/>
      <c r="AZ174" s="454"/>
      <c r="BA174" s="454"/>
      <c r="BB174" s="454"/>
      <c r="BC174" s="454"/>
      <c r="BD174" s="454"/>
      <c r="BE174" s="454"/>
      <c r="BF174" s="454"/>
      <c r="BG174" s="454"/>
      <c r="BH174" s="454"/>
      <c r="BI174" s="454"/>
      <c r="BJ174" s="454"/>
      <c r="BK174" s="454"/>
      <c r="BL174" s="454"/>
      <c r="BM174" s="454"/>
      <c r="BN174" s="454"/>
      <c r="BO174" s="454"/>
      <c r="BP174" s="454"/>
      <c r="BQ174" s="454"/>
      <c r="BR174" s="454"/>
      <c r="BS174" s="454"/>
      <c r="BT174" s="454"/>
      <c r="BU174" s="454"/>
      <c r="BV174" s="454"/>
      <c r="BW174" s="454"/>
      <c r="BX174" s="454"/>
      <c r="BY174" s="454"/>
      <c r="BZ174" s="454"/>
      <c r="CA174" s="454"/>
      <c r="CB174" s="454"/>
      <c r="CC174" s="454"/>
      <c r="CD174" s="454"/>
      <c r="CE174" s="454"/>
      <c r="CF174" s="454"/>
      <c r="CG174" s="454"/>
      <c r="CH174" s="454"/>
      <c r="CI174" s="454"/>
      <c r="CJ174" s="454"/>
      <c r="CK174" s="454"/>
      <c r="CL174" s="454"/>
      <c r="CM174" s="454"/>
      <c r="CN174" s="454"/>
      <c r="CO174" s="454"/>
      <c r="CP174" s="454"/>
      <c r="CQ174" s="454"/>
      <c r="CR174" s="454"/>
      <c r="CS174" s="454"/>
      <c r="CT174" s="454"/>
      <c r="CU174" s="454"/>
      <c r="CV174" s="517"/>
      <c r="CW174" s="517">
        <f t="shared" si="17"/>
        <v>41.5</v>
      </c>
      <c r="CX174" s="517"/>
      <c r="CY174" s="517"/>
      <c r="CZ174" s="517"/>
      <c r="DA174" s="517">
        <f t="shared" si="18"/>
        <v>124.5</v>
      </c>
      <c r="DB174" s="517"/>
      <c r="DC174" s="517"/>
      <c r="DD174" s="517"/>
      <c r="DE174" s="517"/>
      <c r="DF174" s="517"/>
      <c r="DG174" s="517"/>
      <c r="DH174" s="517"/>
      <c r="DI174" s="454"/>
      <c r="DJ174" s="454"/>
      <c r="DK174" s="454"/>
      <c r="DL174" s="454">
        <v>1</v>
      </c>
      <c r="DM174" s="454">
        <v>4</v>
      </c>
      <c r="DN174" s="454">
        <v>1</v>
      </c>
      <c r="DO174" s="454">
        <v>4</v>
      </c>
      <c r="DP174" s="454">
        <v>4</v>
      </c>
      <c r="DQ174" s="454"/>
      <c r="DR174" s="454"/>
      <c r="DS174" s="454"/>
      <c r="DT174" s="454"/>
      <c r="DU174" s="454"/>
      <c r="DV174" s="454"/>
      <c r="DW174" s="454"/>
      <c r="DX174" s="454"/>
      <c r="DY174" s="454"/>
      <c r="DZ174" s="454">
        <v>2</v>
      </c>
      <c r="EA174" s="454"/>
      <c r="EB174" s="454"/>
      <c r="EC174" s="454"/>
      <c r="ED174" s="454"/>
      <c r="EE174" s="454"/>
      <c r="EF174" s="454"/>
      <c r="EG174" s="454"/>
      <c r="EH174" s="454"/>
      <c r="EI174" s="454"/>
      <c r="EJ174" s="454"/>
      <c r="EK174" s="454"/>
      <c r="EL174" s="454"/>
      <c r="EM174" s="454"/>
      <c r="EN174" s="454"/>
      <c r="EO174" s="454"/>
      <c r="EP174" s="454"/>
      <c r="EQ174" s="454"/>
      <c r="ER174" s="454"/>
      <c r="ES174" s="454"/>
      <c r="ET174" s="454"/>
      <c r="EU174" s="454"/>
      <c r="EV174" s="454"/>
      <c r="EW174" s="454"/>
      <c r="EX174" s="454"/>
      <c r="EY174" s="454"/>
      <c r="EZ174" s="454"/>
      <c r="FA174" s="454"/>
      <c r="FB174" s="454"/>
      <c r="FC174" s="454"/>
      <c r="FD174" s="454"/>
      <c r="FE174" s="454"/>
      <c r="FF174" s="454"/>
      <c r="FG174" s="290"/>
    </row>
    <row r="175" spans="1:163" s="4" customFormat="1">
      <c r="A175" s="56"/>
      <c r="B175" s="56"/>
      <c r="C175" s="498" t="s">
        <v>3634</v>
      </c>
      <c r="D175" s="498"/>
      <c r="E175" s="454">
        <v>36.9</v>
      </c>
      <c r="F175" s="454"/>
      <c r="G175" s="454"/>
      <c r="H175" s="454"/>
      <c r="I175" s="454"/>
      <c r="J175" s="454"/>
      <c r="K175" s="454"/>
      <c r="L175" s="454"/>
      <c r="M175" s="454"/>
      <c r="N175" s="454"/>
      <c r="O175" s="454"/>
      <c r="P175" s="454"/>
      <c r="Q175" s="454"/>
      <c r="R175" s="290"/>
      <c r="S175" s="290"/>
      <c r="T175" s="454" t="s">
        <v>1631</v>
      </c>
      <c r="U175" s="454" t="s">
        <v>1631</v>
      </c>
      <c r="V175" s="454"/>
      <c r="W175" s="454"/>
      <c r="X175" s="454"/>
      <c r="Y175" s="454"/>
      <c r="Z175" s="454"/>
      <c r="AA175" s="454"/>
      <c r="AB175" s="454"/>
      <c r="AC175" s="454"/>
      <c r="AD175" s="454"/>
      <c r="AE175" s="454"/>
      <c r="AF175" s="454"/>
      <c r="AG175" s="454"/>
      <c r="AH175" s="454"/>
      <c r="AI175" s="454"/>
      <c r="AJ175" s="454"/>
      <c r="AK175" s="454"/>
      <c r="AL175" s="454"/>
      <c r="AM175" s="454"/>
      <c r="AN175" s="454"/>
      <c r="AO175" s="454"/>
      <c r="AP175" s="454"/>
      <c r="AQ175" s="454"/>
      <c r="AR175" s="454"/>
      <c r="AS175" s="454"/>
      <c r="AT175" s="454"/>
      <c r="AU175" s="454"/>
      <c r="AV175" s="454"/>
      <c r="AW175" s="454"/>
      <c r="AX175" s="454"/>
      <c r="AY175" s="454"/>
      <c r="AZ175" s="454"/>
      <c r="BA175" s="454"/>
      <c r="BB175" s="454"/>
      <c r="BC175" s="454"/>
      <c r="BD175" s="454"/>
      <c r="BE175" s="454"/>
      <c r="BF175" s="454"/>
      <c r="BG175" s="454"/>
      <c r="BH175" s="454"/>
      <c r="BI175" s="454"/>
      <c r="BJ175" s="454"/>
      <c r="BK175" s="454"/>
      <c r="BL175" s="454"/>
      <c r="BM175" s="454"/>
      <c r="BN175" s="454"/>
      <c r="BO175" s="454"/>
      <c r="BP175" s="454"/>
      <c r="BQ175" s="454"/>
      <c r="BR175" s="454"/>
      <c r="BS175" s="454"/>
      <c r="BT175" s="454"/>
      <c r="BU175" s="454"/>
      <c r="BV175" s="454"/>
      <c r="BW175" s="454"/>
      <c r="BX175" s="454"/>
      <c r="BY175" s="454"/>
      <c r="BZ175" s="454"/>
      <c r="CA175" s="454"/>
      <c r="CB175" s="454"/>
      <c r="CC175" s="454"/>
      <c r="CD175" s="454"/>
      <c r="CE175" s="454"/>
      <c r="CF175" s="454"/>
      <c r="CG175" s="454"/>
      <c r="CH175" s="454"/>
      <c r="CI175" s="454"/>
      <c r="CJ175" s="454"/>
      <c r="CK175" s="454"/>
      <c r="CL175" s="454"/>
      <c r="CM175" s="454"/>
      <c r="CN175" s="454"/>
      <c r="CO175" s="454"/>
      <c r="CP175" s="454"/>
      <c r="CQ175" s="454"/>
      <c r="CR175" s="454"/>
      <c r="CS175" s="454"/>
      <c r="CT175" s="454"/>
      <c r="CU175" s="454"/>
      <c r="CV175" s="517"/>
      <c r="CW175" s="517">
        <f t="shared" si="17"/>
        <v>36.9</v>
      </c>
      <c r="CX175" s="517"/>
      <c r="CY175" s="517"/>
      <c r="CZ175" s="517"/>
      <c r="DA175" s="517">
        <f t="shared" si="18"/>
        <v>110.69999999999999</v>
      </c>
      <c r="DB175" s="517"/>
      <c r="DC175" s="517"/>
      <c r="DD175" s="517"/>
      <c r="DE175" s="517"/>
      <c r="DF175" s="517"/>
      <c r="DG175" s="517"/>
      <c r="DH175" s="517"/>
      <c r="DI175" s="454"/>
      <c r="DJ175" s="454"/>
      <c r="DK175" s="454"/>
      <c r="DL175" s="454">
        <v>1</v>
      </c>
      <c r="DM175" s="454">
        <v>4</v>
      </c>
      <c r="DN175" s="454">
        <v>1</v>
      </c>
      <c r="DO175" s="454">
        <v>4</v>
      </c>
      <c r="DP175" s="454">
        <v>4</v>
      </c>
      <c r="DQ175" s="454"/>
      <c r="DR175" s="454"/>
      <c r="DS175" s="454"/>
      <c r="DT175" s="454"/>
      <c r="DU175" s="454"/>
      <c r="DV175" s="454"/>
      <c r="DW175" s="454"/>
      <c r="DX175" s="454"/>
      <c r="DY175" s="454"/>
      <c r="DZ175" s="454">
        <v>2</v>
      </c>
      <c r="EA175" s="454"/>
      <c r="EB175" s="454"/>
      <c r="EC175" s="454"/>
      <c r="ED175" s="454"/>
      <c r="EE175" s="454"/>
      <c r="EF175" s="454"/>
      <c r="EG175" s="454"/>
      <c r="EH175" s="454"/>
      <c r="EI175" s="454"/>
      <c r="EJ175" s="454"/>
      <c r="EK175" s="454"/>
      <c r="EL175" s="454"/>
      <c r="EM175" s="454"/>
      <c r="EN175" s="454"/>
      <c r="EO175" s="454"/>
      <c r="EP175" s="454"/>
      <c r="EQ175" s="454"/>
      <c r="ER175" s="454"/>
      <c r="ES175" s="454"/>
      <c r="ET175" s="454"/>
      <c r="EU175" s="454"/>
      <c r="EV175" s="454"/>
      <c r="EW175" s="454"/>
      <c r="EX175" s="454"/>
      <c r="EY175" s="454"/>
      <c r="EZ175" s="454"/>
      <c r="FA175" s="454">
        <v>1</v>
      </c>
      <c r="FB175" s="454"/>
      <c r="FC175" s="454"/>
      <c r="FD175" s="454"/>
      <c r="FE175" s="454"/>
      <c r="FF175" s="454"/>
      <c r="FG175" s="290"/>
    </row>
    <row r="176" spans="1:163" s="4" customFormat="1">
      <c r="A176" s="56"/>
      <c r="B176" s="56"/>
      <c r="C176" s="498" t="s">
        <v>3635</v>
      </c>
      <c r="D176" s="498"/>
      <c r="E176" s="454">
        <v>35.6</v>
      </c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290"/>
      <c r="S176" s="290"/>
      <c r="T176" s="454" t="s">
        <v>1631</v>
      </c>
      <c r="U176" s="692" t="s">
        <v>1631</v>
      </c>
      <c r="V176" s="454"/>
      <c r="W176" s="454"/>
      <c r="X176" s="454"/>
      <c r="Y176" s="454"/>
      <c r="Z176" s="454"/>
      <c r="AA176" s="454"/>
      <c r="AB176" s="454"/>
      <c r="AC176" s="454"/>
      <c r="AD176" s="454"/>
      <c r="AE176" s="454"/>
      <c r="AF176" s="454"/>
      <c r="AG176" s="454"/>
      <c r="AH176" s="454"/>
      <c r="AI176" s="454"/>
      <c r="AJ176" s="454"/>
      <c r="AK176" s="454"/>
      <c r="AL176" s="454"/>
      <c r="AM176" s="454"/>
      <c r="AN176" s="454"/>
      <c r="AO176" s="454"/>
      <c r="AP176" s="454"/>
      <c r="AQ176" s="454"/>
      <c r="AR176" s="454"/>
      <c r="AS176" s="454"/>
      <c r="AT176" s="454"/>
      <c r="AU176" s="454"/>
      <c r="AV176" s="454"/>
      <c r="AW176" s="454"/>
      <c r="AX176" s="454"/>
      <c r="AY176" s="454"/>
      <c r="AZ176" s="454"/>
      <c r="BA176" s="454"/>
      <c r="BB176" s="454"/>
      <c r="BC176" s="454"/>
      <c r="BD176" s="454"/>
      <c r="BE176" s="454"/>
      <c r="BF176" s="454"/>
      <c r="BG176" s="454"/>
      <c r="BH176" s="454"/>
      <c r="BI176" s="454"/>
      <c r="BJ176" s="454"/>
      <c r="BK176" s="454"/>
      <c r="BL176" s="454"/>
      <c r="BM176" s="454"/>
      <c r="BN176" s="454"/>
      <c r="BO176" s="454"/>
      <c r="BP176" s="454"/>
      <c r="BQ176" s="454"/>
      <c r="BR176" s="454"/>
      <c r="BS176" s="454"/>
      <c r="BT176" s="454"/>
      <c r="BU176" s="454"/>
      <c r="BV176" s="454"/>
      <c r="BW176" s="454"/>
      <c r="BX176" s="454"/>
      <c r="BY176" s="454"/>
      <c r="BZ176" s="454"/>
      <c r="CA176" s="454"/>
      <c r="CB176" s="454"/>
      <c r="CC176" s="454"/>
      <c r="CD176" s="454"/>
      <c r="CE176" s="454"/>
      <c r="CF176" s="454"/>
      <c r="CG176" s="454"/>
      <c r="CH176" s="454"/>
      <c r="CI176" s="454"/>
      <c r="CJ176" s="454"/>
      <c r="CK176" s="454"/>
      <c r="CL176" s="454"/>
      <c r="CM176" s="454"/>
      <c r="CN176" s="454"/>
      <c r="CO176" s="454"/>
      <c r="CP176" s="454"/>
      <c r="CQ176" s="454"/>
      <c r="CR176" s="454"/>
      <c r="CS176" s="454"/>
      <c r="CT176" s="454"/>
      <c r="CU176" s="454"/>
      <c r="CV176" s="517"/>
      <c r="CW176" s="517">
        <f t="shared" si="17"/>
        <v>35.6</v>
      </c>
      <c r="CX176" s="517"/>
      <c r="CY176" s="517"/>
      <c r="CZ176" s="517"/>
      <c r="DA176" s="517">
        <f t="shared" si="18"/>
        <v>106.80000000000001</v>
      </c>
      <c r="DB176" s="517"/>
      <c r="DC176" s="517"/>
      <c r="DD176" s="517"/>
      <c r="DE176" s="517"/>
      <c r="DF176" s="517"/>
      <c r="DG176" s="517"/>
      <c r="DH176" s="517"/>
      <c r="DI176" s="454"/>
      <c r="DJ176" s="454"/>
      <c r="DK176" s="454"/>
      <c r="DL176" s="454">
        <v>1</v>
      </c>
      <c r="DM176" s="454">
        <v>4</v>
      </c>
      <c r="DN176" s="454"/>
      <c r="DO176" s="454"/>
      <c r="DP176" s="454"/>
      <c r="DQ176" s="454"/>
      <c r="DR176" s="454"/>
      <c r="DS176" s="454"/>
      <c r="DT176" s="454"/>
      <c r="DU176" s="454"/>
      <c r="DV176" s="454"/>
      <c r="DW176" s="454"/>
      <c r="DX176" s="454"/>
      <c r="DY176" s="454"/>
      <c r="DZ176" s="454">
        <v>2</v>
      </c>
      <c r="EA176" s="454"/>
      <c r="EB176" s="454"/>
      <c r="EC176" s="454"/>
      <c r="ED176" s="454"/>
      <c r="EE176" s="454"/>
      <c r="EF176" s="454"/>
      <c r="EG176" s="454"/>
      <c r="EH176" s="454"/>
      <c r="EI176" s="454"/>
      <c r="EJ176" s="454"/>
      <c r="EK176" s="454"/>
      <c r="EL176" s="454"/>
      <c r="EM176" s="454"/>
      <c r="EN176" s="454"/>
      <c r="EO176" s="454"/>
      <c r="EP176" s="454"/>
      <c r="EQ176" s="454"/>
      <c r="ER176" s="454"/>
      <c r="ES176" s="454"/>
      <c r="ET176" s="454"/>
      <c r="EU176" s="454"/>
      <c r="EV176" s="454"/>
      <c r="EW176" s="454"/>
      <c r="EX176" s="454"/>
      <c r="EY176" s="454"/>
      <c r="EZ176" s="454"/>
      <c r="FA176" s="454"/>
      <c r="FB176" s="454"/>
      <c r="FC176" s="454"/>
      <c r="FD176" s="454"/>
      <c r="FE176" s="454"/>
      <c r="FF176" s="454"/>
      <c r="FG176" s="481"/>
    </row>
    <row r="177" spans="1:167" s="4" customFormat="1">
      <c r="A177" s="56"/>
      <c r="B177" s="56"/>
      <c r="C177" s="498" t="s">
        <v>3636</v>
      </c>
      <c r="D177" s="498"/>
      <c r="E177" s="454">
        <v>35.1</v>
      </c>
      <c r="F177" s="454"/>
      <c r="G177" s="454"/>
      <c r="H177" s="454"/>
      <c r="I177" s="454"/>
      <c r="J177" s="454"/>
      <c r="K177" s="454"/>
      <c r="L177" s="454"/>
      <c r="M177" s="454"/>
      <c r="N177" s="454"/>
      <c r="O177" s="454"/>
      <c r="P177" s="454"/>
      <c r="Q177" s="454"/>
      <c r="R177" s="290"/>
      <c r="S177" s="290"/>
      <c r="T177" s="454" t="s">
        <v>1631</v>
      </c>
      <c r="U177" s="694" t="s">
        <v>1631</v>
      </c>
      <c r="V177" s="454"/>
      <c r="W177" s="454"/>
      <c r="X177" s="454"/>
      <c r="Y177" s="454"/>
      <c r="Z177" s="454"/>
      <c r="AA177" s="454"/>
      <c r="AB177" s="454"/>
      <c r="AC177" s="454"/>
      <c r="AD177" s="454"/>
      <c r="AE177" s="454"/>
      <c r="AF177" s="454"/>
      <c r="AG177" s="454"/>
      <c r="AH177" s="454"/>
      <c r="AI177" s="454"/>
      <c r="AJ177" s="454"/>
      <c r="AK177" s="454"/>
      <c r="AL177" s="454"/>
      <c r="AM177" s="454"/>
      <c r="AN177" s="454"/>
      <c r="AO177" s="454"/>
      <c r="AP177" s="454"/>
      <c r="AQ177" s="454"/>
      <c r="AR177" s="454"/>
      <c r="AS177" s="454"/>
      <c r="AT177" s="454"/>
      <c r="AU177" s="454"/>
      <c r="AV177" s="454"/>
      <c r="AW177" s="454"/>
      <c r="AX177" s="454"/>
      <c r="AY177" s="454"/>
      <c r="AZ177" s="454"/>
      <c r="BA177" s="454"/>
      <c r="BB177" s="454"/>
      <c r="BC177" s="454"/>
      <c r="BD177" s="454"/>
      <c r="BE177" s="454"/>
      <c r="BF177" s="454"/>
      <c r="BG177" s="454"/>
      <c r="BH177" s="454"/>
      <c r="BI177" s="454"/>
      <c r="BJ177" s="454"/>
      <c r="BK177" s="454"/>
      <c r="BL177" s="454"/>
      <c r="BM177" s="454"/>
      <c r="BN177" s="454"/>
      <c r="BO177" s="454"/>
      <c r="BP177" s="454"/>
      <c r="BQ177" s="454"/>
      <c r="BR177" s="454"/>
      <c r="BS177" s="454"/>
      <c r="BT177" s="454"/>
      <c r="BU177" s="454"/>
      <c r="BV177" s="454"/>
      <c r="BW177" s="454"/>
      <c r="BX177" s="454"/>
      <c r="BY177" s="454"/>
      <c r="BZ177" s="454"/>
      <c r="CA177" s="454"/>
      <c r="CB177" s="454"/>
      <c r="CC177" s="454"/>
      <c r="CD177" s="454"/>
      <c r="CE177" s="454"/>
      <c r="CF177" s="454"/>
      <c r="CG177" s="454"/>
      <c r="CH177" s="454"/>
      <c r="CI177" s="454"/>
      <c r="CJ177" s="454"/>
      <c r="CK177" s="454"/>
      <c r="CL177" s="454"/>
      <c r="CM177" s="454"/>
      <c r="CN177" s="454"/>
      <c r="CO177" s="454"/>
      <c r="CP177" s="454"/>
      <c r="CQ177" s="454"/>
      <c r="CR177" s="454"/>
      <c r="CS177" s="454"/>
      <c r="CT177" s="454"/>
      <c r="CU177" s="454"/>
      <c r="CV177" s="517"/>
      <c r="CW177" s="517">
        <f t="shared" si="17"/>
        <v>35.1</v>
      </c>
      <c r="CX177" s="517"/>
      <c r="CY177" s="517"/>
      <c r="CZ177" s="517"/>
      <c r="DA177" s="517">
        <f t="shared" si="18"/>
        <v>105.30000000000001</v>
      </c>
      <c r="DB177" s="517"/>
      <c r="DC177" s="517"/>
      <c r="DD177" s="517"/>
      <c r="DE177" s="517"/>
      <c r="DF177" s="517"/>
      <c r="DG177" s="517"/>
      <c r="DH177" s="517"/>
      <c r="DI177" s="454"/>
      <c r="DJ177" s="454"/>
      <c r="DK177" s="454"/>
      <c r="DL177" s="454">
        <v>1</v>
      </c>
      <c r="DM177" s="454">
        <v>4</v>
      </c>
      <c r="DN177" s="454"/>
      <c r="DO177" s="454"/>
      <c r="DP177" s="454"/>
      <c r="DQ177" s="454"/>
      <c r="DR177" s="454"/>
      <c r="DS177" s="454"/>
      <c r="DT177" s="454"/>
      <c r="DU177" s="454"/>
      <c r="DV177" s="454"/>
      <c r="DW177" s="454"/>
      <c r="DX177" s="454"/>
      <c r="DY177" s="454"/>
      <c r="DZ177" s="454">
        <v>2</v>
      </c>
      <c r="EA177" s="454"/>
      <c r="EB177" s="454"/>
      <c r="EC177" s="454"/>
      <c r="ED177" s="454"/>
      <c r="EE177" s="454"/>
      <c r="EF177" s="454"/>
      <c r="EG177" s="454"/>
      <c r="EH177" s="454"/>
      <c r="EI177" s="454"/>
      <c r="EJ177" s="454"/>
      <c r="EK177" s="454"/>
      <c r="EL177" s="454"/>
      <c r="EM177" s="454"/>
      <c r="EN177" s="454"/>
      <c r="EO177" s="454"/>
      <c r="EP177" s="454"/>
      <c r="EQ177" s="454"/>
      <c r="ER177" s="454"/>
      <c r="ES177" s="454"/>
      <c r="ET177" s="454"/>
      <c r="EU177" s="454"/>
      <c r="EV177" s="454"/>
      <c r="EW177" s="454"/>
      <c r="EX177" s="454"/>
      <c r="EY177" s="454"/>
      <c r="EZ177" s="454"/>
      <c r="FA177" s="454"/>
      <c r="FB177" s="454"/>
      <c r="FC177" s="454"/>
      <c r="FD177" s="454"/>
      <c r="FE177" s="454"/>
      <c r="FF177" s="454"/>
      <c r="FG177" s="290"/>
    </row>
    <row r="178" spans="1:167" s="4" customFormat="1">
      <c r="A178" s="56"/>
      <c r="B178" s="56"/>
      <c r="C178" s="498" t="s">
        <v>3637</v>
      </c>
      <c r="D178" s="498"/>
      <c r="E178" s="454">
        <v>37.799999999999997</v>
      </c>
      <c r="F178" s="454"/>
      <c r="G178" s="454"/>
      <c r="H178" s="454"/>
      <c r="I178" s="454"/>
      <c r="J178" s="454"/>
      <c r="K178" s="454"/>
      <c r="L178" s="454"/>
      <c r="M178" s="454"/>
      <c r="N178" s="454"/>
      <c r="O178" s="454"/>
      <c r="P178" s="454"/>
      <c r="Q178" s="454"/>
      <c r="R178" s="290"/>
      <c r="S178" s="290"/>
      <c r="T178" s="454" t="s">
        <v>1903</v>
      </c>
      <c r="U178" s="454" t="s">
        <v>1903</v>
      </c>
      <c r="V178" s="454"/>
      <c r="W178" s="454"/>
      <c r="X178" s="454"/>
      <c r="Y178" s="454"/>
      <c r="Z178" s="454"/>
      <c r="AA178" s="454"/>
      <c r="AB178" s="454"/>
      <c r="AC178" s="454"/>
      <c r="AD178" s="454"/>
      <c r="AE178" s="454"/>
      <c r="AF178" s="454"/>
      <c r="AG178" s="454"/>
      <c r="AH178" s="454"/>
      <c r="AI178" s="454"/>
      <c r="AJ178" s="454"/>
      <c r="AK178" s="454"/>
      <c r="AL178" s="454"/>
      <c r="AM178" s="454"/>
      <c r="AN178" s="454"/>
      <c r="AO178" s="454"/>
      <c r="AP178" s="454"/>
      <c r="AQ178" s="454"/>
      <c r="AR178" s="454"/>
      <c r="AS178" s="454"/>
      <c r="AT178" s="454"/>
      <c r="AU178" s="454"/>
      <c r="AV178" s="454"/>
      <c r="AW178" s="454"/>
      <c r="AX178" s="454"/>
      <c r="AY178" s="454"/>
      <c r="AZ178" s="454"/>
      <c r="BA178" s="454"/>
      <c r="BB178" s="454"/>
      <c r="BC178" s="454"/>
      <c r="BD178" s="454"/>
      <c r="BE178" s="454"/>
      <c r="BF178" s="454"/>
      <c r="BG178" s="454"/>
      <c r="BH178" s="454"/>
      <c r="BI178" s="454"/>
      <c r="BJ178" s="454"/>
      <c r="BK178" s="454"/>
      <c r="BL178" s="454"/>
      <c r="BM178" s="454"/>
      <c r="BN178" s="454"/>
      <c r="BO178" s="454"/>
      <c r="BP178" s="454"/>
      <c r="BQ178" s="454"/>
      <c r="BR178" s="454"/>
      <c r="BS178" s="454"/>
      <c r="BT178" s="454"/>
      <c r="BU178" s="454"/>
      <c r="BV178" s="454"/>
      <c r="BW178" s="454"/>
      <c r="BX178" s="454"/>
      <c r="BY178" s="454"/>
      <c r="BZ178" s="454"/>
      <c r="CA178" s="454"/>
      <c r="CB178" s="454"/>
      <c r="CC178" s="454"/>
      <c r="CD178" s="454"/>
      <c r="CE178" s="454"/>
      <c r="CF178" s="454"/>
      <c r="CG178" s="454"/>
      <c r="CH178" s="454"/>
      <c r="CI178" s="454"/>
      <c r="CJ178" s="454"/>
      <c r="CK178" s="454"/>
      <c r="CL178" s="454"/>
      <c r="CM178" s="454"/>
      <c r="CN178" s="454"/>
      <c r="CO178" s="454"/>
      <c r="CP178" s="454"/>
      <c r="CQ178" s="454"/>
      <c r="CR178" s="454"/>
      <c r="CS178" s="454"/>
      <c r="CT178" s="454"/>
      <c r="CU178" s="454"/>
      <c r="CV178" s="517"/>
      <c r="CW178" s="517">
        <f t="shared" si="17"/>
        <v>37.799999999999997</v>
      </c>
      <c r="CX178" s="517"/>
      <c r="CY178" s="517"/>
      <c r="CZ178" s="517"/>
      <c r="DA178" s="517">
        <f t="shared" si="18"/>
        <v>113.39999999999999</v>
      </c>
      <c r="DB178" s="517"/>
      <c r="DC178" s="517"/>
      <c r="DD178" s="517"/>
      <c r="DE178" s="517"/>
      <c r="DF178" s="517"/>
      <c r="DG178" s="517"/>
      <c r="DH178" s="517"/>
      <c r="DI178" s="454"/>
      <c r="DJ178" s="454"/>
      <c r="DK178" s="454"/>
      <c r="DL178" s="454">
        <v>1</v>
      </c>
      <c r="DM178" s="454">
        <v>4</v>
      </c>
      <c r="DN178" s="454">
        <v>1</v>
      </c>
      <c r="DO178" s="454">
        <v>4</v>
      </c>
      <c r="DP178" s="454">
        <v>3</v>
      </c>
      <c r="DQ178" s="454"/>
      <c r="DR178" s="454"/>
      <c r="DS178" s="454"/>
      <c r="DT178" s="454"/>
      <c r="DU178" s="454"/>
      <c r="DV178" s="454"/>
      <c r="DW178" s="454"/>
      <c r="DX178" s="454"/>
      <c r="DY178" s="454"/>
      <c r="DZ178" s="454">
        <v>2</v>
      </c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  <c r="FG178" s="290"/>
    </row>
    <row r="179" spans="1:167" s="4" customFormat="1">
      <c r="A179" s="56"/>
      <c r="B179" s="56"/>
      <c r="C179" s="498" t="s">
        <v>3638</v>
      </c>
      <c r="D179" s="498"/>
      <c r="E179" s="454">
        <v>41.6</v>
      </c>
      <c r="F179" s="454"/>
      <c r="G179" s="454"/>
      <c r="H179" s="454"/>
      <c r="I179" s="454"/>
      <c r="J179" s="454"/>
      <c r="K179" s="454"/>
      <c r="L179" s="454"/>
      <c r="M179" s="454"/>
      <c r="N179" s="454"/>
      <c r="O179" s="454"/>
      <c r="P179" s="454"/>
      <c r="Q179" s="454"/>
      <c r="R179" s="290"/>
      <c r="S179" s="290"/>
      <c r="T179" s="454" t="s">
        <v>1903</v>
      </c>
      <c r="U179" s="454" t="s">
        <v>1903</v>
      </c>
      <c r="V179" s="454"/>
      <c r="W179" s="454"/>
      <c r="X179" s="454"/>
      <c r="Y179" s="454"/>
      <c r="Z179" s="454"/>
      <c r="AA179" s="454"/>
      <c r="AB179" s="454"/>
      <c r="AC179" s="454"/>
      <c r="AD179" s="454"/>
      <c r="AE179" s="454"/>
      <c r="AF179" s="454"/>
      <c r="AG179" s="454"/>
      <c r="AH179" s="454"/>
      <c r="AI179" s="454"/>
      <c r="AJ179" s="454"/>
      <c r="AK179" s="454"/>
      <c r="AL179" s="454"/>
      <c r="AM179" s="454"/>
      <c r="AN179" s="454"/>
      <c r="AO179" s="454"/>
      <c r="AP179" s="454"/>
      <c r="AQ179" s="454"/>
      <c r="AR179" s="454"/>
      <c r="AS179" s="454"/>
      <c r="AT179" s="454"/>
      <c r="AU179" s="454"/>
      <c r="AV179" s="454"/>
      <c r="AW179" s="454"/>
      <c r="AX179" s="454"/>
      <c r="AY179" s="454"/>
      <c r="AZ179" s="454"/>
      <c r="BA179" s="454"/>
      <c r="BB179" s="454"/>
      <c r="BC179" s="454"/>
      <c r="BD179" s="454"/>
      <c r="BE179" s="454"/>
      <c r="BF179" s="454"/>
      <c r="BG179" s="454"/>
      <c r="BH179" s="454"/>
      <c r="BI179" s="454"/>
      <c r="BJ179" s="454"/>
      <c r="BK179" s="454"/>
      <c r="BL179" s="454"/>
      <c r="BM179" s="454"/>
      <c r="BN179" s="454"/>
      <c r="BO179" s="454"/>
      <c r="BP179" s="454"/>
      <c r="BQ179" s="454"/>
      <c r="BR179" s="454"/>
      <c r="BS179" s="454"/>
      <c r="BT179" s="454"/>
      <c r="BU179" s="454"/>
      <c r="BV179" s="454"/>
      <c r="BW179" s="454"/>
      <c r="BX179" s="454"/>
      <c r="BY179" s="454"/>
      <c r="BZ179" s="454"/>
      <c r="CA179" s="454"/>
      <c r="CB179" s="454"/>
      <c r="CC179" s="454"/>
      <c r="CD179" s="454"/>
      <c r="CE179" s="454"/>
      <c r="CF179" s="454"/>
      <c r="CG179" s="454"/>
      <c r="CH179" s="454"/>
      <c r="CI179" s="454"/>
      <c r="CJ179" s="454"/>
      <c r="CK179" s="454"/>
      <c r="CL179" s="454"/>
      <c r="CM179" s="454"/>
      <c r="CN179" s="454"/>
      <c r="CO179" s="454"/>
      <c r="CP179" s="454"/>
      <c r="CQ179" s="454"/>
      <c r="CR179" s="454"/>
      <c r="CS179" s="454"/>
      <c r="CT179" s="454"/>
      <c r="CU179" s="454"/>
      <c r="CV179" s="517"/>
      <c r="CW179" s="517">
        <f t="shared" si="17"/>
        <v>41.6</v>
      </c>
      <c r="CX179" s="517"/>
      <c r="CY179" s="517"/>
      <c r="CZ179" s="517"/>
      <c r="DA179" s="517">
        <f t="shared" si="18"/>
        <v>124.80000000000001</v>
      </c>
      <c r="DB179" s="517"/>
      <c r="DC179" s="517"/>
      <c r="DD179" s="517"/>
      <c r="DE179" s="517"/>
      <c r="DF179" s="517"/>
      <c r="DG179" s="517"/>
      <c r="DH179" s="517"/>
      <c r="DI179" s="454"/>
      <c r="DJ179" s="454"/>
      <c r="DK179" s="454"/>
      <c r="DL179" s="454">
        <v>1</v>
      </c>
      <c r="DM179" s="454">
        <v>4</v>
      </c>
      <c r="DN179" s="454">
        <v>1</v>
      </c>
      <c r="DO179" s="454">
        <v>3</v>
      </c>
      <c r="DP179" s="454">
        <v>2</v>
      </c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>
        <v>2</v>
      </c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  <c r="FG179" s="290"/>
    </row>
    <row r="180" spans="1:167" s="4" customFormat="1">
      <c r="A180" s="56"/>
      <c r="B180" s="56"/>
      <c r="C180" s="498" t="s">
        <v>3639</v>
      </c>
      <c r="D180" s="498"/>
      <c r="E180" s="454">
        <v>40.9</v>
      </c>
      <c r="F180" s="454"/>
      <c r="G180" s="454"/>
      <c r="H180" s="454"/>
      <c r="I180" s="454"/>
      <c r="J180" s="454"/>
      <c r="K180" s="454"/>
      <c r="L180" s="454"/>
      <c r="M180" s="454"/>
      <c r="N180" s="454"/>
      <c r="O180" s="454"/>
      <c r="P180" s="454"/>
      <c r="Q180" s="454"/>
      <c r="R180" s="290"/>
      <c r="S180" s="290"/>
      <c r="T180" s="454" t="s">
        <v>1631</v>
      </c>
      <c r="U180" s="454" t="s">
        <v>1631</v>
      </c>
      <c r="V180" s="454"/>
      <c r="W180" s="454"/>
      <c r="X180" s="454"/>
      <c r="Y180" s="454"/>
      <c r="Z180" s="454"/>
      <c r="AA180" s="454"/>
      <c r="AB180" s="454"/>
      <c r="AC180" s="454"/>
      <c r="AD180" s="454"/>
      <c r="AE180" s="454"/>
      <c r="AF180" s="454"/>
      <c r="AG180" s="454"/>
      <c r="AH180" s="454"/>
      <c r="AI180" s="454"/>
      <c r="AJ180" s="454"/>
      <c r="AK180" s="454"/>
      <c r="AL180" s="454"/>
      <c r="AM180" s="454"/>
      <c r="AN180" s="454"/>
      <c r="AO180" s="454"/>
      <c r="AP180" s="454"/>
      <c r="AQ180" s="454"/>
      <c r="AR180" s="454"/>
      <c r="AS180" s="454"/>
      <c r="AT180" s="454"/>
      <c r="AU180" s="454"/>
      <c r="AV180" s="454"/>
      <c r="AW180" s="454"/>
      <c r="AX180" s="454"/>
      <c r="AY180" s="454"/>
      <c r="AZ180" s="454"/>
      <c r="BA180" s="454"/>
      <c r="BB180" s="454"/>
      <c r="BC180" s="454"/>
      <c r="BD180" s="454"/>
      <c r="BE180" s="454"/>
      <c r="BF180" s="454"/>
      <c r="BG180" s="454"/>
      <c r="BH180" s="454"/>
      <c r="BI180" s="454"/>
      <c r="BJ180" s="454"/>
      <c r="BK180" s="454"/>
      <c r="BL180" s="454"/>
      <c r="BM180" s="454"/>
      <c r="BN180" s="454"/>
      <c r="BO180" s="454"/>
      <c r="BP180" s="454"/>
      <c r="BQ180" s="454"/>
      <c r="BR180" s="454"/>
      <c r="BS180" s="454"/>
      <c r="BT180" s="454"/>
      <c r="BU180" s="454"/>
      <c r="BV180" s="454"/>
      <c r="BW180" s="454"/>
      <c r="BX180" s="454"/>
      <c r="BY180" s="454"/>
      <c r="BZ180" s="454"/>
      <c r="CA180" s="454"/>
      <c r="CB180" s="454"/>
      <c r="CC180" s="454"/>
      <c r="CD180" s="454"/>
      <c r="CE180" s="454"/>
      <c r="CF180" s="454"/>
      <c r="CG180" s="454"/>
      <c r="CH180" s="454"/>
      <c r="CI180" s="454"/>
      <c r="CJ180" s="454"/>
      <c r="CK180" s="454"/>
      <c r="CL180" s="454"/>
      <c r="CM180" s="454"/>
      <c r="CN180" s="454"/>
      <c r="CO180" s="454"/>
      <c r="CP180" s="454"/>
      <c r="CQ180" s="830"/>
      <c r="CR180" s="830"/>
      <c r="CS180" s="830"/>
      <c r="CT180" s="830"/>
      <c r="CU180" s="830"/>
      <c r="CV180" s="517"/>
      <c r="CW180" s="517">
        <f t="shared" si="17"/>
        <v>40.9</v>
      </c>
      <c r="CX180" s="517"/>
      <c r="CY180" s="517"/>
      <c r="CZ180" s="517"/>
      <c r="DA180" s="517">
        <f t="shared" si="18"/>
        <v>122.69999999999999</v>
      </c>
      <c r="DB180" s="517"/>
      <c r="DC180" s="517"/>
      <c r="DD180" s="517"/>
      <c r="DE180" s="517"/>
      <c r="DF180" s="517"/>
      <c r="DG180" s="517"/>
      <c r="DH180" s="517"/>
      <c r="DI180" s="454"/>
      <c r="DJ180" s="454"/>
      <c r="DK180" s="454"/>
      <c r="DL180" s="454">
        <v>1</v>
      </c>
      <c r="DM180" s="454">
        <v>4</v>
      </c>
      <c r="DN180" s="454">
        <v>1</v>
      </c>
      <c r="DO180" s="454">
        <v>4</v>
      </c>
      <c r="DP180" s="454">
        <v>3</v>
      </c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>
        <v>2</v>
      </c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  <c r="FG180" s="290"/>
    </row>
    <row r="181" spans="1:167" s="4" customFormat="1">
      <c r="A181" s="56"/>
      <c r="B181" s="56"/>
      <c r="C181" s="498" t="s">
        <v>3640</v>
      </c>
      <c r="D181" s="498"/>
      <c r="E181" s="454">
        <v>39</v>
      </c>
      <c r="F181" s="454"/>
      <c r="G181" s="454"/>
      <c r="H181" s="454"/>
      <c r="I181" s="454"/>
      <c r="J181" s="454"/>
      <c r="K181" s="454"/>
      <c r="L181" s="454"/>
      <c r="M181" s="454"/>
      <c r="N181" s="454"/>
      <c r="O181" s="454"/>
      <c r="P181" s="454"/>
      <c r="Q181" s="454"/>
      <c r="R181" s="290"/>
      <c r="S181" s="290"/>
      <c r="T181" s="454" t="s">
        <v>1631</v>
      </c>
      <c r="U181" s="454" t="s">
        <v>1631</v>
      </c>
      <c r="V181" s="454"/>
      <c r="W181" s="454"/>
      <c r="X181" s="454"/>
      <c r="Y181" s="454"/>
      <c r="Z181" s="454"/>
      <c r="AA181" s="454"/>
      <c r="AB181" s="454"/>
      <c r="AC181" s="454"/>
      <c r="AD181" s="454"/>
      <c r="AE181" s="454"/>
      <c r="AF181" s="454"/>
      <c r="AG181" s="454"/>
      <c r="AH181" s="454"/>
      <c r="AI181" s="454"/>
      <c r="AJ181" s="454"/>
      <c r="AK181" s="454"/>
      <c r="AL181" s="454"/>
      <c r="AM181" s="454"/>
      <c r="AN181" s="454"/>
      <c r="AO181" s="454"/>
      <c r="AP181" s="454"/>
      <c r="AQ181" s="454"/>
      <c r="AR181" s="454"/>
      <c r="AS181" s="454"/>
      <c r="AT181" s="454"/>
      <c r="AU181" s="454"/>
      <c r="AV181" s="454"/>
      <c r="AW181" s="454"/>
      <c r="AX181" s="454"/>
      <c r="AY181" s="454"/>
      <c r="AZ181" s="454"/>
      <c r="BA181" s="454"/>
      <c r="BB181" s="454"/>
      <c r="BC181" s="454"/>
      <c r="BD181" s="454"/>
      <c r="BE181" s="454"/>
      <c r="BF181" s="454"/>
      <c r="BG181" s="454"/>
      <c r="BH181" s="454"/>
      <c r="BI181" s="454"/>
      <c r="BJ181" s="454"/>
      <c r="BK181" s="454"/>
      <c r="BL181" s="454"/>
      <c r="BM181" s="454"/>
      <c r="BN181" s="454"/>
      <c r="BO181" s="454"/>
      <c r="BP181" s="454"/>
      <c r="BQ181" s="454"/>
      <c r="BR181" s="454"/>
      <c r="BS181" s="454"/>
      <c r="BT181" s="454"/>
      <c r="BU181" s="454"/>
      <c r="BV181" s="454"/>
      <c r="BW181" s="454"/>
      <c r="BX181" s="454"/>
      <c r="BY181" s="454"/>
      <c r="BZ181" s="454"/>
      <c r="CA181" s="454"/>
      <c r="CB181" s="454"/>
      <c r="CC181" s="454"/>
      <c r="CD181" s="454"/>
      <c r="CE181" s="454"/>
      <c r="CF181" s="454"/>
      <c r="CG181" s="454"/>
      <c r="CH181" s="454"/>
      <c r="CI181" s="454"/>
      <c r="CJ181" s="454"/>
      <c r="CK181" s="454"/>
      <c r="CL181" s="454"/>
      <c r="CM181" s="454"/>
      <c r="CN181" s="454"/>
      <c r="CO181" s="454"/>
      <c r="CP181" s="454"/>
      <c r="CQ181" s="454"/>
      <c r="CR181" s="454"/>
      <c r="CS181" s="454"/>
      <c r="CT181" s="454"/>
      <c r="CU181" s="454"/>
      <c r="CV181" s="517"/>
      <c r="CW181" s="517">
        <f t="shared" si="17"/>
        <v>39</v>
      </c>
      <c r="CX181" s="517"/>
      <c r="CY181" s="517"/>
      <c r="CZ181" s="517"/>
      <c r="DA181" s="517">
        <f t="shared" si="18"/>
        <v>117</v>
      </c>
      <c r="DB181" s="517"/>
      <c r="DC181" s="517"/>
      <c r="DD181" s="517"/>
      <c r="DE181" s="517"/>
      <c r="DF181" s="517"/>
      <c r="DG181" s="517"/>
      <c r="DH181" s="517"/>
      <c r="DI181" s="454"/>
      <c r="DJ181" s="454"/>
      <c r="DK181" s="454"/>
      <c r="DL181" s="454">
        <v>1</v>
      </c>
      <c r="DM181" s="454">
        <v>4</v>
      </c>
      <c r="DN181" s="454">
        <v>1</v>
      </c>
      <c r="DO181" s="454">
        <v>3</v>
      </c>
      <c r="DP181" s="454">
        <v>3</v>
      </c>
      <c r="DQ181" s="454"/>
      <c r="DR181" s="454"/>
      <c r="DS181" s="454"/>
      <c r="DT181" s="454"/>
      <c r="DU181" s="454"/>
      <c r="DV181" s="454"/>
      <c r="DW181" s="454"/>
      <c r="DX181" s="454"/>
      <c r="DY181" s="454"/>
      <c r="DZ181" s="454">
        <v>2</v>
      </c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  <c r="FG181" s="290"/>
    </row>
    <row r="182" spans="1:167" s="4" customFormat="1">
      <c r="A182" s="56"/>
      <c r="B182" s="56"/>
      <c r="C182" s="498" t="s">
        <v>3641</v>
      </c>
      <c r="D182" s="498"/>
      <c r="E182" s="454">
        <v>38.9</v>
      </c>
      <c r="F182" s="454"/>
      <c r="G182" s="454"/>
      <c r="H182" s="454"/>
      <c r="I182" s="454"/>
      <c r="J182" s="454"/>
      <c r="K182" s="454"/>
      <c r="L182" s="454"/>
      <c r="M182" s="454"/>
      <c r="N182" s="454"/>
      <c r="O182" s="454"/>
      <c r="P182" s="454"/>
      <c r="Q182" s="454"/>
      <c r="R182" s="290"/>
      <c r="S182" s="290"/>
      <c r="T182" s="454" t="s">
        <v>1631</v>
      </c>
      <c r="U182" s="454" t="s">
        <v>1631</v>
      </c>
      <c r="V182" s="454"/>
      <c r="W182" s="454"/>
      <c r="X182" s="454"/>
      <c r="Y182" s="454"/>
      <c r="Z182" s="454"/>
      <c r="AA182" s="454"/>
      <c r="AB182" s="454"/>
      <c r="AC182" s="454"/>
      <c r="AD182" s="454"/>
      <c r="AE182" s="454"/>
      <c r="AF182" s="454"/>
      <c r="AG182" s="454"/>
      <c r="AH182" s="454"/>
      <c r="AI182" s="454"/>
      <c r="AJ182" s="454"/>
      <c r="AK182" s="454"/>
      <c r="AL182" s="454"/>
      <c r="AM182" s="454"/>
      <c r="AN182" s="454"/>
      <c r="AO182" s="454"/>
      <c r="AP182" s="454"/>
      <c r="AQ182" s="454"/>
      <c r="AR182" s="454"/>
      <c r="AS182" s="454"/>
      <c r="AT182" s="454"/>
      <c r="AU182" s="454"/>
      <c r="AV182" s="454"/>
      <c r="AW182" s="454"/>
      <c r="AX182" s="454"/>
      <c r="AY182" s="454"/>
      <c r="AZ182" s="454"/>
      <c r="BA182" s="454"/>
      <c r="BB182" s="454"/>
      <c r="BC182" s="454"/>
      <c r="BD182" s="454"/>
      <c r="BE182" s="454"/>
      <c r="BF182" s="454"/>
      <c r="BG182" s="454"/>
      <c r="BH182" s="454"/>
      <c r="BI182" s="454"/>
      <c r="BJ182" s="454"/>
      <c r="BK182" s="454"/>
      <c r="BL182" s="454"/>
      <c r="BM182" s="454"/>
      <c r="BN182" s="454"/>
      <c r="BO182" s="454"/>
      <c r="BP182" s="454"/>
      <c r="BQ182" s="454"/>
      <c r="BR182" s="454"/>
      <c r="BS182" s="454"/>
      <c r="BT182" s="454"/>
      <c r="BU182" s="454"/>
      <c r="BV182" s="454"/>
      <c r="BW182" s="454"/>
      <c r="BX182" s="454"/>
      <c r="BY182" s="454"/>
      <c r="BZ182" s="454"/>
      <c r="CA182" s="454"/>
      <c r="CB182" s="454"/>
      <c r="CC182" s="454"/>
      <c r="CD182" s="454"/>
      <c r="CE182" s="454"/>
      <c r="CF182" s="454"/>
      <c r="CG182" s="454"/>
      <c r="CH182" s="454"/>
      <c r="CI182" s="454"/>
      <c r="CJ182" s="454"/>
      <c r="CK182" s="454"/>
      <c r="CL182" s="454"/>
      <c r="CM182" s="454"/>
      <c r="CN182" s="454"/>
      <c r="CO182" s="454"/>
      <c r="CP182" s="454"/>
      <c r="CQ182" s="454"/>
      <c r="CR182" s="454"/>
      <c r="CS182" s="454"/>
      <c r="CT182" s="454"/>
      <c r="CU182" s="454"/>
      <c r="CV182" s="517"/>
      <c r="CW182" s="517">
        <f t="shared" si="17"/>
        <v>38.9</v>
      </c>
      <c r="CX182" s="517"/>
      <c r="CY182" s="517"/>
      <c r="CZ182" s="517"/>
      <c r="DA182" s="517">
        <f t="shared" si="18"/>
        <v>116.69999999999999</v>
      </c>
      <c r="DB182" s="517"/>
      <c r="DC182" s="517"/>
      <c r="DD182" s="517"/>
      <c r="DE182" s="517"/>
      <c r="DF182" s="517"/>
      <c r="DG182" s="517"/>
      <c r="DH182" s="517"/>
      <c r="DI182" s="454"/>
      <c r="DJ182" s="454"/>
      <c r="DK182" s="454"/>
      <c r="DL182" s="454">
        <v>1</v>
      </c>
      <c r="DM182" s="454">
        <v>4</v>
      </c>
      <c r="DN182" s="454">
        <v>1</v>
      </c>
      <c r="DO182" s="454">
        <v>4</v>
      </c>
      <c r="DP182" s="454">
        <v>4</v>
      </c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>
        <v>3</v>
      </c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  <c r="FG182" s="290"/>
    </row>
    <row r="183" spans="1:167" s="4" customFormat="1">
      <c r="A183" s="56"/>
      <c r="B183" s="56"/>
      <c r="C183" s="498" t="s">
        <v>3647</v>
      </c>
      <c r="D183" s="498"/>
      <c r="E183" s="454">
        <v>27.9</v>
      </c>
      <c r="F183" s="454"/>
      <c r="G183" s="454"/>
      <c r="H183" s="454"/>
      <c r="I183" s="454"/>
      <c r="J183" s="454"/>
      <c r="K183" s="454"/>
      <c r="L183" s="454"/>
      <c r="M183" s="454"/>
      <c r="N183" s="454"/>
      <c r="O183" s="454"/>
      <c r="P183" s="454"/>
      <c r="Q183" s="454"/>
      <c r="R183" s="290"/>
      <c r="S183" s="290"/>
      <c r="T183" s="454" t="s">
        <v>2990</v>
      </c>
      <c r="U183" s="454" t="s">
        <v>2990</v>
      </c>
      <c r="V183" s="454"/>
      <c r="W183" s="454"/>
      <c r="X183" s="454"/>
      <c r="Y183" s="454"/>
      <c r="Z183" s="454"/>
      <c r="AA183" s="454"/>
      <c r="AB183" s="454"/>
      <c r="AC183" s="454"/>
      <c r="AD183" s="454"/>
      <c r="AE183" s="454"/>
      <c r="AF183" s="454"/>
      <c r="AG183" s="454"/>
      <c r="AH183" s="454"/>
      <c r="AI183" s="454"/>
      <c r="AJ183" s="454"/>
      <c r="AK183" s="454"/>
      <c r="AL183" s="454"/>
      <c r="AM183" s="454"/>
      <c r="AN183" s="454"/>
      <c r="AO183" s="454"/>
      <c r="AP183" s="454"/>
      <c r="AQ183" s="454"/>
      <c r="AR183" s="454"/>
      <c r="AS183" s="454"/>
      <c r="AT183" s="454"/>
      <c r="AU183" s="454"/>
      <c r="AV183" s="454"/>
      <c r="AW183" s="454"/>
      <c r="AX183" s="454"/>
      <c r="AY183" s="454"/>
      <c r="AZ183" s="454"/>
      <c r="BA183" s="454"/>
      <c r="BB183" s="454"/>
      <c r="BC183" s="454"/>
      <c r="BD183" s="454"/>
      <c r="BE183" s="454"/>
      <c r="BF183" s="454"/>
      <c r="BG183" s="454"/>
      <c r="BH183" s="454"/>
      <c r="BI183" s="454"/>
      <c r="BJ183" s="454"/>
      <c r="BK183" s="454"/>
      <c r="BL183" s="454"/>
      <c r="BM183" s="454"/>
      <c r="BN183" s="454"/>
      <c r="BO183" s="454"/>
      <c r="BP183" s="454"/>
      <c r="BQ183" s="454"/>
      <c r="BR183" s="454"/>
      <c r="BS183" s="454"/>
      <c r="BT183" s="454"/>
      <c r="BU183" s="454"/>
      <c r="BV183" s="454"/>
      <c r="BW183" s="454"/>
      <c r="BX183" s="454"/>
      <c r="BY183" s="454"/>
      <c r="BZ183" s="454"/>
      <c r="CA183" s="454"/>
      <c r="CB183" s="454"/>
      <c r="CC183" s="454"/>
      <c r="CD183" s="454"/>
      <c r="CE183" s="454"/>
      <c r="CF183" s="454"/>
      <c r="CG183" s="454"/>
      <c r="CH183" s="454"/>
      <c r="CI183" s="454"/>
      <c r="CJ183" s="454"/>
      <c r="CK183" s="454"/>
      <c r="CL183" s="454"/>
      <c r="CM183" s="454"/>
      <c r="CN183" s="454"/>
      <c r="CO183" s="454"/>
      <c r="CP183" s="454"/>
      <c r="CQ183" s="454"/>
      <c r="CR183" s="454"/>
      <c r="CS183" s="454"/>
      <c r="CT183" s="454"/>
      <c r="CU183" s="454"/>
      <c r="CV183" s="517"/>
      <c r="CW183" s="517">
        <f t="shared" si="17"/>
        <v>27.9</v>
      </c>
      <c r="CX183" s="517"/>
      <c r="CY183" s="517"/>
      <c r="CZ183" s="517"/>
      <c r="DA183" s="517">
        <f t="shared" si="18"/>
        <v>83.699999999999989</v>
      </c>
      <c r="DB183" s="517"/>
      <c r="DC183" s="517"/>
      <c r="DD183" s="517"/>
      <c r="DE183" s="517"/>
      <c r="DF183" s="517"/>
      <c r="DG183" s="517"/>
      <c r="DH183" s="517"/>
      <c r="DI183" s="454"/>
      <c r="DJ183" s="454"/>
      <c r="DK183" s="454"/>
      <c r="DL183" s="454">
        <v>1</v>
      </c>
      <c r="DM183" s="454">
        <v>4</v>
      </c>
      <c r="DN183" s="454">
        <v>1</v>
      </c>
      <c r="DO183" s="454">
        <v>4</v>
      </c>
      <c r="DP183" s="454">
        <v>4</v>
      </c>
      <c r="DQ183" s="454"/>
      <c r="DR183" s="454"/>
      <c r="DS183" s="454"/>
      <c r="DT183" s="454"/>
      <c r="DU183" s="454">
        <v>8</v>
      </c>
      <c r="DV183" s="454"/>
      <c r="DW183" s="454"/>
      <c r="DX183" s="454"/>
      <c r="DY183" s="454"/>
      <c r="DZ183" s="454">
        <v>3</v>
      </c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  <c r="FG183" s="290"/>
    </row>
    <row r="184" spans="1:167" s="4" customFormat="1">
      <c r="A184" s="56"/>
      <c r="B184" s="56"/>
      <c r="C184" s="498"/>
      <c r="D184" s="498"/>
      <c r="E184" s="454"/>
      <c r="F184" s="454"/>
      <c r="G184" s="454"/>
      <c r="H184" s="454"/>
      <c r="I184" s="454"/>
      <c r="J184" s="454"/>
      <c r="K184" s="454"/>
      <c r="L184" s="454"/>
      <c r="M184" s="454"/>
      <c r="N184" s="454"/>
      <c r="O184" s="454"/>
      <c r="P184" s="454"/>
      <c r="Q184" s="454"/>
      <c r="R184" s="290"/>
      <c r="S184" s="290"/>
      <c r="T184" s="454"/>
      <c r="U184" s="454"/>
      <c r="V184" s="454"/>
      <c r="W184" s="454"/>
      <c r="X184" s="454"/>
      <c r="Y184" s="454"/>
      <c r="Z184" s="454"/>
      <c r="AA184" s="454"/>
      <c r="AB184" s="454"/>
      <c r="AC184" s="454"/>
      <c r="AD184" s="454"/>
      <c r="AE184" s="454"/>
      <c r="AF184" s="454"/>
      <c r="AG184" s="454"/>
      <c r="AH184" s="454"/>
      <c r="AI184" s="454"/>
      <c r="AJ184" s="454"/>
      <c r="AK184" s="454"/>
      <c r="AL184" s="454"/>
      <c r="AM184" s="454"/>
      <c r="AN184" s="454"/>
      <c r="AO184" s="454"/>
      <c r="AP184" s="454"/>
      <c r="AQ184" s="454"/>
      <c r="AR184" s="454"/>
      <c r="AS184" s="454"/>
      <c r="AT184" s="454"/>
      <c r="AU184" s="454"/>
      <c r="AV184" s="454"/>
      <c r="AW184" s="454"/>
      <c r="AX184" s="454"/>
      <c r="AY184" s="454"/>
      <c r="AZ184" s="454"/>
      <c r="BA184" s="454"/>
      <c r="BB184" s="454"/>
      <c r="BC184" s="454"/>
      <c r="BD184" s="454"/>
      <c r="BE184" s="454"/>
      <c r="BF184" s="454"/>
      <c r="BG184" s="454"/>
      <c r="BH184" s="454"/>
      <c r="BI184" s="454"/>
      <c r="BJ184" s="454"/>
      <c r="BK184" s="454"/>
      <c r="BL184" s="454"/>
      <c r="BM184" s="454"/>
      <c r="BN184" s="454"/>
      <c r="BO184" s="454"/>
      <c r="BP184" s="454"/>
      <c r="BQ184" s="454"/>
      <c r="BR184" s="454"/>
      <c r="BS184" s="454"/>
      <c r="BT184" s="454"/>
      <c r="BU184" s="454"/>
      <c r="BV184" s="454"/>
      <c r="BW184" s="454"/>
      <c r="BX184" s="454"/>
      <c r="BY184" s="454"/>
      <c r="BZ184" s="454"/>
      <c r="CA184" s="454"/>
      <c r="CB184" s="454"/>
      <c r="CC184" s="454"/>
      <c r="CD184" s="454"/>
      <c r="CE184" s="454"/>
      <c r="CF184" s="454"/>
      <c r="CG184" s="454"/>
      <c r="CH184" s="454"/>
      <c r="CI184" s="454"/>
      <c r="CJ184" s="454"/>
      <c r="CK184" s="454"/>
      <c r="CL184" s="454"/>
      <c r="CM184" s="454"/>
      <c r="CN184" s="454"/>
      <c r="CO184" s="454"/>
      <c r="CP184" s="454"/>
      <c r="CQ184" s="454"/>
      <c r="CR184" s="454"/>
      <c r="CS184" s="454"/>
      <c r="CT184" s="454"/>
      <c r="CU184" s="454"/>
      <c r="CV184" s="517"/>
      <c r="CW184" s="517">
        <f t="shared" si="17"/>
        <v>0</v>
      </c>
      <c r="CX184" s="517"/>
      <c r="CY184" s="517"/>
      <c r="CZ184" s="517"/>
      <c r="DA184" s="517">
        <f t="shared" si="18"/>
        <v>0</v>
      </c>
      <c r="DB184" s="517"/>
      <c r="DC184" s="517"/>
      <c r="DD184" s="517"/>
      <c r="DE184" s="517"/>
      <c r="DF184" s="517"/>
      <c r="DG184" s="517"/>
      <c r="DH184" s="517"/>
      <c r="DI184" s="454"/>
      <c r="DJ184" s="454"/>
      <c r="DK184" s="454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  <c r="FG184" s="290"/>
    </row>
    <row r="185" spans="1:167" s="4" customFormat="1">
      <c r="A185" s="486">
        <f>MATCH(C185,$C$5:$C$507,0)</f>
        <v>181</v>
      </c>
      <c r="B185" s="56"/>
      <c r="C185" s="507" t="s">
        <v>1568</v>
      </c>
      <c r="D185" s="507"/>
      <c r="E185" s="508">
        <f t="shared" ref="E185:AJ185" si="19">SUM(E93:E184)</f>
        <v>2960.4999999999995</v>
      </c>
      <c r="F185" s="508">
        <f t="shared" si="19"/>
        <v>0</v>
      </c>
      <c r="G185" s="508">
        <f t="shared" si="19"/>
        <v>0</v>
      </c>
      <c r="H185" s="508">
        <f t="shared" si="19"/>
        <v>0</v>
      </c>
      <c r="I185" s="508">
        <f t="shared" si="19"/>
        <v>0</v>
      </c>
      <c r="J185" s="508">
        <f t="shared" si="19"/>
        <v>0</v>
      </c>
      <c r="K185" s="508">
        <f t="shared" si="19"/>
        <v>0</v>
      </c>
      <c r="L185" s="508">
        <f t="shared" si="19"/>
        <v>0</v>
      </c>
      <c r="M185" s="508">
        <f t="shared" si="19"/>
        <v>0</v>
      </c>
      <c r="N185" s="508">
        <f t="shared" si="19"/>
        <v>0</v>
      </c>
      <c r="O185" s="508">
        <f t="shared" si="19"/>
        <v>0</v>
      </c>
      <c r="P185" s="508">
        <f t="shared" si="19"/>
        <v>0</v>
      </c>
      <c r="Q185" s="508">
        <f t="shared" si="19"/>
        <v>0</v>
      </c>
      <c r="R185" s="508">
        <f t="shared" si="19"/>
        <v>0</v>
      </c>
      <c r="S185" s="508">
        <f t="shared" si="19"/>
        <v>0</v>
      </c>
      <c r="T185" s="509">
        <f t="shared" si="19"/>
        <v>0</v>
      </c>
      <c r="U185" s="509">
        <f t="shared" si="19"/>
        <v>0</v>
      </c>
      <c r="V185" s="509">
        <f t="shared" si="19"/>
        <v>0</v>
      </c>
      <c r="W185" s="509">
        <f t="shared" si="19"/>
        <v>0</v>
      </c>
      <c r="X185" s="509">
        <f t="shared" si="19"/>
        <v>0</v>
      </c>
      <c r="Y185" s="509">
        <f t="shared" si="19"/>
        <v>0</v>
      </c>
      <c r="Z185" s="509">
        <f t="shared" si="19"/>
        <v>0</v>
      </c>
      <c r="AA185" s="509">
        <f t="shared" si="19"/>
        <v>0</v>
      </c>
      <c r="AB185" s="509">
        <f t="shared" si="19"/>
        <v>0</v>
      </c>
      <c r="AC185" s="509">
        <f t="shared" si="19"/>
        <v>0</v>
      </c>
      <c r="AD185" s="509">
        <f t="shared" si="19"/>
        <v>0</v>
      </c>
      <c r="AE185" s="509">
        <f t="shared" si="19"/>
        <v>0</v>
      </c>
      <c r="AF185" s="509">
        <f t="shared" si="19"/>
        <v>0</v>
      </c>
      <c r="AG185" s="509">
        <f t="shared" si="19"/>
        <v>0</v>
      </c>
      <c r="AH185" s="509">
        <f t="shared" si="19"/>
        <v>0</v>
      </c>
      <c r="AI185" s="509">
        <f t="shared" si="19"/>
        <v>0</v>
      </c>
      <c r="AJ185" s="509">
        <f t="shared" si="19"/>
        <v>0</v>
      </c>
      <c r="AK185" s="509">
        <f t="shared" ref="AK185:BP185" si="20">SUM(AK93:AK184)</f>
        <v>0</v>
      </c>
      <c r="AL185" s="509">
        <f t="shared" si="20"/>
        <v>0</v>
      </c>
      <c r="AM185" s="509">
        <f t="shared" si="20"/>
        <v>0</v>
      </c>
      <c r="AN185" s="509">
        <f t="shared" si="20"/>
        <v>0</v>
      </c>
      <c r="AO185" s="509">
        <f t="shared" si="20"/>
        <v>0</v>
      </c>
      <c r="AP185" s="509">
        <f t="shared" si="20"/>
        <v>0</v>
      </c>
      <c r="AQ185" s="509">
        <f t="shared" si="20"/>
        <v>0</v>
      </c>
      <c r="AR185" s="509">
        <f t="shared" si="20"/>
        <v>0</v>
      </c>
      <c r="AS185" s="509">
        <f t="shared" si="20"/>
        <v>0</v>
      </c>
      <c r="AT185" s="509">
        <f t="shared" si="20"/>
        <v>0</v>
      </c>
      <c r="AU185" s="509">
        <f t="shared" si="20"/>
        <v>0</v>
      </c>
      <c r="AV185" s="509">
        <f t="shared" si="20"/>
        <v>0</v>
      </c>
      <c r="AW185" s="509">
        <f t="shared" si="20"/>
        <v>0</v>
      </c>
      <c r="AX185" s="509">
        <f t="shared" si="20"/>
        <v>0</v>
      </c>
      <c r="AY185" s="509">
        <f t="shared" si="20"/>
        <v>0</v>
      </c>
      <c r="AZ185" s="509">
        <f t="shared" si="20"/>
        <v>0</v>
      </c>
      <c r="BA185" s="509">
        <f t="shared" si="20"/>
        <v>0</v>
      </c>
      <c r="BB185" s="509">
        <f t="shared" si="20"/>
        <v>0</v>
      </c>
      <c r="BC185" s="509">
        <f t="shared" si="20"/>
        <v>0</v>
      </c>
      <c r="BD185" s="509">
        <f t="shared" si="20"/>
        <v>0</v>
      </c>
      <c r="BE185" s="509">
        <f t="shared" si="20"/>
        <v>0</v>
      </c>
      <c r="BF185" s="509">
        <f t="shared" si="20"/>
        <v>0</v>
      </c>
      <c r="BG185" s="509">
        <f t="shared" si="20"/>
        <v>0</v>
      </c>
      <c r="BH185" s="509">
        <f t="shared" si="20"/>
        <v>0</v>
      </c>
      <c r="BI185" s="509">
        <f t="shared" si="20"/>
        <v>0</v>
      </c>
      <c r="BJ185" s="509">
        <f t="shared" si="20"/>
        <v>0</v>
      </c>
      <c r="BK185" s="509">
        <f t="shared" si="20"/>
        <v>0</v>
      </c>
      <c r="BL185" s="509">
        <f t="shared" si="20"/>
        <v>0</v>
      </c>
      <c r="BM185" s="509">
        <f t="shared" si="20"/>
        <v>0</v>
      </c>
      <c r="BN185" s="509">
        <f t="shared" si="20"/>
        <v>0</v>
      </c>
      <c r="BO185" s="509">
        <f t="shared" si="20"/>
        <v>0</v>
      </c>
      <c r="BP185" s="509">
        <f t="shared" si="20"/>
        <v>0</v>
      </c>
      <c r="BQ185" s="509">
        <f t="shared" ref="BQ185:CV185" si="21">SUM(BQ93:BQ184)</f>
        <v>0</v>
      </c>
      <c r="BR185" s="509">
        <f t="shared" si="21"/>
        <v>0</v>
      </c>
      <c r="BS185" s="509">
        <f t="shared" si="21"/>
        <v>0</v>
      </c>
      <c r="BT185" s="509">
        <f t="shared" si="21"/>
        <v>0</v>
      </c>
      <c r="BU185" s="509">
        <f t="shared" si="21"/>
        <v>0</v>
      </c>
      <c r="BV185" s="509">
        <f t="shared" si="21"/>
        <v>0</v>
      </c>
      <c r="BW185" s="509">
        <f t="shared" si="21"/>
        <v>0</v>
      </c>
      <c r="BX185" s="509">
        <f t="shared" si="21"/>
        <v>0</v>
      </c>
      <c r="BY185" s="509">
        <f t="shared" si="21"/>
        <v>0</v>
      </c>
      <c r="BZ185" s="509">
        <f t="shared" si="21"/>
        <v>0</v>
      </c>
      <c r="CA185" s="509">
        <f t="shared" si="21"/>
        <v>0</v>
      </c>
      <c r="CB185" s="509">
        <f t="shared" si="21"/>
        <v>0</v>
      </c>
      <c r="CC185" s="509">
        <f t="shared" si="21"/>
        <v>0</v>
      </c>
      <c r="CD185" s="509">
        <f t="shared" si="21"/>
        <v>0</v>
      </c>
      <c r="CE185" s="509">
        <f t="shared" si="21"/>
        <v>0</v>
      </c>
      <c r="CF185" s="509">
        <f t="shared" si="21"/>
        <v>0</v>
      </c>
      <c r="CG185" s="509">
        <f t="shared" si="21"/>
        <v>0</v>
      </c>
      <c r="CH185" s="509">
        <f t="shared" si="21"/>
        <v>0</v>
      </c>
      <c r="CI185" s="509">
        <f t="shared" si="21"/>
        <v>0</v>
      </c>
      <c r="CJ185" s="509">
        <f t="shared" si="21"/>
        <v>0</v>
      </c>
      <c r="CK185" s="509">
        <f t="shared" si="21"/>
        <v>0</v>
      </c>
      <c r="CL185" s="509">
        <f t="shared" si="21"/>
        <v>0</v>
      </c>
      <c r="CM185" s="509">
        <f t="shared" si="21"/>
        <v>0</v>
      </c>
      <c r="CN185" s="509">
        <f t="shared" si="21"/>
        <v>0</v>
      </c>
      <c r="CO185" s="509">
        <f t="shared" si="21"/>
        <v>0</v>
      </c>
      <c r="CP185" s="509">
        <f t="shared" si="21"/>
        <v>0</v>
      </c>
      <c r="CQ185" s="509">
        <f t="shared" si="21"/>
        <v>2</v>
      </c>
      <c r="CR185" s="509">
        <f t="shared" si="21"/>
        <v>0</v>
      </c>
      <c r="CS185" s="509">
        <f t="shared" si="21"/>
        <v>0</v>
      </c>
      <c r="CT185" s="509">
        <f t="shared" si="21"/>
        <v>0</v>
      </c>
      <c r="CU185" s="509">
        <f t="shared" si="21"/>
        <v>1</v>
      </c>
      <c r="CV185" s="518">
        <f t="shared" si="21"/>
        <v>0</v>
      </c>
      <c r="CW185" s="518">
        <f t="shared" ref="CW185:EC185" si="22">SUM(CW93:CW184)</f>
        <v>1937.9</v>
      </c>
      <c r="CX185" s="518">
        <f>SUM(CX93:CX184)</f>
        <v>1022.6</v>
      </c>
      <c r="CY185" s="518">
        <f t="shared" si="22"/>
        <v>0</v>
      </c>
      <c r="CZ185" s="518">
        <f t="shared" si="22"/>
        <v>0</v>
      </c>
      <c r="DA185" s="518">
        <f t="shared" si="22"/>
        <v>5813.7000000000016</v>
      </c>
      <c r="DB185" s="518">
        <f t="shared" si="22"/>
        <v>3067.8</v>
      </c>
      <c r="DC185" s="518">
        <f t="shared" si="22"/>
        <v>0</v>
      </c>
      <c r="DD185" s="518">
        <f t="shared" si="22"/>
        <v>0</v>
      </c>
      <c r="DE185" s="518">
        <f t="shared" si="22"/>
        <v>0</v>
      </c>
      <c r="DF185" s="518">
        <f t="shared" si="22"/>
        <v>0</v>
      </c>
      <c r="DG185" s="518">
        <f t="shared" si="22"/>
        <v>0</v>
      </c>
      <c r="DH185" s="518">
        <f t="shared" si="22"/>
        <v>0</v>
      </c>
      <c r="DI185" s="509">
        <f t="shared" si="22"/>
        <v>0</v>
      </c>
      <c r="DJ185" s="509">
        <f t="shared" si="22"/>
        <v>0</v>
      </c>
      <c r="DK185" s="509">
        <f t="shared" si="22"/>
        <v>0</v>
      </c>
      <c r="DL185" s="509">
        <f t="shared" si="22"/>
        <v>86</v>
      </c>
      <c r="DM185" s="509">
        <f t="shared" si="22"/>
        <v>344</v>
      </c>
      <c r="DN185" s="509">
        <f t="shared" si="22"/>
        <v>66</v>
      </c>
      <c r="DO185" s="509">
        <f t="shared" si="22"/>
        <v>214</v>
      </c>
      <c r="DP185" s="509">
        <f t="shared" si="22"/>
        <v>182</v>
      </c>
      <c r="DQ185" s="509">
        <f t="shared" si="22"/>
        <v>0</v>
      </c>
      <c r="DR185" s="509">
        <f t="shared" si="22"/>
        <v>0</v>
      </c>
      <c r="DS185" s="509">
        <f t="shared" si="22"/>
        <v>20</v>
      </c>
      <c r="DT185" s="509">
        <f t="shared" si="22"/>
        <v>18</v>
      </c>
      <c r="DU185" s="509">
        <f t="shared" si="22"/>
        <v>208</v>
      </c>
      <c r="DV185" s="509">
        <f t="shared" si="22"/>
        <v>1</v>
      </c>
      <c r="DW185" s="509">
        <f t="shared" si="22"/>
        <v>0</v>
      </c>
      <c r="DX185" s="509">
        <f t="shared" si="22"/>
        <v>0</v>
      </c>
      <c r="DY185" s="509">
        <f t="shared" si="22"/>
        <v>0</v>
      </c>
      <c r="DZ185" s="509">
        <f t="shared" si="22"/>
        <v>93</v>
      </c>
      <c r="EA185" s="509">
        <f t="shared" si="22"/>
        <v>6</v>
      </c>
      <c r="EB185" s="509">
        <f t="shared" si="22"/>
        <v>60</v>
      </c>
      <c r="EC185" s="509">
        <f t="shared" si="22"/>
        <v>0</v>
      </c>
      <c r="ED185" s="509">
        <f t="shared" ref="ED185:FE185" si="23">SUM(ED93:ED184)</f>
        <v>0</v>
      </c>
      <c r="EE185" s="509">
        <f t="shared" si="23"/>
        <v>0</v>
      </c>
      <c r="EF185" s="509">
        <f t="shared" si="23"/>
        <v>0</v>
      </c>
      <c r="EG185" s="509">
        <f t="shared" si="23"/>
        <v>0</v>
      </c>
      <c r="EH185" s="509">
        <f t="shared" si="23"/>
        <v>0</v>
      </c>
      <c r="EI185" s="509">
        <f t="shared" si="23"/>
        <v>0</v>
      </c>
      <c r="EJ185" s="509">
        <f t="shared" si="23"/>
        <v>0</v>
      </c>
      <c r="EK185" s="509">
        <f t="shared" si="23"/>
        <v>0</v>
      </c>
      <c r="EL185" s="509">
        <f t="shared" si="23"/>
        <v>0</v>
      </c>
      <c r="EM185" s="509">
        <f t="shared" si="23"/>
        <v>0</v>
      </c>
      <c r="EN185" s="509">
        <f t="shared" si="23"/>
        <v>0</v>
      </c>
      <c r="EO185" s="509">
        <f t="shared" si="23"/>
        <v>0</v>
      </c>
      <c r="EP185" s="509">
        <f t="shared" si="23"/>
        <v>0</v>
      </c>
      <c r="EQ185" s="509">
        <f t="shared" si="23"/>
        <v>0</v>
      </c>
      <c r="ER185" s="509">
        <f t="shared" si="23"/>
        <v>0</v>
      </c>
      <c r="ES185" s="509">
        <f t="shared" si="23"/>
        <v>0</v>
      </c>
      <c r="ET185" s="509">
        <f t="shared" si="23"/>
        <v>0</v>
      </c>
      <c r="EU185" s="509">
        <f t="shared" si="23"/>
        <v>0</v>
      </c>
      <c r="EV185" s="509">
        <f t="shared" si="23"/>
        <v>0</v>
      </c>
      <c r="EW185" s="509">
        <f t="shared" si="23"/>
        <v>0</v>
      </c>
      <c r="EX185" s="509">
        <f t="shared" si="23"/>
        <v>3</v>
      </c>
      <c r="EY185" s="509">
        <f t="shared" si="23"/>
        <v>1</v>
      </c>
      <c r="EZ185" s="509">
        <f t="shared" si="23"/>
        <v>2</v>
      </c>
      <c r="FA185" s="509">
        <f t="shared" si="23"/>
        <v>1</v>
      </c>
      <c r="FB185" s="509">
        <f t="shared" si="23"/>
        <v>0</v>
      </c>
      <c r="FC185" s="509">
        <f t="shared" si="23"/>
        <v>0</v>
      </c>
      <c r="FD185" s="509">
        <f t="shared" si="23"/>
        <v>0</v>
      </c>
      <c r="FE185" s="509">
        <f t="shared" si="23"/>
        <v>0</v>
      </c>
      <c r="FF185" s="509"/>
      <c r="FG185" s="508"/>
      <c r="FK185" s="4">
        <f>DO185-FC185</f>
        <v>214</v>
      </c>
    </row>
    <row r="186" spans="1:167" s="4" customFormat="1">
      <c r="A186" s="56"/>
      <c r="B186" s="56">
        <v>4</v>
      </c>
      <c r="C186" s="501" t="s">
        <v>3697</v>
      </c>
      <c r="D186" s="502"/>
      <c r="E186" s="503"/>
      <c r="F186" s="503"/>
      <c r="G186" s="503"/>
      <c r="H186" s="503"/>
      <c r="I186" s="503"/>
      <c r="J186" s="503"/>
      <c r="K186" s="503"/>
      <c r="L186" s="503"/>
      <c r="M186" s="503"/>
      <c r="N186" s="503"/>
      <c r="O186" s="503"/>
      <c r="P186" s="503"/>
      <c r="Q186" s="503"/>
      <c r="R186" s="503"/>
      <c r="S186" s="503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  <c r="CH186" s="504"/>
      <c r="CI186" s="504"/>
      <c r="CJ186" s="504"/>
      <c r="CK186" s="504"/>
      <c r="CL186" s="504"/>
      <c r="CM186" s="504"/>
      <c r="CN186" s="504"/>
      <c r="CO186" s="504"/>
      <c r="CP186" s="504"/>
      <c r="CQ186" s="504"/>
      <c r="CR186" s="504"/>
      <c r="CS186" s="504"/>
      <c r="CT186" s="504"/>
      <c r="CU186" s="504"/>
      <c r="CV186" s="519"/>
      <c r="CW186" s="519"/>
      <c r="CX186" s="519"/>
      <c r="CY186" s="519"/>
      <c r="CZ186" s="519"/>
      <c r="DA186" s="519"/>
      <c r="DB186" s="519"/>
      <c r="DC186" s="519"/>
      <c r="DD186" s="519"/>
      <c r="DE186" s="519"/>
      <c r="DF186" s="519"/>
      <c r="DG186" s="519"/>
      <c r="DH186" s="519"/>
      <c r="DI186" s="504"/>
      <c r="DJ186" s="504"/>
      <c r="DK186" s="504"/>
      <c r="DL186" s="504"/>
      <c r="DM186" s="504"/>
      <c r="DN186" s="504"/>
      <c r="DO186" s="504"/>
      <c r="DP186" s="504"/>
      <c r="DQ186" s="504"/>
      <c r="DR186" s="504"/>
      <c r="DS186" s="504"/>
      <c r="DT186" s="504"/>
      <c r="DU186" s="504"/>
      <c r="DV186" s="504"/>
      <c r="DW186" s="504"/>
      <c r="DX186" s="504"/>
      <c r="DY186" s="504"/>
      <c r="DZ186" s="504"/>
      <c r="EA186" s="504"/>
      <c r="EB186" s="504"/>
      <c r="EC186" s="504"/>
      <c r="ED186" s="504"/>
      <c r="EE186" s="504"/>
      <c r="EF186" s="504"/>
      <c r="EG186" s="504"/>
      <c r="EH186" s="504"/>
      <c r="EI186" s="504"/>
      <c r="EJ186" s="504"/>
      <c r="EK186" s="504"/>
      <c r="EL186" s="504"/>
      <c r="EM186" s="504"/>
      <c r="EN186" s="504"/>
      <c r="EO186" s="504"/>
      <c r="EP186" s="504"/>
      <c r="EQ186" s="504"/>
      <c r="ER186" s="504"/>
      <c r="ES186" s="504"/>
      <c r="ET186" s="504"/>
      <c r="EU186" s="504"/>
      <c r="EV186" s="504"/>
      <c r="EW186" s="504"/>
      <c r="EX186" s="504"/>
      <c r="EY186" s="504"/>
      <c r="EZ186" s="504"/>
      <c r="FA186" s="504"/>
      <c r="FB186" s="504"/>
      <c r="FC186" s="504"/>
      <c r="FD186" s="504"/>
      <c r="FE186" s="504"/>
      <c r="FF186" s="504"/>
      <c r="FG186" s="505"/>
      <c r="FK186" s="4">
        <f>DO186-FC186</f>
        <v>0</v>
      </c>
    </row>
    <row r="187" spans="1:167" s="696" customFormat="1">
      <c r="A187" s="690"/>
      <c r="B187" s="690"/>
      <c r="C187" s="708"/>
      <c r="D187" s="708" t="s">
        <v>3698</v>
      </c>
      <c r="E187" s="694"/>
      <c r="F187" s="694"/>
      <c r="G187" s="694"/>
      <c r="H187" s="694"/>
      <c r="I187" s="694"/>
      <c r="J187" s="694"/>
      <c r="K187" s="694"/>
      <c r="L187" s="694"/>
      <c r="M187" s="694"/>
      <c r="N187" s="694"/>
      <c r="O187" s="694"/>
      <c r="P187" s="694"/>
      <c r="Q187" s="694"/>
      <c r="R187" s="697"/>
      <c r="S187" s="697"/>
      <c r="T187" s="694" t="s">
        <v>2990</v>
      </c>
      <c r="U187" s="694" t="s">
        <v>2990</v>
      </c>
      <c r="V187" s="694"/>
      <c r="W187" s="694"/>
      <c r="X187" s="694"/>
      <c r="Y187" s="694"/>
      <c r="Z187" s="694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4"/>
      <c r="BL187" s="694"/>
      <c r="BM187" s="694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  <c r="BX187" s="694"/>
      <c r="BY187" s="694"/>
      <c r="BZ187" s="694"/>
      <c r="CA187" s="694"/>
      <c r="CB187" s="694"/>
      <c r="CC187" s="694"/>
      <c r="CD187" s="694"/>
      <c r="CE187" s="694"/>
      <c r="CF187" s="694"/>
      <c r="CG187" s="694"/>
      <c r="CH187" s="694"/>
      <c r="CI187" s="694"/>
      <c r="CJ187" s="694"/>
      <c r="CK187" s="694"/>
      <c r="CL187" s="694"/>
      <c r="CM187" s="694"/>
      <c r="CN187" s="694"/>
      <c r="CO187" s="694"/>
      <c r="CP187" s="694"/>
      <c r="CQ187" s="694"/>
      <c r="CR187" s="694"/>
      <c r="CS187" s="694"/>
      <c r="CT187" s="694"/>
      <c r="CU187" s="694"/>
      <c r="CV187" s="695"/>
      <c r="CW187" s="695"/>
      <c r="CX187" s="695">
        <f>E187</f>
        <v>0</v>
      </c>
      <c r="CY187" s="695"/>
      <c r="CZ187" s="695"/>
      <c r="DA187" s="695"/>
      <c r="DB187" s="695">
        <f>E187*3</f>
        <v>0</v>
      </c>
      <c r="DC187" s="695"/>
      <c r="DD187" s="695"/>
      <c r="DE187" s="695"/>
      <c r="DF187" s="695"/>
      <c r="DG187" s="695"/>
      <c r="DH187" s="695"/>
      <c r="DI187" s="694"/>
      <c r="DJ187" s="694"/>
      <c r="DK187" s="694"/>
      <c r="DL187" s="694">
        <v>1</v>
      </c>
      <c r="DM187" s="694">
        <v>4</v>
      </c>
      <c r="DN187" s="694"/>
      <c r="DO187" s="694"/>
      <c r="DP187" s="694"/>
      <c r="DQ187" s="694"/>
      <c r="DR187" s="694"/>
      <c r="DS187" s="694"/>
      <c r="DT187" s="694"/>
      <c r="DU187" s="694">
        <v>13</v>
      </c>
      <c r="DV187" s="694"/>
      <c r="DW187" s="694"/>
      <c r="DX187" s="694"/>
      <c r="DY187" s="694"/>
      <c r="DZ187" s="694"/>
      <c r="EA187" s="694"/>
      <c r="EB187" s="694">
        <v>1</v>
      </c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>
        <v>1</v>
      </c>
      <c r="FA187" s="694"/>
      <c r="FB187" s="694"/>
      <c r="FC187" s="694"/>
      <c r="FD187" s="694"/>
      <c r="FE187" s="694"/>
      <c r="FF187" s="694"/>
      <c r="FG187" s="697"/>
    </row>
    <row r="188" spans="1:167" s="696" customFormat="1">
      <c r="A188" s="690"/>
      <c r="B188" s="690"/>
      <c r="C188" s="708"/>
      <c r="D188" s="708" t="s">
        <v>3699</v>
      </c>
      <c r="E188" s="694">
        <v>38</v>
      </c>
      <c r="F188" s="694"/>
      <c r="G188" s="694"/>
      <c r="H188" s="694"/>
      <c r="I188" s="694"/>
      <c r="J188" s="694"/>
      <c r="K188" s="694"/>
      <c r="L188" s="694"/>
      <c r="M188" s="694"/>
      <c r="N188" s="694"/>
      <c r="O188" s="694"/>
      <c r="P188" s="694"/>
      <c r="Q188" s="694"/>
      <c r="R188" s="697"/>
      <c r="S188" s="697"/>
      <c r="T188" s="694" t="s">
        <v>1631</v>
      </c>
      <c r="U188" s="694" t="s">
        <v>1631</v>
      </c>
      <c r="V188" s="694"/>
      <c r="W188" s="694"/>
      <c r="X188" s="694"/>
      <c r="Y188" s="694"/>
      <c r="Z188" s="694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4"/>
      <c r="BL188" s="694"/>
      <c r="BM188" s="694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  <c r="BX188" s="694"/>
      <c r="BY188" s="694"/>
      <c r="BZ188" s="694"/>
      <c r="CA188" s="694"/>
      <c r="CB188" s="694"/>
      <c r="CC188" s="694"/>
      <c r="CD188" s="694"/>
      <c r="CE188" s="694"/>
      <c r="CF188" s="694"/>
      <c r="CG188" s="694"/>
      <c r="CH188" s="694"/>
      <c r="CI188" s="694"/>
      <c r="CJ188" s="694"/>
      <c r="CK188" s="694"/>
      <c r="CL188" s="694"/>
      <c r="CM188" s="694"/>
      <c r="CN188" s="694"/>
      <c r="CO188" s="694"/>
      <c r="CP188" s="694"/>
      <c r="CQ188" s="694"/>
      <c r="CR188" s="694"/>
      <c r="CS188" s="694"/>
      <c r="CT188" s="694"/>
      <c r="CU188" s="694"/>
      <c r="CV188" s="695"/>
      <c r="CW188" s="695"/>
      <c r="CX188" s="695">
        <f t="shared" ref="CX188:CX204" si="24">E188</f>
        <v>38</v>
      </c>
      <c r="CY188" s="695"/>
      <c r="CZ188" s="695"/>
      <c r="DA188" s="695"/>
      <c r="DB188" s="695">
        <f t="shared" ref="DB188:DB204" si="25">E188*3</f>
        <v>114</v>
      </c>
      <c r="DC188" s="695"/>
      <c r="DD188" s="695"/>
      <c r="DE188" s="695"/>
      <c r="DF188" s="695"/>
      <c r="DG188" s="695"/>
      <c r="DH188" s="695"/>
      <c r="DI188" s="694"/>
      <c r="DJ188" s="694"/>
      <c r="DK188" s="694"/>
      <c r="DL188" s="694">
        <v>1</v>
      </c>
      <c r="DM188" s="694">
        <v>4</v>
      </c>
      <c r="DN188" s="694"/>
      <c r="DO188" s="694"/>
      <c r="DP188" s="694"/>
      <c r="DQ188" s="694"/>
      <c r="DR188" s="694"/>
      <c r="DS188" s="694">
        <v>2</v>
      </c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7"/>
    </row>
    <row r="189" spans="1:167" s="696" customFormat="1">
      <c r="A189" s="690"/>
      <c r="B189" s="690"/>
      <c r="C189" s="708"/>
      <c r="D189" s="708" t="s">
        <v>3700</v>
      </c>
      <c r="E189" s="694">
        <v>41.6</v>
      </c>
      <c r="F189" s="694"/>
      <c r="G189" s="694"/>
      <c r="H189" s="694"/>
      <c r="I189" s="694"/>
      <c r="J189" s="694"/>
      <c r="K189" s="694"/>
      <c r="L189" s="694"/>
      <c r="M189" s="694"/>
      <c r="N189" s="694"/>
      <c r="O189" s="694"/>
      <c r="P189" s="694"/>
      <c r="Q189" s="694"/>
      <c r="R189" s="697"/>
      <c r="S189" s="697"/>
      <c r="T189" s="694" t="s">
        <v>1631</v>
      </c>
      <c r="U189" s="694" t="s">
        <v>1631</v>
      </c>
      <c r="V189" s="694"/>
      <c r="W189" s="694"/>
      <c r="X189" s="694"/>
      <c r="Y189" s="694"/>
      <c r="Z189" s="694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694"/>
      <c r="BL189" s="694"/>
      <c r="BM189" s="694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  <c r="BX189" s="694"/>
      <c r="BY189" s="694"/>
      <c r="BZ189" s="694"/>
      <c r="CA189" s="694"/>
      <c r="CB189" s="694"/>
      <c r="CC189" s="694"/>
      <c r="CD189" s="694"/>
      <c r="CE189" s="694"/>
      <c r="CF189" s="694"/>
      <c r="CG189" s="694"/>
      <c r="CH189" s="694"/>
      <c r="CI189" s="694"/>
      <c r="CJ189" s="694"/>
      <c r="CK189" s="694"/>
      <c r="CL189" s="694"/>
      <c r="CM189" s="694"/>
      <c r="CN189" s="694"/>
      <c r="CO189" s="694"/>
      <c r="CP189" s="694"/>
      <c r="CQ189" s="694"/>
      <c r="CR189" s="694"/>
      <c r="CS189" s="694"/>
      <c r="CT189" s="694"/>
      <c r="CU189" s="694"/>
      <c r="CV189" s="695"/>
      <c r="CW189" s="695"/>
      <c r="CX189" s="695">
        <f t="shared" si="24"/>
        <v>41.6</v>
      </c>
      <c r="CY189" s="695"/>
      <c r="CZ189" s="695"/>
      <c r="DA189" s="695"/>
      <c r="DB189" s="695">
        <f t="shared" si="25"/>
        <v>124.80000000000001</v>
      </c>
      <c r="DC189" s="695"/>
      <c r="DD189" s="695"/>
      <c r="DE189" s="695"/>
      <c r="DF189" s="695"/>
      <c r="DG189" s="695"/>
      <c r="DH189" s="695"/>
      <c r="DI189" s="694"/>
      <c r="DJ189" s="694"/>
      <c r="DK189" s="694"/>
      <c r="DL189" s="694">
        <v>1</v>
      </c>
      <c r="DM189" s="694">
        <v>4</v>
      </c>
      <c r="DN189" s="694">
        <v>1</v>
      </c>
      <c r="DO189" s="694">
        <v>2</v>
      </c>
      <c r="DP189" s="694">
        <v>2</v>
      </c>
      <c r="DQ189" s="694"/>
      <c r="DR189" s="694"/>
      <c r="DS189" s="694">
        <v>1</v>
      </c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>
        <v>1</v>
      </c>
      <c r="FG189" s="697"/>
    </row>
    <row r="190" spans="1:167" s="696" customFormat="1">
      <c r="A190" s="690"/>
      <c r="B190" s="690"/>
      <c r="C190" s="708" t="s">
        <v>3701</v>
      </c>
      <c r="D190" s="708"/>
      <c r="E190" s="694">
        <v>44.8</v>
      </c>
      <c r="F190" s="694"/>
      <c r="G190" s="694"/>
      <c r="H190" s="694"/>
      <c r="I190" s="694"/>
      <c r="J190" s="694"/>
      <c r="K190" s="694"/>
      <c r="L190" s="694"/>
      <c r="M190" s="694"/>
      <c r="N190" s="694"/>
      <c r="O190" s="694"/>
      <c r="P190" s="694"/>
      <c r="Q190" s="694"/>
      <c r="R190" s="697"/>
      <c r="S190" s="697"/>
      <c r="T190" s="694" t="s">
        <v>1631</v>
      </c>
      <c r="U190" s="694" t="s">
        <v>1631</v>
      </c>
      <c r="V190" s="694"/>
      <c r="W190" s="694"/>
      <c r="X190" s="694"/>
      <c r="Y190" s="694"/>
      <c r="Z190" s="694"/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4"/>
      <c r="BL190" s="694"/>
      <c r="BM190" s="694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  <c r="BX190" s="694"/>
      <c r="BY190" s="694"/>
      <c r="BZ190" s="694"/>
      <c r="CA190" s="694"/>
      <c r="CB190" s="694"/>
      <c r="CC190" s="694"/>
      <c r="CD190" s="694"/>
      <c r="CE190" s="694"/>
      <c r="CF190" s="694"/>
      <c r="CG190" s="694"/>
      <c r="CH190" s="694"/>
      <c r="CI190" s="694"/>
      <c r="CJ190" s="694"/>
      <c r="CK190" s="694"/>
      <c r="CL190" s="694"/>
      <c r="CM190" s="694"/>
      <c r="CN190" s="694"/>
      <c r="CO190" s="694"/>
      <c r="CP190" s="694"/>
      <c r="CQ190" s="694"/>
      <c r="CR190" s="694"/>
      <c r="CS190" s="694"/>
      <c r="CT190" s="694"/>
      <c r="CU190" s="694"/>
      <c r="CV190" s="695"/>
      <c r="CW190" s="695"/>
      <c r="CX190" s="695">
        <f t="shared" si="24"/>
        <v>44.8</v>
      </c>
      <c r="CY190" s="695"/>
      <c r="CZ190" s="695"/>
      <c r="DA190" s="695"/>
      <c r="DB190" s="695">
        <f t="shared" si="25"/>
        <v>134.39999999999998</v>
      </c>
      <c r="DC190" s="695"/>
      <c r="DD190" s="695"/>
      <c r="DE190" s="695"/>
      <c r="DF190" s="695"/>
      <c r="DG190" s="695"/>
      <c r="DH190" s="695"/>
      <c r="DI190" s="694"/>
      <c r="DJ190" s="694"/>
      <c r="DK190" s="694"/>
      <c r="DL190" s="694">
        <v>1</v>
      </c>
      <c r="DM190" s="694">
        <v>4</v>
      </c>
      <c r="DN190" s="694"/>
      <c r="DO190" s="694"/>
      <c r="DP190" s="694"/>
      <c r="DQ190" s="694"/>
      <c r="DR190" s="694"/>
      <c r="DS190" s="694">
        <v>2</v>
      </c>
      <c r="DT190" s="694"/>
      <c r="DU190" s="694"/>
      <c r="DV190" s="694"/>
      <c r="DW190" s="694"/>
      <c r="DX190" s="694"/>
      <c r="DY190" s="694"/>
      <c r="DZ190" s="694"/>
      <c r="EA190" s="694">
        <v>2</v>
      </c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7"/>
    </row>
    <row r="191" spans="1:167" s="696" customFormat="1">
      <c r="A191" s="690"/>
      <c r="B191" s="690"/>
      <c r="C191" s="708"/>
      <c r="D191" s="708" t="s">
        <v>3702</v>
      </c>
      <c r="E191" s="694">
        <v>10.3</v>
      </c>
      <c r="F191" s="694"/>
      <c r="G191" s="694"/>
      <c r="H191" s="694"/>
      <c r="I191" s="694"/>
      <c r="J191" s="694"/>
      <c r="K191" s="694"/>
      <c r="L191" s="694"/>
      <c r="M191" s="694"/>
      <c r="N191" s="694"/>
      <c r="O191" s="694"/>
      <c r="P191" s="694"/>
      <c r="Q191" s="694"/>
      <c r="R191" s="697"/>
      <c r="S191" s="697"/>
      <c r="T191" s="694" t="s">
        <v>1631</v>
      </c>
      <c r="U191" s="694" t="s">
        <v>1631</v>
      </c>
      <c r="V191" s="694"/>
      <c r="W191" s="694"/>
      <c r="X191" s="694"/>
      <c r="Y191" s="694"/>
      <c r="Z191" s="694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4"/>
      <c r="BL191" s="694"/>
      <c r="BM191" s="694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  <c r="BX191" s="694"/>
      <c r="BY191" s="694"/>
      <c r="BZ191" s="694"/>
      <c r="CA191" s="694"/>
      <c r="CB191" s="694"/>
      <c r="CC191" s="694"/>
      <c r="CD191" s="694"/>
      <c r="CE191" s="694"/>
      <c r="CF191" s="694"/>
      <c r="CG191" s="694"/>
      <c r="CH191" s="694"/>
      <c r="CI191" s="694"/>
      <c r="CJ191" s="694"/>
      <c r="CK191" s="694"/>
      <c r="CL191" s="694"/>
      <c r="CM191" s="694"/>
      <c r="CN191" s="694"/>
      <c r="CO191" s="694"/>
      <c r="CP191" s="694"/>
      <c r="CQ191" s="694"/>
      <c r="CR191" s="694"/>
      <c r="CS191" s="694"/>
      <c r="CT191" s="694"/>
      <c r="CU191" s="694"/>
      <c r="CV191" s="695"/>
      <c r="CW191" s="695"/>
      <c r="CX191" s="695">
        <f t="shared" si="24"/>
        <v>10.3</v>
      </c>
      <c r="CY191" s="695"/>
      <c r="CZ191" s="695"/>
      <c r="DA191" s="695"/>
      <c r="DB191" s="695">
        <f t="shared" si="25"/>
        <v>30.900000000000002</v>
      </c>
      <c r="DC191" s="695"/>
      <c r="DD191" s="695"/>
      <c r="DE191" s="695"/>
      <c r="DF191" s="695"/>
      <c r="DG191" s="695"/>
      <c r="DH191" s="695"/>
      <c r="DI191" s="694"/>
      <c r="DJ191" s="694"/>
      <c r="DK191" s="694"/>
      <c r="DL191" s="694"/>
      <c r="DM191" s="694"/>
      <c r="DN191" s="694"/>
      <c r="DO191" s="694"/>
      <c r="DP191" s="694"/>
      <c r="DQ191" s="694"/>
      <c r="DR191" s="694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7"/>
    </row>
    <row r="192" spans="1:167" s="696" customFormat="1">
      <c r="A192" s="690"/>
      <c r="B192" s="690"/>
      <c r="C192" s="708"/>
      <c r="D192" s="708" t="s">
        <v>3703</v>
      </c>
      <c r="E192" s="694">
        <v>23.5</v>
      </c>
      <c r="F192" s="694"/>
      <c r="G192" s="694"/>
      <c r="H192" s="694"/>
      <c r="I192" s="694"/>
      <c r="J192" s="694"/>
      <c r="K192" s="694"/>
      <c r="L192" s="694"/>
      <c r="M192" s="694"/>
      <c r="N192" s="694"/>
      <c r="O192" s="694"/>
      <c r="P192" s="694"/>
      <c r="Q192" s="694"/>
      <c r="R192" s="697"/>
      <c r="S192" s="697"/>
      <c r="T192" s="694" t="s">
        <v>1631</v>
      </c>
      <c r="U192" s="694" t="s">
        <v>1631</v>
      </c>
      <c r="V192" s="694"/>
      <c r="W192" s="694"/>
      <c r="X192" s="694"/>
      <c r="Y192" s="694"/>
      <c r="Z192" s="694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4"/>
      <c r="BL192" s="694"/>
      <c r="BM192" s="694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  <c r="BX192" s="694"/>
      <c r="BY192" s="694"/>
      <c r="BZ192" s="694"/>
      <c r="CA192" s="694"/>
      <c r="CB192" s="694"/>
      <c r="CC192" s="694"/>
      <c r="CD192" s="694"/>
      <c r="CE192" s="694"/>
      <c r="CF192" s="694"/>
      <c r="CG192" s="694"/>
      <c r="CH192" s="694"/>
      <c r="CI192" s="694"/>
      <c r="CJ192" s="694"/>
      <c r="CK192" s="694"/>
      <c r="CL192" s="694"/>
      <c r="CM192" s="694"/>
      <c r="CN192" s="694"/>
      <c r="CO192" s="694"/>
      <c r="CP192" s="694"/>
      <c r="CQ192" s="694"/>
      <c r="CR192" s="694"/>
      <c r="CS192" s="694"/>
      <c r="CT192" s="694"/>
      <c r="CU192" s="694"/>
      <c r="CV192" s="695"/>
      <c r="CW192" s="695"/>
      <c r="CX192" s="695">
        <f t="shared" si="24"/>
        <v>23.5</v>
      </c>
      <c r="CY192" s="695"/>
      <c r="CZ192" s="695"/>
      <c r="DA192" s="695"/>
      <c r="DB192" s="695">
        <f t="shared" si="25"/>
        <v>70.5</v>
      </c>
      <c r="DC192" s="695"/>
      <c r="DD192" s="695"/>
      <c r="DE192" s="695"/>
      <c r="DF192" s="695"/>
      <c r="DG192" s="695"/>
      <c r="DH192" s="695"/>
      <c r="DI192" s="694"/>
      <c r="DJ192" s="694"/>
      <c r="DK192" s="694"/>
      <c r="DL192" s="694">
        <v>1</v>
      </c>
      <c r="DM192" s="694">
        <v>4</v>
      </c>
      <c r="DN192" s="694">
        <v>1</v>
      </c>
      <c r="DO192" s="694">
        <v>2</v>
      </c>
      <c r="DP192" s="694">
        <v>1</v>
      </c>
      <c r="DQ192" s="694"/>
      <c r="DR192" s="694"/>
      <c r="DS192" s="694">
        <v>2</v>
      </c>
      <c r="DT192" s="694"/>
      <c r="DU192" s="694"/>
      <c r="DV192" s="694"/>
      <c r="DW192" s="694"/>
      <c r="DX192" s="694"/>
      <c r="DY192" s="694"/>
      <c r="DZ192" s="694"/>
      <c r="EA192" s="694"/>
      <c r="EB192" s="694">
        <v>1</v>
      </c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>
        <v>1</v>
      </c>
      <c r="FG192" s="697"/>
    </row>
    <row r="193" spans="1:163" s="696" customFormat="1">
      <c r="A193" s="690"/>
      <c r="B193" s="690"/>
      <c r="C193" s="708"/>
      <c r="D193" s="708" t="s">
        <v>3704</v>
      </c>
      <c r="E193" s="694">
        <v>42.7</v>
      </c>
      <c r="F193" s="694"/>
      <c r="G193" s="694"/>
      <c r="H193" s="694"/>
      <c r="I193" s="694"/>
      <c r="J193" s="694"/>
      <c r="K193" s="694"/>
      <c r="L193" s="694"/>
      <c r="M193" s="694"/>
      <c r="N193" s="694"/>
      <c r="O193" s="694"/>
      <c r="P193" s="694"/>
      <c r="Q193" s="694"/>
      <c r="R193" s="697"/>
      <c r="S193" s="697"/>
      <c r="T193" s="694" t="s">
        <v>1631</v>
      </c>
      <c r="U193" s="694" t="s">
        <v>1631</v>
      </c>
      <c r="V193" s="694"/>
      <c r="W193" s="694"/>
      <c r="X193" s="694"/>
      <c r="Y193" s="694"/>
      <c r="Z193" s="694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694"/>
      <c r="BL193" s="694"/>
      <c r="BM193" s="694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  <c r="BX193" s="694"/>
      <c r="BY193" s="694"/>
      <c r="BZ193" s="694"/>
      <c r="CA193" s="694"/>
      <c r="CB193" s="694"/>
      <c r="CC193" s="694"/>
      <c r="CD193" s="694"/>
      <c r="CE193" s="694"/>
      <c r="CF193" s="694"/>
      <c r="CG193" s="694"/>
      <c r="CH193" s="694"/>
      <c r="CI193" s="694"/>
      <c r="CJ193" s="694"/>
      <c r="CK193" s="694"/>
      <c r="CL193" s="694"/>
      <c r="CM193" s="694"/>
      <c r="CN193" s="694"/>
      <c r="CO193" s="694"/>
      <c r="CP193" s="694"/>
      <c r="CQ193" s="694"/>
      <c r="CR193" s="694"/>
      <c r="CS193" s="694"/>
      <c r="CT193" s="694"/>
      <c r="CU193" s="694"/>
      <c r="CV193" s="695"/>
      <c r="CW193" s="695"/>
      <c r="CX193" s="695">
        <f t="shared" si="24"/>
        <v>42.7</v>
      </c>
      <c r="CY193" s="695"/>
      <c r="CZ193" s="695"/>
      <c r="DA193" s="695"/>
      <c r="DB193" s="695">
        <f t="shared" si="25"/>
        <v>128.10000000000002</v>
      </c>
      <c r="DC193" s="695"/>
      <c r="DD193" s="695"/>
      <c r="DE193" s="695"/>
      <c r="DF193" s="695"/>
      <c r="DG193" s="695"/>
      <c r="DH193" s="695"/>
      <c r="DI193" s="694"/>
      <c r="DJ193" s="694"/>
      <c r="DK193" s="694"/>
      <c r="DL193" s="694">
        <v>1</v>
      </c>
      <c r="DM193" s="694">
        <v>4</v>
      </c>
      <c r="DN193" s="694">
        <v>1</v>
      </c>
      <c r="DO193" s="694">
        <v>3</v>
      </c>
      <c r="DP193" s="694">
        <v>2</v>
      </c>
      <c r="DQ193" s="694"/>
      <c r="DR193" s="694"/>
      <c r="DS193" s="694">
        <v>2</v>
      </c>
      <c r="DT193" s="694"/>
      <c r="DU193" s="694"/>
      <c r="DV193" s="694"/>
      <c r="DW193" s="694"/>
      <c r="DX193" s="694"/>
      <c r="DY193" s="694"/>
      <c r="DZ193" s="694"/>
      <c r="EA193" s="694"/>
      <c r="EB193" s="694">
        <v>2</v>
      </c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7"/>
    </row>
    <row r="194" spans="1:163" s="696" customFormat="1">
      <c r="A194" s="690"/>
      <c r="B194" s="690"/>
      <c r="C194" s="708"/>
      <c r="D194" s="708" t="s">
        <v>3705</v>
      </c>
      <c r="E194" s="694">
        <v>37</v>
      </c>
      <c r="F194" s="694"/>
      <c r="G194" s="694"/>
      <c r="H194" s="694"/>
      <c r="I194" s="694"/>
      <c r="J194" s="694"/>
      <c r="K194" s="694"/>
      <c r="L194" s="694"/>
      <c r="M194" s="694"/>
      <c r="N194" s="694"/>
      <c r="O194" s="694"/>
      <c r="P194" s="694"/>
      <c r="Q194" s="694"/>
      <c r="R194" s="697"/>
      <c r="S194" s="697"/>
      <c r="T194" s="694" t="s">
        <v>1631</v>
      </c>
      <c r="U194" s="694" t="s">
        <v>1631</v>
      </c>
      <c r="V194" s="694"/>
      <c r="W194" s="694"/>
      <c r="X194" s="694"/>
      <c r="Y194" s="694"/>
      <c r="Z194" s="694"/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4"/>
      <c r="BL194" s="694"/>
      <c r="BM194" s="694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  <c r="BX194" s="694"/>
      <c r="BY194" s="694"/>
      <c r="BZ194" s="694"/>
      <c r="CA194" s="694"/>
      <c r="CB194" s="694"/>
      <c r="CC194" s="694"/>
      <c r="CD194" s="694"/>
      <c r="CE194" s="694"/>
      <c r="CF194" s="694"/>
      <c r="CG194" s="694"/>
      <c r="CH194" s="694"/>
      <c r="CI194" s="694"/>
      <c r="CJ194" s="694"/>
      <c r="CK194" s="694"/>
      <c r="CL194" s="694"/>
      <c r="CM194" s="694"/>
      <c r="CN194" s="694"/>
      <c r="CO194" s="694"/>
      <c r="CP194" s="694"/>
      <c r="CQ194" s="694"/>
      <c r="CR194" s="694"/>
      <c r="CS194" s="694"/>
      <c r="CT194" s="694"/>
      <c r="CU194" s="694"/>
      <c r="CV194" s="695"/>
      <c r="CW194" s="695"/>
      <c r="CX194" s="695">
        <f t="shared" si="24"/>
        <v>37</v>
      </c>
      <c r="CY194" s="695"/>
      <c r="CZ194" s="695"/>
      <c r="DA194" s="695"/>
      <c r="DB194" s="695">
        <f t="shared" si="25"/>
        <v>111</v>
      </c>
      <c r="DC194" s="695"/>
      <c r="DD194" s="695"/>
      <c r="DE194" s="695"/>
      <c r="DF194" s="695"/>
      <c r="DG194" s="695"/>
      <c r="DH194" s="695"/>
      <c r="DI194" s="694"/>
      <c r="DJ194" s="694"/>
      <c r="DK194" s="694"/>
      <c r="DL194" s="694">
        <v>1</v>
      </c>
      <c r="DM194" s="694">
        <v>4</v>
      </c>
      <c r="DN194" s="694">
        <v>1</v>
      </c>
      <c r="DO194" s="694">
        <v>3</v>
      </c>
      <c r="DP194" s="694">
        <v>2</v>
      </c>
      <c r="DQ194" s="694"/>
      <c r="DR194" s="694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>
        <v>2</v>
      </c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7"/>
    </row>
    <row r="195" spans="1:163" s="696" customFormat="1">
      <c r="A195" s="690"/>
      <c r="B195" s="690"/>
      <c r="C195" s="708"/>
      <c r="D195" s="708" t="s">
        <v>3706</v>
      </c>
      <c r="E195" s="694">
        <v>33.799999999999997</v>
      </c>
      <c r="F195" s="694"/>
      <c r="G195" s="694"/>
      <c r="H195" s="694"/>
      <c r="I195" s="694"/>
      <c r="J195" s="694"/>
      <c r="K195" s="694"/>
      <c r="L195" s="694"/>
      <c r="M195" s="694"/>
      <c r="N195" s="694"/>
      <c r="O195" s="694"/>
      <c r="P195" s="694"/>
      <c r="Q195" s="694"/>
      <c r="R195" s="697"/>
      <c r="S195" s="697"/>
      <c r="T195" s="692" t="s">
        <v>1631</v>
      </c>
      <c r="U195" s="694" t="s">
        <v>1631</v>
      </c>
      <c r="V195" s="694"/>
      <c r="W195" s="694"/>
      <c r="X195" s="694"/>
      <c r="Y195" s="694"/>
      <c r="Z195" s="694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4"/>
      <c r="BL195" s="694"/>
      <c r="BM195" s="694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  <c r="BX195" s="694"/>
      <c r="BY195" s="694"/>
      <c r="BZ195" s="694"/>
      <c r="CA195" s="694"/>
      <c r="CB195" s="694"/>
      <c r="CC195" s="694"/>
      <c r="CD195" s="694"/>
      <c r="CE195" s="694"/>
      <c r="CF195" s="694"/>
      <c r="CG195" s="694"/>
      <c r="CH195" s="694"/>
      <c r="CI195" s="694"/>
      <c r="CJ195" s="694"/>
      <c r="CK195" s="694"/>
      <c r="CL195" s="694"/>
      <c r="CM195" s="694"/>
      <c r="CN195" s="694"/>
      <c r="CO195" s="694"/>
      <c r="CP195" s="694"/>
      <c r="CQ195" s="694"/>
      <c r="CR195" s="694"/>
      <c r="CS195" s="694"/>
      <c r="CT195" s="694"/>
      <c r="CU195" s="694"/>
      <c r="CV195" s="695"/>
      <c r="CW195" s="695"/>
      <c r="CX195" s="695">
        <f t="shared" si="24"/>
        <v>33.799999999999997</v>
      </c>
      <c r="CY195" s="695"/>
      <c r="CZ195" s="695"/>
      <c r="DA195" s="695"/>
      <c r="DB195" s="695">
        <f t="shared" si="25"/>
        <v>101.39999999999999</v>
      </c>
      <c r="DC195" s="695"/>
      <c r="DD195" s="695"/>
      <c r="DE195" s="695"/>
      <c r="DF195" s="695"/>
      <c r="DG195" s="695"/>
      <c r="DH195" s="695"/>
      <c r="DI195" s="694"/>
      <c r="DJ195" s="694"/>
      <c r="DK195" s="694"/>
      <c r="DL195" s="694">
        <v>1</v>
      </c>
      <c r="DM195" s="694">
        <v>4</v>
      </c>
      <c r="DN195" s="694">
        <v>1</v>
      </c>
      <c r="DO195" s="694"/>
      <c r="DP195" s="694">
        <v>2</v>
      </c>
      <c r="DQ195" s="694"/>
      <c r="DR195" s="694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>
        <v>1</v>
      </c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7"/>
    </row>
    <row r="196" spans="1:163" s="696" customFormat="1">
      <c r="A196" s="690"/>
      <c r="B196" s="690"/>
      <c r="C196" s="708"/>
      <c r="D196" s="708" t="s">
        <v>3707</v>
      </c>
      <c r="E196" s="694">
        <v>45.7</v>
      </c>
      <c r="F196" s="694"/>
      <c r="G196" s="694"/>
      <c r="H196" s="694"/>
      <c r="I196" s="694"/>
      <c r="J196" s="694"/>
      <c r="K196" s="694"/>
      <c r="L196" s="694"/>
      <c r="M196" s="694"/>
      <c r="N196" s="694"/>
      <c r="O196" s="694"/>
      <c r="P196" s="694"/>
      <c r="Q196" s="694"/>
      <c r="R196" s="697"/>
      <c r="S196" s="697"/>
      <c r="T196" s="694" t="s">
        <v>1903</v>
      </c>
      <c r="U196" s="694" t="s">
        <v>1903</v>
      </c>
      <c r="V196" s="694"/>
      <c r="W196" s="694"/>
      <c r="X196" s="694"/>
      <c r="Y196" s="694"/>
      <c r="Z196" s="694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4"/>
      <c r="BL196" s="694"/>
      <c r="BM196" s="694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  <c r="BX196" s="694"/>
      <c r="BY196" s="694"/>
      <c r="BZ196" s="694"/>
      <c r="CA196" s="694"/>
      <c r="CB196" s="694"/>
      <c r="CC196" s="694"/>
      <c r="CD196" s="694"/>
      <c r="CE196" s="694"/>
      <c r="CF196" s="694"/>
      <c r="CG196" s="694"/>
      <c r="CH196" s="694"/>
      <c r="CI196" s="694"/>
      <c r="CJ196" s="694"/>
      <c r="CK196" s="694"/>
      <c r="CL196" s="694"/>
      <c r="CM196" s="694"/>
      <c r="CN196" s="694"/>
      <c r="CO196" s="694"/>
      <c r="CP196" s="694"/>
      <c r="CQ196" s="694"/>
      <c r="CR196" s="694"/>
      <c r="CS196" s="694"/>
      <c r="CT196" s="694"/>
      <c r="CU196" s="694"/>
      <c r="CV196" s="695"/>
      <c r="CW196" s="695"/>
      <c r="CX196" s="695">
        <f t="shared" si="24"/>
        <v>45.7</v>
      </c>
      <c r="CY196" s="695"/>
      <c r="CZ196" s="695"/>
      <c r="DA196" s="695"/>
      <c r="DB196" s="695">
        <f t="shared" si="25"/>
        <v>137.10000000000002</v>
      </c>
      <c r="DC196" s="695"/>
      <c r="DD196" s="695"/>
      <c r="DE196" s="695"/>
      <c r="DF196" s="695"/>
      <c r="DG196" s="695"/>
      <c r="DH196" s="695"/>
      <c r="DI196" s="694"/>
      <c r="DJ196" s="694"/>
      <c r="DK196" s="694"/>
      <c r="DL196" s="694">
        <v>1</v>
      </c>
      <c r="DM196" s="694">
        <v>4</v>
      </c>
      <c r="DN196" s="694">
        <v>1</v>
      </c>
      <c r="DO196" s="694">
        <v>4</v>
      </c>
      <c r="DP196" s="694">
        <v>3</v>
      </c>
      <c r="DQ196" s="694"/>
      <c r="DR196" s="694"/>
      <c r="DS196" s="694">
        <v>1</v>
      </c>
      <c r="DT196" s="694"/>
      <c r="DU196" s="694"/>
      <c r="DV196" s="694"/>
      <c r="DW196" s="694"/>
      <c r="DX196" s="694"/>
      <c r="DY196" s="694"/>
      <c r="DZ196" s="694"/>
      <c r="EA196" s="694"/>
      <c r="EB196" s="694">
        <v>2</v>
      </c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7"/>
    </row>
    <row r="197" spans="1:163" s="696" customFormat="1">
      <c r="A197" s="690"/>
      <c r="B197" s="690"/>
      <c r="C197" s="708"/>
      <c r="D197" s="708" t="s">
        <v>3708</v>
      </c>
      <c r="E197" s="694">
        <v>35.9</v>
      </c>
      <c r="F197" s="694"/>
      <c r="G197" s="694"/>
      <c r="H197" s="694"/>
      <c r="I197" s="694"/>
      <c r="J197" s="694"/>
      <c r="K197" s="694"/>
      <c r="L197" s="694"/>
      <c r="M197" s="694"/>
      <c r="N197" s="694"/>
      <c r="O197" s="694"/>
      <c r="P197" s="694"/>
      <c r="Q197" s="694"/>
      <c r="R197" s="697"/>
      <c r="S197" s="697"/>
      <c r="T197" s="694" t="s">
        <v>1631</v>
      </c>
      <c r="U197" s="694" t="s">
        <v>1631</v>
      </c>
      <c r="V197" s="694"/>
      <c r="W197" s="694"/>
      <c r="X197" s="694"/>
      <c r="Y197" s="694"/>
      <c r="Z197" s="694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694"/>
      <c r="BL197" s="694"/>
      <c r="BM197" s="694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  <c r="BX197" s="694"/>
      <c r="BY197" s="694"/>
      <c r="BZ197" s="694"/>
      <c r="CA197" s="694"/>
      <c r="CB197" s="694"/>
      <c r="CC197" s="694"/>
      <c r="CD197" s="694"/>
      <c r="CE197" s="694"/>
      <c r="CF197" s="694"/>
      <c r="CG197" s="694"/>
      <c r="CH197" s="694"/>
      <c r="CI197" s="694"/>
      <c r="CJ197" s="694"/>
      <c r="CK197" s="694"/>
      <c r="CL197" s="694"/>
      <c r="CM197" s="694"/>
      <c r="CN197" s="694"/>
      <c r="CO197" s="694"/>
      <c r="CP197" s="694"/>
      <c r="CQ197" s="694"/>
      <c r="CR197" s="694"/>
      <c r="CS197" s="694"/>
      <c r="CT197" s="694"/>
      <c r="CU197" s="694"/>
      <c r="CV197" s="695"/>
      <c r="CW197" s="695"/>
      <c r="CX197" s="695">
        <f t="shared" si="24"/>
        <v>35.9</v>
      </c>
      <c r="CY197" s="695"/>
      <c r="CZ197" s="695"/>
      <c r="DA197" s="695"/>
      <c r="DB197" s="695">
        <f t="shared" si="25"/>
        <v>107.69999999999999</v>
      </c>
      <c r="DC197" s="695"/>
      <c r="DD197" s="695"/>
      <c r="DE197" s="695"/>
      <c r="DF197" s="695"/>
      <c r="DG197" s="695"/>
      <c r="DH197" s="695"/>
      <c r="DI197" s="694"/>
      <c r="DJ197" s="694"/>
      <c r="DK197" s="694"/>
      <c r="DL197" s="694">
        <v>1</v>
      </c>
      <c r="DM197" s="694">
        <v>4</v>
      </c>
      <c r="DN197" s="694">
        <v>1</v>
      </c>
      <c r="DO197" s="694">
        <v>3</v>
      </c>
      <c r="DP197" s="694">
        <v>2</v>
      </c>
      <c r="DQ197" s="694"/>
      <c r="DR197" s="694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>
        <v>2</v>
      </c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7"/>
    </row>
    <row r="198" spans="1:163" s="696" customFormat="1">
      <c r="A198" s="690"/>
      <c r="B198" s="690"/>
      <c r="C198" s="708"/>
      <c r="D198" s="708" t="s">
        <v>3709</v>
      </c>
      <c r="E198" s="694">
        <v>42.7</v>
      </c>
      <c r="F198" s="694"/>
      <c r="G198" s="694"/>
      <c r="H198" s="694"/>
      <c r="I198" s="694"/>
      <c r="J198" s="694"/>
      <c r="K198" s="694"/>
      <c r="L198" s="694"/>
      <c r="M198" s="694"/>
      <c r="N198" s="694"/>
      <c r="O198" s="694"/>
      <c r="P198" s="694"/>
      <c r="Q198" s="694"/>
      <c r="R198" s="697"/>
      <c r="S198" s="697"/>
      <c r="T198" s="694" t="s">
        <v>3005</v>
      </c>
      <c r="U198" s="694" t="s">
        <v>3005</v>
      </c>
      <c r="V198" s="694"/>
      <c r="W198" s="694"/>
      <c r="X198" s="694"/>
      <c r="Y198" s="694"/>
      <c r="Z198" s="694"/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4"/>
      <c r="BL198" s="694"/>
      <c r="BM198" s="694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  <c r="BX198" s="694"/>
      <c r="BY198" s="694"/>
      <c r="BZ198" s="694"/>
      <c r="CA198" s="694"/>
      <c r="CB198" s="694"/>
      <c r="CC198" s="694"/>
      <c r="CD198" s="694"/>
      <c r="CE198" s="694"/>
      <c r="CF198" s="694"/>
      <c r="CG198" s="694"/>
      <c r="CH198" s="694"/>
      <c r="CI198" s="694"/>
      <c r="CJ198" s="694"/>
      <c r="CK198" s="694"/>
      <c r="CL198" s="694"/>
      <c r="CM198" s="694"/>
      <c r="CN198" s="694"/>
      <c r="CO198" s="694"/>
      <c r="CP198" s="694"/>
      <c r="CQ198" s="694"/>
      <c r="CR198" s="694"/>
      <c r="CS198" s="694"/>
      <c r="CT198" s="694"/>
      <c r="CU198" s="694"/>
      <c r="CV198" s="695"/>
      <c r="CW198" s="695"/>
      <c r="CX198" s="695">
        <f t="shared" si="24"/>
        <v>42.7</v>
      </c>
      <c r="CY198" s="695"/>
      <c r="CZ198" s="695"/>
      <c r="DA198" s="695"/>
      <c r="DB198" s="695">
        <f t="shared" si="25"/>
        <v>128.10000000000002</v>
      </c>
      <c r="DC198" s="695"/>
      <c r="DD198" s="695"/>
      <c r="DE198" s="695"/>
      <c r="DF198" s="695"/>
      <c r="DG198" s="695"/>
      <c r="DH198" s="695"/>
      <c r="DI198" s="694"/>
      <c r="DJ198" s="694"/>
      <c r="DK198" s="694"/>
      <c r="DL198" s="694">
        <v>1</v>
      </c>
      <c r="DM198" s="694">
        <v>4</v>
      </c>
      <c r="DN198" s="694"/>
      <c r="DO198" s="694"/>
      <c r="DP198" s="694"/>
      <c r="DQ198" s="694"/>
      <c r="DR198" s="694"/>
      <c r="DS198" s="694"/>
      <c r="DT198" s="694"/>
      <c r="DU198" s="694">
        <v>4</v>
      </c>
      <c r="DV198" s="694"/>
      <c r="DW198" s="694"/>
      <c r="DX198" s="694"/>
      <c r="DY198" s="694"/>
      <c r="DZ198" s="694"/>
      <c r="EA198" s="694"/>
      <c r="EB198" s="694">
        <v>2</v>
      </c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7"/>
    </row>
    <row r="199" spans="1:163" s="696" customFormat="1">
      <c r="A199" s="690"/>
      <c r="B199" s="690"/>
      <c r="C199" s="708"/>
      <c r="D199" s="708" t="s">
        <v>3710</v>
      </c>
      <c r="E199" s="694">
        <v>42.4</v>
      </c>
      <c r="F199" s="694"/>
      <c r="G199" s="694"/>
      <c r="H199" s="694"/>
      <c r="I199" s="694"/>
      <c r="J199" s="694"/>
      <c r="K199" s="694"/>
      <c r="L199" s="694"/>
      <c r="M199" s="694"/>
      <c r="N199" s="694"/>
      <c r="O199" s="694"/>
      <c r="P199" s="694"/>
      <c r="Q199" s="694"/>
      <c r="R199" s="697"/>
      <c r="S199" s="697"/>
      <c r="T199" s="694" t="s">
        <v>3671</v>
      </c>
      <c r="U199" s="694" t="s">
        <v>3671</v>
      </c>
      <c r="V199" s="694"/>
      <c r="W199" s="694"/>
      <c r="X199" s="694"/>
      <c r="Y199" s="694"/>
      <c r="Z199" s="694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4"/>
      <c r="BL199" s="694"/>
      <c r="BM199" s="694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  <c r="BX199" s="694"/>
      <c r="BY199" s="694"/>
      <c r="BZ199" s="694"/>
      <c r="CA199" s="694"/>
      <c r="CB199" s="694"/>
      <c r="CC199" s="694"/>
      <c r="CD199" s="694"/>
      <c r="CE199" s="694"/>
      <c r="CF199" s="694"/>
      <c r="CG199" s="694"/>
      <c r="CH199" s="694"/>
      <c r="CI199" s="694"/>
      <c r="CJ199" s="694"/>
      <c r="CK199" s="694"/>
      <c r="CL199" s="694"/>
      <c r="CM199" s="694"/>
      <c r="CN199" s="694"/>
      <c r="CO199" s="694"/>
      <c r="CP199" s="694"/>
      <c r="CQ199" s="694"/>
      <c r="CR199" s="694"/>
      <c r="CS199" s="694"/>
      <c r="CT199" s="694"/>
      <c r="CU199" s="694"/>
      <c r="CV199" s="695"/>
      <c r="CW199" s="695"/>
      <c r="CX199" s="695">
        <f t="shared" si="24"/>
        <v>42.4</v>
      </c>
      <c r="CY199" s="695"/>
      <c r="CZ199" s="695"/>
      <c r="DA199" s="695"/>
      <c r="DB199" s="695">
        <f t="shared" si="25"/>
        <v>127.19999999999999</v>
      </c>
      <c r="DC199" s="695"/>
      <c r="DD199" s="695"/>
      <c r="DE199" s="695"/>
      <c r="DF199" s="695"/>
      <c r="DG199" s="695"/>
      <c r="DH199" s="695"/>
      <c r="DI199" s="694"/>
      <c r="DJ199" s="694"/>
      <c r="DK199" s="694"/>
      <c r="DL199" s="694">
        <v>2</v>
      </c>
      <c r="DM199" s="694">
        <v>8</v>
      </c>
      <c r="DN199" s="694"/>
      <c r="DO199" s="694"/>
      <c r="DP199" s="694"/>
      <c r="DQ199" s="694"/>
      <c r="DR199" s="694"/>
      <c r="DS199" s="694"/>
      <c r="DT199" s="694"/>
      <c r="DU199" s="694">
        <v>14</v>
      </c>
      <c r="DV199" s="694"/>
      <c r="DW199" s="694"/>
      <c r="DX199" s="694"/>
      <c r="DY199" s="694"/>
      <c r="DZ199" s="694"/>
      <c r="EA199" s="694"/>
      <c r="EB199" s="694">
        <v>1</v>
      </c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>
        <v>1</v>
      </c>
      <c r="FG199" s="697"/>
    </row>
    <row r="200" spans="1:163" s="696" customFormat="1">
      <c r="A200" s="690"/>
      <c r="B200" s="690"/>
      <c r="C200" s="708" t="s">
        <v>3711</v>
      </c>
      <c r="D200" s="708"/>
      <c r="E200" s="694">
        <v>36.200000000000003</v>
      </c>
      <c r="F200" s="694"/>
      <c r="G200" s="694"/>
      <c r="H200" s="694"/>
      <c r="I200" s="694"/>
      <c r="J200" s="694"/>
      <c r="K200" s="694"/>
      <c r="L200" s="694"/>
      <c r="M200" s="694"/>
      <c r="N200" s="694"/>
      <c r="O200" s="694"/>
      <c r="P200" s="694"/>
      <c r="Q200" s="694"/>
      <c r="R200" s="697"/>
      <c r="S200" s="697"/>
      <c r="T200" s="694" t="s">
        <v>1631</v>
      </c>
      <c r="U200" s="694" t="s">
        <v>1631</v>
      </c>
      <c r="V200" s="694"/>
      <c r="W200" s="694"/>
      <c r="X200" s="694"/>
      <c r="Y200" s="694"/>
      <c r="Z200" s="694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4"/>
      <c r="BL200" s="694"/>
      <c r="BM200" s="694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  <c r="BX200" s="694"/>
      <c r="BY200" s="694"/>
      <c r="BZ200" s="694"/>
      <c r="CA200" s="694"/>
      <c r="CB200" s="694"/>
      <c r="CC200" s="694"/>
      <c r="CD200" s="694"/>
      <c r="CE200" s="694"/>
      <c r="CF200" s="694"/>
      <c r="CG200" s="694"/>
      <c r="CH200" s="694"/>
      <c r="CI200" s="694"/>
      <c r="CJ200" s="694"/>
      <c r="CK200" s="694"/>
      <c r="CL200" s="694"/>
      <c r="CM200" s="694"/>
      <c r="CN200" s="694"/>
      <c r="CO200" s="694"/>
      <c r="CP200" s="694"/>
      <c r="CQ200" s="694"/>
      <c r="CR200" s="694"/>
      <c r="CS200" s="694"/>
      <c r="CT200" s="694"/>
      <c r="CU200" s="694"/>
      <c r="CV200" s="695"/>
      <c r="CW200" s="695"/>
      <c r="CX200" s="695">
        <f t="shared" si="24"/>
        <v>36.200000000000003</v>
      </c>
      <c r="CY200" s="695"/>
      <c r="CZ200" s="695"/>
      <c r="DA200" s="695"/>
      <c r="DB200" s="695">
        <f t="shared" si="25"/>
        <v>108.60000000000001</v>
      </c>
      <c r="DC200" s="695"/>
      <c r="DD200" s="695"/>
      <c r="DE200" s="695"/>
      <c r="DF200" s="695"/>
      <c r="DG200" s="695"/>
      <c r="DH200" s="695"/>
      <c r="DI200" s="694"/>
      <c r="DJ200" s="694"/>
      <c r="DK200" s="694"/>
      <c r="DL200" s="694">
        <v>1</v>
      </c>
      <c r="DM200" s="694">
        <v>4</v>
      </c>
      <c r="DN200" s="694">
        <v>1</v>
      </c>
      <c r="DO200" s="694">
        <v>2</v>
      </c>
      <c r="DP200" s="694">
        <v>2</v>
      </c>
      <c r="DQ200" s="694"/>
      <c r="DR200" s="694"/>
      <c r="DS200" s="694"/>
      <c r="DT200" s="694"/>
      <c r="DU200" s="694"/>
      <c r="DV200" s="694"/>
      <c r="DW200" s="694"/>
      <c r="DX200" s="694"/>
      <c r="DY200" s="694"/>
      <c r="DZ200" s="694"/>
      <c r="EA200" s="694">
        <v>2</v>
      </c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7"/>
    </row>
    <row r="201" spans="1:163" s="696" customFormat="1">
      <c r="A201" s="690"/>
      <c r="B201" s="690"/>
      <c r="C201" s="708"/>
      <c r="D201" s="708" t="s">
        <v>3712</v>
      </c>
      <c r="E201" s="694">
        <v>17.399999999999999</v>
      </c>
      <c r="F201" s="694"/>
      <c r="G201" s="694"/>
      <c r="H201" s="694"/>
      <c r="I201" s="694"/>
      <c r="J201" s="694"/>
      <c r="K201" s="694"/>
      <c r="L201" s="694"/>
      <c r="M201" s="694"/>
      <c r="N201" s="694"/>
      <c r="O201" s="694"/>
      <c r="P201" s="694"/>
      <c r="Q201" s="694"/>
      <c r="R201" s="697"/>
      <c r="S201" s="697"/>
      <c r="T201" s="694" t="s">
        <v>3005</v>
      </c>
      <c r="U201" s="694" t="s">
        <v>3005</v>
      </c>
      <c r="V201" s="694"/>
      <c r="W201" s="694"/>
      <c r="X201" s="694"/>
      <c r="Y201" s="694"/>
      <c r="Z201" s="694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694"/>
      <c r="BL201" s="694"/>
      <c r="BM201" s="694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  <c r="BX201" s="694"/>
      <c r="BY201" s="694"/>
      <c r="BZ201" s="694"/>
      <c r="CA201" s="694"/>
      <c r="CB201" s="694"/>
      <c r="CC201" s="694"/>
      <c r="CD201" s="694"/>
      <c r="CE201" s="694"/>
      <c r="CF201" s="694"/>
      <c r="CG201" s="694"/>
      <c r="CH201" s="694"/>
      <c r="CI201" s="694"/>
      <c r="CJ201" s="694"/>
      <c r="CK201" s="694"/>
      <c r="CL201" s="694"/>
      <c r="CM201" s="694"/>
      <c r="CN201" s="694"/>
      <c r="CO201" s="694"/>
      <c r="CP201" s="694"/>
      <c r="CQ201" s="694"/>
      <c r="CR201" s="694"/>
      <c r="CS201" s="694"/>
      <c r="CT201" s="694"/>
      <c r="CU201" s="694"/>
      <c r="CV201" s="695"/>
      <c r="CW201" s="695"/>
      <c r="CX201" s="695">
        <f t="shared" si="24"/>
        <v>17.399999999999999</v>
      </c>
      <c r="CY201" s="695"/>
      <c r="CZ201" s="695"/>
      <c r="DA201" s="695"/>
      <c r="DB201" s="695">
        <f t="shared" si="25"/>
        <v>52.199999999999996</v>
      </c>
      <c r="DC201" s="695"/>
      <c r="DD201" s="695"/>
      <c r="DE201" s="695"/>
      <c r="DF201" s="695"/>
      <c r="DG201" s="695"/>
      <c r="DH201" s="695"/>
      <c r="DI201" s="694"/>
      <c r="DJ201" s="694"/>
      <c r="DK201" s="694"/>
      <c r="DL201" s="694">
        <v>1</v>
      </c>
      <c r="DM201" s="694">
        <v>4</v>
      </c>
      <c r="DN201" s="694">
        <v>1</v>
      </c>
      <c r="DO201" s="694">
        <v>2</v>
      </c>
      <c r="DP201" s="694">
        <v>1</v>
      </c>
      <c r="DQ201" s="694"/>
      <c r="DR201" s="694"/>
      <c r="DS201" s="694"/>
      <c r="DT201" s="694">
        <v>3</v>
      </c>
      <c r="DU201" s="694">
        <v>8</v>
      </c>
      <c r="DV201" s="694"/>
      <c r="DW201" s="694"/>
      <c r="DX201" s="694"/>
      <c r="DY201" s="694"/>
      <c r="DZ201" s="694"/>
      <c r="EA201" s="694"/>
      <c r="EB201" s="694">
        <v>2</v>
      </c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7"/>
    </row>
    <row r="202" spans="1:163" s="696" customFormat="1">
      <c r="A202" s="690"/>
      <c r="B202" s="690"/>
      <c r="C202" s="708"/>
      <c r="D202" s="708" t="s">
        <v>3713</v>
      </c>
      <c r="E202" s="694">
        <f>30.5+30.5</f>
        <v>61</v>
      </c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7"/>
      <c r="S202" s="697"/>
      <c r="T202" s="694" t="s">
        <v>1631</v>
      </c>
      <c r="U202" s="694" t="s">
        <v>1631</v>
      </c>
      <c r="V202" s="694"/>
      <c r="W202" s="694"/>
      <c r="X202" s="694"/>
      <c r="Y202" s="694"/>
      <c r="Z202" s="694"/>
      <c r="AA202" s="694"/>
      <c r="AB202" s="694"/>
      <c r="AC202" s="694"/>
      <c r="AD202" s="694"/>
      <c r="AE202" s="694"/>
      <c r="AF202" s="694"/>
      <c r="AG202" s="694"/>
      <c r="AH202" s="694"/>
      <c r="AI202" s="694"/>
      <c r="AJ202" s="694"/>
      <c r="AK202" s="694"/>
      <c r="AL202" s="694"/>
      <c r="AM202" s="694"/>
      <c r="AN202" s="694"/>
      <c r="AO202" s="694"/>
      <c r="AP202" s="694"/>
      <c r="AQ202" s="694"/>
      <c r="AR202" s="694"/>
      <c r="AS202" s="694"/>
      <c r="AT202" s="694"/>
      <c r="AU202" s="694"/>
      <c r="AV202" s="694"/>
      <c r="AW202" s="694"/>
      <c r="AX202" s="694"/>
      <c r="AY202" s="694"/>
      <c r="AZ202" s="694"/>
      <c r="BA202" s="694"/>
      <c r="BB202" s="694"/>
      <c r="BC202" s="694"/>
      <c r="BD202" s="694"/>
      <c r="BE202" s="694"/>
      <c r="BF202" s="694"/>
      <c r="BG202" s="694"/>
      <c r="BH202" s="694"/>
      <c r="BI202" s="694"/>
      <c r="BJ202" s="694"/>
      <c r="BK202" s="694"/>
      <c r="BL202" s="694"/>
      <c r="BM202" s="694"/>
      <c r="BN202" s="694"/>
      <c r="BO202" s="694"/>
      <c r="BP202" s="694"/>
      <c r="BQ202" s="694"/>
      <c r="BR202" s="694"/>
      <c r="BS202" s="694"/>
      <c r="BT202" s="694"/>
      <c r="BU202" s="694"/>
      <c r="BV202" s="694"/>
      <c r="BW202" s="694"/>
      <c r="BX202" s="694"/>
      <c r="BY202" s="694"/>
      <c r="BZ202" s="694"/>
      <c r="CA202" s="694"/>
      <c r="CB202" s="694"/>
      <c r="CC202" s="694"/>
      <c r="CD202" s="694"/>
      <c r="CE202" s="694"/>
      <c r="CF202" s="694"/>
      <c r="CG202" s="694"/>
      <c r="CH202" s="694"/>
      <c r="CI202" s="694"/>
      <c r="CJ202" s="694"/>
      <c r="CK202" s="694"/>
      <c r="CL202" s="694"/>
      <c r="CM202" s="694"/>
      <c r="CN202" s="694"/>
      <c r="CO202" s="694"/>
      <c r="CP202" s="694"/>
      <c r="CQ202" s="694"/>
      <c r="CR202" s="694"/>
      <c r="CS202" s="694"/>
      <c r="CT202" s="694"/>
      <c r="CU202" s="694"/>
      <c r="CV202" s="695"/>
      <c r="CW202" s="695"/>
      <c r="CX202" s="695">
        <f t="shared" si="24"/>
        <v>61</v>
      </c>
      <c r="CY202" s="695"/>
      <c r="CZ202" s="695"/>
      <c r="DA202" s="695"/>
      <c r="DB202" s="695">
        <f t="shared" si="25"/>
        <v>183</v>
      </c>
      <c r="DC202" s="695"/>
      <c r="DD202" s="695"/>
      <c r="DE202" s="695"/>
      <c r="DF202" s="695"/>
      <c r="DG202" s="695"/>
      <c r="DH202" s="695"/>
      <c r="DI202" s="694"/>
      <c r="DJ202" s="694"/>
      <c r="DK202" s="694"/>
      <c r="DL202" s="694">
        <v>1</v>
      </c>
      <c r="DM202" s="694">
        <v>4</v>
      </c>
      <c r="DN202" s="694">
        <v>1</v>
      </c>
      <c r="DO202" s="694">
        <v>2</v>
      </c>
      <c r="DP202" s="694">
        <v>1</v>
      </c>
      <c r="DQ202" s="694"/>
      <c r="DR202" s="694"/>
      <c r="DS202" s="694">
        <v>3</v>
      </c>
      <c r="DT202" s="694"/>
      <c r="DU202" s="694"/>
      <c r="DV202" s="694"/>
      <c r="DW202" s="694"/>
      <c r="DX202" s="694"/>
      <c r="DY202" s="694"/>
      <c r="DZ202" s="694"/>
      <c r="EA202" s="694"/>
      <c r="EB202" s="694">
        <v>2</v>
      </c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7"/>
    </row>
    <row r="203" spans="1:163" s="696" customFormat="1">
      <c r="A203" s="690"/>
      <c r="B203" s="690"/>
      <c r="C203" s="708"/>
      <c r="D203" s="708" t="s">
        <v>3714</v>
      </c>
      <c r="E203" s="694">
        <v>40</v>
      </c>
      <c r="F203" s="694"/>
      <c r="G203" s="694"/>
      <c r="H203" s="694"/>
      <c r="I203" s="694"/>
      <c r="J203" s="694"/>
      <c r="K203" s="694"/>
      <c r="L203" s="694"/>
      <c r="M203" s="694"/>
      <c r="N203" s="694"/>
      <c r="O203" s="694"/>
      <c r="P203" s="694"/>
      <c r="Q203" s="694"/>
      <c r="R203" s="697"/>
      <c r="S203" s="697"/>
      <c r="T203" s="694" t="s">
        <v>3005</v>
      </c>
      <c r="U203" s="694" t="s">
        <v>3005</v>
      </c>
      <c r="V203" s="694"/>
      <c r="W203" s="694"/>
      <c r="X203" s="694"/>
      <c r="Y203" s="694"/>
      <c r="Z203" s="694"/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4"/>
      <c r="BL203" s="694"/>
      <c r="BM203" s="694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  <c r="BX203" s="694"/>
      <c r="BY203" s="694"/>
      <c r="BZ203" s="694"/>
      <c r="CA203" s="694"/>
      <c r="CB203" s="694"/>
      <c r="CC203" s="694"/>
      <c r="CD203" s="694"/>
      <c r="CE203" s="694"/>
      <c r="CF203" s="694"/>
      <c r="CG203" s="694"/>
      <c r="CH203" s="694"/>
      <c r="CI203" s="694"/>
      <c r="CJ203" s="694"/>
      <c r="CK203" s="694"/>
      <c r="CL203" s="694"/>
      <c r="CM203" s="694"/>
      <c r="CN203" s="694"/>
      <c r="CO203" s="694"/>
      <c r="CP203" s="694"/>
      <c r="CQ203" s="694"/>
      <c r="CR203" s="694"/>
      <c r="CS203" s="694"/>
      <c r="CT203" s="694"/>
      <c r="CU203" s="694"/>
      <c r="CV203" s="695"/>
      <c r="CW203" s="695"/>
      <c r="CX203" s="695">
        <f t="shared" si="24"/>
        <v>40</v>
      </c>
      <c r="CY203" s="695"/>
      <c r="CZ203" s="695"/>
      <c r="DA203" s="695"/>
      <c r="DB203" s="695">
        <f t="shared" si="25"/>
        <v>120</v>
      </c>
      <c r="DC203" s="695"/>
      <c r="DD203" s="695"/>
      <c r="DE203" s="695"/>
      <c r="DF203" s="695"/>
      <c r="DG203" s="695"/>
      <c r="DH203" s="695"/>
      <c r="DI203" s="694"/>
      <c r="DJ203" s="694"/>
      <c r="DK203" s="694"/>
      <c r="DL203" s="694">
        <v>2</v>
      </c>
      <c r="DM203" s="694">
        <v>8</v>
      </c>
      <c r="DN203" s="694"/>
      <c r="DO203" s="694"/>
      <c r="DP203" s="694"/>
      <c r="DQ203" s="694"/>
      <c r="DR203" s="694"/>
      <c r="DS203" s="694">
        <v>3</v>
      </c>
      <c r="DT203" s="694">
        <v>3</v>
      </c>
      <c r="DU203" s="694">
        <v>4</v>
      </c>
      <c r="DV203" s="694"/>
      <c r="DW203" s="694"/>
      <c r="DX203" s="694"/>
      <c r="DY203" s="694"/>
      <c r="DZ203" s="694"/>
      <c r="EA203" s="694"/>
      <c r="EB203" s="694">
        <v>2</v>
      </c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7"/>
    </row>
    <row r="204" spans="1:163" s="696" customFormat="1">
      <c r="A204" s="690"/>
      <c r="B204" s="690"/>
      <c r="C204" s="708"/>
      <c r="D204" s="708" t="s">
        <v>3663</v>
      </c>
      <c r="E204" s="694">
        <v>53</v>
      </c>
      <c r="F204" s="694"/>
      <c r="G204" s="694"/>
      <c r="H204" s="694"/>
      <c r="I204" s="694"/>
      <c r="J204" s="694"/>
      <c r="K204" s="694"/>
      <c r="L204" s="694"/>
      <c r="M204" s="694"/>
      <c r="N204" s="694"/>
      <c r="O204" s="694"/>
      <c r="P204" s="694"/>
      <c r="Q204" s="694"/>
      <c r="R204" s="697"/>
      <c r="S204" s="697"/>
      <c r="T204" s="694" t="s">
        <v>2990</v>
      </c>
      <c r="U204" s="694" t="s">
        <v>2990</v>
      </c>
      <c r="V204" s="694"/>
      <c r="W204" s="694"/>
      <c r="X204" s="694"/>
      <c r="Y204" s="694"/>
      <c r="Z204" s="694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4"/>
      <c r="BL204" s="694"/>
      <c r="BM204" s="694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  <c r="BX204" s="694"/>
      <c r="BY204" s="694"/>
      <c r="BZ204" s="694"/>
      <c r="CA204" s="694"/>
      <c r="CB204" s="694"/>
      <c r="CC204" s="694"/>
      <c r="CD204" s="694"/>
      <c r="CE204" s="694"/>
      <c r="CF204" s="694"/>
      <c r="CG204" s="694"/>
      <c r="CH204" s="694"/>
      <c r="CI204" s="694"/>
      <c r="CJ204" s="694"/>
      <c r="CK204" s="694"/>
      <c r="CL204" s="694"/>
      <c r="CM204" s="694"/>
      <c r="CN204" s="694"/>
      <c r="CO204" s="694"/>
      <c r="CP204" s="694"/>
      <c r="CQ204" s="694"/>
      <c r="CR204" s="694"/>
      <c r="CS204" s="694"/>
      <c r="CT204" s="694"/>
      <c r="CU204" s="694"/>
      <c r="CV204" s="695"/>
      <c r="CW204" s="695"/>
      <c r="CX204" s="695">
        <f t="shared" si="24"/>
        <v>53</v>
      </c>
      <c r="CY204" s="695"/>
      <c r="CZ204" s="695"/>
      <c r="DA204" s="695"/>
      <c r="DB204" s="695">
        <f t="shared" si="25"/>
        <v>159</v>
      </c>
      <c r="DC204" s="695"/>
      <c r="DD204" s="695"/>
      <c r="DE204" s="695"/>
      <c r="DF204" s="695"/>
      <c r="DG204" s="695"/>
      <c r="DH204" s="695"/>
      <c r="DI204" s="694"/>
      <c r="DJ204" s="694"/>
      <c r="DK204" s="694"/>
      <c r="DL204" s="694">
        <v>1</v>
      </c>
      <c r="DM204" s="694">
        <v>4</v>
      </c>
      <c r="DN204" s="694"/>
      <c r="DO204" s="694"/>
      <c r="DP204" s="694"/>
      <c r="DQ204" s="694"/>
      <c r="DR204" s="694"/>
      <c r="DS204" s="694"/>
      <c r="DT204" s="694"/>
      <c r="DU204" s="694">
        <v>16</v>
      </c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>
        <v>2</v>
      </c>
      <c r="FA204" s="694"/>
      <c r="FB204" s="694"/>
      <c r="FC204" s="694"/>
      <c r="FD204" s="694"/>
      <c r="FE204" s="694"/>
      <c r="FF204" s="694"/>
      <c r="FG204" s="697"/>
    </row>
    <row r="205" spans="1:163" s="696" customFormat="1">
      <c r="A205" s="690"/>
      <c r="B205" s="690"/>
      <c r="C205" s="708"/>
      <c r="D205" s="708"/>
      <c r="E205" s="694"/>
      <c r="F205" s="694"/>
      <c r="G205" s="694"/>
      <c r="H205" s="694"/>
      <c r="I205" s="694"/>
      <c r="J205" s="694"/>
      <c r="K205" s="694"/>
      <c r="L205" s="694"/>
      <c r="M205" s="694"/>
      <c r="N205" s="694"/>
      <c r="O205" s="694"/>
      <c r="P205" s="694"/>
      <c r="Q205" s="694"/>
      <c r="R205" s="697"/>
      <c r="S205" s="697"/>
      <c r="T205" s="694"/>
      <c r="U205" s="694"/>
      <c r="V205" s="694"/>
      <c r="W205" s="694"/>
      <c r="X205" s="694"/>
      <c r="Y205" s="694"/>
      <c r="Z205" s="694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4"/>
      <c r="BL205" s="694"/>
      <c r="BM205" s="694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  <c r="BX205" s="694"/>
      <c r="BY205" s="694"/>
      <c r="BZ205" s="694"/>
      <c r="CA205" s="694"/>
      <c r="CB205" s="694"/>
      <c r="CC205" s="694"/>
      <c r="CD205" s="694"/>
      <c r="CE205" s="694"/>
      <c r="CF205" s="694"/>
      <c r="CG205" s="694"/>
      <c r="CH205" s="694"/>
      <c r="CI205" s="694"/>
      <c r="CJ205" s="694"/>
      <c r="CK205" s="694"/>
      <c r="CL205" s="694"/>
      <c r="CM205" s="694"/>
      <c r="CN205" s="694"/>
      <c r="CO205" s="694"/>
      <c r="CP205" s="694"/>
      <c r="CQ205" s="694"/>
      <c r="CR205" s="694"/>
      <c r="CS205" s="694"/>
      <c r="CT205" s="694"/>
      <c r="CU205" s="694"/>
      <c r="CV205" s="695"/>
      <c r="CW205" s="695"/>
      <c r="CX205" s="695"/>
      <c r="CY205" s="695"/>
      <c r="CZ205" s="695"/>
      <c r="DA205" s="695"/>
      <c r="DB205" s="695"/>
      <c r="DC205" s="695"/>
      <c r="DD205" s="695"/>
      <c r="DE205" s="695"/>
      <c r="DF205" s="695"/>
      <c r="DG205" s="695"/>
      <c r="DH205" s="695"/>
      <c r="DI205" s="694"/>
      <c r="DJ205" s="694"/>
      <c r="DK205" s="694"/>
      <c r="DL205" s="694"/>
      <c r="DM205" s="694"/>
      <c r="DN205" s="694"/>
      <c r="DO205" s="694"/>
      <c r="DP205" s="694"/>
      <c r="DQ205" s="694"/>
      <c r="DR205" s="694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7"/>
    </row>
    <row r="206" spans="1:163" s="696" customFormat="1">
      <c r="A206" s="690"/>
      <c r="B206" s="690"/>
      <c r="C206" s="708"/>
      <c r="D206" s="709" t="s">
        <v>3715</v>
      </c>
      <c r="E206" s="694"/>
      <c r="F206" s="694"/>
      <c r="G206" s="694"/>
      <c r="H206" s="694"/>
      <c r="I206" s="694"/>
      <c r="J206" s="694"/>
      <c r="K206" s="694"/>
      <c r="L206" s="694"/>
      <c r="M206" s="694"/>
      <c r="N206" s="694"/>
      <c r="O206" s="694"/>
      <c r="P206" s="694"/>
      <c r="Q206" s="694"/>
      <c r="R206" s="697"/>
      <c r="S206" s="697"/>
      <c r="T206" s="694"/>
      <c r="U206" s="694"/>
      <c r="V206" s="694"/>
      <c r="W206" s="694"/>
      <c r="X206" s="694"/>
      <c r="Y206" s="694"/>
      <c r="Z206" s="694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694"/>
      <c r="BL206" s="694"/>
      <c r="BM206" s="694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  <c r="BX206" s="694"/>
      <c r="BY206" s="694"/>
      <c r="BZ206" s="694"/>
      <c r="CA206" s="694"/>
      <c r="CB206" s="694"/>
      <c r="CC206" s="694"/>
      <c r="CD206" s="694"/>
      <c r="CE206" s="694"/>
      <c r="CF206" s="694"/>
      <c r="CG206" s="694"/>
      <c r="CH206" s="694"/>
      <c r="CI206" s="694"/>
      <c r="CJ206" s="694"/>
      <c r="CK206" s="694"/>
      <c r="CL206" s="694"/>
      <c r="CM206" s="694"/>
      <c r="CN206" s="694"/>
      <c r="CO206" s="694"/>
      <c r="CP206" s="694"/>
      <c r="CQ206" s="694"/>
      <c r="CR206" s="694"/>
      <c r="CS206" s="694"/>
      <c r="CT206" s="694"/>
      <c r="CU206" s="694"/>
      <c r="CV206" s="695"/>
      <c r="CW206" s="695"/>
      <c r="CX206" s="695"/>
      <c r="CY206" s="695"/>
      <c r="CZ206" s="695"/>
      <c r="DA206" s="695"/>
      <c r="DB206" s="695"/>
      <c r="DC206" s="695"/>
      <c r="DD206" s="695"/>
      <c r="DE206" s="695"/>
      <c r="DF206" s="695"/>
      <c r="DG206" s="695"/>
      <c r="DH206" s="695"/>
      <c r="DI206" s="694"/>
      <c r="DJ206" s="694"/>
      <c r="DK206" s="694"/>
      <c r="DL206" s="694"/>
      <c r="DM206" s="694"/>
      <c r="DN206" s="694"/>
      <c r="DO206" s="694"/>
      <c r="DP206" s="694"/>
      <c r="DQ206" s="694"/>
      <c r="DR206" s="694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7"/>
    </row>
    <row r="207" spans="1:163" s="696" customFormat="1">
      <c r="A207" s="690"/>
      <c r="B207" s="690"/>
      <c r="C207" s="708" t="s">
        <v>3632</v>
      </c>
      <c r="D207" s="708"/>
      <c r="E207" s="694">
        <v>42.8</v>
      </c>
      <c r="F207" s="694"/>
      <c r="G207" s="694"/>
      <c r="H207" s="694"/>
      <c r="I207" s="694"/>
      <c r="J207" s="694"/>
      <c r="K207" s="694"/>
      <c r="L207" s="694"/>
      <c r="M207" s="694"/>
      <c r="N207" s="694"/>
      <c r="O207" s="694"/>
      <c r="P207" s="694"/>
      <c r="Q207" s="694"/>
      <c r="R207" s="697"/>
      <c r="S207" s="697"/>
      <c r="T207" s="692" t="s">
        <v>1631</v>
      </c>
      <c r="U207" s="692" t="s">
        <v>1631</v>
      </c>
      <c r="V207" s="694"/>
      <c r="W207" s="694"/>
      <c r="X207" s="694"/>
      <c r="Y207" s="694"/>
      <c r="Z207" s="694"/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4"/>
      <c r="BL207" s="694"/>
      <c r="BM207" s="694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  <c r="BX207" s="694"/>
      <c r="BY207" s="694"/>
      <c r="BZ207" s="694"/>
      <c r="CA207" s="694"/>
      <c r="CB207" s="694"/>
      <c r="CC207" s="694"/>
      <c r="CD207" s="694"/>
      <c r="CE207" s="694"/>
      <c r="CF207" s="694"/>
      <c r="CG207" s="694"/>
      <c r="CH207" s="694"/>
      <c r="CI207" s="694"/>
      <c r="CJ207" s="694"/>
      <c r="CK207" s="694"/>
      <c r="CL207" s="694"/>
      <c r="CM207" s="694"/>
      <c r="CN207" s="694"/>
      <c r="CO207" s="694"/>
      <c r="CP207" s="694"/>
      <c r="CQ207" s="694"/>
      <c r="CR207" s="694"/>
      <c r="CS207" s="694"/>
      <c r="CT207" s="694"/>
      <c r="CU207" s="694"/>
      <c r="CV207" s="695"/>
      <c r="CW207" s="517">
        <f>E207</f>
        <v>42.8</v>
      </c>
      <c r="CX207" s="517"/>
      <c r="CY207" s="517"/>
      <c r="CZ207" s="517"/>
      <c r="DA207" s="517">
        <f>E207*3</f>
        <v>128.39999999999998</v>
      </c>
      <c r="DB207" s="695"/>
      <c r="DC207" s="695"/>
      <c r="DD207" s="695"/>
      <c r="DE207" s="695"/>
      <c r="DF207" s="695"/>
      <c r="DG207" s="695"/>
      <c r="DH207" s="695"/>
      <c r="DI207" s="694"/>
      <c r="DJ207" s="694"/>
      <c r="DK207" s="694"/>
      <c r="DL207" s="694">
        <v>1</v>
      </c>
      <c r="DM207" s="694">
        <v>4</v>
      </c>
      <c r="DN207" s="694">
        <v>1</v>
      </c>
      <c r="DO207" s="694">
        <v>4</v>
      </c>
      <c r="DP207" s="694">
        <v>4</v>
      </c>
      <c r="DQ207" s="694"/>
      <c r="DR207" s="694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>
        <v>2</v>
      </c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7"/>
    </row>
    <row r="208" spans="1:163" s="696" customFormat="1">
      <c r="A208" s="690"/>
      <c r="B208" s="690"/>
      <c r="C208" s="708" t="s">
        <v>3633</v>
      </c>
      <c r="D208" s="708"/>
      <c r="E208" s="694">
        <v>44.4</v>
      </c>
      <c r="F208" s="694"/>
      <c r="G208" s="694"/>
      <c r="H208" s="694"/>
      <c r="I208" s="694"/>
      <c r="J208" s="694"/>
      <c r="K208" s="694"/>
      <c r="L208" s="694"/>
      <c r="M208" s="694"/>
      <c r="N208" s="694"/>
      <c r="O208" s="694"/>
      <c r="P208" s="694"/>
      <c r="Q208" s="694"/>
      <c r="R208" s="697"/>
      <c r="S208" s="697"/>
      <c r="T208" s="694" t="s">
        <v>1631</v>
      </c>
      <c r="U208" s="694" t="s">
        <v>1631</v>
      </c>
      <c r="V208" s="694"/>
      <c r="W208" s="694"/>
      <c r="X208" s="694"/>
      <c r="Y208" s="694"/>
      <c r="Z208" s="694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4"/>
      <c r="BL208" s="694"/>
      <c r="BM208" s="694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  <c r="BX208" s="694"/>
      <c r="BY208" s="694"/>
      <c r="BZ208" s="694"/>
      <c r="CA208" s="694"/>
      <c r="CB208" s="694"/>
      <c r="CC208" s="694"/>
      <c r="CD208" s="694"/>
      <c r="CE208" s="694"/>
      <c r="CF208" s="694"/>
      <c r="CG208" s="694"/>
      <c r="CH208" s="694"/>
      <c r="CI208" s="694"/>
      <c r="CJ208" s="694"/>
      <c r="CK208" s="694"/>
      <c r="CL208" s="694"/>
      <c r="CM208" s="694"/>
      <c r="CN208" s="694"/>
      <c r="CO208" s="694"/>
      <c r="CP208" s="694"/>
      <c r="CQ208" s="694"/>
      <c r="CR208" s="694"/>
      <c r="CS208" s="694"/>
      <c r="CT208" s="694"/>
      <c r="CU208" s="694"/>
      <c r="CV208" s="695"/>
      <c r="CW208" s="517">
        <f t="shared" ref="CW208:CW224" si="26">E208</f>
        <v>44.4</v>
      </c>
      <c r="CX208" s="517"/>
      <c r="CY208" s="517"/>
      <c r="CZ208" s="517"/>
      <c r="DA208" s="517">
        <f t="shared" ref="DA208:DA224" si="27">E208*3</f>
        <v>133.19999999999999</v>
      </c>
      <c r="DB208" s="695"/>
      <c r="DC208" s="695"/>
      <c r="DD208" s="695"/>
      <c r="DE208" s="695"/>
      <c r="DF208" s="695"/>
      <c r="DG208" s="695"/>
      <c r="DH208" s="695"/>
      <c r="DI208" s="694"/>
      <c r="DJ208" s="694"/>
      <c r="DK208" s="694"/>
      <c r="DL208" s="694">
        <v>1</v>
      </c>
      <c r="DM208" s="694">
        <v>4</v>
      </c>
      <c r="DN208" s="694">
        <v>1</v>
      </c>
      <c r="DO208" s="694">
        <v>4</v>
      </c>
      <c r="DP208" s="694">
        <v>3</v>
      </c>
      <c r="DQ208" s="694"/>
      <c r="DR208" s="694"/>
      <c r="DS208" s="694"/>
      <c r="DT208" s="694"/>
      <c r="DU208" s="694"/>
      <c r="DV208" s="694"/>
      <c r="DW208" s="694"/>
      <c r="DX208" s="694"/>
      <c r="DY208" s="694"/>
      <c r="DZ208" s="694"/>
      <c r="EA208" s="694">
        <v>1</v>
      </c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7"/>
    </row>
    <row r="209" spans="1:163" s="696" customFormat="1">
      <c r="A209" s="690"/>
      <c r="B209" s="690"/>
      <c r="C209" s="708" t="s">
        <v>3634</v>
      </c>
      <c r="D209" s="708"/>
      <c r="E209" s="694">
        <v>51.6</v>
      </c>
      <c r="F209" s="694"/>
      <c r="G209" s="694"/>
      <c r="H209" s="694"/>
      <c r="I209" s="694"/>
      <c r="J209" s="694"/>
      <c r="K209" s="694"/>
      <c r="L209" s="694"/>
      <c r="M209" s="694"/>
      <c r="N209" s="694"/>
      <c r="O209" s="694"/>
      <c r="P209" s="694"/>
      <c r="Q209" s="694"/>
      <c r="R209" s="697"/>
      <c r="S209" s="697"/>
      <c r="T209" s="694" t="s">
        <v>1631</v>
      </c>
      <c r="U209" s="694" t="s">
        <v>1631</v>
      </c>
      <c r="V209" s="694"/>
      <c r="W209" s="694"/>
      <c r="X209" s="694"/>
      <c r="Y209" s="694"/>
      <c r="Z209" s="694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4"/>
      <c r="BL209" s="694"/>
      <c r="BM209" s="694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  <c r="BX209" s="694"/>
      <c r="BY209" s="694"/>
      <c r="BZ209" s="694"/>
      <c r="CA209" s="694"/>
      <c r="CB209" s="694"/>
      <c r="CC209" s="694"/>
      <c r="CD209" s="694"/>
      <c r="CE209" s="694"/>
      <c r="CF209" s="694"/>
      <c r="CG209" s="694"/>
      <c r="CH209" s="694"/>
      <c r="CI209" s="694"/>
      <c r="CJ209" s="694"/>
      <c r="CK209" s="694"/>
      <c r="CL209" s="694"/>
      <c r="CM209" s="694"/>
      <c r="CN209" s="694"/>
      <c r="CO209" s="694"/>
      <c r="CP209" s="694"/>
      <c r="CQ209" s="694"/>
      <c r="CR209" s="694"/>
      <c r="CS209" s="694"/>
      <c r="CT209" s="694"/>
      <c r="CU209" s="694"/>
      <c r="CV209" s="695"/>
      <c r="CW209" s="517">
        <f t="shared" si="26"/>
        <v>51.6</v>
      </c>
      <c r="CX209" s="517"/>
      <c r="CY209" s="517"/>
      <c r="CZ209" s="517"/>
      <c r="DA209" s="517">
        <f t="shared" si="27"/>
        <v>154.80000000000001</v>
      </c>
      <c r="DB209" s="695"/>
      <c r="DC209" s="695"/>
      <c r="DD209" s="695"/>
      <c r="DE209" s="695"/>
      <c r="DF209" s="695"/>
      <c r="DG209" s="695"/>
      <c r="DH209" s="695"/>
      <c r="DI209" s="694"/>
      <c r="DJ209" s="694"/>
      <c r="DK209" s="694"/>
      <c r="DL209" s="694">
        <v>1</v>
      </c>
      <c r="DM209" s="694">
        <v>4</v>
      </c>
      <c r="DN209" s="694">
        <v>1</v>
      </c>
      <c r="DO209" s="694">
        <v>3</v>
      </c>
      <c r="DP209" s="694">
        <v>2</v>
      </c>
      <c r="DQ209" s="694"/>
      <c r="DR209" s="694"/>
      <c r="DS209" s="694"/>
      <c r="DT209" s="694"/>
      <c r="DU209" s="694"/>
      <c r="DV209" s="694"/>
      <c r="DW209" s="694"/>
      <c r="DX209" s="694"/>
      <c r="DY209" s="694"/>
      <c r="DZ209" s="694"/>
      <c r="EA209" s="694">
        <v>2</v>
      </c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7"/>
    </row>
    <row r="210" spans="1:163" s="696" customFormat="1">
      <c r="A210" s="690"/>
      <c r="B210" s="690"/>
      <c r="C210" s="708" t="s">
        <v>3635</v>
      </c>
      <c r="D210" s="708"/>
      <c r="E210" s="694">
        <v>41.4</v>
      </c>
      <c r="F210" s="694"/>
      <c r="G210" s="694"/>
      <c r="H210" s="694"/>
      <c r="I210" s="694"/>
      <c r="J210" s="694"/>
      <c r="K210" s="694"/>
      <c r="L210" s="694"/>
      <c r="M210" s="694"/>
      <c r="N210" s="694"/>
      <c r="O210" s="694"/>
      <c r="P210" s="694"/>
      <c r="Q210" s="694"/>
      <c r="R210" s="697"/>
      <c r="S210" s="697"/>
      <c r="T210" s="694" t="s">
        <v>1631</v>
      </c>
      <c r="U210" s="694" t="s">
        <v>1631</v>
      </c>
      <c r="V210" s="694"/>
      <c r="W210" s="694"/>
      <c r="X210" s="694"/>
      <c r="Y210" s="694"/>
      <c r="Z210" s="694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694"/>
      <c r="BL210" s="694"/>
      <c r="BM210" s="694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  <c r="BX210" s="694"/>
      <c r="BY210" s="694"/>
      <c r="BZ210" s="694"/>
      <c r="CA210" s="694"/>
      <c r="CB210" s="694"/>
      <c r="CC210" s="694"/>
      <c r="CD210" s="694"/>
      <c r="CE210" s="694"/>
      <c r="CF210" s="694"/>
      <c r="CG210" s="694"/>
      <c r="CH210" s="694"/>
      <c r="CI210" s="694"/>
      <c r="CJ210" s="694"/>
      <c r="CK210" s="694"/>
      <c r="CL210" s="694"/>
      <c r="CM210" s="694"/>
      <c r="CN210" s="694"/>
      <c r="CO210" s="694"/>
      <c r="CP210" s="694"/>
      <c r="CQ210" s="694"/>
      <c r="CR210" s="694"/>
      <c r="CS210" s="694"/>
      <c r="CT210" s="694"/>
      <c r="CU210" s="694"/>
      <c r="CV210" s="695"/>
      <c r="CW210" s="517">
        <f t="shared" si="26"/>
        <v>41.4</v>
      </c>
      <c r="CX210" s="517"/>
      <c r="CY210" s="517"/>
      <c r="CZ210" s="517"/>
      <c r="DA210" s="517">
        <f t="shared" si="27"/>
        <v>124.19999999999999</v>
      </c>
      <c r="DB210" s="695"/>
      <c r="DC210" s="695"/>
      <c r="DD210" s="695"/>
      <c r="DE210" s="695"/>
      <c r="DF210" s="695"/>
      <c r="DG210" s="695"/>
      <c r="DH210" s="695"/>
      <c r="DI210" s="694"/>
      <c r="DJ210" s="694"/>
      <c r="DK210" s="694"/>
      <c r="DL210" s="694">
        <v>1</v>
      </c>
      <c r="DM210" s="694">
        <v>4</v>
      </c>
      <c r="DN210" s="694">
        <v>1</v>
      </c>
      <c r="DO210" s="694">
        <v>3</v>
      </c>
      <c r="DP210" s="694">
        <v>2</v>
      </c>
      <c r="DQ210" s="694"/>
      <c r="DR210" s="694"/>
      <c r="DS210" s="694"/>
      <c r="DT210" s="694"/>
      <c r="DU210" s="694"/>
      <c r="DV210" s="694"/>
      <c r="DW210" s="694"/>
      <c r="DX210" s="694"/>
      <c r="DY210" s="694"/>
      <c r="DZ210" s="694"/>
      <c r="EA210" s="694">
        <v>2</v>
      </c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7"/>
    </row>
    <row r="211" spans="1:163" s="696" customFormat="1">
      <c r="A211" s="690"/>
      <c r="B211" s="690"/>
      <c r="C211" s="708" t="s">
        <v>3636</v>
      </c>
      <c r="D211" s="708"/>
      <c r="E211" s="694">
        <v>40.700000000000003</v>
      </c>
      <c r="F211" s="694"/>
      <c r="G211" s="694"/>
      <c r="H211" s="694"/>
      <c r="I211" s="694"/>
      <c r="J211" s="694"/>
      <c r="K211" s="694"/>
      <c r="L211" s="694"/>
      <c r="M211" s="694"/>
      <c r="N211" s="694"/>
      <c r="O211" s="694"/>
      <c r="P211" s="694"/>
      <c r="Q211" s="694"/>
      <c r="R211" s="697"/>
      <c r="S211" s="697"/>
      <c r="T211" s="694" t="s">
        <v>1631</v>
      </c>
      <c r="U211" s="694" t="s">
        <v>1631</v>
      </c>
      <c r="V211" s="694"/>
      <c r="W211" s="694"/>
      <c r="X211" s="694"/>
      <c r="Y211" s="694"/>
      <c r="Z211" s="694"/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4"/>
      <c r="BL211" s="694"/>
      <c r="BM211" s="694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  <c r="BX211" s="694"/>
      <c r="BY211" s="694"/>
      <c r="BZ211" s="694"/>
      <c r="CA211" s="694"/>
      <c r="CB211" s="694"/>
      <c r="CC211" s="694"/>
      <c r="CD211" s="694"/>
      <c r="CE211" s="694"/>
      <c r="CF211" s="694"/>
      <c r="CG211" s="694"/>
      <c r="CH211" s="694"/>
      <c r="CI211" s="694"/>
      <c r="CJ211" s="694"/>
      <c r="CK211" s="694"/>
      <c r="CL211" s="694"/>
      <c r="CM211" s="694"/>
      <c r="CN211" s="694"/>
      <c r="CO211" s="694"/>
      <c r="CP211" s="694"/>
      <c r="CQ211" s="694"/>
      <c r="CR211" s="694"/>
      <c r="CS211" s="694"/>
      <c r="CT211" s="694"/>
      <c r="CU211" s="694"/>
      <c r="CV211" s="695"/>
      <c r="CW211" s="517">
        <f t="shared" si="26"/>
        <v>40.700000000000003</v>
      </c>
      <c r="CX211" s="517"/>
      <c r="CY211" s="517"/>
      <c r="CZ211" s="517"/>
      <c r="DA211" s="517">
        <f t="shared" si="27"/>
        <v>122.10000000000001</v>
      </c>
      <c r="DB211" s="695"/>
      <c r="DC211" s="695"/>
      <c r="DD211" s="695"/>
      <c r="DE211" s="695"/>
      <c r="DF211" s="695"/>
      <c r="DG211" s="695"/>
      <c r="DH211" s="695"/>
      <c r="DI211" s="694"/>
      <c r="DJ211" s="694"/>
      <c r="DK211" s="694"/>
      <c r="DL211" s="694">
        <v>1</v>
      </c>
      <c r="DM211" s="694">
        <v>4</v>
      </c>
      <c r="DN211" s="694">
        <v>1</v>
      </c>
      <c r="DO211" s="694">
        <v>2</v>
      </c>
      <c r="DP211" s="694">
        <v>1</v>
      </c>
      <c r="DQ211" s="694"/>
      <c r="DR211" s="694"/>
      <c r="DS211" s="694"/>
      <c r="DT211" s="694"/>
      <c r="DU211" s="694"/>
      <c r="DV211" s="694"/>
      <c r="DW211" s="694"/>
      <c r="DX211" s="694"/>
      <c r="DY211" s="694"/>
      <c r="DZ211" s="694"/>
      <c r="EA211" s="694">
        <v>2</v>
      </c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7"/>
    </row>
    <row r="212" spans="1:163" s="696" customFormat="1">
      <c r="A212" s="690"/>
      <c r="B212" s="690"/>
      <c r="C212" s="708" t="s">
        <v>3637</v>
      </c>
      <c r="D212" s="708"/>
      <c r="E212" s="694">
        <v>46.4</v>
      </c>
      <c r="F212" s="694"/>
      <c r="G212" s="694"/>
      <c r="H212" s="694"/>
      <c r="I212" s="694"/>
      <c r="J212" s="694"/>
      <c r="K212" s="694"/>
      <c r="L212" s="694"/>
      <c r="M212" s="694"/>
      <c r="N212" s="694"/>
      <c r="O212" s="694"/>
      <c r="P212" s="694"/>
      <c r="Q212" s="694"/>
      <c r="R212" s="697"/>
      <c r="S212" s="697"/>
      <c r="T212" s="694" t="s">
        <v>2990</v>
      </c>
      <c r="U212" s="694" t="s">
        <v>2990</v>
      </c>
      <c r="V212" s="694"/>
      <c r="W212" s="694"/>
      <c r="X212" s="694"/>
      <c r="Y212" s="694"/>
      <c r="Z212" s="694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4"/>
      <c r="BL212" s="694"/>
      <c r="BM212" s="694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  <c r="BX212" s="694"/>
      <c r="BY212" s="694"/>
      <c r="BZ212" s="694"/>
      <c r="CA212" s="694"/>
      <c r="CB212" s="694"/>
      <c r="CC212" s="694"/>
      <c r="CD212" s="694"/>
      <c r="CE212" s="694"/>
      <c r="CF212" s="694"/>
      <c r="CG212" s="694"/>
      <c r="CH212" s="694"/>
      <c r="CI212" s="694"/>
      <c r="CJ212" s="694"/>
      <c r="CK212" s="694"/>
      <c r="CL212" s="694"/>
      <c r="CM212" s="694"/>
      <c r="CN212" s="694"/>
      <c r="CO212" s="694"/>
      <c r="CP212" s="694"/>
      <c r="CQ212" s="694"/>
      <c r="CR212" s="694"/>
      <c r="CS212" s="694"/>
      <c r="CT212" s="694"/>
      <c r="CU212" s="694"/>
      <c r="CV212" s="695"/>
      <c r="CW212" s="517">
        <f t="shared" si="26"/>
        <v>46.4</v>
      </c>
      <c r="CX212" s="517"/>
      <c r="CY212" s="517"/>
      <c r="CZ212" s="517"/>
      <c r="DA212" s="517">
        <f t="shared" si="27"/>
        <v>139.19999999999999</v>
      </c>
      <c r="DB212" s="695"/>
      <c r="DC212" s="695"/>
      <c r="DD212" s="695"/>
      <c r="DE212" s="695"/>
      <c r="DF212" s="695"/>
      <c r="DG212" s="695"/>
      <c r="DH212" s="695"/>
      <c r="DI212" s="694"/>
      <c r="DJ212" s="694"/>
      <c r="DK212" s="694"/>
      <c r="DL212" s="694">
        <v>1</v>
      </c>
      <c r="DM212" s="694">
        <v>4</v>
      </c>
      <c r="DN212" s="694">
        <v>1</v>
      </c>
      <c r="DO212" s="694">
        <v>3</v>
      </c>
      <c r="DP212" s="694">
        <v>3</v>
      </c>
      <c r="DQ212" s="694"/>
      <c r="DR212" s="694"/>
      <c r="DS212" s="694"/>
      <c r="DT212" s="694"/>
      <c r="DU212" s="694"/>
      <c r="DV212" s="694"/>
      <c r="DW212" s="694"/>
      <c r="DX212" s="694"/>
      <c r="DY212" s="694"/>
      <c r="DZ212" s="694"/>
      <c r="EA212" s="694">
        <v>2</v>
      </c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7"/>
    </row>
    <row r="213" spans="1:163" s="696" customFormat="1">
      <c r="A213" s="690"/>
      <c r="B213" s="690"/>
      <c r="C213" s="708"/>
      <c r="D213" s="708"/>
      <c r="E213" s="694"/>
      <c r="F213" s="694"/>
      <c r="G213" s="694"/>
      <c r="H213" s="694"/>
      <c r="I213" s="694"/>
      <c r="J213" s="694"/>
      <c r="K213" s="694"/>
      <c r="L213" s="694"/>
      <c r="M213" s="694"/>
      <c r="N213" s="694"/>
      <c r="O213" s="694"/>
      <c r="P213" s="694"/>
      <c r="Q213" s="694"/>
      <c r="R213" s="697"/>
      <c r="S213" s="697"/>
      <c r="T213" s="694"/>
      <c r="U213" s="694"/>
      <c r="V213" s="694"/>
      <c r="W213" s="694"/>
      <c r="X213" s="694"/>
      <c r="Y213" s="694"/>
      <c r="Z213" s="694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4"/>
      <c r="BL213" s="694"/>
      <c r="BM213" s="694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  <c r="BX213" s="694"/>
      <c r="BY213" s="694"/>
      <c r="BZ213" s="694"/>
      <c r="CA213" s="694"/>
      <c r="CB213" s="694"/>
      <c r="CC213" s="694"/>
      <c r="CD213" s="694"/>
      <c r="CE213" s="694"/>
      <c r="CF213" s="694"/>
      <c r="CG213" s="694"/>
      <c r="CH213" s="694"/>
      <c r="CI213" s="694"/>
      <c r="CJ213" s="694"/>
      <c r="CK213" s="694"/>
      <c r="CL213" s="694"/>
      <c r="CM213" s="694"/>
      <c r="CN213" s="694"/>
      <c r="CO213" s="694"/>
      <c r="CP213" s="694"/>
      <c r="CQ213" s="694"/>
      <c r="CR213" s="694"/>
      <c r="CS213" s="694"/>
      <c r="CT213" s="694"/>
      <c r="CU213" s="694"/>
      <c r="CV213" s="695"/>
      <c r="CW213" s="517">
        <f t="shared" si="26"/>
        <v>0</v>
      </c>
      <c r="CX213" s="517"/>
      <c r="CY213" s="517"/>
      <c r="CZ213" s="517"/>
      <c r="DA213" s="517">
        <f t="shared" si="27"/>
        <v>0</v>
      </c>
      <c r="DB213" s="695"/>
      <c r="DC213" s="695"/>
      <c r="DD213" s="695"/>
      <c r="DE213" s="695"/>
      <c r="DF213" s="695"/>
      <c r="DG213" s="695"/>
      <c r="DH213" s="695"/>
      <c r="DI213" s="694"/>
      <c r="DJ213" s="694"/>
      <c r="DK213" s="694"/>
      <c r="DL213" s="694"/>
      <c r="DM213" s="694"/>
      <c r="DN213" s="694"/>
      <c r="DO213" s="694"/>
      <c r="DP213" s="694"/>
      <c r="DQ213" s="694"/>
      <c r="DR213" s="694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7"/>
    </row>
    <row r="214" spans="1:163" s="696" customFormat="1">
      <c r="A214" s="690"/>
      <c r="B214" s="690"/>
      <c r="C214" s="708"/>
      <c r="D214" s="709" t="s">
        <v>3716</v>
      </c>
      <c r="E214" s="694"/>
      <c r="F214" s="694"/>
      <c r="G214" s="694"/>
      <c r="H214" s="694"/>
      <c r="I214" s="694"/>
      <c r="J214" s="694"/>
      <c r="K214" s="694"/>
      <c r="L214" s="694"/>
      <c r="M214" s="694"/>
      <c r="N214" s="694"/>
      <c r="O214" s="694"/>
      <c r="P214" s="694"/>
      <c r="Q214" s="694"/>
      <c r="R214" s="697"/>
      <c r="S214" s="697"/>
      <c r="T214" s="694"/>
      <c r="U214" s="694"/>
      <c r="V214" s="694"/>
      <c r="W214" s="694"/>
      <c r="X214" s="694"/>
      <c r="Y214" s="694"/>
      <c r="Z214" s="694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694"/>
      <c r="BL214" s="694"/>
      <c r="BM214" s="694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  <c r="BX214" s="694"/>
      <c r="BY214" s="694"/>
      <c r="BZ214" s="694"/>
      <c r="CA214" s="694"/>
      <c r="CB214" s="694"/>
      <c r="CC214" s="694"/>
      <c r="CD214" s="694"/>
      <c r="CE214" s="694"/>
      <c r="CF214" s="694"/>
      <c r="CG214" s="694"/>
      <c r="CH214" s="694"/>
      <c r="CI214" s="694"/>
      <c r="CJ214" s="694"/>
      <c r="CK214" s="694"/>
      <c r="CL214" s="694"/>
      <c r="CM214" s="694"/>
      <c r="CN214" s="694"/>
      <c r="CO214" s="694"/>
      <c r="CP214" s="694"/>
      <c r="CQ214" s="694"/>
      <c r="CR214" s="694"/>
      <c r="CS214" s="694"/>
      <c r="CT214" s="694"/>
      <c r="CU214" s="694"/>
      <c r="CV214" s="695"/>
      <c r="CW214" s="517">
        <f t="shared" si="26"/>
        <v>0</v>
      </c>
      <c r="CX214" s="517"/>
      <c r="CY214" s="517"/>
      <c r="CZ214" s="517"/>
      <c r="DA214" s="517">
        <f t="shared" si="27"/>
        <v>0</v>
      </c>
      <c r="DB214" s="695"/>
      <c r="DC214" s="695"/>
      <c r="DD214" s="695"/>
      <c r="DE214" s="695"/>
      <c r="DF214" s="695"/>
      <c r="DG214" s="695"/>
      <c r="DH214" s="695"/>
      <c r="DI214" s="694"/>
      <c r="DJ214" s="694"/>
      <c r="DK214" s="694"/>
      <c r="DL214" s="694"/>
      <c r="DM214" s="694"/>
      <c r="DN214" s="694"/>
      <c r="DO214" s="694"/>
      <c r="DP214" s="694"/>
      <c r="DQ214" s="694"/>
      <c r="DR214" s="694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7"/>
    </row>
    <row r="215" spans="1:163" s="696" customFormat="1">
      <c r="A215" s="690"/>
      <c r="B215" s="690"/>
      <c r="C215" s="708" t="s">
        <v>3632</v>
      </c>
      <c r="D215" s="708"/>
      <c r="E215" s="694">
        <v>50</v>
      </c>
      <c r="F215" s="694"/>
      <c r="G215" s="694"/>
      <c r="H215" s="694"/>
      <c r="I215" s="694"/>
      <c r="J215" s="694"/>
      <c r="K215" s="694"/>
      <c r="L215" s="694"/>
      <c r="M215" s="694"/>
      <c r="N215" s="694"/>
      <c r="O215" s="694"/>
      <c r="P215" s="694"/>
      <c r="Q215" s="694"/>
      <c r="R215" s="697"/>
      <c r="S215" s="697"/>
      <c r="T215" s="694" t="s">
        <v>1631</v>
      </c>
      <c r="U215" s="694" t="s">
        <v>1631</v>
      </c>
      <c r="V215" s="694"/>
      <c r="W215" s="694"/>
      <c r="X215" s="694"/>
      <c r="Y215" s="694"/>
      <c r="Z215" s="694"/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4"/>
      <c r="BL215" s="694"/>
      <c r="BM215" s="694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  <c r="BX215" s="694"/>
      <c r="BY215" s="694"/>
      <c r="BZ215" s="694"/>
      <c r="CA215" s="694"/>
      <c r="CB215" s="694"/>
      <c r="CC215" s="694"/>
      <c r="CD215" s="694"/>
      <c r="CE215" s="694"/>
      <c r="CF215" s="694"/>
      <c r="CG215" s="694"/>
      <c r="CH215" s="694"/>
      <c r="CI215" s="694"/>
      <c r="CJ215" s="694"/>
      <c r="CK215" s="694"/>
      <c r="CL215" s="694"/>
      <c r="CM215" s="694"/>
      <c r="CN215" s="694"/>
      <c r="CO215" s="694"/>
      <c r="CP215" s="694"/>
      <c r="CQ215" s="694"/>
      <c r="CR215" s="694"/>
      <c r="CS215" s="694"/>
      <c r="CT215" s="694"/>
      <c r="CU215" s="694"/>
      <c r="CV215" s="695"/>
      <c r="CW215" s="517">
        <f t="shared" si="26"/>
        <v>50</v>
      </c>
      <c r="CX215" s="517"/>
      <c r="CY215" s="517"/>
      <c r="CZ215" s="517"/>
      <c r="DA215" s="517">
        <f t="shared" si="27"/>
        <v>150</v>
      </c>
      <c r="DB215" s="695"/>
      <c r="DC215" s="695"/>
      <c r="DD215" s="695"/>
      <c r="DE215" s="695"/>
      <c r="DF215" s="695"/>
      <c r="DG215" s="695"/>
      <c r="DH215" s="695"/>
      <c r="DI215" s="694"/>
      <c r="DJ215" s="694"/>
      <c r="DK215" s="694"/>
      <c r="DL215" s="694">
        <v>1</v>
      </c>
      <c r="DM215" s="694">
        <v>4</v>
      </c>
      <c r="DN215" s="694">
        <v>1</v>
      </c>
      <c r="DO215" s="694">
        <v>3</v>
      </c>
      <c r="DP215" s="694">
        <v>2</v>
      </c>
      <c r="DQ215" s="694"/>
      <c r="DR215" s="694"/>
      <c r="DS215" s="694"/>
      <c r="DT215" s="694"/>
      <c r="DU215" s="694"/>
      <c r="DV215" s="694"/>
      <c r="DW215" s="694"/>
      <c r="DX215" s="694"/>
      <c r="DY215" s="694"/>
      <c r="DZ215" s="694"/>
      <c r="EA215" s="694">
        <v>2</v>
      </c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7"/>
    </row>
    <row r="216" spans="1:163" s="696" customFormat="1">
      <c r="A216" s="690"/>
      <c r="B216" s="690"/>
      <c r="C216" s="708" t="s">
        <v>3633</v>
      </c>
      <c r="D216" s="708"/>
      <c r="E216" s="694">
        <v>36</v>
      </c>
      <c r="F216" s="694"/>
      <c r="G216" s="694"/>
      <c r="H216" s="694"/>
      <c r="I216" s="694"/>
      <c r="J216" s="694"/>
      <c r="K216" s="694"/>
      <c r="L216" s="694"/>
      <c r="M216" s="694"/>
      <c r="N216" s="694"/>
      <c r="O216" s="694"/>
      <c r="P216" s="694"/>
      <c r="Q216" s="694"/>
      <c r="R216" s="697"/>
      <c r="S216" s="697"/>
      <c r="T216" s="694" t="s">
        <v>1631</v>
      </c>
      <c r="U216" s="694" t="s">
        <v>1631</v>
      </c>
      <c r="V216" s="694"/>
      <c r="W216" s="694"/>
      <c r="X216" s="694"/>
      <c r="Y216" s="694"/>
      <c r="Z216" s="694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4"/>
      <c r="BL216" s="694"/>
      <c r="BM216" s="694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  <c r="BX216" s="694"/>
      <c r="BY216" s="694"/>
      <c r="BZ216" s="694"/>
      <c r="CA216" s="694"/>
      <c r="CB216" s="694"/>
      <c r="CC216" s="694"/>
      <c r="CD216" s="694"/>
      <c r="CE216" s="694"/>
      <c r="CF216" s="694"/>
      <c r="CG216" s="694"/>
      <c r="CH216" s="694"/>
      <c r="CI216" s="694"/>
      <c r="CJ216" s="694"/>
      <c r="CK216" s="694"/>
      <c r="CL216" s="694"/>
      <c r="CM216" s="694"/>
      <c r="CN216" s="694"/>
      <c r="CO216" s="694"/>
      <c r="CP216" s="694"/>
      <c r="CQ216" s="694"/>
      <c r="CR216" s="694"/>
      <c r="CS216" s="694"/>
      <c r="CT216" s="694"/>
      <c r="CU216" s="694"/>
      <c r="CV216" s="695"/>
      <c r="CW216" s="517">
        <f t="shared" si="26"/>
        <v>36</v>
      </c>
      <c r="CX216" s="517"/>
      <c r="CY216" s="517"/>
      <c r="CZ216" s="517"/>
      <c r="DA216" s="517">
        <f t="shared" si="27"/>
        <v>108</v>
      </c>
      <c r="DB216" s="695"/>
      <c r="DC216" s="695"/>
      <c r="DD216" s="695"/>
      <c r="DE216" s="695"/>
      <c r="DF216" s="695"/>
      <c r="DG216" s="695"/>
      <c r="DH216" s="695"/>
      <c r="DI216" s="694"/>
      <c r="DJ216" s="694"/>
      <c r="DK216" s="694"/>
      <c r="DL216" s="694">
        <v>1</v>
      </c>
      <c r="DM216" s="694">
        <v>4</v>
      </c>
      <c r="DN216" s="694">
        <v>1</v>
      </c>
      <c r="DO216" s="694">
        <v>3</v>
      </c>
      <c r="DP216" s="694">
        <v>2</v>
      </c>
      <c r="DQ216" s="694"/>
      <c r="DR216" s="694"/>
      <c r="DS216" s="694"/>
      <c r="DT216" s="694"/>
      <c r="DU216" s="694"/>
      <c r="DV216" s="694"/>
      <c r="DW216" s="694"/>
      <c r="DX216" s="694"/>
      <c r="DY216" s="694"/>
      <c r="DZ216" s="694"/>
      <c r="EA216" s="694">
        <v>2</v>
      </c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7"/>
    </row>
    <row r="217" spans="1:163" s="696" customFormat="1">
      <c r="A217" s="690"/>
      <c r="B217" s="690"/>
      <c r="C217" s="708" t="s">
        <v>3634</v>
      </c>
      <c r="D217" s="708"/>
      <c r="E217" s="694">
        <v>49.9</v>
      </c>
      <c r="F217" s="694"/>
      <c r="G217" s="694"/>
      <c r="H217" s="694"/>
      <c r="I217" s="694"/>
      <c r="J217" s="694"/>
      <c r="K217" s="694"/>
      <c r="L217" s="694"/>
      <c r="M217" s="694"/>
      <c r="N217" s="694"/>
      <c r="O217" s="694"/>
      <c r="P217" s="694"/>
      <c r="Q217" s="694"/>
      <c r="R217" s="697"/>
      <c r="S217" s="697"/>
      <c r="T217" s="694" t="s">
        <v>1631</v>
      </c>
      <c r="U217" s="694" t="s">
        <v>1631</v>
      </c>
      <c r="V217" s="694"/>
      <c r="W217" s="694"/>
      <c r="X217" s="694"/>
      <c r="Y217" s="694"/>
      <c r="Z217" s="694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4"/>
      <c r="BL217" s="694"/>
      <c r="BM217" s="694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  <c r="BX217" s="694"/>
      <c r="BY217" s="694"/>
      <c r="BZ217" s="694"/>
      <c r="CA217" s="694"/>
      <c r="CB217" s="694"/>
      <c r="CC217" s="694"/>
      <c r="CD217" s="694"/>
      <c r="CE217" s="694"/>
      <c r="CF217" s="694"/>
      <c r="CG217" s="694"/>
      <c r="CH217" s="694"/>
      <c r="CI217" s="694"/>
      <c r="CJ217" s="694"/>
      <c r="CK217" s="694"/>
      <c r="CL217" s="694"/>
      <c r="CM217" s="694"/>
      <c r="CN217" s="694"/>
      <c r="CO217" s="694"/>
      <c r="CP217" s="694"/>
      <c r="CQ217" s="694"/>
      <c r="CR217" s="694"/>
      <c r="CS217" s="694"/>
      <c r="CT217" s="694"/>
      <c r="CU217" s="694"/>
      <c r="CV217" s="695"/>
      <c r="CW217" s="517">
        <f t="shared" si="26"/>
        <v>49.9</v>
      </c>
      <c r="CX217" s="517"/>
      <c r="CY217" s="517"/>
      <c r="CZ217" s="517"/>
      <c r="DA217" s="517">
        <f t="shared" si="27"/>
        <v>149.69999999999999</v>
      </c>
      <c r="DB217" s="695"/>
      <c r="DC217" s="695"/>
      <c r="DD217" s="695"/>
      <c r="DE217" s="695"/>
      <c r="DF217" s="695"/>
      <c r="DG217" s="695"/>
      <c r="DH217" s="695"/>
      <c r="DI217" s="694"/>
      <c r="DJ217" s="694"/>
      <c r="DK217" s="694"/>
      <c r="DL217" s="694">
        <v>1</v>
      </c>
      <c r="DM217" s="694">
        <v>4</v>
      </c>
      <c r="DN217" s="694">
        <v>1</v>
      </c>
      <c r="DO217" s="694">
        <v>3</v>
      </c>
      <c r="DP217" s="694">
        <v>3</v>
      </c>
      <c r="DQ217" s="694"/>
      <c r="DR217" s="694"/>
      <c r="DS217" s="694">
        <v>2</v>
      </c>
      <c r="DT217" s="694"/>
      <c r="DU217" s="694"/>
      <c r="DV217" s="694"/>
      <c r="DW217" s="694"/>
      <c r="DX217" s="694"/>
      <c r="DY217" s="694"/>
      <c r="DZ217" s="694"/>
      <c r="EA217" s="694">
        <v>2</v>
      </c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7"/>
    </row>
    <row r="218" spans="1:163" s="696" customFormat="1">
      <c r="A218" s="690"/>
      <c r="B218" s="690"/>
      <c r="C218" s="708" t="s">
        <v>3635</v>
      </c>
      <c r="D218" s="708"/>
      <c r="E218" s="694">
        <v>52</v>
      </c>
      <c r="F218" s="694"/>
      <c r="G218" s="694"/>
      <c r="H218" s="694"/>
      <c r="I218" s="694"/>
      <c r="J218" s="694"/>
      <c r="K218" s="694"/>
      <c r="L218" s="694"/>
      <c r="M218" s="694"/>
      <c r="N218" s="694"/>
      <c r="O218" s="694"/>
      <c r="P218" s="694"/>
      <c r="Q218" s="694"/>
      <c r="R218" s="697"/>
      <c r="S218" s="697"/>
      <c r="T218" s="694" t="s">
        <v>3005</v>
      </c>
      <c r="U218" s="694" t="s">
        <v>3005</v>
      </c>
      <c r="V218" s="694"/>
      <c r="W218" s="694"/>
      <c r="X218" s="694"/>
      <c r="Y218" s="694"/>
      <c r="Z218" s="694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694"/>
      <c r="BL218" s="694"/>
      <c r="BM218" s="694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  <c r="BX218" s="694"/>
      <c r="BY218" s="694"/>
      <c r="BZ218" s="694"/>
      <c r="CA218" s="694"/>
      <c r="CB218" s="694"/>
      <c r="CC218" s="694"/>
      <c r="CD218" s="694"/>
      <c r="CE218" s="694"/>
      <c r="CF218" s="694"/>
      <c r="CG218" s="694"/>
      <c r="CH218" s="694"/>
      <c r="CI218" s="694"/>
      <c r="CJ218" s="694"/>
      <c r="CK218" s="694"/>
      <c r="CL218" s="694"/>
      <c r="CM218" s="694"/>
      <c r="CN218" s="694"/>
      <c r="CO218" s="694"/>
      <c r="CP218" s="694"/>
      <c r="CQ218" s="694"/>
      <c r="CR218" s="694"/>
      <c r="CS218" s="694"/>
      <c r="CT218" s="694"/>
      <c r="CU218" s="694"/>
      <c r="CV218" s="695"/>
      <c r="CW218" s="517">
        <f t="shared" si="26"/>
        <v>52</v>
      </c>
      <c r="CX218" s="517"/>
      <c r="CY218" s="517"/>
      <c r="CZ218" s="517"/>
      <c r="DA218" s="517">
        <f t="shared" si="27"/>
        <v>156</v>
      </c>
      <c r="DB218" s="695"/>
      <c r="DC218" s="695"/>
      <c r="DD218" s="695"/>
      <c r="DE218" s="695"/>
      <c r="DF218" s="695"/>
      <c r="DG218" s="695"/>
      <c r="DH218" s="695"/>
      <c r="DI218" s="694"/>
      <c r="DJ218" s="694"/>
      <c r="DK218" s="694"/>
      <c r="DL218" s="694">
        <v>1</v>
      </c>
      <c r="DM218" s="694">
        <v>4</v>
      </c>
      <c r="DN218" s="694">
        <v>1</v>
      </c>
      <c r="DO218" s="694">
        <v>3</v>
      </c>
      <c r="DP218" s="694">
        <v>2</v>
      </c>
      <c r="DQ218" s="694"/>
      <c r="DR218" s="694"/>
      <c r="DS218" s="694">
        <v>2</v>
      </c>
      <c r="DT218" s="694">
        <v>3</v>
      </c>
      <c r="DU218" s="694">
        <v>8</v>
      </c>
      <c r="DV218" s="694"/>
      <c r="DW218" s="694"/>
      <c r="DX218" s="694"/>
      <c r="DY218" s="694"/>
      <c r="DZ218" s="694"/>
      <c r="EA218" s="694">
        <v>2</v>
      </c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7"/>
    </row>
    <row r="219" spans="1:163" s="696" customFormat="1">
      <c r="A219" s="690"/>
      <c r="B219" s="690"/>
      <c r="C219" s="708" t="s">
        <v>3636</v>
      </c>
      <c r="D219" s="708"/>
      <c r="E219" s="694">
        <v>42.1</v>
      </c>
      <c r="F219" s="694"/>
      <c r="G219" s="694"/>
      <c r="H219" s="694"/>
      <c r="I219" s="694"/>
      <c r="J219" s="694"/>
      <c r="K219" s="694"/>
      <c r="L219" s="694"/>
      <c r="M219" s="694"/>
      <c r="N219" s="694"/>
      <c r="O219" s="694"/>
      <c r="P219" s="694"/>
      <c r="Q219" s="694"/>
      <c r="R219" s="697"/>
      <c r="S219" s="697"/>
      <c r="T219" s="692" t="s">
        <v>2990</v>
      </c>
      <c r="U219" s="692" t="s">
        <v>2990</v>
      </c>
      <c r="V219" s="694"/>
      <c r="W219" s="694"/>
      <c r="X219" s="694"/>
      <c r="Y219" s="694"/>
      <c r="Z219" s="694"/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4"/>
      <c r="BL219" s="694"/>
      <c r="BM219" s="694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  <c r="BX219" s="694"/>
      <c r="BY219" s="694"/>
      <c r="BZ219" s="694"/>
      <c r="CA219" s="694"/>
      <c r="CB219" s="694"/>
      <c r="CC219" s="694"/>
      <c r="CD219" s="694"/>
      <c r="CE219" s="694"/>
      <c r="CF219" s="694"/>
      <c r="CG219" s="694"/>
      <c r="CH219" s="694"/>
      <c r="CI219" s="694"/>
      <c r="CJ219" s="694"/>
      <c r="CK219" s="694"/>
      <c r="CL219" s="694"/>
      <c r="CM219" s="694"/>
      <c r="CN219" s="694"/>
      <c r="CO219" s="694"/>
      <c r="CP219" s="694"/>
      <c r="CQ219" s="694"/>
      <c r="CR219" s="694"/>
      <c r="CS219" s="694"/>
      <c r="CT219" s="694"/>
      <c r="CU219" s="694"/>
      <c r="CV219" s="695"/>
      <c r="CW219" s="517">
        <f t="shared" si="26"/>
        <v>42.1</v>
      </c>
      <c r="CX219" s="517"/>
      <c r="CY219" s="517"/>
      <c r="CZ219" s="517"/>
      <c r="DA219" s="517">
        <f t="shared" si="27"/>
        <v>126.30000000000001</v>
      </c>
      <c r="DB219" s="695"/>
      <c r="DC219" s="695"/>
      <c r="DD219" s="695"/>
      <c r="DE219" s="695"/>
      <c r="DF219" s="695"/>
      <c r="DG219" s="695"/>
      <c r="DH219" s="695"/>
      <c r="DI219" s="694"/>
      <c r="DJ219" s="694"/>
      <c r="DK219" s="694"/>
      <c r="DL219" s="694">
        <v>1</v>
      </c>
      <c r="DM219" s="694">
        <v>4</v>
      </c>
      <c r="DN219" s="694">
        <v>1</v>
      </c>
      <c r="DO219" s="694">
        <v>3</v>
      </c>
      <c r="DP219" s="694">
        <v>2</v>
      </c>
      <c r="DQ219" s="694"/>
      <c r="DR219" s="694"/>
      <c r="DS219" s="694">
        <v>2</v>
      </c>
      <c r="DT219" s="694"/>
      <c r="DU219" s="694">
        <v>8</v>
      </c>
      <c r="DV219" s="694"/>
      <c r="DW219" s="694"/>
      <c r="DX219" s="694"/>
      <c r="DY219" s="694"/>
      <c r="DZ219" s="694"/>
      <c r="EA219" s="694">
        <v>1</v>
      </c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7"/>
    </row>
    <row r="220" spans="1:163" s="696" customFormat="1">
      <c r="A220" s="690"/>
      <c r="B220" s="690"/>
      <c r="C220" s="708" t="s">
        <v>3637</v>
      </c>
      <c r="D220" s="708"/>
      <c r="E220" s="694">
        <v>49.8</v>
      </c>
      <c r="F220" s="694"/>
      <c r="G220" s="694"/>
      <c r="H220" s="694"/>
      <c r="I220" s="694"/>
      <c r="J220" s="694"/>
      <c r="K220" s="694"/>
      <c r="L220" s="694"/>
      <c r="M220" s="694"/>
      <c r="N220" s="694"/>
      <c r="O220" s="694"/>
      <c r="P220" s="694"/>
      <c r="Q220" s="694"/>
      <c r="R220" s="697"/>
      <c r="S220" s="697"/>
      <c r="T220" s="694" t="s">
        <v>2990</v>
      </c>
      <c r="U220" s="694" t="s">
        <v>2990</v>
      </c>
      <c r="V220" s="694"/>
      <c r="W220" s="694"/>
      <c r="X220" s="694"/>
      <c r="Y220" s="694"/>
      <c r="Z220" s="694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4"/>
      <c r="BL220" s="694"/>
      <c r="BM220" s="694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  <c r="BX220" s="694"/>
      <c r="BY220" s="694"/>
      <c r="BZ220" s="694"/>
      <c r="CA220" s="694"/>
      <c r="CB220" s="694"/>
      <c r="CC220" s="694"/>
      <c r="CD220" s="694"/>
      <c r="CE220" s="694"/>
      <c r="CF220" s="694"/>
      <c r="CG220" s="694"/>
      <c r="CH220" s="694"/>
      <c r="CI220" s="694"/>
      <c r="CJ220" s="694"/>
      <c r="CK220" s="694"/>
      <c r="CL220" s="694"/>
      <c r="CM220" s="694"/>
      <c r="CN220" s="694"/>
      <c r="CO220" s="694"/>
      <c r="CP220" s="694"/>
      <c r="CQ220" s="694"/>
      <c r="CR220" s="694"/>
      <c r="CS220" s="694"/>
      <c r="CT220" s="694"/>
      <c r="CU220" s="694"/>
      <c r="CV220" s="695"/>
      <c r="CW220" s="517">
        <f t="shared" si="26"/>
        <v>49.8</v>
      </c>
      <c r="CX220" s="517"/>
      <c r="CY220" s="517"/>
      <c r="CZ220" s="517"/>
      <c r="DA220" s="517">
        <f t="shared" si="27"/>
        <v>149.39999999999998</v>
      </c>
      <c r="DB220" s="695"/>
      <c r="DC220" s="695"/>
      <c r="DD220" s="695"/>
      <c r="DE220" s="695"/>
      <c r="DF220" s="695"/>
      <c r="DG220" s="695"/>
      <c r="DH220" s="695"/>
      <c r="DI220" s="694"/>
      <c r="DJ220" s="694"/>
      <c r="DK220" s="694"/>
      <c r="DL220" s="694">
        <v>1</v>
      </c>
      <c r="DM220" s="694">
        <v>4</v>
      </c>
      <c r="DN220" s="694"/>
      <c r="DO220" s="694"/>
      <c r="DP220" s="694"/>
      <c r="DQ220" s="694"/>
      <c r="DR220" s="694"/>
      <c r="DS220" s="694"/>
      <c r="DT220" s="694"/>
      <c r="DU220" s="694">
        <v>8</v>
      </c>
      <c r="DV220" s="694"/>
      <c r="DW220" s="694"/>
      <c r="DX220" s="694"/>
      <c r="DY220" s="694"/>
      <c r="DZ220" s="694"/>
      <c r="EA220" s="694">
        <v>1</v>
      </c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7"/>
    </row>
    <row r="221" spans="1:163" s="696" customFormat="1">
      <c r="A221" s="690"/>
      <c r="B221" s="690"/>
      <c r="C221" s="708"/>
      <c r="D221" s="708"/>
      <c r="E221" s="694"/>
      <c r="F221" s="694"/>
      <c r="G221" s="694"/>
      <c r="H221" s="694"/>
      <c r="I221" s="694"/>
      <c r="J221" s="694"/>
      <c r="K221" s="694"/>
      <c r="L221" s="694"/>
      <c r="M221" s="694"/>
      <c r="N221" s="694"/>
      <c r="O221" s="694"/>
      <c r="P221" s="694"/>
      <c r="Q221" s="694"/>
      <c r="R221" s="697"/>
      <c r="S221" s="697"/>
      <c r="T221" s="694"/>
      <c r="U221" s="694"/>
      <c r="V221" s="694"/>
      <c r="W221" s="694"/>
      <c r="X221" s="694"/>
      <c r="Y221" s="694"/>
      <c r="Z221" s="694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4"/>
      <c r="BL221" s="694"/>
      <c r="BM221" s="694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  <c r="BX221" s="694"/>
      <c r="BY221" s="694"/>
      <c r="BZ221" s="694"/>
      <c r="CA221" s="694"/>
      <c r="CB221" s="694"/>
      <c r="CC221" s="694"/>
      <c r="CD221" s="694"/>
      <c r="CE221" s="694"/>
      <c r="CF221" s="694"/>
      <c r="CG221" s="694"/>
      <c r="CH221" s="694"/>
      <c r="CI221" s="694"/>
      <c r="CJ221" s="694"/>
      <c r="CK221" s="694"/>
      <c r="CL221" s="694"/>
      <c r="CM221" s="694"/>
      <c r="CN221" s="694"/>
      <c r="CO221" s="694"/>
      <c r="CP221" s="694"/>
      <c r="CQ221" s="694"/>
      <c r="CR221" s="694"/>
      <c r="CS221" s="694"/>
      <c r="CT221" s="694"/>
      <c r="CU221" s="694"/>
      <c r="CV221" s="695"/>
      <c r="CW221" s="517">
        <f t="shared" si="26"/>
        <v>0</v>
      </c>
      <c r="CX221" s="517"/>
      <c r="CY221" s="517"/>
      <c r="CZ221" s="517"/>
      <c r="DA221" s="517">
        <f t="shared" si="27"/>
        <v>0</v>
      </c>
      <c r="DB221" s="695"/>
      <c r="DC221" s="695"/>
      <c r="DD221" s="695"/>
      <c r="DE221" s="695"/>
      <c r="DF221" s="695"/>
      <c r="DG221" s="695"/>
      <c r="DH221" s="695"/>
      <c r="DI221" s="694"/>
      <c r="DJ221" s="694"/>
      <c r="DK221" s="694"/>
      <c r="DL221" s="694"/>
      <c r="DM221" s="694"/>
      <c r="DN221" s="694"/>
      <c r="DO221" s="694"/>
      <c r="DP221" s="694"/>
      <c r="DQ221" s="694"/>
      <c r="DR221" s="694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7"/>
    </row>
    <row r="222" spans="1:163" s="696" customFormat="1">
      <c r="A222" s="690"/>
      <c r="B222" s="690"/>
      <c r="C222" s="708"/>
      <c r="D222" s="709" t="s">
        <v>3717</v>
      </c>
      <c r="E222" s="694"/>
      <c r="F222" s="694"/>
      <c r="G222" s="694"/>
      <c r="H222" s="694"/>
      <c r="I222" s="694"/>
      <c r="J222" s="694"/>
      <c r="K222" s="694"/>
      <c r="L222" s="694"/>
      <c r="M222" s="694"/>
      <c r="N222" s="694"/>
      <c r="O222" s="694"/>
      <c r="P222" s="694"/>
      <c r="Q222" s="694"/>
      <c r="R222" s="697"/>
      <c r="S222" s="697"/>
      <c r="T222" s="694"/>
      <c r="U222" s="694"/>
      <c r="V222" s="694"/>
      <c r="W222" s="694"/>
      <c r="X222" s="694"/>
      <c r="Y222" s="694"/>
      <c r="Z222" s="694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694"/>
      <c r="BL222" s="694"/>
      <c r="BM222" s="694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  <c r="BX222" s="694"/>
      <c r="BY222" s="694"/>
      <c r="BZ222" s="694"/>
      <c r="CA222" s="694"/>
      <c r="CB222" s="694"/>
      <c r="CC222" s="694"/>
      <c r="CD222" s="694"/>
      <c r="CE222" s="694"/>
      <c r="CF222" s="694"/>
      <c r="CG222" s="694"/>
      <c r="CH222" s="694"/>
      <c r="CI222" s="694"/>
      <c r="CJ222" s="694"/>
      <c r="CK222" s="694"/>
      <c r="CL222" s="694"/>
      <c r="CM222" s="694"/>
      <c r="CN222" s="694"/>
      <c r="CO222" s="694"/>
      <c r="CP222" s="694"/>
      <c r="CQ222" s="694"/>
      <c r="CR222" s="694"/>
      <c r="CS222" s="694"/>
      <c r="CT222" s="694"/>
      <c r="CU222" s="694"/>
      <c r="CV222" s="695"/>
      <c r="CW222" s="517">
        <f t="shared" si="26"/>
        <v>0</v>
      </c>
      <c r="CX222" s="517"/>
      <c r="CY222" s="517"/>
      <c r="CZ222" s="517"/>
      <c r="DA222" s="517">
        <f t="shared" si="27"/>
        <v>0</v>
      </c>
      <c r="DB222" s="695"/>
      <c r="DC222" s="695"/>
      <c r="DD222" s="695"/>
      <c r="DE222" s="695"/>
      <c r="DF222" s="695"/>
      <c r="DG222" s="695"/>
      <c r="DH222" s="695"/>
      <c r="DI222" s="694"/>
      <c r="DJ222" s="694"/>
      <c r="DK222" s="694"/>
      <c r="DL222" s="694"/>
      <c r="DM222" s="694"/>
      <c r="DN222" s="694"/>
      <c r="DO222" s="694"/>
      <c r="DP222" s="694"/>
      <c r="DQ222" s="694"/>
      <c r="DR222" s="694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7"/>
    </row>
    <row r="223" spans="1:163" s="696" customFormat="1">
      <c r="A223" s="690"/>
      <c r="B223" s="690"/>
      <c r="C223" s="708" t="s">
        <v>3632</v>
      </c>
      <c r="D223" s="708"/>
      <c r="E223" s="694">
        <v>49.5</v>
      </c>
      <c r="F223" s="694"/>
      <c r="G223" s="694"/>
      <c r="H223" s="694"/>
      <c r="I223" s="694"/>
      <c r="J223" s="694"/>
      <c r="K223" s="694"/>
      <c r="L223" s="694"/>
      <c r="M223" s="694"/>
      <c r="N223" s="694"/>
      <c r="O223" s="694"/>
      <c r="P223" s="694"/>
      <c r="Q223" s="694"/>
      <c r="R223" s="697"/>
      <c r="S223" s="697"/>
      <c r="T223" s="694" t="s">
        <v>2990</v>
      </c>
      <c r="U223" s="694" t="s">
        <v>2990</v>
      </c>
      <c r="V223" s="694"/>
      <c r="W223" s="694"/>
      <c r="X223" s="694"/>
      <c r="Y223" s="694"/>
      <c r="Z223" s="694"/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4"/>
      <c r="BL223" s="694"/>
      <c r="BM223" s="694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  <c r="BX223" s="694"/>
      <c r="BY223" s="694"/>
      <c r="BZ223" s="694"/>
      <c r="CA223" s="694"/>
      <c r="CB223" s="694"/>
      <c r="CC223" s="694"/>
      <c r="CD223" s="694"/>
      <c r="CE223" s="694"/>
      <c r="CF223" s="694"/>
      <c r="CG223" s="694"/>
      <c r="CH223" s="694"/>
      <c r="CI223" s="694"/>
      <c r="CJ223" s="694"/>
      <c r="CK223" s="694"/>
      <c r="CL223" s="694"/>
      <c r="CM223" s="694"/>
      <c r="CN223" s="694"/>
      <c r="CO223" s="694"/>
      <c r="CP223" s="694"/>
      <c r="CQ223" s="694"/>
      <c r="CR223" s="694"/>
      <c r="CS223" s="694"/>
      <c r="CT223" s="694"/>
      <c r="CU223" s="694"/>
      <c r="CV223" s="695"/>
      <c r="CW223" s="517">
        <f t="shared" si="26"/>
        <v>49.5</v>
      </c>
      <c r="CX223" s="517"/>
      <c r="CY223" s="517"/>
      <c r="CZ223" s="517"/>
      <c r="DA223" s="517">
        <f t="shared" si="27"/>
        <v>148.5</v>
      </c>
      <c r="DB223" s="695"/>
      <c r="DC223" s="695"/>
      <c r="DD223" s="695"/>
      <c r="DE223" s="695"/>
      <c r="DF223" s="695"/>
      <c r="DG223" s="695"/>
      <c r="DH223" s="695"/>
      <c r="DI223" s="694"/>
      <c r="DJ223" s="694"/>
      <c r="DK223" s="694"/>
      <c r="DL223" s="694">
        <v>1</v>
      </c>
      <c r="DM223" s="694">
        <v>4</v>
      </c>
      <c r="DN223" s="694">
        <v>1</v>
      </c>
      <c r="DO223" s="694">
        <v>3</v>
      </c>
      <c r="DP223" s="694">
        <v>2</v>
      </c>
      <c r="DQ223" s="694"/>
      <c r="DR223" s="694"/>
      <c r="DS223" s="694"/>
      <c r="DT223" s="694"/>
      <c r="DU223" s="694">
        <v>8</v>
      </c>
      <c r="DV223" s="694"/>
      <c r="DW223" s="694"/>
      <c r="DX223" s="694"/>
      <c r="DY223" s="694"/>
      <c r="DZ223" s="694"/>
      <c r="EA223" s="694">
        <v>2</v>
      </c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7"/>
    </row>
    <row r="224" spans="1:163" s="696" customFormat="1">
      <c r="A224" s="690"/>
      <c r="B224" s="690"/>
      <c r="C224" s="708"/>
      <c r="D224" s="708"/>
      <c r="E224" s="694"/>
      <c r="F224" s="694"/>
      <c r="G224" s="694"/>
      <c r="H224" s="694"/>
      <c r="I224" s="694"/>
      <c r="J224" s="694"/>
      <c r="K224" s="694"/>
      <c r="L224" s="694"/>
      <c r="M224" s="694"/>
      <c r="N224" s="694"/>
      <c r="O224" s="694"/>
      <c r="P224" s="694"/>
      <c r="Q224" s="694"/>
      <c r="R224" s="697"/>
      <c r="S224" s="697"/>
      <c r="T224" s="694"/>
      <c r="U224" s="694"/>
      <c r="V224" s="694"/>
      <c r="W224" s="694"/>
      <c r="X224" s="694"/>
      <c r="Y224" s="694"/>
      <c r="Z224" s="694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4"/>
      <c r="BL224" s="694"/>
      <c r="BM224" s="694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  <c r="BX224" s="694"/>
      <c r="BY224" s="694"/>
      <c r="BZ224" s="694"/>
      <c r="CA224" s="694"/>
      <c r="CB224" s="694"/>
      <c r="CC224" s="694"/>
      <c r="CD224" s="694"/>
      <c r="CE224" s="694"/>
      <c r="CF224" s="694"/>
      <c r="CG224" s="694"/>
      <c r="CH224" s="694"/>
      <c r="CI224" s="694"/>
      <c r="CJ224" s="694"/>
      <c r="CK224" s="694"/>
      <c r="CL224" s="694"/>
      <c r="CM224" s="694"/>
      <c r="CN224" s="694"/>
      <c r="CO224" s="694"/>
      <c r="CP224" s="694"/>
      <c r="CQ224" s="694"/>
      <c r="CR224" s="694"/>
      <c r="CS224" s="694"/>
      <c r="CT224" s="694"/>
      <c r="CU224" s="694"/>
      <c r="CV224" s="695"/>
      <c r="CW224" s="517">
        <f t="shared" si="26"/>
        <v>0</v>
      </c>
      <c r="CX224" s="517"/>
      <c r="CY224" s="517"/>
      <c r="CZ224" s="517"/>
      <c r="DA224" s="517">
        <f t="shared" si="27"/>
        <v>0</v>
      </c>
      <c r="DB224" s="695"/>
      <c r="DC224" s="695"/>
      <c r="DD224" s="695"/>
      <c r="DE224" s="695"/>
      <c r="DF224" s="695"/>
      <c r="DG224" s="695"/>
      <c r="DH224" s="695"/>
      <c r="DI224" s="694"/>
      <c r="DJ224" s="694"/>
      <c r="DK224" s="694"/>
      <c r="DL224" s="694"/>
      <c r="DM224" s="694"/>
      <c r="DN224" s="694"/>
      <c r="DO224" s="694"/>
      <c r="DP224" s="694"/>
      <c r="DQ224" s="694"/>
      <c r="DR224" s="694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7"/>
    </row>
    <row r="225" spans="1:165" s="696" customFormat="1">
      <c r="A225" s="690"/>
      <c r="B225" s="690"/>
      <c r="C225" s="709" t="s">
        <v>3817</v>
      </c>
      <c r="D225" s="708"/>
      <c r="E225" s="694"/>
      <c r="F225" s="694"/>
      <c r="G225" s="694"/>
      <c r="H225" s="694"/>
      <c r="I225" s="694"/>
      <c r="J225" s="694"/>
      <c r="K225" s="694"/>
      <c r="L225" s="694"/>
      <c r="M225" s="694"/>
      <c r="N225" s="694"/>
      <c r="O225" s="694"/>
      <c r="P225" s="694"/>
      <c r="Q225" s="694"/>
      <c r="R225" s="697"/>
      <c r="S225" s="697"/>
      <c r="T225" s="694" t="s">
        <v>3718</v>
      </c>
      <c r="U225" s="694" t="s">
        <v>3718</v>
      </c>
      <c r="V225" s="694"/>
      <c r="W225" s="694"/>
      <c r="X225" s="694"/>
      <c r="Y225" s="694"/>
      <c r="Z225" s="694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4"/>
      <c r="BL225" s="694"/>
      <c r="BM225" s="694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  <c r="BX225" s="694"/>
      <c r="BY225" s="694"/>
      <c r="BZ225" s="694"/>
      <c r="CA225" s="694"/>
      <c r="CB225" s="694"/>
      <c r="CC225" s="694"/>
      <c r="CD225" s="694"/>
      <c r="CE225" s="694"/>
      <c r="CF225" s="694"/>
      <c r="CG225" s="694"/>
      <c r="CH225" s="694"/>
      <c r="CI225" s="694"/>
      <c r="CJ225" s="694"/>
      <c r="CK225" s="694"/>
      <c r="CL225" s="694"/>
      <c r="CM225" s="694"/>
      <c r="CN225" s="694"/>
      <c r="CO225" s="694"/>
      <c r="CP225" s="694"/>
      <c r="CQ225" s="694"/>
      <c r="CR225" s="694"/>
      <c r="CS225" s="694"/>
      <c r="CT225" s="694"/>
      <c r="CU225" s="694"/>
      <c r="CV225" s="695"/>
      <c r="CW225" s="695"/>
      <c r="CX225" s="695"/>
      <c r="CY225" s="695"/>
      <c r="CZ225" s="695"/>
      <c r="DA225" s="695"/>
      <c r="DB225" s="695"/>
      <c r="DC225" s="695"/>
      <c r="DD225" s="695"/>
      <c r="DE225" s="695"/>
      <c r="DF225" s="695"/>
      <c r="DG225" s="695"/>
      <c r="DH225" s="695"/>
      <c r="DI225" s="694"/>
      <c r="DJ225" s="694"/>
      <c r="DK225" s="694"/>
      <c r="DL225" s="694">
        <v>1</v>
      </c>
      <c r="DM225" s="694">
        <v>4</v>
      </c>
      <c r="DN225" s="694"/>
      <c r="DO225" s="694"/>
      <c r="DP225" s="694"/>
      <c r="DQ225" s="694"/>
      <c r="DR225" s="694"/>
      <c r="DS225" s="694"/>
      <c r="DT225" s="694"/>
      <c r="DU225" s="694">
        <v>8</v>
      </c>
      <c r="DV225" s="694"/>
      <c r="DW225" s="694"/>
      <c r="DX225" s="694"/>
      <c r="DY225" s="694"/>
      <c r="DZ225" s="694"/>
      <c r="EA225" s="694">
        <v>2</v>
      </c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7"/>
    </row>
    <row r="226" spans="1:165" s="696" customFormat="1">
      <c r="A226" s="690"/>
      <c r="B226" s="690"/>
      <c r="C226" s="708" t="s">
        <v>3632</v>
      </c>
      <c r="D226" s="708"/>
      <c r="E226" s="694">
        <v>29.7</v>
      </c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694"/>
      <c r="Q226" s="694"/>
      <c r="R226" s="697"/>
      <c r="S226" s="697"/>
      <c r="T226" s="694" t="s">
        <v>1903</v>
      </c>
      <c r="U226" s="694" t="s">
        <v>1903</v>
      </c>
      <c r="V226" s="694"/>
      <c r="W226" s="694"/>
      <c r="X226" s="694"/>
      <c r="Y226" s="694"/>
      <c r="Z226" s="694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694"/>
      <c r="BL226" s="694"/>
      <c r="BM226" s="694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  <c r="BX226" s="694"/>
      <c r="BY226" s="694"/>
      <c r="BZ226" s="694"/>
      <c r="CA226" s="694"/>
      <c r="CB226" s="694"/>
      <c r="CC226" s="694"/>
      <c r="CD226" s="694"/>
      <c r="CE226" s="694"/>
      <c r="CF226" s="694"/>
      <c r="CG226" s="694"/>
      <c r="CH226" s="694"/>
      <c r="CI226" s="694"/>
      <c r="CJ226" s="694"/>
      <c r="CK226" s="694"/>
      <c r="CL226" s="694"/>
      <c r="CM226" s="694"/>
      <c r="CN226" s="694"/>
      <c r="CO226" s="694"/>
      <c r="CP226" s="694">
        <v>2</v>
      </c>
      <c r="CQ226" s="694"/>
      <c r="CR226" s="694"/>
      <c r="CS226" s="694"/>
      <c r="CT226" s="694"/>
      <c r="CU226" s="694"/>
      <c r="CV226" s="695"/>
      <c r="CW226" s="695">
        <f>E226</f>
        <v>29.7</v>
      </c>
      <c r="CX226" s="695">
        <f>F226</f>
        <v>0</v>
      </c>
      <c r="CY226" s="695"/>
      <c r="CZ226" s="695"/>
      <c r="DA226" s="695">
        <f>E226*3</f>
        <v>89.1</v>
      </c>
      <c r="DB226" s="695"/>
      <c r="DC226" s="695"/>
      <c r="DD226" s="695"/>
      <c r="DE226" s="695"/>
      <c r="DF226" s="695"/>
      <c r="DG226" s="695"/>
      <c r="DH226" s="695"/>
      <c r="DI226" s="694"/>
      <c r="DJ226" s="694"/>
      <c r="DK226" s="694"/>
      <c r="DL226" s="694">
        <v>1</v>
      </c>
      <c r="DM226" s="694">
        <v>4</v>
      </c>
      <c r="DN226" s="694"/>
      <c r="DO226" s="694"/>
      <c r="DP226" s="694">
        <v>1</v>
      </c>
      <c r="DQ226" s="694"/>
      <c r="DR226" s="694"/>
      <c r="DS226" s="694">
        <v>1</v>
      </c>
      <c r="DT226" s="694"/>
      <c r="DU226" s="694"/>
      <c r="DV226" s="694"/>
      <c r="DW226" s="694"/>
      <c r="DX226" s="694"/>
      <c r="DY226" s="694"/>
      <c r="DZ226" s="694"/>
      <c r="EA226" s="694">
        <v>2</v>
      </c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7"/>
      <c r="FH226" s="696">
        <v>20.3</v>
      </c>
      <c r="FI226" s="696">
        <f>50-FH226</f>
        <v>29.7</v>
      </c>
    </row>
    <row r="227" spans="1:165" s="696" customFormat="1">
      <c r="A227" s="690"/>
      <c r="B227" s="690"/>
      <c r="C227" s="708" t="s">
        <v>3633</v>
      </c>
      <c r="D227" s="708"/>
      <c r="E227" s="694">
        <v>39.4</v>
      </c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7"/>
      <c r="S227" s="697"/>
      <c r="T227" s="694" t="s">
        <v>1631</v>
      </c>
      <c r="U227" s="694" t="s">
        <v>1631</v>
      </c>
      <c r="V227" s="694"/>
      <c r="W227" s="694"/>
      <c r="X227" s="694"/>
      <c r="Y227" s="694"/>
      <c r="Z227" s="694"/>
      <c r="AA227" s="694"/>
      <c r="AB227" s="694"/>
      <c r="AC227" s="694"/>
      <c r="AD227" s="694"/>
      <c r="AE227" s="694"/>
      <c r="AF227" s="694"/>
      <c r="AG227" s="694"/>
      <c r="AH227" s="694"/>
      <c r="AI227" s="694"/>
      <c r="AJ227" s="694"/>
      <c r="AK227" s="694"/>
      <c r="AL227" s="694"/>
      <c r="AM227" s="694"/>
      <c r="AN227" s="694"/>
      <c r="AO227" s="694"/>
      <c r="AP227" s="694"/>
      <c r="AQ227" s="694"/>
      <c r="AR227" s="694"/>
      <c r="AS227" s="694"/>
      <c r="AT227" s="694"/>
      <c r="AU227" s="694"/>
      <c r="AV227" s="694"/>
      <c r="AW227" s="694"/>
      <c r="AX227" s="694"/>
      <c r="AY227" s="694"/>
      <c r="AZ227" s="694"/>
      <c r="BA227" s="694"/>
      <c r="BB227" s="694"/>
      <c r="BC227" s="694"/>
      <c r="BD227" s="694"/>
      <c r="BE227" s="694"/>
      <c r="BF227" s="694"/>
      <c r="BG227" s="694"/>
      <c r="BH227" s="694"/>
      <c r="BI227" s="694"/>
      <c r="BJ227" s="694"/>
      <c r="BK227" s="694"/>
      <c r="BL227" s="694"/>
      <c r="BM227" s="694"/>
      <c r="BN227" s="694"/>
      <c r="BO227" s="694"/>
      <c r="BP227" s="694"/>
      <c r="BQ227" s="694"/>
      <c r="BR227" s="694"/>
      <c r="BS227" s="694"/>
      <c r="BT227" s="694"/>
      <c r="BU227" s="694"/>
      <c r="BV227" s="694"/>
      <c r="BW227" s="694"/>
      <c r="BX227" s="694"/>
      <c r="BY227" s="694"/>
      <c r="BZ227" s="694"/>
      <c r="CA227" s="694"/>
      <c r="CB227" s="694"/>
      <c r="CC227" s="694"/>
      <c r="CD227" s="694"/>
      <c r="CE227" s="694"/>
      <c r="CF227" s="694"/>
      <c r="CG227" s="694"/>
      <c r="CH227" s="694"/>
      <c r="CI227" s="694"/>
      <c r="CJ227" s="694"/>
      <c r="CK227" s="694"/>
      <c r="CL227" s="694"/>
      <c r="CM227" s="694"/>
      <c r="CN227" s="694"/>
      <c r="CO227" s="694"/>
      <c r="CP227" s="694"/>
      <c r="CQ227" s="694"/>
      <c r="CR227" s="694"/>
      <c r="CS227" s="694"/>
      <c r="CT227" s="694"/>
      <c r="CU227" s="694"/>
      <c r="CV227" s="695"/>
      <c r="CW227" s="695">
        <f t="shared" ref="CW227:CX249" si="28">E227</f>
        <v>39.4</v>
      </c>
      <c r="CX227" s="695">
        <f t="shared" si="28"/>
        <v>0</v>
      </c>
      <c r="CY227" s="695"/>
      <c r="CZ227" s="695"/>
      <c r="DA227" s="695">
        <f t="shared" ref="DA227:DA249" si="29">E227*3</f>
        <v>118.19999999999999</v>
      </c>
      <c r="DB227" s="695"/>
      <c r="DC227" s="695"/>
      <c r="DD227" s="695"/>
      <c r="DE227" s="695"/>
      <c r="DF227" s="695"/>
      <c r="DG227" s="695"/>
      <c r="DH227" s="695"/>
      <c r="DI227" s="694"/>
      <c r="DJ227" s="694"/>
      <c r="DK227" s="694"/>
      <c r="DL227" s="694">
        <v>1</v>
      </c>
      <c r="DM227" s="694">
        <v>4</v>
      </c>
      <c r="DN227" s="694"/>
      <c r="DO227" s="694"/>
      <c r="DP227" s="694"/>
      <c r="DQ227" s="694"/>
      <c r="DR227" s="694"/>
      <c r="DS227" s="694"/>
      <c r="DT227" s="694"/>
      <c r="DU227" s="694"/>
      <c r="DV227" s="694"/>
      <c r="DW227" s="694"/>
      <c r="DX227" s="694"/>
      <c r="DY227" s="694"/>
      <c r="DZ227" s="694"/>
      <c r="EA227" s="694">
        <v>2</v>
      </c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7"/>
      <c r="FH227" s="696">
        <v>10.6</v>
      </c>
      <c r="FI227" s="696">
        <f t="shared" ref="FI227:FI249" si="30">50-FH227</f>
        <v>39.4</v>
      </c>
    </row>
    <row r="228" spans="1:165" s="696" customFormat="1">
      <c r="A228" s="690"/>
      <c r="B228" s="690"/>
      <c r="C228" s="708" t="s">
        <v>3634</v>
      </c>
      <c r="D228" s="708"/>
      <c r="E228" s="694">
        <v>38.6</v>
      </c>
      <c r="F228" s="694"/>
      <c r="G228" s="694"/>
      <c r="H228" s="694"/>
      <c r="I228" s="694"/>
      <c r="J228" s="694"/>
      <c r="K228" s="694"/>
      <c r="L228" s="694"/>
      <c r="M228" s="694"/>
      <c r="N228" s="694"/>
      <c r="O228" s="694"/>
      <c r="P228" s="694"/>
      <c r="Q228" s="694"/>
      <c r="R228" s="697"/>
      <c r="S228" s="697"/>
      <c r="T228" s="694" t="s">
        <v>1631</v>
      </c>
      <c r="U228" s="694" t="s">
        <v>1631</v>
      </c>
      <c r="V228" s="694"/>
      <c r="W228" s="694"/>
      <c r="X228" s="694"/>
      <c r="Y228" s="694"/>
      <c r="Z228" s="694"/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4"/>
      <c r="BL228" s="694"/>
      <c r="BM228" s="694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  <c r="BX228" s="694"/>
      <c r="BY228" s="694"/>
      <c r="BZ228" s="694"/>
      <c r="CA228" s="694"/>
      <c r="CB228" s="694"/>
      <c r="CC228" s="694"/>
      <c r="CD228" s="694"/>
      <c r="CE228" s="694"/>
      <c r="CF228" s="694"/>
      <c r="CG228" s="694"/>
      <c r="CH228" s="694"/>
      <c r="CI228" s="694"/>
      <c r="CJ228" s="694"/>
      <c r="CK228" s="694"/>
      <c r="CL228" s="694"/>
      <c r="CM228" s="694"/>
      <c r="CN228" s="694"/>
      <c r="CO228" s="694"/>
      <c r="CP228" s="694"/>
      <c r="CQ228" s="694"/>
      <c r="CR228" s="694"/>
      <c r="CS228" s="694"/>
      <c r="CT228" s="694"/>
      <c r="CU228" s="694"/>
      <c r="CV228" s="695"/>
      <c r="CW228" s="695">
        <f t="shared" si="28"/>
        <v>38.6</v>
      </c>
      <c r="CX228" s="695">
        <f t="shared" si="28"/>
        <v>0</v>
      </c>
      <c r="CY228" s="695"/>
      <c r="CZ228" s="695"/>
      <c r="DA228" s="695">
        <f t="shared" si="29"/>
        <v>115.80000000000001</v>
      </c>
      <c r="DB228" s="695"/>
      <c r="DC228" s="695"/>
      <c r="DD228" s="695"/>
      <c r="DE228" s="695"/>
      <c r="DF228" s="695"/>
      <c r="DG228" s="695"/>
      <c r="DH228" s="695"/>
      <c r="DI228" s="694"/>
      <c r="DJ228" s="694"/>
      <c r="DK228" s="694"/>
      <c r="DL228" s="694">
        <v>1</v>
      </c>
      <c r="DM228" s="694">
        <v>4</v>
      </c>
      <c r="DN228" s="694"/>
      <c r="DO228" s="694"/>
      <c r="DP228" s="694"/>
      <c r="DQ228" s="694"/>
      <c r="DR228" s="694"/>
      <c r="DS228" s="694"/>
      <c r="DT228" s="694"/>
      <c r="DU228" s="694"/>
      <c r="DV228" s="694"/>
      <c r="DW228" s="694"/>
      <c r="DX228" s="694"/>
      <c r="DY228" s="694"/>
      <c r="DZ228" s="694"/>
      <c r="EA228" s="694">
        <v>2</v>
      </c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7"/>
      <c r="FH228" s="696">
        <v>11.4</v>
      </c>
      <c r="FI228" s="696">
        <f t="shared" si="30"/>
        <v>38.6</v>
      </c>
    </row>
    <row r="229" spans="1:165" s="696" customFormat="1">
      <c r="A229" s="690"/>
      <c r="B229" s="690"/>
      <c r="C229" s="708" t="s">
        <v>3635</v>
      </c>
      <c r="D229" s="708"/>
      <c r="E229" s="694">
        <v>44.1</v>
      </c>
      <c r="F229" s="694"/>
      <c r="G229" s="694"/>
      <c r="H229" s="694"/>
      <c r="I229" s="694"/>
      <c r="J229" s="694"/>
      <c r="K229" s="694"/>
      <c r="L229" s="694"/>
      <c r="M229" s="694"/>
      <c r="N229" s="694"/>
      <c r="O229" s="694"/>
      <c r="P229" s="694"/>
      <c r="Q229" s="694"/>
      <c r="R229" s="697"/>
      <c r="S229" s="697"/>
      <c r="T229" s="694" t="s">
        <v>1631</v>
      </c>
      <c r="U229" s="694" t="s">
        <v>1631</v>
      </c>
      <c r="V229" s="694"/>
      <c r="W229" s="694"/>
      <c r="X229" s="694"/>
      <c r="Y229" s="694"/>
      <c r="Z229" s="694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4"/>
      <c r="BL229" s="694"/>
      <c r="BM229" s="694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  <c r="BX229" s="694"/>
      <c r="BY229" s="694"/>
      <c r="BZ229" s="694"/>
      <c r="CA229" s="694"/>
      <c r="CB229" s="694"/>
      <c r="CC229" s="694"/>
      <c r="CD229" s="694"/>
      <c r="CE229" s="694"/>
      <c r="CF229" s="694"/>
      <c r="CG229" s="694"/>
      <c r="CH229" s="694"/>
      <c r="CI229" s="694"/>
      <c r="CJ229" s="694"/>
      <c r="CK229" s="694"/>
      <c r="CL229" s="694"/>
      <c r="CM229" s="694"/>
      <c r="CN229" s="694"/>
      <c r="CO229" s="694"/>
      <c r="CP229" s="694"/>
      <c r="CQ229" s="694"/>
      <c r="CR229" s="694"/>
      <c r="CS229" s="694"/>
      <c r="CT229" s="694"/>
      <c r="CU229" s="694"/>
      <c r="CV229" s="695"/>
      <c r="CW229" s="695">
        <f t="shared" si="28"/>
        <v>44.1</v>
      </c>
      <c r="CX229" s="695">
        <f t="shared" si="28"/>
        <v>0</v>
      </c>
      <c r="CY229" s="695"/>
      <c r="CZ229" s="695"/>
      <c r="DA229" s="695">
        <f t="shared" si="29"/>
        <v>132.30000000000001</v>
      </c>
      <c r="DB229" s="695"/>
      <c r="DC229" s="695"/>
      <c r="DD229" s="695"/>
      <c r="DE229" s="695"/>
      <c r="DF229" s="695"/>
      <c r="DG229" s="695"/>
      <c r="DH229" s="695"/>
      <c r="DI229" s="694"/>
      <c r="DJ229" s="694"/>
      <c r="DK229" s="694"/>
      <c r="DL229" s="694">
        <v>1</v>
      </c>
      <c r="DM229" s="694">
        <v>4</v>
      </c>
      <c r="DN229" s="694">
        <v>1</v>
      </c>
      <c r="DO229" s="694">
        <v>3</v>
      </c>
      <c r="DP229" s="694">
        <v>2</v>
      </c>
      <c r="DQ229" s="694"/>
      <c r="DR229" s="694"/>
      <c r="DS229" s="694"/>
      <c r="DT229" s="694"/>
      <c r="DU229" s="694"/>
      <c r="DV229" s="694"/>
      <c r="DW229" s="694"/>
      <c r="DX229" s="694"/>
      <c r="DY229" s="694"/>
      <c r="DZ229" s="694"/>
      <c r="EA229" s="694">
        <v>2</v>
      </c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7"/>
      <c r="FH229" s="696">
        <v>5.9</v>
      </c>
      <c r="FI229" s="696">
        <f t="shared" si="30"/>
        <v>44.1</v>
      </c>
    </row>
    <row r="230" spans="1:165" s="696" customFormat="1">
      <c r="A230" s="690"/>
      <c r="B230" s="690"/>
      <c r="C230" s="708" t="s">
        <v>3636</v>
      </c>
      <c r="D230" s="708"/>
      <c r="E230" s="694">
        <v>41.8</v>
      </c>
      <c r="F230" s="694"/>
      <c r="G230" s="694"/>
      <c r="H230" s="694"/>
      <c r="I230" s="694"/>
      <c r="J230" s="694"/>
      <c r="K230" s="694"/>
      <c r="L230" s="694"/>
      <c r="M230" s="694"/>
      <c r="N230" s="694"/>
      <c r="O230" s="694"/>
      <c r="P230" s="694"/>
      <c r="Q230" s="694"/>
      <c r="R230" s="697"/>
      <c r="S230" s="697"/>
      <c r="T230" s="694" t="s">
        <v>1631</v>
      </c>
      <c r="U230" s="694" t="s">
        <v>1631</v>
      </c>
      <c r="V230" s="694"/>
      <c r="W230" s="694"/>
      <c r="X230" s="694"/>
      <c r="Y230" s="694"/>
      <c r="Z230" s="694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4"/>
      <c r="BL230" s="694"/>
      <c r="BM230" s="694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  <c r="BX230" s="694"/>
      <c r="BY230" s="694"/>
      <c r="BZ230" s="694"/>
      <c r="CA230" s="694"/>
      <c r="CB230" s="694"/>
      <c r="CC230" s="694"/>
      <c r="CD230" s="694"/>
      <c r="CE230" s="694"/>
      <c r="CF230" s="694"/>
      <c r="CG230" s="694"/>
      <c r="CH230" s="694"/>
      <c r="CI230" s="694"/>
      <c r="CJ230" s="694"/>
      <c r="CK230" s="694"/>
      <c r="CL230" s="694"/>
      <c r="CM230" s="694"/>
      <c r="CN230" s="694"/>
      <c r="CO230" s="694"/>
      <c r="CP230" s="694"/>
      <c r="CQ230" s="694"/>
      <c r="CR230" s="694"/>
      <c r="CS230" s="694"/>
      <c r="CT230" s="694"/>
      <c r="CU230" s="694"/>
      <c r="CV230" s="695"/>
      <c r="CW230" s="695">
        <f t="shared" si="28"/>
        <v>41.8</v>
      </c>
      <c r="CX230" s="695">
        <f t="shared" si="28"/>
        <v>0</v>
      </c>
      <c r="CY230" s="695"/>
      <c r="CZ230" s="695"/>
      <c r="DA230" s="695">
        <f t="shared" si="29"/>
        <v>125.39999999999999</v>
      </c>
      <c r="DB230" s="695"/>
      <c r="DC230" s="695"/>
      <c r="DD230" s="695"/>
      <c r="DE230" s="695"/>
      <c r="DF230" s="695"/>
      <c r="DG230" s="695"/>
      <c r="DH230" s="695"/>
      <c r="DI230" s="694"/>
      <c r="DJ230" s="694"/>
      <c r="DK230" s="694"/>
      <c r="DL230" s="694">
        <v>1</v>
      </c>
      <c r="DM230" s="694">
        <v>4</v>
      </c>
      <c r="DN230" s="694">
        <v>1</v>
      </c>
      <c r="DO230" s="694">
        <v>3</v>
      </c>
      <c r="DP230" s="694">
        <v>2</v>
      </c>
      <c r="DQ230" s="694"/>
      <c r="DR230" s="694"/>
      <c r="DS230" s="694"/>
      <c r="DT230" s="694"/>
      <c r="DU230" s="694"/>
      <c r="DV230" s="694"/>
      <c r="DW230" s="694"/>
      <c r="DX230" s="694"/>
      <c r="DY230" s="694"/>
      <c r="DZ230" s="694"/>
      <c r="EA230" s="694">
        <v>2</v>
      </c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7"/>
      <c r="FH230" s="696">
        <v>8.1999999999999993</v>
      </c>
      <c r="FI230" s="696">
        <f t="shared" si="30"/>
        <v>41.8</v>
      </c>
    </row>
    <row r="231" spans="1:165" s="696" customFormat="1">
      <c r="A231" s="690"/>
      <c r="B231" s="690"/>
      <c r="C231" s="708" t="s">
        <v>3637</v>
      </c>
      <c r="D231" s="708"/>
      <c r="E231" s="694">
        <v>34.700000000000003</v>
      </c>
      <c r="F231" s="694"/>
      <c r="G231" s="694"/>
      <c r="H231" s="694"/>
      <c r="I231" s="694"/>
      <c r="J231" s="694"/>
      <c r="K231" s="694"/>
      <c r="L231" s="694"/>
      <c r="M231" s="694"/>
      <c r="N231" s="694"/>
      <c r="O231" s="694"/>
      <c r="P231" s="694"/>
      <c r="Q231" s="694"/>
      <c r="R231" s="697"/>
      <c r="S231" s="697"/>
      <c r="T231" s="692" t="s">
        <v>1631</v>
      </c>
      <c r="U231" s="694" t="s">
        <v>1631</v>
      </c>
      <c r="V231" s="694"/>
      <c r="W231" s="694"/>
      <c r="X231" s="694"/>
      <c r="Y231" s="694"/>
      <c r="Z231" s="694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694"/>
      <c r="BL231" s="694"/>
      <c r="BM231" s="694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  <c r="BX231" s="694"/>
      <c r="BY231" s="694"/>
      <c r="BZ231" s="694"/>
      <c r="CA231" s="694"/>
      <c r="CB231" s="694"/>
      <c r="CC231" s="694"/>
      <c r="CD231" s="694"/>
      <c r="CE231" s="694"/>
      <c r="CF231" s="694"/>
      <c r="CG231" s="694"/>
      <c r="CH231" s="694"/>
      <c r="CI231" s="694"/>
      <c r="CJ231" s="694"/>
      <c r="CK231" s="694"/>
      <c r="CL231" s="694"/>
      <c r="CM231" s="694"/>
      <c r="CN231" s="694"/>
      <c r="CO231" s="694"/>
      <c r="CP231" s="694">
        <v>1</v>
      </c>
      <c r="CQ231" s="694"/>
      <c r="CR231" s="694"/>
      <c r="CS231" s="694"/>
      <c r="CT231" s="694"/>
      <c r="CU231" s="694"/>
      <c r="CV231" s="695"/>
      <c r="CW231" s="695">
        <f t="shared" si="28"/>
        <v>34.700000000000003</v>
      </c>
      <c r="CX231" s="695">
        <f t="shared" si="28"/>
        <v>0</v>
      </c>
      <c r="CY231" s="695"/>
      <c r="CZ231" s="695"/>
      <c r="DA231" s="695">
        <f t="shared" si="29"/>
        <v>104.10000000000001</v>
      </c>
      <c r="DB231" s="695"/>
      <c r="DC231" s="695"/>
      <c r="DD231" s="695"/>
      <c r="DE231" s="695"/>
      <c r="DF231" s="695"/>
      <c r="DG231" s="695"/>
      <c r="DH231" s="695"/>
      <c r="DI231" s="694"/>
      <c r="DJ231" s="694"/>
      <c r="DK231" s="694"/>
      <c r="DL231" s="694">
        <v>1</v>
      </c>
      <c r="DM231" s="694">
        <v>4</v>
      </c>
      <c r="DN231" s="694">
        <v>1</v>
      </c>
      <c r="DO231" s="694">
        <v>3</v>
      </c>
      <c r="DP231" s="694">
        <v>3</v>
      </c>
      <c r="DQ231" s="694"/>
      <c r="DR231" s="694"/>
      <c r="DS231" s="694"/>
      <c r="DT231" s="694"/>
      <c r="DU231" s="694"/>
      <c r="DV231" s="694"/>
      <c r="DW231" s="694"/>
      <c r="DX231" s="694"/>
      <c r="DY231" s="694"/>
      <c r="DZ231" s="694"/>
      <c r="EA231" s="694">
        <v>2</v>
      </c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7"/>
      <c r="FH231" s="696">
        <v>15.3</v>
      </c>
      <c r="FI231" s="696">
        <f t="shared" si="30"/>
        <v>34.700000000000003</v>
      </c>
    </row>
    <row r="232" spans="1:165" s="696" customFormat="1">
      <c r="A232" s="690"/>
      <c r="B232" s="690"/>
      <c r="C232" s="708" t="s">
        <v>3638</v>
      </c>
      <c r="D232" s="708"/>
      <c r="E232" s="694">
        <v>39.700000000000003</v>
      </c>
      <c r="F232" s="694"/>
      <c r="G232" s="694"/>
      <c r="H232" s="694"/>
      <c r="I232" s="694"/>
      <c r="J232" s="694"/>
      <c r="K232" s="694"/>
      <c r="L232" s="694"/>
      <c r="M232" s="694"/>
      <c r="N232" s="694"/>
      <c r="O232" s="694"/>
      <c r="P232" s="694"/>
      <c r="Q232" s="694"/>
      <c r="R232" s="697"/>
      <c r="S232" s="697"/>
      <c r="T232" s="694" t="s">
        <v>1631</v>
      </c>
      <c r="U232" s="694" t="s">
        <v>1631</v>
      </c>
      <c r="V232" s="694"/>
      <c r="W232" s="694"/>
      <c r="X232" s="694"/>
      <c r="Y232" s="694"/>
      <c r="Z232" s="694"/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4"/>
      <c r="BL232" s="694"/>
      <c r="BM232" s="694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  <c r="BX232" s="694"/>
      <c r="BY232" s="694"/>
      <c r="BZ232" s="694"/>
      <c r="CA232" s="694"/>
      <c r="CB232" s="694"/>
      <c r="CC232" s="694"/>
      <c r="CD232" s="694"/>
      <c r="CE232" s="694"/>
      <c r="CF232" s="694"/>
      <c r="CG232" s="694"/>
      <c r="CH232" s="694"/>
      <c r="CI232" s="694"/>
      <c r="CJ232" s="694"/>
      <c r="CK232" s="694"/>
      <c r="CL232" s="694"/>
      <c r="CM232" s="694"/>
      <c r="CN232" s="694"/>
      <c r="CO232" s="694"/>
      <c r="CP232" s="694">
        <v>1</v>
      </c>
      <c r="CQ232" s="694"/>
      <c r="CR232" s="694"/>
      <c r="CS232" s="694"/>
      <c r="CT232" s="694"/>
      <c r="CU232" s="694"/>
      <c r="CV232" s="695"/>
      <c r="CW232" s="695">
        <f t="shared" si="28"/>
        <v>39.700000000000003</v>
      </c>
      <c r="CX232" s="695">
        <f t="shared" si="28"/>
        <v>0</v>
      </c>
      <c r="CY232" s="695"/>
      <c r="CZ232" s="695"/>
      <c r="DA232" s="695">
        <f t="shared" si="29"/>
        <v>119.10000000000001</v>
      </c>
      <c r="DB232" s="695"/>
      <c r="DC232" s="695"/>
      <c r="DD232" s="695"/>
      <c r="DE232" s="695"/>
      <c r="DF232" s="695"/>
      <c r="DG232" s="695"/>
      <c r="DH232" s="695"/>
      <c r="DI232" s="694"/>
      <c r="DJ232" s="694"/>
      <c r="DK232" s="694"/>
      <c r="DL232" s="694">
        <v>1</v>
      </c>
      <c r="DM232" s="694">
        <v>4</v>
      </c>
      <c r="DN232" s="694">
        <v>1</v>
      </c>
      <c r="DO232" s="694">
        <v>3</v>
      </c>
      <c r="DP232" s="694">
        <v>2</v>
      </c>
      <c r="DQ232" s="694"/>
      <c r="DR232" s="694"/>
      <c r="DS232" s="694"/>
      <c r="DT232" s="694"/>
      <c r="DU232" s="694"/>
      <c r="DV232" s="694"/>
      <c r="DW232" s="694"/>
      <c r="DX232" s="694"/>
      <c r="DY232" s="694"/>
      <c r="DZ232" s="694"/>
      <c r="EA232" s="694">
        <v>2</v>
      </c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7"/>
      <c r="FH232" s="696">
        <v>10.3</v>
      </c>
      <c r="FI232" s="696">
        <f t="shared" si="30"/>
        <v>39.700000000000003</v>
      </c>
    </row>
    <row r="233" spans="1:165" s="696" customFormat="1">
      <c r="A233" s="690"/>
      <c r="B233" s="690"/>
      <c r="C233" s="708" t="s">
        <v>3639</v>
      </c>
      <c r="D233" s="708"/>
      <c r="E233" s="694">
        <v>38.6</v>
      </c>
      <c r="F233" s="694"/>
      <c r="G233" s="694"/>
      <c r="H233" s="694"/>
      <c r="I233" s="694"/>
      <c r="J233" s="694"/>
      <c r="K233" s="694"/>
      <c r="L233" s="694"/>
      <c r="M233" s="694"/>
      <c r="N233" s="694"/>
      <c r="O233" s="694"/>
      <c r="P233" s="694"/>
      <c r="Q233" s="694"/>
      <c r="R233" s="697"/>
      <c r="S233" s="697"/>
      <c r="T233" s="694" t="s">
        <v>1631</v>
      </c>
      <c r="U233" s="694" t="s">
        <v>1631</v>
      </c>
      <c r="V233" s="694"/>
      <c r="W233" s="694"/>
      <c r="X233" s="694"/>
      <c r="Y233" s="694"/>
      <c r="Z233" s="694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4"/>
      <c r="BL233" s="694"/>
      <c r="BM233" s="694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  <c r="BX233" s="694"/>
      <c r="BY233" s="694"/>
      <c r="BZ233" s="694"/>
      <c r="CA233" s="694"/>
      <c r="CB233" s="694"/>
      <c r="CC233" s="694"/>
      <c r="CD233" s="694"/>
      <c r="CE233" s="694"/>
      <c r="CF233" s="694"/>
      <c r="CG233" s="694"/>
      <c r="CH233" s="694"/>
      <c r="CI233" s="694"/>
      <c r="CJ233" s="694"/>
      <c r="CK233" s="694"/>
      <c r="CL233" s="694"/>
      <c r="CM233" s="694"/>
      <c r="CN233" s="694"/>
      <c r="CO233" s="694"/>
      <c r="CP233" s="694">
        <v>1</v>
      </c>
      <c r="CQ233" s="694"/>
      <c r="CR233" s="694"/>
      <c r="CS233" s="694"/>
      <c r="CT233" s="694"/>
      <c r="CU233" s="694"/>
      <c r="CV233" s="695"/>
      <c r="CW233" s="695">
        <f t="shared" si="28"/>
        <v>38.6</v>
      </c>
      <c r="CX233" s="695">
        <f t="shared" si="28"/>
        <v>0</v>
      </c>
      <c r="CY233" s="695"/>
      <c r="CZ233" s="695"/>
      <c r="DA233" s="695">
        <f t="shared" si="29"/>
        <v>115.80000000000001</v>
      </c>
      <c r="DB233" s="695"/>
      <c r="DC233" s="695"/>
      <c r="DD233" s="695"/>
      <c r="DE233" s="695"/>
      <c r="DF233" s="695"/>
      <c r="DG233" s="695"/>
      <c r="DH233" s="695"/>
      <c r="DI233" s="694"/>
      <c r="DJ233" s="694"/>
      <c r="DK233" s="694"/>
      <c r="DL233" s="694">
        <v>1</v>
      </c>
      <c r="DM233" s="694">
        <v>4</v>
      </c>
      <c r="DN233" s="694">
        <v>1</v>
      </c>
      <c r="DO233" s="694">
        <v>4</v>
      </c>
      <c r="DP233" s="694">
        <v>3</v>
      </c>
      <c r="DQ233" s="694"/>
      <c r="DR233" s="694"/>
      <c r="DS233" s="694"/>
      <c r="DT233" s="694"/>
      <c r="DU233" s="694"/>
      <c r="DV233" s="694"/>
      <c r="DW233" s="694"/>
      <c r="DX233" s="694"/>
      <c r="DY233" s="694"/>
      <c r="DZ233" s="694"/>
      <c r="EA233" s="694">
        <v>2</v>
      </c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7"/>
      <c r="FH233" s="696">
        <v>11.4</v>
      </c>
      <c r="FI233" s="696">
        <f t="shared" si="30"/>
        <v>38.6</v>
      </c>
    </row>
    <row r="234" spans="1:165" s="696" customFormat="1">
      <c r="A234" s="690"/>
      <c r="B234" s="690"/>
      <c r="C234" s="708" t="s">
        <v>3640</v>
      </c>
      <c r="D234" s="708"/>
      <c r="E234" s="694">
        <v>39.799999999999997</v>
      </c>
      <c r="F234" s="694"/>
      <c r="G234" s="694"/>
      <c r="H234" s="694"/>
      <c r="I234" s="694"/>
      <c r="J234" s="694"/>
      <c r="K234" s="694"/>
      <c r="L234" s="694"/>
      <c r="M234" s="694"/>
      <c r="N234" s="694"/>
      <c r="O234" s="694"/>
      <c r="P234" s="694"/>
      <c r="Q234" s="694"/>
      <c r="R234" s="697"/>
      <c r="S234" s="697"/>
      <c r="T234" s="694" t="s">
        <v>1631</v>
      </c>
      <c r="U234" s="694" t="s">
        <v>1631</v>
      </c>
      <c r="V234" s="694"/>
      <c r="W234" s="694"/>
      <c r="X234" s="694"/>
      <c r="Y234" s="694"/>
      <c r="Z234" s="694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4"/>
      <c r="BL234" s="694"/>
      <c r="BM234" s="694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  <c r="BX234" s="694"/>
      <c r="BY234" s="694"/>
      <c r="BZ234" s="694"/>
      <c r="CA234" s="694"/>
      <c r="CB234" s="694"/>
      <c r="CC234" s="694"/>
      <c r="CD234" s="694"/>
      <c r="CE234" s="694"/>
      <c r="CF234" s="694"/>
      <c r="CG234" s="694"/>
      <c r="CH234" s="694"/>
      <c r="CI234" s="694"/>
      <c r="CJ234" s="694"/>
      <c r="CK234" s="694"/>
      <c r="CL234" s="694"/>
      <c r="CM234" s="694"/>
      <c r="CN234" s="694"/>
      <c r="CO234" s="694"/>
      <c r="CP234" s="694">
        <v>1</v>
      </c>
      <c r="CQ234" s="694"/>
      <c r="CR234" s="694"/>
      <c r="CS234" s="694"/>
      <c r="CT234" s="694"/>
      <c r="CU234" s="694"/>
      <c r="CV234" s="695"/>
      <c r="CW234" s="695">
        <f t="shared" si="28"/>
        <v>39.799999999999997</v>
      </c>
      <c r="CX234" s="695">
        <f t="shared" si="28"/>
        <v>0</v>
      </c>
      <c r="CY234" s="695"/>
      <c r="CZ234" s="695"/>
      <c r="DA234" s="695">
        <f t="shared" si="29"/>
        <v>119.39999999999999</v>
      </c>
      <c r="DB234" s="695"/>
      <c r="DC234" s="695"/>
      <c r="DD234" s="695"/>
      <c r="DE234" s="695"/>
      <c r="DF234" s="695"/>
      <c r="DG234" s="695"/>
      <c r="DH234" s="695"/>
      <c r="DI234" s="694"/>
      <c r="DJ234" s="694"/>
      <c r="DK234" s="694"/>
      <c r="DL234" s="694">
        <v>1</v>
      </c>
      <c r="DM234" s="694">
        <v>4</v>
      </c>
      <c r="DN234" s="694">
        <v>1</v>
      </c>
      <c r="DO234" s="694">
        <v>4</v>
      </c>
      <c r="DP234" s="694">
        <v>3</v>
      </c>
      <c r="DQ234" s="694"/>
      <c r="DR234" s="694"/>
      <c r="DS234" s="694"/>
      <c r="DT234" s="694"/>
      <c r="DU234" s="694"/>
      <c r="DV234" s="694"/>
      <c r="DW234" s="694"/>
      <c r="DX234" s="694"/>
      <c r="DY234" s="694"/>
      <c r="DZ234" s="694"/>
      <c r="EA234" s="694">
        <v>2</v>
      </c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7"/>
      <c r="FH234" s="696">
        <v>10.199999999999999</v>
      </c>
      <c r="FI234" s="696">
        <f t="shared" si="30"/>
        <v>39.799999999999997</v>
      </c>
    </row>
    <row r="235" spans="1:165" s="696" customFormat="1">
      <c r="A235" s="690"/>
      <c r="B235" s="690"/>
      <c r="C235" s="708" t="s">
        <v>3641</v>
      </c>
      <c r="D235" s="708"/>
      <c r="E235" s="694">
        <v>38.5</v>
      </c>
      <c r="F235" s="694"/>
      <c r="G235" s="694"/>
      <c r="H235" s="694"/>
      <c r="I235" s="694"/>
      <c r="J235" s="694"/>
      <c r="K235" s="694"/>
      <c r="L235" s="694"/>
      <c r="M235" s="694"/>
      <c r="N235" s="694"/>
      <c r="O235" s="694"/>
      <c r="P235" s="694"/>
      <c r="Q235" s="694"/>
      <c r="R235" s="697"/>
      <c r="S235" s="697"/>
      <c r="T235" s="694" t="s">
        <v>1631</v>
      </c>
      <c r="U235" s="694" t="s">
        <v>1631</v>
      </c>
      <c r="V235" s="694"/>
      <c r="W235" s="694"/>
      <c r="X235" s="694"/>
      <c r="Y235" s="694"/>
      <c r="Z235" s="694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694"/>
      <c r="BL235" s="694"/>
      <c r="BM235" s="694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  <c r="BX235" s="694"/>
      <c r="BY235" s="694"/>
      <c r="BZ235" s="694"/>
      <c r="CA235" s="694"/>
      <c r="CB235" s="694"/>
      <c r="CC235" s="694"/>
      <c r="CD235" s="694"/>
      <c r="CE235" s="694"/>
      <c r="CF235" s="694"/>
      <c r="CG235" s="694"/>
      <c r="CH235" s="694"/>
      <c r="CI235" s="694"/>
      <c r="CJ235" s="694"/>
      <c r="CK235" s="694"/>
      <c r="CL235" s="694"/>
      <c r="CM235" s="694"/>
      <c r="CN235" s="694"/>
      <c r="CO235" s="694"/>
      <c r="CP235" s="694">
        <v>1</v>
      </c>
      <c r="CQ235" s="694"/>
      <c r="CR235" s="694"/>
      <c r="CS235" s="694"/>
      <c r="CT235" s="694"/>
      <c r="CU235" s="694"/>
      <c r="CV235" s="695"/>
      <c r="CW235" s="695">
        <f t="shared" si="28"/>
        <v>38.5</v>
      </c>
      <c r="CX235" s="695">
        <f t="shared" si="28"/>
        <v>0</v>
      </c>
      <c r="CY235" s="695"/>
      <c r="CZ235" s="695"/>
      <c r="DA235" s="695">
        <f t="shared" si="29"/>
        <v>115.5</v>
      </c>
      <c r="DB235" s="695"/>
      <c r="DC235" s="695"/>
      <c r="DD235" s="695"/>
      <c r="DE235" s="695"/>
      <c r="DF235" s="695"/>
      <c r="DG235" s="695"/>
      <c r="DH235" s="695"/>
      <c r="DI235" s="694"/>
      <c r="DJ235" s="694"/>
      <c r="DK235" s="694"/>
      <c r="DL235" s="694">
        <v>1</v>
      </c>
      <c r="DM235" s="694">
        <v>4</v>
      </c>
      <c r="DN235" s="694"/>
      <c r="DO235" s="694"/>
      <c r="DP235" s="694"/>
      <c r="DQ235" s="694"/>
      <c r="DR235" s="694"/>
      <c r="DS235" s="694"/>
      <c r="DT235" s="694"/>
      <c r="DU235" s="694"/>
      <c r="DV235" s="694"/>
      <c r="DW235" s="694"/>
      <c r="DX235" s="694"/>
      <c r="DY235" s="694"/>
      <c r="DZ235" s="694"/>
      <c r="EA235" s="694">
        <v>2</v>
      </c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7"/>
      <c r="FH235" s="696">
        <v>11.5</v>
      </c>
      <c r="FI235" s="696">
        <f t="shared" si="30"/>
        <v>38.5</v>
      </c>
    </row>
    <row r="236" spans="1:165" s="696" customFormat="1">
      <c r="A236" s="690"/>
      <c r="B236" s="690"/>
      <c r="C236" s="708" t="s">
        <v>3647</v>
      </c>
      <c r="D236" s="708"/>
      <c r="E236" s="694">
        <v>40.9</v>
      </c>
      <c r="F236" s="694"/>
      <c r="G236" s="694"/>
      <c r="H236" s="694"/>
      <c r="I236" s="694"/>
      <c r="J236" s="694"/>
      <c r="K236" s="694"/>
      <c r="L236" s="694"/>
      <c r="M236" s="694"/>
      <c r="N236" s="694"/>
      <c r="O236" s="694"/>
      <c r="P236" s="694"/>
      <c r="Q236" s="694"/>
      <c r="R236" s="697"/>
      <c r="S236" s="697"/>
      <c r="T236" s="694" t="s">
        <v>1631</v>
      </c>
      <c r="U236" s="694" t="s">
        <v>1631</v>
      </c>
      <c r="V236" s="694"/>
      <c r="W236" s="694"/>
      <c r="X236" s="694"/>
      <c r="Y236" s="694"/>
      <c r="Z236" s="694"/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4"/>
      <c r="BL236" s="694"/>
      <c r="BM236" s="694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  <c r="BX236" s="694"/>
      <c r="BY236" s="694"/>
      <c r="BZ236" s="694"/>
      <c r="CA236" s="694"/>
      <c r="CB236" s="694"/>
      <c r="CC236" s="694"/>
      <c r="CD236" s="694"/>
      <c r="CE236" s="694"/>
      <c r="CF236" s="694"/>
      <c r="CG236" s="694"/>
      <c r="CH236" s="694"/>
      <c r="CI236" s="694"/>
      <c r="CJ236" s="694"/>
      <c r="CK236" s="694"/>
      <c r="CL236" s="694"/>
      <c r="CM236" s="694"/>
      <c r="CN236" s="694"/>
      <c r="CO236" s="694"/>
      <c r="CP236" s="694">
        <v>1</v>
      </c>
      <c r="CQ236" s="694"/>
      <c r="CR236" s="694"/>
      <c r="CS236" s="694"/>
      <c r="CT236" s="694"/>
      <c r="CU236" s="694"/>
      <c r="CV236" s="695"/>
      <c r="CW236" s="695">
        <f t="shared" si="28"/>
        <v>40.9</v>
      </c>
      <c r="CX236" s="695">
        <f t="shared" si="28"/>
        <v>0</v>
      </c>
      <c r="CY236" s="695"/>
      <c r="CZ236" s="695"/>
      <c r="DA236" s="695">
        <f t="shared" si="29"/>
        <v>122.69999999999999</v>
      </c>
      <c r="DB236" s="695"/>
      <c r="DC236" s="695"/>
      <c r="DD236" s="695"/>
      <c r="DE236" s="695"/>
      <c r="DF236" s="695"/>
      <c r="DG236" s="695"/>
      <c r="DH236" s="695"/>
      <c r="DI236" s="694"/>
      <c r="DJ236" s="694"/>
      <c r="DK236" s="694"/>
      <c r="DL236" s="694">
        <v>1</v>
      </c>
      <c r="DM236" s="694">
        <v>4</v>
      </c>
      <c r="DN236" s="694">
        <v>1</v>
      </c>
      <c r="DO236" s="694">
        <v>3</v>
      </c>
      <c r="DP236" s="694">
        <v>3</v>
      </c>
      <c r="DQ236" s="694"/>
      <c r="DR236" s="694"/>
      <c r="DS236" s="694"/>
      <c r="DT236" s="694"/>
      <c r="DU236" s="694"/>
      <c r="DV236" s="694"/>
      <c r="DW236" s="694"/>
      <c r="DX236" s="694"/>
      <c r="DY236" s="694"/>
      <c r="DZ236" s="694"/>
      <c r="EA236" s="694">
        <v>2</v>
      </c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7"/>
      <c r="FH236" s="696">
        <v>9.1</v>
      </c>
      <c r="FI236" s="696">
        <f t="shared" si="30"/>
        <v>40.9</v>
      </c>
    </row>
    <row r="237" spans="1:165" s="696" customFormat="1">
      <c r="A237" s="690"/>
      <c r="B237" s="690"/>
      <c r="C237" s="708" t="s">
        <v>3648</v>
      </c>
      <c r="D237" s="708"/>
      <c r="E237" s="694">
        <v>34.1</v>
      </c>
      <c r="F237" s="694"/>
      <c r="G237" s="694"/>
      <c r="H237" s="694"/>
      <c r="I237" s="694"/>
      <c r="J237" s="694"/>
      <c r="K237" s="694"/>
      <c r="L237" s="694"/>
      <c r="M237" s="694"/>
      <c r="N237" s="694"/>
      <c r="O237" s="694"/>
      <c r="P237" s="694"/>
      <c r="Q237" s="694"/>
      <c r="R237" s="697"/>
      <c r="S237" s="697"/>
      <c r="T237" s="694" t="s">
        <v>1631</v>
      </c>
      <c r="U237" s="694" t="s">
        <v>1631</v>
      </c>
      <c r="V237" s="694"/>
      <c r="W237" s="694"/>
      <c r="X237" s="694"/>
      <c r="Y237" s="694"/>
      <c r="Z237" s="694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4"/>
      <c r="BL237" s="694"/>
      <c r="BM237" s="694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  <c r="BX237" s="694"/>
      <c r="BY237" s="694"/>
      <c r="BZ237" s="694"/>
      <c r="CA237" s="694"/>
      <c r="CB237" s="694"/>
      <c r="CC237" s="694"/>
      <c r="CD237" s="694"/>
      <c r="CE237" s="694"/>
      <c r="CF237" s="694"/>
      <c r="CG237" s="694"/>
      <c r="CH237" s="694"/>
      <c r="CI237" s="694"/>
      <c r="CJ237" s="694"/>
      <c r="CK237" s="694"/>
      <c r="CL237" s="694"/>
      <c r="CM237" s="694"/>
      <c r="CN237" s="694"/>
      <c r="CO237" s="694"/>
      <c r="CP237" s="694">
        <v>1</v>
      </c>
      <c r="CQ237" s="694"/>
      <c r="CR237" s="694"/>
      <c r="CS237" s="694"/>
      <c r="CT237" s="694"/>
      <c r="CU237" s="694"/>
      <c r="CV237" s="695"/>
      <c r="CW237" s="695">
        <f t="shared" si="28"/>
        <v>34.1</v>
      </c>
      <c r="CX237" s="695">
        <f t="shared" si="28"/>
        <v>0</v>
      </c>
      <c r="CY237" s="695"/>
      <c r="CZ237" s="695"/>
      <c r="DA237" s="695">
        <f t="shared" si="29"/>
        <v>102.30000000000001</v>
      </c>
      <c r="DB237" s="695"/>
      <c r="DC237" s="695"/>
      <c r="DD237" s="695"/>
      <c r="DE237" s="695"/>
      <c r="DF237" s="695"/>
      <c r="DG237" s="695"/>
      <c r="DH237" s="695"/>
      <c r="DI237" s="694"/>
      <c r="DJ237" s="694"/>
      <c r="DK237" s="694"/>
      <c r="DL237" s="694">
        <v>1</v>
      </c>
      <c r="DM237" s="694">
        <v>4</v>
      </c>
      <c r="DN237" s="694">
        <v>1</v>
      </c>
      <c r="DO237" s="694">
        <v>4</v>
      </c>
      <c r="DP237" s="694">
        <v>3</v>
      </c>
      <c r="DQ237" s="694"/>
      <c r="DR237" s="694"/>
      <c r="DS237" s="694"/>
      <c r="DT237" s="694"/>
      <c r="DU237" s="694"/>
      <c r="DV237" s="694"/>
      <c r="DW237" s="694"/>
      <c r="DX237" s="694"/>
      <c r="DY237" s="694"/>
      <c r="DZ237" s="694"/>
      <c r="EA237" s="694">
        <v>2</v>
      </c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7"/>
      <c r="FH237" s="696">
        <v>15.9</v>
      </c>
      <c r="FI237" s="696">
        <f t="shared" si="30"/>
        <v>34.1</v>
      </c>
    </row>
    <row r="238" spans="1:165" s="696" customFormat="1">
      <c r="A238" s="690"/>
      <c r="B238" s="690"/>
      <c r="C238" s="708" t="s">
        <v>3649</v>
      </c>
      <c r="D238" s="708"/>
      <c r="E238" s="694">
        <v>38.9</v>
      </c>
      <c r="F238" s="694"/>
      <c r="G238" s="694"/>
      <c r="H238" s="694"/>
      <c r="I238" s="694"/>
      <c r="J238" s="694"/>
      <c r="K238" s="694"/>
      <c r="L238" s="694"/>
      <c r="M238" s="694"/>
      <c r="N238" s="694"/>
      <c r="O238" s="694"/>
      <c r="P238" s="694"/>
      <c r="Q238" s="694"/>
      <c r="R238" s="697"/>
      <c r="S238" s="697"/>
      <c r="T238" s="694" t="s">
        <v>1631</v>
      </c>
      <c r="U238" s="694" t="s">
        <v>1631</v>
      </c>
      <c r="V238" s="694"/>
      <c r="W238" s="694"/>
      <c r="X238" s="694"/>
      <c r="Y238" s="694"/>
      <c r="Z238" s="694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4"/>
      <c r="BL238" s="694"/>
      <c r="BM238" s="694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  <c r="BX238" s="694"/>
      <c r="BY238" s="694"/>
      <c r="BZ238" s="694"/>
      <c r="CA238" s="694"/>
      <c r="CB238" s="694"/>
      <c r="CC238" s="694"/>
      <c r="CD238" s="694"/>
      <c r="CE238" s="694"/>
      <c r="CF238" s="694"/>
      <c r="CG238" s="694"/>
      <c r="CH238" s="694"/>
      <c r="CI238" s="694"/>
      <c r="CJ238" s="694"/>
      <c r="CK238" s="694"/>
      <c r="CL238" s="694"/>
      <c r="CM238" s="694"/>
      <c r="CN238" s="694"/>
      <c r="CO238" s="694"/>
      <c r="CP238" s="694">
        <v>1</v>
      </c>
      <c r="CQ238" s="694"/>
      <c r="CR238" s="694"/>
      <c r="CS238" s="694"/>
      <c r="CT238" s="694"/>
      <c r="CU238" s="694"/>
      <c r="CV238" s="695"/>
      <c r="CW238" s="695">
        <f t="shared" si="28"/>
        <v>38.9</v>
      </c>
      <c r="CX238" s="695">
        <f t="shared" si="28"/>
        <v>0</v>
      </c>
      <c r="CY238" s="695"/>
      <c r="CZ238" s="695"/>
      <c r="DA238" s="695">
        <f t="shared" si="29"/>
        <v>116.69999999999999</v>
      </c>
      <c r="DB238" s="695"/>
      <c r="DC238" s="695"/>
      <c r="DD238" s="695"/>
      <c r="DE238" s="695"/>
      <c r="DF238" s="695"/>
      <c r="DG238" s="695"/>
      <c r="DH238" s="695"/>
      <c r="DI238" s="694"/>
      <c r="DJ238" s="694"/>
      <c r="DK238" s="694"/>
      <c r="DL238" s="694">
        <v>1</v>
      </c>
      <c r="DM238" s="694">
        <v>4</v>
      </c>
      <c r="DN238" s="694">
        <v>1</v>
      </c>
      <c r="DO238" s="694">
        <v>3</v>
      </c>
      <c r="DP238" s="694">
        <v>2</v>
      </c>
      <c r="DQ238" s="694"/>
      <c r="DR238" s="694"/>
      <c r="DS238" s="694"/>
      <c r="DT238" s="694"/>
      <c r="DU238" s="694"/>
      <c r="DV238" s="694"/>
      <c r="DW238" s="694"/>
      <c r="DX238" s="694"/>
      <c r="DY238" s="694"/>
      <c r="DZ238" s="694"/>
      <c r="EA238" s="694">
        <v>2</v>
      </c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7"/>
      <c r="FH238" s="696">
        <v>11.1</v>
      </c>
      <c r="FI238" s="696">
        <f t="shared" si="30"/>
        <v>38.9</v>
      </c>
    </row>
    <row r="239" spans="1:165" s="696" customFormat="1">
      <c r="A239" s="690"/>
      <c r="B239" s="690"/>
      <c r="C239" s="708" t="s">
        <v>3650</v>
      </c>
      <c r="D239" s="708"/>
      <c r="E239" s="694">
        <v>41.7</v>
      </c>
      <c r="F239" s="694"/>
      <c r="G239" s="694"/>
      <c r="H239" s="694"/>
      <c r="I239" s="694"/>
      <c r="J239" s="694"/>
      <c r="K239" s="694"/>
      <c r="L239" s="694"/>
      <c r="M239" s="694"/>
      <c r="N239" s="694"/>
      <c r="O239" s="694"/>
      <c r="P239" s="694"/>
      <c r="Q239" s="694"/>
      <c r="R239" s="697"/>
      <c r="S239" s="697"/>
      <c r="T239" s="694" t="s">
        <v>1903</v>
      </c>
      <c r="U239" s="694" t="s">
        <v>1903</v>
      </c>
      <c r="V239" s="694"/>
      <c r="W239" s="694"/>
      <c r="X239" s="694"/>
      <c r="Y239" s="694"/>
      <c r="Z239" s="694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694"/>
      <c r="BL239" s="694"/>
      <c r="BM239" s="694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  <c r="BX239" s="694"/>
      <c r="BY239" s="694"/>
      <c r="BZ239" s="694"/>
      <c r="CA239" s="694"/>
      <c r="CB239" s="694"/>
      <c r="CC239" s="694"/>
      <c r="CD239" s="694"/>
      <c r="CE239" s="694"/>
      <c r="CF239" s="694"/>
      <c r="CG239" s="694"/>
      <c r="CH239" s="694"/>
      <c r="CI239" s="694"/>
      <c r="CJ239" s="694"/>
      <c r="CK239" s="694"/>
      <c r="CL239" s="694"/>
      <c r="CM239" s="694"/>
      <c r="CN239" s="694"/>
      <c r="CO239" s="694"/>
      <c r="CP239" s="694"/>
      <c r="CQ239" s="694"/>
      <c r="CR239" s="694"/>
      <c r="CS239" s="694"/>
      <c r="CT239" s="694"/>
      <c r="CU239" s="694"/>
      <c r="CV239" s="695"/>
      <c r="CW239" s="695">
        <f t="shared" si="28"/>
        <v>41.7</v>
      </c>
      <c r="CX239" s="695">
        <f t="shared" si="28"/>
        <v>0</v>
      </c>
      <c r="CY239" s="695"/>
      <c r="CZ239" s="695"/>
      <c r="DA239" s="695">
        <f t="shared" si="29"/>
        <v>125.10000000000001</v>
      </c>
      <c r="DB239" s="695"/>
      <c r="DC239" s="695"/>
      <c r="DD239" s="695"/>
      <c r="DE239" s="695"/>
      <c r="DF239" s="695"/>
      <c r="DG239" s="695"/>
      <c r="DH239" s="695"/>
      <c r="DI239" s="694"/>
      <c r="DJ239" s="694"/>
      <c r="DK239" s="694"/>
      <c r="DL239" s="694">
        <v>1</v>
      </c>
      <c r="DM239" s="694">
        <v>4</v>
      </c>
      <c r="DN239" s="694">
        <v>1</v>
      </c>
      <c r="DO239" s="694">
        <v>3</v>
      </c>
      <c r="DP239" s="694">
        <v>2</v>
      </c>
      <c r="DQ239" s="694"/>
      <c r="DR239" s="694"/>
      <c r="DS239" s="694"/>
      <c r="DT239" s="694"/>
      <c r="DU239" s="694"/>
      <c r="DV239" s="694"/>
      <c r="DW239" s="694"/>
      <c r="DX239" s="694"/>
      <c r="DY239" s="694"/>
      <c r="DZ239" s="694"/>
      <c r="EA239" s="694">
        <v>1</v>
      </c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7"/>
      <c r="FH239" s="696">
        <v>8.3000000000000007</v>
      </c>
      <c r="FI239" s="696">
        <f t="shared" si="30"/>
        <v>41.7</v>
      </c>
    </row>
    <row r="240" spans="1:165" s="696" customFormat="1">
      <c r="A240" s="690"/>
      <c r="B240" s="690"/>
      <c r="C240" s="708" t="s">
        <v>3651</v>
      </c>
      <c r="D240" s="708"/>
      <c r="E240" s="694">
        <v>34.799999999999997</v>
      </c>
      <c r="F240" s="694"/>
      <c r="G240" s="694"/>
      <c r="H240" s="694"/>
      <c r="I240" s="694"/>
      <c r="J240" s="694"/>
      <c r="K240" s="694"/>
      <c r="L240" s="694"/>
      <c r="M240" s="694"/>
      <c r="N240" s="694"/>
      <c r="O240" s="694"/>
      <c r="P240" s="694"/>
      <c r="Q240" s="694"/>
      <c r="R240" s="697"/>
      <c r="S240" s="697"/>
      <c r="T240" s="694" t="s">
        <v>1631</v>
      </c>
      <c r="U240" s="694" t="s">
        <v>1631</v>
      </c>
      <c r="V240" s="694"/>
      <c r="W240" s="694"/>
      <c r="X240" s="694"/>
      <c r="Y240" s="694"/>
      <c r="Z240" s="694"/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4"/>
      <c r="BL240" s="694"/>
      <c r="BM240" s="694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  <c r="BX240" s="694"/>
      <c r="BY240" s="694"/>
      <c r="BZ240" s="694"/>
      <c r="CA240" s="694"/>
      <c r="CB240" s="694"/>
      <c r="CC240" s="694"/>
      <c r="CD240" s="694"/>
      <c r="CE240" s="694"/>
      <c r="CF240" s="694"/>
      <c r="CG240" s="694"/>
      <c r="CH240" s="694"/>
      <c r="CI240" s="694"/>
      <c r="CJ240" s="694"/>
      <c r="CK240" s="694"/>
      <c r="CL240" s="694"/>
      <c r="CM240" s="694"/>
      <c r="CN240" s="694"/>
      <c r="CO240" s="694"/>
      <c r="CP240" s="694"/>
      <c r="CQ240" s="694"/>
      <c r="CR240" s="694"/>
      <c r="CS240" s="694"/>
      <c r="CT240" s="694"/>
      <c r="CU240" s="694"/>
      <c r="CV240" s="695"/>
      <c r="CW240" s="695">
        <f t="shared" si="28"/>
        <v>34.799999999999997</v>
      </c>
      <c r="CX240" s="695">
        <f t="shared" si="28"/>
        <v>0</v>
      </c>
      <c r="CY240" s="695"/>
      <c r="CZ240" s="695"/>
      <c r="DA240" s="695">
        <f t="shared" si="29"/>
        <v>104.39999999999999</v>
      </c>
      <c r="DB240" s="695"/>
      <c r="DC240" s="695"/>
      <c r="DD240" s="695"/>
      <c r="DE240" s="695"/>
      <c r="DF240" s="695"/>
      <c r="DG240" s="695"/>
      <c r="DH240" s="695"/>
      <c r="DI240" s="694"/>
      <c r="DJ240" s="694"/>
      <c r="DK240" s="694"/>
      <c r="DL240" s="694">
        <v>1</v>
      </c>
      <c r="DM240" s="694">
        <v>4</v>
      </c>
      <c r="DN240" s="694">
        <v>1</v>
      </c>
      <c r="DO240" s="694">
        <v>3</v>
      </c>
      <c r="DP240" s="694">
        <v>2</v>
      </c>
      <c r="DQ240" s="694"/>
      <c r="DR240" s="694"/>
      <c r="DS240" s="694"/>
      <c r="DT240" s="694"/>
      <c r="DU240" s="694"/>
      <c r="DV240" s="694"/>
      <c r="DW240" s="694"/>
      <c r="DX240" s="694"/>
      <c r="DY240" s="694"/>
      <c r="DZ240" s="694"/>
      <c r="EA240" s="694">
        <v>2</v>
      </c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7"/>
      <c r="FH240" s="696">
        <v>15.2</v>
      </c>
      <c r="FI240" s="696">
        <f t="shared" si="30"/>
        <v>34.799999999999997</v>
      </c>
    </row>
    <row r="241" spans="1:167" s="696" customFormat="1">
      <c r="A241" s="690"/>
      <c r="B241" s="690"/>
      <c r="C241" s="708" t="s">
        <v>3652</v>
      </c>
      <c r="D241" s="708"/>
      <c r="E241" s="694">
        <v>31</v>
      </c>
      <c r="F241" s="694"/>
      <c r="G241" s="694"/>
      <c r="H241" s="694"/>
      <c r="I241" s="694"/>
      <c r="J241" s="694"/>
      <c r="K241" s="694"/>
      <c r="L241" s="694"/>
      <c r="M241" s="694"/>
      <c r="N241" s="694"/>
      <c r="O241" s="694"/>
      <c r="P241" s="694"/>
      <c r="Q241" s="694"/>
      <c r="R241" s="697"/>
      <c r="S241" s="697"/>
      <c r="T241" s="694" t="s">
        <v>1903</v>
      </c>
      <c r="U241" s="694" t="s">
        <v>1903</v>
      </c>
      <c r="V241" s="694"/>
      <c r="W241" s="694"/>
      <c r="X241" s="694"/>
      <c r="Y241" s="694"/>
      <c r="Z241" s="694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4"/>
      <c r="BL241" s="694"/>
      <c r="BM241" s="694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  <c r="BX241" s="694"/>
      <c r="BY241" s="694"/>
      <c r="BZ241" s="694"/>
      <c r="CA241" s="694"/>
      <c r="CB241" s="694"/>
      <c r="CC241" s="694"/>
      <c r="CD241" s="694"/>
      <c r="CE241" s="694"/>
      <c r="CF241" s="694"/>
      <c r="CG241" s="694"/>
      <c r="CH241" s="694"/>
      <c r="CI241" s="694"/>
      <c r="CJ241" s="694"/>
      <c r="CK241" s="694"/>
      <c r="CL241" s="694"/>
      <c r="CM241" s="694"/>
      <c r="CN241" s="694"/>
      <c r="CO241" s="694"/>
      <c r="CP241" s="694"/>
      <c r="CQ241" s="694"/>
      <c r="CR241" s="694"/>
      <c r="CS241" s="694"/>
      <c r="CT241" s="694"/>
      <c r="CU241" s="694"/>
      <c r="CV241" s="695"/>
      <c r="CW241" s="695">
        <f t="shared" si="28"/>
        <v>31</v>
      </c>
      <c r="CX241" s="695">
        <f t="shared" si="28"/>
        <v>0</v>
      </c>
      <c r="CY241" s="695"/>
      <c r="CZ241" s="695"/>
      <c r="DA241" s="695">
        <f t="shared" si="29"/>
        <v>93</v>
      </c>
      <c r="DB241" s="695"/>
      <c r="DC241" s="695"/>
      <c r="DD241" s="695"/>
      <c r="DE241" s="695"/>
      <c r="DF241" s="695"/>
      <c r="DG241" s="695"/>
      <c r="DH241" s="695"/>
      <c r="DI241" s="694"/>
      <c r="DJ241" s="694"/>
      <c r="DK241" s="694"/>
      <c r="DL241" s="694">
        <v>1</v>
      </c>
      <c r="DM241" s="694">
        <v>4</v>
      </c>
      <c r="DN241" s="694">
        <v>1</v>
      </c>
      <c r="DO241" s="694">
        <v>3</v>
      </c>
      <c r="DP241" s="694">
        <v>2</v>
      </c>
      <c r="DQ241" s="694"/>
      <c r="DR241" s="694"/>
      <c r="DS241" s="694"/>
      <c r="DT241" s="694"/>
      <c r="DU241" s="694"/>
      <c r="DV241" s="694"/>
      <c r="DW241" s="694"/>
      <c r="DX241" s="694"/>
      <c r="DY241" s="694"/>
      <c r="DZ241" s="694"/>
      <c r="EA241" s="694">
        <v>1</v>
      </c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7"/>
      <c r="FH241" s="696">
        <v>19</v>
      </c>
      <c r="FI241" s="696">
        <f t="shared" si="30"/>
        <v>31</v>
      </c>
    </row>
    <row r="242" spans="1:167" s="696" customFormat="1">
      <c r="A242" s="690"/>
      <c r="B242" s="690"/>
      <c r="C242" s="708" t="s">
        <v>3653</v>
      </c>
      <c r="D242" s="708"/>
      <c r="E242" s="694">
        <v>30.1</v>
      </c>
      <c r="F242" s="694"/>
      <c r="G242" s="694"/>
      <c r="H242" s="694"/>
      <c r="I242" s="694"/>
      <c r="J242" s="694"/>
      <c r="K242" s="694"/>
      <c r="L242" s="694"/>
      <c r="M242" s="694"/>
      <c r="N242" s="694"/>
      <c r="O242" s="694"/>
      <c r="P242" s="694"/>
      <c r="Q242" s="694"/>
      <c r="R242" s="697"/>
      <c r="S242" s="697"/>
      <c r="T242" s="694" t="s">
        <v>2989</v>
      </c>
      <c r="U242" s="694" t="s">
        <v>2989</v>
      </c>
      <c r="V242" s="694"/>
      <c r="W242" s="694"/>
      <c r="X242" s="694"/>
      <c r="Y242" s="694"/>
      <c r="Z242" s="694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4"/>
      <c r="BL242" s="694"/>
      <c r="BM242" s="694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  <c r="BX242" s="694"/>
      <c r="BY242" s="694"/>
      <c r="BZ242" s="694"/>
      <c r="CA242" s="694"/>
      <c r="CB242" s="694"/>
      <c r="CC242" s="694"/>
      <c r="CD242" s="694"/>
      <c r="CE242" s="694"/>
      <c r="CF242" s="694"/>
      <c r="CG242" s="694"/>
      <c r="CH242" s="694"/>
      <c r="CI242" s="694"/>
      <c r="CJ242" s="694"/>
      <c r="CK242" s="694"/>
      <c r="CL242" s="694"/>
      <c r="CM242" s="694"/>
      <c r="CN242" s="694"/>
      <c r="CO242" s="694"/>
      <c r="CP242" s="694"/>
      <c r="CQ242" s="694"/>
      <c r="CR242" s="694"/>
      <c r="CS242" s="694"/>
      <c r="CT242" s="694"/>
      <c r="CU242" s="694"/>
      <c r="CV242" s="695"/>
      <c r="CW242" s="695">
        <f t="shared" si="28"/>
        <v>30.1</v>
      </c>
      <c r="CX242" s="695">
        <f t="shared" si="28"/>
        <v>0</v>
      </c>
      <c r="CY242" s="695"/>
      <c r="CZ242" s="695"/>
      <c r="DA242" s="695">
        <f t="shared" si="29"/>
        <v>90.300000000000011</v>
      </c>
      <c r="DB242" s="695"/>
      <c r="DC242" s="695"/>
      <c r="DD242" s="695"/>
      <c r="DE242" s="695"/>
      <c r="DF242" s="695"/>
      <c r="DG242" s="695"/>
      <c r="DH242" s="695"/>
      <c r="DI242" s="694"/>
      <c r="DJ242" s="694"/>
      <c r="DK242" s="694"/>
      <c r="DL242" s="694">
        <v>2</v>
      </c>
      <c r="DM242" s="694">
        <v>8</v>
      </c>
      <c r="DN242" s="694"/>
      <c r="DO242" s="694"/>
      <c r="DP242" s="694"/>
      <c r="DQ242" s="694"/>
      <c r="DR242" s="694"/>
      <c r="DS242" s="694"/>
      <c r="DT242" s="694"/>
      <c r="DU242" s="694">
        <v>8</v>
      </c>
      <c r="DV242" s="694"/>
      <c r="DW242" s="694"/>
      <c r="DX242" s="694"/>
      <c r="DY242" s="694"/>
      <c r="DZ242" s="694"/>
      <c r="EA242" s="694">
        <v>2</v>
      </c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7"/>
      <c r="FH242" s="696">
        <v>19.7</v>
      </c>
      <c r="FI242" s="696">
        <f t="shared" si="30"/>
        <v>30.3</v>
      </c>
    </row>
    <row r="243" spans="1:167" s="696" customFormat="1">
      <c r="A243" s="690"/>
      <c r="B243" s="690"/>
      <c r="C243" s="708" t="s">
        <v>3654</v>
      </c>
      <c r="D243" s="708"/>
      <c r="E243" s="694">
        <v>13.6</v>
      </c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97"/>
      <c r="S243" s="697"/>
      <c r="T243" s="694" t="s">
        <v>2989</v>
      </c>
      <c r="U243" s="694" t="s">
        <v>2989</v>
      </c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  <c r="BX243" s="694"/>
      <c r="BY243" s="694"/>
      <c r="BZ243" s="694"/>
      <c r="CA243" s="694"/>
      <c r="CB243" s="694"/>
      <c r="CC243" s="694"/>
      <c r="CD243" s="694"/>
      <c r="CE243" s="694"/>
      <c r="CF243" s="694"/>
      <c r="CG243" s="694"/>
      <c r="CH243" s="694"/>
      <c r="CI243" s="694"/>
      <c r="CJ243" s="694"/>
      <c r="CK243" s="694"/>
      <c r="CL243" s="694"/>
      <c r="CM243" s="694"/>
      <c r="CN243" s="694"/>
      <c r="CO243" s="694"/>
      <c r="CP243" s="694"/>
      <c r="CQ243" s="694"/>
      <c r="CR243" s="694"/>
      <c r="CS243" s="694"/>
      <c r="CT243" s="694"/>
      <c r="CU243" s="694"/>
      <c r="CV243" s="695"/>
      <c r="CW243" s="695">
        <f t="shared" si="28"/>
        <v>13.6</v>
      </c>
      <c r="CX243" s="695">
        <f t="shared" si="28"/>
        <v>0</v>
      </c>
      <c r="CY243" s="695"/>
      <c r="CZ243" s="695"/>
      <c r="DA243" s="695">
        <f t="shared" si="29"/>
        <v>40.799999999999997</v>
      </c>
      <c r="DB243" s="695"/>
      <c r="DC243" s="695"/>
      <c r="DD243" s="695"/>
      <c r="DE243" s="695"/>
      <c r="DF243" s="695"/>
      <c r="DG243" s="695"/>
      <c r="DH243" s="695"/>
      <c r="DI243" s="694"/>
      <c r="DJ243" s="694"/>
      <c r="DK243" s="694"/>
      <c r="DL243" s="694">
        <v>2</v>
      </c>
      <c r="DM243" s="694">
        <v>8</v>
      </c>
      <c r="DN243" s="694">
        <v>1</v>
      </c>
      <c r="DO243" s="694">
        <v>3</v>
      </c>
      <c r="DP243" s="694">
        <v>2</v>
      </c>
      <c r="DQ243" s="694"/>
      <c r="DR243" s="694"/>
      <c r="DS243" s="694"/>
      <c r="DT243" s="694"/>
      <c r="DU243" s="694">
        <v>8</v>
      </c>
      <c r="DV243" s="694"/>
      <c r="DW243" s="694"/>
      <c r="DX243" s="694"/>
      <c r="DY243" s="694"/>
      <c r="DZ243" s="694"/>
      <c r="EA243" s="694">
        <v>4</v>
      </c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7"/>
      <c r="FH243" s="696">
        <v>36.299999999999997</v>
      </c>
      <c r="FI243" s="696">
        <f t="shared" si="30"/>
        <v>13.700000000000003</v>
      </c>
    </row>
    <row r="244" spans="1:167" s="696" customFormat="1">
      <c r="A244" s="690"/>
      <c r="B244" s="690"/>
      <c r="C244" s="708" t="s">
        <v>3655</v>
      </c>
      <c r="D244" s="708"/>
      <c r="E244" s="694">
        <v>30.2</v>
      </c>
      <c r="F244" s="694"/>
      <c r="G244" s="694"/>
      <c r="H244" s="694"/>
      <c r="I244" s="694"/>
      <c r="J244" s="694"/>
      <c r="K244" s="694"/>
      <c r="L244" s="694"/>
      <c r="M244" s="694"/>
      <c r="N244" s="694"/>
      <c r="O244" s="694"/>
      <c r="P244" s="694"/>
      <c r="Q244" s="694"/>
      <c r="R244" s="697"/>
      <c r="S244" s="697"/>
      <c r="T244" s="694" t="s">
        <v>1903</v>
      </c>
      <c r="U244" s="694" t="s">
        <v>1903</v>
      </c>
      <c r="V244" s="694"/>
      <c r="W244" s="694"/>
      <c r="X244" s="694"/>
      <c r="Y244" s="694"/>
      <c r="Z244" s="694"/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4"/>
      <c r="BL244" s="694"/>
      <c r="BM244" s="694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  <c r="BX244" s="694"/>
      <c r="BY244" s="694"/>
      <c r="BZ244" s="694"/>
      <c r="CA244" s="694"/>
      <c r="CB244" s="694"/>
      <c r="CC244" s="694"/>
      <c r="CD244" s="694"/>
      <c r="CE244" s="694"/>
      <c r="CF244" s="694"/>
      <c r="CG244" s="694"/>
      <c r="CH244" s="694"/>
      <c r="CI244" s="694"/>
      <c r="CJ244" s="694"/>
      <c r="CK244" s="694"/>
      <c r="CL244" s="694"/>
      <c r="CM244" s="694"/>
      <c r="CN244" s="694"/>
      <c r="CO244" s="694"/>
      <c r="CP244" s="694"/>
      <c r="CQ244" s="694"/>
      <c r="CR244" s="694"/>
      <c r="CS244" s="694"/>
      <c r="CT244" s="694"/>
      <c r="CU244" s="694"/>
      <c r="CV244" s="695"/>
      <c r="CW244" s="695">
        <f t="shared" si="28"/>
        <v>30.2</v>
      </c>
      <c r="CX244" s="695">
        <f t="shared" si="28"/>
        <v>0</v>
      </c>
      <c r="CY244" s="695"/>
      <c r="CZ244" s="695"/>
      <c r="DA244" s="695">
        <f t="shared" si="29"/>
        <v>90.6</v>
      </c>
      <c r="DB244" s="695"/>
      <c r="DC244" s="695"/>
      <c r="DD244" s="695"/>
      <c r="DE244" s="695"/>
      <c r="DF244" s="695"/>
      <c r="DG244" s="695"/>
      <c r="DH244" s="695"/>
      <c r="DI244" s="694"/>
      <c r="DJ244" s="694"/>
      <c r="DK244" s="694"/>
      <c r="DL244" s="694">
        <v>1</v>
      </c>
      <c r="DM244" s="694">
        <v>4</v>
      </c>
      <c r="DN244" s="694"/>
      <c r="DO244" s="694"/>
      <c r="DP244" s="694"/>
      <c r="DQ244" s="694"/>
      <c r="DR244" s="694"/>
      <c r="DS244" s="694"/>
      <c r="DT244" s="694"/>
      <c r="DU244" s="694"/>
      <c r="DV244" s="694"/>
      <c r="DW244" s="694"/>
      <c r="DX244" s="694"/>
      <c r="DY244" s="694"/>
      <c r="DZ244" s="694"/>
      <c r="EA244" s="694">
        <v>1</v>
      </c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7"/>
      <c r="FH244" s="696">
        <v>19.8</v>
      </c>
      <c r="FI244" s="696">
        <f t="shared" si="30"/>
        <v>30.2</v>
      </c>
    </row>
    <row r="245" spans="1:167" s="696" customFormat="1">
      <c r="A245" s="690"/>
      <c r="B245" s="690"/>
      <c r="C245" s="708" t="s">
        <v>3656</v>
      </c>
      <c r="D245" s="708"/>
      <c r="E245" s="694">
        <v>36.9</v>
      </c>
      <c r="F245" s="694"/>
      <c r="G245" s="694"/>
      <c r="H245" s="694"/>
      <c r="I245" s="694"/>
      <c r="J245" s="694"/>
      <c r="K245" s="694"/>
      <c r="L245" s="694"/>
      <c r="M245" s="694"/>
      <c r="N245" s="694"/>
      <c r="O245" s="694"/>
      <c r="P245" s="694"/>
      <c r="Q245" s="694"/>
      <c r="R245" s="697"/>
      <c r="S245" s="697"/>
      <c r="T245" s="694" t="s">
        <v>1631</v>
      </c>
      <c r="U245" s="694" t="s">
        <v>1631</v>
      </c>
      <c r="V245" s="694"/>
      <c r="W245" s="694"/>
      <c r="X245" s="694"/>
      <c r="Y245" s="694"/>
      <c r="Z245" s="694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4"/>
      <c r="BL245" s="694"/>
      <c r="BM245" s="694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  <c r="BX245" s="694"/>
      <c r="BY245" s="694"/>
      <c r="BZ245" s="694"/>
      <c r="CA245" s="694"/>
      <c r="CB245" s="694"/>
      <c r="CC245" s="694"/>
      <c r="CD245" s="694"/>
      <c r="CE245" s="694"/>
      <c r="CF245" s="694"/>
      <c r="CG245" s="694"/>
      <c r="CH245" s="694"/>
      <c r="CI245" s="694"/>
      <c r="CJ245" s="694"/>
      <c r="CK245" s="694"/>
      <c r="CL245" s="694"/>
      <c r="CM245" s="694"/>
      <c r="CN245" s="694"/>
      <c r="CO245" s="694"/>
      <c r="CP245" s="694"/>
      <c r="CQ245" s="694"/>
      <c r="CR245" s="694"/>
      <c r="CS245" s="694"/>
      <c r="CT245" s="694"/>
      <c r="CU245" s="694"/>
      <c r="CV245" s="695"/>
      <c r="CW245" s="695">
        <f t="shared" si="28"/>
        <v>36.9</v>
      </c>
      <c r="CX245" s="695">
        <f t="shared" si="28"/>
        <v>0</v>
      </c>
      <c r="CY245" s="695"/>
      <c r="CZ245" s="695"/>
      <c r="DA245" s="695">
        <f t="shared" si="29"/>
        <v>110.69999999999999</v>
      </c>
      <c r="DB245" s="695"/>
      <c r="DC245" s="695"/>
      <c r="DD245" s="695"/>
      <c r="DE245" s="695"/>
      <c r="DF245" s="695"/>
      <c r="DG245" s="695"/>
      <c r="DH245" s="695"/>
      <c r="DI245" s="694"/>
      <c r="DJ245" s="694"/>
      <c r="DK245" s="694"/>
      <c r="DL245" s="694">
        <v>1</v>
      </c>
      <c r="DM245" s="694">
        <v>4</v>
      </c>
      <c r="DN245" s="694">
        <v>1</v>
      </c>
      <c r="DO245" s="694">
        <v>3</v>
      </c>
      <c r="DP245" s="694">
        <v>2</v>
      </c>
      <c r="DQ245" s="694"/>
      <c r="DR245" s="694"/>
      <c r="DS245" s="694"/>
      <c r="DT245" s="694"/>
      <c r="DU245" s="694"/>
      <c r="DV245" s="694"/>
      <c r="DW245" s="694"/>
      <c r="DX245" s="694"/>
      <c r="DY245" s="694"/>
      <c r="DZ245" s="694"/>
      <c r="EA245" s="694">
        <v>2</v>
      </c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7"/>
      <c r="FH245" s="696">
        <v>13.1</v>
      </c>
      <c r="FI245" s="696">
        <f t="shared" si="30"/>
        <v>36.9</v>
      </c>
    </row>
    <row r="246" spans="1:167" s="696" customFormat="1">
      <c r="A246" s="690"/>
      <c r="B246" s="690"/>
      <c r="C246" s="708" t="s">
        <v>3719</v>
      </c>
      <c r="D246" s="708"/>
      <c r="E246" s="694">
        <v>37.299999999999997</v>
      </c>
      <c r="F246" s="694"/>
      <c r="G246" s="694"/>
      <c r="H246" s="694"/>
      <c r="I246" s="694"/>
      <c r="J246" s="694"/>
      <c r="K246" s="694"/>
      <c r="L246" s="694"/>
      <c r="M246" s="694"/>
      <c r="N246" s="694"/>
      <c r="O246" s="694"/>
      <c r="P246" s="694"/>
      <c r="Q246" s="694"/>
      <c r="R246" s="697"/>
      <c r="S246" s="697"/>
      <c r="T246" s="692" t="s">
        <v>1903</v>
      </c>
      <c r="U246" s="692" t="s">
        <v>1903</v>
      </c>
      <c r="V246" s="694"/>
      <c r="W246" s="694"/>
      <c r="X246" s="694"/>
      <c r="Y246" s="694"/>
      <c r="Z246" s="694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4"/>
      <c r="BL246" s="694"/>
      <c r="BM246" s="694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  <c r="BX246" s="694"/>
      <c r="BY246" s="694"/>
      <c r="BZ246" s="694"/>
      <c r="CA246" s="694"/>
      <c r="CB246" s="694"/>
      <c r="CC246" s="694"/>
      <c r="CD246" s="694"/>
      <c r="CE246" s="694"/>
      <c r="CF246" s="694"/>
      <c r="CG246" s="694"/>
      <c r="CH246" s="694"/>
      <c r="CI246" s="694"/>
      <c r="CJ246" s="694"/>
      <c r="CK246" s="694"/>
      <c r="CL246" s="694"/>
      <c r="CM246" s="694"/>
      <c r="CN246" s="694"/>
      <c r="CO246" s="694"/>
      <c r="CP246" s="694"/>
      <c r="CQ246" s="694"/>
      <c r="CR246" s="694"/>
      <c r="CS246" s="694"/>
      <c r="CT246" s="694"/>
      <c r="CU246" s="694"/>
      <c r="CV246" s="695"/>
      <c r="CW246" s="695">
        <f t="shared" si="28"/>
        <v>37.299999999999997</v>
      </c>
      <c r="CX246" s="695">
        <f t="shared" si="28"/>
        <v>0</v>
      </c>
      <c r="CY246" s="695"/>
      <c r="CZ246" s="695"/>
      <c r="DA246" s="695">
        <f t="shared" si="29"/>
        <v>111.89999999999999</v>
      </c>
      <c r="DB246" s="695"/>
      <c r="DC246" s="695"/>
      <c r="DD246" s="695"/>
      <c r="DE246" s="695"/>
      <c r="DF246" s="695"/>
      <c r="DG246" s="695"/>
      <c r="DH246" s="695"/>
      <c r="DI246" s="694"/>
      <c r="DJ246" s="694"/>
      <c r="DK246" s="694"/>
      <c r="DL246" s="694">
        <v>1</v>
      </c>
      <c r="DM246" s="694">
        <v>4</v>
      </c>
      <c r="DN246" s="694">
        <v>1</v>
      </c>
      <c r="DO246" s="694">
        <v>3</v>
      </c>
      <c r="DP246" s="694">
        <v>2</v>
      </c>
      <c r="DQ246" s="694"/>
      <c r="DR246" s="694"/>
      <c r="DS246" s="694"/>
      <c r="DT246" s="694"/>
      <c r="DU246" s="694"/>
      <c r="DV246" s="694"/>
      <c r="DW246" s="694"/>
      <c r="DX246" s="694"/>
      <c r="DY246" s="694"/>
      <c r="DZ246" s="694"/>
      <c r="EA246" s="694">
        <v>1</v>
      </c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7"/>
      <c r="FH246" s="696">
        <v>12.7</v>
      </c>
      <c r="FI246" s="696">
        <f t="shared" si="30"/>
        <v>37.299999999999997</v>
      </c>
    </row>
    <row r="247" spans="1:167" s="696" customFormat="1">
      <c r="A247" s="690"/>
      <c r="B247" s="690"/>
      <c r="C247" s="708" t="s">
        <v>3720</v>
      </c>
      <c r="D247" s="708"/>
      <c r="E247" s="694">
        <v>34.1</v>
      </c>
      <c r="F247" s="694"/>
      <c r="G247" s="694"/>
      <c r="H247" s="694"/>
      <c r="I247" s="694"/>
      <c r="J247" s="694"/>
      <c r="K247" s="694"/>
      <c r="L247" s="694"/>
      <c r="M247" s="694"/>
      <c r="N247" s="694"/>
      <c r="O247" s="694"/>
      <c r="P247" s="694"/>
      <c r="Q247" s="694"/>
      <c r="R247" s="697"/>
      <c r="S247" s="697"/>
      <c r="T247" s="694" t="s">
        <v>1631</v>
      </c>
      <c r="U247" s="694" t="s">
        <v>1631</v>
      </c>
      <c r="V247" s="694"/>
      <c r="W247" s="694"/>
      <c r="X247" s="694"/>
      <c r="Y247" s="694"/>
      <c r="Z247" s="694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694"/>
      <c r="BL247" s="694"/>
      <c r="BM247" s="694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  <c r="BX247" s="694"/>
      <c r="BY247" s="694"/>
      <c r="BZ247" s="694"/>
      <c r="CA247" s="694"/>
      <c r="CB247" s="694"/>
      <c r="CC247" s="694"/>
      <c r="CD247" s="694"/>
      <c r="CE247" s="694"/>
      <c r="CF247" s="694"/>
      <c r="CG247" s="694"/>
      <c r="CH247" s="694"/>
      <c r="CI247" s="694"/>
      <c r="CJ247" s="694"/>
      <c r="CK247" s="694"/>
      <c r="CL247" s="694"/>
      <c r="CM247" s="694"/>
      <c r="CN247" s="694"/>
      <c r="CO247" s="694"/>
      <c r="CP247" s="694"/>
      <c r="CQ247" s="694"/>
      <c r="CR247" s="694"/>
      <c r="CS247" s="694"/>
      <c r="CT247" s="694"/>
      <c r="CU247" s="694"/>
      <c r="CV247" s="695"/>
      <c r="CW247" s="695">
        <f t="shared" si="28"/>
        <v>34.1</v>
      </c>
      <c r="CX247" s="695">
        <f t="shared" si="28"/>
        <v>0</v>
      </c>
      <c r="CY247" s="695"/>
      <c r="CZ247" s="695"/>
      <c r="DA247" s="695">
        <f t="shared" si="29"/>
        <v>102.30000000000001</v>
      </c>
      <c r="DB247" s="695"/>
      <c r="DC247" s="695"/>
      <c r="DD247" s="695"/>
      <c r="DE247" s="695"/>
      <c r="DF247" s="695"/>
      <c r="DG247" s="695"/>
      <c r="DH247" s="695"/>
      <c r="DI247" s="694"/>
      <c r="DJ247" s="694"/>
      <c r="DK247" s="694"/>
      <c r="DL247" s="694">
        <v>1</v>
      </c>
      <c r="DM247" s="694">
        <v>4</v>
      </c>
      <c r="DN247" s="694"/>
      <c r="DO247" s="694"/>
      <c r="DP247" s="694"/>
      <c r="DQ247" s="694"/>
      <c r="DR247" s="694"/>
      <c r="DS247" s="694"/>
      <c r="DT247" s="694"/>
      <c r="DU247" s="694"/>
      <c r="DV247" s="694"/>
      <c r="DW247" s="694"/>
      <c r="DX247" s="694"/>
      <c r="DY247" s="694"/>
      <c r="DZ247" s="694"/>
      <c r="EA247" s="694">
        <v>2</v>
      </c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7"/>
      <c r="FH247" s="696">
        <v>15.9</v>
      </c>
      <c r="FI247" s="696">
        <f t="shared" si="30"/>
        <v>34.1</v>
      </c>
    </row>
    <row r="248" spans="1:167" s="696" customFormat="1">
      <c r="A248" s="690"/>
      <c r="B248" s="690"/>
      <c r="C248" s="708" t="s">
        <v>3721</v>
      </c>
      <c r="D248" s="708"/>
      <c r="E248" s="694">
        <v>33.4</v>
      </c>
      <c r="F248" s="694"/>
      <c r="G248" s="694"/>
      <c r="H248" s="694"/>
      <c r="I248" s="694"/>
      <c r="J248" s="694"/>
      <c r="K248" s="694"/>
      <c r="L248" s="694"/>
      <c r="M248" s="694"/>
      <c r="N248" s="694"/>
      <c r="O248" s="694"/>
      <c r="P248" s="694"/>
      <c r="Q248" s="694"/>
      <c r="R248" s="697"/>
      <c r="S248" s="697"/>
      <c r="T248" s="694" t="s">
        <v>1631</v>
      </c>
      <c r="U248" s="694" t="s">
        <v>1631</v>
      </c>
      <c r="V248" s="694"/>
      <c r="W248" s="694"/>
      <c r="X248" s="694"/>
      <c r="Y248" s="694"/>
      <c r="Z248" s="694"/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4"/>
      <c r="BL248" s="694"/>
      <c r="BM248" s="694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  <c r="BX248" s="694"/>
      <c r="BY248" s="694"/>
      <c r="BZ248" s="694"/>
      <c r="CA248" s="694"/>
      <c r="CB248" s="694"/>
      <c r="CC248" s="694"/>
      <c r="CD248" s="694"/>
      <c r="CE248" s="694"/>
      <c r="CF248" s="694"/>
      <c r="CG248" s="694"/>
      <c r="CH248" s="694"/>
      <c r="CI248" s="694"/>
      <c r="CJ248" s="694"/>
      <c r="CK248" s="694"/>
      <c r="CL248" s="694"/>
      <c r="CM248" s="694"/>
      <c r="CN248" s="694"/>
      <c r="CO248" s="694"/>
      <c r="CP248" s="694"/>
      <c r="CQ248" s="694"/>
      <c r="CR248" s="694"/>
      <c r="CS248" s="694"/>
      <c r="CT248" s="694"/>
      <c r="CU248" s="694"/>
      <c r="CV248" s="695"/>
      <c r="CW248" s="695">
        <f t="shared" si="28"/>
        <v>33.4</v>
      </c>
      <c r="CX248" s="695">
        <f t="shared" si="28"/>
        <v>0</v>
      </c>
      <c r="CY248" s="695"/>
      <c r="CZ248" s="695"/>
      <c r="DA248" s="695">
        <f t="shared" si="29"/>
        <v>100.19999999999999</v>
      </c>
      <c r="DB248" s="695"/>
      <c r="DC248" s="695"/>
      <c r="DD248" s="695"/>
      <c r="DE248" s="695"/>
      <c r="DF248" s="695"/>
      <c r="DG248" s="695"/>
      <c r="DH248" s="695"/>
      <c r="DI248" s="694"/>
      <c r="DJ248" s="694"/>
      <c r="DK248" s="694"/>
      <c r="DL248" s="694">
        <v>1</v>
      </c>
      <c r="DM248" s="694">
        <v>4</v>
      </c>
      <c r="DN248" s="694">
        <v>1</v>
      </c>
      <c r="DO248" s="694">
        <v>3</v>
      </c>
      <c r="DP248" s="694">
        <v>2</v>
      </c>
      <c r="DQ248" s="694"/>
      <c r="DR248" s="694"/>
      <c r="DS248" s="694"/>
      <c r="DT248" s="694"/>
      <c r="DU248" s="694"/>
      <c r="DV248" s="694"/>
      <c r="DW248" s="694"/>
      <c r="DX248" s="694"/>
      <c r="DY248" s="694"/>
      <c r="DZ248" s="694"/>
      <c r="EA248" s="694">
        <v>2</v>
      </c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7"/>
      <c r="FH248" s="696">
        <v>16.600000000000001</v>
      </c>
      <c r="FI248" s="696">
        <f t="shared" si="30"/>
        <v>33.4</v>
      </c>
    </row>
    <row r="249" spans="1:167" s="696" customFormat="1">
      <c r="A249" s="690"/>
      <c r="B249" s="690"/>
      <c r="C249" s="708" t="s">
        <v>3722</v>
      </c>
      <c r="D249" s="708"/>
      <c r="E249" s="694">
        <v>33.6</v>
      </c>
      <c r="F249" s="694"/>
      <c r="G249" s="694"/>
      <c r="H249" s="694"/>
      <c r="I249" s="694"/>
      <c r="J249" s="694"/>
      <c r="K249" s="694"/>
      <c r="L249" s="694"/>
      <c r="M249" s="694"/>
      <c r="N249" s="694"/>
      <c r="O249" s="694"/>
      <c r="P249" s="694"/>
      <c r="Q249" s="694"/>
      <c r="R249" s="697"/>
      <c r="S249" s="697"/>
      <c r="T249" s="694" t="s">
        <v>2990</v>
      </c>
      <c r="U249" s="694" t="s">
        <v>2990</v>
      </c>
      <c r="V249" s="694"/>
      <c r="W249" s="694"/>
      <c r="X249" s="694"/>
      <c r="Y249" s="694"/>
      <c r="Z249" s="694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4"/>
      <c r="BL249" s="694"/>
      <c r="BM249" s="694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  <c r="BX249" s="694"/>
      <c r="BY249" s="694"/>
      <c r="BZ249" s="694"/>
      <c r="CA249" s="694"/>
      <c r="CB249" s="694"/>
      <c r="CC249" s="694"/>
      <c r="CD249" s="694"/>
      <c r="CE249" s="694"/>
      <c r="CF249" s="694"/>
      <c r="CG249" s="694"/>
      <c r="CH249" s="694"/>
      <c r="CI249" s="694"/>
      <c r="CJ249" s="694"/>
      <c r="CK249" s="694"/>
      <c r="CL249" s="694"/>
      <c r="CM249" s="694"/>
      <c r="CN249" s="694"/>
      <c r="CO249" s="694"/>
      <c r="CP249" s="694"/>
      <c r="CQ249" s="694"/>
      <c r="CR249" s="694"/>
      <c r="CS249" s="694"/>
      <c r="CT249" s="694"/>
      <c r="CU249" s="694"/>
      <c r="CV249" s="695"/>
      <c r="CW249" s="695">
        <f t="shared" si="28"/>
        <v>33.6</v>
      </c>
      <c r="CX249" s="695">
        <f t="shared" si="28"/>
        <v>0</v>
      </c>
      <c r="CY249" s="695"/>
      <c r="CZ249" s="695"/>
      <c r="DA249" s="695">
        <f t="shared" si="29"/>
        <v>100.80000000000001</v>
      </c>
      <c r="DB249" s="695"/>
      <c r="DC249" s="695"/>
      <c r="DD249" s="695"/>
      <c r="DE249" s="695"/>
      <c r="DF249" s="695"/>
      <c r="DG249" s="695"/>
      <c r="DH249" s="695"/>
      <c r="DI249" s="694"/>
      <c r="DJ249" s="694"/>
      <c r="DK249" s="694"/>
      <c r="DL249" s="694">
        <v>1</v>
      </c>
      <c r="DM249" s="694">
        <v>4</v>
      </c>
      <c r="DN249" s="694">
        <v>1</v>
      </c>
      <c r="DO249" s="694">
        <v>3</v>
      </c>
      <c r="DP249" s="694">
        <v>2</v>
      </c>
      <c r="DQ249" s="694"/>
      <c r="DR249" s="694"/>
      <c r="DS249" s="694"/>
      <c r="DT249" s="694"/>
      <c r="DU249" s="694">
        <v>8</v>
      </c>
      <c r="DV249" s="694"/>
      <c r="DW249" s="694"/>
      <c r="DX249" s="694"/>
      <c r="DY249" s="694"/>
      <c r="DZ249" s="694"/>
      <c r="EA249" s="694">
        <v>2</v>
      </c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7"/>
      <c r="FH249" s="696">
        <v>16.399999999999999</v>
      </c>
      <c r="FI249" s="696">
        <f t="shared" si="30"/>
        <v>33.6</v>
      </c>
    </row>
    <row r="250" spans="1:167" s="696" customFormat="1">
      <c r="A250" s="690"/>
      <c r="B250" s="690"/>
      <c r="C250" s="708"/>
      <c r="D250" s="708"/>
      <c r="E250" s="694"/>
      <c r="F250" s="694"/>
      <c r="G250" s="694"/>
      <c r="H250" s="694"/>
      <c r="I250" s="694"/>
      <c r="J250" s="694"/>
      <c r="K250" s="694"/>
      <c r="L250" s="694"/>
      <c r="M250" s="694"/>
      <c r="N250" s="694"/>
      <c r="O250" s="694"/>
      <c r="P250" s="694"/>
      <c r="Q250" s="694"/>
      <c r="R250" s="697"/>
      <c r="S250" s="697"/>
      <c r="T250" s="694"/>
      <c r="U250" s="694"/>
      <c r="V250" s="694"/>
      <c r="W250" s="694"/>
      <c r="X250" s="694"/>
      <c r="Y250" s="694"/>
      <c r="Z250" s="694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4"/>
      <c r="BL250" s="694"/>
      <c r="BM250" s="694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  <c r="BX250" s="694"/>
      <c r="BY250" s="694"/>
      <c r="BZ250" s="694"/>
      <c r="CA250" s="694"/>
      <c r="CB250" s="694"/>
      <c r="CC250" s="694"/>
      <c r="CD250" s="694"/>
      <c r="CE250" s="694"/>
      <c r="CF250" s="694"/>
      <c r="CG250" s="694"/>
      <c r="CH250" s="694"/>
      <c r="CI250" s="694"/>
      <c r="CJ250" s="694"/>
      <c r="CK250" s="694"/>
      <c r="CL250" s="694"/>
      <c r="CM250" s="694"/>
      <c r="CN250" s="694"/>
      <c r="CO250" s="694"/>
      <c r="CP250" s="694"/>
      <c r="CQ250" s="694"/>
      <c r="CR250" s="694"/>
      <c r="CS250" s="694"/>
      <c r="CT250" s="694"/>
      <c r="CU250" s="694"/>
      <c r="CV250" s="695"/>
      <c r="CW250" s="695"/>
      <c r="CX250" s="695"/>
      <c r="CY250" s="695"/>
      <c r="CZ250" s="695"/>
      <c r="DA250" s="695"/>
      <c r="DB250" s="695"/>
      <c r="DC250" s="695"/>
      <c r="DD250" s="695"/>
      <c r="DE250" s="695"/>
      <c r="DF250" s="695"/>
      <c r="DG250" s="695"/>
      <c r="DH250" s="695"/>
      <c r="DI250" s="694"/>
      <c r="DJ250" s="694"/>
      <c r="DK250" s="694"/>
      <c r="DL250" s="694"/>
      <c r="DM250" s="694"/>
      <c r="DN250" s="694"/>
      <c r="DO250" s="694"/>
      <c r="DP250" s="694"/>
      <c r="DQ250" s="694"/>
      <c r="DR250" s="694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7"/>
    </row>
    <row r="251" spans="1:167" s="4" customFormat="1">
      <c r="A251" s="486">
        <f>MATCH(C251,$C$5:$C$507,0)</f>
        <v>247</v>
      </c>
      <c r="B251" s="56"/>
      <c r="C251" s="507" t="s">
        <v>3075</v>
      </c>
      <c r="D251" s="507"/>
      <c r="E251" s="508">
        <f t="shared" ref="E251:AJ251" si="31">SUM(E187:E250)</f>
        <v>2098.0999999999995</v>
      </c>
      <c r="F251" s="508">
        <f t="shared" si="31"/>
        <v>0</v>
      </c>
      <c r="G251" s="508">
        <f t="shared" si="31"/>
        <v>0</v>
      </c>
      <c r="H251" s="508">
        <f t="shared" si="31"/>
        <v>0</v>
      </c>
      <c r="I251" s="508">
        <f t="shared" si="31"/>
        <v>0</v>
      </c>
      <c r="J251" s="508">
        <f t="shared" si="31"/>
        <v>0</v>
      </c>
      <c r="K251" s="508">
        <f t="shared" si="31"/>
        <v>0</v>
      </c>
      <c r="L251" s="508">
        <f t="shared" si="31"/>
        <v>0</v>
      </c>
      <c r="M251" s="508">
        <f t="shared" si="31"/>
        <v>0</v>
      </c>
      <c r="N251" s="508">
        <f t="shared" si="31"/>
        <v>0</v>
      </c>
      <c r="O251" s="508">
        <f t="shared" si="31"/>
        <v>0</v>
      </c>
      <c r="P251" s="508">
        <f t="shared" si="31"/>
        <v>0</v>
      </c>
      <c r="Q251" s="508">
        <f t="shared" si="31"/>
        <v>0</v>
      </c>
      <c r="R251" s="508">
        <f t="shared" si="31"/>
        <v>0</v>
      </c>
      <c r="S251" s="508">
        <f t="shared" si="31"/>
        <v>0</v>
      </c>
      <c r="T251" s="509">
        <f t="shared" si="31"/>
        <v>0</v>
      </c>
      <c r="U251" s="509">
        <f t="shared" si="31"/>
        <v>0</v>
      </c>
      <c r="V251" s="509">
        <f t="shared" si="31"/>
        <v>0</v>
      </c>
      <c r="W251" s="509">
        <f t="shared" si="31"/>
        <v>0</v>
      </c>
      <c r="X251" s="509">
        <f t="shared" si="31"/>
        <v>0</v>
      </c>
      <c r="Y251" s="509">
        <f t="shared" si="31"/>
        <v>0</v>
      </c>
      <c r="Z251" s="509">
        <f t="shared" si="31"/>
        <v>0</v>
      </c>
      <c r="AA251" s="509">
        <f t="shared" si="31"/>
        <v>0</v>
      </c>
      <c r="AB251" s="509">
        <f t="shared" si="31"/>
        <v>0</v>
      </c>
      <c r="AC251" s="509">
        <f t="shared" si="31"/>
        <v>0</v>
      </c>
      <c r="AD251" s="509">
        <f t="shared" si="31"/>
        <v>0</v>
      </c>
      <c r="AE251" s="509">
        <f t="shared" si="31"/>
        <v>0</v>
      </c>
      <c r="AF251" s="509">
        <f t="shared" si="31"/>
        <v>0</v>
      </c>
      <c r="AG251" s="509">
        <f t="shared" si="31"/>
        <v>0</v>
      </c>
      <c r="AH251" s="509">
        <f t="shared" si="31"/>
        <v>0</v>
      </c>
      <c r="AI251" s="509">
        <f t="shared" si="31"/>
        <v>0</v>
      </c>
      <c r="AJ251" s="509">
        <f t="shared" si="31"/>
        <v>0</v>
      </c>
      <c r="AK251" s="509">
        <f t="shared" ref="AK251:BP251" si="32">SUM(AK187:AK250)</f>
        <v>0</v>
      </c>
      <c r="AL251" s="509">
        <f t="shared" si="32"/>
        <v>0</v>
      </c>
      <c r="AM251" s="509">
        <f t="shared" si="32"/>
        <v>0</v>
      </c>
      <c r="AN251" s="509">
        <f t="shared" si="32"/>
        <v>0</v>
      </c>
      <c r="AO251" s="509">
        <f t="shared" si="32"/>
        <v>0</v>
      </c>
      <c r="AP251" s="509">
        <f t="shared" si="32"/>
        <v>0</v>
      </c>
      <c r="AQ251" s="509">
        <f t="shared" si="32"/>
        <v>0</v>
      </c>
      <c r="AR251" s="509">
        <f t="shared" si="32"/>
        <v>0</v>
      </c>
      <c r="AS251" s="509">
        <f t="shared" si="32"/>
        <v>0</v>
      </c>
      <c r="AT251" s="509">
        <f t="shared" si="32"/>
        <v>0</v>
      </c>
      <c r="AU251" s="509">
        <f t="shared" si="32"/>
        <v>0</v>
      </c>
      <c r="AV251" s="509">
        <f t="shared" si="32"/>
        <v>0</v>
      </c>
      <c r="AW251" s="509">
        <f t="shared" si="32"/>
        <v>0</v>
      </c>
      <c r="AX251" s="509">
        <f t="shared" si="32"/>
        <v>0</v>
      </c>
      <c r="AY251" s="509">
        <f t="shared" si="32"/>
        <v>0</v>
      </c>
      <c r="AZ251" s="509">
        <f t="shared" si="32"/>
        <v>0</v>
      </c>
      <c r="BA251" s="509">
        <f t="shared" si="32"/>
        <v>0</v>
      </c>
      <c r="BB251" s="509">
        <f t="shared" si="32"/>
        <v>0</v>
      </c>
      <c r="BC251" s="509">
        <f t="shared" si="32"/>
        <v>0</v>
      </c>
      <c r="BD251" s="509">
        <f t="shared" si="32"/>
        <v>0</v>
      </c>
      <c r="BE251" s="509">
        <f t="shared" si="32"/>
        <v>0</v>
      </c>
      <c r="BF251" s="509">
        <f t="shared" si="32"/>
        <v>0</v>
      </c>
      <c r="BG251" s="509">
        <f t="shared" si="32"/>
        <v>0</v>
      </c>
      <c r="BH251" s="509">
        <f t="shared" si="32"/>
        <v>0</v>
      </c>
      <c r="BI251" s="509">
        <f t="shared" si="32"/>
        <v>0</v>
      </c>
      <c r="BJ251" s="509">
        <f t="shared" si="32"/>
        <v>0</v>
      </c>
      <c r="BK251" s="509">
        <f t="shared" si="32"/>
        <v>0</v>
      </c>
      <c r="BL251" s="509">
        <f t="shared" si="32"/>
        <v>0</v>
      </c>
      <c r="BM251" s="509">
        <f t="shared" si="32"/>
        <v>0</v>
      </c>
      <c r="BN251" s="509">
        <f t="shared" si="32"/>
        <v>0</v>
      </c>
      <c r="BO251" s="509">
        <f t="shared" si="32"/>
        <v>0</v>
      </c>
      <c r="BP251" s="509">
        <f t="shared" si="32"/>
        <v>0</v>
      </c>
      <c r="BQ251" s="509">
        <f t="shared" ref="BQ251:CV251" si="33">SUM(BQ187:BQ250)</f>
        <v>0</v>
      </c>
      <c r="BR251" s="509">
        <f t="shared" si="33"/>
        <v>0</v>
      </c>
      <c r="BS251" s="509">
        <f t="shared" si="33"/>
        <v>0</v>
      </c>
      <c r="BT251" s="509">
        <f t="shared" si="33"/>
        <v>0</v>
      </c>
      <c r="BU251" s="509">
        <f t="shared" si="33"/>
        <v>0</v>
      </c>
      <c r="BV251" s="509">
        <f t="shared" si="33"/>
        <v>0</v>
      </c>
      <c r="BW251" s="509">
        <f t="shared" si="33"/>
        <v>0</v>
      </c>
      <c r="BX251" s="509">
        <f t="shared" si="33"/>
        <v>0</v>
      </c>
      <c r="BY251" s="509">
        <f t="shared" si="33"/>
        <v>0</v>
      </c>
      <c r="BZ251" s="509">
        <f t="shared" si="33"/>
        <v>0</v>
      </c>
      <c r="CA251" s="509">
        <f t="shared" si="33"/>
        <v>0</v>
      </c>
      <c r="CB251" s="509">
        <f t="shared" si="33"/>
        <v>0</v>
      </c>
      <c r="CC251" s="509">
        <f t="shared" si="33"/>
        <v>0</v>
      </c>
      <c r="CD251" s="509">
        <f t="shared" si="33"/>
        <v>0</v>
      </c>
      <c r="CE251" s="509">
        <f t="shared" si="33"/>
        <v>0</v>
      </c>
      <c r="CF251" s="509">
        <f t="shared" si="33"/>
        <v>0</v>
      </c>
      <c r="CG251" s="509">
        <f t="shared" si="33"/>
        <v>0</v>
      </c>
      <c r="CH251" s="509">
        <f t="shared" si="33"/>
        <v>0</v>
      </c>
      <c r="CI251" s="509">
        <f t="shared" si="33"/>
        <v>0</v>
      </c>
      <c r="CJ251" s="509">
        <f t="shared" si="33"/>
        <v>0</v>
      </c>
      <c r="CK251" s="509">
        <f t="shared" si="33"/>
        <v>0</v>
      </c>
      <c r="CL251" s="509">
        <f t="shared" si="33"/>
        <v>0</v>
      </c>
      <c r="CM251" s="509">
        <f t="shared" si="33"/>
        <v>0</v>
      </c>
      <c r="CN251" s="509">
        <f t="shared" si="33"/>
        <v>0</v>
      </c>
      <c r="CO251" s="509">
        <f t="shared" si="33"/>
        <v>0</v>
      </c>
      <c r="CP251" s="509">
        <f t="shared" si="33"/>
        <v>10</v>
      </c>
      <c r="CQ251" s="509">
        <f t="shared" si="33"/>
        <v>0</v>
      </c>
      <c r="CR251" s="509">
        <f t="shared" si="33"/>
        <v>0</v>
      </c>
      <c r="CS251" s="509">
        <f t="shared" si="33"/>
        <v>0</v>
      </c>
      <c r="CT251" s="509">
        <f t="shared" si="33"/>
        <v>0</v>
      </c>
      <c r="CU251" s="509">
        <f t="shared" si="33"/>
        <v>0</v>
      </c>
      <c r="CV251" s="518">
        <f t="shared" si="33"/>
        <v>0</v>
      </c>
      <c r="CW251" s="518">
        <f t="shared" ref="CW251:EC251" si="34">SUM(CW187:CW250)</f>
        <v>1452.1</v>
      </c>
      <c r="CX251" s="518">
        <f>SUM(CX187:CX250)</f>
        <v>645.99999999999989</v>
      </c>
      <c r="CY251" s="518">
        <f t="shared" si="34"/>
        <v>0</v>
      </c>
      <c r="CZ251" s="518">
        <f t="shared" si="34"/>
        <v>0</v>
      </c>
      <c r="DA251" s="518">
        <f t="shared" si="34"/>
        <v>4356.3</v>
      </c>
      <c r="DB251" s="518">
        <f t="shared" si="34"/>
        <v>1938</v>
      </c>
      <c r="DC251" s="518">
        <f t="shared" si="34"/>
        <v>0</v>
      </c>
      <c r="DD251" s="518">
        <f t="shared" si="34"/>
        <v>0</v>
      </c>
      <c r="DE251" s="518">
        <f t="shared" si="34"/>
        <v>0</v>
      </c>
      <c r="DF251" s="518">
        <f t="shared" si="34"/>
        <v>0</v>
      </c>
      <c r="DG251" s="518">
        <f t="shared" si="34"/>
        <v>0</v>
      </c>
      <c r="DH251" s="518">
        <f t="shared" si="34"/>
        <v>0</v>
      </c>
      <c r="DI251" s="509">
        <f t="shared" si="34"/>
        <v>0</v>
      </c>
      <c r="DJ251" s="509">
        <f t="shared" si="34"/>
        <v>0</v>
      </c>
      <c r="DK251" s="509">
        <f t="shared" si="34"/>
        <v>0</v>
      </c>
      <c r="DL251" s="509">
        <f t="shared" si="34"/>
        <v>59</v>
      </c>
      <c r="DM251" s="509">
        <f t="shared" si="34"/>
        <v>236</v>
      </c>
      <c r="DN251" s="509">
        <f t="shared" si="34"/>
        <v>39</v>
      </c>
      <c r="DO251" s="509">
        <f t="shared" si="34"/>
        <v>114</v>
      </c>
      <c r="DP251" s="509">
        <f t="shared" si="34"/>
        <v>86</v>
      </c>
      <c r="DQ251" s="509">
        <f t="shared" si="34"/>
        <v>0</v>
      </c>
      <c r="DR251" s="509">
        <f t="shared" si="34"/>
        <v>0</v>
      </c>
      <c r="DS251" s="509">
        <f t="shared" si="34"/>
        <v>23</v>
      </c>
      <c r="DT251" s="509">
        <f t="shared" si="34"/>
        <v>9</v>
      </c>
      <c r="DU251" s="509">
        <f t="shared" si="34"/>
        <v>123</v>
      </c>
      <c r="DV251" s="509">
        <f t="shared" si="34"/>
        <v>0</v>
      </c>
      <c r="DW251" s="509">
        <f t="shared" si="34"/>
        <v>0</v>
      </c>
      <c r="DX251" s="509">
        <f t="shared" si="34"/>
        <v>0</v>
      </c>
      <c r="DY251" s="509">
        <f t="shared" si="34"/>
        <v>0</v>
      </c>
      <c r="DZ251" s="509">
        <f t="shared" si="34"/>
        <v>0</v>
      </c>
      <c r="EA251" s="509">
        <f t="shared" si="34"/>
        <v>73</v>
      </c>
      <c r="EB251" s="509">
        <f t="shared" si="34"/>
        <v>22</v>
      </c>
      <c r="EC251" s="509">
        <f t="shared" si="34"/>
        <v>0</v>
      </c>
      <c r="ED251" s="509">
        <f t="shared" ref="ED251:FE251" si="35">SUM(ED187:ED250)</f>
        <v>0</v>
      </c>
      <c r="EE251" s="509">
        <f t="shared" si="35"/>
        <v>0</v>
      </c>
      <c r="EF251" s="509">
        <f t="shared" si="35"/>
        <v>0</v>
      </c>
      <c r="EG251" s="509">
        <f t="shared" si="35"/>
        <v>0</v>
      </c>
      <c r="EH251" s="509">
        <f t="shared" si="35"/>
        <v>0</v>
      </c>
      <c r="EI251" s="509">
        <f t="shared" si="35"/>
        <v>0</v>
      </c>
      <c r="EJ251" s="509">
        <f t="shared" si="35"/>
        <v>0</v>
      </c>
      <c r="EK251" s="509">
        <f t="shared" si="35"/>
        <v>0</v>
      </c>
      <c r="EL251" s="509">
        <f t="shared" si="35"/>
        <v>0</v>
      </c>
      <c r="EM251" s="509">
        <f t="shared" si="35"/>
        <v>0</v>
      </c>
      <c r="EN251" s="509">
        <f t="shared" si="35"/>
        <v>0</v>
      </c>
      <c r="EO251" s="509">
        <f t="shared" si="35"/>
        <v>0</v>
      </c>
      <c r="EP251" s="509">
        <f t="shared" si="35"/>
        <v>0</v>
      </c>
      <c r="EQ251" s="509">
        <f t="shared" si="35"/>
        <v>0</v>
      </c>
      <c r="ER251" s="509">
        <f t="shared" si="35"/>
        <v>0</v>
      </c>
      <c r="ES251" s="509">
        <f t="shared" si="35"/>
        <v>0</v>
      </c>
      <c r="ET251" s="509">
        <f t="shared" si="35"/>
        <v>0</v>
      </c>
      <c r="EU251" s="509">
        <f t="shared" si="35"/>
        <v>0</v>
      </c>
      <c r="EV251" s="509">
        <f t="shared" si="35"/>
        <v>0</v>
      </c>
      <c r="EW251" s="509">
        <f t="shared" si="35"/>
        <v>0</v>
      </c>
      <c r="EX251" s="509">
        <f t="shared" si="35"/>
        <v>0</v>
      </c>
      <c r="EY251" s="509">
        <f t="shared" si="35"/>
        <v>0</v>
      </c>
      <c r="EZ251" s="509">
        <f t="shared" si="35"/>
        <v>3</v>
      </c>
      <c r="FA251" s="509">
        <f t="shared" si="35"/>
        <v>0</v>
      </c>
      <c r="FB251" s="509">
        <f t="shared" si="35"/>
        <v>0</v>
      </c>
      <c r="FC251" s="509">
        <f t="shared" si="35"/>
        <v>0</v>
      </c>
      <c r="FD251" s="509">
        <f t="shared" si="35"/>
        <v>0</v>
      </c>
      <c r="FE251" s="509">
        <f t="shared" si="35"/>
        <v>0</v>
      </c>
      <c r="FF251" s="509"/>
      <c r="FG251" s="508"/>
      <c r="FK251" s="4">
        <f>DO251-FC251</f>
        <v>114</v>
      </c>
    </row>
    <row r="252" spans="1:167" s="4" customFormat="1">
      <c r="A252" s="56"/>
      <c r="B252" s="56">
        <v>5</v>
      </c>
      <c r="C252" s="501" t="s">
        <v>3723</v>
      </c>
      <c r="D252" s="502"/>
      <c r="E252" s="503"/>
      <c r="F252" s="503"/>
      <c r="G252" s="503"/>
      <c r="H252" s="503"/>
      <c r="I252" s="503"/>
      <c r="J252" s="503"/>
      <c r="K252" s="503"/>
      <c r="L252" s="503"/>
      <c r="M252" s="503"/>
      <c r="N252" s="503"/>
      <c r="O252" s="503"/>
      <c r="P252" s="503"/>
      <c r="Q252" s="503"/>
      <c r="R252" s="503"/>
      <c r="S252" s="503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  <c r="CH252" s="504"/>
      <c r="CI252" s="504"/>
      <c r="CJ252" s="504"/>
      <c r="CK252" s="504"/>
      <c r="CL252" s="504"/>
      <c r="CM252" s="504"/>
      <c r="CN252" s="504"/>
      <c r="CO252" s="504"/>
      <c r="CP252" s="504"/>
      <c r="CQ252" s="504"/>
      <c r="CR252" s="504"/>
      <c r="CS252" s="504"/>
      <c r="CT252" s="504"/>
      <c r="CU252" s="504"/>
      <c r="CV252" s="519"/>
      <c r="CW252" s="519"/>
      <c r="CX252" s="519"/>
      <c r="CY252" s="519"/>
      <c r="CZ252" s="519"/>
      <c r="DA252" s="519"/>
      <c r="DB252" s="519"/>
      <c r="DC252" s="519"/>
      <c r="DD252" s="519"/>
      <c r="DE252" s="519"/>
      <c r="DF252" s="519"/>
      <c r="DG252" s="519"/>
      <c r="DH252" s="519"/>
      <c r="DI252" s="504"/>
      <c r="DJ252" s="504"/>
      <c r="DK252" s="504"/>
      <c r="DL252" s="504"/>
      <c r="DM252" s="504"/>
      <c r="DN252" s="504"/>
      <c r="DO252" s="504"/>
      <c r="DP252" s="504"/>
      <c r="DQ252" s="504"/>
      <c r="DR252" s="504"/>
      <c r="DS252" s="504"/>
      <c r="DT252" s="504"/>
      <c r="DU252" s="504"/>
      <c r="DV252" s="504"/>
      <c r="DW252" s="504"/>
      <c r="DX252" s="504"/>
      <c r="DY252" s="504"/>
      <c r="DZ252" s="504"/>
      <c r="EA252" s="504"/>
      <c r="EB252" s="504"/>
      <c r="EC252" s="504"/>
      <c r="ED252" s="504"/>
      <c r="EE252" s="504"/>
      <c r="EF252" s="504"/>
      <c r="EG252" s="504"/>
      <c r="EH252" s="504"/>
      <c r="EI252" s="504"/>
      <c r="EJ252" s="504"/>
      <c r="EK252" s="504"/>
      <c r="EL252" s="504"/>
      <c r="EM252" s="504"/>
      <c r="EN252" s="504"/>
      <c r="EO252" s="504"/>
      <c r="EP252" s="504"/>
      <c r="EQ252" s="504"/>
      <c r="ER252" s="504"/>
      <c r="ES252" s="504"/>
      <c r="ET252" s="504"/>
      <c r="EU252" s="504"/>
      <c r="EV252" s="504"/>
      <c r="EW252" s="504"/>
      <c r="EX252" s="504"/>
      <c r="EY252" s="504"/>
      <c r="EZ252" s="504"/>
      <c r="FA252" s="504"/>
      <c r="FB252" s="504"/>
      <c r="FC252" s="504"/>
      <c r="FD252" s="504"/>
      <c r="FE252" s="504"/>
      <c r="FF252" s="504"/>
      <c r="FG252" s="505"/>
      <c r="FK252" s="4">
        <f>DO252-FC252</f>
        <v>0</v>
      </c>
    </row>
    <row r="253" spans="1:167" s="4" customFormat="1">
      <c r="A253" s="56"/>
      <c r="B253" s="56"/>
      <c r="C253" s="498"/>
      <c r="D253" s="506" t="s">
        <v>3724</v>
      </c>
      <c r="E253" s="454"/>
      <c r="F253" s="454"/>
      <c r="G253" s="454"/>
      <c r="H253" s="454"/>
      <c r="I253" s="454"/>
      <c r="J253" s="454"/>
      <c r="K253" s="454"/>
      <c r="L253" s="454"/>
      <c r="M253" s="454"/>
      <c r="N253" s="454"/>
      <c r="O253" s="454"/>
      <c r="P253" s="454"/>
      <c r="Q253" s="454"/>
      <c r="R253" s="290"/>
      <c r="S253" s="290"/>
      <c r="T253" s="454"/>
      <c r="U253" s="454" t="s">
        <v>2990</v>
      </c>
      <c r="V253" s="454"/>
      <c r="W253" s="454"/>
      <c r="X253" s="454"/>
      <c r="Y253" s="454"/>
      <c r="Z253" s="454"/>
      <c r="AA253" s="454"/>
      <c r="AB253" s="454"/>
      <c r="AC253" s="454"/>
      <c r="AD253" s="454"/>
      <c r="AE253" s="454"/>
      <c r="AF253" s="454"/>
      <c r="AG253" s="454"/>
      <c r="AH253" s="454"/>
      <c r="AI253" s="454"/>
      <c r="AJ253" s="454"/>
      <c r="AK253" s="454"/>
      <c r="AL253" s="454"/>
      <c r="AM253" s="454"/>
      <c r="AN253" s="454"/>
      <c r="AO253" s="454"/>
      <c r="AP253" s="454"/>
      <c r="AQ253" s="454"/>
      <c r="AR253" s="454"/>
      <c r="AS253" s="454"/>
      <c r="AT253" s="454"/>
      <c r="AU253" s="454"/>
      <c r="AV253" s="454"/>
      <c r="AW253" s="454"/>
      <c r="AX253" s="454"/>
      <c r="AY253" s="454"/>
      <c r="AZ253" s="454"/>
      <c r="BA253" s="454"/>
      <c r="BB253" s="454"/>
      <c r="BC253" s="454"/>
      <c r="BD253" s="454"/>
      <c r="BE253" s="454"/>
      <c r="BF253" s="454"/>
      <c r="BG253" s="454"/>
      <c r="BH253" s="454"/>
      <c r="BI253" s="454"/>
      <c r="BJ253" s="454"/>
      <c r="BK253" s="454"/>
      <c r="BL253" s="454"/>
      <c r="BM253" s="454"/>
      <c r="BN253" s="454"/>
      <c r="BO253" s="454"/>
      <c r="BP253" s="454"/>
      <c r="BQ253" s="454"/>
      <c r="BR253" s="454"/>
      <c r="BS253" s="454"/>
      <c r="BT253" s="454"/>
      <c r="BU253" s="454"/>
      <c r="BV253" s="454"/>
      <c r="BW253" s="454"/>
      <c r="BX253" s="454"/>
      <c r="BY253" s="454"/>
      <c r="BZ253" s="454"/>
      <c r="CA253" s="454"/>
      <c r="CB253" s="454"/>
      <c r="CC253" s="454"/>
      <c r="CD253" s="454"/>
      <c r="CE253" s="454"/>
      <c r="CF253" s="454"/>
      <c r="CG253" s="454"/>
      <c r="CH253" s="454"/>
      <c r="CI253" s="454"/>
      <c r="CJ253" s="454"/>
      <c r="CK253" s="454"/>
      <c r="CL253" s="454"/>
      <c r="CM253" s="454"/>
      <c r="CN253" s="454"/>
      <c r="CO253" s="454"/>
      <c r="CP253" s="454"/>
      <c r="CQ253" s="454"/>
      <c r="CR253" s="454"/>
      <c r="CS253" s="454"/>
      <c r="CT253" s="454"/>
      <c r="CU253" s="454"/>
      <c r="CV253" s="517"/>
      <c r="CW253" s="517">
        <f>E253</f>
        <v>0</v>
      </c>
      <c r="CX253" s="517"/>
      <c r="CY253" s="517"/>
      <c r="CZ253" s="517"/>
      <c r="DA253" s="517">
        <f>E253*2</f>
        <v>0</v>
      </c>
      <c r="DB253" s="517"/>
      <c r="DC253" s="517"/>
      <c r="DD253" s="517"/>
      <c r="DE253" s="517"/>
      <c r="DF253" s="517"/>
      <c r="DG253" s="517"/>
      <c r="DH253" s="517"/>
      <c r="DI253" s="454"/>
      <c r="DJ253" s="454"/>
      <c r="DK253" s="454">
        <v>1</v>
      </c>
      <c r="DL253" s="454"/>
      <c r="DM253" s="454">
        <v>3</v>
      </c>
      <c r="DN253" s="454"/>
      <c r="DO253" s="454"/>
      <c r="DP253" s="454"/>
      <c r="DQ253" s="454"/>
      <c r="DR253" s="454"/>
      <c r="DS253" s="454"/>
      <c r="DT253" s="454"/>
      <c r="DU253" s="454">
        <v>6</v>
      </c>
      <c r="DV253" s="454"/>
      <c r="DW253" s="454"/>
      <c r="DX253" s="454"/>
      <c r="DY253" s="454"/>
      <c r="DZ253" s="454"/>
      <c r="EA253" s="454"/>
      <c r="EB253" s="454">
        <v>2</v>
      </c>
      <c r="EC253" s="454"/>
      <c r="ED253" s="454"/>
      <c r="EE253" s="454"/>
      <c r="EF253" s="454"/>
      <c r="EG253" s="454"/>
      <c r="EH253" s="454"/>
      <c r="EI253" s="454"/>
      <c r="EJ253" s="454"/>
      <c r="EK253" s="454"/>
      <c r="EL253" s="454"/>
      <c r="EM253" s="454"/>
      <c r="EN253" s="454"/>
      <c r="EO253" s="454"/>
      <c r="EP253" s="454"/>
      <c r="EQ253" s="454"/>
      <c r="ER253" s="454"/>
      <c r="ES253" s="454"/>
      <c r="ET253" s="454"/>
      <c r="EU253" s="454"/>
      <c r="EV253" s="454"/>
      <c r="EW253" s="454"/>
      <c r="EX253" s="454"/>
      <c r="EY253" s="454"/>
      <c r="EZ253" s="454"/>
      <c r="FA253" s="454"/>
      <c r="FB253" s="454"/>
      <c r="FC253" s="454"/>
      <c r="FD253" s="454"/>
      <c r="FE253" s="454"/>
      <c r="FF253" s="454"/>
      <c r="FG253" s="290"/>
    </row>
    <row r="254" spans="1:167" s="4" customFormat="1">
      <c r="A254" s="56"/>
      <c r="B254" s="56"/>
      <c r="C254" s="498" t="s">
        <v>3632</v>
      </c>
      <c r="D254" s="498"/>
      <c r="E254" s="454">
        <v>31.3</v>
      </c>
      <c r="F254" s="454"/>
      <c r="G254" s="454"/>
      <c r="H254" s="454"/>
      <c r="I254" s="454"/>
      <c r="J254" s="454"/>
      <c r="K254" s="454"/>
      <c r="L254" s="454"/>
      <c r="M254" s="454"/>
      <c r="N254" s="454"/>
      <c r="O254" s="454"/>
      <c r="P254" s="454"/>
      <c r="Q254" s="454"/>
      <c r="R254" s="290"/>
      <c r="S254" s="290"/>
      <c r="T254" s="454"/>
      <c r="U254" s="454" t="s">
        <v>2989</v>
      </c>
      <c r="V254" s="454"/>
      <c r="W254" s="454"/>
      <c r="X254" s="454"/>
      <c r="Y254" s="454"/>
      <c r="Z254" s="454"/>
      <c r="AA254" s="454"/>
      <c r="AB254" s="454"/>
      <c r="AC254" s="454"/>
      <c r="AD254" s="454"/>
      <c r="AE254" s="454"/>
      <c r="AF254" s="454"/>
      <c r="AG254" s="454"/>
      <c r="AH254" s="454"/>
      <c r="AI254" s="454"/>
      <c r="AJ254" s="454"/>
      <c r="AK254" s="454"/>
      <c r="AL254" s="454"/>
      <c r="AM254" s="454"/>
      <c r="AN254" s="454"/>
      <c r="AO254" s="454"/>
      <c r="AP254" s="454"/>
      <c r="AQ254" s="454"/>
      <c r="AR254" s="454"/>
      <c r="AS254" s="454"/>
      <c r="AT254" s="454"/>
      <c r="AU254" s="454"/>
      <c r="AV254" s="454"/>
      <c r="AW254" s="454"/>
      <c r="AX254" s="454"/>
      <c r="AY254" s="454"/>
      <c r="AZ254" s="454"/>
      <c r="BA254" s="454"/>
      <c r="BB254" s="454"/>
      <c r="BC254" s="454"/>
      <c r="BD254" s="454"/>
      <c r="BE254" s="454"/>
      <c r="BF254" s="454"/>
      <c r="BG254" s="454"/>
      <c r="BH254" s="454"/>
      <c r="BI254" s="454"/>
      <c r="BJ254" s="454"/>
      <c r="BK254" s="454"/>
      <c r="BL254" s="454"/>
      <c r="BM254" s="454"/>
      <c r="BN254" s="454"/>
      <c r="BO254" s="454"/>
      <c r="BP254" s="454"/>
      <c r="BQ254" s="454"/>
      <c r="BR254" s="454"/>
      <c r="BS254" s="454"/>
      <c r="BT254" s="454"/>
      <c r="BU254" s="454"/>
      <c r="BV254" s="454"/>
      <c r="BW254" s="454"/>
      <c r="BX254" s="454"/>
      <c r="BY254" s="454"/>
      <c r="BZ254" s="454"/>
      <c r="CA254" s="454"/>
      <c r="CB254" s="454"/>
      <c r="CC254" s="454"/>
      <c r="CD254" s="454"/>
      <c r="CE254" s="454"/>
      <c r="CF254" s="454"/>
      <c r="CG254" s="454"/>
      <c r="CH254" s="454"/>
      <c r="CI254" s="454"/>
      <c r="CJ254" s="454"/>
      <c r="CK254" s="454"/>
      <c r="CL254" s="454"/>
      <c r="CM254" s="454"/>
      <c r="CN254" s="454"/>
      <c r="CO254" s="454"/>
      <c r="CP254" s="454"/>
      <c r="CQ254" s="454"/>
      <c r="CR254" s="454"/>
      <c r="CS254" s="454"/>
      <c r="CT254" s="454"/>
      <c r="CU254" s="454"/>
      <c r="CV254" s="517"/>
      <c r="CW254" s="517">
        <f t="shared" ref="CW254:CW266" si="36">E254</f>
        <v>31.3</v>
      </c>
      <c r="CX254" s="517"/>
      <c r="CY254" s="517"/>
      <c r="CZ254" s="517"/>
      <c r="DA254" s="517">
        <f t="shared" ref="DA254:DA266" si="37">E254*2</f>
        <v>62.6</v>
      </c>
      <c r="DB254" s="517"/>
      <c r="DC254" s="517"/>
      <c r="DD254" s="517"/>
      <c r="DE254" s="517"/>
      <c r="DF254" s="517"/>
      <c r="DG254" s="517"/>
      <c r="DH254" s="517"/>
      <c r="DI254" s="454"/>
      <c r="DJ254" s="454"/>
      <c r="DK254" s="454">
        <v>2</v>
      </c>
      <c r="DL254" s="454"/>
      <c r="DM254" s="454">
        <v>6</v>
      </c>
      <c r="DN254" s="454"/>
      <c r="DO254" s="454"/>
      <c r="DP254" s="454"/>
      <c r="DQ254" s="454"/>
      <c r="DR254" s="454"/>
      <c r="DS254" s="454"/>
      <c r="DT254" s="454">
        <v>4</v>
      </c>
      <c r="DU254" s="454">
        <v>12</v>
      </c>
      <c r="DV254" s="454"/>
      <c r="DW254" s="454"/>
      <c r="DX254" s="454"/>
      <c r="DY254" s="454"/>
      <c r="DZ254" s="454"/>
      <c r="EA254" s="454"/>
      <c r="EB254" s="454">
        <v>2</v>
      </c>
      <c r="EC254" s="454"/>
      <c r="ED254" s="454"/>
      <c r="EE254" s="454"/>
      <c r="EF254" s="454"/>
      <c r="EG254" s="454"/>
      <c r="EH254" s="454"/>
      <c r="EI254" s="454"/>
      <c r="EJ254" s="454"/>
      <c r="EK254" s="454"/>
      <c r="EL254" s="454"/>
      <c r="EM254" s="454"/>
      <c r="EN254" s="454"/>
      <c r="EO254" s="454"/>
      <c r="EP254" s="454"/>
      <c r="EQ254" s="454"/>
      <c r="ER254" s="454"/>
      <c r="ES254" s="454"/>
      <c r="ET254" s="454"/>
      <c r="EU254" s="454"/>
      <c r="EV254" s="454"/>
      <c r="EW254" s="454"/>
      <c r="EX254" s="454"/>
      <c r="EY254" s="454"/>
      <c r="EZ254" s="454"/>
      <c r="FA254" s="454"/>
      <c r="FB254" s="454"/>
      <c r="FC254" s="454"/>
      <c r="FD254" s="454"/>
      <c r="FE254" s="454"/>
      <c r="FF254" s="454"/>
      <c r="FG254" s="290"/>
    </row>
    <row r="255" spans="1:167" s="4" customFormat="1">
      <c r="A255" s="56"/>
      <c r="B255" s="56"/>
      <c r="C255" s="498" t="s">
        <v>3633</v>
      </c>
      <c r="D255" s="498"/>
      <c r="E255" s="454">
        <v>24.9</v>
      </c>
      <c r="F255" s="454"/>
      <c r="G255" s="454"/>
      <c r="H255" s="454"/>
      <c r="I255" s="454"/>
      <c r="J255" s="454"/>
      <c r="K255" s="454"/>
      <c r="L255" s="454"/>
      <c r="M255" s="454"/>
      <c r="N255" s="454"/>
      <c r="O255" s="454"/>
      <c r="P255" s="454"/>
      <c r="Q255" s="454"/>
      <c r="R255" s="290"/>
      <c r="S255" s="290"/>
      <c r="T255" s="454"/>
      <c r="U255" s="454" t="s">
        <v>1631</v>
      </c>
      <c r="V255" s="454"/>
      <c r="W255" s="454"/>
      <c r="X255" s="454"/>
      <c r="Y255" s="454"/>
      <c r="Z255" s="454"/>
      <c r="AA255" s="454"/>
      <c r="AB255" s="454"/>
      <c r="AC255" s="454"/>
      <c r="AD255" s="454"/>
      <c r="AE255" s="454"/>
      <c r="AF255" s="454"/>
      <c r="AG255" s="454"/>
      <c r="AH255" s="454"/>
      <c r="AI255" s="454"/>
      <c r="AJ255" s="454"/>
      <c r="AK255" s="454"/>
      <c r="AL255" s="454"/>
      <c r="AM255" s="454"/>
      <c r="AN255" s="454"/>
      <c r="AO255" s="454"/>
      <c r="AP255" s="454"/>
      <c r="AQ255" s="454"/>
      <c r="AR255" s="454"/>
      <c r="AS255" s="454"/>
      <c r="AT255" s="454"/>
      <c r="AU255" s="454"/>
      <c r="AV255" s="454"/>
      <c r="AW255" s="454"/>
      <c r="AX255" s="454"/>
      <c r="AY255" s="454"/>
      <c r="AZ255" s="454"/>
      <c r="BA255" s="454"/>
      <c r="BB255" s="454"/>
      <c r="BC255" s="454"/>
      <c r="BD255" s="454"/>
      <c r="BE255" s="454"/>
      <c r="BF255" s="454"/>
      <c r="BG255" s="454"/>
      <c r="BH255" s="454"/>
      <c r="BI255" s="454"/>
      <c r="BJ255" s="454"/>
      <c r="BK255" s="454"/>
      <c r="BL255" s="454"/>
      <c r="BM255" s="454"/>
      <c r="BN255" s="454"/>
      <c r="BO255" s="454"/>
      <c r="BP255" s="454"/>
      <c r="BQ255" s="454"/>
      <c r="BR255" s="454"/>
      <c r="BS255" s="454"/>
      <c r="BT255" s="454"/>
      <c r="BU255" s="454"/>
      <c r="BV255" s="454"/>
      <c r="BW255" s="454"/>
      <c r="BX255" s="454"/>
      <c r="BY255" s="454"/>
      <c r="BZ255" s="454"/>
      <c r="CA255" s="454"/>
      <c r="CB255" s="454"/>
      <c r="CC255" s="454"/>
      <c r="CD255" s="454"/>
      <c r="CE255" s="454"/>
      <c r="CF255" s="454"/>
      <c r="CG255" s="454"/>
      <c r="CH255" s="454"/>
      <c r="CI255" s="454"/>
      <c r="CJ255" s="454"/>
      <c r="CK255" s="454"/>
      <c r="CL255" s="454"/>
      <c r="CM255" s="454"/>
      <c r="CN255" s="454"/>
      <c r="CO255" s="454"/>
      <c r="CP255" s="454"/>
      <c r="CQ255" s="454"/>
      <c r="CR255" s="454"/>
      <c r="CS255" s="454"/>
      <c r="CT255" s="454"/>
      <c r="CU255" s="454"/>
      <c r="CV255" s="517"/>
      <c r="CW255" s="517">
        <f t="shared" si="36"/>
        <v>24.9</v>
      </c>
      <c r="CX255" s="517"/>
      <c r="CY255" s="517"/>
      <c r="CZ255" s="517"/>
      <c r="DA255" s="517">
        <f t="shared" si="37"/>
        <v>49.8</v>
      </c>
      <c r="DB255" s="517"/>
      <c r="DC255" s="517"/>
      <c r="DD255" s="517"/>
      <c r="DE255" s="517"/>
      <c r="DF255" s="517"/>
      <c r="DG255" s="517"/>
      <c r="DH255" s="517"/>
      <c r="DI255" s="454"/>
      <c r="DJ255" s="454"/>
      <c r="DK255" s="454">
        <v>1</v>
      </c>
      <c r="DL255" s="454"/>
      <c r="DM255" s="454">
        <v>3</v>
      </c>
      <c r="DN255" s="454">
        <v>1</v>
      </c>
      <c r="DO255" s="454">
        <v>3</v>
      </c>
      <c r="DP255" s="454">
        <v>2</v>
      </c>
      <c r="DQ255" s="454"/>
      <c r="DR255" s="454"/>
      <c r="DS255" s="454"/>
      <c r="DT255" s="454"/>
      <c r="DU255" s="454"/>
      <c r="DV255" s="454"/>
      <c r="DW255" s="454"/>
      <c r="DX255" s="454"/>
      <c r="DY255" s="454"/>
      <c r="DZ255" s="454"/>
      <c r="EA255" s="454">
        <v>2</v>
      </c>
      <c r="EB255" s="454"/>
      <c r="EC255" s="454"/>
      <c r="ED255" s="454"/>
      <c r="EE255" s="454"/>
      <c r="EF255" s="454"/>
      <c r="EG255" s="454"/>
      <c r="EH255" s="454"/>
      <c r="EI255" s="454"/>
      <c r="EJ255" s="454"/>
      <c r="EK255" s="454"/>
      <c r="EL255" s="454"/>
      <c r="EM255" s="454"/>
      <c r="EN255" s="454"/>
      <c r="EO255" s="454"/>
      <c r="EP255" s="454"/>
      <c r="EQ255" s="454"/>
      <c r="ER255" s="454"/>
      <c r="ES255" s="454"/>
      <c r="ET255" s="454"/>
      <c r="EU255" s="454"/>
      <c r="EV255" s="454"/>
      <c r="EW255" s="454"/>
      <c r="EX255" s="454"/>
      <c r="EY255" s="454"/>
      <c r="EZ255" s="454"/>
      <c r="FA255" s="454"/>
      <c r="FB255" s="454"/>
      <c r="FC255" s="454"/>
      <c r="FD255" s="454"/>
      <c r="FE255" s="454"/>
      <c r="FF255" s="454"/>
      <c r="FG255" s="290"/>
    </row>
    <row r="256" spans="1:167" s="4" customFormat="1">
      <c r="A256" s="56"/>
      <c r="B256" s="56"/>
      <c r="C256" s="498" t="s">
        <v>3634</v>
      </c>
      <c r="D256" s="498"/>
      <c r="E256" s="454">
        <v>33.9</v>
      </c>
      <c r="F256" s="454"/>
      <c r="G256" s="454"/>
      <c r="H256" s="454"/>
      <c r="I256" s="454"/>
      <c r="J256" s="454"/>
      <c r="K256" s="454"/>
      <c r="L256" s="454"/>
      <c r="M256" s="454"/>
      <c r="N256" s="454"/>
      <c r="O256" s="454"/>
      <c r="P256" s="454"/>
      <c r="Q256" s="454"/>
      <c r="R256" s="290"/>
      <c r="S256" s="290"/>
      <c r="T256" s="454"/>
      <c r="U256" s="454" t="s">
        <v>1631</v>
      </c>
      <c r="V256" s="454"/>
      <c r="W256" s="454"/>
      <c r="X256" s="454"/>
      <c r="Y256" s="454"/>
      <c r="Z256" s="454"/>
      <c r="AA256" s="454"/>
      <c r="AB256" s="454"/>
      <c r="AC256" s="454"/>
      <c r="AD256" s="454"/>
      <c r="AE256" s="454"/>
      <c r="AF256" s="454"/>
      <c r="AG256" s="454"/>
      <c r="AH256" s="454"/>
      <c r="AI256" s="454"/>
      <c r="AJ256" s="454"/>
      <c r="AK256" s="454"/>
      <c r="AL256" s="454"/>
      <c r="AM256" s="454"/>
      <c r="AN256" s="454"/>
      <c r="AO256" s="454"/>
      <c r="AP256" s="454"/>
      <c r="AQ256" s="454"/>
      <c r="AR256" s="454"/>
      <c r="AS256" s="454"/>
      <c r="AT256" s="454"/>
      <c r="AU256" s="454"/>
      <c r="AV256" s="454"/>
      <c r="AW256" s="454"/>
      <c r="AX256" s="454"/>
      <c r="AY256" s="454"/>
      <c r="AZ256" s="454"/>
      <c r="BA256" s="454"/>
      <c r="BB256" s="454"/>
      <c r="BC256" s="454"/>
      <c r="BD256" s="454"/>
      <c r="BE256" s="454"/>
      <c r="BF256" s="454"/>
      <c r="BG256" s="454"/>
      <c r="BH256" s="454"/>
      <c r="BI256" s="454"/>
      <c r="BJ256" s="454"/>
      <c r="BK256" s="454"/>
      <c r="BL256" s="454"/>
      <c r="BM256" s="454"/>
      <c r="BN256" s="454"/>
      <c r="BO256" s="454"/>
      <c r="BP256" s="454"/>
      <c r="BQ256" s="454"/>
      <c r="BR256" s="454"/>
      <c r="BS256" s="454"/>
      <c r="BT256" s="454"/>
      <c r="BU256" s="454"/>
      <c r="BV256" s="454"/>
      <c r="BW256" s="454"/>
      <c r="BX256" s="454"/>
      <c r="BY256" s="454"/>
      <c r="BZ256" s="454"/>
      <c r="CA256" s="454"/>
      <c r="CB256" s="454"/>
      <c r="CC256" s="454"/>
      <c r="CD256" s="454"/>
      <c r="CE256" s="454"/>
      <c r="CF256" s="454"/>
      <c r="CG256" s="454"/>
      <c r="CH256" s="454"/>
      <c r="CI256" s="454"/>
      <c r="CJ256" s="454"/>
      <c r="CK256" s="454"/>
      <c r="CL256" s="454"/>
      <c r="CM256" s="454"/>
      <c r="CN256" s="454"/>
      <c r="CO256" s="454"/>
      <c r="CP256" s="454"/>
      <c r="CQ256" s="830">
        <v>1</v>
      </c>
      <c r="CR256" s="830"/>
      <c r="CS256" s="830"/>
      <c r="CT256" s="830"/>
      <c r="CU256" s="830">
        <v>1</v>
      </c>
      <c r="CV256" s="517"/>
      <c r="CW256" s="517">
        <f t="shared" si="36"/>
        <v>33.9</v>
      </c>
      <c r="CX256" s="517"/>
      <c r="CY256" s="517"/>
      <c r="CZ256" s="517"/>
      <c r="DA256" s="517">
        <f t="shared" si="37"/>
        <v>67.8</v>
      </c>
      <c r="DB256" s="517"/>
      <c r="DC256" s="517"/>
      <c r="DD256" s="517"/>
      <c r="DE256" s="517"/>
      <c r="DF256" s="517"/>
      <c r="DG256" s="517"/>
      <c r="DH256" s="517"/>
      <c r="DI256" s="454"/>
      <c r="DJ256" s="454"/>
      <c r="DK256" s="454">
        <v>1</v>
      </c>
      <c r="DL256" s="454"/>
      <c r="DM256" s="454">
        <v>3</v>
      </c>
      <c r="DN256" s="454">
        <v>1</v>
      </c>
      <c r="DO256" s="454">
        <v>2</v>
      </c>
      <c r="DP256" s="454">
        <v>1</v>
      </c>
      <c r="DQ256" s="454"/>
      <c r="DR256" s="454"/>
      <c r="DS256" s="454"/>
      <c r="DT256" s="454"/>
      <c r="DU256" s="454"/>
      <c r="DV256" s="454"/>
      <c r="DW256" s="454"/>
      <c r="DX256" s="454"/>
      <c r="DY256" s="454"/>
      <c r="DZ256" s="454"/>
      <c r="EA256" s="454">
        <v>2</v>
      </c>
      <c r="EB256" s="454"/>
      <c r="EC256" s="454"/>
      <c r="ED256" s="454"/>
      <c r="EE256" s="454"/>
      <c r="EF256" s="454"/>
      <c r="EG256" s="454"/>
      <c r="EH256" s="454"/>
      <c r="EI256" s="454"/>
      <c r="EJ256" s="454"/>
      <c r="EK256" s="454"/>
      <c r="EL256" s="454"/>
      <c r="EM256" s="454"/>
      <c r="EN256" s="454"/>
      <c r="EO256" s="454"/>
      <c r="EP256" s="454"/>
      <c r="EQ256" s="454"/>
      <c r="ER256" s="454"/>
      <c r="ES256" s="454"/>
      <c r="ET256" s="454"/>
      <c r="EU256" s="454"/>
      <c r="EV256" s="454"/>
      <c r="EW256" s="454"/>
      <c r="EX256" s="454"/>
      <c r="EY256" s="454"/>
      <c r="EZ256" s="454"/>
      <c r="FA256" s="454"/>
      <c r="FB256" s="454"/>
      <c r="FC256" s="454"/>
      <c r="FD256" s="454"/>
      <c r="FE256" s="454"/>
      <c r="FF256" s="454"/>
      <c r="FG256" s="290"/>
    </row>
    <row r="257" spans="1:163" s="4" customFormat="1">
      <c r="A257" s="56"/>
      <c r="B257" s="56"/>
      <c r="C257" s="498" t="s">
        <v>3635</v>
      </c>
      <c r="D257" s="498"/>
      <c r="E257" s="454">
        <v>37.6</v>
      </c>
      <c r="F257" s="454"/>
      <c r="G257" s="454"/>
      <c r="H257" s="454"/>
      <c r="I257" s="454"/>
      <c r="J257" s="454"/>
      <c r="K257" s="454"/>
      <c r="L257" s="454"/>
      <c r="M257" s="454"/>
      <c r="N257" s="454"/>
      <c r="O257" s="454"/>
      <c r="P257" s="454"/>
      <c r="Q257" s="454"/>
      <c r="R257" s="290"/>
      <c r="S257" s="290"/>
      <c r="T257" s="454"/>
      <c r="U257" s="454" t="s">
        <v>1631</v>
      </c>
      <c r="V257" s="454"/>
      <c r="W257" s="454"/>
      <c r="X257" s="454"/>
      <c r="Y257" s="454"/>
      <c r="Z257" s="454"/>
      <c r="AA257" s="454"/>
      <c r="AB257" s="454"/>
      <c r="AC257" s="454"/>
      <c r="AD257" s="454"/>
      <c r="AE257" s="454"/>
      <c r="AF257" s="454"/>
      <c r="AG257" s="454"/>
      <c r="AH257" s="454"/>
      <c r="AI257" s="454"/>
      <c r="AJ257" s="454"/>
      <c r="AK257" s="454"/>
      <c r="AL257" s="454"/>
      <c r="AM257" s="454"/>
      <c r="AN257" s="454"/>
      <c r="AO257" s="454"/>
      <c r="AP257" s="454"/>
      <c r="AQ257" s="454"/>
      <c r="AR257" s="454"/>
      <c r="AS257" s="454"/>
      <c r="AT257" s="454"/>
      <c r="AU257" s="454"/>
      <c r="AV257" s="454"/>
      <c r="AW257" s="454"/>
      <c r="AX257" s="454"/>
      <c r="AY257" s="454"/>
      <c r="AZ257" s="454"/>
      <c r="BA257" s="454"/>
      <c r="BB257" s="454"/>
      <c r="BC257" s="454"/>
      <c r="BD257" s="454"/>
      <c r="BE257" s="454"/>
      <c r="BF257" s="454"/>
      <c r="BG257" s="454"/>
      <c r="BH257" s="454"/>
      <c r="BI257" s="454"/>
      <c r="BJ257" s="454"/>
      <c r="BK257" s="454"/>
      <c r="BL257" s="454"/>
      <c r="BM257" s="454"/>
      <c r="BN257" s="454"/>
      <c r="BO257" s="454"/>
      <c r="BP257" s="454"/>
      <c r="BQ257" s="454"/>
      <c r="BR257" s="454"/>
      <c r="BS257" s="454"/>
      <c r="BT257" s="454"/>
      <c r="BU257" s="454"/>
      <c r="BV257" s="454"/>
      <c r="BW257" s="454"/>
      <c r="BX257" s="454"/>
      <c r="BY257" s="454"/>
      <c r="BZ257" s="454"/>
      <c r="CA257" s="454"/>
      <c r="CB257" s="454"/>
      <c r="CC257" s="454"/>
      <c r="CD257" s="454"/>
      <c r="CE257" s="454"/>
      <c r="CF257" s="454"/>
      <c r="CG257" s="454"/>
      <c r="CH257" s="454"/>
      <c r="CI257" s="454"/>
      <c r="CJ257" s="454"/>
      <c r="CK257" s="454"/>
      <c r="CL257" s="454"/>
      <c r="CM257" s="454"/>
      <c r="CN257" s="454"/>
      <c r="CO257" s="454"/>
      <c r="CP257" s="454"/>
      <c r="CQ257" s="830">
        <v>1</v>
      </c>
      <c r="CR257" s="830"/>
      <c r="CS257" s="830"/>
      <c r="CT257" s="830"/>
      <c r="CU257" s="830">
        <v>1</v>
      </c>
      <c r="CV257" s="517"/>
      <c r="CW257" s="517">
        <f t="shared" si="36"/>
        <v>37.6</v>
      </c>
      <c r="CX257" s="517"/>
      <c r="CY257" s="517"/>
      <c r="CZ257" s="517"/>
      <c r="DA257" s="517">
        <f t="shared" si="37"/>
        <v>75.2</v>
      </c>
      <c r="DB257" s="517"/>
      <c r="DC257" s="517"/>
      <c r="DD257" s="517"/>
      <c r="DE257" s="517"/>
      <c r="DF257" s="517"/>
      <c r="DG257" s="517"/>
      <c r="DH257" s="517"/>
      <c r="DI257" s="454"/>
      <c r="DJ257" s="454"/>
      <c r="DK257" s="454">
        <v>1</v>
      </c>
      <c r="DL257" s="454"/>
      <c r="DM257" s="454">
        <v>3</v>
      </c>
      <c r="DN257" s="454">
        <v>1</v>
      </c>
      <c r="DO257" s="454">
        <v>3</v>
      </c>
      <c r="DP257" s="454">
        <v>2</v>
      </c>
      <c r="DQ257" s="454"/>
      <c r="DR257" s="454"/>
      <c r="DS257" s="454"/>
      <c r="DT257" s="454"/>
      <c r="DU257" s="454"/>
      <c r="DV257" s="454"/>
      <c r="DW257" s="454"/>
      <c r="DX257" s="454"/>
      <c r="DY257" s="454"/>
      <c r="DZ257" s="454"/>
      <c r="EA257" s="454">
        <v>2</v>
      </c>
      <c r="EB257" s="454"/>
      <c r="EC257" s="454"/>
      <c r="ED257" s="454"/>
      <c r="EE257" s="454"/>
      <c r="EF257" s="454"/>
      <c r="EG257" s="454"/>
      <c r="EH257" s="454"/>
      <c r="EI257" s="454"/>
      <c r="EJ257" s="454"/>
      <c r="EK257" s="454"/>
      <c r="EL257" s="454"/>
      <c r="EM257" s="454"/>
      <c r="EN257" s="454"/>
      <c r="EO257" s="454"/>
      <c r="EP257" s="454"/>
      <c r="EQ257" s="454"/>
      <c r="ER257" s="454"/>
      <c r="ES257" s="454"/>
      <c r="ET257" s="454"/>
      <c r="EU257" s="454"/>
      <c r="EV257" s="454"/>
      <c r="EW257" s="454"/>
      <c r="EX257" s="454"/>
      <c r="EY257" s="454"/>
      <c r="EZ257" s="454"/>
      <c r="FA257" s="454"/>
      <c r="FB257" s="454"/>
      <c r="FC257" s="454"/>
      <c r="FD257" s="454"/>
      <c r="FE257" s="454"/>
      <c r="FF257" s="454"/>
      <c r="FG257" s="290"/>
    </row>
    <row r="258" spans="1:163" s="4" customFormat="1">
      <c r="A258" s="56"/>
      <c r="B258" s="56"/>
      <c r="C258" s="498" t="s">
        <v>3636</v>
      </c>
      <c r="D258" s="498"/>
      <c r="E258" s="454">
        <v>36</v>
      </c>
      <c r="F258" s="454"/>
      <c r="G258" s="454"/>
      <c r="H258" s="454"/>
      <c r="I258" s="454"/>
      <c r="J258" s="454"/>
      <c r="K258" s="454"/>
      <c r="L258" s="454"/>
      <c r="M258" s="454"/>
      <c r="N258" s="454"/>
      <c r="O258" s="454"/>
      <c r="P258" s="454"/>
      <c r="Q258" s="454"/>
      <c r="R258" s="290"/>
      <c r="S258" s="290"/>
      <c r="T258" s="454"/>
      <c r="U258" s="454" t="s">
        <v>1631</v>
      </c>
      <c r="V258" s="454"/>
      <c r="W258" s="454"/>
      <c r="X258" s="454"/>
      <c r="Y258" s="454"/>
      <c r="Z258" s="454"/>
      <c r="AA258" s="454"/>
      <c r="AB258" s="454"/>
      <c r="AC258" s="454"/>
      <c r="AD258" s="454"/>
      <c r="AE258" s="454"/>
      <c r="AF258" s="454"/>
      <c r="AG258" s="454"/>
      <c r="AH258" s="454"/>
      <c r="AI258" s="454"/>
      <c r="AJ258" s="454"/>
      <c r="AK258" s="454"/>
      <c r="AL258" s="454"/>
      <c r="AM258" s="454"/>
      <c r="AN258" s="454"/>
      <c r="AO258" s="454"/>
      <c r="AP258" s="454"/>
      <c r="AQ258" s="454"/>
      <c r="AR258" s="454"/>
      <c r="AS258" s="454"/>
      <c r="AT258" s="454"/>
      <c r="AU258" s="454"/>
      <c r="AV258" s="454"/>
      <c r="AW258" s="454"/>
      <c r="AX258" s="454"/>
      <c r="AY258" s="454"/>
      <c r="AZ258" s="454"/>
      <c r="BA258" s="454"/>
      <c r="BB258" s="454"/>
      <c r="BC258" s="454"/>
      <c r="BD258" s="454"/>
      <c r="BE258" s="454"/>
      <c r="BF258" s="454"/>
      <c r="BG258" s="454"/>
      <c r="BH258" s="454"/>
      <c r="BI258" s="454"/>
      <c r="BJ258" s="454"/>
      <c r="BK258" s="454"/>
      <c r="BL258" s="454"/>
      <c r="BM258" s="454"/>
      <c r="BN258" s="454"/>
      <c r="BO258" s="454"/>
      <c r="BP258" s="454"/>
      <c r="BQ258" s="454"/>
      <c r="BR258" s="454"/>
      <c r="BS258" s="454"/>
      <c r="BT258" s="454"/>
      <c r="BU258" s="454"/>
      <c r="BV258" s="454"/>
      <c r="BW258" s="454"/>
      <c r="BX258" s="454"/>
      <c r="BY258" s="454"/>
      <c r="BZ258" s="454"/>
      <c r="CA258" s="454"/>
      <c r="CB258" s="454"/>
      <c r="CC258" s="454"/>
      <c r="CD258" s="454"/>
      <c r="CE258" s="454"/>
      <c r="CF258" s="454"/>
      <c r="CG258" s="454"/>
      <c r="CH258" s="454"/>
      <c r="CI258" s="454"/>
      <c r="CJ258" s="454"/>
      <c r="CK258" s="454"/>
      <c r="CL258" s="454"/>
      <c r="CM258" s="454"/>
      <c r="CN258" s="454"/>
      <c r="CO258" s="454"/>
      <c r="CP258" s="454"/>
      <c r="CQ258" s="454"/>
      <c r="CR258" s="454"/>
      <c r="CS258" s="454"/>
      <c r="CT258" s="454"/>
      <c r="CU258" s="454"/>
      <c r="CV258" s="517"/>
      <c r="CW258" s="517">
        <f t="shared" si="36"/>
        <v>36</v>
      </c>
      <c r="CX258" s="517"/>
      <c r="CY258" s="517"/>
      <c r="CZ258" s="517"/>
      <c r="DA258" s="517">
        <f t="shared" si="37"/>
        <v>72</v>
      </c>
      <c r="DB258" s="517"/>
      <c r="DC258" s="517"/>
      <c r="DD258" s="517"/>
      <c r="DE258" s="517"/>
      <c r="DF258" s="517"/>
      <c r="DG258" s="517"/>
      <c r="DH258" s="517"/>
      <c r="DI258" s="454"/>
      <c r="DJ258" s="454"/>
      <c r="DK258" s="454">
        <v>1</v>
      </c>
      <c r="DL258" s="454"/>
      <c r="DM258" s="454">
        <v>3</v>
      </c>
      <c r="DN258" s="454">
        <v>1</v>
      </c>
      <c r="DO258" s="454">
        <v>3</v>
      </c>
      <c r="DP258" s="454">
        <v>2</v>
      </c>
      <c r="DQ258" s="454"/>
      <c r="DR258" s="454"/>
      <c r="DS258" s="454"/>
      <c r="DT258" s="454"/>
      <c r="DU258" s="454"/>
      <c r="DV258" s="454"/>
      <c r="DW258" s="454"/>
      <c r="DX258" s="454"/>
      <c r="DY258" s="454"/>
      <c r="DZ258" s="454"/>
      <c r="EA258" s="454">
        <v>2</v>
      </c>
      <c r="EB258" s="454"/>
      <c r="EC258" s="454"/>
      <c r="ED258" s="454"/>
      <c r="EE258" s="454"/>
      <c r="EF258" s="454"/>
      <c r="EG258" s="454"/>
      <c r="EH258" s="454"/>
      <c r="EI258" s="454"/>
      <c r="EJ258" s="454"/>
      <c r="EK258" s="454"/>
      <c r="EL258" s="454"/>
      <c r="EM258" s="454"/>
      <c r="EN258" s="454"/>
      <c r="EO258" s="454"/>
      <c r="EP258" s="454"/>
      <c r="EQ258" s="454"/>
      <c r="ER258" s="454"/>
      <c r="ES258" s="454"/>
      <c r="ET258" s="454"/>
      <c r="EU258" s="454"/>
      <c r="EV258" s="454"/>
      <c r="EW258" s="454"/>
      <c r="EX258" s="454"/>
      <c r="EY258" s="454"/>
      <c r="EZ258" s="454"/>
      <c r="FA258" s="454"/>
      <c r="FB258" s="454"/>
      <c r="FC258" s="454"/>
      <c r="FD258" s="454"/>
      <c r="FE258" s="454"/>
      <c r="FF258" s="454"/>
      <c r="FG258" s="290"/>
    </row>
    <row r="259" spans="1:163" s="4" customFormat="1">
      <c r="A259" s="56"/>
      <c r="B259" s="56"/>
      <c r="C259" s="498" t="s">
        <v>3637</v>
      </c>
      <c r="D259" s="498"/>
      <c r="E259" s="454">
        <v>47.8</v>
      </c>
      <c r="F259" s="454"/>
      <c r="G259" s="454"/>
      <c r="H259" s="454"/>
      <c r="I259" s="454"/>
      <c r="J259" s="454"/>
      <c r="K259" s="454"/>
      <c r="L259" s="454"/>
      <c r="M259" s="454"/>
      <c r="N259" s="454"/>
      <c r="O259" s="454"/>
      <c r="P259" s="454"/>
      <c r="Q259" s="454"/>
      <c r="R259" s="290"/>
      <c r="S259" s="290"/>
      <c r="T259" s="454"/>
      <c r="U259" s="454" t="s">
        <v>1903</v>
      </c>
      <c r="V259" s="454"/>
      <c r="W259" s="454"/>
      <c r="X259" s="454"/>
      <c r="Y259" s="454"/>
      <c r="Z259" s="454"/>
      <c r="AA259" s="454"/>
      <c r="AB259" s="454"/>
      <c r="AC259" s="454"/>
      <c r="AD259" s="454"/>
      <c r="AE259" s="454"/>
      <c r="AF259" s="454"/>
      <c r="AG259" s="454"/>
      <c r="AH259" s="454"/>
      <c r="AI259" s="454"/>
      <c r="AJ259" s="454"/>
      <c r="AK259" s="454"/>
      <c r="AL259" s="454"/>
      <c r="AM259" s="454"/>
      <c r="AN259" s="454"/>
      <c r="AO259" s="454"/>
      <c r="AP259" s="454"/>
      <c r="AQ259" s="454"/>
      <c r="AR259" s="454"/>
      <c r="AS259" s="454"/>
      <c r="AT259" s="454"/>
      <c r="AU259" s="454"/>
      <c r="AV259" s="454"/>
      <c r="AW259" s="454"/>
      <c r="AX259" s="454"/>
      <c r="AY259" s="454"/>
      <c r="AZ259" s="454"/>
      <c r="BA259" s="454"/>
      <c r="BB259" s="454"/>
      <c r="BC259" s="454"/>
      <c r="BD259" s="454"/>
      <c r="BE259" s="454"/>
      <c r="BF259" s="454"/>
      <c r="BG259" s="454"/>
      <c r="BH259" s="454"/>
      <c r="BI259" s="454"/>
      <c r="BJ259" s="454"/>
      <c r="BK259" s="454"/>
      <c r="BL259" s="454"/>
      <c r="BM259" s="454"/>
      <c r="BN259" s="454"/>
      <c r="BO259" s="454"/>
      <c r="BP259" s="454"/>
      <c r="BQ259" s="454"/>
      <c r="BR259" s="454"/>
      <c r="BS259" s="454"/>
      <c r="BT259" s="454"/>
      <c r="BU259" s="454"/>
      <c r="BV259" s="454"/>
      <c r="BW259" s="454"/>
      <c r="BX259" s="454"/>
      <c r="BY259" s="454"/>
      <c r="BZ259" s="454"/>
      <c r="CA259" s="454"/>
      <c r="CB259" s="454"/>
      <c r="CC259" s="454"/>
      <c r="CD259" s="454"/>
      <c r="CE259" s="454"/>
      <c r="CF259" s="454"/>
      <c r="CG259" s="454"/>
      <c r="CH259" s="454"/>
      <c r="CI259" s="454"/>
      <c r="CJ259" s="454"/>
      <c r="CK259" s="454"/>
      <c r="CL259" s="454"/>
      <c r="CM259" s="454"/>
      <c r="CN259" s="454"/>
      <c r="CO259" s="454"/>
      <c r="CP259" s="454"/>
      <c r="CQ259" s="454"/>
      <c r="CR259" s="454"/>
      <c r="CS259" s="454"/>
      <c r="CT259" s="454"/>
      <c r="CU259" s="454"/>
      <c r="CV259" s="517"/>
      <c r="CW259" s="517">
        <f t="shared" si="36"/>
        <v>47.8</v>
      </c>
      <c r="CX259" s="517"/>
      <c r="CY259" s="517"/>
      <c r="CZ259" s="517"/>
      <c r="DA259" s="517">
        <f t="shared" si="37"/>
        <v>95.6</v>
      </c>
      <c r="DB259" s="517"/>
      <c r="DC259" s="517"/>
      <c r="DD259" s="517"/>
      <c r="DE259" s="517"/>
      <c r="DF259" s="517"/>
      <c r="DG259" s="517"/>
      <c r="DH259" s="517"/>
      <c r="DI259" s="454"/>
      <c r="DJ259" s="454"/>
      <c r="DK259" s="454">
        <v>1</v>
      </c>
      <c r="DL259" s="454"/>
      <c r="DM259" s="454">
        <v>3</v>
      </c>
      <c r="DN259" s="454">
        <v>1</v>
      </c>
      <c r="DO259" s="454">
        <v>3</v>
      </c>
      <c r="DP259" s="454">
        <v>2</v>
      </c>
      <c r="DQ259" s="454"/>
      <c r="DR259" s="454"/>
      <c r="DS259" s="454"/>
      <c r="DT259" s="454"/>
      <c r="DU259" s="454"/>
      <c r="DV259" s="454"/>
      <c r="DW259" s="454"/>
      <c r="DX259" s="454"/>
      <c r="DY259" s="454"/>
      <c r="DZ259" s="454"/>
      <c r="EA259" s="454">
        <v>2</v>
      </c>
      <c r="EB259" s="454"/>
      <c r="EC259" s="454"/>
      <c r="ED259" s="454"/>
      <c r="EE259" s="454"/>
      <c r="EF259" s="454"/>
      <c r="EG259" s="454"/>
      <c r="EH259" s="454"/>
      <c r="EI259" s="454"/>
      <c r="EJ259" s="454"/>
      <c r="EK259" s="454"/>
      <c r="EL259" s="454"/>
      <c r="EM259" s="454"/>
      <c r="EN259" s="454"/>
      <c r="EO259" s="454"/>
      <c r="EP259" s="454"/>
      <c r="EQ259" s="454"/>
      <c r="ER259" s="454"/>
      <c r="ES259" s="454"/>
      <c r="ET259" s="454"/>
      <c r="EU259" s="454"/>
      <c r="EV259" s="454"/>
      <c r="EW259" s="454"/>
      <c r="EX259" s="454"/>
      <c r="EY259" s="454"/>
      <c r="EZ259" s="454"/>
      <c r="FA259" s="454"/>
      <c r="FB259" s="454"/>
      <c r="FC259" s="454"/>
      <c r="FD259" s="454"/>
      <c r="FE259" s="454"/>
      <c r="FF259" s="454"/>
      <c r="FG259" s="290"/>
    </row>
    <row r="260" spans="1:163" s="4" customFormat="1">
      <c r="A260" s="56"/>
      <c r="B260" s="56"/>
      <c r="C260" s="498" t="s">
        <v>3638</v>
      </c>
      <c r="D260" s="498"/>
      <c r="E260" s="454">
        <v>38</v>
      </c>
      <c r="F260" s="454"/>
      <c r="G260" s="454"/>
      <c r="H260" s="454"/>
      <c r="I260" s="454"/>
      <c r="J260" s="454"/>
      <c r="K260" s="454"/>
      <c r="L260" s="454"/>
      <c r="M260" s="454"/>
      <c r="N260" s="454"/>
      <c r="O260" s="454"/>
      <c r="P260" s="454"/>
      <c r="Q260" s="454"/>
      <c r="R260" s="290"/>
      <c r="S260" s="290"/>
      <c r="T260" s="454"/>
      <c r="U260" s="454" t="s">
        <v>3005</v>
      </c>
      <c r="V260" s="454"/>
      <c r="W260" s="454"/>
      <c r="X260" s="454"/>
      <c r="Y260" s="454"/>
      <c r="Z260" s="454"/>
      <c r="AA260" s="454"/>
      <c r="AB260" s="454"/>
      <c r="AC260" s="454"/>
      <c r="AD260" s="454"/>
      <c r="AE260" s="454"/>
      <c r="AF260" s="454"/>
      <c r="AG260" s="454"/>
      <c r="AH260" s="454"/>
      <c r="AI260" s="454"/>
      <c r="AJ260" s="454"/>
      <c r="AK260" s="454"/>
      <c r="AL260" s="454"/>
      <c r="AM260" s="454"/>
      <c r="AN260" s="454"/>
      <c r="AO260" s="454"/>
      <c r="AP260" s="454"/>
      <c r="AQ260" s="454"/>
      <c r="AR260" s="454"/>
      <c r="AS260" s="454"/>
      <c r="AT260" s="454"/>
      <c r="AU260" s="454"/>
      <c r="AV260" s="454"/>
      <c r="AW260" s="454"/>
      <c r="AX260" s="454"/>
      <c r="AY260" s="454"/>
      <c r="AZ260" s="454"/>
      <c r="BA260" s="454"/>
      <c r="BB260" s="454"/>
      <c r="BC260" s="454"/>
      <c r="BD260" s="454"/>
      <c r="BE260" s="454"/>
      <c r="BF260" s="454"/>
      <c r="BG260" s="454"/>
      <c r="BH260" s="454"/>
      <c r="BI260" s="454"/>
      <c r="BJ260" s="454"/>
      <c r="BK260" s="454"/>
      <c r="BL260" s="454"/>
      <c r="BM260" s="454"/>
      <c r="BN260" s="454"/>
      <c r="BO260" s="454"/>
      <c r="BP260" s="454"/>
      <c r="BQ260" s="454"/>
      <c r="BR260" s="454"/>
      <c r="BS260" s="454"/>
      <c r="BT260" s="454"/>
      <c r="BU260" s="454"/>
      <c r="BV260" s="454"/>
      <c r="BW260" s="454"/>
      <c r="BX260" s="454"/>
      <c r="BY260" s="454"/>
      <c r="BZ260" s="454"/>
      <c r="CA260" s="454"/>
      <c r="CB260" s="454"/>
      <c r="CC260" s="454"/>
      <c r="CD260" s="454"/>
      <c r="CE260" s="454"/>
      <c r="CF260" s="454"/>
      <c r="CG260" s="454"/>
      <c r="CH260" s="454"/>
      <c r="CI260" s="454"/>
      <c r="CJ260" s="454"/>
      <c r="CK260" s="454"/>
      <c r="CL260" s="454"/>
      <c r="CM260" s="454"/>
      <c r="CN260" s="454"/>
      <c r="CO260" s="454"/>
      <c r="CP260" s="454"/>
      <c r="CQ260" s="454"/>
      <c r="CR260" s="454"/>
      <c r="CS260" s="454"/>
      <c r="CT260" s="454"/>
      <c r="CU260" s="454"/>
      <c r="CV260" s="517"/>
      <c r="CW260" s="517">
        <f t="shared" si="36"/>
        <v>38</v>
      </c>
      <c r="CX260" s="517"/>
      <c r="CY260" s="517"/>
      <c r="CZ260" s="517"/>
      <c r="DA260" s="517">
        <f t="shared" si="37"/>
        <v>76</v>
      </c>
      <c r="DB260" s="517"/>
      <c r="DC260" s="517"/>
      <c r="DD260" s="517"/>
      <c r="DE260" s="517"/>
      <c r="DF260" s="517"/>
      <c r="DG260" s="517"/>
      <c r="DH260" s="517"/>
      <c r="DI260" s="454"/>
      <c r="DJ260" s="454"/>
      <c r="DK260" s="454">
        <v>2</v>
      </c>
      <c r="DL260" s="454"/>
      <c r="DM260" s="454">
        <v>6</v>
      </c>
      <c r="DN260" s="454">
        <v>1</v>
      </c>
      <c r="DO260" s="454">
        <v>3</v>
      </c>
      <c r="DP260" s="454">
        <v>2</v>
      </c>
      <c r="DQ260" s="454"/>
      <c r="DR260" s="454"/>
      <c r="DS260" s="454"/>
      <c r="DT260" s="454">
        <v>4</v>
      </c>
      <c r="DU260" s="454">
        <v>6</v>
      </c>
      <c r="DV260" s="454"/>
      <c r="DW260" s="454"/>
      <c r="DX260" s="454"/>
      <c r="DY260" s="454"/>
      <c r="DZ260" s="454"/>
      <c r="EA260" s="454">
        <v>2</v>
      </c>
      <c r="EB260" s="454"/>
      <c r="EC260" s="454"/>
      <c r="ED260" s="454"/>
      <c r="EE260" s="454"/>
      <c r="EF260" s="454"/>
      <c r="EG260" s="454"/>
      <c r="EH260" s="454"/>
      <c r="EI260" s="454"/>
      <c r="EJ260" s="454"/>
      <c r="EK260" s="454"/>
      <c r="EL260" s="454"/>
      <c r="EM260" s="454"/>
      <c r="EN260" s="454"/>
      <c r="EO260" s="454"/>
      <c r="EP260" s="454"/>
      <c r="EQ260" s="454"/>
      <c r="ER260" s="454"/>
      <c r="ES260" s="454"/>
      <c r="ET260" s="454"/>
      <c r="EU260" s="454"/>
      <c r="EV260" s="454"/>
      <c r="EW260" s="454"/>
      <c r="EX260" s="454"/>
      <c r="EY260" s="454"/>
      <c r="EZ260" s="454"/>
      <c r="FA260" s="454"/>
      <c r="FB260" s="454"/>
      <c r="FC260" s="454"/>
      <c r="FD260" s="454"/>
      <c r="FE260" s="454"/>
      <c r="FF260" s="454"/>
      <c r="FG260" s="290"/>
    </row>
    <row r="261" spans="1:163" s="4" customFormat="1">
      <c r="A261" s="56"/>
      <c r="B261" s="56"/>
      <c r="C261" s="498" t="s">
        <v>3639</v>
      </c>
      <c r="D261" s="498"/>
      <c r="E261" s="454">
        <v>29.7</v>
      </c>
      <c r="F261" s="454"/>
      <c r="G261" s="454"/>
      <c r="H261" s="454"/>
      <c r="I261" s="454"/>
      <c r="J261" s="454"/>
      <c r="K261" s="454"/>
      <c r="L261" s="454"/>
      <c r="M261" s="454"/>
      <c r="N261" s="454"/>
      <c r="O261" s="454"/>
      <c r="P261" s="454"/>
      <c r="Q261" s="454"/>
      <c r="R261" s="290"/>
      <c r="S261" s="290"/>
      <c r="T261" s="454"/>
      <c r="U261" s="454" t="s">
        <v>3624</v>
      </c>
      <c r="V261" s="454"/>
      <c r="W261" s="454"/>
      <c r="X261" s="454"/>
      <c r="Y261" s="454"/>
      <c r="Z261" s="454"/>
      <c r="AA261" s="454"/>
      <c r="AB261" s="454"/>
      <c r="AC261" s="454"/>
      <c r="AD261" s="454"/>
      <c r="AE261" s="454"/>
      <c r="AF261" s="454"/>
      <c r="AG261" s="454"/>
      <c r="AH261" s="454"/>
      <c r="AI261" s="454"/>
      <c r="AJ261" s="454"/>
      <c r="AK261" s="454"/>
      <c r="AL261" s="454"/>
      <c r="AM261" s="454"/>
      <c r="AN261" s="454"/>
      <c r="AO261" s="454"/>
      <c r="AP261" s="454"/>
      <c r="AQ261" s="454"/>
      <c r="AR261" s="454"/>
      <c r="AS261" s="454"/>
      <c r="AT261" s="454"/>
      <c r="AU261" s="454"/>
      <c r="AV261" s="454"/>
      <c r="AW261" s="454"/>
      <c r="AX261" s="454"/>
      <c r="AY261" s="454"/>
      <c r="AZ261" s="454"/>
      <c r="BA261" s="454"/>
      <c r="BB261" s="454"/>
      <c r="BC261" s="454"/>
      <c r="BD261" s="454"/>
      <c r="BE261" s="454"/>
      <c r="BF261" s="454"/>
      <c r="BG261" s="454"/>
      <c r="BH261" s="454"/>
      <c r="BI261" s="454"/>
      <c r="BJ261" s="454"/>
      <c r="BK261" s="454"/>
      <c r="BL261" s="454"/>
      <c r="BM261" s="454"/>
      <c r="BN261" s="454"/>
      <c r="BO261" s="454"/>
      <c r="BP261" s="454"/>
      <c r="BQ261" s="454"/>
      <c r="BR261" s="454"/>
      <c r="BS261" s="454"/>
      <c r="BT261" s="454"/>
      <c r="BU261" s="454"/>
      <c r="BV261" s="454"/>
      <c r="BW261" s="454"/>
      <c r="BX261" s="454"/>
      <c r="BY261" s="454"/>
      <c r="BZ261" s="454"/>
      <c r="CA261" s="454"/>
      <c r="CB261" s="454"/>
      <c r="CC261" s="454"/>
      <c r="CD261" s="454"/>
      <c r="CE261" s="454"/>
      <c r="CF261" s="454"/>
      <c r="CG261" s="454"/>
      <c r="CH261" s="454"/>
      <c r="CI261" s="454"/>
      <c r="CJ261" s="454"/>
      <c r="CK261" s="454"/>
      <c r="CL261" s="454"/>
      <c r="CM261" s="454"/>
      <c r="CN261" s="454"/>
      <c r="CO261" s="454"/>
      <c r="CP261" s="454"/>
      <c r="CQ261" s="454"/>
      <c r="CR261" s="454"/>
      <c r="CS261" s="454"/>
      <c r="CT261" s="454"/>
      <c r="CU261" s="454"/>
      <c r="CV261" s="517"/>
      <c r="CW261" s="517">
        <f t="shared" si="36"/>
        <v>29.7</v>
      </c>
      <c r="CX261" s="517"/>
      <c r="CY261" s="517"/>
      <c r="CZ261" s="517"/>
      <c r="DA261" s="517">
        <f t="shared" si="37"/>
        <v>59.4</v>
      </c>
      <c r="DB261" s="517"/>
      <c r="DC261" s="517"/>
      <c r="DD261" s="517"/>
      <c r="DE261" s="517"/>
      <c r="DF261" s="517"/>
      <c r="DG261" s="517"/>
      <c r="DH261" s="517"/>
      <c r="DI261" s="454"/>
      <c r="DJ261" s="454"/>
      <c r="DK261" s="454">
        <v>2</v>
      </c>
      <c r="DL261" s="454"/>
      <c r="DM261" s="454">
        <v>6</v>
      </c>
      <c r="DN261" s="454">
        <v>1</v>
      </c>
      <c r="DO261" s="454">
        <v>3</v>
      </c>
      <c r="DP261" s="454">
        <v>2</v>
      </c>
      <c r="DQ261" s="454"/>
      <c r="DR261" s="454"/>
      <c r="DS261" s="454"/>
      <c r="DT261" s="454">
        <v>4</v>
      </c>
      <c r="DU261" s="454">
        <v>6</v>
      </c>
      <c r="DV261" s="454"/>
      <c r="DW261" s="454"/>
      <c r="DX261" s="454"/>
      <c r="DY261" s="454"/>
      <c r="DZ261" s="454"/>
      <c r="EA261" s="454">
        <v>3</v>
      </c>
      <c r="EB261" s="454"/>
      <c r="EC261" s="454"/>
      <c r="ED261" s="454"/>
      <c r="EE261" s="454"/>
      <c r="EF261" s="454"/>
      <c r="EG261" s="454"/>
      <c r="EH261" s="454"/>
      <c r="EI261" s="454"/>
      <c r="EJ261" s="454"/>
      <c r="EK261" s="454"/>
      <c r="EL261" s="454"/>
      <c r="EM261" s="454"/>
      <c r="EN261" s="454"/>
      <c r="EO261" s="454"/>
      <c r="EP261" s="454"/>
      <c r="EQ261" s="454"/>
      <c r="ER261" s="454"/>
      <c r="ES261" s="454"/>
      <c r="ET261" s="454"/>
      <c r="EU261" s="454"/>
      <c r="EV261" s="454"/>
      <c r="EW261" s="454"/>
      <c r="EX261" s="454"/>
      <c r="EY261" s="454"/>
      <c r="EZ261" s="454"/>
      <c r="FA261" s="454"/>
      <c r="FB261" s="454"/>
      <c r="FC261" s="454"/>
      <c r="FD261" s="454"/>
      <c r="FE261" s="454"/>
      <c r="FF261" s="454"/>
      <c r="FG261" s="290"/>
    </row>
    <row r="262" spans="1:163" s="4" customFormat="1">
      <c r="A262" s="56"/>
      <c r="B262" s="56"/>
      <c r="C262" s="498" t="s">
        <v>3640</v>
      </c>
      <c r="D262" s="498"/>
      <c r="E262" s="454">
        <v>38.5</v>
      </c>
      <c r="F262" s="454"/>
      <c r="G262" s="454"/>
      <c r="H262" s="454"/>
      <c r="I262" s="454"/>
      <c r="J262" s="454"/>
      <c r="K262" s="454"/>
      <c r="L262" s="454"/>
      <c r="M262" s="454"/>
      <c r="N262" s="454"/>
      <c r="O262" s="454"/>
      <c r="P262" s="454"/>
      <c r="Q262" s="454"/>
      <c r="R262" s="290"/>
      <c r="S262" s="290"/>
      <c r="T262" s="454"/>
      <c r="U262" s="454" t="s">
        <v>1631</v>
      </c>
      <c r="V262" s="454"/>
      <c r="W262" s="454"/>
      <c r="X262" s="454"/>
      <c r="Y262" s="454"/>
      <c r="Z262" s="454"/>
      <c r="AA262" s="454"/>
      <c r="AB262" s="454"/>
      <c r="AC262" s="454"/>
      <c r="AD262" s="454"/>
      <c r="AE262" s="454"/>
      <c r="AF262" s="454"/>
      <c r="AG262" s="454"/>
      <c r="AH262" s="454"/>
      <c r="AI262" s="454"/>
      <c r="AJ262" s="454"/>
      <c r="AK262" s="454"/>
      <c r="AL262" s="454"/>
      <c r="AM262" s="454"/>
      <c r="AN262" s="454"/>
      <c r="AO262" s="454"/>
      <c r="AP262" s="454"/>
      <c r="AQ262" s="454"/>
      <c r="AR262" s="454"/>
      <c r="AS262" s="454"/>
      <c r="AT262" s="454"/>
      <c r="AU262" s="454"/>
      <c r="AV262" s="454"/>
      <c r="AW262" s="454"/>
      <c r="AX262" s="454"/>
      <c r="AY262" s="454"/>
      <c r="AZ262" s="454"/>
      <c r="BA262" s="454"/>
      <c r="BB262" s="454"/>
      <c r="BC262" s="454"/>
      <c r="BD262" s="454"/>
      <c r="BE262" s="454"/>
      <c r="BF262" s="454"/>
      <c r="BG262" s="454"/>
      <c r="BH262" s="454"/>
      <c r="BI262" s="454"/>
      <c r="BJ262" s="454"/>
      <c r="BK262" s="454"/>
      <c r="BL262" s="454"/>
      <c r="BM262" s="454"/>
      <c r="BN262" s="454"/>
      <c r="BO262" s="454"/>
      <c r="BP262" s="454"/>
      <c r="BQ262" s="454"/>
      <c r="BR262" s="454"/>
      <c r="BS262" s="454"/>
      <c r="BT262" s="454"/>
      <c r="BU262" s="454"/>
      <c r="BV262" s="454"/>
      <c r="BW262" s="454"/>
      <c r="BX262" s="454"/>
      <c r="BY262" s="454"/>
      <c r="BZ262" s="454"/>
      <c r="CA262" s="454"/>
      <c r="CB262" s="454"/>
      <c r="CC262" s="454"/>
      <c r="CD262" s="454"/>
      <c r="CE262" s="454"/>
      <c r="CF262" s="454"/>
      <c r="CG262" s="454"/>
      <c r="CH262" s="454"/>
      <c r="CI262" s="454"/>
      <c r="CJ262" s="454"/>
      <c r="CK262" s="454"/>
      <c r="CL262" s="454"/>
      <c r="CM262" s="454"/>
      <c r="CN262" s="454"/>
      <c r="CO262" s="454"/>
      <c r="CP262" s="454"/>
      <c r="CQ262" s="454"/>
      <c r="CR262" s="454"/>
      <c r="CS262" s="454"/>
      <c r="CT262" s="454"/>
      <c r="CU262" s="454"/>
      <c r="CV262" s="517"/>
      <c r="CW262" s="517">
        <f t="shared" si="36"/>
        <v>38.5</v>
      </c>
      <c r="CX262" s="517"/>
      <c r="CY262" s="517"/>
      <c r="CZ262" s="517"/>
      <c r="DA262" s="517">
        <f t="shared" si="37"/>
        <v>77</v>
      </c>
      <c r="DB262" s="517"/>
      <c r="DC262" s="517"/>
      <c r="DD262" s="517"/>
      <c r="DE262" s="517"/>
      <c r="DF262" s="517"/>
      <c r="DG262" s="517"/>
      <c r="DH262" s="517"/>
      <c r="DI262" s="454"/>
      <c r="DJ262" s="454"/>
      <c r="DK262" s="454">
        <v>1</v>
      </c>
      <c r="DL262" s="454"/>
      <c r="DM262" s="454">
        <v>3</v>
      </c>
      <c r="DN262" s="454">
        <v>1</v>
      </c>
      <c r="DO262" s="454">
        <v>2</v>
      </c>
      <c r="DP262" s="454"/>
      <c r="DQ262" s="454"/>
      <c r="DR262" s="454"/>
      <c r="DS262" s="454"/>
      <c r="DT262" s="454"/>
      <c r="DU262" s="454"/>
      <c r="DV262" s="454"/>
      <c r="DW262" s="454"/>
      <c r="DX262" s="454"/>
      <c r="DY262" s="454"/>
      <c r="DZ262" s="454"/>
      <c r="EA262" s="454">
        <v>2</v>
      </c>
      <c r="EB262" s="454"/>
      <c r="EC262" s="454"/>
      <c r="ED262" s="454"/>
      <c r="EE262" s="454"/>
      <c r="EF262" s="454"/>
      <c r="EG262" s="454"/>
      <c r="EH262" s="454"/>
      <c r="EI262" s="454"/>
      <c r="EJ262" s="454"/>
      <c r="EK262" s="454"/>
      <c r="EL262" s="454"/>
      <c r="EM262" s="454"/>
      <c r="EN262" s="454"/>
      <c r="EO262" s="454"/>
      <c r="EP262" s="454"/>
      <c r="EQ262" s="454"/>
      <c r="ER262" s="454"/>
      <c r="ES262" s="454"/>
      <c r="ET262" s="454"/>
      <c r="EU262" s="454"/>
      <c r="EV262" s="454"/>
      <c r="EW262" s="454"/>
      <c r="EX262" s="454"/>
      <c r="EY262" s="454"/>
      <c r="EZ262" s="454"/>
      <c r="FA262" s="454"/>
      <c r="FB262" s="454"/>
      <c r="FC262" s="454"/>
      <c r="FD262" s="454"/>
      <c r="FE262" s="454"/>
      <c r="FF262" s="454"/>
      <c r="FG262" s="290"/>
    </row>
    <row r="263" spans="1:163" s="4" customFormat="1">
      <c r="A263" s="56"/>
      <c r="B263" s="56"/>
      <c r="C263" s="498" t="s">
        <v>3641</v>
      </c>
      <c r="D263" s="498"/>
      <c r="E263" s="454">
        <v>37</v>
      </c>
      <c r="F263" s="454"/>
      <c r="G263" s="454"/>
      <c r="H263" s="454"/>
      <c r="I263" s="454"/>
      <c r="J263" s="454"/>
      <c r="K263" s="454"/>
      <c r="L263" s="454"/>
      <c r="M263" s="454"/>
      <c r="N263" s="454"/>
      <c r="O263" s="454"/>
      <c r="P263" s="454"/>
      <c r="Q263" s="454"/>
      <c r="R263" s="290"/>
      <c r="S263" s="290"/>
      <c r="T263" s="454"/>
      <c r="U263" s="454" t="s">
        <v>1631</v>
      </c>
      <c r="V263" s="454"/>
      <c r="W263" s="454"/>
      <c r="X263" s="454"/>
      <c r="Y263" s="454"/>
      <c r="Z263" s="454"/>
      <c r="AA263" s="454"/>
      <c r="AB263" s="454"/>
      <c r="AC263" s="454"/>
      <c r="AD263" s="454"/>
      <c r="AE263" s="454"/>
      <c r="AF263" s="454"/>
      <c r="AG263" s="454"/>
      <c r="AH263" s="454"/>
      <c r="AI263" s="454"/>
      <c r="AJ263" s="454"/>
      <c r="AK263" s="454"/>
      <c r="AL263" s="454"/>
      <c r="AM263" s="454"/>
      <c r="AN263" s="454"/>
      <c r="AO263" s="454"/>
      <c r="AP263" s="454"/>
      <c r="AQ263" s="454"/>
      <c r="AR263" s="454"/>
      <c r="AS263" s="454"/>
      <c r="AT263" s="454"/>
      <c r="AU263" s="454"/>
      <c r="AV263" s="454"/>
      <c r="AW263" s="454"/>
      <c r="AX263" s="454"/>
      <c r="AY263" s="454"/>
      <c r="AZ263" s="454"/>
      <c r="BA263" s="454"/>
      <c r="BB263" s="454"/>
      <c r="BC263" s="454"/>
      <c r="BD263" s="454"/>
      <c r="BE263" s="454"/>
      <c r="BF263" s="454"/>
      <c r="BG263" s="454"/>
      <c r="BH263" s="454"/>
      <c r="BI263" s="454"/>
      <c r="BJ263" s="454"/>
      <c r="BK263" s="454"/>
      <c r="BL263" s="454"/>
      <c r="BM263" s="454"/>
      <c r="BN263" s="454"/>
      <c r="BO263" s="454"/>
      <c r="BP263" s="454"/>
      <c r="BQ263" s="454"/>
      <c r="BR263" s="454"/>
      <c r="BS263" s="454"/>
      <c r="BT263" s="454"/>
      <c r="BU263" s="454"/>
      <c r="BV263" s="454"/>
      <c r="BW263" s="454"/>
      <c r="BX263" s="454"/>
      <c r="BY263" s="454"/>
      <c r="BZ263" s="454"/>
      <c r="CA263" s="454"/>
      <c r="CB263" s="454"/>
      <c r="CC263" s="454"/>
      <c r="CD263" s="454"/>
      <c r="CE263" s="454"/>
      <c r="CF263" s="454"/>
      <c r="CG263" s="454"/>
      <c r="CH263" s="454"/>
      <c r="CI263" s="454"/>
      <c r="CJ263" s="454"/>
      <c r="CK263" s="454"/>
      <c r="CL263" s="454"/>
      <c r="CM263" s="454"/>
      <c r="CN263" s="454"/>
      <c r="CO263" s="454"/>
      <c r="CP263" s="454"/>
      <c r="CQ263" s="454"/>
      <c r="CR263" s="454"/>
      <c r="CS263" s="454"/>
      <c r="CT263" s="454"/>
      <c r="CU263" s="454"/>
      <c r="CV263" s="517"/>
      <c r="CW263" s="517">
        <f t="shared" si="36"/>
        <v>37</v>
      </c>
      <c r="CX263" s="517"/>
      <c r="CY263" s="517"/>
      <c r="CZ263" s="517"/>
      <c r="DA263" s="517">
        <f t="shared" si="37"/>
        <v>74</v>
      </c>
      <c r="DB263" s="517"/>
      <c r="DC263" s="517"/>
      <c r="DD263" s="517"/>
      <c r="DE263" s="517"/>
      <c r="DF263" s="517"/>
      <c r="DG263" s="517"/>
      <c r="DH263" s="517"/>
      <c r="DI263" s="454"/>
      <c r="DJ263" s="454"/>
      <c r="DK263" s="454">
        <v>1</v>
      </c>
      <c r="DL263" s="454"/>
      <c r="DM263" s="454">
        <v>3</v>
      </c>
      <c r="DN263" s="454">
        <v>1</v>
      </c>
      <c r="DO263" s="454">
        <v>3</v>
      </c>
      <c r="DP263" s="454">
        <v>2</v>
      </c>
      <c r="DQ263" s="454"/>
      <c r="DR263" s="454"/>
      <c r="DS263" s="454"/>
      <c r="DT263" s="454"/>
      <c r="DU263" s="454"/>
      <c r="DV263" s="454"/>
      <c r="DW263" s="454"/>
      <c r="DX263" s="454"/>
      <c r="DY263" s="454"/>
      <c r="DZ263" s="454"/>
      <c r="EA263" s="454">
        <v>2</v>
      </c>
      <c r="EB263" s="454"/>
      <c r="EC263" s="454"/>
      <c r="ED263" s="454"/>
      <c r="EE263" s="454"/>
      <c r="EF263" s="454"/>
      <c r="EG263" s="454"/>
      <c r="EH263" s="454"/>
      <c r="EI263" s="454"/>
      <c r="EJ263" s="454"/>
      <c r="EK263" s="454"/>
      <c r="EL263" s="454"/>
      <c r="EM263" s="454"/>
      <c r="EN263" s="454"/>
      <c r="EO263" s="454"/>
      <c r="EP263" s="454"/>
      <c r="EQ263" s="454"/>
      <c r="ER263" s="454"/>
      <c r="ES263" s="454"/>
      <c r="ET263" s="454"/>
      <c r="EU263" s="454"/>
      <c r="EV263" s="454"/>
      <c r="EW263" s="454"/>
      <c r="EX263" s="454"/>
      <c r="EY263" s="454"/>
      <c r="EZ263" s="454"/>
      <c r="FA263" s="454"/>
      <c r="FB263" s="454"/>
      <c r="FC263" s="454"/>
      <c r="FD263" s="454"/>
      <c r="FE263" s="454"/>
      <c r="FF263" s="454"/>
      <c r="FG263" s="290"/>
    </row>
    <row r="264" spans="1:163" s="4" customFormat="1">
      <c r="A264" s="56"/>
      <c r="B264" s="56"/>
      <c r="C264" s="498" t="s">
        <v>3647</v>
      </c>
      <c r="D264" s="498"/>
      <c r="E264" s="454">
        <v>40.299999999999997</v>
      </c>
      <c r="F264" s="454"/>
      <c r="G264" s="454"/>
      <c r="H264" s="454"/>
      <c r="I264" s="454"/>
      <c r="J264" s="454"/>
      <c r="K264" s="454"/>
      <c r="L264" s="454"/>
      <c r="M264" s="454"/>
      <c r="N264" s="454"/>
      <c r="O264" s="454"/>
      <c r="P264" s="454"/>
      <c r="Q264" s="454"/>
      <c r="R264" s="290"/>
      <c r="S264" s="290"/>
      <c r="T264" s="454"/>
      <c r="U264" s="454" t="s">
        <v>1903</v>
      </c>
      <c r="V264" s="454"/>
      <c r="W264" s="454"/>
      <c r="X264" s="454"/>
      <c r="Y264" s="454"/>
      <c r="Z264" s="454"/>
      <c r="AA264" s="454"/>
      <c r="AB264" s="454"/>
      <c r="AC264" s="454"/>
      <c r="AD264" s="454"/>
      <c r="AE264" s="454"/>
      <c r="AF264" s="454"/>
      <c r="AG264" s="454"/>
      <c r="AH264" s="454"/>
      <c r="AI264" s="454"/>
      <c r="AJ264" s="454"/>
      <c r="AK264" s="454"/>
      <c r="AL264" s="454"/>
      <c r="AM264" s="454"/>
      <c r="AN264" s="454"/>
      <c r="AO264" s="454"/>
      <c r="AP264" s="454"/>
      <c r="AQ264" s="454"/>
      <c r="AR264" s="454"/>
      <c r="AS264" s="454"/>
      <c r="AT264" s="454"/>
      <c r="AU264" s="454"/>
      <c r="AV264" s="454"/>
      <c r="AW264" s="454"/>
      <c r="AX264" s="454"/>
      <c r="AY264" s="454"/>
      <c r="AZ264" s="454"/>
      <c r="BA264" s="454"/>
      <c r="BB264" s="454"/>
      <c r="BC264" s="454"/>
      <c r="BD264" s="454"/>
      <c r="BE264" s="454"/>
      <c r="BF264" s="454"/>
      <c r="BG264" s="454"/>
      <c r="BH264" s="454"/>
      <c r="BI264" s="454"/>
      <c r="BJ264" s="454"/>
      <c r="BK264" s="454"/>
      <c r="BL264" s="454"/>
      <c r="BM264" s="454"/>
      <c r="BN264" s="454"/>
      <c r="BO264" s="454"/>
      <c r="BP264" s="454"/>
      <c r="BQ264" s="454"/>
      <c r="BR264" s="454"/>
      <c r="BS264" s="454"/>
      <c r="BT264" s="454"/>
      <c r="BU264" s="454"/>
      <c r="BV264" s="454"/>
      <c r="BW264" s="454"/>
      <c r="BX264" s="454"/>
      <c r="BY264" s="454"/>
      <c r="BZ264" s="454"/>
      <c r="CA264" s="454"/>
      <c r="CB264" s="454"/>
      <c r="CC264" s="454"/>
      <c r="CD264" s="454"/>
      <c r="CE264" s="454"/>
      <c r="CF264" s="454"/>
      <c r="CG264" s="454"/>
      <c r="CH264" s="454"/>
      <c r="CI264" s="454"/>
      <c r="CJ264" s="454"/>
      <c r="CK264" s="454"/>
      <c r="CL264" s="454"/>
      <c r="CM264" s="454"/>
      <c r="CN264" s="454"/>
      <c r="CO264" s="454"/>
      <c r="CP264" s="454"/>
      <c r="CQ264" s="454"/>
      <c r="CR264" s="454"/>
      <c r="CS264" s="454"/>
      <c r="CT264" s="454"/>
      <c r="CU264" s="454"/>
      <c r="CV264" s="517"/>
      <c r="CW264" s="517">
        <f t="shared" si="36"/>
        <v>40.299999999999997</v>
      </c>
      <c r="CX264" s="517"/>
      <c r="CY264" s="517"/>
      <c r="CZ264" s="517"/>
      <c r="DA264" s="517">
        <f t="shared" si="37"/>
        <v>80.599999999999994</v>
      </c>
      <c r="DB264" s="517"/>
      <c r="DC264" s="517"/>
      <c r="DD264" s="517"/>
      <c r="DE264" s="517"/>
      <c r="DF264" s="517"/>
      <c r="DG264" s="517"/>
      <c r="DH264" s="517"/>
      <c r="DI264" s="454"/>
      <c r="DJ264" s="454"/>
      <c r="DK264" s="454">
        <v>1</v>
      </c>
      <c r="DL264" s="454"/>
      <c r="DM264" s="454">
        <v>3</v>
      </c>
      <c r="DN264" s="454">
        <v>1</v>
      </c>
      <c r="DO264" s="454">
        <v>2</v>
      </c>
      <c r="DP264" s="454">
        <v>1</v>
      </c>
      <c r="DQ264" s="454"/>
      <c r="DR264" s="454"/>
      <c r="DS264" s="454"/>
      <c r="DT264" s="454"/>
      <c r="DU264" s="454"/>
      <c r="DV264" s="454"/>
      <c r="DW264" s="454"/>
      <c r="DX264" s="454"/>
      <c r="DY264" s="454"/>
      <c r="DZ264" s="454"/>
      <c r="EA264" s="454">
        <v>2</v>
      </c>
      <c r="EB264" s="454"/>
      <c r="EC264" s="454"/>
      <c r="ED264" s="454"/>
      <c r="EE264" s="454"/>
      <c r="EF264" s="454"/>
      <c r="EG264" s="454"/>
      <c r="EH264" s="454"/>
      <c r="EI264" s="454"/>
      <c r="EJ264" s="454"/>
      <c r="EK264" s="454"/>
      <c r="EL264" s="454"/>
      <c r="EM264" s="454"/>
      <c r="EN264" s="454"/>
      <c r="EO264" s="454"/>
      <c r="EP264" s="454"/>
      <c r="EQ264" s="454"/>
      <c r="ER264" s="454"/>
      <c r="ES264" s="454"/>
      <c r="ET264" s="454"/>
      <c r="EU264" s="454"/>
      <c r="EV264" s="454"/>
      <c r="EW264" s="454"/>
      <c r="EX264" s="454"/>
      <c r="EY264" s="454"/>
      <c r="EZ264" s="454"/>
      <c r="FA264" s="454"/>
      <c r="FB264" s="454"/>
      <c r="FC264" s="454"/>
      <c r="FD264" s="454"/>
      <c r="FE264" s="454"/>
      <c r="FF264" s="454"/>
      <c r="FG264" s="290"/>
    </row>
    <row r="265" spans="1:163" s="4" customFormat="1">
      <c r="A265" s="56"/>
      <c r="B265" s="56"/>
      <c r="C265" s="498" t="s">
        <v>3648</v>
      </c>
      <c r="D265" s="498"/>
      <c r="E265" s="454">
        <v>41.9</v>
      </c>
      <c r="F265" s="454"/>
      <c r="G265" s="454"/>
      <c r="H265" s="454"/>
      <c r="I265" s="454"/>
      <c r="J265" s="454"/>
      <c r="K265" s="454"/>
      <c r="L265" s="454"/>
      <c r="M265" s="454"/>
      <c r="N265" s="454"/>
      <c r="O265" s="454"/>
      <c r="P265" s="454"/>
      <c r="Q265" s="454"/>
      <c r="R265" s="290"/>
      <c r="S265" s="290"/>
      <c r="T265" s="454"/>
      <c r="U265" s="454" t="s">
        <v>3005</v>
      </c>
      <c r="V265" s="454"/>
      <c r="W265" s="454"/>
      <c r="X265" s="454"/>
      <c r="Y265" s="454"/>
      <c r="Z265" s="454"/>
      <c r="AA265" s="454"/>
      <c r="AB265" s="454"/>
      <c r="AC265" s="454"/>
      <c r="AD265" s="454"/>
      <c r="AE265" s="454"/>
      <c r="AF265" s="454"/>
      <c r="AG265" s="454"/>
      <c r="AH265" s="454"/>
      <c r="AI265" s="454"/>
      <c r="AJ265" s="454"/>
      <c r="AK265" s="454"/>
      <c r="AL265" s="454"/>
      <c r="AM265" s="454"/>
      <c r="AN265" s="454"/>
      <c r="AO265" s="454"/>
      <c r="AP265" s="454"/>
      <c r="AQ265" s="454"/>
      <c r="AR265" s="454"/>
      <c r="AS265" s="454"/>
      <c r="AT265" s="454"/>
      <c r="AU265" s="454"/>
      <c r="AV265" s="454"/>
      <c r="AW265" s="454"/>
      <c r="AX265" s="454"/>
      <c r="AY265" s="454"/>
      <c r="AZ265" s="454"/>
      <c r="BA265" s="454"/>
      <c r="BB265" s="454"/>
      <c r="BC265" s="454"/>
      <c r="BD265" s="454"/>
      <c r="BE265" s="454"/>
      <c r="BF265" s="454"/>
      <c r="BG265" s="454"/>
      <c r="BH265" s="454"/>
      <c r="BI265" s="454"/>
      <c r="BJ265" s="454"/>
      <c r="BK265" s="454"/>
      <c r="BL265" s="454"/>
      <c r="BM265" s="454"/>
      <c r="BN265" s="454"/>
      <c r="BO265" s="454"/>
      <c r="BP265" s="454"/>
      <c r="BQ265" s="454"/>
      <c r="BR265" s="454"/>
      <c r="BS265" s="454"/>
      <c r="BT265" s="454"/>
      <c r="BU265" s="454"/>
      <c r="BV265" s="454"/>
      <c r="BW265" s="454"/>
      <c r="BX265" s="454"/>
      <c r="BY265" s="454"/>
      <c r="BZ265" s="454"/>
      <c r="CA265" s="454"/>
      <c r="CB265" s="454"/>
      <c r="CC265" s="454"/>
      <c r="CD265" s="454"/>
      <c r="CE265" s="454"/>
      <c r="CF265" s="454"/>
      <c r="CG265" s="454"/>
      <c r="CH265" s="454"/>
      <c r="CI265" s="454"/>
      <c r="CJ265" s="454"/>
      <c r="CK265" s="454"/>
      <c r="CL265" s="454"/>
      <c r="CM265" s="454"/>
      <c r="CN265" s="454"/>
      <c r="CO265" s="454"/>
      <c r="CP265" s="454"/>
      <c r="CQ265" s="454"/>
      <c r="CR265" s="454"/>
      <c r="CS265" s="454"/>
      <c r="CT265" s="454"/>
      <c r="CU265" s="454"/>
      <c r="CV265" s="517"/>
      <c r="CW265" s="517">
        <f t="shared" si="36"/>
        <v>41.9</v>
      </c>
      <c r="CX265" s="517"/>
      <c r="CY265" s="517"/>
      <c r="CZ265" s="517"/>
      <c r="DA265" s="517">
        <f t="shared" si="37"/>
        <v>83.8</v>
      </c>
      <c r="DB265" s="517"/>
      <c r="DC265" s="517"/>
      <c r="DD265" s="517"/>
      <c r="DE265" s="517"/>
      <c r="DF265" s="517"/>
      <c r="DG265" s="517"/>
      <c r="DH265" s="517"/>
      <c r="DI265" s="454"/>
      <c r="DJ265" s="454"/>
      <c r="DK265" s="454">
        <v>2</v>
      </c>
      <c r="DL265" s="454"/>
      <c r="DM265" s="454">
        <v>6</v>
      </c>
      <c r="DN265" s="454">
        <v>1</v>
      </c>
      <c r="DO265" s="454">
        <v>2</v>
      </c>
      <c r="DP265" s="454">
        <v>1</v>
      </c>
      <c r="DQ265" s="454"/>
      <c r="DR265" s="454"/>
      <c r="DS265" s="454"/>
      <c r="DT265" s="454">
        <v>4</v>
      </c>
      <c r="DU265" s="454">
        <v>6</v>
      </c>
      <c r="DV265" s="454"/>
      <c r="DW265" s="454"/>
      <c r="DX265" s="454"/>
      <c r="DY265" s="454"/>
      <c r="DZ265" s="454"/>
      <c r="EA265" s="454">
        <v>2</v>
      </c>
      <c r="EB265" s="454"/>
      <c r="EC265" s="454"/>
      <c r="ED265" s="454"/>
      <c r="EE265" s="454"/>
      <c r="EF265" s="454"/>
      <c r="EG265" s="454"/>
      <c r="EH265" s="454"/>
      <c r="EI265" s="454"/>
      <c r="EJ265" s="454"/>
      <c r="EK265" s="454"/>
      <c r="EL265" s="454"/>
      <c r="EM265" s="454"/>
      <c r="EN265" s="454"/>
      <c r="EO265" s="454"/>
      <c r="EP265" s="454"/>
      <c r="EQ265" s="454"/>
      <c r="ER265" s="454"/>
      <c r="ES265" s="454"/>
      <c r="ET265" s="454"/>
      <c r="EU265" s="454"/>
      <c r="EV265" s="454"/>
      <c r="EW265" s="454"/>
      <c r="EX265" s="454"/>
      <c r="EY265" s="454"/>
      <c r="EZ265" s="454"/>
      <c r="FA265" s="454"/>
      <c r="FB265" s="454"/>
      <c r="FC265" s="454"/>
      <c r="FD265" s="454"/>
      <c r="FE265" s="454"/>
      <c r="FF265" s="454"/>
      <c r="FG265" s="290"/>
    </row>
    <row r="266" spans="1:163" s="4" customFormat="1">
      <c r="A266" s="56"/>
      <c r="B266" s="56"/>
      <c r="C266" s="498" t="s">
        <v>3649</v>
      </c>
      <c r="D266" s="498"/>
      <c r="E266" s="454">
        <v>19.3</v>
      </c>
      <c r="F266" s="454"/>
      <c r="G266" s="454"/>
      <c r="H266" s="454"/>
      <c r="I266" s="454"/>
      <c r="J266" s="454"/>
      <c r="K266" s="454"/>
      <c r="L266" s="454"/>
      <c r="M266" s="454"/>
      <c r="N266" s="454"/>
      <c r="O266" s="454"/>
      <c r="P266" s="454"/>
      <c r="Q266" s="454"/>
      <c r="R266" s="290"/>
      <c r="S266" s="290"/>
      <c r="T266" s="454"/>
      <c r="U266" s="454" t="s">
        <v>2990</v>
      </c>
      <c r="V266" s="454"/>
      <c r="W266" s="454"/>
      <c r="X266" s="454"/>
      <c r="Y266" s="454"/>
      <c r="Z266" s="454"/>
      <c r="AA266" s="454"/>
      <c r="AB266" s="454"/>
      <c r="AC266" s="454"/>
      <c r="AD266" s="454"/>
      <c r="AE266" s="454"/>
      <c r="AF266" s="454"/>
      <c r="AG266" s="454"/>
      <c r="AH266" s="454"/>
      <c r="AI266" s="454"/>
      <c r="AJ266" s="454"/>
      <c r="AK266" s="454"/>
      <c r="AL266" s="454"/>
      <c r="AM266" s="454"/>
      <c r="AN266" s="454"/>
      <c r="AO266" s="454"/>
      <c r="AP266" s="454"/>
      <c r="AQ266" s="454"/>
      <c r="AR266" s="454"/>
      <c r="AS266" s="454"/>
      <c r="AT266" s="454"/>
      <c r="AU266" s="454"/>
      <c r="AV266" s="454"/>
      <c r="AW266" s="454"/>
      <c r="AX266" s="454"/>
      <c r="AY266" s="454"/>
      <c r="AZ266" s="454"/>
      <c r="BA266" s="454"/>
      <c r="BB266" s="454"/>
      <c r="BC266" s="454"/>
      <c r="BD266" s="454"/>
      <c r="BE266" s="454"/>
      <c r="BF266" s="454"/>
      <c r="BG266" s="454"/>
      <c r="BH266" s="454"/>
      <c r="BI266" s="454"/>
      <c r="BJ266" s="454"/>
      <c r="BK266" s="454"/>
      <c r="BL266" s="454"/>
      <c r="BM266" s="454"/>
      <c r="BN266" s="454"/>
      <c r="BO266" s="454"/>
      <c r="BP266" s="454"/>
      <c r="BQ266" s="454"/>
      <c r="BR266" s="454"/>
      <c r="BS266" s="454"/>
      <c r="BT266" s="454"/>
      <c r="BU266" s="454"/>
      <c r="BV266" s="454"/>
      <c r="BW266" s="454"/>
      <c r="BX266" s="454"/>
      <c r="BY266" s="454"/>
      <c r="BZ266" s="454"/>
      <c r="CA266" s="454"/>
      <c r="CB266" s="454"/>
      <c r="CC266" s="454"/>
      <c r="CD266" s="454"/>
      <c r="CE266" s="454"/>
      <c r="CF266" s="454"/>
      <c r="CG266" s="454"/>
      <c r="CH266" s="454"/>
      <c r="CI266" s="454"/>
      <c r="CJ266" s="454"/>
      <c r="CK266" s="454"/>
      <c r="CL266" s="454"/>
      <c r="CM266" s="454"/>
      <c r="CN266" s="454"/>
      <c r="CO266" s="454"/>
      <c r="CP266" s="454"/>
      <c r="CQ266" s="454">
        <v>2</v>
      </c>
      <c r="CR266" s="454"/>
      <c r="CS266" s="454"/>
      <c r="CT266" s="454"/>
      <c r="CU266" s="454">
        <v>2</v>
      </c>
      <c r="CV266" s="517"/>
      <c r="CW266" s="517">
        <f t="shared" si="36"/>
        <v>19.3</v>
      </c>
      <c r="CX266" s="517"/>
      <c r="CY266" s="517"/>
      <c r="CZ266" s="517"/>
      <c r="DA266" s="517">
        <f t="shared" si="37"/>
        <v>38.6</v>
      </c>
      <c r="DB266" s="517"/>
      <c r="DC266" s="517"/>
      <c r="DD266" s="517"/>
      <c r="DE266" s="517"/>
      <c r="DF266" s="517"/>
      <c r="DG266" s="517"/>
      <c r="DH266" s="517"/>
      <c r="DI266" s="454"/>
      <c r="DJ266" s="454"/>
      <c r="DK266" s="454">
        <v>1</v>
      </c>
      <c r="DL266" s="454"/>
      <c r="DM266" s="454">
        <v>3</v>
      </c>
      <c r="DN266" s="454"/>
      <c r="DO266" s="454"/>
      <c r="DP266" s="454"/>
      <c r="DQ266" s="454"/>
      <c r="DR266" s="454"/>
      <c r="DS266" s="454"/>
      <c r="DT266" s="454">
        <v>4</v>
      </c>
      <c r="DU266" s="454">
        <v>3</v>
      </c>
      <c r="DV266" s="454"/>
      <c r="DW266" s="454"/>
      <c r="DX266" s="454"/>
      <c r="DY266" s="454"/>
      <c r="DZ266" s="454"/>
      <c r="EA266" s="454">
        <v>2</v>
      </c>
      <c r="EB266" s="454"/>
      <c r="EC266" s="454"/>
      <c r="ED266" s="454"/>
      <c r="EE266" s="454"/>
      <c r="EF266" s="454"/>
      <c r="EG266" s="454"/>
      <c r="EH266" s="454"/>
      <c r="EI266" s="454"/>
      <c r="EJ266" s="454"/>
      <c r="EK266" s="454"/>
      <c r="EL266" s="454"/>
      <c r="EM266" s="454"/>
      <c r="EN266" s="454"/>
      <c r="EO266" s="454"/>
      <c r="EP266" s="454"/>
      <c r="EQ266" s="454"/>
      <c r="ER266" s="454"/>
      <c r="ES266" s="454"/>
      <c r="ET266" s="454"/>
      <c r="EU266" s="454"/>
      <c r="EV266" s="454"/>
      <c r="EW266" s="454"/>
      <c r="EX266" s="454"/>
      <c r="EY266" s="454"/>
      <c r="EZ266" s="454">
        <v>2</v>
      </c>
      <c r="FA266" s="454"/>
      <c r="FB266" s="454"/>
      <c r="FC266" s="454"/>
      <c r="FD266" s="454"/>
      <c r="FE266" s="454"/>
      <c r="FF266" s="454"/>
      <c r="FG266" s="290"/>
    </row>
    <row r="267" spans="1:163" s="4" customFormat="1">
      <c r="A267" s="56"/>
      <c r="B267" s="56"/>
      <c r="C267" s="498"/>
      <c r="D267" s="506" t="s">
        <v>3725</v>
      </c>
      <c r="E267" s="454"/>
      <c r="F267" s="454"/>
      <c r="G267" s="454"/>
      <c r="H267" s="454"/>
      <c r="I267" s="454"/>
      <c r="J267" s="454"/>
      <c r="K267" s="454"/>
      <c r="L267" s="454"/>
      <c r="M267" s="454"/>
      <c r="N267" s="454"/>
      <c r="O267" s="454"/>
      <c r="P267" s="454"/>
      <c r="Q267" s="454"/>
      <c r="R267" s="290"/>
      <c r="S267" s="290"/>
      <c r="T267" s="454"/>
      <c r="U267" s="454"/>
      <c r="V267" s="454"/>
      <c r="W267" s="454"/>
      <c r="X267" s="454"/>
      <c r="Y267" s="454"/>
      <c r="Z267" s="454"/>
      <c r="AA267" s="454"/>
      <c r="AB267" s="454"/>
      <c r="AC267" s="454"/>
      <c r="AD267" s="454"/>
      <c r="AE267" s="454"/>
      <c r="AF267" s="454"/>
      <c r="AG267" s="454"/>
      <c r="AH267" s="454"/>
      <c r="AI267" s="454"/>
      <c r="AJ267" s="454"/>
      <c r="AK267" s="454"/>
      <c r="AL267" s="454"/>
      <c r="AM267" s="454"/>
      <c r="AN267" s="454"/>
      <c r="AO267" s="454"/>
      <c r="AP267" s="454"/>
      <c r="AQ267" s="454"/>
      <c r="AR267" s="454"/>
      <c r="AS267" s="454"/>
      <c r="AT267" s="454"/>
      <c r="AU267" s="454"/>
      <c r="AV267" s="454"/>
      <c r="AW267" s="454"/>
      <c r="AX267" s="454"/>
      <c r="AY267" s="454"/>
      <c r="AZ267" s="454"/>
      <c r="BA267" s="454"/>
      <c r="BB267" s="454"/>
      <c r="BC267" s="454"/>
      <c r="BD267" s="454"/>
      <c r="BE267" s="454"/>
      <c r="BF267" s="454"/>
      <c r="BG267" s="454"/>
      <c r="BH267" s="454"/>
      <c r="BI267" s="454"/>
      <c r="BJ267" s="454"/>
      <c r="BK267" s="454"/>
      <c r="BL267" s="454"/>
      <c r="BM267" s="454"/>
      <c r="BN267" s="454"/>
      <c r="BO267" s="454"/>
      <c r="BP267" s="454"/>
      <c r="BQ267" s="454"/>
      <c r="BR267" s="454"/>
      <c r="BS267" s="454"/>
      <c r="BT267" s="454"/>
      <c r="BU267" s="454"/>
      <c r="BV267" s="454"/>
      <c r="BW267" s="454"/>
      <c r="BX267" s="454"/>
      <c r="BY267" s="454"/>
      <c r="BZ267" s="454"/>
      <c r="CA267" s="454"/>
      <c r="CB267" s="454"/>
      <c r="CC267" s="454"/>
      <c r="CD267" s="454"/>
      <c r="CE267" s="454"/>
      <c r="CF267" s="454"/>
      <c r="CG267" s="454"/>
      <c r="CH267" s="454"/>
      <c r="CI267" s="454"/>
      <c r="CJ267" s="454"/>
      <c r="CK267" s="454"/>
      <c r="CL267" s="454"/>
      <c r="CM267" s="454"/>
      <c r="CN267" s="454"/>
      <c r="CO267" s="454"/>
      <c r="CP267" s="454"/>
      <c r="CQ267" s="454"/>
      <c r="CR267" s="454"/>
      <c r="CS267" s="454"/>
      <c r="CT267" s="454"/>
      <c r="CU267" s="454"/>
      <c r="CV267" s="517">
        <f>E267</f>
        <v>0</v>
      </c>
      <c r="CW267" s="517"/>
      <c r="CX267" s="517"/>
      <c r="CY267" s="517"/>
      <c r="CZ267" s="517">
        <f>E267*2</f>
        <v>0</v>
      </c>
      <c r="DA267" s="517"/>
      <c r="DB267" s="517"/>
      <c r="DC267" s="517"/>
      <c r="DD267" s="517"/>
      <c r="DE267" s="517"/>
      <c r="DF267" s="517"/>
      <c r="DG267" s="517"/>
      <c r="DH267" s="517"/>
      <c r="DI267" s="454"/>
      <c r="DJ267" s="454"/>
      <c r="DK267" s="454"/>
      <c r="DL267" s="454"/>
      <c r="DM267" s="454"/>
      <c r="DN267" s="454"/>
      <c r="DO267" s="454"/>
      <c r="DP267" s="454"/>
      <c r="DQ267" s="454"/>
      <c r="DR267" s="454"/>
      <c r="DS267" s="454"/>
      <c r="DT267" s="454"/>
      <c r="DU267" s="454"/>
      <c r="DV267" s="454"/>
      <c r="DW267" s="454"/>
      <c r="DX267" s="454"/>
      <c r="DY267" s="454"/>
      <c r="DZ267" s="454"/>
      <c r="EA267" s="454"/>
      <c r="EB267" s="454"/>
      <c r="EC267" s="454"/>
      <c r="ED267" s="454"/>
      <c r="EE267" s="454"/>
      <c r="EF267" s="454"/>
      <c r="EG267" s="454"/>
      <c r="EH267" s="454"/>
      <c r="EI267" s="454"/>
      <c r="EJ267" s="454"/>
      <c r="EK267" s="454"/>
      <c r="EL267" s="454"/>
      <c r="EM267" s="454"/>
      <c r="EN267" s="454"/>
      <c r="EO267" s="454"/>
      <c r="EP267" s="454"/>
      <c r="EQ267" s="454"/>
      <c r="ER267" s="454"/>
      <c r="ES267" s="454"/>
      <c r="ET267" s="454"/>
      <c r="EU267" s="454"/>
      <c r="EV267" s="454"/>
      <c r="EW267" s="454"/>
      <c r="EX267" s="454"/>
      <c r="EY267" s="454"/>
      <c r="EZ267" s="454"/>
      <c r="FA267" s="454"/>
      <c r="FB267" s="454"/>
      <c r="FC267" s="454"/>
      <c r="FD267" s="454"/>
      <c r="FE267" s="454"/>
      <c r="FF267" s="454"/>
      <c r="FG267" s="290"/>
    </row>
    <row r="268" spans="1:163" s="4" customFormat="1">
      <c r="A268" s="56"/>
      <c r="B268" s="56"/>
      <c r="C268" s="498" t="s">
        <v>3649</v>
      </c>
      <c r="D268" s="498"/>
      <c r="E268" s="454">
        <v>41.2</v>
      </c>
      <c r="F268" s="454"/>
      <c r="G268" s="454"/>
      <c r="H268" s="454"/>
      <c r="I268" s="454"/>
      <c r="J268" s="454"/>
      <c r="K268" s="454"/>
      <c r="L268" s="454"/>
      <c r="M268" s="454"/>
      <c r="N268" s="454"/>
      <c r="O268" s="454"/>
      <c r="P268" s="454"/>
      <c r="Q268" s="454"/>
      <c r="R268" s="290"/>
      <c r="S268" s="290"/>
      <c r="T268" s="454"/>
      <c r="U268" s="454" t="s">
        <v>1631</v>
      </c>
      <c r="V268" s="454"/>
      <c r="W268" s="454"/>
      <c r="X268" s="454"/>
      <c r="Y268" s="454"/>
      <c r="Z268" s="454"/>
      <c r="AA268" s="454"/>
      <c r="AB268" s="454"/>
      <c r="AC268" s="454"/>
      <c r="AD268" s="454"/>
      <c r="AE268" s="454"/>
      <c r="AF268" s="454"/>
      <c r="AG268" s="454"/>
      <c r="AH268" s="454"/>
      <c r="AI268" s="454"/>
      <c r="AJ268" s="454"/>
      <c r="AK268" s="454"/>
      <c r="AL268" s="454"/>
      <c r="AM268" s="454"/>
      <c r="AN268" s="454"/>
      <c r="AO268" s="454"/>
      <c r="AP268" s="454"/>
      <c r="AQ268" s="454"/>
      <c r="AR268" s="454"/>
      <c r="AS268" s="454"/>
      <c r="AT268" s="454"/>
      <c r="AU268" s="454"/>
      <c r="AV268" s="454"/>
      <c r="AW268" s="454"/>
      <c r="AX268" s="454"/>
      <c r="AY268" s="454"/>
      <c r="AZ268" s="454"/>
      <c r="BA268" s="454"/>
      <c r="BB268" s="454"/>
      <c r="BC268" s="454"/>
      <c r="BD268" s="454"/>
      <c r="BE268" s="454"/>
      <c r="BF268" s="454"/>
      <c r="BG268" s="454"/>
      <c r="BH268" s="454"/>
      <c r="BI268" s="454"/>
      <c r="BJ268" s="454"/>
      <c r="BK268" s="454"/>
      <c r="BL268" s="454"/>
      <c r="BM268" s="454"/>
      <c r="BN268" s="454"/>
      <c r="BO268" s="454"/>
      <c r="BP268" s="454"/>
      <c r="BQ268" s="454"/>
      <c r="BR268" s="454"/>
      <c r="BS268" s="454"/>
      <c r="BT268" s="454"/>
      <c r="BU268" s="454"/>
      <c r="BV268" s="454"/>
      <c r="BW268" s="454"/>
      <c r="BX268" s="454"/>
      <c r="BY268" s="454"/>
      <c r="BZ268" s="454"/>
      <c r="CA268" s="454"/>
      <c r="CB268" s="454"/>
      <c r="CC268" s="454"/>
      <c r="CD268" s="454"/>
      <c r="CE268" s="454"/>
      <c r="CF268" s="454"/>
      <c r="CG268" s="454"/>
      <c r="CH268" s="454"/>
      <c r="CI268" s="454"/>
      <c r="CJ268" s="454"/>
      <c r="CK268" s="454"/>
      <c r="CL268" s="454"/>
      <c r="CM268" s="454"/>
      <c r="CN268" s="454"/>
      <c r="CO268" s="454"/>
      <c r="CP268" s="454"/>
      <c r="CQ268" s="454"/>
      <c r="CR268" s="454"/>
      <c r="CS268" s="454"/>
      <c r="CT268" s="454"/>
      <c r="CU268" s="454"/>
      <c r="CV268" s="517">
        <f t="shared" ref="CV268:CV279" si="38">E268</f>
        <v>41.2</v>
      </c>
      <c r="CW268" s="517"/>
      <c r="CX268" s="517"/>
      <c r="CY268" s="517"/>
      <c r="CZ268" s="517">
        <f t="shared" ref="CZ268:CZ279" si="39">E268*2</f>
        <v>82.4</v>
      </c>
      <c r="DA268" s="517"/>
      <c r="DB268" s="517"/>
      <c r="DC268" s="517"/>
      <c r="DD268" s="517"/>
      <c r="DE268" s="517"/>
      <c r="DF268" s="517"/>
      <c r="DG268" s="517"/>
      <c r="DH268" s="517"/>
      <c r="DI268" s="454"/>
      <c r="DJ268" s="454"/>
      <c r="DK268" s="454">
        <v>1</v>
      </c>
      <c r="DL268" s="454"/>
      <c r="DM268" s="454">
        <v>3</v>
      </c>
      <c r="DN268" s="454">
        <v>1</v>
      </c>
      <c r="DO268" s="454">
        <v>3</v>
      </c>
      <c r="DP268" s="454">
        <v>2</v>
      </c>
      <c r="DQ268" s="454"/>
      <c r="DR268" s="454"/>
      <c r="DS268" s="454"/>
      <c r="DT268" s="454"/>
      <c r="DU268" s="454"/>
      <c r="DV268" s="454"/>
      <c r="DW268" s="454"/>
      <c r="DX268" s="454"/>
      <c r="DY268" s="454"/>
      <c r="DZ268" s="454"/>
      <c r="EA268" s="454">
        <v>2</v>
      </c>
      <c r="EB268" s="454"/>
      <c r="EC268" s="454"/>
      <c r="ED268" s="454"/>
      <c r="EE268" s="454"/>
      <c r="EF268" s="454"/>
      <c r="EG268" s="454"/>
      <c r="EH268" s="454"/>
      <c r="EI268" s="454"/>
      <c r="EJ268" s="454"/>
      <c r="EK268" s="454"/>
      <c r="EL268" s="454"/>
      <c r="EM268" s="454"/>
      <c r="EN268" s="454"/>
      <c r="EO268" s="454"/>
      <c r="EP268" s="454"/>
      <c r="EQ268" s="454"/>
      <c r="ER268" s="454"/>
      <c r="ES268" s="454"/>
      <c r="ET268" s="454"/>
      <c r="EU268" s="454"/>
      <c r="EV268" s="454"/>
      <c r="EW268" s="454"/>
      <c r="EX268" s="454"/>
      <c r="EY268" s="454"/>
      <c r="EZ268" s="454"/>
      <c r="FA268" s="454"/>
      <c r="FB268" s="454"/>
      <c r="FC268" s="454"/>
      <c r="FD268" s="454"/>
      <c r="FE268" s="454"/>
      <c r="FF268" s="454"/>
      <c r="FG268" s="290"/>
    </row>
    <row r="269" spans="1:163" s="4" customFormat="1">
      <c r="A269" s="56"/>
      <c r="B269" s="56"/>
      <c r="C269" s="498" t="s">
        <v>3650</v>
      </c>
      <c r="D269" s="498"/>
      <c r="E269" s="454">
        <v>44.5</v>
      </c>
      <c r="F269" s="454"/>
      <c r="G269" s="454"/>
      <c r="H269" s="454"/>
      <c r="I269" s="454"/>
      <c r="J269" s="454"/>
      <c r="K269" s="454"/>
      <c r="L269" s="454"/>
      <c r="M269" s="454"/>
      <c r="N269" s="454"/>
      <c r="O269" s="454"/>
      <c r="P269" s="454"/>
      <c r="Q269" s="454"/>
      <c r="R269" s="290"/>
      <c r="S269" s="290"/>
      <c r="T269" s="454"/>
      <c r="U269" s="454" t="s">
        <v>3005</v>
      </c>
      <c r="V269" s="454"/>
      <c r="W269" s="454"/>
      <c r="X269" s="454"/>
      <c r="Y269" s="454"/>
      <c r="Z269" s="454"/>
      <c r="AA269" s="454"/>
      <c r="AB269" s="454"/>
      <c r="AC269" s="454"/>
      <c r="AD269" s="454"/>
      <c r="AE269" s="454"/>
      <c r="AF269" s="454"/>
      <c r="AG269" s="454"/>
      <c r="AH269" s="454"/>
      <c r="AI269" s="454"/>
      <c r="AJ269" s="454"/>
      <c r="AK269" s="454"/>
      <c r="AL269" s="454"/>
      <c r="AM269" s="454"/>
      <c r="AN269" s="454"/>
      <c r="AO269" s="454"/>
      <c r="AP269" s="454"/>
      <c r="AQ269" s="454"/>
      <c r="AR269" s="454"/>
      <c r="AS269" s="454"/>
      <c r="AT269" s="454"/>
      <c r="AU269" s="454"/>
      <c r="AV269" s="454"/>
      <c r="AW269" s="454"/>
      <c r="AX269" s="454"/>
      <c r="AY269" s="454"/>
      <c r="AZ269" s="454"/>
      <c r="BA269" s="454"/>
      <c r="BB269" s="454"/>
      <c r="BC269" s="454"/>
      <c r="BD269" s="454"/>
      <c r="BE269" s="454"/>
      <c r="BF269" s="454"/>
      <c r="BG269" s="454"/>
      <c r="BH269" s="454"/>
      <c r="BI269" s="454"/>
      <c r="BJ269" s="454"/>
      <c r="BK269" s="454"/>
      <c r="BL269" s="454"/>
      <c r="BM269" s="454"/>
      <c r="BN269" s="454"/>
      <c r="BO269" s="454"/>
      <c r="BP269" s="454"/>
      <c r="BQ269" s="454"/>
      <c r="BR269" s="454"/>
      <c r="BS269" s="454"/>
      <c r="BT269" s="454"/>
      <c r="BU269" s="454"/>
      <c r="BV269" s="454"/>
      <c r="BW269" s="454"/>
      <c r="BX269" s="454"/>
      <c r="BY269" s="454"/>
      <c r="BZ269" s="454"/>
      <c r="CA269" s="454"/>
      <c r="CB269" s="454"/>
      <c r="CC269" s="454"/>
      <c r="CD269" s="454"/>
      <c r="CE269" s="454"/>
      <c r="CF269" s="454"/>
      <c r="CG269" s="454"/>
      <c r="CH269" s="454"/>
      <c r="CI269" s="454"/>
      <c r="CJ269" s="454"/>
      <c r="CK269" s="454"/>
      <c r="CL269" s="454"/>
      <c r="CM269" s="454"/>
      <c r="CN269" s="454"/>
      <c r="CO269" s="454"/>
      <c r="CP269" s="454"/>
      <c r="CQ269" s="454"/>
      <c r="CR269" s="454"/>
      <c r="CS269" s="454"/>
      <c r="CT269" s="454"/>
      <c r="CU269" s="454"/>
      <c r="CV269" s="517">
        <f t="shared" si="38"/>
        <v>44.5</v>
      </c>
      <c r="CW269" s="517"/>
      <c r="CX269" s="517"/>
      <c r="CY269" s="517"/>
      <c r="CZ269" s="517">
        <f t="shared" si="39"/>
        <v>89</v>
      </c>
      <c r="DA269" s="517"/>
      <c r="DB269" s="517"/>
      <c r="DC269" s="517"/>
      <c r="DD269" s="517"/>
      <c r="DE269" s="517"/>
      <c r="DF269" s="517"/>
      <c r="DG269" s="517"/>
      <c r="DH269" s="517"/>
      <c r="DI269" s="454"/>
      <c r="DJ269" s="454"/>
      <c r="DK269" s="454">
        <v>2</v>
      </c>
      <c r="DL269" s="454"/>
      <c r="DM269" s="454">
        <v>6</v>
      </c>
      <c r="DN269" s="454">
        <v>1</v>
      </c>
      <c r="DO269" s="454">
        <v>3</v>
      </c>
      <c r="DP269" s="454">
        <v>2</v>
      </c>
      <c r="DQ269" s="454"/>
      <c r="DR269" s="454"/>
      <c r="DS269" s="454"/>
      <c r="DT269" s="454">
        <v>4</v>
      </c>
      <c r="DU269" s="454">
        <v>6</v>
      </c>
      <c r="DV269" s="454"/>
      <c r="DW269" s="454"/>
      <c r="DX269" s="454"/>
      <c r="DY269" s="454"/>
      <c r="DZ269" s="454"/>
      <c r="EA269" s="454">
        <v>3</v>
      </c>
      <c r="EB269" s="454"/>
      <c r="EC269" s="454"/>
      <c r="ED269" s="454"/>
      <c r="EE269" s="454"/>
      <c r="EF269" s="454"/>
      <c r="EG269" s="454"/>
      <c r="EH269" s="454"/>
      <c r="EI269" s="454"/>
      <c r="EJ269" s="454"/>
      <c r="EK269" s="454"/>
      <c r="EL269" s="454"/>
      <c r="EM269" s="454"/>
      <c r="EN269" s="454"/>
      <c r="EO269" s="454"/>
      <c r="EP269" s="454"/>
      <c r="EQ269" s="454"/>
      <c r="ER269" s="454"/>
      <c r="ES269" s="454"/>
      <c r="ET269" s="454"/>
      <c r="EU269" s="454"/>
      <c r="EV269" s="454"/>
      <c r="EW269" s="454"/>
      <c r="EX269" s="454"/>
      <c r="EY269" s="454"/>
      <c r="EZ269" s="454"/>
      <c r="FA269" s="454"/>
      <c r="FB269" s="454"/>
      <c r="FC269" s="454"/>
      <c r="FD269" s="454"/>
      <c r="FE269" s="454"/>
      <c r="FF269" s="454"/>
      <c r="FG269" s="290"/>
    </row>
    <row r="270" spans="1:163" s="4" customFormat="1">
      <c r="A270" s="56"/>
      <c r="B270" s="56"/>
      <c r="C270" s="498" t="s">
        <v>3651</v>
      </c>
      <c r="D270" s="498"/>
      <c r="E270" s="454">
        <v>43.9</v>
      </c>
      <c r="F270" s="454"/>
      <c r="G270" s="454"/>
      <c r="H270" s="454"/>
      <c r="I270" s="454"/>
      <c r="J270" s="454"/>
      <c r="K270" s="454"/>
      <c r="L270" s="454"/>
      <c r="M270" s="454"/>
      <c r="N270" s="454"/>
      <c r="O270" s="454"/>
      <c r="P270" s="454"/>
      <c r="Q270" s="454"/>
      <c r="R270" s="290"/>
      <c r="S270" s="290"/>
      <c r="T270" s="454"/>
      <c r="U270" s="454" t="s">
        <v>1903</v>
      </c>
      <c r="V270" s="454"/>
      <c r="W270" s="454"/>
      <c r="X270" s="454"/>
      <c r="Y270" s="454"/>
      <c r="Z270" s="454"/>
      <c r="AA270" s="454"/>
      <c r="AB270" s="454"/>
      <c r="AC270" s="454"/>
      <c r="AD270" s="454"/>
      <c r="AE270" s="454"/>
      <c r="AF270" s="454"/>
      <c r="AG270" s="454"/>
      <c r="AH270" s="454"/>
      <c r="AI270" s="454"/>
      <c r="AJ270" s="454"/>
      <c r="AK270" s="454"/>
      <c r="AL270" s="454"/>
      <c r="AM270" s="454"/>
      <c r="AN270" s="454"/>
      <c r="AO270" s="454"/>
      <c r="AP270" s="454"/>
      <c r="AQ270" s="454"/>
      <c r="AR270" s="454"/>
      <c r="AS270" s="454"/>
      <c r="AT270" s="454"/>
      <c r="AU270" s="454"/>
      <c r="AV270" s="454"/>
      <c r="AW270" s="454"/>
      <c r="AX270" s="454"/>
      <c r="AY270" s="454"/>
      <c r="AZ270" s="454"/>
      <c r="BA270" s="454"/>
      <c r="BB270" s="454"/>
      <c r="BC270" s="454"/>
      <c r="BD270" s="454"/>
      <c r="BE270" s="454"/>
      <c r="BF270" s="454"/>
      <c r="BG270" s="454"/>
      <c r="BH270" s="454"/>
      <c r="BI270" s="454"/>
      <c r="BJ270" s="454"/>
      <c r="BK270" s="454"/>
      <c r="BL270" s="454"/>
      <c r="BM270" s="454"/>
      <c r="BN270" s="454"/>
      <c r="BO270" s="454"/>
      <c r="BP270" s="454"/>
      <c r="BQ270" s="454"/>
      <c r="BR270" s="454"/>
      <c r="BS270" s="454"/>
      <c r="BT270" s="454"/>
      <c r="BU270" s="454"/>
      <c r="BV270" s="454"/>
      <c r="BW270" s="454"/>
      <c r="BX270" s="454"/>
      <c r="BY270" s="454"/>
      <c r="BZ270" s="454"/>
      <c r="CA270" s="454"/>
      <c r="CB270" s="454"/>
      <c r="CC270" s="454"/>
      <c r="CD270" s="454"/>
      <c r="CE270" s="454"/>
      <c r="CF270" s="454"/>
      <c r="CG270" s="454"/>
      <c r="CH270" s="454"/>
      <c r="CI270" s="454"/>
      <c r="CJ270" s="454"/>
      <c r="CK270" s="454"/>
      <c r="CL270" s="454"/>
      <c r="CM270" s="454"/>
      <c r="CN270" s="454"/>
      <c r="CO270" s="454"/>
      <c r="CP270" s="454"/>
      <c r="CQ270" s="454"/>
      <c r="CR270" s="454"/>
      <c r="CS270" s="454"/>
      <c r="CT270" s="454"/>
      <c r="CU270" s="454"/>
      <c r="CV270" s="517">
        <f t="shared" si="38"/>
        <v>43.9</v>
      </c>
      <c r="CW270" s="517"/>
      <c r="CX270" s="517"/>
      <c r="CY270" s="517"/>
      <c r="CZ270" s="517">
        <f t="shared" si="39"/>
        <v>87.8</v>
      </c>
      <c r="DA270" s="517"/>
      <c r="DB270" s="517"/>
      <c r="DC270" s="517"/>
      <c r="DD270" s="517"/>
      <c r="DE270" s="517"/>
      <c r="DF270" s="517"/>
      <c r="DG270" s="517"/>
      <c r="DH270" s="517"/>
      <c r="DI270" s="454"/>
      <c r="DJ270" s="454"/>
      <c r="DK270" s="454">
        <v>1</v>
      </c>
      <c r="DL270" s="454"/>
      <c r="DM270" s="454">
        <v>3</v>
      </c>
      <c r="DN270" s="454">
        <v>1</v>
      </c>
      <c r="DO270" s="454">
        <v>3</v>
      </c>
      <c r="DP270" s="454">
        <v>2</v>
      </c>
      <c r="DQ270" s="454"/>
      <c r="DR270" s="454"/>
      <c r="DS270" s="454"/>
      <c r="DT270" s="454"/>
      <c r="DU270" s="454"/>
      <c r="DV270" s="454"/>
      <c r="DW270" s="454"/>
      <c r="DX270" s="454"/>
      <c r="DY270" s="454"/>
      <c r="DZ270" s="454"/>
      <c r="EA270" s="454">
        <v>2</v>
      </c>
      <c r="EB270" s="454"/>
      <c r="EC270" s="454"/>
      <c r="ED270" s="454"/>
      <c r="EE270" s="454"/>
      <c r="EF270" s="454"/>
      <c r="EG270" s="454"/>
      <c r="EH270" s="454"/>
      <c r="EI270" s="454"/>
      <c r="EJ270" s="454"/>
      <c r="EK270" s="454"/>
      <c r="EL270" s="454"/>
      <c r="EM270" s="454"/>
      <c r="EN270" s="454"/>
      <c r="EO270" s="454"/>
      <c r="EP270" s="454"/>
      <c r="EQ270" s="454"/>
      <c r="ER270" s="454"/>
      <c r="ES270" s="454"/>
      <c r="ET270" s="454"/>
      <c r="EU270" s="454"/>
      <c r="EV270" s="454"/>
      <c r="EW270" s="454"/>
      <c r="EX270" s="454"/>
      <c r="EY270" s="454"/>
      <c r="EZ270" s="454"/>
      <c r="FA270" s="454"/>
      <c r="FB270" s="454"/>
      <c r="FC270" s="454"/>
      <c r="FD270" s="454"/>
      <c r="FE270" s="454"/>
      <c r="FF270" s="454"/>
      <c r="FG270" s="290"/>
    </row>
    <row r="271" spans="1:163" s="4" customFormat="1">
      <c r="A271" s="56"/>
      <c r="B271" s="56"/>
      <c r="C271" s="498" t="s">
        <v>3652</v>
      </c>
      <c r="D271" s="498"/>
      <c r="E271" s="454">
        <v>35.1</v>
      </c>
      <c r="F271" s="454"/>
      <c r="G271" s="454"/>
      <c r="H271" s="454"/>
      <c r="I271" s="454"/>
      <c r="J271" s="454"/>
      <c r="K271" s="454"/>
      <c r="L271" s="454"/>
      <c r="M271" s="454"/>
      <c r="N271" s="454"/>
      <c r="O271" s="454"/>
      <c r="P271" s="454"/>
      <c r="Q271" s="454"/>
      <c r="R271" s="290"/>
      <c r="S271" s="290"/>
      <c r="T271" s="454"/>
      <c r="U271" s="454" t="s">
        <v>2990</v>
      </c>
      <c r="V271" s="454"/>
      <c r="W271" s="454"/>
      <c r="X271" s="454"/>
      <c r="Y271" s="454"/>
      <c r="Z271" s="454"/>
      <c r="AA271" s="454"/>
      <c r="AB271" s="454"/>
      <c r="AC271" s="454"/>
      <c r="AD271" s="454"/>
      <c r="AE271" s="454"/>
      <c r="AF271" s="454"/>
      <c r="AG271" s="454"/>
      <c r="AH271" s="454"/>
      <c r="AI271" s="454"/>
      <c r="AJ271" s="454"/>
      <c r="AK271" s="454"/>
      <c r="AL271" s="454"/>
      <c r="AM271" s="454"/>
      <c r="AN271" s="454"/>
      <c r="AO271" s="454"/>
      <c r="AP271" s="454"/>
      <c r="AQ271" s="454"/>
      <c r="AR271" s="454"/>
      <c r="AS271" s="454"/>
      <c r="AT271" s="454"/>
      <c r="AU271" s="454"/>
      <c r="AV271" s="454"/>
      <c r="AW271" s="454"/>
      <c r="AX271" s="454"/>
      <c r="AY271" s="454"/>
      <c r="AZ271" s="454"/>
      <c r="BA271" s="454"/>
      <c r="BB271" s="454"/>
      <c r="BC271" s="454"/>
      <c r="BD271" s="454"/>
      <c r="BE271" s="454"/>
      <c r="BF271" s="454"/>
      <c r="BG271" s="454"/>
      <c r="BH271" s="454"/>
      <c r="BI271" s="454"/>
      <c r="BJ271" s="454"/>
      <c r="BK271" s="454"/>
      <c r="BL271" s="454"/>
      <c r="BM271" s="454"/>
      <c r="BN271" s="454"/>
      <c r="BO271" s="454"/>
      <c r="BP271" s="454"/>
      <c r="BQ271" s="454"/>
      <c r="BR271" s="454"/>
      <c r="BS271" s="454"/>
      <c r="BT271" s="454"/>
      <c r="BU271" s="454"/>
      <c r="BV271" s="454"/>
      <c r="BW271" s="454"/>
      <c r="BX271" s="454"/>
      <c r="BY271" s="454"/>
      <c r="BZ271" s="454"/>
      <c r="CA271" s="454"/>
      <c r="CB271" s="454"/>
      <c r="CC271" s="454"/>
      <c r="CD271" s="454"/>
      <c r="CE271" s="454"/>
      <c r="CF271" s="454"/>
      <c r="CG271" s="454"/>
      <c r="CH271" s="454"/>
      <c r="CI271" s="454"/>
      <c r="CJ271" s="454"/>
      <c r="CK271" s="454"/>
      <c r="CL271" s="454"/>
      <c r="CM271" s="454"/>
      <c r="CN271" s="454"/>
      <c r="CO271" s="454"/>
      <c r="CP271" s="454"/>
      <c r="CQ271" s="454"/>
      <c r="CR271" s="454"/>
      <c r="CS271" s="454"/>
      <c r="CT271" s="454"/>
      <c r="CU271" s="454"/>
      <c r="CV271" s="517">
        <f t="shared" si="38"/>
        <v>35.1</v>
      </c>
      <c r="CW271" s="517"/>
      <c r="CX271" s="517"/>
      <c r="CY271" s="517"/>
      <c r="CZ271" s="517">
        <f t="shared" si="39"/>
        <v>70.2</v>
      </c>
      <c r="DA271" s="517"/>
      <c r="DB271" s="517"/>
      <c r="DC271" s="517"/>
      <c r="DD271" s="517"/>
      <c r="DE271" s="517"/>
      <c r="DF271" s="517"/>
      <c r="DG271" s="517"/>
      <c r="DH271" s="517"/>
      <c r="DI271" s="454"/>
      <c r="DJ271" s="454"/>
      <c r="DK271" s="454">
        <v>1</v>
      </c>
      <c r="DL271" s="454"/>
      <c r="DM271" s="454">
        <v>3</v>
      </c>
      <c r="DN271" s="454">
        <v>1</v>
      </c>
      <c r="DO271" s="454">
        <v>3</v>
      </c>
      <c r="DP271" s="454">
        <v>2</v>
      </c>
      <c r="DQ271" s="454"/>
      <c r="DR271" s="454"/>
      <c r="DS271" s="454"/>
      <c r="DT271" s="454"/>
      <c r="DU271" s="454">
        <v>6</v>
      </c>
      <c r="DV271" s="454"/>
      <c r="DW271" s="454"/>
      <c r="DX271" s="454"/>
      <c r="DY271" s="454"/>
      <c r="DZ271" s="454"/>
      <c r="EA271" s="454">
        <v>2</v>
      </c>
      <c r="EB271" s="454"/>
      <c r="EC271" s="454"/>
      <c r="ED271" s="454"/>
      <c r="EE271" s="454"/>
      <c r="EF271" s="454"/>
      <c r="EG271" s="454"/>
      <c r="EH271" s="454"/>
      <c r="EI271" s="454"/>
      <c r="EJ271" s="454"/>
      <c r="EK271" s="454"/>
      <c r="EL271" s="454"/>
      <c r="EM271" s="454"/>
      <c r="EN271" s="454"/>
      <c r="EO271" s="454"/>
      <c r="EP271" s="454"/>
      <c r="EQ271" s="454"/>
      <c r="ER271" s="454"/>
      <c r="ES271" s="454"/>
      <c r="ET271" s="454"/>
      <c r="EU271" s="454"/>
      <c r="EV271" s="454"/>
      <c r="EW271" s="454"/>
      <c r="EX271" s="454"/>
      <c r="EY271" s="454"/>
      <c r="EZ271" s="454"/>
      <c r="FA271" s="454"/>
      <c r="FB271" s="454"/>
      <c r="FC271" s="454"/>
      <c r="FD271" s="454"/>
      <c r="FE271" s="454"/>
      <c r="FF271" s="454"/>
      <c r="FG271" s="290"/>
    </row>
    <row r="272" spans="1:163" s="4" customFormat="1">
      <c r="A272" s="56"/>
      <c r="B272" s="56"/>
      <c r="C272" s="498" t="s">
        <v>3653</v>
      </c>
      <c r="D272" s="498"/>
      <c r="E272" s="454">
        <v>33.6</v>
      </c>
      <c r="F272" s="454"/>
      <c r="G272" s="454"/>
      <c r="H272" s="454"/>
      <c r="I272" s="454"/>
      <c r="J272" s="454"/>
      <c r="K272" s="454"/>
      <c r="L272" s="454"/>
      <c r="M272" s="454"/>
      <c r="N272" s="454"/>
      <c r="O272" s="454"/>
      <c r="P272" s="454"/>
      <c r="Q272" s="454"/>
      <c r="R272" s="290"/>
      <c r="S272" s="290"/>
      <c r="T272" s="454"/>
      <c r="U272" s="454" t="s">
        <v>1631</v>
      </c>
      <c r="V272" s="454"/>
      <c r="W272" s="454"/>
      <c r="X272" s="454"/>
      <c r="Y272" s="454"/>
      <c r="Z272" s="454"/>
      <c r="AA272" s="454"/>
      <c r="AB272" s="454"/>
      <c r="AC272" s="454"/>
      <c r="AD272" s="454"/>
      <c r="AE272" s="454"/>
      <c r="AF272" s="454"/>
      <c r="AG272" s="454"/>
      <c r="AH272" s="454"/>
      <c r="AI272" s="454"/>
      <c r="AJ272" s="454"/>
      <c r="AK272" s="454"/>
      <c r="AL272" s="454"/>
      <c r="AM272" s="454"/>
      <c r="AN272" s="454"/>
      <c r="AO272" s="454"/>
      <c r="AP272" s="454"/>
      <c r="AQ272" s="454"/>
      <c r="AR272" s="454"/>
      <c r="AS272" s="454"/>
      <c r="AT272" s="454"/>
      <c r="AU272" s="454"/>
      <c r="AV272" s="454"/>
      <c r="AW272" s="454"/>
      <c r="AX272" s="454"/>
      <c r="AY272" s="454"/>
      <c r="AZ272" s="454"/>
      <c r="BA272" s="454"/>
      <c r="BB272" s="454"/>
      <c r="BC272" s="454"/>
      <c r="BD272" s="454"/>
      <c r="BE272" s="454"/>
      <c r="BF272" s="454"/>
      <c r="BG272" s="454"/>
      <c r="BH272" s="454"/>
      <c r="BI272" s="454"/>
      <c r="BJ272" s="454"/>
      <c r="BK272" s="454"/>
      <c r="BL272" s="454"/>
      <c r="BM272" s="454"/>
      <c r="BN272" s="454"/>
      <c r="BO272" s="454"/>
      <c r="BP272" s="454"/>
      <c r="BQ272" s="454"/>
      <c r="BR272" s="454"/>
      <c r="BS272" s="454"/>
      <c r="BT272" s="454"/>
      <c r="BU272" s="454"/>
      <c r="BV272" s="454"/>
      <c r="BW272" s="454"/>
      <c r="BX272" s="454"/>
      <c r="BY272" s="454"/>
      <c r="BZ272" s="454"/>
      <c r="CA272" s="454"/>
      <c r="CB272" s="454"/>
      <c r="CC272" s="454"/>
      <c r="CD272" s="454"/>
      <c r="CE272" s="454"/>
      <c r="CF272" s="454"/>
      <c r="CG272" s="454"/>
      <c r="CH272" s="454"/>
      <c r="CI272" s="454"/>
      <c r="CJ272" s="454"/>
      <c r="CK272" s="454"/>
      <c r="CL272" s="454"/>
      <c r="CM272" s="454"/>
      <c r="CN272" s="454"/>
      <c r="CO272" s="454"/>
      <c r="CP272" s="454"/>
      <c r="CQ272" s="454"/>
      <c r="CR272" s="454"/>
      <c r="CS272" s="454"/>
      <c r="CT272" s="454"/>
      <c r="CU272" s="454"/>
      <c r="CV272" s="517">
        <f t="shared" si="38"/>
        <v>33.6</v>
      </c>
      <c r="CW272" s="517"/>
      <c r="CX272" s="517"/>
      <c r="CY272" s="517"/>
      <c r="CZ272" s="517">
        <f t="shared" si="39"/>
        <v>67.2</v>
      </c>
      <c r="DA272" s="517"/>
      <c r="DB272" s="517"/>
      <c r="DC272" s="517"/>
      <c r="DD272" s="517"/>
      <c r="DE272" s="517"/>
      <c r="DF272" s="517"/>
      <c r="DG272" s="517"/>
      <c r="DH272" s="517"/>
      <c r="DI272" s="454"/>
      <c r="DJ272" s="454"/>
      <c r="DK272" s="454">
        <v>1</v>
      </c>
      <c r="DL272" s="454"/>
      <c r="DM272" s="454">
        <v>3</v>
      </c>
      <c r="DN272" s="454">
        <v>1</v>
      </c>
      <c r="DO272" s="454">
        <v>3</v>
      </c>
      <c r="DP272" s="454">
        <v>2</v>
      </c>
      <c r="DQ272" s="454"/>
      <c r="DR272" s="454"/>
      <c r="DS272" s="454"/>
      <c r="DT272" s="454"/>
      <c r="DU272" s="454"/>
      <c r="DV272" s="454"/>
      <c r="DW272" s="454"/>
      <c r="DX272" s="454"/>
      <c r="DY272" s="454"/>
      <c r="DZ272" s="454"/>
      <c r="EA272" s="454">
        <v>2</v>
      </c>
      <c r="EB272" s="454"/>
      <c r="EC272" s="454"/>
      <c r="ED272" s="454"/>
      <c r="EE272" s="454"/>
      <c r="EF272" s="454"/>
      <c r="EG272" s="454"/>
      <c r="EH272" s="454"/>
      <c r="EI272" s="454"/>
      <c r="EJ272" s="454"/>
      <c r="EK272" s="454"/>
      <c r="EL272" s="454"/>
      <c r="EM272" s="454"/>
      <c r="EN272" s="454"/>
      <c r="EO272" s="454"/>
      <c r="EP272" s="454"/>
      <c r="EQ272" s="454"/>
      <c r="ER272" s="454"/>
      <c r="ES272" s="454"/>
      <c r="ET272" s="454"/>
      <c r="EU272" s="454"/>
      <c r="EV272" s="454"/>
      <c r="EW272" s="454"/>
      <c r="EX272" s="454"/>
      <c r="EY272" s="454"/>
      <c r="EZ272" s="454"/>
      <c r="FA272" s="454"/>
      <c r="FB272" s="454"/>
      <c r="FC272" s="454"/>
      <c r="FD272" s="454"/>
      <c r="FE272" s="454"/>
      <c r="FF272" s="454"/>
      <c r="FG272" s="290"/>
    </row>
    <row r="273" spans="1:167" s="4" customFormat="1">
      <c r="A273" s="56"/>
      <c r="B273" s="56"/>
      <c r="C273" s="498" t="s">
        <v>3654</v>
      </c>
      <c r="D273" s="498"/>
      <c r="E273" s="454">
        <v>33.1</v>
      </c>
      <c r="F273" s="454"/>
      <c r="G273" s="454"/>
      <c r="H273" s="454"/>
      <c r="I273" s="454"/>
      <c r="J273" s="454"/>
      <c r="K273" s="454"/>
      <c r="L273" s="454"/>
      <c r="M273" s="454"/>
      <c r="N273" s="454"/>
      <c r="O273" s="454"/>
      <c r="P273" s="454"/>
      <c r="Q273" s="454"/>
      <c r="R273" s="290"/>
      <c r="S273" s="290"/>
      <c r="T273" s="454"/>
      <c r="U273" s="454" t="s">
        <v>2990</v>
      </c>
      <c r="V273" s="454"/>
      <c r="W273" s="454"/>
      <c r="X273" s="454"/>
      <c r="Y273" s="454"/>
      <c r="Z273" s="454"/>
      <c r="AA273" s="454"/>
      <c r="AB273" s="454"/>
      <c r="AC273" s="454"/>
      <c r="AD273" s="454"/>
      <c r="AE273" s="454"/>
      <c r="AF273" s="454"/>
      <c r="AG273" s="454"/>
      <c r="AH273" s="454"/>
      <c r="AI273" s="454"/>
      <c r="AJ273" s="454"/>
      <c r="AK273" s="454"/>
      <c r="AL273" s="454"/>
      <c r="AM273" s="454"/>
      <c r="AN273" s="454"/>
      <c r="AO273" s="454"/>
      <c r="AP273" s="454"/>
      <c r="AQ273" s="454"/>
      <c r="AR273" s="454"/>
      <c r="AS273" s="454"/>
      <c r="AT273" s="454"/>
      <c r="AU273" s="454"/>
      <c r="AV273" s="454"/>
      <c r="AW273" s="454"/>
      <c r="AX273" s="454"/>
      <c r="AY273" s="454"/>
      <c r="AZ273" s="454"/>
      <c r="BA273" s="454"/>
      <c r="BB273" s="454"/>
      <c r="BC273" s="454"/>
      <c r="BD273" s="454"/>
      <c r="BE273" s="454"/>
      <c r="BF273" s="454"/>
      <c r="BG273" s="454"/>
      <c r="BH273" s="454"/>
      <c r="BI273" s="454"/>
      <c r="BJ273" s="454"/>
      <c r="BK273" s="454"/>
      <c r="BL273" s="454"/>
      <c r="BM273" s="454"/>
      <c r="BN273" s="454"/>
      <c r="BO273" s="454"/>
      <c r="BP273" s="454"/>
      <c r="BQ273" s="454"/>
      <c r="BR273" s="454"/>
      <c r="BS273" s="454"/>
      <c r="BT273" s="454"/>
      <c r="BU273" s="454"/>
      <c r="BV273" s="454"/>
      <c r="BW273" s="454"/>
      <c r="BX273" s="454"/>
      <c r="BY273" s="454"/>
      <c r="BZ273" s="454"/>
      <c r="CA273" s="454"/>
      <c r="CB273" s="454"/>
      <c r="CC273" s="454"/>
      <c r="CD273" s="454"/>
      <c r="CE273" s="454"/>
      <c r="CF273" s="454"/>
      <c r="CG273" s="454"/>
      <c r="CH273" s="454"/>
      <c r="CI273" s="454"/>
      <c r="CJ273" s="454"/>
      <c r="CK273" s="454"/>
      <c r="CL273" s="454"/>
      <c r="CM273" s="454"/>
      <c r="CN273" s="454"/>
      <c r="CO273" s="454"/>
      <c r="CP273" s="454"/>
      <c r="CQ273" s="454"/>
      <c r="CR273" s="454"/>
      <c r="CS273" s="454"/>
      <c r="CT273" s="454"/>
      <c r="CU273" s="454"/>
      <c r="CV273" s="517">
        <f t="shared" si="38"/>
        <v>33.1</v>
      </c>
      <c r="CW273" s="517"/>
      <c r="CX273" s="517"/>
      <c r="CY273" s="517"/>
      <c r="CZ273" s="517">
        <f t="shared" si="39"/>
        <v>66.2</v>
      </c>
      <c r="DA273" s="517"/>
      <c r="DB273" s="517"/>
      <c r="DC273" s="517"/>
      <c r="DD273" s="517"/>
      <c r="DE273" s="517"/>
      <c r="DF273" s="517"/>
      <c r="DG273" s="517"/>
      <c r="DH273" s="517"/>
      <c r="DI273" s="454"/>
      <c r="DJ273" s="454"/>
      <c r="DK273" s="454">
        <v>1</v>
      </c>
      <c r="DL273" s="454"/>
      <c r="DM273" s="454">
        <v>3</v>
      </c>
      <c r="DN273" s="454">
        <v>1</v>
      </c>
      <c r="DO273" s="454">
        <v>3</v>
      </c>
      <c r="DP273" s="454">
        <v>2</v>
      </c>
      <c r="DQ273" s="454"/>
      <c r="DR273" s="454"/>
      <c r="DS273" s="454"/>
      <c r="DT273" s="454"/>
      <c r="DU273" s="454">
        <v>4</v>
      </c>
      <c r="DV273" s="454"/>
      <c r="DW273" s="454"/>
      <c r="DX273" s="454"/>
      <c r="DY273" s="454"/>
      <c r="DZ273" s="454"/>
      <c r="EA273" s="454">
        <v>2</v>
      </c>
      <c r="EB273" s="454"/>
      <c r="EC273" s="454"/>
      <c r="ED273" s="454"/>
      <c r="EE273" s="454"/>
      <c r="EF273" s="454"/>
      <c r="EG273" s="454"/>
      <c r="EH273" s="454"/>
      <c r="EI273" s="454"/>
      <c r="EJ273" s="454"/>
      <c r="EK273" s="454"/>
      <c r="EL273" s="454"/>
      <c r="EM273" s="454"/>
      <c r="EN273" s="454"/>
      <c r="EO273" s="454"/>
      <c r="EP273" s="454"/>
      <c r="EQ273" s="454"/>
      <c r="ER273" s="454"/>
      <c r="ES273" s="454"/>
      <c r="ET273" s="454"/>
      <c r="EU273" s="454"/>
      <c r="EV273" s="454"/>
      <c r="EW273" s="454"/>
      <c r="EX273" s="454"/>
      <c r="EY273" s="454"/>
      <c r="EZ273" s="454"/>
      <c r="FA273" s="454"/>
      <c r="FB273" s="454"/>
      <c r="FC273" s="454"/>
      <c r="FD273" s="454"/>
      <c r="FE273" s="454"/>
      <c r="FF273" s="454"/>
      <c r="FG273" s="290"/>
    </row>
    <row r="274" spans="1:167" s="4" customFormat="1">
      <c r="A274" s="56"/>
      <c r="B274" s="56"/>
      <c r="C274" s="498"/>
      <c r="D274" s="506" t="s">
        <v>3726</v>
      </c>
      <c r="E274" s="454"/>
      <c r="F274" s="454"/>
      <c r="G274" s="454"/>
      <c r="H274" s="454"/>
      <c r="I274" s="454"/>
      <c r="J274" s="454"/>
      <c r="K274" s="454"/>
      <c r="L274" s="454"/>
      <c r="M274" s="454"/>
      <c r="N274" s="454"/>
      <c r="O274" s="454"/>
      <c r="P274" s="454"/>
      <c r="Q274" s="454"/>
      <c r="R274" s="290"/>
      <c r="S274" s="290"/>
      <c r="T274" s="454"/>
      <c r="U274" s="454"/>
      <c r="V274" s="454"/>
      <c r="W274" s="454"/>
      <c r="X274" s="454"/>
      <c r="Y274" s="454"/>
      <c r="Z274" s="454"/>
      <c r="AA274" s="454"/>
      <c r="AB274" s="454"/>
      <c r="AC274" s="454"/>
      <c r="AD274" s="454"/>
      <c r="AE274" s="454"/>
      <c r="AF274" s="454"/>
      <c r="AG274" s="454"/>
      <c r="AH274" s="454"/>
      <c r="AI274" s="454"/>
      <c r="AJ274" s="454"/>
      <c r="AK274" s="454"/>
      <c r="AL274" s="454"/>
      <c r="AM274" s="454"/>
      <c r="AN274" s="454"/>
      <c r="AO274" s="454"/>
      <c r="AP274" s="454"/>
      <c r="AQ274" s="454"/>
      <c r="AR274" s="454"/>
      <c r="AS274" s="454"/>
      <c r="AT274" s="454"/>
      <c r="AU274" s="454"/>
      <c r="AV274" s="454"/>
      <c r="AW274" s="454"/>
      <c r="AX274" s="454"/>
      <c r="AY274" s="454"/>
      <c r="AZ274" s="454"/>
      <c r="BA274" s="454"/>
      <c r="BB274" s="454"/>
      <c r="BC274" s="454"/>
      <c r="BD274" s="454"/>
      <c r="BE274" s="454"/>
      <c r="BF274" s="454"/>
      <c r="BG274" s="454"/>
      <c r="BH274" s="454"/>
      <c r="BI274" s="454"/>
      <c r="BJ274" s="454"/>
      <c r="BK274" s="454"/>
      <c r="BL274" s="454"/>
      <c r="BM274" s="454"/>
      <c r="BN274" s="454"/>
      <c r="BO274" s="454"/>
      <c r="BP274" s="454"/>
      <c r="BQ274" s="454"/>
      <c r="BR274" s="454"/>
      <c r="BS274" s="454"/>
      <c r="BT274" s="454"/>
      <c r="BU274" s="454"/>
      <c r="BV274" s="454"/>
      <c r="BW274" s="454"/>
      <c r="BX274" s="454"/>
      <c r="BY274" s="454"/>
      <c r="BZ274" s="454"/>
      <c r="CA274" s="454"/>
      <c r="CB274" s="454"/>
      <c r="CC274" s="454"/>
      <c r="CD274" s="454"/>
      <c r="CE274" s="454"/>
      <c r="CF274" s="454"/>
      <c r="CG274" s="454"/>
      <c r="CH274" s="454"/>
      <c r="CI274" s="454"/>
      <c r="CJ274" s="454"/>
      <c r="CK274" s="454"/>
      <c r="CL274" s="454"/>
      <c r="CM274" s="454"/>
      <c r="CN274" s="454"/>
      <c r="CO274" s="454"/>
      <c r="CP274" s="454"/>
      <c r="CQ274" s="454"/>
      <c r="CR274" s="454"/>
      <c r="CS274" s="454"/>
      <c r="CT274" s="454"/>
      <c r="CU274" s="454"/>
      <c r="CV274" s="517">
        <f t="shared" si="38"/>
        <v>0</v>
      </c>
      <c r="CW274" s="517"/>
      <c r="CX274" s="517"/>
      <c r="CY274" s="517"/>
      <c r="CZ274" s="517">
        <f t="shared" si="39"/>
        <v>0</v>
      </c>
      <c r="DA274" s="517"/>
      <c r="DB274" s="517"/>
      <c r="DC274" s="517"/>
      <c r="DD274" s="517"/>
      <c r="DE274" s="517"/>
      <c r="DF274" s="517"/>
      <c r="DG274" s="517"/>
      <c r="DH274" s="517"/>
      <c r="DI274" s="454"/>
      <c r="DJ274" s="454"/>
      <c r="DK274" s="454"/>
      <c r="DL274" s="454"/>
      <c r="DM274" s="454"/>
      <c r="DN274" s="454"/>
      <c r="DO274" s="454"/>
      <c r="DP274" s="454"/>
      <c r="DQ274" s="454"/>
      <c r="DR274" s="454"/>
      <c r="DS274" s="454"/>
      <c r="DT274" s="454"/>
      <c r="DU274" s="454"/>
      <c r="DV274" s="454"/>
      <c r="DW274" s="454"/>
      <c r="DX274" s="454"/>
      <c r="DY274" s="454"/>
      <c r="DZ274" s="454"/>
      <c r="EA274" s="454"/>
      <c r="EB274" s="454"/>
      <c r="EC274" s="454"/>
      <c r="ED274" s="454"/>
      <c r="EE274" s="454"/>
      <c r="EF274" s="454"/>
      <c r="EG274" s="454"/>
      <c r="EH274" s="454"/>
      <c r="EI274" s="454"/>
      <c r="EJ274" s="454"/>
      <c r="EK274" s="454"/>
      <c r="EL274" s="454"/>
      <c r="EM274" s="454"/>
      <c r="EN274" s="454"/>
      <c r="EO274" s="454"/>
      <c r="EP274" s="454"/>
      <c r="EQ274" s="454"/>
      <c r="ER274" s="454"/>
      <c r="ES274" s="454"/>
      <c r="ET274" s="454"/>
      <c r="EU274" s="454"/>
      <c r="EV274" s="454"/>
      <c r="EW274" s="454"/>
      <c r="EX274" s="454"/>
      <c r="EY274" s="454"/>
      <c r="EZ274" s="454"/>
      <c r="FA274" s="454"/>
      <c r="FB274" s="454"/>
      <c r="FC274" s="454"/>
      <c r="FD274" s="454"/>
      <c r="FE274" s="454"/>
      <c r="FF274" s="454"/>
      <c r="FG274" s="290"/>
    </row>
    <row r="275" spans="1:167" s="4" customFormat="1">
      <c r="A275" s="56"/>
      <c r="B275" s="56"/>
      <c r="C275" s="498" t="s">
        <v>3654</v>
      </c>
      <c r="D275" s="498"/>
      <c r="E275" s="454">
        <v>32.799999999999997</v>
      </c>
      <c r="F275" s="454"/>
      <c r="G275" s="454"/>
      <c r="H275" s="454"/>
      <c r="I275" s="454"/>
      <c r="J275" s="454"/>
      <c r="K275" s="454"/>
      <c r="L275" s="454"/>
      <c r="M275" s="454"/>
      <c r="N275" s="454"/>
      <c r="O275" s="454"/>
      <c r="P275" s="454"/>
      <c r="Q275" s="454"/>
      <c r="R275" s="290"/>
      <c r="S275" s="290"/>
      <c r="T275" s="454"/>
      <c r="U275" s="454" t="s">
        <v>1631</v>
      </c>
      <c r="V275" s="454"/>
      <c r="W275" s="454"/>
      <c r="X275" s="454"/>
      <c r="Y275" s="454"/>
      <c r="Z275" s="454"/>
      <c r="AA275" s="454"/>
      <c r="AB275" s="454"/>
      <c r="AC275" s="454"/>
      <c r="AD275" s="454"/>
      <c r="AE275" s="454"/>
      <c r="AF275" s="454"/>
      <c r="AG275" s="454"/>
      <c r="AH275" s="454"/>
      <c r="AI275" s="454"/>
      <c r="AJ275" s="454"/>
      <c r="AK275" s="454"/>
      <c r="AL275" s="454"/>
      <c r="AM275" s="454"/>
      <c r="AN275" s="454"/>
      <c r="AO275" s="454"/>
      <c r="AP275" s="454"/>
      <c r="AQ275" s="454"/>
      <c r="AR275" s="454"/>
      <c r="AS275" s="454"/>
      <c r="AT275" s="454"/>
      <c r="AU275" s="454"/>
      <c r="AV275" s="454"/>
      <c r="AW275" s="454"/>
      <c r="AX275" s="454"/>
      <c r="AY275" s="454"/>
      <c r="AZ275" s="454"/>
      <c r="BA275" s="454"/>
      <c r="BB275" s="454"/>
      <c r="BC275" s="454"/>
      <c r="BD275" s="454"/>
      <c r="BE275" s="454"/>
      <c r="BF275" s="454"/>
      <c r="BG275" s="454"/>
      <c r="BH275" s="454"/>
      <c r="BI275" s="454"/>
      <c r="BJ275" s="454"/>
      <c r="BK275" s="454"/>
      <c r="BL275" s="454"/>
      <c r="BM275" s="454"/>
      <c r="BN275" s="454"/>
      <c r="BO275" s="454"/>
      <c r="BP275" s="454"/>
      <c r="BQ275" s="454"/>
      <c r="BR275" s="454"/>
      <c r="BS275" s="454"/>
      <c r="BT275" s="454"/>
      <c r="BU275" s="454"/>
      <c r="BV275" s="454"/>
      <c r="BW275" s="454"/>
      <c r="BX275" s="454"/>
      <c r="BY275" s="454"/>
      <c r="BZ275" s="454"/>
      <c r="CA275" s="454"/>
      <c r="CB275" s="454"/>
      <c r="CC275" s="454"/>
      <c r="CD275" s="454"/>
      <c r="CE275" s="454"/>
      <c r="CF275" s="454"/>
      <c r="CG275" s="454"/>
      <c r="CH275" s="454"/>
      <c r="CI275" s="454"/>
      <c r="CJ275" s="454"/>
      <c r="CK275" s="454"/>
      <c r="CL275" s="454"/>
      <c r="CM275" s="454"/>
      <c r="CN275" s="454"/>
      <c r="CO275" s="454"/>
      <c r="CP275" s="454"/>
      <c r="CQ275" s="454"/>
      <c r="CR275" s="454"/>
      <c r="CS275" s="454"/>
      <c r="CT275" s="454"/>
      <c r="CU275" s="454"/>
      <c r="CV275" s="517">
        <f t="shared" si="38"/>
        <v>32.799999999999997</v>
      </c>
      <c r="CW275" s="517"/>
      <c r="CX275" s="517"/>
      <c r="CY275" s="517"/>
      <c r="CZ275" s="517">
        <f t="shared" si="39"/>
        <v>65.599999999999994</v>
      </c>
      <c r="DA275" s="517"/>
      <c r="DB275" s="517"/>
      <c r="DC275" s="517"/>
      <c r="DD275" s="517"/>
      <c r="DE275" s="517"/>
      <c r="DF275" s="517"/>
      <c r="DG275" s="517"/>
      <c r="DH275" s="517"/>
      <c r="DI275" s="454"/>
      <c r="DJ275" s="454"/>
      <c r="DK275" s="454">
        <v>1</v>
      </c>
      <c r="DL275" s="454"/>
      <c r="DM275" s="454">
        <v>3</v>
      </c>
      <c r="DN275" s="454">
        <v>1</v>
      </c>
      <c r="DO275" s="454">
        <v>3</v>
      </c>
      <c r="DP275" s="454">
        <v>2</v>
      </c>
      <c r="DQ275" s="454"/>
      <c r="DR275" s="454"/>
      <c r="DS275" s="454"/>
      <c r="DT275" s="454"/>
      <c r="DU275" s="454"/>
      <c r="DV275" s="454"/>
      <c r="DW275" s="454"/>
      <c r="DX275" s="454"/>
      <c r="DY275" s="454"/>
      <c r="DZ275" s="454"/>
      <c r="EA275" s="454">
        <v>2</v>
      </c>
      <c r="EB275" s="454"/>
      <c r="EC275" s="454"/>
      <c r="ED275" s="454"/>
      <c r="EE275" s="454"/>
      <c r="EF275" s="454"/>
      <c r="EG275" s="454"/>
      <c r="EH275" s="454"/>
      <c r="EI275" s="454"/>
      <c r="EJ275" s="454"/>
      <c r="EK275" s="454"/>
      <c r="EL275" s="454"/>
      <c r="EM275" s="454"/>
      <c r="EN275" s="454"/>
      <c r="EO275" s="454"/>
      <c r="EP275" s="454"/>
      <c r="EQ275" s="454"/>
      <c r="ER275" s="454"/>
      <c r="ES275" s="454"/>
      <c r="ET275" s="454"/>
      <c r="EU275" s="454"/>
      <c r="EV275" s="454"/>
      <c r="EW275" s="454"/>
      <c r="EX275" s="454"/>
      <c r="EY275" s="454"/>
      <c r="EZ275" s="454"/>
      <c r="FA275" s="454"/>
      <c r="FB275" s="454"/>
      <c r="FC275" s="454"/>
      <c r="FD275" s="454"/>
      <c r="FE275" s="454"/>
      <c r="FF275" s="454"/>
      <c r="FG275" s="290"/>
    </row>
    <row r="276" spans="1:167" s="4" customFormat="1">
      <c r="A276" s="56"/>
      <c r="B276" s="56"/>
      <c r="C276" s="498" t="s">
        <v>3655</v>
      </c>
      <c r="D276" s="498"/>
      <c r="E276" s="454">
        <v>36</v>
      </c>
      <c r="F276" s="454"/>
      <c r="G276" s="454"/>
      <c r="H276" s="454"/>
      <c r="I276" s="454"/>
      <c r="J276" s="454"/>
      <c r="K276" s="454"/>
      <c r="L276" s="454"/>
      <c r="M276" s="454"/>
      <c r="N276" s="454"/>
      <c r="O276" s="454"/>
      <c r="P276" s="454"/>
      <c r="Q276" s="454"/>
      <c r="R276" s="290"/>
      <c r="S276" s="290"/>
      <c r="T276" s="454"/>
      <c r="U276" s="454" t="s">
        <v>2990</v>
      </c>
      <c r="V276" s="454"/>
      <c r="W276" s="454"/>
      <c r="X276" s="454"/>
      <c r="Y276" s="454"/>
      <c r="Z276" s="454"/>
      <c r="AA276" s="454"/>
      <c r="AB276" s="454"/>
      <c r="AC276" s="454"/>
      <c r="AD276" s="454"/>
      <c r="AE276" s="454"/>
      <c r="AF276" s="454"/>
      <c r="AG276" s="454"/>
      <c r="AH276" s="454"/>
      <c r="AI276" s="454"/>
      <c r="AJ276" s="454"/>
      <c r="AK276" s="454"/>
      <c r="AL276" s="454"/>
      <c r="AM276" s="454"/>
      <c r="AN276" s="454"/>
      <c r="AO276" s="454"/>
      <c r="AP276" s="454"/>
      <c r="AQ276" s="454"/>
      <c r="AR276" s="454"/>
      <c r="AS276" s="454"/>
      <c r="AT276" s="454"/>
      <c r="AU276" s="454"/>
      <c r="AV276" s="454"/>
      <c r="AW276" s="454"/>
      <c r="AX276" s="454"/>
      <c r="AY276" s="454"/>
      <c r="AZ276" s="454"/>
      <c r="BA276" s="454"/>
      <c r="BB276" s="454"/>
      <c r="BC276" s="454"/>
      <c r="BD276" s="454"/>
      <c r="BE276" s="454"/>
      <c r="BF276" s="454"/>
      <c r="BG276" s="454"/>
      <c r="BH276" s="454"/>
      <c r="BI276" s="454"/>
      <c r="BJ276" s="454"/>
      <c r="BK276" s="454"/>
      <c r="BL276" s="454"/>
      <c r="BM276" s="454"/>
      <c r="BN276" s="454"/>
      <c r="BO276" s="454"/>
      <c r="BP276" s="454"/>
      <c r="BQ276" s="454"/>
      <c r="BR276" s="454"/>
      <c r="BS276" s="454"/>
      <c r="BT276" s="454"/>
      <c r="BU276" s="454"/>
      <c r="BV276" s="454"/>
      <c r="BW276" s="454"/>
      <c r="BX276" s="454"/>
      <c r="BY276" s="454"/>
      <c r="BZ276" s="454"/>
      <c r="CA276" s="454"/>
      <c r="CB276" s="454"/>
      <c r="CC276" s="454"/>
      <c r="CD276" s="454"/>
      <c r="CE276" s="454"/>
      <c r="CF276" s="454"/>
      <c r="CG276" s="454"/>
      <c r="CH276" s="454"/>
      <c r="CI276" s="454"/>
      <c r="CJ276" s="454"/>
      <c r="CK276" s="454"/>
      <c r="CL276" s="454"/>
      <c r="CM276" s="454"/>
      <c r="CN276" s="454"/>
      <c r="CO276" s="454"/>
      <c r="CP276" s="454"/>
      <c r="CQ276" s="454"/>
      <c r="CR276" s="454"/>
      <c r="CS276" s="454"/>
      <c r="CT276" s="454"/>
      <c r="CU276" s="454"/>
      <c r="CV276" s="517">
        <f t="shared" si="38"/>
        <v>36</v>
      </c>
      <c r="CW276" s="517"/>
      <c r="CX276" s="517"/>
      <c r="CY276" s="517"/>
      <c r="CZ276" s="517">
        <f t="shared" si="39"/>
        <v>72</v>
      </c>
      <c r="DA276" s="517"/>
      <c r="DB276" s="517"/>
      <c r="DC276" s="517"/>
      <c r="DD276" s="517"/>
      <c r="DE276" s="517"/>
      <c r="DF276" s="517"/>
      <c r="DG276" s="517"/>
      <c r="DH276" s="517"/>
      <c r="DI276" s="454"/>
      <c r="DJ276" s="454"/>
      <c r="DK276" s="454">
        <v>1</v>
      </c>
      <c r="DL276" s="454"/>
      <c r="DM276" s="454">
        <v>3</v>
      </c>
      <c r="DN276" s="454">
        <v>1</v>
      </c>
      <c r="DO276" s="454">
        <v>3</v>
      </c>
      <c r="DP276" s="454">
        <v>2</v>
      </c>
      <c r="DQ276" s="454"/>
      <c r="DR276" s="454"/>
      <c r="DS276" s="454"/>
      <c r="DT276" s="454"/>
      <c r="DU276" s="454">
        <v>5</v>
      </c>
      <c r="DV276" s="454"/>
      <c r="DW276" s="454"/>
      <c r="DX276" s="454"/>
      <c r="DY276" s="454"/>
      <c r="DZ276" s="454"/>
      <c r="EA276" s="454">
        <v>2</v>
      </c>
      <c r="EB276" s="454"/>
      <c r="EC276" s="454"/>
      <c r="ED276" s="454"/>
      <c r="EE276" s="454"/>
      <c r="EF276" s="454"/>
      <c r="EG276" s="454"/>
      <c r="EH276" s="454"/>
      <c r="EI276" s="454"/>
      <c r="EJ276" s="454"/>
      <c r="EK276" s="454"/>
      <c r="EL276" s="454"/>
      <c r="EM276" s="454"/>
      <c r="EN276" s="454"/>
      <c r="EO276" s="454"/>
      <c r="EP276" s="454"/>
      <c r="EQ276" s="454"/>
      <c r="ER276" s="454"/>
      <c r="ES276" s="454"/>
      <c r="ET276" s="454"/>
      <c r="EU276" s="454"/>
      <c r="EV276" s="454"/>
      <c r="EW276" s="454"/>
      <c r="EX276" s="454"/>
      <c r="EY276" s="454"/>
      <c r="EZ276" s="454"/>
      <c r="FA276" s="454"/>
      <c r="FB276" s="454"/>
      <c r="FC276" s="454"/>
      <c r="FD276" s="454"/>
      <c r="FE276" s="454"/>
      <c r="FF276" s="454"/>
      <c r="FG276" s="290"/>
    </row>
    <row r="277" spans="1:167" s="4" customFormat="1">
      <c r="A277" s="56"/>
      <c r="B277" s="56"/>
      <c r="C277" s="498"/>
      <c r="D277" s="506" t="s">
        <v>3727</v>
      </c>
      <c r="E277" s="454"/>
      <c r="F277" s="454"/>
      <c r="G277" s="454"/>
      <c r="H277" s="454"/>
      <c r="I277" s="454"/>
      <c r="J277" s="454"/>
      <c r="K277" s="454"/>
      <c r="L277" s="454"/>
      <c r="M277" s="454"/>
      <c r="N277" s="454"/>
      <c r="O277" s="454"/>
      <c r="P277" s="454"/>
      <c r="Q277" s="454"/>
      <c r="R277" s="290"/>
      <c r="S277" s="290"/>
      <c r="T277" s="454"/>
      <c r="U277" s="454"/>
      <c r="V277" s="454"/>
      <c r="W277" s="454"/>
      <c r="X277" s="454"/>
      <c r="Y277" s="454"/>
      <c r="Z277" s="454"/>
      <c r="AA277" s="454"/>
      <c r="AB277" s="454"/>
      <c r="AC277" s="454"/>
      <c r="AD277" s="454"/>
      <c r="AE277" s="454"/>
      <c r="AF277" s="454"/>
      <c r="AG277" s="454"/>
      <c r="AH277" s="454"/>
      <c r="AI277" s="454"/>
      <c r="AJ277" s="454"/>
      <c r="AK277" s="454"/>
      <c r="AL277" s="454"/>
      <c r="AM277" s="454"/>
      <c r="AN277" s="454"/>
      <c r="AO277" s="454"/>
      <c r="AP277" s="454"/>
      <c r="AQ277" s="454"/>
      <c r="AR277" s="454"/>
      <c r="AS277" s="454"/>
      <c r="AT277" s="454"/>
      <c r="AU277" s="454"/>
      <c r="AV277" s="454"/>
      <c r="AW277" s="454"/>
      <c r="AX277" s="454"/>
      <c r="AY277" s="454"/>
      <c r="AZ277" s="454"/>
      <c r="BA277" s="454"/>
      <c r="BB277" s="454"/>
      <c r="BC277" s="454"/>
      <c r="BD277" s="454"/>
      <c r="BE277" s="454"/>
      <c r="BF277" s="454"/>
      <c r="BG277" s="454"/>
      <c r="BH277" s="454"/>
      <c r="BI277" s="454"/>
      <c r="BJ277" s="454"/>
      <c r="BK277" s="454"/>
      <c r="BL277" s="454"/>
      <c r="BM277" s="454"/>
      <c r="BN277" s="454"/>
      <c r="BO277" s="454"/>
      <c r="BP277" s="454"/>
      <c r="BQ277" s="454"/>
      <c r="BR277" s="454"/>
      <c r="BS277" s="454"/>
      <c r="BT277" s="454"/>
      <c r="BU277" s="454"/>
      <c r="BV277" s="454"/>
      <c r="BW277" s="454"/>
      <c r="BX277" s="454"/>
      <c r="BY277" s="454"/>
      <c r="BZ277" s="454"/>
      <c r="CA277" s="454"/>
      <c r="CB277" s="454"/>
      <c r="CC277" s="454"/>
      <c r="CD277" s="454"/>
      <c r="CE277" s="454"/>
      <c r="CF277" s="454"/>
      <c r="CG277" s="454"/>
      <c r="CH277" s="454"/>
      <c r="CI277" s="454"/>
      <c r="CJ277" s="454"/>
      <c r="CK277" s="454"/>
      <c r="CL277" s="454"/>
      <c r="CM277" s="454"/>
      <c r="CN277" s="454"/>
      <c r="CO277" s="454"/>
      <c r="CP277" s="454"/>
      <c r="CQ277" s="454"/>
      <c r="CR277" s="454"/>
      <c r="CS277" s="454"/>
      <c r="CT277" s="454"/>
      <c r="CU277" s="454"/>
      <c r="CV277" s="517">
        <f t="shared" si="38"/>
        <v>0</v>
      </c>
      <c r="CW277" s="517"/>
      <c r="CX277" s="517"/>
      <c r="CY277" s="517"/>
      <c r="CZ277" s="517">
        <f t="shared" si="39"/>
        <v>0</v>
      </c>
      <c r="DA277" s="517"/>
      <c r="DB277" s="517"/>
      <c r="DC277" s="517"/>
      <c r="DD277" s="517"/>
      <c r="DE277" s="517"/>
      <c r="DF277" s="517"/>
      <c r="DG277" s="517"/>
      <c r="DH277" s="517"/>
      <c r="DI277" s="454"/>
      <c r="DJ277" s="454"/>
      <c r="DK277" s="454"/>
      <c r="DL277" s="454"/>
      <c r="DM277" s="454"/>
      <c r="DN277" s="454"/>
      <c r="DO277" s="454"/>
      <c r="DP277" s="454"/>
      <c r="DQ277" s="454"/>
      <c r="DR277" s="454"/>
      <c r="DS277" s="454"/>
      <c r="DT277" s="454"/>
      <c r="DU277" s="454"/>
      <c r="DV277" s="454"/>
      <c r="DW277" s="454"/>
      <c r="DX277" s="454"/>
      <c r="DY277" s="454"/>
      <c r="DZ277" s="454"/>
      <c r="EA277" s="454"/>
      <c r="EB277" s="454"/>
      <c r="EC277" s="454"/>
      <c r="ED277" s="454"/>
      <c r="EE277" s="454"/>
      <c r="EF277" s="454"/>
      <c r="EG277" s="454"/>
      <c r="EH277" s="454"/>
      <c r="EI277" s="454"/>
      <c r="EJ277" s="454"/>
      <c r="EK277" s="454"/>
      <c r="EL277" s="454"/>
      <c r="EM277" s="454"/>
      <c r="EN277" s="454"/>
      <c r="EO277" s="454"/>
      <c r="EP277" s="454"/>
      <c r="EQ277" s="454"/>
      <c r="ER277" s="454"/>
      <c r="ES277" s="454"/>
      <c r="ET277" s="454"/>
      <c r="EU277" s="454"/>
      <c r="EV277" s="454"/>
      <c r="EW277" s="454"/>
      <c r="EX277" s="454"/>
      <c r="EY277" s="454"/>
      <c r="EZ277" s="454"/>
      <c r="FA277" s="454"/>
      <c r="FB277" s="454"/>
      <c r="FC277" s="454"/>
      <c r="FD277" s="454"/>
      <c r="FE277" s="454"/>
      <c r="FF277" s="454"/>
      <c r="FG277" s="290"/>
    </row>
    <row r="278" spans="1:167" s="4" customFormat="1">
      <c r="A278" s="56"/>
      <c r="B278" s="56"/>
      <c r="C278" s="498" t="s">
        <v>3656</v>
      </c>
      <c r="D278" s="498"/>
      <c r="E278" s="454">
        <v>39.299999999999997</v>
      </c>
      <c r="F278" s="454"/>
      <c r="G278" s="454"/>
      <c r="H278" s="454"/>
      <c r="I278" s="454"/>
      <c r="J278" s="454"/>
      <c r="K278" s="454"/>
      <c r="L278" s="454"/>
      <c r="M278" s="454"/>
      <c r="N278" s="454"/>
      <c r="O278" s="454"/>
      <c r="P278" s="454"/>
      <c r="Q278" s="454"/>
      <c r="R278" s="290"/>
      <c r="S278" s="290"/>
      <c r="T278" s="454"/>
      <c r="U278" s="454" t="s">
        <v>2990</v>
      </c>
      <c r="V278" s="454"/>
      <c r="W278" s="454"/>
      <c r="X278" s="454"/>
      <c r="Y278" s="454"/>
      <c r="Z278" s="454"/>
      <c r="AA278" s="454"/>
      <c r="AB278" s="454"/>
      <c r="AC278" s="454"/>
      <c r="AD278" s="454"/>
      <c r="AE278" s="454"/>
      <c r="AF278" s="454"/>
      <c r="AG278" s="454"/>
      <c r="AH278" s="454"/>
      <c r="AI278" s="454"/>
      <c r="AJ278" s="454"/>
      <c r="AK278" s="454"/>
      <c r="AL278" s="454"/>
      <c r="AM278" s="454"/>
      <c r="AN278" s="454"/>
      <c r="AO278" s="454"/>
      <c r="AP278" s="454"/>
      <c r="AQ278" s="454"/>
      <c r="AR278" s="454"/>
      <c r="AS278" s="454"/>
      <c r="AT278" s="454"/>
      <c r="AU278" s="454"/>
      <c r="AV278" s="454"/>
      <c r="AW278" s="454"/>
      <c r="AX278" s="454"/>
      <c r="AY278" s="454"/>
      <c r="AZ278" s="454"/>
      <c r="BA278" s="454"/>
      <c r="BB278" s="454"/>
      <c r="BC278" s="454"/>
      <c r="BD278" s="454"/>
      <c r="BE278" s="454"/>
      <c r="BF278" s="454"/>
      <c r="BG278" s="454"/>
      <c r="BH278" s="454"/>
      <c r="BI278" s="454"/>
      <c r="BJ278" s="454"/>
      <c r="BK278" s="454"/>
      <c r="BL278" s="454"/>
      <c r="BM278" s="454"/>
      <c r="BN278" s="454"/>
      <c r="BO278" s="454"/>
      <c r="BP278" s="454"/>
      <c r="BQ278" s="454"/>
      <c r="BR278" s="454"/>
      <c r="BS278" s="454"/>
      <c r="BT278" s="454"/>
      <c r="BU278" s="454"/>
      <c r="BV278" s="454"/>
      <c r="BW278" s="454"/>
      <c r="BX278" s="454"/>
      <c r="BY278" s="454"/>
      <c r="BZ278" s="454"/>
      <c r="CA278" s="454"/>
      <c r="CB278" s="454"/>
      <c r="CC278" s="454"/>
      <c r="CD278" s="454"/>
      <c r="CE278" s="454"/>
      <c r="CF278" s="454"/>
      <c r="CG278" s="454"/>
      <c r="CH278" s="454"/>
      <c r="CI278" s="454"/>
      <c r="CJ278" s="454"/>
      <c r="CK278" s="454"/>
      <c r="CL278" s="454"/>
      <c r="CM278" s="454"/>
      <c r="CN278" s="454"/>
      <c r="CO278" s="454"/>
      <c r="CP278" s="454"/>
      <c r="CQ278" s="454"/>
      <c r="CR278" s="454"/>
      <c r="CS278" s="454"/>
      <c r="CT278" s="454"/>
      <c r="CU278" s="454"/>
      <c r="CV278" s="517">
        <f t="shared" si="38"/>
        <v>39.299999999999997</v>
      </c>
      <c r="CW278" s="517"/>
      <c r="CX278" s="517"/>
      <c r="CY278" s="517"/>
      <c r="CZ278" s="517">
        <f t="shared" si="39"/>
        <v>78.599999999999994</v>
      </c>
      <c r="DA278" s="517"/>
      <c r="DB278" s="517"/>
      <c r="DC278" s="517"/>
      <c r="DD278" s="517"/>
      <c r="DE278" s="517"/>
      <c r="DF278" s="517"/>
      <c r="DG278" s="517"/>
      <c r="DH278" s="517"/>
      <c r="DI278" s="454"/>
      <c r="DJ278" s="454"/>
      <c r="DK278" s="454">
        <v>1</v>
      </c>
      <c r="DL278" s="454"/>
      <c r="DM278" s="454">
        <v>3</v>
      </c>
      <c r="DN278" s="454">
        <v>1</v>
      </c>
      <c r="DO278" s="454">
        <v>3</v>
      </c>
      <c r="DP278" s="454">
        <v>2</v>
      </c>
      <c r="DQ278" s="454"/>
      <c r="DR278" s="454"/>
      <c r="DS278" s="454"/>
      <c r="DT278" s="454"/>
      <c r="DU278" s="454">
        <v>5</v>
      </c>
      <c r="DV278" s="454"/>
      <c r="DW278" s="454"/>
      <c r="DX278" s="454"/>
      <c r="DY278" s="454"/>
      <c r="DZ278" s="454"/>
      <c r="EA278" s="454">
        <v>3</v>
      </c>
      <c r="EB278" s="454"/>
      <c r="EC278" s="454"/>
      <c r="ED278" s="454"/>
      <c r="EE278" s="454"/>
      <c r="EF278" s="454"/>
      <c r="EG278" s="454"/>
      <c r="EH278" s="454"/>
      <c r="EI278" s="454"/>
      <c r="EJ278" s="454"/>
      <c r="EK278" s="454"/>
      <c r="EL278" s="454"/>
      <c r="EM278" s="454"/>
      <c r="EN278" s="454"/>
      <c r="EO278" s="454"/>
      <c r="EP278" s="454"/>
      <c r="EQ278" s="454"/>
      <c r="ER278" s="454"/>
      <c r="ES278" s="454"/>
      <c r="ET278" s="454"/>
      <c r="EU278" s="454"/>
      <c r="EV278" s="454"/>
      <c r="EW278" s="454"/>
      <c r="EX278" s="454"/>
      <c r="EY278" s="454"/>
      <c r="EZ278" s="454"/>
      <c r="FA278" s="454"/>
      <c r="FB278" s="454"/>
      <c r="FC278" s="454"/>
      <c r="FD278" s="454"/>
      <c r="FE278" s="454"/>
      <c r="FF278" s="454"/>
      <c r="FG278" s="290"/>
    </row>
    <row r="279" spans="1:167" s="4" customFormat="1">
      <c r="A279" s="56"/>
      <c r="B279" s="56"/>
      <c r="C279" s="498"/>
      <c r="D279" s="498"/>
      <c r="E279" s="454"/>
      <c r="F279" s="454"/>
      <c r="G279" s="454"/>
      <c r="H279" s="454"/>
      <c r="I279" s="454"/>
      <c r="J279" s="454"/>
      <c r="K279" s="454"/>
      <c r="L279" s="454"/>
      <c r="M279" s="454"/>
      <c r="N279" s="454"/>
      <c r="O279" s="454"/>
      <c r="P279" s="454"/>
      <c r="Q279" s="454"/>
      <c r="R279" s="290"/>
      <c r="S279" s="290"/>
      <c r="T279" s="454"/>
      <c r="U279" s="454"/>
      <c r="V279" s="454"/>
      <c r="W279" s="454"/>
      <c r="X279" s="454"/>
      <c r="Y279" s="454"/>
      <c r="Z279" s="454"/>
      <c r="AA279" s="454"/>
      <c r="AB279" s="454"/>
      <c r="AC279" s="454"/>
      <c r="AD279" s="454"/>
      <c r="AE279" s="454"/>
      <c r="AF279" s="454"/>
      <c r="AG279" s="454"/>
      <c r="AH279" s="454"/>
      <c r="AI279" s="454"/>
      <c r="AJ279" s="454"/>
      <c r="AK279" s="454"/>
      <c r="AL279" s="454"/>
      <c r="AM279" s="454"/>
      <c r="AN279" s="454"/>
      <c r="AO279" s="454"/>
      <c r="AP279" s="454"/>
      <c r="AQ279" s="454"/>
      <c r="AR279" s="454"/>
      <c r="AS279" s="454"/>
      <c r="AT279" s="454"/>
      <c r="AU279" s="454"/>
      <c r="AV279" s="454"/>
      <c r="AW279" s="454"/>
      <c r="AX279" s="454"/>
      <c r="AY279" s="454"/>
      <c r="AZ279" s="454"/>
      <c r="BA279" s="454"/>
      <c r="BB279" s="454"/>
      <c r="BC279" s="454"/>
      <c r="BD279" s="454"/>
      <c r="BE279" s="454"/>
      <c r="BF279" s="454"/>
      <c r="BG279" s="454"/>
      <c r="BH279" s="454"/>
      <c r="BI279" s="454"/>
      <c r="BJ279" s="454"/>
      <c r="BK279" s="454"/>
      <c r="BL279" s="454"/>
      <c r="BM279" s="454"/>
      <c r="BN279" s="454"/>
      <c r="BO279" s="454"/>
      <c r="BP279" s="454"/>
      <c r="BQ279" s="454"/>
      <c r="BR279" s="454"/>
      <c r="BS279" s="454"/>
      <c r="BT279" s="454"/>
      <c r="BU279" s="454"/>
      <c r="BV279" s="454"/>
      <c r="BW279" s="454"/>
      <c r="BX279" s="454"/>
      <c r="BY279" s="454"/>
      <c r="BZ279" s="454"/>
      <c r="CA279" s="454"/>
      <c r="CB279" s="454"/>
      <c r="CC279" s="454"/>
      <c r="CD279" s="454"/>
      <c r="CE279" s="454"/>
      <c r="CF279" s="454"/>
      <c r="CG279" s="454"/>
      <c r="CH279" s="454"/>
      <c r="CI279" s="454"/>
      <c r="CJ279" s="454"/>
      <c r="CK279" s="454"/>
      <c r="CL279" s="454"/>
      <c r="CM279" s="454"/>
      <c r="CN279" s="454"/>
      <c r="CO279" s="454"/>
      <c r="CP279" s="454"/>
      <c r="CQ279" s="454"/>
      <c r="CR279" s="454"/>
      <c r="CS279" s="454"/>
      <c r="CT279" s="454"/>
      <c r="CU279" s="454"/>
      <c r="CV279" s="517">
        <f t="shared" si="38"/>
        <v>0</v>
      </c>
      <c r="CW279" s="517"/>
      <c r="CX279" s="517"/>
      <c r="CY279" s="517"/>
      <c r="CZ279" s="517">
        <f t="shared" si="39"/>
        <v>0</v>
      </c>
      <c r="DA279" s="517"/>
      <c r="DB279" s="517"/>
      <c r="DC279" s="517"/>
      <c r="DD279" s="517"/>
      <c r="DE279" s="517"/>
      <c r="DF279" s="517"/>
      <c r="DG279" s="517"/>
      <c r="DH279" s="517"/>
      <c r="DI279" s="454"/>
      <c r="DJ279" s="454"/>
      <c r="DK279" s="454"/>
      <c r="DL279" s="454"/>
      <c r="DM279" s="454"/>
      <c r="DN279" s="454"/>
      <c r="DO279" s="454"/>
      <c r="DP279" s="454"/>
      <c r="DQ279" s="454"/>
      <c r="DR279" s="454"/>
      <c r="DS279" s="454"/>
      <c r="DT279" s="454"/>
      <c r="DU279" s="454"/>
      <c r="DV279" s="454"/>
      <c r="DW279" s="454"/>
      <c r="DX279" s="454"/>
      <c r="DY279" s="454"/>
      <c r="DZ279" s="454"/>
      <c r="EA279" s="454"/>
      <c r="EB279" s="454"/>
      <c r="EC279" s="454"/>
      <c r="ED279" s="454"/>
      <c r="EE279" s="454"/>
      <c r="EF279" s="454"/>
      <c r="EG279" s="454"/>
      <c r="EH279" s="454"/>
      <c r="EI279" s="454"/>
      <c r="EJ279" s="454"/>
      <c r="EK279" s="454"/>
      <c r="EL279" s="454"/>
      <c r="EM279" s="454"/>
      <c r="EN279" s="454"/>
      <c r="EO279" s="454"/>
      <c r="EP279" s="454"/>
      <c r="EQ279" s="454"/>
      <c r="ER279" s="454"/>
      <c r="ES279" s="454"/>
      <c r="ET279" s="454"/>
      <c r="EU279" s="454"/>
      <c r="EV279" s="454"/>
      <c r="EW279" s="454"/>
      <c r="EX279" s="454"/>
      <c r="EY279" s="454"/>
      <c r="EZ279" s="454"/>
      <c r="FA279" s="454"/>
      <c r="FB279" s="454"/>
      <c r="FC279" s="454"/>
      <c r="FD279" s="454"/>
      <c r="FE279" s="454"/>
      <c r="FF279" s="454"/>
      <c r="FG279" s="290"/>
    </row>
    <row r="280" spans="1:167" s="4" customFormat="1">
      <c r="A280" s="486">
        <f>MATCH(C280,$C$5:$C$507,0)</f>
        <v>276</v>
      </c>
      <c r="B280" s="56"/>
      <c r="C280" s="507" t="s">
        <v>3076</v>
      </c>
      <c r="D280" s="507"/>
      <c r="E280" s="508">
        <f t="shared" ref="E280:AJ280" si="40">SUM(E253:E279)</f>
        <v>795.69999999999993</v>
      </c>
      <c r="F280" s="508">
        <f t="shared" si="40"/>
        <v>0</v>
      </c>
      <c r="G280" s="508">
        <f t="shared" si="40"/>
        <v>0</v>
      </c>
      <c r="H280" s="508">
        <f t="shared" si="40"/>
        <v>0</v>
      </c>
      <c r="I280" s="508">
        <f t="shared" si="40"/>
        <v>0</v>
      </c>
      <c r="J280" s="508">
        <f t="shared" si="40"/>
        <v>0</v>
      </c>
      <c r="K280" s="508">
        <f t="shared" si="40"/>
        <v>0</v>
      </c>
      <c r="L280" s="508">
        <f t="shared" si="40"/>
        <v>0</v>
      </c>
      <c r="M280" s="508">
        <f t="shared" si="40"/>
        <v>0</v>
      </c>
      <c r="N280" s="508">
        <f t="shared" si="40"/>
        <v>0</v>
      </c>
      <c r="O280" s="508">
        <f t="shared" si="40"/>
        <v>0</v>
      </c>
      <c r="P280" s="508">
        <f t="shared" si="40"/>
        <v>0</v>
      </c>
      <c r="Q280" s="508">
        <f t="shared" si="40"/>
        <v>0</v>
      </c>
      <c r="R280" s="508">
        <f t="shared" si="40"/>
        <v>0</v>
      </c>
      <c r="S280" s="508">
        <f t="shared" si="40"/>
        <v>0</v>
      </c>
      <c r="T280" s="509">
        <f t="shared" si="40"/>
        <v>0</v>
      </c>
      <c r="U280" s="509">
        <f t="shared" si="40"/>
        <v>0</v>
      </c>
      <c r="V280" s="509">
        <f t="shared" si="40"/>
        <v>0</v>
      </c>
      <c r="W280" s="509">
        <f t="shared" si="40"/>
        <v>0</v>
      </c>
      <c r="X280" s="509">
        <f t="shared" si="40"/>
        <v>0</v>
      </c>
      <c r="Y280" s="509">
        <f t="shared" si="40"/>
        <v>0</v>
      </c>
      <c r="Z280" s="509">
        <f t="shared" si="40"/>
        <v>0</v>
      </c>
      <c r="AA280" s="509">
        <f t="shared" si="40"/>
        <v>0</v>
      </c>
      <c r="AB280" s="509">
        <f t="shared" si="40"/>
        <v>0</v>
      </c>
      <c r="AC280" s="509">
        <f t="shared" si="40"/>
        <v>0</v>
      </c>
      <c r="AD280" s="509">
        <f t="shared" si="40"/>
        <v>0</v>
      </c>
      <c r="AE280" s="509">
        <f t="shared" si="40"/>
        <v>0</v>
      </c>
      <c r="AF280" s="509">
        <f t="shared" si="40"/>
        <v>0</v>
      </c>
      <c r="AG280" s="509">
        <f t="shared" si="40"/>
        <v>0</v>
      </c>
      <c r="AH280" s="509">
        <f t="shared" si="40"/>
        <v>0</v>
      </c>
      <c r="AI280" s="509">
        <f t="shared" si="40"/>
        <v>0</v>
      </c>
      <c r="AJ280" s="509">
        <f t="shared" si="40"/>
        <v>0</v>
      </c>
      <c r="AK280" s="509">
        <f t="shared" ref="AK280:BP280" si="41">SUM(AK253:AK279)</f>
        <v>0</v>
      </c>
      <c r="AL280" s="509">
        <f t="shared" si="41"/>
        <v>0</v>
      </c>
      <c r="AM280" s="509">
        <f t="shared" si="41"/>
        <v>0</v>
      </c>
      <c r="AN280" s="509">
        <f t="shared" si="41"/>
        <v>0</v>
      </c>
      <c r="AO280" s="509">
        <f t="shared" si="41"/>
        <v>0</v>
      </c>
      <c r="AP280" s="509">
        <f t="shared" si="41"/>
        <v>0</v>
      </c>
      <c r="AQ280" s="509">
        <f t="shared" si="41"/>
        <v>0</v>
      </c>
      <c r="AR280" s="509">
        <f t="shared" si="41"/>
        <v>0</v>
      </c>
      <c r="AS280" s="509">
        <f t="shared" si="41"/>
        <v>0</v>
      </c>
      <c r="AT280" s="509">
        <f t="shared" si="41"/>
        <v>0</v>
      </c>
      <c r="AU280" s="509">
        <f t="shared" si="41"/>
        <v>0</v>
      </c>
      <c r="AV280" s="509">
        <f t="shared" si="41"/>
        <v>0</v>
      </c>
      <c r="AW280" s="509">
        <f t="shared" si="41"/>
        <v>0</v>
      </c>
      <c r="AX280" s="509">
        <f t="shared" si="41"/>
        <v>0</v>
      </c>
      <c r="AY280" s="509">
        <f t="shared" si="41"/>
        <v>0</v>
      </c>
      <c r="AZ280" s="509">
        <f t="shared" si="41"/>
        <v>0</v>
      </c>
      <c r="BA280" s="509">
        <f t="shared" si="41"/>
        <v>0</v>
      </c>
      <c r="BB280" s="509">
        <f t="shared" si="41"/>
        <v>0</v>
      </c>
      <c r="BC280" s="509">
        <f t="shared" si="41"/>
        <v>0</v>
      </c>
      <c r="BD280" s="509">
        <f t="shared" si="41"/>
        <v>0</v>
      </c>
      <c r="BE280" s="509">
        <f t="shared" si="41"/>
        <v>0</v>
      </c>
      <c r="BF280" s="509">
        <f t="shared" si="41"/>
        <v>0</v>
      </c>
      <c r="BG280" s="509">
        <f t="shared" si="41"/>
        <v>0</v>
      </c>
      <c r="BH280" s="509">
        <f t="shared" si="41"/>
        <v>0</v>
      </c>
      <c r="BI280" s="509">
        <f t="shared" si="41"/>
        <v>0</v>
      </c>
      <c r="BJ280" s="509">
        <f t="shared" si="41"/>
        <v>0</v>
      </c>
      <c r="BK280" s="509">
        <f t="shared" si="41"/>
        <v>0</v>
      </c>
      <c r="BL280" s="509">
        <f t="shared" si="41"/>
        <v>0</v>
      </c>
      <c r="BM280" s="509">
        <f t="shared" si="41"/>
        <v>0</v>
      </c>
      <c r="BN280" s="509">
        <f t="shared" si="41"/>
        <v>0</v>
      </c>
      <c r="BO280" s="509">
        <f t="shared" si="41"/>
        <v>0</v>
      </c>
      <c r="BP280" s="509">
        <f t="shared" si="41"/>
        <v>0</v>
      </c>
      <c r="BQ280" s="509">
        <f t="shared" ref="BQ280:CV280" si="42">SUM(BQ253:BQ279)</f>
        <v>0</v>
      </c>
      <c r="BR280" s="509">
        <f t="shared" si="42"/>
        <v>0</v>
      </c>
      <c r="BS280" s="509">
        <f t="shared" si="42"/>
        <v>0</v>
      </c>
      <c r="BT280" s="509">
        <f t="shared" si="42"/>
        <v>0</v>
      </c>
      <c r="BU280" s="509">
        <f t="shared" si="42"/>
        <v>0</v>
      </c>
      <c r="BV280" s="509">
        <f t="shared" si="42"/>
        <v>0</v>
      </c>
      <c r="BW280" s="509">
        <f t="shared" si="42"/>
        <v>0</v>
      </c>
      <c r="BX280" s="509">
        <f t="shared" si="42"/>
        <v>0</v>
      </c>
      <c r="BY280" s="509">
        <f t="shared" si="42"/>
        <v>0</v>
      </c>
      <c r="BZ280" s="509">
        <f t="shared" si="42"/>
        <v>0</v>
      </c>
      <c r="CA280" s="509">
        <f t="shared" si="42"/>
        <v>0</v>
      </c>
      <c r="CB280" s="509">
        <f t="shared" si="42"/>
        <v>0</v>
      </c>
      <c r="CC280" s="509">
        <f t="shared" si="42"/>
        <v>0</v>
      </c>
      <c r="CD280" s="509">
        <f t="shared" si="42"/>
        <v>0</v>
      </c>
      <c r="CE280" s="509">
        <f t="shared" si="42"/>
        <v>0</v>
      </c>
      <c r="CF280" s="509">
        <f t="shared" si="42"/>
        <v>0</v>
      </c>
      <c r="CG280" s="509">
        <f t="shared" si="42"/>
        <v>0</v>
      </c>
      <c r="CH280" s="509">
        <f t="shared" si="42"/>
        <v>0</v>
      </c>
      <c r="CI280" s="509">
        <f t="shared" si="42"/>
        <v>0</v>
      </c>
      <c r="CJ280" s="509">
        <f t="shared" si="42"/>
        <v>0</v>
      </c>
      <c r="CK280" s="509">
        <f t="shared" si="42"/>
        <v>0</v>
      </c>
      <c r="CL280" s="509">
        <f t="shared" si="42"/>
        <v>0</v>
      </c>
      <c r="CM280" s="509">
        <f t="shared" si="42"/>
        <v>0</v>
      </c>
      <c r="CN280" s="509">
        <f t="shared" si="42"/>
        <v>0</v>
      </c>
      <c r="CO280" s="509">
        <f t="shared" si="42"/>
        <v>0</v>
      </c>
      <c r="CP280" s="509">
        <f t="shared" si="42"/>
        <v>0</v>
      </c>
      <c r="CQ280" s="509">
        <f t="shared" si="42"/>
        <v>4</v>
      </c>
      <c r="CR280" s="509">
        <f t="shared" si="42"/>
        <v>0</v>
      </c>
      <c r="CS280" s="509">
        <f t="shared" si="42"/>
        <v>0</v>
      </c>
      <c r="CT280" s="509">
        <f t="shared" si="42"/>
        <v>0</v>
      </c>
      <c r="CU280" s="509">
        <f t="shared" si="42"/>
        <v>4</v>
      </c>
      <c r="CV280" s="518">
        <f t="shared" si="42"/>
        <v>339.5</v>
      </c>
      <c r="CW280" s="518">
        <f t="shared" ref="CW280:EC280" si="43">SUM(CW253:CW279)</f>
        <v>456.2</v>
      </c>
      <c r="CX280" s="518">
        <f>SUM(CX253:CX279)</f>
        <v>0</v>
      </c>
      <c r="CY280" s="518">
        <f t="shared" si="43"/>
        <v>0</v>
      </c>
      <c r="CZ280" s="518">
        <f t="shared" si="43"/>
        <v>679</v>
      </c>
      <c r="DA280" s="518">
        <f t="shared" si="43"/>
        <v>912.4</v>
      </c>
      <c r="DB280" s="518">
        <f t="shared" si="43"/>
        <v>0</v>
      </c>
      <c r="DC280" s="518">
        <f t="shared" si="43"/>
        <v>0</v>
      </c>
      <c r="DD280" s="518">
        <f t="shared" si="43"/>
        <v>0</v>
      </c>
      <c r="DE280" s="518">
        <f t="shared" si="43"/>
        <v>0</v>
      </c>
      <c r="DF280" s="518">
        <f t="shared" si="43"/>
        <v>0</v>
      </c>
      <c r="DG280" s="518">
        <f t="shared" si="43"/>
        <v>0</v>
      </c>
      <c r="DH280" s="518">
        <f t="shared" si="43"/>
        <v>0</v>
      </c>
      <c r="DI280" s="509">
        <f t="shared" si="43"/>
        <v>0</v>
      </c>
      <c r="DJ280" s="509">
        <f t="shared" si="43"/>
        <v>0</v>
      </c>
      <c r="DK280" s="509">
        <f t="shared" si="43"/>
        <v>28</v>
      </c>
      <c r="DL280" s="509">
        <f t="shared" si="43"/>
        <v>0</v>
      </c>
      <c r="DM280" s="509">
        <f t="shared" si="43"/>
        <v>84</v>
      </c>
      <c r="DN280" s="509">
        <f t="shared" si="43"/>
        <v>20</v>
      </c>
      <c r="DO280" s="509">
        <f t="shared" si="43"/>
        <v>56</v>
      </c>
      <c r="DP280" s="509">
        <f t="shared" si="43"/>
        <v>35</v>
      </c>
      <c r="DQ280" s="509">
        <f t="shared" si="43"/>
        <v>0</v>
      </c>
      <c r="DR280" s="509">
        <f t="shared" si="43"/>
        <v>0</v>
      </c>
      <c r="DS280" s="509">
        <f t="shared" si="43"/>
        <v>0</v>
      </c>
      <c r="DT280" s="509">
        <f t="shared" si="43"/>
        <v>24</v>
      </c>
      <c r="DU280" s="509">
        <f t="shared" si="43"/>
        <v>65</v>
      </c>
      <c r="DV280" s="509">
        <f t="shared" si="43"/>
        <v>0</v>
      </c>
      <c r="DW280" s="509">
        <f t="shared" si="43"/>
        <v>0</v>
      </c>
      <c r="DX280" s="509">
        <f t="shared" si="43"/>
        <v>0</v>
      </c>
      <c r="DY280" s="509">
        <f t="shared" si="43"/>
        <v>0</v>
      </c>
      <c r="DZ280" s="509">
        <f t="shared" si="43"/>
        <v>0</v>
      </c>
      <c r="EA280" s="509">
        <f t="shared" si="43"/>
        <v>45</v>
      </c>
      <c r="EB280" s="509">
        <f t="shared" si="43"/>
        <v>4</v>
      </c>
      <c r="EC280" s="509">
        <f t="shared" si="43"/>
        <v>0</v>
      </c>
      <c r="ED280" s="509">
        <f t="shared" ref="ED280:FE280" si="44">SUM(ED253:ED279)</f>
        <v>0</v>
      </c>
      <c r="EE280" s="509">
        <f t="shared" si="44"/>
        <v>0</v>
      </c>
      <c r="EF280" s="509">
        <f t="shared" si="44"/>
        <v>0</v>
      </c>
      <c r="EG280" s="509">
        <f t="shared" si="44"/>
        <v>0</v>
      </c>
      <c r="EH280" s="509">
        <f t="shared" si="44"/>
        <v>0</v>
      </c>
      <c r="EI280" s="509">
        <f t="shared" si="44"/>
        <v>0</v>
      </c>
      <c r="EJ280" s="509">
        <f t="shared" si="44"/>
        <v>0</v>
      </c>
      <c r="EK280" s="509">
        <f t="shared" si="44"/>
        <v>0</v>
      </c>
      <c r="EL280" s="509">
        <f t="shared" si="44"/>
        <v>0</v>
      </c>
      <c r="EM280" s="509">
        <f t="shared" si="44"/>
        <v>0</v>
      </c>
      <c r="EN280" s="509">
        <f t="shared" si="44"/>
        <v>0</v>
      </c>
      <c r="EO280" s="509">
        <f t="shared" si="44"/>
        <v>0</v>
      </c>
      <c r="EP280" s="509">
        <f t="shared" si="44"/>
        <v>0</v>
      </c>
      <c r="EQ280" s="509">
        <f t="shared" si="44"/>
        <v>0</v>
      </c>
      <c r="ER280" s="509">
        <f t="shared" si="44"/>
        <v>0</v>
      </c>
      <c r="ES280" s="509">
        <f t="shared" si="44"/>
        <v>0</v>
      </c>
      <c r="ET280" s="509">
        <f t="shared" si="44"/>
        <v>0</v>
      </c>
      <c r="EU280" s="509">
        <f t="shared" si="44"/>
        <v>0</v>
      </c>
      <c r="EV280" s="509">
        <f t="shared" si="44"/>
        <v>0</v>
      </c>
      <c r="EW280" s="509">
        <f t="shared" si="44"/>
        <v>0</v>
      </c>
      <c r="EX280" s="509">
        <f t="shared" si="44"/>
        <v>0</v>
      </c>
      <c r="EY280" s="509">
        <f t="shared" si="44"/>
        <v>0</v>
      </c>
      <c r="EZ280" s="509">
        <f t="shared" si="44"/>
        <v>2</v>
      </c>
      <c r="FA280" s="509">
        <f t="shared" si="44"/>
        <v>0</v>
      </c>
      <c r="FB280" s="509">
        <f t="shared" si="44"/>
        <v>0</v>
      </c>
      <c r="FC280" s="509">
        <f t="shared" si="44"/>
        <v>0</v>
      </c>
      <c r="FD280" s="509">
        <f t="shared" si="44"/>
        <v>0</v>
      </c>
      <c r="FE280" s="509">
        <f t="shared" si="44"/>
        <v>0</v>
      </c>
      <c r="FF280" s="509"/>
      <c r="FG280" s="508"/>
      <c r="FK280" s="4">
        <f>DO280-FC280</f>
        <v>56</v>
      </c>
    </row>
    <row r="281" spans="1:167" s="4" customFormat="1">
      <c r="A281" s="56"/>
      <c r="B281" s="56">
        <v>6</v>
      </c>
      <c r="C281" s="501" t="s">
        <v>3728</v>
      </c>
      <c r="D281" s="502"/>
      <c r="E281" s="503"/>
      <c r="F281" s="503"/>
      <c r="G281" s="503"/>
      <c r="H281" s="503"/>
      <c r="I281" s="503"/>
      <c r="J281" s="503"/>
      <c r="K281" s="503"/>
      <c r="L281" s="503"/>
      <c r="M281" s="503"/>
      <c r="N281" s="503"/>
      <c r="O281" s="503"/>
      <c r="P281" s="503"/>
      <c r="Q281" s="503"/>
      <c r="R281" s="503"/>
      <c r="S281" s="503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  <c r="CH281" s="504"/>
      <c r="CI281" s="504"/>
      <c r="CJ281" s="504"/>
      <c r="CK281" s="504"/>
      <c r="CL281" s="504"/>
      <c r="CM281" s="504"/>
      <c r="CN281" s="504"/>
      <c r="CO281" s="504"/>
      <c r="CP281" s="504"/>
      <c r="CQ281" s="504"/>
      <c r="CR281" s="504"/>
      <c r="CS281" s="504"/>
      <c r="CT281" s="504"/>
      <c r="CU281" s="504"/>
      <c r="CV281" s="519"/>
      <c r="CW281" s="519"/>
      <c r="CX281" s="519"/>
      <c r="CY281" s="519"/>
      <c r="CZ281" s="519"/>
      <c r="DA281" s="519"/>
      <c r="DB281" s="519"/>
      <c r="DC281" s="519"/>
      <c r="DD281" s="519"/>
      <c r="DE281" s="519"/>
      <c r="DF281" s="519"/>
      <c r="DG281" s="519"/>
      <c r="DH281" s="519"/>
      <c r="DI281" s="504"/>
      <c r="DJ281" s="504"/>
      <c r="DK281" s="504"/>
      <c r="DL281" s="504"/>
      <c r="DM281" s="504"/>
      <c r="DN281" s="504"/>
      <c r="DO281" s="504"/>
      <c r="DP281" s="504"/>
      <c r="DQ281" s="504"/>
      <c r="DR281" s="504"/>
      <c r="DS281" s="504"/>
      <c r="DT281" s="504"/>
      <c r="DU281" s="504"/>
      <c r="DV281" s="504"/>
      <c r="DW281" s="504"/>
      <c r="DX281" s="504"/>
      <c r="DY281" s="504"/>
      <c r="DZ281" s="504"/>
      <c r="EA281" s="504"/>
      <c r="EB281" s="504"/>
      <c r="EC281" s="504"/>
      <c r="ED281" s="504"/>
      <c r="EE281" s="504"/>
      <c r="EF281" s="504"/>
      <c r="EG281" s="504"/>
      <c r="EH281" s="504"/>
      <c r="EI281" s="504"/>
      <c r="EJ281" s="504"/>
      <c r="EK281" s="504"/>
      <c r="EL281" s="504"/>
      <c r="EM281" s="504"/>
      <c r="EN281" s="504"/>
      <c r="EO281" s="504"/>
      <c r="EP281" s="504"/>
      <c r="EQ281" s="504"/>
      <c r="ER281" s="504"/>
      <c r="ES281" s="504"/>
      <c r="ET281" s="504"/>
      <c r="EU281" s="504"/>
      <c r="EV281" s="504"/>
      <c r="EW281" s="504"/>
      <c r="EX281" s="504"/>
      <c r="EY281" s="504"/>
      <c r="EZ281" s="504"/>
      <c r="FA281" s="504"/>
      <c r="FB281" s="504"/>
      <c r="FC281" s="504"/>
      <c r="FD281" s="504"/>
      <c r="FE281" s="504"/>
      <c r="FF281" s="504"/>
      <c r="FG281" s="505"/>
      <c r="FK281" s="4">
        <f>DO281-FC281</f>
        <v>0</v>
      </c>
    </row>
    <row r="282" spans="1:167" s="696" customFormat="1">
      <c r="A282" s="690"/>
      <c r="B282" s="690"/>
      <c r="C282" s="708"/>
      <c r="D282" s="708" t="s">
        <v>3760</v>
      </c>
      <c r="E282" s="694"/>
      <c r="F282" s="694"/>
      <c r="G282" s="694"/>
      <c r="H282" s="694"/>
      <c r="I282" s="694"/>
      <c r="J282" s="694"/>
      <c r="K282" s="694"/>
      <c r="L282" s="694"/>
      <c r="M282" s="694"/>
      <c r="N282" s="694"/>
      <c r="O282" s="694"/>
      <c r="P282" s="694"/>
      <c r="Q282" s="694"/>
      <c r="R282" s="697"/>
      <c r="S282" s="697"/>
      <c r="T282" s="694"/>
      <c r="U282" s="694" t="s">
        <v>2990</v>
      </c>
      <c r="V282" s="694"/>
      <c r="W282" s="694"/>
      <c r="X282" s="694"/>
      <c r="Y282" s="694"/>
      <c r="Z282" s="694"/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4"/>
      <c r="BL282" s="694"/>
      <c r="BM282" s="694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  <c r="BX282" s="694"/>
      <c r="BY282" s="694"/>
      <c r="BZ282" s="694"/>
      <c r="CA282" s="694"/>
      <c r="CB282" s="694"/>
      <c r="CC282" s="694"/>
      <c r="CD282" s="694"/>
      <c r="CE282" s="694"/>
      <c r="CF282" s="694"/>
      <c r="CG282" s="694"/>
      <c r="CH282" s="694"/>
      <c r="CI282" s="694"/>
      <c r="CJ282" s="694"/>
      <c r="CK282" s="694"/>
      <c r="CL282" s="694"/>
      <c r="CM282" s="694"/>
      <c r="CN282" s="694"/>
      <c r="CO282" s="694"/>
      <c r="CP282" s="694"/>
      <c r="CQ282" s="694"/>
      <c r="CR282" s="694"/>
      <c r="CS282" s="694"/>
      <c r="CT282" s="694"/>
      <c r="CU282" s="694"/>
      <c r="CV282" s="695"/>
      <c r="CW282" s="695"/>
      <c r="CX282" s="695"/>
      <c r="CY282" s="695"/>
      <c r="CZ282" s="695"/>
      <c r="DA282" s="695"/>
      <c r="DB282" s="695"/>
      <c r="DC282" s="695"/>
      <c r="DD282" s="695"/>
      <c r="DE282" s="695"/>
      <c r="DF282" s="695"/>
      <c r="DG282" s="695"/>
      <c r="DH282" s="695"/>
      <c r="DI282" s="694"/>
      <c r="DJ282" s="694"/>
      <c r="DK282" s="692"/>
      <c r="DL282" s="692"/>
      <c r="DM282" s="692"/>
      <c r="DN282" s="692"/>
      <c r="DO282" s="692"/>
      <c r="DP282" s="692"/>
      <c r="DQ282" s="692"/>
      <c r="DR282" s="692">
        <v>1</v>
      </c>
      <c r="DS282" s="692"/>
      <c r="DT282" s="692"/>
      <c r="DU282" s="692"/>
      <c r="DV282" s="692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7"/>
    </row>
    <row r="283" spans="1:167" s="696" customFormat="1">
      <c r="A283" s="690"/>
      <c r="B283" s="690"/>
      <c r="C283" s="708"/>
      <c r="D283" s="708" t="s">
        <v>3761</v>
      </c>
      <c r="E283" s="694">
        <v>38.200000000000003</v>
      </c>
      <c r="F283" s="694"/>
      <c r="G283" s="694"/>
      <c r="H283" s="694"/>
      <c r="I283" s="694"/>
      <c r="J283" s="694"/>
      <c r="K283" s="694"/>
      <c r="L283" s="694"/>
      <c r="M283" s="694"/>
      <c r="N283" s="694"/>
      <c r="O283" s="694"/>
      <c r="P283" s="694"/>
      <c r="Q283" s="694"/>
      <c r="R283" s="697"/>
      <c r="S283" s="697"/>
      <c r="T283" s="694"/>
      <c r="U283" s="694" t="s">
        <v>1631</v>
      </c>
      <c r="V283" s="694"/>
      <c r="W283" s="694"/>
      <c r="X283" s="694"/>
      <c r="Y283" s="694"/>
      <c r="Z283" s="694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4"/>
      <c r="BL283" s="694"/>
      <c r="BM283" s="694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  <c r="BX283" s="694"/>
      <c r="BY283" s="694"/>
      <c r="BZ283" s="694"/>
      <c r="CA283" s="694"/>
      <c r="CB283" s="694"/>
      <c r="CC283" s="694"/>
      <c r="CD283" s="694"/>
      <c r="CE283" s="694"/>
      <c r="CF283" s="694"/>
      <c r="CG283" s="694"/>
      <c r="CH283" s="694"/>
      <c r="CI283" s="694"/>
      <c r="CJ283" s="694"/>
      <c r="CK283" s="694"/>
      <c r="CL283" s="694"/>
      <c r="CM283" s="694"/>
      <c r="CN283" s="694"/>
      <c r="CO283" s="694"/>
      <c r="CP283" s="694"/>
      <c r="CQ283" s="694"/>
      <c r="CR283" s="694"/>
      <c r="CS283" s="694"/>
      <c r="CT283" s="694"/>
      <c r="CU283" s="694"/>
      <c r="CV283" s="695"/>
      <c r="CW283" s="695"/>
      <c r="CX283" s="695"/>
      <c r="CY283" s="695"/>
      <c r="CZ283" s="695"/>
      <c r="DA283" s="695"/>
      <c r="DB283" s="695"/>
      <c r="DC283" s="695"/>
      <c r="DD283" s="695"/>
      <c r="DE283" s="695"/>
      <c r="DF283" s="695"/>
      <c r="DG283" s="695"/>
      <c r="DH283" s="695"/>
      <c r="DI283" s="694"/>
      <c r="DJ283" s="694"/>
      <c r="DK283" s="692"/>
      <c r="DL283" s="692"/>
      <c r="DM283" s="692"/>
      <c r="DN283" s="692">
        <v>1</v>
      </c>
      <c r="DO283" s="692">
        <v>3</v>
      </c>
      <c r="DP283" s="692">
        <v>3</v>
      </c>
      <c r="DQ283" s="692">
        <v>1</v>
      </c>
      <c r="DR283" s="692"/>
      <c r="DS283" s="692"/>
      <c r="DT283" s="692"/>
      <c r="DU283" s="692"/>
      <c r="DV283" s="692"/>
      <c r="DW283" s="694"/>
      <c r="DX283" s="694"/>
      <c r="DY283" s="694"/>
      <c r="DZ283" s="694"/>
      <c r="EA283" s="694"/>
      <c r="EB283" s="694"/>
      <c r="EC283" s="694"/>
      <c r="ED283" s="694"/>
      <c r="EE283" s="694">
        <v>1</v>
      </c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7"/>
    </row>
    <row r="284" spans="1:167" s="696" customFormat="1">
      <c r="A284" s="690"/>
      <c r="B284" s="690"/>
      <c r="C284" s="708"/>
      <c r="D284" s="708" t="s">
        <v>3762</v>
      </c>
      <c r="E284" s="694">
        <v>43.1</v>
      </c>
      <c r="F284" s="694"/>
      <c r="G284" s="694"/>
      <c r="H284" s="694"/>
      <c r="I284" s="694"/>
      <c r="J284" s="694"/>
      <c r="K284" s="694"/>
      <c r="L284" s="694"/>
      <c r="M284" s="694"/>
      <c r="N284" s="694"/>
      <c r="O284" s="694"/>
      <c r="P284" s="694"/>
      <c r="Q284" s="694"/>
      <c r="R284" s="697"/>
      <c r="S284" s="697"/>
      <c r="T284" s="694"/>
      <c r="U284" s="694" t="s">
        <v>1631</v>
      </c>
      <c r="V284" s="694"/>
      <c r="W284" s="694"/>
      <c r="X284" s="694"/>
      <c r="Y284" s="694"/>
      <c r="Z284" s="694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4"/>
      <c r="BL284" s="694"/>
      <c r="BM284" s="694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  <c r="BX284" s="694"/>
      <c r="BY284" s="694"/>
      <c r="BZ284" s="694"/>
      <c r="CA284" s="694"/>
      <c r="CB284" s="694"/>
      <c r="CC284" s="694"/>
      <c r="CD284" s="694"/>
      <c r="CE284" s="694"/>
      <c r="CF284" s="694"/>
      <c r="CG284" s="694"/>
      <c r="CH284" s="694"/>
      <c r="CI284" s="694"/>
      <c r="CJ284" s="694"/>
      <c r="CK284" s="694"/>
      <c r="CL284" s="694"/>
      <c r="CM284" s="694"/>
      <c r="CN284" s="694"/>
      <c r="CO284" s="694"/>
      <c r="CP284" s="694"/>
      <c r="CQ284" s="694"/>
      <c r="CR284" s="694"/>
      <c r="CS284" s="694"/>
      <c r="CT284" s="694"/>
      <c r="CU284" s="694"/>
      <c r="CV284" s="695"/>
      <c r="CW284" s="695"/>
      <c r="CX284" s="695"/>
      <c r="CY284" s="695"/>
      <c r="CZ284" s="695"/>
      <c r="DA284" s="695"/>
      <c r="DB284" s="695"/>
      <c r="DC284" s="695"/>
      <c r="DD284" s="695"/>
      <c r="DE284" s="695"/>
      <c r="DF284" s="695"/>
      <c r="DG284" s="695"/>
      <c r="DH284" s="695"/>
      <c r="DI284" s="694"/>
      <c r="DJ284" s="694"/>
      <c r="DK284" s="692"/>
      <c r="DL284" s="692"/>
      <c r="DM284" s="692"/>
      <c r="DN284" s="692">
        <v>1</v>
      </c>
      <c r="DO284" s="692">
        <v>3</v>
      </c>
      <c r="DP284" s="692">
        <v>3</v>
      </c>
      <c r="DQ284" s="692">
        <v>1</v>
      </c>
      <c r="DR284" s="692"/>
      <c r="DS284" s="692"/>
      <c r="DT284" s="692"/>
      <c r="DU284" s="692"/>
      <c r="DV284" s="692"/>
      <c r="DW284" s="694"/>
      <c r="DX284" s="694"/>
      <c r="DY284" s="694"/>
      <c r="DZ284" s="694"/>
      <c r="EA284" s="694">
        <v>1</v>
      </c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7"/>
    </row>
    <row r="285" spans="1:167" s="696" customFormat="1">
      <c r="A285" s="690"/>
      <c r="B285" s="690"/>
      <c r="C285" s="708"/>
      <c r="D285" s="708" t="s">
        <v>3763</v>
      </c>
      <c r="E285" s="694">
        <v>41.3</v>
      </c>
      <c r="F285" s="694"/>
      <c r="G285" s="694"/>
      <c r="H285" s="694"/>
      <c r="I285" s="694"/>
      <c r="J285" s="694"/>
      <c r="K285" s="694"/>
      <c r="L285" s="694"/>
      <c r="M285" s="694"/>
      <c r="N285" s="694"/>
      <c r="O285" s="694"/>
      <c r="P285" s="694"/>
      <c r="Q285" s="694"/>
      <c r="R285" s="697"/>
      <c r="S285" s="697"/>
      <c r="T285" s="694"/>
      <c r="U285" s="694" t="s">
        <v>1631</v>
      </c>
      <c r="V285" s="694"/>
      <c r="W285" s="694"/>
      <c r="X285" s="694"/>
      <c r="Y285" s="694"/>
      <c r="Z285" s="694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694"/>
      <c r="BL285" s="694"/>
      <c r="BM285" s="694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  <c r="BX285" s="694"/>
      <c r="BY285" s="694"/>
      <c r="BZ285" s="694"/>
      <c r="CA285" s="694"/>
      <c r="CB285" s="694"/>
      <c r="CC285" s="694"/>
      <c r="CD285" s="694"/>
      <c r="CE285" s="694"/>
      <c r="CF285" s="694"/>
      <c r="CG285" s="694"/>
      <c r="CH285" s="694"/>
      <c r="CI285" s="694"/>
      <c r="CJ285" s="694"/>
      <c r="CK285" s="694"/>
      <c r="CL285" s="694"/>
      <c r="CM285" s="694"/>
      <c r="CN285" s="694"/>
      <c r="CO285" s="694"/>
      <c r="CP285" s="694"/>
      <c r="CQ285" s="694"/>
      <c r="CR285" s="694"/>
      <c r="CS285" s="694"/>
      <c r="CT285" s="694"/>
      <c r="CU285" s="694"/>
      <c r="CV285" s="695"/>
      <c r="CW285" s="695"/>
      <c r="CX285" s="695"/>
      <c r="CY285" s="695"/>
      <c r="CZ285" s="695"/>
      <c r="DA285" s="695"/>
      <c r="DB285" s="695"/>
      <c r="DC285" s="695"/>
      <c r="DD285" s="695"/>
      <c r="DE285" s="695"/>
      <c r="DF285" s="695"/>
      <c r="DG285" s="695"/>
      <c r="DH285" s="695"/>
      <c r="DI285" s="694"/>
      <c r="DJ285" s="694"/>
      <c r="DK285" s="692"/>
      <c r="DL285" s="692"/>
      <c r="DM285" s="692"/>
      <c r="DN285" s="692">
        <v>1</v>
      </c>
      <c r="DO285" s="692">
        <v>3</v>
      </c>
      <c r="DP285" s="692">
        <v>3</v>
      </c>
      <c r="DQ285" s="692">
        <v>1</v>
      </c>
      <c r="DR285" s="692"/>
      <c r="DS285" s="692"/>
      <c r="DT285" s="692"/>
      <c r="DU285" s="692"/>
      <c r="DV285" s="692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7"/>
    </row>
    <row r="286" spans="1:167" s="696" customFormat="1">
      <c r="A286" s="690"/>
      <c r="B286" s="690"/>
      <c r="C286" s="708"/>
      <c r="D286" s="708" t="s">
        <v>3764</v>
      </c>
      <c r="E286" s="694">
        <v>42.8</v>
      </c>
      <c r="F286" s="694"/>
      <c r="G286" s="694"/>
      <c r="H286" s="694"/>
      <c r="I286" s="694"/>
      <c r="J286" s="694"/>
      <c r="K286" s="694"/>
      <c r="L286" s="694"/>
      <c r="M286" s="694"/>
      <c r="N286" s="694"/>
      <c r="O286" s="694"/>
      <c r="P286" s="694"/>
      <c r="Q286" s="694"/>
      <c r="R286" s="697"/>
      <c r="S286" s="697"/>
      <c r="T286" s="694"/>
      <c r="U286" s="694" t="s">
        <v>1631</v>
      </c>
      <c r="V286" s="694"/>
      <c r="W286" s="694"/>
      <c r="X286" s="694"/>
      <c r="Y286" s="694"/>
      <c r="Z286" s="694"/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4"/>
      <c r="BL286" s="694"/>
      <c r="BM286" s="694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  <c r="BX286" s="694"/>
      <c r="BY286" s="694"/>
      <c r="BZ286" s="694"/>
      <c r="CA286" s="694"/>
      <c r="CB286" s="694"/>
      <c r="CC286" s="694"/>
      <c r="CD286" s="694"/>
      <c r="CE286" s="694"/>
      <c r="CF286" s="694"/>
      <c r="CG286" s="694"/>
      <c r="CH286" s="694"/>
      <c r="CI286" s="694"/>
      <c r="CJ286" s="694"/>
      <c r="CK286" s="694"/>
      <c r="CL286" s="694"/>
      <c r="CM286" s="694"/>
      <c r="CN286" s="694"/>
      <c r="CO286" s="694"/>
      <c r="CP286" s="694"/>
      <c r="CQ286" s="694"/>
      <c r="CR286" s="694"/>
      <c r="CS286" s="694"/>
      <c r="CT286" s="694"/>
      <c r="CU286" s="694"/>
      <c r="CV286" s="695"/>
      <c r="CW286" s="695"/>
      <c r="CX286" s="695"/>
      <c r="CY286" s="695"/>
      <c r="CZ286" s="695"/>
      <c r="DA286" s="695"/>
      <c r="DB286" s="695"/>
      <c r="DC286" s="695"/>
      <c r="DD286" s="695"/>
      <c r="DE286" s="695"/>
      <c r="DF286" s="695"/>
      <c r="DG286" s="695"/>
      <c r="DH286" s="695"/>
      <c r="DI286" s="694"/>
      <c r="DJ286" s="694"/>
      <c r="DK286" s="692"/>
      <c r="DL286" s="692"/>
      <c r="DM286" s="692"/>
      <c r="DN286" s="692">
        <v>1</v>
      </c>
      <c r="DO286" s="692">
        <v>3</v>
      </c>
      <c r="DP286" s="692">
        <v>3</v>
      </c>
      <c r="DQ286" s="692">
        <v>1</v>
      </c>
      <c r="DR286" s="692"/>
      <c r="DS286" s="692"/>
      <c r="DT286" s="692"/>
      <c r="DU286" s="692"/>
      <c r="DV286" s="692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7"/>
    </row>
    <row r="287" spans="1:167" s="696" customFormat="1">
      <c r="A287" s="690"/>
      <c r="B287" s="690"/>
      <c r="C287" s="708"/>
      <c r="D287" s="708" t="s">
        <v>3765</v>
      </c>
      <c r="E287" s="694">
        <v>40.1</v>
      </c>
      <c r="F287" s="694"/>
      <c r="G287" s="694"/>
      <c r="H287" s="694"/>
      <c r="I287" s="694"/>
      <c r="J287" s="694"/>
      <c r="K287" s="694"/>
      <c r="L287" s="694"/>
      <c r="M287" s="694"/>
      <c r="N287" s="694"/>
      <c r="O287" s="694"/>
      <c r="P287" s="694"/>
      <c r="Q287" s="694"/>
      <c r="R287" s="697"/>
      <c r="S287" s="697"/>
      <c r="T287" s="694"/>
      <c r="U287" s="694" t="s">
        <v>3005</v>
      </c>
      <c r="V287" s="694"/>
      <c r="W287" s="694"/>
      <c r="X287" s="694"/>
      <c r="Y287" s="694"/>
      <c r="Z287" s="694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4"/>
      <c r="BL287" s="694"/>
      <c r="BM287" s="694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  <c r="BX287" s="694"/>
      <c r="BY287" s="694"/>
      <c r="BZ287" s="694"/>
      <c r="CA287" s="694"/>
      <c r="CB287" s="694"/>
      <c r="CC287" s="694"/>
      <c r="CD287" s="694"/>
      <c r="CE287" s="694"/>
      <c r="CF287" s="694"/>
      <c r="CG287" s="694"/>
      <c r="CH287" s="694"/>
      <c r="CI287" s="694"/>
      <c r="CJ287" s="694"/>
      <c r="CK287" s="694"/>
      <c r="CL287" s="694"/>
      <c r="CM287" s="694"/>
      <c r="CN287" s="694"/>
      <c r="CO287" s="694"/>
      <c r="CP287" s="694"/>
      <c r="CQ287" s="694"/>
      <c r="CR287" s="694"/>
      <c r="CS287" s="694"/>
      <c r="CT287" s="694"/>
      <c r="CU287" s="694"/>
      <c r="CV287" s="695"/>
      <c r="CW287" s="695"/>
      <c r="CX287" s="695"/>
      <c r="CY287" s="695"/>
      <c r="CZ287" s="695"/>
      <c r="DA287" s="695"/>
      <c r="DB287" s="695"/>
      <c r="DC287" s="695"/>
      <c r="DD287" s="695"/>
      <c r="DE287" s="695"/>
      <c r="DF287" s="695"/>
      <c r="DG287" s="695"/>
      <c r="DH287" s="695"/>
      <c r="DI287" s="694"/>
      <c r="DJ287" s="694"/>
      <c r="DK287" s="692"/>
      <c r="DL287" s="692"/>
      <c r="DM287" s="692"/>
      <c r="DN287" s="692">
        <v>2</v>
      </c>
      <c r="DO287" s="692">
        <v>6</v>
      </c>
      <c r="DP287" s="692">
        <v>6</v>
      </c>
      <c r="DQ287" s="692">
        <v>1</v>
      </c>
      <c r="DR287" s="692"/>
      <c r="DS287" s="692"/>
      <c r="DT287" s="692"/>
      <c r="DU287" s="692"/>
      <c r="DV287" s="692"/>
      <c r="DW287" s="694"/>
      <c r="DX287" s="694"/>
      <c r="DY287" s="694"/>
      <c r="DZ287" s="694"/>
      <c r="EA287" s="694"/>
      <c r="EB287" s="694">
        <v>1</v>
      </c>
      <c r="EC287" s="694"/>
      <c r="ED287" s="694"/>
      <c r="EE287" s="694">
        <v>1</v>
      </c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7"/>
    </row>
    <row r="288" spans="1:167" s="696" customFormat="1">
      <c r="A288" s="690"/>
      <c r="B288" s="690"/>
      <c r="C288" s="708" t="s">
        <v>3767</v>
      </c>
      <c r="D288" s="708"/>
      <c r="E288" s="694">
        <v>39</v>
      </c>
      <c r="F288" s="694"/>
      <c r="G288" s="694"/>
      <c r="H288" s="694"/>
      <c r="I288" s="694"/>
      <c r="J288" s="694"/>
      <c r="K288" s="694"/>
      <c r="L288" s="694"/>
      <c r="M288" s="694"/>
      <c r="N288" s="694"/>
      <c r="O288" s="694"/>
      <c r="P288" s="694"/>
      <c r="Q288" s="694"/>
      <c r="R288" s="697"/>
      <c r="S288" s="697"/>
      <c r="T288" s="694"/>
      <c r="U288" s="694" t="s">
        <v>1631</v>
      </c>
      <c r="V288" s="694"/>
      <c r="W288" s="694"/>
      <c r="X288" s="694"/>
      <c r="Y288" s="694"/>
      <c r="Z288" s="694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4"/>
      <c r="BL288" s="694"/>
      <c r="BM288" s="694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  <c r="BX288" s="694"/>
      <c r="BY288" s="694"/>
      <c r="BZ288" s="694"/>
      <c r="CA288" s="694"/>
      <c r="CB288" s="694"/>
      <c r="CC288" s="694"/>
      <c r="CD288" s="694"/>
      <c r="CE288" s="694"/>
      <c r="CF288" s="694"/>
      <c r="CG288" s="694"/>
      <c r="CH288" s="694"/>
      <c r="CI288" s="694"/>
      <c r="CJ288" s="694"/>
      <c r="CK288" s="694"/>
      <c r="CL288" s="694"/>
      <c r="CM288" s="694"/>
      <c r="CN288" s="694"/>
      <c r="CO288" s="694"/>
      <c r="CP288" s="694"/>
      <c r="CQ288" s="694">
        <v>1</v>
      </c>
      <c r="CR288" s="694"/>
      <c r="CS288" s="694"/>
      <c r="CT288" s="694"/>
      <c r="CU288" s="694"/>
      <c r="CV288" s="695"/>
      <c r="CW288" s="695"/>
      <c r="CX288" s="695"/>
      <c r="CY288" s="695"/>
      <c r="CZ288" s="695"/>
      <c r="DA288" s="695"/>
      <c r="DB288" s="695"/>
      <c r="DC288" s="695"/>
      <c r="DD288" s="695"/>
      <c r="DE288" s="695"/>
      <c r="DF288" s="695"/>
      <c r="DG288" s="695"/>
      <c r="DH288" s="695"/>
      <c r="DI288" s="694"/>
      <c r="DJ288" s="694"/>
      <c r="DK288" s="692"/>
      <c r="DL288" s="692"/>
      <c r="DM288" s="692"/>
      <c r="DN288" s="692">
        <v>1</v>
      </c>
      <c r="DO288" s="692">
        <v>3</v>
      </c>
      <c r="DP288" s="692">
        <v>3</v>
      </c>
      <c r="DQ288" s="692">
        <v>1</v>
      </c>
      <c r="DR288" s="692"/>
      <c r="DS288" s="692"/>
      <c r="DT288" s="692"/>
      <c r="DU288" s="692"/>
      <c r="DV288" s="692"/>
      <c r="DW288" s="694"/>
      <c r="DX288" s="694"/>
      <c r="DY288" s="694"/>
      <c r="DZ288" s="694"/>
      <c r="EA288" s="694"/>
      <c r="EB288" s="694"/>
      <c r="EC288" s="694"/>
      <c r="ED288" s="694">
        <v>1</v>
      </c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7"/>
    </row>
    <row r="289" spans="1:163" s="696" customFormat="1">
      <c r="A289" s="690"/>
      <c r="B289" s="690"/>
      <c r="C289" s="708"/>
      <c r="D289" s="708" t="s">
        <v>3766</v>
      </c>
      <c r="E289" s="694">
        <v>45.3</v>
      </c>
      <c r="F289" s="694"/>
      <c r="G289" s="694"/>
      <c r="H289" s="694"/>
      <c r="I289" s="694"/>
      <c r="J289" s="694"/>
      <c r="K289" s="694"/>
      <c r="L289" s="694"/>
      <c r="M289" s="694"/>
      <c r="N289" s="694"/>
      <c r="O289" s="694"/>
      <c r="P289" s="694"/>
      <c r="Q289" s="694"/>
      <c r="R289" s="697"/>
      <c r="S289" s="697"/>
      <c r="T289" s="694"/>
      <c r="U289" s="694" t="s">
        <v>1631</v>
      </c>
      <c r="V289" s="694"/>
      <c r="W289" s="694"/>
      <c r="X289" s="694"/>
      <c r="Y289" s="694"/>
      <c r="Z289" s="694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694"/>
      <c r="BL289" s="694"/>
      <c r="BM289" s="694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  <c r="BX289" s="694"/>
      <c r="BY289" s="694"/>
      <c r="BZ289" s="694"/>
      <c r="CA289" s="694"/>
      <c r="CB289" s="694"/>
      <c r="CC289" s="694"/>
      <c r="CD289" s="694"/>
      <c r="CE289" s="694"/>
      <c r="CF289" s="694"/>
      <c r="CG289" s="694"/>
      <c r="CH289" s="694"/>
      <c r="CI289" s="694"/>
      <c r="CJ289" s="694"/>
      <c r="CK289" s="694"/>
      <c r="CL289" s="694"/>
      <c r="CM289" s="694"/>
      <c r="CN289" s="694"/>
      <c r="CO289" s="694"/>
      <c r="CP289" s="694"/>
      <c r="CQ289" s="694"/>
      <c r="CR289" s="694"/>
      <c r="CS289" s="694"/>
      <c r="CT289" s="694"/>
      <c r="CU289" s="694"/>
      <c r="CV289" s="695"/>
      <c r="CW289" s="695"/>
      <c r="CX289" s="695"/>
      <c r="CY289" s="695"/>
      <c r="CZ289" s="695"/>
      <c r="DA289" s="695"/>
      <c r="DB289" s="695"/>
      <c r="DC289" s="695"/>
      <c r="DD289" s="695"/>
      <c r="DE289" s="695"/>
      <c r="DF289" s="695"/>
      <c r="DG289" s="695"/>
      <c r="DH289" s="695"/>
      <c r="DI289" s="694"/>
      <c r="DJ289" s="694"/>
      <c r="DK289" s="692"/>
      <c r="DL289" s="692"/>
      <c r="DM289" s="692"/>
      <c r="DN289" s="692">
        <v>1</v>
      </c>
      <c r="DO289" s="692">
        <v>3</v>
      </c>
      <c r="DP289" s="692">
        <v>3</v>
      </c>
      <c r="DQ289" s="692">
        <v>1</v>
      </c>
      <c r="DR289" s="692"/>
      <c r="DS289" s="692"/>
      <c r="DT289" s="692"/>
      <c r="DU289" s="692"/>
      <c r="DV289" s="692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7"/>
    </row>
    <row r="290" spans="1:163" s="696" customFormat="1">
      <c r="A290" s="690"/>
      <c r="B290" s="690"/>
      <c r="C290" s="708" t="s">
        <v>3768</v>
      </c>
      <c r="D290" s="708"/>
      <c r="E290" s="694">
        <v>34.200000000000003</v>
      </c>
      <c r="F290" s="694"/>
      <c r="G290" s="694"/>
      <c r="H290" s="694"/>
      <c r="I290" s="694"/>
      <c r="J290" s="694"/>
      <c r="K290" s="694"/>
      <c r="L290" s="694"/>
      <c r="M290" s="694"/>
      <c r="N290" s="694"/>
      <c r="O290" s="694"/>
      <c r="P290" s="694"/>
      <c r="Q290" s="694"/>
      <c r="R290" s="697"/>
      <c r="S290" s="697"/>
      <c r="T290" s="694"/>
      <c r="U290" s="694" t="s">
        <v>1631</v>
      </c>
      <c r="V290" s="694"/>
      <c r="W290" s="694"/>
      <c r="X290" s="694"/>
      <c r="Y290" s="694"/>
      <c r="Z290" s="694"/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4"/>
      <c r="BL290" s="694"/>
      <c r="BM290" s="694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  <c r="BX290" s="694"/>
      <c r="BY290" s="694"/>
      <c r="BZ290" s="694"/>
      <c r="CA290" s="694"/>
      <c r="CB290" s="694"/>
      <c r="CC290" s="694"/>
      <c r="CD290" s="694"/>
      <c r="CE290" s="694"/>
      <c r="CF290" s="694"/>
      <c r="CG290" s="694"/>
      <c r="CH290" s="694"/>
      <c r="CI290" s="694"/>
      <c r="CJ290" s="694"/>
      <c r="CK290" s="694"/>
      <c r="CL290" s="694"/>
      <c r="CM290" s="694"/>
      <c r="CN290" s="694"/>
      <c r="CO290" s="694"/>
      <c r="CP290" s="694"/>
      <c r="CQ290" s="694">
        <v>1</v>
      </c>
      <c r="CR290" s="694"/>
      <c r="CS290" s="694"/>
      <c r="CT290" s="694"/>
      <c r="CU290" s="694"/>
      <c r="CV290" s="695"/>
      <c r="CW290" s="695"/>
      <c r="CX290" s="695"/>
      <c r="CY290" s="695"/>
      <c r="CZ290" s="695"/>
      <c r="DA290" s="695"/>
      <c r="DB290" s="695"/>
      <c r="DC290" s="695"/>
      <c r="DD290" s="695"/>
      <c r="DE290" s="695"/>
      <c r="DF290" s="695"/>
      <c r="DG290" s="695"/>
      <c r="DH290" s="695"/>
      <c r="DI290" s="694"/>
      <c r="DJ290" s="694"/>
      <c r="DK290" s="692"/>
      <c r="DL290" s="692"/>
      <c r="DM290" s="692"/>
      <c r="DN290" s="692">
        <v>1</v>
      </c>
      <c r="DO290" s="692">
        <v>3</v>
      </c>
      <c r="DP290" s="692">
        <v>3</v>
      </c>
      <c r="DQ290" s="692">
        <v>1</v>
      </c>
      <c r="DR290" s="692"/>
      <c r="DS290" s="692"/>
      <c r="DT290" s="692"/>
      <c r="DU290" s="692"/>
      <c r="DV290" s="692"/>
      <c r="DW290" s="694"/>
      <c r="DX290" s="694"/>
      <c r="DY290" s="694"/>
      <c r="DZ290" s="694"/>
      <c r="EA290" s="694"/>
      <c r="EB290" s="694"/>
      <c r="EC290" s="694"/>
      <c r="ED290" s="694">
        <v>1</v>
      </c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7"/>
    </row>
    <row r="291" spans="1:163" s="696" customFormat="1">
      <c r="A291" s="690"/>
      <c r="B291" s="690"/>
      <c r="C291" s="708"/>
      <c r="D291" s="708" t="s">
        <v>3769</v>
      </c>
      <c r="E291" s="694">
        <v>35.4</v>
      </c>
      <c r="F291" s="694"/>
      <c r="G291" s="694"/>
      <c r="H291" s="694"/>
      <c r="I291" s="694"/>
      <c r="J291" s="694"/>
      <c r="K291" s="694"/>
      <c r="L291" s="694"/>
      <c r="M291" s="694"/>
      <c r="N291" s="694"/>
      <c r="O291" s="694"/>
      <c r="P291" s="694"/>
      <c r="Q291" s="694"/>
      <c r="R291" s="697"/>
      <c r="S291" s="697"/>
      <c r="T291" s="694"/>
      <c r="U291" s="694" t="s">
        <v>3718</v>
      </c>
      <c r="V291" s="694"/>
      <c r="W291" s="694"/>
      <c r="X291" s="694"/>
      <c r="Y291" s="694"/>
      <c r="Z291" s="694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4"/>
      <c r="BL291" s="694"/>
      <c r="BM291" s="694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  <c r="BX291" s="694"/>
      <c r="BY291" s="694"/>
      <c r="BZ291" s="694"/>
      <c r="CA291" s="694"/>
      <c r="CB291" s="694"/>
      <c r="CC291" s="694"/>
      <c r="CD291" s="694"/>
      <c r="CE291" s="694"/>
      <c r="CF291" s="694"/>
      <c r="CG291" s="694"/>
      <c r="CH291" s="694"/>
      <c r="CI291" s="694"/>
      <c r="CJ291" s="694"/>
      <c r="CK291" s="694"/>
      <c r="CL291" s="694"/>
      <c r="CM291" s="694"/>
      <c r="CN291" s="694"/>
      <c r="CO291" s="694"/>
      <c r="CP291" s="694"/>
      <c r="CQ291" s="694"/>
      <c r="CR291" s="694"/>
      <c r="CS291" s="694"/>
      <c r="CT291" s="694"/>
      <c r="CU291" s="694"/>
      <c r="CV291" s="695"/>
      <c r="CW291" s="695"/>
      <c r="CX291" s="695"/>
      <c r="CY291" s="695"/>
      <c r="CZ291" s="695"/>
      <c r="DA291" s="695"/>
      <c r="DB291" s="695"/>
      <c r="DC291" s="695"/>
      <c r="DD291" s="695"/>
      <c r="DE291" s="695"/>
      <c r="DF291" s="695"/>
      <c r="DG291" s="695"/>
      <c r="DH291" s="695"/>
      <c r="DI291" s="694"/>
      <c r="DJ291" s="694"/>
      <c r="DK291" s="692"/>
      <c r="DL291" s="692"/>
      <c r="DM291" s="692"/>
      <c r="DN291" s="692">
        <v>1</v>
      </c>
      <c r="DO291" s="692">
        <v>3</v>
      </c>
      <c r="DP291" s="692">
        <v>3</v>
      </c>
      <c r="DQ291" s="692"/>
      <c r="DR291" s="692">
        <v>2</v>
      </c>
      <c r="DS291" s="692"/>
      <c r="DT291" s="692"/>
      <c r="DU291" s="692"/>
      <c r="DV291" s="692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7"/>
    </row>
    <row r="292" spans="1:163" s="696" customFormat="1">
      <c r="A292" s="690"/>
      <c r="B292" s="690"/>
      <c r="C292" s="708" t="s">
        <v>3771</v>
      </c>
      <c r="D292" s="708"/>
      <c r="E292" s="694"/>
      <c r="F292" s="694"/>
      <c r="G292" s="694"/>
      <c r="H292" s="694"/>
      <c r="I292" s="694"/>
      <c r="J292" s="694"/>
      <c r="K292" s="694"/>
      <c r="L292" s="694"/>
      <c r="M292" s="694"/>
      <c r="N292" s="694"/>
      <c r="O292" s="694"/>
      <c r="P292" s="694"/>
      <c r="Q292" s="694"/>
      <c r="R292" s="697"/>
      <c r="S292" s="697"/>
      <c r="T292" s="694"/>
      <c r="U292" s="694" t="s">
        <v>3005</v>
      </c>
      <c r="V292" s="694"/>
      <c r="W292" s="694"/>
      <c r="X292" s="694"/>
      <c r="Y292" s="694"/>
      <c r="Z292" s="694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4"/>
      <c r="BL292" s="694"/>
      <c r="BM292" s="694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  <c r="BX292" s="694"/>
      <c r="BY292" s="694"/>
      <c r="BZ292" s="694"/>
      <c r="CA292" s="694"/>
      <c r="CB292" s="694"/>
      <c r="CC292" s="694"/>
      <c r="CD292" s="694"/>
      <c r="CE292" s="694"/>
      <c r="CF292" s="694"/>
      <c r="CG292" s="694"/>
      <c r="CH292" s="694"/>
      <c r="CI292" s="694"/>
      <c r="CJ292" s="694"/>
      <c r="CK292" s="694"/>
      <c r="CL292" s="694"/>
      <c r="CM292" s="694"/>
      <c r="CN292" s="694"/>
      <c r="CO292" s="694"/>
      <c r="CP292" s="694"/>
      <c r="CQ292" s="694"/>
      <c r="CR292" s="694"/>
      <c r="CS292" s="694"/>
      <c r="CT292" s="694"/>
      <c r="CU292" s="694"/>
      <c r="CV292" s="695"/>
      <c r="CW292" s="695"/>
      <c r="CX292" s="695"/>
      <c r="CY292" s="695"/>
      <c r="CZ292" s="695"/>
      <c r="DA292" s="695"/>
      <c r="DB292" s="695"/>
      <c r="DC292" s="695"/>
      <c r="DD292" s="695"/>
      <c r="DE292" s="695"/>
      <c r="DF292" s="695"/>
      <c r="DG292" s="695"/>
      <c r="DH292" s="695"/>
      <c r="DI292" s="694"/>
      <c r="DJ292" s="694"/>
      <c r="DK292" s="692"/>
      <c r="DL292" s="692"/>
      <c r="DM292" s="692"/>
      <c r="DN292" s="692"/>
      <c r="DO292" s="692"/>
      <c r="DP292" s="692"/>
      <c r="DQ292" s="692">
        <v>1</v>
      </c>
      <c r="DR292" s="692"/>
      <c r="DS292" s="692"/>
      <c r="DT292" s="692"/>
      <c r="DU292" s="692"/>
      <c r="DV292" s="692"/>
      <c r="DW292" s="694"/>
      <c r="DX292" s="694"/>
      <c r="DY292" s="694"/>
      <c r="DZ292" s="694"/>
      <c r="EA292" s="694"/>
      <c r="EB292" s="694"/>
      <c r="EC292" s="694"/>
      <c r="ED292" s="694">
        <v>1</v>
      </c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7"/>
    </row>
    <row r="293" spans="1:163" s="696" customFormat="1">
      <c r="A293" s="690"/>
      <c r="B293" s="690"/>
      <c r="C293" s="708"/>
      <c r="D293" s="708" t="s">
        <v>3770</v>
      </c>
      <c r="E293" s="694">
        <v>45.9</v>
      </c>
      <c r="F293" s="694"/>
      <c r="G293" s="694"/>
      <c r="H293" s="694"/>
      <c r="I293" s="694"/>
      <c r="J293" s="694"/>
      <c r="K293" s="694"/>
      <c r="L293" s="694"/>
      <c r="M293" s="694"/>
      <c r="N293" s="694"/>
      <c r="O293" s="694"/>
      <c r="P293" s="694"/>
      <c r="Q293" s="694"/>
      <c r="R293" s="697"/>
      <c r="S293" s="697"/>
      <c r="T293" s="694"/>
      <c r="U293" s="694" t="s">
        <v>1631</v>
      </c>
      <c r="V293" s="694"/>
      <c r="W293" s="694"/>
      <c r="X293" s="694"/>
      <c r="Y293" s="694"/>
      <c r="Z293" s="694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694"/>
      <c r="BL293" s="694"/>
      <c r="BM293" s="694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  <c r="BX293" s="694"/>
      <c r="BY293" s="694"/>
      <c r="BZ293" s="694"/>
      <c r="CA293" s="694"/>
      <c r="CB293" s="694"/>
      <c r="CC293" s="694"/>
      <c r="CD293" s="694"/>
      <c r="CE293" s="694"/>
      <c r="CF293" s="694"/>
      <c r="CG293" s="694"/>
      <c r="CH293" s="694"/>
      <c r="CI293" s="694"/>
      <c r="CJ293" s="694"/>
      <c r="CK293" s="694"/>
      <c r="CL293" s="694"/>
      <c r="CM293" s="694"/>
      <c r="CN293" s="694"/>
      <c r="CO293" s="694"/>
      <c r="CP293" s="694"/>
      <c r="CQ293" s="694"/>
      <c r="CR293" s="694"/>
      <c r="CS293" s="694"/>
      <c r="CT293" s="694"/>
      <c r="CU293" s="694"/>
      <c r="CV293" s="695"/>
      <c r="CW293" s="695"/>
      <c r="CX293" s="695"/>
      <c r="CY293" s="695"/>
      <c r="CZ293" s="695"/>
      <c r="DA293" s="695"/>
      <c r="DB293" s="695"/>
      <c r="DC293" s="695"/>
      <c r="DD293" s="695"/>
      <c r="DE293" s="695"/>
      <c r="DF293" s="695"/>
      <c r="DG293" s="695"/>
      <c r="DH293" s="695"/>
      <c r="DI293" s="694"/>
      <c r="DJ293" s="694"/>
      <c r="DK293" s="692"/>
      <c r="DL293" s="692"/>
      <c r="DM293" s="692"/>
      <c r="DN293" s="692">
        <v>1</v>
      </c>
      <c r="DO293" s="692">
        <v>3</v>
      </c>
      <c r="DP293" s="692">
        <v>3</v>
      </c>
      <c r="DQ293" s="692">
        <v>1</v>
      </c>
      <c r="DR293" s="692"/>
      <c r="DS293" s="692"/>
      <c r="DT293" s="692"/>
      <c r="DU293" s="692"/>
      <c r="DV293" s="692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7"/>
    </row>
    <row r="294" spans="1:163" s="696" customFormat="1">
      <c r="A294" s="690"/>
      <c r="B294" s="690"/>
      <c r="C294" s="708"/>
      <c r="D294" s="708" t="s">
        <v>3772</v>
      </c>
      <c r="E294" s="694">
        <v>39</v>
      </c>
      <c r="F294" s="694"/>
      <c r="G294" s="694"/>
      <c r="H294" s="694"/>
      <c r="I294" s="694"/>
      <c r="J294" s="694"/>
      <c r="K294" s="694"/>
      <c r="L294" s="694"/>
      <c r="M294" s="694"/>
      <c r="N294" s="694"/>
      <c r="O294" s="694"/>
      <c r="P294" s="694"/>
      <c r="Q294" s="694"/>
      <c r="R294" s="697"/>
      <c r="S294" s="697"/>
      <c r="T294" s="694"/>
      <c r="U294" s="694" t="s">
        <v>1631</v>
      </c>
      <c r="V294" s="694"/>
      <c r="W294" s="694"/>
      <c r="X294" s="694"/>
      <c r="Y294" s="694"/>
      <c r="Z294" s="694"/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4"/>
      <c r="BL294" s="694"/>
      <c r="BM294" s="694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  <c r="BX294" s="694"/>
      <c r="BY294" s="694"/>
      <c r="BZ294" s="694"/>
      <c r="CA294" s="694"/>
      <c r="CB294" s="694"/>
      <c r="CC294" s="694"/>
      <c r="CD294" s="694"/>
      <c r="CE294" s="694"/>
      <c r="CF294" s="694"/>
      <c r="CG294" s="694"/>
      <c r="CH294" s="694"/>
      <c r="CI294" s="694"/>
      <c r="CJ294" s="694"/>
      <c r="CK294" s="694"/>
      <c r="CL294" s="694"/>
      <c r="CM294" s="694"/>
      <c r="CN294" s="694"/>
      <c r="CO294" s="694"/>
      <c r="CP294" s="694"/>
      <c r="CQ294" s="694"/>
      <c r="CR294" s="694"/>
      <c r="CS294" s="694"/>
      <c r="CT294" s="694"/>
      <c r="CU294" s="694"/>
      <c r="CV294" s="695"/>
      <c r="CW294" s="695"/>
      <c r="CX294" s="695"/>
      <c r="CY294" s="695"/>
      <c r="CZ294" s="695"/>
      <c r="DA294" s="695"/>
      <c r="DB294" s="695"/>
      <c r="DC294" s="695"/>
      <c r="DD294" s="695"/>
      <c r="DE294" s="695"/>
      <c r="DF294" s="695"/>
      <c r="DG294" s="695"/>
      <c r="DH294" s="695"/>
      <c r="DI294" s="694"/>
      <c r="DJ294" s="694"/>
      <c r="DK294" s="692"/>
      <c r="DL294" s="692"/>
      <c r="DM294" s="692"/>
      <c r="DN294" s="692">
        <v>1</v>
      </c>
      <c r="DO294" s="692">
        <v>3</v>
      </c>
      <c r="DP294" s="692">
        <v>3</v>
      </c>
      <c r="DQ294" s="692">
        <v>1</v>
      </c>
      <c r="DR294" s="692"/>
      <c r="DS294" s="692"/>
      <c r="DT294" s="692"/>
      <c r="DU294" s="692"/>
      <c r="DV294" s="692"/>
      <c r="DW294" s="694"/>
      <c r="DX294" s="694"/>
      <c r="DY294" s="694"/>
      <c r="DZ294" s="694"/>
      <c r="EA294" s="694">
        <v>1</v>
      </c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7"/>
    </row>
    <row r="295" spans="1:163" s="696" customFormat="1">
      <c r="A295" s="690"/>
      <c r="B295" s="690"/>
      <c r="C295" s="708"/>
      <c r="D295" s="708" t="s">
        <v>3773</v>
      </c>
      <c r="E295" s="694">
        <v>39.700000000000003</v>
      </c>
      <c r="F295" s="694"/>
      <c r="G295" s="694"/>
      <c r="H295" s="694"/>
      <c r="I295" s="694"/>
      <c r="J295" s="694"/>
      <c r="K295" s="694"/>
      <c r="L295" s="694"/>
      <c r="M295" s="694"/>
      <c r="N295" s="694"/>
      <c r="O295" s="694"/>
      <c r="P295" s="694"/>
      <c r="Q295" s="694"/>
      <c r="R295" s="697"/>
      <c r="S295" s="697"/>
      <c r="T295" s="694"/>
      <c r="U295" s="694" t="s">
        <v>1631</v>
      </c>
      <c r="V295" s="694"/>
      <c r="W295" s="694"/>
      <c r="X295" s="694"/>
      <c r="Y295" s="694"/>
      <c r="Z295" s="694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4"/>
      <c r="BL295" s="694"/>
      <c r="BM295" s="694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  <c r="BX295" s="694"/>
      <c r="BY295" s="694"/>
      <c r="BZ295" s="694"/>
      <c r="CA295" s="694"/>
      <c r="CB295" s="694"/>
      <c r="CC295" s="694"/>
      <c r="CD295" s="694"/>
      <c r="CE295" s="694"/>
      <c r="CF295" s="694"/>
      <c r="CG295" s="694"/>
      <c r="CH295" s="694"/>
      <c r="CI295" s="694"/>
      <c r="CJ295" s="694"/>
      <c r="CK295" s="694"/>
      <c r="CL295" s="694"/>
      <c r="CM295" s="694"/>
      <c r="CN295" s="694"/>
      <c r="CO295" s="694"/>
      <c r="CP295" s="694"/>
      <c r="CQ295" s="694"/>
      <c r="CR295" s="694"/>
      <c r="CS295" s="694"/>
      <c r="CT295" s="694"/>
      <c r="CU295" s="694"/>
      <c r="CV295" s="695"/>
      <c r="CW295" s="695"/>
      <c r="CX295" s="695"/>
      <c r="CY295" s="695"/>
      <c r="CZ295" s="695"/>
      <c r="DA295" s="695"/>
      <c r="DB295" s="695"/>
      <c r="DC295" s="695"/>
      <c r="DD295" s="695"/>
      <c r="DE295" s="695"/>
      <c r="DF295" s="695"/>
      <c r="DG295" s="695"/>
      <c r="DH295" s="695"/>
      <c r="DI295" s="694"/>
      <c r="DJ295" s="694"/>
      <c r="DK295" s="692"/>
      <c r="DL295" s="692"/>
      <c r="DM295" s="692"/>
      <c r="DN295" s="692"/>
      <c r="DO295" s="692"/>
      <c r="DP295" s="692"/>
      <c r="DQ295" s="692">
        <v>1</v>
      </c>
      <c r="DR295" s="692"/>
      <c r="DS295" s="692"/>
      <c r="DT295" s="692"/>
      <c r="DU295" s="692"/>
      <c r="DV295" s="692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7"/>
    </row>
    <row r="296" spans="1:163" s="696" customFormat="1">
      <c r="A296" s="690"/>
      <c r="B296" s="690"/>
      <c r="C296" s="708"/>
      <c r="D296" s="709" t="s">
        <v>3774</v>
      </c>
      <c r="E296" s="694">
        <v>43.6</v>
      </c>
      <c r="F296" s="694"/>
      <c r="G296" s="694"/>
      <c r="H296" s="694"/>
      <c r="I296" s="694"/>
      <c r="J296" s="694"/>
      <c r="K296" s="694"/>
      <c r="L296" s="694"/>
      <c r="M296" s="694"/>
      <c r="N296" s="694"/>
      <c r="O296" s="694"/>
      <c r="P296" s="694"/>
      <c r="Q296" s="694"/>
      <c r="R296" s="697"/>
      <c r="S296" s="697"/>
      <c r="T296" s="694"/>
      <c r="U296" s="694" t="s">
        <v>1631</v>
      </c>
      <c r="V296" s="694"/>
      <c r="W296" s="694"/>
      <c r="X296" s="694"/>
      <c r="Y296" s="694"/>
      <c r="Z296" s="694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4"/>
      <c r="BL296" s="694"/>
      <c r="BM296" s="694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  <c r="BX296" s="694"/>
      <c r="BY296" s="694"/>
      <c r="BZ296" s="694"/>
      <c r="CA296" s="694"/>
      <c r="CB296" s="694"/>
      <c r="CC296" s="694"/>
      <c r="CD296" s="694"/>
      <c r="CE296" s="694"/>
      <c r="CF296" s="694"/>
      <c r="CG296" s="694"/>
      <c r="CH296" s="694"/>
      <c r="CI296" s="694"/>
      <c r="CJ296" s="694"/>
      <c r="CK296" s="694"/>
      <c r="CL296" s="694"/>
      <c r="CM296" s="694"/>
      <c r="CN296" s="694"/>
      <c r="CO296" s="694"/>
      <c r="CP296" s="694"/>
      <c r="CQ296" s="694"/>
      <c r="CR296" s="694"/>
      <c r="CS296" s="694"/>
      <c r="CT296" s="694"/>
      <c r="CU296" s="694"/>
      <c r="CV296" s="695"/>
      <c r="CW296" s="695"/>
      <c r="CX296" s="695"/>
      <c r="CY296" s="695"/>
      <c r="CZ296" s="695"/>
      <c r="DA296" s="695"/>
      <c r="DB296" s="695"/>
      <c r="DC296" s="695"/>
      <c r="DD296" s="695"/>
      <c r="DE296" s="695"/>
      <c r="DF296" s="695"/>
      <c r="DG296" s="695"/>
      <c r="DH296" s="695"/>
      <c r="DI296" s="694"/>
      <c r="DJ296" s="694"/>
      <c r="DK296" s="692"/>
      <c r="DL296" s="692"/>
      <c r="DM296" s="692"/>
      <c r="DN296" s="692">
        <v>1</v>
      </c>
      <c r="DO296" s="692">
        <v>3</v>
      </c>
      <c r="DP296" s="692">
        <v>3</v>
      </c>
      <c r="DQ296" s="692">
        <v>1</v>
      </c>
      <c r="DR296" s="692"/>
      <c r="DS296" s="692"/>
      <c r="DT296" s="692"/>
      <c r="DU296" s="692"/>
      <c r="DV296" s="692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7"/>
    </row>
    <row r="297" spans="1:163" s="696" customFormat="1">
      <c r="A297" s="690"/>
      <c r="B297" s="690"/>
      <c r="C297" s="708"/>
      <c r="D297" s="708" t="s">
        <v>3775</v>
      </c>
      <c r="E297" s="694">
        <v>11.5</v>
      </c>
      <c r="F297" s="694"/>
      <c r="G297" s="694"/>
      <c r="H297" s="694"/>
      <c r="I297" s="694"/>
      <c r="J297" s="694"/>
      <c r="K297" s="694"/>
      <c r="L297" s="694"/>
      <c r="M297" s="694"/>
      <c r="N297" s="694"/>
      <c r="O297" s="694"/>
      <c r="P297" s="694"/>
      <c r="Q297" s="694"/>
      <c r="R297" s="697"/>
      <c r="S297" s="697"/>
      <c r="T297" s="694"/>
      <c r="U297" s="694" t="s">
        <v>3005</v>
      </c>
      <c r="V297" s="694"/>
      <c r="W297" s="694"/>
      <c r="X297" s="694"/>
      <c r="Y297" s="694"/>
      <c r="Z297" s="694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694"/>
      <c r="BL297" s="694"/>
      <c r="BM297" s="694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  <c r="BX297" s="694"/>
      <c r="BY297" s="694"/>
      <c r="BZ297" s="694"/>
      <c r="CA297" s="694"/>
      <c r="CB297" s="694"/>
      <c r="CC297" s="694"/>
      <c r="CD297" s="694"/>
      <c r="CE297" s="694"/>
      <c r="CF297" s="694"/>
      <c r="CG297" s="694"/>
      <c r="CH297" s="694"/>
      <c r="CI297" s="694"/>
      <c r="CJ297" s="694"/>
      <c r="CK297" s="694"/>
      <c r="CL297" s="694"/>
      <c r="CM297" s="694"/>
      <c r="CN297" s="694"/>
      <c r="CO297" s="694"/>
      <c r="CP297" s="694"/>
      <c r="CQ297" s="694"/>
      <c r="CR297" s="694"/>
      <c r="CS297" s="694"/>
      <c r="CT297" s="694"/>
      <c r="CU297" s="694"/>
      <c r="CV297" s="695"/>
      <c r="CW297" s="695"/>
      <c r="CX297" s="695"/>
      <c r="CY297" s="695"/>
      <c r="CZ297" s="695"/>
      <c r="DA297" s="695"/>
      <c r="DB297" s="695"/>
      <c r="DC297" s="695"/>
      <c r="DD297" s="695"/>
      <c r="DE297" s="695"/>
      <c r="DF297" s="695"/>
      <c r="DG297" s="695"/>
      <c r="DH297" s="695"/>
      <c r="DI297" s="694"/>
      <c r="DJ297" s="694"/>
      <c r="DK297" s="692"/>
      <c r="DL297" s="692"/>
      <c r="DM297" s="692"/>
      <c r="DN297" s="692"/>
      <c r="DO297" s="692"/>
      <c r="DP297" s="692"/>
      <c r="DQ297" s="692">
        <v>1</v>
      </c>
      <c r="DR297" s="692"/>
      <c r="DS297" s="692"/>
      <c r="DT297" s="692"/>
      <c r="DU297" s="692"/>
      <c r="DV297" s="692"/>
      <c r="DW297" s="694"/>
      <c r="DX297" s="694"/>
      <c r="DY297" s="694"/>
      <c r="DZ297" s="694"/>
      <c r="EA297" s="694"/>
      <c r="EB297" s="694"/>
      <c r="EC297" s="694"/>
      <c r="ED297" s="694"/>
      <c r="EE297" s="694">
        <v>1</v>
      </c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7"/>
    </row>
    <row r="298" spans="1:163" s="696" customFormat="1">
      <c r="A298" s="690"/>
      <c r="B298" s="690"/>
      <c r="C298" s="708" t="s">
        <v>3776</v>
      </c>
      <c r="D298" s="708"/>
      <c r="E298" s="694">
        <v>27.2</v>
      </c>
      <c r="F298" s="694"/>
      <c r="G298" s="694"/>
      <c r="H298" s="694"/>
      <c r="I298" s="694"/>
      <c r="J298" s="694"/>
      <c r="K298" s="694"/>
      <c r="L298" s="694"/>
      <c r="M298" s="694"/>
      <c r="N298" s="694"/>
      <c r="O298" s="694"/>
      <c r="P298" s="694"/>
      <c r="Q298" s="694"/>
      <c r="R298" s="697"/>
      <c r="S298" s="697"/>
      <c r="T298" s="694"/>
      <c r="U298" s="694" t="s">
        <v>1631</v>
      </c>
      <c r="V298" s="694"/>
      <c r="W298" s="694"/>
      <c r="X298" s="694"/>
      <c r="Y298" s="694"/>
      <c r="Z298" s="694"/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4"/>
      <c r="BL298" s="694"/>
      <c r="BM298" s="694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  <c r="BX298" s="694"/>
      <c r="BY298" s="694"/>
      <c r="BZ298" s="694"/>
      <c r="CA298" s="694"/>
      <c r="CB298" s="694"/>
      <c r="CC298" s="694"/>
      <c r="CD298" s="694"/>
      <c r="CE298" s="694"/>
      <c r="CF298" s="694"/>
      <c r="CG298" s="694"/>
      <c r="CH298" s="694"/>
      <c r="CI298" s="694"/>
      <c r="CJ298" s="694"/>
      <c r="CK298" s="694"/>
      <c r="CL298" s="694"/>
      <c r="CM298" s="694"/>
      <c r="CN298" s="694"/>
      <c r="CO298" s="694"/>
      <c r="CP298" s="694"/>
      <c r="CQ298" s="694"/>
      <c r="CR298" s="694"/>
      <c r="CS298" s="694"/>
      <c r="CT298" s="694"/>
      <c r="CU298" s="694"/>
      <c r="CV298" s="695"/>
      <c r="CW298" s="695"/>
      <c r="CX298" s="695"/>
      <c r="CY298" s="695"/>
      <c r="CZ298" s="695"/>
      <c r="DA298" s="695"/>
      <c r="DB298" s="695"/>
      <c r="DC298" s="695"/>
      <c r="DD298" s="695"/>
      <c r="DE298" s="695"/>
      <c r="DF298" s="695"/>
      <c r="DG298" s="695"/>
      <c r="DH298" s="695"/>
      <c r="DI298" s="694"/>
      <c r="DJ298" s="694"/>
      <c r="DK298" s="692"/>
      <c r="DL298" s="692"/>
      <c r="DM298" s="692"/>
      <c r="DN298" s="692">
        <v>1</v>
      </c>
      <c r="DO298" s="692">
        <v>3</v>
      </c>
      <c r="DP298" s="692">
        <v>3</v>
      </c>
      <c r="DQ298" s="692">
        <v>1</v>
      </c>
      <c r="DR298" s="692"/>
      <c r="DS298" s="692"/>
      <c r="DT298" s="692"/>
      <c r="DU298" s="692"/>
      <c r="DV298" s="692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7"/>
    </row>
    <row r="299" spans="1:163" s="696" customFormat="1">
      <c r="A299" s="690"/>
      <c r="B299" s="690"/>
      <c r="C299" s="708"/>
      <c r="D299" s="708" t="s">
        <v>3777</v>
      </c>
      <c r="E299" s="694">
        <v>17.7</v>
      </c>
      <c r="F299" s="694"/>
      <c r="G299" s="694"/>
      <c r="H299" s="694"/>
      <c r="I299" s="694"/>
      <c r="J299" s="694"/>
      <c r="K299" s="694"/>
      <c r="L299" s="694"/>
      <c r="M299" s="694"/>
      <c r="N299" s="694"/>
      <c r="O299" s="694"/>
      <c r="P299" s="694"/>
      <c r="Q299" s="694"/>
      <c r="R299" s="697"/>
      <c r="S299" s="697"/>
      <c r="T299" s="694"/>
      <c r="U299" s="694" t="s">
        <v>1631</v>
      </c>
      <c r="V299" s="694"/>
      <c r="W299" s="694"/>
      <c r="X299" s="694"/>
      <c r="Y299" s="694"/>
      <c r="Z299" s="694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4"/>
      <c r="BL299" s="694"/>
      <c r="BM299" s="694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  <c r="BX299" s="694"/>
      <c r="BY299" s="694"/>
      <c r="BZ299" s="694"/>
      <c r="CA299" s="694"/>
      <c r="CB299" s="694"/>
      <c r="CC299" s="694"/>
      <c r="CD299" s="694"/>
      <c r="CE299" s="694"/>
      <c r="CF299" s="694"/>
      <c r="CG299" s="694"/>
      <c r="CH299" s="694"/>
      <c r="CI299" s="694"/>
      <c r="CJ299" s="694"/>
      <c r="CK299" s="694"/>
      <c r="CL299" s="694"/>
      <c r="CM299" s="694"/>
      <c r="CN299" s="694"/>
      <c r="CO299" s="694"/>
      <c r="CP299" s="694"/>
      <c r="CQ299" s="694"/>
      <c r="CR299" s="694"/>
      <c r="CS299" s="694"/>
      <c r="CT299" s="694"/>
      <c r="CU299" s="694"/>
      <c r="CV299" s="695"/>
      <c r="CW299" s="695"/>
      <c r="CX299" s="695"/>
      <c r="CY299" s="695"/>
      <c r="CZ299" s="695"/>
      <c r="DA299" s="695"/>
      <c r="DB299" s="695"/>
      <c r="DC299" s="695"/>
      <c r="DD299" s="695"/>
      <c r="DE299" s="695"/>
      <c r="DF299" s="695"/>
      <c r="DG299" s="695"/>
      <c r="DH299" s="695"/>
      <c r="DI299" s="694"/>
      <c r="DJ299" s="694"/>
      <c r="DK299" s="692"/>
      <c r="DL299" s="692"/>
      <c r="DM299" s="692"/>
      <c r="DN299" s="692"/>
      <c r="DO299" s="692"/>
      <c r="DP299" s="692"/>
      <c r="DQ299" s="692">
        <v>1</v>
      </c>
      <c r="DR299" s="692"/>
      <c r="DS299" s="692"/>
      <c r="DT299" s="692"/>
      <c r="DU299" s="692"/>
      <c r="DV299" s="692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7"/>
    </row>
    <row r="300" spans="1:163" s="696" customFormat="1">
      <c r="A300" s="690"/>
      <c r="B300" s="690"/>
      <c r="C300" s="708"/>
      <c r="D300" s="708" t="s">
        <v>3778</v>
      </c>
      <c r="E300" s="694">
        <v>34</v>
      </c>
      <c r="F300" s="694"/>
      <c r="G300" s="694"/>
      <c r="H300" s="694"/>
      <c r="I300" s="694"/>
      <c r="J300" s="694"/>
      <c r="K300" s="694"/>
      <c r="L300" s="694"/>
      <c r="M300" s="694"/>
      <c r="N300" s="694"/>
      <c r="O300" s="694"/>
      <c r="P300" s="694"/>
      <c r="Q300" s="694"/>
      <c r="R300" s="697"/>
      <c r="S300" s="697"/>
      <c r="T300" s="694"/>
      <c r="U300" s="694" t="s">
        <v>1631</v>
      </c>
      <c r="V300" s="694"/>
      <c r="W300" s="694"/>
      <c r="X300" s="694"/>
      <c r="Y300" s="694"/>
      <c r="Z300" s="694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4"/>
      <c r="BL300" s="694"/>
      <c r="BM300" s="694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  <c r="BX300" s="694"/>
      <c r="BY300" s="694"/>
      <c r="BZ300" s="694"/>
      <c r="CA300" s="694"/>
      <c r="CB300" s="694"/>
      <c r="CC300" s="694"/>
      <c r="CD300" s="694"/>
      <c r="CE300" s="694"/>
      <c r="CF300" s="694"/>
      <c r="CG300" s="694"/>
      <c r="CH300" s="694"/>
      <c r="CI300" s="694"/>
      <c r="CJ300" s="694"/>
      <c r="CK300" s="694"/>
      <c r="CL300" s="694"/>
      <c r="CM300" s="694"/>
      <c r="CN300" s="694"/>
      <c r="CO300" s="694"/>
      <c r="CP300" s="694"/>
      <c r="CQ300" s="694"/>
      <c r="CR300" s="694"/>
      <c r="CS300" s="694"/>
      <c r="CT300" s="694"/>
      <c r="CU300" s="694"/>
      <c r="CV300" s="695"/>
      <c r="CW300" s="695"/>
      <c r="CX300" s="695"/>
      <c r="CY300" s="695"/>
      <c r="CZ300" s="695"/>
      <c r="DA300" s="695"/>
      <c r="DB300" s="695"/>
      <c r="DC300" s="695"/>
      <c r="DD300" s="695"/>
      <c r="DE300" s="695"/>
      <c r="DF300" s="695"/>
      <c r="DG300" s="695"/>
      <c r="DH300" s="695"/>
      <c r="DI300" s="694"/>
      <c r="DJ300" s="694"/>
      <c r="DK300" s="692"/>
      <c r="DL300" s="692"/>
      <c r="DM300" s="692"/>
      <c r="DN300" s="692">
        <v>1</v>
      </c>
      <c r="DO300" s="692">
        <v>3</v>
      </c>
      <c r="DP300" s="692">
        <v>3</v>
      </c>
      <c r="DQ300" s="692">
        <v>1</v>
      </c>
      <c r="DR300" s="692"/>
      <c r="DS300" s="692"/>
      <c r="DT300" s="692"/>
      <c r="DU300" s="692"/>
      <c r="DV300" s="692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7"/>
    </row>
    <row r="301" spans="1:163" s="696" customFormat="1">
      <c r="A301" s="690"/>
      <c r="B301" s="690"/>
      <c r="C301" s="708"/>
      <c r="D301" s="708" t="s">
        <v>3779</v>
      </c>
      <c r="E301" s="694">
        <v>35.200000000000003</v>
      </c>
      <c r="F301" s="694"/>
      <c r="G301" s="694"/>
      <c r="H301" s="694"/>
      <c r="I301" s="694"/>
      <c r="J301" s="694"/>
      <c r="K301" s="694"/>
      <c r="L301" s="694"/>
      <c r="M301" s="694"/>
      <c r="N301" s="694"/>
      <c r="O301" s="694"/>
      <c r="P301" s="694"/>
      <c r="Q301" s="694"/>
      <c r="R301" s="697"/>
      <c r="S301" s="697"/>
      <c r="T301" s="694"/>
      <c r="U301" s="694" t="s">
        <v>1631</v>
      </c>
      <c r="V301" s="694"/>
      <c r="W301" s="694"/>
      <c r="X301" s="694"/>
      <c r="Y301" s="694"/>
      <c r="Z301" s="694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694"/>
      <c r="BL301" s="694"/>
      <c r="BM301" s="694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  <c r="BX301" s="694"/>
      <c r="BY301" s="694"/>
      <c r="BZ301" s="694"/>
      <c r="CA301" s="694"/>
      <c r="CB301" s="694"/>
      <c r="CC301" s="694"/>
      <c r="CD301" s="694"/>
      <c r="CE301" s="694"/>
      <c r="CF301" s="694"/>
      <c r="CG301" s="694"/>
      <c r="CH301" s="694"/>
      <c r="CI301" s="694"/>
      <c r="CJ301" s="694"/>
      <c r="CK301" s="694"/>
      <c r="CL301" s="694"/>
      <c r="CM301" s="694"/>
      <c r="CN301" s="694"/>
      <c r="CO301" s="694"/>
      <c r="CP301" s="694"/>
      <c r="CQ301" s="694"/>
      <c r="CR301" s="694"/>
      <c r="CS301" s="694"/>
      <c r="CT301" s="694"/>
      <c r="CU301" s="694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695"/>
      <c r="DH301" s="695"/>
      <c r="DI301" s="694"/>
      <c r="DJ301" s="694"/>
      <c r="DK301" s="692"/>
      <c r="DL301" s="692"/>
      <c r="DM301" s="692"/>
      <c r="DN301" s="692">
        <v>1</v>
      </c>
      <c r="DO301" s="692">
        <v>3</v>
      </c>
      <c r="DP301" s="692">
        <v>3</v>
      </c>
      <c r="DQ301" s="692">
        <v>1</v>
      </c>
      <c r="DR301" s="692"/>
      <c r="DS301" s="692"/>
      <c r="DT301" s="692"/>
      <c r="DU301" s="692"/>
      <c r="DV301" s="692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7"/>
    </row>
    <row r="302" spans="1:163" s="696" customFormat="1">
      <c r="A302" s="690"/>
      <c r="B302" s="690"/>
      <c r="C302" s="708"/>
      <c r="D302" s="708" t="s">
        <v>3780</v>
      </c>
      <c r="E302" s="694">
        <v>44.1</v>
      </c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7"/>
      <c r="S302" s="697"/>
      <c r="T302" s="694"/>
      <c r="U302" s="694" t="s">
        <v>1631</v>
      </c>
      <c r="V302" s="694"/>
      <c r="W302" s="694"/>
      <c r="X302" s="694"/>
      <c r="Y302" s="694"/>
      <c r="Z302" s="694"/>
      <c r="AA302" s="694"/>
      <c r="AB302" s="694"/>
      <c r="AC302" s="694"/>
      <c r="AD302" s="694"/>
      <c r="AE302" s="694"/>
      <c r="AF302" s="694"/>
      <c r="AG302" s="694"/>
      <c r="AH302" s="694"/>
      <c r="AI302" s="694"/>
      <c r="AJ302" s="694"/>
      <c r="AK302" s="694"/>
      <c r="AL302" s="694"/>
      <c r="AM302" s="694"/>
      <c r="AN302" s="694"/>
      <c r="AO302" s="694"/>
      <c r="AP302" s="694"/>
      <c r="AQ302" s="694"/>
      <c r="AR302" s="694"/>
      <c r="AS302" s="694"/>
      <c r="AT302" s="694"/>
      <c r="AU302" s="694"/>
      <c r="AV302" s="694"/>
      <c r="AW302" s="694"/>
      <c r="AX302" s="694"/>
      <c r="AY302" s="694"/>
      <c r="AZ302" s="694"/>
      <c r="BA302" s="694"/>
      <c r="BB302" s="694"/>
      <c r="BC302" s="694"/>
      <c r="BD302" s="694"/>
      <c r="BE302" s="694"/>
      <c r="BF302" s="694"/>
      <c r="BG302" s="694"/>
      <c r="BH302" s="694"/>
      <c r="BI302" s="694"/>
      <c r="BJ302" s="694"/>
      <c r="BK302" s="694"/>
      <c r="BL302" s="694"/>
      <c r="BM302" s="694"/>
      <c r="BN302" s="694"/>
      <c r="BO302" s="694"/>
      <c r="BP302" s="694"/>
      <c r="BQ302" s="694"/>
      <c r="BR302" s="694"/>
      <c r="BS302" s="694"/>
      <c r="BT302" s="694"/>
      <c r="BU302" s="694"/>
      <c r="BV302" s="694"/>
      <c r="BW302" s="694"/>
      <c r="BX302" s="694"/>
      <c r="BY302" s="694"/>
      <c r="BZ302" s="694"/>
      <c r="CA302" s="694"/>
      <c r="CB302" s="694"/>
      <c r="CC302" s="694"/>
      <c r="CD302" s="694"/>
      <c r="CE302" s="694"/>
      <c r="CF302" s="694"/>
      <c r="CG302" s="694"/>
      <c r="CH302" s="694"/>
      <c r="CI302" s="694"/>
      <c r="CJ302" s="694"/>
      <c r="CK302" s="694"/>
      <c r="CL302" s="694"/>
      <c r="CM302" s="694"/>
      <c r="CN302" s="694"/>
      <c r="CO302" s="694"/>
      <c r="CP302" s="694"/>
      <c r="CQ302" s="694"/>
      <c r="CR302" s="694"/>
      <c r="CS302" s="694"/>
      <c r="CT302" s="694"/>
      <c r="CU302" s="694"/>
      <c r="CV302" s="695"/>
      <c r="CW302" s="695"/>
      <c r="CX302" s="695"/>
      <c r="CY302" s="695"/>
      <c r="CZ302" s="695"/>
      <c r="DA302" s="695"/>
      <c r="DB302" s="695"/>
      <c r="DC302" s="695"/>
      <c r="DD302" s="695"/>
      <c r="DE302" s="695"/>
      <c r="DF302" s="695"/>
      <c r="DG302" s="695"/>
      <c r="DH302" s="695"/>
      <c r="DI302" s="694"/>
      <c r="DJ302" s="694"/>
      <c r="DK302" s="692"/>
      <c r="DL302" s="692"/>
      <c r="DM302" s="692"/>
      <c r="DN302" s="692">
        <v>1</v>
      </c>
      <c r="DO302" s="692">
        <v>3</v>
      </c>
      <c r="DP302" s="692">
        <v>3</v>
      </c>
      <c r="DQ302" s="692">
        <v>1</v>
      </c>
      <c r="DR302" s="692"/>
      <c r="DS302" s="692"/>
      <c r="DT302" s="692"/>
      <c r="DU302" s="692"/>
      <c r="DV302" s="692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7"/>
    </row>
    <row r="303" spans="1:163" s="696" customFormat="1">
      <c r="A303" s="690"/>
      <c r="B303" s="690"/>
      <c r="C303" s="708" t="s">
        <v>3781</v>
      </c>
      <c r="D303" s="708"/>
      <c r="E303" s="694">
        <v>44</v>
      </c>
      <c r="F303" s="694"/>
      <c r="G303" s="694"/>
      <c r="H303" s="694"/>
      <c r="I303" s="694"/>
      <c r="J303" s="694"/>
      <c r="K303" s="694"/>
      <c r="L303" s="694"/>
      <c r="M303" s="694"/>
      <c r="N303" s="694"/>
      <c r="O303" s="694"/>
      <c r="P303" s="694"/>
      <c r="Q303" s="694"/>
      <c r="R303" s="697"/>
      <c r="S303" s="697"/>
      <c r="T303" s="694"/>
      <c r="U303" s="694" t="s">
        <v>1631</v>
      </c>
      <c r="V303" s="694"/>
      <c r="W303" s="694"/>
      <c r="X303" s="694"/>
      <c r="Y303" s="694"/>
      <c r="Z303" s="694"/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4"/>
      <c r="BL303" s="694"/>
      <c r="BM303" s="694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  <c r="BX303" s="694"/>
      <c r="BY303" s="694"/>
      <c r="BZ303" s="694"/>
      <c r="CA303" s="694"/>
      <c r="CB303" s="694"/>
      <c r="CC303" s="694"/>
      <c r="CD303" s="694"/>
      <c r="CE303" s="694"/>
      <c r="CF303" s="694"/>
      <c r="CG303" s="694"/>
      <c r="CH303" s="694"/>
      <c r="CI303" s="694"/>
      <c r="CJ303" s="694"/>
      <c r="CK303" s="694"/>
      <c r="CL303" s="694"/>
      <c r="CM303" s="694"/>
      <c r="CN303" s="694"/>
      <c r="CO303" s="694"/>
      <c r="CP303" s="694"/>
      <c r="CQ303" s="694">
        <v>1</v>
      </c>
      <c r="CR303" s="694"/>
      <c r="CS303" s="694"/>
      <c r="CT303" s="694"/>
      <c r="CU303" s="694"/>
      <c r="CV303" s="695"/>
      <c r="CW303" s="695"/>
      <c r="CX303" s="695"/>
      <c r="CY303" s="695"/>
      <c r="CZ303" s="695"/>
      <c r="DA303" s="695"/>
      <c r="DB303" s="695"/>
      <c r="DC303" s="695"/>
      <c r="DD303" s="695"/>
      <c r="DE303" s="695"/>
      <c r="DF303" s="695"/>
      <c r="DG303" s="695"/>
      <c r="DH303" s="695"/>
      <c r="DI303" s="694"/>
      <c r="DJ303" s="694"/>
      <c r="DK303" s="692"/>
      <c r="DL303" s="692"/>
      <c r="DM303" s="692"/>
      <c r="DN303" s="692">
        <v>1</v>
      </c>
      <c r="DO303" s="692">
        <v>2</v>
      </c>
      <c r="DP303" s="692">
        <v>2</v>
      </c>
      <c r="DQ303" s="692">
        <v>1</v>
      </c>
      <c r="DR303" s="692"/>
      <c r="DS303" s="692"/>
      <c r="DT303" s="692"/>
      <c r="DU303" s="692"/>
      <c r="DV303" s="692"/>
      <c r="DW303" s="694"/>
      <c r="DX303" s="694"/>
      <c r="DY303" s="694"/>
      <c r="DZ303" s="694"/>
      <c r="EA303" s="694">
        <v>1</v>
      </c>
      <c r="EB303" s="694"/>
      <c r="EC303" s="694"/>
      <c r="ED303" s="694">
        <v>1</v>
      </c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7"/>
    </row>
    <row r="304" spans="1:163" s="696" customFormat="1">
      <c r="A304" s="690"/>
      <c r="B304" s="690"/>
      <c r="C304" s="708"/>
      <c r="D304" s="708" t="s">
        <v>3782</v>
      </c>
      <c r="E304" s="694">
        <v>23.2</v>
      </c>
      <c r="F304" s="694"/>
      <c r="G304" s="694"/>
      <c r="H304" s="694"/>
      <c r="I304" s="694"/>
      <c r="J304" s="694"/>
      <c r="K304" s="694"/>
      <c r="L304" s="694"/>
      <c r="M304" s="694"/>
      <c r="N304" s="694"/>
      <c r="O304" s="694"/>
      <c r="P304" s="694"/>
      <c r="Q304" s="694"/>
      <c r="R304" s="697"/>
      <c r="S304" s="697"/>
      <c r="T304" s="694"/>
      <c r="U304" s="694" t="s">
        <v>1631</v>
      </c>
      <c r="V304" s="694"/>
      <c r="W304" s="694"/>
      <c r="X304" s="694"/>
      <c r="Y304" s="694"/>
      <c r="Z304" s="694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4"/>
      <c r="BL304" s="694"/>
      <c r="BM304" s="694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  <c r="BX304" s="694"/>
      <c r="BY304" s="694"/>
      <c r="BZ304" s="694"/>
      <c r="CA304" s="694"/>
      <c r="CB304" s="694"/>
      <c r="CC304" s="694"/>
      <c r="CD304" s="694"/>
      <c r="CE304" s="694"/>
      <c r="CF304" s="694"/>
      <c r="CG304" s="694"/>
      <c r="CH304" s="694"/>
      <c r="CI304" s="694"/>
      <c r="CJ304" s="694"/>
      <c r="CK304" s="694"/>
      <c r="CL304" s="694"/>
      <c r="CM304" s="694"/>
      <c r="CN304" s="694"/>
      <c r="CO304" s="694"/>
      <c r="CP304" s="694"/>
      <c r="CQ304" s="694"/>
      <c r="CR304" s="694"/>
      <c r="CS304" s="694"/>
      <c r="CT304" s="694"/>
      <c r="CU304" s="694"/>
      <c r="CV304" s="695"/>
      <c r="CW304" s="695"/>
      <c r="CX304" s="695"/>
      <c r="CY304" s="695"/>
      <c r="CZ304" s="695"/>
      <c r="DA304" s="695"/>
      <c r="DB304" s="695"/>
      <c r="DC304" s="695"/>
      <c r="DD304" s="695"/>
      <c r="DE304" s="695"/>
      <c r="DF304" s="695"/>
      <c r="DG304" s="695"/>
      <c r="DH304" s="695"/>
      <c r="DI304" s="694"/>
      <c r="DJ304" s="694"/>
      <c r="DK304" s="692"/>
      <c r="DL304" s="692"/>
      <c r="DM304" s="692"/>
      <c r="DN304" s="692"/>
      <c r="DO304" s="692"/>
      <c r="DP304" s="692"/>
      <c r="DQ304" s="692">
        <v>1</v>
      </c>
      <c r="DR304" s="692"/>
      <c r="DS304" s="692"/>
      <c r="DT304" s="692"/>
      <c r="DU304" s="692"/>
      <c r="DV304" s="692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7"/>
    </row>
    <row r="305" spans="1:163" s="696" customFormat="1">
      <c r="A305" s="690"/>
      <c r="B305" s="690"/>
      <c r="C305" s="708"/>
      <c r="D305" s="708" t="s">
        <v>3783</v>
      </c>
      <c r="E305" s="694">
        <v>12.4</v>
      </c>
      <c r="F305" s="694"/>
      <c r="G305" s="694"/>
      <c r="H305" s="694"/>
      <c r="I305" s="694"/>
      <c r="J305" s="694"/>
      <c r="K305" s="694"/>
      <c r="L305" s="694"/>
      <c r="M305" s="694"/>
      <c r="N305" s="694"/>
      <c r="O305" s="694"/>
      <c r="P305" s="694"/>
      <c r="Q305" s="694"/>
      <c r="R305" s="697"/>
      <c r="S305" s="697"/>
      <c r="T305" s="694"/>
      <c r="U305" s="694" t="s">
        <v>2990</v>
      </c>
      <c r="V305" s="694"/>
      <c r="W305" s="694"/>
      <c r="X305" s="694"/>
      <c r="Y305" s="694"/>
      <c r="Z305" s="694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4"/>
      <c r="BL305" s="694"/>
      <c r="BM305" s="694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  <c r="BX305" s="694"/>
      <c r="BY305" s="694"/>
      <c r="BZ305" s="694"/>
      <c r="CA305" s="694"/>
      <c r="CB305" s="694"/>
      <c r="CC305" s="694"/>
      <c r="CD305" s="694"/>
      <c r="CE305" s="694"/>
      <c r="CF305" s="694"/>
      <c r="CG305" s="694"/>
      <c r="CH305" s="694"/>
      <c r="CI305" s="694"/>
      <c r="CJ305" s="694"/>
      <c r="CK305" s="694"/>
      <c r="CL305" s="694"/>
      <c r="CM305" s="694"/>
      <c r="CN305" s="694"/>
      <c r="CO305" s="694"/>
      <c r="CP305" s="694"/>
      <c r="CQ305" s="694"/>
      <c r="CR305" s="694"/>
      <c r="CS305" s="694"/>
      <c r="CT305" s="694"/>
      <c r="CU305" s="694"/>
      <c r="CV305" s="695"/>
      <c r="CW305" s="695"/>
      <c r="CX305" s="695"/>
      <c r="CY305" s="695"/>
      <c r="CZ305" s="695"/>
      <c r="DA305" s="695"/>
      <c r="DB305" s="695"/>
      <c r="DC305" s="695"/>
      <c r="DD305" s="695"/>
      <c r="DE305" s="695"/>
      <c r="DF305" s="695"/>
      <c r="DG305" s="695"/>
      <c r="DH305" s="695"/>
      <c r="DI305" s="694"/>
      <c r="DJ305" s="694"/>
      <c r="DK305" s="692"/>
      <c r="DL305" s="692"/>
      <c r="DM305" s="692"/>
      <c r="DN305" s="692"/>
      <c r="DO305" s="692"/>
      <c r="DP305" s="692"/>
      <c r="DQ305" s="692"/>
      <c r="DR305" s="692">
        <v>1</v>
      </c>
      <c r="DS305" s="692"/>
      <c r="DT305" s="692"/>
      <c r="DU305" s="692"/>
      <c r="DV305" s="692"/>
      <c r="DW305" s="694"/>
      <c r="DX305" s="694"/>
      <c r="DY305" s="694"/>
      <c r="DZ305" s="694"/>
      <c r="EA305" s="694"/>
      <c r="EB305" s="694"/>
      <c r="EC305" s="694"/>
      <c r="ED305" s="694"/>
      <c r="EE305" s="694">
        <v>1</v>
      </c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7"/>
    </row>
    <row r="306" spans="1:163" s="696" customFormat="1">
      <c r="A306" s="690"/>
      <c r="B306" s="690"/>
      <c r="C306" s="708"/>
      <c r="D306" s="708"/>
      <c r="E306" s="694"/>
      <c r="F306" s="694"/>
      <c r="G306" s="694"/>
      <c r="H306" s="694"/>
      <c r="I306" s="694"/>
      <c r="J306" s="694"/>
      <c r="K306" s="694"/>
      <c r="L306" s="694"/>
      <c r="M306" s="694"/>
      <c r="N306" s="694"/>
      <c r="O306" s="694"/>
      <c r="P306" s="694"/>
      <c r="Q306" s="694"/>
      <c r="R306" s="697"/>
      <c r="S306" s="697"/>
      <c r="T306" s="694"/>
      <c r="U306" s="694"/>
      <c r="V306" s="694"/>
      <c r="W306" s="694"/>
      <c r="X306" s="694"/>
      <c r="Y306" s="694"/>
      <c r="Z306" s="694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694"/>
      <c r="BL306" s="694"/>
      <c r="BM306" s="694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  <c r="BX306" s="694"/>
      <c r="BY306" s="694"/>
      <c r="BZ306" s="694"/>
      <c r="CA306" s="694"/>
      <c r="CB306" s="694"/>
      <c r="CC306" s="694"/>
      <c r="CD306" s="694"/>
      <c r="CE306" s="694"/>
      <c r="CF306" s="694"/>
      <c r="CG306" s="694"/>
      <c r="CH306" s="694"/>
      <c r="CI306" s="694"/>
      <c r="CJ306" s="694"/>
      <c r="CK306" s="694"/>
      <c r="CL306" s="694"/>
      <c r="CM306" s="694"/>
      <c r="CN306" s="694"/>
      <c r="CO306" s="694"/>
      <c r="CP306" s="694"/>
      <c r="CQ306" s="694"/>
      <c r="CR306" s="694"/>
      <c r="CS306" s="694"/>
      <c r="CT306" s="694"/>
      <c r="CU306" s="694"/>
      <c r="CV306" s="695"/>
      <c r="CW306" s="695"/>
      <c r="CX306" s="695"/>
      <c r="CY306" s="695"/>
      <c r="CZ306" s="695"/>
      <c r="DA306" s="695"/>
      <c r="DB306" s="695"/>
      <c r="DC306" s="695"/>
      <c r="DD306" s="695"/>
      <c r="DE306" s="695"/>
      <c r="DF306" s="695"/>
      <c r="DG306" s="695"/>
      <c r="DH306" s="695"/>
      <c r="DI306" s="694"/>
      <c r="DJ306" s="694"/>
      <c r="DK306" s="692"/>
      <c r="DL306" s="692"/>
      <c r="DM306" s="692"/>
      <c r="DN306" s="692"/>
      <c r="DO306" s="692"/>
      <c r="DP306" s="692"/>
      <c r="DQ306" s="692"/>
      <c r="DR306" s="692"/>
      <c r="DS306" s="692"/>
      <c r="DT306" s="692"/>
      <c r="DU306" s="692"/>
      <c r="DV306" s="692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7"/>
    </row>
    <row r="307" spans="1:163" s="696" customFormat="1">
      <c r="A307" s="690"/>
      <c r="B307" s="690"/>
      <c r="C307" s="709" t="s">
        <v>3784</v>
      </c>
      <c r="D307" s="708"/>
      <c r="E307" s="694"/>
      <c r="F307" s="694"/>
      <c r="G307" s="694"/>
      <c r="H307" s="694"/>
      <c r="I307" s="694"/>
      <c r="J307" s="694"/>
      <c r="K307" s="694"/>
      <c r="L307" s="694"/>
      <c r="M307" s="694"/>
      <c r="N307" s="694"/>
      <c r="O307" s="694"/>
      <c r="P307" s="694"/>
      <c r="Q307" s="694"/>
      <c r="R307" s="697"/>
      <c r="S307" s="697"/>
      <c r="T307" s="694"/>
      <c r="U307" s="694" t="s">
        <v>3718</v>
      </c>
      <c r="V307" s="694"/>
      <c r="W307" s="694"/>
      <c r="X307" s="694"/>
      <c r="Y307" s="694"/>
      <c r="Z307" s="694"/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4"/>
      <c r="BL307" s="694"/>
      <c r="BM307" s="694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  <c r="BX307" s="694"/>
      <c r="BY307" s="694"/>
      <c r="BZ307" s="694"/>
      <c r="CA307" s="694"/>
      <c r="CB307" s="694"/>
      <c r="CC307" s="694"/>
      <c r="CD307" s="694"/>
      <c r="CE307" s="694"/>
      <c r="CF307" s="694"/>
      <c r="CG307" s="694"/>
      <c r="CH307" s="694"/>
      <c r="CI307" s="694"/>
      <c r="CJ307" s="694"/>
      <c r="CK307" s="694"/>
      <c r="CL307" s="694"/>
      <c r="CM307" s="694"/>
      <c r="CN307" s="694"/>
      <c r="CO307" s="694"/>
      <c r="CP307" s="694"/>
      <c r="CQ307" s="694">
        <v>2</v>
      </c>
      <c r="CR307" s="694"/>
      <c r="CS307" s="694"/>
      <c r="CT307" s="694"/>
      <c r="CU307" s="694"/>
      <c r="CV307" s="695"/>
      <c r="CW307" s="695"/>
      <c r="CX307" s="695"/>
      <c r="CY307" s="695"/>
      <c r="CZ307" s="695"/>
      <c r="DA307" s="695"/>
      <c r="DB307" s="695"/>
      <c r="DC307" s="695"/>
      <c r="DD307" s="695"/>
      <c r="DE307" s="695"/>
      <c r="DF307" s="695"/>
      <c r="DG307" s="695"/>
      <c r="DH307" s="695"/>
      <c r="DI307" s="694"/>
      <c r="DJ307" s="694"/>
      <c r="DK307" s="692"/>
      <c r="DL307" s="692"/>
      <c r="DM307" s="692"/>
      <c r="DN307" s="692"/>
      <c r="DO307" s="692"/>
      <c r="DP307" s="692"/>
      <c r="DQ307" s="692"/>
      <c r="DR307" s="692"/>
      <c r="DS307" s="692"/>
      <c r="DT307" s="692"/>
      <c r="DU307" s="692"/>
      <c r="DV307" s="692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7"/>
    </row>
    <row r="308" spans="1:163" s="696" customFormat="1" hidden="1">
      <c r="A308" s="690"/>
      <c r="B308" s="690"/>
      <c r="C308" s="708"/>
      <c r="D308" s="708"/>
      <c r="E308" s="694"/>
      <c r="F308" s="694"/>
      <c r="G308" s="694"/>
      <c r="H308" s="694"/>
      <c r="I308" s="694"/>
      <c r="J308" s="694"/>
      <c r="K308" s="694"/>
      <c r="L308" s="694"/>
      <c r="M308" s="694"/>
      <c r="N308" s="694"/>
      <c r="O308" s="694"/>
      <c r="P308" s="694"/>
      <c r="Q308" s="694"/>
      <c r="R308" s="697"/>
      <c r="S308" s="697"/>
      <c r="T308" s="694"/>
      <c r="U308" s="694"/>
      <c r="V308" s="694"/>
      <c r="W308" s="694"/>
      <c r="X308" s="694"/>
      <c r="Y308" s="694"/>
      <c r="Z308" s="694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4"/>
      <c r="BL308" s="694"/>
      <c r="BM308" s="694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  <c r="BX308" s="694"/>
      <c r="BY308" s="694"/>
      <c r="BZ308" s="694"/>
      <c r="CA308" s="694"/>
      <c r="CB308" s="694"/>
      <c r="CC308" s="694"/>
      <c r="CD308" s="694"/>
      <c r="CE308" s="694"/>
      <c r="CF308" s="694"/>
      <c r="CG308" s="694"/>
      <c r="CH308" s="694"/>
      <c r="CI308" s="694"/>
      <c r="CJ308" s="694"/>
      <c r="CK308" s="694"/>
      <c r="CL308" s="694"/>
      <c r="CM308" s="694"/>
      <c r="CN308" s="694"/>
      <c r="CO308" s="694"/>
      <c r="CP308" s="694"/>
      <c r="CQ308" s="694"/>
      <c r="CR308" s="694"/>
      <c r="CS308" s="694"/>
      <c r="CT308" s="694"/>
      <c r="CU308" s="694"/>
      <c r="CV308" s="695"/>
      <c r="CW308" s="695"/>
      <c r="CX308" s="695"/>
      <c r="CY308" s="695"/>
      <c r="CZ308" s="695"/>
      <c r="DA308" s="695"/>
      <c r="DB308" s="695"/>
      <c r="DC308" s="695"/>
      <c r="DD308" s="695"/>
      <c r="DE308" s="695"/>
      <c r="DF308" s="695"/>
      <c r="DG308" s="695"/>
      <c r="DH308" s="695"/>
      <c r="DI308" s="694"/>
      <c r="DJ308" s="694"/>
      <c r="DK308" s="692"/>
      <c r="DL308" s="692"/>
      <c r="DM308" s="692"/>
      <c r="DN308" s="692"/>
      <c r="DO308" s="692"/>
      <c r="DP308" s="692"/>
      <c r="DQ308" s="692"/>
      <c r="DR308" s="692"/>
      <c r="DS308" s="692"/>
      <c r="DT308" s="692"/>
      <c r="DU308" s="692"/>
      <c r="DV308" s="692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7"/>
    </row>
    <row r="309" spans="1:163" s="696" customFormat="1" hidden="1">
      <c r="A309" s="690"/>
      <c r="B309" s="690"/>
      <c r="C309" s="708"/>
      <c r="D309" s="709"/>
      <c r="E309" s="694"/>
      <c r="F309" s="694"/>
      <c r="G309" s="694"/>
      <c r="H309" s="694"/>
      <c r="I309" s="694"/>
      <c r="J309" s="694"/>
      <c r="K309" s="694"/>
      <c r="L309" s="694"/>
      <c r="M309" s="694"/>
      <c r="N309" s="694"/>
      <c r="O309" s="694"/>
      <c r="P309" s="694"/>
      <c r="Q309" s="694"/>
      <c r="R309" s="697"/>
      <c r="S309" s="697"/>
      <c r="T309" s="694"/>
      <c r="U309" s="694"/>
      <c r="V309" s="694"/>
      <c r="W309" s="694"/>
      <c r="X309" s="694"/>
      <c r="Y309" s="694"/>
      <c r="Z309" s="694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4"/>
      <c r="BL309" s="694"/>
      <c r="BM309" s="694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  <c r="BX309" s="694"/>
      <c r="BY309" s="694"/>
      <c r="BZ309" s="694"/>
      <c r="CA309" s="694"/>
      <c r="CB309" s="694"/>
      <c r="CC309" s="694"/>
      <c r="CD309" s="694"/>
      <c r="CE309" s="694"/>
      <c r="CF309" s="694"/>
      <c r="CG309" s="694"/>
      <c r="CH309" s="694"/>
      <c r="CI309" s="694"/>
      <c r="CJ309" s="694"/>
      <c r="CK309" s="694"/>
      <c r="CL309" s="694"/>
      <c r="CM309" s="694"/>
      <c r="CN309" s="694"/>
      <c r="CO309" s="694"/>
      <c r="CP309" s="694"/>
      <c r="CQ309" s="694"/>
      <c r="CR309" s="694"/>
      <c r="CS309" s="694"/>
      <c r="CT309" s="694"/>
      <c r="CU309" s="694"/>
      <c r="CV309" s="695"/>
      <c r="CW309" s="695"/>
      <c r="CX309" s="695"/>
      <c r="CY309" s="695"/>
      <c r="CZ309" s="695"/>
      <c r="DA309" s="695"/>
      <c r="DB309" s="695"/>
      <c r="DC309" s="695"/>
      <c r="DD309" s="695"/>
      <c r="DE309" s="695"/>
      <c r="DF309" s="695"/>
      <c r="DG309" s="695"/>
      <c r="DH309" s="695"/>
      <c r="DI309" s="694"/>
      <c r="DJ309" s="694"/>
      <c r="DK309" s="692"/>
      <c r="DL309" s="692"/>
      <c r="DM309" s="692"/>
      <c r="DN309" s="692"/>
      <c r="DO309" s="692"/>
      <c r="DP309" s="692"/>
      <c r="DQ309" s="692"/>
      <c r="DR309" s="692"/>
      <c r="DS309" s="692"/>
      <c r="DT309" s="692"/>
      <c r="DU309" s="692"/>
      <c r="DV309" s="692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7"/>
    </row>
    <row r="310" spans="1:163" s="696" customFormat="1" hidden="1">
      <c r="A310" s="690"/>
      <c r="B310" s="690"/>
      <c r="C310" s="708"/>
      <c r="D310" s="708"/>
      <c r="E310" s="694"/>
      <c r="F310" s="694"/>
      <c r="G310" s="694"/>
      <c r="H310" s="694"/>
      <c r="I310" s="694"/>
      <c r="J310" s="694"/>
      <c r="K310" s="694"/>
      <c r="L310" s="694"/>
      <c r="M310" s="694"/>
      <c r="N310" s="694"/>
      <c r="O310" s="694"/>
      <c r="P310" s="694"/>
      <c r="Q310" s="694"/>
      <c r="R310" s="697"/>
      <c r="S310" s="697"/>
      <c r="T310" s="694"/>
      <c r="U310" s="694"/>
      <c r="V310" s="694"/>
      <c r="W310" s="694"/>
      <c r="X310" s="694"/>
      <c r="Y310" s="694"/>
      <c r="Z310" s="694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694"/>
      <c r="BL310" s="694"/>
      <c r="BM310" s="694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  <c r="BX310" s="694"/>
      <c r="BY310" s="694"/>
      <c r="BZ310" s="694"/>
      <c r="CA310" s="694"/>
      <c r="CB310" s="694"/>
      <c r="CC310" s="694"/>
      <c r="CD310" s="694"/>
      <c r="CE310" s="694"/>
      <c r="CF310" s="694"/>
      <c r="CG310" s="694"/>
      <c r="CH310" s="694"/>
      <c r="CI310" s="694"/>
      <c r="CJ310" s="694"/>
      <c r="CK310" s="694"/>
      <c r="CL310" s="694"/>
      <c r="CM310" s="694"/>
      <c r="CN310" s="694"/>
      <c r="CO310" s="694"/>
      <c r="CP310" s="694"/>
      <c r="CQ310" s="694"/>
      <c r="CR310" s="694"/>
      <c r="CS310" s="694"/>
      <c r="CT310" s="694"/>
      <c r="CU310" s="694"/>
      <c r="CV310" s="695"/>
      <c r="CW310" s="695"/>
      <c r="CX310" s="695"/>
      <c r="CY310" s="695"/>
      <c r="CZ310" s="695"/>
      <c r="DA310" s="695"/>
      <c r="DB310" s="695"/>
      <c r="DC310" s="695"/>
      <c r="DD310" s="695"/>
      <c r="DE310" s="695"/>
      <c r="DF310" s="695"/>
      <c r="DG310" s="695"/>
      <c r="DH310" s="695"/>
      <c r="DI310" s="694"/>
      <c r="DJ310" s="694"/>
      <c r="DK310" s="692"/>
      <c r="DL310" s="692"/>
      <c r="DM310" s="692"/>
      <c r="DN310" s="692"/>
      <c r="DO310" s="692"/>
      <c r="DP310" s="692"/>
      <c r="DQ310" s="692"/>
      <c r="DR310" s="692"/>
      <c r="DS310" s="692"/>
      <c r="DT310" s="692"/>
      <c r="DU310" s="692"/>
      <c r="DV310" s="692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7"/>
    </row>
    <row r="311" spans="1:163" s="696" customFormat="1" hidden="1">
      <c r="A311" s="690"/>
      <c r="B311" s="690"/>
      <c r="C311" s="708"/>
      <c r="D311" s="708"/>
      <c r="E311" s="694"/>
      <c r="F311" s="694"/>
      <c r="G311" s="694"/>
      <c r="H311" s="694"/>
      <c r="I311" s="694"/>
      <c r="J311" s="694"/>
      <c r="K311" s="694"/>
      <c r="L311" s="694"/>
      <c r="M311" s="694"/>
      <c r="N311" s="694"/>
      <c r="O311" s="694"/>
      <c r="P311" s="694"/>
      <c r="Q311" s="694"/>
      <c r="R311" s="697"/>
      <c r="S311" s="697"/>
      <c r="T311" s="694"/>
      <c r="U311" s="694"/>
      <c r="V311" s="694"/>
      <c r="W311" s="694"/>
      <c r="X311" s="694"/>
      <c r="Y311" s="694"/>
      <c r="Z311" s="694"/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4"/>
      <c r="BL311" s="694"/>
      <c r="BM311" s="694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  <c r="BX311" s="694"/>
      <c r="BY311" s="694"/>
      <c r="BZ311" s="694"/>
      <c r="CA311" s="694"/>
      <c r="CB311" s="694"/>
      <c r="CC311" s="694"/>
      <c r="CD311" s="694"/>
      <c r="CE311" s="694"/>
      <c r="CF311" s="694"/>
      <c r="CG311" s="694"/>
      <c r="CH311" s="694"/>
      <c r="CI311" s="694"/>
      <c r="CJ311" s="694"/>
      <c r="CK311" s="694"/>
      <c r="CL311" s="694"/>
      <c r="CM311" s="694"/>
      <c r="CN311" s="694"/>
      <c r="CO311" s="694"/>
      <c r="CP311" s="694"/>
      <c r="CQ311" s="694"/>
      <c r="CR311" s="694"/>
      <c r="CS311" s="694"/>
      <c r="CT311" s="694"/>
      <c r="CU311" s="694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695"/>
      <c r="DH311" s="695"/>
      <c r="DI311" s="694"/>
      <c r="DJ311" s="694"/>
      <c r="DK311" s="692"/>
      <c r="DL311" s="692"/>
      <c r="DM311" s="692"/>
      <c r="DN311" s="692"/>
      <c r="DO311" s="692"/>
      <c r="DP311" s="692"/>
      <c r="DQ311" s="692"/>
      <c r="DR311" s="692"/>
      <c r="DS311" s="692"/>
      <c r="DT311" s="692"/>
      <c r="DU311" s="692"/>
      <c r="DV311" s="692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7"/>
    </row>
    <row r="312" spans="1:163" s="696" customFormat="1" hidden="1">
      <c r="A312" s="690"/>
      <c r="B312" s="690"/>
      <c r="C312" s="708"/>
      <c r="D312" s="708"/>
      <c r="E312" s="694"/>
      <c r="F312" s="694"/>
      <c r="G312" s="694"/>
      <c r="H312" s="694"/>
      <c r="I312" s="694"/>
      <c r="J312" s="694"/>
      <c r="K312" s="694"/>
      <c r="L312" s="694"/>
      <c r="M312" s="694"/>
      <c r="N312" s="694"/>
      <c r="O312" s="694"/>
      <c r="P312" s="694"/>
      <c r="Q312" s="694"/>
      <c r="R312" s="697"/>
      <c r="S312" s="697"/>
      <c r="T312" s="694"/>
      <c r="U312" s="694"/>
      <c r="V312" s="694"/>
      <c r="W312" s="694"/>
      <c r="X312" s="694"/>
      <c r="Y312" s="694"/>
      <c r="Z312" s="694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4"/>
      <c r="BL312" s="694"/>
      <c r="BM312" s="694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  <c r="BX312" s="694"/>
      <c r="BY312" s="694"/>
      <c r="BZ312" s="694"/>
      <c r="CA312" s="694"/>
      <c r="CB312" s="694"/>
      <c r="CC312" s="694"/>
      <c r="CD312" s="694"/>
      <c r="CE312" s="694"/>
      <c r="CF312" s="694"/>
      <c r="CG312" s="694"/>
      <c r="CH312" s="694"/>
      <c r="CI312" s="694"/>
      <c r="CJ312" s="694"/>
      <c r="CK312" s="694"/>
      <c r="CL312" s="694"/>
      <c r="CM312" s="694"/>
      <c r="CN312" s="694"/>
      <c r="CO312" s="694"/>
      <c r="CP312" s="694"/>
      <c r="CQ312" s="694"/>
      <c r="CR312" s="694"/>
      <c r="CS312" s="694"/>
      <c r="CT312" s="694"/>
      <c r="CU312" s="694"/>
      <c r="CV312" s="695"/>
      <c r="CW312" s="695"/>
      <c r="CX312" s="695"/>
      <c r="CY312" s="695"/>
      <c r="CZ312" s="695"/>
      <c r="DA312" s="695"/>
      <c r="DB312" s="695"/>
      <c r="DC312" s="695"/>
      <c r="DD312" s="695"/>
      <c r="DE312" s="695"/>
      <c r="DF312" s="695"/>
      <c r="DG312" s="695"/>
      <c r="DH312" s="695"/>
      <c r="DI312" s="694"/>
      <c r="DJ312" s="694"/>
      <c r="DK312" s="692"/>
      <c r="DL312" s="692"/>
      <c r="DM312" s="692"/>
      <c r="DN312" s="692"/>
      <c r="DO312" s="692"/>
      <c r="DP312" s="692"/>
      <c r="DQ312" s="692"/>
      <c r="DR312" s="692"/>
      <c r="DS312" s="692"/>
      <c r="DT312" s="692"/>
      <c r="DU312" s="692"/>
      <c r="DV312" s="692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7"/>
    </row>
    <row r="313" spans="1:163" s="696" customFormat="1" hidden="1">
      <c r="A313" s="690"/>
      <c r="B313" s="690"/>
      <c r="C313" s="708"/>
      <c r="D313" s="708"/>
      <c r="E313" s="694"/>
      <c r="F313" s="694"/>
      <c r="G313" s="694"/>
      <c r="H313" s="694"/>
      <c r="I313" s="694"/>
      <c r="J313" s="694"/>
      <c r="K313" s="694"/>
      <c r="L313" s="694"/>
      <c r="M313" s="694"/>
      <c r="N313" s="694"/>
      <c r="O313" s="694"/>
      <c r="P313" s="694"/>
      <c r="Q313" s="694"/>
      <c r="R313" s="697"/>
      <c r="S313" s="697"/>
      <c r="T313" s="694"/>
      <c r="U313" s="694"/>
      <c r="V313" s="694"/>
      <c r="W313" s="694"/>
      <c r="X313" s="694"/>
      <c r="Y313" s="694"/>
      <c r="Z313" s="694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4"/>
      <c r="BL313" s="694"/>
      <c r="BM313" s="694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  <c r="BX313" s="694"/>
      <c r="BY313" s="694"/>
      <c r="BZ313" s="694"/>
      <c r="CA313" s="694"/>
      <c r="CB313" s="694"/>
      <c r="CC313" s="694"/>
      <c r="CD313" s="694"/>
      <c r="CE313" s="694"/>
      <c r="CF313" s="694"/>
      <c r="CG313" s="694"/>
      <c r="CH313" s="694"/>
      <c r="CI313" s="694"/>
      <c r="CJ313" s="694"/>
      <c r="CK313" s="694"/>
      <c r="CL313" s="694"/>
      <c r="CM313" s="694"/>
      <c r="CN313" s="694"/>
      <c r="CO313" s="694"/>
      <c r="CP313" s="694"/>
      <c r="CQ313" s="694"/>
      <c r="CR313" s="694"/>
      <c r="CS313" s="694"/>
      <c r="CT313" s="694"/>
      <c r="CU313" s="694"/>
      <c r="CV313" s="695"/>
      <c r="CW313" s="695"/>
      <c r="CX313" s="695"/>
      <c r="CY313" s="695"/>
      <c r="CZ313" s="695"/>
      <c r="DA313" s="695"/>
      <c r="DB313" s="695"/>
      <c r="DC313" s="695"/>
      <c r="DD313" s="695"/>
      <c r="DE313" s="695"/>
      <c r="DF313" s="695"/>
      <c r="DG313" s="695"/>
      <c r="DH313" s="695"/>
      <c r="DI313" s="694"/>
      <c r="DJ313" s="694"/>
      <c r="DK313" s="692"/>
      <c r="DL313" s="692"/>
      <c r="DM313" s="692"/>
      <c r="DN313" s="692"/>
      <c r="DO313" s="692"/>
      <c r="DP313" s="692"/>
      <c r="DQ313" s="692"/>
      <c r="DR313" s="692"/>
      <c r="DS313" s="692"/>
      <c r="DT313" s="692"/>
      <c r="DU313" s="692"/>
      <c r="DV313" s="692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7"/>
    </row>
    <row r="314" spans="1:163" s="696" customFormat="1" hidden="1">
      <c r="A314" s="690"/>
      <c r="B314" s="690"/>
      <c r="C314" s="708"/>
      <c r="D314" s="708"/>
      <c r="E314" s="694"/>
      <c r="F314" s="694"/>
      <c r="G314" s="694"/>
      <c r="H314" s="694"/>
      <c r="I314" s="694"/>
      <c r="J314" s="694"/>
      <c r="K314" s="694"/>
      <c r="L314" s="694"/>
      <c r="M314" s="694"/>
      <c r="N314" s="694"/>
      <c r="O314" s="694"/>
      <c r="P314" s="694"/>
      <c r="Q314" s="694"/>
      <c r="R314" s="697"/>
      <c r="S314" s="697"/>
      <c r="T314" s="694"/>
      <c r="U314" s="694"/>
      <c r="V314" s="694"/>
      <c r="W314" s="694"/>
      <c r="X314" s="694"/>
      <c r="Y314" s="694"/>
      <c r="Z314" s="694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694"/>
      <c r="BL314" s="694"/>
      <c r="BM314" s="694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  <c r="BX314" s="694"/>
      <c r="BY314" s="694"/>
      <c r="BZ314" s="694"/>
      <c r="CA314" s="694"/>
      <c r="CB314" s="694"/>
      <c r="CC314" s="694"/>
      <c r="CD314" s="694"/>
      <c r="CE314" s="694"/>
      <c r="CF314" s="694"/>
      <c r="CG314" s="694"/>
      <c r="CH314" s="694"/>
      <c r="CI314" s="694"/>
      <c r="CJ314" s="694"/>
      <c r="CK314" s="694"/>
      <c r="CL314" s="694"/>
      <c r="CM314" s="694"/>
      <c r="CN314" s="694"/>
      <c r="CO314" s="694"/>
      <c r="CP314" s="694"/>
      <c r="CQ314" s="694"/>
      <c r="CR314" s="694"/>
      <c r="CS314" s="694"/>
      <c r="CT314" s="694"/>
      <c r="CU314" s="694"/>
      <c r="CV314" s="695"/>
      <c r="CW314" s="695"/>
      <c r="CX314" s="695"/>
      <c r="CY314" s="695"/>
      <c r="CZ314" s="695"/>
      <c r="DA314" s="695"/>
      <c r="DB314" s="695"/>
      <c r="DC314" s="695"/>
      <c r="DD314" s="695"/>
      <c r="DE314" s="695"/>
      <c r="DF314" s="695"/>
      <c r="DG314" s="695"/>
      <c r="DH314" s="695"/>
      <c r="DI314" s="694"/>
      <c r="DJ314" s="694"/>
      <c r="DK314" s="692"/>
      <c r="DL314" s="692"/>
      <c r="DM314" s="692"/>
      <c r="DN314" s="692"/>
      <c r="DO314" s="692"/>
      <c r="DP314" s="692"/>
      <c r="DQ314" s="692"/>
      <c r="DR314" s="692"/>
      <c r="DS314" s="692"/>
      <c r="DT314" s="692"/>
      <c r="DU314" s="692"/>
      <c r="DV314" s="692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7"/>
    </row>
    <row r="315" spans="1:163" s="696" customFormat="1" hidden="1">
      <c r="A315" s="690"/>
      <c r="B315" s="690"/>
      <c r="C315" s="708"/>
      <c r="D315" s="708"/>
      <c r="E315" s="694"/>
      <c r="F315" s="694"/>
      <c r="G315" s="694"/>
      <c r="H315" s="694"/>
      <c r="I315" s="694"/>
      <c r="J315" s="694"/>
      <c r="K315" s="694"/>
      <c r="L315" s="694"/>
      <c r="M315" s="694"/>
      <c r="N315" s="694"/>
      <c r="O315" s="694"/>
      <c r="P315" s="694"/>
      <c r="Q315" s="694"/>
      <c r="R315" s="697"/>
      <c r="S315" s="697"/>
      <c r="T315" s="694"/>
      <c r="U315" s="694"/>
      <c r="V315" s="694"/>
      <c r="W315" s="694"/>
      <c r="X315" s="694"/>
      <c r="Y315" s="694"/>
      <c r="Z315" s="694"/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4"/>
      <c r="BL315" s="694"/>
      <c r="BM315" s="694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  <c r="BX315" s="694"/>
      <c r="BY315" s="694"/>
      <c r="BZ315" s="694"/>
      <c r="CA315" s="694"/>
      <c r="CB315" s="694"/>
      <c r="CC315" s="694"/>
      <c r="CD315" s="694"/>
      <c r="CE315" s="694"/>
      <c r="CF315" s="694"/>
      <c r="CG315" s="694"/>
      <c r="CH315" s="694"/>
      <c r="CI315" s="694"/>
      <c r="CJ315" s="694"/>
      <c r="CK315" s="694"/>
      <c r="CL315" s="694"/>
      <c r="CM315" s="694"/>
      <c r="CN315" s="694"/>
      <c r="CO315" s="694"/>
      <c r="CP315" s="694"/>
      <c r="CQ315" s="694"/>
      <c r="CR315" s="694"/>
      <c r="CS315" s="694"/>
      <c r="CT315" s="694"/>
      <c r="CU315" s="694"/>
      <c r="CV315" s="695"/>
      <c r="CW315" s="695"/>
      <c r="CX315" s="695"/>
      <c r="CY315" s="695"/>
      <c r="CZ315" s="695"/>
      <c r="DA315" s="695"/>
      <c r="DB315" s="695"/>
      <c r="DC315" s="695"/>
      <c r="DD315" s="695"/>
      <c r="DE315" s="695"/>
      <c r="DF315" s="695"/>
      <c r="DG315" s="695"/>
      <c r="DH315" s="695"/>
      <c r="DI315" s="694"/>
      <c r="DJ315" s="694"/>
      <c r="DK315" s="692"/>
      <c r="DL315" s="692"/>
      <c r="DM315" s="692"/>
      <c r="DN315" s="692"/>
      <c r="DO315" s="692"/>
      <c r="DP315" s="692"/>
      <c r="DQ315" s="692"/>
      <c r="DR315" s="692"/>
      <c r="DS315" s="692"/>
      <c r="DT315" s="692"/>
      <c r="DU315" s="692"/>
      <c r="DV315" s="692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7"/>
    </row>
    <row r="316" spans="1:163" s="696" customFormat="1" hidden="1">
      <c r="A316" s="690"/>
      <c r="B316" s="690"/>
      <c r="C316" s="708"/>
      <c r="D316" s="708"/>
      <c r="E316" s="694"/>
      <c r="F316" s="694"/>
      <c r="G316" s="694"/>
      <c r="H316" s="694"/>
      <c r="I316" s="694"/>
      <c r="J316" s="694"/>
      <c r="K316" s="694"/>
      <c r="L316" s="694"/>
      <c r="M316" s="694"/>
      <c r="N316" s="694"/>
      <c r="O316" s="694"/>
      <c r="P316" s="694"/>
      <c r="Q316" s="694"/>
      <c r="R316" s="697"/>
      <c r="S316" s="697"/>
      <c r="T316" s="694"/>
      <c r="U316" s="694"/>
      <c r="V316" s="694"/>
      <c r="W316" s="694"/>
      <c r="X316" s="694"/>
      <c r="Y316" s="694"/>
      <c r="Z316" s="694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4"/>
      <c r="BL316" s="694"/>
      <c r="BM316" s="694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  <c r="BX316" s="694"/>
      <c r="BY316" s="694"/>
      <c r="BZ316" s="694"/>
      <c r="CA316" s="694"/>
      <c r="CB316" s="694"/>
      <c r="CC316" s="694"/>
      <c r="CD316" s="694"/>
      <c r="CE316" s="694"/>
      <c r="CF316" s="694"/>
      <c r="CG316" s="694"/>
      <c r="CH316" s="694"/>
      <c r="CI316" s="694"/>
      <c r="CJ316" s="694"/>
      <c r="CK316" s="694"/>
      <c r="CL316" s="694"/>
      <c r="CM316" s="694"/>
      <c r="CN316" s="694"/>
      <c r="CO316" s="694"/>
      <c r="CP316" s="694"/>
      <c r="CQ316" s="694"/>
      <c r="CR316" s="694"/>
      <c r="CS316" s="694"/>
      <c r="CT316" s="694"/>
      <c r="CU316" s="694"/>
      <c r="CV316" s="695"/>
      <c r="CW316" s="695"/>
      <c r="CX316" s="695"/>
      <c r="CY316" s="695"/>
      <c r="CZ316" s="695"/>
      <c r="DA316" s="695"/>
      <c r="DB316" s="695"/>
      <c r="DC316" s="695"/>
      <c r="DD316" s="695"/>
      <c r="DE316" s="695"/>
      <c r="DF316" s="695"/>
      <c r="DG316" s="695"/>
      <c r="DH316" s="695"/>
      <c r="DI316" s="694"/>
      <c r="DJ316" s="694"/>
      <c r="DK316" s="692"/>
      <c r="DL316" s="692"/>
      <c r="DM316" s="692"/>
      <c r="DN316" s="692"/>
      <c r="DO316" s="692"/>
      <c r="DP316" s="692"/>
      <c r="DQ316" s="692"/>
      <c r="DR316" s="692"/>
      <c r="DS316" s="692"/>
      <c r="DT316" s="692"/>
      <c r="DU316" s="692"/>
      <c r="DV316" s="692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7"/>
    </row>
    <row r="317" spans="1:163" s="696" customFormat="1" hidden="1">
      <c r="A317" s="690"/>
      <c r="B317" s="690"/>
      <c r="C317" s="708"/>
      <c r="D317" s="708"/>
      <c r="E317" s="694"/>
      <c r="F317" s="694"/>
      <c r="G317" s="694"/>
      <c r="H317" s="694"/>
      <c r="I317" s="694"/>
      <c r="J317" s="694"/>
      <c r="K317" s="694"/>
      <c r="L317" s="694"/>
      <c r="M317" s="694"/>
      <c r="N317" s="694"/>
      <c r="O317" s="694"/>
      <c r="P317" s="694"/>
      <c r="Q317" s="694"/>
      <c r="R317" s="697"/>
      <c r="S317" s="697"/>
      <c r="T317" s="694"/>
      <c r="U317" s="694"/>
      <c r="V317" s="694"/>
      <c r="W317" s="694"/>
      <c r="X317" s="694"/>
      <c r="Y317" s="694"/>
      <c r="Z317" s="694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4"/>
      <c r="BL317" s="694"/>
      <c r="BM317" s="694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  <c r="BX317" s="694"/>
      <c r="BY317" s="694"/>
      <c r="BZ317" s="694"/>
      <c r="CA317" s="694"/>
      <c r="CB317" s="694"/>
      <c r="CC317" s="694"/>
      <c r="CD317" s="694"/>
      <c r="CE317" s="694"/>
      <c r="CF317" s="694"/>
      <c r="CG317" s="694"/>
      <c r="CH317" s="694"/>
      <c r="CI317" s="694"/>
      <c r="CJ317" s="694"/>
      <c r="CK317" s="694"/>
      <c r="CL317" s="694"/>
      <c r="CM317" s="694"/>
      <c r="CN317" s="694"/>
      <c r="CO317" s="694"/>
      <c r="CP317" s="694"/>
      <c r="CQ317" s="694"/>
      <c r="CR317" s="694"/>
      <c r="CS317" s="694"/>
      <c r="CT317" s="694"/>
      <c r="CU317" s="694"/>
      <c r="CV317" s="695"/>
      <c r="CW317" s="695"/>
      <c r="CX317" s="695"/>
      <c r="CY317" s="695"/>
      <c r="CZ317" s="695"/>
      <c r="DA317" s="695"/>
      <c r="DB317" s="695"/>
      <c r="DC317" s="695"/>
      <c r="DD317" s="695"/>
      <c r="DE317" s="695"/>
      <c r="DF317" s="695"/>
      <c r="DG317" s="695"/>
      <c r="DH317" s="695"/>
      <c r="DI317" s="694"/>
      <c r="DJ317" s="694"/>
      <c r="DK317" s="692"/>
      <c r="DL317" s="692"/>
      <c r="DM317" s="692"/>
      <c r="DN317" s="692"/>
      <c r="DO317" s="692"/>
      <c r="DP317" s="692"/>
      <c r="DQ317" s="692"/>
      <c r="DR317" s="692"/>
      <c r="DS317" s="692"/>
      <c r="DT317" s="692"/>
      <c r="DU317" s="692"/>
      <c r="DV317" s="692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7"/>
    </row>
    <row r="318" spans="1:163" s="696" customFormat="1" hidden="1">
      <c r="A318" s="690"/>
      <c r="B318" s="690"/>
      <c r="C318" s="708"/>
      <c r="D318" s="708"/>
      <c r="E318" s="694"/>
      <c r="F318" s="694"/>
      <c r="G318" s="694"/>
      <c r="H318" s="694"/>
      <c r="I318" s="694"/>
      <c r="J318" s="694"/>
      <c r="K318" s="694"/>
      <c r="L318" s="694"/>
      <c r="M318" s="694"/>
      <c r="N318" s="694"/>
      <c r="O318" s="694"/>
      <c r="P318" s="694"/>
      <c r="Q318" s="694"/>
      <c r="R318" s="697"/>
      <c r="S318" s="697"/>
      <c r="T318" s="694"/>
      <c r="U318" s="694"/>
      <c r="V318" s="694"/>
      <c r="W318" s="694"/>
      <c r="X318" s="694"/>
      <c r="Y318" s="694"/>
      <c r="Z318" s="694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694"/>
      <c r="BL318" s="694"/>
      <c r="BM318" s="694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  <c r="BX318" s="694"/>
      <c r="BY318" s="694"/>
      <c r="BZ318" s="694"/>
      <c r="CA318" s="694"/>
      <c r="CB318" s="694"/>
      <c r="CC318" s="694"/>
      <c r="CD318" s="694"/>
      <c r="CE318" s="694"/>
      <c r="CF318" s="694"/>
      <c r="CG318" s="694"/>
      <c r="CH318" s="694"/>
      <c r="CI318" s="694"/>
      <c r="CJ318" s="694"/>
      <c r="CK318" s="694"/>
      <c r="CL318" s="694"/>
      <c r="CM318" s="694"/>
      <c r="CN318" s="694"/>
      <c r="CO318" s="694"/>
      <c r="CP318" s="694"/>
      <c r="CQ318" s="694"/>
      <c r="CR318" s="694"/>
      <c r="CS318" s="694"/>
      <c r="CT318" s="694"/>
      <c r="CU318" s="694"/>
      <c r="CV318" s="695"/>
      <c r="CW318" s="695"/>
      <c r="CX318" s="695"/>
      <c r="CY318" s="695"/>
      <c r="CZ318" s="695"/>
      <c r="DA318" s="695"/>
      <c r="DB318" s="695"/>
      <c r="DC318" s="695"/>
      <c r="DD318" s="695"/>
      <c r="DE318" s="695"/>
      <c r="DF318" s="695"/>
      <c r="DG318" s="695"/>
      <c r="DH318" s="695"/>
      <c r="DI318" s="694"/>
      <c r="DJ318" s="694"/>
      <c r="DK318" s="692"/>
      <c r="DL318" s="692"/>
      <c r="DM318" s="692"/>
      <c r="DN318" s="692"/>
      <c r="DO318" s="692"/>
      <c r="DP318" s="692"/>
      <c r="DQ318" s="692"/>
      <c r="DR318" s="692"/>
      <c r="DS318" s="692"/>
      <c r="DT318" s="692"/>
      <c r="DU318" s="692"/>
      <c r="DV318" s="692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7"/>
    </row>
    <row r="319" spans="1:163" s="696" customFormat="1" hidden="1">
      <c r="A319" s="690"/>
      <c r="B319" s="690"/>
      <c r="C319" s="708"/>
      <c r="D319" s="708"/>
      <c r="E319" s="694"/>
      <c r="F319" s="694"/>
      <c r="G319" s="694"/>
      <c r="H319" s="694"/>
      <c r="I319" s="694"/>
      <c r="J319" s="694"/>
      <c r="K319" s="694"/>
      <c r="L319" s="694"/>
      <c r="M319" s="694"/>
      <c r="N319" s="694"/>
      <c r="O319" s="694"/>
      <c r="P319" s="694"/>
      <c r="Q319" s="694"/>
      <c r="R319" s="697"/>
      <c r="S319" s="697"/>
      <c r="T319" s="694"/>
      <c r="U319" s="694"/>
      <c r="V319" s="694"/>
      <c r="W319" s="694"/>
      <c r="X319" s="694"/>
      <c r="Y319" s="694"/>
      <c r="Z319" s="694"/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4"/>
      <c r="BL319" s="694"/>
      <c r="BM319" s="694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  <c r="BX319" s="694"/>
      <c r="BY319" s="694"/>
      <c r="BZ319" s="694"/>
      <c r="CA319" s="694"/>
      <c r="CB319" s="694"/>
      <c r="CC319" s="694"/>
      <c r="CD319" s="694"/>
      <c r="CE319" s="694"/>
      <c r="CF319" s="694"/>
      <c r="CG319" s="694"/>
      <c r="CH319" s="694"/>
      <c r="CI319" s="694"/>
      <c r="CJ319" s="694"/>
      <c r="CK319" s="694"/>
      <c r="CL319" s="694"/>
      <c r="CM319" s="694"/>
      <c r="CN319" s="694"/>
      <c r="CO319" s="694"/>
      <c r="CP319" s="694"/>
      <c r="CQ319" s="694"/>
      <c r="CR319" s="694"/>
      <c r="CS319" s="694"/>
      <c r="CT319" s="694"/>
      <c r="CU319" s="694"/>
      <c r="CV319" s="695"/>
      <c r="CW319" s="695"/>
      <c r="CX319" s="695"/>
      <c r="CY319" s="695"/>
      <c r="CZ319" s="695"/>
      <c r="DA319" s="695"/>
      <c r="DB319" s="695"/>
      <c r="DC319" s="695"/>
      <c r="DD319" s="695"/>
      <c r="DE319" s="695"/>
      <c r="DF319" s="695"/>
      <c r="DG319" s="695"/>
      <c r="DH319" s="695"/>
      <c r="DI319" s="694"/>
      <c r="DJ319" s="694"/>
      <c r="DK319" s="692"/>
      <c r="DL319" s="692"/>
      <c r="DM319" s="692"/>
      <c r="DN319" s="692"/>
      <c r="DO319" s="692"/>
      <c r="DP319" s="692"/>
      <c r="DQ319" s="692"/>
      <c r="DR319" s="692"/>
      <c r="DS319" s="692"/>
      <c r="DT319" s="692"/>
      <c r="DU319" s="692"/>
      <c r="DV319" s="692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7"/>
    </row>
    <row r="320" spans="1:163" s="696" customFormat="1" hidden="1">
      <c r="A320" s="690"/>
      <c r="B320" s="690"/>
      <c r="C320" s="708"/>
      <c r="D320" s="708"/>
      <c r="E320" s="694"/>
      <c r="F320" s="694"/>
      <c r="G320" s="694"/>
      <c r="H320" s="694"/>
      <c r="I320" s="694"/>
      <c r="J320" s="694"/>
      <c r="K320" s="694"/>
      <c r="L320" s="694"/>
      <c r="M320" s="694"/>
      <c r="N320" s="694"/>
      <c r="O320" s="694"/>
      <c r="P320" s="694"/>
      <c r="Q320" s="694"/>
      <c r="R320" s="697"/>
      <c r="S320" s="697"/>
      <c r="T320" s="694"/>
      <c r="U320" s="694"/>
      <c r="V320" s="694"/>
      <c r="W320" s="694"/>
      <c r="X320" s="694"/>
      <c r="Y320" s="694"/>
      <c r="Z320" s="694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4"/>
      <c r="BL320" s="694"/>
      <c r="BM320" s="694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  <c r="BX320" s="694"/>
      <c r="BY320" s="694"/>
      <c r="BZ320" s="694"/>
      <c r="CA320" s="694"/>
      <c r="CB320" s="694"/>
      <c r="CC320" s="694"/>
      <c r="CD320" s="694"/>
      <c r="CE320" s="694"/>
      <c r="CF320" s="694"/>
      <c r="CG320" s="694"/>
      <c r="CH320" s="694"/>
      <c r="CI320" s="694"/>
      <c r="CJ320" s="694"/>
      <c r="CK320" s="694"/>
      <c r="CL320" s="694"/>
      <c r="CM320" s="694"/>
      <c r="CN320" s="694"/>
      <c r="CO320" s="694"/>
      <c r="CP320" s="694"/>
      <c r="CQ320" s="694"/>
      <c r="CR320" s="694"/>
      <c r="CS320" s="694"/>
      <c r="CT320" s="694"/>
      <c r="CU320" s="694"/>
      <c r="CV320" s="695"/>
      <c r="CW320" s="695"/>
      <c r="CX320" s="695"/>
      <c r="CY320" s="695"/>
      <c r="CZ320" s="695"/>
      <c r="DA320" s="695"/>
      <c r="DB320" s="695"/>
      <c r="DC320" s="695"/>
      <c r="DD320" s="695"/>
      <c r="DE320" s="695"/>
      <c r="DF320" s="695"/>
      <c r="DG320" s="695"/>
      <c r="DH320" s="695"/>
      <c r="DI320" s="694"/>
      <c r="DJ320" s="694"/>
      <c r="DK320" s="692"/>
      <c r="DL320" s="692"/>
      <c r="DM320" s="692"/>
      <c r="DN320" s="692"/>
      <c r="DO320" s="692"/>
      <c r="DP320" s="692"/>
      <c r="DQ320" s="692"/>
      <c r="DR320" s="692"/>
      <c r="DS320" s="692"/>
      <c r="DT320" s="692"/>
      <c r="DU320" s="692"/>
      <c r="DV320" s="692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7"/>
    </row>
    <row r="321" spans="1:163" s="696" customFormat="1" hidden="1">
      <c r="A321" s="690"/>
      <c r="B321" s="690"/>
      <c r="C321" s="708"/>
      <c r="D321" s="709"/>
      <c r="E321" s="694"/>
      <c r="F321" s="694"/>
      <c r="G321" s="694"/>
      <c r="H321" s="694"/>
      <c r="I321" s="694"/>
      <c r="J321" s="694"/>
      <c r="K321" s="694"/>
      <c r="L321" s="694"/>
      <c r="M321" s="694"/>
      <c r="N321" s="694"/>
      <c r="O321" s="694"/>
      <c r="P321" s="694"/>
      <c r="Q321" s="694"/>
      <c r="R321" s="697"/>
      <c r="S321" s="697"/>
      <c r="T321" s="694"/>
      <c r="U321" s="694"/>
      <c r="V321" s="694"/>
      <c r="W321" s="694"/>
      <c r="X321" s="694"/>
      <c r="Y321" s="694"/>
      <c r="Z321" s="694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4"/>
      <c r="BL321" s="694"/>
      <c r="BM321" s="694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  <c r="BX321" s="694"/>
      <c r="BY321" s="694"/>
      <c r="BZ321" s="694"/>
      <c r="CA321" s="694"/>
      <c r="CB321" s="694"/>
      <c r="CC321" s="694"/>
      <c r="CD321" s="694"/>
      <c r="CE321" s="694"/>
      <c r="CF321" s="694"/>
      <c r="CG321" s="694"/>
      <c r="CH321" s="694"/>
      <c r="CI321" s="694"/>
      <c r="CJ321" s="694"/>
      <c r="CK321" s="694"/>
      <c r="CL321" s="694"/>
      <c r="CM321" s="694"/>
      <c r="CN321" s="694"/>
      <c r="CO321" s="694"/>
      <c r="CP321" s="694"/>
      <c r="CQ321" s="694"/>
      <c r="CR321" s="694"/>
      <c r="CS321" s="694"/>
      <c r="CT321" s="694"/>
      <c r="CU321" s="694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695"/>
      <c r="DH321" s="695"/>
      <c r="DI321" s="694"/>
      <c r="DJ321" s="694"/>
      <c r="DK321" s="692"/>
      <c r="DL321" s="692"/>
      <c r="DM321" s="692"/>
      <c r="DN321" s="692"/>
      <c r="DO321" s="692"/>
      <c r="DP321" s="692"/>
      <c r="DQ321" s="692"/>
      <c r="DR321" s="692"/>
      <c r="DS321" s="692"/>
      <c r="DT321" s="692"/>
      <c r="DU321" s="692"/>
      <c r="DV321" s="692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7"/>
    </row>
    <row r="322" spans="1:163" s="696" customFormat="1" hidden="1">
      <c r="A322" s="690"/>
      <c r="B322" s="690"/>
      <c r="C322" s="708"/>
      <c r="D322" s="708"/>
      <c r="E322" s="694"/>
      <c r="F322" s="694"/>
      <c r="G322" s="694"/>
      <c r="H322" s="694"/>
      <c r="I322" s="694"/>
      <c r="J322" s="694"/>
      <c r="K322" s="694"/>
      <c r="L322" s="694"/>
      <c r="M322" s="694"/>
      <c r="N322" s="694"/>
      <c r="O322" s="694"/>
      <c r="P322" s="694"/>
      <c r="Q322" s="694"/>
      <c r="R322" s="697"/>
      <c r="S322" s="697"/>
      <c r="T322" s="694"/>
      <c r="U322" s="694"/>
      <c r="V322" s="694"/>
      <c r="W322" s="694"/>
      <c r="X322" s="694"/>
      <c r="Y322" s="694"/>
      <c r="Z322" s="694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694"/>
      <c r="BL322" s="694"/>
      <c r="BM322" s="694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  <c r="BX322" s="694"/>
      <c r="BY322" s="694"/>
      <c r="BZ322" s="694"/>
      <c r="CA322" s="694"/>
      <c r="CB322" s="694"/>
      <c r="CC322" s="694"/>
      <c r="CD322" s="694"/>
      <c r="CE322" s="694"/>
      <c r="CF322" s="694"/>
      <c r="CG322" s="694"/>
      <c r="CH322" s="694"/>
      <c r="CI322" s="694"/>
      <c r="CJ322" s="694"/>
      <c r="CK322" s="694"/>
      <c r="CL322" s="694"/>
      <c r="CM322" s="694"/>
      <c r="CN322" s="694"/>
      <c r="CO322" s="694"/>
      <c r="CP322" s="694"/>
      <c r="CQ322" s="694"/>
      <c r="CR322" s="694"/>
      <c r="CS322" s="694"/>
      <c r="CT322" s="694"/>
      <c r="CU322" s="694"/>
      <c r="CV322" s="695"/>
      <c r="CW322" s="695"/>
      <c r="CX322" s="695"/>
      <c r="CY322" s="695"/>
      <c r="CZ322" s="695"/>
      <c r="DA322" s="695"/>
      <c r="DB322" s="695"/>
      <c r="DC322" s="695"/>
      <c r="DD322" s="695"/>
      <c r="DE322" s="695"/>
      <c r="DF322" s="695"/>
      <c r="DG322" s="695"/>
      <c r="DH322" s="695"/>
      <c r="DI322" s="694"/>
      <c r="DJ322" s="694"/>
      <c r="DK322" s="692"/>
      <c r="DL322" s="692"/>
      <c r="DM322" s="692"/>
      <c r="DN322" s="692"/>
      <c r="DO322" s="692"/>
      <c r="DP322" s="692"/>
      <c r="DQ322" s="692"/>
      <c r="DR322" s="692"/>
      <c r="DS322" s="692"/>
      <c r="DT322" s="692"/>
      <c r="DU322" s="692"/>
      <c r="DV322" s="692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7"/>
    </row>
    <row r="323" spans="1:163" s="696" customFormat="1" hidden="1">
      <c r="A323" s="690"/>
      <c r="B323" s="690"/>
      <c r="C323" s="708"/>
      <c r="D323" s="708"/>
      <c r="E323" s="694"/>
      <c r="F323" s="694"/>
      <c r="G323" s="694"/>
      <c r="H323" s="694"/>
      <c r="I323" s="694"/>
      <c r="J323" s="694"/>
      <c r="K323" s="694"/>
      <c r="L323" s="694"/>
      <c r="M323" s="694"/>
      <c r="N323" s="694"/>
      <c r="O323" s="694"/>
      <c r="P323" s="694"/>
      <c r="Q323" s="694"/>
      <c r="R323" s="697"/>
      <c r="S323" s="697"/>
      <c r="T323" s="694"/>
      <c r="U323" s="694"/>
      <c r="V323" s="694"/>
      <c r="W323" s="694"/>
      <c r="X323" s="694"/>
      <c r="Y323" s="694"/>
      <c r="Z323" s="694"/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4"/>
      <c r="BL323" s="694"/>
      <c r="BM323" s="694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  <c r="BX323" s="694"/>
      <c r="BY323" s="694"/>
      <c r="BZ323" s="694"/>
      <c r="CA323" s="694"/>
      <c r="CB323" s="694"/>
      <c r="CC323" s="694"/>
      <c r="CD323" s="694"/>
      <c r="CE323" s="694"/>
      <c r="CF323" s="694"/>
      <c r="CG323" s="694"/>
      <c r="CH323" s="694"/>
      <c r="CI323" s="694"/>
      <c r="CJ323" s="694"/>
      <c r="CK323" s="694"/>
      <c r="CL323" s="694"/>
      <c r="CM323" s="694"/>
      <c r="CN323" s="694"/>
      <c r="CO323" s="694"/>
      <c r="CP323" s="694"/>
      <c r="CQ323" s="694"/>
      <c r="CR323" s="694"/>
      <c r="CS323" s="694"/>
      <c r="CT323" s="694"/>
      <c r="CU323" s="694"/>
      <c r="CV323" s="695"/>
      <c r="CW323" s="695"/>
      <c r="CX323" s="695"/>
      <c r="CY323" s="695"/>
      <c r="CZ323" s="695"/>
      <c r="DA323" s="695"/>
      <c r="DB323" s="695"/>
      <c r="DC323" s="695"/>
      <c r="DD323" s="695"/>
      <c r="DE323" s="695"/>
      <c r="DF323" s="695"/>
      <c r="DG323" s="695"/>
      <c r="DH323" s="695"/>
      <c r="DI323" s="694"/>
      <c r="DJ323" s="694"/>
      <c r="DK323" s="692"/>
      <c r="DL323" s="692"/>
      <c r="DM323" s="692"/>
      <c r="DN323" s="692"/>
      <c r="DO323" s="692"/>
      <c r="DP323" s="692"/>
      <c r="DQ323" s="692"/>
      <c r="DR323" s="692"/>
      <c r="DS323" s="692"/>
      <c r="DT323" s="692"/>
      <c r="DU323" s="692"/>
      <c r="DV323" s="692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7"/>
    </row>
    <row r="324" spans="1:163" s="696" customFormat="1" hidden="1">
      <c r="A324" s="690"/>
      <c r="B324" s="690"/>
      <c r="C324" s="708"/>
      <c r="D324" s="708"/>
      <c r="E324" s="694"/>
      <c r="F324" s="694"/>
      <c r="G324" s="694"/>
      <c r="H324" s="694"/>
      <c r="I324" s="694"/>
      <c r="J324" s="694"/>
      <c r="K324" s="694"/>
      <c r="L324" s="694"/>
      <c r="M324" s="694"/>
      <c r="N324" s="694"/>
      <c r="O324" s="694"/>
      <c r="P324" s="694"/>
      <c r="Q324" s="694"/>
      <c r="R324" s="697"/>
      <c r="S324" s="697"/>
      <c r="T324" s="694"/>
      <c r="U324" s="694"/>
      <c r="V324" s="694"/>
      <c r="W324" s="694"/>
      <c r="X324" s="694"/>
      <c r="Y324" s="694"/>
      <c r="Z324" s="694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4"/>
      <c r="BL324" s="694"/>
      <c r="BM324" s="694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  <c r="BX324" s="694"/>
      <c r="BY324" s="694"/>
      <c r="BZ324" s="694"/>
      <c r="CA324" s="694"/>
      <c r="CB324" s="694"/>
      <c r="CC324" s="694"/>
      <c r="CD324" s="694"/>
      <c r="CE324" s="694"/>
      <c r="CF324" s="694"/>
      <c r="CG324" s="694"/>
      <c r="CH324" s="694"/>
      <c r="CI324" s="694"/>
      <c r="CJ324" s="694"/>
      <c r="CK324" s="694"/>
      <c r="CL324" s="694"/>
      <c r="CM324" s="694"/>
      <c r="CN324" s="694"/>
      <c r="CO324" s="694"/>
      <c r="CP324" s="694"/>
      <c r="CQ324" s="694"/>
      <c r="CR324" s="694"/>
      <c r="CS324" s="694"/>
      <c r="CT324" s="694"/>
      <c r="CU324" s="694"/>
      <c r="CV324" s="695"/>
      <c r="CW324" s="695"/>
      <c r="CX324" s="695"/>
      <c r="CY324" s="695"/>
      <c r="CZ324" s="695"/>
      <c r="DA324" s="695"/>
      <c r="DB324" s="695"/>
      <c r="DC324" s="695"/>
      <c r="DD324" s="695"/>
      <c r="DE324" s="695"/>
      <c r="DF324" s="695"/>
      <c r="DG324" s="695"/>
      <c r="DH324" s="695"/>
      <c r="DI324" s="694"/>
      <c r="DJ324" s="694"/>
      <c r="DK324" s="692"/>
      <c r="DL324" s="692"/>
      <c r="DM324" s="692"/>
      <c r="DN324" s="692"/>
      <c r="DO324" s="692"/>
      <c r="DP324" s="692"/>
      <c r="DQ324" s="692"/>
      <c r="DR324" s="692"/>
      <c r="DS324" s="692"/>
      <c r="DT324" s="692"/>
      <c r="DU324" s="692"/>
      <c r="DV324" s="692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7"/>
    </row>
    <row r="325" spans="1:163" s="696" customFormat="1" hidden="1">
      <c r="A325" s="690"/>
      <c r="B325" s="690"/>
      <c r="C325" s="708"/>
      <c r="D325" s="708"/>
      <c r="E325" s="694"/>
      <c r="F325" s="694"/>
      <c r="G325" s="694"/>
      <c r="H325" s="694"/>
      <c r="I325" s="694"/>
      <c r="J325" s="694"/>
      <c r="K325" s="694"/>
      <c r="L325" s="694"/>
      <c r="M325" s="694"/>
      <c r="N325" s="694"/>
      <c r="O325" s="694"/>
      <c r="P325" s="694"/>
      <c r="Q325" s="694"/>
      <c r="R325" s="697"/>
      <c r="S325" s="697"/>
      <c r="T325" s="694"/>
      <c r="U325" s="694"/>
      <c r="V325" s="694"/>
      <c r="W325" s="694"/>
      <c r="X325" s="694"/>
      <c r="Y325" s="694"/>
      <c r="Z325" s="694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4"/>
      <c r="BL325" s="694"/>
      <c r="BM325" s="694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  <c r="BX325" s="694"/>
      <c r="BY325" s="694"/>
      <c r="BZ325" s="694"/>
      <c r="CA325" s="694"/>
      <c r="CB325" s="694"/>
      <c r="CC325" s="694"/>
      <c r="CD325" s="694"/>
      <c r="CE325" s="694"/>
      <c r="CF325" s="694"/>
      <c r="CG325" s="694"/>
      <c r="CH325" s="694"/>
      <c r="CI325" s="694"/>
      <c r="CJ325" s="694"/>
      <c r="CK325" s="694"/>
      <c r="CL325" s="694"/>
      <c r="CM325" s="694"/>
      <c r="CN325" s="694"/>
      <c r="CO325" s="694"/>
      <c r="CP325" s="694"/>
      <c r="CQ325" s="694"/>
      <c r="CR325" s="694"/>
      <c r="CS325" s="694"/>
      <c r="CT325" s="694"/>
      <c r="CU325" s="694"/>
      <c r="CV325" s="695"/>
      <c r="CW325" s="695"/>
      <c r="CX325" s="695"/>
      <c r="CY325" s="695"/>
      <c r="CZ325" s="695"/>
      <c r="DA325" s="695"/>
      <c r="DB325" s="695"/>
      <c r="DC325" s="695"/>
      <c r="DD325" s="695"/>
      <c r="DE325" s="695"/>
      <c r="DF325" s="695"/>
      <c r="DG325" s="695"/>
      <c r="DH325" s="695"/>
      <c r="DI325" s="694"/>
      <c r="DJ325" s="694"/>
      <c r="DK325" s="692"/>
      <c r="DL325" s="692"/>
      <c r="DM325" s="692"/>
      <c r="DN325" s="692"/>
      <c r="DO325" s="692"/>
      <c r="DP325" s="692"/>
      <c r="DQ325" s="692"/>
      <c r="DR325" s="692"/>
      <c r="DS325" s="692"/>
      <c r="DT325" s="692"/>
      <c r="DU325" s="692"/>
      <c r="DV325" s="692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7"/>
    </row>
    <row r="326" spans="1:163" s="696" customFormat="1" hidden="1">
      <c r="A326" s="690"/>
      <c r="B326" s="690"/>
      <c r="C326" s="708"/>
      <c r="D326" s="708"/>
      <c r="E326" s="694"/>
      <c r="F326" s="694"/>
      <c r="G326" s="694"/>
      <c r="H326" s="694"/>
      <c r="I326" s="694"/>
      <c r="J326" s="694"/>
      <c r="K326" s="694"/>
      <c r="L326" s="694"/>
      <c r="M326" s="694"/>
      <c r="N326" s="694"/>
      <c r="O326" s="694"/>
      <c r="P326" s="694"/>
      <c r="Q326" s="694"/>
      <c r="R326" s="697"/>
      <c r="S326" s="697"/>
      <c r="T326" s="694"/>
      <c r="U326" s="694"/>
      <c r="V326" s="694"/>
      <c r="W326" s="694"/>
      <c r="X326" s="694"/>
      <c r="Y326" s="694"/>
      <c r="Z326" s="694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694"/>
      <c r="BL326" s="694"/>
      <c r="BM326" s="694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  <c r="BX326" s="694"/>
      <c r="BY326" s="694"/>
      <c r="BZ326" s="694"/>
      <c r="CA326" s="694"/>
      <c r="CB326" s="694"/>
      <c r="CC326" s="694"/>
      <c r="CD326" s="694"/>
      <c r="CE326" s="694"/>
      <c r="CF326" s="694"/>
      <c r="CG326" s="694"/>
      <c r="CH326" s="694"/>
      <c r="CI326" s="694"/>
      <c r="CJ326" s="694"/>
      <c r="CK326" s="694"/>
      <c r="CL326" s="694"/>
      <c r="CM326" s="694"/>
      <c r="CN326" s="694"/>
      <c r="CO326" s="694"/>
      <c r="CP326" s="694"/>
      <c r="CQ326" s="694"/>
      <c r="CR326" s="694"/>
      <c r="CS326" s="694"/>
      <c r="CT326" s="694"/>
      <c r="CU326" s="694"/>
      <c r="CV326" s="695"/>
      <c r="CW326" s="695"/>
      <c r="CX326" s="695"/>
      <c r="CY326" s="695"/>
      <c r="CZ326" s="695"/>
      <c r="DA326" s="695"/>
      <c r="DB326" s="695"/>
      <c r="DC326" s="695"/>
      <c r="DD326" s="695"/>
      <c r="DE326" s="695"/>
      <c r="DF326" s="695"/>
      <c r="DG326" s="695"/>
      <c r="DH326" s="695"/>
      <c r="DI326" s="694"/>
      <c r="DJ326" s="694"/>
      <c r="DK326" s="692"/>
      <c r="DL326" s="692"/>
      <c r="DM326" s="692"/>
      <c r="DN326" s="692"/>
      <c r="DO326" s="692"/>
      <c r="DP326" s="692"/>
      <c r="DQ326" s="692"/>
      <c r="DR326" s="692"/>
      <c r="DS326" s="692"/>
      <c r="DT326" s="692"/>
      <c r="DU326" s="692"/>
      <c r="DV326" s="692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7"/>
    </row>
    <row r="327" spans="1:163" s="696" customFormat="1" hidden="1">
      <c r="A327" s="690"/>
      <c r="B327" s="690"/>
      <c r="C327" s="708"/>
      <c r="D327" s="708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7"/>
      <c r="S327" s="697"/>
      <c r="T327" s="694"/>
      <c r="U327" s="694"/>
      <c r="V327" s="694"/>
      <c r="W327" s="694"/>
      <c r="X327" s="694"/>
      <c r="Y327" s="694"/>
      <c r="Z327" s="694"/>
      <c r="AA327" s="694"/>
      <c r="AB327" s="694"/>
      <c r="AC327" s="694"/>
      <c r="AD327" s="694"/>
      <c r="AE327" s="694"/>
      <c r="AF327" s="694"/>
      <c r="AG327" s="694"/>
      <c r="AH327" s="694"/>
      <c r="AI327" s="694"/>
      <c r="AJ327" s="694"/>
      <c r="AK327" s="694"/>
      <c r="AL327" s="694"/>
      <c r="AM327" s="694"/>
      <c r="AN327" s="694"/>
      <c r="AO327" s="694"/>
      <c r="AP327" s="694"/>
      <c r="AQ327" s="694"/>
      <c r="AR327" s="694"/>
      <c r="AS327" s="694"/>
      <c r="AT327" s="694"/>
      <c r="AU327" s="694"/>
      <c r="AV327" s="694"/>
      <c r="AW327" s="694"/>
      <c r="AX327" s="694"/>
      <c r="AY327" s="694"/>
      <c r="AZ327" s="694"/>
      <c r="BA327" s="694"/>
      <c r="BB327" s="694"/>
      <c r="BC327" s="694"/>
      <c r="BD327" s="694"/>
      <c r="BE327" s="694"/>
      <c r="BF327" s="694"/>
      <c r="BG327" s="694"/>
      <c r="BH327" s="694"/>
      <c r="BI327" s="694"/>
      <c r="BJ327" s="694"/>
      <c r="BK327" s="694"/>
      <c r="BL327" s="694"/>
      <c r="BM327" s="694"/>
      <c r="BN327" s="694"/>
      <c r="BO327" s="694"/>
      <c r="BP327" s="694"/>
      <c r="BQ327" s="694"/>
      <c r="BR327" s="694"/>
      <c r="BS327" s="694"/>
      <c r="BT327" s="694"/>
      <c r="BU327" s="694"/>
      <c r="BV327" s="694"/>
      <c r="BW327" s="694"/>
      <c r="BX327" s="694"/>
      <c r="BY327" s="694"/>
      <c r="BZ327" s="694"/>
      <c r="CA327" s="694"/>
      <c r="CB327" s="694"/>
      <c r="CC327" s="694"/>
      <c r="CD327" s="694"/>
      <c r="CE327" s="694"/>
      <c r="CF327" s="694"/>
      <c r="CG327" s="694"/>
      <c r="CH327" s="694"/>
      <c r="CI327" s="694"/>
      <c r="CJ327" s="694"/>
      <c r="CK327" s="694"/>
      <c r="CL327" s="694"/>
      <c r="CM327" s="694"/>
      <c r="CN327" s="694"/>
      <c r="CO327" s="694"/>
      <c r="CP327" s="694"/>
      <c r="CQ327" s="694"/>
      <c r="CR327" s="694"/>
      <c r="CS327" s="694"/>
      <c r="CT327" s="694"/>
      <c r="CU327" s="694"/>
      <c r="CV327" s="695"/>
      <c r="CW327" s="695"/>
      <c r="CX327" s="695"/>
      <c r="CY327" s="695"/>
      <c r="CZ327" s="695"/>
      <c r="DA327" s="695"/>
      <c r="DB327" s="695"/>
      <c r="DC327" s="695"/>
      <c r="DD327" s="695"/>
      <c r="DE327" s="695"/>
      <c r="DF327" s="695"/>
      <c r="DG327" s="695"/>
      <c r="DH327" s="695"/>
      <c r="DI327" s="694"/>
      <c r="DJ327" s="694"/>
      <c r="DK327" s="692"/>
      <c r="DL327" s="692"/>
      <c r="DM327" s="692"/>
      <c r="DN327" s="692"/>
      <c r="DO327" s="692"/>
      <c r="DP327" s="692"/>
      <c r="DQ327" s="692"/>
      <c r="DR327" s="692"/>
      <c r="DS327" s="692"/>
      <c r="DT327" s="692"/>
      <c r="DU327" s="692"/>
      <c r="DV327" s="692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7"/>
    </row>
    <row r="328" spans="1:163" s="696" customFormat="1" hidden="1">
      <c r="A328" s="690"/>
      <c r="B328" s="690"/>
      <c r="C328" s="708"/>
      <c r="D328" s="708"/>
      <c r="E328" s="694"/>
      <c r="F328" s="694"/>
      <c r="G328" s="694"/>
      <c r="H328" s="694"/>
      <c r="I328" s="694"/>
      <c r="J328" s="694"/>
      <c r="K328" s="694"/>
      <c r="L328" s="694"/>
      <c r="M328" s="694"/>
      <c r="N328" s="694"/>
      <c r="O328" s="694"/>
      <c r="P328" s="694"/>
      <c r="Q328" s="694"/>
      <c r="R328" s="697"/>
      <c r="S328" s="697"/>
      <c r="T328" s="694"/>
      <c r="U328" s="694"/>
      <c r="V328" s="694"/>
      <c r="W328" s="694"/>
      <c r="X328" s="694"/>
      <c r="Y328" s="694"/>
      <c r="Z328" s="694"/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4"/>
      <c r="BL328" s="694"/>
      <c r="BM328" s="694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  <c r="BX328" s="694"/>
      <c r="BY328" s="694"/>
      <c r="BZ328" s="694"/>
      <c r="CA328" s="694"/>
      <c r="CB328" s="694"/>
      <c r="CC328" s="694"/>
      <c r="CD328" s="694"/>
      <c r="CE328" s="694"/>
      <c r="CF328" s="694"/>
      <c r="CG328" s="694"/>
      <c r="CH328" s="694"/>
      <c r="CI328" s="694"/>
      <c r="CJ328" s="694"/>
      <c r="CK328" s="694"/>
      <c r="CL328" s="694"/>
      <c r="CM328" s="694"/>
      <c r="CN328" s="694"/>
      <c r="CO328" s="694"/>
      <c r="CP328" s="694"/>
      <c r="CQ328" s="694"/>
      <c r="CR328" s="694"/>
      <c r="CS328" s="694"/>
      <c r="CT328" s="694"/>
      <c r="CU328" s="694"/>
      <c r="CV328" s="695"/>
      <c r="CW328" s="695"/>
      <c r="CX328" s="695"/>
      <c r="CY328" s="695"/>
      <c r="CZ328" s="695"/>
      <c r="DA328" s="695"/>
      <c r="DB328" s="695"/>
      <c r="DC328" s="695"/>
      <c r="DD328" s="695"/>
      <c r="DE328" s="695"/>
      <c r="DF328" s="695"/>
      <c r="DG328" s="695"/>
      <c r="DH328" s="695"/>
      <c r="DI328" s="694"/>
      <c r="DJ328" s="694"/>
      <c r="DK328" s="692"/>
      <c r="DL328" s="692"/>
      <c r="DM328" s="692"/>
      <c r="DN328" s="692"/>
      <c r="DO328" s="692"/>
      <c r="DP328" s="692"/>
      <c r="DQ328" s="692"/>
      <c r="DR328" s="692"/>
      <c r="DS328" s="692"/>
      <c r="DT328" s="692"/>
      <c r="DU328" s="692"/>
      <c r="DV328" s="692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7"/>
    </row>
    <row r="329" spans="1:163" s="696" customFormat="1" hidden="1">
      <c r="A329" s="690"/>
      <c r="B329" s="690"/>
      <c r="C329" s="708"/>
      <c r="D329" s="708"/>
      <c r="E329" s="694"/>
      <c r="F329" s="694"/>
      <c r="G329" s="694"/>
      <c r="H329" s="694"/>
      <c r="I329" s="694"/>
      <c r="J329" s="694"/>
      <c r="K329" s="694"/>
      <c r="L329" s="694"/>
      <c r="M329" s="694"/>
      <c r="N329" s="694"/>
      <c r="O329" s="694"/>
      <c r="P329" s="694"/>
      <c r="Q329" s="694"/>
      <c r="R329" s="697"/>
      <c r="S329" s="697"/>
      <c r="T329" s="694"/>
      <c r="U329" s="694"/>
      <c r="V329" s="694"/>
      <c r="W329" s="694"/>
      <c r="X329" s="694"/>
      <c r="Y329" s="694"/>
      <c r="Z329" s="694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4"/>
      <c r="BL329" s="694"/>
      <c r="BM329" s="694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  <c r="BX329" s="694"/>
      <c r="BY329" s="694"/>
      <c r="BZ329" s="694"/>
      <c r="CA329" s="694"/>
      <c r="CB329" s="694"/>
      <c r="CC329" s="694"/>
      <c r="CD329" s="694"/>
      <c r="CE329" s="694"/>
      <c r="CF329" s="694"/>
      <c r="CG329" s="694"/>
      <c r="CH329" s="694"/>
      <c r="CI329" s="694"/>
      <c r="CJ329" s="694"/>
      <c r="CK329" s="694"/>
      <c r="CL329" s="694"/>
      <c r="CM329" s="694"/>
      <c r="CN329" s="694"/>
      <c r="CO329" s="694"/>
      <c r="CP329" s="694"/>
      <c r="CQ329" s="694"/>
      <c r="CR329" s="694"/>
      <c r="CS329" s="694"/>
      <c r="CT329" s="694"/>
      <c r="CU329" s="694"/>
      <c r="CV329" s="695"/>
      <c r="CW329" s="695"/>
      <c r="CX329" s="695"/>
      <c r="CY329" s="695"/>
      <c r="CZ329" s="695"/>
      <c r="DA329" s="695"/>
      <c r="DB329" s="695"/>
      <c r="DC329" s="695"/>
      <c r="DD329" s="695"/>
      <c r="DE329" s="695"/>
      <c r="DF329" s="695"/>
      <c r="DG329" s="695"/>
      <c r="DH329" s="695"/>
      <c r="DI329" s="694"/>
      <c r="DJ329" s="694"/>
      <c r="DK329" s="692"/>
      <c r="DL329" s="692"/>
      <c r="DM329" s="692"/>
      <c r="DN329" s="692"/>
      <c r="DO329" s="692"/>
      <c r="DP329" s="692"/>
      <c r="DQ329" s="692"/>
      <c r="DR329" s="692"/>
      <c r="DS329" s="692"/>
      <c r="DT329" s="692"/>
      <c r="DU329" s="692"/>
      <c r="DV329" s="692"/>
      <c r="DW329" s="694"/>
      <c r="DX329" s="694"/>
      <c r="DY329" s="694"/>
      <c r="DZ329" s="694"/>
      <c r="EA329" s="694"/>
      <c r="EB329" s="694"/>
      <c r="EC329" s="694"/>
      <c r="ED329" s="694"/>
      <c r="EE329" s="694"/>
      <c r="EF329" s="694"/>
      <c r="EG329" s="694"/>
      <c r="EH329" s="694"/>
      <c r="EI329" s="694"/>
      <c r="EJ329" s="694"/>
      <c r="EK329" s="694"/>
      <c r="EL329" s="694"/>
      <c r="EM329" s="694"/>
      <c r="EN329" s="694"/>
      <c r="EO329" s="694"/>
      <c r="EP329" s="694"/>
      <c r="EQ329" s="694"/>
      <c r="ER329" s="694"/>
      <c r="ES329" s="694"/>
      <c r="ET329" s="694"/>
      <c r="EU329" s="694"/>
      <c r="EV329" s="694"/>
      <c r="EW329" s="694"/>
      <c r="EX329" s="694"/>
      <c r="EY329" s="694"/>
      <c r="EZ329" s="694"/>
      <c r="FA329" s="694"/>
      <c r="FB329" s="694"/>
      <c r="FC329" s="694"/>
      <c r="FD329" s="694"/>
      <c r="FE329" s="694"/>
      <c r="FF329" s="694"/>
      <c r="FG329" s="697"/>
    </row>
    <row r="330" spans="1:163" s="696" customFormat="1" hidden="1">
      <c r="A330" s="690"/>
      <c r="B330" s="690"/>
      <c r="C330" s="708"/>
      <c r="D330" s="708"/>
      <c r="E330" s="694"/>
      <c r="F330" s="694"/>
      <c r="G330" s="694"/>
      <c r="H330" s="694"/>
      <c r="I330" s="694"/>
      <c r="J330" s="694"/>
      <c r="K330" s="694"/>
      <c r="L330" s="694"/>
      <c r="M330" s="694"/>
      <c r="N330" s="694"/>
      <c r="O330" s="694"/>
      <c r="P330" s="694"/>
      <c r="Q330" s="694"/>
      <c r="R330" s="697"/>
      <c r="S330" s="697"/>
      <c r="T330" s="694"/>
      <c r="U330" s="694"/>
      <c r="V330" s="694"/>
      <c r="W330" s="694"/>
      <c r="X330" s="694"/>
      <c r="Y330" s="694"/>
      <c r="Z330" s="694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4"/>
      <c r="BL330" s="694"/>
      <c r="BM330" s="694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  <c r="BX330" s="694"/>
      <c r="BY330" s="694"/>
      <c r="BZ330" s="694"/>
      <c r="CA330" s="694"/>
      <c r="CB330" s="694"/>
      <c r="CC330" s="694"/>
      <c r="CD330" s="694"/>
      <c r="CE330" s="694"/>
      <c r="CF330" s="694"/>
      <c r="CG330" s="694"/>
      <c r="CH330" s="694"/>
      <c r="CI330" s="694"/>
      <c r="CJ330" s="694"/>
      <c r="CK330" s="694"/>
      <c r="CL330" s="694"/>
      <c r="CM330" s="694"/>
      <c r="CN330" s="694"/>
      <c r="CO330" s="694"/>
      <c r="CP330" s="694"/>
      <c r="CQ330" s="694"/>
      <c r="CR330" s="694"/>
      <c r="CS330" s="694"/>
      <c r="CT330" s="694"/>
      <c r="CU330" s="694"/>
      <c r="CV330" s="695"/>
      <c r="CW330" s="695"/>
      <c r="CX330" s="695"/>
      <c r="CY330" s="695"/>
      <c r="CZ330" s="695"/>
      <c r="DA330" s="695"/>
      <c r="DB330" s="695"/>
      <c r="DC330" s="695"/>
      <c r="DD330" s="695"/>
      <c r="DE330" s="695"/>
      <c r="DF330" s="695"/>
      <c r="DG330" s="695"/>
      <c r="DH330" s="695"/>
      <c r="DI330" s="694"/>
      <c r="DJ330" s="694"/>
      <c r="DK330" s="692"/>
      <c r="DL330" s="692"/>
      <c r="DM330" s="692"/>
      <c r="DN330" s="692"/>
      <c r="DO330" s="692"/>
      <c r="DP330" s="692"/>
      <c r="DQ330" s="692"/>
      <c r="DR330" s="692"/>
      <c r="DS330" s="692"/>
      <c r="DT330" s="692"/>
      <c r="DU330" s="692"/>
      <c r="DV330" s="692"/>
      <c r="DW330" s="694"/>
      <c r="DX330" s="694"/>
      <c r="DY330" s="694"/>
      <c r="DZ330" s="694"/>
      <c r="EA330" s="694"/>
      <c r="EB330" s="694"/>
      <c r="EC330" s="694"/>
      <c r="ED330" s="694"/>
      <c r="EE330" s="694"/>
      <c r="EF330" s="694"/>
      <c r="EG330" s="694"/>
      <c r="EH330" s="694"/>
      <c r="EI330" s="694"/>
      <c r="EJ330" s="694"/>
      <c r="EK330" s="694"/>
      <c r="EL330" s="694"/>
      <c r="EM330" s="694"/>
      <c r="EN330" s="694"/>
      <c r="EO330" s="694"/>
      <c r="EP330" s="694"/>
      <c r="EQ330" s="694"/>
      <c r="ER330" s="694"/>
      <c r="ES330" s="694"/>
      <c r="ET330" s="694"/>
      <c r="EU330" s="694"/>
      <c r="EV330" s="694"/>
      <c r="EW330" s="694"/>
      <c r="EX330" s="694"/>
      <c r="EY330" s="694"/>
      <c r="EZ330" s="694"/>
      <c r="FA330" s="694"/>
      <c r="FB330" s="694"/>
      <c r="FC330" s="694"/>
      <c r="FD330" s="694"/>
      <c r="FE330" s="694"/>
      <c r="FF330" s="694"/>
      <c r="FG330" s="697"/>
    </row>
    <row r="331" spans="1:163" s="696" customFormat="1" hidden="1">
      <c r="A331" s="690"/>
      <c r="B331" s="690"/>
      <c r="C331" s="708"/>
      <c r="D331" s="708"/>
      <c r="E331" s="694"/>
      <c r="F331" s="694"/>
      <c r="G331" s="694"/>
      <c r="H331" s="694"/>
      <c r="I331" s="694"/>
      <c r="J331" s="694"/>
      <c r="K331" s="694"/>
      <c r="L331" s="694"/>
      <c r="M331" s="694"/>
      <c r="N331" s="694"/>
      <c r="O331" s="694"/>
      <c r="P331" s="694"/>
      <c r="Q331" s="694"/>
      <c r="R331" s="697"/>
      <c r="S331" s="697"/>
      <c r="T331" s="694"/>
      <c r="U331" s="694"/>
      <c r="V331" s="694"/>
      <c r="W331" s="694"/>
      <c r="X331" s="694"/>
      <c r="Y331" s="694"/>
      <c r="Z331" s="694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694"/>
      <c r="BL331" s="694"/>
      <c r="BM331" s="694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  <c r="BX331" s="694"/>
      <c r="BY331" s="694"/>
      <c r="BZ331" s="694"/>
      <c r="CA331" s="694"/>
      <c r="CB331" s="694"/>
      <c r="CC331" s="694"/>
      <c r="CD331" s="694"/>
      <c r="CE331" s="694"/>
      <c r="CF331" s="694"/>
      <c r="CG331" s="694"/>
      <c r="CH331" s="694"/>
      <c r="CI331" s="694"/>
      <c r="CJ331" s="694"/>
      <c r="CK331" s="694"/>
      <c r="CL331" s="694"/>
      <c r="CM331" s="694"/>
      <c r="CN331" s="694"/>
      <c r="CO331" s="694"/>
      <c r="CP331" s="694"/>
      <c r="CQ331" s="694"/>
      <c r="CR331" s="694"/>
      <c r="CS331" s="694"/>
      <c r="CT331" s="694"/>
      <c r="CU331" s="694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695"/>
      <c r="DH331" s="695"/>
      <c r="DI331" s="694"/>
      <c r="DJ331" s="694"/>
      <c r="DK331" s="692"/>
      <c r="DL331" s="692"/>
      <c r="DM331" s="692"/>
      <c r="DN331" s="692"/>
      <c r="DO331" s="692"/>
      <c r="DP331" s="692"/>
      <c r="DQ331" s="692"/>
      <c r="DR331" s="692"/>
      <c r="DS331" s="692"/>
      <c r="DT331" s="692"/>
      <c r="DU331" s="692"/>
      <c r="DV331" s="692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7"/>
    </row>
    <row r="332" spans="1:163" s="696" customFormat="1">
      <c r="A332" s="690"/>
      <c r="B332" s="690"/>
      <c r="C332" s="708"/>
      <c r="D332" s="708"/>
      <c r="E332" s="694"/>
      <c r="F332" s="694"/>
      <c r="G332" s="694"/>
      <c r="H332" s="694"/>
      <c r="I332" s="694"/>
      <c r="J332" s="694"/>
      <c r="K332" s="694"/>
      <c r="L332" s="694"/>
      <c r="M332" s="694"/>
      <c r="N332" s="694"/>
      <c r="O332" s="694"/>
      <c r="P332" s="694"/>
      <c r="Q332" s="694"/>
      <c r="R332" s="697"/>
      <c r="S332" s="697"/>
      <c r="T332" s="694"/>
      <c r="U332" s="694"/>
      <c r="V332" s="694"/>
      <c r="W332" s="694"/>
      <c r="X332" s="694"/>
      <c r="Y332" s="694"/>
      <c r="Z332" s="694"/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4"/>
      <c r="BL332" s="694"/>
      <c r="BM332" s="694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  <c r="BX332" s="694"/>
      <c r="BY332" s="694"/>
      <c r="BZ332" s="694"/>
      <c r="CA332" s="694"/>
      <c r="CB332" s="694"/>
      <c r="CC332" s="694"/>
      <c r="CD332" s="694"/>
      <c r="CE332" s="694"/>
      <c r="CF332" s="694"/>
      <c r="CG332" s="694"/>
      <c r="CH332" s="694"/>
      <c r="CI332" s="694"/>
      <c r="CJ332" s="694"/>
      <c r="CK332" s="694"/>
      <c r="CL332" s="694"/>
      <c r="CM332" s="694"/>
      <c r="CN332" s="694"/>
      <c r="CO332" s="694"/>
      <c r="CP332" s="694"/>
      <c r="CQ332" s="694"/>
      <c r="CR332" s="694"/>
      <c r="CS332" s="694"/>
      <c r="CT332" s="694"/>
      <c r="CU332" s="694"/>
      <c r="CV332" s="695"/>
      <c r="CW332" s="695"/>
      <c r="CX332" s="695"/>
      <c r="CY332" s="695"/>
      <c r="CZ332" s="695"/>
      <c r="DA332" s="695"/>
      <c r="DB332" s="695"/>
      <c r="DC332" s="695"/>
      <c r="DD332" s="695"/>
      <c r="DE332" s="695"/>
      <c r="DF332" s="695"/>
      <c r="DG332" s="695"/>
      <c r="DH332" s="695"/>
      <c r="DI332" s="694"/>
      <c r="DJ332" s="694"/>
      <c r="DK332" s="692"/>
      <c r="DL332" s="692"/>
      <c r="DM332" s="692"/>
      <c r="DN332" s="692"/>
      <c r="DO332" s="692"/>
      <c r="DP332" s="692"/>
      <c r="DQ332" s="692"/>
      <c r="DR332" s="692"/>
      <c r="DS332" s="692"/>
      <c r="DT332" s="692"/>
      <c r="DU332" s="692"/>
      <c r="DV332" s="692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7"/>
    </row>
    <row r="333" spans="1:163" s="696" customFormat="1">
      <c r="A333" s="690"/>
      <c r="B333" s="690"/>
      <c r="C333" s="708"/>
      <c r="D333" s="709" t="s">
        <v>3731</v>
      </c>
      <c r="E333" s="694"/>
      <c r="F333" s="694"/>
      <c r="G333" s="694"/>
      <c r="H333" s="694"/>
      <c r="I333" s="694"/>
      <c r="J333" s="694"/>
      <c r="K333" s="694"/>
      <c r="L333" s="694"/>
      <c r="M333" s="694"/>
      <c r="N333" s="694"/>
      <c r="O333" s="694"/>
      <c r="P333" s="694"/>
      <c r="Q333" s="694"/>
      <c r="R333" s="697"/>
      <c r="S333" s="697"/>
      <c r="T333" s="694"/>
      <c r="U333" s="694" t="s">
        <v>2990</v>
      </c>
      <c r="V333" s="694"/>
      <c r="W333" s="694"/>
      <c r="X333" s="694"/>
      <c r="Y333" s="694"/>
      <c r="Z333" s="694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4"/>
      <c r="BL333" s="694"/>
      <c r="BM333" s="694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  <c r="BX333" s="694"/>
      <c r="BY333" s="694"/>
      <c r="BZ333" s="694"/>
      <c r="CA333" s="694"/>
      <c r="CB333" s="694"/>
      <c r="CC333" s="694"/>
      <c r="CD333" s="694"/>
      <c r="CE333" s="694"/>
      <c r="CF333" s="694"/>
      <c r="CG333" s="694"/>
      <c r="CH333" s="694"/>
      <c r="CI333" s="694"/>
      <c r="CJ333" s="694"/>
      <c r="CK333" s="694"/>
      <c r="CL333" s="694"/>
      <c r="CM333" s="694"/>
      <c r="CN333" s="694"/>
      <c r="CO333" s="694"/>
      <c r="CP333" s="694"/>
      <c r="CQ333" s="694"/>
      <c r="CR333" s="694"/>
      <c r="CS333" s="694"/>
      <c r="CT333" s="694"/>
      <c r="CU333" s="694"/>
      <c r="CV333" s="695"/>
      <c r="CW333" s="695">
        <f t="shared" ref="CW333:CW346" si="45">E333</f>
        <v>0</v>
      </c>
      <c r="CX333" s="695"/>
      <c r="CY333" s="695"/>
      <c r="CZ333" s="695"/>
      <c r="DA333" s="695">
        <f t="shared" ref="DA333:DA346" si="46">E333*2</f>
        <v>0</v>
      </c>
      <c r="DB333" s="695"/>
      <c r="DC333" s="695"/>
      <c r="DD333" s="695"/>
      <c r="DE333" s="695"/>
      <c r="DF333" s="695"/>
      <c r="DG333" s="695"/>
      <c r="DH333" s="695"/>
      <c r="DI333" s="694"/>
      <c r="DJ333" s="694"/>
      <c r="DK333" s="692">
        <v>1</v>
      </c>
      <c r="DL333" s="692"/>
      <c r="DM333" s="692">
        <v>3</v>
      </c>
      <c r="DN333" s="692"/>
      <c r="DO333" s="692"/>
      <c r="DP333" s="692">
        <v>4</v>
      </c>
      <c r="DQ333" s="692"/>
      <c r="DR333" s="692"/>
      <c r="DS333" s="692"/>
      <c r="DT333" s="692"/>
      <c r="DU333" s="692">
        <v>5</v>
      </c>
      <c r="DV333" s="692"/>
      <c r="DW333" s="694"/>
      <c r="DX333" s="694"/>
      <c r="DY333" s="694"/>
      <c r="DZ333" s="694"/>
      <c r="EA333" s="694"/>
      <c r="EB333" s="694">
        <v>2</v>
      </c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7"/>
    </row>
    <row r="334" spans="1:163" s="696" customFormat="1">
      <c r="A334" s="690"/>
      <c r="B334" s="690"/>
      <c r="C334" s="708" t="s">
        <v>3632</v>
      </c>
      <c r="D334" s="708"/>
      <c r="E334" s="694">
        <v>14.6</v>
      </c>
      <c r="F334" s="694"/>
      <c r="G334" s="694"/>
      <c r="H334" s="694"/>
      <c r="I334" s="694"/>
      <c r="J334" s="694"/>
      <c r="K334" s="694"/>
      <c r="L334" s="694"/>
      <c r="M334" s="694"/>
      <c r="N334" s="694"/>
      <c r="O334" s="694"/>
      <c r="P334" s="694"/>
      <c r="Q334" s="694"/>
      <c r="R334" s="697"/>
      <c r="S334" s="697"/>
      <c r="T334" s="692"/>
      <c r="U334" s="692" t="s">
        <v>2989</v>
      </c>
      <c r="V334" s="694"/>
      <c r="W334" s="694"/>
      <c r="X334" s="694"/>
      <c r="Y334" s="694"/>
      <c r="Z334" s="694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4"/>
      <c r="BL334" s="694"/>
      <c r="BM334" s="694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  <c r="BX334" s="694"/>
      <c r="BY334" s="694"/>
      <c r="BZ334" s="694"/>
      <c r="CA334" s="694"/>
      <c r="CB334" s="694"/>
      <c r="CC334" s="694"/>
      <c r="CD334" s="694"/>
      <c r="CE334" s="694"/>
      <c r="CF334" s="694"/>
      <c r="CG334" s="694"/>
      <c r="CH334" s="694"/>
      <c r="CI334" s="694"/>
      <c r="CJ334" s="694"/>
      <c r="CK334" s="694"/>
      <c r="CL334" s="694"/>
      <c r="CM334" s="694"/>
      <c r="CN334" s="694"/>
      <c r="CO334" s="694"/>
      <c r="CP334" s="694"/>
      <c r="CQ334" s="694"/>
      <c r="CR334" s="694"/>
      <c r="CS334" s="694"/>
      <c r="CT334" s="694"/>
      <c r="CU334" s="694"/>
      <c r="CV334" s="695"/>
      <c r="CW334" s="695">
        <f t="shared" si="45"/>
        <v>14.6</v>
      </c>
      <c r="CX334" s="695"/>
      <c r="CY334" s="695"/>
      <c r="CZ334" s="695"/>
      <c r="DA334" s="695">
        <f t="shared" si="46"/>
        <v>29.2</v>
      </c>
      <c r="DB334" s="695"/>
      <c r="DC334" s="695"/>
      <c r="DD334" s="695"/>
      <c r="DE334" s="695"/>
      <c r="DF334" s="695"/>
      <c r="DG334" s="695"/>
      <c r="DH334" s="695"/>
      <c r="DI334" s="694"/>
      <c r="DJ334" s="694"/>
      <c r="DK334" s="692">
        <v>2</v>
      </c>
      <c r="DL334" s="692"/>
      <c r="DM334" s="692">
        <v>6</v>
      </c>
      <c r="DN334" s="692"/>
      <c r="DO334" s="692"/>
      <c r="DP334" s="692"/>
      <c r="DQ334" s="692"/>
      <c r="DR334" s="692"/>
      <c r="DS334" s="692"/>
      <c r="DT334" s="692"/>
      <c r="DU334" s="692">
        <v>12</v>
      </c>
      <c r="DV334" s="692"/>
      <c r="DW334" s="694"/>
      <c r="DX334" s="694"/>
      <c r="DY334" s="694"/>
      <c r="DZ334" s="694"/>
      <c r="EA334" s="694">
        <v>2</v>
      </c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7"/>
    </row>
    <row r="335" spans="1:163" s="696" customFormat="1">
      <c r="A335" s="690"/>
      <c r="B335" s="690"/>
      <c r="C335" s="708" t="s">
        <v>3633</v>
      </c>
      <c r="D335" s="708"/>
      <c r="E335" s="694">
        <v>39.299999999999997</v>
      </c>
      <c r="F335" s="694"/>
      <c r="G335" s="694"/>
      <c r="H335" s="694"/>
      <c r="I335" s="694"/>
      <c r="J335" s="694"/>
      <c r="K335" s="694"/>
      <c r="L335" s="694"/>
      <c r="M335" s="694"/>
      <c r="N335" s="694"/>
      <c r="O335" s="694"/>
      <c r="P335" s="694"/>
      <c r="Q335" s="694"/>
      <c r="R335" s="697"/>
      <c r="S335" s="697"/>
      <c r="T335" s="694"/>
      <c r="U335" s="694" t="s">
        <v>1631</v>
      </c>
      <c r="V335" s="694"/>
      <c r="W335" s="694"/>
      <c r="X335" s="694"/>
      <c r="Y335" s="694"/>
      <c r="Z335" s="694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694"/>
      <c r="BL335" s="694"/>
      <c r="BM335" s="694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  <c r="BX335" s="694"/>
      <c r="BY335" s="694"/>
      <c r="BZ335" s="694"/>
      <c r="CA335" s="694"/>
      <c r="CB335" s="694"/>
      <c r="CC335" s="694"/>
      <c r="CD335" s="694"/>
      <c r="CE335" s="694"/>
      <c r="CF335" s="694"/>
      <c r="CG335" s="694"/>
      <c r="CH335" s="694"/>
      <c r="CI335" s="694"/>
      <c r="CJ335" s="694"/>
      <c r="CK335" s="694"/>
      <c r="CL335" s="694"/>
      <c r="CM335" s="694"/>
      <c r="CN335" s="694"/>
      <c r="CO335" s="694"/>
      <c r="CP335" s="694"/>
      <c r="CQ335" s="694"/>
      <c r="CR335" s="694"/>
      <c r="CS335" s="694"/>
      <c r="CT335" s="694"/>
      <c r="CU335" s="694"/>
      <c r="CV335" s="695"/>
      <c r="CW335" s="695">
        <f t="shared" si="45"/>
        <v>39.299999999999997</v>
      </c>
      <c r="CX335" s="695"/>
      <c r="CY335" s="695"/>
      <c r="CZ335" s="695"/>
      <c r="DA335" s="695">
        <f t="shared" si="46"/>
        <v>78.599999999999994</v>
      </c>
      <c r="DB335" s="695"/>
      <c r="DC335" s="695"/>
      <c r="DD335" s="695"/>
      <c r="DE335" s="695"/>
      <c r="DF335" s="695"/>
      <c r="DG335" s="695"/>
      <c r="DH335" s="695"/>
      <c r="DI335" s="694"/>
      <c r="DJ335" s="694"/>
      <c r="DK335" s="694">
        <v>1</v>
      </c>
      <c r="DL335" s="694"/>
      <c r="DM335" s="694">
        <v>3</v>
      </c>
      <c r="DN335" s="694">
        <v>1</v>
      </c>
      <c r="DO335" s="694">
        <v>2</v>
      </c>
      <c r="DP335" s="694">
        <v>1</v>
      </c>
      <c r="DQ335" s="694"/>
      <c r="DR335" s="694"/>
      <c r="DS335" s="694"/>
      <c r="DT335" s="694"/>
      <c r="DU335" s="694"/>
      <c r="DV335" s="694"/>
      <c r="DW335" s="694"/>
      <c r="DX335" s="694"/>
      <c r="DY335" s="694"/>
      <c r="DZ335" s="694">
        <v>2</v>
      </c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7"/>
    </row>
    <row r="336" spans="1:163" s="696" customFormat="1">
      <c r="A336" s="690"/>
      <c r="B336" s="690"/>
      <c r="C336" s="708" t="s">
        <v>3634</v>
      </c>
      <c r="D336" s="708"/>
      <c r="E336" s="694">
        <v>41.3</v>
      </c>
      <c r="F336" s="694"/>
      <c r="G336" s="694"/>
      <c r="H336" s="694"/>
      <c r="I336" s="694"/>
      <c r="J336" s="694"/>
      <c r="K336" s="694"/>
      <c r="L336" s="694"/>
      <c r="M336" s="694"/>
      <c r="N336" s="694"/>
      <c r="O336" s="694"/>
      <c r="P336" s="694"/>
      <c r="Q336" s="694"/>
      <c r="R336" s="697"/>
      <c r="S336" s="697"/>
      <c r="T336" s="694"/>
      <c r="U336" s="694" t="s">
        <v>1631</v>
      </c>
      <c r="V336" s="694"/>
      <c r="W336" s="694"/>
      <c r="X336" s="694"/>
      <c r="Y336" s="694"/>
      <c r="Z336" s="694"/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4"/>
      <c r="BL336" s="694"/>
      <c r="BM336" s="694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  <c r="BX336" s="694"/>
      <c r="BY336" s="694"/>
      <c r="BZ336" s="694"/>
      <c r="CA336" s="694"/>
      <c r="CB336" s="694"/>
      <c r="CC336" s="694"/>
      <c r="CD336" s="694"/>
      <c r="CE336" s="694"/>
      <c r="CF336" s="694"/>
      <c r="CG336" s="694"/>
      <c r="CH336" s="694"/>
      <c r="CI336" s="694"/>
      <c r="CJ336" s="694"/>
      <c r="CK336" s="694"/>
      <c r="CL336" s="694"/>
      <c r="CM336" s="694"/>
      <c r="CN336" s="694"/>
      <c r="CO336" s="694"/>
      <c r="CP336" s="694"/>
      <c r="CQ336" s="694"/>
      <c r="CR336" s="694"/>
      <c r="CS336" s="694"/>
      <c r="CT336" s="694"/>
      <c r="CU336" s="694"/>
      <c r="CV336" s="695"/>
      <c r="CW336" s="695">
        <f t="shared" si="45"/>
        <v>41.3</v>
      </c>
      <c r="CX336" s="695"/>
      <c r="CY336" s="695"/>
      <c r="CZ336" s="695"/>
      <c r="DA336" s="695">
        <f t="shared" si="46"/>
        <v>82.6</v>
      </c>
      <c r="DB336" s="695"/>
      <c r="DC336" s="695"/>
      <c r="DD336" s="695"/>
      <c r="DE336" s="695"/>
      <c r="DF336" s="695"/>
      <c r="DG336" s="695"/>
      <c r="DH336" s="695"/>
      <c r="DI336" s="694"/>
      <c r="DJ336" s="694"/>
      <c r="DK336" s="694">
        <v>1</v>
      </c>
      <c r="DL336" s="694"/>
      <c r="DM336" s="694">
        <v>3</v>
      </c>
      <c r="DN336" s="694">
        <v>1</v>
      </c>
      <c r="DO336" s="694">
        <v>3</v>
      </c>
      <c r="DP336" s="694">
        <v>2</v>
      </c>
      <c r="DQ336" s="694"/>
      <c r="DR336" s="694"/>
      <c r="DS336" s="694"/>
      <c r="DT336" s="694"/>
      <c r="DU336" s="694"/>
      <c r="DV336" s="694"/>
      <c r="DW336" s="694"/>
      <c r="DX336" s="694"/>
      <c r="DY336" s="694"/>
      <c r="DZ336" s="694">
        <v>2</v>
      </c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7"/>
    </row>
    <row r="337" spans="1:163" s="696" customFormat="1">
      <c r="A337" s="690"/>
      <c r="B337" s="690"/>
      <c r="C337" s="708" t="s">
        <v>3635</v>
      </c>
      <c r="D337" s="708"/>
      <c r="E337" s="694">
        <v>36.1</v>
      </c>
      <c r="F337" s="694"/>
      <c r="G337" s="694"/>
      <c r="H337" s="694"/>
      <c r="I337" s="694"/>
      <c r="J337" s="694"/>
      <c r="K337" s="694"/>
      <c r="L337" s="694"/>
      <c r="M337" s="694"/>
      <c r="N337" s="694"/>
      <c r="O337" s="694"/>
      <c r="P337" s="694"/>
      <c r="Q337" s="694"/>
      <c r="R337" s="697"/>
      <c r="S337" s="697"/>
      <c r="T337" s="694"/>
      <c r="U337" s="694" t="s">
        <v>1903</v>
      </c>
      <c r="V337" s="694"/>
      <c r="W337" s="694"/>
      <c r="X337" s="694"/>
      <c r="Y337" s="694"/>
      <c r="Z337" s="694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4"/>
      <c r="BL337" s="694"/>
      <c r="BM337" s="694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  <c r="BX337" s="694"/>
      <c r="BY337" s="694"/>
      <c r="BZ337" s="694"/>
      <c r="CA337" s="694"/>
      <c r="CB337" s="694"/>
      <c r="CC337" s="694"/>
      <c r="CD337" s="694"/>
      <c r="CE337" s="694"/>
      <c r="CF337" s="694"/>
      <c r="CG337" s="694"/>
      <c r="CH337" s="694"/>
      <c r="CI337" s="694"/>
      <c r="CJ337" s="694"/>
      <c r="CK337" s="694"/>
      <c r="CL337" s="694"/>
      <c r="CM337" s="694"/>
      <c r="CN337" s="694"/>
      <c r="CO337" s="694"/>
      <c r="CP337" s="694"/>
      <c r="CQ337" s="694"/>
      <c r="CR337" s="694"/>
      <c r="CS337" s="694"/>
      <c r="CT337" s="694"/>
      <c r="CU337" s="694"/>
      <c r="CV337" s="695"/>
      <c r="CW337" s="695">
        <f t="shared" si="45"/>
        <v>36.1</v>
      </c>
      <c r="CX337" s="695"/>
      <c r="CY337" s="695"/>
      <c r="CZ337" s="695"/>
      <c r="DA337" s="695">
        <f t="shared" si="46"/>
        <v>72.2</v>
      </c>
      <c r="DB337" s="695"/>
      <c r="DC337" s="695"/>
      <c r="DD337" s="695"/>
      <c r="DE337" s="695"/>
      <c r="DF337" s="695"/>
      <c r="DG337" s="695"/>
      <c r="DH337" s="695"/>
      <c r="DI337" s="694"/>
      <c r="DJ337" s="694"/>
      <c r="DK337" s="694">
        <v>1</v>
      </c>
      <c r="DL337" s="694"/>
      <c r="DM337" s="694">
        <v>3</v>
      </c>
      <c r="DN337" s="694">
        <v>1</v>
      </c>
      <c r="DO337" s="694">
        <v>2</v>
      </c>
      <c r="DP337" s="694">
        <v>1</v>
      </c>
      <c r="DQ337" s="694"/>
      <c r="DR337" s="694"/>
      <c r="DS337" s="694"/>
      <c r="DT337" s="694"/>
      <c r="DU337" s="694"/>
      <c r="DV337" s="694"/>
      <c r="DW337" s="694"/>
      <c r="DX337" s="694"/>
      <c r="DY337" s="694"/>
      <c r="DZ337" s="694">
        <v>2</v>
      </c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7"/>
    </row>
    <row r="338" spans="1:163" s="696" customFormat="1">
      <c r="A338" s="690"/>
      <c r="B338" s="690"/>
      <c r="C338" s="708" t="s">
        <v>3636</v>
      </c>
      <c r="D338" s="708"/>
      <c r="E338" s="694">
        <v>43.2</v>
      </c>
      <c r="F338" s="694"/>
      <c r="G338" s="694"/>
      <c r="H338" s="694"/>
      <c r="I338" s="694"/>
      <c r="J338" s="694"/>
      <c r="K338" s="694"/>
      <c r="L338" s="694"/>
      <c r="M338" s="694"/>
      <c r="N338" s="694"/>
      <c r="O338" s="694"/>
      <c r="P338" s="694"/>
      <c r="Q338" s="694"/>
      <c r="R338" s="697"/>
      <c r="S338" s="697"/>
      <c r="T338" s="694"/>
      <c r="U338" s="694" t="s">
        <v>1631</v>
      </c>
      <c r="V338" s="694"/>
      <c r="W338" s="694"/>
      <c r="X338" s="694"/>
      <c r="Y338" s="694"/>
      <c r="Z338" s="694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4"/>
      <c r="BL338" s="694"/>
      <c r="BM338" s="694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  <c r="BX338" s="694"/>
      <c r="BY338" s="694"/>
      <c r="BZ338" s="694"/>
      <c r="CA338" s="694"/>
      <c r="CB338" s="694"/>
      <c r="CC338" s="694"/>
      <c r="CD338" s="694"/>
      <c r="CE338" s="694"/>
      <c r="CF338" s="694"/>
      <c r="CG338" s="694"/>
      <c r="CH338" s="694"/>
      <c r="CI338" s="694"/>
      <c r="CJ338" s="694"/>
      <c r="CK338" s="694"/>
      <c r="CL338" s="694"/>
      <c r="CM338" s="694"/>
      <c r="CN338" s="694"/>
      <c r="CO338" s="694"/>
      <c r="CP338" s="694"/>
      <c r="CQ338" s="694"/>
      <c r="CR338" s="694"/>
      <c r="CS338" s="694"/>
      <c r="CT338" s="694"/>
      <c r="CU338" s="694"/>
      <c r="CV338" s="695"/>
      <c r="CW338" s="695">
        <f t="shared" si="45"/>
        <v>43.2</v>
      </c>
      <c r="CX338" s="695"/>
      <c r="CY338" s="695"/>
      <c r="CZ338" s="695"/>
      <c r="DA338" s="695">
        <f t="shared" si="46"/>
        <v>86.4</v>
      </c>
      <c r="DB338" s="695"/>
      <c r="DC338" s="695"/>
      <c r="DD338" s="695"/>
      <c r="DE338" s="695"/>
      <c r="DF338" s="695"/>
      <c r="DG338" s="695"/>
      <c r="DH338" s="695"/>
      <c r="DI338" s="694"/>
      <c r="DJ338" s="694"/>
      <c r="DK338" s="694">
        <v>1</v>
      </c>
      <c r="DL338" s="694"/>
      <c r="DM338" s="694">
        <v>3</v>
      </c>
      <c r="DN338" s="694">
        <v>1</v>
      </c>
      <c r="DO338" s="694">
        <v>3</v>
      </c>
      <c r="DP338" s="694">
        <v>2</v>
      </c>
      <c r="DQ338" s="694"/>
      <c r="DR338" s="694"/>
      <c r="DS338" s="694"/>
      <c r="DT338" s="694"/>
      <c r="DU338" s="694"/>
      <c r="DV338" s="694"/>
      <c r="DW338" s="694"/>
      <c r="DX338" s="694"/>
      <c r="DY338" s="694"/>
      <c r="DZ338" s="694">
        <v>2</v>
      </c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>
        <v>1</v>
      </c>
      <c r="FB338" s="694"/>
      <c r="FC338" s="694"/>
      <c r="FD338" s="694"/>
      <c r="FE338" s="694"/>
      <c r="FF338" s="694"/>
      <c r="FG338" s="697"/>
    </row>
    <row r="339" spans="1:163" s="696" customFormat="1">
      <c r="A339" s="690"/>
      <c r="B339" s="690"/>
      <c r="C339" s="708" t="s">
        <v>3637</v>
      </c>
      <c r="D339" s="708"/>
      <c r="E339" s="694">
        <v>38.799999999999997</v>
      </c>
      <c r="F339" s="694"/>
      <c r="G339" s="694"/>
      <c r="H339" s="694"/>
      <c r="I339" s="694"/>
      <c r="J339" s="694"/>
      <c r="K339" s="694"/>
      <c r="L339" s="694"/>
      <c r="M339" s="694"/>
      <c r="N339" s="694"/>
      <c r="O339" s="694"/>
      <c r="P339" s="694"/>
      <c r="Q339" s="694"/>
      <c r="R339" s="697"/>
      <c r="S339" s="697"/>
      <c r="T339" s="694"/>
      <c r="U339" s="694" t="s">
        <v>1631</v>
      </c>
      <c r="V339" s="694"/>
      <c r="W339" s="694"/>
      <c r="X339" s="694"/>
      <c r="Y339" s="694"/>
      <c r="Z339" s="694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694"/>
      <c r="BL339" s="694"/>
      <c r="BM339" s="694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  <c r="BX339" s="694"/>
      <c r="BY339" s="694"/>
      <c r="BZ339" s="694"/>
      <c r="CA339" s="694"/>
      <c r="CB339" s="694"/>
      <c r="CC339" s="694"/>
      <c r="CD339" s="694"/>
      <c r="CE339" s="694"/>
      <c r="CF339" s="694"/>
      <c r="CG339" s="694"/>
      <c r="CH339" s="694"/>
      <c r="CI339" s="694"/>
      <c r="CJ339" s="694"/>
      <c r="CK339" s="694"/>
      <c r="CL339" s="694"/>
      <c r="CM339" s="694"/>
      <c r="CN339" s="694"/>
      <c r="CO339" s="694"/>
      <c r="CP339" s="694"/>
      <c r="CQ339" s="694"/>
      <c r="CR339" s="694"/>
      <c r="CS339" s="694"/>
      <c r="CT339" s="694"/>
      <c r="CU339" s="694"/>
      <c r="CV339" s="695"/>
      <c r="CW339" s="695">
        <f t="shared" si="45"/>
        <v>38.799999999999997</v>
      </c>
      <c r="CX339" s="695"/>
      <c r="CY339" s="695"/>
      <c r="CZ339" s="695"/>
      <c r="DA339" s="695">
        <f t="shared" si="46"/>
        <v>77.599999999999994</v>
      </c>
      <c r="DB339" s="695"/>
      <c r="DC339" s="695"/>
      <c r="DD339" s="695"/>
      <c r="DE339" s="695"/>
      <c r="DF339" s="695"/>
      <c r="DG339" s="695"/>
      <c r="DH339" s="695"/>
      <c r="DI339" s="694"/>
      <c r="DJ339" s="694"/>
      <c r="DK339" s="694">
        <v>1</v>
      </c>
      <c r="DL339" s="694"/>
      <c r="DM339" s="694">
        <v>3</v>
      </c>
      <c r="DN339" s="694">
        <v>1</v>
      </c>
      <c r="DO339" s="694">
        <v>3</v>
      </c>
      <c r="DP339" s="694">
        <v>2</v>
      </c>
      <c r="DQ339" s="694"/>
      <c r="DR339" s="694"/>
      <c r="DS339" s="694"/>
      <c r="DT339" s="694"/>
      <c r="DU339" s="694"/>
      <c r="DV339" s="694"/>
      <c r="DW339" s="694"/>
      <c r="DX339" s="694"/>
      <c r="DY339" s="694"/>
      <c r="DZ339" s="694">
        <v>2</v>
      </c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7"/>
    </row>
    <row r="340" spans="1:163" s="696" customFormat="1">
      <c r="A340" s="690"/>
      <c r="B340" s="690"/>
      <c r="C340" s="708" t="s">
        <v>3638</v>
      </c>
      <c r="D340" s="708"/>
      <c r="E340" s="694">
        <v>32.6</v>
      </c>
      <c r="F340" s="694"/>
      <c r="G340" s="694"/>
      <c r="H340" s="694"/>
      <c r="I340" s="694"/>
      <c r="J340" s="694"/>
      <c r="K340" s="694"/>
      <c r="L340" s="694"/>
      <c r="M340" s="694"/>
      <c r="N340" s="694"/>
      <c r="O340" s="694"/>
      <c r="P340" s="694"/>
      <c r="Q340" s="694"/>
      <c r="R340" s="697"/>
      <c r="S340" s="697"/>
      <c r="T340" s="694"/>
      <c r="U340" s="694" t="s">
        <v>1903</v>
      </c>
      <c r="V340" s="694"/>
      <c r="W340" s="694"/>
      <c r="X340" s="694"/>
      <c r="Y340" s="694"/>
      <c r="Z340" s="694"/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4"/>
      <c r="BL340" s="694"/>
      <c r="BM340" s="694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  <c r="BX340" s="694"/>
      <c r="BY340" s="694"/>
      <c r="BZ340" s="694"/>
      <c r="CA340" s="694"/>
      <c r="CB340" s="694"/>
      <c r="CC340" s="694"/>
      <c r="CD340" s="694"/>
      <c r="CE340" s="694"/>
      <c r="CF340" s="694"/>
      <c r="CG340" s="694"/>
      <c r="CH340" s="694"/>
      <c r="CI340" s="694"/>
      <c r="CJ340" s="694"/>
      <c r="CK340" s="694"/>
      <c r="CL340" s="694"/>
      <c r="CM340" s="694"/>
      <c r="CN340" s="694"/>
      <c r="CO340" s="694"/>
      <c r="CP340" s="694"/>
      <c r="CQ340" s="694">
        <v>2</v>
      </c>
      <c r="CR340" s="694"/>
      <c r="CS340" s="694"/>
      <c r="CT340" s="694"/>
      <c r="CU340" s="694">
        <v>2</v>
      </c>
      <c r="CV340" s="695"/>
      <c r="CW340" s="695">
        <f t="shared" si="45"/>
        <v>32.6</v>
      </c>
      <c r="CX340" s="695"/>
      <c r="CY340" s="695"/>
      <c r="CZ340" s="695"/>
      <c r="DA340" s="695">
        <f t="shared" si="46"/>
        <v>65.2</v>
      </c>
      <c r="DB340" s="695"/>
      <c r="DC340" s="695"/>
      <c r="DD340" s="695"/>
      <c r="DE340" s="695"/>
      <c r="DF340" s="695"/>
      <c r="DG340" s="695"/>
      <c r="DH340" s="695"/>
      <c r="DI340" s="694"/>
      <c r="DJ340" s="694"/>
      <c r="DK340" s="694">
        <v>1</v>
      </c>
      <c r="DL340" s="694"/>
      <c r="DM340" s="694">
        <v>3</v>
      </c>
      <c r="DN340" s="694">
        <v>1</v>
      </c>
      <c r="DO340" s="694">
        <v>3</v>
      </c>
      <c r="DP340" s="694">
        <v>2</v>
      </c>
      <c r="DQ340" s="694"/>
      <c r="DR340" s="694"/>
      <c r="DS340" s="694"/>
      <c r="DT340" s="694"/>
      <c r="DU340" s="694"/>
      <c r="DV340" s="694"/>
      <c r="DW340" s="694"/>
      <c r="DX340" s="694"/>
      <c r="DY340" s="694"/>
      <c r="DZ340" s="694">
        <v>2</v>
      </c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7"/>
    </row>
    <row r="341" spans="1:163" s="696" customFormat="1">
      <c r="A341" s="690"/>
      <c r="B341" s="690"/>
      <c r="C341" s="708" t="s">
        <v>3639</v>
      </c>
      <c r="D341" s="708"/>
      <c r="E341" s="694">
        <v>36</v>
      </c>
      <c r="F341" s="694"/>
      <c r="G341" s="694"/>
      <c r="H341" s="694"/>
      <c r="I341" s="694"/>
      <c r="J341" s="694"/>
      <c r="K341" s="694"/>
      <c r="L341" s="694"/>
      <c r="M341" s="694"/>
      <c r="N341" s="694"/>
      <c r="O341" s="694"/>
      <c r="P341" s="694"/>
      <c r="Q341" s="694"/>
      <c r="R341" s="697"/>
      <c r="S341" s="697"/>
      <c r="T341" s="694"/>
      <c r="U341" s="694" t="s">
        <v>1631</v>
      </c>
      <c r="V341" s="694"/>
      <c r="W341" s="694"/>
      <c r="X341" s="694"/>
      <c r="Y341" s="694"/>
      <c r="Z341" s="694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4"/>
      <c r="BL341" s="694"/>
      <c r="BM341" s="694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  <c r="BX341" s="694"/>
      <c r="BY341" s="694"/>
      <c r="BZ341" s="694"/>
      <c r="CA341" s="694"/>
      <c r="CB341" s="694"/>
      <c r="CC341" s="694"/>
      <c r="CD341" s="694"/>
      <c r="CE341" s="694"/>
      <c r="CF341" s="694"/>
      <c r="CG341" s="694"/>
      <c r="CH341" s="694"/>
      <c r="CI341" s="694"/>
      <c r="CJ341" s="694"/>
      <c r="CK341" s="694"/>
      <c r="CL341" s="694"/>
      <c r="CM341" s="694"/>
      <c r="CN341" s="694"/>
      <c r="CO341" s="694"/>
      <c r="CP341" s="694"/>
      <c r="CQ341" s="694"/>
      <c r="CR341" s="694"/>
      <c r="CS341" s="694"/>
      <c r="CT341" s="694"/>
      <c r="CU341" s="694"/>
      <c r="CV341" s="695"/>
      <c r="CW341" s="695">
        <f t="shared" si="45"/>
        <v>36</v>
      </c>
      <c r="CX341" s="695"/>
      <c r="CY341" s="695"/>
      <c r="CZ341" s="695"/>
      <c r="DA341" s="695">
        <f t="shared" si="46"/>
        <v>72</v>
      </c>
      <c r="DB341" s="695"/>
      <c r="DC341" s="695"/>
      <c r="DD341" s="695"/>
      <c r="DE341" s="695"/>
      <c r="DF341" s="695"/>
      <c r="DG341" s="695"/>
      <c r="DH341" s="695"/>
      <c r="DI341" s="694"/>
      <c r="DJ341" s="694"/>
      <c r="DK341" s="694">
        <v>1</v>
      </c>
      <c r="DL341" s="694"/>
      <c r="DM341" s="694">
        <v>3</v>
      </c>
      <c r="DN341" s="694">
        <v>1</v>
      </c>
      <c r="DO341" s="694">
        <v>2</v>
      </c>
      <c r="DP341" s="694">
        <v>1</v>
      </c>
      <c r="DQ341" s="694"/>
      <c r="DR341" s="694"/>
      <c r="DS341" s="694"/>
      <c r="DT341" s="694"/>
      <c r="DU341" s="694"/>
      <c r="DV341" s="694"/>
      <c r="DW341" s="694"/>
      <c r="DX341" s="694"/>
      <c r="DY341" s="694"/>
      <c r="DZ341" s="694">
        <v>2</v>
      </c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7"/>
    </row>
    <row r="342" spans="1:163" s="696" customFormat="1">
      <c r="A342" s="690"/>
      <c r="B342" s="690"/>
      <c r="C342" s="708" t="s">
        <v>3640</v>
      </c>
      <c r="D342" s="691"/>
      <c r="E342" s="692">
        <v>30.5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/>
      <c r="P342" s="692"/>
      <c r="Q342" s="692"/>
      <c r="R342" s="693"/>
      <c r="S342" s="693"/>
      <c r="T342" s="692"/>
      <c r="U342" s="692" t="s">
        <v>2989</v>
      </c>
      <c r="V342" s="694"/>
      <c r="W342" s="694"/>
      <c r="X342" s="694"/>
      <c r="Y342" s="694"/>
      <c r="Z342" s="694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4"/>
      <c r="BL342" s="694"/>
      <c r="BM342" s="694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  <c r="BX342" s="694"/>
      <c r="BY342" s="694"/>
      <c r="BZ342" s="694"/>
      <c r="CA342" s="694"/>
      <c r="CB342" s="694"/>
      <c r="CC342" s="694"/>
      <c r="CD342" s="694"/>
      <c r="CE342" s="694"/>
      <c r="CF342" s="694"/>
      <c r="CG342" s="694"/>
      <c r="CH342" s="694"/>
      <c r="CI342" s="694"/>
      <c r="CJ342" s="694"/>
      <c r="CK342" s="694"/>
      <c r="CL342" s="694"/>
      <c r="CM342" s="694"/>
      <c r="CN342" s="694"/>
      <c r="CO342" s="694"/>
      <c r="CP342" s="694"/>
      <c r="CQ342" s="694">
        <v>1</v>
      </c>
      <c r="CR342" s="694"/>
      <c r="CS342" s="694"/>
      <c r="CT342" s="694"/>
      <c r="CU342" s="694">
        <v>1</v>
      </c>
      <c r="CV342" s="695"/>
      <c r="CW342" s="695">
        <f t="shared" si="45"/>
        <v>30.5</v>
      </c>
      <c r="CX342" s="695"/>
      <c r="CY342" s="695"/>
      <c r="CZ342" s="695"/>
      <c r="DA342" s="695">
        <f t="shared" si="46"/>
        <v>61</v>
      </c>
      <c r="DB342" s="695"/>
      <c r="DC342" s="695"/>
      <c r="DD342" s="695"/>
      <c r="DE342" s="695"/>
      <c r="DF342" s="695"/>
      <c r="DG342" s="695"/>
      <c r="DH342" s="695"/>
      <c r="DI342" s="694"/>
      <c r="DJ342" s="694"/>
      <c r="DK342" s="694">
        <v>2</v>
      </c>
      <c r="DL342" s="694"/>
      <c r="DM342" s="694">
        <v>6</v>
      </c>
      <c r="DN342" s="694"/>
      <c r="DO342" s="694"/>
      <c r="DP342" s="694"/>
      <c r="DQ342" s="694"/>
      <c r="DR342" s="694"/>
      <c r="DS342" s="694"/>
      <c r="DT342" s="694"/>
      <c r="DU342" s="694">
        <v>12</v>
      </c>
      <c r="DV342" s="694">
        <v>1</v>
      </c>
      <c r="DW342" s="694"/>
      <c r="DX342" s="694"/>
      <c r="DY342" s="694"/>
      <c r="DZ342" s="694"/>
      <c r="EA342" s="694">
        <v>2</v>
      </c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7"/>
    </row>
    <row r="343" spans="1:163" s="696" customFormat="1">
      <c r="A343" s="690"/>
      <c r="B343" s="690"/>
      <c r="C343" s="708" t="s">
        <v>3641</v>
      </c>
      <c r="D343" s="691"/>
      <c r="E343" s="692">
        <v>24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/>
      <c r="P343" s="692"/>
      <c r="Q343" s="692"/>
      <c r="R343" s="693"/>
      <c r="S343" s="693"/>
      <c r="T343" s="692"/>
      <c r="U343" s="692" t="s">
        <v>2989</v>
      </c>
      <c r="V343" s="694"/>
      <c r="W343" s="694"/>
      <c r="X343" s="694"/>
      <c r="Y343" s="694"/>
      <c r="Z343" s="694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694"/>
      <c r="BL343" s="694"/>
      <c r="BM343" s="694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  <c r="BX343" s="694"/>
      <c r="BY343" s="694"/>
      <c r="BZ343" s="694"/>
      <c r="CA343" s="694"/>
      <c r="CB343" s="694"/>
      <c r="CC343" s="694"/>
      <c r="CD343" s="694"/>
      <c r="CE343" s="694"/>
      <c r="CF343" s="694"/>
      <c r="CG343" s="694"/>
      <c r="CH343" s="694"/>
      <c r="CI343" s="694"/>
      <c r="CJ343" s="694"/>
      <c r="CK343" s="694"/>
      <c r="CL343" s="694"/>
      <c r="CM343" s="694"/>
      <c r="CN343" s="694"/>
      <c r="CO343" s="694"/>
      <c r="CP343" s="694"/>
      <c r="CQ343" s="694">
        <v>1</v>
      </c>
      <c r="CR343" s="694"/>
      <c r="CS343" s="694"/>
      <c r="CT343" s="694"/>
      <c r="CU343" s="694">
        <v>1</v>
      </c>
      <c r="CV343" s="695"/>
      <c r="CW343" s="695">
        <f t="shared" si="45"/>
        <v>24</v>
      </c>
      <c r="CX343" s="695"/>
      <c r="CY343" s="695"/>
      <c r="CZ343" s="695"/>
      <c r="DA343" s="695">
        <f t="shared" si="46"/>
        <v>48</v>
      </c>
      <c r="DB343" s="695"/>
      <c r="DC343" s="695"/>
      <c r="DD343" s="695"/>
      <c r="DE343" s="695"/>
      <c r="DF343" s="695"/>
      <c r="DG343" s="695"/>
      <c r="DH343" s="695"/>
      <c r="DI343" s="694"/>
      <c r="DJ343" s="694"/>
      <c r="DK343" s="694">
        <v>2</v>
      </c>
      <c r="DL343" s="694"/>
      <c r="DM343" s="694">
        <v>6</v>
      </c>
      <c r="DN343" s="694">
        <v>1</v>
      </c>
      <c r="DO343" s="694">
        <v>3</v>
      </c>
      <c r="DP343" s="694">
        <v>2</v>
      </c>
      <c r="DQ343" s="694"/>
      <c r="DR343" s="694"/>
      <c r="DS343" s="694"/>
      <c r="DT343" s="694"/>
      <c r="DU343" s="694">
        <v>12</v>
      </c>
      <c r="DV343" s="694">
        <v>1</v>
      </c>
      <c r="DW343" s="694"/>
      <c r="DX343" s="694"/>
      <c r="DY343" s="694"/>
      <c r="DZ343" s="694"/>
      <c r="EA343" s="694">
        <v>2</v>
      </c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7"/>
    </row>
    <row r="344" spans="1:163" s="696" customFormat="1">
      <c r="A344" s="690"/>
      <c r="B344" s="690"/>
      <c r="C344" s="708" t="s">
        <v>3647</v>
      </c>
      <c r="D344" s="691"/>
      <c r="E344" s="692">
        <v>27.5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/>
      <c r="P344" s="692"/>
      <c r="Q344" s="692"/>
      <c r="R344" s="693"/>
      <c r="S344" s="693"/>
      <c r="T344" s="692"/>
      <c r="U344" s="692" t="s">
        <v>1631</v>
      </c>
      <c r="V344" s="694"/>
      <c r="W344" s="694"/>
      <c r="X344" s="694"/>
      <c r="Y344" s="694"/>
      <c r="Z344" s="694"/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4"/>
      <c r="BL344" s="694"/>
      <c r="BM344" s="694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  <c r="BX344" s="694"/>
      <c r="BY344" s="694"/>
      <c r="BZ344" s="694"/>
      <c r="CA344" s="694"/>
      <c r="CB344" s="694"/>
      <c r="CC344" s="694"/>
      <c r="CD344" s="694"/>
      <c r="CE344" s="694"/>
      <c r="CF344" s="694"/>
      <c r="CG344" s="694"/>
      <c r="CH344" s="694"/>
      <c r="CI344" s="694"/>
      <c r="CJ344" s="694"/>
      <c r="CK344" s="694"/>
      <c r="CL344" s="694"/>
      <c r="CM344" s="694"/>
      <c r="CN344" s="694"/>
      <c r="CO344" s="694"/>
      <c r="CP344" s="694"/>
      <c r="CQ344" s="694"/>
      <c r="CR344" s="694"/>
      <c r="CS344" s="694"/>
      <c r="CT344" s="694"/>
      <c r="CU344" s="694"/>
      <c r="CV344" s="695"/>
      <c r="CW344" s="695">
        <f t="shared" si="45"/>
        <v>27.5</v>
      </c>
      <c r="CX344" s="695"/>
      <c r="CY344" s="695"/>
      <c r="CZ344" s="695"/>
      <c r="DA344" s="695">
        <f t="shared" si="46"/>
        <v>55</v>
      </c>
      <c r="DB344" s="695"/>
      <c r="DC344" s="695"/>
      <c r="DD344" s="695"/>
      <c r="DE344" s="695"/>
      <c r="DF344" s="695"/>
      <c r="DG344" s="695"/>
      <c r="DH344" s="695"/>
      <c r="DI344" s="694"/>
      <c r="DJ344" s="694"/>
      <c r="DK344" s="694">
        <v>1</v>
      </c>
      <c r="DL344" s="694"/>
      <c r="DM344" s="694">
        <v>3</v>
      </c>
      <c r="DN344" s="694">
        <v>1</v>
      </c>
      <c r="DO344" s="694">
        <v>3</v>
      </c>
      <c r="DP344" s="694">
        <v>2</v>
      </c>
      <c r="DQ344" s="694"/>
      <c r="DR344" s="694"/>
      <c r="DS344" s="694"/>
      <c r="DT344" s="694"/>
      <c r="DU344" s="694"/>
      <c r="DV344" s="694"/>
      <c r="DW344" s="694"/>
      <c r="DX344" s="694"/>
      <c r="DY344" s="694"/>
      <c r="DZ344" s="694">
        <v>2</v>
      </c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7"/>
    </row>
    <row r="345" spans="1:163" s="696" customFormat="1">
      <c r="A345" s="690"/>
      <c r="B345" s="690"/>
      <c r="C345" s="708" t="s">
        <v>3648</v>
      </c>
      <c r="D345" s="691"/>
      <c r="E345" s="692">
        <v>38.299999999999997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692"/>
      <c r="R345" s="693"/>
      <c r="S345" s="693"/>
      <c r="T345" s="692"/>
      <c r="U345" s="692" t="s">
        <v>1631</v>
      </c>
      <c r="V345" s="694"/>
      <c r="W345" s="694"/>
      <c r="X345" s="694"/>
      <c r="Y345" s="694"/>
      <c r="Z345" s="694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4"/>
      <c r="BL345" s="694"/>
      <c r="BM345" s="694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  <c r="BX345" s="694"/>
      <c r="BY345" s="694"/>
      <c r="BZ345" s="694"/>
      <c r="CA345" s="694"/>
      <c r="CB345" s="694"/>
      <c r="CC345" s="694"/>
      <c r="CD345" s="694"/>
      <c r="CE345" s="694"/>
      <c r="CF345" s="694"/>
      <c r="CG345" s="694"/>
      <c r="CH345" s="694"/>
      <c r="CI345" s="694"/>
      <c r="CJ345" s="694"/>
      <c r="CK345" s="694"/>
      <c r="CL345" s="694"/>
      <c r="CM345" s="694"/>
      <c r="CN345" s="694"/>
      <c r="CO345" s="694"/>
      <c r="CP345" s="694"/>
      <c r="CQ345" s="694"/>
      <c r="CR345" s="694"/>
      <c r="CS345" s="694"/>
      <c r="CT345" s="694"/>
      <c r="CU345" s="694"/>
      <c r="CV345" s="695"/>
      <c r="CW345" s="695">
        <f t="shared" si="45"/>
        <v>38.299999999999997</v>
      </c>
      <c r="CX345" s="695"/>
      <c r="CY345" s="695"/>
      <c r="CZ345" s="695"/>
      <c r="DA345" s="695">
        <f t="shared" si="46"/>
        <v>76.599999999999994</v>
      </c>
      <c r="DB345" s="695"/>
      <c r="DC345" s="695"/>
      <c r="DD345" s="695"/>
      <c r="DE345" s="695"/>
      <c r="DF345" s="695"/>
      <c r="DG345" s="695"/>
      <c r="DH345" s="695"/>
      <c r="DI345" s="694"/>
      <c r="DJ345" s="694"/>
      <c r="DK345" s="694">
        <v>1</v>
      </c>
      <c r="DL345" s="694"/>
      <c r="DM345" s="694">
        <v>3</v>
      </c>
      <c r="DN345" s="694"/>
      <c r="DO345" s="694"/>
      <c r="DP345" s="694"/>
      <c r="DQ345" s="694"/>
      <c r="DR345" s="694"/>
      <c r="DS345" s="694"/>
      <c r="DT345" s="694"/>
      <c r="DU345" s="694"/>
      <c r="DV345" s="694"/>
      <c r="DW345" s="694"/>
      <c r="DX345" s="694"/>
      <c r="DY345" s="694"/>
      <c r="DZ345" s="694">
        <v>2</v>
      </c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7"/>
    </row>
    <row r="346" spans="1:163" s="696" customFormat="1">
      <c r="A346" s="690"/>
      <c r="B346" s="690"/>
      <c r="C346" s="708" t="s">
        <v>3649</v>
      </c>
      <c r="D346" s="691"/>
      <c r="E346" s="692">
        <v>40.4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/>
      <c r="P346" s="692"/>
      <c r="Q346" s="692"/>
      <c r="R346" s="693"/>
      <c r="S346" s="693"/>
      <c r="T346" s="692"/>
      <c r="U346" s="692" t="s">
        <v>2990</v>
      </c>
      <c r="V346" s="694"/>
      <c r="W346" s="694"/>
      <c r="X346" s="694"/>
      <c r="Y346" s="694"/>
      <c r="Z346" s="694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4"/>
      <c r="BL346" s="694"/>
      <c r="BM346" s="694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  <c r="BX346" s="694"/>
      <c r="BY346" s="694"/>
      <c r="BZ346" s="694"/>
      <c r="CA346" s="694"/>
      <c r="CB346" s="694"/>
      <c r="CC346" s="694"/>
      <c r="CD346" s="694"/>
      <c r="CE346" s="694"/>
      <c r="CF346" s="694"/>
      <c r="CG346" s="694"/>
      <c r="CH346" s="694"/>
      <c r="CI346" s="694"/>
      <c r="CJ346" s="694"/>
      <c r="CK346" s="694"/>
      <c r="CL346" s="694"/>
      <c r="CM346" s="694"/>
      <c r="CN346" s="694"/>
      <c r="CO346" s="694"/>
      <c r="CP346" s="694"/>
      <c r="CQ346" s="694">
        <v>1</v>
      </c>
      <c r="CR346" s="694"/>
      <c r="CS346" s="694"/>
      <c r="CT346" s="694"/>
      <c r="CU346" s="694">
        <v>1</v>
      </c>
      <c r="CV346" s="695"/>
      <c r="CW346" s="695">
        <f t="shared" si="45"/>
        <v>40.4</v>
      </c>
      <c r="CX346" s="695"/>
      <c r="CY346" s="695"/>
      <c r="CZ346" s="695"/>
      <c r="DA346" s="695">
        <f t="shared" si="46"/>
        <v>80.8</v>
      </c>
      <c r="DB346" s="695"/>
      <c r="DC346" s="695"/>
      <c r="DD346" s="695"/>
      <c r="DE346" s="695"/>
      <c r="DF346" s="695"/>
      <c r="DG346" s="695"/>
      <c r="DH346" s="695"/>
      <c r="DI346" s="694"/>
      <c r="DJ346" s="694"/>
      <c r="DK346" s="694">
        <v>1</v>
      </c>
      <c r="DL346" s="694"/>
      <c r="DM346" s="694">
        <v>3</v>
      </c>
      <c r="DN346" s="694">
        <v>1</v>
      </c>
      <c r="DO346" s="694">
        <v>3</v>
      </c>
      <c r="DP346" s="694">
        <v>2</v>
      </c>
      <c r="DQ346" s="694"/>
      <c r="DR346" s="694"/>
      <c r="DS346" s="694"/>
      <c r="DT346" s="694"/>
      <c r="DU346" s="694">
        <v>6</v>
      </c>
      <c r="DV346" s="694">
        <v>1</v>
      </c>
      <c r="DW346" s="694"/>
      <c r="DX346" s="694"/>
      <c r="DY346" s="694"/>
      <c r="DZ346" s="694">
        <v>2</v>
      </c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7"/>
    </row>
    <row r="347" spans="1:163" s="696" customFormat="1">
      <c r="A347" s="690"/>
      <c r="B347" s="690"/>
      <c r="C347" s="708"/>
      <c r="D347" s="691"/>
      <c r="E347" s="692"/>
      <c r="F347" s="692"/>
      <c r="G347" s="692"/>
      <c r="H347" s="692"/>
      <c r="I347" s="692"/>
      <c r="J347" s="692"/>
      <c r="K347" s="692"/>
      <c r="L347" s="692"/>
      <c r="M347" s="692"/>
      <c r="N347" s="692"/>
      <c r="O347" s="692"/>
      <c r="P347" s="692"/>
      <c r="Q347" s="692"/>
      <c r="R347" s="693"/>
      <c r="S347" s="693"/>
      <c r="T347" s="692"/>
      <c r="U347" s="692"/>
      <c r="V347" s="694"/>
      <c r="W347" s="694"/>
      <c r="X347" s="694"/>
      <c r="Y347" s="694"/>
      <c r="Z347" s="694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694"/>
      <c r="BL347" s="694"/>
      <c r="BM347" s="694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  <c r="BX347" s="694"/>
      <c r="BY347" s="694"/>
      <c r="BZ347" s="694"/>
      <c r="CA347" s="694"/>
      <c r="CB347" s="694"/>
      <c r="CC347" s="694"/>
      <c r="CD347" s="694"/>
      <c r="CE347" s="694"/>
      <c r="CF347" s="694"/>
      <c r="CG347" s="694"/>
      <c r="CH347" s="694"/>
      <c r="CI347" s="694"/>
      <c r="CJ347" s="694"/>
      <c r="CK347" s="694"/>
      <c r="CL347" s="694"/>
      <c r="CM347" s="694"/>
      <c r="CN347" s="694"/>
      <c r="CO347" s="694"/>
      <c r="CP347" s="694"/>
      <c r="CQ347" s="694"/>
      <c r="CR347" s="694"/>
      <c r="CS347" s="694"/>
      <c r="CT347" s="694"/>
      <c r="CU347" s="694"/>
      <c r="CV347" s="695"/>
      <c r="CW347" s="695"/>
      <c r="CX347" s="695"/>
      <c r="CY347" s="695"/>
      <c r="CZ347" s="695"/>
      <c r="DA347" s="695"/>
      <c r="DB347" s="695"/>
      <c r="DC347" s="695"/>
      <c r="DD347" s="695"/>
      <c r="DE347" s="695"/>
      <c r="DF347" s="695"/>
      <c r="DG347" s="695"/>
      <c r="DH347" s="695"/>
      <c r="DI347" s="694"/>
      <c r="DJ347" s="694"/>
      <c r="DK347" s="694"/>
      <c r="DL347" s="694"/>
      <c r="DM347" s="694"/>
      <c r="DN347" s="694"/>
      <c r="DO347" s="694"/>
      <c r="DP347" s="694"/>
      <c r="DQ347" s="694"/>
      <c r="DR347" s="694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7"/>
    </row>
    <row r="348" spans="1:163" s="696" customFormat="1">
      <c r="A348" s="690"/>
      <c r="B348" s="690"/>
      <c r="C348" s="708"/>
      <c r="D348" s="699" t="s">
        <v>3758</v>
      </c>
      <c r="E348" s="692"/>
      <c r="F348" s="692"/>
      <c r="G348" s="692"/>
      <c r="H348" s="692"/>
      <c r="I348" s="692"/>
      <c r="J348" s="692"/>
      <c r="K348" s="692"/>
      <c r="L348" s="692"/>
      <c r="M348" s="692"/>
      <c r="N348" s="692"/>
      <c r="O348" s="692"/>
      <c r="P348" s="692"/>
      <c r="Q348" s="692"/>
      <c r="R348" s="693"/>
      <c r="S348" s="693"/>
      <c r="T348" s="692"/>
      <c r="U348" s="692" t="s">
        <v>3005</v>
      </c>
      <c r="V348" s="694"/>
      <c r="W348" s="694"/>
      <c r="X348" s="694"/>
      <c r="Y348" s="694"/>
      <c r="Z348" s="694"/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4"/>
      <c r="BL348" s="694"/>
      <c r="BM348" s="694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  <c r="BX348" s="694"/>
      <c r="BY348" s="694"/>
      <c r="BZ348" s="694"/>
      <c r="CA348" s="694"/>
      <c r="CB348" s="694"/>
      <c r="CC348" s="694"/>
      <c r="CD348" s="694"/>
      <c r="CE348" s="694"/>
      <c r="CF348" s="694"/>
      <c r="CG348" s="694"/>
      <c r="CH348" s="694"/>
      <c r="CI348" s="694"/>
      <c r="CJ348" s="694"/>
      <c r="CK348" s="694"/>
      <c r="CL348" s="694"/>
      <c r="CM348" s="694"/>
      <c r="CN348" s="694"/>
      <c r="CO348" s="694"/>
      <c r="CP348" s="694"/>
      <c r="CQ348" s="694"/>
      <c r="CR348" s="694"/>
      <c r="CS348" s="694"/>
      <c r="CT348" s="694"/>
      <c r="CU348" s="694"/>
      <c r="CV348" s="695"/>
      <c r="CW348" s="695"/>
      <c r="CX348" s="695"/>
      <c r="CY348" s="695"/>
      <c r="CZ348" s="695"/>
      <c r="DA348" s="695"/>
      <c r="DB348" s="695"/>
      <c r="DC348" s="695"/>
      <c r="DD348" s="695"/>
      <c r="DE348" s="695"/>
      <c r="DF348" s="695"/>
      <c r="DG348" s="695"/>
      <c r="DH348" s="695"/>
      <c r="DI348" s="694"/>
      <c r="DJ348" s="694"/>
      <c r="DK348" s="694"/>
      <c r="DL348" s="694"/>
      <c r="DM348" s="694"/>
      <c r="DN348" s="694"/>
      <c r="DO348" s="694"/>
      <c r="DP348" s="694">
        <v>6</v>
      </c>
      <c r="DQ348" s="694"/>
      <c r="DR348" s="694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7"/>
    </row>
    <row r="349" spans="1:163" s="696" customFormat="1">
      <c r="A349" s="690"/>
      <c r="B349" s="690"/>
      <c r="C349" s="708" t="s">
        <v>3632</v>
      </c>
      <c r="D349" s="691"/>
      <c r="E349" s="692">
        <v>26.8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/>
      <c r="P349" s="692"/>
      <c r="Q349" s="692"/>
      <c r="R349" s="693"/>
      <c r="S349" s="693"/>
      <c r="T349" s="692"/>
      <c r="U349" s="692" t="s">
        <v>2989</v>
      </c>
      <c r="V349" s="694"/>
      <c r="W349" s="694"/>
      <c r="X349" s="694"/>
      <c r="Y349" s="694"/>
      <c r="Z349" s="694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4"/>
      <c r="BL349" s="694"/>
      <c r="BM349" s="694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  <c r="BX349" s="694"/>
      <c r="BY349" s="694"/>
      <c r="BZ349" s="694"/>
      <c r="CA349" s="694"/>
      <c r="CB349" s="694"/>
      <c r="CC349" s="694"/>
      <c r="CD349" s="694"/>
      <c r="CE349" s="694"/>
      <c r="CF349" s="694"/>
      <c r="CG349" s="694"/>
      <c r="CH349" s="694"/>
      <c r="CI349" s="694"/>
      <c r="CJ349" s="694"/>
      <c r="CK349" s="694"/>
      <c r="CL349" s="694"/>
      <c r="CM349" s="694"/>
      <c r="CN349" s="694"/>
      <c r="CO349" s="694"/>
      <c r="CP349" s="694"/>
      <c r="CQ349" s="694"/>
      <c r="CR349" s="694"/>
      <c r="CS349" s="694"/>
      <c r="CT349" s="694"/>
      <c r="CU349" s="694"/>
      <c r="CV349" s="695"/>
      <c r="CW349" s="695"/>
      <c r="CX349" s="695"/>
      <c r="CY349" s="695"/>
      <c r="CZ349" s="695"/>
      <c r="DA349" s="695"/>
      <c r="DB349" s="695"/>
      <c r="DC349" s="695"/>
      <c r="DD349" s="695"/>
      <c r="DE349" s="695"/>
      <c r="DF349" s="695"/>
      <c r="DG349" s="695"/>
      <c r="DH349" s="695"/>
      <c r="DI349" s="694"/>
      <c r="DJ349" s="694"/>
      <c r="DK349" s="694"/>
      <c r="DL349" s="694"/>
      <c r="DM349" s="694"/>
      <c r="DN349" s="694"/>
      <c r="DO349" s="694"/>
      <c r="DP349" s="694"/>
      <c r="DQ349" s="694"/>
      <c r="DR349" s="694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7"/>
    </row>
    <row r="350" spans="1:163" s="696" customFormat="1">
      <c r="A350" s="690"/>
      <c r="B350" s="690"/>
      <c r="C350" s="708" t="s">
        <v>3633</v>
      </c>
      <c r="D350" s="691"/>
      <c r="E350" s="692">
        <v>23.5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/>
      <c r="P350" s="692"/>
      <c r="Q350" s="692"/>
      <c r="R350" s="693"/>
      <c r="S350" s="693"/>
      <c r="T350" s="692"/>
      <c r="U350" s="692" t="s">
        <v>1631</v>
      </c>
      <c r="V350" s="694"/>
      <c r="W350" s="694"/>
      <c r="X350" s="694"/>
      <c r="Y350" s="694"/>
      <c r="Z350" s="694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4"/>
      <c r="BL350" s="694"/>
      <c r="BM350" s="694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  <c r="BX350" s="694"/>
      <c r="BY350" s="694"/>
      <c r="BZ350" s="694"/>
      <c r="CA350" s="694"/>
      <c r="CB350" s="694"/>
      <c r="CC350" s="694"/>
      <c r="CD350" s="694"/>
      <c r="CE350" s="694"/>
      <c r="CF350" s="694"/>
      <c r="CG350" s="694"/>
      <c r="CH350" s="694"/>
      <c r="CI350" s="694"/>
      <c r="CJ350" s="694"/>
      <c r="CK350" s="694"/>
      <c r="CL350" s="694"/>
      <c r="CM350" s="694"/>
      <c r="CN350" s="694"/>
      <c r="CO350" s="694"/>
      <c r="CP350" s="694"/>
      <c r="CQ350" s="694"/>
      <c r="CR350" s="694"/>
      <c r="CS350" s="694"/>
      <c r="CT350" s="694"/>
      <c r="CU350" s="694"/>
      <c r="CV350" s="695"/>
      <c r="CW350" s="695"/>
      <c r="CX350" s="695"/>
      <c r="CY350" s="695"/>
      <c r="CZ350" s="695"/>
      <c r="DA350" s="695"/>
      <c r="DB350" s="695"/>
      <c r="DC350" s="695"/>
      <c r="DD350" s="695"/>
      <c r="DE350" s="695"/>
      <c r="DF350" s="695"/>
      <c r="DG350" s="695"/>
      <c r="DH350" s="695"/>
      <c r="DI350" s="694"/>
      <c r="DJ350" s="694"/>
      <c r="DK350" s="694"/>
      <c r="DL350" s="694"/>
      <c r="DM350" s="694"/>
      <c r="DN350" s="694"/>
      <c r="DO350" s="694"/>
      <c r="DP350" s="694"/>
      <c r="DQ350" s="694"/>
      <c r="DR350" s="694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7"/>
    </row>
    <row r="351" spans="1:163" s="696" customFormat="1">
      <c r="A351" s="690"/>
      <c r="B351" s="690"/>
      <c r="C351" s="708" t="s">
        <v>3634</v>
      </c>
      <c r="D351" s="691"/>
      <c r="E351" s="692">
        <v>35.9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/>
      <c r="P351" s="692"/>
      <c r="Q351" s="692"/>
      <c r="R351" s="693"/>
      <c r="S351" s="693"/>
      <c r="T351" s="692"/>
      <c r="U351" s="692" t="s">
        <v>1631</v>
      </c>
      <c r="V351" s="694"/>
      <c r="W351" s="694"/>
      <c r="X351" s="694"/>
      <c r="Y351" s="694"/>
      <c r="Z351" s="694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694"/>
      <c r="BL351" s="694"/>
      <c r="BM351" s="694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  <c r="BX351" s="694"/>
      <c r="BY351" s="694"/>
      <c r="BZ351" s="694"/>
      <c r="CA351" s="694"/>
      <c r="CB351" s="694"/>
      <c r="CC351" s="694"/>
      <c r="CD351" s="694"/>
      <c r="CE351" s="694"/>
      <c r="CF351" s="694"/>
      <c r="CG351" s="694"/>
      <c r="CH351" s="694"/>
      <c r="CI351" s="694"/>
      <c r="CJ351" s="694"/>
      <c r="CK351" s="694"/>
      <c r="CL351" s="694"/>
      <c r="CM351" s="694"/>
      <c r="CN351" s="694"/>
      <c r="CO351" s="694"/>
      <c r="CP351" s="694"/>
      <c r="CQ351" s="694"/>
      <c r="CR351" s="694"/>
      <c r="CS351" s="694"/>
      <c r="CT351" s="694"/>
      <c r="CU351" s="694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695"/>
      <c r="DH351" s="695"/>
      <c r="DI351" s="694"/>
      <c r="DJ351" s="694"/>
      <c r="DK351" s="694"/>
      <c r="DL351" s="694"/>
      <c r="DM351" s="694"/>
      <c r="DN351" s="694"/>
      <c r="DO351" s="694"/>
      <c r="DP351" s="694"/>
      <c r="DQ351" s="694"/>
      <c r="DR351" s="694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7"/>
    </row>
    <row r="352" spans="1:163" s="696" customFormat="1">
      <c r="A352" s="690"/>
      <c r="B352" s="690"/>
      <c r="C352" s="708" t="s">
        <v>3635</v>
      </c>
      <c r="D352" s="691"/>
      <c r="E352" s="692">
        <v>33.1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/>
      <c r="P352" s="692"/>
      <c r="Q352" s="692"/>
      <c r="R352" s="693"/>
      <c r="S352" s="693"/>
      <c r="T352" s="692"/>
      <c r="U352" s="692" t="s">
        <v>1631</v>
      </c>
      <c r="V352" s="694"/>
      <c r="W352" s="694"/>
      <c r="X352" s="694"/>
      <c r="Y352" s="694"/>
      <c r="Z352" s="694"/>
      <c r="AA352" s="694"/>
      <c r="AB352" s="694"/>
      <c r="AC352" s="694"/>
      <c r="AD352" s="694"/>
      <c r="AE352" s="694"/>
      <c r="AF352" s="694"/>
      <c r="AG352" s="694"/>
      <c r="AH352" s="694"/>
      <c r="AI352" s="694"/>
      <c r="AJ352" s="694"/>
      <c r="AK352" s="694"/>
      <c r="AL352" s="694"/>
      <c r="AM352" s="694"/>
      <c r="AN352" s="694"/>
      <c r="AO352" s="694"/>
      <c r="AP352" s="694"/>
      <c r="AQ352" s="694"/>
      <c r="AR352" s="694"/>
      <c r="AS352" s="694"/>
      <c r="AT352" s="694"/>
      <c r="AU352" s="694"/>
      <c r="AV352" s="694"/>
      <c r="AW352" s="694"/>
      <c r="AX352" s="694"/>
      <c r="AY352" s="694"/>
      <c r="AZ352" s="694"/>
      <c r="BA352" s="694"/>
      <c r="BB352" s="694"/>
      <c r="BC352" s="694"/>
      <c r="BD352" s="694"/>
      <c r="BE352" s="694"/>
      <c r="BF352" s="694"/>
      <c r="BG352" s="694"/>
      <c r="BH352" s="694"/>
      <c r="BI352" s="694"/>
      <c r="BJ352" s="694"/>
      <c r="BK352" s="694"/>
      <c r="BL352" s="694"/>
      <c r="BM352" s="694"/>
      <c r="BN352" s="694"/>
      <c r="BO352" s="694"/>
      <c r="BP352" s="694"/>
      <c r="BQ352" s="694"/>
      <c r="BR352" s="694"/>
      <c r="BS352" s="694"/>
      <c r="BT352" s="694"/>
      <c r="BU352" s="694"/>
      <c r="BV352" s="694"/>
      <c r="BW352" s="694"/>
      <c r="BX352" s="694"/>
      <c r="BY352" s="694"/>
      <c r="BZ352" s="694"/>
      <c r="CA352" s="694"/>
      <c r="CB352" s="694"/>
      <c r="CC352" s="694"/>
      <c r="CD352" s="694"/>
      <c r="CE352" s="694"/>
      <c r="CF352" s="694"/>
      <c r="CG352" s="694"/>
      <c r="CH352" s="694"/>
      <c r="CI352" s="694"/>
      <c r="CJ352" s="694"/>
      <c r="CK352" s="694"/>
      <c r="CL352" s="694"/>
      <c r="CM352" s="694"/>
      <c r="CN352" s="694"/>
      <c r="CO352" s="694"/>
      <c r="CP352" s="694"/>
      <c r="CQ352" s="694"/>
      <c r="CR352" s="694"/>
      <c r="CS352" s="694"/>
      <c r="CT352" s="694"/>
      <c r="CU352" s="694"/>
      <c r="CV352" s="695"/>
      <c r="CW352" s="695"/>
      <c r="CX352" s="695"/>
      <c r="CY352" s="695"/>
      <c r="CZ352" s="695"/>
      <c r="DA352" s="695"/>
      <c r="DB352" s="695"/>
      <c r="DC352" s="695"/>
      <c r="DD352" s="695"/>
      <c r="DE352" s="695"/>
      <c r="DF352" s="695"/>
      <c r="DG352" s="695"/>
      <c r="DH352" s="695"/>
      <c r="DI352" s="694"/>
      <c r="DJ352" s="694"/>
      <c r="DK352" s="694"/>
      <c r="DL352" s="694"/>
      <c r="DM352" s="694"/>
      <c r="DN352" s="694"/>
      <c r="DO352" s="694"/>
      <c r="DP352" s="694"/>
      <c r="DQ352" s="694"/>
      <c r="DR352" s="694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7"/>
    </row>
    <row r="353" spans="1:163" s="696" customFormat="1">
      <c r="A353" s="690"/>
      <c r="B353" s="690"/>
      <c r="C353" s="708" t="s">
        <v>3636</v>
      </c>
      <c r="D353" s="691"/>
      <c r="E353" s="692">
        <v>32.799999999999997</v>
      </c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 t="s">
        <v>1631</v>
      </c>
      <c r="V353" s="694"/>
      <c r="W353" s="694"/>
      <c r="X353" s="694"/>
      <c r="Y353" s="694"/>
      <c r="Z353" s="694"/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4"/>
      <c r="BL353" s="694"/>
      <c r="BM353" s="694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  <c r="BX353" s="694"/>
      <c r="BY353" s="694"/>
      <c r="BZ353" s="694"/>
      <c r="CA353" s="694"/>
      <c r="CB353" s="694"/>
      <c r="CC353" s="694"/>
      <c r="CD353" s="694"/>
      <c r="CE353" s="694"/>
      <c r="CF353" s="694"/>
      <c r="CG353" s="694"/>
      <c r="CH353" s="694"/>
      <c r="CI353" s="694"/>
      <c r="CJ353" s="694"/>
      <c r="CK353" s="694"/>
      <c r="CL353" s="694"/>
      <c r="CM353" s="694"/>
      <c r="CN353" s="694"/>
      <c r="CO353" s="694"/>
      <c r="CP353" s="694"/>
      <c r="CQ353" s="694"/>
      <c r="CR353" s="694"/>
      <c r="CS353" s="694"/>
      <c r="CT353" s="694"/>
      <c r="CU353" s="694"/>
      <c r="CV353" s="695"/>
      <c r="CW353" s="695"/>
      <c r="CX353" s="695"/>
      <c r="CY353" s="695"/>
      <c r="CZ353" s="695"/>
      <c r="DA353" s="695"/>
      <c r="DB353" s="695"/>
      <c r="DC353" s="695"/>
      <c r="DD353" s="695"/>
      <c r="DE353" s="695"/>
      <c r="DF353" s="695"/>
      <c r="DG353" s="695"/>
      <c r="DH353" s="695"/>
      <c r="DI353" s="694"/>
      <c r="DJ353" s="694"/>
      <c r="DK353" s="694"/>
      <c r="DL353" s="694"/>
      <c r="DM353" s="694"/>
      <c r="DN353" s="694"/>
      <c r="DO353" s="694"/>
      <c r="DP353" s="694"/>
      <c r="DQ353" s="694"/>
      <c r="DR353" s="694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7"/>
    </row>
    <row r="354" spans="1:163" s="696" customFormat="1">
      <c r="A354" s="690"/>
      <c r="B354" s="690"/>
      <c r="C354" s="708" t="s">
        <v>3637</v>
      </c>
      <c r="D354" s="691"/>
      <c r="E354" s="692">
        <v>31.2</v>
      </c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1631</v>
      </c>
      <c r="V354" s="694"/>
      <c r="W354" s="694"/>
      <c r="X354" s="694"/>
      <c r="Y354" s="694"/>
      <c r="Z354" s="694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4"/>
      <c r="BL354" s="694"/>
      <c r="BM354" s="694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  <c r="BX354" s="694"/>
      <c r="BY354" s="694"/>
      <c r="BZ354" s="694"/>
      <c r="CA354" s="694"/>
      <c r="CB354" s="694"/>
      <c r="CC354" s="694"/>
      <c r="CD354" s="694"/>
      <c r="CE354" s="694"/>
      <c r="CF354" s="694"/>
      <c r="CG354" s="694"/>
      <c r="CH354" s="694"/>
      <c r="CI354" s="694"/>
      <c r="CJ354" s="694"/>
      <c r="CK354" s="694"/>
      <c r="CL354" s="694"/>
      <c r="CM354" s="694"/>
      <c r="CN354" s="694"/>
      <c r="CO354" s="694"/>
      <c r="CP354" s="694"/>
      <c r="CQ354" s="694"/>
      <c r="CR354" s="694"/>
      <c r="CS354" s="694"/>
      <c r="CT354" s="694"/>
      <c r="CU354" s="694"/>
      <c r="CV354" s="695"/>
      <c r="CW354" s="695"/>
      <c r="CX354" s="695"/>
      <c r="CY354" s="695"/>
      <c r="CZ354" s="695"/>
      <c r="DA354" s="695"/>
      <c r="DB354" s="695"/>
      <c r="DC354" s="695"/>
      <c r="DD354" s="695"/>
      <c r="DE354" s="695"/>
      <c r="DF354" s="695"/>
      <c r="DG354" s="695"/>
      <c r="DH354" s="695"/>
      <c r="DI354" s="694"/>
      <c r="DJ354" s="694"/>
      <c r="DK354" s="694"/>
      <c r="DL354" s="694"/>
      <c r="DM354" s="694"/>
      <c r="DN354" s="694"/>
      <c r="DO354" s="694"/>
      <c r="DP354" s="694"/>
      <c r="DQ354" s="694"/>
      <c r="DR354" s="694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7"/>
    </row>
    <row r="355" spans="1:163" s="696" customFormat="1">
      <c r="A355" s="690"/>
      <c r="B355" s="690"/>
      <c r="C355" s="708" t="s">
        <v>3638</v>
      </c>
      <c r="D355" s="691"/>
      <c r="E355" s="692">
        <v>26.6</v>
      </c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 t="s">
        <v>2990</v>
      </c>
      <c r="V355" s="694"/>
      <c r="W355" s="694"/>
      <c r="X355" s="694"/>
      <c r="Y355" s="694"/>
      <c r="Z355" s="694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4"/>
      <c r="BL355" s="694"/>
      <c r="BM355" s="694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  <c r="BX355" s="694"/>
      <c r="BY355" s="694"/>
      <c r="BZ355" s="694"/>
      <c r="CA355" s="694"/>
      <c r="CB355" s="694"/>
      <c r="CC355" s="694"/>
      <c r="CD355" s="694"/>
      <c r="CE355" s="694"/>
      <c r="CF355" s="694"/>
      <c r="CG355" s="694"/>
      <c r="CH355" s="694"/>
      <c r="CI355" s="694"/>
      <c r="CJ355" s="694"/>
      <c r="CK355" s="694"/>
      <c r="CL355" s="694"/>
      <c r="CM355" s="694"/>
      <c r="CN355" s="694"/>
      <c r="CO355" s="694"/>
      <c r="CP355" s="694"/>
      <c r="CQ355" s="694"/>
      <c r="CR355" s="694"/>
      <c r="CS355" s="694"/>
      <c r="CT355" s="694"/>
      <c r="CU355" s="694"/>
      <c r="CV355" s="695"/>
      <c r="CW355" s="695"/>
      <c r="CX355" s="695"/>
      <c r="CY355" s="695"/>
      <c r="CZ355" s="695"/>
      <c r="DA355" s="695"/>
      <c r="DB355" s="695"/>
      <c r="DC355" s="695"/>
      <c r="DD355" s="695"/>
      <c r="DE355" s="695"/>
      <c r="DF355" s="695"/>
      <c r="DG355" s="695"/>
      <c r="DH355" s="695"/>
      <c r="DI355" s="694"/>
      <c r="DJ355" s="694"/>
      <c r="DK355" s="694"/>
      <c r="DL355" s="694"/>
      <c r="DM355" s="694"/>
      <c r="DN355" s="694"/>
      <c r="DO355" s="694"/>
      <c r="DP355" s="694"/>
      <c r="DQ355" s="694"/>
      <c r="DR355" s="694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7"/>
    </row>
    <row r="356" spans="1:163" s="696" customFormat="1">
      <c r="A356" s="690"/>
      <c r="B356" s="690"/>
      <c r="C356" s="708"/>
      <c r="D356" s="691"/>
      <c r="E356" s="692"/>
      <c r="F356" s="692"/>
      <c r="G356" s="692"/>
      <c r="H356" s="692"/>
      <c r="I356" s="692"/>
      <c r="J356" s="692"/>
      <c r="K356" s="692"/>
      <c r="L356" s="692"/>
      <c r="M356" s="692"/>
      <c r="N356" s="692"/>
      <c r="O356" s="692"/>
      <c r="P356" s="692"/>
      <c r="Q356" s="692"/>
      <c r="R356" s="693"/>
      <c r="S356" s="693"/>
      <c r="T356" s="692"/>
      <c r="U356" s="692"/>
      <c r="V356" s="694"/>
      <c r="W356" s="694"/>
      <c r="X356" s="694"/>
      <c r="Y356" s="694"/>
      <c r="Z356" s="694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694"/>
      <c r="BL356" s="694"/>
      <c r="BM356" s="694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  <c r="BX356" s="694"/>
      <c r="BY356" s="694"/>
      <c r="BZ356" s="694"/>
      <c r="CA356" s="694"/>
      <c r="CB356" s="694"/>
      <c r="CC356" s="694"/>
      <c r="CD356" s="694"/>
      <c r="CE356" s="694"/>
      <c r="CF356" s="694"/>
      <c r="CG356" s="694"/>
      <c r="CH356" s="694"/>
      <c r="CI356" s="694"/>
      <c r="CJ356" s="694"/>
      <c r="CK356" s="694"/>
      <c r="CL356" s="694"/>
      <c r="CM356" s="694"/>
      <c r="CN356" s="694"/>
      <c r="CO356" s="694"/>
      <c r="CP356" s="694"/>
      <c r="CQ356" s="694"/>
      <c r="CR356" s="694"/>
      <c r="CS356" s="694"/>
      <c r="CT356" s="694"/>
      <c r="CU356" s="694"/>
      <c r="CV356" s="695"/>
      <c r="CW356" s="695"/>
      <c r="CX356" s="695"/>
      <c r="CY356" s="695"/>
      <c r="CZ356" s="695"/>
      <c r="DA356" s="695"/>
      <c r="DB356" s="695"/>
      <c r="DC356" s="695"/>
      <c r="DD356" s="695"/>
      <c r="DE356" s="695"/>
      <c r="DF356" s="695"/>
      <c r="DG356" s="695"/>
      <c r="DH356" s="695"/>
      <c r="DI356" s="694"/>
      <c r="DJ356" s="694"/>
      <c r="DK356" s="694"/>
      <c r="DL356" s="694"/>
      <c r="DM356" s="694"/>
      <c r="DN356" s="694"/>
      <c r="DO356" s="694"/>
      <c r="DP356" s="694"/>
      <c r="DQ356" s="694"/>
      <c r="DR356" s="694"/>
      <c r="DS356" s="694"/>
      <c r="DT356" s="694"/>
      <c r="DU356" s="694"/>
      <c r="DV356" s="694"/>
      <c r="DW356" s="694"/>
      <c r="DX356" s="694"/>
      <c r="DY356" s="694"/>
      <c r="DZ356" s="694"/>
      <c r="EA356" s="694"/>
      <c r="EB356" s="694"/>
      <c r="EC356" s="694"/>
      <c r="ED356" s="694"/>
      <c r="EE356" s="694"/>
      <c r="EF356" s="694"/>
      <c r="EG356" s="694"/>
      <c r="EH356" s="694"/>
      <c r="EI356" s="694"/>
      <c r="EJ356" s="694"/>
      <c r="EK356" s="694"/>
      <c r="EL356" s="694"/>
      <c r="EM356" s="694"/>
      <c r="EN356" s="694"/>
      <c r="EO356" s="694"/>
      <c r="EP356" s="694"/>
      <c r="EQ356" s="694"/>
      <c r="ER356" s="694"/>
      <c r="ES356" s="694"/>
      <c r="ET356" s="694"/>
      <c r="EU356" s="694"/>
      <c r="EV356" s="694"/>
      <c r="EW356" s="694"/>
      <c r="EX356" s="694"/>
      <c r="EY356" s="694"/>
      <c r="EZ356" s="694"/>
      <c r="FA356" s="694"/>
      <c r="FB356" s="694"/>
      <c r="FC356" s="694"/>
      <c r="FD356" s="694"/>
      <c r="FE356" s="694"/>
      <c r="FF356" s="694"/>
      <c r="FG356" s="697"/>
    </row>
    <row r="357" spans="1:163" s="696" customFormat="1">
      <c r="A357" s="690"/>
      <c r="B357" s="690"/>
      <c r="C357" s="708"/>
      <c r="D357" s="699" t="s">
        <v>3759</v>
      </c>
      <c r="E357" s="692"/>
      <c r="F357" s="692"/>
      <c r="G357" s="692"/>
      <c r="H357" s="692"/>
      <c r="I357" s="692"/>
      <c r="J357" s="692"/>
      <c r="K357" s="692"/>
      <c r="L357" s="692"/>
      <c r="M357" s="692"/>
      <c r="N357" s="692"/>
      <c r="O357" s="692"/>
      <c r="P357" s="692"/>
      <c r="Q357" s="692"/>
      <c r="R357" s="693"/>
      <c r="S357" s="693"/>
      <c r="T357" s="692"/>
      <c r="U357" s="692"/>
      <c r="V357" s="694"/>
      <c r="W357" s="694"/>
      <c r="X357" s="694"/>
      <c r="Y357" s="694"/>
      <c r="Z357" s="694"/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4"/>
      <c r="BL357" s="694"/>
      <c r="BM357" s="694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  <c r="BX357" s="694"/>
      <c r="BY357" s="694"/>
      <c r="BZ357" s="694"/>
      <c r="CA357" s="694"/>
      <c r="CB357" s="694"/>
      <c r="CC357" s="694"/>
      <c r="CD357" s="694"/>
      <c r="CE357" s="694"/>
      <c r="CF357" s="694"/>
      <c r="CG357" s="694"/>
      <c r="CH357" s="694"/>
      <c r="CI357" s="694"/>
      <c r="CJ357" s="694"/>
      <c r="CK357" s="694"/>
      <c r="CL357" s="694"/>
      <c r="CM357" s="694"/>
      <c r="CN357" s="694"/>
      <c r="CO357" s="694"/>
      <c r="CP357" s="694"/>
      <c r="CQ357" s="694"/>
      <c r="CR357" s="694"/>
      <c r="CS357" s="694"/>
      <c r="CT357" s="694"/>
      <c r="CU357" s="694"/>
      <c r="CV357" s="695"/>
      <c r="CW357" s="695"/>
      <c r="CX357" s="695"/>
      <c r="CY357" s="695"/>
      <c r="CZ357" s="695"/>
      <c r="DA357" s="695"/>
      <c r="DB357" s="695"/>
      <c r="DC357" s="695"/>
      <c r="DD357" s="695"/>
      <c r="DE357" s="695"/>
      <c r="DF357" s="695"/>
      <c r="DG357" s="695"/>
      <c r="DH357" s="695"/>
      <c r="DI357" s="694"/>
      <c r="DJ357" s="694"/>
      <c r="DK357" s="694">
        <v>1</v>
      </c>
      <c r="DL357" s="694"/>
      <c r="DM357" s="694">
        <v>3</v>
      </c>
      <c r="DN357" s="694"/>
      <c r="DO357" s="694"/>
      <c r="DP357" s="694">
        <v>6</v>
      </c>
      <c r="DQ357" s="694"/>
      <c r="DR357" s="694"/>
      <c r="DS357" s="694"/>
      <c r="DT357" s="694"/>
      <c r="DU357" s="694">
        <v>6</v>
      </c>
      <c r="DV357" s="694"/>
      <c r="DW357" s="694"/>
      <c r="DX357" s="694"/>
      <c r="DY357" s="694"/>
      <c r="DZ357" s="694"/>
      <c r="EA357" s="694">
        <v>1</v>
      </c>
      <c r="EB357" s="694"/>
      <c r="EC357" s="694"/>
      <c r="ED357" s="694"/>
      <c r="EE357" s="694"/>
      <c r="EF357" s="694"/>
      <c r="EG357" s="694"/>
      <c r="EH357" s="694"/>
      <c r="EI357" s="694"/>
      <c r="EJ357" s="694"/>
      <c r="EK357" s="694"/>
      <c r="EL357" s="694"/>
      <c r="EM357" s="694"/>
      <c r="EN357" s="694"/>
      <c r="EO357" s="694"/>
      <c r="EP357" s="694"/>
      <c r="EQ357" s="694"/>
      <c r="ER357" s="694"/>
      <c r="ES357" s="694"/>
      <c r="ET357" s="694"/>
      <c r="EU357" s="694"/>
      <c r="EV357" s="694"/>
      <c r="EW357" s="694"/>
      <c r="EX357" s="694"/>
      <c r="EY357" s="694"/>
      <c r="EZ357" s="694"/>
      <c r="FA357" s="694"/>
      <c r="FB357" s="694"/>
      <c r="FC357" s="694"/>
      <c r="FD357" s="694"/>
      <c r="FE357" s="694"/>
      <c r="FF357" s="694"/>
      <c r="FG357" s="697"/>
    </row>
    <row r="358" spans="1:163" s="696" customFormat="1">
      <c r="A358" s="690"/>
      <c r="B358" s="690"/>
      <c r="C358" s="708" t="s">
        <v>3632</v>
      </c>
      <c r="D358" s="691"/>
      <c r="E358" s="692">
        <v>36.5</v>
      </c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692"/>
      <c r="R358" s="693"/>
      <c r="S358" s="693"/>
      <c r="T358" s="692"/>
      <c r="U358" s="692" t="s">
        <v>1631</v>
      </c>
      <c r="V358" s="694"/>
      <c r="W358" s="694"/>
      <c r="X358" s="694"/>
      <c r="Y358" s="694"/>
      <c r="Z358" s="694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4"/>
      <c r="BL358" s="694"/>
      <c r="BM358" s="694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  <c r="BX358" s="694"/>
      <c r="BY358" s="694"/>
      <c r="BZ358" s="694"/>
      <c r="CA358" s="694"/>
      <c r="CB358" s="694"/>
      <c r="CC358" s="694"/>
      <c r="CD358" s="694"/>
      <c r="CE358" s="694"/>
      <c r="CF358" s="694"/>
      <c r="CG358" s="694"/>
      <c r="CH358" s="694"/>
      <c r="CI358" s="694"/>
      <c r="CJ358" s="694"/>
      <c r="CK358" s="694"/>
      <c r="CL358" s="694"/>
      <c r="CM358" s="694"/>
      <c r="CN358" s="694"/>
      <c r="CO358" s="694"/>
      <c r="CP358" s="694"/>
      <c r="CQ358" s="694">
        <v>1</v>
      </c>
      <c r="CR358" s="694"/>
      <c r="CS358" s="694"/>
      <c r="CT358" s="694"/>
      <c r="CU358" s="694"/>
      <c r="CV358" s="695"/>
      <c r="CW358" s="695">
        <f>E358</f>
        <v>36.5</v>
      </c>
      <c r="CX358" s="695"/>
      <c r="CY358" s="695"/>
      <c r="CZ358" s="695"/>
      <c r="DA358" s="695">
        <f>E358*2</f>
        <v>73</v>
      </c>
      <c r="DB358" s="695"/>
      <c r="DC358" s="695"/>
      <c r="DD358" s="695"/>
      <c r="DE358" s="695"/>
      <c r="DF358" s="695"/>
      <c r="DG358" s="695"/>
      <c r="DH358" s="695"/>
      <c r="DI358" s="694"/>
      <c r="DJ358" s="694"/>
      <c r="DK358" s="694">
        <v>1</v>
      </c>
      <c r="DL358" s="694"/>
      <c r="DM358" s="694">
        <v>3</v>
      </c>
      <c r="DN358" s="694"/>
      <c r="DO358" s="694"/>
      <c r="DP358" s="694"/>
      <c r="DQ358" s="694"/>
      <c r="DR358" s="694"/>
      <c r="DS358" s="694"/>
      <c r="DT358" s="694"/>
      <c r="DU358" s="694"/>
      <c r="DV358" s="694"/>
      <c r="DW358" s="694"/>
      <c r="DX358" s="694"/>
      <c r="DY358" s="694"/>
      <c r="DZ358" s="694"/>
      <c r="EA358" s="694">
        <v>2</v>
      </c>
      <c r="EB358" s="694"/>
      <c r="EC358" s="694"/>
      <c r="ED358" s="694"/>
      <c r="EE358" s="694"/>
      <c r="EF358" s="694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7"/>
    </row>
    <row r="359" spans="1:163" s="696" customFormat="1">
      <c r="A359" s="690"/>
      <c r="B359" s="690"/>
      <c r="C359" s="708" t="s">
        <v>3633</v>
      </c>
      <c r="D359" s="691"/>
      <c r="E359" s="692">
        <v>34.799999999999997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692"/>
      <c r="R359" s="693"/>
      <c r="S359" s="693"/>
      <c r="T359" s="692"/>
      <c r="U359" s="692" t="s">
        <v>1631</v>
      </c>
      <c r="V359" s="694"/>
      <c r="W359" s="694"/>
      <c r="X359" s="694"/>
      <c r="Y359" s="694"/>
      <c r="Z359" s="694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4"/>
      <c r="BL359" s="694"/>
      <c r="BM359" s="694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  <c r="BX359" s="694"/>
      <c r="BY359" s="694"/>
      <c r="BZ359" s="694"/>
      <c r="CA359" s="694"/>
      <c r="CB359" s="694"/>
      <c r="CC359" s="694"/>
      <c r="CD359" s="694"/>
      <c r="CE359" s="694"/>
      <c r="CF359" s="694"/>
      <c r="CG359" s="694"/>
      <c r="CH359" s="694"/>
      <c r="CI359" s="694"/>
      <c r="CJ359" s="694"/>
      <c r="CK359" s="694"/>
      <c r="CL359" s="694"/>
      <c r="CM359" s="694"/>
      <c r="CN359" s="694"/>
      <c r="CO359" s="694"/>
      <c r="CP359" s="694"/>
      <c r="CQ359" s="694"/>
      <c r="CR359" s="694"/>
      <c r="CS359" s="694"/>
      <c r="CT359" s="694"/>
      <c r="CU359" s="694"/>
      <c r="CV359" s="695"/>
      <c r="CW359" s="695">
        <f t="shared" ref="CW359:CW377" si="47">E359</f>
        <v>34.799999999999997</v>
      </c>
      <c r="CX359" s="695"/>
      <c r="CY359" s="695"/>
      <c r="CZ359" s="695"/>
      <c r="DA359" s="695">
        <f t="shared" ref="DA359:DA377" si="48">E359*2</f>
        <v>69.599999999999994</v>
      </c>
      <c r="DB359" s="695"/>
      <c r="DC359" s="695"/>
      <c r="DD359" s="695"/>
      <c r="DE359" s="695"/>
      <c r="DF359" s="695"/>
      <c r="DG359" s="695"/>
      <c r="DH359" s="695"/>
      <c r="DI359" s="694"/>
      <c r="DJ359" s="694"/>
      <c r="DK359" s="694">
        <v>1</v>
      </c>
      <c r="DL359" s="694"/>
      <c r="DM359" s="694">
        <v>3</v>
      </c>
      <c r="DN359" s="694"/>
      <c r="DO359" s="694"/>
      <c r="DP359" s="694"/>
      <c r="DQ359" s="694"/>
      <c r="DR359" s="694"/>
      <c r="DS359" s="694"/>
      <c r="DT359" s="694"/>
      <c r="DU359" s="694"/>
      <c r="DV359" s="694"/>
      <c r="DW359" s="694"/>
      <c r="DX359" s="694"/>
      <c r="DY359" s="694"/>
      <c r="DZ359" s="694"/>
      <c r="EA359" s="694">
        <v>2</v>
      </c>
      <c r="EB359" s="694"/>
      <c r="EC359" s="694"/>
      <c r="ED359" s="694"/>
      <c r="EE359" s="694"/>
      <c r="EF359" s="694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7"/>
    </row>
    <row r="360" spans="1:163" s="696" customFormat="1">
      <c r="A360" s="690"/>
      <c r="B360" s="690"/>
      <c r="C360" s="708" t="s">
        <v>3634</v>
      </c>
      <c r="D360" s="691"/>
      <c r="E360" s="692">
        <v>27.1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692"/>
      <c r="R360" s="693"/>
      <c r="S360" s="693"/>
      <c r="T360" s="692"/>
      <c r="U360" s="692" t="s">
        <v>3005</v>
      </c>
      <c r="V360" s="694"/>
      <c r="W360" s="694"/>
      <c r="X360" s="694"/>
      <c r="Y360" s="694"/>
      <c r="Z360" s="694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694"/>
      <c r="BL360" s="694"/>
      <c r="BM360" s="694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  <c r="BX360" s="694"/>
      <c r="BY360" s="694"/>
      <c r="BZ360" s="694"/>
      <c r="CA360" s="694"/>
      <c r="CB360" s="694"/>
      <c r="CC360" s="694"/>
      <c r="CD360" s="694"/>
      <c r="CE360" s="694"/>
      <c r="CF360" s="694"/>
      <c r="CG360" s="694"/>
      <c r="CH360" s="694"/>
      <c r="CI360" s="694"/>
      <c r="CJ360" s="694"/>
      <c r="CK360" s="694"/>
      <c r="CL360" s="694"/>
      <c r="CM360" s="694"/>
      <c r="CN360" s="694"/>
      <c r="CO360" s="694"/>
      <c r="CP360" s="694"/>
      <c r="CQ360" s="694"/>
      <c r="CR360" s="694"/>
      <c r="CS360" s="694"/>
      <c r="CT360" s="694"/>
      <c r="CU360" s="694"/>
      <c r="CV360" s="695"/>
      <c r="CW360" s="695">
        <f t="shared" si="47"/>
        <v>27.1</v>
      </c>
      <c r="CX360" s="695"/>
      <c r="CY360" s="695"/>
      <c r="CZ360" s="695"/>
      <c r="DA360" s="695">
        <f t="shared" si="48"/>
        <v>54.2</v>
      </c>
      <c r="DB360" s="695"/>
      <c r="DC360" s="695"/>
      <c r="DD360" s="695"/>
      <c r="DE360" s="695"/>
      <c r="DF360" s="695"/>
      <c r="DG360" s="695"/>
      <c r="DH360" s="695"/>
      <c r="DI360" s="694"/>
      <c r="DJ360" s="694"/>
      <c r="DK360" s="694">
        <v>2</v>
      </c>
      <c r="DL360" s="694"/>
      <c r="DM360" s="694">
        <v>3</v>
      </c>
      <c r="DN360" s="694">
        <v>1</v>
      </c>
      <c r="DO360" s="694">
        <v>2</v>
      </c>
      <c r="DP360" s="694">
        <v>1</v>
      </c>
      <c r="DQ360" s="694"/>
      <c r="DR360" s="694"/>
      <c r="DS360" s="694"/>
      <c r="DT360" s="694"/>
      <c r="DU360" s="694">
        <v>6</v>
      </c>
      <c r="DV360" s="694"/>
      <c r="DW360" s="694"/>
      <c r="DX360" s="694"/>
      <c r="DY360" s="694"/>
      <c r="DZ360" s="694"/>
      <c r="EA360" s="694">
        <v>2</v>
      </c>
      <c r="EB360" s="694"/>
      <c r="EC360" s="694"/>
      <c r="ED360" s="694"/>
      <c r="EE360" s="694"/>
      <c r="EF360" s="694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7"/>
    </row>
    <row r="361" spans="1:163" s="696" customFormat="1">
      <c r="A361" s="690"/>
      <c r="B361" s="690"/>
      <c r="C361" s="708" t="s">
        <v>3635</v>
      </c>
      <c r="D361" s="691"/>
      <c r="E361" s="692">
        <v>40.5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/>
      <c r="Q361" s="692"/>
      <c r="R361" s="693"/>
      <c r="S361" s="693"/>
      <c r="T361" s="692"/>
      <c r="U361" s="692" t="s">
        <v>1631</v>
      </c>
      <c r="V361" s="694"/>
      <c r="W361" s="694"/>
      <c r="X361" s="694"/>
      <c r="Y361" s="694"/>
      <c r="Z361" s="694"/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4"/>
      <c r="BL361" s="694"/>
      <c r="BM361" s="694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  <c r="BX361" s="694"/>
      <c r="BY361" s="694"/>
      <c r="BZ361" s="694"/>
      <c r="CA361" s="694"/>
      <c r="CB361" s="694"/>
      <c r="CC361" s="694"/>
      <c r="CD361" s="694"/>
      <c r="CE361" s="694"/>
      <c r="CF361" s="694"/>
      <c r="CG361" s="694"/>
      <c r="CH361" s="694"/>
      <c r="CI361" s="694"/>
      <c r="CJ361" s="694"/>
      <c r="CK361" s="694"/>
      <c r="CL361" s="694"/>
      <c r="CM361" s="694"/>
      <c r="CN361" s="694"/>
      <c r="CO361" s="694"/>
      <c r="CP361" s="694"/>
      <c r="CQ361" s="694"/>
      <c r="CR361" s="694"/>
      <c r="CS361" s="694"/>
      <c r="CT361" s="694"/>
      <c r="CU361" s="694"/>
      <c r="CV361" s="695"/>
      <c r="CW361" s="695">
        <f t="shared" si="47"/>
        <v>40.5</v>
      </c>
      <c r="CX361" s="695"/>
      <c r="CY361" s="695"/>
      <c r="CZ361" s="695"/>
      <c r="DA361" s="695">
        <f t="shared" si="48"/>
        <v>81</v>
      </c>
      <c r="DB361" s="695"/>
      <c r="DC361" s="695"/>
      <c r="DD361" s="695"/>
      <c r="DE361" s="695"/>
      <c r="DF361" s="695"/>
      <c r="DG361" s="695"/>
      <c r="DH361" s="695"/>
      <c r="DI361" s="694"/>
      <c r="DJ361" s="694"/>
      <c r="DK361" s="694">
        <v>1</v>
      </c>
      <c r="DL361" s="694"/>
      <c r="DM361" s="694">
        <v>3</v>
      </c>
      <c r="DN361" s="694">
        <v>1</v>
      </c>
      <c r="DO361" s="694">
        <v>3</v>
      </c>
      <c r="DP361" s="694">
        <v>3</v>
      </c>
      <c r="DQ361" s="694"/>
      <c r="DR361" s="694"/>
      <c r="DS361" s="694"/>
      <c r="DT361" s="694"/>
      <c r="DU361" s="694"/>
      <c r="DV361" s="694"/>
      <c r="DW361" s="694"/>
      <c r="DX361" s="694"/>
      <c r="DY361" s="694"/>
      <c r="DZ361" s="694"/>
      <c r="EA361" s="694">
        <v>2</v>
      </c>
      <c r="EB361" s="694"/>
      <c r="EC361" s="694"/>
      <c r="ED361" s="694"/>
      <c r="EE361" s="694"/>
      <c r="EF361" s="694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7"/>
    </row>
    <row r="362" spans="1:163" s="696" customFormat="1">
      <c r="A362" s="690"/>
      <c r="B362" s="690"/>
      <c r="C362" s="708" t="s">
        <v>3636</v>
      </c>
      <c r="D362" s="691"/>
      <c r="E362" s="692">
        <v>35.6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/>
      <c r="Q362" s="692"/>
      <c r="R362" s="693"/>
      <c r="S362" s="693"/>
      <c r="T362" s="692"/>
      <c r="U362" s="692" t="s">
        <v>1631</v>
      </c>
      <c r="V362" s="694"/>
      <c r="W362" s="694"/>
      <c r="X362" s="694"/>
      <c r="Y362" s="694"/>
      <c r="Z362" s="694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4"/>
      <c r="BL362" s="694"/>
      <c r="BM362" s="694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  <c r="BX362" s="694"/>
      <c r="BY362" s="694"/>
      <c r="BZ362" s="694"/>
      <c r="CA362" s="694"/>
      <c r="CB362" s="694"/>
      <c r="CC362" s="694"/>
      <c r="CD362" s="694"/>
      <c r="CE362" s="694"/>
      <c r="CF362" s="694"/>
      <c r="CG362" s="694"/>
      <c r="CH362" s="694"/>
      <c r="CI362" s="694"/>
      <c r="CJ362" s="694"/>
      <c r="CK362" s="694"/>
      <c r="CL362" s="694"/>
      <c r="CM362" s="694"/>
      <c r="CN362" s="694"/>
      <c r="CO362" s="694"/>
      <c r="CP362" s="694"/>
      <c r="CQ362" s="694"/>
      <c r="CR362" s="694"/>
      <c r="CS362" s="694"/>
      <c r="CT362" s="694"/>
      <c r="CU362" s="694"/>
      <c r="CV362" s="695"/>
      <c r="CW362" s="695">
        <f t="shared" si="47"/>
        <v>35.6</v>
      </c>
      <c r="CX362" s="695"/>
      <c r="CY362" s="695"/>
      <c r="CZ362" s="695"/>
      <c r="DA362" s="695">
        <f t="shared" si="48"/>
        <v>71.2</v>
      </c>
      <c r="DB362" s="695"/>
      <c r="DC362" s="695"/>
      <c r="DD362" s="695"/>
      <c r="DE362" s="695"/>
      <c r="DF362" s="695"/>
      <c r="DG362" s="695"/>
      <c r="DH362" s="695"/>
      <c r="DI362" s="694"/>
      <c r="DJ362" s="694"/>
      <c r="DK362" s="694">
        <v>1</v>
      </c>
      <c r="DL362" s="694"/>
      <c r="DM362" s="694">
        <v>3</v>
      </c>
      <c r="DN362" s="694">
        <v>1</v>
      </c>
      <c r="DO362" s="694">
        <v>3</v>
      </c>
      <c r="DP362" s="694">
        <v>3</v>
      </c>
      <c r="DQ362" s="694"/>
      <c r="DR362" s="694"/>
      <c r="DS362" s="694"/>
      <c r="DT362" s="694"/>
      <c r="DU362" s="694"/>
      <c r="DV362" s="694"/>
      <c r="DW362" s="694"/>
      <c r="DX362" s="694"/>
      <c r="DY362" s="694"/>
      <c r="DZ362" s="694"/>
      <c r="EA362" s="694">
        <v>2</v>
      </c>
      <c r="EB362" s="694"/>
      <c r="EC362" s="694"/>
      <c r="ED362" s="694"/>
      <c r="EE362" s="694"/>
      <c r="EF362" s="694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7"/>
    </row>
    <row r="363" spans="1:163" s="696" customFormat="1">
      <c r="A363" s="690"/>
      <c r="B363" s="690"/>
      <c r="C363" s="708" t="s">
        <v>3637</v>
      </c>
      <c r="D363" s="691"/>
      <c r="E363" s="692">
        <v>42.2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/>
      <c r="Q363" s="692"/>
      <c r="R363" s="693"/>
      <c r="S363" s="693"/>
      <c r="T363" s="692"/>
      <c r="U363" s="692" t="s">
        <v>1631</v>
      </c>
      <c r="V363" s="694"/>
      <c r="W363" s="694"/>
      <c r="X363" s="694"/>
      <c r="Y363" s="694"/>
      <c r="Z363" s="694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4"/>
      <c r="BL363" s="694"/>
      <c r="BM363" s="694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  <c r="BX363" s="694"/>
      <c r="BY363" s="694"/>
      <c r="BZ363" s="694"/>
      <c r="CA363" s="694"/>
      <c r="CB363" s="694"/>
      <c r="CC363" s="694"/>
      <c r="CD363" s="694"/>
      <c r="CE363" s="694"/>
      <c r="CF363" s="694"/>
      <c r="CG363" s="694"/>
      <c r="CH363" s="694"/>
      <c r="CI363" s="694"/>
      <c r="CJ363" s="694"/>
      <c r="CK363" s="694"/>
      <c r="CL363" s="694"/>
      <c r="CM363" s="694"/>
      <c r="CN363" s="694"/>
      <c r="CO363" s="694"/>
      <c r="CP363" s="694"/>
      <c r="CQ363" s="694"/>
      <c r="CR363" s="694"/>
      <c r="CS363" s="694"/>
      <c r="CT363" s="694"/>
      <c r="CU363" s="694"/>
      <c r="CV363" s="695"/>
      <c r="CW363" s="695">
        <f t="shared" si="47"/>
        <v>42.2</v>
      </c>
      <c r="CX363" s="695"/>
      <c r="CY363" s="695"/>
      <c r="CZ363" s="695"/>
      <c r="DA363" s="695">
        <f t="shared" si="48"/>
        <v>84.4</v>
      </c>
      <c r="DB363" s="695"/>
      <c r="DC363" s="695"/>
      <c r="DD363" s="695"/>
      <c r="DE363" s="695"/>
      <c r="DF363" s="695"/>
      <c r="DG363" s="695"/>
      <c r="DH363" s="695"/>
      <c r="DI363" s="694"/>
      <c r="DJ363" s="694"/>
      <c r="DK363" s="694">
        <v>1</v>
      </c>
      <c r="DL363" s="694"/>
      <c r="DM363" s="694">
        <v>3</v>
      </c>
      <c r="DN363" s="694">
        <v>1</v>
      </c>
      <c r="DO363" s="694">
        <v>2</v>
      </c>
      <c r="DP363" s="694">
        <v>2</v>
      </c>
      <c r="DQ363" s="694"/>
      <c r="DR363" s="694"/>
      <c r="DS363" s="694"/>
      <c r="DT363" s="694"/>
      <c r="DU363" s="694"/>
      <c r="DV363" s="694"/>
      <c r="DW363" s="694"/>
      <c r="DX363" s="694"/>
      <c r="DY363" s="694"/>
      <c r="DZ363" s="694"/>
      <c r="EA363" s="694">
        <v>2</v>
      </c>
      <c r="EB363" s="694"/>
      <c r="EC363" s="694"/>
      <c r="ED363" s="694"/>
      <c r="EE363" s="694"/>
      <c r="EF363" s="694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7"/>
    </row>
    <row r="364" spans="1:163" s="696" customFormat="1">
      <c r="A364" s="690"/>
      <c r="B364" s="690"/>
      <c r="C364" s="708" t="s">
        <v>3638</v>
      </c>
      <c r="D364" s="691"/>
      <c r="E364" s="692">
        <v>29.1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/>
      <c r="Q364" s="692"/>
      <c r="R364" s="693"/>
      <c r="S364" s="693"/>
      <c r="T364" s="692"/>
      <c r="U364" s="692" t="s">
        <v>1631</v>
      </c>
      <c r="V364" s="694"/>
      <c r="W364" s="694"/>
      <c r="X364" s="694"/>
      <c r="Y364" s="694"/>
      <c r="Z364" s="694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694"/>
      <c r="BL364" s="694"/>
      <c r="BM364" s="694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  <c r="BX364" s="694"/>
      <c r="BY364" s="694"/>
      <c r="BZ364" s="694"/>
      <c r="CA364" s="694"/>
      <c r="CB364" s="694"/>
      <c r="CC364" s="694"/>
      <c r="CD364" s="694"/>
      <c r="CE364" s="694"/>
      <c r="CF364" s="694"/>
      <c r="CG364" s="694"/>
      <c r="CH364" s="694"/>
      <c r="CI364" s="694"/>
      <c r="CJ364" s="694"/>
      <c r="CK364" s="694"/>
      <c r="CL364" s="694"/>
      <c r="CM364" s="694"/>
      <c r="CN364" s="694"/>
      <c r="CO364" s="694"/>
      <c r="CP364" s="694"/>
      <c r="CQ364" s="694"/>
      <c r="CR364" s="694"/>
      <c r="CS364" s="694"/>
      <c r="CT364" s="694"/>
      <c r="CU364" s="694"/>
      <c r="CV364" s="695"/>
      <c r="CW364" s="695">
        <f t="shared" si="47"/>
        <v>29.1</v>
      </c>
      <c r="CX364" s="695"/>
      <c r="CY364" s="695"/>
      <c r="CZ364" s="695"/>
      <c r="DA364" s="695">
        <f t="shared" si="48"/>
        <v>58.2</v>
      </c>
      <c r="DB364" s="695"/>
      <c r="DC364" s="695"/>
      <c r="DD364" s="695"/>
      <c r="DE364" s="695"/>
      <c r="DF364" s="695"/>
      <c r="DG364" s="695"/>
      <c r="DH364" s="695"/>
      <c r="DI364" s="694"/>
      <c r="DJ364" s="694"/>
      <c r="DK364" s="694">
        <v>1</v>
      </c>
      <c r="DL364" s="694"/>
      <c r="DM364" s="694">
        <v>3</v>
      </c>
      <c r="DN364" s="694">
        <v>1</v>
      </c>
      <c r="DO364" s="694">
        <v>3</v>
      </c>
      <c r="DP364" s="694">
        <v>3</v>
      </c>
      <c r="DQ364" s="694"/>
      <c r="DR364" s="694"/>
      <c r="DS364" s="694"/>
      <c r="DT364" s="694"/>
      <c r="DU364" s="694"/>
      <c r="DV364" s="694"/>
      <c r="DW364" s="694"/>
      <c r="DX364" s="694"/>
      <c r="DY364" s="694"/>
      <c r="DZ364" s="694"/>
      <c r="EA364" s="694">
        <v>2</v>
      </c>
      <c r="EB364" s="694"/>
      <c r="EC364" s="694"/>
      <c r="ED364" s="694"/>
      <c r="EE364" s="694"/>
      <c r="EF364" s="694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7"/>
    </row>
    <row r="365" spans="1:163" s="696" customFormat="1">
      <c r="A365" s="690"/>
      <c r="B365" s="690"/>
      <c r="C365" s="708" t="s">
        <v>3639</v>
      </c>
      <c r="D365" s="691"/>
      <c r="E365" s="692">
        <v>33.6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/>
      <c r="Q365" s="692"/>
      <c r="R365" s="693"/>
      <c r="S365" s="693"/>
      <c r="T365" s="692"/>
      <c r="U365" s="692" t="s">
        <v>1631</v>
      </c>
      <c r="V365" s="694"/>
      <c r="W365" s="694"/>
      <c r="X365" s="694"/>
      <c r="Y365" s="694"/>
      <c r="Z365" s="694"/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4"/>
      <c r="BL365" s="694"/>
      <c r="BM365" s="694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  <c r="BX365" s="694"/>
      <c r="BY365" s="694"/>
      <c r="BZ365" s="694"/>
      <c r="CA365" s="694"/>
      <c r="CB365" s="694"/>
      <c r="CC365" s="694"/>
      <c r="CD365" s="694"/>
      <c r="CE365" s="694"/>
      <c r="CF365" s="694"/>
      <c r="CG365" s="694"/>
      <c r="CH365" s="694"/>
      <c r="CI365" s="694"/>
      <c r="CJ365" s="694"/>
      <c r="CK365" s="694"/>
      <c r="CL365" s="694"/>
      <c r="CM365" s="694"/>
      <c r="CN365" s="694"/>
      <c r="CO365" s="694"/>
      <c r="CP365" s="694"/>
      <c r="CQ365" s="694"/>
      <c r="CR365" s="694"/>
      <c r="CS365" s="694"/>
      <c r="CT365" s="694"/>
      <c r="CU365" s="694"/>
      <c r="CV365" s="695"/>
      <c r="CW365" s="695">
        <f t="shared" si="47"/>
        <v>33.6</v>
      </c>
      <c r="CX365" s="695"/>
      <c r="CY365" s="695"/>
      <c r="CZ365" s="695"/>
      <c r="DA365" s="695">
        <f t="shared" si="48"/>
        <v>67.2</v>
      </c>
      <c r="DB365" s="695"/>
      <c r="DC365" s="695"/>
      <c r="DD365" s="695"/>
      <c r="DE365" s="695"/>
      <c r="DF365" s="695"/>
      <c r="DG365" s="695"/>
      <c r="DH365" s="695"/>
      <c r="DI365" s="694"/>
      <c r="DJ365" s="694"/>
      <c r="DK365" s="694">
        <v>1</v>
      </c>
      <c r="DL365" s="694"/>
      <c r="DM365" s="694">
        <v>3</v>
      </c>
      <c r="DN365" s="694">
        <v>1</v>
      </c>
      <c r="DO365" s="694">
        <v>3</v>
      </c>
      <c r="DP365" s="694">
        <v>2</v>
      </c>
      <c r="DQ365" s="694"/>
      <c r="DR365" s="694"/>
      <c r="DS365" s="694"/>
      <c r="DT365" s="694"/>
      <c r="DU365" s="694"/>
      <c r="DV365" s="694"/>
      <c r="DW365" s="694"/>
      <c r="DX365" s="694"/>
      <c r="DY365" s="694"/>
      <c r="DZ365" s="694"/>
      <c r="EA365" s="694">
        <v>2</v>
      </c>
      <c r="EB365" s="694"/>
      <c r="EC365" s="694"/>
      <c r="ED365" s="694"/>
      <c r="EE365" s="694"/>
      <c r="EF365" s="694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7"/>
    </row>
    <row r="366" spans="1:163" s="696" customFormat="1">
      <c r="A366" s="690"/>
      <c r="B366" s="690"/>
      <c r="C366" s="708" t="s">
        <v>3640</v>
      </c>
      <c r="D366" s="691"/>
      <c r="E366" s="692">
        <v>33.700000000000003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/>
      <c r="Q366" s="692"/>
      <c r="R366" s="693"/>
      <c r="S366" s="693"/>
      <c r="T366" s="692"/>
      <c r="U366" s="692" t="s">
        <v>1631</v>
      </c>
      <c r="V366" s="694"/>
      <c r="W366" s="694"/>
      <c r="X366" s="694"/>
      <c r="Y366" s="694"/>
      <c r="Z366" s="694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4"/>
      <c r="BL366" s="694"/>
      <c r="BM366" s="694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  <c r="BX366" s="694"/>
      <c r="BY366" s="694"/>
      <c r="BZ366" s="694"/>
      <c r="CA366" s="694"/>
      <c r="CB366" s="694"/>
      <c r="CC366" s="694"/>
      <c r="CD366" s="694"/>
      <c r="CE366" s="694"/>
      <c r="CF366" s="694"/>
      <c r="CG366" s="694"/>
      <c r="CH366" s="694"/>
      <c r="CI366" s="694"/>
      <c r="CJ366" s="694"/>
      <c r="CK366" s="694"/>
      <c r="CL366" s="694"/>
      <c r="CM366" s="694"/>
      <c r="CN366" s="694"/>
      <c r="CO366" s="694"/>
      <c r="CP366" s="694"/>
      <c r="CQ366" s="694"/>
      <c r="CR366" s="694"/>
      <c r="CS366" s="694"/>
      <c r="CT366" s="694"/>
      <c r="CU366" s="694"/>
      <c r="CV366" s="695"/>
      <c r="CW366" s="695">
        <f t="shared" si="47"/>
        <v>33.700000000000003</v>
      </c>
      <c r="CX366" s="695"/>
      <c r="CY366" s="695"/>
      <c r="CZ366" s="695"/>
      <c r="DA366" s="695">
        <f t="shared" si="48"/>
        <v>67.400000000000006</v>
      </c>
      <c r="DB366" s="695"/>
      <c r="DC366" s="695"/>
      <c r="DD366" s="695"/>
      <c r="DE366" s="695"/>
      <c r="DF366" s="695"/>
      <c r="DG366" s="695"/>
      <c r="DH366" s="695"/>
      <c r="DI366" s="694"/>
      <c r="DJ366" s="694"/>
      <c r="DK366" s="694">
        <v>1</v>
      </c>
      <c r="DL366" s="694"/>
      <c r="DM366" s="694">
        <v>3</v>
      </c>
      <c r="DN366" s="694"/>
      <c r="DO366" s="694"/>
      <c r="DP366" s="694"/>
      <c r="DQ366" s="694"/>
      <c r="DR366" s="694"/>
      <c r="DS366" s="694"/>
      <c r="DT366" s="694"/>
      <c r="DU366" s="694"/>
      <c r="DV366" s="694"/>
      <c r="DW366" s="694"/>
      <c r="DX366" s="694"/>
      <c r="DY366" s="694"/>
      <c r="DZ366" s="694"/>
      <c r="EA366" s="694">
        <v>2</v>
      </c>
      <c r="EB366" s="694"/>
      <c r="EC366" s="694"/>
      <c r="ED366" s="694"/>
      <c r="EE366" s="694"/>
      <c r="EF366" s="694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7"/>
    </row>
    <row r="367" spans="1:163" s="696" customFormat="1">
      <c r="A367" s="690"/>
      <c r="B367" s="690"/>
      <c r="C367" s="708" t="s">
        <v>3641</v>
      </c>
      <c r="D367" s="691"/>
      <c r="E367" s="692">
        <v>34.4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/>
      <c r="Q367" s="692"/>
      <c r="R367" s="693"/>
      <c r="S367" s="693"/>
      <c r="T367" s="692"/>
      <c r="U367" s="692" t="s">
        <v>2990</v>
      </c>
      <c r="V367" s="694"/>
      <c r="W367" s="694"/>
      <c r="X367" s="694"/>
      <c r="Y367" s="694"/>
      <c r="Z367" s="694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4"/>
      <c r="BL367" s="694"/>
      <c r="BM367" s="694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  <c r="BX367" s="694"/>
      <c r="BY367" s="694"/>
      <c r="BZ367" s="694"/>
      <c r="CA367" s="694"/>
      <c r="CB367" s="694"/>
      <c r="CC367" s="694"/>
      <c r="CD367" s="694"/>
      <c r="CE367" s="694"/>
      <c r="CF367" s="694"/>
      <c r="CG367" s="694"/>
      <c r="CH367" s="694"/>
      <c r="CI367" s="694"/>
      <c r="CJ367" s="694"/>
      <c r="CK367" s="694"/>
      <c r="CL367" s="694"/>
      <c r="CM367" s="694"/>
      <c r="CN367" s="694"/>
      <c r="CO367" s="694"/>
      <c r="CP367" s="694"/>
      <c r="CQ367" s="694"/>
      <c r="CR367" s="694"/>
      <c r="CS367" s="694"/>
      <c r="CT367" s="694"/>
      <c r="CU367" s="694"/>
      <c r="CV367" s="695"/>
      <c r="CW367" s="695">
        <f t="shared" si="47"/>
        <v>34.4</v>
      </c>
      <c r="CX367" s="695"/>
      <c r="CY367" s="695"/>
      <c r="CZ367" s="695"/>
      <c r="DA367" s="695">
        <f t="shared" si="48"/>
        <v>68.8</v>
      </c>
      <c r="DB367" s="695"/>
      <c r="DC367" s="695"/>
      <c r="DD367" s="695"/>
      <c r="DE367" s="695"/>
      <c r="DF367" s="695"/>
      <c r="DG367" s="695"/>
      <c r="DH367" s="695"/>
      <c r="DI367" s="694"/>
      <c r="DJ367" s="694"/>
      <c r="DK367" s="694">
        <v>1</v>
      </c>
      <c r="DL367" s="694"/>
      <c r="DM367" s="694">
        <v>3</v>
      </c>
      <c r="DN367" s="694">
        <v>1</v>
      </c>
      <c r="DO367" s="694">
        <v>3</v>
      </c>
      <c r="DP367" s="694">
        <v>2</v>
      </c>
      <c r="DQ367" s="694"/>
      <c r="DR367" s="694"/>
      <c r="DS367" s="694"/>
      <c r="DT367" s="694"/>
      <c r="DU367" s="694"/>
      <c r="DV367" s="694"/>
      <c r="DW367" s="694"/>
      <c r="DX367" s="694"/>
      <c r="DY367" s="694"/>
      <c r="DZ367" s="694"/>
      <c r="EA367" s="694">
        <v>2</v>
      </c>
      <c r="EB367" s="694"/>
      <c r="EC367" s="694"/>
      <c r="ED367" s="694"/>
      <c r="EE367" s="694"/>
      <c r="EF367" s="694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7"/>
    </row>
    <row r="368" spans="1:163" s="696" customFormat="1">
      <c r="A368" s="690"/>
      <c r="B368" s="690"/>
      <c r="C368" s="708" t="s">
        <v>3647</v>
      </c>
      <c r="D368" s="691"/>
      <c r="E368" s="692">
        <v>39.799999999999997</v>
      </c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/>
      <c r="Q368" s="692"/>
      <c r="R368" s="693"/>
      <c r="S368" s="693"/>
      <c r="T368" s="692"/>
      <c r="U368" s="692" t="s">
        <v>1631</v>
      </c>
      <c r="V368" s="694"/>
      <c r="W368" s="694"/>
      <c r="X368" s="694"/>
      <c r="Y368" s="694"/>
      <c r="Z368" s="694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694"/>
      <c r="BL368" s="694"/>
      <c r="BM368" s="694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  <c r="BX368" s="694"/>
      <c r="BY368" s="694"/>
      <c r="BZ368" s="694"/>
      <c r="CA368" s="694"/>
      <c r="CB368" s="694"/>
      <c r="CC368" s="694"/>
      <c r="CD368" s="694"/>
      <c r="CE368" s="694"/>
      <c r="CF368" s="694"/>
      <c r="CG368" s="694"/>
      <c r="CH368" s="694"/>
      <c r="CI368" s="694"/>
      <c r="CJ368" s="694"/>
      <c r="CK368" s="694"/>
      <c r="CL368" s="694"/>
      <c r="CM368" s="694"/>
      <c r="CN368" s="694"/>
      <c r="CO368" s="694"/>
      <c r="CP368" s="694"/>
      <c r="CQ368" s="694"/>
      <c r="CR368" s="694"/>
      <c r="CS368" s="694"/>
      <c r="CT368" s="694"/>
      <c r="CU368" s="694"/>
      <c r="CV368" s="695"/>
      <c r="CW368" s="695">
        <f t="shared" si="47"/>
        <v>39.799999999999997</v>
      </c>
      <c r="CX368" s="695"/>
      <c r="CY368" s="695"/>
      <c r="CZ368" s="695"/>
      <c r="DA368" s="695">
        <f t="shared" si="48"/>
        <v>79.599999999999994</v>
      </c>
      <c r="DB368" s="695"/>
      <c r="DC368" s="695"/>
      <c r="DD368" s="695"/>
      <c r="DE368" s="695"/>
      <c r="DF368" s="695"/>
      <c r="DG368" s="695"/>
      <c r="DH368" s="695"/>
      <c r="DI368" s="694"/>
      <c r="DJ368" s="694"/>
      <c r="DK368" s="694">
        <v>1</v>
      </c>
      <c r="DL368" s="694"/>
      <c r="DM368" s="694">
        <v>3</v>
      </c>
      <c r="DN368" s="694">
        <v>1</v>
      </c>
      <c r="DO368" s="694">
        <v>3</v>
      </c>
      <c r="DP368" s="694">
        <v>2</v>
      </c>
      <c r="DQ368" s="694"/>
      <c r="DR368" s="694"/>
      <c r="DS368" s="694"/>
      <c r="DT368" s="694"/>
      <c r="DU368" s="694"/>
      <c r="DV368" s="694"/>
      <c r="DW368" s="694"/>
      <c r="DX368" s="694"/>
      <c r="DY368" s="694"/>
      <c r="DZ368" s="694"/>
      <c r="EA368" s="694">
        <v>2</v>
      </c>
      <c r="EB368" s="694"/>
      <c r="EC368" s="694"/>
      <c r="ED368" s="694"/>
      <c r="EE368" s="694"/>
      <c r="EF368" s="694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7"/>
    </row>
    <row r="369" spans="1:167" s="696" customFormat="1">
      <c r="A369" s="690"/>
      <c r="B369" s="690"/>
      <c r="C369" s="708" t="s">
        <v>3648</v>
      </c>
      <c r="D369" s="691"/>
      <c r="E369" s="692">
        <v>35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/>
      <c r="Q369" s="692"/>
      <c r="R369" s="693"/>
      <c r="S369" s="693"/>
      <c r="T369" s="692"/>
      <c r="U369" s="692" t="s">
        <v>1631</v>
      </c>
      <c r="V369" s="694"/>
      <c r="W369" s="694"/>
      <c r="X369" s="694"/>
      <c r="Y369" s="694"/>
      <c r="Z369" s="694"/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4"/>
      <c r="BL369" s="694"/>
      <c r="BM369" s="694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  <c r="BX369" s="694"/>
      <c r="BY369" s="694"/>
      <c r="BZ369" s="694"/>
      <c r="CA369" s="694"/>
      <c r="CB369" s="694"/>
      <c r="CC369" s="694"/>
      <c r="CD369" s="694"/>
      <c r="CE369" s="694"/>
      <c r="CF369" s="694"/>
      <c r="CG369" s="694"/>
      <c r="CH369" s="694"/>
      <c r="CI369" s="694"/>
      <c r="CJ369" s="694"/>
      <c r="CK369" s="694"/>
      <c r="CL369" s="694"/>
      <c r="CM369" s="694"/>
      <c r="CN369" s="694"/>
      <c r="CO369" s="694"/>
      <c r="CP369" s="694"/>
      <c r="CQ369" s="694"/>
      <c r="CR369" s="694"/>
      <c r="CS369" s="694"/>
      <c r="CT369" s="694"/>
      <c r="CU369" s="694"/>
      <c r="CV369" s="695"/>
      <c r="CW369" s="695">
        <f t="shared" si="47"/>
        <v>35</v>
      </c>
      <c r="CX369" s="695"/>
      <c r="CY369" s="695"/>
      <c r="CZ369" s="695"/>
      <c r="DA369" s="695">
        <f t="shared" si="48"/>
        <v>70</v>
      </c>
      <c r="DB369" s="695"/>
      <c r="DC369" s="695"/>
      <c r="DD369" s="695"/>
      <c r="DE369" s="695"/>
      <c r="DF369" s="695"/>
      <c r="DG369" s="695"/>
      <c r="DH369" s="695"/>
      <c r="DI369" s="694"/>
      <c r="DJ369" s="694"/>
      <c r="DK369" s="694">
        <v>1</v>
      </c>
      <c r="DL369" s="694"/>
      <c r="DM369" s="694">
        <v>3</v>
      </c>
      <c r="DN369" s="694">
        <v>1</v>
      </c>
      <c r="DO369" s="694">
        <v>3</v>
      </c>
      <c r="DP369" s="694">
        <v>2</v>
      </c>
      <c r="DQ369" s="694"/>
      <c r="DR369" s="694"/>
      <c r="DS369" s="694"/>
      <c r="DT369" s="694"/>
      <c r="DU369" s="694"/>
      <c r="DV369" s="694"/>
      <c r="DW369" s="694"/>
      <c r="DX369" s="694"/>
      <c r="DY369" s="694"/>
      <c r="DZ369" s="694"/>
      <c r="EA369" s="694">
        <v>2</v>
      </c>
      <c r="EB369" s="694"/>
      <c r="EC369" s="694"/>
      <c r="ED369" s="694"/>
      <c r="EE369" s="694"/>
      <c r="EF369" s="694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7"/>
    </row>
    <row r="370" spans="1:167" s="696" customFormat="1">
      <c r="A370" s="690"/>
      <c r="B370" s="690"/>
      <c r="C370" s="708" t="s">
        <v>3649</v>
      </c>
      <c r="D370" s="691"/>
      <c r="E370" s="692">
        <v>35.5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/>
      <c r="Q370" s="692"/>
      <c r="R370" s="693"/>
      <c r="S370" s="693"/>
      <c r="T370" s="692"/>
      <c r="U370" s="692" t="s">
        <v>1631</v>
      </c>
      <c r="V370" s="694"/>
      <c r="W370" s="694"/>
      <c r="X370" s="694"/>
      <c r="Y370" s="694"/>
      <c r="Z370" s="694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4"/>
      <c r="BL370" s="694"/>
      <c r="BM370" s="694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  <c r="BX370" s="694"/>
      <c r="BY370" s="694"/>
      <c r="BZ370" s="694"/>
      <c r="CA370" s="694"/>
      <c r="CB370" s="694"/>
      <c r="CC370" s="694"/>
      <c r="CD370" s="694"/>
      <c r="CE370" s="694"/>
      <c r="CF370" s="694"/>
      <c r="CG370" s="694"/>
      <c r="CH370" s="694"/>
      <c r="CI370" s="694"/>
      <c r="CJ370" s="694"/>
      <c r="CK370" s="694"/>
      <c r="CL370" s="694"/>
      <c r="CM370" s="694"/>
      <c r="CN370" s="694"/>
      <c r="CO370" s="694"/>
      <c r="CP370" s="694"/>
      <c r="CQ370" s="694"/>
      <c r="CR370" s="694"/>
      <c r="CS370" s="694"/>
      <c r="CT370" s="694"/>
      <c r="CU370" s="694"/>
      <c r="CV370" s="695"/>
      <c r="CW370" s="695">
        <f t="shared" si="47"/>
        <v>35.5</v>
      </c>
      <c r="CX370" s="695"/>
      <c r="CY370" s="695"/>
      <c r="CZ370" s="695"/>
      <c r="DA370" s="695">
        <f t="shared" si="48"/>
        <v>71</v>
      </c>
      <c r="DB370" s="695"/>
      <c r="DC370" s="695"/>
      <c r="DD370" s="695"/>
      <c r="DE370" s="695"/>
      <c r="DF370" s="695"/>
      <c r="DG370" s="695"/>
      <c r="DH370" s="695"/>
      <c r="DI370" s="694"/>
      <c r="DJ370" s="694"/>
      <c r="DK370" s="694">
        <v>1</v>
      </c>
      <c r="DL370" s="694"/>
      <c r="DM370" s="694">
        <v>3</v>
      </c>
      <c r="DN370" s="694"/>
      <c r="DO370" s="694"/>
      <c r="DP370" s="694"/>
      <c r="DQ370" s="694"/>
      <c r="DR370" s="694"/>
      <c r="DS370" s="694"/>
      <c r="DT370" s="694"/>
      <c r="DU370" s="694"/>
      <c r="DV370" s="694"/>
      <c r="DW370" s="694"/>
      <c r="DX370" s="694"/>
      <c r="DY370" s="694"/>
      <c r="DZ370" s="694"/>
      <c r="EA370" s="694">
        <v>2</v>
      </c>
      <c r="EB370" s="694"/>
      <c r="EC370" s="694"/>
      <c r="ED370" s="694"/>
      <c r="EE370" s="694"/>
      <c r="EF370" s="694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7"/>
    </row>
    <row r="371" spans="1:167" s="696" customFormat="1">
      <c r="A371" s="690"/>
      <c r="B371" s="690"/>
      <c r="C371" s="708" t="s">
        <v>3650</v>
      </c>
      <c r="D371" s="691"/>
      <c r="E371" s="692">
        <v>31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/>
      <c r="Q371" s="692"/>
      <c r="R371" s="693"/>
      <c r="S371" s="693"/>
      <c r="T371" s="692"/>
      <c r="U371" s="692" t="s">
        <v>1631</v>
      </c>
      <c r="V371" s="694"/>
      <c r="W371" s="694"/>
      <c r="X371" s="694"/>
      <c r="Y371" s="694"/>
      <c r="Z371" s="694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4"/>
      <c r="BL371" s="694"/>
      <c r="BM371" s="694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  <c r="BX371" s="694"/>
      <c r="BY371" s="694"/>
      <c r="BZ371" s="694"/>
      <c r="CA371" s="694"/>
      <c r="CB371" s="694"/>
      <c r="CC371" s="694"/>
      <c r="CD371" s="694"/>
      <c r="CE371" s="694"/>
      <c r="CF371" s="694"/>
      <c r="CG371" s="694"/>
      <c r="CH371" s="694"/>
      <c r="CI371" s="694"/>
      <c r="CJ371" s="694"/>
      <c r="CK371" s="694"/>
      <c r="CL371" s="694"/>
      <c r="CM371" s="694"/>
      <c r="CN371" s="694"/>
      <c r="CO371" s="694"/>
      <c r="CP371" s="694"/>
      <c r="CQ371" s="694"/>
      <c r="CR371" s="694"/>
      <c r="CS371" s="694"/>
      <c r="CT371" s="694"/>
      <c r="CU371" s="694"/>
      <c r="CV371" s="695"/>
      <c r="CW371" s="695">
        <f t="shared" si="47"/>
        <v>31</v>
      </c>
      <c r="CX371" s="695"/>
      <c r="CY371" s="695"/>
      <c r="CZ371" s="695"/>
      <c r="DA371" s="695">
        <f t="shared" si="48"/>
        <v>62</v>
      </c>
      <c r="DB371" s="695"/>
      <c r="DC371" s="695"/>
      <c r="DD371" s="695"/>
      <c r="DE371" s="695"/>
      <c r="DF371" s="695"/>
      <c r="DG371" s="695"/>
      <c r="DH371" s="695"/>
      <c r="DI371" s="694"/>
      <c r="DJ371" s="694"/>
      <c r="DK371" s="694">
        <v>1</v>
      </c>
      <c r="DL371" s="694"/>
      <c r="DM371" s="694">
        <v>3</v>
      </c>
      <c r="DN371" s="694">
        <v>1</v>
      </c>
      <c r="DO371" s="694">
        <v>3</v>
      </c>
      <c r="DP371" s="694">
        <v>2</v>
      </c>
      <c r="DQ371" s="694"/>
      <c r="DR371" s="694"/>
      <c r="DS371" s="694"/>
      <c r="DT371" s="694"/>
      <c r="DU371" s="694"/>
      <c r="DV371" s="694"/>
      <c r="DW371" s="694"/>
      <c r="DX371" s="694"/>
      <c r="DY371" s="694"/>
      <c r="DZ371" s="694"/>
      <c r="EA371" s="694">
        <v>2</v>
      </c>
      <c r="EB371" s="694"/>
      <c r="EC371" s="694"/>
      <c r="ED371" s="694"/>
      <c r="EE371" s="694"/>
      <c r="EF371" s="694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7"/>
    </row>
    <row r="372" spans="1:167" s="696" customFormat="1">
      <c r="A372" s="690"/>
      <c r="B372" s="690"/>
      <c r="C372" s="708" t="s">
        <v>3651</v>
      </c>
      <c r="D372" s="691"/>
      <c r="E372" s="692">
        <v>38.200000000000003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/>
      <c r="Q372" s="692"/>
      <c r="R372" s="693"/>
      <c r="S372" s="693"/>
      <c r="T372" s="692"/>
      <c r="U372" s="692" t="s">
        <v>1631</v>
      </c>
      <c r="V372" s="694"/>
      <c r="W372" s="694"/>
      <c r="X372" s="694"/>
      <c r="Y372" s="694"/>
      <c r="Z372" s="694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694"/>
      <c r="BL372" s="694"/>
      <c r="BM372" s="694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  <c r="BX372" s="694"/>
      <c r="BY372" s="694"/>
      <c r="BZ372" s="694"/>
      <c r="CA372" s="694"/>
      <c r="CB372" s="694"/>
      <c r="CC372" s="694"/>
      <c r="CD372" s="694"/>
      <c r="CE372" s="694"/>
      <c r="CF372" s="694"/>
      <c r="CG372" s="694"/>
      <c r="CH372" s="694"/>
      <c r="CI372" s="694"/>
      <c r="CJ372" s="694"/>
      <c r="CK372" s="694"/>
      <c r="CL372" s="694"/>
      <c r="CM372" s="694"/>
      <c r="CN372" s="694"/>
      <c r="CO372" s="694"/>
      <c r="CP372" s="694"/>
      <c r="CQ372" s="694"/>
      <c r="CR372" s="694"/>
      <c r="CS372" s="694"/>
      <c r="CT372" s="694"/>
      <c r="CU372" s="694"/>
      <c r="CV372" s="695"/>
      <c r="CW372" s="695">
        <f t="shared" si="47"/>
        <v>38.200000000000003</v>
      </c>
      <c r="CX372" s="695"/>
      <c r="CY372" s="695"/>
      <c r="CZ372" s="695"/>
      <c r="DA372" s="695">
        <f t="shared" si="48"/>
        <v>76.400000000000006</v>
      </c>
      <c r="DB372" s="695"/>
      <c r="DC372" s="695"/>
      <c r="DD372" s="695"/>
      <c r="DE372" s="695"/>
      <c r="DF372" s="695"/>
      <c r="DG372" s="695"/>
      <c r="DH372" s="695"/>
      <c r="DI372" s="694"/>
      <c r="DJ372" s="694"/>
      <c r="DK372" s="694">
        <v>1</v>
      </c>
      <c r="DL372" s="694"/>
      <c r="DM372" s="694">
        <v>3</v>
      </c>
      <c r="DN372" s="694">
        <v>1</v>
      </c>
      <c r="DO372" s="694">
        <v>3</v>
      </c>
      <c r="DP372" s="694">
        <v>2</v>
      </c>
      <c r="DQ372" s="694"/>
      <c r="DR372" s="694"/>
      <c r="DS372" s="694"/>
      <c r="DT372" s="694"/>
      <c r="DU372" s="694"/>
      <c r="DV372" s="694"/>
      <c r="DW372" s="694"/>
      <c r="DX372" s="694"/>
      <c r="DY372" s="694"/>
      <c r="DZ372" s="694"/>
      <c r="EA372" s="694">
        <v>2</v>
      </c>
      <c r="EB372" s="694"/>
      <c r="EC372" s="694"/>
      <c r="ED372" s="694"/>
      <c r="EE372" s="694"/>
      <c r="EF372" s="694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7"/>
    </row>
    <row r="373" spans="1:167" s="696" customFormat="1">
      <c r="A373" s="690"/>
      <c r="B373" s="690"/>
      <c r="C373" s="708" t="s">
        <v>3652</v>
      </c>
      <c r="D373" s="691"/>
      <c r="E373" s="692">
        <v>50.6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/>
      <c r="Q373" s="692"/>
      <c r="R373" s="693"/>
      <c r="S373" s="693"/>
      <c r="T373" s="692"/>
      <c r="U373" s="692" t="s">
        <v>1631</v>
      </c>
      <c r="V373" s="694"/>
      <c r="W373" s="694"/>
      <c r="X373" s="694"/>
      <c r="Y373" s="694"/>
      <c r="Z373" s="694"/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4"/>
      <c r="BL373" s="694"/>
      <c r="BM373" s="694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  <c r="BX373" s="694"/>
      <c r="BY373" s="694"/>
      <c r="BZ373" s="694"/>
      <c r="CA373" s="694"/>
      <c r="CB373" s="694"/>
      <c r="CC373" s="694"/>
      <c r="CD373" s="694"/>
      <c r="CE373" s="694"/>
      <c r="CF373" s="694"/>
      <c r="CG373" s="694"/>
      <c r="CH373" s="694"/>
      <c r="CI373" s="694"/>
      <c r="CJ373" s="694"/>
      <c r="CK373" s="694"/>
      <c r="CL373" s="694"/>
      <c r="CM373" s="694"/>
      <c r="CN373" s="694"/>
      <c r="CO373" s="694"/>
      <c r="CP373" s="694"/>
      <c r="CQ373" s="694"/>
      <c r="CR373" s="694"/>
      <c r="CS373" s="694"/>
      <c r="CT373" s="694"/>
      <c r="CU373" s="694"/>
      <c r="CV373" s="695"/>
      <c r="CW373" s="695">
        <f t="shared" si="47"/>
        <v>50.6</v>
      </c>
      <c r="CX373" s="695"/>
      <c r="CY373" s="695"/>
      <c r="CZ373" s="695"/>
      <c r="DA373" s="695">
        <f t="shared" si="48"/>
        <v>101.2</v>
      </c>
      <c r="DB373" s="695"/>
      <c r="DC373" s="695"/>
      <c r="DD373" s="695"/>
      <c r="DE373" s="695"/>
      <c r="DF373" s="695"/>
      <c r="DG373" s="695"/>
      <c r="DH373" s="695"/>
      <c r="DI373" s="694"/>
      <c r="DJ373" s="694"/>
      <c r="DK373" s="694">
        <v>1</v>
      </c>
      <c r="DL373" s="694"/>
      <c r="DM373" s="694">
        <v>3</v>
      </c>
      <c r="DN373" s="694">
        <v>1</v>
      </c>
      <c r="DO373" s="694">
        <v>3</v>
      </c>
      <c r="DP373" s="694">
        <v>2</v>
      </c>
      <c r="DQ373" s="694"/>
      <c r="DR373" s="694"/>
      <c r="DS373" s="694"/>
      <c r="DT373" s="694"/>
      <c r="DU373" s="694"/>
      <c r="DV373" s="694"/>
      <c r="DW373" s="694"/>
      <c r="DX373" s="694"/>
      <c r="DY373" s="694"/>
      <c r="DZ373" s="694"/>
      <c r="EA373" s="694">
        <v>2</v>
      </c>
      <c r="EB373" s="694"/>
      <c r="EC373" s="694"/>
      <c r="ED373" s="694"/>
      <c r="EE373" s="694"/>
      <c r="EF373" s="694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7"/>
    </row>
    <row r="374" spans="1:167" s="696" customFormat="1">
      <c r="A374" s="690"/>
      <c r="B374" s="690"/>
      <c r="C374" s="708" t="s">
        <v>3653</v>
      </c>
      <c r="D374" s="691"/>
      <c r="E374" s="692">
        <v>39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/>
      <c r="Q374" s="692"/>
      <c r="R374" s="693"/>
      <c r="S374" s="693"/>
      <c r="T374" s="692"/>
      <c r="U374" s="692" t="s">
        <v>1631</v>
      </c>
      <c r="V374" s="694"/>
      <c r="W374" s="694"/>
      <c r="X374" s="694"/>
      <c r="Y374" s="694"/>
      <c r="Z374" s="694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4"/>
      <c r="BL374" s="694"/>
      <c r="BM374" s="694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  <c r="BX374" s="694"/>
      <c r="BY374" s="694"/>
      <c r="BZ374" s="694"/>
      <c r="CA374" s="694"/>
      <c r="CB374" s="694"/>
      <c r="CC374" s="694"/>
      <c r="CD374" s="694"/>
      <c r="CE374" s="694"/>
      <c r="CF374" s="694"/>
      <c r="CG374" s="694"/>
      <c r="CH374" s="694"/>
      <c r="CI374" s="694"/>
      <c r="CJ374" s="694"/>
      <c r="CK374" s="694"/>
      <c r="CL374" s="694"/>
      <c r="CM374" s="694"/>
      <c r="CN374" s="694"/>
      <c r="CO374" s="694"/>
      <c r="CP374" s="694"/>
      <c r="CQ374" s="694"/>
      <c r="CR374" s="694"/>
      <c r="CS374" s="694"/>
      <c r="CT374" s="694"/>
      <c r="CU374" s="694"/>
      <c r="CV374" s="695"/>
      <c r="CW374" s="695">
        <f t="shared" si="47"/>
        <v>39</v>
      </c>
      <c r="CX374" s="695"/>
      <c r="CY374" s="695"/>
      <c r="CZ374" s="695"/>
      <c r="DA374" s="695">
        <f t="shared" si="48"/>
        <v>78</v>
      </c>
      <c r="DB374" s="695"/>
      <c r="DC374" s="695"/>
      <c r="DD374" s="695"/>
      <c r="DE374" s="695"/>
      <c r="DF374" s="695"/>
      <c r="DG374" s="695"/>
      <c r="DH374" s="695"/>
      <c r="DI374" s="694"/>
      <c r="DJ374" s="694"/>
      <c r="DK374" s="694">
        <v>1</v>
      </c>
      <c r="DL374" s="694"/>
      <c r="DM374" s="694">
        <v>3</v>
      </c>
      <c r="DN374" s="694">
        <v>1</v>
      </c>
      <c r="DO374" s="694">
        <v>3</v>
      </c>
      <c r="DP374" s="694">
        <v>2</v>
      </c>
      <c r="DQ374" s="694"/>
      <c r="DR374" s="694"/>
      <c r="DS374" s="694"/>
      <c r="DT374" s="694"/>
      <c r="DU374" s="694"/>
      <c r="DV374" s="694"/>
      <c r="DW374" s="694"/>
      <c r="DX374" s="694"/>
      <c r="DY374" s="694"/>
      <c r="DZ374" s="694"/>
      <c r="EA374" s="694">
        <v>2</v>
      </c>
      <c r="EB374" s="694"/>
      <c r="EC374" s="694"/>
      <c r="ED374" s="694"/>
      <c r="EE374" s="694"/>
      <c r="EF374" s="694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7"/>
    </row>
    <row r="375" spans="1:167" s="696" customFormat="1">
      <c r="A375" s="690"/>
      <c r="B375" s="690"/>
      <c r="C375" s="708" t="s">
        <v>3654</v>
      </c>
      <c r="D375" s="691"/>
      <c r="E375" s="692">
        <v>46.1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/>
      <c r="Q375" s="692"/>
      <c r="R375" s="693"/>
      <c r="S375" s="693"/>
      <c r="T375" s="692"/>
      <c r="U375" s="692" t="s">
        <v>2989</v>
      </c>
      <c r="V375" s="694"/>
      <c r="W375" s="694"/>
      <c r="X375" s="694"/>
      <c r="Y375" s="694"/>
      <c r="Z375" s="694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4"/>
      <c r="BL375" s="694"/>
      <c r="BM375" s="694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  <c r="BX375" s="694"/>
      <c r="BY375" s="694"/>
      <c r="BZ375" s="694"/>
      <c r="CA375" s="694"/>
      <c r="CB375" s="694"/>
      <c r="CC375" s="694"/>
      <c r="CD375" s="694"/>
      <c r="CE375" s="694"/>
      <c r="CF375" s="694"/>
      <c r="CG375" s="694"/>
      <c r="CH375" s="694"/>
      <c r="CI375" s="694"/>
      <c r="CJ375" s="694"/>
      <c r="CK375" s="694"/>
      <c r="CL375" s="694"/>
      <c r="CM375" s="694"/>
      <c r="CN375" s="694"/>
      <c r="CO375" s="694"/>
      <c r="CP375" s="694"/>
      <c r="CQ375" s="694"/>
      <c r="CR375" s="694"/>
      <c r="CS375" s="694"/>
      <c r="CT375" s="694"/>
      <c r="CU375" s="694"/>
      <c r="CV375" s="695"/>
      <c r="CW375" s="695">
        <f t="shared" si="47"/>
        <v>46.1</v>
      </c>
      <c r="CX375" s="695"/>
      <c r="CY375" s="695"/>
      <c r="CZ375" s="695"/>
      <c r="DA375" s="695">
        <f t="shared" si="48"/>
        <v>92.2</v>
      </c>
      <c r="DB375" s="695"/>
      <c r="DC375" s="695"/>
      <c r="DD375" s="695"/>
      <c r="DE375" s="695"/>
      <c r="DF375" s="695"/>
      <c r="DG375" s="695"/>
      <c r="DH375" s="695"/>
      <c r="DI375" s="694"/>
      <c r="DJ375" s="694"/>
      <c r="DK375" s="694">
        <v>2</v>
      </c>
      <c r="DL375" s="694"/>
      <c r="DM375" s="694">
        <v>6</v>
      </c>
      <c r="DN375" s="694">
        <v>1</v>
      </c>
      <c r="DO375" s="694">
        <v>3</v>
      </c>
      <c r="DP375" s="694">
        <v>2</v>
      </c>
      <c r="DQ375" s="694"/>
      <c r="DR375" s="694"/>
      <c r="DS375" s="694"/>
      <c r="DT375" s="694"/>
      <c r="DU375" s="694"/>
      <c r="DV375" s="694"/>
      <c r="DW375" s="694"/>
      <c r="DX375" s="694"/>
      <c r="DY375" s="694"/>
      <c r="DZ375" s="694"/>
      <c r="EA375" s="694">
        <v>2</v>
      </c>
      <c r="EB375" s="694"/>
      <c r="EC375" s="694"/>
      <c r="ED375" s="694"/>
      <c r="EE375" s="694"/>
      <c r="EF375" s="694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7"/>
    </row>
    <row r="376" spans="1:167" s="696" customFormat="1">
      <c r="A376" s="690"/>
      <c r="B376" s="690"/>
      <c r="C376" s="708" t="s">
        <v>3655</v>
      </c>
      <c r="D376" s="691"/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/>
      <c r="Q376" s="692"/>
      <c r="R376" s="693"/>
      <c r="S376" s="693"/>
      <c r="T376" s="692"/>
      <c r="U376" s="692" t="s">
        <v>1631</v>
      </c>
      <c r="V376" s="694"/>
      <c r="W376" s="694"/>
      <c r="X376" s="694"/>
      <c r="Y376" s="694"/>
      <c r="Z376" s="694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694"/>
      <c r="BL376" s="694"/>
      <c r="BM376" s="694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  <c r="BX376" s="694"/>
      <c r="BY376" s="694"/>
      <c r="BZ376" s="694"/>
      <c r="CA376" s="694"/>
      <c r="CB376" s="694"/>
      <c r="CC376" s="694"/>
      <c r="CD376" s="694"/>
      <c r="CE376" s="694"/>
      <c r="CF376" s="694"/>
      <c r="CG376" s="694"/>
      <c r="CH376" s="694"/>
      <c r="CI376" s="694"/>
      <c r="CJ376" s="694"/>
      <c r="CK376" s="694"/>
      <c r="CL376" s="694"/>
      <c r="CM376" s="694"/>
      <c r="CN376" s="694"/>
      <c r="CO376" s="694"/>
      <c r="CP376" s="694"/>
      <c r="CQ376" s="694"/>
      <c r="CR376" s="694"/>
      <c r="CS376" s="694"/>
      <c r="CT376" s="694"/>
      <c r="CU376" s="694"/>
      <c r="CV376" s="695"/>
      <c r="CW376" s="695">
        <f t="shared" si="47"/>
        <v>34</v>
      </c>
      <c r="CX376" s="695"/>
      <c r="CY376" s="695"/>
      <c r="CZ376" s="695"/>
      <c r="DA376" s="695">
        <f t="shared" si="48"/>
        <v>68</v>
      </c>
      <c r="DB376" s="695"/>
      <c r="DC376" s="695"/>
      <c r="DD376" s="695"/>
      <c r="DE376" s="695"/>
      <c r="DF376" s="695"/>
      <c r="DG376" s="695"/>
      <c r="DH376" s="695"/>
      <c r="DI376" s="694"/>
      <c r="DJ376" s="694"/>
      <c r="DK376" s="694">
        <v>1</v>
      </c>
      <c r="DL376" s="694"/>
      <c r="DM376" s="694">
        <v>3</v>
      </c>
      <c r="DN376" s="694">
        <v>1</v>
      </c>
      <c r="DO376" s="694">
        <v>3</v>
      </c>
      <c r="DP376" s="694">
        <v>2</v>
      </c>
      <c r="DQ376" s="694"/>
      <c r="DR376" s="694"/>
      <c r="DS376" s="694"/>
      <c r="DT376" s="694"/>
      <c r="DU376" s="694"/>
      <c r="DV376" s="694"/>
      <c r="DW376" s="694"/>
      <c r="DX376" s="694"/>
      <c r="DY376" s="694"/>
      <c r="DZ376" s="694"/>
      <c r="EA376" s="694">
        <v>2</v>
      </c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7"/>
    </row>
    <row r="377" spans="1:167" s="696" customFormat="1">
      <c r="A377" s="690"/>
      <c r="B377" s="690"/>
      <c r="C377" s="708" t="s">
        <v>3656</v>
      </c>
      <c r="D377" s="691"/>
      <c r="E377" s="692">
        <v>37.299999999999997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/>
      <c r="Q377" s="692"/>
      <c r="R377" s="693"/>
      <c r="S377" s="693"/>
      <c r="T377" s="692"/>
      <c r="U377" s="692" t="s">
        <v>2990</v>
      </c>
      <c r="V377" s="694"/>
      <c r="W377" s="694"/>
      <c r="X377" s="694"/>
      <c r="Y377" s="694"/>
      <c r="Z377" s="694"/>
      <c r="AA377" s="694"/>
      <c r="AB377" s="694"/>
      <c r="AC377" s="694"/>
      <c r="AD377" s="694"/>
      <c r="AE377" s="694"/>
      <c r="AF377" s="694"/>
      <c r="AG377" s="694"/>
      <c r="AH377" s="694"/>
      <c r="AI377" s="694"/>
      <c r="AJ377" s="694"/>
      <c r="AK377" s="694"/>
      <c r="AL377" s="694"/>
      <c r="AM377" s="694"/>
      <c r="AN377" s="694"/>
      <c r="AO377" s="694"/>
      <c r="AP377" s="694"/>
      <c r="AQ377" s="694"/>
      <c r="AR377" s="694"/>
      <c r="AS377" s="694"/>
      <c r="AT377" s="694"/>
      <c r="AU377" s="694"/>
      <c r="AV377" s="694"/>
      <c r="AW377" s="694"/>
      <c r="AX377" s="694"/>
      <c r="AY377" s="694"/>
      <c r="AZ377" s="694"/>
      <c r="BA377" s="694"/>
      <c r="BB377" s="694"/>
      <c r="BC377" s="694"/>
      <c r="BD377" s="694"/>
      <c r="BE377" s="694"/>
      <c r="BF377" s="694"/>
      <c r="BG377" s="694"/>
      <c r="BH377" s="694"/>
      <c r="BI377" s="694"/>
      <c r="BJ377" s="694"/>
      <c r="BK377" s="694"/>
      <c r="BL377" s="694"/>
      <c r="BM377" s="694"/>
      <c r="BN377" s="694"/>
      <c r="BO377" s="694"/>
      <c r="BP377" s="694"/>
      <c r="BQ377" s="694"/>
      <c r="BR377" s="694"/>
      <c r="BS377" s="694"/>
      <c r="BT377" s="694"/>
      <c r="BU377" s="694"/>
      <c r="BV377" s="694"/>
      <c r="BW377" s="694"/>
      <c r="BX377" s="694"/>
      <c r="BY377" s="694"/>
      <c r="BZ377" s="694"/>
      <c r="CA377" s="694"/>
      <c r="CB377" s="694"/>
      <c r="CC377" s="694"/>
      <c r="CD377" s="694"/>
      <c r="CE377" s="694"/>
      <c r="CF377" s="694"/>
      <c r="CG377" s="694"/>
      <c r="CH377" s="694"/>
      <c r="CI377" s="694"/>
      <c r="CJ377" s="694"/>
      <c r="CK377" s="694"/>
      <c r="CL377" s="694"/>
      <c r="CM377" s="694"/>
      <c r="CN377" s="694"/>
      <c r="CO377" s="694"/>
      <c r="CP377" s="694"/>
      <c r="CQ377" s="694">
        <v>1</v>
      </c>
      <c r="CR377" s="694"/>
      <c r="CS377" s="694"/>
      <c r="CT377" s="694"/>
      <c r="CU377" s="694"/>
      <c r="CV377" s="695"/>
      <c r="CW377" s="695">
        <f t="shared" si="47"/>
        <v>37.299999999999997</v>
      </c>
      <c r="CX377" s="695"/>
      <c r="CY377" s="695"/>
      <c r="CZ377" s="695"/>
      <c r="DA377" s="695">
        <f t="shared" si="48"/>
        <v>74.599999999999994</v>
      </c>
      <c r="DB377" s="695"/>
      <c r="DC377" s="695"/>
      <c r="DD377" s="695"/>
      <c r="DE377" s="695"/>
      <c r="DF377" s="695"/>
      <c r="DG377" s="695"/>
      <c r="DH377" s="695"/>
      <c r="DI377" s="694"/>
      <c r="DJ377" s="694"/>
      <c r="DK377" s="694">
        <v>1</v>
      </c>
      <c r="DL377" s="694"/>
      <c r="DM377" s="694">
        <v>3</v>
      </c>
      <c r="DN377" s="694">
        <v>1</v>
      </c>
      <c r="DO377" s="694">
        <v>2</v>
      </c>
      <c r="DP377" s="694">
        <v>1</v>
      </c>
      <c r="DQ377" s="694"/>
      <c r="DR377" s="694"/>
      <c r="DS377" s="694"/>
      <c r="DT377" s="694"/>
      <c r="DU377" s="694"/>
      <c r="DV377" s="694"/>
      <c r="DW377" s="694"/>
      <c r="DX377" s="694"/>
      <c r="DY377" s="694"/>
      <c r="DZ377" s="694"/>
      <c r="EA377" s="694">
        <v>2</v>
      </c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7"/>
    </row>
    <row r="378" spans="1:167" s="696" customFormat="1">
      <c r="A378" s="690"/>
      <c r="B378" s="690"/>
      <c r="C378" s="708"/>
      <c r="D378" s="691"/>
      <c r="E378" s="692"/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/>
      <c r="Q378" s="692"/>
      <c r="R378" s="693"/>
      <c r="S378" s="693"/>
      <c r="T378" s="692"/>
      <c r="U378" s="692"/>
      <c r="V378" s="694"/>
      <c r="W378" s="694"/>
      <c r="X378" s="694"/>
      <c r="Y378" s="694"/>
      <c r="Z378" s="694"/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4"/>
      <c r="BL378" s="694"/>
      <c r="BM378" s="694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  <c r="BX378" s="694"/>
      <c r="BY378" s="694"/>
      <c r="BZ378" s="694"/>
      <c r="CA378" s="694"/>
      <c r="CB378" s="694"/>
      <c r="CC378" s="694"/>
      <c r="CD378" s="694"/>
      <c r="CE378" s="694"/>
      <c r="CF378" s="694"/>
      <c r="CG378" s="694"/>
      <c r="CH378" s="694"/>
      <c r="CI378" s="694"/>
      <c r="CJ378" s="694"/>
      <c r="CK378" s="694"/>
      <c r="CL378" s="694"/>
      <c r="CM378" s="694"/>
      <c r="CN378" s="694"/>
      <c r="CO378" s="694"/>
      <c r="CP378" s="694"/>
      <c r="CQ378" s="694"/>
      <c r="CR378" s="694"/>
      <c r="CS378" s="694"/>
      <c r="CT378" s="694"/>
      <c r="CU378" s="694"/>
      <c r="CV378" s="695"/>
      <c r="CW378" s="695"/>
      <c r="CX378" s="695"/>
      <c r="CY378" s="695"/>
      <c r="CZ378" s="695"/>
      <c r="DA378" s="695"/>
      <c r="DB378" s="695"/>
      <c r="DC378" s="695"/>
      <c r="DD378" s="695"/>
      <c r="DE378" s="695"/>
      <c r="DF378" s="695"/>
      <c r="DG378" s="695"/>
      <c r="DH378" s="695"/>
      <c r="DI378" s="694"/>
      <c r="DJ378" s="694"/>
      <c r="DK378" s="694"/>
      <c r="DL378" s="694"/>
      <c r="DM378" s="694"/>
      <c r="DN378" s="694"/>
      <c r="DO378" s="694"/>
      <c r="DP378" s="694"/>
      <c r="DQ378" s="694"/>
      <c r="DR378" s="694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7"/>
    </row>
    <row r="379" spans="1:167" s="696" customFormat="1">
      <c r="A379" s="690"/>
      <c r="B379" s="690"/>
      <c r="C379" s="708"/>
      <c r="D379" s="708"/>
      <c r="E379" s="694"/>
      <c r="F379" s="694"/>
      <c r="G379" s="694"/>
      <c r="H379" s="694"/>
      <c r="I379" s="694"/>
      <c r="J379" s="694"/>
      <c r="K379" s="694"/>
      <c r="L379" s="694"/>
      <c r="M379" s="694"/>
      <c r="N379" s="694"/>
      <c r="O379" s="694"/>
      <c r="P379" s="694"/>
      <c r="Q379" s="694"/>
      <c r="R379" s="697"/>
      <c r="S379" s="697"/>
      <c r="T379" s="694"/>
      <c r="U379" s="694"/>
      <c r="V379" s="694"/>
      <c r="W379" s="694"/>
      <c r="X379" s="694"/>
      <c r="Y379" s="694"/>
      <c r="Z379" s="694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4"/>
      <c r="BL379" s="694"/>
      <c r="BM379" s="694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  <c r="BX379" s="694"/>
      <c r="BY379" s="694"/>
      <c r="BZ379" s="694"/>
      <c r="CA379" s="694"/>
      <c r="CB379" s="694"/>
      <c r="CC379" s="694"/>
      <c r="CD379" s="694"/>
      <c r="CE379" s="694"/>
      <c r="CF379" s="694"/>
      <c r="CG379" s="694"/>
      <c r="CH379" s="694"/>
      <c r="CI379" s="694"/>
      <c r="CJ379" s="694"/>
      <c r="CK379" s="694"/>
      <c r="CL379" s="694"/>
      <c r="CM379" s="694"/>
      <c r="CN379" s="694"/>
      <c r="CO379" s="694"/>
      <c r="CP379" s="694"/>
      <c r="CQ379" s="694"/>
      <c r="CR379" s="694"/>
      <c r="CS379" s="694"/>
      <c r="CT379" s="694"/>
      <c r="CU379" s="694"/>
      <c r="CV379" s="695"/>
      <c r="CW379" s="695">
        <f>E379</f>
        <v>0</v>
      </c>
      <c r="CX379" s="695"/>
      <c r="CY379" s="695"/>
      <c r="CZ379" s="695"/>
      <c r="DA379" s="695">
        <f>E379*2</f>
        <v>0</v>
      </c>
      <c r="DB379" s="695"/>
      <c r="DC379" s="695"/>
      <c r="DD379" s="695"/>
      <c r="DE379" s="695"/>
      <c r="DF379" s="695"/>
      <c r="DG379" s="695"/>
      <c r="DH379" s="695"/>
      <c r="DI379" s="694"/>
      <c r="DJ379" s="694"/>
      <c r="DK379" s="694"/>
      <c r="DL379" s="694"/>
      <c r="DM379" s="694"/>
      <c r="DN379" s="694"/>
      <c r="DO379" s="694"/>
      <c r="DP379" s="694"/>
      <c r="DQ379" s="694"/>
      <c r="DR379" s="694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7"/>
    </row>
    <row r="380" spans="1:167" s="4" customFormat="1">
      <c r="A380" s="486">
        <f>MATCH(C380,$C$5:$C$507,0)</f>
        <v>376</v>
      </c>
      <c r="B380" s="56"/>
      <c r="C380" s="507" t="s">
        <v>3077</v>
      </c>
      <c r="D380" s="507"/>
      <c r="E380" s="508">
        <f t="shared" ref="E380:AJ380" si="49">SUM(E282:E379)</f>
        <v>2163.4</v>
      </c>
      <c r="F380" s="508">
        <f t="shared" si="49"/>
        <v>0</v>
      </c>
      <c r="G380" s="508">
        <f t="shared" si="49"/>
        <v>0</v>
      </c>
      <c r="H380" s="508">
        <f t="shared" si="49"/>
        <v>0</v>
      </c>
      <c r="I380" s="508">
        <f t="shared" si="49"/>
        <v>0</v>
      </c>
      <c r="J380" s="508">
        <f t="shared" si="49"/>
        <v>0</v>
      </c>
      <c r="K380" s="508">
        <f t="shared" si="49"/>
        <v>0</v>
      </c>
      <c r="L380" s="508">
        <f t="shared" si="49"/>
        <v>0</v>
      </c>
      <c r="M380" s="508">
        <f t="shared" si="49"/>
        <v>0</v>
      </c>
      <c r="N380" s="508">
        <f t="shared" si="49"/>
        <v>0</v>
      </c>
      <c r="O380" s="508">
        <f t="shared" si="49"/>
        <v>0</v>
      </c>
      <c r="P380" s="508">
        <f t="shared" si="49"/>
        <v>0</v>
      </c>
      <c r="Q380" s="508">
        <f t="shared" si="49"/>
        <v>0</v>
      </c>
      <c r="R380" s="508">
        <f t="shared" si="49"/>
        <v>0</v>
      </c>
      <c r="S380" s="508">
        <f t="shared" si="49"/>
        <v>0</v>
      </c>
      <c r="T380" s="509">
        <f t="shared" si="49"/>
        <v>0</v>
      </c>
      <c r="U380" s="509">
        <f t="shared" si="49"/>
        <v>0</v>
      </c>
      <c r="V380" s="509">
        <f t="shared" si="49"/>
        <v>0</v>
      </c>
      <c r="W380" s="509">
        <f t="shared" si="49"/>
        <v>0</v>
      </c>
      <c r="X380" s="509">
        <f t="shared" si="49"/>
        <v>0</v>
      </c>
      <c r="Y380" s="509">
        <f t="shared" si="49"/>
        <v>0</v>
      </c>
      <c r="Z380" s="509">
        <f t="shared" si="49"/>
        <v>0</v>
      </c>
      <c r="AA380" s="509">
        <f t="shared" si="49"/>
        <v>0</v>
      </c>
      <c r="AB380" s="509">
        <f t="shared" si="49"/>
        <v>0</v>
      </c>
      <c r="AC380" s="509">
        <f t="shared" si="49"/>
        <v>0</v>
      </c>
      <c r="AD380" s="509">
        <f t="shared" si="49"/>
        <v>0</v>
      </c>
      <c r="AE380" s="509">
        <f t="shared" si="49"/>
        <v>0</v>
      </c>
      <c r="AF380" s="509">
        <f t="shared" si="49"/>
        <v>0</v>
      </c>
      <c r="AG380" s="509">
        <f t="shared" si="49"/>
        <v>0</v>
      </c>
      <c r="AH380" s="509">
        <f t="shared" si="49"/>
        <v>0</v>
      </c>
      <c r="AI380" s="509">
        <f t="shared" si="49"/>
        <v>0</v>
      </c>
      <c r="AJ380" s="509">
        <f t="shared" si="49"/>
        <v>0</v>
      </c>
      <c r="AK380" s="509">
        <f t="shared" ref="AK380:BP380" si="50">SUM(AK282:AK379)</f>
        <v>0</v>
      </c>
      <c r="AL380" s="509">
        <f t="shared" si="50"/>
        <v>0</v>
      </c>
      <c r="AM380" s="509">
        <f t="shared" si="50"/>
        <v>0</v>
      </c>
      <c r="AN380" s="509">
        <f t="shared" si="50"/>
        <v>0</v>
      </c>
      <c r="AO380" s="509">
        <f t="shared" si="50"/>
        <v>0</v>
      </c>
      <c r="AP380" s="509">
        <f t="shared" si="50"/>
        <v>0</v>
      </c>
      <c r="AQ380" s="509">
        <f t="shared" si="50"/>
        <v>0</v>
      </c>
      <c r="AR380" s="509">
        <f t="shared" si="50"/>
        <v>0</v>
      </c>
      <c r="AS380" s="509">
        <f t="shared" si="50"/>
        <v>0</v>
      </c>
      <c r="AT380" s="509">
        <f t="shared" si="50"/>
        <v>0</v>
      </c>
      <c r="AU380" s="509">
        <f t="shared" si="50"/>
        <v>0</v>
      </c>
      <c r="AV380" s="509">
        <f t="shared" si="50"/>
        <v>0</v>
      </c>
      <c r="AW380" s="509">
        <f t="shared" si="50"/>
        <v>0</v>
      </c>
      <c r="AX380" s="509">
        <f t="shared" si="50"/>
        <v>0</v>
      </c>
      <c r="AY380" s="509">
        <f t="shared" si="50"/>
        <v>0</v>
      </c>
      <c r="AZ380" s="509">
        <f t="shared" si="50"/>
        <v>0</v>
      </c>
      <c r="BA380" s="509">
        <f t="shared" si="50"/>
        <v>0</v>
      </c>
      <c r="BB380" s="509">
        <f t="shared" si="50"/>
        <v>0</v>
      </c>
      <c r="BC380" s="509">
        <f t="shared" si="50"/>
        <v>0</v>
      </c>
      <c r="BD380" s="509">
        <f t="shared" si="50"/>
        <v>0</v>
      </c>
      <c r="BE380" s="509">
        <f t="shared" si="50"/>
        <v>0</v>
      </c>
      <c r="BF380" s="509">
        <f t="shared" si="50"/>
        <v>0</v>
      </c>
      <c r="BG380" s="509">
        <f t="shared" si="50"/>
        <v>0</v>
      </c>
      <c r="BH380" s="509">
        <f t="shared" si="50"/>
        <v>0</v>
      </c>
      <c r="BI380" s="509">
        <f t="shared" si="50"/>
        <v>0</v>
      </c>
      <c r="BJ380" s="509">
        <f t="shared" si="50"/>
        <v>0</v>
      </c>
      <c r="BK380" s="509">
        <f t="shared" si="50"/>
        <v>0</v>
      </c>
      <c r="BL380" s="509">
        <f t="shared" si="50"/>
        <v>0</v>
      </c>
      <c r="BM380" s="509">
        <f t="shared" si="50"/>
        <v>0</v>
      </c>
      <c r="BN380" s="509">
        <f t="shared" si="50"/>
        <v>0</v>
      </c>
      <c r="BO380" s="509">
        <f t="shared" si="50"/>
        <v>0</v>
      </c>
      <c r="BP380" s="509">
        <f t="shared" si="50"/>
        <v>0</v>
      </c>
      <c r="BQ380" s="509">
        <f t="shared" ref="BQ380:CV380" si="51">SUM(BQ282:BQ379)</f>
        <v>0</v>
      </c>
      <c r="BR380" s="509">
        <f t="shared" si="51"/>
        <v>0</v>
      </c>
      <c r="BS380" s="509">
        <f t="shared" si="51"/>
        <v>0</v>
      </c>
      <c r="BT380" s="509">
        <f t="shared" si="51"/>
        <v>0</v>
      </c>
      <c r="BU380" s="509">
        <f t="shared" si="51"/>
        <v>0</v>
      </c>
      <c r="BV380" s="509">
        <f t="shared" si="51"/>
        <v>0</v>
      </c>
      <c r="BW380" s="509">
        <f t="shared" si="51"/>
        <v>0</v>
      </c>
      <c r="BX380" s="509">
        <f t="shared" si="51"/>
        <v>0</v>
      </c>
      <c r="BY380" s="509">
        <f t="shared" si="51"/>
        <v>0</v>
      </c>
      <c r="BZ380" s="509">
        <f t="shared" si="51"/>
        <v>0</v>
      </c>
      <c r="CA380" s="509">
        <f t="shared" si="51"/>
        <v>0</v>
      </c>
      <c r="CB380" s="509">
        <f t="shared" si="51"/>
        <v>0</v>
      </c>
      <c r="CC380" s="509">
        <f t="shared" si="51"/>
        <v>0</v>
      </c>
      <c r="CD380" s="509">
        <f t="shared" si="51"/>
        <v>0</v>
      </c>
      <c r="CE380" s="509">
        <f t="shared" si="51"/>
        <v>0</v>
      </c>
      <c r="CF380" s="509">
        <f t="shared" si="51"/>
        <v>0</v>
      </c>
      <c r="CG380" s="509">
        <f t="shared" si="51"/>
        <v>0</v>
      </c>
      <c r="CH380" s="509">
        <f t="shared" si="51"/>
        <v>0</v>
      </c>
      <c r="CI380" s="509">
        <f t="shared" si="51"/>
        <v>0</v>
      </c>
      <c r="CJ380" s="509">
        <f t="shared" si="51"/>
        <v>0</v>
      </c>
      <c r="CK380" s="509">
        <f t="shared" si="51"/>
        <v>0</v>
      </c>
      <c r="CL380" s="509">
        <f t="shared" si="51"/>
        <v>0</v>
      </c>
      <c r="CM380" s="509">
        <f t="shared" si="51"/>
        <v>0</v>
      </c>
      <c r="CN380" s="509">
        <f t="shared" si="51"/>
        <v>0</v>
      </c>
      <c r="CO380" s="509">
        <f t="shared" si="51"/>
        <v>0</v>
      </c>
      <c r="CP380" s="509">
        <f t="shared" si="51"/>
        <v>0</v>
      </c>
      <c r="CQ380" s="509">
        <f t="shared" si="51"/>
        <v>12</v>
      </c>
      <c r="CR380" s="509">
        <f t="shared" si="51"/>
        <v>0</v>
      </c>
      <c r="CS380" s="509">
        <f t="shared" si="51"/>
        <v>0</v>
      </c>
      <c r="CT380" s="509">
        <f t="shared" si="51"/>
        <v>0</v>
      </c>
      <c r="CU380" s="509">
        <f t="shared" si="51"/>
        <v>5</v>
      </c>
      <c r="CV380" s="518">
        <f t="shared" si="51"/>
        <v>0</v>
      </c>
      <c r="CW380" s="518">
        <f t="shared" ref="CW380:EB380" si="52">SUM(CW282:CW379)</f>
        <v>1176.6000000000001</v>
      </c>
      <c r="CX380" s="518">
        <f t="shared" si="52"/>
        <v>0</v>
      </c>
      <c r="CY380" s="518">
        <f t="shared" si="52"/>
        <v>0</v>
      </c>
      <c r="CZ380" s="518">
        <f t="shared" si="52"/>
        <v>0</v>
      </c>
      <c r="DA380" s="518">
        <f t="shared" si="52"/>
        <v>2353.2000000000003</v>
      </c>
      <c r="DB380" s="518">
        <f t="shared" si="52"/>
        <v>0</v>
      </c>
      <c r="DC380" s="518">
        <f t="shared" si="52"/>
        <v>0</v>
      </c>
      <c r="DD380" s="518">
        <f t="shared" si="52"/>
        <v>0</v>
      </c>
      <c r="DE380" s="518">
        <f t="shared" si="52"/>
        <v>0</v>
      </c>
      <c r="DF380" s="518">
        <f t="shared" si="52"/>
        <v>0</v>
      </c>
      <c r="DG380" s="518">
        <f t="shared" si="52"/>
        <v>0</v>
      </c>
      <c r="DH380" s="518">
        <f t="shared" si="52"/>
        <v>0</v>
      </c>
      <c r="DI380" s="509">
        <f t="shared" si="52"/>
        <v>0</v>
      </c>
      <c r="DJ380" s="509">
        <f t="shared" si="52"/>
        <v>0</v>
      </c>
      <c r="DK380" s="509">
        <f t="shared" si="52"/>
        <v>40</v>
      </c>
      <c r="DL380" s="509">
        <f t="shared" si="52"/>
        <v>0</v>
      </c>
      <c r="DM380" s="509">
        <f t="shared" si="52"/>
        <v>117</v>
      </c>
      <c r="DN380" s="509">
        <f t="shared" si="52"/>
        <v>44</v>
      </c>
      <c r="DO380" s="509">
        <f t="shared" si="52"/>
        <v>125</v>
      </c>
      <c r="DP380" s="509">
        <f t="shared" si="52"/>
        <v>119</v>
      </c>
      <c r="DQ380" s="509">
        <f t="shared" si="52"/>
        <v>21</v>
      </c>
      <c r="DR380" s="509">
        <f t="shared" si="52"/>
        <v>4</v>
      </c>
      <c r="DS380" s="509">
        <f t="shared" si="52"/>
        <v>0</v>
      </c>
      <c r="DT380" s="509">
        <f t="shared" si="52"/>
        <v>0</v>
      </c>
      <c r="DU380" s="509">
        <f t="shared" si="52"/>
        <v>59</v>
      </c>
      <c r="DV380" s="509">
        <f t="shared" si="52"/>
        <v>3</v>
      </c>
      <c r="DW380" s="509">
        <f t="shared" si="52"/>
        <v>0</v>
      </c>
      <c r="DX380" s="509">
        <f t="shared" si="52"/>
        <v>0</v>
      </c>
      <c r="DY380" s="509">
        <f t="shared" si="52"/>
        <v>0</v>
      </c>
      <c r="DZ380" s="509">
        <f t="shared" si="52"/>
        <v>20</v>
      </c>
      <c r="EA380" s="509">
        <f t="shared" si="52"/>
        <v>50</v>
      </c>
      <c r="EB380" s="509">
        <f t="shared" si="52"/>
        <v>3</v>
      </c>
      <c r="EC380" s="509">
        <f t="shared" ref="EC380:FE380" si="53">SUM(EC282:EC379)</f>
        <v>0</v>
      </c>
      <c r="ED380" s="509">
        <f t="shared" si="53"/>
        <v>4</v>
      </c>
      <c r="EE380" s="509">
        <f t="shared" si="53"/>
        <v>4</v>
      </c>
      <c r="EF380" s="509">
        <f t="shared" si="53"/>
        <v>0</v>
      </c>
      <c r="EG380" s="509">
        <f t="shared" si="53"/>
        <v>0</v>
      </c>
      <c r="EH380" s="509">
        <f t="shared" si="53"/>
        <v>0</v>
      </c>
      <c r="EI380" s="509">
        <f t="shared" si="53"/>
        <v>0</v>
      </c>
      <c r="EJ380" s="509">
        <f t="shared" si="53"/>
        <v>0</v>
      </c>
      <c r="EK380" s="509">
        <f t="shared" si="53"/>
        <v>0</v>
      </c>
      <c r="EL380" s="509">
        <f t="shared" si="53"/>
        <v>0</v>
      </c>
      <c r="EM380" s="509">
        <f t="shared" si="53"/>
        <v>0</v>
      </c>
      <c r="EN380" s="509">
        <f t="shared" si="53"/>
        <v>0</v>
      </c>
      <c r="EO380" s="509">
        <f t="shared" si="53"/>
        <v>0</v>
      </c>
      <c r="EP380" s="509">
        <f t="shared" si="53"/>
        <v>0</v>
      </c>
      <c r="EQ380" s="509">
        <f t="shared" si="53"/>
        <v>0</v>
      </c>
      <c r="ER380" s="509">
        <f t="shared" si="53"/>
        <v>0</v>
      </c>
      <c r="ES380" s="509">
        <f t="shared" si="53"/>
        <v>0</v>
      </c>
      <c r="ET380" s="509">
        <f t="shared" si="53"/>
        <v>0</v>
      </c>
      <c r="EU380" s="509">
        <f t="shared" si="53"/>
        <v>0</v>
      </c>
      <c r="EV380" s="509">
        <f t="shared" si="53"/>
        <v>0</v>
      </c>
      <c r="EW380" s="509">
        <f t="shared" si="53"/>
        <v>0</v>
      </c>
      <c r="EX380" s="509">
        <f t="shared" si="53"/>
        <v>0</v>
      </c>
      <c r="EY380" s="509">
        <f t="shared" si="53"/>
        <v>0</v>
      </c>
      <c r="EZ380" s="509">
        <f t="shared" si="53"/>
        <v>0</v>
      </c>
      <c r="FA380" s="509">
        <f t="shared" si="53"/>
        <v>1</v>
      </c>
      <c r="FB380" s="509">
        <f t="shared" si="53"/>
        <v>0</v>
      </c>
      <c r="FC380" s="509">
        <f t="shared" si="53"/>
        <v>0</v>
      </c>
      <c r="FD380" s="509">
        <f t="shared" si="53"/>
        <v>0</v>
      </c>
      <c r="FE380" s="509">
        <f t="shared" si="53"/>
        <v>0</v>
      </c>
      <c r="FF380" s="509"/>
      <c r="FG380" s="508"/>
      <c r="FK380" s="4">
        <f>DO380-FC380</f>
        <v>125</v>
      </c>
    </row>
    <row r="381" spans="1:167" s="4" customFormat="1">
      <c r="A381" s="56"/>
      <c r="B381" s="56">
        <v>7</v>
      </c>
      <c r="C381" s="501" t="s">
        <v>3729</v>
      </c>
      <c r="D381" s="502"/>
      <c r="E381" s="503"/>
      <c r="F381" s="503"/>
      <c r="G381" s="503"/>
      <c r="H381" s="503"/>
      <c r="I381" s="503"/>
      <c r="J381" s="503"/>
      <c r="K381" s="503"/>
      <c r="L381" s="503"/>
      <c r="M381" s="503"/>
      <c r="N381" s="503"/>
      <c r="O381" s="503"/>
      <c r="P381" s="503"/>
      <c r="Q381" s="503"/>
      <c r="R381" s="503"/>
      <c r="S381" s="503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  <c r="CH381" s="504"/>
      <c r="CI381" s="504"/>
      <c r="CJ381" s="504"/>
      <c r="CK381" s="504"/>
      <c r="CL381" s="504"/>
      <c r="CM381" s="504"/>
      <c r="CN381" s="504"/>
      <c r="CO381" s="504"/>
      <c r="CP381" s="504"/>
      <c r="CQ381" s="504"/>
      <c r="CR381" s="504"/>
      <c r="CS381" s="504"/>
      <c r="CT381" s="504"/>
      <c r="CU381" s="504"/>
      <c r="CV381" s="519"/>
      <c r="CW381" s="519"/>
      <c r="CX381" s="519"/>
      <c r="CY381" s="519"/>
      <c r="CZ381" s="519"/>
      <c r="DA381" s="519"/>
      <c r="DB381" s="519"/>
      <c r="DC381" s="519"/>
      <c r="DD381" s="519"/>
      <c r="DE381" s="519"/>
      <c r="DF381" s="519"/>
      <c r="DG381" s="519"/>
      <c r="DH381" s="519"/>
      <c r="DI381" s="504"/>
      <c r="DJ381" s="504"/>
      <c r="DK381" s="504"/>
      <c r="DL381" s="504"/>
      <c r="DM381" s="504"/>
      <c r="DN381" s="504"/>
      <c r="DO381" s="504"/>
      <c r="DP381" s="504"/>
      <c r="DQ381" s="504"/>
      <c r="DR381" s="504"/>
      <c r="DS381" s="504"/>
      <c r="DT381" s="504"/>
      <c r="DU381" s="504"/>
      <c r="DV381" s="504"/>
      <c r="DW381" s="504"/>
      <c r="DX381" s="504"/>
      <c r="DY381" s="504"/>
      <c r="DZ381" s="504"/>
      <c r="EA381" s="504"/>
      <c r="EB381" s="504"/>
      <c r="EC381" s="504"/>
      <c r="ED381" s="504"/>
      <c r="EE381" s="504"/>
      <c r="EF381" s="504"/>
      <c r="EG381" s="504"/>
      <c r="EH381" s="504"/>
      <c r="EI381" s="504"/>
      <c r="EJ381" s="504"/>
      <c r="EK381" s="504"/>
      <c r="EL381" s="504"/>
      <c r="EM381" s="504"/>
      <c r="EN381" s="504"/>
      <c r="EO381" s="504"/>
      <c r="EP381" s="504"/>
      <c r="EQ381" s="504"/>
      <c r="ER381" s="504"/>
      <c r="ES381" s="504"/>
      <c r="ET381" s="504"/>
      <c r="EU381" s="504"/>
      <c r="EV381" s="504"/>
      <c r="EW381" s="504"/>
      <c r="EX381" s="504"/>
      <c r="EY381" s="504"/>
      <c r="EZ381" s="504"/>
      <c r="FA381" s="504"/>
      <c r="FB381" s="504"/>
      <c r="FC381" s="504"/>
      <c r="FD381" s="504"/>
      <c r="FE381" s="504"/>
      <c r="FF381" s="504"/>
      <c r="FG381" s="505"/>
      <c r="FK381" s="4">
        <f>DO381-FC381</f>
        <v>0</v>
      </c>
    </row>
    <row r="382" spans="1:167" s="696" customFormat="1">
      <c r="A382" s="690"/>
      <c r="B382" s="690"/>
      <c r="C382" s="708"/>
      <c r="D382" s="709" t="s">
        <v>3695</v>
      </c>
      <c r="E382" s="694"/>
      <c r="F382" s="694"/>
      <c r="G382" s="694"/>
      <c r="H382" s="694"/>
      <c r="I382" s="694"/>
      <c r="J382" s="694"/>
      <c r="K382" s="694"/>
      <c r="L382" s="694"/>
      <c r="M382" s="694"/>
      <c r="N382" s="694"/>
      <c r="O382" s="694"/>
      <c r="P382" s="694"/>
      <c r="Q382" s="694"/>
      <c r="R382" s="697"/>
      <c r="S382" s="697"/>
      <c r="T382" s="694"/>
      <c r="U382" s="694" t="s">
        <v>2990</v>
      </c>
      <c r="V382" s="694"/>
      <c r="W382" s="694"/>
      <c r="X382" s="694"/>
      <c r="Y382" s="694"/>
      <c r="Z382" s="694"/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4"/>
      <c r="BL382" s="694"/>
      <c r="BM382" s="694"/>
      <c r="BN382" s="694"/>
      <c r="BO382" s="694"/>
      <c r="BP382" s="694"/>
      <c r="BQ382" s="694"/>
      <c r="BR382" s="694"/>
      <c r="BS382" s="694"/>
      <c r="BT382" s="694"/>
      <c r="BU382" s="694"/>
      <c r="BV382" s="692"/>
      <c r="BW382" s="694"/>
      <c r="BX382" s="694"/>
      <c r="BY382" s="694"/>
      <c r="BZ382" s="694"/>
      <c r="CA382" s="694"/>
      <c r="CB382" s="694"/>
      <c r="CC382" s="694"/>
      <c r="CD382" s="694"/>
      <c r="CE382" s="694"/>
      <c r="CF382" s="694"/>
      <c r="CG382" s="694"/>
      <c r="CH382" s="694"/>
      <c r="CI382" s="694"/>
      <c r="CJ382" s="694"/>
      <c r="CK382" s="694"/>
      <c r="CL382" s="694"/>
      <c r="CM382" s="694"/>
      <c r="CN382" s="694"/>
      <c r="CO382" s="694"/>
      <c r="CP382" s="694"/>
      <c r="CQ382" s="694"/>
      <c r="CR382" s="694"/>
      <c r="CS382" s="694"/>
      <c r="CT382" s="694"/>
      <c r="CU382" s="694"/>
      <c r="CV382" s="695">
        <f>E382</f>
        <v>0</v>
      </c>
      <c r="CW382" s="695"/>
      <c r="CX382" s="695"/>
      <c r="CY382" s="695"/>
      <c r="CZ382" s="695">
        <f>E382*2</f>
        <v>0</v>
      </c>
      <c r="DA382" s="695"/>
      <c r="DB382" s="695"/>
      <c r="DC382" s="695"/>
      <c r="DD382" s="695"/>
      <c r="DE382" s="695"/>
      <c r="DF382" s="695"/>
      <c r="DG382" s="695"/>
      <c r="DH382" s="695"/>
      <c r="DI382" s="694"/>
      <c r="DJ382" s="694"/>
      <c r="DK382" s="694">
        <v>1</v>
      </c>
      <c r="DL382" s="694"/>
      <c r="DM382" s="694">
        <v>3</v>
      </c>
      <c r="DN382" s="694"/>
      <c r="DO382" s="694"/>
      <c r="DP382" s="694">
        <v>3</v>
      </c>
      <c r="DQ382" s="694"/>
      <c r="DR382" s="694"/>
      <c r="DS382" s="694"/>
      <c r="DT382" s="694"/>
      <c r="DU382" s="694">
        <v>5</v>
      </c>
      <c r="DV382" s="694"/>
      <c r="DW382" s="694"/>
      <c r="DX382" s="694"/>
      <c r="DY382" s="694"/>
      <c r="DZ382" s="694"/>
      <c r="EA382" s="694">
        <v>1</v>
      </c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7"/>
    </row>
    <row r="383" spans="1:167" s="696" customFormat="1">
      <c r="A383" s="690"/>
      <c r="B383" s="690"/>
      <c r="C383" s="708" t="s">
        <v>3632</v>
      </c>
      <c r="D383" s="708"/>
      <c r="E383" s="694">
        <v>14.6</v>
      </c>
      <c r="F383" s="694"/>
      <c r="G383" s="694"/>
      <c r="H383" s="694"/>
      <c r="I383" s="694"/>
      <c r="J383" s="694"/>
      <c r="K383" s="694"/>
      <c r="L383" s="694"/>
      <c r="M383" s="694"/>
      <c r="N383" s="694"/>
      <c r="O383" s="694"/>
      <c r="P383" s="694"/>
      <c r="Q383" s="694"/>
      <c r="R383" s="697"/>
      <c r="S383" s="697"/>
      <c r="T383" s="694"/>
      <c r="U383" s="694" t="s">
        <v>2989</v>
      </c>
      <c r="V383" s="694"/>
      <c r="W383" s="694"/>
      <c r="X383" s="694"/>
      <c r="Y383" s="694"/>
      <c r="Z383" s="694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4"/>
      <c r="BL383" s="694"/>
      <c r="BM383" s="694"/>
      <c r="BN383" s="694"/>
      <c r="BO383" s="694"/>
      <c r="BP383" s="694"/>
      <c r="BQ383" s="694"/>
      <c r="BR383" s="694"/>
      <c r="BS383" s="694"/>
      <c r="BT383" s="694"/>
      <c r="BU383" s="694"/>
      <c r="BV383" s="692"/>
      <c r="BW383" s="694"/>
      <c r="BX383" s="694"/>
      <c r="BY383" s="694"/>
      <c r="BZ383" s="694"/>
      <c r="CA383" s="694"/>
      <c r="CB383" s="694"/>
      <c r="CC383" s="694"/>
      <c r="CD383" s="694"/>
      <c r="CE383" s="694"/>
      <c r="CF383" s="694"/>
      <c r="CG383" s="694"/>
      <c r="CH383" s="694"/>
      <c r="CI383" s="694"/>
      <c r="CJ383" s="694"/>
      <c r="CK383" s="694"/>
      <c r="CL383" s="694"/>
      <c r="CM383" s="694"/>
      <c r="CN383" s="694"/>
      <c r="CO383" s="694"/>
      <c r="CP383" s="694">
        <v>1</v>
      </c>
      <c r="CQ383" s="694"/>
      <c r="CR383" s="694"/>
      <c r="CS383" s="694"/>
      <c r="CT383" s="694"/>
      <c r="CU383" s="694"/>
      <c r="CV383" s="695">
        <f t="shared" ref="CV383:CV408" si="54">E383</f>
        <v>14.6</v>
      </c>
      <c r="CW383" s="695"/>
      <c r="CX383" s="695"/>
      <c r="CY383" s="695"/>
      <c r="CZ383" s="695">
        <f t="shared" ref="CZ383:CZ408" si="55">E383*2</f>
        <v>29.2</v>
      </c>
      <c r="DA383" s="695"/>
      <c r="DB383" s="695"/>
      <c r="DC383" s="695"/>
      <c r="DD383" s="695"/>
      <c r="DE383" s="695"/>
      <c r="DF383" s="695"/>
      <c r="DG383" s="695"/>
      <c r="DH383" s="695"/>
      <c r="DI383" s="694"/>
      <c r="DJ383" s="694"/>
      <c r="DK383" s="694">
        <v>2</v>
      </c>
      <c r="DL383" s="694"/>
      <c r="DM383" s="694">
        <v>6</v>
      </c>
      <c r="DN383" s="694"/>
      <c r="DO383" s="694"/>
      <c r="DP383" s="694"/>
      <c r="DQ383" s="694"/>
      <c r="DR383" s="694"/>
      <c r="DS383" s="694"/>
      <c r="DT383" s="694"/>
      <c r="DU383" s="694">
        <v>11</v>
      </c>
      <c r="DV383" s="694">
        <v>1</v>
      </c>
      <c r="DW383" s="694"/>
      <c r="DX383" s="694"/>
      <c r="DY383" s="694"/>
      <c r="DZ383" s="694"/>
      <c r="EA383" s="694">
        <v>2</v>
      </c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7"/>
    </row>
    <row r="384" spans="1:167" s="696" customFormat="1">
      <c r="A384" s="690"/>
      <c r="B384" s="690"/>
      <c r="C384" s="708" t="s">
        <v>3633</v>
      </c>
      <c r="D384" s="708"/>
      <c r="E384" s="694">
        <v>39.799999999999997</v>
      </c>
      <c r="F384" s="694"/>
      <c r="G384" s="694"/>
      <c r="H384" s="694"/>
      <c r="I384" s="694"/>
      <c r="J384" s="694"/>
      <c r="K384" s="694"/>
      <c r="L384" s="694"/>
      <c r="M384" s="694"/>
      <c r="N384" s="694"/>
      <c r="O384" s="694"/>
      <c r="P384" s="694"/>
      <c r="Q384" s="694"/>
      <c r="R384" s="697"/>
      <c r="S384" s="697"/>
      <c r="T384" s="694"/>
      <c r="U384" s="694" t="s">
        <v>1631</v>
      </c>
      <c r="V384" s="694"/>
      <c r="W384" s="694"/>
      <c r="X384" s="694"/>
      <c r="Y384" s="694"/>
      <c r="Z384" s="694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4"/>
      <c r="BL384" s="694"/>
      <c r="BM384" s="694"/>
      <c r="BN384" s="694"/>
      <c r="BO384" s="694"/>
      <c r="BP384" s="694"/>
      <c r="BQ384" s="694"/>
      <c r="BR384" s="694"/>
      <c r="BS384" s="694"/>
      <c r="BT384" s="694"/>
      <c r="BU384" s="694"/>
      <c r="BV384" s="692"/>
      <c r="BW384" s="694"/>
      <c r="BX384" s="694"/>
      <c r="BY384" s="694"/>
      <c r="BZ384" s="694"/>
      <c r="CA384" s="694"/>
      <c r="CB384" s="694"/>
      <c r="CC384" s="694"/>
      <c r="CD384" s="694"/>
      <c r="CE384" s="694"/>
      <c r="CF384" s="694"/>
      <c r="CG384" s="694"/>
      <c r="CH384" s="694"/>
      <c r="CI384" s="694"/>
      <c r="CJ384" s="694"/>
      <c r="CK384" s="694"/>
      <c r="CL384" s="694"/>
      <c r="CM384" s="694"/>
      <c r="CN384" s="694"/>
      <c r="CO384" s="694"/>
      <c r="CP384" s="694"/>
      <c r="CQ384" s="694"/>
      <c r="CR384" s="694"/>
      <c r="CS384" s="694"/>
      <c r="CT384" s="694"/>
      <c r="CU384" s="694"/>
      <c r="CV384" s="695">
        <f t="shared" si="54"/>
        <v>39.799999999999997</v>
      </c>
      <c r="CW384" s="695"/>
      <c r="CX384" s="695"/>
      <c r="CY384" s="695"/>
      <c r="CZ384" s="695">
        <f t="shared" si="55"/>
        <v>79.599999999999994</v>
      </c>
      <c r="DA384" s="695"/>
      <c r="DB384" s="695"/>
      <c r="DC384" s="695"/>
      <c r="DD384" s="695"/>
      <c r="DE384" s="695"/>
      <c r="DF384" s="695"/>
      <c r="DG384" s="695"/>
      <c r="DH384" s="695"/>
      <c r="DI384" s="694"/>
      <c r="DJ384" s="694"/>
      <c r="DK384" s="694">
        <v>1</v>
      </c>
      <c r="DL384" s="694"/>
      <c r="DM384" s="694">
        <v>3</v>
      </c>
      <c r="DN384" s="694"/>
      <c r="DO384" s="694"/>
      <c r="DP384" s="694"/>
      <c r="DQ384" s="694"/>
      <c r="DR384" s="694"/>
      <c r="DS384" s="694"/>
      <c r="DT384" s="694"/>
      <c r="DU384" s="694"/>
      <c r="DV384" s="694"/>
      <c r="DW384" s="694"/>
      <c r="DX384" s="694"/>
      <c r="DY384" s="694"/>
      <c r="DZ384" s="694">
        <v>2</v>
      </c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7"/>
    </row>
    <row r="385" spans="1:163" s="696" customFormat="1">
      <c r="A385" s="690"/>
      <c r="B385" s="690"/>
      <c r="C385" s="708" t="s">
        <v>3634</v>
      </c>
      <c r="D385" s="708"/>
      <c r="E385" s="694">
        <v>39.700000000000003</v>
      </c>
      <c r="F385" s="694"/>
      <c r="G385" s="694"/>
      <c r="H385" s="694"/>
      <c r="I385" s="694"/>
      <c r="J385" s="694"/>
      <c r="K385" s="694"/>
      <c r="L385" s="694"/>
      <c r="M385" s="694"/>
      <c r="N385" s="694"/>
      <c r="O385" s="694"/>
      <c r="P385" s="694"/>
      <c r="Q385" s="694"/>
      <c r="R385" s="697"/>
      <c r="S385" s="697"/>
      <c r="T385" s="694"/>
      <c r="U385" s="694" t="s">
        <v>1903</v>
      </c>
      <c r="V385" s="694"/>
      <c r="W385" s="694"/>
      <c r="X385" s="694"/>
      <c r="Y385" s="694"/>
      <c r="Z385" s="694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694"/>
      <c r="BL385" s="694"/>
      <c r="BM385" s="694"/>
      <c r="BN385" s="694"/>
      <c r="BO385" s="694"/>
      <c r="BP385" s="694"/>
      <c r="BQ385" s="694"/>
      <c r="BR385" s="694"/>
      <c r="BS385" s="694"/>
      <c r="BT385" s="694"/>
      <c r="BU385" s="694"/>
      <c r="BV385" s="692"/>
      <c r="BW385" s="694"/>
      <c r="BX385" s="694"/>
      <c r="BY385" s="694"/>
      <c r="BZ385" s="694"/>
      <c r="CA385" s="694"/>
      <c r="CB385" s="694"/>
      <c r="CC385" s="694"/>
      <c r="CD385" s="694"/>
      <c r="CE385" s="694"/>
      <c r="CF385" s="694"/>
      <c r="CG385" s="694"/>
      <c r="CH385" s="694"/>
      <c r="CI385" s="694"/>
      <c r="CJ385" s="694"/>
      <c r="CK385" s="694"/>
      <c r="CL385" s="694"/>
      <c r="CM385" s="694"/>
      <c r="CN385" s="694"/>
      <c r="CO385" s="694"/>
      <c r="CP385" s="694"/>
      <c r="CQ385" s="694"/>
      <c r="CR385" s="694"/>
      <c r="CS385" s="694"/>
      <c r="CT385" s="694"/>
      <c r="CU385" s="694"/>
      <c r="CV385" s="695">
        <f t="shared" si="54"/>
        <v>39.700000000000003</v>
      </c>
      <c r="CW385" s="695"/>
      <c r="CX385" s="695"/>
      <c r="CY385" s="695"/>
      <c r="CZ385" s="695">
        <f t="shared" si="55"/>
        <v>79.400000000000006</v>
      </c>
      <c r="DA385" s="695"/>
      <c r="DB385" s="695"/>
      <c r="DC385" s="695"/>
      <c r="DD385" s="695"/>
      <c r="DE385" s="695"/>
      <c r="DF385" s="695"/>
      <c r="DG385" s="695"/>
      <c r="DH385" s="695"/>
      <c r="DI385" s="694"/>
      <c r="DJ385" s="694"/>
      <c r="DK385" s="694">
        <v>1</v>
      </c>
      <c r="DL385" s="694"/>
      <c r="DM385" s="694">
        <v>3</v>
      </c>
      <c r="DN385" s="694">
        <v>1</v>
      </c>
      <c r="DO385" s="694">
        <v>3</v>
      </c>
      <c r="DP385" s="694">
        <v>3</v>
      </c>
      <c r="DQ385" s="694"/>
      <c r="DR385" s="694"/>
      <c r="DS385" s="694"/>
      <c r="DT385" s="694"/>
      <c r="DU385" s="694"/>
      <c r="DV385" s="694"/>
      <c r="DW385" s="694"/>
      <c r="DX385" s="694"/>
      <c r="DY385" s="694"/>
      <c r="DZ385" s="694">
        <v>1</v>
      </c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7"/>
    </row>
    <row r="386" spans="1:163" s="696" customFormat="1">
      <c r="A386" s="690"/>
      <c r="B386" s="690"/>
      <c r="C386" s="708" t="s">
        <v>3635</v>
      </c>
      <c r="D386" s="708"/>
      <c r="E386" s="694">
        <v>35.4</v>
      </c>
      <c r="F386" s="694"/>
      <c r="G386" s="694"/>
      <c r="H386" s="694"/>
      <c r="I386" s="694"/>
      <c r="J386" s="694"/>
      <c r="K386" s="694"/>
      <c r="L386" s="694"/>
      <c r="M386" s="694"/>
      <c r="N386" s="694"/>
      <c r="O386" s="694"/>
      <c r="P386" s="694"/>
      <c r="Q386" s="694"/>
      <c r="R386" s="697"/>
      <c r="S386" s="697"/>
      <c r="T386" s="694"/>
      <c r="U386" s="694" t="s">
        <v>1903</v>
      </c>
      <c r="V386" s="694"/>
      <c r="W386" s="694"/>
      <c r="X386" s="694"/>
      <c r="Y386" s="694"/>
      <c r="Z386" s="694"/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4"/>
      <c r="BL386" s="694"/>
      <c r="BM386" s="694"/>
      <c r="BN386" s="694"/>
      <c r="BO386" s="694"/>
      <c r="BP386" s="694"/>
      <c r="BQ386" s="694"/>
      <c r="BR386" s="694"/>
      <c r="BS386" s="694"/>
      <c r="BT386" s="694"/>
      <c r="BU386" s="694"/>
      <c r="BV386" s="692"/>
      <c r="BW386" s="694"/>
      <c r="BX386" s="694"/>
      <c r="BY386" s="694"/>
      <c r="BZ386" s="694"/>
      <c r="CA386" s="694"/>
      <c r="CB386" s="694"/>
      <c r="CC386" s="694"/>
      <c r="CD386" s="694"/>
      <c r="CE386" s="694"/>
      <c r="CF386" s="694"/>
      <c r="CG386" s="694"/>
      <c r="CH386" s="694"/>
      <c r="CI386" s="694"/>
      <c r="CJ386" s="694"/>
      <c r="CK386" s="694"/>
      <c r="CL386" s="694"/>
      <c r="CM386" s="694"/>
      <c r="CN386" s="694"/>
      <c r="CO386" s="694"/>
      <c r="CP386" s="694">
        <v>1</v>
      </c>
      <c r="CQ386" s="694"/>
      <c r="CR386" s="694"/>
      <c r="CS386" s="694"/>
      <c r="CT386" s="694"/>
      <c r="CU386" s="694"/>
      <c r="CV386" s="695">
        <f t="shared" si="54"/>
        <v>35.4</v>
      </c>
      <c r="CW386" s="695"/>
      <c r="CX386" s="695"/>
      <c r="CY386" s="695"/>
      <c r="CZ386" s="695">
        <f t="shared" si="55"/>
        <v>70.8</v>
      </c>
      <c r="DA386" s="695"/>
      <c r="DB386" s="695"/>
      <c r="DC386" s="695"/>
      <c r="DD386" s="695"/>
      <c r="DE386" s="695"/>
      <c r="DF386" s="695"/>
      <c r="DG386" s="695"/>
      <c r="DH386" s="695"/>
      <c r="DI386" s="694"/>
      <c r="DJ386" s="694"/>
      <c r="DK386" s="694">
        <v>1</v>
      </c>
      <c r="DL386" s="694"/>
      <c r="DM386" s="694">
        <v>3</v>
      </c>
      <c r="DN386" s="694">
        <v>1</v>
      </c>
      <c r="DO386" s="694">
        <v>3</v>
      </c>
      <c r="DP386" s="694">
        <v>3</v>
      </c>
      <c r="DQ386" s="694"/>
      <c r="DR386" s="694"/>
      <c r="DS386" s="694"/>
      <c r="DT386" s="694"/>
      <c r="DU386" s="694"/>
      <c r="DV386" s="694"/>
      <c r="DW386" s="694"/>
      <c r="DX386" s="694"/>
      <c r="DY386" s="694"/>
      <c r="DZ386" s="694">
        <v>1</v>
      </c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>
        <v>1</v>
      </c>
      <c r="EY386" s="694">
        <v>1</v>
      </c>
      <c r="EZ386" s="694"/>
      <c r="FA386" s="694"/>
      <c r="FB386" s="694"/>
      <c r="FC386" s="694"/>
      <c r="FD386" s="694"/>
      <c r="FE386" s="694"/>
      <c r="FF386" s="694"/>
      <c r="FG386" s="697"/>
    </row>
    <row r="387" spans="1:163" s="696" customFormat="1">
      <c r="A387" s="690"/>
      <c r="B387" s="690"/>
      <c r="C387" s="708" t="s">
        <v>3636</v>
      </c>
      <c r="D387" s="708"/>
      <c r="E387" s="694">
        <v>37.4</v>
      </c>
      <c r="F387" s="694"/>
      <c r="G387" s="694"/>
      <c r="H387" s="694"/>
      <c r="I387" s="694"/>
      <c r="J387" s="694"/>
      <c r="K387" s="694"/>
      <c r="L387" s="694"/>
      <c r="M387" s="694"/>
      <c r="N387" s="694"/>
      <c r="O387" s="694"/>
      <c r="P387" s="694"/>
      <c r="Q387" s="694"/>
      <c r="R387" s="697"/>
      <c r="S387" s="697"/>
      <c r="T387" s="694"/>
      <c r="U387" s="694" t="s">
        <v>1903</v>
      </c>
      <c r="V387" s="694"/>
      <c r="W387" s="694"/>
      <c r="X387" s="694"/>
      <c r="Y387" s="694"/>
      <c r="Z387" s="694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4"/>
      <c r="BL387" s="694"/>
      <c r="BM387" s="694"/>
      <c r="BN387" s="694"/>
      <c r="BO387" s="694"/>
      <c r="BP387" s="694"/>
      <c r="BQ387" s="694"/>
      <c r="BR387" s="694"/>
      <c r="BS387" s="694"/>
      <c r="BT387" s="694"/>
      <c r="BU387" s="694"/>
      <c r="BV387" s="692"/>
      <c r="BW387" s="694"/>
      <c r="BX387" s="694"/>
      <c r="BY387" s="694"/>
      <c r="BZ387" s="694"/>
      <c r="CA387" s="694"/>
      <c r="CB387" s="694"/>
      <c r="CC387" s="694"/>
      <c r="CD387" s="694"/>
      <c r="CE387" s="694"/>
      <c r="CF387" s="694"/>
      <c r="CG387" s="694"/>
      <c r="CH387" s="694"/>
      <c r="CI387" s="694"/>
      <c r="CJ387" s="694"/>
      <c r="CK387" s="694"/>
      <c r="CL387" s="694"/>
      <c r="CM387" s="694"/>
      <c r="CN387" s="694"/>
      <c r="CO387" s="694"/>
      <c r="CP387" s="694"/>
      <c r="CQ387" s="694"/>
      <c r="CR387" s="694"/>
      <c r="CS387" s="694"/>
      <c r="CT387" s="694"/>
      <c r="CU387" s="694"/>
      <c r="CV387" s="695">
        <f t="shared" si="54"/>
        <v>37.4</v>
      </c>
      <c r="CW387" s="695"/>
      <c r="CX387" s="695"/>
      <c r="CY387" s="695"/>
      <c r="CZ387" s="695">
        <f t="shared" si="55"/>
        <v>74.8</v>
      </c>
      <c r="DA387" s="695"/>
      <c r="DB387" s="695"/>
      <c r="DC387" s="695"/>
      <c r="DD387" s="695"/>
      <c r="DE387" s="695"/>
      <c r="DF387" s="695"/>
      <c r="DG387" s="695"/>
      <c r="DH387" s="695"/>
      <c r="DI387" s="694"/>
      <c r="DJ387" s="694"/>
      <c r="DK387" s="694">
        <v>1</v>
      </c>
      <c r="DL387" s="694"/>
      <c r="DM387" s="694">
        <v>3</v>
      </c>
      <c r="DN387" s="694">
        <v>1</v>
      </c>
      <c r="DO387" s="694">
        <v>3</v>
      </c>
      <c r="DP387" s="694">
        <v>3</v>
      </c>
      <c r="DQ387" s="694"/>
      <c r="DR387" s="694"/>
      <c r="DS387" s="694"/>
      <c r="DT387" s="694"/>
      <c r="DU387" s="694"/>
      <c r="DV387" s="694"/>
      <c r="DW387" s="694"/>
      <c r="DX387" s="694"/>
      <c r="DY387" s="694"/>
      <c r="DZ387" s="694">
        <v>1</v>
      </c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7"/>
    </row>
    <row r="388" spans="1:163" s="696" customFormat="1">
      <c r="A388" s="690"/>
      <c r="B388" s="690"/>
      <c r="C388" s="708" t="s">
        <v>3637</v>
      </c>
      <c r="D388" s="708"/>
      <c r="E388" s="694">
        <v>40.9</v>
      </c>
      <c r="F388" s="694"/>
      <c r="G388" s="694"/>
      <c r="H388" s="694"/>
      <c r="I388" s="694"/>
      <c r="J388" s="694"/>
      <c r="K388" s="694"/>
      <c r="L388" s="694"/>
      <c r="M388" s="694"/>
      <c r="N388" s="694"/>
      <c r="O388" s="694"/>
      <c r="P388" s="694"/>
      <c r="Q388" s="694"/>
      <c r="R388" s="697"/>
      <c r="S388" s="697"/>
      <c r="T388" s="694"/>
      <c r="U388" s="694" t="s">
        <v>1631</v>
      </c>
      <c r="V388" s="694"/>
      <c r="W388" s="694"/>
      <c r="X388" s="694"/>
      <c r="Y388" s="694"/>
      <c r="Z388" s="694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4"/>
      <c r="BL388" s="694"/>
      <c r="BM388" s="694"/>
      <c r="BN388" s="694"/>
      <c r="BO388" s="694"/>
      <c r="BP388" s="694"/>
      <c r="BQ388" s="694"/>
      <c r="BR388" s="694"/>
      <c r="BS388" s="694"/>
      <c r="BT388" s="694"/>
      <c r="BU388" s="694"/>
      <c r="BV388" s="692"/>
      <c r="BW388" s="694"/>
      <c r="BX388" s="694"/>
      <c r="BY388" s="694"/>
      <c r="BZ388" s="694"/>
      <c r="CA388" s="694"/>
      <c r="CB388" s="694"/>
      <c r="CC388" s="694"/>
      <c r="CD388" s="694"/>
      <c r="CE388" s="694"/>
      <c r="CF388" s="694"/>
      <c r="CG388" s="694"/>
      <c r="CH388" s="694"/>
      <c r="CI388" s="694"/>
      <c r="CJ388" s="694"/>
      <c r="CK388" s="694"/>
      <c r="CL388" s="694"/>
      <c r="CM388" s="694"/>
      <c r="CN388" s="694"/>
      <c r="CO388" s="694"/>
      <c r="CP388" s="694"/>
      <c r="CQ388" s="694"/>
      <c r="CR388" s="694"/>
      <c r="CS388" s="694"/>
      <c r="CT388" s="694"/>
      <c r="CU388" s="694"/>
      <c r="CV388" s="695">
        <f t="shared" si="54"/>
        <v>40.9</v>
      </c>
      <c r="CW388" s="695"/>
      <c r="CX388" s="695"/>
      <c r="CY388" s="695"/>
      <c r="CZ388" s="695">
        <f t="shared" si="55"/>
        <v>81.8</v>
      </c>
      <c r="DA388" s="695"/>
      <c r="DB388" s="695"/>
      <c r="DC388" s="695"/>
      <c r="DD388" s="695"/>
      <c r="DE388" s="695"/>
      <c r="DF388" s="695"/>
      <c r="DG388" s="695"/>
      <c r="DH388" s="695"/>
      <c r="DI388" s="694"/>
      <c r="DJ388" s="694"/>
      <c r="DK388" s="694">
        <v>1</v>
      </c>
      <c r="DL388" s="694"/>
      <c r="DM388" s="694">
        <v>3</v>
      </c>
      <c r="DN388" s="694">
        <v>1</v>
      </c>
      <c r="DO388" s="694">
        <v>3</v>
      </c>
      <c r="DP388" s="694">
        <v>3</v>
      </c>
      <c r="DQ388" s="694"/>
      <c r="DR388" s="694"/>
      <c r="DS388" s="694"/>
      <c r="DT388" s="694"/>
      <c r="DU388" s="694"/>
      <c r="DV388" s="694"/>
      <c r="DW388" s="694"/>
      <c r="DX388" s="694"/>
      <c r="DY388" s="694"/>
      <c r="DZ388" s="694">
        <v>2</v>
      </c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7"/>
    </row>
    <row r="389" spans="1:163" s="696" customFormat="1">
      <c r="A389" s="690"/>
      <c r="B389" s="690"/>
      <c r="C389" s="708" t="s">
        <v>3638</v>
      </c>
      <c r="D389" s="708"/>
      <c r="E389" s="694">
        <v>29.2</v>
      </c>
      <c r="F389" s="694"/>
      <c r="G389" s="694"/>
      <c r="H389" s="694"/>
      <c r="I389" s="694"/>
      <c r="J389" s="694"/>
      <c r="K389" s="694"/>
      <c r="L389" s="694"/>
      <c r="M389" s="694"/>
      <c r="N389" s="694"/>
      <c r="O389" s="694"/>
      <c r="P389" s="694"/>
      <c r="Q389" s="694"/>
      <c r="R389" s="697"/>
      <c r="S389" s="697"/>
      <c r="T389" s="692"/>
      <c r="U389" s="692" t="s">
        <v>2989</v>
      </c>
      <c r="V389" s="694"/>
      <c r="W389" s="694"/>
      <c r="X389" s="694"/>
      <c r="Y389" s="694"/>
      <c r="Z389" s="694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694"/>
      <c r="BL389" s="694"/>
      <c r="BM389" s="694"/>
      <c r="BN389" s="694"/>
      <c r="BO389" s="694"/>
      <c r="BP389" s="694"/>
      <c r="BQ389" s="694"/>
      <c r="BR389" s="694"/>
      <c r="BS389" s="694"/>
      <c r="BT389" s="694"/>
      <c r="BU389" s="694"/>
      <c r="BV389" s="692"/>
      <c r="BW389" s="694"/>
      <c r="BX389" s="694"/>
      <c r="BY389" s="694"/>
      <c r="BZ389" s="694"/>
      <c r="CA389" s="694"/>
      <c r="CB389" s="694"/>
      <c r="CC389" s="694"/>
      <c r="CD389" s="694"/>
      <c r="CE389" s="694"/>
      <c r="CF389" s="694"/>
      <c r="CG389" s="694"/>
      <c r="CH389" s="694"/>
      <c r="CI389" s="694"/>
      <c r="CJ389" s="694"/>
      <c r="CK389" s="694"/>
      <c r="CL389" s="694"/>
      <c r="CM389" s="694"/>
      <c r="CN389" s="694"/>
      <c r="CO389" s="694"/>
      <c r="CP389" s="694">
        <v>1</v>
      </c>
      <c r="CQ389" s="694"/>
      <c r="CR389" s="694"/>
      <c r="CS389" s="694"/>
      <c r="CT389" s="694"/>
      <c r="CU389" s="694"/>
      <c r="CV389" s="695">
        <f t="shared" si="54"/>
        <v>29.2</v>
      </c>
      <c r="CW389" s="695"/>
      <c r="CX389" s="695"/>
      <c r="CY389" s="695"/>
      <c r="CZ389" s="695">
        <f t="shared" si="55"/>
        <v>58.4</v>
      </c>
      <c r="DA389" s="695"/>
      <c r="DB389" s="695"/>
      <c r="DC389" s="695"/>
      <c r="DD389" s="695"/>
      <c r="DE389" s="695"/>
      <c r="DF389" s="695"/>
      <c r="DG389" s="695"/>
      <c r="DH389" s="695"/>
      <c r="DI389" s="694"/>
      <c r="DJ389" s="694"/>
      <c r="DK389" s="694">
        <v>2</v>
      </c>
      <c r="DL389" s="694"/>
      <c r="DM389" s="694">
        <v>6</v>
      </c>
      <c r="DN389" s="694">
        <v>1</v>
      </c>
      <c r="DO389" s="694">
        <v>3</v>
      </c>
      <c r="DP389" s="694">
        <v>3</v>
      </c>
      <c r="DQ389" s="694"/>
      <c r="DR389" s="694"/>
      <c r="DS389" s="694"/>
      <c r="DT389" s="694"/>
      <c r="DU389" s="694"/>
      <c r="DV389" s="694">
        <v>2</v>
      </c>
      <c r="DW389" s="694"/>
      <c r="DX389" s="694"/>
      <c r="DY389" s="694"/>
      <c r="DZ389" s="694"/>
      <c r="EA389" s="694">
        <v>2</v>
      </c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7"/>
    </row>
    <row r="390" spans="1:163" s="696" customFormat="1">
      <c r="A390" s="690"/>
      <c r="B390" s="690"/>
      <c r="C390" s="708" t="s">
        <v>3639</v>
      </c>
      <c r="D390" s="708"/>
      <c r="E390" s="694">
        <v>32.700000000000003</v>
      </c>
      <c r="F390" s="694"/>
      <c r="G390" s="694"/>
      <c r="H390" s="694"/>
      <c r="I390" s="694"/>
      <c r="J390" s="694"/>
      <c r="K390" s="694"/>
      <c r="L390" s="694"/>
      <c r="M390" s="694"/>
      <c r="N390" s="694"/>
      <c r="O390" s="694"/>
      <c r="P390" s="694"/>
      <c r="Q390" s="694"/>
      <c r="R390" s="697"/>
      <c r="S390" s="697"/>
      <c r="T390" s="694"/>
      <c r="U390" s="694" t="s">
        <v>1903</v>
      </c>
      <c r="V390" s="694"/>
      <c r="W390" s="694"/>
      <c r="X390" s="694"/>
      <c r="Y390" s="694"/>
      <c r="Z390" s="694"/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4"/>
      <c r="BL390" s="694"/>
      <c r="BM390" s="694"/>
      <c r="BN390" s="694"/>
      <c r="BO390" s="694"/>
      <c r="BP390" s="694"/>
      <c r="BQ390" s="694"/>
      <c r="BR390" s="694"/>
      <c r="BS390" s="694"/>
      <c r="BT390" s="694"/>
      <c r="BU390" s="694"/>
      <c r="BV390" s="692"/>
      <c r="BW390" s="694"/>
      <c r="BX390" s="694"/>
      <c r="BY390" s="694"/>
      <c r="BZ390" s="694"/>
      <c r="CA390" s="694"/>
      <c r="CB390" s="694"/>
      <c r="CC390" s="694"/>
      <c r="CD390" s="694"/>
      <c r="CE390" s="694"/>
      <c r="CF390" s="694"/>
      <c r="CG390" s="694"/>
      <c r="CH390" s="694"/>
      <c r="CI390" s="694"/>
      <c r="CJ390" s="694"/>
      <c r="CK390" s="694"/>
      <c r="CL390" s="694"/>
      <c r="CM390" s="694"/>
      <c r="CN390" s="694"/>
      <c r="CO390" s="694"/>
      <c r="CP390" s="694"/>
      <c r="CQ390" s="694"/>
      <c r="CR390" s="694"/>
      <c r="CS390" s="694"/>
      <c r="CT390" s="694"/>
      <c r="CU390" s="694"/>
      <c r="CV390" s="695">
        <f t="shared" si="54"/>
        <v>32.700000000000003</v>
      </c>
      <c r="CW390" s="695"/>
      <c r="CX390" s="695"/>
      <c r="CY390" s="695"/>
      <c r="CZ390" s="695">
        <f t="shared" si="55"/>
        <v>65.400000000000006</v>
      </c>
      <c r="DA390" s="695"/>
      <c r="DB390" s="695"/>
      <c r="DC390" s="695"/>
      <c r="DD390" s="695"/>
      <c r="DE390" s="695"/>
      <c r="DF390" s="695"/>
      <c r="DG390" s="695"/>
      <c r="DH390" s="695"/>
      <c r="DI390" s="694"/>
      <c r="DJ390" s="694"/>
      <c r="DK390" s="694">
        <v>1</v>
      </c>
      <c r="DL390" s="694"/>
      <c r="DM390" s="694">
        <v>3</v>
      </c>
      <c r="DN390" s="694"/>
      <c r="DO390" s="694"/>
      <c r="DP390" s="694"/>
      <c r="DQ390" s="694"/>
      <c r="DR390" s="694"/>
      <c r="DS390" s="694"/>
      <c r="DT390" s="694"/>
      <c r="DU390" s="694"/>
      <c r="DV390" s="694"/>
      <c r="DW390" s="694"/>
      <c r="DX390" s="694"/>
      <c r="DY390" s="694"/>
      <c r="DZ390" s="694">
        <v>1</v>
      </c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7"/>
    </row>
    <row r="391" spans="1:163" s="696" customFormat="1">
      <c r="A391" s="690"/>
      <c r="B391" s="690"/>
      <c r="C391" s="708" t="s">
        <v>3640</v>
      </c>
      <c r="D391" s="708"/>
      <c r="E391" s="694">
        <v>40.9</v>
      </c>
      <c r="F391" s="694"/>
      <c r="G391" s="694"/>
      <c r="H391" s="694"/>
      <c r="I391" s="694"/>
      <c r="J391" s="694"/>
      <c r="K391" s="694"/>
      <c r="L391" s="694"/>
      <c r="M391" s="694"/>
      <c r="N391" s="694"/>
      <c r="O391" s="694"/>
      <c r="P391" s="694"/>
      <c r="Q391" s="694"/>
      <c r="R391" s="697"/>
      <c r="S391" s="697"/>
      <c r="T391" s="694"/>
      <c r="U391" s="694" t="s">
        <v>1631</v>
      </c>
      <c r="V391" s="694"/>
      <c r="W391" s="694"/>
      <c r="X391" s="694"/>
      <c r="Y391" s="694"/>
      <c r="Z391" s="694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4"/>
      <c r="BL391" s="694"/>
      <c r="BM391" s="694"/>
      <c r="BN391" s="694"/>
      <c r="BO391" s="694"/>
      <c r="BP391" s="694"/>
      <c r="BQ391" s="694"/>
      <c r="BR391" s="694"/>
      <c r="BS391" s="694"/>
      <c r="BT391" s="694"/>
      <c r="BU391" s="694"/>
      <c r="BV391" s="692"/>
      <c r="BW391" s="694"/>
      <c r="BX391" s="694"/>
      <c r="BY391" s="694"/>
      <c r="BZ391" s="694"/>
      <c r="CA391" s="694"/>
      <c r="CB391" s="694"/>
      <c r="CC391" s="694"/>
      <c r="CD391" s="694"/>
      <c r="CE391" s="694"/>
      <c r="CF391" s="694"/>
      <c r="CG391" s="694"/>
      <c r="CH391" s="694"/>
      <c r="CI391" s="694"/>
      <c r="CJ391" s="694"/>
      <c r="CK391" s="694"/>
      <c r="CL391" s="694"/>
      <c r="CM391" s="694"/>
      <c r="CN391" s="694"/>
      <c r="CO391" s="694"/>
      <c r="CP391" s="694"/>
      <c r="CQ391" s="694"/>
      <c r="CR391" s="694"/>
      <c r="CS391" s="694"/>
      <c r="CT391" s="694"/>
      <c r="CU391" s="694"/>
      <c r="CV391" s="695">
        <f t="shared" si="54"/>
        <v>40.9</v>
      </c>
      <c r="CW391" s="695"/>
      <c r="CX391" s="695"/>
      <c r="CY391" s="695"/>
      <c r="CZ391" s="695">
        <f t="shared" si="55"/>
        <v>81.8</v>
      </c>
      <c r="DA391" s="695"/>
      <c r="DB391" s="695"/>
      <c r="DC391" s="695"/>
      <c r="DD391" s="695"/>
      <c r="DE391" s="695"/>
      <c r="DF391" s="695"/>
      <c r="DG391" s="695"/>
      <c r="DH391" s="695"/>
      <c r="DI391" s="694"/>
      <c r="DJ391" s="694"/>
      <c r="DK391" s="694">
        <v>1</v>
      </c>
      <c r="DL391" s="694"/>
      <c r="DM391" s="694">
        <v>3</v>
      </c>
      <c r="DN391" s="694">
        <v>1</v>
      </c>
      <c r="DO391" s="694">
        <v>3</v>
      </c>
      <c r="DP391" s="694">
        <v>3</v>
      </c>
      <c r="DQ391" s="694"/>
      <c r="DR391" s="694"/>
      <c r="DS391" s="694"/>
      <c r="DT391" s="694"/>
      <c r="DU391" s="694"/>
      <c r="DV391" s="694"/>
      <c r="DW391" s="694"/>
      <c r="DX391" s="694"/>
      <c r="DY391" s="694"/>
      <c r="DZ391" s="694">
        <v>2</v>
      </c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>
        <v>1</v>
      </c>
      <c r="FB391" s="694"/>
      <c r="FC391" s="694"/>
      <c r="FD391" s="694"/>
      <c r="FE391" s="694"/>
      <c r="FF391" s="694"/>
      <c r="FG391" s="697"/>
    </row>
    <row r="392" spans="1:163" s="696" customFormat="1">
      <c r="A392" s="690"/>
      <c r="B392" s="690"/>
      <c r="C392" s="708" t="s">
        <v>3641</v>
      </c>
      <c r="D392" s="708"/>
      <c r="E392" s="694">
        <v>37.700000000000003</v>
      </c>
      <c r="F392" s="694"/>
      <c r="G392" s="694"/>
      <c r="H392" s="694"/>
      <c r="I392" s="694"/>
      <c r="J392" s="694"/>
      <c r="K392" s="694"/>
      <c r="L392" s="694"/>
      <c r="M392" s="694"/>
      <c r="N392" s="694"/>
      <c r="O392" s="694"/>
      <c r="P392" s="694"/>
      <c r="Q392" s="694"/>
      <c r="R392" s="697"/>
      <c r="S392" s="697"/>
      <c r="T392" s="694"/>
      <c r="U392" s="694" t="s">
        <v>1903</v>
      </c>
      <c r="V392" s="694"/>
      <c r="W392" s="694"/>
      <c r="X392" s="694"/>
      <c r="Y392" s="694"/>
      <c r="Z392" s="694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4"/>
      <c r="BL392" s="694"/>
      <c r="BM392" s="694"/>
      <c r="BN392" s="694"/>
      <c r="BO392" s="694"/>
      <c r="BP392" s="694"/>
      <c r="BQ392" s="694"/>
      <c r="BR392" s="694"/>
      <c r="BS392" s="694"/>
      <c r="BT392" s="694"/>
      <c r="BU392" s="694"/>
      <c r="BV392" s="692"/>
      <c r="BW392" s="694"/>
      <c r="BX392" s="694"/>
      <c r="BY392" s="694"/>
      <c r="BZ392" s="694"/>
      <c r="CA392" s="694"/>
      <c r="CB392" s="694"/>
      <c r="CC392" s="694"/>
      <c r="CD392" s="694"/>
      <c r="CE392" s="694"/>
      <c r="CF392" s="694"/>
      <c r="CG392" s="694"/>
      <c r="CH392" s="694"/>
      <c r="CI392" s="694"/>
      <c r="CJ392" s="694"/>
      <c r="CK392" s="694"/>
      <c r="CL392" s="694"/>
      <c r="CM392" s="694"/>
      <c r="CN392" s="694"/>
      <c r="CO392" s="694"/>
      <c r="CP392" s="694"/>
      <c r="CQ392" s="694"/>
      <c r="CR392" s="694"/>
      <c r="CS392" s="694"/>
      <c r="CT392" s="694"/>
      <c r="CU392" s="694"/>
      <c r="CV392" s="695">
        <f t="shared" si="54"/>
        <v>37.700000000000003</v>
      </c>
      <c r="CW392" s="695"/>
      <c r="CX392" s="695"/>
      <c r="CY392" s="695"/>
      <c r="CZ392" s="695">
        <f t="shared" si="55"/>
        <v>75.400000000000006</v>
      </c>
      <c r="DA392" s="695"/>
      <c r="DB392" s="695"/>
      <c r="DC392" s="695"/>
      <c r="DD392" s="695"/>
      <c r="DE392" s="695"/>
      <c r="DF392" s="695"/>
      <c r="DG392" s="695"/>
      <c r="DH392" s="695"/>
      <c r="DI392" s="694"/>
      <c r="DJ392" s="694"/>
      <c r="DK392" s="694">
        <v>1</v>
      </c>
      <c r="DL392" s="694"/>
      <c r="DM392" s="694">
        <v>3</v>
      </c>
      <c r="DN392" s="694"/>
      <c r="DO392" s="694"/>
      <c r="DP392" s="694"/>
      <c r="DQ392" s="694"/>
      <c r="DR392" s="694"/>
      <c r="DS392" s="694"/>
      <c r="DT392" s="694"/>
      <c r="DU392" s="694"/>
      <c r="DV392" s="694"/>
      <c r="DW392" s="694"/>
      <c r="DX392" s="694"/>
      <c r="DY392" s="694"/>
      <c r="DZ392" s="694">
        <v>1</v>
      </c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7"/>
    </row>
    <row r="393" spans="1:163" s="696" customFormat="1">
      <c r="A393" s="690"/>
      <c r="B393" s="690"/>
      <c r="C393" s="708" t="s">
        <v>3647</v>
      </c>
      <c r="D393" s="708"/>
      <c r="E393" s="694">
        <v>39.700000000000003</v>
      </c>
      <c r="F393" s="694"/>
      <c r="G393" s="694"/>
      <c r="H393" s="694"/>
      <c r="I393" s="694"/>
      <c r="J393" s="694"/>
      <c r="K393" s="694"/>
      <c r="L393" s="694"/>
      <c r="M393" s="694"/>
      <c r="N393" s="694"/>
      <c r="O393" s="694"/>
      <c r="P393" s="694"/>
      <c r="Q393" s="694"/>
      <c r="R393" s="697"/>
      <c r="S393" s="697"/>
      <c r="T393" s="694"/>
      <c r="U393" s="694" t="s">
        <v>1631</v>
      </c>
      <c r="V393" s="694"/>
      <c r="W393" s="694"/>
      <c r="X393" s="694"/>
      <c r="Y393" s="694"/>
      <c r="Z393" s="694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694"/>
      <c r="BL393" s="694"/>
      <c r="BM393" s="694"/>
      <c r="BN393" s="694"/>
      <c r="BO393" s="694"/>
      <c r="BP393" s="694"/>
      <c r="BQ393" s="694"/>
      <c r="BR393" s="694"/>
      <c r="BS393" s="694"/>
      <c r="BT393" s="694"/>
      <c r="BU393" s="694"/>
      <c r="BV393" s="692"/>
      <c r="BW393" s="694"/>
      <c r="BX393" s="694"/>
      <c r="BY393" s="694"/>
      <c r="BZ393" s="694"/>
      <c r="CA393" s="694"/>
      <c r="CB393" s="694"/>
      <c r="CC393" s="694"/>
      <c r="CD393" s="694"/>
      <c r="CE393" s="694"/>
      <c r="CF393" s="694"/>
      <c r="CG393" s="694"/>
      <c r="CH393" s="694"/>
      <c r="CI393" s="694"/>
      <c r="CJ393" s="694"/>
      <c r="CK393" s="694"/>
      <c r="CL393" s="694"/>
      <c r="CM393" s="694"/>
      <c r="CN393" s="694"/>
      <c r="CO393" s="694"/>
      <c r="CP393" s="694"/>
      <c r="CQ393" s="694"/>
      <c r="CR393" s="694"/>
      <c r="CS393" s="694"/>
      <c r="CT393" s="694"/>
      <c r="CU393" s="694"/>
      <c r="CV393" s="695">
        <f t="shared" si="54"/>
        <v>39.700000000000003</v>
      </c>
      <c r="CW393" s="695"/>
      <c r="CX393" s="695"/>
      <c r="CY393" s="695"/>
      <c r="CZ393" s="695">
        <f t="shared" si="55"/>
        <v>79.400000000000006</v>
      </c>
      <c r="DA393" s="695"/>
      <c r="DB393" s="695"/>
      <c r="DC393" s="695"/>
      <c r="DD393" s="695"/>
      <c r="DE393" s="695"/>
      <c r="DF393" s="695"/>
      <c r="DG393" s="695"/>
      <c r="DH393" s="695"/>
      <c r="DI393" s="694"/>
      <c r="DJ393" s="694"/>
      <c r="DK393" s="694">
        <v>1</v>
      </c>
      <c r="DL393" s="694"/>
      <c r="DM393" s="694">
        <v>3</v>
      </c>
      <c r="DN393" s="694"/>
      <c r="DO393" s="694"/>
      <c r="DP393" s="694"/>
      <c r="DQ393" s="694"/>
      <c r="DR393" s="694"/>
      <c r="DS393" s="694"/>
      <c r="DT393" s="694"/>
      <c r="DU393" s="694"/>
      <c r="DV393" s="694"/>
      <c r="DW393" s="694"/>
      <c r="DX393" s="694"/>
      <c r="DY393" s="694"/>
      <c r="DZ393" s="694">
        <v>2</v>
      </c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7"/>
    </row>
    <row r="394" spans="1:163" s="696" customFormat="1">
      <c r="A394" s="690"/>
      <c r="B394" s="690"/>
      <c r="C394" s="708" t="s">
        <v>3648</v>
      </c>
      <c r="D394" s="708"/>
      <c r="E394" s="694">
        <v>42.2</v>
      </c>
      <c r="F394" s="694"/>
      <c r="G394" s="694"/>
      <c r="H394" s="694"/>
      <c r="I394" s="694"/>
      <c r="J394" s="694"/>
      <c r="K394" s="694"/>
      <c r="L394" s="694"/>
      <c r="M394" s="694"/>
      <c r="N394" s="694"/>
      <c r="O394" s="694"/>
      <c r="P394" s="694"/>
      <c r="Q394" s="694"/>
      <c r="R394" s="697"/>
      <c r="S394" s="697"/>
      <c r="T394" s="694"/>
      <c r="U394" s="694" t="s">
        <v>1631</v>
      </c>
      <c r="V394" s="694"/>
      <c r="W394" s="694"/>
      <c r="X394" s="694"/>
      <c r="Y394" s="694"/>
      <c r="Z394" s="694"/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4"/>
      <c r="BL394" s="694"/>
      <c r="BM394" s="694"/>
      <c r="BN394" s="694"/>
      <c r="BO394" s="694"/>
      <c r="BP394" s="694"/>
      <c r="BQ394" s="694"/>
      <c r="BR394" s="694"/>
      <c r="BS394" s="694"/>
      <c r="BT394" s="694"/>
      <c r="BU394" s="694"/>
      <c r="BV394" s="692"/>
      <c r="BW394" s="694"/>
      <c r="BX394" s="694"/>
      <c r="BY394" s="694"/>
      <c r="BZ394" s="694"/>
      <c r="CA394" s="694"/>
      <c r="CB394" s="694"/>
      <c r="CC394" s="694"/>
      <c r="CD394" s="694"/>
      <c r="CE394" s="694"/>
      <c r="CF394" s="694"/>
      <c r="CG394" s="694"/>
      <c r="CH394" s="694"/>
      <c r="CI394" s="694"/>
      <c r="CJ394" s="694"/>
      <c r="CK394" s="694"/>
      <c r="CL394" s="694"/>
      <c r="CM394" s="694"/>
      <c r="CN394" s="694"/>
      <c r="CO394" s="694"/>
      <c r="CP394" s="694"/>
      <c r="CQ394" s="694"/>
      <c r="CR394" s="694"/>
      <c r="CS394" s="694"/>
      <c r="CT394" s="694"/>
      <c r="CU394" s="694"/>
      <c r="CV394" s="695">
        <f t="shared" si="54"/>
        <v>42.2</v>
      </c>
      <c r="CW394" s="695"/>
      <c r="CX394" s="695"/>
      <c r="CY394" s="695"/>
      <c r="CZ394" s="695">
        <f t="shared" si="55"/>
        <v>84.4</v>
      </c>
      <c r="DA394" s="695"/>
      <c r="DB394" s="695"/>
      <c r="DC394" s="695"/>
      <c r="DD394" s="695"/>
      <c r="DE394" s="695"/>
      <c r="DF394" s="695"/>
      <c r="DG394" s="695"/>
      <c r="DH394" s="695"/>
      <c r="DI394" s="694"/>
      <c r="DJ394" s="694"/>
      <c r="DK394" s="694">
        <v>1</v>
      </c>
      <c r="DL394" s="694"/>
      <c r="DM394" s="694">
        <v>3</v>
      </c>
      <c r="DN394" s="694">
        <v>1</v>
      </c>
      <c r="DO394" s="694">
        <v>3</v>
      </c>
      <c r="DP394" s="694">
        <v>3</v>
      </c>
      <c r="DQ394" s="694"/>
      <c r="DR394" s="694"/>
      <c r="DS394" s="694"/>
      <c r="DT394" s="694"/>
      <c r="DU394" s="694"/>
      <c r="DV394" s="694"/>
      <c r="DW394" s="694"/>
      <c r="DX394" s="694"/>
      <c r="DY394" s="694"/>
      <c r="DZ394" s="694">
        <v>2</v>
      </c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7"/>
    </row>
    <row r="395" spans="1:163" s="696" customFormat="1">
      <c r="A395" s="690"/>
      <c r="B395" s="690"/>
      <c r="C395" s="708" t="s">
        <v>3649</v>
      </c>
      <c r="D395" s="708"/>
      <c r="E395" s="694">
        <v>39.799999999999997</v>
      </c>
      <c r="F395" s="694"/>
      <c r="G395" s="694"/>
      <c r="H395" s="694"/>
      <c r="I395" s="694"/>
      <c r="J395" s="694"/>
      <c r="K395" s="694"/>
      <c r="L395" s="694"/>
      <c r="M395" s="694"/>
      <c r="N395" s="694"/>
      <c r="O395" s="694"/>
      <c r="P395" s="694"/>
      <c r="Q395" s="694"/>
      <c r="R395" s="697"/>
      <c r="S395" s="697"/>
      <c r="T395" s="694"/>
      <c r="U395" s="694" t="s">
        <v>3005</v>
      </c>
      <c r="V395" s="694"/>
      <c r="W395" s="694"/>
      <c r="X395" s="694"/>
      <c r="Y395" s="694"/>
      <c r="Z395" s="694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4"/>
      <c r="BL395" s="694"/>
      <c r="BM395" s="694"/>
      <c r="BN395" s="694"/>
      <c r="BO395" s="694"/>
      <c r="BP395" s="694"/>
      <c r="BQ395" s="694"/>
      <c r="BR395" s="694"/>
      <c r="BS395" s="694"/>
      <c r="BT395" s="694"/>
      <c r="BU395" s="694"/>
      <c r="BV395" s="692"/>
      <c r="BW395" s="694"/>
      <c r="BX395" s="694"/>
      <c r="BY395" s="694"/>
      <c r="BZ395" s="694"/>
      <c r="CA395" s="694"/>
      <c r="CB395" s="694"/>
      <c r="CC395" s="694"/>
      <c r="CD395" s="694"/>
      <c r="CE395" s="694"/>
      <c r="CF395" s="694"/>
      <c r="CG395" s="694"/>
      <c r="CH395" s="694"/>
      <c r="CI395" s="694"/>
      <c r="CJ395" s="694"/>
      <c r="CK395" s="694"/>
      <c r="CL395" s="694"/>
      <c r="CM395" s="694"/>
      <c r="CN395" s="694"/>
      <c r="CO395" s="694"/>
      <c r="CP395" s="694"/>
      <c r="CQ395" s="694"/>
      <c r="CR395" s="694"/>
      <c r="CS395" s="694"/>
      <c r="CT395" s="694"/>
      <c r="CU395" s="694"/>
      <c r="CV395" s="695">
        <f t="shared" si="54"/>
        <v>39.799999999999997</v>
      </c>
      <c r="CW395" s="695"/>
      <c r="CX395" s="695"/>
      <c r="CY395" s="695"/>
      <c r="CZ395" s="695">
        <f t="shared" si="55"/>
        <v>79.599999999999994</v>
      </c>
      <c r="DA395" s="695"/>
      <c r="DB395" s="695"/>
      <c r="DC395" s="695"/>
      <c r="DD395" s="695"/>
      <c r="DE395" s="695"/>
      <c r="DF395" s="695"/>
      <c r="DG395" s="695"/>
      <c r="DH395" s="695"/>
      <c r="DI395" s="694"/>
      <c r="DJ395" s="694"/>
      <c r="DK395" s="694">
        <v>2</v>
      </c>
      <c r="DL395" s="694"/>
      <c r="DM395" s="694">
        <v>6</v>
      </c>
      <c r="DN395" s="694">
        <v>1</v>
      </c>
      <c r="DO395" s="694">
        <v>3</v>
      </c>
      <c r="DP395" s="694">
        <v>3</v>
      </c>
      <c r="DQ395" s="694"/>
      <c r="DR395" s="694"/>
      <c r="DS395" s="694"/>
      <c r="DT395" s="694"/>
      <c r="DU395" s="694">
        <v>6</v>
      </c>
      <c r="DV395" s="694"/>
      <c r="DW395" s="694"/>
      <c r="DX395" s="694"/>
      <c r="DY395" s="694"/>
      <c r="DZ395" s="694">
        <v>2</v>
      </c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7"/>
    </row>
    <row r="396" spans="1:163" s="696" customFormat="1">
      <c r="A396" s="690"/>
      <c r="B396" s="690"/>
      <c r="C396" s="708" t="s">
        <v>3650</v>
      </c>
      <c r="D396" s="708"/>
      <c r="E396" s="694">
        <v>41.9</v>
      </c>
      <c r="F396" s="694"/>
      <c r="G396" s="694"/>
      <c r="H396" s="694"/>
      <c r="I396" s="694"/>
      <c r="J396" s="694"/>
      <c r="K396" s="694"/>
      <c r="L396" s="694"/>
      <c r="M396" s="694"/>
      <c r="N396" s="694"/>
      <c r="O396" s="694"/>
      <c r="P396" s="694"/>
      <c r="Q396" s="694"/>
      <c r="R396" s="697"/>
      <c r="S396" s="697"/>
      <c r="T396" s="694"/>
      <c r="U396" s="694" t="s">
        <v>1903</v>
      </c>
      <c r="V396" s="694"/>
      <c r="W396" s="694"/>
      <c r="X396" s="694"/>
      <c r="Y396" s="694"/>
      <c r="Z396" s="694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4"/>
      <c r="BL396" s="694"/>
      <c r="BM396" s="694"/>
      <c r="BN396" s="694"/>
      <c r="BO396" s="694"/>
      <c r="BP396" s="694"/>
      <c r="BQ396" s="694"/>
      <c r="BR396" s="694"/>
      <c r="BS396" s="694"/>
      <c r="BT396" s="694"/>
      <c r="BU396" s="694"/>
      <c r="BV396" s="692"/>
      <c r="BW396" s="694"/>
      <c r="BX396" s="694"/>
      <c r="BY396" s="694"/>
      <c r="BZ396" s="694"/>
      <c r="CA396" s="694"/>
      <c r="CB396" s="694"/>
      <c r="CC396" s="694"/>
      <c r="CD396" s="694"/>
      <c r="CE396" s="694"/>
      <c r="CF396" s="694"/>
      <c r="CG396" s="694"/>
      <c r="CH396" s="694"/>
      <c r="CI396" s="694"/>
      <c r="CJ396" s="694"/>
      <c r="CK396" s="694"/>
      <c r="CL396" s="694"/>
      <c r="CM396" s="694"/>
      <c r="CN396" s="694"/>
      <c r="CO396" s="694"/>
      <c r="CP396" s="694"/>
      <c r="CQ396" s="694"/>
      <c r="CR396" s="694"/>
      <c r="CS396" s="694"/>
      <c r="CT396" s="694"/>
      <c r="CU396" s="694"/>
      <c r="CV396" s="695">
        <f t="shared" si="54"/>
        <v>41.9</v>
      </c>
      <c r="CW396" s="695"/>
      <c r="CX396" s="695"/>
      <c r="CY396" s="695"/>
      <c r="CZ396" s="695">
        <f t="shared" si="55"/>
        <v>83.8</v>
      </c>
      <c r="DA396" s="695"/>
      <c r="DB396" s="695"/>
      <c r="DC396" s="695"/>
      <c r="DD396" s="695"/>
      <c r="DE396" s="695"/>
      <c r="DF396" s="695"/>
      <c r="DG396" s="695"/>
      <c r="DH396" s="695"/>
      <c r="DI396" s="694"/>
      <c r="DJ396" s="694"/>
      <c r="DK396" s="694">
        <v>1</v>
      </c>
      <c r="DL396" s="694"/>
      <c r="DM396" s="694">
        <v>3</v>
      </c>
      <c r="DN396" s="694">
        <v>1</v>
      </c>
      <c r="DO396" s="694">
        <v>2</v>
      </c>
      <c r="DP396" s="694">
        <v>2</v>
      </c>
      <c r="DQ396" s="694"/>
      <c r="DR396" s="694"/>
      <c r="DS396" s="694"/>
      <c r="DT396" s="694"/>
      <c r="DU396" s="694"/>
      <c r="DV396" s="694"/>
      <c r="DW396" s="694"/>
      <c r="DX396" s="694"/>
      <c r="DY396" s="694"/>
      <c r="DZ396" s="694">
        <v>2</v>
      </c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7"/>
    </row>
    <row r="397" spans="1:163" s="696" customFormat="1">
      <c r="A397" s="690"/>
      <c r="B397" s="690"/>
      <c r="C397" s="708" t="s">
        <v>3651</v>
      </c>
      <c r="D397" s="709"/>
      <c r="E397" s="694">
        <v>40</v>
      </c>
      <c r="F397" s="694"/>
      <c r="G397" s="694"/>
      <c r="H397" s="694"/>
      <c r="I397" s="694"/>
      <c r="J397" s="694"/>
      <c r="K397" s="694"/>
      <c r="L397" s="694"/>
      <c r="M397" s="694"/>
      <c r="N397" s="694"/>
      <c r="O397" s="694"/>
      <c r="P397" s="694"/>
      <c r="Q397" s="694"/>
      <c r="R397" s="697"/>
      <c r="S397" s="697"/>
      <c r="T397" s="694"/>
      <c r="U397" s="694" t="s">
        <v>1631</v>
      </c>
      <c r="V397" s="694"/>
      <c r="W397" s="694"/>
      <c r="X397" s="694"/>
      <c r="Y397" s="694"/>
      <c r="Z397" s="694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694"/>
      <c r="BL397" s="694"/>
      <c r="BM397" s="694"/>
      <c r="BN397" s="694"/>
      <c r="BO397" s="694"/>
      <c r="BP397" s="694"/>
      <c r="BQ397" s="694"/>
      <c r="BR397" s="694"/>
      <c r="BS397" s="694"/>
      <c r="BT397" s="694"/>
      <c r="BU397" s="694"/>
      <c r="BV397" s="692"/>
      <c r="BW397" s="694"/>
      <c r="BX397" s="694"/>
      <c r="BY397" s="694"/>
      <c r="BZ397" s="694"/>
      <c r="CA397" s="694"/>
      <c r="CB397" s="694"/>
      <c r="CC397" s="694"/>
      <c r="CD397" s="694"/>
      <c r="CE397" s="694"/>
      <c r="CF397" s="694"/>
      <c r="CG397" s="694"/>
      <c r="CH397" s="694"/>
      <c r="CI397" s="694"/>
      <c r="CJ397" s="694"/>
      <c r="CK397" s="694"/>
      <c r="CL397" s="694"/>
      <c r="CM397" s="694"/>
      <c r="CN397" s="694"/>
      <c r="CO397" s="694"/>
      <c r="CP397" s="694"/>
      <c r="CQ397" s="694"/>
      <c r="CR397" s="694"/>
      <c r="CS397" s="694"/>
      <c r="CT397" s="694"/>
      <c r="CU397" s="694"/>
      <c r="CV397" s="695">
        <f t="shared" si="54"/>
        <v>40</v>
      </c>
      <c r="CW397" s="695"/>
      <c r="CX397" s="695"/>
      <c r="CY397" s="695"/>
      <c r="CZ397" s="695">
        <f t="shared" si="55"/>
        <v>80</v>
      </c>
      <c r="DA397" s="695"/>
      <c r="DB397" s="695"/>
      <c r="DC397" s="695"/>
      <c r="DD397" s="695"/>
      <c r="DE397" s="695"/>
      <c r="DF397" s="695"/>
      <c r="DG397" s="695"/>
      <c r="DH397" s="695"/>
      <c r="DI397" s="694"/>
      <c r="DJ397" s="694"/>
      <c r="DK397" s="694">
        <v>1</v>
      </c>
      <c r="DL397" s="694"/>
      <c r="DM397" s="694">
        <v>3</v>
      </c>
      <c r="DN397" s="694">
        <v>1</v>
      </c>
      <c r="DO397" s="694">
        <v>2</v>
      </c>
      <c r="DP397" s="694">
        <v>2</v>
      </c>
      <c r="DQ397" s="694"/>
      <c r="DR397" s="694"/>
      <c r="DS397" s="694"/>
      <c r="DT397" s="694"/>
      <c r="DU397" s="694"/>
      <c r="DV397" s="694"/>
      <c r="DW397" s="694"/>
      <c r="DX397" s="694"/>
      <c r="DY397" s="694"/>
      <c r="DZ397" s="694">
        <v>2</v>
      </c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7"/>
    </row>
    <row r="398" spans="1:163" s="696" customFormat="1">
      <c r="A398" s="690"/>
      <c r="B398" s="690"/>
      <c r="C398" s="708" t="s">
        <v>3652</v>
      </c>
      <c r="D398" s="709"/>
      <c r="E398" s="694">
        <v>36.799999999999997</v>
      </c>
      <c r="F398" s="694"/>
      <c r="G398" s="694"/>
      <c r="H398" s="694"/>
      <c r="I398" s="694"/>
      <c r="J398" s="694"/>
      <c r="K398" s="694"/>
      <c r="L398" s="694"/>
      <c r="M398" s="694"/>
      <c r="N398" s="694"/>
      <c r="O398" s="694"/>
      <c r="P398" s="694"/>
      <c r="Q398" s="694"/>
      <c r="R398" s="697"/>
      <c r="S398" s="697"/>
      <c r="T398" s="694"/>
      <c r="U398" s="694" t="s">
        <v>1631</v>
      </c>
      <c r="V398" s="694"/>
      <c r="W398" s="694"/>
      <c r="X398" s="694"/>
      <c r="Y398" s="694"/>
      <c r="Z398" s="694"/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4"/>
      <c r="BL398" s="694"/>
      <c r="BM398" s="694"/>
      <c r="BN398" s="694"/>
      <c r="BO398" s="694"/>
      <c r="BP398" s="694"/>
      <c r="BQ398" s="694"/>
      <c r="BR398" s="694"/>
      <c r="BS398" s="694"/>
      <c r="BT398" s="694"/>
      <c r="BU398" s="694"/>
      <c r="BV398" s="692"/>
      <c r="BW398" s="694"/>
      <c r="BX398" s="694"/>
      <c r="BY398" s="694"/>
      <c r="BZ398" s="694"/>
      <c r="CA398" s="694"/>
      <c r="CB398" s="694"/>
      <c r="CC398" s="694"/>
      <c r="CD398" s="694"/>
      <c r="CE398" s="694"/>
      <c r="CF398" s="694"/>
      <c r="CG398" s="694"/>
      <c r="CH398" s="694"/>
      <c r="CI398" s="694"/>
      <c r="CJ398" s="694"/>
      <c r="CK398" s="694"/>
      <c r="CL398" s="694"/>
      <c r="CM398" s="694"/>
      <c r="CN398" s="694"/>
      <c r="CO398" s="694"/>
      <c r="CP398" s="694"/>
      <c r="CQ398" s="694"/>
      <c r="CR398" s="694"/>
      <c r="CS398" s="694"/>
      <c r="CT398" s="694"/>
      <c r="CU398" s="694"/>
      <c r="CV398" s="695">
        <f t="shared" si="54"/>
        <v>36.799999999999997</v>
      </c>
      <c r="CW398" s="695"/>
      <c r="CX398" s="695"/>
      <c r="CY398" s="695"/>
      <c r="CZ398" s="695">
        <f t="shared" si="55"/>
        <v>73.599999999999994</v>
      </c>
      <c r="DA398" s="695"/>
      <c r="DB398" s="695"/>
      <c r="DC398" s="695"/>
      <c r="DD398" s="695"/>
      <c r="DE398" s="695"/>
      <c r="DF398" s="695"/>
      <c r="DG398" s="695"/>
      <c r="DH398" s="695"/>
      <c r="DI398" s="694"/>
      <c r="DJ398" s="694"/>
      <c r="DK398" s="694">
        <v>1</v>
      </c>
      <c r="DL398" s="694"/>
      <c r="DM398" s="694">
        <v>3</v>
      </c>
      <c r="DN398" s="694">
        <v>1</v>
      </c>
      <c r="DO398" s="694">
        <v>3</v>
      </c>
      <c r="DP398" s="694">
        <v>3</v>
      </c>
      <c r="DQ398" s="694"/>
      <c r="DR398" s="694"/>
      <c r="DS398" s="694"/>
      <c r="DT398" s="694"/>
      <c r="DU398" s="694"/>
      <c r="DV398" s="694"/>
      <c r="DW398" s="694"/>
      <c r="DX398" s="694"/>
      <c r="DY398" s="694"/>
      <c r="DZ398" s="694">
        <v>2</v>
      </c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7"/>
    </row>
    <row r="399" spans="1:163" s="696" customFormat="1">
      <c r="A399" s="690"/>
      <c r="B399" s="690"/>
      <c r="C399" s="708" t="s">
        <v>3653</v>
      </c>
      <c r="D399" s="709"/>
      <c r="E399" s="694">
        <v>34.799999999999997</v>
      </c>
      <c r="F399" s="694"/>
      <c r="G399" s="694"/>
      <c r="H399" s="694"/>
      <c r="I399" s="694"/>
      <c r="J399" s="694"/>
      <c r="K399" s="694"/>
      <c r="L399" s="694"/>
      <c r="M399" s="694"/>
      <c r="N399" s="694"/>
      <c r="O399" s="694"/>
      <c r="P399" s="694"/>
      <c r="Q399" s="694"/>
      <c r="R399" s="697"/>
      <c r="S399" s="697"/>
      <c r="T399" s="694"/>
      <c r="U399" s="694" t="s">
        <v>1631</v>
      </c>
      <c r="V399" s="694"/>
      <c r="W399" s="694"/>
      <c r="X399" s="694"/>
      <c r="Y399" s="694"/>
      <c r="Z399" s="694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4"/>
      <c r="BL399" s="694"/>
      <c r="BM399" s="694"/>
      <c r="BN399" s="694"/>
      <c r="BO399" s="694"/>
      <c r="BP399" s="694"/>
      <c r="BQ399" s="694"/>
      <c r="BR399" s="694"/>
      <c r="BS399" s="694"/>
      <c r="BT399" s="694"/>
      <c r="BU399" s="694"/>
      <c r="BV399" s="692"/>
      <c r="BW399" s="694"/>
      <c r="BX399" s="694"/>
      <c r="BY399" s="694"/>
      <c r="BZ399" s="694"/>
      <c r="CA399" s="694"/>
      <c r="CB399" s="694"/>
      <c r="CC399" s="694"/>
      <c r="CD399" s="694"/>
      <c r="CE399" s="694"/>
      <c r="CF399" s="694"/>
      <c r="CG399" s="694"/>
      <c r="CH399" s="694"/>
      <c r="CI399" s="694"/>
      <c r="CJ399" s="694"/>
      <c r="CK399" s="694"/>
      <c r="CL399" s="694"/>
      <c r="CM399" s="694"/>
      <c r="CN399" s="694"/>
      <c r="CO399" s="694"/>
      <c r="CP399" s="694"/>
      <c r="CQ399" s="694"/>
      <c r="CR399" s="694"/>
      <c r="CS399" s="694"/>
      <c r="CT399" s="694"/>
      <c r="CU399" s="694"/>
      <c r="CV399" s="695">
        <f t="shared" si="54"/>
        <v>34.799999999999997</v>
      </c>
      <c r="CW399" s="695"/>
      <c r="CX399" s="695"/>
      <c r="CY399" s="695"/>
      <c r="CZ399" s="695">
        <f t="shared" si="55"/>
        <v>69.599999999999994</v>
      </c>
      <c r="DA399" s="695"/>
      <c r="DB399" s="695"/>
      <c r="DC399" s="695"/>
      <c r="DD399" s="695"/>
      <c r="DE399" s="695"/>
      <c r="DF399" s="695"/>
      <c r="DG399" s="695"/>
      <c r="DH399" s="695"/>
      <c r="DI399" s="694"/>
      <c r="DJ399" s="694"/>
      <c r="DK399" s="694">
        <v>1</v>
      </c>
      <c r="DL399" s="694"/>
      <c r="DM399" s="694">
        <v>3</v>
      </c>
      <c r="DN399" s="694"/>
      <c r="DO399" s="694"/>
      <c r="DP399" s="694"/>
      <c r="DQ399" s="694"/>
      <c r="DR399" s="694"/>
      <c r="DS399" s="694"/>
      <c r="DT399" s="694"/>
      <c r="DU399" s="694"/>
      <c r="DV399" s="694"/>
      <c r="DW399" s="694"/>
      <c r="DX399" s="694"/>
      <c r="DY399" s="694"/>
      <c r="DZ399" s="694">
        <v>2</v>
      </c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7"/>
    </row>
    <row r="400" spans="1:163" s="696" customFormat="1">
      <c r="A400" s="690"/>
      <c r="B400" s="690"/>
      <c r="C400" s="708" t="s">
        <v>3654</v>
      </c>
      <c r="D400" s="708"/>
      <c r="E400" s="694">
        <v>42.1</v>
      </c>
      <c r="F400" s="694"/>
      <c r="G400" s="694"/>
      <c r="H400" s="694"/>
      <c r="I400" s="694"/>
      <c r="J400" s="694"/>
      <c r="K400" s="694"/>
      <c r="L400" s="694"/>
      <c r="M400" s="694"/>
      <c r="N400" s="694"/>
      <c r="O400" s="694"/>
      <c r="P400" s="694"/>
      <c r="Q400" s="694"/>
      <c r="R400" s="697"/>
      <c r="S400" s="697"/>
      <c r="T400" s="694"/>
      <c r="U400" s="694" t="s">
        <v>1631</v>
      </c>
      <c r="V400" s="694"/>
      <c r="W400" s="694"/>
      <c r="X400" s="694"/>
      <c r="Y400" s="694"/>
      <c r="Z400" s="694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4"/>
      <c r="BL400" s="694"/>
      <c r="BM400" s="694"/>
      <c r="BN400" s="694"/>
      <c r="BO400" s="694"/>
      <c r="BP400" s="694"/>
      <c r="BQ400" s="694"/>
      <c r="BR400" s="694"/>
      <c r="BS400" s="694"/>
      <c r="BT400" s="694"/>
      <c r="BU400" s="694"/>
      <c r="BV400" s="692"/>
      <c r="BW400" s="694"/>
      <c r="BX400" s="694"/>
      <c r="BY400" s="694"/>
      <c r="BZ400" s="694"/>
      <c r="CA400" s="694"/>
      <c r="CB400" s="694"/>
      <c r="CC400" s="694"/>
      <c r="CD400" s="694"/>
      <c r="CE400" s="694"/>
      <c r="CF400" s="694"/>
      <c r="CG400" s="694"/>
      <c r="CH400" s="694"/>
      <c r="CI400" s="694"/>
      <c r="CJ400" s="694"/>
      <c r="CK400" s="694"/>
      <c r="CL400" s="694"/>
      <c r="CM400" s="694"/>
      <c r="CN400" s="694"/>
      <c r="CO400" s="694"/>
      <c r="CP400" s="694"/>
      <c r="CQ400" s="694"/>
      <c r="CR400" s="694"/>
      <c r="CS400" s="694"/>
      <c r="CT400" s="694"/>
      <c r="CU400" s="694"/>
      <c r="CV400" s="695">
        <f t="shared" si="54"/>
        <v>42.1</v>
      </c>
      <c r="CW400" s="695"/>
      <c r="CX400" s="695"/>
      <c r="CY400" s="695"/>
      <c r="CZ400" s="695">
        <f t="shared" si="55"/>
        <v>84.2</v>
      </c>
      <c r="DA400" s="695"/>
      <c r="DB400" s="695"/>
      <c r="DC400" s="695"/>
      <c r="DD400" s="695"/>
      <c r="DE400" s="695"/>
      <c r="DF400" s="695"/>
      <c r="DG400" s="695"/>
      <c r="DH400" s="695"/>
      <c r="DI400" s="694"/>
      <c r="DJ400" s="694"/>
      <c r="DK400" s="694">
        <v>1</v>
      </c>
      <c r="DL400" s="694"/>
      <c r="DM400" s="694">
        <v>3</v>
      </c>
      <c r="DN400" s="694">
        <v>1</v>
      </c>
      <c r="DO400" s="694">
        <v>3</v>
      </c>
      <c r="DP400" s="694">
        <v>3</v>
      </c>
      <c r="DQ400" s="694"/>
      <c r="DR400" s="694"/>
      <c r="DS400" s="694"/>
      <c r="DT400" s="694"/>
      <c r="DU400" s="694"/>
      <c r="DV400" s="694"/>
      <c r="DW400" s="694"/>
      <c r="DX400" s="694"/>
      <c r="DY400" s="694"/>
      <c r="DZ400" s="694">
        <v>2</v>
      </c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7"/>
    </row>
    <row r="401" spans="1:167" s="696" customFormat="1">
      <c r="A401" s="690"/>
      <c r="B401" s="690"/>
      <c r="C401" s="708" t="s">
        <v>3655</v>
      </c>
      <c r="D401" s="708"/>
      <c r="E401" s="694">
        <v>39.5</v>
      </c>
      <c r="F401" s="694"/>
      <c r="G401" s="694"/>
      <c r="H401" s="694"/>
      <c r="I401" s="694"/>
      <c r="J401" s="694"/>
      <c r="K401" s="694"/>
      <c r="L401" s="694"/>
      <c r="M401" s="694"/>
      <c r="N401" s="694"/>
      <c r="O401" s="694"/>
      <c r="P401" s="694"/>
      <c r="Q401" s="694"/>
      <c r="R401" s="697"/>
      <c r="S401" s="697"/>
      <c r="T401" s="694"/>
      <c r="U401" s="694" t="s">
        <v>2990</v>
      </c>
      <c r="V401" s="694"/>
      <c r="W401" s="694"/>
      <c r="X401" s="694"/>
      <c r="Y401" s="694"/>
      <c r="Z401" s="694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694"/>
      <c r="BL401" s="694"/>
      <c r="BM401" s="694"/>
      <c r="BN401" s="694"/>
      <c r="BO401" s="694"/>
      <c r="BP401" s="694"/>
      <c r="BQ401" s="694"/>
      <c r="BR401" s="694"/>
      <c r="BS401" s="694"/>
      <c r="BT401" s="694"/>
      <c r="BU401" s="694"/>
      <c r="BV401" s="692"/>
      <c r="BW401" s="694"/>
      <c r="BX401" s="694"/>
      <c r="BY401" s="694"/>
      <c r="BZ401" s="694"/>
      <c r="CA401" s="694"/>
      <c r="CB401" s="694"/>
      <c r="CC401" s="694"/>
      <c r="CD401" s="694"/>
      <c r="CE401" s="694"/>
      <c r="CF401" s="694"/>
      <c r="CG401" s="694"/>
      <c r="CH401" s="694"/>
      <c r="CI401" s="694"/>
      <c r="CJ401" s="694"/>
      <c r="CK401" s="694"/>
      <c r="CL401" s="694"/>
      <c r="CM401" s="694"/>
      <c r="CN401" s="694"/>
      <c r="CO401" s="694"/>
      <c r="CP401" s="694"/>
      <c r="CQ401" s="694"/>
      <c r="CR401" s="694"/>
      <c r="CS401" s="694"/>
      <c r="CT401" s="694"/>
      <c r="CU401" s="694"/>
      <c r="CV401" s="695">
        <f t="shared" si="54"/>
        <v>39.5</v>
      </c>
      <c r="CW401" s="695"/>
      <c r="CX401" s="695"/>
      <c r="CY401" s="695"/>
      <c r="CZ401" s="695">
        <f t="shared" si="55"/>
        <v>79</v>
      </c>
      <c r="DA401" s="695"/>
      <c r="DB401" s="695"/>
      <c r="DC401" s="695"/>
      <c r="DD401" s="695"/>
      <c r="DE401" s="695"/>
      <c r="DF401" s="695"/>
      <c r="DG401" s="695"/>
      <c r="DH401" s="695"/>
      <c r="DI401" s="694"/>
      <c r="DJ401" s="694"/>
      <c r="DK401" s="694">
        <v>1</v>
      </c>
      <c r="DL401" s="694"/>
      <c r="DM401" s="694">
        <v>3</v>
      </c>
      <c r="DN401" s="694">
        <v>1</v>
      </c>
      <c r="DO401" s="694">
        <v>3</v>
      </c>
      <c r="DP401" s="694">
        <v>3</v>
      </c>
      <c r="DQ401" s="694"/>
      <c r="DR401" s="694"/>
      <c r="DS401" s="694"/>
      <c r="DT401" s="694"/>
      <c r="DU401" s="694">
        <v>6</v>
      </c>
      <c r="DV401" s="694"/>
      <c r="DW401" s="694"/>
      <c r="DX401" s="694"/>
      <c r="DY401" s="694"/>
      <c r="DZ401" s="694">
        <v>1</v>
      </c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7"/>
    </row>
    <row r="402" spans="1:167" s="696" customFormat="1">
      <c r="A402" s="690"/>
      <c r="B402" s="690"/>
      <c r="C402" s="708"/>
      <c r="D402" s="708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7"/>
      <c r="S402" s="697"/>
      <c r="T402" s="694"/>
      <c r="U402" s="694"/>
      <c r="V402" s="694"/>
      <c r="W402" s="694"/>
      <c r="X402" s="694"/>
      <c r="Y402" s="694"/>
      <c r="Z402" s="694"/>
      <c r="AA402" s="694"/>
      <c r="AB402" s="694"/>
      <c r="AC402" s="694"/>
      <c r="AD402" s="694"/>
      <c r="AE402" s="694"/>
      <c r="AF402" s="694"/>
      <c r="AG402" s="694"/>
      <c r="AH402" s="694"/>
      <c r="AI402" s="694"/>
      <c r="AJ402" s="694"/>
      <c r="AK402" s="694"/>
      <c r="AL402" s="694"/>
      <c r="AM402" s="694"/>
      <c r="AN402" s="694"/>
      <c r="AO402" s="694"/>
      <c r="AP402" s="694"/>
      <c r="AQ402" s="694"/>
      <c r="AR402" s="694"/>
      <c r="AS402" s="694"/>
      <c r="AT402" s="694"/>
      <c r="AU402" s="694"/>
      <c r="AV402" s="694"/>
      <c r="AW402" s="694"/>
      <c r="AX402" s="694"/>
      <c r="AY402" s="694"/>
      <c r="AZ402" s="694"/>
      <c r="BA402" s="694"/>
      <c r="BB402" s="694"/>
      <c r="BC402" s="694"/>
      <c r="BD402" s="694"/>
      <c r="BE402" s="694"/>
      <c r="BF402" s="694"/>
      <c r="BG402" s="694"/>
      <c r="BH402" s="694"/>
      <c r="BI402" s="694"/>
      <c r="BJ402" s="694"/>
      <c r="BK402" s="694"/>
      <c r="BL402" s="694"/>
      <c r="BM402" s="694"/>
      <c r="BN402" s="694"/>
      <c r="BO402" s="694"/>
      <c r="BP402" s="694"/>
      <c r="BQ402" s="694"/>
      <c r="BR402" s="694"/>
      <c r="BS402" s="694"/>
      <c r="BT402" s="694"/>
      <c r="BU402" s="694"/>
      <c r="BV402" s="692"/>
      <c r="BW402" s="694"/>
      <c r="BX402" s="694"/>
      <c r="BY402" s="694"/>
      <c r="BZ402" s="694"/>
      <c r="CA402" s="694"/>
      <c r="CB402" s="694"/>
      <c r="CC402" s="694"/>
      <c r="CD402" s="694"/>
      <c r="CE402" s="694"/>
      <c r="CF402" s="694"/>
      <c r="CG402" s="694"/>
      <c r="CH402" s="694"/>
      <c r="CI402" s="694"/>
      <c r="CJ402" s="694"/>
      <c r="CK402" s="694"/>
      <c r="CL402" s="694"/>
      <c r="CM402" s="694"/>
      <c r="CN402" s="694"/>
      <c r="CO402" s="694"/>
      <c r="CP402" s="694"/>
      <c r="CQ402" s="694"/>
      <c r="CR402" s="694"/>
      <c r="CS402" s="694"/>
      <c r="CT402" s="694"/>
      <c r="CU402" s="694"/>
      <c r="CV402" s="695">
        <f t="shared" si="54"/>
        <v>0</v>
      </c>
      <c r="CW402" s="695"/>
      <c r="CX402" s="695"/>
      <c r="CY402" s="695"/>
      <c r="CZ402" s="695">
        <f t="shared" si="55"/>
        <v>0</v>
      </c>
      <c r="DA402" s="695"/>
      <c r="DB402" s="695"/>
      <c r="DC402" s="695"/>
      <c r="DD402" s="695"/>
      <c r="DE402" s="695"/>
      <c r="DF402" s="695"/>
      <c r="DG402" s="695"/>
      <c r="DH402" s="695"/>
      <c r="DI402" s="694"/>
      <c r="DJ402" s="694"/>
      <c r="DK402" s="694"/>
      <c r="DL402" s="694"/>
      <c r="DM402" s="694"/>
      <c r="DN402" s="694"/>
      <c r="DO402" s="694"/>
      <c r="DP402" s="694"/>
      <c r="DQ402" s="694"/>
      <c r="DR402" s="694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7"/>
    </row>
    <row r="403" spans="1:167" s="696" customFormat="1">
      <c r="A403" s="690"/>
      <c r="B403" s="690"/>
      <c r="C403" s="709" t="s">
        <v>3732</v>
      </c>
      <c r="D403" s="708"/>
      <c r="E403" s="694"/>
      <c r="F403" s="694"/>
      <c r="G403" s="694"/>
      <c r="H403" s="694"/>
      <c r="I403" s="694"/>
      <c r="J403" s="694"/>
      <c r="K403" s="694"/>
      <c r="L403" s="694"/>
      <c r="M403" s="694"/>
      <c r="N403" s="694"/>
      <c r="O403" s="694"/>
      <c r="P403" s="694"/>
      <c r="Q403" s="694"/>
      <c r="R403" s="697"/>
      <c r="S403" s="697"/>
      <c r="T403" s="694"/>
      <c r="U403" s="694"/>
      <c r="V403" s="694"/>
      <c r="W403" s="694"/>
      <c r="X403" s="694"/>
      <c r="Y403" s="694"/>
      <c r="Z403" s="694"/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4"/>
      <c r="BL403" s="694"/>
      <c r="BM403" s="694"/>
      <c r="BN403" s="694"/>
      <c r="BO403" s="694"/>
      <c r="BP403" s="694"/>
      <c r="BQ403" s="694"/>
      <c r="BR403" s="694"/>
      <c r="BS403" s="694"/>
      <c r="BT403" s="694"/>
      <c r="BU403" s="694"/>
      <c r="BV403" s="692"/>
      <c r="BW403" s="694"/>
      <c r="BX403" s="694"/>
      <c r="BY403" s="694"/>
      <c r="BZ403" s="694"/>
      <c r="CA403" s="694"/>
      <c r="CB403" s="694"/>
      <c r="CC403" s="694"/>
      <c r="CD403" s="694"/>
      <c r="CE403" s="694"/>
      <c r="CF403" s="694"/>
      <c r="CG403" s="694"/>
      <c r="CH403" s="694"/>
      <c r="CI403" s="694"/>
      <c r="CJ403" s="694"/>
      <c r="CK403" s="694"/>
      <c r="CL403" s="694"/>
      <c r="CM403" s="694"/>
      <c r="CN403" s="694"/>
      <c r="CO403" s="694"/>
      <c r="CP403" s="694"/>
      <c r="CQ403" s="694"/>
      <c r="CR403" s="694"/>
      <c r="CS403" s="694"/>
      <c r="CT403" s="694"/>
      <c r="CU403" s="694"/>
      <c r="CV403" s="695">
        <f t="shared" si="54"/>
        <v>0</v>
      </c>
      <c r="CW403" s="695"/>
      <c r="CX403" s="695"/>
      <c r="CY403" s="695"/>
      <c r="CZ403" s="695">
        <f t="shared" si="55"/>
        <v>0</v>
      </c>
      <c r="DA403" s="695"/>
      <c r="DB403" s="695"/>
      <c r="DC403" s="695"/>
      <c r="DD403" s="695"/>
      <c r="DE403" s="695"/>
      <c r="DF403" s="695"/>
      <c r="DG403" s="695"/>
      <c r="DH403" s="695"/>
      <c r="DI403" s="694"/>
      <c r="DJ403" s="694"/>
      <c r="DK403" s="694"/>
      <c r="DL403" s="694"/>
      <c r="DM403" s="694"/>
      <c r="DN403" s="694"/>
      <c r="DO403" s="694"/>
      <c r="DP403" s="694"/>
      <c r="DQ403" s="694"/>
      <c r="DR403" s="694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7"/>
    </row>
    <row r="404" spans="1:167" s="696" customFormat="1">
      <c r="A404" s="690"/>
      <c r="B404" s="690"/>
      <c r="C404" s="708" t="s">
        <v>3656</v>
      </c>
      <c r="D404" s="708"/>
      <c r="E404" s="694">
        <v>41.3</v>
      </c>
      <c r="F404" s="694"/>
      <c r="G404" s="694"/>
      <c r="H404" s="694"/>
      <c r="I404" s="694"/>
      <c r="J404" s="694"/>
      <c r="K404" s="694"/>
      <c r="L404" s="694"/>
      <c r="M404" s="694"/>
      <c r="N404" s="694"/>
      <c r="O404" s="694"/>
      <c r="P404" s="694"/>
      <c r="Q404" s="694"/>
      <c r="R404" s="697"/>
      <c r="S404" s="697"/>
      <c r="T404" s="694"/>
      <c r="U404" s="694" t="s">
        <v>1631</v>
      </c>
      <c r="V404" s="694"/>
      <c r="W404" s="694"/>
      <c r="X404" s="694"/>
      <c r="Y404" s="694"/>
      <c r="Z404" s="694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4"/>
      <c r="BL404" s="694"/>
      <c r="BM404" s="694"/>
      <c r="BN404" s="694"/>
      <c r="BO404" s="694"/>
      <c r="BP404" s="694"/>
      <c r="BQ404" s="694"/>
      <c r="BR404" s="694"/>
      <c r="BS404" s="694"/>
      <c r="BT404" s="694"/>
      <c r="BU404" s="694"/>
      <c r="BV404" s="692"/>
      <c r="BW404" s="694"/>
      <c r="BX404" s="694"/>
      <c r="BY404" s="694"/>
      <c r="BZ404" s="694"/>
      <c r="CA404" s="694"/>
      <c r="CB404" s="694"/>
      <c r="CC404" s="694"/>
      <c r="CD404" s="694"/>
      <c r="CE404" s="694"/>
      <c r="CF404" s="694"/>
      <c r="CG404" s="694"/>
      <c r="CH404" s="694"/>
      <c r="CI404" s="694"/>
      <c r="CJ404" s="694"/>
      <c r="CK404" s="694"/>
      <c r="CL404" s="694"/>
      <c r="CM404" s="694"/>
      <c r="CN404" s="694"/>
      <c r="CO404" s="694"/>
      <c r="CP404" s="694"/>
      <c r="CQ404" s="694"/>
      <c r="CR404" s="694"/>
      <c r="CS404" s="694"/>
      <c r="CT404" s="694"/>
      <c r="CU404" s="694"/>
      <c r="CV404" s="695">
        <f t="shared" si="54"/>
        <v>41.3</v>
      </c>
      <c r="CW404" s="695"/>
      <c r="CX404" s="695"/>
      <c r="CY404" s="695"/>
      <c r="CZ404" s="695">
        <f t="shared" si="55"/>
        <v>82.6</v>
      </c>
      <c r="DA404" s="695"/>
      <c r="DB404" s="695"/>
      <c r="DC404" s="695"/>
      <c r="DD404" s="695"/>
      <c r="DE404" s="695"/>
      <c r="DF404" s="695"/>
      <c r="DG404" s="695"/>
      <c r="DH404" s="695"/>
      <c r="DI404" s="694"/>
      <c r="DJ404" s="694"/>
      <c r="DK404" s="694">
        <v>1</v>
      </c>
      <c r="DL404" s="694"/>
      <c r="DM404" s="694">
        <v>3</v>
      </c>
      <c r="DN404" s="694">
        <v>1</v>
      </c>
      <c r="DO404" s="694">
        <v>3</v>
      </c>
      <c r="DP404" s="694">
        <v>3</v>
      </c>
      <c r="DQ404" s="694"/>
      <c r="DR404" s="694"/>
      <c r="DS404" s="694"/>
      <c r="DT404" s="694"/>
      <c r="DU404" s="694"/>
      <c r="DV404" s="694"/>
      <c r="DW404" s="694"/>
      <c r="DX404" s="694"/>
      <c r="DY404" s="694"/>
      <c r="DZ404" s="694">
        <v>2</v>
      </c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7"/>
    </row>
    <row r="405" spans="1:167" s="696" customFormat="1">
      <c r="A405" s="690"/>
      <c r="B405" s="690"/>
      <c r="C405" s="708" t="s">
        <v>3719</v>
      </c>
      <c r="D405" s="708"/>
      <c r="E405" s="694">
        <v>40.799999999999997</v>
      </c>
      <c r="F405" s="694"/>
      <c r="G405" s="694"/>
      <c r="H405" s="694"/>
      <c r="I405" s="694"/>
      <c r="J405" s="694"/>
      <c r="K405" s="694"/>
      <c r="L405" s="694"/>
      <c r="M405" s="694"/>
      <c r="N405" s="694"/>
      <c r="O405" s="694"/>
      <c r="P405" s="694"/>
      <c r="Q405" s="694"/>
      <c r="R405" s="697"/>
      <c r="S405" s="697"/>
      <c r="T405" s="694"/>
      <c r="U405" s="694" t="s">
        <v>1631</v>
      </c>
      <c r="V405" s="694"/>
      <c r="W405" s="694"/>
      <c r="X405" s="694"/>
      <c r="Y405" s="694"/>
      <c r="Z405" s="694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4"/>
      <c r="BL405" s="694"/>
      <c r="BM405" s="694"/>
      <c r="BN405" s="694"/>
      <c r="BO405" s="694"/>
      <c r="BP405" s="694"/>
      <c r="BQ405" s="694"/>
      <c r="BR405" s="694"/>
      <c r="BS405" s="694"/>
      <c r="BT405" s="694"/>
      <c r="BU405" s="694"/>
      <c r="BV405" s="692"/>
      <c r="BW405" s="694"/>
      <c r="BX405" s="694"/>
      <c r="BY405" s="694"/>
      <c r="BZ405" s="694"/>
      <c r="CA405" s="694"/>
      <c r="CB405" s="694"/>
      <c r="CC405" s="694"/>
      <c r="CD405" s="694"/>
      <c r="CE405" s="694"/>
      <c r="CF405" s="694"/>
      <c r="CG405" s="694"/>
      <c r="CH405" s="694"/>
      <c r="CI405" s="694"/>
      <c r="CJ405" s="694"/>
      <c r="CK405" s="694"/>
      <c r="CL405" s="694"/>
      <c r="CM405" s="694"/>
      <c r="CN405" s="694"/>
      <c r="CO405" s="694"/>
      <c r="CP405" s="694"/>
      <c r="CQ405" s="694"/>
      <c r="CR405" s="694"/>
      <c r="CS405" s="694"/>
      <c r="CT405" s="694"/>
      <c r="CU405" s="694"/>
      <c r="CV405" s="695">
        <f t="shared" si="54"/>
        <v>40.799999999999997</v>
      </c>
      <c r="CW405" s="695"/>
      <c r="CX405" s="695"/>
      <c r="CY405" s="695"/>
      <c r="CZ405" s="695">
        <f t="shared" si="55"/>
        <v>81.599999999999994</v>
      </c>
      <c r="DA405" s="695"/>
      <c r="DB405" s="695"/>
      <c r="DC405" s="695"/>
      <c r="DD405" s="695"/>
      <c r="DE405" s="695"/>
      <c r="DF405" s="695"/>
      <c r="DG405" s="695"/>
      <c r="DH405" s="695"/>
      <c r="DI405" s="694"/>
      <c r="DJ405" s="694"/>
      <c r="DK405" s="694">
        <v>1</v>
      </c>
      <c r="DL405" s="694"/>
      <c r="DM405" s="694">
        <v>3</v>
      </c>
      <c r="DN405" s="694"/>
      <c r="DO405" s="694"/>
      <c r="DP405" s="694"/>
      <c r="DQ405" s="694"/>
      <c r="DR405" s="694"/>
      <c r="DS405" s="694"/>
      <c r="DT405" s="694"/>
      <c r="DU405" s="694"/>
      <c r="DV405" s="694"/>
      <c r="DW405" s="694"/>
      <c r="DX405" s="694"/>
      <c r="DY405" s="694"/>
      <c r="DZ405" s="694">
        <v>2</v>
      </c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7"/>
    </row>
    <row r="406" spans="1:167" s="696" customFormat="1">
      <c r="A406" s="690"/>
      <c r="B406" s="690"/>
      <c r="C406" s="709" t="s">
        <v>3720</v>
      </c>
      <c r="D406" s="708"/>
      <c r="E406" s="694">
        <v>39.9</v>
      </c>
      <c r="F406" s="694"/>
      <c r="G406" s="694"/>
      <c r="H406" s="694"/>
      <c r="I406" s="694"/>
      <c r="J406" s="694"/>
      <c r="K406" s="694"/>
      <c r="L406" s="694"/>
      <c r="M406" s="694"/>
      <c r="N406" s="694"/>
      <c r="O406" s="694"/>
      <c r="P406" s="694"/>
      <c r="Q406" s="694"/>
      <c r="R406" s="697"/>
      <c r="S406" s="697"/>
      <c r="T406" s="694"/>
      <c r="U406" s="694" t="s">
        <v>1631</v>
      </c>
      <c r="V406" s="694"/>
      <c r="W406" s="694"/>
      <c r="X406" s="694"/>
      <c r="Y406" s="694"/>
      <c r="Z406" s="694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694"/>
      <c r="BL406" s="694"/>
      <c r="BM406" s="694"/>
      <c r="BN406" s="694"/>
      <c r="BO406" s="694"/>
      <c r="BP406" s="694"/>
      <c r="BQ406" s="694"/>
      <c r="BR406" s="694"/>
      <c r="BS406" s="694"/>
      <c r="BT406" s="694"/>
      <c r="BU406" s="694"/>
      <c r="BV406" s="692"/>
      <c r="BW406" s="694"/>
      <c r="BX406" s="694"/>
      <c r="BY406" s="694"/>
      <c r="BZ406" s="694"/>
      <c r="CA406" s="694"/>
      <c r="CB406" s="694"/>
      <c r="CC406" s="694"/>
      <c r="CD406" s="694"/>
      <c r="CE406" s="694"/>
      <c r="CF406" s="694"/>
      <c r="CG406" s="694"/>
      <c r="CH406" s="694"/>
      <c r="CI406" s="694"/>
      <c r="CJ406" s="694"/>
      <c r="CK406" s="694"/>
      <c r="CL406" s="694"/>
      <c r="CM406" s="694"/>
      <c r="CN406" s="694"/>
      <c r="CO406" s="694"/>
      <c r="CP406" s="694"/>
      <c r="CQ406" s="694"/>
      <c r="CR406" s="694"/>
      <c r="CS406" s="694"/>
      <c r="CT406" s="694"/>
      <c r="CU406" s="694"/>
      <c r="CV406" s="695">
        <f t="shared" si="54"/>
        <v>39.9</v>
      </c>
      <c r="CW406" s="695"/>
      <c r="CX406" s="695"/>
      <c r="CY406" s="695"/>
      <c r="CZ406" s="695">
        <f t="shared" si="55"/>
        <v>79.8</v>
      </c>
      <c r="DA406" s="695"/>
      <c r="DB406" s="695"/>
      <c r="DC406" s="695"/>
      <c r="DD406" s="695"/>
      <c r="DE406" s="695"/>
      <c r="DF406" s="695"/>
      <c r="DG406" s="695"/>
      <c r="DH406" s="695"/>
      <c r="DI406" s="694"/>
      <c r="DJ406" s="694"/>
      <c r="DK406" s="694">
        <v>1</v>
      </c>
      <c r="DL406" s="694"/>
      <c r="DM406" s="694">
        <v>3</v>
      </c>
      <c r="DN406" s="694">
        <v>1</v>
      </c>
      <c r="DO406" s="694">
        <v>3</v>
      </c>
      <c r="DP406" s="694">
        <v>3</v>
      </c>
      <c r="DQ406" s="694"/>
      <c r="DR406" s="694"/>
      <c r="DS406" s="694"/>
      <c r="DT406" s="694"/>
      <c r="DU406" s="694"/>
      <c r="DV406" s="694"/>
      <c r="DW406" s="694"/>
      <c r="DX406" s="694"/>
      <c r="DY406" s="694"/>
      <c r="DZ406" s="694">
        <v>2</v>
      </c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7"/>
    </row>
    <row r="407" spans="1:167" s="696" customFormat="1">
      <c r="A407" s="690"/>
      <c r="B407" s="690"/>
      <c r="C407" s="708" t="s">
        <v>3721</v>
      </c>
      <c r="D407" s="708"/>
      <c r="E407" s="694">
        <v>40.9</v>
      </c>
      <c r="F407" s="694"/>
      <c r="G407" s="694"/>
      <c r="H407" s="694"/>
      <c r="I407" s="694"/>
      <c r="J407" s="694"/>
      <c r="K407" s="694"/>
      <c r="L407" s="694"/>
      <c r="M407" s="694"/>
      <c r="N407" s="694"/>
      <c r="O407" s="694"/>
      <c r="P407" s="694"/>
      <c r="Q407" s="694"/>
      <c r="R407" s="697"/>
      <c r="S407" s="697"/>
      <c r="T407" s="692"/>
      <c r="U407" s="692" t="s">
        <v>2990</v>
      </c>
      <c r="V407" s="694"/>
      <c r="W407" s="694"/>
      <c r="X407" s="694"/>
      <c r="Y407" s="694"/>
      <c r="Z407" s="694"/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4"/>
      <c r="BL407" s="694"/>
      <c r="BM407" s="694"/>
      <c r="BN407" s="694"/>
      <c r="BO407" s="694"/>
      <c r="BP407" s="694"/>
      <c r="BQ407" s="694"/>
      <c r="BR407" s="694"/>
      <c r="BS407" s="694"/>
      <c r="BT407" s="694"/>
      <c r="BU407" s="694"/>
      <c r="BV407" s="692"/>
      <c r="BW407" s="694"/>
      <c r="BX407" s="694"/>
      <c r="BY407" s="694"/>
      <c r="BZ407" s="694"/>
      <c r="CA407" s="694"/>
      <c r="CB407" s="694"/>
      <c r="CC407" s="694"/>
      <c r="CD407" s="694"/>
      <c r="CE407" s="694"/>
      <c r="CF407" s="694"/>
      <c r="CG407" s="694"/>
      <c r="CH407" s="694"/>
      <c r="CI407" s="694"/>
      <c r="CJ407" s="694"/>
      <c r="CK407" s="694"/>
      <c r="CL407" s="694"/>
      <c r="CM407" s="694"/>
      <c r="CN407" s="694"/>
      <c r="CO407" s="694"/>
      <c r="CP407" s="694"/>
      <c r="CQ407" s="694"/>
      <c r="CR407" s="694"/>
      <c r="CS407" s="694"/>
      <c r="CT407" s="694"/>
      <c r="CU407" s="694"/>
      <c r="CV407" s="695">
        <f t="shared" si="54"/>
        <v>40.9</v>
      </c>
      <c r="CW407" s="695"/>
      <c r="CX407" s="695"/>
      <c r="CY407" s="695"/>
      <c r="CZ407" s="695">
        <f t="shared" si="55"/>
        <v>81.8</v>
      </c>
      <c r="DA407" s="695"/>
      <c r="DB407" s="695"/>
      <c r="DC407" s="695"/>
      <c r="DD407" s="695"/>
      <c r="DE407" s="695"/>
      <c r="DF407" s="695"/>
      <c r="DG407" s="695"/>
      <c r="DH407" s="695"/>
      <c r="DI407" s="694"/>
      <c r="DJ407" s="694"/>
      <c r="DK407" s="694">
        <v>1</v>
      </c>
      <c r="DL407" s="694"/>
      <c r="DM407" s="694">
        <v>3</v>
      </c>
      <c r="DN407" s="694">
        <v>1</v>
      </c>
      <c r="DO407" s="694">
        <v>3</v>
      </c>
      <c r="DP407" s="694">
        <v>3</v>
      </c>
      <c r="DQ407" s="694"/>
      <c r="DR407" s="694"/>
      <c r="DS407" s="694"/>
      <c r="DT407" s="694"/>
      <c r="DU407" s="694">
        <v>6</v>
      </c>
      <c r="DV407" s="694"/>
      <c r="DW407" s="694"/>
      <c r="DX407" s="694"/>
      <c r="DY407" s="694"/>
      <c r="DZ407" s="694">
        <v>1</v>
      </c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7"/>
    </row>
    <row r="408" spans="1:167" s="696" customFormat="1">
      <c r="A408" s="690"/>
      <c r="B408" s="690"/>
      <c r="C408" s="708"/>
      <c r="D408" s="708"/>
      <c r="E408" s="694"/>
      <c r="F408" s="694"/>
      <c r="G408" s="694"/>
      <c r="H408" s="694"/>
      <c r="I408" s="694"/>
      <c r="J408" s="694"/>
      <c r="K408" s="694"/>
      <c r="L408" s="694"/>
      <c r="M408" s="694"/>
      <c r="N408" s="694"/>
      <c r="O408" s="694"/>
      <c r="P408" s="694"/>
      <c r="Q408" s="694"/>
      <c r="R408" s="697"/>
      <c r="S408" s="697"/>
      <c r="T408" s="694"/>
      <c r="U408" s="694"/>
      <c r="V408" s="694"/>
      <c r="W408" s="694"/>
      <c r="X408" s="694"/>
      <c r="Y408" s="694"/>
      <c r="Z408" s="694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4"/>
      <c r="BL408" s="694"/>
      <c r="BM408" s="694"/>
      <c r="BN408" s="694"/>
      <c r="BO408" s="694"/>
      <c r="BP408" s="694"/>
      <c r="BQ408" s="694"/>
      <c r="BR408" s="694"/>
      <c r="BS408" s="694"/>
      <c r="BT408" s="694"/>
      <c r="BU408" s="694"/>
      <c r="BV408" s="692"/>
      <c r="BW408" s="694"/>
      <c r="BX408" s="694"/>
      <c r="BY408" s="694"/>
      <c r="BZ408" s="694"/>
      <c r="CA408" s="694"/>
      <c r="CB408" s="694"/>
      <c r="CC408" s="694"/>
      <c r="CD408" s="694"/>
      <c r="CE408" s="694"/>
      <c r="CF408" s="694"/>
      <c r="CG408" s="694"/>
      <c r="CH408" s="694"/>
      <c r="CI408" s="694"/>
      <c r="CJ408" s="694"/>
      <c r="CK408" s="694"/>
      <c r="CL408" s="694"/>
      <c r="CM408" s="694"/>
      <c r="CN408" s="694"/>
      <c r="CO408" s="694"/>
      <c r="CP408" s="694"/>
      <c r="CQ408" s="694"/>
      <c r="CR408" s="694"/>
      <c r="CS408" s="694"/>
      <c r="CT408" s="694"/>
      <c r="CU408" s="694"/>
      <c r="CV408" s="695">
        <f t="shared" si="54"/>
        <v>0</v>
      </c>
      <c r="CW408" s="695"/>
      <c r="CX408" s="695"/>
      <c r="CY408" s="695"/>
      <c r="CZ408" s="695">
        <f t="shared" si="55"/>
        <v>0</v>
      </c>
      <c r="DA408" s="695"/>
      <c r="DB408" s="695"/>
      <c r="DC408" s="695"/>
      <c r="DD408" s="695"/>
      <c r="DE408" s="695"/>
      <c r="DF408" s="695"/>
      <c r="DG408" s="695"/>
      <c r="DH408" s="695"/>
      <c r="DI408" s="694"/>
      <c r="DJ408" s="694"/>
      <c r="DK408" s="694"/>
      <c r="DL408" s="694"/>
      <c r="DM408" s="694"/>
      <c r="DN408" s="694"/>
      <c r="DO408" s="694"/>
      <c r="DP408" s="694"/>
      <c r="DQ408" s="694"/>
      <c r="DR408" s="694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7"/>
    </row>
    <row r="409" spans="1:167" s="4" customFormat="1">
      <c r="A409" s="486">
        <f>MATCH(C409,$C$5:$C$507,0)</f>
        <v>405</v>
      </c>
      <c r="B409" s="56"/>
      <c r="C409" s="507" t="s">
        <v>3078</v>
      </c>
      <c r="D409" s="507"/>
      <c r="E409" s="508">
        <f t="shared" ref="E409:AJ409" si="56">SUM(E382:E408)</f>
        <v>867.99999999999966</v>
      </c>
      <c r="F409" s="508">
        <f t="shared" si="56"/>
        <v>0</v>
      </c>
      <c r="G409" s="508">
        <f t="shared" si="56"/>
        <v>0</v>
      </c>
      <c r="H409" s="508">
        <f t="shared" si="56"/>
        <v>0</v>
      </c>
      <c r="I409" s="508">
        <f t="shared" si="56"/>
        <v>0</v>
      </c>
      <c r="J409" s="508">
        <f t="shared" si="56"/>
        <v>0</v>
      </c>
      <c r="K409" s="508">
        <f t="shared" si="56"/>
        <v>0</v>
      </c>
      <c r="L409" s="508">
        <f t="shared" si="56"/>
        <v>0</v>
      </c>
      <c r="M409" s="508">
        <f t="shared" si="56"/>
        <v>0</v>
      </c>
      <c r="N409" s="508">
        <f t="shared" si="56"/>
        <v>0</v>
      </c>
      <c r="O409" s="508">
        <f t="shared" si="56"/>
        <v>0</v>
      </c>
      <c r="P409" s="508">
        <f t="shared" si="56"/>
        <v>0</v>
      </c>
      <c r="Q409" s="508">
        <f t="shared" si="56"/>
        <v>0</v>
      </c>
      <c r="R409" s="508">
        <f t="shared" si="56"/>
        <v>0</v>
      </c>
      <c r="S409" s="508">
        <f t="shared" si="56"/>
        <v>0</v>
      </c>
      <c r="T409" s="509">
        <f t="shared" si="56"/>
        <v>0</v>
      </c>
      <c r="U409" s="509">
        <f t="shared" si="56"/>
        <v>0</v>
      </c>
      <c r="V409" s="509">
        <f t="shared" si="56"/>
        <v>0</v>
      </c>
      <c r="W409" s="509">
        <f t="shared" si="56"/>
        <v>0</v>
      </c>
      <c r="X409" s="509">
        <f t="shared" si="56"/>
        <v>0</v>
      </c>
      <c r="Y409" s="509">
        <f t="shared" si="56"/>
        <v>0</v>
      </c>
      <c r="Z409" s="509">
        <f t="shared" si="56"/>
        <v>0</v>
      </c>
      <c r="AA409" s="509">
        <f t="shared" si="56"/>
        <v>0</v>
      </c>
      <c r="AB409" s="509">
        <f t="shared" si="56"/>
        <v>0</v>
      </c>
      <c r="AC409" s="509">
        <f t="shared" si="56"/>
        <v>0</v>
      </c>
      <c r="AD409" s="509">
        <f t="shared" si="56"/>
        <v>0</v>
      </c>
      <c r="AE409" s="509">
        <f t="shared" si="56"/>
        <v>0</v>
      </c>
      <c r="AF409" s="509">
        <f t="shared" si="56"/>
        <v>0</v>
      </c>
      <c r="AG409" s="509">
        <f t="shared" si="56"/>
        <v>0</v>
      </c>
      <c r="AH409" s="509">
        <f t="shared" si="56"/>
        <v>0</v>
      </c>
      <c r="AI409" s="509">
        <f t="shared" si="56"/>
        <v>0</v>
      </c>
      <c r="AJ409" s="509">
        <f t="shared" si="56"/>
        <v>0</v>
      </c>
      <c r="AK409" s="509">
        <f t="shared" ref="AK409:BP409" si="57">SUM(AK382:AK408)</f>
        <v>0</v>
      </c>
      <c r="AL409" s="509">
        <f t="shared" si="57"/>
        <v>0</v>
      </c>
      <c r="AM409" s="509">
        <f t="shared" si="57"/>
        <v>0</v>
      </c>
      <c r="AN409" s="509">
        <f t="shared" si="57"/>
        <v>0</v>
      </c>
      <c r="AO409" s="509">
        <f t="shared" si="57"/>
        <v>0</v>
      </c>
      <c r="AP409" s="509">
        <f t="shared" si="57"/>
        <v>0</v>
      </c>
      <c r="AQ409" s="509">
        <f t="shared" si="57"/>
        <v>0</v>
      </c>
      <c r="AR409" s="509">
        <f t="shared" si="57"/>
        <v>0</v>
      </c>
      <c r="AS409" s="509">
        <f t="shared" si="57"/>
        <v>0</v>
      </c>
      <c r="AT409" s="509">
        <f t="shared" si="57"/>
        <v>0</v>
      </c>
      <c r="AU409" s="509">
        <f t="shared" si="57"/>
        <v>0</v>
      </c>
      <c r="AV409" s="509">
        <f t="shared" si="57"/>
        <v>0</v>
      </c>
      <c r="AW409" s="509">
        <f t="shared" si="57"/>
        <v>0</v>
      </c>
      <c r="AX409" s="509">
        <f t="shared" si="57"/>
        <v>0</v>
      </c>
      <c r="AY409" s="509">
        <f t="shared" si="57"/>
        <v>0</v>
      </c>
      <c r="AZ409" s="509">
        <f t="shared" si="57"/>
        <v>0</v>
      </c>
      <c r="BA409" s="509">
        <f t="shared" si="57"/>
        <v>0</v>
      </c>
      <c r="BB409" s="509">
        <f t="shared" si="57"/>
        <v>0</v>
      </c>
      <c r="BC409" s="509">
        <f t="shared" si="57"/>
        <v>0</v>
      </c>
      <c r="BD409" s="509">
        <f t="shared" si="57"/>
        <v>0</v>
      </c>
      <c r="BE409" s="509">
        <f t="shared" si="57"/>
        <v>0</v>
      </c>
      <c r="BF409" s="509">
        <f t="shared" si="57"/>
        <v>0</v>
      </c>
      <c r="BG409" s="509">
        <f t="shared" si="57"/>
        <v>0</v>
      </c>
      <c r="BH409" s="509">
        <f t="shared" si="57"/>
        <v>0</v>
      </c>
      <c r="BI409" s="509">
        <f t="shared" si="57"/>
        <v>0</v>
      </c>
      <c r="BJ409" s="509">
        <f t="shared" si="57"/>
        <v>0</v>
      </c>
      <c r="BK409" s="509">
        <f t="shared" si="57"/>
        <v>0</v>
      </c>
      <c r="BL409" s="509">
        <f t="shared" si="57"/>
        <v>0</v>
      </c>
      <c r="BM409" s="509">
        <f t="shared" si="57"/>
        <v>0</v>
      </c>
      <c r="BN409" s="509">
        <f t="shared" si="57"/>
        <v>0</v>
      </c>
      <c r="BO409" s="509">
        <f t="shared" si="57"/>
        <v>0</v>
      </c>
      <c r="BP409" s="509">
        <f t="shared" si="57"/>
        <v>0</v>
      </c>
      <c r="BQ409" s="509">
        <f t="shared" ref="BQ409:CV409" si="58">SUM(BQ382:BQ408)</f>
        <v>0</v>
      </c>
      <c r="BR409" s="509">
        <f t="shared" si="58"/>
        <v>0</v>
      </c>
      <c r="BS409" s="509">
        <f t="shared" si="58"/>
        <v>0</v>
      </c>
      <c r="BT409" s="509">
        <f t="shared" si="58"/>
        <v>0</v>
      </c>
      <c r="BU409" s="509">
        <f t="shared" si="58"/>
        <v>0</v>
      </c>
      <c r="BV409" s="509">
        <f t="shared" si="58"/>
        <v>0</v>
      </c>
      <c r="BW409" s="509">
        <f t="shared" si="58"/>
        <v>0</v>
      </c>
      <c r="BX409" s="509">
        <f t="shared" si="58"/>
        <v>0</v>
      </c>
      <c r="BY409" s="509">
        <f t="shared" si="58"/>
        <v>0</v>
      </c>
      <c r="BZ409" s="509">
        <f t="shared" si="58"/>
        <v>0</v>
      </c>
      <c r="CA409" s="509">
        <f t="shared" si="58"/>
        <v>0</v>
      </c>
      <c r="CB409" s="509">
        <f t="shared" si="58"/>
        <v>0</v>
      </c>
      <c r="CC409" s="509">
        <f t="shared" si="58"/>
        <v>0</v>
      </c>
      <c r="CD409" s="509">
        <f t="shared" si="58"/>
        <v>0</v>
      </c>
      <c r="CE409" s="509">
        <f t="shared" si="58"/>
        <v>0</v>
      </c>
      <c r="CF409" s="509">
        <f t="shared" si="58"/>
        <v>0</v>
      </c>
      <c r="CG409" s="509">
        <f t="shared" si="58"/>
        <v>0</v>
      </c>
      <c r="CH409" s="509">
        <f t="shared" si="58"/>
        <v>0</v>
      </c>
      <c r="CI409" s="509">
        <f t="shared" si="58"/>
        <v>0</v>
      </c>
      <c r="CJ409" s="509">
        <f t="shared" si="58"/>
        <v>0</v>
      </c>
      <c r="CK409" s="509">
        <f t="shared" si="58"/>
        <v>0</v>
      </c>
      <c r="CL409" s="509">
        <f t="shared" si="58"/>
        <v>0</v>
      </c>
      <c r="CM409" s="509">
        <f t="shared" si="58"/>
        <v>0</v>
      </c>
      <c r="CN409" s="509">
        <f t="shared" si="58"/>
        <v>0</v>
      </c>
      <c r="CO409" s="509">
        <f t="shared" si="58"/>
        <v>0</v>
      </c>
      <c r="CP409" s="509">
        <f t="shared" si="58"/>
        <v>3</v>
      </c>
      <c r="CQ409" s="509">
        <f t="shared" si="58"/>
        <v>0</v>
      </c>
      <c r="CR409" s="509">
        <f t="shared" si="58"/>
        <v>0</v>
      </c>
      <c r="CS409" s="509">
        <f t="shared" si="58"/>
        <v>0</v>
      </c>
      <c r="CT409" s="509">
        <f t="shared" si="58"/>
        <v>0</v>
      </c>
      <c r="CU409" s="509">
        <f t="shared" si="58"/>
        <v>0</v>
      </c>
      <c r="CV409" s="518">
        <f t="shared" si="58"/>
        <v>867.99999999999966</v>
      </c>
      <c r="CW409" s="518">
        <f t="shared" ref="CW409:EB409" si="59">SUM(CW382:CW408)</f>
        <v>0</v>
      </c>
      <c r="CX409" s="518">
        <f t="shared" si="59"/>
        <v>0</v>
      </c>
      <c r="CY409" s="518">
        <f t="shared" si="59"/>
        <v>0</v>
      </c>
      <c r="CZ409" s="518">
        <f t="shared" si="59"/>
        <v>1735.9999999999993</v>
      </c>
      <c r="DA409" s="518">
        <f t="shared" si="59"/>
        <v>0</v>
      </c>
      <c r="DB409" s="518">
        <f t="shared" si="59"/>
        <v>0</v>
      </c>
      <c r="DC409" s="518">
        <f t="shared" si="59"/>
        <v>0</v>
      </c>
      <c r="DD409" s="518">
        <f t="shared" si="59"/>
        <v>0</v>
      </c>
      <c r="DE409" s="518">
        <f t="shared" si="59"/>
        <v>0</v>
      </c>
      <c r="DF409" s="518">
        <f t="shared" si="59"/>
        <v>0</v>
      </c>
      <c r="DG409" s="518">
        <f t="shared" si="59"/>
        <v>0</v>
      </c>
      <c r="DH409" s="518">
        <f t="shared" si="59"/>
        <v>0</v>
      </c>
      <c r="DI409" s="509">
        <f t="shared" si="59"/>
        <v>0</v>
      </c>
      <c r="DJ409" s="509">
        <f t="shared" si="59"/>
        <v>0</v>
      </c>
      <c r="DK409" s="509">
        <f t="shared" si="59"/>
        <v>27</v>
      </c>
      <c r="DL409" s="509">
        <f t="shared" si="59"/>
        <v>0</v>
      </c>
      <c r="DM409" s="509">
        <f t="shared" si="59"/>
        <v>81</v>
      </c>
      <c r="DN409" s="509">
        <f t="shared" si="59"/>
        <v>16</v>
      </c>
      <c r="DO409" s="509">
        <f t="shared" si="59"/>
        <v>46</v>
      </c>
      <c r="DP409" s="509">
        <f t="shared" si="59"/>
        <v>49</v>
      </c>
      <c r="DQ409" s="509">
        <f t="shared" si="59"/>
        <v>0</v>
      </c>
      <c r="DR409" s="509">
        <f t="shared" si="59"/>
        <v>0</v>
      </c>
      <c r="DS409" s="509">
        <f t="shared" si="59"/>
        <v>0</v>
      </c>
      <c r="DT409" s="509">
        <f t="shared" si="59"/>
        <v>0</v>
      </c>
      <c r="DU409" s="509">
        <f t="shared" si="59"/>
        <v>34</v>
      </c>
      <c r="DV409" s="509">
        <f t="shared" si="59"/>
        <v>3</v>
      </c>
      <c r="DW409" s="509">
        <f t="shared" si="59"/>
        <v>0</v>
      </c>
      <c r="DX409" s="509">
        <f t="shared" si="59"/>
        <v>0</v>
      </c>
      <c r="DY409" s="509">
        <f t="shared" si="59"/>
        <v>0</v>
      </c>
      <c r="DZ409" s="509">
        <f t="shared" si="59"/>
        <v>35</v>
      </c>
      <c r="EA409" s="509">
        <f t="shared" si="59"/>
        <v>5</v>
      </c>
      <c r="EB409" s="509">
        <f t="shared" si="59"/>
        <v>0</v>
      </c>
      <c r="EC409" s="509">
        <f t="shared" ref="EC409:FE409" si="60">SUM(EC382:EC408)</f>
        <v>0</v>
      </c>
      <c r="ED409" s="509">
        <f t="shared" si="60"/>
        <v>0</v>
      </c>
      <c r="EE409" s="509">
        <f t="shared" si="60"/>
        <v>0</v>
      </c>
      <c r="EF409" s="509">
        <f t="shared" si="60"/>
        <v>0</v>
      </c>
      <c r="EG409" s="509">
        <f t="shared" si="60"/>
        <v>0</v>
      </c>
      <c r="EH409" s="509">
        <f t="shared" si="60"/>
        <v>0</v>
      </c>
      <c r="EI409" s="509">
        <f t="shared" si="60"/>
        <v>0</v>
      </c>
      <c r="EJ409" s="509">
        <f t="shared" si="60"/>
        <v>0</v>
      </c>
      <c r="EK409" s="509">
        <f t="shared" si="60"/>
        <v>0</v>
      </c>
      <c r="EL409" s="509">
        <f t="shared" si="60"/>
        <v>0</v>
      </c>
      <c r="EM409" s="509">
        <f t="shared" si="60"/>
        <v>0</v>
      </c>
      <c r="EN409" s="509">
        <f t="shared" si="60"/>
        <v>0</v>
      </c>
      <c r="EO409" s="509">
        <f t="shared" si="60"/>
        <v>0</v>
      </c>
      <c r="EP409" s="509">
        <f t="shared" si="60"/>
        <v>0</v>
      </c>
      <c r="EQ409" s="509">
        <f t="shared" si="60"/>
        <v>0</v>
      </c>
      <c r="ER409" s="509">
        <f t="shared" si="60"/>
        <v>0</v>
      </c>
      <c r="ES409" s="509">
        <f t="shared" si="60"/>
        <v>0</v>
      </c>
      <c r="ET409" s="509">
        <f t="shared" si="60"/>
        <v>0</v>
      </c>
      <c r="EU409" s="509">
        <f t="shared" si="60"/>
        <v>0</v>
      </c>
      <c r="EV409" s="509">
        <f t="shared" si="60"/>
        <v>0</v>
      </c>
      <c r="EW409" s="509">
        <f t="shared" si="60"/>
        <v>0</v>
      </c>
      <c r="EX409" s="509">
        <f t="shared" si="60"/>
        <v>1</v>
      </c>
      <c r="EY409" s="509">
        <f t="shared" si="60"/>
        <v>1</v>
      </c>
      <c r="EZ409" s="509">
        <f t="shared" si="60"/>
        <v>0</v>
      </c>
      <c r="FA409" s="509">
        <f t="shared" si="60"/>
        <v>1</v>
      </c>
      <c r="FB409" s="509">
        <f t="shared" si="60"/>
        <v>0</v>
      </c>
      <c r="FC409" s="509">
        <f t="shared" si="60"/>
        <v>0</v>
      </c>
      <c r="FD409" s="509">
        <f t="shared" si="60"/>
        <v>0</v>
      </c>
      <c r="FE409" s="509">
        <f t="shared" si="60"/>
        <v>0</v>
      </c>
      <c r="FF409" s="509"/>
      <c r="FG409" s="508"/>
      <c r="FK409" s="4">
        <f>DO409-FC409</f>
        <v>46</v>
      </c>
    </row>
    <row r="410" spans="1:167" s="4" customFormat="1">
      <c r="A410" s="56"/>
      <c r="B410" s="56">
        <v>8</v>
      </c>
      <c r="C410" s="501" t="s">
        <v>3730</v>
      </c>
      <c r="D410" s="502"/>
      <c r="E410" s="503"/>
      <c r="F410" s="503"/>
      <c r="G410" s="503"/>
      <c r="H410" s="503"/>
      <c r="I410" s="503"/>
      <c r="J410" s="503"/>
      <c r="K410" s="503"/>
      <c r="L410" s="503"/>
      <c r="M410" s="503"/>
      <c r="N410" s="503"/>
      <c r="O410" s="503"/>
      <c r="P410" s="503"/>
      <c r="Q410" s="503"/>
      <c r="R410" s="503"/>
      <c r="S410" s="503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504"/>
      <c r="BQ410" s="504"/>
      <c r="BR410" s="504"/>
      <c r="BS410" s="504"/>
      <c r="BT410" s="504"/>
      <c r="BU410" s="504"/>
      <c r="BV410" s="504"/>
      <c r="BW410" s="504"/>
      <c r="BX410" s="504"/>
      <c r="BY410" s="504"/>
      <c r="BZ410" s="504"/>
      <c r="CA410" s="504"/>
      <c r="CB410" s="504"/>
      <c r="CC410" s="504"/>
      <c r="CD410" s="504"/>
      <c r="CE410" s="504"/>
      <c r="CF410" s="504"/>
      <c r="CG410" s="504"/>
      <c r="CH410" s="504"/>
      <c r="CI410" s="504"/>
      <c r="CJ410" s="504"/>
      <c r="CK410" s="504"/>
      <c r="CL410" s="504"/>
      <c r="CM410" s="504"/>
      <c r="CN410" s="504"/>
      <c r="CO410" s="504"/>
      <c r="CP410" s="504"/>
      <c r="CQ410" s="504"/>
      <c r="CR410" s="504"/>
      <c r="CS410" s="504"/>
      <c r="CT410" s="504"/>
      <c r="CU410" s="504"/>
      <c r="CV410" s="519"/>
      <c r="CW410" s="519"/>
      <c r="CX410" s="519"/>
      <c r="CY410" s="519"/>
      <c r="CZ410" s="519"/>
      <c r="DA410" s="519"/>
      <c r="DB410" s="519"/>
      <c r="DC410" s="519"/>
      <c r="DD410" s="519"/>
      <c r="DE410" s="519"/>
      <c r="DF410" s="519"/>
      <c r="DG410" s="519"/>
      <c r="DH410" s="519"/>
      <c r="DI410" s="504"/>
      <c r="DJ410" s="504"/>
      <c r="DK410" s="504"/>
      <c r="DL410" s="504"/>
      <c r="DM410" s="504"/>
      <c r="DN410" s="504"/>
      <c r="DO410" s="504"/>
      <c r="DP410" s="504"/>
      <c r="DQ410" s="504"/>
      <c r="DR410" s="504"/>
      <c r="DS410" s="504"/>
      <c r="DT410" s="504"/>
      <c r="DU410" s="504"/>
      <c r="DV410" s="504"/>
      <c r="DW410" s="504"/>
      <c r="DX410" s="504"/>
      <c r="DY410" s="504"/>
      <c r="DZ410" s="504"/>
      <c r="EA410" s="504"/>
      <c r="EB410" s="504"/>
      <c r="EC410" s="504"/>
      <c r="ED410" s="504"/>
      <c r="EE410" s="504"/>
      <c r="EF410" s="504"/>
      <c r="EG410" s="504"/>
      <c r="EH410" s="504"/>
      <c r="EI410" s="504"/>
      <c r="EJ410" s="504"/>
      <c r="EK410" s="504"/>
      <c r="EL410" s="504"/>
      <c r="EM410" s="504"/>
      <c r="EN410" s="504"/>
      <c r="EO410" s="504"/>
      <c r="EP410" s="504"/>
      <c r="EQ410" s="504"/>
      <c r="ER410" s="504"/>
      <c r="ES410" s="504"/>
      <c r="ET410" s="504"/>
      <c r="EU410" s="504"/>
      <c r="EV410" s="504"/>
      <c r="EW410" s="504"/>
      <c r="EX410" s="504"/>
      <c r="EY410" s="504"/>
      <c r="EZ410" s="504"/>
      <c r="FA410" s="504"/>
      <c r="FB410" s="504"/>
      <c r="FC410" s="504"/>
      <c r="FD410" s="504"/>
      <c r="FE410" s="504"/>
      <c r="FF410" s="504"/>
      <c r="FG410" s="505"/>
      <c r="FK410" s="4">
        <f>DO410-FC410</f>
        <v>0</v>
      </c>
    </row>
    <row r="411" spans="1:167" s="696" customFormat="1">
      <c r="A411" s="690"/>
      <c r="B411" s="690"/>
      <c r="C411" s="708"/>
      <c r="D411" s="699" t="s">
        <v>3984</v>
      </c>
      <c r="E411" s="692"/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/>
      <c r="Q411" s="694"/>
      <c r="R411" s="697"/>
      <c r="S411" s="697"/>
      <c r="T411" s="694"/>
      <c r="U411" s="694" t="s">
        <v>2990</v>
      </c>
      <c r="V411" s="694"/>
      <c r="W411" s="694"/>
      <c r="X411" s="694"/>
      <c r="Y411" s="694"/>
      <c r="Z411" s="694"/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4"/>
      <c r="BL411" s="694"/>
      <c r="BM411" s="694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  <c r="BX411" s="694"/>
      <c r="BY411" s="694"/>
      <c r="BZ411" s="694"/>
      <c r="CA411" s="694"/>
      <c r="CB411" s="694"/>
      <c r="CC411" s="694"/>
      <c r="CD411" s="694"/>
      <c r="CE411" s="694"/>
      <c r="CF411" s="694"/>
      <c r="CG411" s="694"/>
      <c r="CH411" s="694"/>
      <c r="CI411" s="694"/>
      <c r="CJ411" s="694"/>
      <c r="CK411" s="694"/>
      <c r="CL411" s="694"/>
      <c r="CM411" s="694"/>
      <c r="CN411" s="694"/>
      <c r="CO411" s="694"/>
      <c r="CP411" s="694"/>
      <c r="CQ411" s="694"/>
      <c r="CR411" s="694"/>
      <c r="CS411" s="694"/>
      <c r="CT411" s="694"/>
      <c r="CU411" s="694"/>
      <c r="CV411" s="695"/>
      <c r="CW411" s="695">
        <f>E411</f>
        <v>0</v>
      </c>
      <c r="CX411" s="695"/>
      <c r="CY411" s="695"/>
      <c r="CZ411" s="695"/>
      <c r="DA411" s="695">
        <f>E411*2</f>
        <v>0</v>
      </c>
      <c r="DB411" s="695"/>
      <c r="DC411" s="695"/>
      <c r="DD411" s="695"/>
      <c r="DE411" s="695"/>
      <c r="DF411" s="695"/>
      <c r="DG411" s="695"/>
      <c r="DH411" s="695"/>
      <c r="DI411" s="694"/>
      <c r="DJ411" s="694"/>
      <c r="DK411" s="694"/>
      <c r="DL411" s="694">
        <v>1</v>
      </c>
      <c r="DM411" s="694">
        <v>3</v>
      </c>
      <c r="DN411" s="694"/>
      <c r="DO411" s="694"/>
      <c r="DP411" s="694"/>
      <c r="DQ411" s="694"/>
      <c r="DR411" s="694"/>
      <c r="DS411" s="694"/>
      <c r="DT411" s="694"/>
      <c r="DU411" s="694">
        <v>10</v>
      </c>
      <c r="DV411" s="694"/>
      <c r="DW411" s="694"/>
      <c r="DX411" s="694"/>
      <c r="DY411" s="694"/>
      <c r="DZ411" s="694"/>
      <c r="EA411" s="694">
        <v>2</v>
      </c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>
        <v>2</v>
      </c>
      <c r="FA411" s="694"/>
      <c r="FB411" s="694"/>
      <c r="FC411" s="694"/>
      <c r="FD411" s="694"/>
      <c r="FE411" s="694"/>
      <c r="FF411" s="694"/>
      <c r="FG411" s="697"/>
    </row>
    <row r="412" spans="1:167" s="696" customFormat="1">
      <c r="A412" s="690"/>
      <c r="B412" s="690"/>
      <c r="C412" s="708"/>
      <c r="D412" s="699" t="s">
        <v>3733</v>
      </c>
      <c r="E412" s="692">
        <v>44.3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694"/>
      <c r="R412" s="697"/>
      <c r="S412" s="697"/>
      <c r="T412" s="694"/>
      <c r="U412" s="694" t="s">
        <v>1631</v>
      </c>
      <c r="V412" s="694"/>
      <c r="W412" s="694"/>
      <c r="X412" s="694"/>
      <c r="Y412" s="694"/>
      <c r="Z412" s="694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4"/>
      <c r="BL412" s="694"/>
      <c r="BM412" s="694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  <c r="BX412" s="694"/>
      <c r="BY412" s="694"/>
      <c r="BZ412" s="694"/>
      <c r="CA412" s="694"/>
      <c r="CB412" s="694"/>
      <c r="CC412" s="694"/>
      <c r="CD412" s="694"/>
      <c r="CE412" s="694"/>
      <c r="CF412" s="694"/>
      <c r="CG412" s="694"/>
      <c r="CH412" s="694"/>
      <c r="CI412" s="694"/>
      <c r="CJ412" s="694"/>
      <c r="CK412" s="694"/>
      <c r="CL412" s="694"/>
      <c r="CM412" s="694"/>
      <c r="CN412" s="694"/>
      <c r="CO412" s="694"/>
      <c r="CP412" s="694"/>
      <c r="CQ412" s="694"/>
      <c r="CR412" s="694"/>
      <c r="CS412" s="694"/>
      <c r="CT412" s="694"/>
      <c r="CU412" s="694"/>
      <c r="CV412" s="695"/>
      <c r="CW412" s="695">
        <f t="shared" ref="CW412:CW431" si="61">E412</f>
        <v>44.3</v>
      </c>
      <c r="CX412" s="695"/>
      <c r="CY412" s="695"/>
      <c r="CZ412" s="695"/>
      <c r="DA412" s="695">
        <f t="shared" ref="DA412:DA431" si="62">E412*2</f>
        <v>88.6</v>
      </c>
      <c r="DB412" s="695"/>
      <c r="DC412" s="695"/>
      <c r="DD412" s="695"/>
      <c r="DE412" s="695"/>
      <c r="DF412" s="695"/>
      <c r="DG412" s="695"/>
      <c r="DH412" s="695"/>
      <c r="DI412" s="694"/>
      <c r="DJ412" s="694"/>
      <c r="DK412" s="694">
        <v>1</v>
      </c>
      <c r="DL412" s="694"/>
      <c r="DM412" s="694">
        <v>3</v>
      </c>
      <c r="DN412" s="694"/>
      <c r="DO412" s="694"/>
      <c r="DP412" s="694"/>
      <c r="DQ412" s="694"/>
      <c r="DR412" s="694"/>
      <c r="DS412" s="694">
        <v>3</v>
      </c>
      <c r="DT412" s="694"/>
      <c r="DU412" s="694"/>
      <c r="DV412" s="694"/>
      <c r="DW412" s="694"/>
      <c r="DX412" s="694"/>
      <c r="DY412" s="694"/>
      <c r="DZ412" s="694"/>
      <c r="EA412" s="694">
        <v>1</v>
      </c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7"/>
    </row>
    <row r="413" spans="1:167" s="696" customFormat="1">
      <c r="A413" s="690"/>
      <c r="B413" s="690"/>
      <c r="C413" s="708"/>
      <c r="D413" s="699" t="s">
        <v>3734</v>
      </c>
      <c r="E413" s="692">
        <v>35.200000000000003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/>
      <c r="Q413" s="694"/>
      <c r="R413" s="697"/>
      <c r="S413" s="697"/>
      <c r="T413" s="694"/>
      <c r="U413" s="694" t="s">
        <v>1631</v>
      </c>
      <c r="V413" s="694"/>
      <c r="W413" s="694"/>
      <c r="X413" s="694"/>
      <c r="Y413" s="694"/>
      <c r="Z413" s="694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4"/>
      <c r="BL413" s="694"/>
      <c r="BM413" s="694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  <c r="BX413" s="694"/>
      <c r="BY413" s="694"/>
      <c r="BZ413" s="694"/>
      <c r="CA413" s="694"/>
      <c r="CB413" s="694"/>
      <c r="CC413" s="694"/>
      <c r="CD413" s="694"/>
      <c r="CE413" s="694"/>
      <c r="CF413" s="694"/>
      <c r="CG413" s="694"/>
      <c r="CH413" s="694"/>
      <c r="CI413" s="694"/>
      <c r="CJ413" s="694"/>
      <c r="CK413" s="694"/>
      <c r="CL413" s="694"/>
      <c r="CM413" s="694"/>
      <c r="CN413" s="694"/>
      <c r="CO413" s="694"/>
      <c r="CP413" s="694"/>
      <c r="CQ413" s="694"/>
      <c r="CR413" s="694"/>
      <c r="CS413" s="694"/>
      <c r="CT413" s="694"/>
      <c r="CU413" s="694"/>
      <c r="CV413" s="695"/>
      <c r="CW413" s="695">
        <f t="shared" si="61"/>
        <v>35.200000000000003</v>
      </c>
      <c r="CX413" s="695"/>
      <c r="CY413" s="695"/>
      <c r="CZ413" s="695"/>
      <c r="DA413" s="695">
        <f t="shared" si="62"/>
        <v>70.400000000000006</v>
      </c>
      <c r="DB413" s="695"/>
      <c r="DC413" s="695"/>
      <c r="DD413" s="695"/>
      <c r="DE413" s="695"/>
      <c r="DF413" s="695"/>
      <c r="DG413" s="695"/>
      <c r="DH413" s="695"/>
      <c r="DI413" s="694"/>
      <c r="DJ413" s="694"/>
      <c r="DK413" s="694">
        <v>1</v>
      </c>
      <c r="DL413" s="694"/>
      <c r="DM413" s="694">
        <v>3</v>
      </c>
      <c r="DN413" s="694">
        <v>1</v>
      </c>
      <c r="DO413" s="694">
        <v>2</v>
      </c>
      <c r="DP413" s="694">
        <v>2</v>
      </c>
      <c r="DQ413" s="694"/>
      <c r="DR413" s="694"/>
      <c r="DS413" s="694">
        <v>2</v>
      </c>
      <c r="DT413" s="694"/>
      <c r="DU413" s="694"/>
      <c r="DV413" s="694"/>
      <c r="DW413" s="694"/>
      <c r="DX413" s="694"/>
      <c r="DY413" s="694"/>
      <c r="DZ413" s="694"/>
      <c r="EA413" s="694">
        <v>1</v>
      </c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7"/>
    </row>
    <row r="414" spans="1:167" s="696" customFormat="1">
      <c r="A414" s="690"/>
      <c r="B414" s="690"/>
      <c r="C414" s="708" t="s">
        <v>3985</v>
      </c>
      <c r="D414" s="691"/>
      <c r="E414" s="692">
        <v>24.6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/>
      <c r="Q414" s="694"/>
      <c r="R414" s="697"/>
      <c r="S414" s="697"/>
      <c r="T414" s="694"/>
      <c r="U414" s="694" t="s">
        <v>1631</v>
      </c>
      <c r="V414" s="694"/>
      <c r="W414" s="694"/>
      <c r="X414" s="694"/>
      <c r="Y414" s="694"/>
      <c r="Z414" s="694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694"/>
      <c r="BL414" s="694"/>
      <c r="BM414" s="694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  <c r="BX414" s="694"/>
      <c r="BY414" s="694"/>
      <c r="BZ414" s="694"/>
      <c r="CA414" s="694"/>
      <c r="CB414" s="694"/>
      <c r="CC414" s="694"/>
      <c r="CD414" s="694"/>
      <c r="CE414" s="694"/>
      <c r="CF414" s="694"/>
      <c r="CG414" s="694"/>
      <c r="CH414" s="694"/>
      <c r="CI414" s="694"/>
      <c r="CJ414" s="694"/>
      <c r="CK414" s="694"/>
      <c r="CL414" s="694"/>
      <c r="CM414" s="694"/>
      <c r="CN414" s="694"/>
      <c r="CO414" s="694"/>
      <c r="CP414" s="694"/>
      <c r="CQ414" s="694"/>
      <c r="CR414" s="694"/>
      <c r="CS414" s="694"/>
      <c r="CT414" s="694"/>
      <c r="CU414" s="694"/>
      <c r="CV414" s="695"/>
      <c r="CW414" s="695">
        <f t="shared" si="61"/>
        <v>24.6</v>
      </c>
      <c r="CX414" s="695"/>
      <c r="CY414" s="695"/>
      <c r="CZ414" s="695"/>
      <c r="DA414" s="695">
        <f t="shared" si="62"/>
        <v>49.2</v>
      </c>
      <c r="DB414" s="695"/>
      <c r="DC414" s="695"/>
      <c r="DD414" s="695"/>
      <c r="DE414" s="695"/>
      <c r="DF414" s="695"/>
      <c r="DG414" s="695"/>
      <c r="DH414" s="695"/>
      <c r="DI414" s="694"/>
      <c r="DJ414" s="694"/>
      <c r="DK414" s="694">
        <v>1</v>
      </c>
      <c r="DL414" s="694"/>
      <c r="DM414" s="694">
        <v>3</v>
      </c>
      <c r="DN414" s="694">
        <v>1</v>
      </c>
      <c r="DO414" s="694">
        <v>3</v>
      </c>
      <c r="DP414" s="694">
        <v>3</v>
      </c>
      <c r="DQ414" s="694"/>
      <c r="DR414" s="694"/>
      <c r="DS414" s="694"/>
      <c r="DT414" s="694"/>
      <c r="DU414" s="694"/>
      <c r="DV414" s="694"/>
      <c r="DW414" s="694"/>
      <c r="DX414" s="694"/>
      <c r="DY414" s="694"/>
      <c r="DZ414" s="694">
        <v>2</v>
      </c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7"/>
    </row>
    <row r="415" spans="1:167" s="696" customFormat="1">
      <c r="A415" s="690"/>
      <c r="B415" s="690"/>
      <c r="C415" s="708"/>
      <c r="D415" s="691" t="s">
        <v>3735</v>
      </c>
      <c r="E415" s="692">
        <v>15.8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/>
      <c r="Q415" s="694"/>
      <c r="R415" s="697"/>
      <c r="S415" s="697"/>
      <c r="T415" s="694"/>
      <c r="U415" s="694" t="s">
        <v>1631</v>
      </c>
      <c r="V415" s="694"/>
      <c r="W415" s="694"/>
      <c r="X415" s="694"/>
      <c r="Y415" s="694"/>
      <c r="Z415" s="694"/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4"/>
      <c r="BL415" s="694"/>
      <c r="BM415" s="694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  <c r="BX415" s="694"/>
      <c r="BY415" s="694"/>
      <c r="BZ415" s="694"/>
      <c r="CA415" s="694"/>
      <c r="CB415" s="694"/>
      <c r="CC415" s="694"/>
      <c r="CD415" s="694"/>
      <c r="CE415" s="694"/>
      <c r="CF415" s="694"/>
      <c r="CG415" s="694"/>
      <c r="CH415" s="694"/>
      <c r="CI415" s="694"/>
      <c r="CJ415" s="694"/>
      <c r="CK415" s="694"/>
      <c r="CL415" s="694"/>
      <c r="CM415" s="694"/>
      <c r="CN415" s="694"/>
      <c r="CO415" s="694"/>
      <c r="CP415" s="694"/>
      <c r="CQ415" s="694"/>
      <c r="CR415" s="694"/>
      <c r="CS415" s="694"/>
      <c r="CT415" s="694"/>
      <c r="CU415" s="694"/>
      <c r="CV415" s="695"/>
      <c r="CW415" s="695">
        <f t="shared" si="61"/>
        <v>15.8</v>
      </c>
      <c r="CX415" s="695"/>
      <c r="CY415" s="695"/>
      <c r="CZ415" s="695"/>
      <c r="DA415" s="695">
        <f t="shared" si="62"/>
        <v>31.6</v>
      </c>
      <c r="DB415" s="695"/>
      <c r="DC415" s="695"/>
      <c r="DD415" s="695"/>
      <c r="DE415" s="695"/>
      <c r="DF415" s="695"/>
      <c r="DG415" s="695"/>
      <c r="DH415" s="695"/>
      <c r="DI415" s="694"/>
      <c r="DJ415" s="694"/>
      <c r="DK415" s="694">
        <v>1</v>
      </c>
      <c r="DL415" s="694"/>
      <c r="DM415" s="694">
        <v>3</v>
      </c>
      <c r="DN415" s="694">
        <v>1</v>
      </c>
      <c r="DO415" s="694">
        <v>2</v>
      </c>
      <c r="DP415" s="694">
        <v>2</v>
      </c>
      <c r="DQ415" s="694"/>
      <c r="DR415" s="694"/>
      <c r="DS415" s="694"/>
      <c r="DT415" s="694"/>
      <c r="DU415" s="694"/>
      <c r="DV415" s="694"/>
      <c r="DW415" s="694"/>
      <c r="DX415" s="694"/>
      <c r="DY415" s="694"/>
      <c r="DZ415" s="694"/>
      <c r="EA415" s="694">
        <v>1</v>
      </c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7"/>
    </row>
    <row r="416" spans="1:167" s="696" customFormat="1">
      <c r="A416" s="690"/>
      <c r="B416" s="690"/>
      <c r="C416" s="708"/>
      <c r="D416" s="691" t="s">
        <v>3736</v>
      </c>
      <c r="E416" s="692">
        <v>39.1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/>
      <c r="Q416" s="694"/>
      <c r="R416" s="697"/>
      <c r="S416" s="697"/>
      <c r="T416" s="694"/>
      <c r="U416" s="694" t="s">
        <v>1903</v>
      </c>
      <c r="V416" s="694"/>
      <c r="W416" s="694"/>
      <c r="X416" s="694"/>
      <c r="Y416" s="694"/>
      <c r="Z416" s="694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4"/>
      <c r="BL416" s="694"/>
      <c r="BM416" s="694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  <c r="BX416" s="694"/>
      <c r="BY416" s="694"/>
      <c r="BZ416" s="694"/>
      <c r="CA416" s="694"/>
      <c r="CB416" s="694"/>
      <c r="CC416" s="694"/>
      <c r="CD416" s="694"/>
      <c r="CE416" s="694"/>
      <c r="CF416" s="694"/>
      <c r="CG416" s="694"/>
      <c r="CH416" s="694"/>
      <c r="CI416" s="694"/>
      <c r="CJ416" s="694"/>
      <c r="CK416" s="694"/>
      <c r="CL416" s="694"/>
      <c r="CM416" s="694"/>
      <c r="CN416" s="694"/>
      <c r="CO416" s="694"/>
      <c r="CP416" s="694"/>
      <c r="CQ416" s="694"/>
      <c r="CR416" s="694"/>
      <c r="CS416" s="694"/>
      <c r="CT416" s="694"/>
      <c r="CU416" s="694"/>
      <c r="CV416" s="695"/>
      <c r="CW416" s="695">
        <f t="shared" si="61"/>
        <v>39.1</v>
      </c>
      <c r="CX416" s="695"/>
      <c r="CY416" s="695"/>
      <c r="CZ416" s="695"/>
      <c r="DA416" s="695">
        <f t="shared" si="62"/>
        <v>78.2</v>
      </c>
      <c r="DB416" s="695"/>
      <c r="DC416" s="695"/>
      <c r="DD416" s="695"/>
      <c r="DE416" s="695"/>
      <c r="DF416" s="695"/>
      <c r="DG416" s="695"/>
      <c r="DH416" s="695"/>
      <c r="DI416" s="694"/>
      <c r="DJ416" s="694"/>
      <c r="DK416" s="694">
        <v>1</v>
      </c>
      <c r="DL416" s="694"/>
      <c r="DM416" s="694">
        <v>3</v>
      </c>
      <c r="DN416" s="694"/>
      <c r="DO416" s="694"/>
      <c r="DP416" s="694"/>
      <c r="DQ416" s="694"/>
      <c r="DR416" s="694"/>
      <c r="DS416" s="694">
        <v>3</v>
      </c>
      <c r="DT416" s="694"/>
      <c r="DU416" s="694"/>
      <c r="DV416" s="694"/>
      <c r="DW416" s="694"/>
      <c r="DX416" s="694"/>
      <c r="DY416" s="694"/>
      <c r="DZ416" s="694"/>
      <c r="EA416" s="694">
        <v>2</v>
      </c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7"/>
    </row>
    <row r="417" spans="1:167" s="696" customFormat="1">
      <c r="A417" s="690"/>
      <c r="B417" s="690"/>
      <c r="C417" s="708"/>
      <c r="D417" s="691" t="s">
        <v>3737</v>
      </c>
      <c r="E417" s="692">
        <v>32.200000000000003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/>
      <c r="Q417" s="694"/>
      <c r="R417" s="697"/>
      <c r="S417" s="697"/>
      <c r="T417" s="694"/>
      <c r="U417" s="694" t="s">
        <v>1631</v>
      </c>
      <c r="V417" s="694"/>
      <c r="W417" s="694"/>
      <c r="X417" s="694"/>
      <c r="Y417" s="694"/>
      <c r="Z417" s="694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4"/>
      <c r="BL417" s="694"/>
      <c r="BM417" s="694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  <c r="BX417" s="694"/>
      <c r="BY417" s="694"/>
      <c r="BZ417" s="694"/>
      <c r="CA417" s="694"/>
      <c r="CB417" s="694"/>
      <c r="CC417" s="694"/>
      <c r="CD417" s="694"/>
      <c r="CE417" s="694"/>
      <c r="CF417" s="694"/>
      <c r="CG417" s="694"/>
      <c r="CH417" s="694"/>
      <c r="CI417" s="694"/>
      <c r="CJ417" s="694"/>
      <c r="CK417" s="694"/>
      <c r="CL417" s="694"/>
      <c r="CM417" s="694"/>
      <c r="CN417" s="694"/>
      <c r="CO417" s="694"/>
      <c r="CP417" s="694"/>
      <c r="CQ417" s="694"/>
      <c r="CR417" s="694"/>
      <c r="CS417" s="694"/>
      <c r="CT417" s="694"/>
      <c r="CU417" s="694"/>
      <c r="CV417" s="695"/>
      <c r="CW417" s="695">
        <f t="shared" si="61"/>
        <v>32.200000000000003</v>
      </c>
      <c r="CX417" s="695"/>
      <c r="CY417" s="695"/>
      <c r="CZ417" s="695"/>
      <c r="DA417" s="695">
        <f t="shared" si="62"/>
        <v>64.400000000000006</v>
      </c>
      <c r="DB417" s="695"/>
      <c r="DC417" s="695"/>
      <c r="DD417" s="695"/>
      <c r="DE417" s="695"/>
      <c r="DF417" s="695"/>
      <c r="DG417" s="695"/>
      <c r="DH417" s="695"/>
      <c r="DI417" s="694"/>
      <c r="DJ417" s="694"/>
      <c r="DK417" s="694">
        <v>1</v>
      </c>
      <c r="DL417" s="694"/>
      <c r="DM417" s="694">
        <v>3</v>
      </c>
      <c r="DN417" s="694">
        <v>1</v>
      </c>
      <c r="DO417" s="694">
        <v>2</v>
      </c>
      <c r="DP417" s="694">
        <v>1</v>
      </c>
      <c r="DQ417" s="694"/>
      <c r="DR417" s="694"/>
      <c r="DS417" s="694">
        <v>2</v>
      </c>
      <c r="DT417" s="694"/>
      <c r="DU417" s="694"/>
      <c r="DV417" s="694"/>
      <c r="DW417" s="694"/>
      <c r="DX417" s="694"/>
      <c r="DY417" s="694"/>
      <c r="DZ417" s="694"/>
      <c r="EA417" s="694">
        <v>2</v>
      </c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7"/>
    </row>
    <row r="418" spans="1:167" s="696" customFormat="1">
      <c r="A418" s="690"/>
      <c r="B418" s="690"/>
      <c r="C418" s="708"/>
      <c r="D418" s="691" t="s">
        <v>3738</v>
      </c>
      <c r="E418" s="692">
        <v>34.9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/>
      <c r="Q418" s="694"/>
      <c r="R418" s="697"/>
      <c r="S418" s="697"/>
      <c r="T418" s="694"/>
      <c r="U418" s="694" t="s">
        <v>1903</v>
      </c>
      <c r="V418" s="694"/>
      <c r="W418" s="694"/>
      <c r="X418" s="694"/>
      <c r="Y418" s="694"/>
      <c r="Z418" s="694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694"/>
      <c r="BL418" s="694"/>
      <c r="BM418" s="694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  <c r="BX418" s="694"/>
      <c r="BY418" s="694"/>
      <c r="BZ418" s="694"/>
      <c r="CA418" s="694"/>
      <c r="CB418" s="694"/>
      <c r="CC418" s="694"/>
      <c r="CD418" s="694"/>
      <c r="CE418" s="694"/>
      <c r="CF418" s="694"/>
      <c r="CG418" s="694"/>
      <c r="CH418" s="694"/>
      <c r="CI418" s="694"/>
      <c r="CJ418" s="694"/>
      <c r="CK418" s="694"/>
      <c r="CL418" s="694"/>
      <c r="CM418" s="694"/>
      <c r="CN418" s="694"/>
      <c r="CO418" s="694"/>
      <c r="CP418" s="694"/>
      <c r="CQ418" s="694"/>
      <c r="CR418" s="694"/>
      <c r="CS418" s="694"/>
      <c r="CT418" s="694"/>
      <c r="CU418" s="694"/>
      <c r="CV418" s="695"/>
      <c r="CW418" s="695">
        <f t="shared" si="61"/>
        <v>34.9</v>
      </c>
      <c r="CX418" s="695"/>
      <c r="CY418" s="695"/>
      <c r="CZ418" s="695"/>
      <c r="DA418" s="695">
        <f t="shared" si="62"/>
        <v>69.8</v>
      </c>
      <c r="DB418" s="695"/>
      <c r="DC418" s="695"/>
      <c r="DD418" s="695"/>
      <c r="DE418" s="695"/>
      <c r="DF418" s="695"/>
      <c r="DG418" s="695"/>
      <c r="DH418" s="695"/>
      <c r="DI418" s="694"/>
      <c r="DJ418" s="694"/>
      <c r="DK418" s="694">
        <v>1</v>
      </c>
      <c r="DL418" s="694"/>
      <c r="DM418" s="694">
        <v>3</v>
      </c>
      <c r="DN418" s="694">
        <v>1</v>
      </c>
      <c r="DO418" s="694">
        <v>2</v>
      </c>
      <c r="DP418" s="694">
        <v>2</v>
      </c>
      <c r="DQ418" s="694"/>
      <c r="DR418" s="694"/>
      <c r="DS418" s="694">
        <v>2</v>
      </c>
      <c r="DT418" s="694"/>
      <c r="DU418" s="694"/>
      <c r="DV418" s="694"/>
      <c r="DW418" s="694"/>
      <c r="DX418" s="694"/>
      <c r="DY418" s="694"/>
      <c r="DZ418" s="694"/>
      <c r="EA418" s="694">
        <v>2</v>
      </c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7"/>
    </row>
    <row r="419" spans="1:167" s="696" customFormat="1">
      <c r="A419" s="690"/>
      <c r="B419" s="690"/>
      <c r="C419" s="708"/>
      <c r="D419" s="691" t="s">
        <v>3739</v>
      </c>
      <c r="E419" s="694">
        <v>35.4</v>
      </c>
      <c r="F419" s="694"/>
      <c r="G419" s="694"/>
      <c r="H419" s="694"/>
      <c r="I419" s="694"/>
      <c r="J419" s="694"/>
      <c r="K419" s="694"/>
      <c r="L419" s="694"/>
      <c r="M419" s="694"/>
      <c r="N419" s="694"/>
      <c r="O419" s="694"/>
      <c r="P419" s="694"/>
      <c r="Q419" s="694"/>
      <c r="R419" s="697"/>
      <c r="S419" s="697"/>
      <c r="T419" s="694"/>
      <c r="U419" s="694" t="s">
        <v>1631</v>
      </c>
      <c r="V419" s="694"/>
      <c r="W419" s="694"/>
      <c r="X419" s="694"/>
      <c r="Y419" s="694"/>
      <c r="Z419" s="694"/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4"/>
      <c r="BL419" s="694"/>
      <c r="BM419" s="694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  <c r="BX419" s="694"/>
      <c r="BY419" s="694"/>
      <c r="BZ419" s="694"/>
      <c r="CA419" s="694"/>
      <c r="CB419" s="694"/>
      <c r="CC419" s="694"/>
      <c r="CD419" s="694"/>
      <c r="CE419" s="694"/>
      <c r="CF419" s="694"/>
      <c r="CG419" s="694"/>
      <c r="CH419" s="694"/>
      <c r="CI419" s="694"/>
      <c r="CJ419" s="694"/>
      <c r="CK419" s="694"/>
      <c r="CL419" s="694"/>
      <c r="CM419" s="694"/>
      <c r="CN419" s="694"/>
      <c r="CO419" s="694"/>
      <c r="CP419" s="694"/>
      <c r="CQ419" s="694"/>
      <c r="CR419" s="694"/>
      <c r="CS419" s="694"/>
      <c r="CT419" s="694"/>
      <c r="CU419" s="694"/>
      <c r="CV419" s="695"/>
      <c r="CW419" s="695">
        <f t="shared" si="61"/>
        <v>35.4</v>
      </c>
      <c r="CX419" s="695"/>
      <c r="CY419" s="695"/>
      <c r="CZ419" s="695"/>
      <c r="DA419" s="695">
        <f t="shared" si="62"/>
        <v>70.8</v>
      </c>
      <c r="DB419" s="695"/>
      <c r="DC419" s="695"/>
      <c r="DD419" s="695"/>
      <c r="DE419" s="695"/>
      <c r="DF419" s="695"/>
      <c r="DG419" s="695"/>
      <c r="DH419" s="695"/>
      <c r="DI419" s="694"/>
      <c r="DJ419" s="694"/>
      <c r="DK419" s="694">
        <v>1</v>
      </c>
      <c r="DL419" s="694"/>
      <c r="DM419" s="694">
        <v>3</v>
      </c>
      <c r="DN419" s="694">
        <v>1</v>
      </c>
      <c r="DO419" s="694">
        <v>3</v>
      </c>
      <c r="DP419" s="694">
        <v>3</v>
      </c>
      <c r="DQ419" s="694"/>
      <c r="DR419" s="694"/>
      <c r="DS419" s="694"/>
      <c r="DT419" s="694"/>
      <c r="DU419" s="694"/>
      <c r="DV419" s="694"/>
      <c r="DW419" s="694"/>
      <c r="DX419" s="694"/>
      <c r="DY419" s="694"/>
      <c r="DZ419" s="694"/>
      <c r="EA419" s="694">
        <v>1</v>
      </c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7"/>
    </row>
    <row r="420" spans="1:167" s="696" customFormat="1">
      <c r="A420" s="690"/>
      <c r="B420" s="690"/>
      <c r="C420" s="708"/>
      <c r="D420" s="691" t="s">
        <v>3740</v>
      </c>
      <c r="E420" s="694">
        <v>47.2</v>
      </c>
      <c r="F420" s="694"/>
      <c r="G420" s="694"/>
      <c r="H420" s="694"/>
      <c r="I420" s="694"/>
      <c r="J420" s="694"/>
      <c r="K420" s="694"/>
      <c r="L420" s="694"/>
      <c r="M420" s="694"/>
      <c r="N420" s="694"/>
      <c r="O420" s="694"/>
      <c r="P420" s="694"/>
      <c r="Q420" s="694"/>
      <c r="R420" s="697"/>
      <c r="S420" s="697"/>
      <c r="T420" s="694"/>
      <c r="U420" s="694" t="s">
        <v>2989</v>
      </c>
      <c r="V420" s="694"/>
      <c r="W420" s="694"/>
      <c r="X420" s="694"/>
      <c r="Y420" s="694"/>
      <c r="Z420" s="694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4"/>
      <c r="BL420" s="694"/>
      <c r="BM420" s="694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  <c r="BX420" s="694"/>
      <c r="BY420" s="694"/>
      <c r="BZ420" s="694"/>
      <c r="CA420" s="694"/>
      <c r="CB420" s="694"/>
      <c r="CC420" s="694"/>
      <c r="CD420" s="694"/>
      <c r="CE420" s="694"/>
      <c r="CF420" s="694"/>
      <c r="CG420" s="694"/>
      <c r="CH420" s="694"/>
      <c r="CI420" s="694"/>
      <c r="CJ420" s="694"/>
      <c r="CK420" s="694"/>
      <c r="CL420" s="694"/>
      <c r="CM420" s="694"/>
      <c r="CN420" s="694"/>
      <c r="CO420" s="694"/>
      <c r="CP420" s="694"/>
      <c r="CQ420" s="694"/>
      <c r="CR420" s="694"/>
      <c r="CS420" s="694"/>
      <c r="CT420" s="694"/>
      <c r="CU420" s="694"/>
      <c r="CV420" s="695"/>
      <c r="CW420" s="695">
        <f t="shared" si="61"/>
        <v>47.2</v>
      </c>
      <c r="CX420" s="695"/>
      <c r="CY420" s="695"/>
      <c r="CZ420" s="695"/>
      <c r="DA420" s="695">
        <f t="shared" si="62"/>
        <v>94.4</v>
      </c>
      <c r="DB420" s="695"/>
      <c r="DC420" s="695"/>
      <c r="DD420" s="695"/>
      <c r="DE420" s="695"/>
      <c r="DF420" s="695"/>
      <c r="DG420" s="695"/>
      <c r="DH420" s="695"/>
      <c r="DI420" s="694"/>
      <c r="DJ420" s="694"/>
      <c r="DK420" s="694">
        <v>2</v>
      </c>
      <c r="DL420" s="694"/>
      <c r="DM420" s="694">
        <v>6</v>
      </c>
      <c r="DN420" s="694">
        <v>1</v>
      </c>
      <c r="DO420" s="694">
        <v>3</v>
      </c>
      <c r="DP420" s="694">
        <v>3</v>
      </c>
      <c r="DQ420" s="694"/>
      <c r="DR420" s="694"/>
      <c r="DS420" s="694"/>
      <c r="DT420" s="694"/>
      <c r="DU420" s="694">
        <v>4</v>
      </c>
      <c r="DV420" s="694"/>
      <c r="DW420" s="694"/>
      <c r="DX420" s="694"/>
      <c r="DY420" s="694"/>
      <c r="DZ420" s="694"/>
      <c r="EA420" s="694"/>
      <c r="EB420" s="694">
        <v>2</v>
      </c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7"/>
    </row>
    <row r="421" spans="1:167" s="696" customFormat="1">
      <c r="A421" s="690"/>
      <c r="B421" s="690"/>
      <c r="C421" s="708"/>
      <c r="D421" s="691" t="s">
        <v>3741</v>
      </c>
      <c r="E421" s="694">
        <v>37.799999999999997</v>
      </c>
      <c r="F421" s="694"/>
      <c r="G421" s="694"/>
      <c r="H421" s="694"/>
      <c r="I421" s="694"/>
      <c r="J421" s="694"/>
      <c r="K421" s="694"/>
      <c r="L421" s="694"/>
      <c r="M421" s="694"/>
      <c r="N421" s="694"/>
      <c r="O421" s="694"/>
      <c r="P421" s="694"/>
      <c r="Q421" s="694"/>
      <c r="R421" s="697"/>
      <c r="S421" s="697"/>
      <c r="T421" s="694"/>
      <c r="U421" s="694" t="s">
        <v>1631</v>
      </c>
      <c r="V421" s="694"/>
      <c r="W421" s="694"/>
      <c r="X421" s="694"/>
      <c r="Y421" s="694"/>
      <c r="Z421" s="694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4"/>
      <c r="BL421" s="694"/>
      <c r="BM421" s="694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  <c r="BX421" s="694"/>
      <c r="BY421" s="694"/>
      <c r="BZ421" s="694"/>
      <c r="CA421" s="694"/>
      <c r="CB421" s="694"/>
      <c r="CC421" s="694"/>
      <c r="CD421" s="694"/>
      <c r="CE421" s="694"/>
      <c r="CF421" s="694"/>
      <c r="CG421" s="694"/>
      <c r="CH421" s="694"/>
      <c r="CI421" s="694"/>
      <c r="CJ421" s="694"/>
      <c r="CK421" s="694"/>
      <c r="CL421" s="694"/>
      <c r="CM421" s="694"/>
      <c r="CN421" s="694"/>
      <c r="CO421" s="694"/>
      <c r="CP421" s="694"/>
      <c r="CQ421" s="694"/>
      <c r="CR421" s="694"/>
      <c r="CS421" s="694"/>
      <c r="CT421" s="694"/>
      <c r="CU421" s="694"/>
      <c r="CV421" s="695"/>
      <c r="CW421" s="695">
        <f t="shared" si="61"/>
        <v>37.799999999999997</v>
      </c>
      <c r="CX421" s="695"/>
      <c r="CY421" s="695"/>
      <c r="CZ421" s="695"/>
      <c r="DA421" s="695">
        <f t="shared" si="62"/>
        <v>75.599999999999994</v>
      </c>
      <c r="DB421" s="695"/>
      <c r="DC421" s="695"/>
      <c r="DD421" s="695"/>
      <c r="DE421" s="695"/>
      <c r="DF421" s="695"/>
      <c r="DG421" s="695"/>
      <c r="DH421" s="695"/>
      <c r="DI421" s="694"/>
      <c r="DJ421" s="694"/>
      <c r="DK421" s="694">
        <v>1</v>
      </c>
      <c r="DL421" s="694"/>
      <c r="DM421" s="694">
        <v>3</v>
      </c>
      <c r="DN421" s="694">
        <v>2</v>
      </c>
      <c r="DO421" s="694">
        <v>5</v>
      </c>
      <c r="DP421" s="694">
        <v>5</v>
      </c>
      <c r="DQ421" s="694"/>
      <c r="DR421" s="694"/>
      <c r="DS421" s="694"/>
      <c r="DT421" s="694"/>
      <c r="DU421" s="694"/>
      <c r="DV421" s="694"/>
      <c r="DW421" s="694"/>
      <c r="DX421" s="694"/>
      <c r="DY421" s="694"/>
      <c r="DZ421" s="694"/>
      <c r="EA421" s="694">
        <v>2</v>
      </c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7"/>
    </row>
    <row r="422" spans="1:167" s="696" customFormat="1">
      <c r="A422" s="690"/>
      <c r="B422" s="690"/>
      <c r="C422" s="708"/>
      <c r="D422" s="691" t="s">
        <v>3742</v>
      </c>
      <c r="E422" s="694">
        <v>47.1</v>
      </c>
      <c r="F422" s="694"/>
      <c r="G422" s="694"/>
      <c r="H422" s="694"/>
      <c r="I422" s="694"/>
      <c r="J422" s="694"/>
      <c r="K422" s="694"/>
      <c r="L422" s="694"/>
      <c r="M422" s="694"/>
      <c r="N422" s="694"/>
      <c r="O422" s="694"/>
      <c r="P422" s="694"/>
      <c r="Q422" s="694"/>
      <c r="R422" s="697"/>
      <c r="S422" s="697"/>
      <c r="T422" s="694"/>
      <c r="U422" s="694" t="s">
        <v>1631</v>
      </c>
      <c r="V422" s="694"/>
      <c r="W422" s="694"/>
      <c r="X422" s="694"/>
      <c r="Y422" s="694"/>
      <c r="Z422" s="694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694"/>
      <c r="BL422" s="694"/>
      <c r="BM422" s="694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  <c r="BX422" s="694"/>
      <c r="BY422" s="694"/>
      <c r="BZ422" s="694"/>
      <c r="CA422" s="694"/>
      <c r="CB422" s="694"/>
      <c r="CC422" s="694"/>
      <c r="CD422" s="694"/>
      <c r="CE422" s="694"/>
      <c r="CF422" s="694"/>
      <c r="CG422" s="694"/>
      <c r="CH422" s="694"/>
      <c r="CI422" s="694"/>
      <c r="CJ422" s="694"/>
      <c r="CK422" s="694"/>
      <c r="CL422" s="694"/>
      <c r="CM422" s="694"/>
      <c r="CN422" s="694"/>
      <c r="CO422" s="694"/>
      <c r="CP422" s="694"/>
      <c r="CQ422" s="694"/>
      <c r="CR422" s="694"/>
      <c r="CS422" s="694"/>
      <c r="CT422" s="694"/>
      <c r="CU422" s="694"/>
      <c r="CV422" s="695"/>
      <c r="CW422" s="695">
        <f t="shared" si="61"/>
        <v>47.1</v>
      </c>
      <c r="CX422" s="695"/>
      <c r="CY422" s="695"/>
      <c r="CZ422" s="695"/>
      <c r="DA422" s="695">
        <f t="shared" si="62"/>
        <v>94.2</v>
      </c>
      <c r="DB422" s="695"/>
      <c r="DC422" s="695"/>
      <c r="DD422" s="695"/>
      <c r="DE422" s="695"/>
      <c r="DF422" s="695"/>
      <c r="DG422" s="695"/>
      <c r="DH422" s="695"/>
      <c r="DI422" s="694"/>
      <c r="DJ422" s="694"/>
      <c r="DK422" s="694">
        <v>1</v>
      </c>
      <c r="DL422" s="694"/>
      <c r="DM422" s="694">
        <v>3</v>
      </c>
      <c r="DN422" s="694"/>
      <c r="DO422" s="694"/>
      <c r="DP422" s="694"/>
      <c r="DQ422" s="694"/>
      <c r="DR422" s="694"/>
      <c r="DS422" s="694">
        <v>3</v>
      </c>
      <c r="DT422" s="694"/>
      <c r="DU422" s="694"/>
      <c r="DV422" s="694"/>
      <c r="DW422" s="694"/>
      <c r="DX422" s="694"/>
      <c r="DY422" s="694"/>
      <c r="DZ422" s="694"/>
      <c r="EA422" s="694">
        <v>1</v>
      </c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7"/>
    </row>
    <row r="423" spans="1:167" s="696" customFormat="1">
      <c r="A423" s="690"/>
      <c r="B423" s="690"/>
      <c r="C423" s="708"/>
      <c r="D423" s="691" t="s">
        <v>3743</v>
      </c>
      <c r="E423" s="694">
        <v>36.299999999999997</v>
      </c>
      <c r="F423" s="694"/>
      <c r="G423" s="694"/>
      <c r="H423" s="694"/>
      <c r="I423" s="694"/>
      <c r="J423" s="694"/>
      <c r="K423" s="694"/>
      <c r="L423" s="694"/>
      <c r="M423" s="694"/>
      <c r="N423" s="694"/>
      <c r="O423" s="694"/>
      <c r="P423" s="694"/>
      <c r="Q423" s="694"/>
      <c r="R423" s="697"/>
      <c r="S423" s="697"/>
      <c r="T423" s="694"/>
      <c r="U423" s="694" t="s">
        <v>1631</v>
      </c>
      <c r="V423" s="694"/>
      <c r="W423" s="694"/>
      <c r="X423" s="694"/>
      <c r="Y423" s="694"/>
      <c r="Z423" s="694"/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4"/>
      <c r="BL423" s="694"/>
      <c r="BM423" s="694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  <c r="BX423" s="694"/>
      <c r="BY423" s="694"/>
      <c r="BZ423" s="694"/>
      <c r="CA423" s="694"/>
      <c r="CB423" s="694"/>
      <c r="CC423" s="694"/>
      <c r="CD423" s="694"/>
      <c r="CE423" s="694"/>
      <c r="CF423" s="694"/>
      <c r="CG423" s="694"/>
      <c r="CH423" s="694"/>
      <c r="CI423" s="694"/>
      <c r="CJ423" s="694"/>
      <c r="CK423" s="694"/>
      <c r="CL423" s="694"/>
      <c r="CM423" s="694"/>
      <c r="CN423" s="694"/>
      <c r="CO423" s="694"/>
      <c r="CP423" s="694"/>
      <c r="CQ423" s="694"/>
      <c r="CR423" s="694"/>
      <c r="CS423" s="694"/>
      <c r="CT423" s="694"/>
      <c r="CU423" s="694"/>
      <c r="CV423" s="695"/>
      <c r="CW423" s="695">
        <f t="shared" si="61"/>
        <v>36.299999999999997</v>
      </c>
      <c r="CX423" s="695"/>
      <c r="CY423" s="695"/>
      <c r="CZ423" s="695"/>
      <c r="DA423" s="695">
        <f t="shared" si="62"/>
        <v>72.599999999999994</v>
      </c>
      <c r="DB423" s="695"/>
      <c r="DC423" s="695"/>
      <c r="DD423" s="695"/>
      <c r="DE423" s="695"/>
      <c r="DF423" s="695"/>
      <c r="DG423" s="695"/>
      <c r="DH423" s="695"/>
      <c r="DI423" s="694"/>
      <c r="DJ423" s="694"/>
      <c r="DK423" s="694">
        <v>1</v>
      </c>
      <c r="DL423" s="694"/>
      <c r="DM423" s="694">
        <v>3</v>
      </c>
      <c r="DN423" s="694">
        <v>1</v>
      </c>
      <c r="DO423" s="694">
        <v>2</v>
      </c>
      <c r="DP423" s="694">
        <v>2</v>
      </c>
      <c r="DQ423" s="694"/>
      <c r="DR423" s="694"/>
      <c r="DS423" s="694"/>
      <c r="DT423" s="694"/>
      <c r="DU423" s="694"/>
      <c r="DV423" s="694"/>
      <c r="DW423" s="694"/>
      <c r="DX423" s="694"/>
      <c r="DY423" s="694"/>
      <c r="DZ423" s="694"/>
      <c r="EA423" s="694">
        <v>2</v>
      </c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7"/>
    </row>
    <row r="424" spans="1:167" s="696" customFormat="1">
      <c r="A424" s="690"/>
      <c r="B424" s="690"/>
      <c r="C424" s="708"/>
      <c r="D424" s="691" t="s">
        <v>3744</v>
      </c>
      <c r="E424" s="694">
        <v>38.799999999999997</v>
      </c>
      <c r="F424" s="694"/>
      <c r="G424" s="694"/>
      <c r="H424" s="694"/>
      <c r="I424" s="694"/>
      <c r="J424" s="694"/>
      <c r="K424" s="694"/>
      <c r="L424" s="694"/>
      <c r="M424" s="694"/>
      <c r="N424" s="694"/>
      <c r="O424" s="694"/>
      <c r="P424" s="694"/>
      <c r="Q424" s="694"/>
      <c r="R424" s="697"/>
      <c r="S424" s="697"/>
      <c r="T424" s="694"/>
      <c r="U424" s="694" t="s">
        <v>1903</v>
      </c>
      <c r="V424" s="694"/>
      <c r="W424" s="694"/>
      <c r="X424" s="694"/>
      <c r="Y424" s="694"/>
      <c r="Z424" s="694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4"/>
      <c r="BL424" s="694"/>
      <c r="BM424" s="694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  <c r="BX424" s="694"/>
      <c r="BY424" s="694"/>
      <c r="BZ424" s="694"/>
      <c r="CA424" s="694"/>
      <c r="CB424" s="694"/>
      <c r="CC424" s="694"/>
      <c r="CD424" s="694"/>
      <c r="CE424" s="694"/>
      <c r="CF424" s="694"/>
      <c r="CG424" s="694"/>
      <c r="CH424" s="694"/>
      <c r="CI424" s="694"/>
      <c r="CJ424" s="694"/>
      <c r="CK424" s="694"/>
      <c r="CL424" s="694"/>
      <c r="CM424" s="694"/>
      <c r="CN424" s="694"/>
      <c r="CO424" s="694"/>
      <c r="CP424" s="694"/>
      <c r="CQ424" s="694"/>
      <c r="CR424" s="694"/>
      <c r="CS424" s="694"/>
      <c r="CT424" s="694"/>
      <c r="CU424" s="694"/>
      <c r="CV424" s="695"/>
      <c r="CW424" s="695">
        <f t="shared" si="61"/>
        <v>38.799999999999997</v>
      </c>
      <c r="CX424" s="695"/>
      <c r="CY424" s="695"/>
      <c r="CZ424" s="695"/>
      <c r="DA424" s="695">
        <f t="shared" si="62"/>
        <v>77.599999999999994</v>
      </c>
      <c r="DB424" s="695"/>
      <c r="DC424" s="695"/>
      <c r="DD424" s="695"/>
      <c r="DE424" s="695"/>
      <c r="DF424" s="695"/>
      <c r="DG424" s="695"/>
      <c r="DH424" s="695"/>
      <c r="DI424" s="694"/>
      <c r="DJ424" s="694"/>
      <c r="DK424" s="694">
        <v>1</v>
      </c>
      <c r="DL424" s="694"/>
      <c r="DM424" s="694">
        <v>3</v>
      </c>
      <c r="DN424" s="694"/>
      <c r="DO424" s="694"/>
      <c r="DP424" s="694"/>
      <c r="DQ424" s="694"/>
      <c r="DR424" s="694"/>
      <c r="DS424" s="694">
        <v>3</v>
      </c>
      <c r="DT424" s="694"/>
      <c r="DU424" s="694"/>
      <c r="DV424" s="694"/>
      <c r="DW424" s="694"/>
      <c r="DX424" s="694"/>
      <c r="DY424" s="694"/>
      <c r="DZ424" s="694"/>
      <c r="EA424" s="694">
        <v>2</v>
      </c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7"/>
    </row>
    <row r="425" spans="1:167" s="696" customFormat="1">
      <c r="A425" s="690"/>
      <c r="B425" s="690"/>
      <c r="C425" s="708"/>
      <c r="D425" s="691" t="s">
        <v>3745</v>
      </c>
      <c r="E425" s="694">
        <v>34.700000000000003</v>
      </c>
      <c r="F425" s="694"/>
      <c r="G425" s="694"/>
      <c r="H425" s="694"/>
      <c r="I425" s="694"/>
      <c r="J425" s="694"/>
      <c r="K425" s="694"/>
      <c r="L425" s="694"/>
      <c r="M425" s="694"/>
      <c r="N425" s="694"/>
      <c r="O425" s="694"/>
      <c r="P425" s="694"/>
      <c r="Q425" s="694"/>
      <c r="R425" s="697"/>
      <c r="S425" s="697"/>
      <c r="T425" s="694"/>
      <c r="U425" s="694" t="s">
        <v>1631</v>
      </c>
      <c r="V425" s="694"/>
      <c r="W425" s="694"/>
      <c r="X425" s="694"/>
      <c r="Y425" s="694"/>
      <c r="Z425" s="694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4"/>
      <c r="BL425" s="694"/>
      <c r="BM425" s="694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  <c r="BX425" s="694"/>
      <c r="BY425" s="694"/>
      <c r="BZ425" s="694"/>
      <c r="CA425" s="694"/>
      <c r="CB425" s="694"/>
      <c r="CC425" s="694"/>
      <c r="CD425" s="694"/>
      <c r="CE425" s="694"/>
      <c r="CF425" s="694"/>
      <c r="CG425" s="694"/>
      <c r="CH425" s="694"/>
      <c r="CI425" s="694"/>
      <c r="CJ425" s="694"/>
      <c r="CK425" s="694"/>
      <c r="CL425" s="694"/>
      <c r="CM425" s="694"/>
      <c r="CN425" s="694"/>
      <c r="CO425" s="694"/>
      <c r="CP425" s="694"/>
      <c r="CQ425" s="694"/>
      <c r="CR425" s="694"/>
      <c r="CS425" s="694"/>
      <c r="CT425" s="694"/>
      <c r="CU425" s="694"/>
      <c r="CV425" s="695"/>
      <c r="CW425" s="695">
        <f t="shared" si="61"/>
        <v>34.700000000000003</v>
      </c>
      <c r="CX425" s="695"/>
      <c r="CY425" s="695"/>
      <c r="CZ425" s="695"/>
      <c r="DA425" s="695">
        <f t="shared" si="62"/>
        <v>69.400000000000006</v>
      </c>
      <c r="DB425" s="695"/>
      <c r="DC425" s="695"/>
      <c r="DD425" s="695"/>
      <c r="DE425" s="695"/>
      <c r="DF425" s="695"/>
      <c r="DG425" s="695"/>
      <c r="DH425" s="695"/>
      <c r="DI425" s="694"/>
      <c r="DJ425" s="694"/>
      <c r="DK425" s="694">
        <v>1</v>
      </c>
      <c r="DL425" s="694"/>
      <c r="DM425" s="694">
        <v>3</v>
      </c>
      <c r="DN425" s="694"/>
      <c r="DO425" s="694"/>
      <c r="DP425" s="694"/>
      <c r="DQ425" s="694"/>
      <c r="DR425" s="694"/>
      <c r="DS425" s="694"/>
      <c r="DT425" s="694"/>
      <c r="DU425" s="694"/>
      <c r="DV425" s="694"/>
      <c r="DW425" s="694"/>
      <c r="DX425" s="694"/>
      <c r="DY425" s="694"/>
      <c r="DZ425" s="694"/>
      <c r="EA425" s="694">
        <v>2</v>
      </c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7"/>
    </row>
    <row r="426" spans="1:167" s="696" customFormat="1">
      <c r="A426" s="690"/>
      <c r="B426" s="690"/>
      <c r="C426" s="708"/>
      <c r="D426" s="691" t="s">
        <v>3746</v>
      </c>
      <c r="E426" s="694">
        <v>39.6</v>
      </c>
      <c r="F426" s="694"/>
      <c r="G426" s="694"/>
      <c r="H426" s="694"/>
      <c r="I426" s="694"/>
      <c r="J426" s="694"/>
      <c r="K426" s="694"/>
      <c r="L426" s="694"/>
      <c r="M426" s="694"/>
      <c r="N426" s="694"/>
      <c r="O426" s="694"/>
      <c r="P426" s="694"/>
      <c r="Q426" s="694"/>
      <c r="R426" s="697"/>
      <c r="S426" s="697"/>
      <c r="T426" s="694"/>
      <c r="U426" s="694" t="s">
        <v>1631</v>
      </c>
      <c r="V426" s="694"/>
      <c r="W426" s="694"/>
      <c r="X426" s="694"/>
      <c r="Y426" s="694"/>
      <c r="Z426" s="694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694"/>
      <c r="BL426" s="694"/>
      <c r="BM426" s="694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  <c r="BX426" s="694"/>
      <c r="BY426" s="694"/>
      <c r="BZ426" s="694"/>
      <c r="CA426" s="694"/>
      <c r="CB426" s="694"/>
      <c r="CC426" s="694"/>
      <c r="CD426" s="694"/>
      <c r="CE426" s="694"/>
      <c r="CF426" s="694"/>
      <c r="CG426" s="694"/>
      <c r="CH426" s="694"/>
      <c r="CI426" s="694"/>
      <c r="CJ426" s="694"/>
      <c r="CK426" s="694"/>
      <c r="CL426" s="694"/>
      <c r="CM426" s="694"/>
      <c r="CN426" s="694"/>
      <c r="CO426" s="694"/>
      <c r="CP426" s="694"/>
      <c r="CQ426" s="694"/>
      <c r="CR426" s="694"/>
      <c r="CS426" s="694"/>
      <c r="CT426" s="694"/>
      <c r="CU426" s="694"/>
      <c r="CV426" s="695"/>
      <c r="CW426" s="695">
        <f t="shared" si="61"/>
        <v>39.6</v>
      </c>
      <c r="CX426" s="695"/>
      <c r="CY426" s="695"/>
      <c r="CZ426" s="695"/>
      <c r="DA426" s="695">
        <f t="shared" si="62"/>
        <v>79.2</v>
      </c>
      <c r="DB426" s="695"/>
      <c r="DC426" s="695"/>
      <c r="DD426" s="695"/>
      <c r="DE426" s="695"/>
      <c r="DF426" s="695"/>
      <c r="DG426" s="695"/>
      <c r="DH426" s="695"/>
      <c r="DI426" s="694"/>
      <c r="DJ426" s="694"/>
      <c r="DK426" s="694">
        <v>1</v>
      </c>
      <c r="DL426" s="694"/>
      <c r="DM426" s="694">
        <v>3</v>
      </c>
      <c r="DN426" s="694">
        <v>1</v>
      </c>
      <c r="DO426" s="694">
        <v>2</v>
      </c>
      <c r="DP426" s="694">
        <v>1</v>
      </c>
      <c r="DQ426" s="694"/>
      <c r="DR426" s="694"/>
      <c r="DS426" s="694">
        <v>2</v>
      </c>
      <c r="DT426" s="694"/>
      <c r="DU426" s="694"/>
      <c r="DV426" s="694"/>
      <c r="DW426" s="694"/>
      <c r="DX426" s="694"/>
      <c r="DY426" s="694"/>
      <c r="DZ426" s="694"/>
      <c r="EA426" s="694">
        <v>2</v>
      </c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7"/>
    </row>
    <row r="427" spans="1:167" s="696" customFormat="1">
      <c r="A427" s="690"/>
      <c r="B427" s="690"/>
      <c r="C427" s="708"/>
      <c r="D427" s="691" t="s">
        <v>3747</v>
      </c>
      <c r="E427" s="694">
        <v>34.4</v>
      </c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7"/>
      <c r="S427" s="697"/>
      <c r="T427" s="694"/>
      <c r="U427" s="694" t="s">
        <v>1631</v>
      </c>
      <c r="V427" s="694"/>
      <c r="W427" s="694"/>
      <c r="X427" s="694"/>
      <c r="Y427" s="694"/>
      <c r="Z427" s="694"/>
      <c r="AA427" s="694"/>
      <c r="AB427" s="694"/>
      <c r="AC427" s="694"/>
      <c r="AD427" s="694"/>
      <c r="AE427" s="694"/>
      <c r="AF427" s="694"/>
      <c r="AG427" s="694"/>
      <c r="AH427" s="694"/>
      <c r="AI427" s="694"/>
      <c r="AJ427" s="694"/>
      <c r="AK427" s="694"/>
      <c r="AL427" s="694"/>
      <c r="AM427" s="694"/>
      <c r="AN427" s="694"/>
      <c r="AO427" s="694"/>
      <c r="AP427" s="694"/>
      <c r="AQ427" s="694"/>
      <c r="AR427" s="694"/>
      <c r="AS427" s="694"/>
      <c r="AT427" s="694"/>
      <c r="AU427" s="694"/>
      <c r="AV427" s="694"/>
      <c r="AW427" s="694"/>
      <c r="AX427" s="694"/>
      <c r="AY427" s="694"/>
      <c r="AZ427" s="694"/>
      <c r="BA427" s="694"/>
      <c r="BB427" s="694"/>
      <c r="BC427" s="694"/>
      <c r="BD427" s="694"/>
      <c r="BE427" s="694"/>
      <c r="BF427" s="694"/>
      <c r="BG427" s="694"/>
      <c r="BH427" s="694"/>
      <c r="BI427" s="694"/>
      <c r="BJ427" s="694"/>
      <c r="BK427" s="694"/>
      <c r="BL427" s="694"/>
      <c r="BM427" s="694"/>
      <c r="BN427" s="694"/>
      <c r="BO427" s="694"/>
      <c r="BP427" s="694"/>
      <c r="BQ427" s="694"/>
      <c r="BR427" s="694"/>
      <c r="BS427" s="694"/>
      <c r="BT427" s="694"/>
      <c r="BU427" s="694"/>
      <c r="BV427" s="694"/>
      <c r="BW427" s="694"/>
      <c r="BX427" s="694"/>
      <c r="BY427" s="694"/>
      <c r="BZ427" s="694"/>
      <c r="CA427" s="694"/>
      <c r="CB427" s="694"/>
      <c r="CC427" s="694"/>
      <c r="CD427" s="694"/>
      <c r="CE427" s="694"/>
      <c r="CF427" s="694"/>
      <c r="CG427" s="694"/>
      <c r="CH427" s="694"/>
      <c r="CI427" s="694"/>
      <c r="CJ427" s="694"/>
      <c r="CK427" s="694"/>
      <c r="CL427" s="694"/>
      <c r="CM427" s="694"/>
      <c r="CN427" s="694"/>
      <c r="CO427" s="694"/>
      <c r="CP427" s="694"/>
      <c r="CQ427" s="694"/>
      <c r="CR427" s="694"/>
      <c r="CS427" s="694"/>
      <c r="CT427" s="694"/>
      <c r="CU427" s="694"/>
      <c r="CV427" s="695"/>
      <c r="CW427" s="695">
        <f t="shared" si="61"/>
        <v>34.4</v>
      </c>
      <c r="CX427" s="695"/>
      <c r="CY427" s="695"/>
      <c r="CZ427" s="695"/>
      <c r="DA427" s="695">
        <f t="shared" si="62"/>
        <v>68.8</v>
      </c>
      <c r="DB427" s="695"/>
      <c r="DC427" s="695"/>
      <c r="DD427" s="695"/>
      <c r="DE427" s="695"/>
      <c r="DF427" s="695"/>
      <c r="DG427" s="695"/>
      <c r="DH427" s="695"/>
      <c r="DI427" s="694"/>
      <c r="DJ427" s="694"/>
      <c r="DK427" s="694">
        <v>1</v>
      </c>
      <c r="DL427" s="694"/>
      <c r="DM427" s="694">
        <v>3</v>
      </c>
      <c r="DN427" s="694"/>
      <c r="DO427" s="694"/>
      <c r="DP427" s="694"/>
      <c r="DQ427" s="694"/>
      <c r="DR427" s="694"/>
      <c r="DS427" s="694">
        <v>2</v>
      </c>
      <c r="DT427" s="694"/>
      <c r="DU427" s="694"/>
      <c r="DV427" s="694"/>
      <c r="DW427" s="694"/>
      <c r="DX427" s="694"/>
      <c r="DY427" s="694"/>
      <c r="DZ427" s="694"/>
      <c r="EA427" s="694">
        <v>2</v>
      </c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7"/>
    </row>
    <row r="428" spans="1:167" s="696" customFormat="1">
      <c r="A428" s="690"/>
      <c r="B428" s="690"/>
      <c r="C428" s="708"/>
      <c r="D428" s="691" t="s">
        <v>3748</v>
      </c>
      <c r="E428" s="694">
        <v>40.799999999999997</v>
      </c>
      <c r="F428" s="694"/>
      <c r="G428" s="694"/>
      <c r="H428" s="694"/>
      <c r="I428" s="694"/>
      <c r="J428" s="694"/>
      <c r="K428" s="694"/>
      <c r="L428" s="694"/>
      <c r="M428" s="694"/>
      <c r="N428" s="694"/>
      <c r="O428" s="694"/>
      <c r="P428" s="694"/>
      <c r="Q428" s="694"/>
      <c r="R428" s="697"/>
      <c r="S428" s="697"/>
      <c r="T428" s="694"/>
      <c r="U428" s="694" t="s">
        <v>1631</v>
      </c>
      <c r="V428" s="694"/>
      <c r="W428" s="694"/>
      <c r="X428" s="694"/>
      <c r="Y428" s="694"/>
      <c r="Z428" s="694"/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4"/>
      <c r="BL428" s="694"/>
      <c r="BM428" s="694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  <c r="BX428" s="694"/>
      <c r="BY428" s="694"/>
      <c r="BZ428" s="694"/>
      <c r="CA428" s="694"/>
      <c r="CB428" s="694"/>
      <c r="CC428" s="694"/>
      <c r="CD428" s="694"/>
      <c r="CE428" s="694"/>
      <c r="CF428" s="694"/>
      <c r="CG428" s="694"/>
      <c r="CH428" s="694"/>
      <c r="CI428" s="694"/>
      <c r="CJ428" s="694"/>
      <c r="CK428" s="694"/>
      <c r="CL428" s="694"/>
      <c r="CM428" s="694"/>
      <c r="CN428" s="694"/>
      <c r="CO428" s="694"/>
      <c r="CP428" s="694"/>
      <c r="CQ428" s="694"/>
      <c r="CR428" s="694"/>
      <c r="CS428" s="694"/>
      <c r="CT428" s="694"/>
      <c r="CU428" s="694"/>
      <c r="CV428" s="695"/>
      <c r="CW428" s="695">
        <f t="shared" si="61"/>
        <v>40.799999999999997</v>
      </c>
      <c r="CX428" s="695"/>
      <c r="CY428" s="695"/>
      <c r="CZ428" s="695"/>
      <c r="DA428" s="695">
        <f t="shared" si="62"/>
        <v>81.599999999999994</v>
      </c>
      <c r="DB428" s="695"/>
      <c r="DC428" s="695"/>
      <c r="DD428" s="695"/>
      <c r="DE428" s="695"/>
      <c r="DF428" s="695"/>
      <c r="DG428" s="695"/>
      <c r="DH428" s="695"/>
      <c r="DI428" s="694"/>
      <c r="DJ428" s="694"/>
      <c r="DK428" s="694">
        <v>1</v>
      </c>
      <c r="DL428" s="694"/>
      <c r="DM428" s="694">
        <v>3</v>
      </c>
      <c r="DN428" s="694">
        <v>1</v>
      </c>
      <c r="DO428" s="694">
        <v>2</v>
      </c>
      <c r="DP428" s="694">
        <v>2</v>
      </c>
      <c r="DQ428" s="694"/>
      <c r="DR428" s="694"/>
      <c r="DS428" s="694"/>
      <c r="DT428" s="694"/>
      <c r="DU428" s="694"/>
      <c r="DV428" s="694"/>
      <c r="DW428" s="694"/>
      <c r="DX428" s="694"/>
      <c r="DY428" s="694"/>
      <c r="DZ428" s="694"/>
      <c r="EA428" s="694">
        <v>1</v>
      </c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7"/>
    </row>
    <row r="429" spans="1:167" s="696" customFormat="1">
      <c r="A429" s="690"/>
      <c r="B429" s="690"/>
      <c r="C429" s="708"/>
      <c r="D429" s="691" t="s">
        <v>3749</v>
      </c>
      <c r="E429" s="694">
        <v>33.9</v>
      </c>
      <c r="F429" s="694"/>
      <c r="G429" s="694"/>
      <c r="H429" s="694"/>
      <c r="I429" s="694"/>
      <c r="J429" s="694"/>
      <c r="K429" s="694"/>
      <c r="L429" s="694"/>
      <c r="M429" s="694"/>
      <c r="N429" s="694"/>
      <c r="O429" s="694"/>
      <c r="P429" s="694"/>
      <c r="Q429" s="694"/>
      <c r="R429" s="697"/>
      <c r="S429" s="697"/>
      <c r="T429" s="694"/>
      <c r="U429" s="694" t="s">
        <v>1631</v>
      </c>
      <c r="V429" s="694"/>
      <c r="W429" s="694"/>
      <c r="X429" s="694"/>
      <c r="Y429" s="694"/>
      <c r="Z429" s="694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4"/>
      <c r="BL429" s="694"/>
      <c r="BM429" s="694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  <c r="BX429" s="694"/>
      <c r="BY429" s="694"/>
      <c r="BZ429" s="694"/>
      <c r="CA429" s="694"/>
      <c r="CB429" s="694"/>
      <c r="CC429" s="694"/>
      <c r="CD429" s="694"/>
      <c r="CE429" s="694"/>
      <c r="CF429" s="694"/>
      <c r="CG429" s="694"/>
      <c r="CH429" s="694"/>
      <c r="CI429" s="694"/>
      <c r="CJ429" s="694"/>
      <c r="CK429" s="694"/>
      <c r="CL429" s="694"/>
      <c r="CM429" s="694"/>
      <c r="CN429" s="694"/>
      <c r="CO429" s="694"/>
      <c r="CP429" s="694"/>
      <c r="CQ429" s="694"/>
      <c r="CR429" s="694"/>
      <c r="CS429" s="694"/>
      <c r="CT429" s="694"/>
      <c r="CU429" s="694"/>
      <c r="CV429" s="695"/>
      <c r="CW429" s="695">
        <f t="shared" si="61"/>
        <v>33.9</v>
      </c>
      <c r="CX429" s="695"/>
      <c r="CY429" s="695"/>
      <c r="CZ429" s="695"/>
      <c r="DA429" s="695">
        <f t="shared" si="62"/>
        <v>67.8</v>
      </c>
      <c r="DB429" s="695"/>
      <c r="DC429" s="695"/>
      <c r="DD429" s="695"/>
      <c r="DE429" s="695"/>
      <c r="DF429" s="695"/>
      <c r="DG429" s="695"/>
      <c r="DH429" s="695"/>
      <c r="DI429" s="694"/>
      <c r="DJ429" s="694"/>
      <c r="DK429" s="694">
        <v>1</v>
      </c>
      <c r="DL429" s="694"/>
      <c r="DM429" s="694">
        <v>3</v>
      </c>
      <c r="DN429" s="694">
        <v>1</v>
      </c>
      <c r="DO429" s="694">
        <v>2</v>
      </c>
      <c r="DP429" s="694">
        <v>2</v>
      </c>
      <c r="DQ429" s="694"/>
      <c r="DR429" s="694"/>
      <c r="DS429" s="694"/>
      <c r="DT429" s="694"/>
      <c r="DU429" s="694"/>
      <c r="DV429" s="694"/>
      <c r="DW429" s="694"/>
      <c r="DX429" s="694"/>
      <c r="DY429" s="694"/>
      <c r="DZ429" s="694"/>
      <c r="EA429" s="694">
        <v>2</v>
      </c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7"/>
    </row>
    <row r="430" spans="1:167" s="696" customFormat="1">
      <c r="A430" s="690"/>
      <c r="B430" s="690"/>
      <c r="C430" s="708"/>
      <c r="D430" s="691" t="s">
        <v>3750</v>
      </c>
      <c r="E430" s="694">
        <v>43.9</v>
      </c>
      <c r="F430" s="694"/>
      <c r="G430" s="694"/>
      <c r="H430" s="694"/>
      <c r="I430" s="694"/>
      <c r="J430" s="694"/>
      <c r="K430" s="694"/>
      <c r="L430" s="694"/>
      <c r="M430" s="694"/>
      <c r="N430" s="694"/>
      <c r="O430" s="694"/>
      <c r="P430" s="694"/>
      <c r="Q430" s="694"/>
      <c r="R430" s="697"/>
      <c r="S430" s="697"/>
      <c r="T430" s="694"/>
      <c r="U430" s="694" t="s">
        <v>2990</v>
      </c>
      <c r="V430" s="694"/>
      <c r="W430" s="694"/>
      <c r="X430" s="694"/>
      <c r="Y430" s="694"/>
      <c r="Z430" s="694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4"/>
      <c r="BL430" s="694"/>
      <c r="BM430" s="694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  <c r="BX430" s="694"/>
      <c r="BY430" s="694"/>
      <c r="BZ430" s="694"/>
      <c r="CA430" s="694"/>
      <c r="CB430" s="694"/>
      <c r="CC430" s="694"/>
      <c r="CD430" s="694"/>
      <c r="CE430" s="694"/>
      <c r="CF430" s="694"/>
      <c r="CG430" s="694"/>
      <c r="CH430" s="694"/>
      <c r="CI430" s="694"/>
      <c r="CJ430" s="694"/>
      <c r="CK430" s="694"/>
      <c r="CL430" s="694"/>
      <c r="CM430" s="694"/>
      <c r="CN430" s="694"/>
      <c r="CO430" s="694"/>
      <c r="CP430" s="694"/>
      <c r="CQ430" s="694"/>
      <c r="CR430" s="694"/>
      <c r="CS430" s="694"/>
      <c r="CT430" s="694"/>
      <c r="CU430" s="694"/>
      <c r="CV430" s="695"/>
      <c r="CW430" s="695">
        <f t="shared" si="61"/>
        <v>43.9</v>
      </c>
      <c r="CX430" s="695"/>
      <c r="CY430" s="695"/>
      <c r="CZ430" s="695"/>
      <c r="DA430" s="695">
        <f t="shared" si="62"/>
        <v>87.8</v>
      </c>
      <c r="DB430" s="695"/>
      <c r="DC430" s="695"/>
      <c r="DD430" s="695"/>
      <c r="DE430" s="695"/>
      <c r="DF430" s="695"/>
      <c r="DG430" s="695"/>
      <c r="DH430" s="695"/>
      <c r="DI430" s="694"/>
      <c r="DJ430" s="694"/>
      <c r="DK430" s="694">
        <v>1</v>
      </c>
      <c r="DL430" s="694"/>
      <c r="DM430" s="694">
        <v>3</v>
      </c>
      <c r="DN430" s="694">
        <v>1</v>
      </c>
      <c r="DO430" s="694">
        <v>3</v>
      </c>
      <c r="DP430" s="694">
        <v>3</v>
      </c>
      <c r="DQ430" s="694"/>
      <c r="DR430" s="694"/>
      <c r="DS430" s="694"/>
      <c r="DT430" s="694"/>
      <c r="DU430" s="694">
        <v>2</v>
      </c>
      <c r="DV430" s="694">
        <v>1</v>
      </c>
      <c r="DW430" s="694"/>
      <c r="DX430" s="694"/>
      <c r="DY430" s="694"/>
      <c r="DZ430" s="694"/>
      <c r="EA430" s="694">
        <v>2</v>
      </c>
      <c r="EB430" s="694"/>
      <c r="EC430" s="694"/>
      <c r="ED430" s="694"/>
      <c r="EE430" s="694"/>
      <c r="EF430" s="694"/>
      <c r="EG430" s="694"/>
      <c r="EH430" s="694"/>
      <c r="EI430" s="694"/>
      <c r="EJ430" s="694"/>
      <c r="EK430" s="694"/>
      <c r="EL430" s="694"/>
      <c r="EM430" s="694"/>
      <c r="EN430" s="694"/>
      <c r="EO430" s="694"/>
      <c r="EP430" s="694"/>
      <c r="EQ430" s="694"/>
      <c r="ER430" s="694"/>
      <c r="ES430" s="694"/>
      <c r="ET430" s="694"/>
      <c r="EU430" s="694"/>
      <c r="EV430" s="694"/>
      <c r="EW430" s="694"/>
      <c r="EX430" s="694"/>
      <c r="EY430" s="694"/>
      <c r="EZ430" s="694"/>
      <c r="FA430" s="694"/>
      <c r="FB430" s="694"/>
      <c r="FC430" s="694"/>
      <c r="FD430" s="694"/>
      <c r="FE430" s="694"/>
      <c r="FF430" s="694"/>
      <c r="FG430" s="697"/>
    </row>
    <row r="431" spans="1:167" s="696" customFormat="1">
      <c r="A431" s="690"/>
      <c r="B431" s="690"/>
      <c r="C431" s="708"/>
      <c r="D431" s="708"/>
      <c r="E431" s="694"/>
      <c r="F431" s="694"/>
      <c r="G431" s="694"/>
      <c r="H431" s="694"/>
      <c r="I431" s="694"/>
      <c r="J431" s="694"/>
      <c r="K431" s="694"/>
      <c r="L431" s="694"/>
      <c r="M431" s="694"/>
      <c r="N431" s="694"/>
      <c r="O431" s="694"/>
      <c r="P431" s="694"/>
      <c r="Q431" s="694"/>
      <c r="R431" s="697"/>
      <c r="S431" s="697"/>
      <c r="T431" s="694"/>
      <c r="U431" s="694"/>
      <c r="V431" s="694"/>
      <c r="W431" s="694"/>
      <c r="X431" s="694"/>
      <c r="Y431" s="694"/>
      <c r="Z431" s="694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694"/>
      <c r="BL431" s="694"/>
      <c r="BM431" s="694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  <c r="BX431" s="694"/>
      <c r="BY431" s="694"/>
      <c r="BZ431" s="694"/>
      <c r="CA431" s="694"/>
      <c r="CB431" s="694"/>
      <c r="CC431" s="694"/>
      <c r="CD431" s="694"/>
      <c r="CE431" s="694"/>
      <c r="CF431" s="694"/>
      <c r="CG431" s="694"/>
      <c r="CH431" s="694"/>
      <c r="CI431" s="694"/>
      <c r="CJ431" s="694"/>
      <c r="CK431" s="694"/>
      <c r="CL431" s="694"/>
      <c r="CM431" s="694"/>
      <c r="CN431" s="694"/>
      <c r="CO431" s="694"/>
      <c r="CP431" s="694"/>
      <c r="CQ431" s="694"/>
      <c r="CR431" s="694"/>
      <c r="CS431" s="694"/>
      <c r="CT431" s="694"/>
      <c r="CU431" s="694"/>
      <c r="CV431" s="695"/>
      <c r="CW431" s="695">
        <f t="shared" si="61"/>
        <v>0</v>
      </c>
      <c r="CX431" s="695"/>
      <c r="CY431" s="695"/>
      <c r="CZ431" s="695"/>
      <c r="DA431" s="695">
        <f t="shared" si="62"/>
        <v>0</v>
      </c>
      <c r="DB431" s="695"/>
      <c r="DC431" s="695"/>
      <c r="DD431" s="695"/>
      <c r="DE431" s="695"/>
      <c r="DF431" s="695"/>
      <c r="DG431" s="695"/>
      <c r="DH431" s="695"/>
      <c r="DI431" s="694"/>
      <c r="DJ431" s="694"/>
      <c r="DK431" s="694"/>
      <c r="DL431" s="694"/>
      <c r="DM431" s="694"/>
      <c r="DN431" s="694"/>
      <c r="DO431" s="694"/>
      <c r="DP431" s="694"/>
      <c r="DQ431" s="694"/>
      <c r="DR431" s="694"/>
      <c r="DS431" s="694"/>
      <c r="DT431" s="694"/>
      <c r="DU431" s="694"/>
      <c r="DV431" s="694"/>
      <c r="DW431" s="694"/>
      <c r="DX431" s="694"/>
      <c r="DY431" s="694"/>
      <c r="DZ431" s="694"/>
      <c r="EA431" s="694"/>
      <c r="EB431" s="694"/>
      <c r="EC431" s="694"/>
      <c r="ED431" s="694"/>
      <c r="EE431" s="694"/>
      <c r="EF431" s="694"/>
      <c r="EG431" s="694"/>
      <c r="EH431" s="694"/>
      <c r="EI431" s="694"/>
      <c r="EJ431" s="694"/>
      <c r="EK431" s="694"/>
      <c r="EL431" s="694"/>
      <c r="EM431" s="694"/>
      <c r="EN431" s="694"/>
      <c r="EO431" s="694"/>
      <c r="EP431" s="694"/>
      <c r="EQ431" s="694"/>
      <c r="ER431" s="694"/>
      <c r="ES431" s="694"/>
      <c r="ET431" s="694"/>
      <c r="EU431" s="694"/>
      <c r="EV431" s="694"/>
      <c r="EW431" s="694"/>
      <c r="EX431" s="694"/>
      <c r="EY431" s="694"/>
      <c r="EZ431" s="694"/>
      <c r="FA431" s="694"/>
      <c r="FB431" s="694"/>
      <c r="FC431" s="694"/>
      <c r="FD431" s="694"/>
      <c r="FE431" s="694"/>
      <c r="FF431" s="694"/>
      <c r="FG431" s="697"/>
    </row>
    <row r="432" spans="1:167" s="4" customFormat="1">
      <c r="A432" s="486">
        <f>MATCH(C432,$C$5:$C$507,0)</f>
        <v>428</v>
      </c>
      <c r="B432" s="56"/>
      <c r="C432" s="507" t="s">
        <v>3079</v>
      </c>
      <c r="D432" s="507"/>
      <c r="E432" s="508">
        <f t="shared" ref="E432:AJ432" si="63">SUM(E411:E431)</f>
        <v>695.99999999999989</v>
      </c>
      <c r="F432" s="508">
        <f t="shared" si="63"/>
        <v>0</v>
      </c>
      <c r="G432" s="508">
        <f t="shared" si="63"/>
        <v>0</v>
      </c>
      <c r="H432" s="508">
        <f t="shared" si="63"/>
        <v>0</v>
      </c>
      <c r="I432" s="508">
        <f t="shared" si="63"/>
        <v>0</v>
      </c>
      <c r="J432" s="508">
        <f t="shared" si="63"/>
        <v>0</v>
      </c>
      <c r="K432" s="508">
        <f t="shared" si="63"/>
        <v>0</v>
      </c>
      <c r="L432" s="508">
        <f t="shared" si="63"/>
        <v>0</v>
      </c>
      <c r="M432" s="508">
        <f t="shared" si="63"/>
        <v>0</v>
      </c>
      <c r="N432" s="508">
        <f t="shared" si="63"/>
        <v>0</v>
      </c>
      <c r="O432" s="508">
        <f t="shared" si="63"/>
        <v>0</v>
      </c>
      <c r="P432" s="508">
        <f t="shared" si="63"/>
        <v>0</v>
      </c>
      <c r="Q432" s="508">
        <f t="shared" si="63"/>
        <v>0</v>
      </c>
      <c r="R432" s="508">
        <f t="shared" si="63"/>
        <v>0</v>
      </c>
      <c r="S432" s="508">
        <f t="shared" si="63"/>
        <v>0</v>
      </c>
      <c r="T432" s="509">
        <f t="shared" si="63"/>
        <v>0</v>
      </c>
      <c r="U432" s="509">
        <f t="shared" si="63"/>
        <v>0</v>
      </c>
      <c r="V432" s="509">
        <f t="shared" si="63"/>
        <v>0</v>
      </c>
      <c r="W432" s="509">
        <f t="shared" si="63"/>
        <v>0</v>
      </c>
      <c r="X432" s="509">
        <f t="shared" si="63"/>
        <v>0</v>
      </c>
      <c r="Y432" s="509">
        <f t="shared" si="63"/>
        <v>0</v>
      </c>
      <c r="Z432" s="509">
        <f t="shared" si="63"/>
        <v>0</v>
      </c>
      <c r="AA432" s="509">
        <f t="shared" si="63"/>
        <v>0</v>
      </c>
      <c r="AB432" s="509">
        <f t="shared" si="63"/>
        <v>0</v>
      </c>
      <c r="AC432" s="509">
        <f t="shared" si="63"/>
        <v>0</v>
      </c>
      <c r="AD432" s="509">
        <f t="shared" si="63"/>
        <v>0</v>
      </c>
      <c r="AE432" s="509">
        <f t="shared" si="63"/>
        <v>0</v>
      </c>
      <c r="AF432" s="509">
        <f t="shared" si="63"/>
        <v>0</v>
      </c>
      <c r="AG432" s="509">
        <f t="shared" si="63"/>
        <v>0</v>
      </c>
      <c r="AH432" s="509">
        <f t="shared" si="63"/>
        <v>0</v>
      </c>
      <c r="AI432" s="509">
        <f t="shared" si="63"/>
        <v>0</v>
      </c>
      <c r="AJ432" s="509">
        <f t="shared" si="63"/>
        <v>0</v>
      </c>
      <c r="AK432" s="509">
        <f t="shared" ref="AK432:BP432" si="64">SUM(AK411:AK431)</f>
        <v>0</v>
      </c>
      <c r="AL432" s="509">
        <f t="shared" si="64"/>
        <v>0</v>
      </c>
      <c r="AM432" s="509">
        <f t="shared" si="64"/>
        <v>0</v>
      </c>
      <c r="AN432" s="509">
        <f t="shared" si="64"/>
        <v>0</v>
      </c>
      <c r="AO432" s="509">
        <f t="shared" si="64"/>
        <v>0</v>
      </c>
      <c r="AP432" s="509">
        <f t="shared" si="64"/>
        <v>0</v>
      </c>
      <c r="AQ432" s="509">
        <f t="shared" si="64"/>
        <v>0</v>
      </c>
      <c r="AR432" s="509">
        <f t="shared" si="64"/>
        <v>0</v>
      </c>
      <c r="AS432" s="509">
        <f t="shared" si="64"/>
        <v>0</v>
      </c>
      <c r="AT432" s="509">
        <f t="shared" si="64"/>
        <v>0</v>
      </c>
      <c r="AU432" s="509">
        <f t="shared" si="64"/>
        <v>0</v>
      </c>
      <c r="AV432" s="509">
        <f t="shared" si="64"/>
        <v>0</v>
      </c>
      <c r="AW432" s="509">
        <f t="shared" si="64"/>
        <v>0</v>
      </c>
      <c r="AX432" s="509">
        <f t="shared" si="64"/>
        <v>0</v>
      </c>
      <c r="AY432" s="509">
        <f t="shared" si="64"/>
        <v>0</v>
      </c>
      <c r="AZ432" s="509">
        <f t="shared" si="64"/>
        <v>0</v>
      </c>
      <c r="BA432" s="509">
        <f t="shared" si="64"/>
        <v>0</v>
      </c>
      <c r="BB432" s="509">
        <f t="shared" si="64"/>
        <v>0</v>
      </c>
      <c r="BC432" s="509">
        <f t="shared" si="64"/>
        <v>0</v>
      </c>
      <c r="BD432" s="509">
        <f t="shared" si="64"/>
        <v>0</v>
      </c>
      <c r="BE432" s="509">
        <f t="shared" si="64"/>
        <v>0</v>
      </c>
      <c r="BF432" s="509">
        <f t="shared" si="64"/>
        <v>0</v>
      </c>
      <c r="BG432" s="509">
        <f t="shared" si="64"/>
        <v>0</v>
      </c>
      <c r="BH432" s="509">
        <f t="shared" si="64"/>
        <v>0</v>
      </c>
      <c r="BI432" s="509">
        <f t="shared" si="64"/>
        <v>0</v>
      </c>
      <c r="BJ432" s="509">
        <f t="shared" si="64"/>
        <v>0</v>
      </c>
      <c r="BK432" s="509">
        <f t="shared" si="64"/>
        <v>0</v>
      </c>
      <c r="BL432" s="509">
        <f t="shared" si="64"/>
        <v>0</v>
      </c>
      <c r="BM432" s="509">
        <f t="shared" si="64"/>
        <v>0</v>
      </c>
      <c r="BN432" s="509">
        <f t="shared" si="64"/>
        <v>0</v>
      </c>
      <c r="BO432" s="509">
        <f t="shared" si="64"/>
        <v>0</v>
      </c>
      <c r="BP432" s="509">
        <f t="shared" si="64"/>
        <v>0</v>
      </c>
      <c r="BQ432" s="509">
        <f t="shared" ref="BQ432:CV432" si="65">SUM(BQ411:BQ431)</f>
        <v>0</v>
      </c>
      <c r="BR432" s="509">
        <f t="shared" si="65"/>
        <v>0</v>
      </c>
      <c r="BS432" s="509">
        <f t="shared" si="65"/>
        <v>0</v>
      </c>
      <c r="BT432" s="509">
        <f t="shared" si="65"/>
        <v>0</v>
      </c>
      <c r="BU432" s="509">
        <f t="shared" si="65"/>
        <v>0</v>
      </c>
      <c r="BV432" s="509">
        <f t="shared" si="65"/>
        <v>0</v>
      </c>
      <c r="BW432" s="509">
        <f t="shared" si="65"/>
        <v>0</v>
      </c>
      <c r="BX432" s="509">
        <f t="shared" si="65"/>
        <v>0</v>
      </c>
      <c r="BY432" s="509">
        <f t="shared" si="65"/>
        <v>0</v>
      </c>
      <c r="BZ432" s="509">
        <f t="shared" si="65"/>
        <v>0</v>
      </c>
      <c r="CA432" s="509">
        <f t="shared" si="65"/>
        <v>0</v>
      </c>
      <c r="CB432" s="509">
        <f t="shared" si="65"/>
        <v>0</v>
      </c>
      <c r="CC432" s="509">
        <f t="shared" si="65"/>
        <v>0</v>
      </c>
      <c r="CD432" s="509">
        <f t="shared" si="65"/>
        <v>0</v>
      </c>
      <c r="CE432" s="509">
        <f t="shared" si="65"/>
        <v>0</v>
      </c>
      <c r="CF432" s="509">
        <f t="shared" si="65"/>
        <v>0</v>
      </c>
      <c r="CG432" s="509">
        <f t="shared" si="65"/>
        <v>0</v>
      </c>
      <c r="CH432" s="509">
        <f t="shared" si="65"/>
        <v>0</v>
      </c>
      <c r="CI432" s="509">
        <f t="shared" si="65"/>
        <v>0</v>
      </c>
      <c r="CJ432" s="509">
        <f t="shared" si="65"/>
        <v>0</v>
      </c>
      <c r="CK432" s="509">
        <f t="shared" si="65"/>
        <v>0</v>
      </c>
      <c r="CL432" s="509">
        <f t="shared" si="65"/>
        <v>0</v>
      </c>
      <c r="CM432" s="509">
        <f t="shared" si="65"/>
        <v>0</v>
      </c>
      <c r="CN432" s="509">
        <f t="shared" si="65"/>
        <v>0</v>
      </c>
      <c r="CO432" s="509">
        <f t="shared" si="65"/>
        <v>0</v>
      </c>
      <c r="CP432" s="509">
        <f t="shared" si="65"/>
        <v>0</v>
      </c>
      <c r="CQ432" s="509">
        <f t="shared" si="65"/>
        <v>0</v>
      </c>
      <c r="CR432" s="509">
        <f t="shared" si="65"/>
        <v>0</v>
      </c>
      <c r="CS432" s="509">
        <f t="shared" si="65"/>
        <v>0</v>
      </c>
      <c r="CT432" s="509">
        <f t="shared" si="65"/>
        <v>0</v>
      </c>
      <c r="CU432" s="509">
        <f t="shared" si="65"/>
        <v>0</v>
      </c>
      <c r="CV432" s="518">
        <f t="shared" si="65"/>
        <v>0</v>
      </c>
      <c r="CW432" s="518">
        <f t="shared" ref="CW432:EB432" si="66">SUM(CW411:CW431)</f>
        <v>695.99999999999989</v>
      </c>
      <c r="CX432" s="518">
        <f t="shared" si="66"/>
        <v>0</v>
      </c>
      <c r="CY432" s="518">
        <f t="shared" si="66"/>
        <v>0</v>
      </c>
      <c r="CZ432" s="518">
        <f t="shared" si="66"/>
        <v>0</v>
      </c>
      <c r="DA432" s="518">
        <f t="shared" si="66"/>
        <v>1391.9999999999998</v>
      </c>
      <c r="DB432" s="518">
        <f t="shared" si="66"/>
        <v>0</v>
      </c>
      <c r="DC432" s="518">
        <f t="shared" si="66"/>
        <v>0</v>
      </c>
      <c r="DD432" s="518">
        <f t="shared" si="66"/>
        <v>0</v>
      </c>
      <c r="DE432" s="518">
        <f t="shared" si="66"/>
        <v>0</v>
      </c>
      <c r="DF432" s="518">
        <f t="shared" si="66"/>
        <v>0</v>
      </c>
      <c r="DG432" s="518">
        <f t="shared" si="66"/>
        <v>0</v>
      </c>
      <c r="DH432" s="518">
        <f t="shared" si="66"/>
        <v>0</v>
      </c>
      <c r="DI432" s="509">
        <f t="shared" si="66"/>
        <v>0</v>
      </c>
      <c r="DJ432" s="509">
        <f t="shared" si="66"/>
        <v>0</v>
      </c>
      <c r="DK432" s="509">
        <f t="shared" si="66"/>
        <v>20</v>
      </c>
      <c r="DL432" s="509">
        <f t="shared" si="66"/>
        <v>1</v>
      </c>
      <c r="DM432" s="509">
        <f t="shared" si="66"/>
        <v>63</v>
      </c>
      <c r="DN432" s="509">
        <f t="shared" si="66"/>
        <v>14</v>
      </c>
      <c r="DO432" s="509">
        <f t="shared" si="66"/>
        <v>33</v>
      </c>
      <c r="DP432" s="509">
        <f t="shared" si="66"/>
        <v>31</v>
      </c>
      <c r="DQ432" s="509">
        <f t="shared" si="66"/>
        <v>0</v>
      </c>
      <c r="DR432" s="509">
        <f t="shared" si="66"/>
        <v>0</v>
      </c>
      <c r="DS432" s="509">
        <f t="shared" si="66"/>
        <v>22</v>
      </c>
      <c r="DT432" s="509">
        <f t="shared" si="66"/>
        <v>0</v>
      </c>
      <c r="DU432" s="509">
        <f t="shared" si="66"/>
        <v>16</v>
      </c>
      <c r="DV432" s="509">
        <f t="shared" si="66"/>
        <v>1</v>
      </c>
      <c r="DW432" s="509">
        <f t="shared" si="66"/>
        <v>0</v>
      </c>
      <c r="DX432" s="509">
        <f t="shared" si="66"/>
        <v>0</v>
      </c>
      <c r="DY432" s="509">
        <f t="shared" si="66"/>
        <v>0</v>
      </c>
      <c r="DZ432" s="509">
        <f t="shared" si="66"/>
        <v>2</v>
      </c>
      <c r="EA432" s="509">
        <f t="shared" si="66"/>
        <v>30</v>
      </c>
      <c r="EB432" s="509">
        <f t="shared" si="66"/>
        <v>2</v>
      </c>
      <c r="EC432" s="509">
        <f t="shared" ref="EC432:FE432" si="67">SUM(EC411:EC431)</f>
        <v>0</v>
      </c>
      <c r="ED432" s="509">
        <f t="shared" si="67"/>
        <v>0</v>
      </c>
      <c r="EE432" s="509">
        <f t="shared" si="67"/>
        <v>0</v>
      </c>
      <c r="EF432" s="509">
        <f t="shared" si="67"/>
        <v>0</v>
      </c>
      <c r="EG432" s="509">
        <f t="shared" si="67"/>
        <v>0</v>
      </c>
      <c r="EH432" s="509">
        <f t="shared" si="67"/>
        <v>0</v>
      </c>
      <c r="EI432" s="509">
        <f t="shared" si="67"/>
        <v>0</v>
      </c>
      <c r="EJ432" s="509">
        <f t="shared" si="67"/>
        <v>0</v>
      </c>
      <c r="EK432" s="509">
        <f t="shared" si="67"/>
        <v>0</v>
      </c>
      <c r="EL432" s="509">
        <f t="shared" si="67"/>
        <v>0</v>
      </c>
      <c r="EM432" s="509">
        <f t="shared" si="67"/>
        <v>0</v>
      </c>
      <c r="EN432" s="509">
        <f t="shared" si="67"/>
        <v>0</v>
      </c>
      <c r="EO432" s="509">
        <f t="shared" si="67"/>
        <v>0</v>
      </c>
      <c r="EP432" s="509">
        <f t="shared" si="67"/>
        <v>0</v>
      </c>
      <c r="EQ432" s="509">
        <f t="shared" si="67"/>
        <v>0</v>
      </c>
      <c r="ER432" s="509">
        <f t="shared" si="67"/>
        <v>0</v>
      </c>
      <c r="ES432" s="509">
        <f t="shared" si="67"/>
        <v>0</v>
      </c>
      <c r="ET432" s="509">
        <f t="shared" si="67"/>
        <v>0</v>
      </c>
      <c r="EU432" s="509">
        <f t="shared" si="67"/>
        <v>0</v>
      </c>
      <c r="EV432" s="509">
        <f t="shared" si="67"/>
        <v>0</v>
      </c>
      <c r="EW432" s="509">
        <f t="shared" si="67"/>
        <v>0</v>
      </c>
      <c r="EX432" s="509">
        <f t="shared" si="67"/>
        <v>0</v>
      </c>
      <c r="EY432" s="509">
        <f t="shared" si="67"/>
        <v>0</v>
      </c>
      <c r="EZ432" s="509">
        <f t="shared" si="67"/>
        <v>2</v>
      </c>
      <c r="FA432" s="509">
        <f t="shared" si="67"/>
        <v>0</v>
      </c>
      <c r="FB432" s="509">
        <f t="shared" si="67"/>
        <v>0</v>
      </c>
      <c r="FC432" s="509">
        <f t="shared" si="67"/>
        <v>0</v>
      </c>
      <c r="FD432" s="509">
        <f t="shared" si="67"/>
        <v>0</v>
      </c>
      <c r="FE432" s="509">
        <f t="shared" si="67"/>
        <v>0</v>
      </c>
      <c r="FF432" s="509"/>
      <c r="FG432" s="508"/>
      <c r="FK432" s="4">
        <f t="shared" ref="FK432:FK454" si="68">DO432-FC432</f>
        <v>33</v>
      </c>
    </row>
    <row r="433" spans="1:163" s="4" customFormat="1">
      <c r="A433" s="56"/>
      <c r="B433" s="56"/>
      <c r="C433" s="501" t="s">
        <v>3907</v>
      </c>
      <c r="D433" s="502"/>
      <c r="E433" s="503"/>
      <c r="F433" s="503"/>
      <c r="G433" s="503"/>
      <c r="H433" s="503"/>
      <c r="I433" s="503"/>
      <c r="J433" s="503"/>
      <c r="K433" s="503"/>
      <c r="L433" s="503"/>
      <c r="M433" s="503"/>
      <c r="N433" s="503"/>
      <c r="O433" s="503"/>
      <c r="P433" s="503"/>
      <c r="Q433" s="503"/>
      <c r="R433" s="503"/>
      <c r="S433" s="503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504"/>
      <c r="BL433" s="504"/>
      <c r="BM433" s="504"/>
      <c r="BN433" s="504"/>
      <c r="BO433" s="504"/>
      <c r="BP433" s="504"/>
      <c r="BQ433" s="504"/>
      <c r="BR433" s="504"/>
      <c r="BS433" s="504"/>
      <c r="BT433" s="504"/>
      <c r="BU433" s="504"/>
      <c r="BV433" s="504"/>
      <c r="BW433" s="504"/>
      <c r="BX433" s="504"/>
      <c r="BY433" s="504"/>
      <c r="BZ433" s="504"/>
      <c r="CA433" s="504"/>
      <c r="CB433" s="504"/>
      <c r="CC433" s="504"/>
      <c r="CD433" s="504"/>
      <c r="CE433" s="504"/>
      <c r="CF433" s="504"/>
      <c r="CG433" s="504"/>
      <c r="CH433" s="504"/>
      <c r="CI433" s="504"/>
      <c r="CJ433" s="504"/>
      <c r="CK433" s="504"/>
      <c r="CL433" s="504"/>
      <c r="CM433" s="504"/>
      <c r="CN433" s="504"/>
      <c r="CO433" s="504"/>
      <c r="CP433" s="504"/>
      <c r="CQ433" s="504"/>
      <c r="CR433" s="504"/>
      <c r="CS433" s="504"/>
      <c r="CT433" s="504"/>
      <c r="CU433" s="504"/>
      <c r="CV433" s="519"/>
      <c r="CW433" s="519"/>
      <c r="CX433" s="519"/>
      <c r="CY433" s="519"/>
      <c r="CZ433" s="519"/>
      <c r="DA433" s="519"/>
      <c r="DB433" s="519"/>
      <c r="DC433" s="519"/>
      <c r="DD433" s="519"/>
      <c r="DE433" s="519"/>
      <c r="DF433" s="519"/>
      <c r="DG433" s="519"/>
      <c r="DH433" s="519"/>
      <c r="DI433" s="504"/>
      <c r="DJ433" s="504"/>
      <c r="DK433" s="504"/>
      <c r="DL433" s="504"/>
      <c r="DM433" s="504"/>
      <c r="DN433" s="504"/>
      <c r="DO433" s="504"/>
      <c r="DP433" s="504"/>
      <c r="DQ433" s="504"/>
      <c r="DR433" s="504"/>
      <c r="DS433" s="504"/>
      <c r="DT433" s="504"/>
      <c r="DU433" s="504"/>
      <c r="DV433" s="504"/>
      <c r="DW433" s="504"/>
      <c r="DX433" s="504"/>
      <c r="DY433" s="504"/>
      <c r="DZ433" s="504"/>
      <c r="EA433" s="504"/>
      <c r="EB433" s="504"/>
      <c r="EC433" s="504"/>
      <c r="ED433" s="504"/>
      <c r="EE433" s="504"/>
      <c r="EF433" s="504"/>
      <c r="EG433" s="504"/>
      <c r="EH433" s="504"/>
      <c r="EI433" s="504"/>
      <c r="EJ433" s="504"/>
      <c r="EK433" s="504"/>
      <c r="EL433" s="504"/>
      <c r="EM433" s="504"/>
      <c r="EN433" s="504"/>
      <c r="EO433" s="504"/>
      <c r="EP433" s="504"/>
      <c r="EQ433" s="504"/>
      <c r="ER433" s="504"/>
      <c r="ES433" s="504"/>
      <c r="ET433" s="504"/>
      <c r="EU433" s="504"/>
      <c r="EV433" s="504"/>
      <c r="EW433" s="504"/>
      <c r="EX433" s="504"/>
      <c r="EY433" s="504"/>
      <c r="EZ433" s="504"/>
      <c r="FA433" s="504"/>
      <c r="FB433" s="504"/>
      <c r="FC433" s="504"/>
      <c r="FD433" s="504"/>
      <c r="FE433" s="504"/>
      <c r="FF433" s="504"/>
      <c r="FG433" s="505"/>
    </row>
    <row r="434" spans="1:163" s="4" customFormat="1">
      <c r="A434" s="56"/>
      <c r="B434" s="56"/>
      <c r="C434" s="498"/>
      <c r="D434" s="498" t="s">
        <v>3838</v>
      </c>
      <c r="E434" s="454"/>
      <c r="F434" s="454"/>
      <c r="G434" s="454"/>
      <c r="H434" s="454"/>
      <c r="I434" s="454"/>
      <c r="J434" s="454"/>
      <c r="K434" s="454"/>
      <c r="L434" s="454"/>
      <c r="M434" s="454"/>
      <c r="N434" s="454"/>
      <c r="O434" s="454"/>
      <c r="P434" s="454"/>
      <c r="Q434" s="454"/>
      <c r="R434" s="290"/>
      <c r="S434" s="290"/>
      <c r="T434" s="454"/>
      <c r="U434" s="454" t="s">
        <v>2990</v>
      </c>
      <c r="V434" s="454"/>
      <c r="W434" s="454"/>
      <c r="X434" s="454"/>
      <c r="Y434" s="454"/>
      <c r="Z434" s="454"/>
      <c r="AA434" s="454"/>
      <c r="AB434" s="454"/>
      <c r="AC434" s="454"/>
      <c r="AD434" s="454"/>
      <c r="AE434" s="454"/>
      <c r="AF434" s="454"/>
      <c r="AG434" s="454"/>
      <c r="AH434" s="454"/>
      <c r="AI434" s="454"/>
      <c r="AJ434" s="454"/>
      <c r="AK434" s="454"/>
      <c r="AL434" s="454"/>
      <c r="AM434" s="454"/>
      <c r="AN434" s="454"/>
      <c r="AO434" s="454"/>
      <c r="AP434" s="454"/>
      <c r="AQ434" s="454"/>
      <c r="AR434" s="454"/>
      <c r="AS434" s="454"/>
      <c r="AT434" s="454"/>
      <c r="AU434" s="454"/>
      <c r="AV434" s="454"/>
      <c r="AW434" s="454"/>
      <c r="AX434" s="454"/>
      <c r="AY434" s="454"/>
      <c r="AZ434" s="454"/>
      <c r="BA434" s="454"/>
      <c r="BB434" s="454"/>
      <c r="BC434" s="454"/>
      <c r="BD434" s="454"/>
      <c r="BE434" s="454"/>
      <c r="BF434" s="454"/>
      <c r="BG434" s="454"/>
      <c r="BH434" s="454"/>
      <c r="BI434" s="454"/>
      <c r="BJ434" s="454"/>
      <c r="BK434" s="454"/>
      <c r="BL434" s="454"/>
      <c r="BM434" s="454"/>
      <c r="BN434" s="454"/>
      <c r="BO434" s="454"/>
      <c r="BP434" s="454"/>
      <c r="BQ434" s="454"/>
      <c r="BR434" s="454"/>
      <c r="BS434" s="454"/>
      <c r="BT434" s="454"/>
      <c r="BU434" s="454"/>
      <c r="BV434" s="454"/>
      <c r="BW434" s="454"/>
      <c r="BX434" s="454"/>
      <c r="BY434" s="454"/>
      <c r="BZ434" s="454"/>
      <c r="CA434" s="454"/>
      <c r="CB434" s="454"/>
      <c r="CC434" s="454"/>
      <c r="CD434" s="454"/>
      <c r="CE434" s="454"/>
      <c r="CF434" s="454"/>
      <c r="CG434" s="454"/>
      <c r="CH434" s="454"/>
      <c r="CI434" s="454"/>
      <c r="CJ434" s="454"/>
      <c r="CK434" s="454"/>
      <c r="CL434" s="454"/>
      <c r="CM434" s="454"/>
      <c r="CN434" s="454"/>
      <c r="CO434" s="454"/>
      <c r="CP434" s="454"/>
      <c r="CQ434" s="454"/>
      <c r="CR434" s="454"/>
      <c r="CS434" s="454"/>
      <c r="CT434" s="454"/>
      <c r="CU434" s="454"/>
      <c r="CV434" s="517"/>
      <c r="CW434" s="517"/>
      <c r="CX434" s="517"/>
      <c r="CY434" s="517"/>
      <c r="CZ434" s="517"/>
      <c r="DA434" s="517"/>
      <c r="DB434" s="517"/>
      <c r="DC434" s="517"/>
      <c r="DD434" s="517">
        <f>E434</f>
        <v>0</v>
      </c>
      <c r="DE434" s="517"/>
      <c r="DF434" s="517"/>
      <c r="DG434" s="517"/>
      <c r="DH434" s="517"/>
      <c r="DI434" s="454"/>
      <c r="DJ434" s="454"/>
      <c r="DK434" s="454"/>
      <c r="DL434" s="454"/>
      <c r="DM434" s="454"/>
      <c r="DN434" s="454"/>
      <c r="DO434" s="454"/>
      <c r="DP434" s="454"/>
      <c r="DQ434" s="454"/>
      <c r="DR434" s="454">
        <v>1</v>
      </c>
      <c r="DS434" s="454"/>
      <c r="DT434" s="454"/>
      <c r="DU434" s="454"/>
      <c r="DV434" s="454"/>
      <c r="DW434" s="454"/>
      <c r="DX434" s="454"/>
      <c r="DY434" s="454"/>
      <c r="DZ434" s="454">
        <f>DN434</f>
        <v>0</v>
      </c>
      <c r="EA434" s="454"/>
      <c r="EB434" s="454"/>
      <c r="EC434" s="454"/>
      <c r="ED434" s="454">
        <v>1</v>
      </c>
      <c r="EE434" s="454"/>
      <c r="EF434" s="454"/>
      <c r="EG434" s="454"/>
      <c r="EH434" s="454"/>
      <c r="EI434" s="454"/>
      <c r="EJ434" s="454"/>
      <c r="EK434" s="454"/>
      <c r="EL434" s="454"/>
      <c r="EM434" s="454"/>
      <c r="EN434" s="454"/>
      <c r="EO434" s="454"/>
      <c r="EP434" s="454"/>
      <c r="EQ434" s="454"/>
      <c r="ER434" s="454"/>
      <c r="ES434" s="454"/>
      <c r="ET434" s="454"/>
      <c r="EU434" s="454"/>
      <c r="EV434" s="454"/>
      <c r="EW434" s="454"/>
      <c r="EX434" s="454"/>
      <c r="EY434" s="454"/>
      <c r="EZ434" s="454"/>
      <c r="FA434" s="454"/>
      <c r="FB434" s="454"/>
      <c r="FC434" s="454"/>
      <c r="FD434" s="454"/>
      <c r="FE434" s="454"/>
      <c r="FF434" s="454"/>
      <c r="FG434" s="290"/>
    </row>
    <row r="435" spans="1:163" s="4" customFormat="1">
      <c r="A435" s="56"/>
      <c r="B435" s="56"/>
      <c r="C435" s="498" t="s">
        <v>3632</v>
      </c>
      <c r="D435" s="498"/>
      <c r="E435" s="454">
        <v>26</v>
      </c>
      <c r="F435" s="454"/>
      <c r="G435" s="454"/>
      <c r="H435" s="454"/>
      <c r="I435" s="454"/>
      <c r="J435" s="454"/>
      <c r="K435" s="454"/>
      <c r="L435" s="454"/>
      <c r="M435" s="454"/>
      <c r="N435" s="454"/>
      <c r="O435" s="454"/>
      <c r="P435" s="454"/>
      <c r="Q435" s="454"/>
      <c r="R435" s="290"/>
      <c r="S435" s="290"/>
      <c r="T435" s="454"/>
      <c r="U435" s="454" t="s">
        <v>2989</v>
      </c>
      <c r="V435" s="454"/>
      <c r="W435" s="454"/>
      <c r="X435" s="454"/>
      <c r="Y435" s="454"/>
      <c r="Z435" s="454"/>
      <c r="AA435" s="454"/>
      <c r="AB435" s="454"/>
      <c r="AC435" s="454"/>
      <c r="AD435" s="454"/>
      <c r="AE435" s="454"/>
      <c r="AF435" s="454"/>
      <c r="AG435" s="454"/>
      <c r="AH435" s="454"/>
      <c r="AI435" s="454"/>
      <c r="AJ435" s="454"/>
      <c r="AK435" s="454"/>
      <c r="AL435" s="454"/>
      <c r="AM435" s="454"/>
      <c r="AN435" s="454"/>
      <c r="AO435" s="454"/>
      <c r="AP435" s="454"/>
      <c r="AQ435" s="454"/>
      <c r="AR435" s="454"/>
      <c r="AS435" s="454"/>
      <c r="AT435" s="454"/>
      <c r="AU435" s="454"/>
      <c r="AV435" s="454"/>
      <c r="AW435" s="454"/>
      <c r="AX435" s="454"/>
      <c r="AY435" s="454"/>
      <c r="AZ435" s="454"/>
      <c r="BA435" s="454"/>
      <c r="BB435" s="454"/>
      <c r="BC435" s="454"/>
      <c r="BD435" s="454"/>
      <c r="BE435" s="454"/>
      <c r="BF435" s="454"/>
      <c r="BG435" s="454"/>
      <c r="BH435" s="454"/>
      <c r="BI435" s="454"/>
      <c r="BJ435" s="454"/>
      <c r="BK435" s="454"/>
      <c r="BL435" s="454"/>
      <c r="BM435" s="454"/>
      <c r="BN435" s="454"/>
      <c r="BO435" s="454"/>
      <c r="BP435" s="454"/>
      <c r="BQ435" s="454"/>
      <c r="BR435" s="454"/>
      <c r="BS435" s="454"/>
      <c r="BT435" s="454"/>
      <c r="BU435" s="454"/>
      <c r="BV435" s="454"/>
      <c r="BW435" s="454"/>
      <c r="BX435" s="454"/>
      <c r="BY435" s="454"/>
      <c r="BZ435" s="454"/>
      <c r="CA435" s="454"/>
      <c r="CB435" s="454"/>
      <c r="CC435" s="454"/>
      <c r="CD435" s="454"/>
      <c r="CE435" s="454"/>
      <c r="CF435" s="454"/>
      <c r="CG435" s="454"/>
      <c r="CH435" s="454"/>
      <c r="CI435" s="454"/>
      <c r="CJ435" s="454"/>
      <c r="CK435" s="454"/>
      <c r="CL435" s="454"/>
      <c r="CM435" s="454"/>
      <c r="CN435" s="454"/>
      <c r="CO435" s="454"/>
      <c r="CP435" s="454"/>
      <c r="CQ435" s="454"/>
      <c r="CR435" s="454"/>
      <c r="CS435" s="454"/>
      <c r="CT435" s="454"/>
      <c r="CU435" s="454"/>
      <c r="CV435" s="517"/>
      <c r="CW435" s="517"/>
      <c r="CX435" s="517"/>
      <c r="CY435" s="517"/>
      <c r="CZ435" s="517"/>
      <c r="DA435" s="517"/>
      <c r="DB435" s="517"/>
      <c r="DC435" s="517"/>
      <c r="DD435" s="517">
        <f t="shared" ref="DD435:DD448" si="69">E435</f>
        <v>26</v>
      </c>
      <c r="DE435" s="517"/>
      <c r="DF435" s="517"/>
      <c r="DG435" s="517"/>
      <c r="DH435" s="517"/>
      <c r="DI435" s="454"/>
      <c r="DJ435" s="454"/>
      <c r="DK435" s="454"/>
      <c r="DL435" s="454"/>
      <c r="DM435" s="454"/>
      <c r="DN435" s="454"/>
      <c r="DO435" s="454"/>
      <c r="DP435" s="454"/>
      <c r="DQ435" s="454"/>
      <c r="DR435" s="454">
        <v>2</v>
      </c>
      <c r="DS435" s="454"/>
      <c r="DT435" s="454"/>
      <c r="DU435" s="454"/>
      <c r="DV435" s="454"/>
      <c r="DW435" s="454"/>
      <c r="DX435" s="454"/>
      <c r="DY435" s="454"/>
      <c r="DZ435" s="454">
        <f t="shared" ref="DZ435:DZ448" si="70">DN435</f>
        <v>0</v>
      </c>
      <c r="EA435" s="454"/>
      <c r="EB435" s="454"/>
      <c r="EC435" s="454"/>
      <c r="ED435" s="454">
        <v>2</v>
      </c>
      <c r="EE435" s="454"/>
      <c r="EF435" s="454"/>
      <c r="EG435" s="454"/>
      <c r="EH435" s="454"/>
      <c r="EI435" s="454"/>
      <c r="EJ435" s="454"/>
      <c r="EK435" s="454"/>
      <c r="EL435" s="454"/>
      <c r="EM435" s="454"/>
      <c r="EN435" s="454"/>
      <c r="EO435" s="454"/>
      <c r="EP435" s="454"/>
      <c r="EQ435" s="454"/>
      <c r="ER435" s="454"/>
      <c r="ES435" s="454"/>
      <c r="ET435" s="454"/>
      <c r="EU435" s="454"/>
      <c r="EV435" s="454"/>
      <c r="EW435" s="454"/>
      <c r="EX435" s="454"/>
      <c r="EY435" s="454"/>
      <c r="EZ435" s="454"/>
      <c r="FA435" s="454"/>
      <c r="FB435" s="454"/>
      <c r="FC435" s="454"/>
      <c r="FD435" s="454"/>
      <c r="FE435" s="454"/>
      <c r="FF435" s="454"/>
      <c r="FG435" s="290"/>
    </row>
    <row r="436" spans="1:163" s="4" customFormat="1">
      <c r="A436" s="56"/>
      <c r="B436" s="56"/>
      <c r="C436" s="498" t="s">
        <v>3633</v>
      </c>
      <c r="D436" s="498"/>
      <c r="E436" s="454">
        <v>37.200000000000003</v>
      </c>
      <c r="F436" s="454"/>
      <c r="G436" s="454"/>
      <c r="H436" s="454"/>
      <c r="I436" s="454"/>
      <c r="J436" s="454"/>
      <c r="K436" s="454"/>
      <c r="L436" s="454"/>
      <c r="M436" s="454"/>
      <c r="N436" s="454"/>
      <c r="O436" s="454"/>
      <c r="P436" s="454"/>
      <c r="Q436" s="454"/>
      <c r="R436" s="290"/>
      <c r="S436" s="290"/>
      <c r="T436" s="454"/>
      <c r="U436" s="454" t="s">
        <v>1631</v>
      </c>
      <c r="V436" s="454"/>
      <c r="W436" s="454"/>
      <c r="X436" s="454"/>
      <c r="Y436" s="454"/>
      <c r="Z436" s="454"/>
      <c r="AA436" s="454"/>
      <c r="AB436" s="454"/>
      <c r="AC436" s="454"/>
      <c r="AD436" s="454"/>
      <c r="AE436" s="454"/>
      <c r="AF436" s="454"/>
      <c r="AG436" s="454"/>
      <c r="AH436" s="454"/>
      <c r="AI436" s="454"/>
      <c r="AJ436" s="454"/>
      <c r="AK436" s="454"/>
      <c r="AL436" s="454"/>
      <c r="AM436" s="454"/>
      <c r="AN436" s="454"/>
      <c r="AO436" s="454"/>
      <c r="AP436" s="454"/>
      <c r="AQ436" s="454"/>
      <c r="AR436" s="454"/>
      <c r="AS436" s="454"/>
      <c r="AT436" s="454"/>
      <c r="AU436" s="454"/>
      <c r="AV436" s="454"/>
      <c r="AW436" s="454"/>
      <c r="AX436" s="454"/>
      <c r="AY436" s="454"/>
      <c r="AZ436" s="454"/>
      <c r="BA436" s="454"/>
      <c r="BB436" s="454"/>
      <c r="BC436" s="454"/>
      <c r="BD436" s="454"/>
      <c r="BE436" s="454"/>
      <c r="BF436" s="454"/>
      <c r="BG436" s="454"/>
      <c r="BH436" s="454"/>
      <c r="BI436" s="454"/>
      <c r="BJ436" s="454"/>
      <c r="BK436" s="454"/>
      <c r="BL436" s="454"/>
      <c r="BM436" s="454"/>
      <c r="BN436" s="454"/>
      <c r="BO436" s="454"/>
      <c r="BP436" s="454"/>
      <c r="BQ436" s="454"/>
      <c r="BR436" s="454"/>
      <c r="BS436" s="454"/>
      <c r="BT436" s="454"/>
      <c r="BU436" s="454"/>
      <c r="BV436" s="454"/>
      <c r="BW436" s="454"/>
      <c r="BX436" s="454"/>
      <c r="BY436" s="454"/>
      <c r="BZ436" s="454"/>
      <c r="CA436" s="454"/>
      <c r="CB436" s="454"/>
      <c r="CC436" s="454"/>
      <c r="CD436" s="454"/>
      <c r="CE436" s="454"/>
      <c r="CF436" s="454"/>
      <c r="CG436" s="454"/>
      <c r="CH436" s="454"/>
      <c r="CI436" s="454"/>
      <c r="CJ436" s="454"/>
      <c r="CK436" s="454"/>
      <c r="CL436" s="454"/>
      <c r="CM436" s="454"/>
      <c r="CN436" s="454"/>
      <c r="CO436" s="454"/>
      <c r="CP436" s="454"/>
      <c r="CQ436" s="454"/>
      <c r="CR436" s="454"/>
      <c r="CS436" s="454"/>
      <c r="CT436" s="454"/>
      <c r="CU436" s="454"/>
      <c r="CV436" s="517"/>
      <c r="CW436" s="517"/>
      <c r="CX436" s="517"/>
      <c r="CY436" s="517"/>
      <c r="CZ436" s="517"/>
      <c r="DA436" s="517"/>
      <c r="DB436" s="517"/>
      <c r="DC436" s="517"/>
      <c r="DD436" s="517">
        <f t="shared" si="69"/>
        <v>37.200000000000003</v>
      </c>
      <c r="DE436" s="517"/>
      <c r="DF436" s="517"/>
      <c r="DG436" s="517"/>
      <c r="DH436" s="517"/>
      <c r="DI436" s="454"/>
      <c r="DJ436" s="454"/>
      <c r="DK436" s="454"/>
      <c r="DL436" s="454"/>
      <c r="DM436" s="454"/>
      <c r="DN436" s="454">
        <v>1</v>
      </c>
      <c r="DO436" s="454">
        <v>3</v>
      </c>
      <c r="DP436" s="454">
        <v>3</v>
      </c>
      <c r="DQ436" s="454">
        <v>1</v>
      </c>
      <c r="DR436" s="454"/>
      <c r="DS436" s="454"/>
      <c r="DT436" s="454"/>
      <c r="DU436" s="454"/>
      <c r="DV436" s="454"/>
      <c r="DW436" s="454"/>
      <c r="DX436" s="454"/>
      <c r="DY436" s="454"/>
      <c r="DZ436" s="454">
        <f t="shared" si="70"/>
        <v>1</v>
      </c>
      <c r="EA436" s="454"/>
      <c r="EB436" s="454"/>
      <c r="EC436" s="454"/>
      <c r="ED436" s="454">
        <v>1</v>
      </c>
      <c r="EE436" s="454"/>
      <c r="EF436" s="454"/>
      <c r="EG436" s="454"/>
      <c r="EH436" s="454"/>
      <c r="EI436" s="454"/>
      <c r="EJ436" s="454"/>
      <c r="EK436" s="454"/>
      <c r="EL436" s="454"/>
      <c r="EM436" s="454"/>
      <c r="EN436" s="454"/>
      <c r="EO436" s="454"/>
      <c r="EP436" s="454"/>
      <c r="EQ436" s="454"/>
      <c r="ER436" s="454"/>
      <c r="ES436" s="454"/>
      <c r="ET436" s="454"/>
      <c r="EU436" s="454"/>
      <c r="EV436" s="454"/>
      <c r="EW436" s="454"/>
      <c r="EX436" s="454"/>
      <c r="EY436" s="454"/>
      <c r="EZ436" s="454"/>
      <c r="FA436" s="454"/>
      <c r="FB436" s="454"/>
      <c r="FC436" s="454"/>
      <c r="FD436" s="454"/>
      <c r="FE436" s="454"/>
      <c r="FF436" s="454"/>
      <c r="FG436" s="290"/>
    </row>
    <row r="437" spans="1:163" s="4" customFormat="1">
      <c r="A437" s="56"/>
      <c r="B437" s="56"/>
      <c r="C437" s="498" t="s">
        <v>3634</v>
      </c>
      <c r="D437" s="498"/>
      <c r="E437" s="454">
        <v>37.6</v>
      </c>
      <c r="F437" s="454"/>
      <c r="G437" s="454"/>
      <c r="H437" s="454"/>
      <c r="I437" s="454"/>
      <c r="J437" s="454"/>
      <c r="K437" s="454"/>
      <c r="L437" s="454"/>
      <c r="M437" s="454"/>
      <c r="N437" s="454"/>
      <c r="O437" s="454"/>
      <c r="P437" s="454"/>
      <c r="Q437" s="454"/>
      <c r="R437" s="290"/>
      <c r="S437" s="290"/>
      <c r="T437" s="454"/>
      <c r="U437" s="454" t="s">
        <v>1631</v>
      </c>
      <c r="V437" s="454"/>
      <c r="W437" s="454"/>
      <c r="X437" s="454"/>
      <c r="Y437" s="454"/>
      <c r="Z437" s="454"/>
      <c r="AA437" s="454"/>
      <c r="AB437" s="454"/>
      <c r="AC437" s="454"/>
      <c r="AD437" s="454"/>
      <c r="AE437" s="454"/>
      <c r="AF437" s="454"/>
      <c r="AG437" s="454"/>
      <c r="AH437" s="454"/>
      <c r="AI437" s="454"/>
      <c r="AJ437" s="454"/>
      <c r="AK437" s="454"/>
      <c r="AL437" s="454"/>
      <c r="AM437" s="454"/>
      <c r="AN437" s="454"/>
      <c r="AO437" s="454"/>
      <c r="AP437" s="454"/>
      <c r="AQ437" s="454"/>
      <c r="AR437" s="454"/>
      <c r="AS437" s="454"/>
      <c r="AT437" s="454"/>
      <c r="AU437" s="454"/>
      <c r="AV437" s="454"/>
      <c r="AW437" s="454"/>
      <c r="AX437" s="454"/>
      <c r="AY437" s="454"/>
      <c r="AZ437" s="454"/>
      <c r="BA437" s="454"/>
      <c r="BB437" s="454"/>
      <c r="BC437" s="454"/>
      <c r="BD437" s="454"/>
      <c r="BE437" s="454"/>
      <c r="BF437" s="454"/>
      <c r="BG437" s="454"/>
      <c r="BH437" s="454"/>
      <c r="BI437" s="454"/>
      <c r="BJ437" s="454"/>
      <c r="BK437" s="454"/>
      <c r="BL437" s="454"/>
      <c r="BM437" s="454"/>
      <c r="BN437" s="454"/>
      <c r="BO437" s="454"/>
      <c r="BP437" s="454"/>
      <c r="BQ437" s="454"/>
      <c r="BR437" s="454"/>
      <c r="BS437" s="454"/>
      <c r="BT437" s="454"/>
      <c r="BU437" s="454"/>
      <c r="BV437" s="454"/>
      <c r="BW437" s="454"/>
      <c r="BX437" s="454"/>
      <c r="BY437" s="454"/>
      <c r="BZ437" s="454"/>
      <c r="CA437" s="454"/>
      <c r="CB437" s="454"/>
      <c r="CC437" s="454"/>
      <c r="CD437" s="454"/>
      <c r="CE437" s="454"/>
      <c r="CF437" s="454"/>
      <c r="CG437" s="454"/>
      <c r="CH437" s="454"/>
      <c r="CI437" s="454"/>
      <c r="CJ437" s="454"/>
      <c r="CK437" s="454"/>
      <c r="CL437" s="454"/>
      <c r="CM437" s="454"/>
      <c r="CN437" s="454"/>
      <c r="CO437" s="454"/>
      <c r="CP437" s="454"/>
      <c r="CQ437" s="454"/>
      <c r="CR437" s="454"/>
      <c r="CS437" s="454"/>
      <c r="CT437" s="454"/>
      <c r="CU437" s="454"/>
      <c r="CV437" s="517"/>
      <c r="CW437" s="517"/>
      <c r="CX437" s="517"/>
      <c r="CY437" s="517"/>
      <c r="CZ437" s="517"/>
      <c r="DA437" s="517"/>
      <c r="DB437" s="517"/>
      <c r="DC437" s="517"/>
      <c r="DD437" s="517">
        <f t="shared" si="69"/>
        <v>37.6</v>
      </c>
      <c r="DE437" s="517"/>
      <c r="DF437" s="517"/>
      <c r="DG437" s="517"/>
      <c r="DH437" s="517"/>
      <c r="DI437" s="454"/>
      <c r="DJ437" s="454"/>
      <c r="DK437" s="454"/>
      <c r="DL437" s="454"/>
      <c r="DM437" s="454"/>
      <c r="DN437" s="454"/>
      <c r="DO437" s="454"/>
      <c r="DP437" s="454"/>
      <c r="DQ437" s="454">
        <v>1</v>
      </c>
      <c r="DR437" s="454"/>
      <c r="DS437" s="454"/>
      <c r="DT437" s="454"/>
      <c r="DU437" s="454"/>
      <c r="DV437" s="454"/>
      <c r="DW437" s="454"/>
      <c r="DX437" s="454"/>
      <c r="DY437" s="454"/>
      <c r="DZ437" s="454">
        <f t="shared" si="70"/>
        <v>0</v>
      </c>
      <c r="EA437" s="454"/>
      <c r="EB437" s="454"/>
      <c r="EC437" s="454"/>
      <c r="ED437" s="454">
        <v>1</v>
      </c>
      <c r="EE437" s="454"/>
      <c r="EF437" s="454"/>
      <c r="EG437" s="454"/>
      <c r="EH437" s="454"/>
      <c r="EI437" s="454"/>
      <c r="EJ437" s="454"/>
      <c r="EK437" s="454"/>
      <c r="EL437" s="454"/>
      <c r="EM437" s="454"/>
      <c r="EN437" s="454"/>
      <c r="EO437" s="454"/>
      <c r="EP437" s="454"/>
      <c r="EQ437" s="454"/>
      <c r="ER437" s="454"/>
      <c r="ES437" s="454"/>
      <c r="ET437" s="454"/>
      <c r="EU437" s="454"/>
      <c r="EV437" s="454"/>
      <c r="EW437" s="454"/>
      <c r="EX437" s="454"/>
      <c r="EY437" s="454"/>
      <c r="EZ437" s="454"/>
      <c r="FA437" s="454"/>
      <c r="FB437" s="454"/>
      <c r="FC437" s="454"/>
      <c r="FD437" s="454"/>
      <c r="FE437" s="454"/>
      <c r="FF437" s="454"/>
      <c r="FG437" s="290"/>
    </row>
    <row r="438" spans="1:163" s="4" customFormat="1">
      <c r="A438" s="56"/>
      <c r="B438" s="56"/>
      <c r="C438" s="498" t="s">
        <v>3635</v>
      </c>
      <c r="D438" s="498"/>
      <c r="E438" s="454">
        <v>40.200000000000003</v>
      </c>
      <c r="F438" s="454"/>
      <c r="G438" s="454"/>
      <c r="H438" s="454"/>
      <c r="I438" s="454"/>
      <c r="J438" s="454"/>
      <c r="K438" s="454"/>
      <c r="L438" s="454"/>
      <c r="M438" s="454"/>
      <c r="N438" s="454"/>
      <c r="O438" s="454"/>
      <c r="P438" s="454"/>
      <c r="Q438" s="454"/>
      <c r="R438" s="290"/>
      <c r="S438" s="290"/>
      <c r="T438" s="454"/>
      <c r="U438" s="454" t="s">
        <v>2989</v>
      </c>
      <c r="V438" s="454"/>
      <c r="W438" s="454"/>
      <c r="X438" s="454"/>
      <c r="Y438" s="454"/>
      <c r="Z438" s="454"/>
      <c r="AA438" s="454"/>
      <c r="AB438" s="454"/>
      <c r="AC438" s="454"/>
      <c r="AD438" s="454"/>
      <c r="AE438" s="454"/>
      <c r="AF438" s="454"/>
      <c r="AG438" s="454"/>
      <c r="AH438" s="454"/>
      <c r="AI438" s="454"/>
      <c r="AJ438" s="454"/>
      <c r="AK438" s="454"/>
      <c r="AL438" s="454"/>
      <c r="AM438" s="454"/>
      <c r="AN438" s="454"/>
      <c r="AO438" s="454"/>
      <c r="AP438" s="454"/>
      <c r="AQ438" s="454"/>
      <c r="AR438" s="454"/>
      <c r="AS438" s="454"/>
      <c r="AT438" s="454"/>
      <c r="AU438" s="454"/>
      <c r="AV438" s="454"/>
      <c r="AW438" s="454"/>
      <c r="AX438" s="454"/>
      <c r="AY438" s="454"/>
      <c r="AZ438" s="454"/>
      <c r="BA438" s="454"/>
      <c r="BB438" s="454"/>
      <c r="BC438" s="454"/>
      <c r="BD438" s="454"/>
      <c r="BE438" s="454"/>
      <c r="BF438" s="454"/>
      <c r="BG438" s="454"/>
      <c r="BH438" s="454"/>
      <c r="BI438" s="454"/>
      <c r="BJ438" s="454"/>
      <c r="BK438" s="454"/>
      <c r="BL438" s="454"/>
      <c r="BM438" s="454"/>
      <c r="BN438" s="454"/>
      <c r="BO438" s="454"/>
      <c r="BP438" s="454"/>
      <c r="BQ438" s="454"/>
      <c r="BR438" s="454"/>
      <c r="BS438" s="454"/>
      <c r="BT438" s="454"/>
      <c r="BU438" s="454"/>
      <c r="BV438" s="454"/>
      <c r="BW438" s="454"/>
      <c r="BX438" s="454"/>
      <c r="BY438" s="454"/>
      <c r="BZ438" s="454"/>
      <c r="CA438" s="454"/>
      <c r="CB438" s="454"/>
      <c r="CC438" s="454"/>
      <c r="CD438" s="454"/>
      <c r="CE438" s="454"/>
      <c r="CF438" s="454"/>
      <c r="CG438" s="454"/>
      <c r="CH438" s="454"/>
      <c r="CI438" s="454"/>
      <c r="CJ438" s="454"/>
      <c r="CK438" s="454"/>
      <c r="CL438" s="454"/>
      <c r="CM438" s="454"/>
      <c r="CN438" s="454"/>
      <c r="CO438" s="454"/>
      <c r="CP438" s="454"/>
      <c r="CQ438" s="454"/>
      <c r="CR438" s="454"/>
      <c r="CS438" s="454"/>
      <c r="CT438" s="454"/>
      <c r="CU438" s="454"/>
      <c r="CV438" s="517"/>
      <c r="CW438" s="517"/>
      <c r="CX438" s="517"/>
      <c r="CY438" s="517"/>
      <c r="CZ438" s="517"/>
      <c r="DA438" s="517"/>
      <c r="DB438" s="517"/>
      <c r="DC438" s="517"/>
      <c r="DD438" s="517">
        <f t="shared" si="69"/>
        <v>40.200000000000003</v>
      </c>
      <c r="DE438" s="517"/>
      <c r="DF438" s="517"/>
      <c r="DG438" s="517"/>
      <c r="DH438" s="517"/>
      <c r="DI438" s="454"/>
      <c r="DJ438" s="454"/>
      <c r="DK438" s="454"/>
      <c r="DL438" s="454"/>
      <c r="DM438" s="454"/>
      <c r="DN438" s="454">
        <v>1</v>
      </c>
      <c r="DO438" s="454">
        <v>3</v>
      </c>
      <c r="DP438" s="454">
        <v>6</v>
      </c>
      <c r="DQ438" s="454"/>
      <c r="DR438" s="454">
        <v>2</v>
      </c>
      <c r="DS438" s="454"/>
      <c r="DT438" s="454"/>
      <c r="DU438" s="454"/>
      <c r="DV438" s="454"/>
      <c r="DW438" s="454"/>
      <c r="DX438" s="454"/>
      <c r="DY438" s="454"/>
      <c r="DZ438" s="454">
        <f t="shared" si="70"/>
        <v>1</v>
      </c>
      <c r="EA438" s="454"/>
      <c r="EB438" s="454"/>
      <c r="EC438" s="454"/>
      <c r="ED438" s="454">
        <v>2</v>
      </c>
      <c r="EE438" s="454"/>
      <c r="EF438" s="454"/>
      <c r="EG438" s="454"/>
      <c r="EH438" s="454"/>
      <c r="EI438" s="454"/>
      <c r="EJ438" s="454"/>
      <c r="EK438" s="454"/>
      <c r="EL438" s="454"/>
      <c r="EM438" s="454"/>
      <c r="EN438" s="454"/>
      <c r="EO438" s="454"/>
      <c r="EP438" s="454"/>
      <c r="EQ438" s="454"/>
      <c r="ER438" s="454"/>
      <c r="ES438" s="454"/>
      <c r="ET438" s="454"/>
      <c r="EU438" s="454"/>
      <c r="EV438" s="454"/>
      <c r="EW438" s="454"/>
      <c r="EX438" s="454"/>
      <c r="EY438" s="454"/>
      <c r="EZ438" s="454"/>
      <c r="FA438" s="454"/>
      <c r="FB438" s="454"/>
      <c r="FC438" s="454"/>
      <c r="FD438" s="454"/>
      <c r="FE438" s="454"/>
      <c r="FF438" s="454"/>
      <c r="FG438" s="290"/>
    </row>
    <row r="439" spans="1:163" s="4" customFormat="1">
      <c r="A439" s="56"/>
      <c r="B439" s="56"/>
      <c r="C439" s="498" t="s">
        <v>3636</v>
      </c>
      <c r="D439" s="498"/>
      <c r="E439" s="454">
        <v>28.5</v>
      </c>
      <c r="F439" s="454"/>
      <c r="G439" s="454"/>
      <c r="H439" s="454"/>
      <c r="I439" s="454"/>
      <c r="J439" s="454"/>
      <c r="K439" s="454"/>
      <c r="L439" s="454"/>
      <c r="M439" s="454"/>
      <c r="N439" s="454"/>
      <c r="O439" s="454"/>
      <c r="P439" s="454"/>
      <c r="Q439" s="454"/>
      <c r="R439" s="290"/>
      <c r="S439" s="290"/>
      <c r="T439" s="454"/>
      <c r="U439" s="454" t="s">
        <v>2989</v>
      </c>
      <c r="V439" s="454"/>
      <c r="W439" s="454"/>
      <c r="X439" s="454"/>
      <c r="Y439" s="454"/>
      <c r="Z439" s="454"/>
      <c r="AA439" s="454"/>
      <c r="AB439" s="454"/>
      <c r="AC439" s="454"/>
      <c r="AD439" s="454"/>
      <c r="AE439" s="454"/>
      <c r="AF439" s="454"/>
      <c r="AG439" s="454"/>
      <c r="AH439" s="454"/>
      <c r="AI439" s="454"/>
      <c r="AJ439" s="454"/>
      <c r="AK439" s="454"/>
      <c r="AL439" s="454"/>
      <c r="AM439" s="454"/>
      <c r="AN439" s="454"/>
      <c r="AO439" s="454"/>
      <c r="AP439" s="454"/>
      <c r="AQ439" s="454"/>
      <c r="AR439" s="454"/>
      <c r="AS439" s="454"/>
      <c r="AT439" s="454"/>
      <c r="AU439" s="454"/>
      <c r="AV439" s="454"/>
      <c r="AW439" s="454"/>
      <c r="AX439" s="454"/>
      <c r="AY439" s="454"/>
      <c r="AZ439" s="454"/>
      <c r="BA439" s="454"/>
      <c r="BB439" s="454"/>
      <c r="BC439" s="454"/>
      <c r="BD439" s="454"/>
      <c r="BE439" s="454"/>
      <c r="BF439" s="454"/>
      <c r="BG439" s="454"/>
      <c r="BH439" s="454"/>
      <c r="BI439" s="454"/>
      <c r="BJ439" s="454"/>
      <c r="BK439" s="454"/>
      <c r="BL439" s="454"/>
      <c r="BM439" s="454"/>
      <c r="BN439" s="454"/>
      <c r="BO439" s="454"/>
      <c r="BP439" s="454"/>
      <c r="BQ439" s="454"/>
      <c r="BR439" s="454"/>
      <c r="BS439" s="454"/>
      <c r="BT439" s="454"/>
      <c r="BU439" s="454"/>
      <c r="BV439" s="454"/>
      <c r="BW439" s="454"/>
      <c r="BX439" s="454"/>
      <c r="BY439" s="454"/>
      <c r="BZ439" s="454"/>
      <c r="CA439" s="454"/>
      <c r="CB439" s="454"/>
      <c r="CC439" s="454"/>
      <c r="CD439" s="454"/>
      <c r="CE439" s="454"/>
      <c r="CF439" s="454"/>
      <c r="CG439" s="454"/>
      <c r="CH439" s="454"/>
      <c r="CI439" s="454"/>
      <c r="CJ439" s="454"/>
      <c r="CK439" s="454"/>
      <c r="CL439" s="454"/>
      <c r="CM439" s="454"/>
      <c r="CN439" s="454"/>
      <c r="CO439" s="454"/>
      <c r="CP439" s="454"/>
      <c r="CQ439" s="454"/>
      <c r="CR439" s="454"/>
      <c r="CS439" s="454"/>
      <c r="CT439" s="454"/>
      <c r="CU439" s="454"/>
      <c r="CV439" s="517"/>
      <c r="CW439" s="517"/>
      <c r="CX439" s="517"/>
      <c r="CY439" s="517"/>
      <c r="CZ439" s="517"/>
      <c r="DA439" s="517"/>
      <c r="DB439" s="517"/>
      <c r="DC439" s="517"/>
      <c r="DD439" s="517">
        <f t="shared" si="69"/>
        <v>28.5</v>
      </c>
      <c r="DE439" s="517"/>
      <c r="DF439" s="517"/>
      <c r="DG439" s="517"/>
      <c r="DH439" s="517"/>
      <c r="DI439" s="454"/>
      <c r="DJ439" s="454"/>
      <c r="DK439" s="454"/>
      <c r="DL439" s="454"/>
      <c r="DM439" s="454"/>
      <c r="DN439" s="454"/>
      <c r="DO439" s="454"/>
      <c r="DP439" s="454"/>
      <c r="DQ439" s="454"/>
      <c r="DR439" s="454">
        <v>2</v>
      </c>
      <c r="DS439" s="454"/>
      <c r="DT439" s="454"/>
      <c r="DU439" s="454"/>
      <c r="DV439" s="454"/>
      <c r="DW439" s="454"/>
      <c r="DX439" s="454"/>
      <c r="DY439" s="454"/>
      <c r="DZ439" s="454">
        <f t="shared" si="70"/>
        <v>0</v>
      </c>
      <c r="EA439" s="454"/>
      <c r="EB439" s="454"/>
      <c r="EC439" s="454"/>
      <c r="ED439" s="454">
        <v>2</v>
      </c>
      <c r="EE439" s="454"/>
      <c r="EF439" s="454"/>
      <c r="EG439" s="454"/>
      <c r="EH439" s="454"/>
      <c r="EI439" s="454"/>
      <c r="EJ439" s="454"/>
      <c r="EK439" s="454"/>
      <c r="EL439" s="454"/>
      <c r="EM439" s="454"/>
      <c r="EN439" s="454"/>
      <c r="EO439" s="454"/>
      <c r="EP439" s="454"/>
      <c r="EQ439" s="454"/>
      <c r="ER439" s="454"/>
      <c r="ES439" s="454"/>
      <c r="ET439" s="454"/>
      <c r="EU439" s="454"/>
      <c r="EV439" s="454"/>
      <c r="EW439" s="454"/>
      <c r="EX439" s="454"/>
      <c r="EY439" s="454"/>
      <c r="EZ439" s="454"/>
      <c r="FA439" s="454"/>
      <c r="FB439" s="454"/>
      <c r="FC439" s="454"/>
      <c r="FD439" s="454"/>
      <c r="FE439" s="454"/>
      <c r="FF439" s="454"/>
      <c r="FG439" s="290"/>
    </row>
    <row r="440" spans="1:163" s="4" customFormat="1">
      <c r="A440" s="56"/>
      <c r="B440" s="56"/>
      <c r="C440" s="498" t="s">
        <v>3637</v>
      </c>
      <c r="D440" s="498"/>
      <c r="E440" s="454">
        <v>38.1</v>
      </c>
      <c r="F440" s="454"/>
      <c r="G440" s="454"/>
      <c r="H440" s="454"/>
      <c r="I440" s="454"/>
      <c r="J440" s="454"/>
      <c r="K440" s="454"/>
      <c r="L440" s="454"/>
      <c r="M440" s="454"/>
      <c r="N440" s="454"/>
      <c r="O440" s="454"/>
      <c r="P440" s="454"/>
      <c r="Q440" s="454"/>
      <c r="R440" s="290"/>
      <c r="S440" s="290"/>
      <c r="T440" s="454"/>
      <c r="U440" s="454" t="s">
        <v>1631</v>
      </c>
      <c r="V440" s="454"/>
      <c r="W440" s="454"/>
      <c r="X440" s="454"/>
      <c r="Y440" s="454"/>
      <c r="Z440" s="454"/>
      <c r="AA440" s="454"/>
      <c r="AB440" s="454"/>
      <c r="AC440" s="454"/>
      <c r="AD440" s="454"/>
      <c r="AE440" s="454"/>
      <c r="AF440" s="454"/>
      <c r="AG440" s="454"/>
      <c r="AH440" s="454"/>
      <c r="AI440" s="454"/>
      <c r="AJ440" s="454"/>
      <c r="AK440" s="454"/>
      <c r="AL440" s="454"/>
      <c r="AM440" s="454"/>
      <c r="AN440" s="454"/>
      <c r="AO440" s="454"/>
      <c r="AP440" s="454"/>
      <c r="AQ440" s="454"/>
      <c r="AR440" s="454"/>
      <c r="AS440" s="454"/>
      <c r="AT440" s="454"/>
      <c r="AU440" s="454"/>
      <c r="AV440" s="454"/>
      <c r="AW440" s="454"/>
      <c r="AX440" s="454"/>
      <c r="AY440" s="454"/>
      <c r="AZ440" s="454"/>
      <c r="BA440" s="454"/>
      <c r="BB440" s="454"/>
      <c r="BC440" s="454"/>
      <c r="BD440" s="454"/>
      <c r="BE440" s="454"/>
      <c r="BF440" s="454"/>
      <c r="BG440" s="454"/>
      <c r="BH440" s="454"/>
      <c r="BI440" s="454"/>
      <c r="BJ440" s="454"/>
      <c r="BK440" s="454"/>
      <c r="BL440" s="454"/>
      <c r="BM440" s="454"/>
      <c r="BN440" s="454"/>
      <c r="BO440" s="454"/>
      <c r="BP440" s="454"/>
      <c r="BQ440" s="454"/>
      <c r="BR440" s="454"/>
      <c r="BS440" s="454"/>
      <c r="BT440" s="454"/>
      <c r="BU440" s="454"/>
      <c r="BV440" s="454"/>
      <c r="BW440" s="454"/>
      <c r="BX440" s="454"/>
      <c r="BY440" s="454"/>
      <c r="BZ440" s="454"/>
      <c r="CA440" s="454"/>
      <c r="CB440" s="454"/>
      <c r="CC440" s="454"/>
      <c r="CD440" s="454"/>
      <c r="CE440" s="454"/>
      <c r="CF440" s="454"/>
      <c r="CG440" s="454"/>
      <c r="CH440" s="454"/>
      <c r="CI440" s="454"/>
      <c r="CJ440" s="454"/>
      <c r="CK440" s="454"/>
      <c r="CL440" s="454"/>
      <c r="CM440" s="454"/>
      <c r="CN440" s="454"/>
      <c r="CO440" s="454"/>
      <c r="CP440" s="454"/>
      <c r="CQ440" s="454"/>
      <c r="CR440" s="454"/>
      <c r="CS440" s="454"/>
      <c r="CT440" s="454"/>
      <c r="CU440" s="454"/>
      <c r="CV440" s="517"/>
      <c r="CW440" s="517"/>
      <c r="CX440" s="517"/>
      <c r="CY440" s="517"/>
      <c r="CZ440" s="517"/>
      <c r="DA440" s="517"/>
      <c r="DB440" s="517"/>
      <c r="DC440" s="517"/>
      <c r="DD440" s="517">
        <f t="shared" si="69"/>
        <v>38.1</v>
      </c>
      <c r="DE440" s="517"/>
      <c r="DF440" s="517"/>
      <c r="DG440" s="517"/>
      <c r="DH440" s="517"/>
      <c r="DI440" s="454"/>
      <c r="DJ440" s="454"/>
      <c r="DK440" s="454"/>
      <c r="DL440" s="454"/>
      <c r="DM440" s="454"/>
      <c r="DN440" s="454">
        <v>1</v>
      </c>
      <c r="DO440" s="454">
        <v>3</v>
      </c>
      <c r="DP440" s="454">
        <v>3</v>
      </c>
      <c r="DQ440" s="454">
        <v>1</v>
      </c>
      <c r="DR440" s="454"/>
      <c r="DS440" s="454"/>
      <c r="DT440" s="454"/>
      <c r="DU440" s="454"/>
      <c r="DV440" s="454"/>
      <c r="DW440" s="454"/>
      <c r="DX440" s="454"/>
      <c r="DY440" s="454"/>
      <c r="DZ440" s="454">
        <f t="shared" si="70"/>
        <v>1</v>
      </c>
      <c r="EA440" s="454"/>
      <c r="EB440" s="454"/>
      <c r="EC440" s="454"/>
      <c r="ED440" s="454">
        <v>1</v>
      </c>
      <c r="EE440" s="454"/>
      <c r="EF440" s="454"/>
      <c r="EG440" s="454"/>
      <c r="EH440" s="454"/>
      <c r="EI440" s="454"/>
      <c r="EJ440" s="454"/>
      <c r="EK440" s="454"/>
      <c r="EL440" s="454"/>
      <c r="EM440" s="454"/>
      <c r="EN440" s="454"/>
      <c r="EO440" s="454"/>
      <c r="EP440" s="454"/>
      <c r="EQ440" s="454"/>
      <c r="ER440" s="454"/>
      <c r="ES440" s="454"/>
      <c r="ET440" s="454"/>
      <c r="EU440" s="454"/>
      <c r="EV440" s="454"/>
      <c r="EW440" s="454"/>
      <c r="EX440" s="454"/>
      <c r="EY440" s="454"/>
      <c r="EZ440" s="454"/>
      <c r="FA440" s="454"/>
      <c r="FB440" s="454"/>
      <c r="FC440" s="454"/>
      <c r="FD440" s="454"/>
      <c r="FE440" s="454"/>
      <c r="FF440" s="454"/>
      <c r="FG440" s="290"/>
    </row>
    <row r="441" spans="1:163" s="4" customFormat="1">
      <c r="A441" s="56"/>
      <c r="B441" s="56"/>
      <c r="C441" s="498" t="s">
        <v>3638</v>
      </c>
      <c r="D441" s="498"/>
      <c r="E441" s="454">
        <v>37.6</v>
      </c>
      <c r="F441" s="454"/>
      <c r="G441" s="454"/>
      <c r="H441" s="454"/>
      <c r="I441" s="454"/>
      <c r="J441" s="454"/>
      <c r="K441" s="454"/>
      <c r="L441" s="454"/>
      <c r="M441" s="454"/>
      <c r="N441" s="454"/>
      <c r="O441" s="454"/>
      <c r="P441" s="454"/>
      <c r="Q441" s="454"/>
      <c r="R441" s="290"/>
      <c r="S441" s="290"/>
      <c r="T441" s="454"/>
      <c r="U441" s="454" t="s">
        <v>2989</v>
      </c>
      <c r="V441" s="454"/>
      <c r="W441" s="454"/>
      <c r="X441" s="454"/>
      <c r="Y441" s="454"/>
      <c r="Z441" s="454"/>
      <c r="AA441" s="454"/>
      <c r="AB441" s="454"/>
      <c r="AC441" s="454"/>
      <c r="AD441" s="454"/>
      <c r="AE441" s="454"/>
      <c r="AF441" s="454"/>
      <c r="AG441" s="454"/>
      <c r="AH441" s="454"/>
      <c r="AI441" s="454"/>
      <c r="AJ441" s="454"/>
      <c r="AK441" s="454"/>
      <c r="AL441" s="454"/>
      <c r="AM441" s="454"/>
      <c r="AN441" s="454"/>
      <c r="AO441" s="454"/>
      <c r="AP441" s="454"/>
      <c r="AQ441" s="454"/>
      <c r="AR441" s="454"/>
      <c r="AS441" s="454"/>
      <c r="AT441" s="454"/>
      <c r="AU441" s="454"/>
      <c r="AV441" s="454"/>
      <c r="AW441" s="454"/>
      <c r="AX441" s="454"/>
      <c r="AY441" s="454"/>
      <c r="AZ441" s="454"/>
      <c r="BA441" s="454"/>
      <c r="BB441" s="454"/>
      <c r="BC441" s="454"/>
      <c r="BD441" s="454"/>
      <c r="BE441" s="454"/>
      <c r="BF441" s="454"/>
      <c r="BG441" s="454"/>
      <c r="BH441" s="454"/>
      <c r="BI441" s="454"/>
      <c r="BJ441" s="454"/>
      <c r="BK441" s="454"/>
      <c r="BL441" s="454"/>
      <c r="BM441" s="454"/>
      <c r="BN441" s="454"/>
      <c r="BO441" s="454"/>
      <c r="BP441" s="454"/>
      <c r="BQ441" s="454"/>
      <c r="BR441" s="454"/>
      <c r="BS441" s="454"/>
      <c r="BT441" s="454"/>
      <c r="BU441" s="454"/>
      <c r="BV441" s="454"/>
      <c r="BW441" s="454"/>
      <c r="BX441" s="454"/>
      <c r="BY441" s="454"/>
      <c r="BZ441" s="454"/>
      <c r="CA441" s="454"/>
      <c r="CB441" s="454"/>
      <c r="CC441" s="454"/>
      <c r="CD441" s="454"/>
      <c r="CE441" s="454"/>
      <c r="CF441" s="454"/>
      <c r="CG441" s="454"/>
      <c r="CH441" s="454"/>
      <c r="CI441" s="454"/>
      <c r="CJ441" s="454"/>
      <c r="CK441" s="454"/>
      <c r="CL441" s="454"/>
      <c r="CM441" s="454"/>
      <c r="CN441" s="454"/>
      <c r="CO441" s="454"/>
      <c r="CP441" s="454"/>
      <c r="CQ441" s="454"/>
      <c r="CR441" s="454"/>
      <c r="CS441" s="454"/>
      <c r="CT441" s="454"/>
      <c r="CU441" s="454"/>
      <c r="CV441" s="517"/>
      <c r="CW441" s="517"/>
      <c r="CX441" s="517"/>
      <c r="CY441" s="517"/>
      <c r="CZ441" s="517"/>
      <c r="DA441" s="517"/>
      <c r="DB441" s="517"/>
      <c r="DC441" s="517"/>
      <c r="DD441" s="517">
        <f t="shared" si="69"/>
        <v>37.6</v>
      </c>
      <c r="DE441" s="517"/>
      <c r="DF441" s="517"/>
      <c r="DG441" s="517"/>
      <c r="DH441" s="517"/>
      <c r="DI441" s="454"/>
      <c r="DJ441" s="454"/>
      <c r="DK441" s="454"/>
      <c r="DL441" s="454"/>
      <c r="DM441" s="454"/>
      <c r="DN441" s="454">
        <v>1</v>
      </c>
      <c r="DO441" s="454">
        <v>3</v>
      </c>
      <c r="DP441" s="454">
        <v>3</v>
      </c>
      <c r="DQ441" s="454"/>
      <c r="DR441" s="454">
        <v>2</v>
      </c>
      <c r="DS441" s="454"/>
      <c r="DT441" s="454"/>
      <c r="DU441" s="454"/>
      <c r="DV441" s="454"/>
      <c r="DW441" s="454"/>
      <c r="DX441" s="454"/>
      <c r="DY441" s="454"/>
      <c r="DZ441" s="454">
        <f t="shared" si="70"/>
        <v>1</v>
      </c>
      <c r="EA441" s="454"/>
      <c r="EB441" s="454"/>
      <c r="EC441" s="454"/>
      <c r="ED441" s="454">
        <v>2</v>
      </c>
      <c r="EE441" s="454"/>
      <c r="EF441" s="454"/>
      <c r="EG441" s="454"/>
      <c r="EH441" s="454"/>
      <c r="EI441" s="454"/>
      <c r="EJ441" s="454"/>
      <c r="EK441" s="454"/>
      <c r="EL441" s="454"/>
      <c r="EM441" s="454"/>
      <c r="EN441" s="454"/>
      <c r="EO441" s="454"/>
      <c r="EP441" s="454"/>
      <c r="EQ441" s="454"/>
      <c r="ER441" s="454"/>
      <c r="ES441" s="454"/>
      <c r="ET441" s="454"/>
      <c r="EU441" s="454"/>
      <c r="EV441" s="454"/>
      <c r="EW441" s="454"/>
      <c r="EX441" s="454"/>
      <c r="EY441" s="454"/>
      <c r="EZ441" s="454"/>
      <c r="FA441" s="454"/>
      <c r="FB441" s="454"/>
      <c r="FC441" s="454"/>
      <c r="FD441" s="454"/>
      <c r="FE441" s="454"/>
      <c r="FF441" s="454"/>
      <c r="FG441" s="290"/>
    </row>
    <row r="442" spans="1:163" s="4" customFormat="1">
      <c r="A442" s="56"/>
      <c r="B442" s="56"/>
      <c r="C442" s="498" t="s">
        <v>3639</v>
      </c>
      <c r="D442" s="498"/>
      <c r="E442" s="454">
        <v>46.1</v>
      </c>
      <c r="F442" s="454"/>
      <c r="G442" s="454"/>
      <c r="H442" s="454"/>
      <c r="I442" s="454"/>
      <c r="J442" s="454"/>
      <c r="K442" s="454"/>
      <c r="L442" s="454"/>
      <c r="M442" s="454"/>
      <c r="N442" s="454"/>
      <c r="O442" s="454"/>
      <c r="P442" s="454"/>
      <c r="Q442" s="454"/>
      <c r="R442" s="290"/>
      <c r="S442" s="290"/>
      <c r="T442" s="454"/>
      <c r="U442" s="454" t="s">
        <v>2989</v>
      </c>
      <c r="V442" s="454"/>
      <c r="W442" s="454"/>
      <c r="X442" s="454"/>
      <c r="Y442" s="454"/>
      <c r="Z442" s="454"/>
      <c r="AA442" s="454"/>
      <c r="AB442" s="454"/>
      <c r="AC442" s="454"/>
      <c r="AD442" s="454"/>
      <c r="AE442" s="454"/>
      <c r="AF442" s="454"/>
      <c r="AG442" s="454"/>
      <c r="AH442" s="454"/>
      <c r="AI442" s="454"/>
      <c r="AJ442" s="454"/>
      <c r="AK442" s="454"/>
      <c r="AL442" s="454"/>
      <c r="AM442" s="454"/>
      <c r="AN442" s="454"/>
      <c r="AO442" s="454"/>
      <c r="AP442" s="454"/>
      <c r="AQ442" s="454"/>
      <c r="AR442" s="454"/>
      <c r="AS442" s="454"/>
      <c r="AT442" s="454"/>
      <c r="AU442" s="454"/>
      <c r="AV442" s="454"/>
      <c r="AW442" s="454"/>
      <c r="AX442" s="454"/>
      <c r="AY442" s="454"/>
      <c r="AZ442" s="454"/>
      <c r="BA442" s="454"/>
      <c r="BB442" s="454"/>
      <c r="BC442" s="454"/>
      <c r="BD442" s="454"/>
      <c r="BE442" s="454"/>
      <c r="BF442" s="454"/>
      <c r="BG442" s="454"/>
      <c r="BH442" s="454"/>
      <c r="BI442" s="454"/>
      <c r="BJ442" s="454"/>
      <c r="BK442" s="454"/>
      <c r="BL442" s="454"/>
      <c r="BM442" s="454"/>
      <c r="BN442" s="454"/>
      <c r="BO442" s="454"/>
      <c r="BP442" s="454"/>
      <c r="BQ442" s="454"/>
      <c r="BR442" s="454"/>
      <c r="BS442" s="454"/>
      <c r="BT442" s="454"/>
      <c r="BU442" s="454"/>
      <c r="BV442" s="454"/>
      <c r="BW442" s="454"/>
      <c r="BX442" s="454"/>
      <c r="BY442" s="454"/>
      <c r="BZ442" s="454"/>
      <c r="CA442" s="454"/>
      <c r="CB442" s="454"/>
      <c r="CC442" s="454"/>
      <c r="CD442" s="454"/>
      <c r="CE442" s="454"/>
      <c r="CF442" s="454"/>
      <c r="CG442" s="454"/>
      <c r="CH442" s="454"/>
      <c r="CI442" s="454"/>
      <c r="CJ442" s="454"/>
      <c r="CK442" s="454"/>
      <c r="CL442" s="454"/>
      <c r="CM442" s="454"/>
      <c r="CN442" s="454"/>
      <c r="CO442" s="454"/>
      <c r="CP442" s="454"/>
      <c r="CQ442" s="454"/>
      <c r="CR442" s="454"/>
      <c r="CS442" s="454"/>
      <c r="CT442" s="454"/>
      <c r="CU442" s="454"/>
      <c r="CV442" s="517"/>
      <c r="CW442" s="517"/>
      <c r="CX442" s="517"/>
      <c r="CY442" s="517"/>
      <c r="CZ442" s="517"/>
      <c r="DA442" s="517"/>
      <c r="DB442" s="517"/>
      <c r="DC442" s="517"/>
      <c r="DD442" s="517">
        <f t="shared" si="69"/>
        <v>46.1</v>
      </c>
      <c r="DE442" s="517"/>
      <c r="DF442" s="517"/>
      <c r="DG442" s="517"/>
      <c r="DH442" s="517"/>
      <c r="DI442" s="454"/>
      <c r="DJ442" s="454"/>
      <c r="DK442" s="454"/>
      <c r="DL442" s="454"/>
      <c r="DM442" s="454"/>
      <c r="DN442" s="454">
        <v>1</v>
      </c>
      <c r="DO442" s="454">
        <v>3</v>
      </c>
      <c r="DP442" s="454">
        <v>3</v>
      </c>
      <c r="DQ442" s="454"/>
      <c r="DR442" s="454">
        <v>2</v>
      </c>
      <c r="DS442" s="454"/>
      <c r="DT442" s="454"/>
      <c r="DU442" s="454"/>
      <c r="DV442" s="454"/>
      <c r="DW442" s="454"/>
      <c r="DX442" s="454"/>
      <c r="DY442" s="454"/>
      <c r="DZ442" s="454">
        <f t="shared" si="70"/>
        <v>1</v>
      </c>
      <c r="EA442" s="454"/>
      <c r="EB442" s="454"/>
      <c r="EC442" s="454"/>
      <c r="ED442" s="454">
        <v>2</v>
      </c>
      <c r="EE442" s="454"/>
      <c r="EF442" s="454"/>
      <c r="EG442" s="454"/>
      <c r="EH442" s="454"/>
      <c r="EI442" s="454"/>
      <c r="EJ442" s="454"/>
      <c r="EK442" s="454"/>
      <c r="EL442" s="454"/>
      <c r="EM442" s="454"/>
      <c r="EN442" s="454"/>
      <c r="EO442" s="454"/>
      <c r="EP442" s="454"/>
      <c r="EQ442" s="454"/>
      <c r="ER442" s="454"/>
      <c r="ES442" s="454"/>
      <c r="ET442" s="454"/>
      <c r="EU442" s="454"/>
      <c r="EV442" s="454"/>
      <c r="EW442" s="454"/>
      <c r="EX442" s="454"/>
      <c r="EY442" s="454"/>
      <c r="EZ442" s="454"/>
      <c r="FA442" s="454"/>
      <c r="FB442" s="454"/>
      <c r="FC442" s="454"/>
      <c r="FD442" s="454"/>
      <c r="FE442" s="454"/>
      <c r="FF442" s="454"/>
      <c r="FG442" s="290"/>
    </row>
    <row r="443" spans="1:163" s="4" customFormat="1">
      <c r="A443" s="56"/>
      <c r="B443" s="56"/>
      <c r="C443" s="498" t="s">
        <v>3640</v>
      </c>
      <c r="D443" s="498"/>
      <c r="E443" s="454">
        <v>35.4</v>
      </c>
      <c r="F443" s="454"/>
      <c r="G443" s="454"/>
      <c r="H443" s="454"/>
      <c r="I443" s="454"/>
      <c r="J443" s="454"/>
      <c r="K443" s="454"/>
      <c r="L443" s="454"/>
      <c r="M443" s="454"/>
      <c r="N443" s="454"/>
      <c r="O443" s="454"/>
      <c r="P443" s="454"/>
      <c r="Q443" s="454"/>
      <c r="R443" s="290"/>
      <c r="S443" s="290"/>
      <c r="T443" s="454"/>
      <c r="U443" s="454" t="s">
        <v>1631</v>
      </c>
      <c r="V443" s="454"/>
      <c r="W443" s="454"/>
      <c r="X443" s="454"/>
      <c r="Y443" s="454"/>
      <c r="Z443" s="454"/>
      <c r="AA443" s="454"/>
      <c r="AB443" s="454"/>
      <c r="AC443" s="454"/>
      <c r="AD443" s="454"/>
      <c r="AE443" s="454"/>
      <c r="AF443" s="454"/>
      <c r="AG443" s="454"/>
      <c r="AH443" s="454"/>
      <c r="AI443" s="454"/>
      <c r="AJ443" s="454"/>
      <c r="AK443" s="454"/>
      <c r="AL443" s="454"/>
      <c r="AM443" s="454"/>
      <c r="AN443" s="454"/>
      <c r="AO443" s="454"/>
      <c r="AP443" s="454"/>
      <c r="AQ443" s="454"/>
      <c r="AR443" s="454"/>
      <c r="AS443" s="454"/>
      <c r="AT443" s="454"/>
      <c r="AU443" s="454"/>
      <c r="AV443" s="454"/>
      <c r="AW443" s="454"/>
      <c r="AX443" s="454"/>
      <c r="AY443" s="454"/>
      <c r="AZ443" s="454"/>
      <c r="BA443" s="454"/>
      <c r="BB443" s="454"/>
      <c r="BC443" s="454"/>
      <c r="BD443" s="454"/>
      <c r="BE443" s="454"/>
      <c r="BF443" s="454"/>
      <c r="BG443" s="454"/>
      <c r="BH443" s="454"/>
      <c r="BI443" s="454"/>
      <c r="BJ443" s="454"/>
      <c r="BK443" s="454"/>
      <c r="BL443" s="454"/>
      <c r="BM443" s="454"/>
      <c r="BN443" s="454"/>
      <c r="BO443" s="454"/>
      <c r="BP443" s="454"/>
      <c r="BQ443" s="454"/>
      <c r="BR443" s="454"/>
      <c r="BS443" s="454"/>
      <c r="BT443" s="454"/>
      <c r="BU443" s="454"/>
      <c r="BV443" s="454"/>
      <c r="BW443" s="454"/>
      <c r="BX443" s="454"/>
      <c r="BY443" s="454"/>
      <c r="BZ443" s="454"/>
      <c r="CA443" s="454"/>
      <c r="CB443" s="454"/>
      <c r="CC443" s="454"/>
      <c r="CD443" s="454"/>
      <c r="CE443" s="454"/>
      <c r="CF443" s="454"/>
      <c r="CG443" s="454"/>
      <c r="CH443" s="454"/>
      <c r="CI443" s="454"/>
      <c r="CJ443" s="454"/>
      <c r="CK443" s="454"/>
      <c r="CL443" s="454"/>
      <c r="CM443" s="454"/>
      <c r="CN443" s="454"/>
      <c r="CO443" s="454"/>
      <c r="CP443" s="454"/>
      <c r="CQ443" s="454"/>
      <c r="CR443" s="454"/>
      <c r="CS443" s="454"/>
      <c r="CT443" s="454"/>
      <c r="CU443" s="454"/>
      <c r="CV443" s="517"/>
      <c r="CW443" s="517"/>
      <c r="CX443" s="517"/>
      <c r="CY443" s="517"/>
      <c r="CZ443" s="517"/>
      <c r="DA443" s="517"/>
      <c r="DB443" s="517"/>
      <c r="DC443" s="517"/>
      <c r="DD443" s="517">
        <f t="shared" si="69"/>
        <v>35.4</v>
      </c>
      <c r="DE443" s="517"/>
      <c r="DF443" s="517"/>
      <c r="DG443" s="517"/>
      <c r="DH443" s="517"/>
      <c r="DI443" s="454"/>
      <c r="DJ443" s="454"/>
      <c r="DK443" s="454"/>
      <c r="DL443" s="454"/>
      <c r="DM443" s="454"/>
      <c r="DN443" s="454">
        <v>1</v>
      </c>
      <c r="DO443" s="454">
        <v>3</v>
      </c>
      <c r="DP443" s="454">
        <v>3</v>
      </c>
      <c r="DQ443" s="454">
        <v>1</v>
      </c>
      <c r="DR443" s="454"/>
      <c r="DS443" s="454"/>
      <c r="DT443" s="454"/>
      <c r="DU443" s="454"/>
      <c r="DV443" s="454"/>
      <c r="DW443" s="454"/>
      <c r="DX443" s="454"/>
      <c r="DY443" s="454"/>
      <c r="DZ443" s="454">
        <f t="shared" si="70"/>
        <v>1</v>
      </c>
      <c r="EA443" s="454"/>
      <c r="EB443" s="454"/>
      <c r="EC443" s="454"/>
      <c r="ED443" s="454">
        <v>1</v>
      </c>
      <c r="EE443" s="454"/>
      <c r="EF443" s="454"/>
      <c r="EG443" s="454"/>
      <c r="EH443" s="454"/>
      <c r="EI443" s="454"/>
      <c r="EJ443" s="454"/>
      <c r="EK443" s="454"/>
      <c r="EL443" s="454"/>
      <c r="EM443" s="454"/>
      <c r="EN443" s="454"/>
      <c r="EO443" s="454"/>
      <c r="EP443" s="454"/>
      <c r="EQ443" s="454"/>
      <c r="ER443" s="454"/>
      <c r="ES443" s="454"/>
      <c r="ET443" s="454"/>
      <c r="EU443" s="454"/>
      <c r="EV443" s="454"/>
      <c r="EW443" s="454"/>
      <c r="EX443" s="454"/>
      <c r="EY443" s="454"/>
      <c r="EZ443" s="454"/>
      <c r="FA443" s="454"/>
      <c r="FB443" s="454"/>
      <c r="FC443" s="454"/>
      <c r="FD443" s="454"/>
      <c r="FE443" s="454"/>
      <c r="FF443" s="454"/>
      <c r="FG443" s="290"/>
    </row>
    <row r="444" spans="1:163" s="4" customFormat="1">
      <c r="A444" s="56"/>
      <c r="B444" s="56"/>
      <c r="C444" s="498" t="s">
        <v>3641</v>
      </c>
      <c r="D444" s="498"/>
      <c r="E444" s="454">
        <v>34.799999999999997</v>
      </c>
      <c r="F444" s="454"/>
      <c r="G444" s="454"/>
      <c r="H444" s="454"/>
      <c r="I444" s="454"/>
      <c r="J444" s="454"/>
      <c r="K444" s="454"/>
      <c r="L444" s="454"/>
      <c r="M444" s="454"/>
      <c r="N444" s="454"/>
      <c r="O444" s="454"/>
      <c r="P444" s="454"/>
      <c r="Q444" s="454"/>
      <c r="R444" s="290"/>
      <c r="S444" s="290"/>
      <c r="T444" s="454"/>
      <c r="U444" s="454" t="s">
        <v>1631</v>
      </c>
      <c r="V444" s="454"/>
      <c r="W444" s="454"/>
      <c r="X444" s="454"/>
      <c r="Y444" s="454"/>
      <c r="Z444" s="454"/>
      <c r="AA444" s="454"/>
      <c r="AB444" s="454"/>
      <c r="AC444" s="454"/>
      <c r="AD444" s="454"/>
      <c r="AE444" s="454"/>
      <c r="AF444" s="454"/>
      <c r="AG444" s="454"/>
      <c r="AH444" s="454"/>
      <c r="AI444" s="454"/>
      <c r="AJ444" s="454"/>
      <c r="AK444" s="454"/>
      <c r="AL444" s="454"/>
      <c r="AM444" s="454"/>
      <c r="AN444" s="454"/>
      <c r="AO444" s="454"/>
      <c r="AP444" s="454"/>
      <c r="AQ444" s="454"/>
      <c r="AR444" s="454"/>
      <c r="AS444" s="454"/>
      <c r="AT444" s="454"/>
      <c r="AU444" s="454"/>
      <c r="AV444" s="454"/>
      <c r="AW444" s="454"/>
      <c r="AX444" s="454"/>
      <c r="AY444" s="454"/>
      <c r="AZ444" s="454"/>
      <c r="BA444" s="454"/>
      <c r="BB444" s="454"/>
      <c r="BC444" s="454"/>
      <c r="BD444" s="454"/>
      <c r="BE444" s="454"/>
      <c r="BF444" s="454"/>
      <c r="BG444" s="454"/>
      <c r="BH444" s="454"/>
      <c r="BI444" s="454"/>
      <c r="BJ444" s="454"/>
      <c r="BK444" s="454"/>
      <c r="BL444" s="454"/>
      <c r="BM444" s="454"/>
      <c r="BN444" s="454"/>
      <c r="BO444" s="454"/>
      <c r="BP444" s="454"/>
      <c r="BQ444" s="454"/>
      <c r="BR444" s="454"/>
      <c r="BS444" s="454"/>
      <c r="BT444" s="454"/>
      <c r="BU444" s="454"/>
      <c r="BV444" s="454"/>
      <c r="BW444" s="454"/>
      <c r="BX444" s="454"/>
      <c r="BY444" s="454"/>
      <c r="BZ444" s="454"/>
      <c r="CA444" s="454"/>
      <c r="CB444" s="454"/>
      <c r="CC444" s="454"/>
      <c r="CD444" s="454"/>
      <c r="CE444" s="454"/>
      <c r="CF444" s="454"/>
      <c r="CG444" s="454"/>
      <c r="CH444" s="454"/>
      <c r="CI444" s="454"/>
      <c r="CJ444" s="454"/>
      <c r="CK444" s="454"/>
      <c r="CL444" s="454"/>
      <c r="CM444" s="454"/>
      <c r="CN444" s="454"/>
      <c r="CO444" s="454"/>
      <c r="CP444" s="454"/>
      <c r="CQ444" s="454"/>
      <c r="CR444" s="454"/>
      <c r="CS444" s="454"/>
      <c r="CT444" s="454"/>
      <c r="CU444" s="454"/>
      <c r="CV444" s="517"/>
      <c r="CW444" s="517"/>
      <c r="CX444" s="517"/>
      <c r="CY444" s="517"/>
      <c r="CZ444" s="517"/>
      <c r="DA444" s="517"/>
      <c r="DB444" s="517"/>
      <c r="DC444" s="517"/>
      <c r="DD444" s="517">
        <f t="shared" si="69"/>
        <v>34.799999999999997</v>
      </c>
      <c r="DE444" s="517"/>
      <c r="DF444" s="517"/>
      <c r="DG444" s="517"/>
      <c r="DH444" s="517"/>
      <c r="DI444" s="454"/>
      <c r="DJ444" s="454"/>
      <c r="DK444" s="454"/>
      <c r="DL444" s="454"/>
      <c r="DM444" s="454"/>
      <c r="DN444" s="454"/>
      <c r="DO444" s="454"/>
      <c r="DP444" s="454"/>
      <c r="DQ444" s="454">
        <v>1</v>
      </c>
      <c r="DR444" s="454"/>
      <c r="DS444" s="454"/>
      <c r="DT444" s="454"/>
      <c r="DU444" s="454"/>
      <c r="DV444" s="454"/>
      <c r="DW444" s="454"/>
      <c r="DX444" s="454"/>
      <c r="DY444" s="454"/>
      <c r="DZ444" s="454">
        <f t="shared" si="70"/>
        <v>0</v>
      </c>
      <c r="EA444" s="454"/>
      <c r="EB444" s="454"/>
      <c r="EC444" s="454"/>
      <c r="ED444" s="454">
        <v>1</v>
      </c>
      <c r="EE444" s="454"/>
      <c r="EF444" s="454"/>
      <c r="EG444" s="454"/>
      <c r="EH444" s="454"/>
      <c r="EI444" s="454"/>
      <c r="EJ444" s="454"/>
      <c r="EK444" s="454"/>
      <c r="EL444" s="454"/>
      <c r="EM444" s="454"/>
      <c r="EN444" s="454"/>
      <c r="EO444" s="454"/>
      <c r="EP444" s="454"/>
      <c r="EQ444" s="454"/>
      <c r="ER444" s="454"/>
      <c r="ES444" s="454"/>
      <c r="ET444" s="454"/>
      <c r="EU444" s="454"/>
      <c r="EV444" s="454"/>
      <c r="EW444" s="454"/>
      <c r="EX444" s="454"/>
      <c r="EY444" s="454"/>
      <c r="EZ444" s="454"/>
      <c r="FA444" s="454"/>
      <c r="FB444" s="454"/>
      <c r="FC444" s="454"/>
      <c r="FD444" s="454"/>
      <c r="FE444" s="454"/>
      <c r="FF444" s="454"/>
      <c r="FG444" s="290"/>
    </row>
    <row r="445" spans="1:163" s="4" customFormat="1">
      <c r="A445" s="56"/>
      <c r="B445" s="56"/>
      <c r="C445" s="498" t="s">
        <v>3647</v>
      </c>
      <c r="D445" s="498"/>
      <c r="E445" s="454">
        <v>32</v>
      </c>
      <c r="F445" s="454"/>
      <c r="G445" s="454"/>
      <c r="H445" s="454"/>
      <c r="I445" s="454"/>
      <c r="J445" s="454"/>
      <c r="K445" s="454"/>
      <c r="L445" s="454"/>
      <c r="M445" s="454"/>
      <c r="N445" s="454"/>
      <c r="O445" s="454"/>
      <c r="P445" s="454"/>
      <c r="Q445" s="454"/>
      <c r="R445" s="290"/>
      <c r="S445" s="290"/>
      <c r="T445" s="454"/>
      <c r="U445" s="454" t="s">
        <v>1631</v>
      </c>
      <c r="V445" s="454"/>
      <c r="W445" s="454"/>
      <c r="X445" s="454"/>
      <c r="Y445" s="454"/>
      <c r="Z445" s="454"/>
      <c r="AA445" s="454"/>
      <c r="AB445" s="454"/>
      <c r="AC445" s="454"/>
      <c r="AD445" s="454"/>
      <c r="AE445" s="454"/>
      <c r="AF445" s="454"/>
      <c r="AG445" s="454"/>
      <c r="AH445" s="454"/>
      <c r="AI445" s="454"/>
      <c r="AJ445" s="454"/>
      <c r="AK445" s="454"/>
      <c r="AL445" s="454"/>
      <c r="AM445" s="454"/>
      <c r="AN445" s="454"/>
      <c r="AO445" s="454"/>
      <c r="AP445" s="454"/>
      <c r="AQ445" s="454"/>
      <c r="AR445" s="454"/>
      <c r="AS445" s="454"/>
      <c r="AT445" s="454"/>
      <c r="AU445" s="454"/>
      <c r="AV445" s="454"/>
      <c r="AW445" s="454"/>
      <c r="AX445" s="454"/>
      <c r="AY445" s="454"/>
      <c r="AZ445" s="454"/>
      <c r="BA445" s="454"/>
      <c r="BB445" s="454"/>
      <c r="BC445" s="454"/>
      <c r="BD445" s="454"/>
      <c r="BE445" s="454"/>
      <c r="BF445" s="454"/>
      <c r="BG445" s="454"/>
      <c r="BH445" s="454"/>
      <c r="BI445" s="454"/>
      <c r="BJ445" s="454"/>
      <c r="BK445" s="454"/>
      <c r="BL445" s="454"/>
      <c r="BM445" s="454"/>
      <c r="BN445" s="454"/>
      <c r="BO445" s="454"/>
      <c r="BP445" s="454"/>
      <c r="BQ445" s="454"/>
      <c r="BR445" s="454"/>
      <c r="BS445" s="454"/>
      <c r="BT445" s="454"/>
      <c r="BU445" s="454"/>
      <c r="BV445" s="454"/>
      <c r="BW445" s="454"/>
      <c r="BX445" s="454"/>
      <c r="BY445" s="454"/>
      <c r="BZ445" s="454"/>
      <c r="CA445" s="454"/>
      <c r="CB445" s="454"/>
      <c r="CC445" s="454"/>
      <c r="CD445" s="454"/>
      <c r="CE445" s="454"/>
      <c r="CF445" s="454"/>
      <c r="CG445" s="454"/>
      <c r="CH445" s="454"/>
      <c r="CI445" s="454"/>
      <c r="CJ445" s="454"/>
      <c r="CK445" s="454"/>
      <c r="CL445" s="454"/>
      <c r="CM445" s="454"/>
      <c r="CN445" s="454"/>
      <c r="CO445" s="454"/>
      <c r="CP445" s="454"/>
      <c r="CQ445" s="454"/>
      <c r="CR445" s="454"/>
      <c r="CS445" s="454"/>
      <c r="CT445" s="454"/>
      <c r="CU445" s="454"/>
      <c r="CV445" s="517"/>
      <c r="CW445" s="517"/>
      <c r="CX445" s="517"/>
      <c r="CY445" s="517"/>
      <c r="CZ445" s="517"/>
      <c r="DA445" s="517"/>
      <c r="DB445" s="517"/>
      <c r="DC445" s="517"/>
      <c r="DD445" s="517">
        <f t="shared" si="69"/>
        <v>32</v>
      </c>
      <c r="DE445" s="517"/>
      <c r="DF445" s="517"/>
      <c r="DG445" s="517"/>
      <c r="DH445" s="517"/>
      <c r="DI445" s="454"/>
      <c r="DJ445" s="454"/>
      <c r="DK445" s="454"/>
      <c r="DL445" s="454"/>
      <c r="DM445" s="454"/>
      <c r="DN445" s="454">
        <v>1</v>
      </c>
      <c r="DO445" s="454">
        <v>3</v>
      </c>
      <c r="DP445" s="454">
        <v>3</v>
      </c>
      <c r="DQ445" s="454">
        <v>1</v>
      </c>
      <c r="DR445" s="454"/>
      <c r="DS445" s="454"/>
      <c r="DT445" s="454"/>
      <c r="DU445" s="454"/>
      <c r="DV445" s="454"/>
      <c r="DW445" s="454"/>
      <c r="DX445" s="454"/>
      <c r="DY445" s="454"/>
      <c r="DZ445" s="454">
        <f t="shared" si="70"/>
        <v>1</v>
      </c>
      <c r="EA445" s="454"/>
      <c r="EB445" s="454"/>
      <c r="EC445" s="454"/>
      <c r="ED445" s="454">
        <v>1</v>
      </c>
      <c r="EE445" s="454"/>
      <c r="EF445" s="454"/>
      <c r="EG445" s="454"/>
      <c r="EH445" s="454"/>
      <c r="EI445" s="454"/>
      <c r="EJ445" s="454"/>
      <c r="EK445" s="454"/>
      <c r="EL445" s="454"/>
      <c r="EM445" s="454"/>
      <c r="EN445" s="454"/>
      <c r="EO445" s="454"/>
      <c r="EP445" s="454"/>
      <c r="EQ445" s="454"/>
      <c r="ER445" s="454"/>
      <c r="ES445" s="454"/>
      <c r="ET445" s="454"/>
      <c r="EU445" s="454"/>
      <c r="EV445" s="454"/>
      <c r="EW445" s="454"/>
      <c r="EX445" s="454"/>
      <c r="EY445" s="454"/>
      <c r="EZ445" s="454"/>
      <c r="FA445" s="454"/>
      <c r="FB445" s="454"/>
      <c r="FC445" s="454"/>
      <c r="FD445" s="454"/>
      <c r="FE445" s="454"/>
      <c r="FF445" s="454"/>
      <c r="FG445" s="290"/>
    </row>
    <row r="446" spans="1:163" s="4" customFormat="1">
      <c r="A446" s="56"/>
      <c r="B446" s="56"/>
      <c r="C446" s="498" t="s">
        <v>3648</v>
      </c>
      <c r="D446" s="498"/>
      <c r="E446" s="454">
        <v>38</v>
      </c>
      <c r="F446" s="454"/>
      <c r="G446" s="454"/>
      <c r="H446" s="454"/>
      <c r="I446" s="454"/>
      <c r="J446" s="454"/>
      <c r="K446" s="454"/>
      <c r="L446" s="454"/>
      <c r="M446" s="454"/>
      <c r="N446" s="454"/>
      <c r="O446" s="454"/>
      <c r="P446" s="454"/>
      <c r="Q446" s="454"/>
      <c r="R446" s="290"/>
      <c r="S446" s="290"/>
      <c r="T446" s="454"/>
      <c r="U446" s="454" t="s">
        <v>1631</v>
      </c>
      <c r="V446" s="454"/>
      <c r="W446" s="454"/>
      <c r="X446" s="454"/>
      <c r="Y446" s="454"/>
      <c r="Z446" s="454"/>
      <c r="AA446" s="454"/>
      <c r="AB446" s="454"/>
      <c r="AC446" s="454"/>
      <c r="AD446" s="454"/>
      <c r="AE446" s="454"/>
      <c r="AF446" s="454"/>
      <c r="AG446" s="454"/>
      <c r="AH446" s="454"/>
      <c r="AI446" s="454"/>
      <c r="AJ446" s="454"/>
      <c r="AK446" s="454"/>
      <c r="AL446" s="454"/>
      <c r="AM446" s="454"/>
      <c r="AN446" s="454"/>
      <c r="AO446" s="454"/>
      <c r="AP446" s="454"/>
      <c r="AQ446" s="454"/>
      <c r="AR446" s="454"/>
      <c r="AS446" s="454"/>
      <c r="AT446" s="454"/>
      <c r="AU446" s="454"/>
      <c r="AV446" s="454"/>
      <c r="AW446" s="454"/>
      <c r="AX446" s="454"/>
      <c r="AY446" s="454"/>
      <c r="AZ446" s="454"/>
      <c r="BA446" s="454"/>
      <c r="BB446" s="454"/>
      <c r="BC446" s="454"/>
      <c r="BD446" s="454"/>
      <c r="BE446" s="454"/>
      <c r="BF446" s="454"/>
      <c r="BG446" s="454"/>
      <c r="BH446" s="454"/>
      <c r="BI446" s="454"/>
      <c r="BJ446" s="454"/>
      <c r="BK446" s="454"/>
      <c r="BL446" s="454"/>
      <c r="BM446" s="454"/>
      <c r="BN446" s="454"/>
      <c r="BO446" s="454"/>
      <c r="BP446" s="454"/>
      <c r="BQ446" s="454"/>
      <c r="BR446" s="454"/>
      <c r="BS446" s="454"/>
      <c r="BT446" s="454"/>
      <c r="BU446" s="454"/>
      <c r="BV446" s="454"/>
      <c r="BW446" s="454"/>
      <c r="BX446" s="454"/>
      <c r="BY446" s="454"/>
      <c r="BZ446" s="454"/>
      <c r="CA446" s="454"/>
      <c r="CB446" s="454"/>
      <c r="CC446" s="454"/>
      <c r="CD446" s="454"/>
      <c r="CE446" s="454"/>
      <c r="CF446" s="454"/>
      <c r="CG446" s="454"/>
      <c r="CH446" s="454"/>
      <c r="CI446" s="454"/>
      <c r="CJ446" s="454"/>
      <c r="CK446" s="454"/>
      <c r="CL446" s="454"/>
      <c r="CM446" s="454"/>
      <c r="CN446" s="454"/>
      <c r="CO446" s="454"/>
      <c r="CP446" s="454"/>
      <c r="CQ446" s="454"/>
      <c r="CR446" s="454"/>
      <c r="CS446" s="454"/>
      <c r="CT446" s="454"/>
      <c r="CU446" s="454"/>
      <c r="CV446" s="517"/>
      <c r="CW446" s="517"/>
      <c r="CX446" s="517"/>
      <c r="CY446" s="517"/>
      <c r="CZ446" s="517"/>
      <c r="DA446" s="517"/>
      <c r="DB446" s="517"/>
      <c r="DC446" s="517"/>
      <c r="DD446" s="517">
        <f t="shared" si="69"/>
        <v>38</v>
      </c>
      <c r="DE446" s="517"/>
      <c r="DF446" s="517"/>
      <c r="DG446" s="517"/>
      <c r="DH446" s="517"/>
      <c r="DI446" s="454"/>
      <c r="DJ446" s="454"/>
      <c r="DK446" s="454"/>
      <c r="DL446" s="454"/>
      <c r="DM446" s="454"/>
      <c r="DN446" s="454"/>
      <c r="DO446" s="454"/>
      <c r="DP446" s="454"/>
      <c r="DQ446" s="454">
        <v>1</v>
      </c>
      <c r="DR446" s="454"/>
      <c r="DS446" s="454"/>
      <c r="DT446" s="454"/>
      <c r="DU446" s="454"/>
      <c r="DV446" s="454"/>
      <c r="DW446" s="454"/>
      <c r="DX446" s="454"/>
      <c r="DY446" s="454"/>
      <c r="DZ446" s="454">
        <f t="shared" si="70"/>
        <v>0</v>
      </c>
      <c r="EA446" s="454"/>
      <c r="EB446" s="454"/>
      <c r="EC446" s="454"/>
      <c r="ED446" s="454">
        <v>1</v>
      </c>
      <c r="EE446" s="454"/>
      <c r="EF446" s="454"/>
      <c r="EG446" s="454"/>
      <c r="EH446" s="454"/>
      <c r="EI446" s="454"/>
      <c r="EJ446" s="454"/>
      <c r="EK446" s="454"/>
      <c r="EL446" s="454"/>
      <c r="EM446" s="454"/>
      <c r="EN446" s="454"/>
      <c r="EO446" s="454"/>
      <c r="EP446" s="454"/>
      <c r="EQ446" s="454"/>
      <c r="ER446" s="454"/>
      <c r="ES446" s="454"/>
      <c r="ET446" s="454"/>
      <c r="EU446" s="454"/>
      <c r="EV446" s="454"/>
      <c r="EW446" s="454"/>
      <c r="EX446" s="454"/>
      <c r="EY446" s="454"/>
      <c r="EZ446" s="454"/>
      <c r="FA446" s="454"/>
      <c r="FB446" s="454"/>
      <c r="FC446" s="454"/>
      <c r="FD446" s="454"/>
      <c r="FE446" s="454"/>
      <c r="FF446" s="454"/>
      <c r="FG446" s="290"/>
    </row>
    <row r="447" spans="1:163" s="4" customFormat="1">
      <c r="A447" s="56"/>
      <c r="B447" s="56"/>
      <c r="C447" s="498" t="s">
        <v>3649</v>
      </c>
      <c r="D447" s="498"/>
      <c r="E447" s="454">
        <v>34.9</v>
      </c>
      <c r="F447" s="454"/>
      <c r="G447" s="454"/>
      <c r="H447" s="454"/>
      <c r="I447" s="454"/>
      <c r="J447" s="454"/>
      <c r="K447" s="454"/>
      <c r="L447" s="454"/>
      <c r="M447" s="454"/>
      <c r="N447" s="454"/>
      <c r="O447" s="454"/>
      <c r="P447" s="454"/>
      <c r="Q447" s="454"/>
      <c r="R447" s="290"/>
      <c r="S447" s="290"/>
      <c r="T447" s="454"/>
      <c r="U447" s="454" t="s">
        <v>2990</v>
      </c>
      <c r="V447" s="454"/>
      <c r="W447" s="454"/>
      <c r="X447" s="454"/>
      <c r="Y447" s="454"/>
      <c r="Z447" s="454"/>
      <c r="AA447" s="454"/>
      <c r="AB447" s="454"/>
      <c r="AC447" s="454"/>
      <c r="AD447" s="454"/>
      <c r="AE447" s="454"/>
      <c r="AF447" s="454"/>
      <c r="AG447" s="454"/>
      <c r="AH447" s="454"/>
      <c r="AI447" s="454"/>
      <c r="AJ447" s="454"/>
      <c r="AK447" s="454"/>
      <c r="AL447" s="454"/>
      <c r="AM447" s="454"/>
      <c r="AN447" s="454"/>
      <c r="AO447" s="454"/>
      <c r="AP447" s="454"/>
      <c r="AQ447" s="454"/>
      <c r="AR447" s="454"/>
      <c r="AS447" s="454"/>
      <c r="AT447" s="454"/>
      <c r="AU447" s="454"/>
      <c r="AV447" s="454"/>
      <c r="AW447" s="454"/>
      <c r="AX447" s="454"/>
      <c r="AY447" s="454"/>
      <c r="AZ447" s="454"/>
      <c r="BA447" s="454"/>
      <c r="BB447" s="454"/>
      <c r="BC447" s="454"/>
      <c r="BD447" s="454"/>
      <c r="BE447" s="454"/>
      <c r="BF447" s="454"/>
      <c r="BG447" s="454"/>
      <c r="BH447" s="454"/>
      <c r="BI447" s="454"/>
      <c r="BJ447" s="454"/>
      <c r="BK447" s="454"/>
      <c r="BL447" s="454"/>
      <c r="BM447" s="454"/>
      <c r="BN447" s="454"/>
      <c r="BO447" s="454"/>
      <c r="BP447" s="454"/>
      <c r="BQ447" s="454"/>
      <c r="BR447" s="454"/>
      <c r="BS447" s="454"/>
      <c r="BT447" s="454"/>
      <c r="BU447" s="454"/>
      <c r="BV447" s="454"/>
      <c r="BW447" s="454"/>
      <c r="BX447" s="454"/>
      <c r="BY447" s="454"/>
      <c r="BZ447" s="454"/>
      <c r="CA447" s="454"/>
      <c r="CB447" s="454"/>
      <c r="CC447" s="454"/>
      <c r="CD447" s="454"/>
      <c r="CE447" s="454"/>
      <c r="CF447" s="454"/>
      <c r="CG447" s="454"/>
      <c r="CH447" s="454"/>
      <c r="CI447" s="454"/>
      <c r="CJ447" s="454"/>
      <c r="CK447" s="454"/>
      <c r="CL447" s="454"/>
      <c r="CM447" s="454"/>
      <c r="CN447" s="454"/>
      <c r="CO447" s="454"/>
      <c r="CP447" s="454"/>
      <c r="CQ447" s="454"/>
      <c r="CR447" s="454"/>
      <c r="CS447" s="454"/>
      <c r="CT447" s="454"/>
      <c r="CU447" s="454"/>
      <c r="CV447" s="517"/>
      <c r="CW447" s="517"/>
      <c r="CX447" s="517"/>
      <c r="CY447" s="517"/>
      <c r="CZ447" s="517"/>
      <c r="DA447" s="517"/>
      <c r="DB447" s="517"/>
      <c r="DC447" s="517"/>
      <c r="DD447" s="517">
        <f t="shared" si="69"/>
        <v>34.9</v>
      </c>
      <c r="DE447" s="517"/>
      <c r="DF447" s="517"/>
      <c r="DG447" s="517"/>
      <c r="DH447" s="517"/>
      <c r="DI447" s="454"/>
      <c r="DJ447" s="454"/>
      <c r="DK447" s="454"/>
      <c r="DL447" s="454"/>
      <c r="DM447" s="454"/>
      <c r="DN447" s="454">
        <v>1</v>
      </c>
      <c r="DO447" s="454">
        <v>3</v>
      </c>
      <c r="DP447" s="454">
        <v>3</v>
      </c>
      <c r="DQ447" s="454"/>
      <c r="DR447" s="454">
        <v>1</v>
      </c>
      <c r="DS447" s="454"/>
      <c r="DT447" s="454"/>
      <c r="DU447" s="454"/>
      <c r="DV447" s="454"/>
      <c r="DW447" s="454"/>
      <c r="DX447" s="454"/>
      <c r="DY447" s="454"/>
      <c r="DZ447" s="454">
        <f t="shared" si="70"/>
        <v>1</v>
      </c>
      <c r="EA447" s="454"/>
      <c r="EB447" s="454"/>
      <c r="EC447" s="454"/>
      <c r="ED447" s="454">
        <v>1</v>
      </c>
      <c r="EE447" s="454"/>
      <c r="EF447" s="454"/>
      <c r="EG447" s="454"/>
      <c r="EH447" s="454"/>
      <c r="EI447" s="454"/>
      <c r="EJ447" s="454"/>
      <c r="EK447" s="454"/>
      <c r="EL447" s="454"/>
      <c r="EM447" s="454"/>
      <c r="EN447" s="454"/>
      <c r="EO447" s="454"/>
      <c r="EP447" s="454"/>
      <c r="EQ447" s="454"/>
      <c r="ER447" s="454"/>
      <c r="ES447" s="454"/>
      <c r="ET447" s="454"/>
      <c r="EU447" s="454"/>
      <c r="EV447" s="454"/>
      <c r="EW447" s="454"/>
      <c r="EX447" s="454"/>
      <c r="EY447" s="454"/>
      <c r="EZ447" s="454"/>
      <c r="FA447" s="454"/>
      <c r="FB447" s="454"/>
      <c r="FC447" s="454"/>
      <c r="FD447" s="454"/>
      <c r="FE447" s="454"/>
      <c r="FF447" s="454"/>
      <c r="FG447" s="290"/>
    </row>
    <row r="448" spans="1:163" s="4" customFormat="1">
      <c r="A448" s="56"/>
      <c r="B448" s="56"/>
      <c r="C448" s="498"/>
      <c r="D448" s="498"/>
      <c r="E448" s="454"/>
      <c r="F448" s="454"/>
      <c r="G448" s="454"/>
      <c r="H448" s="454"/>
      <c r="I448" s="454"/>
      <c r="J448" s="454"/>
      <c r="K448" s="454"/>
      <c r="L448" s="454"/>
      <c r="M448" s="454"/>
      <c r="N448" s="454"/>
      <c r="O448" s="454"/>
      <c r="P448" s="454"/>
      <c r="Q448" s="454"/>
      <c r="R448" s="290"/>
      <c r="S448" s="290"/>
      <c r="T448" s="454"/>
      <c r="U448" s="454"/>
      <c r="V448" s="454"/>
      <c r="W448" s="454"/>
      <c r="X448" s="454"/>
      <c r="Y448" s="454"/>
      <c r="Z448" s="454"/>
      <c r="AA448" s="454"/>
      <c r="AB448" s="454"/>
      <c r="AC448" s="454"/>
      <c r="AD448" s="454"/>
      <c r="AE448" s="454"/>
      <c r="AF448" s="454"/>
      <c r="AG448" s="454"/>
      <c r="AH448" s="454"/>
      <c r="AI448" s="454"/>
      <c r="AJ448" s="454"/>
      <c r="AK448" s="454"/>
      <c r="AL448" s="454"/>
      <c r="AM448" s="454"/>
      <c r="AN448" s="454"/>
      <c r="AO448" s="454"/>
      <c r="AP448" s="454"/>
      <c r="AQ448" s="454"/>
      <c r="AR448" s="454"/>
      <c r="AS448" s="454"/>
      <c r="AT448" s="454"/>
      <c r="AU448" s="454"/>
      <c r="AV448" s="454"/>
      <c r="AW448" s="454"/>
      <c r="AX448" s="454"/>
      <c r="AY448" s="454"/>
      <c r="AZ448" s="454"/>
      <c r="BA448" s="454"/>
      <c r="BB448" s="454"/>
      <c r="BC448" s="454"/>
      <c r="BD448" s="454"/>
      <c r="BE448" s="454"/>
      <c r="BF448" s="454"/>
      <c r="BG448" s="454"/>
      <c r="BH448" s="454"/>
      <c r="BI448" s="454"/>
      <c r="BJ448" s="454"/>
      <c r="BK448" s="454"/>
      <c r="BL448" s="454"/>
      <c r="BM448" s="454"/>
      <c r="BN448" s="454"/>
      <c r="BO448" s="454"/>
      <c r="BP448" s="454"/>
      <c r="BQ448" s="454"/>
      <c r="BR448" s="454"/>
      <c r="BS448" s="454"/>
      <c r="BT448" s="454"/>
      <c r="BU448" s="454"/>
      <c r="BV448" s="454"/>
      <c r="BW448" s="454"/>
      <c r="BX448" s="454"/>
      <c r="BY448" s="454"/>
      <c r="BZ448" s="454"/>
      <c r="CA448" s="454"/>
      <c r="CB448" s="454"/>
      <c r="CC448" s="454"/>
      <c r="CD448" s="454"/>
      <c r="CE448" s="454"/>
      <c r="CF448" s="454"/>
      <c r="CG448" s="454"/>
      <c r="CH448" s="454"/>
      <c r="CI448" s="454"/>
      <c r="CJ448" s="454"/>
      <c r="CK448" s="454"/>
      <c r="CL448" s="454"/>
      <c r="CM448" s="454"/>
      <c r="CN448" s="454"/>
      <c r="CO448" s="454"/>
      <c r="CP448" s="454"/>
      <c r="CQ448" s="454"/>
      <c r="CR448" s="454"/>
      <c r="CS448" s="454"/>
      <c r="CT448" s="454"/>
      <c r="CU448" s="454"/>
      <c r="CV448" s="517"/>
      <c r="CW448" s="517"/>
      <c r="CX448" s="517"/>
      <c r="CY448" s="517"/>
      <c r="CZ448" s="517"/>
      <c r="DA448" s="517"/>
      <c r="DB448" s="517"/>
      <c r="DC448" s="517"/>
      <c r="DD448" s="517">
        <f t="shared" si="69"/>
        <v>0</v>
      </c>
      <c r="DE448" s="517"/>
      <c r="DF448" s="517"/>
      <c r="DG448" s="517"/>
      <c r="DH448" s="517"/>
      <c r="DI448" s="454"/>
      <c r="DJ448" s="454"/>
      <c r="DK448" s="454"/>
      <c r="DL448" s="454"/>
      <c r="DM448" s="454"/>
      <c r="DN448" s="454"/>
      <c r="DO448" s="454"/>
      <c r="DP448" s="454"/>
      <c r="DQ448" s="454"/>
      <c r="DR448" s="454"/>
      <c r="DS448" s="454"/>
      <c r="DT448" s="454"/>
      <c r="DU448" s="454"/>
      <c r="DV448" s="454"/>
      <c r="DW448" s="454"/>
      <c r="DX448" s="454"/>
      <c r="DY448" s="454"/>
      <c r="DZ448" s="454">
        <f t="shared" si="70"/>
        <v>0</v>
      </c>
      <c r="EA448" s="454"/>
      <c r="EB448" s="454"/>
      <c r="EC448" s="454"/>
      <c r="ED448" s="454"/>
      <c r="EE448" s="454"/>
      <c r="EF448" s="454"/>
      <c r="EG448" s="454"/>
      <c r="EH448" s="454"/>
      <c r="EI448" s="454"/>
      <c r="EJ448" s="454"/>
      <c r="EK448" s="454"/>
      <c r="EL448" s="454"/>
      <c r="EM448" s="454"/>
      <c r="EN448" s="454"/>
      <c r="EO448" s="454"/>
      <c r="EP448" s="454"/>
      <c r="EQ448" s="454"/>
      <c r="ER448" s="454"/>
      <c r="ES448" s="454"/>
      <c r="ET448" s="454"/>
      <c r="EU448" s="454"/>
      <c r="EV448" s="454"/>
      <c r="EW448" s="454"/>
      <c r="EX448" s="454"/>
      <c r="EY448" s="454"/>
      <c r="EZ448" s="454"/>
      <c r="FA448" s="454"/>
      <c r="FB448" s="454"/>
      <c r="FC448" s="454"/>
      <c r="FD448" s="454"/>
      <c r="FE448" s="454"/>
      <c r="FF448" s="454"/>
      <c r="FG448" s="290"/>
    </row>
    <row r="449" spans="1:167" s="4" customFormat="1">
      <c r="A449" s="486">
        <f>MATCH(C449,$C$5:$C$507,0)</f>
        <v>445</v>
      </c>
      <c r="B449" s="56"/>
      <c r="C449" s="507" t="s">
        <v>3080</v>
      </c>
      <c r="D449" s="507"/>
      <c r="E449" s="508">
        <f t="shared" ref="E449:AJ449" si="71">SUM(E434:E448)</f>
        <v>466.4</v>
      </c>
      <c r="F449" s="508">
        <f t="shared" si="71"/>
        <v>0</v>
      </c>
      <c r="G449" s="508">
        <f t="shared" si="71"/>
        <v>0</v>
      </c>
      <c r="H449" s="508">
        <f t="shared" si="71"/>
        <v>0</v>
      </c>
      <c r="I449" s="508">
        <f t="shared" si="71"/>
        <v>0</v>
      </c>
      <c r="J449" s="508">
        <f t="shared" si="71"/>
        <v>0</v>
      </c>
      <c r="K449" s="508">
        <f t="shared" si="71"/>
        <v>0</v>
      </c>
      <c r="L449" s="508">
        <f t="shared" si="71"/>
        <v>0</v>
      </c>
      <c r="M449" s="508">
        <f t="shared" si="71"/>
        <v>0</v>
      </c>
      <c r="N449" s="508">
        <f t="shared" si="71"/>
        <v>0</v>
      </c>
      <c r="O449" s="508">
        <f t="shared" si="71"/>
        <v>0</v>
      </c>
      <c r="P449" s="508">
        <f t="shared" si="71"/>
        <v>0</v>
      </c>
      <c r="Q449" s="508">
        <f t="shared" si="71"/>
        <v>0</v>
      </c>
      <c r="R449" s="508">
        <f t="shared" si="71"/>
        <v>0</v>
      </c>
      <c r="S449" s="508">
        <f t="shared" si="71"/>
        <v>0</v>
      </c>
      <c r="T449" s="509">
        <f t="shared" si="71"/>
        <v>0</v>
      </c>
      <c r="U449" s="509">
        <f t="shared" si="71"/>
        <v>0</v>
      </c>
      <c r="V449" s="509">
        <f t="shared" si="71"/>
        <v>0</v>
      </c>
      <c r="W449" s="509">
        <f t="shared" si="71"/>
        <v>0</v>
      </c>
      <c r="X449" s="509">
        <f t="shared" si="71"/>
        <v>0</v>
      </c>
      <c r="Y449" s="509">
        <f t="shared" si="71"/>
        <v>0</v>
      </c>
      <c r="Z449" s="509">
        <f t="shared" si="71"/>
        <v>0</v>
      </c>
      <c r="AA449" s="509">
        <f t="shared" si="71"/>
        <v>0</v>
      </c>
      <c r="AB449" s="509">
        <f t="shared" si="71"/>
        <v>0</v>
      </c>
      <c r="AC449" s="509">
        <f t="shared" si="71"/>
        <v>0</v>
      </c>
      <c r="AD449" s="509">
        <f t="shared" si="71"/>
        <v>0</v>
      </c>
      <c r="AE449" s="509">
        <f t="shared" si="71"/>
        <v>0</v>
      </c>
      <c r="AF449" s="509">
        <f t="shared" si="71"/>
        <v>0</v>
      </c>
      <c r="AG449" s="509">
        <f t="shared" si="71"/>
        <v>0</v>
      </c>
      <c r="AH449" s="509">
        <f t="shared" si="71"/>
        <v>0</v>
      </c>
      <c r="AI449" s="509">
        <f t="shared" si="71"/>
        <v>0</v>
      </c>
      <c r="AJ449" s="509">
        <f t="shared" si="71"/>
        <v>0</v>
      </c>
      <c r="AK449" s="509">
        <f t="shared" ref="AK449:BP449" si="72">SUM(AK434:AK448)</f>
        <v>0</v>
      </c>
      <c r="AL449" s="509">
        <f t="shared" si="72"/>
        <v>0</v>
      </c>
      <c r="AM449" s="509">
        <f t="shared" si="72"/>
        <v>0</v>
      </c>
      <c r="AN449" s="509">
        <f t="shared" si="72"/>
        <v>0</v>
      </c>
      <c r="AO449" s="509">
        <f t="shared" si="72"/>
        <v>0</v>
      </c>
      <c r="AP449" s="509">
        <f t="shared" si="72"/>
        <v>0</v>
      </c>
      <c r="AQ449" s="509">
        <f t="shared" si="72"/>
        <v>0</v>
      </c>
      <c r="AR449" s="509">
        <f t="shared" si="72"/>
        <v>0</v>
      </c>
      <c r="AS449" s="509">
        <f t="shared" si="72"/>
        <v>0</v>
      </c>
      <c r="AT449" s="509">
        <f t="shared" si="72"/>
        <v>0</v>
      </c>
      <c r="AU449" s="509">
        <f t="shared" si="72"/>
        <v>0</v>
      </c>
      <c r="AV449" s="509">
        <f t="shared" si="72"/>
        <v>0</v>
      </c>
      <c r="AW449" s="509">
        <f t="shared" si="72"/>
        <v>0</v>
      </c>
      <c r="AX449" s="509">
        <f t="shared" si="72"/>
        <v>0</v>
      </c>
      <c r="AY449" s="509">
        <f t="shared" si="72"/>
        <v>0</v>
      </c>
      <c r="AZ449" s="509">
        <f t="shared" si="72"/>
        <v>0</v>
      </c>
      <c r="BA449" s="509">
        <f t="shared" si="72"/>
        <v>0</v>
      </c>
      <c r="BB449" s="509">
        <f t="shared" si="72"/>
        <v>0</v>
      </c>
      <c r="BC449" s="509">
        <f t="shared" si="72"/>
        <v>0</v>
      </c>
      <c r="BD449" s="509">
        <f t="shared" si="72"/>
        <v>0</v>
      </c>
      <c r="BE449" s="509">
        <f t="shared" si="72"/>
        <v>0</v>
      </c>
      <c r="BF449" s="509">
        <f t="shared" si="72"/>
        <v>0</v>
      </c>
      <c r="BG449" s="509">
        <f t="shared" si="72"/>
        <v>0</v>
      </c>
      <c r="BH449" s="509">
        <f t="shared" si="72"/>
        <v>0</v>
      </c>
      <c r="BI449" s="509">
        <f t="shared" si="72"/>
        <v>0</v>
      </c>
      <c r="BJ449" s="509">
        <f t="shared" si="72"/>
        <v>0</v>
      </c>
      <c r="BK449" s="509">
        <f t="shared" si="72"/>
        <v>0</v>
      </c>
      <c r="BL449" s="509">
        <f t="shared" si="72"/>
        <v>0</v>
      </c>
      <c r="BM449" s="509">
        <f t="shared" si="72"/>
        <v>0</v>
      </c>
      <c r="BN449" s="509">
        <f t="shared" si="72"/>
        <v>0</v>
      </c>
      <c r="BO449" s="509">
        <f t="shared" si="72"/>
        <v>0</v>
      </c>
      <c r="BP449" s="509">
        <f t="shared" si="72"/>
        <v>0</v>
      </c>
      <c r="BQ449" s="509">
        <f t="shared" ref="BQ449:CV449" si="73">SUM(BQ434:BQ448)</f>
        <v>0</v>
      </c>
      <c r="BR449" s="509">
        <f t="shared" si="73"/>
        <v>0</v>
      </c>
      <c r="BS449" s="509">
        <f t="shared" si="73"/>
        <v>0</v>
      </c>
      <c r="BT449" s="509">
        <f t="shared" si="73"/>
        <v>0</v>
      </c>
      <c r="BU449" s="509">
        <f t="shared" si="73"/>
        <v>0</v>
      </c>
      <c r="BV449" s="509">
        <f t="shared" si="73"/>
        <v>0</v>
      </c>
      <c r="BW449" s="509">
        <f t="shared" si="73"/>
        <v>0</v>
      </c>
      <c r="BX449" s="509">
        <f t="shared" si="73"/>
        <v>0</v>
      </c>
      <c r="BY449" s="509">
        <f t="shared" si="73"/>
        <v>0</v>
      </c>
      <c r="BZ449" s="509">
        <f t="shared" si="73"/>
        <v>0</v>
      </c>
      <c r="CA449" s="509">
        <f t="shared" si="73"/>
        <v>0</v>
      </c>
      <c r="CB449" s="509">
        <f t="shared" si="73"/>
        <v>0</v>
      </c>
      <c r="CC449" s="509">
        <f t="shared" si="73"/>
        <v>0</v>
      </c>
      <c r="CD449" s="509">
        <f t="shared" si="73"/>
        <v>0</v>
      </c>
      <c r="CE449" s="509">
        <f t="shared" si="73"/>
        <v>0</v>
      </c>
      <c r="CF449" s="509">
        <f t="shared" si="73"/>
        <v>0</v>
      </c>
      <c r="CG449" s="509">
        <f t="shared" si="73"/>
        <v>0</v>
      </c>
      <c r="CH449" s="509">
        <f t="shared" si="73"/>
        <v>0</v>
      </c>
      <c r="CI449" s="509">
        <f t="shared" si="73"/>
        <v>0</v>
      </c>
      <c r="CJ449" s="509">
        <f t="shared" si="73"/>
        <v>0</v>
      </c>
      <c r="CK449" s="509">
        <f t="shared" si="73"/>
        <v>0</v>
      </c>
      <c r="CL449" s="509">
        <f t="shared" si="73"/>
        <v>0</v>
      </c>
      <c r="CM449" s="509">
        <f t="shared" si="73"/>
        <v>0</v>
      </c>
      <c r="CN449" s="509">
        <f t="shared" si="73"/>
        <v>0</v>
      </c>
      <c r="CO449" s="509">
        <f t="shared" si="73"/>
        <v>0</v>
      </c>
      <c r="CP449" s="509">
        <f t="shared" si="73"/>
        <v>0</v>
      </c>
      <c r="CQ449" s="509">
        <f t="shared" si="73"/>
        <v>0</v>
      </c>
      <c r="CR449" s="509">
        <f t="shared" si="73"/>
        <v>0</v>
      </c>
      <c r="CS449" s="509">
        <f t="shared" si="73"/>
        <v>0</v>
      </c>
      <c r="CT449" s="509">
        <f t="shared" si="73"/>
        <v>0</v>
      </c>
      <c r="CU449" s="509">
        <f t="shared" si="73"/>
        <v>0</v>
      </c>
      <c r="CV449" s="518">
        <f t="shared" si="73"/>
        <v>0</v>
      </c>
      <c r="CW449" s="518">
        <f t="shared" ref="CW449:EB449" si="74">SUM(CW434:CW448)</f>
        <v>0</v>
      </c>
      <c r="CX449" s="518">
        <f t="shared" si="74"/>
        <v>0</v>
      </c>
      <c r="CY449" s="518">
        <f t="shared" si="74"/>
        <v>0</v>
      </c>
      <c r="CZ449" s="518">
        <f t="shared" si="74"/>
        <v>0</v>
      </c>
      <c r="DA449" s="518">
        <f t="shared" si="74"/>
        <v>0</v>
      </c>
      <c r="DB449" s="518">
        <f t="shared" si="74"/>
        <v>0</v>
      </c>
      <c r="DC449" s="518">
        <f t="shared" si="74"/>
        <v>0</v>
      </c>
      <c r="DD449" s="518">
        <f t="shared" si="74"/>
        <v>466.4</v>
      </c>
      <c r="DE449" s="518">
        <f t="shared" si="74"/>
        <v>0</v>
      </c>
      <c r="DF449" s="518">
        <f t="shared" si="74"/>
        <v>0</v>
      </c>
      <c r="DG449" s="518">
        <f t="shared" si="74"/>
        <v>0</v>
      </c>
      <c r="DH449" s="518">
        <f t="shared" si="74"/>
        <v>0</v>
      </c>
      <c r="DI449" s="509">
        <f t="shared" si="74"/>
        <v>0</v>
      </c>
      <c r="DJ449" s="509">
        <f t="shared" si="74"/>
        <v>0</v>
      </c>
      <c r="DK449" s="509">
        <f t="shared" si="74"/>
        <v>0</v>
      </c>
      <c r="DL449" s="509">
        <f t="shared" si="74"/>
        <v>0</v>
      </c>
      <c r="DM449" s="509">
        <f t="shared" si="74"/>
        <v>0</v>
      </c>
      <c r="DN449" s="509">
        <f t="shared" si="74"/>
        <v>8</v>
      </c>
      <c r="DO449" s="509">
        <f t="shared" si="74"/>
        <v>24</v>
      </c>
      <c r="DP449" s="509">
        <f t="shared" si="74"/>
        <v>27</v>
      </c>
      <c r="DQ449" s="509">
        <f t="shared" si="74"/>
        <v>7</v>
      </c>
      <c r="DR449" s="509">
        <f t="shared" si="74"/>
        <v>12</v>
      </c>
      <c r="DS449" s="509">
        <f t="shared" si="74"/>
        <v>0</v>
      </c>
      <c r="DT449" s="509">
        <f t="shared" si="74"/>
        <v>0</v>
      </c>
      <c r="DU449" s="509">
        <f t="shared" si="74"/>
        <v>0</v>
      </c>
      <c r="DV449" s="509">
        <f t="shared" si="74"/>
        <v>0</v>
      </c>
      <c r="DW449" s="509">
        <f t="shared" si="74"/>
        <v>0</v>
      </c>
      <c r="DX449" s="509">
        <f t="shared" si="74"/>
        <v>0</v>
      </c>
      <c r="DY449" s="509">
        <f t="shared" si="74"/>
        <v>0</v>
      </c>
      <c r="DZ449" s="509">
        <f t="shared" si="74"/>
        <v>8</v>
      </c>
      <c r="EA449" s="509">
        <f t="shared" si="74"/>
        <v>0</v>
      </c>
      <c r="EB449" s="509">
        <f t="shared" si="74"/>
        <v>0</v>
      </c>
      <c r="EC449" s="509">
        <f t="shared" ref="EC449:FE449" si="75">SUM(EC434:EC448)</f>
        <v>0</v>
      </c>
      <c r="ED449" s="509">
        <f t="shared" si="75"/>
        <v>19</v>
      </c>
      <c r="EE449" s="509">
        <f t="shared" si="75"/>
        <v>0</v>
      </c>
      <c r="EF449" s="509">
        <f t="shared" si="75"/>
        <v>0</v>
      </c>
      <c r="EG449" s="509">
        <f t="shared" si="75"/>
        <v>0</v>
      </c>
      <c r="EH449" s="509">
        <f t="shared" si="75"/>
        <v>0</v>
      </c>
      <c r="EI449" s="509">
        <f t="shared" si="75"/>
        <v>0</v>
      </c>
      <c r="EJ449" s="509">
        <f t="shared" si="75"/>
        <v>0</v>
      </c>
      <c r="EK449" s="509">
        <f t="shared" si="75"/>
        <v>0</v>
      </c>
      <c r="EL449" s="509">
        <f t="shared" si="75"/>
        <v>0</v>
      </c>
      <c r="EM449" s="509">
        <f t="shared" si="75"/>
        <v>0</v>
      </c>
      <c r="EN449" s="509">
        <f t="shared" si="75"/>
        <v>0</v>
      </c>
      <c r="EO449" s="509">
        <f t="shared" si="75"/>
        <v>0</v>
      </c>
      <c r="EP449" s="509">
        <f t="shared" si="75"/>
        <v>0</v>
      </c>
      <c r="EQ449" s="509">
        <f t="shared" si="75"/>
        <v>0</v>
      </c>
      <c r="ER449" s="509">
        <f t="shared" si="75"/>
        <v>0</v>
      </c>
      <c r="ES449" s="509">
        <f t="shared" si="75"/>
        <v>0</v>
      </c>
      <c r="ET449" s="509">
        <f t="shared" si="75"/>
        <v>0</v>
      </c>
      <c r="EU449" s="509">
        <f t="shared" si="75"/>
        <v>0</v>
      </c>
      <c r="EV449" s="509">
        <f t="shared" si="75"/>
        <v>0</v>
      </c>
      <c r="EW449" s="509">
        <f t="shared" si="75"/>
        <v>0</v>
      </c>
      <c r="EX449" s="509">
        <f t="shared" si="75"/>
        <v>0</v>
      </c>
      <c r="EY449" s="509">
        <f t="shared" si="75"/>
        <v>0</v>
      </c>
      <c r="EZ449" s="509">
        <f t="shared" si="75"/>
        <v>0</v>
      </c>
      <c r="FA449" s="509">
        <f t="shared" si="75"/>
        <v>0</v>
      </c>
      <c r="FB449" s="509">
        <f t="shared" si="75"/>
        <v>0</v>
      </c>
      <c r="FC449" s="509">
        <f t="shared" si="75"/>
        <v>0</v>
      </c>
      <c r="FD449" s="509">
        <f t="shared" si="75"/>
        <v>0</v>
      </c>
      <c r="FE449" s="509">
        <f t="shared" si="75"/>
        <v>0</v>
      </c>
      <c r="FF449" s="509"/>
      <c r="FG449" s="508"/>
      <c r="FK449" s="4">
        <f t="shared" si="68"/>
        <v>24</v>
      </c>
    </row>
    <row r="450" spans="1:167" s="4" customFormat="1" hidden="1">
      <c r="A450" s="56"/>
      <c r="B450" s="56">
        <v>10</v>
      </c>
      <c r="C450" s="501" t="s">
        <v>3444</v>
      </c>
      <c r="D450" s="502"/>
      <c r="E450" s="503"/>
      <c r="F450" s="503"/>
      <c r="G450" s="503"/>
      <c r="H450" s="503"/>
      <c r="I450" s="503"/>
      <c r="J450" s="503"/>
      <c r="K450" s="503"/>
      <c r="L450" s="503"/>
      <c r="M450" s="503"/>
      <c r="N450" s="503"/>
      <c r="O450" s="503"/>
      <c r="P450" s="503"/>
      <c r="Q450" s="503"/>
      <c r="R450" s="503"/>
      <c r="S450" s="503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504"/>
      <c r="BL450" s="504"/>
      <c r="BM450" s="504"/>
      <c r="BN450" s="504"/>
      <c r="BO450" s="504"/>
      <c r="BP450" s="504"/>
      <c r="BQ450" s="504"/>
      <c r="BR450" s="504"/>
      <c r="BS450" s="504"/>
      <c r="BT450" s="504"/>
      <c r="BU450" s="504"/>
      <c r="BV450" s="504"/>
      <c r="BW450" s="504"/>
      <c r="BX450" s="504"/>
      <c r="BY450" s="504"/>
      <c r="BZ450" s="504"/>
      <c r="CA450" s="504"/>
      <c r="CB450" s="504"/>
      <c r="CC450" s="504"/>
      <c r="CD450" s="504"/>
      <c r="CE450" s="504"/>
      <c r="CF450" s="504"/>
      <c r="CG450" s="504"/>
      <c r="CH450" s="504"/>
      <c r="CI450" s="504"/>
      <c r="CJ450" s="504"/>
      <c r="CK450" s="504"/>
      <c r="CL450" s="504"/>
      <c r="CM450" s="504"/>
      <c r="CN450" s="504"/>
      <c r="CO450" s="504"/>
      <c r="CP450" s="504"/>
      <c r="CQ450" s="504"/>
      <c r="CR450" s="504"/>
      <c r="CS450" s="504"/>
      <c r="CT450" s="504"/>
      <c r="CU450" s="504"/>
      <c r="CV450" s="519"/>
      <c r="CW450" s="519"/>
      <c r="CX450" s="519"/>
      <c r="CY450" s="519"/>
      <c r="CZ450" s="519"/>
      <c r="DA450" s="519"/>
      <c r="DB450" s="519"/>
      <c r="DC450" s="519"/>
      <c r="DD450" s="519"/>
      <c r="DE450" s="519"/>
      <c r="DF450" s="519"/>
      <c r="DG450" s="519"/>
      <c r="DH450" s="519"/>
      <c r="DI450" s="504"/>
      <c r="DJ450" s="504"/>
      <c r="DK450" s="504"/>
      <c r="DL450" s="504"/>
      <c r="DM450" s="504"/>
      <c r="DN450" s="504"/>
      <c r="DO450" s="504"/>
      <c r="DP450" s="504"/>
      <c r="DQ450" s="504"/>
      <c r="DR450" s="504"/>
      <c r="DS450" s="504"/>
      <c r="DT450" s="504"/>
      <c r="DU450" s="504"/>
      <c r="DV450" s="504"/>
      <c r="DW450" s="504"/>
      <c r="DX450" s="504"/>
      <c r="DY450" s="504"/>
      <c r="DZ450" s="504"/>
      <c r="EA450" s="504"/>
      <c r="EB450" s="504"/>
      <c r="EC450" s="504"/>
      <c r="ED450" s="504"/>
      <c r="EE450" s="504"/>
      <c r="EF450" s="504"/>
      <c r="EG450" s="504"/>
      <c r="EH450" s="504"/>
      <c r="EI450" s="504"/>
      <c r="EJ450" s="504"/>
      <c r="EK450" s="504"/>
      <c r="EL450" s="504"/>
      <c r="EM450" s="504"/>
      <c r="EN450" s="504"/>
      <c r="EO450" s="504"/>
      <c r="EP450" s="504"/>
      <c r="EQ450" s="504"/>
      <c r="ER450" s="504"/>
      <c r="ES450" s="504"/>
      <c r="ET450" s="504"/>
      <c r="EU450" s="504"/>
      <c r="EV450" s="504"/>
      <c r="EW450" s="504"/>
      <c r="EX450" s="504"/>
      <c r="EY450" s="504"/>
      <c r="EZ450" s="504"/>
      <c r="FA450" s="504"/>
      <c r="FB450" s="504"/>
      <c r="FC450" s="504"/>
      <c r="FD450" s="504"/>
      <c r="FE450" s="504"/>
      <c r="FF450" s="504"/>
      <c r="FG450" s="505"/>
      <c r="FK450" s="4">
        <f t="shared" si="68"/>
        <v>0</v>
      </c>
    </row>
    <row r="451" spans="1:167" s="4" customFormat="1" hidden="1">
      <c r="A451" s="56"/>
      <c r="B451" s="56"/>
      <c r="C451" s="498"/>
      <c r="D451" s="498"/>
      <c r="E451" s="454"/>
      <c r="F451" s="454"/>
      <c r="G451" s="454"/>
      <c r="H451" s="454"/>
      <c r="I451" s="454"/>
      <c r="J451" s="454"/>
      <c r="K451" s="454"/>
      <c r="L451" s="454"/>
      <c r="M451" s="454"/>
      <c r="N451" s="454"/>
      <c r="O451" s="454"/>
      <c r="P451" s="454"/>
      <c r="Q451" s="454"/>
      <c r="R451" s="290"/>
      <c r="S451" s="290"/>
      <c r="T451" s="454"/>
      <c r="U451" s="454"/>
      <c r="V451" s="454"/>
      <c r="W451" s="454"/>
      <c r="X451" s="454"/>
      <c r="Y451" s="454"/>
      <c r="Z451" s="454"/>
      <c r="AA451" s="454"/>
      <c r="AB451" s="454"/>
      <c r="AC451" s="454"/>
      <c r="AD451" s="454"/>
      <c r="AE451" s="454"/>
      <c r="AF451" s="454"/>
      <c r="AG451" s="454"/>
      <c r="AH451" s="454"/>
      <c r="AI451" s="454"/>
      <c r="AJ451" s="454"/>
      <c r="AK451" s="454"/>
      <c r="AL451" s="454"/>
      <c r="AM451" s="454"/>
      <c r="AN451" s="454"/>
      <c r="AO451" s="454"/>
      <c r="AP451" s="454"/>
      <c r="AQ451" s="454"/>
      <c r="AR451" s="454"/>
      <c r="AS451" s="454"/>
      <c r="AT451" s="454"/>
      <c r="AU451" s="454"/>
      <c r="AV451" s="454"/>
      <c r="AW451" s="454"/>
      <c r="AX451" s="454"/>
      <c r="AY451" s="454"/>
      <c r="AZ451" s="454"/>
      <c r="BA451" s="454"/>
      <c r="BB451" s="454"/>
      <c r="BC451" s="454"/>
      <c r="BD451" s="454"/>
      <c r="BE451" s="454"/>
      <c r="BF451" s="454"/>
      <c r="BG451" s="454"/>
      <c r="BH451" s="454"/>
      <c r="BI451" s="454"/>
      <c r="BJ451" s="454"/>
      <c r="BK451" s="454"/>
      <c r="BL451" s="454"/>
      <c r="BM451" s="454"/>
      <c r="BN451" s="454"/>
      <c r="BO451" s="454"/>
      <c r="BP451" s="454"/>
      <c r="BQ451" s="454"/>
      <c r="BR451" s="454"/>
      <c r="BS451" s="454"/>
      <c r="BT451" s="454"/>
      <c r="BU451" s="454"/>
      <c r="BV451" s="454"/>
      <c r="BW451" s="454"/>
      <c r="BX451" s="454"/>
      <c r="BY451" s="454"/>
      <c r="BZ451" s="454"/>
      <c r="CA451" s="454"/>
      <c r="CB451" s="454"/>
      <c r="CC451" s="454"/>
      <c r="CD451" s="454"/>
      <c r="CE451" s="454"/>
      <c r="CF451" s="454"/>
      <c r="CG451" s="454"/>
      <c r="CH451" s="454"/>
      <c r="CI451" s="454"/>
      <c r="CJ451" s="454"/>
      <c r="CK451" s="454"/>
      <c r="CL451" s="454"/>
      <c r="CM451" s="454"/>
      <c r="CN451" s="454"/>
      <c r="CO451" s="454"/>
      <c r="CP451" s="454"/>
      <c r="CQ451" s="454"/>
      <c r="CR451" s="454"/>
      <c r="CS451" s="454"/>
      <c r="CT451" s="454"/>
      <c r="CU451" s="454"/>
      <c r="CV451" s="517"/>
      <c r="CW451" s="517"/>
      <c r="CX451" s="517"/>
      <c r="CY451" s="517"/>
      <c r="CZ451" s="517"/>
      <c r="DA451" s="517"/>
      <c r="DB451" s="517"/>
      <c r="DC451" s="517"/>
      <c r="DD451" s="517"/>
      <c r="DE451" s="517"/>
      <c r="DF451" s="517"/>
      <c r="DG451" s="517"/>
      <c r="DH451" s="517"/>
      <c r="DI451" s="454"/>
      <c r="DJ451" s="454"/>
      <c r="DK451" s="454"/>
      <c r="DL451" s="454"/>
      <c r="DM451" s="454"/>
      <c r="DN451" s="454"/>
      <c r="DO451" s="454"/>
      <c r="DP451" s="454"/>
      <c r="DQ451" s="454"/>
      <c r="DR451" s="454"/>
      <c r="DS451" s="454"/>
      <c r="DT451" s="454"/>
      <c r="DU451" s="454"/>
      <c r="DV451" s="454"/>
      <c r="DW451" s="454"/>
      <c r="DX451" s="454"/>
      <c r="DY451" s="454"/>
      <c r="DZ451" s="454"/>
      <c r="EA451" s="454"/>
      <c r="EB451" s="454"/>
      <c r="EC451" s="454"/>
      <c r="ED451" s="454"/>
      <c r="EE451" s="454"/>
      <c r="EF451" s="454"/>
      <c r="EG451" s="454"/>
      <c r="EH451" s="454"/>
      <c r="EI451" s="454"/>
      <c r="EJ451" s="454"/>
      <c r="EK451" s="454"/>
      <c r="EL451" s="454"/>
      <c r="EM451" s="454"/>
      <c r="EN451" s="454"/>
      <c r="EO451" s="454"/>
      <c r="EP451" s="454"/>
      <c r="EQ451" s="454"/>
      <c r="ER451" s="454"/>
      <c r="ES451" s="454"/>
      <c r="ET451" s="454"/>
      <c r="EU451" s="454"/>
      <c r="EV451" s="454"/>
      <c r="EW451" s="454"/>
      <c r="EX451" s="454"/>
      <c r="EY451" s="454"/>
      <c r="EZ451" s="454"/>
      <c r="FA451" s="454"/>
      <c r="FB451" s="454"/>
      <c r="FC451" s="454"/>
      <c r="FD451" s="454"/>
      <c r="FE451" s="454"/>
      <c r="FF451" s="454"/>
      <c r="FG451" s="290"/>
    </row>
    <row r="452" spans="1:167" s="4" customFormat="1" hidden="1">
      <c r="A452" s="56"/>
      <c r="B452" s="56"/>
      <c r="C452" s="498"/>
      <c r="D452" s="498"/>
      <c r="E452" s="454"/>
      <c r="F452" s="454"/>
      <c r="G452" s="454"/>
      <c r="H452" s="454"/>
      <c r="I452" s="454"/>
      <c r="J452" s="454"/>
      <c r="K452" s="454"/>
      <c r="L452" s="454"/>
      <c r="M452" s="454"/>
      <c r="N452" s="454"/>
      <c r="O452" s="454"/>
      <c r="P452" s="454"/>
      <c r="Q452" s="454"/>
      <c r="R452" s="290"/>
      <c r="S452" s="290"/>
      <c r="T452" s="454"/>
      <c r="U452" s="454"/>
      <c r="V452" s="454"/>
      <c r="W452" s="454"/>
      <c r="X452" s="454"/>
      <c r="Y452" s="454"/>
      <c r="Z452" s="454"/>
      <c r="AA452" s="454"/>
      <c r="AB452" s="454"/>
      <c r="AC452" s="454"/>
      <c r="AD452" s="454"/>
      <c r="AE452" s="454"/>
      <c r="AF452" s="454"/>
      <c r="AG452" s="454"/>
      <c r="AH452" s="454"/>
      <c r="AI452" s="454"/>
      <c r="AJ452" s="454"/>
      <c r="AK452" s="454"/>
      <c r="AL452" s="454"/>
      <c r="AM452" s="454"/>
      <c r="AN452" s="454"/>
      <c r="AO452" s="454"/>
      <c r="AP452" s="454"/>
      <c r="AQ452" s="454"/>
      <c r="AR452" s="454"/>
      <c r="AS452" s="454"/>
      <c r="AT452" s="454"/>
      <c r="AU452" s="454"/>
      <c r="AV452" s="454"/>
      <c r="AW452" s="454"/>
      <c r="AX452" s="454"/>
      <c r="AY452" s="454"/>
      <c r="AZ452" s="454"/>
      <c r="BA452" s="454"/>
      <c r="BB452" s="454"/>
      <c r="BC452" s="454"/>
      <c r="BD452" s="454"/>
      <c r="BE452" s="454"/>
      <c r="BF452" s="454"/>
      <c r="BG452" s="454"/>
      <c r="BH452" s="454"/>
      <c r="BI452" s="454"/>
      <c r="BJ452" s="454"/>
      <c r="BK452" s="454"/>
      <c r="BL452" s="454"/>
      <c r="BM452" s="454"/>
      <c r="BN452" s="454"/>
      <c r="BO452" s="454"/>
      <c r="BP452" s="454"/>
      <c r="BQ452" s="454"/>
      <c r="BR452" s="454"/>
      <c r="BS452" s="454"/>
      <c r="BT452" s="454"/>
      <c r="BU452" s="454"/>
      <c r="BV452" s="454"/>
      <c r="BW452" s="454"/>
      <c r="BX452" s="454"/>
      <c r="BY452" s="454"/>
      <c r="BZ452" s="454"/>
      <c r="CA452" s="454"/>
      <c r="CB452" s="454"/>
      <c r="CC452" s="454"/>
      <c r="CD452" s="454"/>
      <c r="CE452" s="454"/>
      <c r="CF452" s="454"/>
      <c r="CG452" s="454"/>
      <c r="CH452" s="454"/>
      <c r="CI452" s="454"/>
      <c r="CJ452" s="454"/>
      <c r="CK452" s="454"/>
      <c r="CL452" s="454"/>
      <c r="CM452" s="454"/>
      <c r="CN452" s="454"/>
      <c r="CO452" s="454"/>
      <c r="CP452" s="454"/>
      <c r="CQ452" s="454"/>
      <c r="CR452" s="454"/>
      <c r="CS452" s="454"/>
      <c r="CT452" s="454"/>
      <c r="CU452" s="454"/>
      <c r="CV452" s="517"/>
      <c r="CW452" s="517"/>
      <c r="CX452" s="517"/>
      <c r="CY452" s="517"/>
      <c r="CZ452" s="517"/>
      <c r="DA452" s="517"/>
      <c r="DB452" s="517"/>
      <c r="DC452" s="517"/>
      <c r="DD452" s="517"/>
      <c r="DE452" s="517"/>
      <c r="DF452" s="517"/>
      <c r="DG452" s="517"/>
      <c r="DH452" s="517"/>
      <c r="DI452" s="454"/>
      <c r="DJ452" s="454"/>
      <c r="DK452" s="454"/>
      <c r="DL452" s="454"/>
      <c r="DM452" s="454"/>
      <c r="DN452" s="454"/>
      <c r="DO452" s="454"/>
      <c r="DP452" s="454"/>
      <c r="DQ452" s="454"/>
      <c r="DR452" s="454"/>
      <c r="DS452" s="454"/>
      <c r="DT452" s="454"/>
      <c r="DU452" s="454"/>
      <c r="DV452" s="454"/>
      <c r="DW452" s="454"/>
      <c r="DX452" s="454"/>
      <c r="DY452" s="454"/>
      <c r="DZ452" s="454"/>
      <c r="EA452" s="454"/>
      <c r="EB452" s="454"/>
      <c r="EC452" s="454"/>
      <c r="ED452" s="454"/>
      <c r="EE452" s="454"/>
      <c r="EF452" s="454"/>
      <c r="EG452" s="454"/>
      <c r="EH452" s="454"/>
      <c r="EI452" s="454"/>
      <c r="EJ452" s="454"/>
      <c r="EK452" s="454"/>
      <c r="EL452" s="454"/>
      <c r="EM452" s="454"/>
      <c r="EN452" s="454"/>
      <c r="EO452" s="454"/>
      <c r="EP452" s="454"/>
      <c r="EQ452" s="454"/>
      <c r="ER452" s="454"/>
      <c r="ES452" s="454"/>
      <c r="ET452" s="454"/>
      <c r="EU452" s="454"/>
      <c r="EV452" s="454"/>
      <c r="EW452" s="454"/>
      <c r="EX452" s="454"/>
      <c r="EY452" s="454"/>
      <c r="EZ452" s="454"/>
      <c r="FA452" s="454"/>
      <c r="FB452" s="454"/>
      <c r="FC452" s="454"/>
      <c r="FD452" s="454"/>
      <c r="FE452" s="454"/>
      <c r="FF452" s="454"/>
      <c r="FG452" s="290"/>
    </row>
    <row r="453" spans="1:167" s="4" customFormat="1" hidden="1">
      <c r="A453" s="486">
        <f>MATCH(C453,$C$5:$C$507,0)</f>
        <v>449</v>
      </c>
      <c r="B453" s="56"/>
      <c r="C453" s="507" t="s">
        <v>3082</v>
      </c>
      <c r="D453" s="507"/>
      <c r="E453" s="508">
        <f t="shared" ref="E453:AJ453" si="76">SUM(E451:E452)</f>
        <v>0</v>
      </c>
      <c r="F453" s="508">
        <f t="shared" si="76"/>
        <v>0</v>
      </c>
      <c r="G453" s="508">
        <f t="shared" si="76"/>
        <v>0</v>
      </c>
      <c r="H453" s="508">
        <f t="shared" si="76"/>
        <v>0</v>
      </c>
      <c r="I453" s="508">
        <f t="shared" si="76"/>
        <v>0</v>
      </c>
      <c r="J453" s="508">
        <f t="shared" si="76"/>
        <v>0</v>
      </c>
      <c r="K453" s="508">
        <f t="shared" si="76"/>
        <v>0</v>
      </c>
      <c r="L453" s="508">
        <f t="shared" si="76"/>
        <v>0</v>
      </c>
      <c r="M453" s="508">
        <f t="shared" si="76"/>
        <v>0</v>
      </c>
      <c r="N453" s="508">
        <f t="shared" si="76"/>
        <v>0</v>
      </c>
      <c r="O453" s="508">
        <f t="shared" si="76"/>
        <v>0</v>
      </c>
      <c r="P453" s="508">
        <f t="shared" si="76"/>
        <v>0</v>
      </c>
      <c r="Q453" s="508">
        <f t="shared" si="76"/>
        <v>0</v>
      </c>
      <c r="R453" s="508">
        <f t="shared" si="76"/>
        <v>0</v>
      </c>
      <c r="S453" s="508">
        <f t="shared" si="76"/>
        <v>0</v>
      </c>
      <c r="T453" s="509">
        <f t="shared" si="76"/>
        <v>0</v>
      </c>
      <c r="U453" s="509">
        <f t="shared" si="76"/>
        <v>0</v>
      </c>
      <c r="V453" s="509">
        <f t="shared" si="76"/>
        <v>0</v>
      </c>
      <c r="W453" s="509">
        <f t="shared" si="76"/>
        <v>0</v>
      </c>
      <c r="X453" s="509">
        <f t="shared" si="76"/>
        <v>0</v>
      </c>
      <c r="Y453" s="509">
        <f t="shared" si="76"/>
        <v>0</v>
      </c>
      <c r="Z453" s="509">
        <f t="shared" si="76"/>
        <v>0</v>
      </c>
      <c r="AA453" s="509">
        <f t="shared" si="76"/>
        <v>0</v>
      </c>
      <c r="AB453" s="509">
        <f t="shared" si="76"/>
        <v>0</v>
      </c>
      <c r="AC453" s="509">
        <f t="shared" si="76"/>
        <v>0</v>
      </c>
      <c r="AD453" s="509">
        <f t="shared" si="76"/>
        <v>0</v>
      </c>
      <c r="AE453" s="509">
        <f t="shared" si="76"/>
        <v>0</v>
      </c>
      <c r="AF453" s="509">
        <f t="shared" si="76"/>
        <v>0</v>
      </c>
      <c r="AG453" s="509">
        <f t="shared" si="76"/>
        <v>0</v>
      </c>
      <c r="AH453" s="509">
        <f t="shared" si="76"/>
        <v>0</v>
      </c>
      <c r="AI453" s="509">
        <f t="shared" si="76"/>
        <v>0</v>
      </c>
      <c r="AJ453" s="509">
        <f t="shared" si="76"/>
        <v>0</v>
      </c>
      <c r="AK453" s="509">
        <f t="shared" ref="AK453:BP453" si="77">SUM(AK451:AK452)</f>
        <v>0</v>
      </c>
      <c r="AL453" s="509">
        <f t="shared" si="77"/>
        <v>0</v>
      </c>
      <c r="AM453" s="509">
        <f t="shared" si="77"/>
        <v>0</v>
      </c>
      <c r="AN453" s="509">
        <f t="shared" si="77"/>
        <v>0</v>
      </c>
      <c r="AO453" s="509">
        <f t="shared" si="77"/>
        <v>0</v>
      </c>
      <c r="AP453" s="509">
        <f t="shared" si="77"/>
        <v>0</v>
      </c>
      <c r="AQ453" s="509">
        <f t="shared" si="77"/>
        <v>0</v>
      </c>
      <c r="AR453" s="509">
        <f t="shared" si="77"/>
        <v>0</v>
      </c>
      <c r="AS453" s="509">
        <f t="shared" si="77"/>
        <v>0</v>
      </c>
      <c r="AT453" s="509">
        <f t="shared" si="77"/>
        <v>0</v>
      </c>
      <c r="AU453" s="509">
        <f t="shared" si="77"/>
        <v>0</v>
      </c>
      <c r="AV453" s="509">
        <f t="shared" si="77"/>
        <v>0</v>
      </c>
      <c r="AW453" s="509">
        <f t="shared" si="77"/>
        <v>0</v>
      </c>
      <c r="AX453" s="509">
        <f t="shared" si="77"/>
        <v>0</v>
      </c>
      <c r="AY453" s="509">
        <f t="shared" si="77"/>
        <v>0</v>
      </c>
      <c r="AZ453" s="509">
        <f t="shared" si="77"/>
        <v>0</v>
      </c>
      <c r="BA453" s="509">
        <f t="shared" si="77"/>
        <v>0</v>
      </c>
      <c r="BB453" s="509">
        <f t="shared" si="77"/>
        <v>0</v>
      </c>
      <c r="BC453" s="509">
        <f t="shared" si="77"/>
        <v>0</v>
      </c>
      <c r="BD453" s="509">
        <f t="shared" si="77"/>
        <v>0</v>
      </c>
      <c r="BE453" s="509">
        <f t="shared" si="77"/>
        <v>0</v>
      </c>
      <c r="BF453" s="509">
        <f t="shared" si="77"/>
        <v>0</v>
      </c>
      <c r="BG453" s="509">
        <f t="shared" si="77"/>
        <v>0</v>
      </c>
      <c r="BH453" s="509">
        <f t="shared" si="77"/>
        <v>0</v>
      </c>
      <c r="BI453" s="509">
        <f t="shared" si="77"/>
        <v>0</v>
      </c>
      <c r="BJ453" s="509">
        <f t="shared" si="77"/>
        <v>0</v>
      </c>
      <c r="BK453" s="509">
        <f t="shared" si="77"/>
        <v>0</v>
      </c>
      <c r="BL453" s="509">
        <f t="shared" si="77"/>
        <v>0</v>
      </c>
      <c r="BM453" s="509">
        <f t="shared" si="77"/>
        <v>0</v>
      </c>
      <c r="BN453" s="509">
        <f t="shared" si="77"/>
        <v>0</v>
      </c>
      <c r="BO453" s="509">
        <f t="shared" si="77"/>
        <v>0</v>
      </c>
      <c r="BP453" s="509">
        <f t="shared" si="77"/>
        <v>0</v>
      </c>
      <c r="BQ453" s="509">
        <f t="shared" ref="BQ453:CW453" si="78">SUM(BQ451:BQ452)</f>
        <v>0</v>
      </c>
      <c r="BR453" s="509">
        <f t="shared" si="78"/>
        <v>0</v>
      </c>
      <c r="BS453" s="509">
        <f t="shared" si="78"/>
        <v>0</v>
      </c>
      <c r="BT453" s="509">
        <f t="shared" si="78"/>
        <v>0</v>
      </c>
      <c r="BU453" s="509">
        <f t="shared" si="78"/>
        <v>0</v>
      </c>
      <c r="BV453" s="509">
        <f t="shared" si="78"/>
        <v>0</v>
      </c>
      <c r="BW453" s="509">
        <f t="shared" si="78"/>
        <v>0</v>
      </c>
      <c r="BX453" s="509">
        <f t="shared" si="78"/>
        <v>0</v>
      </c>
      <c r="BY453" s="509">
        <f t="shared" si="78"/>
        <v>0</v>
      </c>
      <c r="BZ453" s="509">
        <f t="shared" si="78"/>
        <v>0</v>
      </c>
      <c r="CA453" s="509">
        <f t="shared" si="78"/>
        <v>0</v>
      </c>
      <c r="CB453" s="509">
        <f t="shared" si="78"/>
        <v>0</v>
      </c>
      <c r="CC453" s="509">
        <f t="shared" si="78"/>
        <v>0</v>
      </c>
      <c r="CD453" s="509">
        <f t="shared" si="78"/>
        <v>0</v>
      </c>
      <c r="CE453" s="509">
        <f t="shared" si="78"/>
        <v>0</v>
      </c>
      <c r="CF453" s="509">
        <f t="shared" si="78"/>
        <v>0</v>
      </c>
      <c r="CG453" s="509">
        <f t="shared" si="78"/>
        <v>0</v>
      </c>
      <c r="CH453" s="509">
        <f t="shared" si="78"/>
        <v>0</v>
      </c>
      <c r="CI453" s="509">
        <f t="shared" si="78"/>
        <v>0</v>
      </c>
      <c r="CJ453" s="509">
        <f t="shared" si="78"/>
        <v>0</v>
      </c>
      <c r="CK453" s="509">
        <f t="shared" si="78"/>
        <v>0</v>
      </c>
      <c r="CL453" s="509">
        <f t="shared" si="78"/>
        <v>0</v>
      </c>
      <c r="CM453" s="509">
        <f t="shared" si="78"/>
        <v>0</v>
      </c>
      <c r="CN453" s="509">
        <f t="shared" si="78"/>
        <v>0</v>
      </c>
      <c r="CO453" s="509">
        <f t="shared" si="78"/>
        <v>0</v>
      </c>
      <c r="CP453" s="509">
        <f t="shared" si="78"/>
        <v>0</v>
      </c>
      <c r="CQ453" s="509">
        <f t="shared" si="78"/>
        <v>0</v>
      </c>
      <c r="CR453" s="509">
        <f t="shared" si="78"/>
        <v>0</v>
      </c>
      <c r="CS453" s="509">
        <f t="shared" si="78"/>
        <v>0</v>
      </c>
      <c r="CT453" s="509">
        <f>SUM(CT451:CT452)</f>
        <v>0</v>
      </c>
      <c r="CU453" s="509">
        <f t="shared" si="78"/>
        <v>0</v>
      </c>
      <c r="CV453" s="518">
        <f t="shared" si="78"/>
        <v>0</v>
      </c>
      <c r="CW453" s="518">
        <f t="shared" si="78"/>
        <v>0</v>
      </c>
      <c r="CX453" s="518">
        <f>SUM(CX451:CX452)</f>
        <v>0</v>
      </c>
      <c r="CY453" s="518">
        <f t="shared" ref="CY453:ED453" si="79">SUM(CY451:CY452)</f>
        <v>0</v>
      </c>
      <c r="CZ453" s="518">
        <f t="shared" si="79"/>
        <v>0</v>
      </c>
      <c r="DA453" s="518">
        <f t="shared" si="79"/>
        <v>0</v>
      </c>
      <c r="DB453" s="518">
        <f t="shared" si="79"/>
        <v>0</v>
      </c>
      <c r="DC453" s="518">
        <f t="shared" si="79"/>
        <v>0</v>
      </c>
      <c r="DD453" s="518">
        <f t="shared" si="79"/>
        <v>0</v>
      </c>
      <c r="DE453" s="518">
        <f t="shared" si="79"/>
        <v>0</v>
      </c>
      <c r="DF453" s="518">
        <f t="shared" si="79"/>
        <v>0</v>
      </c>
      <c r="DG453" s="518">
        <f t="shared" si="79"/>
        <v>0</v>
      </c>
      <c r="DH453" s="518">
        <f t="shared" si="79"/>
        <v>0</v>
      </c>
      <c r="DI453" s="509">
        <f t="shared" si="79"/>
        <v>0</v>
      </c>
      <c r="DJ453" s="509">
        <f t="shared" si="79"/>
        <v>0</v>
      </c>
      <c r="DK453" s="509">
        <f t="shared" si="79"/>
        <v>0</v>
      </c>
      <c r="DL453" s="509">
        <f t="shared" si="79"/>
        <v>0</v>
      </c>
      <c r="DM453" s="509">
        <f t="shared" si="79"/>
        <v>0</v>
      </c>
      <c r="DN453" s="509">
        <f t="shared" si="79"/>
        <v>0</v>
      </c>
      <c r="DO453" s="509">
        <f t="shared" si="79"/>
        <v>0</v>
      </c>
      <c r="DP453" s="509">
        <f t="shared" si="79"/>
        <v>0</v>
      </c>
      <c r="DQ453" s="509">
        <f t="shared" si="79"/>
        <v>0</v>
      </c>
      <c r="DR453" s="509">
        <f t="shared" si="79"/>
        <v>0</v>
      </c>
      <c r="DS453" s="509">
        <f t="shared" si="79"/>
        <v>0</v>
      </c>
      <c r="DT453" s="509">
        <f t="shared" si="79"/>
        <v>0</v>
      </c>
      <c r="DU453" s="509">
        <f t="shared" si="79"/>
        <v>0</v>
      </c>
      <c r="DV453" s="509">
        <f t="shared" si="79"/>
        <v>0</v>
      </c>
      <c r="DW453" s="509">
        <f t="shared" si="79"/>
        <v>0</v>
      </c>
      <c r="DX453" s="509">
        <f t="shared" si="79"/>
        <v>0</v>
      </c>
      <c r="DY453" s="509">
        <f t="shared" si="79"/>
        <v>0</v>
      </c>
      <c r="DZ453" s="509">
        <f t="shared" si="79"/>
        <v>0</v>
      </c>
      <c r="EA453" s="509">
        <f t="shared" si="79"/>
        <v>0</v>
      </c>
      <c r="EB453" s="509">
        <f t="shared" si="79"/>
        <v>0</v>
      </c>
      <c r="EC453" s="509">
        <f t="shared" si="79"/>
        <v>0</v>
      </c>
      <c r="ED453" s="509">
        <f t="shared" si="79"/>
        <v>0</v>
      </c>
      <c r="EE453" s="509">
        <f t="shared" ref="EE453:FE453" si="80">SUM(EE451:EE452)</f>
        <v>0</v>
      </c>
      <c r="EF453" s="509">
        <f t="shared" si="80"/>
        <v>0</v>
      </c>
      <c r="EG453" s="509">
        <f t="shared" si="80"/>
        <v>0</v>
      </c>
      <c r="EH453" s="509">
        <f t="shared" si="80"/>
        <v>0</v>
      </c>
      <c r="EI453" s="509">
        <f t="shared" si="80"/>
        <v>0</v>
      </c>
      <c r="EJ453" s="509">
        <f t="shared" si="80"/>
        <v>0</v>
      </c>
      <c r="EK453" s="509">
        <f t="shared" si="80"/>
        <v>0</v>
      </c>
      <c r="EL453" s="509">
        <f t="shared" si="80"/>
        <v>0</v>
      </c>
      <c r="EM453" s="509">
        <f t="shared" si="80"/>
        <v>0</v>
      </c>
      <c r="EN453" s="509">
        <f t="shared" si="80"/>
        <v>0</v>
      </c>
      <c r="EO453" s="509">
        <f t="shared" si="80"/>
        <v>0</v>
      </c>
      <c r="EP453" s="509">
        <f t="shared" si="80"/>
        <v>0</v>
      </c>
      <c r="EQ453" s="509">
        <f t="shared" si="80"/>
        <v>0</v>
      </c>
      <c r="ER453" s="509">
        <f t="shared" si="80"/>
        <v>0</v>
      </c>
      <c r="ES453" s="509">
        <f t="shared" si="80"/>
        <v>0</v>
      </c>
      <c r="ET453" s="509">
        <f t="shared" si="80"/>
        <v>0</v>
      </c>
      <c r="EU453" s="509">
        <f t="shared" si="80"/>
        <v>0</v>
      </c>
      <c r="EV453" s="509">
        <f t="shared" si="80"/>
        <v>0</v>
      </c>
      <c r="EW453" s="509">
        <f t="shared" si="80"/>
        <v>0</v>
      </c>
      <c r="EX453" s="509">
        <f t="shared" si="80"/>
        <v>0</v>
      </c>
      <c r="EY453" s="509">
        <f t="shared" si="80"/>
        <v>0</v>
      </c>
      <c r="EZ453" s="509">
        <f t="shared" si="80"/>
        <v>0</v>
      </c>
      <c r="FA453" s="509">
        <f t="shared" si="80"/>
        <v>0</v>
      </c>
      <c r="FB453" s="509">
        <f t="shared" si="80"/>
        <v>0</v>
      </c>
      <c r="FC453" s="509">
        <f t="shared" si="80"/>
        <v>0</v>
      </c>
      <c r="FD453" s="509">
        <f t="shared" si="80"/>
        <v>0</v>
      </c>
      <c r="FE453" s="509">
        <f t="shared" si="80"/>
        <v>0</v>
      </c>
      <c r="FF453" s="509"/>
      <c r="FG453" s="508"/>
      <c r="FK453" s="4">
        <f t="shared" si="68"/>
        <v>0</v>
      </c>
    </row>
    <row r="454" spans="1:167" s="4" customFormat="1" hidden="1">
      <c r="A454" s="56"/>
      <c r="B454" s="56">
        <v>11</v>
      </c>
      <c r="C454" s="501" t="s">
        <v>3445</v>
      </c>
      <c r="D454" s="502"/>
      <c r="E454" s="503"/>
      <c r="F454" s="503"/>
      <c r="G454" s="503"/>
      <c r="H454" s="503"/>
      <c r="I454" s="503"/>
      <c r="J454" s="503"/>
      <c r="K454" s="503"/>
      <c r="L454" s="503"/>
      <c r="M454" s="503"/>
      <c r="N454" s="503"/>
      <c r="O454" s="503"/>
      <c r="P454" s="503"/>
      <c r="Q454" s="503"/>
      <c r="R454" s="503"/>
      <c r="S454" s="503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504"/>
      <c r="BL454" s="504"/>
      <c r="BM454" s="504"/>
      <c r="BN454" s="504"/>
      <c r="BO454" s="504"/>
      <c r="BP454" s="504"/>
      <c r="BQ454" s="504"/>
      <c r="BR454" s="504"/>
      <c r="BS454" s="504"/>
      <c r="BT454" s="504"/>
      <c r="BU454" s="504"/>
      <c r="BV454" s="504"/>
      <c r="BW454" s="504"/>
      <c r="BX454" s="504"/>
      <c r="BY454" s="504"/>
      <c r="BZ454" s="504"/>
      <c r="CA454" s="504"/>
      <c r="CB454" s="504"/>
      <c r="CC454" s="504"/>
      <c r="CD454" s="504"/>
      <c r="CE454" s="504"/>
      <c r="CF454" s="504"/>
      <c r="CG454" s="504"/>
      <c r="CH454" s="504"/>
      <c r="CI454" s="504"/>
      <c r="CJ454" s="504"/>
      <c r="CK454" s="504"/>
      <c r="CL454" s="504"/>
      <c r="CM454" s="504"/>
      <c r="CN454" s="504"/>
      <c r="CO454" s="504"/>
      <c r="CP454" s="504"/>
      <c r="CQ454" s="504"/>
      <c r="CR454" s="504"/>
      <c r="CS454" s="504"/>
      <c r="CT454" s="504"/>
      <c r="CU454" s="504"/>
      <c r="CV454" s="519"/>
      <c r="CW454" s="519"/>
      <c r="CX454" s="519"/>
      <c r="CY454" s="519"/>
      <c r="CZ454" s="519"/>
      <c r="DA454" s="519"/>
      <c r="DB454" s="519"/>
      <c r="DC454" s="519"/>
      <c r="DD454" s="519"/>
      <c r="DE454" s="519"/>
      <c r="DF454" s="519"/>
      <c r="DG454" s="519"/>
      <c r="DH454" s="519"/>
      <c r="DI454" s="504"/>
      <c r="DJ454" s="504"/>
      <c r="DK454" s="504"/>
      <c r="DL454" s="504"/>
      <c r="DM454" s="504"/>
      <c r="DN454" s="504"/>
      <c r="DO454" s="504"/>
      <c r="DP454" s="504"/>
      <c r="DQ454" s="504"/>
      <c r="DR454" s="504"/>
      <c r="DS454" s="504"/>
      <c r="DT454" s="504"/>
      <c r="DU454" s="504"/>
      <c r="DV454" s="504"/>
      <c r="DW454" s="504"/>
      <c r="DX454" s="504"/>
      <c r="DY454" s="504"/>
      <c r="DZ454" s="504"/>
      <c r="EA454" s="504"/>
      <c r="EB454" s="504"/>
      <c r="EC454" s="504"/>
      <c r="ED454" s="504"/>
      <c r="EE454" s="504"/>
      <c r="EF454" s="504"/>
      <c r="EG454" s="504"/>
      <c r="EH454" s="504"/>
      <c r="EI454" s="504"/>
      <c r="EJ454" s="504"/>
      <c r="EK454" s="504"/>
      <c r="EL454" s="504"/>
      <c r="EM454" s="504"/>
      <c r="EN454" s="504"/>
      <c r="EO454" s="504"/>
      <c r="EP454" s="504"/>
      <c r="EQ454" s="504"/>
      <c r="ER454" s="504"/>
      <c r="ES454" s="504"/>
      <c r="ET454" s="504"/>
      <c r="EU454" s="504"/>
      <c r="EV454" s="504"/>
      <c r="EW454" s="504"/>
      <c r="EX454" s="504"/>
      <c r="EY454" s="504"/>
      <c r="EZ454" s="504"/>
      <c r="FA454" s="504"/>
      <c r="FB454" s="504"/>
      <c r="FC454" s="504"/>
      <c r="FD454" s="504"/>
      <c r="FE454" s="504"/>
      <c r="FF454" s="504"/>
      <c r="FG454" s="505"/>
      <c r="FK454" s="4">
        <f t="shared" si="68"/>
        <v>0</v>
      </c>
    </row>
    <row r="455" spans="1:167" s="4" customFormat="1" hidden="1">
      <c r="A455" s="56"/>
      <c r="B455" s="56"/>
      <c r="C455" s="498"/>
      <c r="D455" s="498"/>
      <c r="E455" s="454"/>
      <c r="F455" s="454"/>
      <c r="G455" s="454"/>
      <c r="H455" s="454"/>
      <c r="I455" s="454"/>
      <c r="J455" s="454"/>
      <c r="K455" s="454"/>
      <c r="L455" s="454"/>
      <c r="M455" s="454"/>
      <c r="N455" s="454"/>
      <c r="O455" s="454"/>
      <c r="P455" s="454"/>
      <c r="Q455" s="454"/>
      <c r="R455" s="290"/>
      <c r="S455" s="290"/>
      <c r="T455" s="454"/>
      <c r="U455" s="454"/>
      <c r="V455" s="454"/>
      <c r="W455" s="454"/>
      <c r="X455" s="454"/>
      <c r="Y455" s="454"/>
      <c r="Z455" s="454"/>
      <c r="AA455" s="454"/>
      <c r="AB455" s="454"/>
      <c r="AC455" s="454"/>
      <c r="AD455" s="454"/>
      <c r="AE455" s="454"/>
      <c r="AF455" s="454"/>
      <c r="AG455" s="454"/>
      <c r="AH455" s="454"/>
      <c r="AI455" s="454"/>
      <c r="AJ455" s="454"/>
      <c r="AK455" s="454"/>
      <c r="AL455" s="454"/>
      <c r="AM455" s="454"/>
      <c r="AN455" s="454"/>
      <c r="AO455" s="454"/>
      <c r="AP455" s="454"/>
      <c r="AQ455" s="454"/>
      <c r="AR455" s="454"/>
      <c r="AS455" s="454"/>
      <c r="AT455" s="454"/>
      <c r="AU455" s="454"/>
      <c r="AV455" s="454"/>
      <c r="AW455" s="454"/>
      <c r="AX455" s="454"/>
      <c r="AY455" s="454"/>
      <c r="AZ455" s="454"/>
      <c r="BA455" s="454"/>
      <c r="BB455" s="454"/>
      <c r="BC455" s="454"/>
      <c r="BD455" s="454"/>
      <c r="BE455" s="454"/>
      <c r="BF455" s="454"/>
      <c r="BG455" s="454"/>
      <c r="BH455" s="454"/>
      <c r="BI455" s="454"/>
      <c r="BJ455" s="454"/>
      <c r="BK455" s="454"/>
      <c r="BL455" s="454"/>
      <c r="BM455" s="454"/>
      <c r="BN455" s="454"/>
      <c r="BO455" s="454"/>
      <c r="BP455" s="454"/>
      <c r="BQ455" s="454"/>
      <c r="BR455" s="454"/>
      <c r="BS455" s="454"/>
      <c r="BT455" s="454"/>
      <c r="BU455" s="454"/>
      <c r="BV455" s="454"/>
      <c r="BW455" s="454"/>
      <c r="BX455" s="454"/>
      <c r="BY455" s="454"/>
      <c r="BZ455" s="454"/>
      <c r="CA455" s="454"/>
      <c r="CB455" s="454"/>
      <c r="CC455" s="454"/>
      <c r="CD455" s="454"/>
      <c r="CE455" s="454"/>
      <c r="CF455" s="454"/>
      <c r="CG455" s="454"/>
      <c r="CH455" s="454"/>
      <c r="CI455" s="454"/>
      <c r="CJ455" s="454"/>
      <c r="CK455" s="454"/>
      <c r="CL455" s="454"/>
      <c r="CM455" s="454"/>
      <c r="CN455" s="454"/>
      <c r="CO455" s="454"/>
      <c r="CP455" s="454"/>
      <c r="CQ455" s="454"/>
      <c r="CR455" s="454"/>
      <c r="CS455" s="454"/>
      <c r="CT455" s="454"/>
      <c r="CU455" s="454"/>
      <c r="CV455" s="517"/>
      <c r="CW455" s="517"/>
      <c r="CX455" s="517"/>
      <c r="CY455" s="517"/>
      <c r="CZ455" s="517"/>
      <c r="DA455" s="517"/>
      <c r="DB455" s="517"/>
      <c r="DC455" s="517"/>
      <c r="DD455" s="517"/>
      <c r="DE455" s="517"/>
      <c r="DF455" s="517"/>
      <c r="DG455" s="517"/>
      <c r="DH455" s="517"/>
      <c r="DI455" s="454"/>
      <c r="DJ455" s="454"/>
      <c r="DK455" s="454"/>
      <c r="DL455" s="454"/>
      <c r="DM455" s="454"/>
      <c r="DN455" s="454"/>
      <c r="DO455" s="454"/>
      <c r="DP455" s="454"/>
      <c r="DQ455" s="454"/>
      <c r="DR455" s="454"/>
      <c r="DS455" s="454"/>
      <c r="DT455" s="454"/>
      <c r="DU455" s="454"/>
      <c r="DV455" s="454"/>
      <c r="DW455" s="454"/>
      <c r="DX455" s="454"/>
      <c r="DY455" s="454"/>
      <c r="DZ455" s="454"/>
      <c r="EA455" s="454"/>
      <c r="EB455" s="454"/>
      <c r="EC455" s="454"/>
      <c r="ED455" s="454"/>
      <c r="EE455" s="454"/>
      <c r="EF455" s="454"/>
      <c r="EG455" s="454"/>
      <c r="EH455" s="454"/>
      <c r="EI455" s="454"/>
      <c r="EJ455" s="454"/>
      <c r="EK455" s="454"/>
      <c r="EL455" s="454"/>
      <c r="EM455" s="454"/>
      <c r="EN455" s="454"/>
      <c r="EO455" s="454"/>
      <c r="EP455" s="454"/>
      <c r="EQ455" s="454"/>
      <c r="ER455" s="454"/>
      <c r="ES455" s="454"/>
      <c r="ET455" s="454"/>
      <c r="EU455" s="454"/>
      <c r="EV455" s="454"/>
      <c r="EW455" s="454"/>
      <c r="EX455" s="454"/>
      <c r="EY455" s="454"/>
      <c r="EZ455" s="454"/>
      <c r="FA455" s="454"/>
      <c r="FB455" s="454"/>
      <c r="FC455" s="454"/>
      <c r="FD455" s="454"/>
      <c r="FE455" s="454"/>
      <c r="FF455" s="454"/>
      <c r="FG455" s="290"/>
    </row>
    <row r="456" spans="1:167" s="4" customFormat="1" hidden="1">
      <c r="A456" s="56"/>
      <c r="B456" s="56"/>
      <c r="C456" s="498"/>
      <c r="D456" s="498"/>
      <c r="E456" s="454"/>
      <c r="F456" s="454"/>
      <c r="G456" s="454"/>
      <c r="H456" s="454"/>
      <c r="I456" s="454"/>
      <c r="J456" s="454"/>
      <c r="K456" s="454"/>
      <c r="L456" s="454"/>
      <c r="M456" s="454"/>
      <c r="N456" s="454"/>
      <c r="O456" s="454"/>
      <c r="P456" s="454"/>
      <c r="Q456" s="454"/>
      <c r="R456" s="290"/>
      <c r="S456" s="290"/>
      <c r="T456" s="454"/>
      <c r="U456" s="454"/>
      <c r="V456" s="454"/>
      <c r="W456" s="454"/>
      <c r="X456" s="454"/>
      <c r="Y456" s="454"/>
      <c r="Z456" s="454"/>
      <c r="AA456" s="454"/>
      <c r="AB456" s="454"/>
      <c r="AC456" s="454"/>
      <c r="AD456" s="454"/>
      <c r="AE456" s="454"/>
      <c r="AF456" s="454"/>
      <c r="AG456" s="454"/>
      <c r="AH456" s="454"/>
      <c r="AI456" s="454"/>
      <c r="AJ456" s="454"/>
      <c r="AK456" s="454"/>
      <c r="AL456" s="454"/>
      <c r="AM456" s="454"/>
      <c r="AN456" s="454"/>
      <c r="AO456" s="454"/>
      <c r="AP456" s="454"/>
      <c r="AQ456" s="454"/>
      <c r="AR456" s="454"/>
      <c r="AS456" s="454"/>
      <c r="AT456" s="454"/>
      <c r="AU456" s="454"/>
      <c r="AV456" s="454"/>
      <c r="AW456" s="454"/>
      <c r="AX456" s="454"/>
      <c r="AY456" s="454"/>
      <c r="AZ456" s="454"/>
      <c r="BA456" s="454"/>
      <c r="BB456" s="454"/>
      <c r="BC456" s="454"/>
      <c r="BD456" s="454"/>
      <c r="BE456" s="454"/>
      <c r="BF456" s="454"/>
      <c r="BG456" s="454"/>
      <c r="BH456" s="454"/>
      <c r="BI456" s="454"/>
      <c r="BJ456" s="454"/>
      <c r="BK456" s="454"/>
      <c r="BL456" s="454"/>
      <c r="BM456" s="454"/>
      <c r="BN456" s="454"/>
      <c r="BO456" s="454"/>
      <c r="BP456" s="454"/>
      <c r="BQ456" s="454"/>
      <c r="BR456" s="454"/>
      <c r="BS456" s="454"/>
      <c r="BT456" s="454"/>
      <c r="BU456" s="454"/>
      <c r="BV456" s="454"/>
      <c r="BW456" s="454"/>
      <c r="BX456" s="454"/>
      <c r="BY456" s="454"/>
      <c r="BZ456" s="454"/>
      <c r="CA456" s="454"/>
      <c r="CB456" s="454"/>
      <c r="CC456" s="454"/>
      <c r="CD456" s="454"/>
      <c r="CE456" s="454"/>
      <c r="CF456" s="454"/>
      <c r="CG456" s="454"/>
      <c r="CH456" s="454"/>
      <c r="CI456" s="454"/>
      <c r="CJ456" s="454"/>
      <c r="CK456" s="454"/>
      <c r="CL456" s="454"/>
      <c r="CM456" s="454"/>
      <c r="CN456" s="454"/>
      <c r="CO456" s="454"/>
      <c r="CP456" s="454"/>
      <c r="CQ456" s="454"/>
      <c r="CR456" s="454"/>
      <c r="CS456" s="454"/>
      <c r="CT456" s="454"/>
      <c r="CU456" s="454"/>
      <c r="CV456" s="517"/>
      <c r="CW456" s="517"/>
      <c r="CX456" s="517"/>
      <c r="CY456" s="517"/>
      <c r="CZ456" s="517"/>
      <c r="DA456" s="517"/>
      <c r="DB456" s="517"/>
      <c r="DC456" s="517"/>
      <c r="DD456" s="517"/>
      <c r="DE456" s="517"/>
      <c r="DF456" s="517"/>
      <c r="DG456" s="517"/>
      <c r="DH456" s="517"/>
      <c r="DI456" s="454"/>
      <c r="DJ456" s="454"/>
      <c r="DK456" s="454"/>
      <c r="DL456" s="454"/>
      <c r="DM456" s="454"/>
      <c r="DN456" s="454"/>
      <c r="DO456" s="454"/>
      <c r="DP456" s="454"/>
      <c r="DQ456" s="454"/>
      <c r="DR456" s="454"/>
      <c r="DS456" s="454"/>
      <c r="DT456" s="454"/>
      <c r="DU456" s="454"/>
      <c r="DV456" s="454"/>
      <c r="DW456" s="454"/>
      <c r="DX456" s="454"/>
      <c r="DY456" s="454"/>
      <c r="DZ456" s="454"/>
      <c r="EA456" s="454"/>
      <c r="EB456" s="454"/>
      <c r="EC456" s="454"/>
      <c r="ED456" s="454"/>
      <c r="EE456" s="454"/>
      <c r="EF456" s="454"/>
      <c r="EG456" s="454"/>
      <c r="EH456" s="454"/>
      <c r="EI456" s="454"/>
      <c r="EJ456" s="454"/>
      <c r="EK456" s="454"/>
      <c r="EL456" s="454"/>
      <c r="EM456" s="454"/>
      <c r="EN456" s="454"/>
      <c r="EO456" s="454"/>
      <c r="EP456" s="454"/>
      <c r="EQ456" s="454"/>
      <c r="ER456" s="454"/>
      <c r="ES456" s="454"/>
      <c r="ET456" s="454"/>
      <c r="EU456" s="454"/>
      <c r="EV456" s="454"/>
      <c r="EW456" s="454"/>
      <c r="EX456" s="454"/>
      <c r="EY456" s="454"/>
      <c r="EZ456" s="454"/>
      <c r="FA456" s="454"/>
      <c r="FB456" s="454"/>
      <c r="FC456" s="454"/>
      <c r="FD456" s="454"/>
      <c r="FE456" s="454"/>
      <c r="FF456" s="454"/>
      <c r="FG456" s="290"/>
    </row>
    <row r="457" spans="1:167" s="4" customFormat="1" hidden="1">
      <c r="A457" s="56"/>
      <c r="B457" s="56"/>
      <c r="C457" s="498"/>
      <c r="D457" s="498"/>
      <c r="E457" s="454"/>
      <c r="F457" s="454"/>
      <c r="G457" s="454"/>
      <c r="H457" s="454"/>
      <c r="I457" s="454"/>
      <c r="J457" s="454"/>
      <c r="K457" s="454"/>
      <c r="L457" s="454"/>
      <c r="M457" s="454"/>
      <c r="N457" s="454"/>
      <c r="O457" s="454"/>
      <c r="P457" s="454"/>
      <c r="Q457" s="454"/>
      <c r="R457" s="290"/>
      <c r="S457" s="290"/>
      <c r="T457" s="454"/>
      <c r="U457" s="454"/>
      <c r="V457" s="454"/>
      <c r="W457" s="454"/>
      <c r="X457" s="454"/>
      <c r="Y457" s="454"/>
      <c r="Z457" s="454"/>
      <c r="AA457" s="454"/>
      <c r="AB457" s="454"/>
      <c r="AC457" s="454"/>
      <c r="AD457" s="454"/>
      <c r="AE457" s="454"/>
      <c r="AF457" s="454"/>
      <c r="AG457" s="454"/>
      <c r="AH457" s="454"/>
      <c r="AI457" s="454"/>
      <c r="AJ457" s="454"/>
      <c r="AK457" s="454"/>
      <c r="AL457" s="454"/>
      <c r="AM457" s="454"/>
      <c r="AN457" s="454"/>
      <c r="AO457" s="454"/>
      <c r="AP457" s="454"/>
      <c r="AQ457" s="454"/>
      <c r="AR457" s="454"/>
      <c r="AS457" s="454"/>
      <c r="AT457" s="454"/>
      <c r="AU457" s="454"/>
      <c r="AV457" s="454"/>
      <c r="AW457" s="454"/>
      <c r="AX457" s="454"/>
      <c r="AY457" s="454"/>
      <c r="AZ457" s="454"/>
      <c r="BA457" s="454"/>
      <c r="BB457" s="454"/>
      <c r="BC457" s="454"/>
      <c r="BD457" s="454"/>
      <c r="BE457" s="454"/>
      <c r="BF457" s="454"/>
      <c r="BG457" s="454"/>
      <c r="BH457" s="454"/>
      <c r="BI457" s="454"/>
      <c r="BJ457" s="454"/>
      <c r="BK457" s="454"/>
      <c r="BL457" s="454"/>
      <c r="BM457" s="454"/>
      <c r="BN457" s="454"/>
      <c r="BO457" s="454"/>
      <c r="BP457" s="454"/>
      <c r="BQ457" s="454"/>
      <c r="BR457" s="454"/>
      <c r="BS457" s="454"/>
      <c r="BT457" s="454"/>
      <c r="BU457" s="454"/>
      <c r="BV457" s="454"/>
      <c r="BW457" s="454"/>
      <c r="BX457" s="454"/>
      <c r="BY457" s="454"/>
      <c r="BZ457" s="454"/>
      <c r="CA457" s="454"/>
      <c r="CB457" s="454"/>
      <c r="CC457" s="454"/>
      <c r="CD457" s="454"/>
      <c r="CE457" s="454"/>
      <c r="CF457" s="454"/>
      <c r="CG457" s="454"/>
      <c r="CH457" s="454"/>
      <c r="CI457" s="454"/>
      <c r="CJ457" s="454"/>
      <c r="CK457" s="454"/>
      <c r="CL457" s="454"/>
      <c r="CM457" s="454"/>
      <c r="CN457" s="454"/>
      <c r="CO457" s="454"/>
      <c r="CP457" s="454"/>
      <c r="CQ457" s="454"/>
      <c r="CR457" s="454"/>
      <c r="CS457" s="454"/>
      <c r="CT457" s="454"/>
      <c r="CU457" s="454"/>
      <c r="CV457" s="517"/>
      <c r="CW457" s="517"/>
      <c r="CX457" s="517"/>
      <c r="CY457" s="517"/>
      <c r="CZ457" s="517"/>
      <c r="DA457" s="517"/>
      <c r="DB457" s="517"/>
      <c r="DC457" s="517"/>
      <c r="DD457" s="517"/>
      <c r="DE457" s="517"/>
      <c r="DF457" s="517"/>
      <c r="DG457" s="517"/>
      <c r="DH457" s="517"/>
      <c r="DI457" s="454"/>
      <c r="DJ457" s="454"/>
      <c r="DK457" s="454"/>
      <c r="DL457" s="454"/>
      <c r="DM457" s="454"/>
      <c r="DN457" s="454"/>
      <c r="DO457" s="454"/>
      <c r="DP457" s="454"/>
      <c r="DQ457" s="454"/>
      <c r="DR457" s="454"/>
      <c r="DS457" s="454"/>
      <c r="DT457" s="454"/>
      <c r="DU457" s="454"/>
      <c r="DV457" s="454"/>
      <c r="DW457" s="454"/>
      <c r="DX457" s="454"/>
      <c r="DY457" s="454"/>
      <c r="DZ457" s="454"/>
      <c r="EA457" s="454"/>
      <c r="EB457" s="454"/>
      <c r="EC457" s="454"/>
      <c r="ED457" s="454"/>
      <c r="EE457" s="454"/>
      <c r="EF457" s="454"/>
      <c r="EG457" s="454"/>
      <c r="EH457" s="454"/>
      <c r="EI457" s="454"/>
      <c r="EJ457" s="454"/>
      <c r="EK457" s="454"/>
      <c r="EL457" s="454"/>
      <c r="EM457" s="454"/>
      <c r="EN457" s="454"/>
      <c r="EO457" s="454"/>
      <c r="EP457" s="454"/>
      <c r="EQ457" s="454"/>
      <c r="ER457" s="454"/>
      <c r="ES457" s="454"/>
      <c r="ET457" s="454"/>
      <c r="EU457" s="454"/>
      <c r="EV457" s="454"/>
      <c r="EW457" s="454"/>
      <c r="EX457" s="454"/>
      <c r="EY457" s="454"/>
      <c r="EZ457" s="454"/>
      <c r="FA457" s="454"/>
      <c r="FB457" s="454"/>
      <c r="FC457" s="454"/>
      <c r="FD457" s="454"/>
      <c r="FE457" s="454"/>
      <c r="FF457" s="454"/>
      <c r="FG457" s="290"/>
    </row>
    <row r="458" spans="1:167" s="4" customFormat="1" hidden="1">
      <c r="A458" s="56"/>
      <c r="B458" s="56"/>
      <c r="C458" s="498"/>
      <c r="D458" s="498"/>
      <c r="E458" s="454"/>
      <c r="F458" s="454"/>
      <c r="G458" s="454"/>
      <c r="H458" s="454"/>
      <c r="I458" s="454"/>
      <c r="J458" s="454"/>
      <c r="K458" s="454"/>
      <c r="L458" s="454"/>
      <c r="M458" s="454"/>
      <c r="N458" s="454"/>
      <c r="O458" s="454"/>
      <c r="P458" s="454"/>
      <c r="Q458" s="454"/>
      <c r="R458" s="290"/>
      <c r="S458" s="290"/>
      <c r="T458" s="454"/>
      <c r="U458" s="454"/>
      <c r="V458" s="454"/>
      <c r="W458" s="454"/>
      <c r="X458" s="454"/>
      <c r="Y458" s="454"/>
      <c r="Z458" s="454"/>
      <c r="AA458" s="454"/>
      <c r="AB458" s="454"/>
      <c r="AC458" s="454"/>
      <c r="AD458" s="454"/>
      <c r="AE458" s="454"/>
      <c r="AF458" s="454"/>
      <c r="AG458" s="454"/>
      <c r="AH458" s="454"/>
      <c r="AI458" s="454"/>
      <c r="AJ458" s="454"/>
      <c r="AK458" s="454"/>
      <c r="AL458" s="454"/>
      <c r="AM458" s="454"/>
      <c r="AN458" s="454"/>
      <c r="AO458" s="454"/>
      <c r="AP458" s="454"/>
      <c r="AQ458" s="454"/>
      <c r="AR458" s="454"/>
      <c r="AS458" s="454"/>
      <c r="AT458" s="454"/>
      <c r="AU458" s="454"/>
      <c r="AV458" s="454"/>
      <c r="AW458" s="454"/>
      <c r="AX458" s="454"/>
      <c r="AY458" s="454"/>
      <c r="AZ458" s="454"/>
      <c r="BA458" s="454"/>
      <c r="BB458" s="454"/>
      <c r="BC458" s="454"/>
      <c r="BD458" s="454"/>
      <c r="BE458" s="454"/>
      <c r="BF458" s="454"/>
      <c r="BG458" s="454"/>
      <c r="BH458" s="454"/>
      <c r="BI458" s="454"/>
      <c r="BJ458" s="454"/>
      <c r="BK458" s="454"/>
      <c r="BL458" s="454"/>
      <c r="BM458" s="454"/>
      <c r="BN458" s="454"/>
      <c r="BO458" s="454"/>
      <c r="BP458" s="454"/>
      <c r="BQ458" s="454"/>
      <c r="BR458" s="454"/>
      <c r="BS458" s="454"/>
      <c r="BT458" s="454"/>
      <c r="BU458" s="454"/>
      <c r="BV458" s="454"/>
      <c r="BW458" s="454"/>
      <c r="BX458" s="454"/>
      <c r="BY458" s="454"/>
      <c r="BZ458" s="454"/>
      <c r="CA458" s="454"/>
      <c r="CB458" s="454"/>
      <c r="CC458" s="454"/>
      <c r="CD458" s="454"/>
      <c r="CE458" s="454"/>
      <c r="CF458" s="454"/>
      <c r="CG458" s="454"/>
      <c r="CH458" s="454"/>
      <c r="CI458" s="454"/>
      <c r="CJ458" s="454"/>
      <c r="CK458" s="454"/>
      <c r="CL458" s="454"/>
      <c r="CM458" s="454"/>
      <c r="CN458" s="454"/>
      <c r="CO458" s="454"/>
      <c r="CP458" s="454"/>
      <c r="CQ458" s="454"/>
      <c r="CR458" s="454"/>
      <c r="CS458" s="454"/>
      <c r="CT458" s="454"/>
      <c r="CU458" s="454"/>
      <c r="CV458" s="517"/>
      <c r="CW458" s="517"/>
      <c r="CX458" s="517"/>
      <c r="CY458" s="517"/>
      <c r="CZ458" s="517"/>
      <c r="DA458" s="517"/>
      <c r="DB458" s="517"/>
      <c r="DC458" s="517"/>
      <c r="DD458" s="517"/>
      <c r="DE458" s="517"/>
      <c r="DF458" s="517"/>
      <c r="DG458" s="517"/>
      <c r="DH458" s="517"/>
      <c r="DI458" s="454"/>
      <c r="DJ458" s="454"/>
      <c r="DK458" s="454"/>
      <c r="DL458" s="454"/>
      <c r="DM458" s="454"/>
      <c r="DN458" s="454"/>
      <c r="DO458" s="454"/>
      <c r="DP458" s="454"/>
      <c r="DQ458" s="454"/>
      <c r="DR458" s="454"/>
      <c r="DS458" s="454"/>
      <c r="DT458" s="454"/>
      <c r="DU458" s="454"/>
      <c r="DV458" s="454"/>
      <c r="DW458" s="454"/>
      <c r="DX458" s="454"/>
      <c r="DY458" s="454"/>
      <c r="DZ458" s="454"/>
      <c r="EA458" s="454"/>
      <c r="EB458" s="454"/>
      <c r="EC458" s="454"/>
      <c r="ED458" s="454"/>
      <c r="EE458" s="454"/>
      <c r="EF458" s="454"/>
      <c r="EG458" s="454"/>
      <c r="EH458" s="454"/>
      <c r="EI458" s="454"/>
      <c r="EJ458" s="454"/>
      <c r="EK458" s="454"/>
      <c r="EL458" s="454"/>
      <c r="EM458" s="454"/>
      <c r="EN458" s="454"/>
      <c r="EO458" s="454"/>
      <c r="EP458" s="454"/>
      <c r="EQ458" s="454"/>
      <c r="ER458" s="454"/>
      <c r="ES458" s="454"/>
      <c r="ET458" s="454"/>
      <c r="EU458" s="454"/>
      <c r="EV458" s="454"/>
      <c r="EW458" s="454"/>
      <c r="EX458" s="454"/>
      <c r="EY458" s="454"/>
      <c r="EZ458" s="454"/>
      <c r="FA458" s="454"/>
      <c r="FB458" s="454"/>
      <c r="FC458" s="454"/>
      <c r="FD458" s="454"/>
      <c r="FE458" s="454"/>
      <c r="FF458" s="454"/>
      <c r="FG458" s="290"/>
    </row>
    <row r="459" spans="1:167" s="4" customFormat="1" hidden="1">
      <c r="A459" s="486">
        <f>MATCH(C459,$C$5:$C$507,0)</f>
        <v>455</v>
      </c>
      <c r="B459" s="56"/>
      <c r="C459" s="507" t="s">
        <v>3083</v>
      </c>
      <c r="D459" s="507"/>
      <c r="E459" s="508">
        <f t="shared" ref="E459:AJ459" si="81">SUM(E455:E458)</f>
        <v>0</v>
      </c>
      <c r="F459" s="508">
        <f t="shared" si="81"/>
        <v>0</v>
      </c>
      <c r="G459" s="508">
        <f t="shared" si="81"/>
        <v>0</v>
      </c>
      <c r="H459" s="508">
        <f t="shared" si="81"/>
        <v>0</v>
      </c>
      <c r="I459" s="508">
        <f t="shared" si="81"/>
        <v>0</v>
      </c>
      <c r="J459" s="508">
        <f t="shared" si="81"/>
        <v>0</v>
      </c>
      <c r="K459" s="508">
        <f t="shared" si="81"/>
        <v>0</v>
      </c>
      <c r="L459" s="508">
        <f t="shared" si="81"/>
        <v>0</v>
      </c>
      <c r="M459" s="508">
        <f t="shared" si="81"/>
        <v>0</v>
      </c>
      <c r="N459" s="508">
        <f t="shared" si="81"/>
        <v>0</v>
      </c>
      <c r="O459" s="508">
        <f t="shared" si="81"/>
        <v>0</v>
      </c>
      <c r="P459" s="508">
        <f t="shared" si="81"/>
        <v>0</v>
      </c>
      <c r="Q459" s="508">
        <f t="shared" si="81"/>
        <v>0</v>
      </c>
      <c r="R459" s="508">
        <f t="shared" si="81"/>
        <v>0</v>
      </c>
      <c r="S459" s="508">
        <f t="shared" si="81"/>
        <v>0</v>
      </c>
      <c r="T459" s="509">
        <f t="shared" si="81"/>
        <v>0</v>
      </c>
      <c r="U459" s="509">
        <f t="shared" si="81"/>
        <v>0</v>
      </c>
      <c r="V459" s="509">
        <f t="shared" si="81"/>
        <v>0</v>
      </c>
      <c r="W459" s="509">
        <f t="shared" si="81"/>
        <v>0</v>
      </c>
      <c r="X459" s="509">
        <f t="shared" si="81"/>
        <v>0</v>
      </c>
      <c r="Y459" s="509">
        <f t="shared" si="81"/>
        <v>0</v>
      </c>
      <c r="Z459" s="509">
        <f t="shared" si="81"/>
        <v>0</v>
      </c>
      <c r="AA459" s="509">
        <f t="shared" si="81"/>
        <v>0</v>
      </c>
      <c r="AB459" s="509">
        <f t="shared" si="81"/>
        <v>0</v>
      </c>
      <c r="AC459" s="509">
        <f t="shared" si="81"/>
        <v>0</v>
      </c>
      <c r="AD459" s="509">
        <f t="shared" si="81"/>
        <v>0</v>
      </c>
      <c r="AE459" s="509">
        <f t="shared" si="81"/>
        <v>0</v>
      </c>
      <c r="AF459" s="509">
        <f t="shared" si="81"/>
        <v>0</v>
      </c>
      <c r="AG459" s="509">
        <f t="shared" si="81"/>
        <v>0</v>
      </c>
      <c r="AH459" s="509">
        <f t="shared" si="81"/>
        <v>0</v>
      </c>
      <c r="AI459" s="509">
        <f t="shared" si="81"/>
        <v>0</v>
      </c>
      <c r="AJ459" s="509">
        <f t="shared" si="81"/>
        <v>0</v>
      </c>
      <c r="AK459" s="509">
        <f t="shared" ref="AK459:BP459" si="82">SUM(AK455:AK458)</f>
        <v>0</v>
      </c>
      <c r="AL459" s="509">
        <f t="shared" si="82"/>
        <v>0</v>
      </c>
      <c r="AM459" s="509">
        <f t="shared" si="82"/>
        <v>0</v>
      </c>
      <c r="AN459" s="509">
        <f t="shared" si="82"/>
        <v>0</v>
      </c>
      <c r="AO459" s="509">
        <f t="shared" si="82"/>
        <v>0</v>
      </c>
      <c r="AP459" s="509">
        <f t="shared" si="82"/>
        <v>0</v>
      </c>
      <c r="AQ459" s="509">
        <f t="shared" si="82"/>
        <v>0</v>
      </c>
      <c r="AR459" s="509">
        <f t="shared" si="82"/>
        <v>0</v>
      </c>
      <c r="AS459" s="509">
        <f t="shared" si="82"/>
        <v>0</v>
      </c>
      <c r="AT459" s="509">
        <f t="shared" si="82"/>
        <v>0</v>
      </c>
      <c r="AU459" s="509">
        <f t="shared" si="82"/>
        <v>0</v>
      </c>
      <c r="AV459" s="509">
        <f t="shared" si="82"/>
        <v>0</v>
      </c>
      <c r="AW459" s="509">
        <f t="shared" si="82"/>
        <v>0</v>
      </c>
      <c r="AX459" s="509">
        <f t="shared" si="82"/>
        <v>0</v>
      </c>
      <c r="AY459" s="509">
        <f t="shared" si="82"/>
        <v>0</v>
      </c>
      <c r="AZ459" s="509">
        <f t="shared" si="82"/>
        <v>0</v>
      </c>
      <c r="BA459" s="509">
        <f t="shared" si="82"/>
        <v>0</v>
      </c>
      <c r="BB459" s="509">
        <f t="shared" si="82"/>
        <v>0</v>
      </c>
      <c r="BC459" s="509">
        <f t="shared" si="82"/>
        <v>0</v>
      </c>
      <c r="BD459" s="509">
        <f t="shared" si="82"/>
        <v>0</v>
      </c>
      <c r="BE459" s="509">
        <f t="shared" si="82"/>
        <v>0</v>
      </c>
      <c r="BF459" s="509">
        <f t="shared" si="82"/>
        <v>0</v>
      </c>
      <c r="BG459" s="509">
        <f t="shared" si="82"/>
        <v>0</v>
      </c>
      <c r="BH459" s="509">
        <f t="shared" si="82"/>
        <v>0</v>
      </c>
      <c r="BI459" s="509">
        <f t="shared" si="82"/>
        <v>0</v>
      </c>
      <c r="BJ459" s="509">
        <f t="shared" si="82"/>
        <v>0</v>
      </c>
      <c r="BK459" s="509">
        <f t="shared" si="82"/>
        <v>0</v>
      </c>
      <c r="BL459" s="509">
        <f t="shared" si="82"/>
        <v>0</v>
      </c>
      <c r="BM459" s="509">
        <f t="shared" si="82"/>
        <v>0</v>
      </c>
      <c r="BN459" s="509">
        <f t="shared" si="82"/>
        <v>0</v>
      </c>
      <c r="BO459" s="509">
        <f t="shared" si="82"/>
        <v>0</v>
      </c>
      <c r="BP459" s="509">
        <f t="shared" si="82"/>
        <v>0</v>
      </c>
      <c r="BQ459" s="509">
        <f t="shared" ref="BQ459:CW459" si="83">SUM(BQ455:BQ458)</f>
        <v>0</v>
      </c>
      <c r="BR459" s="509">
        <f t="shared" si="83"/>
        <v>0</v>
      </c>
      <c r="BS459" s="509">
        <f t="shared" si="83"/>
        <v>0</v>
      </c>
      <c r="BT459" s="509">
        <f t="shared" si="83"/>
        <v>0</v>
      </c>
      <c r="BU459" s="509">
        <f t="shared" si="83"/>
        <v>0</v>
      </c>
      <c r="BV459" s="509">
        <f t="shared" si="83"/>
        <v>0</v>
      </c>
      <c r="BW459" s="509">
        <f t="shared" si="83"/>
        <v>0</v>
      </c>
      <c r="BX459" s="509">
        <f t="shared" si="83"/>
        <v>0</v>
      </c>
      <c r="BY459" s="509">
        <f t="shared" si="83"/>
        <v>0</v>
      </c>
      <c r="BZ459" s="509">
        <f t="shared" si="83"/>
        <v>0</v>
      </c>
      <c r="CA459" s="509">
        <f t="shared" si="83"/>
        <v>0</v>
      </c>
      <c r="CB459" s="509">
        <f t="shared" si="83"/>
        <v>0</v>
      </c>
      <c r="CC459" s="509">
        <f t="shared" si="83"/>
        <v>0</v>
      </c>
      <c r="CD459" s="509">
        <f t="shared" si="83"/>
        <v>0</v>
      </c>
      <c r="CE459" s="509">
        <f t="shared" si="83"/>
        <v>0</v>
      </c>
      <c r="CF459" s="509">
        <f t="shared" si="83"/>
        <v>0</v>
      </c>
      <c r="CG459" s="509">
        <f t="shared" si="83"/>
        <v>0</v>
      </c>
      <c r="CH459" s="509">
        <f t="shared" si="83"/>
        <v>0</v>
      </c>
      <c r="CI459" s="509">
        <f t="shared" si="83"/>
        <v>0</v>
      </c>
      <c r="CJ459" s="509">
        <f t="shared" si="83"/>
        <v>0</v>
      </c>
      <c r="CK459" s="509">
        <f t="shared" si="83"/>
        <v>0</v>
      </c>
      <c r="CL459" s="509">
        <f t="shared" si="83"/>
        <v>0</v>
      </c>
      <c r="CM459" s="509">
        <f t="shared" si="83"/>
        <v>0</v>
      </c>
      <c r="CN459" s="509">
        <f t="shared" si="83"/>
        <v>0</v>
      </c>
      <c r="CO459" s="509">
        <f t="shared" si="83"/>
        <v>0</v>
      </c>
      <c r="CP459" s="509">
        <f t="shared" si="83"/>
        <v>0</v>
      </c>
      <c r="CQ459" s="509">
        <f t="shared" si="83"/>
        <v>0</v>
      </c>
      <c r="CR459" s="509">
        <f t="shared" si="83"/>
        <v>0</v>
      </c>
      <c r="CS459" s="509">
        <f t="shared" si="83"/>
        <v>0</v>
      </c>
      <c r="CT459" s="509">
        <f>SUM(CT455:CT458)</f>
        <v>0</v>
      </c>
      <c r="CU459" s="509">
        <f t="shared" si="83"/>
        <v>0</v>
      </c>
      <c r="CV459" s="518">
        <f t="shared" si="83"/>
        <v>0</v>
      </c>
      <c r="CW459" s="518">
        <f t="shared" si="83"/>
        <v>0</v>
      </c>
      <c r="CX459" s="518">
        <f>SUM(CX455:CX458)</f>
        <v>0</v>
      </c>
      <c r="CY459" s="518">
        <f t="shared" ref="CY459:ED459" si="84">SUM(CY455:CY458)</f>
        <v>0</v>
      </c>
      <c r="CZ459" s="518">
        <f t="shared" si="84"/>
        <v>0</v>
      </c>
      <c r="DA459" s="518">
        <f t="shared" si="84"/>
        <v>0</v>
      </c>
      <c r="DB459" s="518">
        <f t="shared" si="84"/>
        <v>0</v>
      </c>
      <c r="DC459" s="518">
        <f t="shared" si="84"/>
        <v>0</v>
      </c>
      <c r="DD459" s="518">
        <f t="shared" si="84"/>
        <v>0</v>
      </c>
      <c r="DE459" s="518">
        <f t="shared" si="84"/>
        <v>0</v>
      </c>
      <c r="DF459" s="518">
        <f t="shared" si="84"/>
        <v>0</v>
      </c>
      <c r="DG459" s="518">
        <f t="shared" si="84"/>
        <v>0</v>
      </c>
      <c r="DH459" s="518">
        <f t="shared" si="84"/>
        <v>0</v>
      </c>
      <c r="DI459" s="509">
        <f t="shared" si="84"/>
        <v>0</v>
      </c>
      <c r="DJ459" s="509">
        <f t="shared" si="84"/>
        <v>0</v>
      </c>
      <c r="DK459" s="509">
        <f t="shared" si="84"/>
        <v>0</v>
      </c>
      <c r="DL459" s="509">
        <f t="shared" si="84"/>
        <v>0</v>
      </c>
      <c r="DM459" s="509">
        <f t="shared" si="84"/>
        <v>0</v>
      </c>
      <c r="DN459" s="509">
        <f t="shared" si="84"/>
        <v>0</v>
      </c>
      <c r="DO459" s="509">
        <f t="shared" si="84"/>
        <v>0</v>
      </c>
      <c r="DP459" s="509">
        <f t="shared" si="84"/>
        <v>0</v>
      </c>
      <c r="DQ459" s="509">
        <f t="shared" si="84"/>
        <v>0</v>
      </c>
      <c r="DR459" s="509">
        <f t="shared" si="84"/>
        <v>0</v>
      </c>
      <c r="DS459" s="509">
        <f t="shared" si="84"/>
        <v>0</v>
      </c>
      <c r="DT459" s="509">
        <f t="shared" si="84"/>
        <v>0</v>
      </c>
      <c r="DU459" s="509">
        <f t="shared" si="84"/>
        <v>0</v>
      </c>
      <c r="DV459" s="509">
        <f t="shared" si="84"/>
        <v>0</v>
      </c>
      <c r="DW459" s="509">
        <f t="shared" si="84"/>
        <v>0</v>
      </c>
      <c r="DX459" s="509">
        <f t="shared" si="84"/>
        <v>0</v>
      </c>
      <c r="DY459" s="509">
        <f t="shared" si="84"/>
        <v>0</v>
      </c>
      <c r="DZ459" s="509">
        <f t="shared" si="84"/>
        <v>0</v>
      </c>
      <c r="EA459" s="509">
        <f t="shared" si="84"/>
        <v>0</v>
      </c>
      <c r="EB459" s="509">
        <f t="shared" si="84"/>
        <v>0</v>
      </c>
      <c r="EC459" s="509">
        <f t="shared" si="84"/>
        <v>0</v>
      </c>
      <c r="ED459" s="509">
        <f t="shared" si="84"/>
        <v>0</v>
      </c>
      <c r="EE459" s="509">
        <f t="shared" ref="EE459:FE459" si="85">SUM(EE455:EE458)</f>
        <v>0</v>
      </c>
      <c r="EF459" s="509">
        <f t="shared" si="85"/>
        <v>0</v>
      </c>
      <c r="EG459" s="509">
        <f t="shared" si="85"/>
        <v>0</v>
      </c>
      <c r="EH459" s="509">
        <f t="shared" si="85"/>
        <v>0</v>
      </c>
      <c r="EI459" s="509">
        <f t="shared" si="85"/>
        <v>0</v>
      </c>
      <c r="EJ459" s="509">
        <f t="shared" si="85"/>
        <v>0</v>
      </c>
      <c r="EK459" s="509">
        <f t="shared" si="85"/>
        <v>0</v>
      </c>
      <c r="EL459" s="509">
        <f t="shared" si="85"/>
        <v>0</v>
      </c>
      <c r="EM459" s="509">
        <f t="shared" si="85"/>
        <v>0</v>
      </c>
      <c r="EN459" s="509">
        <f t="shared" si="85"/>
        <v>0</v>
      </c>
      <c r="EO459" s="509">
        <f t="shared" si="85"/>
        <v>0</v>
      </c>
      <c r="EP459" s="509">
        <f t="shared" si="85"/>
        <v>0</v>
      </c>
      <c r="EQ459" s="509">
        <f t="shared" si="85"/>
        <v>0</v>
      </c>
      <c r="ER459" s="509">
        <f t="shared" si="85"/>
        <v>0</v>
      </c>
      <c r="ES459" s="509">
        <f t="shared" si="85"/>
        <v>0</v>
      </c>
      <c r="ET459" s="509">
        <f t="shared" si="85"/>
        <v>0</v>
      </c>
      <c r="EU459" s="509">
        <f t="shared" si="85"/>
        <v>0</v>
      </c>
      <c r="EV459" s="509">
        <f t="shared" si="85"/>
        <v>0</v>
      </c>
      <c r="EW459" s="509">
        <f t="shared" si="85"/>
        <v>0</v>
      </c>
      <c r="EX459" s="509">
        <f t="shared" si="85"/>
        <v>0</v>
      </c>
      <c r="EY459" s="509">
        <f t="shared" si="85"/>
        <v>0</v>
      </c>
      <c r="EZ459" s="509">
        <f t="shared" si="85"/>
        <v>0</v>
      </c>
      <c r="FA459" s="509">
        <f t="shared" si="85"/>
        <v>0</v>
      </c>
      <c r="FB459" s="509">
        <f t="shared" si="85"/>
        <v>0</v>
      </c>
      <c r="FC459" s="509">
        <f t="shared" si="85"/>
        <v>0</v>
      </c>
      <c r="FD459" s="509">
        <f t="shared" si="85"/>
        <v>0</v>
      </c>
      <c r="FE459" s="509">
        <f t="shared" si="85"/>
        <v>0</v>
      </c>
      <c r="FF459" s="509"/>
      <c r="FG459" s="508"/>
      <c r="FK459" s="4">
        <f>DO459-FC459</f>
        <v>0</v>
      </c>
    </row>
    <row r="460" spans="1:167" s="4" customFormat="1" hidden="1">
      <c r="A460" s="56"/>
      <c r="B460" s="56">
        <v>12</v>
      </c>
      <c r="C460" s="501" t="s">
        <v>3446</v>
      </c>
      <c r="D460" s="502"/>
      <c r="E460" s="503"/>
      <c r="F460" s="503"/>
      <c r="G460" s="503"/>
      <c r="H460" s="503"/>
      <c r="I460" s="503"/>
      <c r="J460" s="503"/>
      <c r="K460" s="503"/>
      <c r="L460" s="503"/>
      <c r="M460" s="503"/>
      <c r="N460" s="503"/>
      <c r="O460" s="503"/>
      <c r="P460" s="503"/>
      <c r="Q460" s="503"/>
      <c r="R460" s="503"/>
      <c r="S460" s="503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504"/>
      <c r="BL460" s="504"/>
      <c r="BM460" s="504"/>
      <c r="BN460" s="504"/>
      <c r="BO460" s="504"/>
      <c r="BP460" s="504"/>
      <c r="BQ460" s="504"/>
      <c r="BR460" s="504"/>
      <c r="BS460" s="504"/>
      <c r="BT460" s="504"/>
      <c r="BU460" s="504"/>
      <c r="BV460" s="504"/>
      <c r="BW460" s="504"/>
      <c r="BX460" s="504"/>
      <c r="BY460" s="504"/>
      <c r="BZ460" s="504"/>
      <c r="CA460" s="504"/>
      <c r="CB460" s="504"/>
      <c r="CC460" s="504"/>
      <c r="CD460" s="504"/>
      <c r="CE460" s="504"/>
      <c r="CF460" s="504"/>
      <c r="CG460" s="504"/>
      <c r="CH460" s="504"/>
      <c r="CI460" s="504"/>
      <c r="CJ460" s="504"/>
      <c r="CK460" s="504"/>
      <c r="CL460" s="504"/>
      <c r="CM460" s="504"/>
      <c r="CN460" s="504"/>
      <c r="CO460" s="504"/>
      <c r="CP460" s="504"/>
      <c r="CQ460" s="504"/>
      <c r="CR460" s="504"/>
      <c r="CS460" s="504"/>
      <c r="CT460" s="504"/>
      <c r="CU460" s="504"/>
      <c r="CV460" s="519"/>
      <c r="CW460" s="519"/>
      <c r="CX460" s="519"/>
      <c r="CY460" s="519"/>
      <c r="CZ460" s="519"/>
      <c r="DA460" s="519"/>
      <c r="DB460" s="519"/>
      <c r="DC460" s="519"/>
      <c r="DD460" s="519"/>
      <c r="DE460" s="519"/>
      <c r="DF460" s="519"/>
      <c r="DG460" s="519"/>
      <c r="DH460" s="519"/>
      <c r="DI460" s="504"/>
      <c r="DJ460" s="504"/>
      <c r="DK460" s="504"/>
      <c r="DL460" s="504"/>
      <c r="DM460" s="504"/>
      <c r="DN460" s="504"/>
      <c r="DO460" s="504"/>
      <c r="DP460" s="504"/>
      <c r="DQ460" s="504"/>
      <c r="DR460" s="504"/>
      <c r="DS460" s="504"/>
      <c r="DT460" s="504"/>
      <c r="DU460" s="504"/>
      <c r="DV460" s="504"/>
      <c r="DW460" s="504"/>
      <c r="DX460" s="504"/>
      <c r="DY460" s="504"/>
      <c r="DZ460" s="504"/>
      <c r="EA460" s="504"/>
      <c r="EB460" s="504"/>
      <c r="EC460" s="504"/>
      <c r="ED460" s="504"/>
      <c r="EE460" s="504"/>
      <c r="EF460" s="504"/>
      <c r="EG460" s="504"/>
      <c r="EH460" s="504"/>
      <c r="EI460" s="504"/>
      <c r="EJ460" s="504"/>
      <c r="EK460" s="504"/>
      <c r="EL460" s="504"/>
      <c r="EM460" s="504"/>
      <c r="EN460" s="504"/>
      <c r="EO460" s="504"/>
      <c r="EP460" s="504"/>
      <c r="EQ460" s="504"/>
      <c r="ER460" s="504"/>
      <c r="ES460" s="504"/>
      <c r="ET460" s="504"/>
      <c r="EU460" s="504"/>
      <c r="EV460" s="504"/>
      <c r="EW460" s="504"/>
      <c r="EX460" s="504"/>
      <c r="EY460" s="504"/>
      <c r="EZ460" s="504"/>
      <c r="FA460" s="504"/>
      <c r="FB460" s="504"/>
      <c r="FC460" s="504"/>
      <c r="FD460" s="504"/>
      <c r="FE460" s="504"/>
      <c r="FF460" s="504"/>
      <c r="FG460" s="505"/>
      <c r="FK460" s="4">
        <f>DO460-FC460</f>
        <v>0</v>
      </c>
    </row>
    <row r="461" spans="1:167" s="4" customFormat="1" hidden="1">
      <c r="A461" s="56"/>
      <c r="B461" s="56"/>
      <c r="C461" s="498"/>
      <c r="D461" s="506"/>
      <c r="E461" s="454"/>
      <c r="F461" s="454"/>
      <c r="G461" s="454"/>
      <c r="H461" s="454"/>
      <c r="I461" s="454"/>
      <c r="J461" s="454"/>
      <c r="K461" s="454"/>
      <c r="L461" s="454"/>
      <c r="M461" s="454"/>
      <c r="N461" s="454"/>
      <c r="O461" s="454"/>
      <c r="P461" s="454"/>
      <c r="Q461" s="454"/>
      <c r="R461" s="290"/>
      <c r="S461" s="290"/>
      <c r="T461" s="454"/>
      <c r="U461" s="454"/>
      <c r="V461" s="454"/>
      <c r="W461" s="454"/>
      <c r="X461" s="454"/>
      <c r="Y461" s="454"/>
      <c r="Z461" s="454"/>
      <c r="AA461" s="454"/>
      <c r="AB461" s="454"/>
      <c r="AC461" s="454"/>
      <c r="AD461" s="454"/>
      <c r="AE461" s="454"/>
      <c r="AF461" s="454"/>
      <c r="AG461" s="454"/>
      <c r="AH461" s="454"/>
      <c r="AI461" s="454"/>
      <c r="AJ461" s="454"/>
      <c r="AK461" s="454"/>
      <c r="AL461" s="454"/>
      <c r="AM461" s="454"/>
      <c r="AN461" s="454"/>
      <c r="AO461" s="454"/>
      <c r="AP461" s="454"/>
      <c r="AQ461" s="454"/>
      <c r="AR461" s="454"/>
      <c r="AS461" s="454"/>
      <c r="AT461" s="454"/>
      <c r="AU461" s="454"/>
      <c r="AV461" s="454"/>
      <c r="AW461" s="454"/>
      <c r="AX461" s="454"/>
      <c r="AY461" s="454"/>
      <c r="AZ461" s="454"/>
      <c r="BA461" s="454"/>
      <c r="BB461" s="454"/>
      <c r="BC461" s="454"/>
      <c r="BD461" s="454"/>
      <c r="BE461" s="454"/>
      <c r="BF461" s="454"/>
      <c r="BG461" s="454"/>
      <c r="BH461" s="454"/>
      <c r="BI461" s="454"/>
      <c r="BJ461" s="454"/>
      <c r="BK461" s="454"/>
      <c r="BL461" s="454"/>
      <c r="BM461" s="454"/>
      <c r="BN461" s="454"/>
      <c r="BO461" s="454"/>
      <c r="BP461" s="454"/>
      <c r="BQ461" s="454"/>
      <c r="BR461" s="454"/>
      <c r="BS461" s="454"/>
      <c r="BT461" s="454"/>
      <c r="BU461" s="454"/>
      <c r="BV461" s="454"/>
      <c r="BW461" s="454"/>
      <c r="BX461" s="454"/>
      <c r="BY461" s="454"/>
      <c r="BZ461" s="454"/>
      <c r="CA461" s="454"/>
      <c r="CB461" s="454"/>
      <c r="CC461" s="454"/>
      <c r="CD461" s="454"/>
      <c r="CE461" s="454"/>
      <c r="CF461" s="454"/>
      <c r="CG461" s="454"/>
      <c r="CH461" s="454"/>
      <c r="CI461" s="454"/>
      <c r="CJ461" s="454"/>
      <c r="CK461" s="454"/>
      <c r="CL461" s="454"/>
      <c r="CM461" s="454"/>
      <c r="CN461" s="454"/>
      <c r="CO461" s="454"/>
      <c r="CP461" s="454"/>
      <c r="CQ461" s="454"/>
      <c r="CR461" s="454"/>
      <c r="CS461" s="454"/>
      <c r="CT461" s="454"/>
      <c r="CU461" s="454"/>
      <c r="CV461" s="517"/>
      <c r="CW461" s="517"/>
      <c r="CX461" s="517"/>
      <c r="CY461" s="517"/>
      <c r="CZ461" s="517"/>
      <c r="DA461" s="517"/>
      <c r="DB461" s="517"/>
      <c r="DC461" s="517"/>
      <c r="DD461" s="517"/>
      <c r="DE461" s="517"/>
      <c r="DF461" s="517"/>
      <c r="DG461" s="517"/>
      <c r="DH461" s="517"/>
      <c r="DI461" s="454"/>
      <c r="DJ461" s="454"/>
      <c r="DK461" s="454"/>
      <c r="DL461" s="454"/>
      <c r="DM461" s="454"/>
      <c r="DN461" s="454"/>
      <c r="DO461" s="454"/>
      <c r="DP461" s="454"/>
      <c r="DQ461" s="454"/>
      <c r="DR461" s="454"/>
      <c r="DS461" s="454"/>
      <c r="DT461" s="454"/>
      <c r="DU461" s="454"/>
      <c r="DV461" s="454"/>
      <c r="DW461" s="454"/>
      <c r="DX461" s="454"/>
      <c r="DY461" s="454"/>
      <c r="DZ461" s="454"/>
      <c r="EA461" s="454"/>
      <c r="EB461" s="454"/>
      <c r="EC461" s="454"/>
      <c r="ED461" s="454"/>
      <c r="EE461" s="454"/>
      <c r="EF461" s="454"/>
      <c r="EG461" s="454"/>
      <c r="EH461" s="454"/>
      <c r="EI461" s="454"/>
      <c r="EJ461" s="454"/>
      <c r="EK461" s="454"/>
      <c r="EL461" s="454"/>
      <c r="EM461" s="454"/>
      <c r="EN461" s="454"/>
      <c r="EO461" s="454"/>
      <c r="EP461" s="454"/>
      <c r="EQ461" s="454"/>
      <c r="ER461" s="454"/>
      <c r="ES461" s="454"/>
      <c r="ET461" s="454"/>
      <c r="EU461" s="454"/>
      <c r="EV461" s="454"/>
      <c r="EW461" s="454"/>
      <c r="EX461" s="454"/>
      <c r="EY461" s="454"/>
      <c r="EZ461" s="454"/>
      <c r="FA461" s="454"/>
      <c r="FB461" s="454"/>
      <c r="FC461" s="454"/>
      <c r="FD461" s="454"/>
      <c r="FE461" s="454"/>
      <c r="FF461" s="454"/>
      <c r="FG461" s="290"/>
    </row>
    <row r="462" spans="1:167" s="4" customFormat="1" hidden="1">
      <c r="A462" s="56"/>
      <c r="B462" s="56"/>
      <c r="C462" s="498"/>
      <c r="D462" s="498"/>
      <c r="E462" s="454"/>
      <c r="F462" s="454"/>
      <c r="G462" s="454"/>
      <c r="H462" s="454"/>
      <c r="I462" s="454"/>
      <c r="J462" s="454"/>
      <c r="K462" s="454"/>
      <c r="L462" s="454"/>
      <c r="M462" s="454"/>
      <c r="N462" s="454"/>
      <c r="O462" s="454"/>
      <c r="P462" s="454"/>
      <c r="Q462" s="454"/>
      <c r="R462" s="290"/>
      <c r="S462" s="290"/>
      <c r="T462" s="454"/>
      <c r="U462" s="454"/>
      <c r="V462" s="454"/>
      <c r="W462" s="454"/>
      <c r="X462" s="454"/>
      <c r="Y462" s="454"/>
      <c r="Z462" s="454"/>
      <c r="AA462" s="454"/>
      <c r="AB462" s="454"/>
      <c r="AC462" s="454"/>
      <c r="AD462" s="454"/>
      <c r="AE462" s="454"/>
      <c r="AF462" s="454"/>
      <c r="AG462" s="454"/>
      <c r="AH462" s="454"/>
      <c r="AI462" s="454"/>
      <c r="AJ462" s="454"/>
      <c r="AK462" s="454"/>
      <c r="AL462" s="454"/>
      <c r="AM462" s="454"/>
      <c r="AN462" s="454"/>
      <c r="AO462" s="454"/>
      <c r="AP462" s="454"/>
      <c r="AQ462" s="454"/>
      <c r="AR462" s="454"/>
      <c r="AS462" s="454"/>
      <c r="AT462" s="454"/>
      <c r="AU462" s="454"/>
      <c r="AV462" s="454"/>
      <c r="AW462" s="454"/>
      <c r="AX462" s="454"/>
      <c r="AY462" s="454"/>
      <c r="AZ462" s="454"/>
      <c r="BA462" s="454"/>
      <c r="BB462" s="454"/>
      <c r="BC462" s="454"/>
      <c r="BD462" s="454"/>
      <c r="BE462" s="454"/>
      <c r="BF462" s="454"/>
      <c r="BG462" s="454"/>
      <c r="BH462" s="454"/>
      <c r="BI462" s="454"/>
      <c r="BJ462" s="454"/>
      <c r="BK462" s="454"/>
      <c r="BL462" s="454"/>
      <c r="BM462" s="454"/>
      <c r="BN462" s="454"/>
      <c r="BO462" s="454"/>
      <c r="BP462" s="454"/>
      <c r="BQ462" s="454"/>
      <c r="BR462" s="454"/>
      <c r="BS462" s="454"/>
      <c r="BT462" s="454"/>
      <c r="BU462" s="454"/>
      <c r="BV462" s="454"/>
      <c r="BW462" s="454"/>
      <c r="BX462" s="454"/>
      <c r="BY462" s="454"/>
      <c r="BZ462" s="454"/>
      <c r="CA462" s="454"/>
      <c r="CB462" s="454"/>
      <c r="CC462" s="454"/>
      <c r="CD462" s="454"/>
      <c r="CE462" s="454"/>
      <c r="CF462" s="454"/>
      <c r="CG462" s="454"/>
      <c r="CH462" s="454"/>
      <c r="CI462" s="454"/>
      <c r="CJ462" s="454"/>
      <c r="CK462" s="454"/>
      <c r="CL462" s="454"/>
      <c r="CM462" s="454"/>
      <c r="CN462" s="454"/>
      <c r="CO462" s="454"/>
      <c r="CP462" s="454"/>
      <c r="CQ462" s="454"/>
      <c r="CR462" s="454"/>
      <c r="CS462" s="454"/>
      <c r="CT462" s="454"/>
      <c r="CU462" s="454"/>
      <c r="CV462" s="517"/>
      <c r="CW462" s="517"/>
      <c r="CX462" s="517"/>
      <c r="CY462" s="517"/>
      <c r="CZ462" s="517"/>
      <c r="DA462" s="517"/>
      <c r="DB462" s="517"/>
      <c r="DC462" s="517"/>
      <c r="DD462" s="517"/>
      <c r="DE462" s="517"/>
      <c r="DF462" s="517"/>
      <c r="DG462" s="517"/>
      <c r="DH462" s="517"/>
      <c r="DI462" s="454"/>
      <c r="DJ462" s="454"/>
      <c r="DK462" s="454"/>
      <c r="DL462" s="454"/>
      <c r="DM462" s="454"/>
      <c r="DN462" s="454"/>
      <c r="DO462" s="454"/>
      <c r="DP462" s="454"/>
      <c r="DQ462" s="454"/>
      <c r="DR462" s="454"/>
      <c r="DS462" s="454"/>
      <c r="DT462" s="454"/>
      <c r="DU462" s="454"/>
      <c r="DV462" s="454"/>
      <c r="DW462" s="454"/>
      <c r="DX462" s="454"/>
      <c r="DY462" s="454"/>
      <c r="DZ462" s="454"/>
      <c r="EA462" s="454"/>
      <c r="EB462" s="454"/>
      <c r="EC462" s="454"/>
      <c r="ED462" s="454"/>
      <c r="EE462" s="454"/>
      <c r="EF462" s="454"/>
      <c r="EG462" s="454"/>
      <c r="EH462" s="454"/>
      <c r="EI462" s="454"/>
      <c r="EJ462" s="454"/>
      <c r="EK462" s="454"/>
      <c r="EL462" s="454"/>
      <c r="EM462" s="454"/>
      <c r="EN462" s="454"/>
      <c r="EO462" s="454"/>
      <c r="EP462" s="454"/>
      <c r="EQ462" s="454"/>
      <c r="ER462" s="454"/>
      <c r="ES462" s="454"/>
      <c r="ET462" s="454"/>
      <c r="EU462" s="454"/>
      <c r="EV462" s="454"/>
      <c r="EW462" s="454"/>
      <c r="EX462" s="454"/>
      <c r="EY462" s="454"/>
      <c r="EZ462" s="454"/>
      <c r="FA462" s="454"/>
      <c r="FB462" s="454"/>
      <c r="FC462" s="454"/>
      <c r="FD462" s="454"/>
      <c r="FE462" s="454"/>
      <c r="FF462" s="454"/>
      <c r="FG462" s="290"/>
    </row>
    <row r="463" spans="1:167" s="4" customFormat="1" hidden="1">
      <c r="A463" s="56"/>
      <c r="B463" s="56"/>
      <c r="C463" s="498"/>
      <c r="D463" s="498"/>
      <c r="E463" s="454"/>
      <c r="F463" s="454"/>
      <c r="G463" s="454"/>
      <c r="H463" s="454"/>
      <c r="I463" s="454"/>
      <c r="J463" s="454"/>
      <c r="K463" s="454"/>
      <c r="L463" s="454"/>
      <c r="M463" s="454"/>
      <c r="N463" s="454"/>
      <c r="O463" s="454"/>
      <c r="P463" s="454"/>
      <c r="Q463" s="454"/>
      <c r="R463" s="290"/>
      <c r="S463" s="290"/>
      <c r="T463" s="454"/>
      <c r="U463" s="454"/>
      <c r="V463" s="454"/>
      <c r="W463" s="454"/>
      <c r="X463" s="454"/>
      <c r="Y463" s="454"/>
      <c r="Z463" s="454"/>
      <c r="AA463" s="454"/>
      <c r="AB463" s="454"/>
      <c r="AC463" s="454"/>
      <c r="AD463" s="454"/>
      <c r="AE463" s="454"/>
      <c r="AF463" s="454"/>
      <c r="AG463" s="454"/>
      <c r="AH463" s="454"/>
      <c r="AI463" s="454"/>
      <c r="AJ463" s="454"/>
      <c r="AK463" s="454"/>
      <c r="AL463" s="454"/>
      <c r="AM463" s="454"/>
      <c r="AN463" s="454"/>
      <c r="AO463" s="454"/>
      <c r="AP463" s="454"/>
      <c r="AQ463" s="454"/>
      <c r="AR463" s="454"/>
      <c r="AS463" s="454"/>
      <c r="AT463" s="454"/>
      <c r="AU463" s="454"/>
      <c r="AV463" s="454"/>
      <c r="AW463" s="454"/>
      <c r="AX463" s="454"/>
      <c r="AY463" s="454"/>
      <c r="AZ463" s="454"/>
      <c r="BA463" s="454"/>
      <c r="BB463" s="454"/>
      <c r="BC463" s="454"/>
      <c r="BD463" s="454"/>
      <c r="BE463" s="454"/>
      <c r="BF463" s="454"/>
      <c r="BG463" s="454"/>
      <c r="BH463" s="454"/>
      <c r="BI463" s="454"/>
      <c r="BJ463" s="454"/>
      <c r="BK463" s="454"/>
      <c r="BL463" s="454"/>
      <c r="BM463" s="454"/>
      <c r="BN463" s="454"/>
      <c r="BO463" s="454"/>
      <c r="BP463" s="454"/>
      <c r="BQ463" s="454"/>
      <c r="BR463" s="454"/>
      <c r="BS463" s="454"/>
      <c r="BT463" s="454"/>
      <c r="BU463" s="454"/>
      <c r="BV463" s="454"/>
      <c r="BW463" s="454"/>
      <c r="BX463" s="454"/>
      <c r="BY463" s="454"/>
      <c r="BZ463" s="454"/>
      <c r="CA463" s="454"/>
      <c r="CB463" s="454"/>
      <c r="CC463" s="454"/>
      <c r="CD463" s="454"/>
      <c r="CE463" s="454"/>
      <c r="CF463" s="454"/>
      <c r="CG463" s="454"/>
      <c r="CH463" s="454"/>
      <c r="CI463" s="454"/>
      <c r="CJ463" s="454"/>
      <c r="CK463" s="454"/>
      <c r="CL463" s="454"/>
      <c r="CM463" s="454"/>
      <c r="CN463" s="454"/>
      <c r="CO463" s="454"/>
      <c r="CP463" s="454"/>
      <c r="CQ463" s="454"/>
      <c r="CR463" s="454"/>
      <c r="CS463" s="454"/>
      <c r="CT463" s="454"/>
      <c r="CU463" s="454"/>
      <c r="CV463" s="517"/>
      <c r="CW463" s="517"/>
      <c r="CX463" s="517"/>
      <c r="CY463" s="517"/>
      <c r="CZ463" s="517"/>
      <c r="DA463" s="517"/>
      <c r="DB463" s="517"/>
      <c r="DC463" s="517"/>
      <c r="DD463" s="517"/>
      <c r="DE463" s="517"/>
      <c r="DF463" s="517"/>
      <c r="DG463" s="517"/>
      <c r="DH463" s="517"/>
      <c r="DI463" s="454"/>
      <c r="DJ463" s="454"/>
      <c r="DK463" s="454"/>
      <c r="DL463" s="454"/>
      <c r="DM463" s="454"/>
      <c r="DN463" s="454"/>
      <c r="DO463" s="454"/>
      <c r="DP463" s="454"/>
      <c r="DQ463" s="454"/>
      <c r="DR463" s="454"/>
      <c r="DS463" s="454"/>
      <c r="DT463" s="454"/>
      <c r="DU463" s="454"/>
      <c r="DV463" s="454"/>
      <c r="DW463" s="454"/>
      <c r="DX463" s="454"/>
      <c r="DY463" s="454"/>
      <c r="DZ463" s="454"/>
      <c r="EA463" s="454"/>
      <c r="EB463" s="454"/>
      <c r="EC463" s="454"/>
      <c r="ED463" s="454"/>
      <c r="EE463" s="454"/>
      <c r="EF463" s="454"/>
      <c r="EG463" s="454"/>
      <c r="EH463" s="454"/>
      <c r="EI463" s="454"/>
      <c r="EJ463" s="454"/>
      <c r="EK463" s="454"/>
      <c r="EL463" s="454"/>
      <c r="EM463" s="454"/>
      <c r="EN463" s="454"/>
      <c r="EO463" s="454"/>
      <c r="EP463" s="454"/>
      <c r="EQ463" s="454"/>
      <c r="ER463" s="454"/>
      <c r="ES463" s="454"/>
      <c r="ET463" s="454"/>
      <c r="EU463" s="454"/>
      <c r="EV463" s="454"/>
      <c r="EW463" s="454"/>
      <c r="EX463" s="454"/>
      <c r="EY463" s="454"/>
      <c r="EZ463" s="454"/>
      <c r="FA463" s="454"/>
      <c r="FB463" s="454"/>
      <c r="FC463" s="454"/>
      <c r="FD463" s="454"/>
      <c r="FE463" s="454"/>
      <c r="FF463" s="454"/>
      <c r="FG463" s="290"/>
    </row>
    <row r="464" spans="1:167" s="4" customFormat="1" hidden="1">
      <c r="A464" s="56"/>
      <c r="B464" s="56"/>
      <c r="C464" s="498"/>
      <c r="D464" s="498"/>
      <c r="E464" s="454"/>
      <c r="F464" s="454"/>
      <c r="G464" s="454"/>
      <c r="H464" s="454"/>
      <c r="I464" s="454"/>
      <c r="J464" s="454"/>
      <c r="K464" s="454"/>
      <c r="L464" s="454"/>
      <c r="M464" s="454"/>
      <c r="N464" s="454"/>
      <c r="O464" s="454"/>
      <c r="P464" s="454"/>
      <c r="Q464" s="454"/>
      <c r="R464" s="290"/>
      <c r="S464" s="290"/>
      <c r="T464" s="454"/>
      <c r="U464" s="454"/>
      <c r="V464" s="454"/>
      <c r="W464" s="454"/>
      <c r="X464" s="454"/>
      <c r="Y464" s="454"/>
      <c r="Z464" s="454"/>
      <c r="AA464" s="454"/>
      <c r="AB464" s="454"/>
      <c r="AC464" s="454"/>
      <c r="AD464" s="454"/>
      <c r="AE464" s="454"/>
      <c r="AF464" s="454"/>
      <c r="AG464" s="454"/>
      <c r="AH464" s="454"/>
      <c r="AI464" s="454"/>
      <c r="AJ464" s="454"/>
      <c r="AK464" s="454"/>
      <c r="AL464" s="454"/>
      <c r="AM464" s="454"/>
      <c r="AN464" s="454"/>
      <c r="AO464" s="454"/>
      <c r="AP464" s="454"/>
      <c r="AQ464" s="454"/>
      <c r="AR464" s="454"/>
      <c r="AS464" s="454"/>
      <c r="AT464" s="454"/>
      <c r="AU464" s="454"/>
      <c r="AV464" s="454"/>
      <c r="AW464" s="454"/>
      <c r="AX464" s="454"/>
      <c r="AY464" s="454"/>
      <c r="AZ464" s="454"/>
      <c r="BA464" s="454"/>
      <c r="BB464" s="454"/>
      <c r="BC464" s="454"/>
      <c r="BD464" s="454"/>
      <c r="BE464" s="454"/>
      <c r="BF464" s="454"/>
      <c r="BG464" s="454"/>
      <c r="BH464" s="454"/>
      <c r="BI464" s="454"/>
      <c r="BJ464" s="454"/>
      <c r="BK464" s="454"/>
      <c r="BL464" s="454"/>
      <c r="BM464" s="454"/>
      <c r="BN464" s="454"/>
      <c r="BO464" s="454"/>
      <c r="BP464" s="454"/>
      <c r="BQ464" s="454"/>
      <c r="BR464" s="454"/>
      <c r="BS464" s="454"/>
      <c r="BT464" s="454"/>
      <c r="BU464" s="454"/>
      <c r="BV464" s="454"/>
      <c r="BW464" s="454"/>
      <c r="BX464" s="454"/>
      <c r="BY464" s="454"/>
      <c r="BZ464" s="454"/>
      <c r="CA464" s="454"/>
      <c r="CB464" s="454"/>
      <c r="CC464" s="454"/>
      <c r="CD464" s="454"/>
      <c r="CE464" s="454"/>
      <c r="CF464" s="454"/>
      <c r="CG464" s="454"/>
      <c r="CH464" s="454"/>
      <c r="CI464" s="454"/>
      <c r="CJ464" s="454"/>
      <c r="CK464" s="454"/>
      <c r="CL464" s="454"/>
      <c r="CM464" s="454"/>
      <c r="CN464" s="454"/>
      <c r="CO464" s="454"/>
      <c r="CP464" s="454"/>
      <c r="CQ464" s="454"/>
      <c r="CR464" s="454"/>
      <c r="CS464" s="454"/>
      <c r="CT464" s="454"/>
      <c r="CU464" s="454"/>
      <c r="CV464" s="517"/>
      <c r="CW464" s="517"/>
      <c r="CX464" s="517"/>
      <c r="CY464" s="517"/>
      <c r="CZ464" s="517"/>
      <c r="DA464" s="517"/>
      <c r="DB464" s="517"/>
      <c r="DC464" s="517"/>
      <c r="DD464" s="517"/>
      <c r="DE464" s="517"/>
      <c r="DF464" s="517"/>
      <c r="DG464" s="517"/>
      <c r="DH464" s="517"/>
      <c r="DI464" s="454"/>
      <c r="DJ464" s="454"/>
      <c r="DK464" s="454"/>
      <c r="DL464" s="454"/>
      <c r="DM464" s="454"/>
      <c r="DN464" s="454"/>
      <c r="DO464" s="454"/>
      <c r="DP464" s="454"/>
      <c r="DQ464" s="454"/>
      <c r="DR464" s="454"/>
      <c r="DS464" s="454"/>
      <c r="DT464" s="454"/>
      <c r="DU464" s="454"/>
      <c r="DV464" s="454"/>
      <c r="DW464" s="454"/>
      <c r="DX464" s="454"/>
      <c r="DY464" s="454"/>
      <c r="DZ464" s="454"/>
      <c r="EA464" s="454"/>
      <c r="EB464" s="454"/>
      <c r="EC464" s="454"/>
      <c r="ED464" s="454"/>
      <c r="EE464" s="454"/>
      <c r="EF464" s="454"/>
      <c r="EG464" s="454"/>
      <c r="EH464" s="454"/>
      <c r="EI464" s="454"/>
      <c r="EJ464" s="454"/>
      <c r="EK464" s="454"/>
      <c r="EL464" s="454"/>
      <c r="EM464" s="454"/>
      <c r="EN464" s="454"/>
      <c r="EO464" s="454"/>
      <c r="EP464" s="454"/>
      <c r="EQ464" s="454"/>
      <c r="ER464" s="454"/>
      <c r="ES464" s="454"/>
      <c r="ET464" s="454"/>
      <c r="EU464" s="454"/>
      <c r="EV464" s="454"/>
      <c r="EW464" s="454"/>
      <c r="EX464" s="454"/>
      <c r="EY464" s="454"/>
      <c r="EZ464" s="454"/>
      <c r="FA464" s="454"/>
      <c r="FB464" s="454"/>
      <c r="FC464" s="454"/>
      <c r="FD464" s="454"/>
      <c r="FE464" s="454"/>
      <c r="FF464" s="454"/>
      <c r="FG464" s="290"/>
    </row>
    <row r="465" spans="1:163" s="4" customFormat="1" hidden="1">
      <c r="A465" s="56"/>
      <c r="B465" s="56"/>
      <c r="C465" s="498"/>
      <c r="D465" s="498"/>
      <c r="E465" s="454"/>
      <c r="F465" s="454"/>
      <c r="G465" s="454"/>
      <c r="H465" s="454"/>
      <c r="I465" s="454"/>
      <c r="J465" s="454"/>
      <c r="K465" s="454"/>
      <c r="L465" s="454"/>
      <c r="M465" s="454"/>
      <c r="N465" s="454"/>
      <c r="O465" s="454"/>
      <c r="P465" s="454"/>
      <c r="Q465" s="454"/>
      <c r="R465" s="290"/>
      <c r="S465" s="290"/>
      <c r="T465" s="454"/>
      <c r="U465" s="454"/>
      <c r="V465" s="454"/>
      <c r="W465" s="454"/>
      <c r="X465" s="454"/>
      <c r="Y465" s="454"/>
      <c r="Z465" s="454"/>
      <c r="AA465" s="454"/>
      <c r="AB465" s="454"/>
      <c r="AC465" s="454"/>
      <c r="AD465" s="454"/>
      <c r="AE465" s="454"/>
      <c r="AF465" s="454"/>
      <c r="AG465" s="454"/>
      <c r="AH465" s="454"/>
      <c r="AI465" s="454"/>
      <c r="AJ465" s="454"/>
      <c r="AK465" s="454"/>
      <c r="AL465" s="454"/>
      <c r="AM465" s="454"/>
      <c r="AN465" s="454"/>
      <c r="AO465" s="454"/>
      <c r="AP465" s="454"/>
      <c r="AQ465" s="454"/>
      <c r="AR465" s="454"/>
      <c r="AS465" s="454"/>
      <c r="AT465" s="454"/>
      <c r="AU465" s="454"/>
      <c r="AV465" s="454"/>
      <c r="AW465" s="454"/>
      <c r="AX465" s="454"/>
      <c r="AY465" s="454"/>
      <c r="AZ465" s="454"/>
      <c r="BA465" s="454"/>
      <c r="BB465" s="454"/>
      <c r="BC465" s="454"/>
      <c r="BD465" s="454"/>
      <c r="BE465" s="454"/>
      <c r="BF465" s="454"/>
      <c r="BG465" s="454"/>
      <c r="BH465" s="454"/>
      <c r="BI465" s="454"/>
      <c r="BJ465" s="454"/>
      <c r="BK465" s="454"/>
      <c r="BL465" s="454"/>
      <c r="BM465" s="454"/>
      <c r="BN465" s="454"/>
      <c r="BO465" s="454"/>
      <c r="BP465" s="454"/>
      <c r="BQ465" s="454"/>
      <c r="BR465" s="454"/>
      <c r="BS465" s="454"/>
      <c r="BT465" s="454"/>
      <c r="BU465" s="454"/>
      <c r="BV465" s="454"/>
      <c r="BW465" s="454"/>
      <c r="BX465" s="454"/>
      <c r="BY465" s="454"/>
      <c r="BZ465" s="454"/>
      <c r="CA465" s="454"/>
      <c r="CB465" s="454"/>
      <c r="CC465" s="454"/>
      <c r="CD465" s="454"/>
      <c r="CE465" s="454"/>
      <c r="CF465" s="454"/>
      <c r="CG465" s="454"/>
      <c r="CH465" s="454"/>
      <c r="CI465" s="454"/>
      <c r="CJ465" s="454"/>
      <c r="CK465" s="454"/>
      <c r="CL465" s="454"/>
      <c r="CM465" s="454"/>
      <c r="CN465" s="454"/>
      <c r="CO465" s="454"/>
      <c r="CP465" s="454"/>
      <c r="CQ465" s="454"/>
      <c r="CR465" s="454"/>
      <c r="CS465" s="454"/>
      <c r="CT465" s="454"/>
      <c r="CU465" s="454"/>
      <c r="CV465" s="517"/>
      <c r="CW465" s="517"/>
      <c r="CX465" s="517"/>
      <c r="CY465" s="517"/>
      <c r="CZ465" s="517"/>
      <c r="DA465" s="517"/>
      <c r="DB465" s="517"/>
      <c r="DC465" s="517"/>
      <c r="DD465" s="517"/>
      <c r="DE465" s="517"/>
      <c r="DF465" s="517"/>
      <c r="DG465" s="517"/>
      <c r="DH465" s="517"/>
      <c r="DI465" s="454"/>
      <c r="DJ465" s="454"/>
      <c r="DK465" s="454"/>
      <c r="DL465" s="454"/>
      <c r="DM465" s="454"/>
      <c r="DN465" s="454"/>
      <c r="DO465" s="454"/>
      <c r="DP465" s="454"/>
      <c r="DQ465" s="454"/>
      <c r="DR465" s="454"/>
      <c r="DS465" s="454"/>
      <c r="DT465" s="454"/>
      <c r="DU465" s="454"/>
      <c r="DV465" s="454"/>
      <c r="DW465" s="454"/>
      <c r="DX465" s="454"/>
      <c r="DY465" s="454"/>
      <c r="DZ465" s="454"/>
      <c r="EA465" s="454"/>
      <c r="EB465" s="454"/>
      <c r="EC465" s="454"/>
      <c r="ED465" s="454"/>
      <c r="EE465" s="454"/>
      <c r="EF465" s="454"/>
      <c r="EG465" s="454"/>
      <c r="EH465" s="454"/>
      <c r="EI465" s="454"/>
      <c r="EJ465" s="454"/>
      <c r="EK465" s="454"/>
      <c r="EL465" s="454"/>
      <c r="EM465" s="454"/>
      <c r="EN465" s="454"/>
      <c r="EO465" s="454"/>
      <c r="EP465" s="454"/>
      <c r="EQ465" s="454"/>
      <c r="ER465" s="454"/>
      <c r="ES465" s="454"/>
      <c r="ET465" s="454"/>
      <c r="EU465" s="454"/>
      <c r="EV465" s="454"/>
      <c r="EW465" s="454"/>
      <c r="EX465" s="454"/>
      <c r="EY465" s="454"/>
      <c r="EZ465" s="454"/>
      <c r="FA465" s="454"/>
      <c r="FB465" s="454"/>
      <c r="FC465" s="454"/>
      <c r="FD465" s="454"/>
      <c r="FE465" s="454"/>
      <c r="FF465" s="454"/>
      <c r="FG465" s="290"/>
    </row>
    <row r="466" spans="1:163" s="4" customFormat="1" hidden="1">
      <c r="A466" s="56"/>
      <c r="B466" s="56"/>
      <c r="C466" s="498"/>
      <c r="D466" s="498"/>
      <c r="E466" s="454"/>
      <c r="F466" s="454"/>
      <c r="G466" s="454"/>
      <c r="H466" s="454"/>
      <c r="I466" s="454"/>
      <c r="J466" s="454"/>
      <c r="K466" s="454"/>
      <c r="L466" s="454"/>
      <c r="M466" s="454"/>
      <c r="N466" s="454"/>
      <c r="O466" s="454"/>
      <c r="P466" s="454"/>
      <c r="Q466" s="454"/>
      <c r="R466" s="290"/>
      <c r="S466" s="290"/>
      <c r="T466" s="454"/>
      <c r="U466" s="454"/>
      <c r="V466" s="454"/>
      <c r="W466" s="454"/>
      <c r="X466" s="454"/>
      <c r="Y466" s="454"/>
      <c r="Z466" s="454"/>
      <c r="AA466" s="454"/>
      <c r="AB466" s="454"/>
      <c r="AC466" s="454"/>
      <c r="AD466" s="454"/>
      <c r="AE466" s="454"/>
      <c r="AF466" s="454"/>
      <c r="AG466" s="454"/>
      <c r="AH466" s="454"/>
      <c r="AI466" s="454"/>
      <c r="AJ466" s="454"/>
      <c r="AK466" s="454"/>
      <c r="AL466" s="454"/>
      <c r="AM466" s="454"/>
      <c r="AN466" s="454"/>
      <c r="AO466" s="454"/>
      <c r="AP466" s="454"/>
      <c r="AQ466" s="454"/>
      <c r="AR466" s="454"/>
      <c r="AS466" s="454"/>
      <c r="AT466" s="454"/>
      <c r="AU466" s="454"/>
      <c r="AV466" s="454"/>
      <c r="AW466" s="454"/>
      <c r="AX466" s="454"/>
      <c r="AY466" s="454"/>
      <c r="AZ466" s="454"/>
      <c r="BA466" s="454"/>
      <c r="BB466" s="454"/>
      <c r="BC466" s="454"/>
      <c r="BD466" s="454"/>
      <c r="BE466" s="454"/>
      <c r="BF466" s="454"/>
      <c r="BG466" s="454"/>
      <c r="BH466" s="454"/>
      <c r="BI466" s="454"/>
      <c r="BJ466" s="454"/>
      <c r="BK466" s="454"/>
      <c r="BL466" s="454"/>
      <c r="BM466" s="454"/>
      <c r="BN466" s="454"/>
      <c r="BO466" s="454"/>
      <c r="BP466" s="454"/>
      <c r="BQ466" s="454"/>
      <c r="BR466" s="454"/>
      <c r="BS466" s="454"/>
      <c r="BT466" s="454"/>
      <c r="BU466" s="454"/>
      <c r="BV466" s="454"/>
      <c r="BW466" s="454"/>
      <c r="BX466" s="454"/>
      <c r="BY466" s="454"/>
      <c r="BZ466" s="454"/>
      <c r="CA466" s="454"/>
      <c r="CB466" s="454"/>
      <c r="CC466" s="454"/>
      <c r="CD466" s="454"/>
      <c r="CE466" s="454"/>
      <c r="CF466" s="454"/>
      <c r="CG466" s="454"/>
      <c r="CH466" s="454"/>
      <c r="CI466" s="454"/>
      <c r="CJ466" s="454"/>
      <c r="CK466" s="454"/>
      <c r="CL466" s="454"/>
      <c r="CM466" s="454"/>
      <c r="CN466" s="454"/>
      <c r="CO466" s="454"/>
      <c r="CP466" s="454"/>
      <c r="CQ466" s="454"/>
      <c r="CR466" s="454"/>
      <c r="CS466" s="454"/>
      <c r="CT466" s="454"/>
      <c r="CU466" s="454"/>
      <c r="CV466" s="517"/>
      <c r="CW466" s="517"/>
      <c r="CX466" s="517"/>
      <c r="CY466" s="517"/>
      <c r="CZ466" s="517"/>
      <c r="DA466" s="517"/>
      <c r="DB466" s="517"/>
      <c r="DC466" s="517"/>
      <c r="DD466" s="517"/>
      <c r="DE466" s="517"/>
      <c r="DF466" s="517"/>
      <c r="DG466" s="517"/>
      <c r="DH466" s="517"/>
      <c r="DI466" s="454"/>
      <c r="DJ466" s="454"/>
      <c r="DK466" s="454"/>
      <c r="DL466" s="454"/>
      <c r="DM466" s="454"/>
      <c r="DN466" s="454"/>
      <c r="DO466" s="454"/>
      <c r="DP466" s="454"/>
      <c r="DQ466" s="454"/>
      <c r="DR466" s="454"/>
      <c r="DS466" s="454"/>
      <c r="DT466" s="454"/>
      <c r="DU466" s="454"/>
      <c r="DV466" s="454"/>
      <c r="DW466" s="454"/>
      <c r="DX466" s="454"/>
      <c r="DY466" s="454"/>
      <c r="DZ466" s="454"/>
      <c r="EA466" s="454"/>
      <c r="EB466" s="454"/>
      <c r="EC466" s="454"/>
      <c r="ED466" s="454"/>
      <c r="EE466" s="454"/>
      <c r="EF466" s="454"/>
      <c r="EG466" s="454"/>
      <c r="EH466" s="454"/>
      <c r="EI466" s="454"/>
      <c r="EJ466" s="454"/>
      <c r="EK466" s="454"/>
      <c r="EL466" s="454"/>
      <c r="EM466" s="454"/>
      <c r="EN466" s="454"/>
      <c r="EO466" s="454"/>
      <c r="EP466" s="454"/>
      <c r="EQ466" s="454"/>
      <c r="ER466" s="454"/>
      <c r="ES466" s="454"/>
      <c r="ET466" s="454"/>
      <c r="EU466" s="454"/>
      <c r="EV466" s="454"/>
      <c r="EW466" s="454"/>
      <c r="EX466" s="454"/>
      <c r="EY466" s="454"/>
      <c r="EZ466" s="454"/>
      <c r="FA466" s="454"/>
      <c r="FB466" s="454"/>
      <c r="FC466" s="454"/>
      <c r="FD466" s="454"/>
      <c r="FE466" s="454"/>
      <c r="FF466" s="454"/>
      <c r="FG466" s="290"/>
    </row>
    <row r="467" spans="1:163" s="4" customFormat="1" hidden="1">
      <c r="A467" s="486">
        <f>MATCH(C467,$C$5:$C$507,0)</f>
        <v>463</v>
      </c>
      <c r="B467" s="56"/>
      <c r="C467" s="507" t="s">
        <v>3084</v>
      </c>
      <c r="D467" s="507"/>
      <c r="E467" s="508">
        <f t="shared" ref="E467:AJ467" si="86">SUM(E461:E466)</f>
        <v>0</v>
      </c>
      <c r="F467" s="508">
        <f t="shared" si="86"/>
        <v>0</v>
      </c>
      <c r="G467" s="508">
        <f t="shared" si="86"/>
        <v>0</v>
      </c>
      <c r="H467" s="508">
        <f t="shared" si="86"/>
        <v>0</v>
      </c>
      <c r="I467" s="508">
        <f t="shared" si="86"/>
        <v>0</v>
      </c>
      <c r="J467" s="508">
        <f t="shared" si="86"/>
        <v>0</v>
      </c>
      <c r="K467" s="508">
        <f t="shared" si="86"/>
        <v>0</v>
      </c>
      <c r="L467" s="508">
        <f t="shared" si="86"/>
        <v>0</v>
      </c>
      <c r="M467" s="508">
        <f t="shared" si="86"/>
        <v>0</v>
      </c>
      <c r="N467" s="508">
        <f t="shared" si="86"/>
        <v>0</v>
      </c>
      <c r="O467" s="508">
        <f t="shared" si="86"/>
        <v>0</v>
      </c>
      <c r="P467" s="508">
        <f t="shared" si="86"/>
        <v>0</v>
      </c>
      <c r="Q467" s="508">
        <f t="shared" si="86"/>
        <v>0</v>
      </c>
      <c r="R467" s="508">
        <f t="shared" si="86"/>
        <v>0</v>
      </c>
      <c r="S467" s="508">
        <f t="shared" si="86"/>
        <v>0</v>
      </c>
      <c r="T467" s="509">
        <f t="shared" si="86"/>
        <v>0</v>
      </c>
      <c r="U467" s="509">
        <f t="shared" si="86"/>
        <v>0</v>
      </c>
      <c r="V467" s="509">
        <f t="shared" si="86"/>
        <v>0</v>
      </c>
      <c r="W467" s="509">
        <f t="shared" si="86"/>
        <v>0</v>
      </c>
      <c r="X467" s="509">
        <f t="shared" si="86"/>
        <v>0</v>
      </c>
      <c r="Y467" s="509">
        <f t="shared" si="86"/>
        <v>0</v>
      </c>
      <c r="Z467" s="509">
        <f t="shared" si="86"/>
        <v>0</v>
      </c>
      <c r="AA467" s="509">
        <f t="shared" si="86"/>
        <v>0</v>
      </c>
      <c r="AB467" s="509">
        <f t="shared" si="86"/>
        <v>0</v>
      </c>
      <c r="AC467" s="509">
        <f t="shared" si="86"/>
        <v>0</v>
      </c>
      <c r="AD467" s="509">
        <f t="shared" si="86"/>
        <v>0</v>
      </c>
      <c r="AE467" s="509">
        <f t="shared" si="86"/>
        <v>0</v>
      </c>
      <c r="AF467" s="509">
        <f t="shared" si="86"/>
        <v>0</v>
      </c>
      <c r="AG467" s="509">
        <f t="shared" si="86"/>
        <v>0</v>
      </c>
      <c r="AH467" s="509">
        <f t="shared" si="86"/>
        <v>0</v>
      </c>
      <c r="AI467" s="509">
        <f t="shared" si="86"/>
        <v>0</v>
      </c>
      <c r="AJ467" s="509">
        <f t="shared" si="86"/>
        <v>0</v>
      </c>
      <c r="AK467" s="509">
        <f t="shared" ref="AK467:BP467" si="87">SUM(AK461:AK466)</f>
        <v>0</v>
      </c>
      <c r="AL467" s="509">
        <f t="shared" si="87"/>
        <v>0</v>
      </c>
      <c r="AM467" s="509">
        <f t="shared" si="87"/>
        <v>0</v>
      </c>
      <c r="AN467" s="509">
        <f t="shared" si="87"/>
        <v>0</v>
      </c>
      <c r="AO467" s="509">
        <f t="shared" si="87"/>
        <v>0</v>
      </c>
      <c r="AP467" s="509">
        <f t="shared" si="87"/>
        <v>0</v>
      </c>
      <c r="AQ467" s="509">
        <f t="shared" si="87"/>
        <v>0</v>
      </c>
      <c r="AR467" s="509">
        <f t="shared" si="87"/>
        <v>0</v>
      </c>
      <c r="AS467" s="509">
        <f t="shared" si="87"/>
        <v>0</v>
      </c>
      <c r="AT467" s="509">
        <f t="shared" si="87"/>
        <v>0</v>
      </c>
      <c r="AU467" s="509">
        <f t="shared" si="87"/>
        <v>0</v>
      </c>
      <c r="AV467" s="509">
        <f t="shared" si="87"/>
        <v>0</v>
      </c>
      <c r="AW467" s="509">
        <f t="shared" si="87"/>
        <v>0</v>
      </c>
      <c r="AX467" s="509">
        <f t="shared" si="87"/>
        <v>0</v>
      </c>
      <c r="AY467" s="509">
        <f t="shared" si="87"/>
        <v>0</v>
      </c>
      <c r="AZ467" s="509">
        <f t="shared" si="87"/>
        <v>0</v>
      </c>
      <c r="BA467" s="509">
        <f t="shared" si="87"/>
        <v>0</v>
      </c>
      <c r="BB467" s="509">
        <f t="shared" si="87"/>
        <v>0</v>
      </c>
      <c r="BC467" s="509">
        <f t="shared" si="87"/>
        <v>0</v>
      </c>
      <c r="BD467" s="509">
        <f t="shared" si="87"/>
        <v>0</v>
      </c>
      <c r="BE467" s="509">
        <f t="shared" si="87"/>
        <v>0</v>
      </c>
      <c r="BF467" s="509">
        <f t="shared" si="87"/>
        <v>0</v>
      </c>
      <c r="BG467" s="509">
        <f t="shared" si="87"/>
        <v>0</v>
      </c>
      <c r="BH467" s="509">
        <f t="shared" si="87"/>
        <v>0</v>
      </c>
      <c r="BI467" s="509">
        <f t="shared" si="87"/>
        <v>0</v>
      </c>
      <c r="BJ467" s="509">
        <f t="shared" si="87"/>
        <v>0</v>
      </c>
      <c r="BK467" s="509">
        <f t="shared" si="87"/>
        <v>0</v>
      </c>
      <c r="BL467" s="509">
        <f t="shared" si="87"/>
        <v>0</v>
      </c>
      <c r="BM467" s="509">
        <f t="shared" si="87"/>
        <v>0</v>
      </c>
      <c r="BN467" s="509">
        <f t="shared" si="87"/>
        <v>0</v>
      </c>
      <c r="BO467" s="509">
        <f t="shared" si="87"/>
        <v>0</v>
      </c>
      <c r="BP467" s="509">
        <f t="shared" si="87"/>
        <v>0</v>
      </c>
      <c r="BQ467" s="509">
        <f t="shared" ref="BQ467:CW467" si="88">SUM(BQ461:BQ466)</f>
        <v>0</v>
      </c>
      <c r="BR467" s="509">
        <f t="shared" si="88"/>
        <v>0</v>
      </c>
      <c r="BS467" s="509">
        <f t="shared" si="88"/>
        <v>0</v>
      </c>
      <c r="BT467" s="509">
        <f t="shared" si="88"/>
        <v>0</v>
      </c>
      <c r="BU467" s="509">
        <f t="shared" si="88"/>
        <v>0</v>
      </c>
      <c r="BV467" s="509">
        <f t="shared" si="88"/>
        <v>0</v>
      </c>
      <c r="BW467" s="509">
        <f t="shared" si="88"/>
        <v>0</v>
      </c>
      <c r="BX467" s="509">
        <f t="shared" si="88"/>
        <v>0</v>
      </c>
      <c r="BY467" s="509">
        <f t="shared" si="88"/>
        <v>0</v>
      </c>
      <c r="BZ467" s="509">
        <f t="shared" si="88"/>
        <v>0</v>
      </c>
      <c r="CA467" s="509">
        <f t="shared" si="88"/>
        <v>0</v>
      </c>
      <c r="CB467" s="509">
        <f t="shared" si="88"/>
        <v>0</v>
      </c>
      <c r="CC467" s="509">
        <f t="shared" si="88"/>
        <v>0</v>
      </c>
      <c r="CD467" s="509">
        <f t="shared" si="88"/>
        <v>0</v>
      </c>
      <c r="CE467" s="509">
        <f t="shared" si="88"/>
        <v>0</v>
      </c>
      <c r="CF467" s="509">
        <f t="shared" si="88"/>
        <v>0</v>
      </c>
      <c r="CG467" s="509">
        <f t="shared" si="88"/>
        <v>0</v>
      </c>
      <c r="CH467" s="509">
        <f t="shared" si="88"/>
        <v>0</v>
      </c>
      <c r="CI467" s="509">
        <f t="shared" si="88"/>
        <v>0</v>
      </c>
      <c r="CJ467" s="509">
        <f t="shared" si="88"/>
        <v>0</v>
      </c>
      <c r="CK467" s="509">
        <f t="shared" si="88"/>
        <v>0</v>
      </c>
      <c r="CL467" s="509">
        <f t="shared" si="88"/>
        <v>0</v>
      </c>
      <c r="CM467" s="509">
        <f t="shared" si="88"/>
        <v>0</v>
      </c>
      <c r="CN467" s="509">
        <f t="shared" si="88"/>
        <v>0</v>
      </c>
      <c r="CO467" s="509">
        <f t="shared" si="88"/>
        <v>0</v>
      </c>
      <c r="CP467" s="509">
        <f t="shared" si="88"/>
        <v>0</v>
      </c>
      <c r="CQ467" s="509">
        <f t="shared" si="88"/>
        <v>0</v>
      </c>
      <c r="CR467" s="509">
        <f t="shared" si="88"/>
        <v>0</v>
      </c>
      <c r="CS467" s="509">
        <f t="shared" si="88"/>
        <v>0</v>
      </c>
      <c r="CT467" s="509">
        <f>SUM(CT461:CT466)</f>
        <v>0</v>
      </c>
      <c r="CU467" s="509">
        <f t="shared" si="88"/>
        <v>0</v>
      </c>
      <c r="CV467" s="518">
        <f t="shared" si="88"/>
        <v>0</v>
      </c>
      <c r="CW467" s="518">
        <f t="shared" si="88"/>
        <v>0</v>
      </c>
      <c r="CX467" s="518">
        <f>SUM(CX461:CX466)</f>
        <v>0</v>
      </c>
      <c r="CY467" s="518">
        <f t="shared" ref="CY467:ED467" si="89">SUM(CY461:CY466)</f>
        <v>0</v>
      </c>
      <c r="CZ467" s="518">
        <f t="shared" si="89"/>
        <v>0</v>
      </c>
      <c r="DA467" s="518">
        <f t="shared" si="89"/>
        <v>0</v>
      </c>
      <c r="DB467" s="518">
        <f t="shared" si="89"/>
        <v>0</v>
      </c>
      <c r="DC467" s="518">
        <f t="shared" si="89"/>
        <v>0</v>
      </c>
      <c r="DD467" s="518">
        <f t="shared" si="89"/>
        <v>0</v>
      </c>
      <c r="DE467" s="518">
        <f t="shared" si="89"/>
        <v>0</v>
      </c>
      <c r="DF467" s="518">
        <f t="shared" si="89"/>
        <v>0</v>
      </c>
      <c r="DG467" s="518">
        <f t="shared" si="89"/>
        <v>0</v>
      </c>
      <c r="DH467" s="518">
        <f t="shared" si="89"/>
        <v>0</v>
      </c>
      <c r="DI467" s="509">
        <f t="shared" si="89"/>
        <v>0</v>
      </c>
      <c r="DJ467" s="509">
        <f t="shared" si="89"/>
        <v>0</v>
      </c>
      <c r="DK467" s="509">
        <f t="shared" si="89"/>
        <v>0</v>
      </c>
      <c r="DL467" s="509">
        <f t="shared" si="89"/>
        <v>0</v>
      </c>
      <c r="DM467" s="509">
        <f t="shared" si="89"/>
        <v>0</v>
      </c>
      <c r="DN467" s="509">
        <f t="shared" si="89"/>
        <v>0</v>
      </c>
      <c r="DO467" s="509">
        <f t="shared" si="89"/>
        <v>0</v>
      </c>
      <c r="DP467" s="509">
        <f t="shared" si="89"/>
        <v>0</v>
      </c>
      <c r="DQ467" s="509">
        <f t="shared" si="89"/>
        <v>0</v>
      </c>
      <c r="DR467" s="509">
        <f t="shared" si="89"/>
        <v>0</v>
      </c>
      <c r="DS467" s="509">
        <f t="shared" si="89"/>
        <v>0</v>
      </c>
      <c r="DT467" s="509">
        <f t="shared" si="89"/>
        <v>0</v>
      </c>
      <c r="DU467" s="509">
        <f t="shared" si="89"/>
        <v>0</v>
      </c>
      <c r="DV467" s="509">
        <f t="shared" si="89"/>
        <v>0</v>
      </c>
      <c r="DW467" s="509">
        <f t="shared" si="89"/>
        <v>0</v>
      </c>
      <c r="DX467" s="509">
        <f t="shared" si="89"/>
        <v>0</v>
      </c>
      <c r="DY467" s="509">
        <f t="shared" si="89"/>
        <v>0</v>
      </c>
      <c r="DZ467" s="509">
        <f t="shared" si="89"/>
        <v>0</v>
      </c>
      <c r="EA467" s="509">
        <f t="shared" si="89"/>
        <v>0</v>
      </c>
      <c r="EB467" s="509">
        <f t="shared" si="89"/>
        <v>0</v>
      </c>
      <c r="EC467" s="509">
        <f t="shared" si="89"/>
        <v>0</v>
      </c>
      <c r="ED467" s="509">
        <f t="shared" si="89"/>
        <v>0</v>
      </c>
      <c r="EE467" s="509">
        <f t="shared" ref="EE467:FE467" si="90">SUM(EE461:EE466)</f>
        <v>0</v>
      </c>
      <c r="EF467" s="509">
        <f t="shared" si="90"/>
        <v>0</v>
      </c>
      <c r="EG467" s="509">
        <f t="shared" si="90"/>
        <v>0</v>
      </c>
      <c r="EH467" s="509">
        <f t="shared" si="90"/>
        <v>0</v>
      </c>
      <c r="EI467" s="509">
        <f t="shared" si="90"/>
        <v>0</v>
      </c>
      <c r="EJ467" s="509">
        <f t="shared" si="90"/>
        <v>0</v>
      </c>
      <c r="EK467" s="509">
        <f t="shared" si="90"/>
        <v>0</v>
      </c>
      <c r="EL467" s="509">
        <f t="shared" si="90"/>
        <v>0</v>
      </c>
      <c r="EM467" s="509">
        <f t="shared" si="90"/>
        <v>0</v>
      </c>
      <c r="EN467" s="509">
        <f t="shared" si="90"/>
        <v>0</v>
      </c>
      <c r="EO467" s="509">
        <f t="shared" si="90"/>
        <v>0</v>
      </c>
      <c r="EP467" s="509">
        <f t="shared" si="90"/>
        <v>0</v>
      </c>
      <c r="EQ467" s="509">
        <f t="shared" si="90"/>
        <v>0</v>
      </c>
      <c r="ER467" s="509">
        <f t="shared" si="90"/>
        <v>0</v>
      </c>
      <c r="ES467" s="509">
        <f t="shared" si="90"/>
        <v>0</v>
      </c>
      <c r="ET467" s="509">
        <f t="shared" si="90"/>
        <v>0</v>
      </c>
      <c r="EU467" s="509">
        <f t="shared" si="90"/>
        <v>0</v>
      </c>
      <c r="EV467" s="509">
        <f t="shared" si="90"/>
        <v>0</v>
      </c>
      <c r="EW467" s="509">
        <f t="shared" si="90"/>
        <v>0</v>
      </c>
      <c r="EX467" s="509">
        <f t="shared" si="90"/>
        <v>0</v>
      </c>
      <c r="EY467" s="509">
        <f t="shared" si="90"/>
        <v>0</v>
      </c>
      <c r="EZ467" s="509">
        <f t="shared" si="90"/>
        <v>0</v>
      </c>
      <c r="FA467" s="509">
        <f t="shared" si="90"/>
        <v>0</v>
      </c>
      <c r="FB467" s="509">
        <f t="shared" si="90"/>
        <v>0</v>
      </c>
      <c r="FC467" s="509">
        <f t="shared" si="90"/>
        <v>0</v>
      </c>
      <c r="FD467" s="509">
        <f t="shared" si="90"/>
        <v>0</v>
      </c>
      <c r="FE467" s="509">
        <f t="shared" si="90"/>
        <v>0</v>
      </c>
      <c r="FF467" s="509"/>
      <c r="FG467" s="508"/>
    </row>
    <row r="468" spans="1:163" s="4" customFormat="1" hidden="1">
      <c r="A468" s="56"/>
      <c r="B468" s="56">
        <v>13</v>
      </c>
      <c r="C468" s="501" t="s">
        <v>3451</v>
      </c>
      <c r="D468" s="502"/>
      <c r="E468" s="503"/>
      <c r="F468" s="503"/>
      <c r="G468" s="503"/>
      <c r="H468" s="503"/>
      <c r="I468" s="503"/>
      <c r="J468" s="503"/>
      <c r="K468" s="503"/>
      <c r="L468" s="503"/>
      <c r="M468" s="503"/>
      <c r="N468" s="503"/>
      <c r="O468" s="503"/>
      <c r="P468" s="503"/>
      <c r="Q468" s="503"/>
      <c r="R468" s="503"/>
      <c r="S468" s="503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504"/>
      <c r="BL468" s="504"/>
      <c r="BM468" s="504"/>
      <c r="BN468" s="504"/>
      <c r="BO468" s="504"/>
      <c r="BP468" s="504"/>
      <c r="BQ468" s="504"/>
      <c r="BR468" s="504"/>
      <c r="BS468" s="504"/>
      <c r="BT468" s="504"/>
      <c r="BU468" s="504"/>
      <c r="BV468" s="504"/>
      <c r="BW468" s="504"/>
      <c r="BX468" s="504"/>
      <c r="BY468" s="504"/>
      <c r="BZ468" s="504"/>
      <c r="CA468" s="504"/>
      <c r="CB468" s="504"/>
      <c r="CC468" s="504"/>
      <c r="CD468" s="504"/>
      <c r="CE468" s="504"/>
      <c r="CF468" s="504"/>
      <c r="CG468" s="504"/>
      <c r="CH468" s="504"/>
      <c r="CI468" s="504"/>
      <c r="CJ468" s="504"/>
      <c r="CK468" s="504"/>
      <c r="CL468" s="504"/>
      <c r="CM468" s="504"/>
      <c r="CN468" s="504"/>
      <c r="CO468" s="504"/>
      <c r="CP468" s="504"/>
      <c r="CQ468" s="504"/>
      <c r="CR468" s="504"/>
      <c r="CS468" s="504"/>
      <c r="CT468" s="504"/>
      <c r="CU468" s="504"/>
      <c r="CV468" s="519"/>
      <c r="CW468" s="519"/>
      <c r="CX468" s="519"/>
      <c r="CY468" s="519"/>
      <c r="CZ468" s="519"/>
      <c r="DA468" s="519"/>
      <c r="DB468" s="519"/>
      <c r="DC468" s="519"/>
      <c r="DD468" s="519"/>
      <c r="DE468" s="519"/>
      <c r="DF468" s="519"/>
      <c r="DG468" s="519"/>
      <c r="DH468" s="519"/>
      <c r="DI468" s="504"/>
      <c r="DJ468" s="504"/>
      <c r="DK468" s="504"/>
      <c r="DL468" s="504"/>
      <c r="DM468" s="504"/>
      <c r="DN468" s="504"/>
      <c r="DO468" s="504"/>
      <c r="DP468" s="504"/>
      <c r="DQ468" s="504"/>
      <c r="DR468" s="504"/>
      <c r="DS468" s="504"/>
      <c r="DT468" s="504"/>
      <c r="DU468" s="504"/>
      <c r="DV468" s="504"/>
      <c r="DW468" s="504"/>
      <c r="DX468" s="504"/>
      <c r="DY468" s="504"/>
      <c r="DZ468" s="504"/>
      <c r="EA468" s="504"/>
      <c r="EB468" s="504"/>
      <c r="EC468" s="504"/>
      <c r="ED468" s="504"/>
      <c r="EE468" s="504"/>
      <c r="EF468" s="504"/>
      <c r="EG468" s="504"/>
      <c r="EH468" s="504"/>
      <c r="EI468" s="504"/>
      <c r="EJ468" s="504"/>
      <c r="EK468" s="504"/>
      <c r="EL468" s="504"/>
      <c r="EM468" s="504"/>
      <c r="EN468" s="504"/>
      <c r="EO468" s="504"/>
      <c r="EP468" s="504"/>
      <c r="EQ468" s="504"/>
      <c r="ER468" s="504"/>
      <c r="ES468" s="504"/>
      <c r="ET468" s="504"/>
      <c r="EU468" s="504"/>
      <c r="EV468" s="504"/>
      <c r="EW468" s="504"/>
      <c r="EX468" s="504"/>
      <c r="EY468" s="504"/>
      <c r="EZ468" s="504"/>
      <c r="FA468" s="504"/>
      <c r="FB468" s="504"/>
      <c r="FC468" s="504"/>
      <c r="FD468" s="504"/>
      <c r="FE468" s="504"/>
      <c r="FF468" s="504"/>
      <c r="FG468" s="505"/>
    </row>
    <row r="469" spans="1:163" s="4" customFormat="1" hidden="1">
      <c r="A469" s="56"/>
      <c r="B469" s="56"/>
      <c r="C469" s="498"/>
      <c r="D469" s="498"/>
      <c r="E469" s="454"/>
      <c r="F469" s="454"/>
      <c r="G469" s="454"/>
      <c r="H469" s="454"/>
      <c r="I469" s="454"/>
      <c r="J469" s="454"/>
      <c r="K469" s="454"/>
      <c r="L469" s="454"/>
      <c r="M469" s="454"/>
      <c r="N469" s="454"/>
      <c r="O469" s="454"/>
      <c r="P469" s="454"/>
      <c r="Q469" s="454"/>
      <c r="R469" s="290"/>
      <c r="S469" s="290"/>
      <c r="T469" s="454"/>
      <c r="U469" s="454"/>
      <c r="V469" s="454"/>
      <c r="W469" s="454"/>
      <c r="X469" s="454"/>
      <c r="Y469" s="454"/>
      <c r="Z469" s="454"/>
      <c r="AA469" s="454"/>
      <c r="AB469" s="454"/>
      <c r="AC469" s="454"/>
      <c r="AD469" s="454"/>
      <c r="AE469" s="454"/>
      <c r="AF469" s="454"/>
      <c r="AG469" s="454"/>
      <c r="AH469" s="454"/>
      <c r="AI469" s="454"/>
      <c r="AJ469" s="454"/>
      <c r="AK469" s="454"/>
      <c r="AL469" s="454"/>
      <c r="AM469" s="454"/>
      <c r="AN469" s="454"/>
      <c r="AO469" s="454"/>
      <c r="AP469" s="454"/>
      <c r="AQ469" s="454"/>
      <c r="AR469" s="454"/>
      <c r="AS469" s="454"/>
      <c r="AT469" s="454"/>
      <c r="AU469" s="454"/>
      <c r="AV469" s="454"/>
      <c r="AW469" s="454"/>
      <c r="AX469" s="454"/>
      <c r="AY469" s="454"/>
      <c r="AZ469" s="454"/>
      <c r="BA469" s="454"/>
      <c r="BB469" s="454"/>
      <c r="BC469" s="454"/>
      <c r="BD469" s="454"/>
      <c r="BE469" s="454"/>
      <c r="BF469" s="454"/>
      <c r="BG469" s="454"/>
      <c r="BH469" s="454"/>
      <c r="BI469" s="454"/>
      <c r="BJ469" s="454"/>
      <c r="BK469" s="454"/>
      <c r="BL469" s="454"/>
      <c r="BM469" s="454"/>
      <c r="BN469" s="454"/>
      <c r="BO469" s="454"/>
      <c r="BP469" s="454"/>
      <c r="BQ469" s="454"/>
      <c r="BR469" s="454"/>
      <c r="BS469" s="454"/>
      <c r="BT469" s="454"/>
      <c r="BU469" s="454"/>
      <c r="BV469" s="454"/>
      <c r="BW469" s="454"/>
      <c r="BX469" s="454"/>
      <c r="BY469" s="454"/>
      <c r="BZ469" s="454"/>
      <c r="CA469" s="454"/>
      <c r="CB469" s="454"/>
      <c r="CC469" s="454"/>
      <c r="CD469" s="454"/>
      <c r="CE469" s="454"/>
      <c r="CF469" s="454"/>
      <c r="CG469" s="454"/>
      <c r="CH469" s="454"/>
      <c r="CI469" s="454"/>
      <c r="CJ469" s="454"/>
      <c r="CK469" s="454"/>
      <c r="CL469" s="454"/>
      <c r="CM469" s="454"/>
      <c r="CN469" s="454"/>
      <c r="CO469" s="454"/>
      <c r="CP469" s="454"/>
      <c r="CQ469" s="454"/>
      <c r="CR469" s="454"/>
      <c r="CS469" s="454"/>
      <c r="CT469" s="454"/>
      <c r="CU469" s="454"/>
      <c r="CV469" s="517"/>
      <c r="CW469" s="517"/>
      <c r="CX469" s="517"/>
      <c r="CY469" s="517"/>
      <c r="CZ469" s="517"/>
      <c r="DA469" s="517"/>
      <c r="DB469" s="517"/>
      <c r="DC469" s="517"/>
      <c r="DD469" s="517"/>
      <c r="DE469" s="517"/>
      <c r="DF469" s="517"/>
      <c r="DG469" s="517"/>
      <c r="DH469" s="517"/>
      <c r="DI469" s="454"/>
      <c r="DJ469" s="454"/>
      <c r="DK469" s="454"/>
      <c r="DL469" s="454"/>
      <c r="DM469" s="454"/>
      <c r="DN469" s="454"/>
      <c r="DO469" s="454"/>
      <c r="DP469" s="454"/>
      <c r="DQ469" s="454"/>
      <c r="DR469" s="454"/>
      <c r="DS469" s="454"/>
      <c r="DT469" s="454"/>
      <c r="DU469" s="454"/>
      <c r="DV469" s="454"/>
      <c r="DW469" s="454"/>
      <c r="DX469" s="454"/>
      <c r="DY469" s="454"/>
      <c r="DZ469" s="454"/>
      <c r="EA469" s="454"/>
      <c r="EB469" s="454"/>
      <c r="EC469" s="454"/>
      <c r="ED469" s="454"/>
      <c r="EE469" s="454"/>
      <c r="EF469" s="454"/>
      <c r="EG469" s="454"/>
      <c r="EH469" s="454"/>
      <c r="EI469" s="454"/>
      <c r="EJ469" s="454"/>
      <c r="EK469" s="454"/>
      <c r="EL469" s="454"/>
      <c r="EM469" s="454"/>
      <c r="EN469" s="454"/>
      <c r="EO469" s="454"/>
      <c r="EP469" s="454"/>
      <c r="EQ469" s="454"/>
      <c r="ER469" s="454"/>
      <c r="ES469" s="454"/>
      <c r="ET469" s="454"/>
      <c r="EU469" s="454"/>
      <c r="EV469" s="454"/>
      <c r="EW469" s="454"/>
      <c r="EX469" s="454"/>
      <c r="EY469" s="454"/>
      <c r="EZ469" s="454"/>
      <c r="FA469" s="454"/>
      <c r="FB469" s="454"/>
      <c r="FC469" s="454"/>
      <c r="FD469" s="454"/>
      <c r="FE469" s="454"/>
      <c r="FF469" s="454"/>
      <c r="FG469" s="290"/>
    </row>
    <row r="470" spans="1:163" s="4" customFormat="1" hidden="1">
      <c r="A470" s="56"/>
      <c r="B470" s="56"/>
      <c r="C470" s="498"/>
      <c r="D470" s="498"/>
      <c r="E470" s="454"/>
      <c r="F470" s="454"/>
      <c r="G470" s="454"/>
      <c r="H470" s="454"/>
      <c r="I470" s="454"/>
      <c r="J470" s="454"/>
      <c r="K470" s="454"/>
      <c r="L470" s="454"/>
      <c r="M470" s="454"/>
      <c r="N470" s="454"/>
      <c r="O470" s="454"/>
      <c r="P470" s="454"/>
      <c r="Q470" s="454"/>
      <c r="R470" s="290"/>
      <c r="S470" s="290"/>
      <c r="T470" s="454"/>
      <c r="U470" s="454"/>
      <c r="V470" s="454"/>
      <c r="W470" s="454"/>
      <c r="X470" s="454"/>
      <c r="Y470" s="454"/>
      <c r="Z470" s="454"/>
      <c r="AA470" s="454"/>
      <c r="AB470" s="454"/>
      <c r="AC470" s="454"/>
      <c r="AD470" s="454"/>
      <c r="AE470" s="454"/>
      <c r="AF470" s="454"/>
      <c r="AG470" s="454"/>
      <c r="AH470" s="454"/>
      <c r="AI470" s="454"/>
      <c r="AJ470" s="454"/>
      <c r="AK470" s="454"/>
      <c r="AL470" s="454"/>
      <c r="AM470" s="454"/>
      <c r="AN470" s="454"/>
      <c r="AO470" s="454"/>
      <c r="AP470" s="454"/>
      <c r="AQ470" s="454"/>
      <c r="AR470" s="454"/>
      <c r="AS470" s="454"/>
      <c r="AT470" s="454"/>
      <c r="AU470" s="454"/>
      <c r="AV470" s="454"/>
      <c r="AW470" s="454"/>
      <c r="AX470" s="454"/>
      <c r="AY470" s="454"/>
      <c r="AZ470" s="454"/>
      <c r="BA470" s="454"/>
      <c r="BB470" s="454"/>
      <c r="BC470" s="454"/>
      <c r="BD470" s="454"/>
      <c r="BE470" s="454"/>
      <c r="BF470" s="454"/>
      <c r="BG470" s="454"/>
      <c r="BH470" s="454"/>
      <c r="BI470" s="454"/>
      <c r="BJ470" s="454"/>
      <c r="BK470" s="454"/>
      <c r="BL470" s="454"/>
      <c r="BM470" s="454"/>
      <c r="BN470" s="454"/>
      <c r="BO470" s="454"/>
      <c r="BP470" s="454"/>
      <c r="BQ470" s="454"/>
      <c r="BR470" s="454"/>
      <c r="BS470" s="454"/>
      <c r="BT470" s="454"/>
      <c r="BU470" s="454"/>
      <c r="BV470" s="454"/>
      <c r="BW470" s="454"/>
      <c r="BX470" s="454"/>
      <c r="BY470" s="454"/>
      <c r="BZ470" s="454"/>
      <c r="CA470" s="454"/>
      <c r="CB470" s="454"/>
      <c r="CC470" s="454"/>
      <c r="CD470" s="454"/>
      <c r="CE470" s="454"/>
      <c r="CF470" s="454"/>
      <c r="CG470" s="454"/>
      <c r="CH470" s="454"/>
      <c r="CI470" s="454"/>
      <c r="CJ470" s="454"/>
      <c r="CK470" s="454"/>
      <c r="CL470" s="454"/>
      <c r="CM470" s="454"/>
      <c r="CN470" s="454"/>
      <c r="CO470" s="454"/>
      <c r="CP470" s="454"/>
      <c r="CQ470" s="454"/>
      <c r="CR470" s="454"/>
      <c r="CS470" s="454"/>
      <c r="CT470" s="454"/>
      <c r="CU470" s="454"/>
      <c r="CV470" s="517"/>
      <c r="CW470" s="517"/>
      <c r="CX470" s="517"/>
      <c r="CY470" s="517"/>
      <c r="CZ470" s="517"/>
      <c r="DA470" s="517"/>
      <c r="DB470" s="517"/>
      <c r="DC470" s="517"/>
      <c r="DD470" s="517"/>
      <c r="DE470" s="517"/>
      <c r="DF470" s="517"/>
      <c r="DG470" s="517"/>
      <c r="DH470" s="517"/>
      <c r="DI470" s="454"/>
      <c r="DJ470" s="454"/>
      <c r="DK470" s="454"/>
      <c r="DL470" s="454"/>
      <c r="DM470" s="454"/>
      <c r="DN470" s="454"/>
      <c r="DO470" s="454"/>
      <c r="DP470" s="454"/>
      <c r="DQ470" s="454"/>
      <c r="DR470" s="454"/>
      <c r="DS470" s="454"/>
      <c r="DT470" s="454"/>
      <c r="DU470" s="454"/>
      <c r="DV470" s="454"/>
      <c r="DW470" s="454"/>
      <c r="DX470" s="454"/>
      <c r="DY470" s="454"/>
      <c r="DZ470" s="454"/>
      <c r="EA470" s="454"/>
      <c r="EB470" s="454"/>
      <c r="EC470" s="454"/>
      <c r="ED470" s="454"/>
      <c r="EE470" s="454"/>
      <c r="EF470" s="454"/>
      <c r="EG470" s="454"/>
      <c r="EH470" s="454"/>
      <c r="EI470" s="454"/>
      <c r="EJ470" s="454"/>
      <c r="EK470" s="454"/>
      <c r="EL470" s="454"/>
      <c r="EM470" s="454"/>
      <c r="EN470" s="454"/>
      <c r="EO470" s="454"/>
      <c r="EP470" s="454"/>
      <c r="EQ470" s="454"/>
      <c r="ER470" s="454"/>
      <c r="ES470" s="454"/>
      <c r="ET470" s="454"/>
      <c r="EU470" s="454"/>
      <c r="EV470" s="454"/>
      <c r="EW470" s="454"/>
      <c r="EX470" s="454"/>
      <c r="EY470" s="454"/>
      <c r="EZ470" s="454"/>
      <c r="FA470" s="454"/>
      <c r="FB470" s="454"/>
      <c r="FC470" s="454"/>
      <c r="FD470" s="454"/>
      <c r="FE470" s="454"/>
      <c r="FF470" s="454"/>
      <c r="FG470" s="290"/>
    </row>
    <row r="471" spans="1:163" s="4" customFormat="1" hidden="1">
      <c r="A471" s="56"/>
      <c r="B471" s="56"/>
      <c r="C471" s="498"/>
      <c r="D471" s="498"/>
      <c r="E471" s="454"/>
      <c r="F471" s="454"/>
      <c r="G471" s="454"/>
      <c r="H471" s="454"/>
      <c r="I471" s="454"/>
      <c r="J471" s="454"/>
      <c r="K471" s="454"/>
      <c r="L471" s="454"/>
      <c r="M471" s="454"/>
      <c r="N471" s="454"/>
      <c r="O471" s="454"/>
      <c r="P471" s="454"/>
      <c r="Q471" s="454"/>
      <c r="R471" s="290"/>
      <c r="S471" s="290"/>
      <c r="T471" s="454"/>
      <c r="U471" s="454"/>
      <c r="V471" s="454"/>
      <c r="W471" s="454"/>
      <c r="X471" s="454"/>
      <c r="Y471" s="454"/>
      <c r="Z471" s="454"/>
      <c r="AA471" s="454"/>
      <c r="AB471" s="454"/>
      <c r="AC471" s="454"/>
      <c r="AD471" s="454"/>
      <c r="AE471" s="454"/>
      <c r="AF471" s="454"/>
      <c r="AG471" s="454"/>
      <c r="AH471" s="454"/>
      <c r="AI471" s="454"/>
      <c r="AJ471" s="454"/>
      <c r="AK471" s="454"/>
      <c r="AL471" s="454"/>
      <c r="AM471" s="454"/>
      <c r="AN471" s="454"/>
      <c r="AO471" s="454"/>
      <c r="AP471" s="454"/>
      <c r="AQ471" s="454"/>
      <c r="AR471" s="454"/>
      <c r="AS471" s="454"/>
      <c r="AT471" s="454"/>
      <c r="AU471" s="454"/>
      <c r="AV471" s="454"/>
      <c r="AW471" s="454"/>
      <c r="AX471" s="454"/>
      <c r="AY471" s="454"/>
      <c r="AZ471" s="454"/>
      <c r="BA471" s="454"/>
      <c r="BB471" s="454"/>
      <c r="BC471" s="454"/>
      <c r="BD471" s="454"/>
      <c r="BE471" s="454"/>
      <c r="BF471" s="454"/>
      <c r="BG471" s="454"/>
      <c r="BH471" s="454"/>
      <c r="BI471" s="454"/>
      <c r="BJ471" s="454"/>
      <c r="BK471" s="454"/>
      <c r="BL471" s="454"/>
      <c r="BM471" s="454"/>
      <c r="BN471" s="454"/>
      <c r="BO471" s="454"/>
      <c r="BP471" s="454"/>
      <c r="BQ471" s="454"/>
      <c r="BR471" s="454"/>
      <c r="BS471" s="454"/>
      <c r="BT471" s="454"/>
      <c r="BU471" s="454"/>
      <c r="BV471" s="454"/>
      <c r="BW471" s="454"/>
      <c r="BX471" s="454"/>
      <c r="BY471" s="454"/>
      <c r="BZ471" s="454"/>
      <c r="CA471" s="454"/>
      <c r="CB471" s="454"/>
      <c r="CC471" s="454"/>
      <c r="CD471" s="454"/>
      <c r="CE471" s="454"/>
      <c r="CF471" s="454"/>
      <c r="CG471" s="454"/>
      <c r="CH471" s="454"/>
      <c r="CI471" s="454"/>
      <c r="CJ471" s="454"/>
      <c r="CK471" s="454"/>
      <c r="CL471" s="454"/>
      <c r="CM471" s="454"/>
      <c r="CN471" s="454"/>
      <c r="CO471" s="454"/>
      <c r="CP471" s="454"/>
      <c r="CQ471" s="454"/>
      <c r="CR471" s="454"/>
      <c r="CS471" s="454"/>
      <c r="CT471" s="454"/>
      <c r="CU471" s="454"/>
      <c r="CV471" s="517"/>
      <c r="CW471" s="517"/>
      <c r="CX471" s="517"/>
      <c r="CY471" s="517"/>
      <c r="CZ471" s="517"/>
      <c r="DA471" s="517"/>
      <c r="DB471" s="517"/>
      <c r="DC471" s="517"/>
      <c r="DD471" s="517"/>
      <c r="DE471" s="517"/>
      <c r="DF471" s="517"/>
      <c r="DG471" s="517"/>
      <c r="DH471" s="517"/>
      <c r="DI471" s="454"/>
      <c r="DJ471" s="454"/>
      <c r="DK471" s="454"/>
      <c r="DL471" s="454"/>
      <c r="DM471" s="454"/>
      <c r="DN471" s="454"/>
      <c r="DO471" s="454"/>
      <c r="DP471" s="454"/>
      <c r="DQ471" s="454"/>
      <c r="DR471" s="454"/>
      <c r="DS471" s="454"/>
      <c r="DT471" s="454"/>
      <c r="DU471" s="454"/>
      <c r="DV471" s="454"/>
      <c r="DW471" s="454"/>
      <c r="DX471" s="454"/>
      <c r="DY471" s="454"/>
      <c r="DZ471" s="454"/>
      <c r="EA471" s="454"/>
      <c r="EB471" s="454"/>
      <c r="EC471" s="454"/>
      <c r="ED471" s="454"/>
      <c r="EE471" s="454"/>
      <c r="EF471" s="454"/>
      <c r="EG471" s="454"/>
      <c r="EH471" s="454"/>
      <c r="EI471" s="454"/>
      <c r="EJ471" s="454"/>
      <c r="EK471" s="454"/>
      <c r="EL471" s="454"/>
      <c r="EM471" s="454"/>
      <c r="EN471" s="454"/>
      <c r="EO471" s="454"/>
      <c r="EP471" s="454"/>
      <c r="EQ471" s="454"/>
      <c r="ER471" s="454"/>
      <c r="ES471" s="454"/>
      <c r="ET471" s="454"/>
      <c r="EU471" s="454"/>
      <c r="EV471" s="454"/>
      <c r="EW471" s="454"/>
      <c r="EX471" s="454"/>
      <c r="EY471" s="454"/>
      <c r="EZ471" s="454"/>
      <c r="FA471" s="454"/>
      <c r="FB471" s="454"/>
      <c r="FC471" s="454"/>
      <c r="FD471" s="454"/>
      <c r="FE471" s="454"/>
      <c r="FF471" s="454"/>
      <c r="FG471" s="290"/>
    </row>
    <row r="472" spans="1:163" s="4" customFormat="1" hidden="1">
      <c r="A472" s="56"/>
      <c r="B472" s="56"/>
      <c r="C472" s="498"/>
      <c r="D472" s="498"/>
      <c r="E472" s="454"/>
      <c r="F472" s="454"/>
      <c r="G472" s="454"/>
      <c r="H472" s="454"/>
      <c r="I472" s="454"/>
      <c r="J472" s="454"/>
      <c r="K472" s="454"/>
      <c r="L472" s="454"/>
      <c r="M472" s="454"/>
      <c r="N472" s="454"/>
      <c r="O472" s="454"/>
      <c r="P472" s="454"/>
      <c r="Q472" s="454"/>
      <c r="R472" s="290"/>
      <c r="S472" s="290"/>
      <c r="T472" s="454"/>
      <c r="U472" s="454"/>
      <c r="V472" s="454"/>
      <c r="W472" s="454"/>
      <c r="X472" s="454"/>
      <c r="Y472" s="454"/>
      <c r="Z472" s="454"/>
      <c r="AA472" s="454"/>
      <c r="AB472" s="454"/>
      <c r="AC472" s="454"/>
      <c r="AD472" s="454"/>
      <c r="AE472" s="454"/>
      <c r="AF472" s="454"/>
      <c r="AG472" s="454"/>
      <c r="AH472" s="454"/>
      <c r="AI472" s="454"/>
      <c r="AJ472" s="454"/>
      <c r="AK472" s="454"/>
      <c r="AL472" s="454"/>
      <c r="AM472" s="454"/>
      <c r="AN472" s="454"/>
      <c r="AO472" s="454"/>
      <c r="AP472" s="454"/>
      <c r="AQ472" s="454"/>
      <c r="AR472" s="454"/>
      <c r="AS472" s="454"/>
      <c r="AT472" s="454"/>
      <c r="AU472" s="454"/>
      <c r="AV472" s="454"/>
      <c r="AW472" s="454"/>
      <c r="AX472" s="454"/>
      <c r="AY472" s="454"/>
      <c r="AZ472" s="454"/>
      <c r="BA472" s="454"/>
      <c r="BB472" s="454"/>
      <c r="BC472" s="454"/>
      <c r="BD472" s="454"/>
      <c r="BE472" s="454"/>
      <c r="BF472" s="454"/>
      <c r="BG472" s="454"/>
      <c r="BH472" s="454"/>
      <c r="BI472" s="454"/>
      <c r="BJ472" s="454"/>
      <c r="BK472" s="454"/>
      <c r="BL472" s="454"/>
      <c r="BM472" s="454"/>
      <c r="BN472" s="454"/>
      <c r="BO472" s="454"/>
      <c r="BP472" s="454"/>
      <c r="BQ472" s="454"/>
      <c r="BR472" s="454"/>
      <c r="BS472" s="454"/>
      <c r="BT472" s="454"/>
      <c r="BU472" s="454"/>
      <c r="BV472" s="454"/>
      <c r="BW472" s="454"/>
      <c r="BX472" s="454"/>
      <c r="BY472" s="454"/>
      <c r="BZ472" s="454"/>
      <c r="CA472" s="454"/>
      <c r="CB472" s="454"/>
      <c r="CC472" s="454"/>
      <c r="CD472" s="454"/>
      <c r="CE472" s="454"/>
      <c r="CF472" s="454"/>
      <c r="CG472" s="454"/>
      <c r="CH472" s="454"/>
      <c r="CI472" s="454"/>
      <c r="CJ472" s="454"/>
      <c r="CK472" s="454"/>
      <c r="CL472" s="454"/>
      <c r="CM472" s="454"/>
      <c r="CN472" s="454"/>
      <c r="CO472" s="454"/>
      <c r="CP472" s="454"/>
      <c r="CQ472" s="454"/>
      <c r="CR472" s="454"/>
      <c r="CS472" s="454"/>
      <c r="CT472" s="454"/>
      <c r="CU472" s="454"/>
      <c r="CV472" s="517"/>
      <c r="CW472" s="517"/>
      <c r="CX472" s="517"/>
      <c r="CY472" s="517"/>
      <c r="CZ472" s="517"/>
      <c r="DA472" s="517"/>
      <c r="DB472" s="517"/>
      <c r="DC472" s="517"/>
      <c r="DD472" s="517"/>
      <c r="DE472" s="517"/>
      <c r="DF472" s="517"/>
      <c r="DG472" s="517"/>
      <c r="DH472" s="517"/>
      <c r="DI472" s="454"/>
      <c r="DJ472" s="454"/>
      <c r="DK472" s="454"/>
      <c r="DL472" s="454"/>
      <c r="DM472" s="454"/>
      <c r="DN472" s="454"/>
      <c r="DO472" s="454"/>
      <c r="DP472" s="454"/>
      <c r="DQ472" s="454"/>
      <c r="DR472" s="454"/>
      <c r="DS472" s="454"/>
      <c r="DT472" s="454"/>
      <c r="DU472" s="454"/>
      <c r="DV472" s="454"/>
      <c r="DW472" s="454"/>
      <c r="DX472" s="454"/>
      <c r="DY472" s="454"/>
      <c r="DZ472" s="454"/>
      <c r="EA472" s="454"/>
      <c r="EB472" s="454"/>
      <c r="EC472" s="454"/>
      <c r="ED472" s="454"/>
      <c r="EE472" s="454"/>
      <c r="EF472" s="454"/>
      <c r="EG472" s="454"/>
      <c r="EH472" s="454"/>
      <c r="EI472" s="454"/>
      <c r="EJ472" s="454"/>
      <c r="EK472" s="454"/>
      <c r="EL472" s="454"/>
      <c r="EM472" s="454"/>
      <c r="EN472" s="454"/>
      <c r="EO472" s="454"/>
      <c r="EP472" s="454"/>
      <c r="EQ472" s="454"/>
      <c r="ER472" s="454"/>
      <c r="ES472" s="454"/>
      <c r="ET472" s="454"/>
      <c r="EU472" s="454"/>
      <c r="EV472" s="454"/>
      <c r="EW472" s="454"/>
      <c r="EX472" s="454"/>
      <c r="EY472" s="454"/>
      <c r="EZ472" s="454"/>
      <c r="FA472" s="454"/>
      <c r="FB472" s="454"/>
      <c r="FC472" s="454"/>
      <c r="FD472" s="454"/>
      <c r="FE472" s="454"/>
      <c r="FF472" s="454"/>
      <c r="FG472" s="290"/>
    </row>
    <row r="473" spans="1:163" s="4" customFormat="1" hidden="1">
      <c r="A473" s="56"/>
      <c r="B473" s="56"/>
      <c r="C473" s="498"/>
      <c r="D473" s="498"/>
      <c r="E473" s="454"/>
      <c r="F473" s="454"/>
      <c r="G473" s="454"/>
      <c r="H473" s="454"/>
      <c r="I473" s="454"/>
      <c r="J473" s="454"/>
      <c r="K473" s="454"/>
      <c r="L473" s="454"/>
      <c r="M473" s="454"/>
      <c r="N473" s="454"/>
      <c r="O473" s="454"/>
      <c r="P473" s="454"/>
      <c r="Q473" s="454"/>
      <c r="R473" s="290"/>
      <c r="S473" s="290"/>
      <c r="T473" s="454"/>
      <c r="U473" s="454"/>
      <c r="V473" s="454"/>
      <c r="W473" s="454"/>
      <c r="X473" s="454"/>
      <c r="Y473" s="454"/>
      <c r="Z473" s="454"/>
      <c r="AA473" s="454"/>
      <c r="AB473" s="454"/>
      <c r="AC473" s="454"/>
      <c r="AD473" s="454"/>
      <c r="AE473" s="454"/>
      <c r="AF473" s="454"/>
      <c r="AG473" s="454"/>
      <c r="AH473" s="454"/>
      <c r="AI473" s="454"/>
      <c r="AJ473" s="454"/>
      <c r="AK473" s="454"/>
      <c r="AL473" s="454"/>
      <c r="AM473" s="454"/>
      <c r="AN473" s="454"/>
      <c r="AO473" s="454"/>
      <c r="AP473" s="454"/>
      <c r="AQ473" s="454"/>
      <c r="AR473" s="454"/>
      <c r="AS473" s="454"/>
      <c r="AT473" s="454"/>
      <c r="AU473" s="454"/>
      <c r="AV473" s="454"/>
      <c r="AW473" s="454"/>
      <c r="AX473" s="454"/>
      <c r="AY473" s="454"/>
      <c r="AZ473" s="454"/>
      <c r="BA473" s="454"/>
      <c r="BB473" s="454"/>
      <c r="BC473" s="454"/>
      <c r="BD473" s="454"/>
      <c r="BE473" s="454"/>
      <c r="BF473" s="454"/>
      <c r="BG473" s="454"/>
      <c r="BH473" s="454"/>
      <c r="BI473" s="454"/>
      <c r="BJ473" s="454"/>
      <c r="BK473" s="454"/>
      <c r="BL473" s="454"/>
      <c r="BM473" s="454"/>
      <c r="BN473" s="454"/>
      <c r="BO473" s="454"/>
      <c r="BP473" s="454"/>
      <c r="BQ473" s="454"/>
      <c r="BR473" s="454"/>
      <c r="BS473" s="454"/>
      <c r="BT473" s="454"/>
      <c r="BU473" s="454"/>
      <c r="BV473" s="454"/>
      <c r="BW473" s="454"/>
      <c r="BX473" s="454"/>
      <c r="BY473" s="454"/>
      <c r="BZ473" s="454"/>
      <c r="CA473" s="454"/>
      <c r="CB473" s="454"/>
      <c r="CC473" s="454"/>
      <c r="CD473" s="454"/>
      <c r="CE473" s="454"/>
      <c r="CF473" s="454"/>
      <c r="CG473" s="454"/>
      <c r="CH473" s="454"/>
      <c r="CI473" s="454"/>
      <c r="CJ473" s="454"/>
      <c r="CK473" s="454"/>
      <c r="CL473" s="454"/>
      <c r="CM473" s="454"/>
      <c r="CN473" s="454"/>
      <c r="CO473" s="454"/>
      <c r="CP473" s="454"/>
      <c r="CQ473" s="454"/>
      <c r="CR473" s="454"/>
      <c r="CS473" s="454"/>
      <c r="CT473" s="454"/>
      <c r="CU473" s="454"/>
      <c r="CV473" s="517"/>
      <c r="CW473" s="517"/>
      <c r="CX473" s="517"/>
      <c r="CY473" s="517"/>
      <c r="CZ473" s="517"/>
      <c r="DA473" s="517"/>
      <c r="DB473" s="517"/>
      <c r="DC473" s="517"/>
      <c r="DD473" s="517"/>
      <c r="DE473" s="517"/>
      <c r="DF473" s="517"/>
      <c r="DG473" s="517"/>
      <c r="DH473" s="517"/>
      <c r="DI473" s="454"/>
      <c r="DJ473" s="454"/>
      <c r="DK473" s="454"/>
      <c r="DL473" s="454"/>
      <c r="DM473" s="454"/>
      <c r="DN473" s="454"/>
      <c r="DO473" s="454"/>
      <c r="DP473" s="454"/>
      <c r="DQ473" s="454"/>
      <c r="DR473" s="454"/>
      <c r="DS473" s="454"/>
      <c r="DT473" s="454"/>
      <c r="DU473" s="454"/>
      <c r="DV473" s="454"/>
      <c r="DW473" s="454"/>
      <c r="DX473" s="454"/>
      <c r="DY473" s="454"/>
      <c r="DZ473" s="454"/>
      <c r="EA473" s="454"/>
      <c r="EB473" s="454"/>
      <c r="EC473" s="454"/>
      <c r="ED473" s="454"/>
      <c r="EE473" s="454"/>
      <c r="EF473" s="454"/>
      <c r="EG473" s="454"/>
      <c r="EH473" s="454"/>
      <c r="EI473" s="454"/>
      <c r="EJ473" s="454"/>
      <c r="EK473" s="454"/>
      <c r="EL473" s="454"/>
      <c r="EM473" s="454"/>
      <c r="EN473" s="454"/>
      <c r="EO473" s="454"/>
      <c r="EP473" s="454"/>
      <c r="EQ473" s="454"/>
      <c r="ER473" s="454"/>
      <c r="ES473" s="454"/>
      <c r="ET473" s="454"/>
      <c r="EU473" s="454"/>
      <c r="EV473" s="454"/>
      <c r="EW473" s="454"/>
      <c r="EX473" s="454"/>
      <c r="EY473" s="454"/>
      <c r="EZ473" s="454"/>
      <c r="FA473" s="454"/>
      <c r="FB473" s="454"/>
      <c r="FC473" s="454"/>
      <c r="FD473" s="454"/>
      <c r="FE473" s="454"/>
      <c r="FF473" s="454"/>
      <c r="FG473" s="290"/>
    </row>
    <row r="474" spans="1:163" s="4" customFormat="1" hidden="1">
      <c r="A474" s="56"/>
      <c r="B474" s="56"/>
      <c r="C474" s="498"/>
      <c r="D474" s="498"/>
      <c r="E474" s="454"/>
      <c r="F474" s="454"/>
      <c r="G474" s="454"/>
      <c r="H474" s="454"/>
      <c r="I474" s="454"/>
      <c r="J474" s="454"/>
      <c r="K474" s="454"/>
      <c r="L474" s="454"/>
      <c r="M474" s="454"/>
      <c r="N474" s="454"/>
      <c r="O474" s="454"/>
      <c r="P474" s="454"/>
      <c r="Q474" s="454"/>
      <c r="R474" s="290"/>
      <c r="S474" s="290"/>
      <c r="T474" s="454"/>
      <c r="U474" s="454"/>
      <c r="V474" s="454"/>
      <c r="W474" s="454"/>
      <c r="X474" s="454"/>
      <c r="Y474" s="454"/>
      <c r="Z474" s="454"/>
      <c r="AA474" s="454"/>
      <c r="AB474" s="454"/>
      <c r="AC474" s="454"/>
      <c r="AD474" s="454"/>
      <c r="AE474" s="454"/>
      <c r="AF474" s="454"/>
      <c r="AG474" s="454"/>
      <c r="AH474" s="454"/>
      <c r="AI474" s="454"/>
      <c r="AJ474" s="454"/>
      <c r="AK474" s="454"/>
      <c r="AL474" s="454"/>
      <c r="AM474" s="454"/>
      <c r="AN474" s="454"/>
      <c r="AO474" s="454"/>
      <c r="AP474" s="454"/>
      <c r="AQ474" s="454"/>
      <c r="AR474" s="454"/>
      <c r="AS474" s="454"/>
      <c r="AT474" s="454"/>
      <c r="AU474" s="454"/>
      <c r="AV474" s="454"/>
      <c r="AW474" s="454"/>
      <c r="AX474" s="454"/>
      <c r="AY474" s="454"/>
      <c r="AZ474" s="454"/>
      <c r="BA474" s="454"/>
      <c r="BB474" s="454"/>
      <c r="BC474" s="454"/>
      <c r="BD474" s="454"/>
      <c r="BE474" s="454"/>
      <c r="BF474" s="454"/>
      <c r="BG474" s="454"/>
      <c r="BH474" s="454"/>
      <c r="BI474" s="454"/>
      <c r="BJ474" s="454"/>
      <c r="BK474" s="454"/>
      <c r="BL474" s="454"/>
      <c r="BM474" s="454"/>
      <c r="BN474" s="454"/>
      <c r="BO474" s="454"/>
      <c r="BP474" s="454"/>
      <c r="BQ474" s="454"/>
      <c r="BR474" s="454"/>
      <c r="BS474" s="454"/>
      <c r="BT474" s="454"/>
      <c r="BU474" s="454"/>
      <c r="BV474" s="454"/>
      <c r="BW474" s="454"/>
      <c r="BX474" s="454"/>
      <c r="BY474" s="454"/>
      <c r="BZ474" s="454"/>
      <c r="CA474" s="454"/>
      <c r="CB474" s="454"/>
      <c r="CC474" s="454"/>
      <c r="CD474" s="454"/>
      <c r="CE474" s="454"/>
      <c r="CF474" s="454"/>
      <c r="CG474" s="454"/>
      <c r="CH474" s="454"/>
      <c r="CI474" s="454"/>
      <c r="CJ474" s="454"/>
      <c r="CK474" s="454"/>
      <c r="CL474" s="454"/>
      <c r="CM474" s="454"/>
      <c r="CN474" s="454"/>
      <c r="CO474" s="454"/>
      <c r="CP474" s="454"/>
      <c r="CQ474" s="454"/>
      <c r="CR474" s="454"/>
      <c r="CS474" s="454"/>
      <c r="CT474" s="454"/>
      <c r="CU474" s="454"/>
      <c r="CV474" s="517"/>
      <c r="CW474" s="517"/>
      <c r="CX474" s="517"/>
      <c r="CY474" s="517"/>
      <c r="CZ474" s="517"/>
      <c r="DA474" s="517"/>
      <c r="DB474" s="517"/>
      <c r="DC474" s="517"/>
      <c r="DD474" s="517"/>
      <c r="DE474" s="517"/>
      <c r="DF474" s="517"/>
      <c r="DG474" s="517"/>
      <c r="DH474" s="517"/>
      <c r="DI474" s="454"/>
      <c r="DJ474" s="454"/>
      <c r="DK474" s="454"/>
      <c r="DL474" s="454"/>
      <c r="DM474" s="454"/>
      <c r="DN474" s="454"/>
      <c r="DO474" s="454"/>
      <c r="DP474" s="454"/>
      <c r="DQ474" s="454"/>
      <c r="DR474" s="454"/>
      <c r="DS474" s="454"/>
      <c r="DT474" s="454"/>
      <c r="DU474" s="454"/>
      <c r="DV474" s="454"/>
      <c r="DW474" s="454"/>
      <c r="DX474" s="454"/>
      <c r="DY474" s="454"/>
      <c r="DZ474" s="454"/>
      <c r="EA474" s="454"/>
      <c r="EB474" s="454"/>
      <c r="EC474" s="454"/>
      <c r="ED474" s="454"/>
      <c r="EE474" s="454"/>
      <c r="EF474" s="454"/>
      <c r="EG474" s="454"/>
      <c r="EH474" s="454"/>
      <c r="EI474" s="454"/>
      <c r="EJ474" s="454"/>
      <c r="EK474" s="454"/>
      <c r="EL474" s="454"/>
      <c r="EM474" s="454"/>
      <c r="EN474" s="454"/>
      <c r="EO474" s="454"/>
      <c r="EP474" s="454"/>
      <c r="EQ474" s="454"/>
      <c r="ER474" s="454"/>
      <c r="ES474" s="454"/>
      <c r="ET474" s="454"/>
      <c r="EU474" s="454"/>
      <c r="EV474" s="454"/>
      <c r="EW474" s="454"/>
      <c r="EX474" s="454"/>
      <c r="EY474" s="454"/>
      <c r="EZ474" s="454"/>
      <c r="FA474" s="454"/>
      <c r="FB474" s="454"/>
      <c r="FC474" s="454"/>
      <c r="FD474" s="454"/>
      <c r="FE474" s="454"/>
      <c r="FF474" s="454"/>
      <c r="FG474" s="290"/>
    </row>
    <row r="475" spans="1:163" s="4" customFormat="1" hidden="1">
      <c r="A475" s="56"/>
      <c r="B475" s="56"/>
      <c r="C475" s="498"/>
      <c r="D475" s="498"/>
      <c r="E475" s="454"/>
      <c r="F475" s="454"/>
      <c r="G475" s="454"/>
      <c r="H475" s="454"/>
      <c r="I475" s="454"/>
      <c r="J475" s="454"/>
      <c r="K475" s="454"/>
      <c r="L475" s="454"/>
      <c r="M475" s="454"/>
      <c r="N475" s="454"/>
      <c r="O475" s="454"/>
      <c r="P475" s="454"/>
      <c r="Q475" s="454"/>
      <c r="R475" s="290"/>
      <c r="S475" s="290"/>
      <c r="T475" s="454"/>
      <c r="U475" s="454"/>
      <c r="V475" s="454"/>
      <c r="W475" s="454"/>
      <c r="X475" s="454"/>
      <c r="Y475" s="454"/>
      <c r="Z475" s="454"/>
      <c r="AA475" s="454"/>
      <c r="AB475" s="454"/>
      <c r="AC475" s="454"/>
      <c r="AD475" s="454"/>
      <c r="AE475" s="454"/>
      <c r="AF475" s="454"/>
      <c r="AG475" s="454"/>
      <c r="AH475" s="454"/>
      <c r="AI475" s="454"/>
      <c r="AJ475" s="454"/>
      <c r="AK475" s="454"/>
      <c r="AL475" s="454"/>
      <c r="AM475" s="454"/>
      <c r="AN475" s="454"/>
      <c r="AO475" s="454"/>
      <c r="AP475" s="454"/>
      <c r="AQ475" s="454"/>
      <c r="AR475" s="454"/>
      <c r="AS475" s="454"/>
      <c r="AT475" s="454"/>
      <c r="AU475" s="454"/>
      <c r="AV475" s="454"/>
      <c r="AW475" s="454"/>
      <c r="AX475" s="454"/>
      <c r="AY475" s="454"/>
      <c r="AZ475" s="454"/>
      <c r="BA475" s="454"/>
      <c r="BB475" s="454"/>
      <c r="BC475" s="454"/>
      <c r="BD475" s="454"/>
      <c r="BE475" s="454"/>
      <c r="BF475" s="454"/>
      <c r="BG475" s="454"/>
      <c r="BH475" s="454"/>
      <c r="BI475" s="454"/>
      <c r="BJ475" s="454"/>
      <c r="BK475" s="454"/>
      <c r="BL475" s="454"/>
      <c r="BM475" s="454"/>
      <c r="BN475" s="454"/>
      <c r="BO475" s="454"/>
      <c r="BP475" s="454"/>
      <c r="BQ475" s="454"/>
      <c r="BR475" s="454"/>
      <c r="BS475" s="454"/>
      <c r="BT475" s="454"/>
      <c r="BU475" s="454"/>
      <c r="BV475" s="454"/>
      <c r="BW475" s="454"/>
      <c r="BX475" s="454"/>
      <c r="BY475" s="454"/>
      <c r="BZ475" s="454"/>
      <c r="CA475" s="454"/>
      <c r="CB475" s="454"/>
      <c r="CC475" s="454"/>
      <c r="CD475" s="454"/>
      <c r="CE475" s="454"/>
      <c r="CF475" s="454"/>
      <c r="CG475" s="454"/>
      <c r="CH475" s="454"/>
      <c r="CI475" s="454"/>
      <c r="CJ475" s="454"/>
      <c r="CK475" s="454"/>
      <c r="CL475" s="454"/>
      <c r="CM475" s="454"/>
      <c r="CN475" s="454"/>
      <c r="CO475" s="454"/>
      <c r="CP475" s="454"/>
      <c r="CQ475" s="454"/>
      <c r="CR475" s="454"/>
      <c r="CS475" s="454"/>
      <c r="CT475" s="454"/>
      <c r="CU475" s="454"/>
      <c r="CV475" s="517"/>
      <c r="CW475" s="517"/>
      <c r="CX475" s="517"/>
      <c r="CY475" s="517"/>
      <c r="CZ475" s="517"/>
      <c r="DA475" s="517"/>
      <c r="DB475" s="517"/>
      <c r="DC475" s="517"/>
      <c r="DD475" s="517"/>
      <c r="DE475" s="517"/>
      <c r="DF475" s="517"/>
      <c r="DG475" s="517"/>
      <c r="DH475" s="517"/>
      <c r="DI475" s="454"/>
      <c r="DJ475" s="454"/>
      <c r="DK475" s="454"/>
      <c r="DL475" s="454"/>
      <c r="DM475" s="454"/>
      <c r="DN475" s="454"/>
      <c r="DO475" s="454"/>
      <c r="DP475" s="454"/>
      <c r="DQ475" s="454"/>
      <c r="DR475" s="454"/>
      <c r="DS475" s="454"/>
      <c r="DT475" s="454"/>
      <c r="DU475" s="454"/>
      <c r="DV475" s="454"/>
      <c r="DW475" s="454"/>
      <c r="DX475" s="454"/>
      <c r="DY475" s="454"/>
      <c r="DZ475" s="454"/>
      <c r="EA475" s="454"/>
      <c r="EB475" s="454"/>
      <c r="EC475" s="454"/>
      <c r="ED475" s="454"/>
      <c r="EE475" s="454"/>
      <c r="EF475" s="454"/>
      <c r="EG475" s="454"/>
      <c r="EH475" s="454"/>
      <c r="EI475" s="454"/>
      <c r="EJ475" s="454"/>
      <c r="EK475" s="454"/>
      <c r="EL475" s="454"/>
      <c r="EM475" s="454"/>
      <c r="EN475" s="454"/>
      <c r="EO475" s="454"/>
      <c r="EP475" s="454"/>
      <c r="EQ475" s="454"/>
      <c r="ER475" s="454"/>
      <c r="ES475" s="454"/>
      <c r="ET475" s="454"/>
      <c r="EU475" s="454"/>
      <c r="EV475" s="454"/>
      <c r="EW475" s="454"/>
      <c r="EX475" s="454"/>
      <c r="EY475" s="454"/>
      <c r="EZ475" s="454"/>
      <c r="FA475" s="454"/>
      <c r="FB475" s="454"/>
      <c r="FC475" s="454"/>
      <c r="FD475" s="454"/>
      <c r="FE475" s="454"/>
      <c r="FF475" s="454"/>
      <c r="FG475" s="290"/>
    </row>
    <row r="476" spans="1:163" s="4" customFormat="1" hidden="1">
      <c r="A476" s="56"/>
      <c r="B476" s="56"/>
      <c r="C476" s="498"/>
      <c r="D476" s="498"/>
      <c r="E476" s="454"/>
      <c r="F476" s="454"/>
      <c r="G476" s="454"/>
      <c r="H476" s="454"/>
      <c r="I476" s="454"/>
      <c r="J476" s="454"/>
      <c r="K476" s="454"/>
      <c r="L476" s="454"/>
      <c r="M476" s="454"/>
      <c r="N476" s="454"/>
      <c r="O476" s="454"/>
      <c r="P476" s="454"/>
      <c r="Q476" s="454"/>
      <c r="R476" s="290"/>
      <c r="S476" s="290"/>
      <c r="T476" s="454"/>
      <c r="U476" s="454"/>
      <c r="V476" s="454"/>
      <c r="W476" s="454"/>
      <c r="X476" s="454"/>
      <c r="Y476" s="454"/>
      <c r="Z476" s="454"/>
      <c r="AA476" s="454"/>
      <c r="AB476" s="454"/>
      <c r="AC476" s="454"/>
      <c r="AD476" s="454"/>
      <c r="AE476" s="454"/>
      <c r="AF476" s="454"/>
      <c r="AG476" s="454"/>
      <c r="AH476" s="454"/>
      <c r="AI476" s="454"/>
      <c r="AJ476" s="454"/>
      <c r="AK476" s="454"/>
      <c r="AL476" s="454"/>
      <c r="AM476" s="454"/>
      <c r="AN476" s="454"/>
      <c r="AO476" s="454"/>
      <c r="AP476" s="454"/>
      <c r="AQ476" s="454"/>
      <c r="AR476" s="454"/>
      <c r="AS476" s="454"/>
      <c r="AT476" s="454"/>
      <c r="AU476" s="454"/>
      <c r="AV476" s="454"/>
      <c r="AW476" s="454"/>
      <c r="AX476" s="454"/>
      <c r="AY476" s="454"/>
      <c r="AZ476" s="454"/>
      <c r="BA476" s="454"/>
      <c r="BB476" s="454"/>
      <c r="BC476" s="454"/>
      <c r="BD476" s="454"/>
      <c r="BE476" s="454"/>
      <c r="BF476" s="454"/>
      <c r="BG476" s="454"/>
      <c r="BH476" s="454"/>
      <c r="BI476" s="454"/>
      <c r="BJ476" s="454"/>
      <c r="BK476" s="454"/>
      <c r="BL476" s="454"/>
      <c r="BM476" s="454"/>
      <c r="BN476" s="454"/>
      <c r="BO476" s="454"/>
      <c r="BP476" s="454"/>
      <c r="BQ476" s="454"/>
      <c r="BR476" s="454"/>
      <c r="BS476" s="454"/>
      <c r="BT476" s="454"/>
      <c r="BU476" s="454"/>
      <c r="BV476" s="454"/>
      <c r="BW476" s="454"/>
      <c r="BX476" s="454"/>
      <c r="BY476" s="454"/>
      <c r="BZ476" s="454"/>
      <c r="CA476" s="454"/>
      <c r="CB476" s="454"/>
      <c r="CC476" s="454"/>
      <c r="CD476" s="454"/>
      <c r="CE476" s="454"/>
      <c r="CF476" s="454"/>
      <c r="CG476" s="454"/>
      <c r="CH476" s="454"/>
      <c r="CI476" s="454"/>
      <c r="CJ476" s="454"/>
      <c r="CK476" s="454"/>
      <c r="CL476" s="454"/>
      <c r="CM476" s="454"/>
      <c r="CN476" s="454"/>
      <c r="CO476" s="454"/>
      <c r="CP476" s="454"/>
      <c r="CQ476" s="454"/>
      <c r="CR476" s="454"/>
      <c r="CS476" s="454"/>
      <c r="CT476" s="454"/>
      <c r="CU476" s="454"/>
      <c r="CV476" s="517"/>
      <c r="CW476" s="517"/>
      <c r="CX476" s="517"/>
      <c r="CY476" s="517"/>
      <c r="CZ476" s="517"/>
      <c r="DA476" s="517"/>
      <c r="DB476" s="517"/>
      <c r="DC476" s="517"/>
      <c r="DD476" s="517"/>
      <c r="DE476" s="517"/>
      <c r="DF476" s="517"/>
      <c r="DG476" s="517"/>
      <c r="DH476" s="517"/>
      <c r="DI476" s="454"/>
      <c r="DJ476" s="454"/>
      <c r="DK476" s="454"/>
      <c r="DL476" s="454"/>
      <c r="DM476" s="454"/>
      <c r="DN476" s="454"/>
      <c r="DO476" s="454"/>
      <c r="DP476" s="454"/>
      <c r="DQ476" s="454"/>
      <c r="DR476" s="454"/>
      <c r="DS476" s="454"/>
      <c r="DT476" s="454"/>
      <c r="DU476" s="454"/>
      <c r="DV476" s="454"/>
      <c r="DW476" s="454"/>
      <c r="DX476" s="454"/>
      <c r="DY476" s="454"/>
      <c r="DZ476" s="454"/>
      <c r="EA476" s="454"/>
      <c r="EB476" s="454"/>
      <c r="EC476" s="454"/>
      <c r="ED476" s="454"/>
      <c r="EE476" s="454"/>
      <c r="EF476" s="454"/>
      <c r="EG476" s="454"/>
      <c r="EH476" s="454"/>
      <c r="EI476" s="454"/>
      <c r="EJ476" s="454"/>
      <c r="EK476" s="454"/>
      <c r="EL476" s="454"/>
      <c r="EM476" s="454"/>
      <c r="EN476" s="454"/>
      <c r="EO476" s="454"/>
      <c r="EP476" s="454"/>
      <c r="EQ476" s="454"/>
      <c r="ER476" s="454"/>
      <c r="ES476" s="454"/>
      <c r="ET476" s="454"/>
      <c r="EU476" s="454"/>
      <c r="EV476" s="454"/>
      <c r="EW476" s="454"/>
      <c r="EX476" s="454"/>
      <c r="EY476" s="454"/>
      <c r="EZ476" s="454"/>
      <c r="FA476" s="454"/>
      <c r="FB476" s="454"/>
      <c r="FC476" s="454"/>
      <c r="FD476" s="454"/>
      <c r="FE476" s="454"/>
      <c r="FF476" s="454"/>
      <c r="FG476" s="290"/>
    </row>
    <row r="477" spans="1:163" s="4" customFormat="1" hidden="1">
      <c r="A477" s="56"/>
      <c r="B477" s="56"/>
      <c r="C477" s="498"/>
      <c r="D477" s="498"/>
      <c r="E477" s="454"/>
      <c r="F477" s="454"/>
      <c r="G477" s="454"/>
      <c r="H477" s="454"/>
      <c r="I477" s="454"/>
      <c r="J477" s="454"/>
      <c r="K477" s="454"/>
      <c r="L477" s="454"/>
      <c r="M477" s="454"/>
      <c r="N477" s="454"/>
      <c r="O477" s="454"/>
      <c r="P477" s="454"/>
      <c r="Q477" s="454"/>
      <c r="R477" s="290"/>
      <c r="S477" s="290"/>
      <c r="T477" s="454"/>
      <c r="U477" s="454"/>
      <c r="V477" s="454"/>
      <c r="W477" s="454"/>
      <c r="X477" s="454"/>
      <c r="Y477" s="454"/>
      <c r="Z477" s="454"/>
      <c r="AA477" s="454"/>
      <c r="AB477" s="454"/>
      <c r="AC477" s="454"/>
      <c r="AD477" s="454"/>
      <c r="AE477" s="454"/>
      <c r="AF477" s="454"/>
      <c r="AG477" s="454"/>
      <c r="AH477" s="454"/>
      <c r="AI477" s="454"/>
      <c r="AJ477" s="454"/>
      <c r="AK477" s="454"/>
      <c r="AL477" s="454"/>
      <c r="AM477" s="454"/>
      <c r="AN477" s="454"/>
      <c r="AO477" s="454"/>
      <c r="AP477" s="454"/>
      <c r="AQ477" s="454"/>
      <c r="AR477" s="454"/>
      <c r="AS477" s="454"/>
      <c r="AT477" s="454"/>
      <c r="AU477" s="454"/>
      <c r="AV477" s="454"/>
      <c r="AW477" s="454"/>
      <c r="AX477" s="454"/>
      <c r="AY477" s="454"/>
      <c r="AZ477" s="454"/>
      <c r="BA477" s="454"/>
      <c r="BB477" s="454"/>
      <c r="BC477" s="454"/>
      <c r="BD477" s="454"/>
      <c r="BE477" s="454"/>
      <c r="BF477" s="454"/>
      <c r="BG477" s="454"/>
      <c r="BH477" s="454"/>
      <c r="BI477" s="454"/>
      <c r="BJ477" s="454"/>
      <c r="BK477" s="454"/>
      <c r="BL477" s="454"/>
      <c r="BM477" s="454"/>
      <c r="BN477" s="454"/>
      <c r="BO477" s="454"/>
      <c r="BP477" s="454"/>
      <c r="BQ477" s="454"/>
      <c r="BR477" s="454"/>
      <c r="BS477" s="454"/>
      <c r="BT477" s="454"/>
      <c r="BU477" s="454"/>
      <c r="BV477" s="454"/>
      <c r="BW477" s="454"/>
      <c r="BX477" s="454"/>
      <c r="BY477" s="454"/>
      <c r="BZ477" s="454"/>
      <c r="CA477" s="454"/>
      <c r="CB477" s="454"/>
      <c r="CC477" s="454"/>
      <c r="CD477" s="454"/>
      <c r="CE477" s="454"/>
      <c r="CF477" s="454"/>
      <c r="CG477" s="454"/>
      <c r="CH477" s="454"/>
      <c r="CI477" s="454"/>
      <c r="CJ477" s="454"/>
      <c r="CK477" s="454"/>
      <c r="CL477" s="454"/>
      <c r="CM477" s="454"/>
      <c r="CN477" s="454"/>
      <c r="CO477" s="454"/>
      <c r="CP477" s="454"/>
      <c r="CQ477" s="454"/>
      <c r="CR477" s="454"/>
      <c r="CS477" s="454"/>
      <c r="CT477" s="454"/>
      <c r="CU477" s="454"/>
      <c r="CV477" s="517"/>
      <c r="CW477" s="517"/>
      <c r="CX477" s="517"/>
      <c r="CY477" s="517"/>
      <c r="CZ477" s="517"/>
      <c r="DA477" s="517"/>
      <c r="DB477" s="517"/>
      <c r="DC477" s="517"/>
      <c r="DD477" s="517"/>
      <c r="DE477" s="517"/>
      <c r="DF477" s="517"/>
      <c r="DG477" s="517"/>
      <c r="DH477" s="517"/>
      <c r="DI477" s="454"/>
      <c r="DJ477" s="454"/>
      <c r="DK477" s="454"/>
      <c r="DL477" s="454"/>
      <c r="DM477" s="454"/>
      <c r="DN477" s="454"/>
      <c r="DO477" s="454"/>
      <c r="DP477" s="454"/>
      <c r="DQ477" s="454"/>
      <c r="DR477" s="454"/>
      <c r="DS477" s="454"/>
      <c r="DT477" s="454"/>
      <c r="DU477" s="454"/>
      <c r="DV477" s="454"/>
      <c r="DW477" s="454"/>
      <c r="DX477" s="454"/>
      <c r="DY477" s="454"/>
      <c r="DZ477" s="454"/>
      <c r="EA477" s="454"/>
      <c r="EB477" s="454"/>
      <c r="EC477" s="454"/>
      <c r="ED477" s="454"/>
      <c r="EE477" s="454"/>
      <c r="EF477" s="454"/>
      <c r="EG477" s="454"/>
      <c r="EH477" s="454"/>
      <c r="EI477" s="454"/>
      <c r="EJ477" s="454"/>
      <c r="EK477" s="454"/>
      <c r="EL477" s="454"/>
      <c r="EM477" s="454"/>
      <c r="EN477" s="454"/>
      <c r="EO477" s="454"/>
      <c r="EP477" s="454"/>
      <c r="EQ477" s="454"/>
      <c r="ER477" s="454"/>
      <c r="ES477" s="454"/>
      <c r="ET477" s="454"/>
      <c r="EU477" s="454"/>
      <c r="EV477" s="454"/>
      <c r="EW477" s="454"/>
      <c r="EX477" s="454"/>
      <c r="EY477" s="454"/>
      <c r="EZ477" s="454"/>
      <c r="FA477" s="454"/>
      <c r="FB477" s="454"/>
      <c r="FC477" s="454"/>
      <c r="FD477" s="454"/>
      <c r="FE477" s="454"/>
      <c r="FF477" s="454"/>
      <c r="FG477" s="290"/>
    </row>
    <row r="478" spans="1:163" s="4" customFormat="1" hidden="1">
      <c r="A478" s="56"/>
      <c r="B478" s="56"/>
      <c r="C478" s="498"/>
      <c r="D478" s="498"/>
      <c r="E478" s="454"/>
      <c r="F478" s="454"/>
      <c r="G478" s="454"/>
      <c r="H478" s="454"/>
      <c r="I478" s="454"/>
      <c r="J478" s="454"/>
      <c r="K478" s="454"/>
      <c r="L478" s="454"/>
      <c r="M478" s="454"/>
      <c r="N478" s="454"/>
      <c r="O478" s="454"/>
      <c r="P478" s="454"/>
      <c r="Q478" s="454"/>
      <c r="R478" s="290"/>
      <c r="S478" s="290"/>
      <c r="T478" s="454"/>
      <c r="U478" s="454"/>
      <c r="V478" s="454"/>
      <c r="W478" s="454"/>
      <c r="X478" s="454"/>
      <c r="Y478" s="454"/>
      <c r="Z478" s="454"/>
      <c r="AA478" s="454"/>
      <c r="AB478" s="454"/>
      <c r="AC478" s="454"/>
      <c r="AD478" s="454"/>
      <c r="AE478" s="454"/>
      <c r="AF478" s="454"/>
      <c r="AG478" s="454"/>
      <c r="AH478" s="454"/>
      <c r="AI478" s="454"/>
      <c r="AJ478" s="454"/>
      <c r="AK478" s="454"/>
      <c r="AL478" s="454"/>
      <c r="AM478" s="454"/>
      <c r="AN478" s="454"/>
      <c r="AO478" s="454"/>
      <c r="AP478" s="454"/>
      <c r="AQ478" s="454"/>
      <c r="AR478" s="454"/>
      <c r="AS478" s="454"/>
      <c r="AT478" s="454"/>
      <c r="AU478" s="454"/>
      <c r="AV478" s="454"/>
      <c r="AW478" s="454"/>
      <c r="AX478" s="454"/>
      <c r="AY478" s="454"/>
      <c r="AZ478" s="454"/>
      <c r="BA478" s="454"/>
      <c r="BB478" s="454"/>
      <c r="BC478" s="454"/>
      <c r="BD478" s="454"/>
      <c r="BE478" s="454"/>
      <c r="BF478" s="454"/>
      <c r="BG478" s="454"/>
      <c r="BH478" s="454"/>
      <c r="BI478" s="454"/>
      <c r="BJ478" s="454"/>
      <c r="BK478" s="454"/>
      <c r="BL478" s="454"/>
      <c r="BM478" s="454"/>
      <c r="BN478" s="454"/>
      <c r="BO478" s="454"/>
      <c r="BP478" s="454"/>
      <c r="BQ478" s="454"/>
      <c r="BR478" s="454"/>
      <c r="BS478" s="454"/>
      <c r="BT478" s="454"/>
      <c r="BU478" s="454"/>
      <c r="BV478" s="454"/>
      <c r="BW478" s="454"/>
      <c r="BX478" s="454"/>
      <c r="BY478" s="454"/>
      <c r="BZ478" s="454"/>
      <c r="CA478" s="454"/>
      <c r="CB478" s="454"/>
      <c r="CC478" s="454"/>
      <c r="CD478" s="454"/>
      <c r="CE478" s="454"/>
      <c r="CF478" s="454"/>
      <c r="CG478" s="454"/>
      <c r="CH478" s="454"/>
      <c r="CI478" s="454"/>
      <c r="CJ478" s="454"/>
      <c r="CK478" s="454"/>
      <c r="CL478" s="454"/>
      <c r="CM478" s="454"/>
      <c r="CN478" s="454"/>
      <c r="CO478" s="454"/>
      <c r="CP478" s="454"/>
      <c r="CQ478" s="454"/>
      <c r="CR478" s="454"/>
      <c r="CS478" s="454"/>
      <c r="CT478" s="454"/>
      <c r="CU478" s="454"/>
      <c r="CV478" s="517"/>
      <c r="CW478" s="517"/>
      <c r="CX478" s="517"/>
      <c r="CY478" s="517"/>
      <c r="CZ478" s="517"/>
      <c r="DA478" s="517"/>
      <c r="DB478" s="517"/>
      <c r="DC478" s="517"/>
      <c r="DD478" s="517"/>
      <c r="DE478" s="517"/>
      <c r="DF478" s="517"/>
      <c r="DG478" s="517"/>
      <c r="DH478" s="517"/>
      <c r="DI478" s="454"/>
      <c r="DJ478" s="454"/>
      <c r="DK478" s="454"/>
      <c r="DL478" s="454"/>
      <c r="DM478" s="454"/>
      <c r="DN478" s="454"/>
      <c r="DO478" s="454"/>
      <c r="DP478" s="454"/>
      <c r="DQ478" s="454"/>
      <c r="DR478" s="454"/>
      <c r="DS478" s="454"/>
      <c r="DT478" s="454"/>
      <c r="DU478" s="454"/>
      <c r="DV478" s="454"/>
      <c r="DW478" s="454"/>
      <c r="DX478" s="454"/>
      <c r="DY478" s="454"/>
      <c r="DZ478" s="454"/>
      <c r="EA478" s="454"/>
      <c r="EB478" s="454"/>
      <c r="EC478" s="454"/>
      <c r="ED478" s="454"/>
      <c r="EE478" s="454"/>
      <c r="EF478" s="454"/>
      <c r="EG478" s="454"/>
      <c r="EH478" s="454"/>
      <c r="EI478" s="454"/>
      <c r="EJ478" s="454"/>
      <c r="EK478" s="454"/>
      <c r="EL478" s="454"/>
      <c r="EM478" s="454"/>
      <c r="EN478" s="454"/>
      <c r="EO478" s="454"/>
      <c r="EP478" s="454"/>
      <c r="EQ478" s="454"/>
      <c r="ER478" s="454"/>
      <c r="ES478" s="454"/>
      <c r="ET478" s="454"/>
      <c r="EU478" s="454"/>
      <c r="EV478" s="454"/>
      <c r="EW478" s="454"/>
      <c r="EX478" s="454"/>
      <c r="EY478" s="454"/>
      <c r="EZ478" s="454"/>
      <c r="FA478" s="454"/>
      <c r="FB478" s="454"/>
      <c r="FC478" s="454"/>
      <c r="FD478" s="454"/>
      <c r="FE478" s="454"/>
      <c r="FF478" s="454"/>
      <c r="FG478" s="290"/>
    </row>
    <row r="479" spans="1:163" s="4" customFormat="1" hidden="1">
      <c r="A479" s="56"/>
      <c r="B479" s="56"/>
      <c r="C479" s="498"/>
      <c r="D479" s="498"/>
      <c r="E479" s="454"/>
      <c r="F479" s="454"/>
      <c r="G479" s="454"/>
      <c r="H479" s="454"/>
      <c r="I479" s="454"/>
      <c r="J479" s="454"/>
      <c r="K479" s="454"/>
      <c r="L479" s="454"/>
      <c r="M479" s="454"/>
      <c r="N479" s="454"/>
      <c r="O479" s="454"/>
      <c r="P479" s="454"/>
      <c r="Q479" s="454"/>
      <c r="R479" s="290"/>
      <c r="S479" s="290"/>
      <c r="T479" s="454"/>
      <c r="U479" s="454"/>
      <c r="V479" s="454"/>
      <c r="W479" s="454"/>
      <c r="X479" s="454"/>
      <c r="Y479" s="454"/>
      <c r="Z479" s="454"/>
      <c r="AA479" s="454"/>
      <c r="AB479" s="454"/>
      <c r="AC479" s="454"/>
      <c r="AD479" s="454"/>
      <c r="AE479" s="454"/>
      <c r="AF479" s="454"/>
      <c r="AG479" s="454"/>
      <c r="AH479" s="454"/>
      <c r="AI479" s="454"/>
      <c r="AJ479" s="454"/>
      <c r="AK479" s="454"/>
      <c r="AL479" s="454"/>
      <c r="AM479" s="454"/>
      <c r="AN479" s="454"/>
      <c r="AO479" s="454"/>
      <c r="AP479" s="454"/>
      <c r="AQ479" s="454"/>
      <c r="AR479" s="454"/>
      <c r="AS479" s="454"/>
      <c r="AT479" s="454"/>
      <c r="AU479" s="454"/>
      <c r="AV479" s="454"/>
      <c r="AW479" s="454"/>
      <c r="AX479" s="454"/>
      <c r="AY479" s="454"/>
      <c r="AZ479" s="454"/>
      <c r="BA479" s="454"/>
      <c r="BB479" s="454"/>
      <c r="BC479" s="454"/>
      <c r="BD479" s="454"/>
      <c r="BE479" s="454"/>
      <c r="BF479" s="454"/>
      <c r="BG479" s="454"/>
      <c r="BH479" s="454"/>
      <c r="BI479" s="454"/>
      <c r="BJ479" s="454"/>
      <c r="BK479" s="454"/>
      <c r="BL479" s="454"/>
      <c r="BM479" s="454"/>
      <c r="BN479" s="454"/>
      <c r="BO479" s="454"/>
      <c r="BP479" s="454"/>
      <c r="BQ479" s="454"/>
      <c r="BR479" s="454"/>
      <c r="BS479" s="454"/>
      <c r="BT479" s="454"/>
      <c r="BU479" s="454"/>
      <c r="BV479" s="454"/>
      <c r="BW479" s="454"/>
      <c r="BX479" s="454"/>
      <c r="BY479" s="454"/>
      <c r="BZ479" s="454"/>
      <c r="CA479" s="454"/>
      <c r="CB479" s="454"/>
      <c r="CC479" s="454"/>
      <c r="CD479" s="454"/>
      <c r="CE479" s="454"/>
      <c r="CF479" s="454"/>
      <c r="CG479" s="454"/>
      <c r="CH479" s="454"/>
      <c r="CI479" s="454"/>
      <c r="CJ479" s="454"/>
      <c r="CK479" s="454"/>
      <c r="CL479" s="454"/>
      <c r="CM479" s="454"/>
      <c r="CN479" s="454"/>
      <c r="CO479" s="454"/>
      <c r="CP479" s="454"/>
      <c r="CQ479" s="454"/>
      <c r="CR479" s="454"/>
      <c r="CS479" s="454"/>
      <c r="CT479" s="454"/>
      <c r="CU479" s="454"/>
      <c r="CV479" s="517"/>
      <c r="CW479" s="517"/>
      <c r="CX479" s="517"/>
      <c r="CY479" s="517"/>
      <c r="CZ479" s="517"/>
      <c r="DA479" s="517"/>
      <c r="DB479" s="517"/>
      <c r="DC479" s="517"/>
      <c r="DD479" s="517"/>
      <c r="DE479" s="517"/>
      <c r="DF479" s="517"/>
      <c r="DG479" s="517"/>
      <c r="DH479" s="517"/>
      <c r="DI479" s="454"/>
      <c r="DJ479" s="454"/>
      <c r="DK479" s="454"/>
      <c r="DL479" s="454"/>
      <c r="DM479" s="454"/>
      <c r="DN479" s="454"/>
      <c r="DO479" s="454"/>
      <c r="DP479" s="454"/>
      <c r="DQ479" s="454"/>
      <c r="DR479" s="454"/>
      <c r="DS479" s="454"/>
      <c r="DT479" s="454"/>
      <c r="DU479" s="454"/>
      <c r="DV479" s="454"/>
      <c r="DW479" s="454"/>
      <c r="DX479" s="454"/>
      <c r="DY479" s="454"/>
      <c r="DZ479" s="454"/>
      <c r="EA479" s="454"/>
      <c r="EB479" s="454"/>
      <c r="EC479" s="454"/>
      <c r="ED479" s="454"/>
      <c r="EE479" s="454"/>
      <c r="EF479" s="454"/>
      <c r="EG479" s="454"/>
      <c r="EH479" s="454"/>
      <c r="EI479" s="454"/>
      <c r="EJ479" s="454"/>
      <c r="EK479" s="454"/>
      <c r="EL479" s="454"/>
      <c r="EM479" s="454"/>
      <c r="EN479" s="454"/>
      <c r="EO479" s="454"/>
      <c r="EP479" s="454"/>
      <c r="EQ479" s="454"/>
      <c r="ER479" s="454"/>
      <c r="ES479" s="454"/>
      <c r="ET479" s="454"/>
      <c r="EU479" s="454"/>
      <c r="EV479" s="454"/>
      <c r="EW479" s="454"/>
      <c r="EX479" s="454"/>
      <c r="EY479" s="454"/>
      <c r="EZ479" s="454"/>
      <c r="FA479" s="454"/>
      <c r="FB479" s="454"/>
      <c r="FC479" s="454"/>
      <c r="FD479" s="454"/>
      <c r="FE479" s="454"/>
      <c r="FF479" s="454"/>
      <c r="FG479" s="290"/>
    </row>
    <row r="480" spans="1:163" s="4" customFormat="1" hidden="1">
      <c r="A480" s="56"/>
      <c r="B480" s="56"/>
      <c r="C480" s="498"/>
      <c r="D480" s="498"/>
      <c r="E480" s="454"/>
      <c r="F480" s="454"/>
      <c r="G480" s="454"/>
      <c r="H480" s="454"/>
      <c r="I480" s="454"/>
      <c r="J480" s="454"/>
      <c r="K480" s="454"/>
      <c r="L480" s="454"/>
      <c r="M480" s="454"/>
      <c r="N480" s="454"/>
      <c r="O480" s="454"/>
      <c r="P480" s="454"/>
      <c r="Q480" s="454"/>
      <c r="R480" s="290"/>
      <c r="S480" s="290"/>
      <c r="T480" s="454"/>
      <c r="U480" s="454"/>
      <c r="V480" s="454"/>
      <c r="W480" s="454"/>
      <c r="X480" s="454"/>
      <c r="Y480" s="454"/>
      <c r="Z480" s="454"/>
      <c r="AA480" s="454"/>
      <c r="AB480" s="454"/>
      <c r="AC480" s="454"/>
      <c r="AD480" s="454"/>
      <c r="AE480" s="454"/>
      <c r="AF480" s="454"/>
      <c r="AG480" s="454"/>
      <c r="AH480" s="454"/>
      <c r="AI480" s="454"/>
      <c r="AJ480" s="454"/>
      <c r="AK480" s="454"/>
      <c r="AL480" s="454"/>
      <c r="AM480" s="454"/>
      <c r="AN480" s="454"/>
      <c r="AO480" s="454"/>
      <c r="AP480" s="454"/>
      <c r="AQ480" s="454"/>
      <c r="AR480" s="454"/>
      <c r="AS480" s="454"/>
      <c r="AT480" s="454"/>
      <c r="AU480" s="454"/>
      <c r="AV480" s="454"/>
      <c r="AW480" s="454"/>
      <c r="AX480" s="454"/>
      <c r="AY480" s="454"/>
      <c r="AZ480" s="454"/>
      <c r="BA480" s="454"/>
      <c r="BB480" s="454"/>
      <c r="BC480" s="454"/>
      <c r="BD480" s="454"/>
      <c r="BE480" s="454"/>
      <c r="BF480" s="454"/>
      <c r="BG480" s="454"/>
      <c r="BH480" s="454"/>
      <c r="BI480" s="454"/>
      <c r="BJ480" s="454"/>
      <c r="BK480" s="454"/>
      <c r="BL480" s="454"/>
      <c r="BM480" s="454"/>
      <c r="BN480" s="454"/>
      <c r="BO480" s="454"/>
      <c r="BP480" s="454"/>
      <c r="BQ480" s="454"/>
      <c r="BR480" s="454"/>
      <c r="BS480" s="454"/>
      <c r="BT480" s="454"/>
      <c r="BU480" s="454"/>
      <c r="BV480" s="454"/>
      <c r="BW480" s="454"/>
      <c r="BX480" s="454"/>
      <c r="BY480" s="454"/>
      <c r="BZ480" s="454"/>
      <c r="CA480" s="454"/>
      <c r="CB480" s="454"/>
      <c r="CC480" s="454"/>
      <c r="CD480" s="454"/>
      <c r="CE480" s="454"/>
      <c r="CF480" s="454"/>
      <c r="CG480" s="454"/>
      <c r="CH480" s="454"/>
      <c r="CI480" s="454"/>
      <c r="CJ480" s="454"/>
      <c r="CK480" s="454"/>
      <c r="CL480" s="454"/>
      <c r="CM480" s="454"/>
      <c r="CN480" s="454"/>
      <c r="CO480" s="454"/>
      <c r="CP480" s="454"/>
      <c r="CQ480" s="454"/>
      <c r="CR480" s="454"/>
      <c r="CS480" s="454"/>
      <c r="CT480" s="454"/>
      <c r="CU480" s="454"/>
      <c r="CV480" s="517"/>
      <c r="CW480" s="517"/>
      <c r="CX480" s="517"/>
      <c r="CY480" s="517"/>
      <c r="CZ480" s="517"/>
      <c r="DA480" s="517"/>
      <c r="DB480" s="517"/>
      <c r="DC480" s="517"/>
      <c r="DD480" s="517"/>
      <c r="DE480" s="517"/>
      <c r="DF480" s="517"/>
      <c r="DG480" s="517"/>
      <c r="DH480" s="517"/>
      <c r="DI480" s="454"/>
      <c r="DJ480" s="454"/>
      <c r="DK480" s="454"/>
      <c r="DL480" s="454"/>
      <c r="DM480" s="454"/>
      <c r="DN480" s="454"/>
      <c r="DO480" s="454"/>
      <c r="DP480" s="454"/>
      <c r="DQ480" s="454"/>
      <c r="DR480" s="454"/>
      <c r="DS480" s="454"/>
      <c r="DT480" s="454"/>
      <c r="DU480" s="454"/>
      <c r="DV480" s="454"/>
      <c r="DW480" s="454"/>
      <c r="DX480" s="454"/>
      <c r="DY480" s="454"/>
      <c r="DZ480" s="454"/>
      <c r="EA480" s="454"/>
      <c r="EB480" s="454"/>
      <c r="EC480" s="454"/>
      <c r="ED480" s="454"/>
      <c r="EE480" s="454"/>
      <c r="EF480" s="454"/>
      <c r="EG480" s="454"/>
      <c r="EH480" s="454"/>
      <c r="EI480" s="454"/>
      <c r="EJ480" s="454"/>
      <c r="EK480" s="454"/>
      <c r="EL480" s="454"/>
      <c r="EM480" s="454"/>
      <c r="EN480" s="454"/>
      <c r="EO480" s="454"/>
      <c r="EP480" s="454"/>
      <c r="EQ480" s="454"/>
      <c r="ER480" s="454"/>
      <c r="ES480" s="454"/>
      <c r="ET480" s="454"/>
      <c r="EU480" s="454"/>
      <c r="EV480" s="454"/>
      <c r="EW480" s="454"/>
      <c r="EX480" s="454"/>
      <c r="EY480" s="454"/>
      <c r="EZ480" s="454"/>
      <c r="FA480" s="454"/>
      <c r="FB480" s="454"/>
      <c r="FC480" s="454"/>
      <c r="FD480" s="454"/>
      <c r="FE480" s="454"/>
      <c r="FF480" s="454"/>
      <c r="FG480" s="290"/>
    </row>
    <row r="481" spans="1:163" s="4" customFormat="1" hidden="1">
      <c r="A481" s="56"/>
      <c r="B481" s="56"/>
      <c r="C481" s="498"/>
      <c r="D481" s="498"/>
      <c r="E481" s="454"/>
      <c r="F481" s="454"/>
      <c r="G481" s="454"/>
      <c r="H481" s="454"/>
      <c r="I481" s="454"/>
      <c r="J481" s="454"/>
      <c r="K481" s="454"/>
      <c r="L481" s="454"/>
      <c r="M481" s="454"/>
      <c r="N481" s="454"/>
      <c r="O481" s="454"/>
      <c r="P481" s="454"/>
      <c r="Q481" s="454"/>
      <c r="R481" s="290"/>
      <c r="S481" s="290"/>
      <c r="T481" s="454"/>
      <c r="U481" s="454"/>
      <c r="V481" s="454"/>
      <c r="W481" s="454"/>
      <c r="X481" s="454"/>
      <c r="Y481" s="454"/>
      <c r="Z481" s="454"/>
      <c r="AA481" s="454"/>
      <c r="AB481" s="454"/>
      <c r="AC481" s="454"/>
      <c r="AD481" s="454"/>
      <c r="AE481" s="454"/>
      <c r="AF481" s="454"/>
      <c r="AG481" s="454"/>
      <c r="AH481" s="454"/>
      <c r="AI481" s="454"/>
      <c r="AJ481" s="454"/>
      <c r="AK481" s="454"/>
      <c r="AL481" s="454"/>
      <c r="AM481" s="454"/>
      <c r="AN481" s="454"/>
      <c r="AO481" s="454"/>
      <c r="AP481" s="454"/>
      <c r="AQ481" s="454"/>
      <c r="AR481" s="454"/>
      <c r="AS481" s="454"/>
      <c r="AT481" s="454"/>
      <c r="AU481" s="454"/>
      <c r="AV481" s="454"/>
      <c r="AW481" s="454"/>
      <c r="AX481" s="454"/>
      <c r="AY481" s="454"/>
      <c r="AZ481" s="454"/>
      <c r="BA481" s="454"/>
      <c r="BB481" s="454"/>
      <c r="BC481" s="454"/>
      <c r="BD481" s="454"/>
      <c r="BE481" s="454"/>
      <c r="BF481" s="454"/>
      <c r="BG481" s="454"/>
      <c r="BH481" s="454"/>
      <c r="BI481" s="454"/>
      <c r="BJ481" s="454"/>
      <c r="BK481" s="454"/>
      <c r="BL481" s="454"/>
      <c r="BM481" s="454"/>
      <c r="BN481" s="454"/>
      <c r="BO481" s="454"/>
      <c r="BP481" s="454"/>
      <c r="BQ481" s="454"/>
      <c r="BR481" s="454"/>
      <c r="BS481" s="454"/>
      <c r="BT481" s="454"/>
      <c r="BU481" s="454"/>
      <c r="BV481" s="454"/>
      <c r="BW481" s="454"/>
      <c r="BX481" s="454"/>
      <c r="BY481" s="454"/>
      <c r="BZ481" s="454"/>
      <c r="CA481" s="454"/>
      <c r="CB481" s="454"/>
      <c r="CC481" s="454"/>
      <c r="CD481" s="454"/>
      <c r="CE481" s="454"/>
      <c r="CF481" s="454"/>
      <c r="CG481" s="454"/>
      <c r="CH481" s="454"/>
      <c r="CI481" s="454"/>
      <c r="CJ481" s="454"/>
      <c r="CK481" s="454"/>
      <c r="CL481" s="454"/>
      <c r="CM481" s="454"/>
      <c r="CN481" s="454"/>
      <c r="CO481" s="454"/>
      <c r="CP481" s="454"/>
      <c r="CQ481" s="454"/>
      <c r="CR481" s="454"/>
      <c r="CS481" s="454"/>
      <c r="CT481" s="454"/>
      <c r="CU481" s="454"/>
      <c r="CV481" s="517"/>
      <c r="CW481" s="517"/>
      <c r="CX481" s="517"/>
      <c r="CY481" s="517"/>
      <c r="CZ481" s="517"/>
      <c r="DA481" s="517"/>
      <c r="DB481" s="517"/>
      <c r="DC481" s="517"/>
      <c r="DD481" s="517"/>
      <c r="DE481" s="517"/>
      <c r="DF481" s="517"/>
      <c r="DG481" s="517"/>
      <c r="DH481" s="517"/>
      <c r="DI481" s="454"/>
      <c r="DJ481" s="454"/>
      <c r="DK481" s="454"/>
      <c r="DL481" s="454"/>
      <c r="DM481" s="454"/>
      <c r="DN481" s="454"/>
      <c r="DO481" s="454"/>
      <c r="DP481" s="454"/>
      <c r="DQ481" s="454"/>
      <c r="DR481" s="454"/>
      <c r="DS481" s="454"/>
      <c r="DT481" s="454"/>
      <c r="DU481" s="454"/>
      <c r="DV481" s="454"/>
      <c r="DW481" s="454"/>
      <c r="DX481" s="454"/>
      <c r="DY481" s="454"/>
      <c r="DZ481" s="454"/>
      <c r="EA481" s="454"/>
      <c r="EB481" s="454"/>
      <c r="EC481" s="454"/>
      <c r="ED481" s="454"/>
      <c r="EE481" s="454"/>
      <c r="EF481" s="454"/>
      <c r="EG481" s="454"/>
      <c r="EH481" s="454"/>
      <c r="EI481" s="454"/>
      <c r="EJ481" s="454"/>
      <c r="EK481" s="454"/>
      <c r="EL481" s="454"/>
      <c r="EM481" s="454"/>
      <c r="EN481" s="454"/>
      <c r="EO481" s="454"/>
      <c r="EP481" s="454"/>
      <c r="EQ481" s="454"/>
      <c r="ER481" s="454"/>
      <c r="ES481" s="454"/>
      <c r="ET481" s="454"/>
      <c r="EU481" s="454"/>
      <c r="EV481" s="454"/>
      <c r="EW481" s="454"/>
      <c r="EX481" s="454"/>
      <c r="EY481" s="454"/>
      <c r="EZ481" s="454"/>
      <c r="FA481" s="454"/>
      <c r="FB481" s="454"/>
      <c r="FC481" s="454"/>
      <c r="FD481" s="454"/>
      <c r="FE481" s="454"/>
      <c r="FF481" s="454"/>
      <c r="FG481" s="290"/>
    </row>
    <row r="482" spans="1:163" s="4" customFormat="1" hidden="1">
      <c r="A482" s="56"/>
      <c r="B482" s="56"/>
      <c r="C482" s="498"/>
      <c r="D482" s="498"/>
      <c r="E482" s="454"/>
      <c r="F482" s="454"/>
      <c r="G482" s="454"/>
      <c r="H482" s="454"/>
      <c r="I482" s="454"/>
      <c r="J482" s="454"/>
      <c r="K482" s="454"/>
      <c r="L482" s="454"/>
      <c r="M482" s="454"/>
      <c r="N482" s="454"/>
      <c r="O482" s="454"/>
      <c r="P482" s="454"/>
      <c r="Q482" s="454"/>
      <c r="R482" s="290"/>
      <c r="S482" s="290"/>
      <c r="T482" s="454"/>
      <c r="U482" s="454"/>
      <c r="V482" s="454"/>
      <c r="W482" s="454"/>
      <c r="X482" s="454"/>
      <c r="Y482" s="454"/>
      <c r="Z482" s="454"/>
      <c r="AA482" s="454"/>
      <c r="AB482" s="454"/>
      <c r="AC482" s="454"/>
      <c r="AD482" s="454"/>
      <c r="AE482" s="454"/>
      <c r="AF482" s="454"/>
      <c r="AG482" s="454"/>
      <c r="AH482" s="454"/>
      <c r="AI482" s="454"/>
      <c r="AJ482" s="454"/>
      <c r="AK482" s="454"/>
      <c r="AL482" s="454"/>
      <c r="AM482" s="454"/>
      <c r="AN482" s="454"/>
      <c r="AO482" s="454"/>
      <c r="AP482" s="454"/>
      <c r="AQ482" s="454"/>
      <c r="AR482" s="454"/>
      <c r="AS482" s="454"/>
      <c r="AT482" s="454"/>
      <c r="AU482" s="454"/>
      <c r="AV482" s="454"/>
      <c r="AW482" s="454"/>
      <c r="AX482" s="454"/>
      <c r="AY482" s="454"/>
      <c r="AZ482" s="454"/>
      <c r="BA482" s="454"/>
      <c r="BB482" s="454"/>
      <c r="BC482" s="454"/>
      <c r="BD482" s="454"/>
      <c r="BE482" s="454"/>
      <c r="BF482" s="454"/>
      <c r="BG482" s="454"/>
      <c r="BH482" s="454"/>
      <c r="BI482" s="454"/>
      <c r="BJ482" s="454"/>
      <c r="BK482" s="454"/>
      <c r="BL482" s="454"/>
      <c r="BM482" s="454"/>
      <c r="BN482" s="454"/>
      <c r="BO482" s="454"/>
      <c r="BP482" s="454"/>
      <c r="BQ482" s="454"/>
      <c r="BR482" s="454"/>
      <c r="BS482" s="454"/>
      <c r="BT482" s="454"/>
      <c r="BU482" s="454"/>
      <c r="BV482" s="454"/>
      <c r="BW482" s="454"/>
      <c r="BX482" s="454"/>
      <c r="BY482" s="454"/>
      <c r="BZ482" s="454"/>
      <c r="CA482" s="454"/>
      <c r="CB482" s="454"/>
      <c r="CC482" s="454"/>
      <c r="CD482" s="454"/>
      <c r="CE482" s="454"/>
      <c r="CF482" s="454"/>
      <c r="CG482" s="454"/>
      <c r="CH482" s="454"/>
      <c r="CI482" s="454"/>
      <c r="CJ482" s="454"/>
      <c r="CK482" s="454"/>
      <c r="CL482" s="454"/>
      <c r="CM482" s="454"/>
      <c r="CN482" s="454"/>
      <c r="CO482" s="454"/>
      <c r="CP482" s="454"/>
      <c r="CQ482" s="454"/>
      <c r="CR482" s="454"/>
      <c r="CS482" s="454"/>
      <c r="CT482" s="454"/>
      <c r="CU482" s="454"/>
      <c r="CV482" s="517"/>
      <c r="CW482" s="517"/>
      <c r="CX482" s="517"/>
      <c r="CY482" s="517"/>
      <c r="CZ482" s="517"/>
      <c r="DA482" s="517"/>
      <c r="DB482" s="517"/>
      <c r="DC482" s="517"/>
      <c r="DD482" s="517"/>
      <c r="DE482" s="517"/>
      <c r="DF482" s="517"/>
      <c r="DG482" s="517"/>
      <c r="DH482" s="517"/>
      <c r="DI482" s="454"/>
      <c r="DJ482" s="454"/>
      <c r="DK482" s="454"/>
      <c r="DL482" s="454"/>
      <c r="DM482" s="454"/>
      <c r="DN482" s="454"/>
      <c r="DO482" s="454"/>
      <c r="DP482" s="454"/>
      <c r="DQ482" s="454"/>
      <c r="DR482" s="454"/>
      <c r="DS482" s="454"/>
      <c r="DT482" s="454"/>
      <c r="DU482" s="454"/>
      <c r="DV482" s="454"/>
      <c r="DW482" s="454"/>
      <c r="DX482" s="454"/>
      <c r="DY482" s="454"/>
      <c r="DZ482" s="454"/>
      <c r="EA482" s="454"/>
      <c r="EB482" s="454"/>
      <c r="EC482" s="454"/>
      <c r="ED482" s="454"/>
      <c r="EE482" s="454"/>
      <c r="EF482" s="454"/>
      <c r="EG482" s="454"/>
      <c r="EH482" s="454"/>
      <c r="EI482" s="454"/>
      <c r="EJ482" s="454"/>
      <c r="EK482" s="454"/>
      <c r="EL482" s="454"/>
      <c r="EM482" s="454"/>
      <c r="EN482" s="454"/>
      <c r="EO482" s="454"/>
      <c r="EP482" s="454"/>
      <c r="EQ482" s="454"/>
      <c r="ER482" s="454"/>
      <c r="ES482" s="454"/>
      <c r="ET482" s="454"/>
      <c r="EU482" s="454"/>
      <c r="EV482" s="454"/>
      <c r="EW482" s="454"/>
      <c r="EX482" s="454"/>
      <c r="EY482" s="454"/>
      <c r="EZ482" s="454"/>
      <c r="FA482" s="454"/>
      <c r="FB482" s="454"/>
      <c r="FC482" s="454"/>
      <c r="FD482" s="454"/>
      <c r="FE482" s="454"/>
      <c r="FF482" s="454"/>
      <c r="FG482" s="290"/>
    </row>
    <row r="483" spans="1:163" s="4" customFormat="1" hidden="1">
      <c r="A483" s="56"/>
      <c r="B483" s="56"/>
      <c r="C483" s="498"/>
      <c r="D483" s="498"/>
      <c r="E483" s="454"/>
      <c r="F483" s="454"/>
      <c r="G483" s="454"/>
      <c r="H483" s="454"/>
      <c r="I483" s="454"/>
      <c r="J483" s="454"/>
      <c r="K483" s="454"/>
      <c r="L483" s="454"/>
      <c r="M483" s="454"/>
      <c r="N483" s="454"/>
      <c r="O483" s="454"/>
      <c r="P483" s="454"/>
      <c r="Q483" s="454"/>
      <c r="R483" s="290"/>
      <c r="S483" s="290"/>
      <c r="T483" s="454"/>
      <c r="U483" s="454"/>
      <c r="V483" s="454"/>
      <c r="W483" s="454"/>
      <c r="X483" s="454"/>
      <c r="Y483" s="454"/>
      <c r="Z483" s="454"/>
      <c r="AA483" s="454"/>
      <c r="AB483" s="454"/>
      <c r="AC483" s="454"/>
      <c r="AD483" s="454"/>
      <c r="AE483" s="454"/>
      <c r="AF483" s="454"/>
      <c r="AG483" s="454"/>
      <c r="AH483" s="454"/>
      <c r="AI483" s="454"/>
      <c r="AJ483" s="454"/>
      <c r="AK483" s="454"/>
      <c r="AL483" s="454"/>
      <c r="AM483" s="454"/>
      <c r="AN483" s="454"/>
      <c r="AO483" s="454"/>
      <c r="AP483" s="454"/>
      <c r="AQ483" s="454"/>
      <c r="AR483" s="454"/>
      <c r="AS483" s="454"/>
      <c r="AT483" s="454"/>
      <c r="AU483" s="454"/>
      <c r="AV483" s="454"/>
      <c r="AW483" s="454"/>
      <c r="AX483" s="454"/>
      <c r="AY483" s="454"/>
      <c r="AZ483" s="454"/>
      <c r="BA483" s="454"/>
      <c r="BB483" s="454"/>
      <c r="BC483" s="454"/>
      <c r="BD483" s="454"/>
      <c r="BE483" s="454"/>
      <c r="BF483" s="454"/>
      <c r="BG483" s="454"/>
      <c r="BH483" s="454"/>
      <c r="BI483" s="454"/>
      <c r="BJ483" s="454"/>
      <c r="BK483" s="454"/>
      <c r="BL483" s="454"/>
      <c r="BM483" s="454"/>
      <c r="BN483" s="454"/>
      <c r="BO483" s="454"/>
      <c r="BP483" s="454"/>
      <c r="BQ483" s="454"/>
      <c r="BR483" s="454"/>
      <c r="BS483" s="454"/>
      <c r="BT483" s="454"/>
      <c r="BU483" s="454"/>
      <c r="BV483" s="454"/>
      <c r="BW483" s="454"/>
      <c r="BX483" s="454"/>
      <c r="BY483" s="454"/>
      <c r="BZ483" s="454"/>
      <c r="CA483" s="454"/>
      <c r="CB483" s="454"/>
      <c r="CC483" s="454"/>
      <c r="CD483" s="454"/>
      <c r="CE483" s="454"/>
      <c r="CF483" s="454"/>
      <c r="CG483" s="454"/>
      <c r="CH483" s="454"/>
      <c r="CI483" s="454"/>
      <c r="CJ483" s="454"/>
      <c r="CK483" s="454"/>
      <c r="CL483" s="454"/>
      <c r="CM483" s="454"/>
      <c r="CN483" s="454"/>
      <c r="CO483" s="454"/>
      <c r="CP483" s="454"/>
      <c r="CQ483" s="454"/>
      <c r="CR483" s="454"/>
      <c r="CS483" s="454"/>
      <c r="CT483" s="454"/>
      <c r="CU483" s="454"/>
      <c r="CV483" s="517"/>
      <c r="CW483" s="517"/>
      <c r="CX483" s="517"/>
      <c r="CY483" s="517"/>
      <c r="CZ483" s="517"/>
      <c r="DA483" s="517"/>
      <c r="DB483" s="517"/>
      <c r="DC483" s="517"/>
      <c r="DD483" s="517"/>
      <c r="DE483" s="517"/>
      <c r="DF483" s="517"/>
      <c r="DG483" s="517"/>
      <c r="DH483" s="517"/>
      <c r="DI483" s="454"/>
      <c r="DJ483" s="454"/>
      <c r="DK483" s="454"/>
      <c r="DL483" s="454"/>
      <c r="DM483" s="454"/>
      <c r="DN483" s="454"/>
      <c r="DO483" s="454"/>
      <c r="DP483" s="454"/>
      <c r="DQ483" s="454"/>
      <c r="DR483" s="454"/>
      <c r="DS483" s="454"/>
      <c r="DT483" s="454"/>
      <c r="DU483" s="454"/>
      <c r="DV483" s="454"/>
      <c r="DW483" s="454"/>
      <c r="DX483" s="454"/>
      <c r="DY483" s="454"/>
      <c r="DZ483" s="454"/>
      <c r="EA483" s="454"/>
      <c r="EB483" s="454"/>
      <c r="EC483" s="454"/>
      <c r="ED483" s="454"/>
      <c r="EE483" s="454"/>
      <c r="EF483" s="454"/>
      <c r="EG483" s="454"/>
      <c r="EH483" s="454"/>
      <c r="EI483" s="454"/>
      <c r="EJ483" s="454"/>
      <c r="EK483" s="454"/>
      <c r="EL483" s="454"/>
      <c r="EM483" s="454"/>
      <c r="EN483" s="454"/>
      <c r="EO483" s="454"/>
      <c r="EP483" s="454"/>
      <c r="EQ483" s="454"/>
      <c r="ER483" s="454"/>
      <c r="ES483" s="454"/>
      <c r="ET483" s="454"/>
      <c r="EU483" s="454"/>
      <c r="EV483" s="454"/>
      <c r="EW483" s="454"/>
      <c r="EX483" s="454"/>
      <c r="EY483" s="454"/>
      <c r="EZ483" s="454"/>
      <c r="FA483" s="454"/>
      <c r="FB483" s="454"/>
      <c r="FC483" s="454"/>
      <c r="FD483" s="454"/>
      <c r="FE483" s="454"/>
      <c r="FF483" s="454"/>
      <c r="FG483" s="290"/>
    </row>
    <row r="484" spans="1:163" s="4" customFormat="1" hidden="1">
      <c r="A484" s="56"/>
      <c r="B484" s="56"/>
      <c r="C484" s="498"/>
      <c r="D484" s="498"/>
      <c r="E484" s="454"/>
      <c r="F484" s="454"/>
      <c r="G484" s="454"/>
      <c r="H484" s="454"/>
      <c r="I484" s="454"/>
      <c r="J484" s="454"/>
      <c r="K484" s="454"/>
      <c r="L484" s="454"/>
      <c r="M484" s="454"/>
      <c r="N484" s="454"/>
      <c r="O484" s="454"/>
      <c r="P484" s="454"/>
      <c r="Q484" s="454"/>
      <c r="R484" s="290"/>
      <c r="S484" s="290"/>
      <c r="T484" s="454"/>
      <c r="U484" s="454"/>
      <c r="V484" s="454"/>
      <c r="W484" s="454"/>
      <c r="X484" s="454"/>
      <c r="Y484" s="454"/>
      <c r="Z484" s="454"/>
      <c r="AA484" s="454"/>
      <c r="AB484" s="454"/>
      <c r="AC484" s="454"/>
      <c r="AD484" s="454"/>
      <c r="AE484" s="454"/>
      <c r="AF484" s="454"/>
      <c r="AG484" s="454"/>
      <c r="AH484" s="454"/>
      <c r="AI484" s="454"/>
      <c r="AJ484" s="454"/>
      <c r="AK484" s="454"/>
      <c r="AL484" s="454"/>
      <c r="AM484" s="454"/>
      <c r="AN484" s="454"/>
      <c r="AO484" s="454"/>
      <c r="AP484" s="454"/>
      <c r="AQ484" s="454"/>
      <c r="AR484" s="454"/>
      <c r="AS484" s="454"/>
      <c r="AT484" s="454"/>
      <c r="AU484" s="454"/>
      <c r="AV484" s="454"/>
      <c r="AW484" s="454"/>
      <c r="AX484" s="454"/>
      <c r="AY484" s="454"/>
      <c r="AZ484" s="454"/>
      <c r="BA484" s="454"/>
      <c r="BB484" s="454"/>
      <c r="BC484" s="454"/>
      <c r="BD484" s="454"/>
      <c r="BE484" s="454"/>
      <c r="BF484" s="454"/>
      <c r="BG484" s="454"/>
      <c r="BH484" s="454"/>
      <c r="BI484" s="454"/>
      <c r="BJ484" s="454"/>
      <c r="BK484" s="454"/>
      <c r="BL484" s="454"/>
      <c r="BM484" s="454"/>
      <c r="BN484" s="454"/>
      <c r="BO484" s="454"/>
      <c r="BP484" s="454"/>
      <c r="BQ484" s="454"/>
      <c r="BR484" s="454"/>
      <c r="BS484" s="454"/>
      <c r="BT484" s="454"/>
      <c r="BU484" s="454"/>
      <c r="BV484" s="454"/>
      <c r="BW484" s="454"/>
      <c r="BX484" s="454"/>
      <c r="BY484" s="454"/>
      <c r="BZ484" s="454"/>
      <c r="CA484" s="454"/>
      <c r="CB484" s="454"/>
      <c r="CC484" s="454"/>
      <c r="CD484" s="454"/>
      <c r="CE484" s="454"/>
      <c r="CF484" s="454"/>
      <c r="CG484" s="454"/>
      <c r="CH484" s="454"/>
      <c r="CI484" s="454"/>
      <c r="CJ484" s="454"/>
      <c r="CK484" s="454"/>
      <c r="CL484" s="454"/>
      <c r="CM484" s="454"/>
      <c r="CN484" s="454"/>
      <c r="CO484" s="454"/>
      <c r="CP484" s="454"/>
      <c r="CQ484" s="454"/>
      <c r="CR484" s="454"/>
      <c r="CS484" s="454"/>
      <c r="CT484" s="454"/>
      <c r="CU484" s="454"/>
      <c r="CV484" s="517"/>
      <c r="CW484" s="517"/>
      <c r="CX484" s="517"/>
      <c r="CY484" s="517"/>
      <c r="CZ484" s="517"/>
      <c r="DA484" s="517"/>
      <c r="DB484" s="517"/>
      <c r="DC484" s="517"/>
      <c r="DD484" s="517"/>
      <c r="DE484" s="517"/>
      <c r="DF484" s="517"/>
      <c r="DG484" s="517"/>
      <c r="DH484" s="517"/>
      <c r="DI484" s="454"/>
      <c r="DJ484" s="454"/>
      <c r="DK484" s="454"/>
      <c r="DL484" s="454"/>
      <c r="DM484" s="454"/>
      <c r="DN484" s="454"/>
      <c r="DO484" s="454"/>
      <c r="DP484" s="454"/>
      <c r="DQ484" s="454"/>
      <c r="DR484" s="454"/>
      <c r="DS484" s="454"/>
      <c r="DT484" s="454"/>
      <c r="DU484" s="454"/>
      <c r="DV484" s="454"/>
      <c r="DW484" s="454"/>
      <c r="DX484" s="454"/>
      <c r="DY484" s="454"/>
      <c r="DZ484" s="454"/>
      <c r="EA484" s="454"/>
      <c r="EB484" s="454"/>
      <c r="EC484" s="454"/>
      <c r="ED484" s="454"/>
      <c r="EE484" s="454"/>
      <c r="EF484" s="454"/>
      <c r="EG484" s="454"/>
      <c r="EH484" s="454"/>
      <c r="EI484" s="454"/>
      <c r="EJ484" s="454"/>
      <c r="EK484" s="454"/>
      <c r="EL484" s="454"/>
      <c r="EM484" s="454"/>
      <c r="EN484" s="454"/>
      <c r="EO484" s="454"/>
      <c r="EP484" s="454"/>
      <c r="EQ484" s="454"/>
      <c r="ER484" s="454"/>
      <c r="ES484" s="454"/>
      <c r="ET484" s="454"/>
      <c r="EU484" s="454"/>
      <c r="EV484" s="454"/>
      <c r="EW484" s="454"/>
      <c r="EX484" s="454"/>
      <c r="EY484" s="454"/>
      <c r="EZ484" s="454"/>
      <c r="FA484" s="454"/>
      <c r="FB484" s="454"/>
      <c r="FC484" s="454"/>
      <c r="FD484" s="454"/>
      <c r="FE484" s="454"/>
      <c r="FF484" s="454"/>
      <c r="FG484" s="290"/>
    </row>
    <row r="485" spans="1:163" s="4" customFormat="1" hidden="1">
      <c r="A485" s="56"/>
      <c r="B485" s="56"/>
      <c r="C485" s="498"/>
      <c r="D485" s="498"/>
      <c r="E485" s="454"/>
      <c r="F485" s="454"/>
      <c r="G485" s="454"/>
      <c r="H485" s="454"/>
      <c r="I485" s="454"/>
      <c r="J485" s="454"/>
      <c r="K485" s="454"/>
      <c r="L485" s="454"/>
      <c r="M485" s="454"/>
      <c r="N485" s="454"/>
      <c r="O485" s="454"/>
      <c r="P485" s="454"/>
      <c r="Q485" s="454"/>
      <c r="R485" s="290"/>
      <c r="S485" s="290"/>
      <c r="T485" s="454"/>
      <c r="U485" s="454"/>
      <c r="V485" s="454"/>
      <c r="W485" s="454"/>
      <c r="X485" s="454"/>
      <c r="Y485" s="454"/>
      <c r="Z485" s="454"/>
      <c r="AA485" s="454"/>
      <c r="AB485" s="454"/>
      <c r="AC485" s="454"/>
      <c r="AD485" s="454"/>
      <c r="AE485" s="454"/>
      <c r="AF485" s="454"/>
      <c r="AG485" s="454"/>
      <c r="AH485" s="454"/>
      <c r="AI485" s="454"/>
      <c r="AJ485" s="454"/>
      <c r="AK485" s="454"/>
      <c r="AL485" s="454"/>
      <c r="AM485" s="454"/>
      <c r="AN485" s="454"/>
      <c r="AO485" s="454"/>
      <c r="AP485" s="454"/>
      <c r="AQ485" s="454"/>
      <c r="AR485" s="454"/>
      <c r="AS485" s="454"/>
      <c r="AT485" s="454"/>
      <c r="AU485" s="454"/>
      <c r="AV485" s="454"/>
      <c r="AW485" s="454"/>
      <c r="AX485" s="454"/>
      <c r="AY485" s="454"/>
      <c r="AZ485" s="454"/>
      <c r="BA485" s="454"/>
      <c r="BB485" s="454"/>
      <c r="BC485" s="454"/>
      <c r="BD485" s="454"/>
      <c r="BE485" s="454"/>
      <c r="BF485" s="454"/>
      <c r="BG485" s="454"/>
      <c r="BH485" s="454"/>
      <c r="BI485" s="454"/>
      <c r="BJ485" s="454"/>
      <c r="BK485" s="454"/>
      <c r="BL485" s="454"/>
      <c r="BM485" s="454"/>
      <c r="BN485" s="454"/>
      <c r="BO485" s="454"/>
      <c r="BP485" s="454"/>
      <c r="BQ485" s="454"/>
      <c r="BR485" s="454"/>
      <c r="BS485" s="454"/>
      <c r="BT485" s="454"/>
      <c r="BU485" s="454"/>
      <c r="BV485" s="454"/>
      <c r="BW485" s="454"/>
      <c r="BX485" s="454"/>
      <c r="BY485" s="454"/>
      <c r="BZ485" s="454"/>
      <c r="CA485" s="454"/>
      <c r="CB485" s="454"/>
      <c r="CC485" s="454"/>
      <c r="CD485" s="454"/>
      <c r="CE485" s="454"/>
      <c r="CF485" s="454"/>
      <c r="CG485" s="454"/>
      <c r="CH485" s="454"/>
      <c r="CI485" s="454"/>
      <c r="CJ485" s="454"/>
      <c r="CK485" s="454"/>
      <c r="CL485" s="454"/>
      <c r="CM485" s="454"/>
      <c r="CN485" s="454"/>
      <c r="CO485" s="454"/>
      <c r="CP485" s="454"/>
      <c r="CQ485" s="454"/>
      <c r="CR485" s="454"/>
      <c r="CS485" s="454"/>
      <c r="CT485" s="454"/>
      <c r="CU485" s="454"/>
      <c r="CV485" s="517"/>
      <c r="CW485" s="517"/>
      <c r="CX485" s="517"/>
      <c r="CY485" s="517"/>
      <c r="CZ485" s="517"/>
      <c r="DA485" s="517"/>
      <c r="DB485" s="517"/>
      <c r="DC485" s="517"/>
      <c r="DD485" s="517"/>
      <c r="DE485" s="517"/>
      <c r="DF485" s="517"/>
      <c r="DG485" s="517"/>
      <c r="DH485" s="517"/>
      <c r="DI485" s="454"/>
      <c r="DJ485" s="454"/>
      <c r="DK485" s="454"/>
      <c r="DL485" s="454"/>
      <c r="DM485" s="454"/>
      <c r="DN485" s="454"/>
      <c r="DO485" s="454"/>
      <c r="DP485" s="454"/>
      <c r="DQ485" s="454"/>
      <c r="DR485" s="454"/>
      <c r="DS485" s="454"/>
      <c r="DT485" s="454"/>
      <c r="DU485" s="454"/>
      <c r="DV485" s="454"/>
      <c r="DW485" s="454"/>
      <c r="DX485" s="454"/>
      <c r="DY485" s="454"/>
      <c r="DZ485" s="454"/>
      <c r="EA485" s="454"/>
      <c r="EB485" s="454"/>
      <c r="EC485" s="454"/>
      <c r="ED485" s="454"/>
      <c r="EE485" s="454"/>
      <c r="EF485" s="454"/>
      <c r="EG485" s="454"/>
      <c r="EH485" s="454"/>
      <c r="EI485" s="454"/>
      <c r="EJ485" s="454"/>
      <c r="EK485" s="454"/>
      <c r="EL485" s="454"/>
      <c r="EM485" s="454"/>
      <c r="EN485" s="454"/>
      <c r="EO485" s="454"/>
      <c r="EP485" s="454"/>
      <c r="EQ485" s="454"/>
      <c r="ER485" s="454"/>
      <c r="ES485" s="454"/>
      <c r="ET485" s="454"/>
      <c r="EU485" s="454"/>
      <c r="EV485" s="454"/>
      <c r="EW485" s="454"/>
      <c r="EX485" s="454"/>
      <c r="EY485" s="454"/>
      <c r="EZ485" s="454"/>
      <c r="FA485" s="454"/>
      <c r="FB485" s="454"/>
      <c r="FC485" s="454"/>
      <c r="FD485" s="454"/>
      <c r="FE485" s="454"/>
      <c r="FF485" s="454"/>
      <c r="FG485" s="290"/>
    </row>
    <row r="486" spans="1:163" s="4" customFormat="1" hidden="1">
      <c r="A486" s="56"/>
      <c r="B486" s="56"/>
      <c r="C486" s="498"/>
      <c r="D486" s="498"/>
      <c r="E486" s="454"/>
      <c r="F486" s="454"/>
      <c r="G486" s="454"/>
      <c r="H486" s="454"/>
      <c r="I486" s="454"/>
      <c r="J486" s="454"/>
      <c r="K486" s="454"/>
      <c r="L486" s="454"/>
      <c r="M486" s="454"/>
      <c r="N486" s="454"/>
      <c r="O486" s="454"/>
      <c r="P486" s="454"/>
      <c r="Q486" s="454"/>
      <c r="R486" s="290"/>
      <c r="S486" s="290"/>
      <c r="T486" s="454"/>
      <c r="U486" s="454"/>
      <c r="V486" s="454"/>
      <c r="W486" s="454"/>
      <c r="X486" s="454"/>
      <c r="Y486" s="454"/>
      <c r="Z486" s="454"/>
      <c r="AA486" s="454"/>
      <c r="AB486" s="454"/>
      <c r="AC486" s="454"/>
      <c r="AD486" s="454"/>
      <c r="AE486" s="454"/>
      <c r="AF486" s="454"/>
      <c r="AG486" s="454"/>
      <c r="AH486" s="454"/>
      <c r="AI486" s="454"/>
      <c r="AJ486" s="454"/>
      <c r="AK486" s="454"/>
      <c r="AL486" s="454"/>
      <c r="AM486" s="454"/>
      <c r="AN486" s="454"/>
      <c r="AO486" s="454"/>
      <c r="AP486" s="454"/>
      <c r="AQ486" s="454"/>
      <c r="AR486" s="454"/>
      <c r="AS486" s="454"/>
      <c r="AT486" s="454"/>
      <c r="AU486" s="454"/>
      <c r="AV486" s="454"/>
      <c r="AW486" s="454"/>
      <c r="AX486" s="454"/>
      <c r="AY486" s="454"/>
      <c r="AZ486" s="454"/>
      <c r="BA486" s="454"/>
      <c r="BB486" s="454"/>
      <c r="BC486" s="454"/>
      <c r="BD486" s="454"/>
      <c r="BE486" s="454"/>
      <c r="BF486" s="454"/>
      <c r="BG486" s="454"/>
      <c r="BH486" s="454"/>
      <c r="BI486" s="454"/>
      <c r="BJ486" s="454"/>
      <c r="BK486" s="454"/>
      <c r="BL486" s="454"/>
      <c r="BM486" s="454"/>
      <c r="BN486" s="454"/>
      <c r="BO486" s="454"/>
      <c r="BP486" s="454"/>
      <c r="BQ486" s="454"/>
      <c r="BR486" s="454"/>
      <c r="BS486" s="454"/>
      <c r="BT486" s="454"/>
      <c r="BU486" s="454"/>
      <c r="BV486" s="454"/>
      <c r="BW486" s="454"/>
      <c r="BX486" s="454"/>
      <c r="BY486" s="454"/>
      <c r="BZ486" s="454"/>
      <c r="CA486" s="454"/>
      <c r="CB486" s="454"/>
      <c r="CC486" s="454"/>
      <c r="CD486" s="454"/>
      <c r="CE486" s="454"/>
      <c r="CF486" s="454"/>
      <c r="CG486" s="454"/>
      <c r="CH486" s="454"/>
      <c r="CI486" s="454"/>
      <c r="CJ486" s="454"/>
      <c r="CK486" s="454"/>
      <c r="CL486" s="454"/>
      <c r="CM486" s="454"/>
      <c r="CN486" s="454"/>
      <c r="CO486" s="454"/>
      <c r="CP486" s="454"/>
      <c r="CQ486" s="454"/>
      <c r="CR486" s="454"/>
      <c r="CS486" s="454"/>
      <c r="CT486" s="454"/>
      <c r="CU486" s="454"/>
      <c r="CV486" s="517"/>
      <c r="CW486" s="517"/>
      <c r="CX486" s="517"/>
      <c r="CY486" s="517"/>
      <c r="CZ486" s="517"/>
      <c r="DA486" s="517"/>
      <c r="DB486" s="517"/>
      <c r="DC486" s="517"/>
      <c r="DD486" s="517"/>
      <c r="DE486" s="517"/>
      <c r="DF486" s="517"/>
      <c r="DG486" s="517"/>
      <c r="DH486" s="517"/>
      <c r="DI486" s="454"/>
      <c r="DJ486" s="454"/>
      <c r="DK486" s="454"/>
      <c r="DL486" s="454"/>
      <c r="DM486" s="454"/>
      <c r="DN486" s="454"/>
      <c r="DO486" s="454"/>
      <c r="DP486" s="454"/>
      <c r="DQ486" s="454"/>
      <c r="DR486" s="454"/>
      <c r="DS486" s="454"/>
      <c r="DT486" s="454"/>
      <c r="DU486" s="454"/>
      <c r="DV486" s="454"/>
      <c r="DW486" s="454"/>
      <c r="DX486" s="454"/>
      <c r="DY486" s="454"/>
      <c r="DZ486" s="454"/>
      <c r="EA486" s="454"/>
      <c r="EB486" s="454"/>
      <c r="EC486" s="454"/>
      <c r="ED486" s="454"/>
      <c r="EE486" s="454"/>
      <c r="EF486" s="454"/>
      <c r="EG486" s="454"/>
      <c r="EH486" s="454"/>
      <c r="EI486" s="454"/>
      <c r="EJ486" s="454"/>
      <c r="EK486" s="454"/>
      <c r="EL486" s="454"/>
      <c r="EM486" s="454"/>
      <c r="EN486" s="454"/>
      <c r="EO486" s="454"/>
      <c r="EP486" s="454"/>
      <c r="EQ486" s="454"/>
      <c r="ER486" s="454"/>
      <c r="ES486" s="454"/>
      <c r="ET486" s="454"/>
      <c r="EU486" s="454"/>
      <c r="EV486" s="454"/>
      <c r="EW486" s="454"/>
      <c r="EX486" s="454"/>
      <c r="EY486" s="454"/>
      <c r="EZ486" s="454"/>
      <c r="FA486" s="454"/>
      <c r="FB486" s="454"/>
      <c r="FC486" s="454"/>
      <c r="FD486" s="454"/>
      <c r="FE486" s="454"/>
      <c r="FF486" s="454"/>
      <c r="FG486" s="290"/>
    </row>
    <row r="487" spans="1:163" s="4" customFormat="1" hidden="1">
      <c r="A487" s="56"/>
      <c r="B487" s="56"/>
      <c r="C487" s="498"/>
      <c r="D487" s="498"/>
      <c r="E487" s="454"/>
      <c r="F487" s="454"/>
      <c r="G487" s="454"/>
      <c r="H487" s="454"/>
      <c r="I487" s="454"/>
      <c r="J487" s="454"/>
      <c r="K487" s="454"/>
      <c r="L487" s="454"/>
      <c r="M487" s="454"/>
      <c r="N487" s="454"/>
      <c r="O487" s="454"/>
      <c r="P487" s="454"/>
      <c r="Q487" s="454"/>
      <c r="R487" s="290"/>
      <c r="S487" s="290"/>
      <c r="T487" s="454"/>
      <c r="U487" s="454"/>
      <c r="V487" s="454"/>
      <c r="W487" s="454"/>
      <c r="X487" s="454"/>
      <c r="Y487" s="454"/>
      <c r="Z487" s="454"/>
      <c r="AA487" s="454"/>
      <c r="AB487" s="454"/>
      <c r="AC487" s="454"/>
      <c r="AD487" s="454"/>
      <c r="AE487" s="454"/>
      <c r="AF487" s="454"/>
      <c r="AG487" s="454"/>
      <c r="AH487" s="454"/>
      <c r="AI487" s="454"/>
      <c r="AJ487" s="454"/>
      <c r="AK487" s="454"/>
      <c r="AL487" s="454"/>
      <c r="AM487" s="454"/>
      <c r="AN487" s="454"/>
      <c r="AO487" s="454"/>
      <c r="AP487" s="454"/>
      <c r="AQ487" s="454"/>
      <c r="AR487" s="454"/>
      <c r="AS487" s="454"/>
      <c r="AT487" s="454"/>
      <c r="AU487" s="454"/>
      <c r="AV487" s="454"/>
      <c r="AW487" s="454"/>
      <c r="AX487" s="454"/>
      <c r="AY487" s="454"/>
      <c r="AZ487" s="454"/>
      <c r="BA487" s="454"/>
      <c r="BB487" s="454"/>
      <c r="BC487" s="454"/>
      <c r="BD487" s="454"/>
      <c r="BE487" s="454"/>
      <c r="BF487" s="454"/>
      <c r="BG487" s="454"/>
      <c r="BH487" s="454"/>
      <c r="BI487" s="454"/>
      <c r="BJ487" s="454"/>
      <c r="BK487" s="454"/>
      <c r="BL487" s="454"/>
      <c r="BM487" s="454"/>
      <c r="BN487" s="454"/>
      <c r="BO487" s="454"/>
      <c r="BP487" s="454"/>
      <c r="BQ487" s="454"/>
      <c r="BR487" s="454"/>
      <c r="BS487" s="454"/>
      <c r="BT487" s="454"/>
      <c r="BU487" s="454"/>
      <c r="BV487" s="454"/>
      <c r="BW487" s="454"/>
      <c r="BX487" s="454"/>
      <c r="BY487" s="454"/>
      <c r="BZ487" s="454"/>
      <c r="CA487" s="454"/>
      <c r="CB487" s="454"/>
      <c r="CC487" s="454"/>
      <c r="CD487" s="454"/>
      <c r="CE487" s="454"/>
      <c r="CF487" s="454"/>
      <c r="CG487" s="454"/>
      <c r="CH487" s="454"/>
      <c r="CI487" s="454"/>
      <c r="CJ487" s="454"/>
      <c r="CK487" s="454"/>
      <c r="CL487" s="454"/>
      <c r="CM487" s="454"/>
      <c r="CN487" s="454"/>
      <c r="CO487" s="454"/>
      <c r="CP487" s="454"/>
      <c r="CQ487" s="454"/>
      <c r="CR487" s="454"/>
      <c r="CS487" s="454"/>
      <c r="CT487" s="454"/>
      <c r="CU487" s="454"/>
      <c r="CV487" s="517"/>
      <c r="CW487" s="517"/>
      <c r="CX487" s="517"/>
      <c r="CY487" s="517"/>
      <c r="CZ487" s="517"/>
      <c r="DA487" s="517"/>
      <c r="DB487" s="517"/>
      <c r="DC487" s="517"/>
      <c r="DD487" s="517"/>
      <c r="DE487" s="517"/>
      <c r="DF487" s="517"/>
      <c r="DG487" s="517"/>
      <c r="DH487" s="517"/>
      <c r="DI487" s="454"/>
      <c r="DJ487" s="454"/>
      <c r="DK487" s="454"/>
      <c r="DL487" s="454"/>
      <c r="DM487" s="454"/>
      <c r="DN487" s="454"/>
      <c r="DO487" s="454"/>
      <c r="DP487" s="454"/>
      <c r="DQ487" s="454"/>
      <c r="DR487" s="454"/>
      <c r="DS487" s="454"/>
      <c r="DT487" s="454"/>
      <c r="DU487" s="454"/>
      <c r="DV487" s="454"/>
      <c r="DW487" s="454"/>
      <c r="DX487" s="454"/>
      <c r="DY487" s="454"/>
      <c r="DZ487" s="454"/>
      <c r="EA487" s="454"/>
      <c r="EB487" s="454"/>
      <c r="EC487" s="454"/>
      <c r="ED487" s="454"/>
      <c r="EE487" s="454"/>
      <c r="EF487" s="454"/>
      <c r="EG487" s="454"/>
      <c r="EH487" s="454"/>
      <c r="EI487" s="454"/>
      <c r="EJ487" s="454"/>
      <c r="EK487" s="454"/>
      <c r="EL487" s="454"/>
      <c r="EM487" s="454"/>
      <c r="EN487" s="454"/>
      <c r="EO487" s="454"/>
      <c r="EP487" s="454"/>
      <c r="EQ487" s="454"/>
      <c r="ER487" s="454"/>
      <c r="ES487" s="454"/>
      <c r="ET487" s="454"/>
      <c r="EU487" s="454"/>
      <c r="EV487" s="454"/>
      <c r="EW487" s="454"/>
      <c r="EX487" s="454"/>
      <c r="EY487" s="454"/>
      <c r="EZ487" s="454"/>
      <c r="FA487" s="454"/>
      <c r="FB487" s="454"/>
      <c r="FC487" s="454"/>
      <c r="FD487" s="454"/>
      <c r="FE487" s="454"/>
      <c r="FF487" s="454"/>
      <c r="FG487" s="290"/>
    </row>
    <row r="488" spans="1:163" s="4" customFormat="1" hidden="1">
      <c r="A488" s="56"/>
      <c r="B488" s="56"/>
      <c r="C488" s="498"/>
      <c r="D488" s="498"/>
      <c r="E488" s="454"/>
      <c r="F488" s="454"/>
      <c r="G488" s="454"/>
      <c r="H488" s="454"/>
      <c r="I488" s="454"/>
      <c r="J488" s="454"/>
      <c r="K488" s="454"/>
      <c r="L488" s="454"/>
      <c r="M488" s="454"/>
      <c r="N488" s="454"/>
      <c r="O488" s="454"/>
      <c r="P488" s="454"/>
      <c r="Q488" s="454"/>
      <c r="R488" s="290"/>
      <c r="S488" s="290"/>
      <c r="T488" s="454"/>
      <c r="U488" s="454"/>
      <c r="V488" s="454"/>
      <c r="W488" s="454"/>
      <c r="X488" s="454"/>
      <c r="Y488" s="454"/>
      <c r="Z488" s="454"/>
      <c r="AA488" s="454"/>
      <c r="AB488" s="454"/>
      <c r="AC488" s="454"/>
      <c r="AD488" s="454"/>
      <c r="AE488" s="454"/>
      <c r="AF488" s="454"/>
      <c r="AG488" s="454"/>
      <c r="AH488" s="454"/>
      <c r="AI488" s="454"/>
      <c r="AJ488" s="454"/>
      <c r="AK488" s="454"/>
      <c r="AL488" s="454"/>
      <c r="AM488" s="454"/>
      <c r="AN488" s="454"/>
      <c r="AO488" s="454"/>
      <c r="AP488" s="454"/>
      <c r="AQ488" s="454"/>
      <c r="AR488" s="454"/>
      <c r="AS488" s="454"/>
      <c r="AT488" s="454"/>
      <c r="AU488" s="454"/>
      <c r="AV488" s="454"/>
      <c r="AW488" s="454"/>
      <c r="AX488" s="454"/>
      <c r="AY488" s="454"/>
      <c r="AZ488" s="454"/>
      <c r="BA488" s="454"/>
      <c r="BB488" s="454"/>
      <c r="BC488" s="454"/>
      <c r="BD488" s="454"/>
      <c r="BE488" s="454"/>
      <c r="BF488" s="454"/>
      <c r="BG488" s="454"/>
      <c r="BH488" s="454"/>
      <c r="BI488" s="454"/>
      <c r="BJ488" s="454"/>
      <c r="BK488" s="454"/>
      <c r="BL488" s="454"/>
      <c r="BM488" s="454"/>
      <c r="BN488" s="454"/>
      <c r="BO488" s="454"/>
      <c r="BP488" s="454"/>
      <c r="BQ488" s="454"/>
      <c r="BR488" s="454"/>
      <c r="BS488" s="454"/>
      <c r="BT488" s="454"/>
      <c r="BU488" s="454"/>
      <c r="BV488" s="454"/>
      <c r="BW488" s="454"/>
      <c r="BX488" s="454"/>
      <c r="BY488" s="454"/>
      <c r="BZ488" s="454"/>
      <c r="CA488" s="454"/>
      <c r="CB488" s="454"/>
      <c r="CC488" s="454"/>
      <c r="CD488" s="454"/>
      <c r="CE488" s="454"/>
      <c r="CF488" s="454"/>
      <c r="CG488" s="454"/>
      <c r="CH488" s="454"/>
      <c r="CI488" s="454"/>
      <c r="CJ488" s="454"/>
      <c r="CK488" s="454"/>
      <c r="CL488" s="454"/>
      <c r="CM488" s="454"/>
      <c r="CN488" s="454"/>
      <c r="CO488" s="454"/>
      <c r="CP488" s="454"/>
      <c r="CQ488" s="454"/>
      <c r="CR488" s="454"/>
      <c r="CS488" s="454"/>
      <c r="CT488" s="454"/>
      <c r="CU488" s="454"/>
      <c r="CV488" s="517"/>
      <c r="CW488" s="517"/>
      <c r="CX488" s="517"/>
      <c r="CY488" s="517"/>
      <c r="CZ488" s="517"/>
      <c r="DA488" s="517"/>
      <c r="DB488" s="517"/>
      <c r="DC488" s="517"/>
      <c r="DD488" s="517"/>
      <c r="DE488" s="517"/>
      <c r="DF488" s="517"/>
      <c r="DG488" s="517"/>
      <c r="DH488" s="517"/>
      <c r="DI488" s="454"/>
      <c r="DJ488" s="454"/>
      <c r="DK488" s="454"/>
      <c r="DL488" s="454"/>
      <c r="DM488" s="454"/>
      <c r="DN488" s="454"/>
      <c r="DO488" s="454"/>
      <c r="DP488" s="454"/>
      <c r="DQ488" s="454"/>
      <c r="DR488" s="454"/>
      <c r="DS488" s="454"/>
      <c r="DT488" s="454"/>
      <c r="DU488" s="454"/>
      <c r="DV488" s="454"/>
      <c r="DW488" s="454"/>
      <c r="DX488" s="454"/>
      <c r="DY488" s="454"/>
      <c r="DZ488" s="454"/>
      <c r="EA488" s="454"/>
      <c r="EB488" s="454"/>
      <c r="EC488" s="454"/>
      <c r="ED488" s="454"/>
      <c r="EE488" s="454"/>
      <c r="EF488" s="454"/>
      <c r="EG488" s="454"/>
      <c r="EH488" s="454"/>
      <c r="EI488" s="454"/>
      <c r="EJ488" s="454"/>
      <c r="EK488" s="454"/>
      <c r="EL488" s="454"/>
      <c r="EM488" s="454"/>
      <c r="EN488" s="454"/>
      <c r="EO488" s="454"/>
      <c r="EP488" s="454"/>
      <c r="EQ488" s="454"/>
      <c r="ER488" s="454"/>
      <c r="ES488" s="454"/>
      <c r="ET488" s="454"/>
      <c r="EU488" s="454"/>
      <c r="EV488" s="454"/>
      <c r="EW488" s="454"/>
      <c r="EX488" s="454"/>
      <c r="EY488" s="454"/>
      <c r="EZ488" s="454"/>
      <c r="FA488" s="454"/>
      <c r="FB488" s="454"/>
      <c r="FC488" s="454"/>
      <c r="FD488" s="454"/>
      <c r="FE488" s="454"/>
      <c r="FF488" s="454"/>
      <c r="FG488" s="290"/>
    </row>
    <row r="489" spans="1:163" s="4" customFormat="1" hidden="1">
      <c r="A489" s="56"/>
      <c r="B489" s="56"/>
      <c r="C489" s="506"/>
      <c r="D489" s="498"/>
      <c r="E489" s="454"/>
      <c r="F489" s="454"/>
      <c r="G489" s="454"/>
      <c r="H489" s="454"/>
      <c r="I489" s="454"/>
      <c r="J489" s="454"/>
      <c r="K489" s="454"/>
      <c r="L489" s="454"/>
      <c r="M489" s="454"/>
      <c r="N489" s="454"/>
      <c r="O489" s="454"/>
      <c r="P489" s="454"/>
      <c r="Q489" s="454"/>
      <c r="R489" s="290"/>
      <c r="S489" s="290"/>
      <c r="T489" s="454"/>
      <c r="U489" s="454"/>
      <c r="V489" s="454"/>
      <c r="W489" s="454"/>
      <c r="X489" s="454"/>
      <c r="Y489" s="454"/>
      <c r="Z489" s="454"/>
      <c r="AA489" s="454"/>
      <c r="AB489" s="454"/>
      <c r="AC489" s="454"/>
      <c r="AD489" s="454"/>
      <c r="AE489" s="454"/>
      <c r="AF489" s="454"/>
      <c r="AG489" s="454"/>
      <c r="AH489" s="454"/>
      <c r="AI489" s="454"/>
      <c r="AJ489" s="454"/>
      <c r="AK489" s="454"/>
      <c r="AL489" s="454"/>
      <c r="AM489" s="454"/>
      <c r="AN489" s="454"/>
      <c r="AO489" s="454"/>
      <c r="AP489" s="454"/>
      <c r="AQ489" s="454"/>
      <c r="AR489" s="454"/>
      <c r="AS489" s="454"/>
      <c r="AT489" s="454"/>
      <c r="AU489" s="454"/>
      <c r="AV489" s="454"/>
      <c r="AW489" s="454"/>
      <c r="AX489" s="454"/>
      <c r="AY489" s="454"/>
      <c r="AZ489" s="454"/>
      <c r="BA489" s="454"/>
      <c r="BB489" s="454"/>
      <c r="BC489" s="454"/>
      <c r="BD489" s="454"/>
      <c r="BE489" s="454"/>
      <c r="BF489" s="454"/>
      <c r="BG489" s="454"/>
      <c r="BH489" s="454"/>
      <c r="BI489" s="454"/>
      <c r="BJ489" s="454"/>
      <c r="BK489" s="454"/>
      <c r="BL489" s="454"/>
      <c r="BM489" s="454"/>
      <c r="BN489" s="454"/>
      <c r="BO489" s="454"/>
      <c r="BP489" s="454"/>
      <c r="BQ489" s="454"/>
      <c r="BR489" s="454"/>
      <c r="BS489" s="454"/>
      <c r="BT489" s="454"/>
      <c r="BU489" s="454"/>
      <c r="BV489" s="454"/>
      <c r="BW489" s="454"/>
      <c r="BX489" s="454"/>
      <c r="BY489" s="454"/>
      <c r="BZ489" s="454"/>
      <c r="CA489" s="454"/>
      <c r="CB489" s="454"/>
      <c r="CC489" s="454"/>
      <c r="CD489" s="454"/>
      <c r="CE489" s="454"/>
      <c r="CF489" s="454"/>
      <c r="CG489" s="454"/>
      <c r="CH489" s="454"/>
      <c r="CI489" s="454"/>
      <c r="CJ489" s="454"/>
      <c r="CK489" s="454"/>
      <c r="CL489" s="454"/>
      <c r="CM489" s="454"/>
      <c r="CN489" s="454"/>
      <c r="CO489" s="454"/>
      <c r="CP489" s="454"/>
      <c r="CQ489" s="454"/>
      <c r="CR489" s="454"/>
      <c r="CS489" s="454"/>
      <c r="CT489" s="454"/>
      <c r="CU489" s="454"/>
      <c r="CV489" s="517"/>
      <c r="CW489" s="517"/>
      <c r="CX489" s="517"/>
      <c r="CY489" s="517"/>
      <c r="CZ489" s="517"/>
      <c r="DA489" s="517"/>
      <c r="DB489" s="517"/>
      <c r="DC489" s="517"/>
      <c r="DD489" s="517"/>
      <c r="DE489" s="517"/>
      <c r="DF489" s="517"/>
      <c r="DG489" s="517"/>
      <c r="DH489" s="517"/>
      <c r="DI489" s="454"/>
      <c r="DJ489" s="454"/>
      <c r="DK489" s="454"/>
      <c r="DL489" s="454"/>
      <c r="DM489" s="454"/>
      <c r="DN489" s="454"/>
      <c r="DO489" s="454"/>
      <c r="DP489" s="454"/>
      <c r="DQ489" s="454"/>
      <c r="DR489" s="454"/>
      <c r="DS489" s="454"/>
      <c r="DT489" s="454"/>
      <c r="DU489" s="454"/>
      <c r="DV489" s="454"/>
      <c r="DW489" s="454"/>
      <c r="DX489" s="454"/>
      <c r="DY489" s="454"/>
      <c r="DZ489" s="454"/>
      <c r="EA489" s="454"/>
      <c r="EB489" s="454"/>
      <c r="EC489" s="454"/>
      <c r="ED489" s="454"/>
      <c r="EE489" s="454"/>
      <c r="EF489" s="454"/>
      <c r="EG489" s="454"/>
      <c r="EH489" s="454"/>
      <c r="EI489" s="454"/>
      <c r="EJ489" s="454"/>
      <c r="EK489" s="454"/>
      <c r="EL489" s="454"/>
      <c r="EM489" s="454"/>
      <c r="EN489" s="454"/>
      <c r="EO489" s="454"/>
      <c r="EP489" s="454"/>
      <c r="EQ489" s="454"/>
      <c r="ER489" s="454"/>
      <c r="ES489" s="454"/>
      <c r="ET489" s="454"/>
      <c r="EU489" s="454"/>
      <c r="EV489" s="454"/>
      <c r="EW489" s="454"/>
      <c r="EX489" s="454"/>
      <c r="EY489" s="454"/>
      <c r="EZ489" s="454"/>
      <c r="FA489" s="454"/>
      <c r="FB489" s="454"/>
      <c r="FC489" s="454"/>
      <c r="FD489" s="454"/>
      <c r="FE489" s="454"/>
      <c r="FF489" s="454"/>
      <c r="FG489" s="290"/>
    </row>
    <row r="490" spans="1:163" s="4" customFormat="1" hidden="1">
      <c r="A490" s="56"/>
      <c r="B490" s="56"/>
      <c r="C490" s="498"/>
      <c r="D490" s="498"/>
      <c r="E490" s="454"/>
      <c r="F490" s="454"/>
      <c r="G490" s="454"/>
      <c r="H490" s="454"/>
      <c r="I490" s="454"/>
      <c r="J490" s="454"/>
      <c r="K490" s="454"/>
      <c r="L490" s="454"/>
      <c r="M490" s="454"/>
      <c r="N490" s="454"/>
      <c r="O490" s="454"/>
      <c r="P490" s="454"/>
      <c r="Q490" s="454"/>
      <c r="R490" s="290"/>
      <c r="S490" s="290"/>
      <c r="T490" s="454"/>
      <c r="U490" s="454"/>
      <c r="V490" s="454"/>
      <c r="W490" s="454"/>
      <c r="X490" s="454"/>
      <c r="Y490" s="454"/>
      <c r="Z490" s="454"/>
      <c r="AA490" s="454"/>
      <c r="AB490" s="454"/>
      <c r="AC490" s="454"/>
      <c r="AD490" s="454"/>
      <c r="AE490" s="454"/>
      <c r="AF490" s="454"/>
      <c r="AG490" s="454"/>
      <c r="AH490" s="454"/>
      <c r="AI490" s="454"/>
      <c r="AJ490" s="454"/>
      <c r="AK490" s="454"/>
      <c r="AL490" s="454"/>
      <c r="AM490" s="454"/>
      <c r="AN490" s="454"/>
      <c r="AO490" s="454"/>
      <c r="AP490" s="454"/>
      <c r="AQ490" s="454"/>
      <c r="AR490" s="454"/>
      <c r="AS490" s="454"/>
      <c r="AT490" s="454"/>
      <c r="AU490" s="454"/>
      <c r="AV490" s="454"/>
      <c r="AW490" s="454"/>
      <c r="AX490" s="454"/>
      <c r="AY490" s="454"/>
      <c r="AZ490" s="454"/>
      <c r="BA490" s="454"/>
      <c r="BB490" s="454"/>
      <c r="BC490" s="454"/>
      <c r="BD490" s="454"/>
      <c r="BE490" s="454"/>
      <c r="BF490" s="454"/>
      <c r="BG490" s="454"/>
      <c r="BH490" s="454"/>
      <c r="BI490" s="454"/>
      <c r="BJ490" s="454"/>
      <c r="BK490" s="454"/>
      <c r="BL490" s="454"/>
      <c r="BM490" s="454"/>
      <c r="BN490" s="454"/>
      <c r="BO490" s="454"/>
      <c r="BP490" s="454"/>
      <c r="BQ490" s="454"/>
      <c r="BR490" s="454"/>
      <c r="BS490" s="454"/>
      <c r="BT490" s="454"/>
      <c r="BU490" s="454"/>
      <c r="BV490" s="454"/>
      <c r="BW490" s="454"/>
      <c r="BX490" s="454"/>
      <c r="BY490" s="454"/>
      <c r="BZ490" s="454"/>
      <c r="CA490" s="454"/>
      <c r="CB490" s="454"/>
      <c r="CC490" s="454"/>
      <c r="CD490" s="454"/>
      <c r="CE490" s="454"/>
      <c r="CF490" s="454"/>
      <c r="CG490" s="454"/>
      <c r="CH490" s="454"/>
      <c r="CI490" s="454"/>
      <c r="CJ490" s="454"/>
      <c r="CK490" s="454"/>
      <c r="CL490" s="454"/>
      <c r="CM490" s="454"/>
      <c r="CN490" s="454"/>
      <c r="CO490" s="454"/>
      <c r="CP490" s="454"/>
      <c r="CQ490" s="454"/>
      <c r="CR490" s="454"/>
      <c r="CS490" s="454"/>
      <c r="CT490" s="454"/>
      <c r="CU490" s="454"/>
      <c r="CV490" s="517"/>
      <c r="CW490" s="517"/>
      <c r="CX490" s="517"/>
      <c r="CY490" s="517"/>
      <c r="CZ490" s="517"/>
      <c r="DA490" s="517"/>
      <c r="DB490" s="517"/>
      <c r="DC490" s="517"/>
      <c r="DD490" s="517"/>
      <c r="DE490" s="517"/>
      <c r="DF490" s="517"/>
      <c r="DG490" s="517"/>
      <c r="DH490" s="517"/>
      <c r="DI490" s="454"/>
      <c r="DJ490" s="454"/>
      <c r="DK490" s="454"/>
      <c r="DL490" s="454"/>
      <c r="DM490" s="454"/>
      <c r="DN490" s="454"/>
      <c r="DO490" s="454"/>
      <c r="DP490" s="454"/>
      <c r="DQ490" s="454"/>
      <c r="DR490" s="454"/>
      <c r="DS490" s="454"/>
      <c r="DT490" s="454"/>
      <c r="DU490" s="454"/>
      <c r="DV490" s="454"/>
      <c r="DW490" s="454"/>
      <c r="DX490" s="454"/>
      <c r="DY490" s="454"/>
      <c r="DZ490" s="454"/>
      <c r="EA490" s="454"/>
      <c r="EB490" s="454"/>
      <c r="EC490" s="454"/>
      <c r="ED490" s="454"/>
      <c r="EE490" s="454"/>
      <c r="EF490" s="454"/>
      <c r="EG490" s="454"/>
      <c r="EH490" s="454"/>
      <c r="EI490" s="454"/>
      <c r="EJ490" s="454"/>
      <c r="EK490" s="454"/>
      <c r="EL490" s="454"/>
      <c r="EM490" s="454"/>
      <c r="EN490" s="454"/>
      <c r="EO490" s="454"/>
      <c r="EP490" s="454"/>
      <c r="EQ490" s="454"/>
      <c r="ER490" s="454"/>
      <c r="ES490" s="454"/>
      <c r="ET490" s="454"/>
      <c r="EU490" s="454"/>
      <c r="EV490" s="454"/>
      <c r="EW490" s="454"/>
      <c r="EX490" s="454"/>
      <c r="EY490" s="454"/>
      <c r="EZ490" s="454"/>
      <c r="FA490" s="454"/>
      <c r="FB490" s="454"/>
      <c r="FC490" s="454"/>
      <c r="FD490" s="454"/>
      <c r="FE490" s="454"/>
      <c r="FF490" s="454"/>
      <c r="FG490" s="290"/>
    </row>
    <row r="491" spans="1:163" s="4" customFormat="1" hidden="1">
      <c r="A491" s="56"/>
      <c r="B491" s="56"/>
      <c r="C491" s="498"/>
      <c r="D491" s="498"/>
      <c r="E491" s="454"/>
      <c r="F491" s="454"/>
      <c r="G491" s="454"/>
      <c r="H491" s="454"/>
      <c r="I491" s="454"/>
      <c r="J491" s="454"/>
      <c r="K491" s="454"/>
      <c r="L491" s="454"/>
      <c r="M491" s="454"/>
      <c r="N491" s="454"/>
      <c r="O491" s="454"/>
      <c r="P491" s="454"/>
      <c r="Q491" s="454"/>
      <c r="R491" s="290"/>
      <c r="S491" s="290"/>
      <c r="T491" s="454"/>
      <c r="U491" s="454"/>
      <c r="V491" s="454"/>
      <c r="W491" s="454"/>
      <c r="X491" s="454"/>
      <c r="Y491" s="454"/>
      <c r="Z491" s="454"/>
      <c r="AA491" s="454"/>
      <c r="AB491" s="454"/>
      <c r="AC491" s="454"/>
      <c r="AD491" s="454"/>
      <c r="AE491" s="454"/>
      <c r="AF491" s="454"/>
      <c r="AG491" s="454"/>
      <c r="AH491" s="454"/>
      <c r="AI491" s="454"/>
      <c r="AJ491" s="454"/>
      <c r="AK491" s="454"/>
      <c r="AL491" s="454"/>
      <c r="AM491" s="454"/>
      <c r="AN491" s="454"/>
      <c r="AO491" s="454"/>
      <c r="AP491" s="454"/>
      <c r="AQ491" s="454"/>
      <c r="AR491" s="454"/>
      <c r="AS491" s="454"/>
      <c r="AT491" s="454"/>
      <c r="AU491" s="454"/>
      <c r="AV491" s="454"/>
      <c r="AW491" s="454"/>
      <c r="AX491" s="454"/>
      <c r="AY491" s="454"/>
      <c r="AZ491" s="454"/>
      <c r="BA491" s="454"/>
      <c r="BB491" s="454"/>
      <c r="BC491" s="454"/>
      <c r="BD491" s="454"/>
      <c r="BE491" s="454"/>
      <c r="BF491" s="454"/>
      <c r="BG491" s="454"/>
      <c r="BH491" s="454"/>
      <c r="BI491" s="454"/>
      <c r="BJ491" s="454"/>
      <c r="BK491" s="454"/>
      <c r="BL491" s="454"/>
      <c r="BM491" s="454"/>
      <c r="BN491" s="454"/>
      <c r="BO491" s="454"/>
      <c r="BP491" s="454"/>
      <c r="BQ491" s="454"/>
      <c r="BR491" s="454"/>
      <c r="BS491" s="454"/>
      <c r="BT491" s="454"/>
      <c r="BU491" s="454"/>
      <c r="BV491" s="454"/>
      <c r="BW491" s="454"/>
      <c r="BX491" s="454"/>
      <c r="BY491" s="454"/>
      <c r="BZ491" s="454"/>
      <c r="CA491" s="454"/>
      <c r="CB491" s="454"/>
      <c r="CC491" s="454"/>
      <c r="CD491" s="454"/>
      <c r="CE491" s="454"/>
      <c r="CF491" s="454"/>
      <c r="CG491" s="454"/>
      <c r="CH491" s="454"/>
      <c r="CI491" s="454"/>
      <c r="CJ491" s="454"/>
      <c r="CK491" s="454"/>
      <c r="CL491" s="454"/>
      <c r="CM491" s="454"/>
      <c r="CN491" s="454"/>
      <c r="CO491" s="454"/>
      <c r="CP491" s="454"/>
      <c r="CQ491" s="454"/>
      <c r="CR491" s="454"/>
      <c r="CS491" s="454"/>
      <c r="CT491" s="454"/>
      <c r="CU491" s="454"/>
      <c r="CV491" s="517"/>
      <c r="CW491" s="517"/>
      <c r="CX491" s="517"/>
      <c r="CY491" s="517"/>
      <c r="CZ491" s="517"/>
      <c r="DA491" s="517"/>
      <c r="DB491" s="517"/>
      <c r="DC491" s="517"/>
      <c r="DD491" s="517"/>
      <c r="DE491" s="517"/>
      <c r="DF491" s="517"/>
      <c r="DG491" s="517"/>
      <c r="DH491" s="517"/>
      <c r="DI491" s="454"/>
      <c r="DJ491" s="454"/>
      <c r="DK491" s="454"/>
      <c r="DL491" s="454"/>
      <c r="DM491" s="454"/>
      <c r="DN491" s="454"/>
      <c r="DO491" s="454"/>
      <c r="DP491" s="454"/>
      <c r="DQ491" s="454"/>
      <c r="DR491" s="454"/>
      <c r="DS491" s="454"/>
      <c r="DT491" s="454"/>
      <c r="DU491" s="454"/>
      <c r="DV491" s="454"/>
      <c r="DW491" s="454"/>
      <c r="DX491" s="454"/>
      <c r="DY491" s="454"/>
      <c r="DZ491" s="454"/>
      <c r="EA491" s="454"/>
      <c r="EB491" s="454"/>
      <c r="EC491" s="454"/>
      <c r="ED491" s="454"/>
      <c r="EE491" s="454"/>
      <c r="EF491" s="454"/>
      <c r="EG491" s="454"/>
      <c r="EH491" s="454"/>
      <c r="EI491" s="454"/>
      <c r="EJ491" s="454"/>
      <c r="EK491" s="454"/>
      <c r="EL491" s="454"/>
      <c r="EM491" s="454"/>
      <c r="EN491" s="454"/>
      <c r="EO491" s="454"/>
      <c r="EP491" s="454"/>
      <c r="EQ491" s="454"/>
      <c r="ER491" s="454"/>
      <c r="ES491" s="454"/>
      <c r="ET491" s="454"/>
      <c r="EU491" s="454"/>
      <c r="EV491" s="454"/>
      <c r="EW491" s="454"/>
      <c r="EX491" s="454"/>
      <c r="EY491" s="454"/>
      <c r="EZ491" s="454"/>
      <c r="FA491" s="454"/>
      <c r="FB491" s="454"/>
      <c r="FC491" s="454"/>
      <c r="FD491" s="454"/>
      <c r="FE491" s="454"/>
      <c r="FF491" s="454"/>
      <c r="FG491" s="290"/>
    </row>
    <row r="492" spans="1:163" s="4" customFormat="1" hidden="1">
      <c r="A492" s="56"/>
      <c r="B492" s="56"/>
      <c r="C492" s="498"/>
      <c r="D492" s="498"/>
      <c r="E492" s="454"/>
      <c r="F492" s="454"/>
      <c r="G492" s="454"/>
      <c r="H492" s="454"/>
      <c r="I492" s="454"/>
      <c r="J492" s="454"/>
      <c r="K492" s="454"/>
      <c r="L492" s="454"/>
      <c r="M492" s="454"/>
      <c r="N492" s="454"/>
      <c r="O492" s="454"/>
      <c r="P492" s="454"/>
      <c r="Q492" s="454"/>
      <c r="R492" s="290"/>
      <c r="S492" s="290"/>
      <c r="T492" s="454"/>
      <c r="U492" s="454"/>
      <c r="V492" s="454"/>
      <c r="W492" s="454"/>
      <c r="X492" s="454"/>
      <c r="Y492" s="454"/>
      <c r="Z492" s="454"/>
      <c r="AA492" s="454"/>
      <c r="AB492" s="454"/>
      <c r="AC492" s="454"/>
      <c r="AD492" s="454"/>
      <c r="AE492" s="454"/>
      <c r="AF492" s="454"/>
      <c r="AG492" s="454"/>
      <c r="AH492" s="454"/>
      <c r="AI492" s="454"/>
      <c r="AJ492" s="454"/>
      <c r="AK492" s="454"/>
      <c r="AL492" s="454"/>
      <c r="AM492" s="454"/>
      <c r="AN492" s="454"/>
      <c r="AO492" s="454"/>
      <c r="AP492" s="454"/>
      <c r="AQ492" s="454"/>
      <c r="AR492" s="454"/>
      <c r="AS492" s="454"/>
      <c r="AT492" s="454"/>
      <c r="AU492" s="454"/>
      <c r="AV492" s="454"/>
      <c r="AW492" s="454"/>
      <c r="AX492" s="454"/>
      <c r="AY492" s="454"/>
      <c r="AZ492" s="454"/>
      <c r="BA492" s="454"/>
      <c r="BB492" s="454"/>
      <c r="BC492" s="454"/>
      <c r="BD492" s="454"/>
      <c r="BE492" s="454"/>
      <c r="BF492" s="454"/>
      <c r="BG492" s="454"/>
      <c r="BH492" s="454"/>
      <c r="BI492" s="454"/>
      <c r="BJ492" s="454"/>
      <c r="BK492" s="454"/>
      <c r="BL492" s="454"/>
      <c r="BM492" s="454"/>
      <c r="BN492" s="454"/>
      <c r="BO492" s="454"/>
      <c r="BP492" s="454"/>
      <c r="BQ492" s="454"/>
      <c r="BR492" s="454"/>
      <c r="BS492" s="454"/>
      <c r="BT492" s="454"/>
      <c r="BU492" s="454"/>
      <c r="BV492" s="454"/>
      <c r="BW492" s="454"/>
      <c r="BX492" s="454"/>
      <c r="BY492" s="454"/>
      <c r="BZ492" s="454"/>
      <c r="CA492" s="454"/>
      <c r="CB492" s="454"/>
      <c r="CC492" s="454"/>
      <c r="CD492" s="454"/>
      <c r="CE492" s="454"/>
      <c r="CF492" s="454"/>
      <c r="CG492" s="454"/>
      <c r="CH492" s="454"/>
      <c r="CI492" s="454"/>
      <c r="CJ492" s="454"/>
      <c r="CK492" s="454"/>
      <c r="CL492" s="454"/>
      <c r="CM492" s="454"/>
      <c r="CN492" s="454"/>
      <c r="CO492" s="454"/>
      <c r="CP492" s="454"/>
      <c r="CQ492" s="454"/>
      <c r="CR492" s="454"/>
      <c r="CS492" s="454"/>
      <c r="CT492" s="454"/>
      <c r="CU492" s="454"/>
      <c r="CV492" s="517"/>
      <c r="CW492" s="517"/>
      <c r="CX492" s="517"/>
      <c r="CY492" s="517"/>
      <c r="CZ492" s="517"/>
      <c r="DA492" s="517"/>
      <c r="DB492" s="517"/>
      <c r="DC492" s="517"/>
      <c r="DD492" s="517"/>
      <c r="DE492" s="517"/>
      <c r="DF492" s="517"/>
      <c r="DG492" s="517"/>
      <c r="DH492" s="517"/>
      <c r="DI492" s="454"/>
      <c r="DJ492" s="454"/>
      <c r="DK492" s="454"/>
      <c r="DL492" s="454"/>
      <c r="DM492" s="454"/>
      <c r="DN492" s="454"/>
      <c r="DO492" s="454"/>
      <c r="DP492" s="454"/>
      <c r="DQ492" s="454"/>
      <c r="DR492" s="454"/>
      <c r="DS492" s="454"/>
      <c r="DT492" s="454"/>
      <c r="DU492" s="454"/>
      <c r="DV492" s="454"/>
      <c r="DW492" s="454"/>
      <c r="DX492" s="454"/>
      <c r="DY492" s="454"/>
      <c r="DZ492" s="454"/>
      <c r="EA492" s="454"/>
      <c r="EB492" s="454"/>
      <c r="EC492" s="454"/>
      <c r="ED492" s="454"/>
      <c r="EE492" s="454"/>
      <c r="EF492" s="454"/>
      <c r="EG492" s="454"/>
      <c r="EH492" s="454"/>
      <c r="EI492" s="454"/>
      <c r="EJ492" s="454"/>
      <c r="EK492" s="454"/>
      <c r="EL492" s="454"/>
      <c r="EM492" s="454"/>
      <c r="EN492" s="454"/>
      <c r="EO492" s="454"/>
      <c r="EP492" s="454"/>
      <c r="EQ492" s="454"/>
      <c r="ER492" s="454"/>
      <c r="ES492" s="454"/>
      <c r="ET492" s="454"/>
      <c r="EU492" s="454"/>
      <c r="EV492" s="454"/>
      <c r="EW492" s="454"/>
      <c r="EX492" s="454"/>
      <c r="EY492" s="454"/>
      <c r="EZ492" s="454"/>
      <c r="FA492" s="454"/>
      <c r="FB492" s="454"/>
      <c r="FC492" s="454"/>
      <c r="FD492" s="454"/>
      <c r="FE492" s="454"/>
      <c r="FF492" s="454"/>
      <c r="FG492" s="290"/>
    </row>
    <row r="493" spans="1:163" s="4" customFormat="1" hidden="1">
      <c r="A493" s="486">
        <f>MATCH(C493,$C$5:$C$507,0)</f>
        <v>489</v>
      </c>
      <c r="B493" s="56"/>
      <c r="C493" s="507" t="s">
        <v>3085</v>
      </c>
      <c r="D493" s="507"/>
      <c r="E493" s="508">
        <f t="shared" ref="E493:AM493" si="91">SUM(E469:E492)</f>
        <v>0</v>
      </c>
      <c r="F493" s="508">
        <f t="shared" si="91"/>
        <v>0</v>
      </c>
      <c r="G493" s="508">
        <f t="shared" si="91"/>
        <v>0</v>
      </c>
      <c r="H493" s="508">
        <f t="shared" si="91"/>
        <v>0</v>
      </c>
      <c r="I493" s="508">
        <f t="shared" si="91"/>
        <v>0</v>
      </c>
      <c r="J493" s="508">
        <f t="shared" si="91"/>
        <v>0</v>
      </c>
      <c r="K493" s="508">
        <f t="shared" si="91"/>
        <v>0</v>
      </c>
      <c r="L493" s="508">
        <f t="shared" si="91"/>
        <v>0</v>
      </c>
      <c r="M493" s="508">
        <f t="shared" si="91"/>
        <v>0</v>
      </c>
      <c r="N493" s="508">
        <f t="shared" si="91"/>
        <v>0</v>
      </c>
      <c r="O493" s="508">
        <f t="shared" si="91"/>
        <v>0</v>
      </c>
      <c r="P493" s="508">
        <f t="shared" si="91"/>
        <v>0</v>
      </c>
      <c r="Q493" s="508">
        <f t="shared" si="91"/>
        <v>0</v>
      </c>
      <c r="R493" s="508">
        <f t="shared" si="91"/>
        <v>0</v>
      </c>
      <c r="S493" s="508">
        <f t="shared" si="91"/>
        <v>0</v>
      </c>
      <c r="T493" s="509">
        <f t="shared" si="91"/>
        <v>0</v>
      </c>
      <c r="U493" s="509">
        <f t="shared" si="91"/>
        <v>0</v>
      </c>
      <c r="V493" s="509">
        <f t="shared" si="91"/>
        <v>0</v>
      </c>
      <c r="W493" s="509">
        <f t="shared" si="91"/>
        <v>0</v>
      </c>
      <c r="X493" s="509">
        <f>SUM(X469:X492)</f>
        <v>0</v>
      </c>
      <c r="Y493" s="509">
        <f t="shared" si="91"/>
        <v>0</v>
      </c>
      <c r="Z493" s="509">
        <f t="shared" si="91"/>
        <v>0</v>
      </c>
      <c r="AA493" s="509">
        <f t="shared" si="91"/>
        <v>0</v>
      </c>
      <c r="AB493" s="509">
        <f t="shared" si="91"/>
        <v>0</v>
      </c>
      <c r="AC493" s="509">
        <f t="shared" si="91"/>
        <v>0</v>
      </c>
      <c r="AD493" s="509">
        <f t="shared" si="91"/>
        <v>0</v>
      </c>
      <c r="AE493" s="509">
        <f t="shared" si="91"/>
        <v>0</v>
      </c>
      <c r="AF493" s="509">
        <f t="shared" si="91"/>
        <v>0</v>
      </c>
      <c r="AG493" s="509">
        <f>SUM(AG469:AG492)</f>
        <v>0</v>
      </c>
      <c r="AH493" s="509">
        <f>SUM(AH469:AH492)</f>
        <v>0</v>
      </c>
      <c r="AI493" s="509">
        <f t="shared" si="91"/>
        <v>0</v>
      </c>
      <c r="AJ493" s="509">
        <f t="shared" si="91"/>
        <v>0</v>
      </c>
      <c r="AK493" s="509">
        <f t="shared" si="91"/>
        <v>0</v>
      </c>
      <c r="AL493" s="509">
        <f t="shared" si="91"/>
        <v>0</v>
      </c>
      <c r="AM493" s="509">
        <f t="shared" si="91"/>
        <v>0</v>
      </c>
      <c r="AN493" s="509">
        <f t="shared" ref="AN493:DA493" si="92">SUM(AN469:AN492)</f>
        <v>0</v>
      </c>
      <c r="AO493" s="509">
        <f t="shared" si="92"/>
        <v>0</v>
      </c>
      <c r="AP493" s="509">
        <f t="shared" si="92"/>
        <v>0</v>
      </c>
      <c r="AQ493" s="509">
        <f t="shared" si="92"/>
        <v>0</v>
      </c>
      <c r="AR493" s="509">
        <f t="shared" si="92"/>
        <v>0</v>
      </c>
      <c r="AS493" s="509">
        <f t="shared" si="92"/>
        <v>0</v>
      </c>
      <c r="AT493" s="509">
        <f t="shared" si="92"/>
        <v>0</v>
      </c>
      <c r="AU493" s="509">
        <f t="shared" si="92"/>
        <v>0</v>
      </c>
      <c r="AV493" s="509">
        <f t="shared" si="92"/>
        <v>0</v>
      </c>
      <c r="AW493" s="509">
        <f t="shared" si="92"/>
        <v>0</v>
      </c>
      <c r="AX493" s="509">
        <f t="shared" si="92"/>
        <v>0</v>
      </c>
      <c r="AY493" s="509">
        <f t="shared" si="92"/>
        <v>0</v>
      </c>
      <c r="AZ493" s="509">
        <f t="shared" si="92"/>
        <v>0</v>
      </c>
      <c r="BA493" s="509">
        <f t="shared" si="92"/>
        <v>0</v>
      </c>
      <c r="BB493" s="509">
        <f t="shared" si="92"/>
        <v>0</v>
      </c>
      <c r="BC493" s="509">
        <f t="shared" si="92"/>
        <v>0</v>
      </c>
      <c r="BD493" s="509">
        <f t="shared" si="92"/>
        <v>0</v>
      </c>
      <c r="BE493" s="509">
        <f t="shared" si="92"/>
        <v>0</v>
      </c>
      <c r="BF493" s="509">
        <f t="shared" si="92"/>
        <v>0</v>
      </c>
      <c r="BG493" s="509">
        <f t="shared" si="92"/>
        <v>0</v>
      </c>
      <c r="BH493" s="509">
        <f t="shared" si="92"/>
        <v>0</v>
      </c>
      <c r="BI493" s="509">
        <f t="shared" si="92"/>
        <v>0</v>
      </c>
      <c r="BJ493" s="509">
        <f t="shared" si="92"/>
        <v>0</v>
      </c>
      <c r="BK493" s="509">
        <f t="shared" si="92"/>
        <v>0</v>
      </c>
      <c r="BL493" s="509">
        <f t="shared" si="92"/>
        <v>0</v>
      </c>
      <c r="BM493" s="509">
        <f t="shared" si="92"/>
        <v>0</v>
      </c>
      <c r="BN493" s="509">
        <f t="shared" si="92"/>
        <v>0</v>
      </c>
      <c r="BO493" s="509">
        <f t="shared" si="92"/>
        <v>0</v>
      </c>
      <c r="BP493" s="509">
        <f t="shared" si="92"/>
        <v>0</v>
      </c>
      <c r="BQ493" s="509">
        <f t="shared" si="92"/>
        <v>0</v>
      </c>
      <c r="BR493" s="509">
        <f t="shared" si="92"/>
        <v>0</v>
      </c>
      <c r="BS493" s="509">
        <f t="shared" si="92"/>
        <v>0</v>
      </c>
      <c r="BT493" s="509">
        <f t="shared" si="92"/>
        <v>0</v>
      </c>
      <c r="BU493" s="509">
        <f t="shared" si="92"/>
        <v>0</v>
      </c>
      <c r="BV493" s="509">
        <f t="shared" si="92"/>
        <v>0</v>
      </c>
      <c r="BW493" s="509">
        <f t="shared" si="92"/>
        <v>0</v>
      </c>
      <c r="BX493" s="509">
        <f t="shared" si="92"/>
        <v>0</v>
      </c>
      <c r="BY493" s="509">
        <f t="shared" si="92"/>
        <v>0</v>
      </c>
      <c r="BZ493" s="509">
        <f t="shared" si="92"/>
        <v>0</v>
      </c>
      <c r="CA493" s="509">
        <f t="shared" si="92"/>
        <v>0</v>
      </c>
      <c r="CB493" s="509">
        <f t="shared" si="92"/>
        <v>0</v>
      </c>
      <c r="CC493" s="509">
        <f t="shared" si="92"/>
        <v>0</v>
      </c>
      <c r="CD493" s="509">
        <f t="shared" si="92"/>
        <v>0</v>
      </c>
      <c r="CE493" s="509">
        <f t="shared" si="92"/>
        <v>0</v>
      </c>
      <c r="CF493" s="509">
        <f t="shared" si="92"/>
        <v>0</v>
      </c>
      <c r="CG493" s="509">
        <f t="shared" si="92"/>
        <v>0</v>
      </c>
      <c r="CH493" s="509">
        <f t="shared" si="92"/>
        <v>0</v>
      </c>
      <c r="CI493" s="509">
        <f t="shared" si="92"/>
        <v>0</v>
      </c>
      <c r="CJ493" s="509">
        <f t="shared" si="92"/>
        <v>0</v>
      </c>
      <c r="CK493" s="509">
        <f t="shared" si="92"/>
        <v>0</v>
      </c>
      <c r="CL493" s="509">
        <f t="shared" si="92"/>
        <v>0</v>
      </c>
      <c r="CM493" s="509">
        <f t="shared" si="92"/>
        <v>0</v>
      </c>
      <c r="CN493" s="509">
        <f t="shared" si="92"/>
        <v>0</v>
      </c>
      <c r="CO493" s="509">
        <f t="shared" si="92"/>
        <v>0</v>
      </c>
      <c r="CP493" s="509">
        <f t="shared" si="92"/>
        <v>0</v>
      </c>
      <c r="CQ493" s="509">
        <f t="shared" si="92"/>
        <v>0</v>
      </c>
      <c r="CR493" s="509">
        <f t="shared" si="92"/>
        <v>0</v>
      </c>
      <c r="CS493" s="509">
        <f t="shared" si="92"/>
        <v>0</v>
      </c>
      <c r="CT493" s="509">
        <f>SUM(CT469:CT492)</f>
        <v>0</v>
      </c>
      <c r="CU493" s="509">
        <f>SUM(CU469:CU492)</f>
        <v>0</v>
      </c>
      <c r="CV493" s="518">
        <f t="shared" si="92"/>
        <v>0</v>
      </c>
      <c r="CW493" s="518">
        <f t="shared" si="92"/>
        <v>0</v>
      </c>
      <c r="CX493" s="518">
        <f>SUM(CX469:CX492)</f>
        <v>0</v>
      </c>
      <c r="CY493" s="518">
        <f t="shared" si="92"/>
        <v>0</v>
      </c>
      <c r="CZ493" s="518">
        <f t="shared" si="92"/>
        <v>0</v>
      </c>
      <c r="DA493" s="518">
        <f t="shared" si="92"/>
        <v>0</v>
      </c>
      <c r="DB493" s="518">
        <f t="shared" ref="DB493:FE493" si="93">SUM(DB469:DB492)</f>
        <v>0</v>
      </c>
      <c r="DC493" s="518">
        <f t="shared" si="93"/>
        <v>0</v>
      </c>
      <c r="DD493" s="518">
        <f t="shared" si="93"/>
        <v>0</v>
      </c>
      <c r="DE493" s="518">
        <f t="shared" si="93"/>
        <v>0</v>
      </c>
      <c r="DF493" s="518">
        <f t="shared" si="93"/>
        <v>0</v>
      </c>
      <c r="DG493" s="518">
        <f t="shared" si="93"/>
        <v>0</v>
      </c>
      <c r="DH493" s="518">
        <f t="shared" si="93"/>
        <v>0</v>
      </c>
      <c r="DI493" s="509">
        <f t="shared" si="93"/>
        <v>0</v>
      </c>
      <c r="DJ493" s="509">
        <f t="shared" si="93"/>
        <v>0</v>
      </c>
      <c r="DK493" s="509">
        <f t="shared" si="93"/>
        <v>0</v>
      </c>
      <c r="DL493" s="509">
        <f t="shared" si="93"/>
        <v>0</v>
      </c>
      <c r="DM493" s="509">
        <f t="shared" si="93"/>
        <v>0</v>
      </c>
      <c r="DN493" s="509">
        <f t="shared" si="93"/>
        <v>0</v>
      </c>
      <c r="DO493" s="509">
        <f t="shared" si="93"/>
        <v>0</v>
      </c>
      <c r="DP493" s="509">
        <f t="shared" si="93"/>
        <v>0</v>
      </c>
      <c r="DQ493" s="509">
        <f t="shared" si="93"/>
        <v>0</v>
      </c>
      <c r="DR493" s="509">
        <f t="shared" si="93"/>
        <v>0</v>
      </c>
      <c r="DS493" s="509">
        <f t="shared" si="93"/>
        <v>0</v>
      </c>
      <c r="DT493" s="509">
        <f t="shared" si="93"/>
        <v>0</v>
      </c>
      <c r="DU493" s="509">
        <f t="shared" si="93"/>
        <v>0</v>
      </c>
      <c r="DV493" s="509">
        <f t="shared" si="93"/>
        <v>0</v>
      </c>
      <c r="DW493" s="509">
        <f t="shared" si="93"/>
        <v>0</v>
      </c>
      <c r="DX493" s="509">
        <f t="shared" si="93"/>
        <v>0</v>
      </c>
      <c r="DY493" s="509">
        <f t="shared" si="93"/>
        <v>0</v>
      </c>
      <c r="DZ493" s="509">
        <f t="shared" si="93"/>
        <v>0</v>
      </c>
      <c r="EA493" s="509">
        <f t="shared" si="93"/>
        <v>0</v>
      </c>
      <c r="EB493" s="509">
        <f t="shared" si="93"/>
        <v>0</v>
      </c>
      <c r="EC493" s="509">
        <f t="shared" si="93"/>
        <v>0</v>
      </c>
      <c r="ED493" s="509">
        <f t="shared" si="93"/>
        <v>0</v>
      </c>
      <c r="EE493" s="509">
        <f t="shared" si="93"/>
        <v>0</v>
      </c>
      <c r="EF493" s="509">
        <f t="shared" si="93"/>
        <v>0</v>
      </c>
      <c r="EG493" s="509">
        <f t="shared" si="93"/>
        <v>0</v>
      </c>
      <c r="EH493" s="509">
        <f t="shared" si="93"/>
        <v>0</v>
      </c>
      <c r="EI493" s="509">
        <f t="shared" si="93"/>
        <v>0</v>
      </c>
      <c r="EJ493" s="509">
        <f t="shared" si="93"/>
        <v>0</v>
      </c>
      <c r="EK493" s="509">
        <f t="shared" si="93"/>
        <v>0</v>
      </c>
      <c r="EL493" s="509">
        <f t="shared" si="93"/>
        <v>0</v>
      </c>
      <c r="EM493" s="509">
        <f t="shared" si="93"/>
        <v>0</v>
      </c>
      <c r="EN493" s="509">
        <f t="shared" si="93"/>
        <v>0</v>
      </c>
      <c r="EO493" s="509">
        <f t="shared" si="93"/>
        <v>0</v>
      </c>
      <c r="EP493" s="509">
        <f t="shared" si="93"/>
        <v>0</v>
      </c>
      <c r="EQ493" s="509">
        <f t="shared" si="93"/>
        <v>0</v>
      </c>
      <c r="ER493" s="509">
        <f t="shared" si="93"/>
        <v>0</v>
      </c>
      <c r="ES493" s="509">
        <f t="shared" si="93"/>
        <v>0</v>
      </c>
      <c r="ET493" s="509">
        <f t="shared" si="93"/>
        <v>0</v>
      </c>
      <c r="EU493" s="509">
        <f t="shared" si="93"/>
        <v>0</v>
      </c>
      <c r="EV493" s="509">
        <f t="shared" si="93"/>
        <v>0</v>
      </c>
      <c r="EW493" s="509">
        <f t="shared" si="93"/>
        <v>0</v>
      </c>
      <c r="EX493" s="509">
        <f t="shared" si="93"/>
        <v>0</v>
      </c>
      <c r="EY493" s="509">
        <f t="shared" si="93"/>
        <v>0</v>
      </c>
      <c r="EZ493" s="509">
        <f t="shared" si="93"/>
        <v>0</v>
      </c>
      <c r="FA493" s="509">
        <f t="shared" si="93"/>
        <v>0</v>
      </c>
      <c r="FB493" s="509">
        <f t="shared" si="93"/>
        <v>0</v>
      </c>
      <c r="FC493" s="509">
        <f t="shared" si="93"/>
        <v>0</v>
      </c>
      <c r="FD493" s="509">
        <f t="shared" si="93"/>
        <v>0</v>
      </c>
      <c r="FE493" s="509">
        <f t="shared" si="93"/>
        <v>0</v>
      </c>
      <c r="FF493" s="509"/>
      <c r="FG493" s="508"/>
    </row>
    <row r="494" spans="1:163" s="4" customFormat="1" hidden="1">
      <c r="A494" s="56"/>
      <c r="B494" s="56">
        <v>14</v>
      </c>
      <c r="C494" s="501" t="s">
        <v>3213</v>
      </c>
      <c r="D494" s="502"/>
      <c r="E494" s="503"/>
      <c r="F494" s="503"/>
      <c r="G494" s="503"/>
      <c r="H494" s="503"/>
      <c r="I494" s="503"/>
      <c r="J494" s="503"/>
      <c r="K494" s="503"/>
      <c r="L494" s="503"/>
      <c r="M494" s="503"/>
      <c r="N494" s="503"/>
      <c r="O494" s="503"/>
      <c r="P494" s="503"/>
      <c r="Q494" s="503"/>
      <c r="R494" s="503"/>
      <c r="S494" s="503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504"/>
      <c r="BL494" s="504"/>
      <c r="BM494" s="504"/>
      <c r="BN494" s="504"/>
      <c r="BO494" s="504"/>
      <c r="BP494" s="504"/>
      <c r="BQ494" s="504"/>
      <c r="BR494" s="504"/>
      <c r="BS494" s="504"/>
      <c r="BT494" s="504"/>
      <c r="BU494" s="504"/>
      <c r="BV494" s="504"/>
      <c r="BW494" s="504"/>
      <c r="BX494" s="504"/>
      <c r="BY494" s="504"/>
      <c r="BZ494" s="504"/>
      <c r="CA494" s="504"/>
      <c r="CB494" s="504"/>
      <c r="CC494" s="504"/>
      <c r="CD494" s="504"/>
      <c r="CE494" s="504"/>
      <c r="CF494" s="504"/>
      <c r="CG494" s="504"/>
      <c r="CH494" s="504"/>
      <c r="CI494" s="504"/>
      <c r="CJ494" s="504"/>
      <c r="CK494" s="504"/>
      <c r="CL494" s="504"/>
      <c r="CM494" s="504"/>
      <c r="CN494" s="504"/>
      <c r="CO494" s="504"/>
      <c r="CP494" s="504"/>
      <c r="CQ494" s="504"/>
      <c r="CR494" s="504"/>
      <c r="CS494" s="504"/>
      <c r="CT494" s="504"/>
      <c r="CU494" s="504"/>
      <c r="CV494" s="519"/>
      <c r="CW494" s="519"/>
      <c r="CX494" s="519"/>
      <c r="CY494" s="519"/>
      <c r="CZ494" s="519"/>
      <c r="DA494" s="519"/>
      <c r="DB494" s="519"/>
      <c r="DC494" s="519"/>
      <c r="DD494" s="519"/>
      <c r="DE494" s="519"/>
      <c r="DF494" s="519"/>
      <c r="DG494" s="519"/>
      <c r="DH494" s="519"/>
      <c r="DI494" s="504"/>
      <c r="DJ494" s="504"/>
      <c r="DK494" s="504"/>
      <c r="DL494" s="504"/>
      <c r="DM494" s="504"/>
      <c r="DN494" s="504"/>
      <c r="DO494" s="504"/>
      <c r="DP494" s="504"/>
      <c r="DQ494" s="504"/>
      <c r="DR494" s="504"/>
      <c r="DS494" s="504"/>
      <c r="DT494" s="504"/>
      <c r="DU494" s="504"/>
      <c r="DV494" s="504"/>
      <c r="DW494" s="504"/>
      <c r="DX494" s="504"/>
      <c r="DY494" s="504"/>
      <c r="DZ494" s="504"/>
      <c r="EA494" s="504"/>
      <c r="EB494" s="504"/>
      <c r="EC494" s="504"/>
      <c r="ED494" s="504"/>
      <c r="EE494" s="504"/>
      <c r="EF494" s="504"/>
      <c r="EG494" s="504"/>
      <c r="EH494" s="504"/>
      <c r="EI494" s="504"/>
      <c r="EJ494" s="504"/>
      <c r="EK494" s="504"/>
      <c r="EL494" s="504"/>
      <c r="EM494" s="504"/>
      <c r="EN494" s="504"/>
      <c r="EO494" s="504"/>
      <c r="EP494" s="504"/>
      <c r="EQ494" s="504"/>
      <c r="ER494" s="504"/>
      <c r="ES494" s="504"/>
      <c r="ET494" s="504"/>
      <c r="EU494" s="504"/>
      <c r="EV494" s="504"/>
      <c r="EW494" s="504"/>
      <c r="EX494" s="504"/>
      <c r="EY494" s="504"/>
      <c r="EZ494" s="504"/>
      <c r="FA494" s="504"/>
      <c r="FB494" s="504"/>
      <c r="FC494" s="504"/>
      <c r="FD494" s="504"/>
      <c r="FE494" s="504"/>
      <c r="FF494" s="504"/>
      <c r="FG494" s="505"/>
    </row>
    <row r="495" spans="1:163" s="4" customFormat="1" hidden="1">
      <c r="A495" s="56"/>
      <c r="B495" s="56"/>
      <c r="C495" s="498"/>
      <c r="D495" s="498"/>
      <c r="E495" s="454"/>
      <c r="F495" s="454"/>
      <c r="G495" s="454"/>
      <c r="H495" s="454"/>
      <c r="I495" s="454"/>
      <c r="J495" s="454"/>
      <c r="K495" s="454"/>
      <c r="L495" s="454"/>
      <c r="M495" s="454"/>
      <c r="N495" s="454"/>
      <c r="O495" s="454"/>
      <c r="P495" s="454"/>
      <c r="Q495" s="454"/>
      <c r="R495" s="454"/>
      <c r="S495" s="454"/>
      <c r="T495" s="454"/>
      <c r="U495" s="454"/>
      <c r="V495" s="454"/>
      <c r="W495" s="454"/>
      <c r="X495" s="454"/>
      <c r="Y495" s="454"/>
      <c r="Z495" s="454"/>
      <c r="AA495" s="454"/>
      <c r="AB495" s="454"/>
      <c r="AC495" s="454"/>
      <c r="AD495" s="454"/>
      <c r="AE495" s="454"/>
      <c r="AF495" s="454"/>
      <c r="AG495" s="454"/>
      <c r="AH495" s="454"/>
      <c r="AI495" s="454"/>
      <c r="AJ495" s="454"/>
      <c r="AK495" s="454"/>
      <c r="AL495" s="454"/>
      <c r="AM495" s="454"/>
      <c r="AN495" s="454"/>
      <c r="AO495" s="454"/>
      <c r="AP495" s="454"/>
      <c r="AQ495" s="454"/>
      <c r="AR495" s="454"/>
      <c r="AS495" s="454"/>
      <c r="AT495" s="454"/>
      <c r="AU495" s="454"/>
      <c r="AV495" s="454"/>
      <c r="AW495" s="454"/>
      <c r="AX495" s="454"/>
      <c r="AY495" s="454"/>
      <c r="AZ495" s="454"/>
      <c r="BA495" s="454"/>
      <c r="BB495" s="454"/>
      <c r="BC495" s="454"/>
      <c r="BD495" s="454"/>
      <c r="BE495" s="454"/>
      <c r="BF495" s="454"/>
      <c r="BG495" s="454"/>
      <c r="BH495" s="454"/>
      <c r="BI495" s="454"/>
      <c r="BJ495" s="454"/>
      <c r="BK495" s="454"/>
      <c r="BL495" s="454"/>
      <c r="BM495" s="454"/>
      <c r="BN495" s="454"/>
      <c r="BO495" s="454"/>
      <c r="BP495" s="454"/>
      <c r="BQ495" s="454"/>
      <c r="BR495" s="454"/>
      <c r="BS495" s="454"/>
      <c r="BT495" s="454"/>
      <c r="BU495" s="454"/>
      <c r="BV495" s="454"/>
      <c r="BW495" s="454"/>
      <c r="BX495" s="454"/>
      <c r="BY495" s="454"/>
      <c r="BZ495" s="454"/>
      <c r="CA495" s="454"/>
      <c r="CB495" s="454"/>
      <c r="CC495" s="454"/>
      <c r="CD495" s="454"/>
      <c r="CE495" s="454"/>
      <c r="CF495" s="454"/>
      <c r="CG495" s="454"/>
      <c r="CH495" s="454"/>
      <c r="CI495" s="454"/>
      <c r="CJ495" s="454"/>
      <c r="CK495" s="454"/>
      <c r="CL495" s="454"/>
      <c r="CM495" s="454"/>
      <c r="CN495" s="454"/>
      <c r="CO495" s="454"/>
      <c r="CP495" s="454"/>
      <c r="CQ495" s="454"/>
      <c r="CR495" s="454"/>
      <c r="CS495" s="454"/>
      <c r="CT495" s="454"/>
      <c r="CU495" s="454"/>
      <c r="CV495" s="517"/>
      <c r="CW495" s="517"/>
      <c r="CX495" s="517"/>
      <c r="CY495" s="517"/>
      <c r="CZ495" s="517"/>
      <c r="DA495" s="517"/>
      <c r="DB495" s="517"/>
      <c r="DC495" s="517"/>
      <c r="DD495" s="517"/>
      <c r="DE495" s="517"/>
      <c r="DF495" s="517"/>
      <c r="DG495" s="517"/>
      <c r="DH495" s="517"/>
      <c r="DI495" s="454"/>
      <c r="DJ495" s="454"/>
      <c r="DK495" s="454"/>
      <c r="DL495" s="454"/>
      <c r="DM495" s="454"/>
      <c r="DN495" s="454"/>
      <c r="DO495" s="454"/>
      <c r="DP495" s="454"/>
      <c r="DQ495" s="454"/>
      <c r="DR495" s="454"/>
      <c r="DS495" s="454"/>
      <c r="DT495" s="454"/>
      <c r="DU495" s="454"/>
      <c r="DV495" s="454"/>
      <c r="DW495" s="454"/>
      <c r="DX495" s="454"/>
      <c r="DY495" s="454"/>
      <c r="DZ495" s="454"/>
      <c r="EA495" s="454"/>
      <c r="EB495" s="454"/>
      <c r="EC495" s="454"/>
      <c r="ED495" s="454"/>
      <c r="EE495" s="454"/>
      <c r="EF495" s="454"/>
      <c r="EG495" s="454"/>
      <c r="EH495" s="454"/>
      <c r="EI495" s="454"/>
      <c r="EJ495" s="454"/>
      <c r="EK495" s="454"/>
      <c r="EL495" s="454"/>
      <c r="EM495" s="454"/>
      <c r="EN495" s="454"/>
      <c r="EO495" s="454"/>
      <c r="EP495" s="454"/>
      <c r="EQ495" s="454"/>
      <c r="ER495" s="454"/>
      <c r="ES495" s="454"/>
      <c r="ET495" s="454"/>
      <c r="EU495" s="454"/>
      <c r="EV495" s="454"/>
      <c r="EW495" s="454"/>
      <c r="EX495" s="454"/>
      <c r="EY495" s="454"/>
      <c r="EZ495" s="454"/>
      <c r="FA495" s="454"/>
      <c r="FB495" s="454"/>
      <c r="FC495" s="454"/>
      <c r="FD495" s="454"/>
      <c r="FE495" s="454"/>
      <c r="FF495" s="454"/>
      <c r="FG495" s="290"/>
    </row>
    <row r="496" spans="1:163" s="4" customFormat="1" hidden="1">
      <c r="A496" s="56"/>
      <c r="B496" s="56"/>
      <c r="C496" s="498"/>
      <c r="D496" s="498"/>
      <c r="E496" s="454"/>
      <c r="F496" s="454"/>
      <c r="G496" s="454"/>
      <c r="H496" s="454"/>
      <c r="I496" s="454"/>
      <c r="J496" s="454"/>
      <c r="K496" s="454"/>
      <c r="L496" s="454"/>
      <c r="M496" s="454"/>
      <c r="N496" s="454"/>
      <c r="O496" s="454"/>
      <c r="P496" s="454"/>
      <c r="Q496" s="454"/>
      <c r="R496" s="454"/>
      <c r="S496" s="454"/>
      <c r="T496" s="454"/>
      <c r="U496" s="454"/>
      <c r="V496" s="454"/>
      <c r="W496" s="454"/>
      <c r="X496" s="454"/>
      <c r="Y496" s="454"/>
      <c r="Z496" s="454"/>
      <c r="AA496" s="454"/>
      <c r="AB496" s="454"/>
      <c r="AC496" s="454"/>
      <c r="AD496" s="454"/>
      <c r="AE496" s="454"/>
      <c r="AF496" s="454"/>
      <c r="AG496" s="454"/>
      <c r="AH496" s="454"/>
      <c r="AI496" s="454"/>
      <c r="AJ496" s="454"/>
      <c r="AK496" s="454"/>
      <c r="AL496" s="454"/>
      <c r="AM496" s="454"/>
      <c r="AN496" s="454"/>
      <c r="AO496" s="454"/>
      <c r="AP496" s="454"/>
      <c r="AQ496" s="454"/>
      <c r="AR496" s="454"/>
      <c r="AS496" s="454"/>
      <c r="AT496" s="454"/>
      <c r="AU496" s="454"/>
      <c r="AV496" s="454"/>
      <c r="AW496" s="454"/>
      <c r="AX496" s="454"/>
      <c r="AY496" s="454"/>
      <c r="AZ496" s="454"/>
      <c r="BA496" s="454"/>
      <c r="BB496" s="454"/>
      <c r="BC496" s="454"/>
      <c r="BD496" s="454"/>
      <c r="BE496" s="454"/>
      <c r="BF496" s="454"/>
      <c r="BG496" s="454"/>
      <c r="BH496" s="454"/>
      <c r="BI496" s="454"/>
      <c r="BJ496" s="454"/>
      <c r="BK496" s="454"/>
      <c r="BL496" s="454"/>
      <c r="BM496" s="454"/>
      <c r="BN496" s="454"/>
      <c r="BO496" s="454"/>
      <c r="BP496" s="454"/>
      <c r="BQ496" s="454"/>
      <c r="BR496" s="454"/>
      <c r="BS496" s="454"/>
      <c r="BT496" s="454"/>
      <c r="BU496" s="454"/>
      <c r="BV496" s="454"/>
      <c r="BW496" s="454"/>
      <c r="BX496" s="454"/>
      <c r="BY496" s="454"/>
      <c r="BZ496" s="454"/>
      <c r="CA496" s="454"/>
      <c r="CB496" s="454"/>
      <c r="CC496" s="454"/>
      <c r="CD496" s="454"/>
      <c r="CE496" s="454"/>
      <c r="CF496" s="454"/>
      <c r="CG496" s="454"/>
      <c r="CH496" s="454"/>
      <c r="CI496" s="454"/>
      <c r="CJ496" s="454"/>
      <c r="CK496" s="454"/>
      <c r="CL496" s="454"/>
      <c r="CM496" s="454"/>
      <c r="CN496" s="454"/>
      <c r="CO496" s="454"/>
      <c r="CP496" s="454"/>
      <c r="CQ496" s="454"/>
      <c r="CR496" s="454"/>
      <c r="CS496" s="454"/>
      <c r="CT496" s="454"/>
      <c r="CU496" s="454"/>
      <c r="CV496" s="517"/>
      <c r="CW496" s="517"/>
      <c r="CX496" s="517"/>
      <c r="CY496" s="517"/>
      <c r="CZ496" s="517"/>
      <c r="DA496" s="517"/>
      <c r="DB496" s="517"/>
      <c r="DC496" s="517"/>
      <c r="DD496" s="517"/>
      <c r="DE496" s="517"/>
      <c r="DF496" s="517"/>
      <c r="DG496" s="517"/>
      <c r="DH496" s="517"/>
      <c r="DI496" s="454"/>
      <c r="DJ496" s="454"/>
      <c r="DK496" s="454"/>
      <c r="DL496" s="454"/>
      <c r="DM496" s="454"/>
      <c r="DN496" s="454"/>
      <c r="DO496" s="454"/>
      <c r="DP496" s="454"/>
      <c r="DQ496" s="454"/>
      <c r="DR496" s="454"/>
      <c r="DS496" s="454"/>
      <c r="DT496" s="454"/>
      <c r="DU496" s="454"/>
      <c r="DV496" s="454"/>
      <c r="DW496" s="454"/>
      <c r="DX496" s="454"/>
      <c r="DY496" s="454"/>
      <c r="DZ496" s="454"/>
      <c r="EA496" s="454"/>
      <c r="EB496" s="454"/>
      <c r="EC496" s="454"/>
      <c r="ED496" s="454"/>
      <c r="EE496" s="454"/>
      <c r="EF496" s="454"/>
      <c r="EG496" s="454"/>
      <c r="EH496" s="454"/>
      <c r="EI496" s="454"/>
      <c r="EJ496" s="454"/>
      <c r="EK496" s="454"/>
      <c r="EL496" s="454"/>
      <c r="EM496" s="454"/>
      <c r="EN496" s="454"/>
      <c r="EO496" s="454"/>
      <c r="EP496" s="454"/>
      <c r="EQ496" s="454"/>
      <c r="ER496" s="454"/>
      <c r="ES496" s="454"/>
      <c r="ET496" s="454"/>
      <c r="EU496" s="454"/>
      <c r="EV496" s="454"/>
      <c r="EW496" s="454"/>
      <c r="EX496" s="454"/>
      <c r="EY496" s="454"/>
      <c r="EZ496" s="454"/>
      <c r="FA496" s="454"/>
      <c r="FB496" s="454"/>
      <c r="FC496" s="454"/>
      <c r="FD496" s="454"/>
      <c r="FE496" s="454"/>
      <c r="FF496" s="454"/>
      <c r="FG496" s="290"/>
    </row>
    <row r="497" spans="1:163" s="4" customFormat="1" hidden="1">
      <c r="A497" s="56"/>
      <c r="B497" s="56"/>
      <c r="C497" s="498"/>
      <c r="D497" s="498"/>
      <c r="E497" s="454"/>
      <c r="F497" s="454"/>
      <c r="G497" s="454"/>
      <c r="H497" s="454"/>
      <c r="I497" s="454"/>
      <c r="J497" s="454"/>
      <c r="K497" s="454"/>
      <c r="L497" s="454"/>
      <c r="M497" s="454"/>
      <c r="N497" s="454"/>
      <c r="O497" s="454"/>
      <c r="P497" s="454"/>
      <c r="Q497" s="454"/>
      <c r="R497" s="454"/>
      <c r="S497" s="454"/>
      <c r="T497" s="454"/>
      <c r="U497" s="454"/>
      <c r="V497" s="454"/>
      <c r="W497" s="454"/>
      <c r="X497" s="454"/>
      <c r="Y497" s="454"/>
      <c r="Z497" s="454"/>
      <c r="AA497" s="454"/>
      <c r="AB497" s="454"/>
      <c r="AC497" s="454"/>
      <c r="AD497" s="454"/>
      <c r="AE497" s="454"/>
      <c r="AF497" s="454"/>
      <c r="AG497" s="454"/>
      <c r="AH497" s="454"/>
      <c r="AI497" s="454"/>
      <c r="AJ497" s="454"/>
      <c r="AK497" s="454"/>
      <c r="AL497" s="454"/>
      <c r="AM497" s="454"/>
      <c r="AN497" s="454"/>
      <c r="AO497" s="454"/>
      <c r="AP497" s="454"/>
      <c r="AQ497" s="454"/>
      <c r="AR497" s="454"/>
      <c r="AS497" s="454"/>
      <c r="AT497" s="454"/>
      <c r="AU497" s="454"/>
      <c r="AV497" s="454"/>
      <c r="AW497" s="454"/>
      <c r="AX497" s="454"/>
      <c r="AY497" s="454"/>
      <c r="AZ497" s="454"/>
      <c r="BA497" s="454"/>
      <c r="BB497" s="454"/>
      <c r="BC497" s="454"/>
      <c r="BD497" s="454"/>
      <c r="BE497" s="454"/>
      <c r="BF497" s="454"/>
      <c r="BG497" s="454"/>
      <c r="BH497" s="454"/>
      <c r="BI497" s="454"/>
      <c r="BJ497" s="454"/>
      <c r="BK497" s="454"/>
      <c r="BL497" s="454"/>
      <c r="BM497" s="454"/>
      <c r="BN497" s="454"/>
      <c r="BO497" s="454"/>
      <c r="BP497" s="454"/>
      <c r="BQ497" s="454"/>
      <c r="BR497" s="454"/>
      <c r="BS497" s="454"/>
      <c r="BT497" s="454"/>
      <c r="BU497" s="454"/>
      <c r="BV497" s="454"/>
      <c r="BW497" s="454"/>
      <c r="BX497" s="454"/>
      <c r="BY497" s="454"/>
      <c r="BZ497" s="454"/>
      <c r="CA497" s="454"/>
      <c r="CB497" s="454"/>
      <c r="CC497" s="454"/>
      <c r="CD497" s="454"/>
      <c r="CE497" s="454"/>
      <c r="CF497" s="454"/>
      <c r="CG497" s="454"/>
      <c r="CH497" s="454"/>
      <c r="CI497" s="454"/>
      <c r="CJ497" s="454"/>
      <c r="CK497" s="454"/>
      <c r="CL497" s="454"/>
      <c r="CM497" s="454"/>
      <c r="CN497" s="454"/>
      <c r="CO497" s="454"/>
      <c r="CP497" s="454"/>
      <c r="CQ497" s="454"/>
      <c r="CR497" s="454"/>
      <c r="CS497" s="454"/>
      <c r="CT497" s="454"/>
      <c r="CU497" s="454"/>
      <c r="CV497" s="517"/>
      <c r="CW497" s="517"/>
      <c r="CX497" s="517"/>
      <c r="CY497" s="517"/>
      <c r="CZ497" s="517"/>
      <c r="DA497" s="517"/>
      <c r="DB497" s="517"/>
      <c r="DC497" s="517"/>
      <c r="DD497" s="517"/>
      <c r="DE497" s="517"/>
      <c r="DF497" s="517"/>
      <c r="DG497" s="517"/>
      <c r="DH497" s="517"/>
      <c r="DI497" s="454"/>
      <c r="DJ497" s="454"/>
      <c r="DK497" s="454"/>
      <c r="DL497" s="454"/>
      <c r="DM497" s="454"/>
      <c r="DN497" s="454"/>
      <c r="DO497" s="454"/>
      <c r="DP497" s="454"/>
      <c r="DQ497" s="454"/>
      <c r="DR497" s="454"/>
      <c r="DS497" s="454"/>
      <c r="DT497" s="454"/>
      <c r="DU497" s="454"/>
      <c r="DV497" s="454"/>
      <c r="DW497" s="454"/>
      <c r="DX497" s="454"/>
      <c r="DY497" s="454"/>
      <c r="DZ497" s="454"/>
      <c r="EA497" s="454"/>
      <c r="EB497" s="454"/>
      <c r="EC497" s="454"/>
      <c r="ED497" s="454"/>
      <c r="EE497" s="454"/>
      <c r="EF497" s="454"/>
      <c r="EG497" s="454"/>
      <c r="EH497" s="454"/>
      <c r="EI497" s="454"/>
      <c r="EJ497" s="454"/>
      <c r="EK497" s="454"/>
      <c r="EL497" s="454"/>
      <c r="EM497" s="454"/>
      <c r="EN497" s="454"/>
      <c r="EO497" s="454"/>
      <c r="EP497" s="454"/>
      <c r="EQ497" s="454"/>
      <c r="ER497" s="454"/>
      <c r="ES497" s="454"/>
      <c r="ET497" s="454"/>
      <c r="EU497" s="454"/>
      <c r="EV497" s="454"/>
      <c r="EW497" s="454"/>
      <c r="EX497" s="454"/>
      <c r="EY497" s="454"/>
      <c r="EZ497" s="454"/>
      <c r="FA497" s="454"/>
      <c r="FB497" s="454"/>
      <c r="FC497" s="454"/>
      <c r="FD497" s="454"/>
      <c r="FE497" s="454"/>
      <c r="FF497" s="454"/>
      <c r="FG497" s="290"/>
    </row>
    <row r="498" spans="1:163" s="4" customFormat="1" hidden="1">
      <c r="A498" s="56"/>
      <c r="B498" s="56"/>
      <c r="C498" s="498"/>
      <c r="D498" s="498"/>
      <c r="E498" s="454"/>
      <c r="F498" s="454"/>
      <c r="G498" s="454"/>
      <c r="H498" s="454"/>
      <c r="I498" s="454"/>
      <c r="J498" s="454"/>
      <c r="K498" s="454"/>
      <c r="L498" s="454"/>
      <c r="M498" s="454"/>
      <c r="N498" s="454"/>
      <c r="O498" s="454"/>
      <c r="P498" s="454"/>
      <c r="Q498" s="454"/>
      <c r="R498" s="454"/>
      <c r="S498" s="454"/>
      <c r="T498" s="454"/>
      <c r="U498" s="454"/>
      <c r="V498" s="454"/>
      <c r="W498" s="454"/>
      <c r="X498" s="454"/>
      <c r="Y498" s="454"/>
      <c r="Z498" s="454"/>
      <c r="AA498" s="454"/>
      <c r="AB498" s="454"/>
      <c r="AC498" s="454"/>
      <c r="AD498" s="454"/>
      <c r="AE498" s="454"/>
      <c r="AF498" s="454"/>
      <c r="AG498" s="454"/>
      <c r="AH498" s="454"/>
      <c r="AI498" s="454"/>
      <c r="AJ498" s="454"/>
      <c r="AK498" s="454"/>
      <c r="AL498" s="454"/>
      <c r="AM498" s="454"/>
      <c r="AN498" s="454"/>
      <c r="AO498" s="454"/>
      <c r="AP498" s="454"/>
      <c r="AQ498" s="454"/>
      <c r="AR498" s="454"/>
      <c r="AS498" s="454"/>
      <c r="AT498" s="454"/>
      <c r="AU498" s="454"/>
      <c r="AV498" s="454"/>
      <c r="AW498" s="454"/>
      <c r="AX498" s="454"/>
      <c r="AY498" s="454"/>
      <c r="AZ498" s="454"/>
      <c r="BA498" s="454"/>
      <c r="BB498" s="454"/>
      <c r="BC498" s="454"/>
      <c r="BD498" s="454"/>
      <c r="BE498" s="454"/>
      <c r="BF498" s="454"/>
      <c r="BG498" s="454"/>
      <c r="BH498" s="454"/>
      <c r="BI498" s="454"/>
      <c r="BJ498" s="454"/>
      <c r="BK498" s="454"/>
      <c r="BL498" s="454"/>
      <c r="BM498" s="454"/>
      <c r="BN498" s="454"/>
      <c r="BO498" s="454"/>
      <c r="BP498" s="454"/>
      <c r="BQ498" s="454"/>
      <c r="BR498" s="454"/>
      <c r="BS498" s="454"/>
      <c r="BT498" s="454"/>
      <c r="BU498" s="454"/>
      <c r="BV498" s="454"/>
      <c r="BW498" s="454"/>
      <c r="BX498" s="454"/>
      <c r="BY498" s="454"/>
      <c r="BZ498" s="454"/>
      <c r="CA498" s="454"/>
      <c r="CB498" s="454"/>
      <c r="CC498" s="454"/>
      <c r="CD498" s="454"/>
      <c r="CE498" s="454"/>
      <c r="CF498" s="454"/>
      <c r="CG498" s="454"/>
      <c r="CH498" s="454"/>
      <c r="CI498" s="454"/>
      <c r="CJ498" s="454"/>
      <c r="CK498" s="454"/>
      <c r="CL498" s="454"/>
      <c r="CM498" s="454"/>
      <c r="CN498" s="454"/>
      <c r="CO498" s="454"/>
      <c r="CP498" s="454"/>
      <c r="CQ498" s="454"/>
      <c r="CR498" s="454"/>
      <c r="CS498" s="454"/>
      <c r="CT498" s="454"/>
      <c r="CU498" s="454"/>
      <c r="CV498" s="517"/>
      <c r="CW498" s="517"/>
      <c r="CX498" s="517"/>
      <c r="CY498" s="517"/>
      <c r="CZ498" s="517"/>
      <c r="DA498" s="517"/>
      <c r="DB498" s="517"/>
      <c r="DC498" s="517"/>
      <c r="DD498" s="517"/>
      <c r="DE498" s="517"/>
      <c r="DF498" s="517"/>
      <c r="DG498" s="517"/>
      <c r="DH498" s="517"/>
      <c r="DI498" s="454"/>
      <c r="DJ498" s="454"/>
      <c r="DK498" s="454"/>
      <c r="DL498" s="454"/>
      <c r="DM498" s="454"/>
      <c r="DN498" s="454"/>
      <c r="DO498" s="454"/>
      <c r="DP498" s="454"/>
      <c r="DQ498" s="454"/>
      <c r="DR498" s="454"/>
      <c r="DS498" s="454"/>
      <c r="DT498" s="454"/>
      <c r="DU498" s="454"/>
      <c r="DV498" s="454"/>
      <c r="DW498" s="454"/>
      <c r="DX498" s="454"/>
      <c r="DY498" s="454"/>
      <c r="DZ498" s="454"/>
      <c r="EA498" s="454"/>
      <c r="EB498" s="454"/>
      <c r="EC498" s="454"/>
      <c r="ED498" s="454"/>
      <c r="EE498" s="454"/>
      <c r="EF498" s="454"/>
      <c r="EG498" s="454"/>
      <c r="EH498" s="454"/>
      <c r="EI498" s="454"/>
      <c r="EJ498" s="454"/>
      <c r="EK498" s="454"/>
      <c r="EL498" s="454"/>
      <c r="EM498" s="454"/>
      <c r="EN498" s="454"/>
      <c r="EO498" s="454"/>
      <c r="EP498" s="454"/>
      <c r="EQ498" s="454"/>
      <c r="ER498" s="454"/>
      <c r="ES498" s="454"/>
      <c r="ET498" s="454"/>
      <c r="EU498" s="454"/>
      <c r="EV498" s="454"/>
      <c r="EW498" s="454"/>
      <c r="EX498" s="454"/>
      <c r="EY498" s="454"/>
      <c r="EZ498" s="454"/>
      <c r="FA498" s="454"/>
      <c r="FB498" s="454"/>
      <c r="FC498" s="454"/>
      <c r="FD498" s="454"/>
      <c r="FE498" s="454"/>
      <c r="FF498" s="454"/>
      <c r="FG498" s="290"/>
    </row>
    <row r="499" spans="1:163" s="4" customFormat="1" hidden="1">
      <c r="A499" s="56"/>
      <c r="B499" s="56"/>
      <c r="C499" s="498"/>
      <c r="D499" s="498"/>
      <c r="E499" s="454"/>
      <c r="F499" s="454"/>
      <c r="G499" s="454"/>
      <c r="H499" s="454"/>
      <c r="I499" s="454"/>
      <c r="J499" s="454"/>
      <c r="K499" s="454"/>
      <c r="L499" s="454"/>
      <c r="M499" s="454"/>
      <c r="N499" s="454"/>
      <c r="O499" s="454"/>
      <c r="P499" s="454"/>
      <c r="Q499" s="454"/>
      <c r="R499" s="454"/>
      <c r="S499" s="454"/>
      <c r="T499" s="454"/>
      <c r="U499" s="454"/>
      <c r="V499" s="454"/>
      <c r="W499" s="454"/>
      <c r="X499" s="454"/>
      <c r="Y499" s="454"/>
      <c r="Z499" s="454"/>
      <c r="AA499" s="454"/>
      <c r="AB499" s="454"/>
      <c r="AC499" s="454"/>
      <c r="AD499" s="454"/>
      <c r="AE499" s="454"/>
      <c r="AF499" s="454"/>
      <c r="AG499" s="454"/>
      <c r="AH499" s="454"/>
      <c r="AI499" s="454"/>
      <c r="AJ499" s="454"/>
      <c r="AK499" s="454"/>
      <c r="AL499" s="454"/>
      <c r="AM499" s="454"/>
      <c r="AN499" s="454"/>
      <c r="AO499" s="454"/>
      <c r="AP499" s="454"/>
      <c r="AQ499" s="454"/>
      <c r="AR499" s="454"/>
      <c r="AS499" s="454"/>
      <c r="AT499" s="454"/>
      <c r="AU499" s="454"/>
      <c r="AV499" s="454"/>
      <c r="AW499" s="454"/>
      <c r="AX499" s="454"/>
      <c r="AY499" s="454"/>
      <c r="AZ499" s="454"/>
      <c r="BA499" s="454"/>
      <c r="BB499" s="454"/>
      <c r="BC499" s="454"/>
      <c r="BD499" s="454"/>
      <c r="BE499" s="454"/>
      <c r="BF499" s="454"/>
      <c r="BG499" s="454"/>
      <c r="BH499" s="454"/>
      <c r="BI499" s="454"/>
      <c r="BJ499" s="454"/>
      <c r="BK499" s="454"/>
      <c r="BL499" s="454"/>
      <c r="BM499" s="454"/>
      <c r="BN499" s="454"/>
      <c r="BO499" s="454"/>
      <c r="BP499" s="454"/>
      <c r="BQ499" s="454"/>
      <c r="BR499" s="454"/>
      <c r="BS499" s="454"/>
      <c r="BT499" s="454"/>
      <c r="BU499" s="454"/>
      <c r="BV499" s="454"/>
      <c r="BW499" s="454"/>
      <c r="BX499" s="454"/>
      <c r="BY499" s="454"/>
      <c r="BZ499" s="454"/>
      <c r="CA499" s="454"/>
      <c r="CB499" s="454"/>
      <c r="CC499" s="454"/>
      <c r="CD499" s="454"/>
      <c r="CE499" s="454"/>
      <c r="CF499" s="454"/>
      <c r="CG499" s="454"/>
      <c r="CH499" s="454"/>
      <c r="CI499" s="454"/>
      <c r="CJ499" s="454"/>
      <c r="CK499" s="454"/>
      <c r="CL499" s="454"/>
      <c r="CM499" s="454"/>
      <c r="CN499" s="454"/>
      <c r="CO499" s="454"/>
      <c r="CP499" s="454"/>
      <c r="CQ499" s="454"/>
      <c r="CR499" s="454"/>
      <c r="CS499" s="454"/>
      <c r="CT499" s="454"/>
      <c r="CU499" s="454"/>
      <c r="CV499" s="517"/>
      <c r="CW499" s="517"/>
      <c r="CX499" s="517"/>
      <c r="CY499" s="517"/>
      <c r="CZ499" s="517"/>
      <c r="DA499" s="517"/>
      <c r="DB499" s="517"/>
      <c r="DC499" s="517"/>
      <c r="DD499" s="517"/>
      <c r="DE499" s="517"/>
      <c r="DF499" s="517"/>
      <c r="DG499" s="517"/>
      <c r="DH499" s="517"/>
      <c r="DI499" s="454"/>
      <c r="DJ499" s="454"/>
      <c r="DK499" s="454"/>
      <c r="DL499" s="454"/>
      <c r="DM499" s="454"/>
      <c r="DN499" s="454"/>
      <c r="DO499" s="454"/>
      <c r="DP499" s="454"/>
      <c r="DQ499" s="454"/>
      <c r="DR499" s="454"/>
      <c r="DS499" s="454"/>
      <c r="DT499" s="454"/>
      <c r="DU499" s="454"/>
      <c r="DV499" s="454"/>
      <c r="DW499" s="454"/>
      <c r="DX499" s="454"/>
      <c r="DY499" s="454"/>
      <c r="DZ499" s="454"/>
      <c r="EA499" s="454"/>
      <c r="EB499" s="454"/>
      <c r="EC499" s="454"/>
      <c r="ED499" s="454"/>
      <c r="EE499" s="454"/>
      <c r="EF499" s="454"/>
      <c r="EG499" s="454"/>
      <c r="EH499" s="454"/>
      <c r="EI499" s="454"/>
      <c r="EJ499" s="454"/>
      <c r="EK499" s="454"/>
      <c r="EL499" s="454"/>
      <c r="EM499" s="454"/>
      <c r="EN499" s="454"/>
      <c r="EO499" s="454"/>
      <c r="EP499" s="454"/>
      <c r="EQ499" s="454"/>
      <c r="ER499" s="454"/>
      <c r="ES499" s="454"/>
      <c r="ET499" s="454"/>
      <c r="EU499" s="454"/>
      <c r="EV499" s="454"/>
      <c r="EW499" s="454"/>
      <c r="EX499" s="454"/>
      <c r="EY499" s="454"/>
      <c r="EZ499" s="454"/>
      <c r="FA499" s="454"/>
      <c r="FB499" s="454"/>
      <c r="FC499" s="454"/>
      <c r="FD499" s="454"/>
      <c r="FE499" s="454"/>
      <c r="FF499" s="454"/>
      <c r="FG499" s="290"/>
    </row>
    <row r="500" spans="1:163" s="4" customFormat="1" hidden="1">
      <c r="A500" s="56"/>
      <c r="B500" s="56"/>
      <c r="C500" s="498"/>
      <c r="D500" s="498"/>
      <c r="E500" s="454"/>
      <c r="F500" s="454"/>
      <c r="G500" s="454"/>
      <c r="H500" s="454"/>
      <c r="I500" s="454"/>
      <c r="J500" s="454"/>
      <c r="K500" s="454"/>
      <c r="L500" s="454"/>
      <c r="M500" s="454"/>
      <c r="N500" s="454"/>
      <c r="O500" s="454"/>
      <c r="P500" s="454"/>
      <c r="Q500" s="454"/>
      <c r="R500" s="454"/>
      <c r="S500" s="454"/>
      <c r="T500" s="454"/>
      <c r="U500" s="454"/>
      <c r="V500" s="454"/>
      <c r="W500" s="454"/>
      <c r="X500" s="454"/>
      <c r="Y500" s="454"/>
      <c r="Z500" s="454"/>
      <c r="AA500" s="454"/>
      <c r="AB500" s="454"/>
      <c r="AC500" s="454"/>
      <c r="AD500" s="454"/>
      <c r="AE500" s="454"/>
      <c r="AF500" s="454"/>
      <c r="AG500" s="454"/>
      <c r="AH500" s="454"/>
      <c r="AI500" s="454"/>
      <c r="AJ500" s="454"/>
      <c r="AK500" s="454"/>
      <c r="AL500" s="454"/>
      <c r="AM500" s="454"/>
      <c r="AN500" s="454"/>
      <c r="AO500" s="454"/>
      <c r="AP500" s="454"/>
      <c r="AQ500" s="454"/>
      <c r="AR500" s="454"/>
      <c r="AS500" s="454"/>
      <c r="AT500" s="454"/>
      <c r="AU500" s="454"/>
      <c r="AV500" s="454"/>
      <c r="AW500" s="454"/>
      <c r="AX500" s="454"/>
      <c r="AY500" s="454"/>
      <c r="AZ500" s="454"/>
      <c r="BA500" s="454"/>
      <c r="BB500" s="454"/>
      <c r="BC500" s="454"/>
      <c r="BD500" s="454"/>
      <c r="BE500" s="454"/>
      <c r="BF500" s="454"/>
      <c r="BG500" s="454"/>
      <c r="BH500" s="454"/>
      <c r="BI500" s="454"/>
      <c r="BJ500" s="454"/>
      <c r="BK500" s="454"/>
      <c r="BL500" s="454"/>
      <c r="BM500" s="454"/>
      <c r="BN500" s="454"/>
      <c r="BO500" s="454"/>
      <c r="BP500" s="454"/>
      <c r="BQ500" s="454"/>
      <c r="BR500" s="454"/>
      <c r="BS500" s="454"/>
      <c r="BT500" s="454"/>
      <c r="BU500" s="454"/>
      <c r="BV500" s="454"/>
      <c r="BW500" s="454"/>
      <c r="BX500" s="454"/>
      <c r="BY500" s="454"/>
      <c r="BZ500" s="454"/>
      <c r="CA500" s="454"/>
      <c r="CB500" s="454"/>
      <c r="CC500" s="454"/>
      <c r="CD500" s="454"/>
      <c r="CE500" s="454"/>
      <c r="CF500" s="454"/>
      <c r="CG500" s="454"/>
      <c r="CH500" s="454"/>
      <c r="CI500" s="454"/>
      <c r="CJ500" s="454"/>
      <c r="CK500" s="454"/>
      <c r="CL500" s="454"/>
      <c r="CM500" s="454"/>
      <c r="CN500" s="454"/>
      <c r="CO500" s="454"/>
      <c r="CP500" s="454"/>
      <c r="CQ500" s="454"/>
      <c r="CR500" s="454"/>
      <c r="CS500" s="454"/>
      <c r="CT500" s="454"/>
      <c r="CU500" s="454"/>
      <c r="CV500" s="517"/>
      <c r="CW500" s="517"/>
      <c r="CX500" s="517"/>
      <c r="CY500" s="517"/>
      <c r="CZ500" s="517"/>
      <c r="DA500" s="517"/>
      <c r="DB500" s="517"/>
      <c r="DC500" s="517"/>
      <c r="DD500" s="517"/>
      <c r="DE500" s="517"/>
      <c r="DF500" s="517"/>
      <c r="DG500" s="517"/>
      <c r="DH500" s="517"/>
      <c r="DI500" s="454"/>
      <c r="DJ500" s="454"/>
      <c r="DK500" s="454"/>
      <c r="DL500" s="454"/>
      <c r="DM500" s="454"/>
      <c r="DN500" s="454"/>
      <c r="DO500" s="454"/>
      <c r="DP500" s="454"/>
      <c r="DQ500" s="454"/>
      <c r="DR500" s="454"/>
      <c r="DS500" s="454"/>
      <c r="DT500" s="454"/>
      <c r="DU500" s="454"/>
      <c r="DV500" s="454"/>
      <c r="DW500" s="454"/>
      <c r="DX500" s="454"/>
      <c r="DY500" s="454"/>
      <c r="DZ500" s="454"/>
      <c r="EA500" s="454"/>
      <c r="EB500" s="454"/>
      <c r="EC500" s="454"/>
      <c r="ED500" s="454"/>
      <c r="EE500" s="454"/>
      <c r="EF500" s="454"/>
      <c r="EG500" s="454"/>
      <c r="EH500" s="454"/>
      <c r="EI500" s="454"/>
      <c r="EJ500" s="454"/>
      <c r="EK500" s="454"/>
      <c r="EL500" s="454"/>
      <c r="EM500" s="454"/>
      <c r="EN500" s="454"/>
      <c r="EO500" s="454"/>
      <c r="EP500" s="454"/>
      <c r="EQ500" s="454"/>
      <c r="ER500" s="454"/>
      <c r="ES500" s="454"/>
      <c r="ET500" s="454"/>
      <c r="EU500" s="454"/>
      <c r="EV500" s="454"/>
      <c r="EW500" s="454"/>
      <c r="EX500" s="454"/>
      <c r="EY500" s="454"/>
      <c r="EZ500" s="454"/>
      <c r="FA500" s="454"/>
      <c r="FB500" s="454"/>
      <c r="FC500" s="454"/>
      <c r="FD500" s="454"/>
      <c r="FE500" s="454"/>
      <c r="FF500" s="454"/>
      <c r="FG500" s="290"/>
    </row>
    <row r="501" spans="1:163" s="4" customFormat="1" hidden="1">
      <c r="A501" s="56"/>
      <c r="B501" s="56"/>
      <c r="C501" s="498"/>
      <c r="D501" s="498"/>
      <c r="E501" s="454"/>
      <c r="F501" s="454"/>
      <c r="G501" s="454"/>
      <c r="H501" s="454"/>
      <c r="I501" s="454"/>
      <c r="J501" s="454"/>
      <c r="K501" s="454"/>
      <c r="L501" s="454"/>
      <c r="M501" s="454"/>
      <c r="N501" s="454"/>
      <c r="O501" s="454"/>
      <c r="P501" s="454"/>
      <c r="Q501" s="454"/>
      <c r="R501" s="454"/>
      <c r="S501" s="454"/>
      <c r="T501" s="454"/>
      <c r="U501" s="454"/>
      <c r="V501" s="454"/>
      <c r="W501" s="454"/>
      <c r="X501" s="454"/>
      <c r="Y501" s="454"/>
      <c r="Z501" s="454"/>
      <c r="AA501" s="454"/>
      <c r="AB501" s="454"/>
      <c r="AC501" s="454"/>
      <c r="AD501" s="454"/>
      <c r="AE501" s="454"/>
      <c r="AF501" s="454"/>
      <c r="AG501" s="454"/>
      <c r="AH501" s="454"/>
      <c r="AI501" s="454"/>
      <c r="AJ501" s="454"/>
      <c r="AK501" s="454"/>
      <c r="AL501" s="454"/>
      <c r="AM501" s="454"/>
      <c r="AN501" s="454"/>
      <c r="AO501" s="454"/>
      <c r="AP501" s="454"/>
      <c r="AQ501" s="454"/>
      <c r="AR501" s="454"/>
      <c r="AS501" s="454"/>
      <c r="AT501" s="454"/>
      <c r="AU501" s="454"/>
      <c r="AV501" s="454"/>
      <c r="AW501" s="454"/>
      <c r="AX501" s="454"/>
      <c r="AY501" s="454"/>
      <c r="AZ501" s="454"/>
      <c r="BA501" s="454"/>
      <c r="BB501" s="454"/>
      <c r="BC501" s="454"/>
      <c r="BD501" s="454"/>
      <c r="BE501" s="454"/>
      <c r="BF501" s="454"/>
      <c r="BG501" s="454"/>
      <c r="BH501" s="454"/>
      <c r="BI501" s="454"/>
      <c r="BJ501" s="454"/>
      <c r="BK501" s="454"/>
      <c r="BL501" s="454"/>
      <c r="BM501" s="454"/>
      <c r="BN501" s="454"/>
      <c r="BO501" s="454"/>
      <c r="BP501" s="454"/>
      <c r="BQ501" s="454"/>
      <c r="BR501" s="454"/>
      <c r="BS501" s="454"/>
      <c r="BT501" s="454"/>
      <c r="BU501" s="454"/>
      <c r="BV501" s="454"/>
      <c r="BW501" s="454"/>
      <c r="BX501" s="454"/>
      <c r="BY501" s="454"/>
      <c r="BZ501" s="454"/>
      <c r="CA501" s="454"/>
      <c r="CB501" s="454"/>
      <c r="CC501" s="454"/>
      <c r="CD501" s="454"/>
      <c r="CE501" s="454"/>
      <c r="CF501" s="454"/>
      <c r="CG501" s="454"/>
      <c r="CH501" s="454"/>
      <c r="CI501" s="454"/>
      <c r="CJ501" s="454"/>
      <c r="CK501" s="454"/>
      <c r="CL501" s="454"/>
      <c r="CM501" s="454"/>
      <c r="CN501" s="454"/>
      <c r="CO501" s="454"/>
      <c r="CP501" s="454"/>
      <c r="CQ501" s="454"/>
      <c r="CR501" s="454"/>
      <c r="CS501" s="454"/>
      <c r="CT501" s="454"/>
      <c r="CU501" s="454"/>
      <c r="CV501" s="517"/>
      <c r="CW501" s="517"/>
      <c r="CX501" s="517"/>
      <c r="CY501" s="517"/>
      <c r="CZ501" s="517"/>
      <c r="DA501" s="517"/>
      <c r="DB501" s="517"/>
      <c r="DC501" s="517"/>
      <c r="DD501" s="517"/>
      <c r="DE501" s="517"/>
      <c r="DF501" s="517"/>
      <c r="DG501" s="517"/>
      <c r="DH501" s="517"/>
      <c r="DI501" s="454"/>
      <c r="DJ501" s="454"/>
      <c r="DK501" s="454"/>
      <c r="DL501" s="454"/>
      <c r="DM501" s="454"/>
      <c r="DN501" s="454"/>
      <c r="DO501" s="454"/>
      <c r="DP501" s="454"/>
      <c r="DQ501" s="454"/>
      <c r="DR501" s="454"/>
      <c r="DS501" s="454"/>
      <c r="DT501" s="454"/>
      <c r="DU501" s="454"/>
      <c r="DV501" s="454"/>
      <c r="DW501" s="454"/>
      <c r="DX501" s="454"/>
      <c r="DY501" s="454"/>
      <c r="DZ501" s="454"/>
      <c r="EA501" s="454"/>
      <c r="EB501" s="454"/>
      <c r="EC501" s="454"/>
      <c r="ED501" s="454"/>
      <c r="EE501" s="454"/>
      <c r="EF501" s="454"/>
      <c r="EG501" s="454"/>
      <c r="EH501" s="454"/>
      <c r="EI501" s="454"/>
      <c r="EJ501" s="454"/>
      <c r="EK501" s="454"/>
      <c r="EL501" s="454"/>
      <c r="EM501" s="454"/>
      <c r="EN501" s="454"/>
      <c r="EO501" s="454"/>
      <c r="EP501" s="454"/>
      <c r="EQ501" s="454"/>
      <c r="ER501" s="454"/>
      <c r="ES501" s="454"/>
      <c r="ET501" s="454"/>
      <c r="EU501" s="454"/>
      <c r="EV501" s="454"/>
      <c r="EW501" s="454"/>
      <c r="EX501" s="454"/>
      <c r="EY501" s="454"/>
      <c r="EZ501" s="454"/>
      <c r="FA501" s="454"/>
      <c r="FB501" s="454"/>
      <c r="FC501" s="454"/>
      <c r="FD501" s="454"/>
      <c r="FE501" s="454"/>
      <c r="FF501" s="454"/>
      <c r="FG501" s="290"/>
    </row>
    <row r="502" spans="1:163" s="4" customFormat="1" hidden="1">
      <c r="A502" s="56"/>
      <c r="B502" s="56"/>
      <c r="C502" s="498"/>
      <c r="D502" s="498"/>
      <c r="E502" s="454"/>
      <c r="F502" s="454"/>
      <c r="G502" s="454"/>
      <c r="H502" s="454"/>
      <c r="I502" s="454"/>
      <c r="J502" s="454"/>
      <c r="K502" s="454"/>
      <c r="L502" s="454"/>
      <c r="M502" s="454"/>
      <c r="N502" s="454"/>
      <c r="O502" s="454"/>
      <c r="P502" s="454"/>
      <c r="Q502" s="454"/>
      <c r="R502" s="454"/>
      <c r="S502" s="454"/>
      <c r="T502" s="454"/>
      <c r="U502" s="454"/>
      <c r="V502" s="454"/>
      <c r="W502" s="454"/>
      <c r="X502" s="454"/>
      <c r="Y502" s="454"/>
      <c r="Z502" s="454"/>
      <c r="AA502" s="454"/>
      <c r="AB502" s="454"/>
      <c r="AC502" s="454"/>
      <c r="AD502" s="454"/>
      <c r="AE502" s="454"/>
      <c r="AF502" s="454"/>
      <c r="AG502" s="454"/>
      <c r="AH502" s="454"/>
      <c r="AI502" s="454"/>
      <c r="AJ502" s="454"/>
      <c r="AK502" s="454"/>
      <c r="AL502" s="454"/>
      <c r="AM502" s="454"/>
      <c r="AN502" s="454"/>
      <c r="AO502" s="454"/>
      <c r="AP502" s="454"/>
      <c r="AQ502" s="454"/>
      <c r="AR502" s="454"/>
      <c r="AS502" s="454"/>
      <c r="AT502" s="454"/>
      <c r="AU502" s="454"/>
      <c r="AV502" s="454"/>
      <c r="AW502" s="454"/>
      <c r="AX502" s="454"/>
      <c r="AY502" s="454"/>
      <c r="AZ502" s="454"/>
      <c r="BA502" s="454"/>
      <c r="BB502" s="454"/>
      <c r="BC502" s="454"/>
      <c r="BD502" s="454"/>
      <c r="BE502" s="454"/>
      <c r="BF502" s="454"/>
      <c r="BG502" s="454"/>
      <c r="BH502" s="454"/>
      <c r="BI502" s="454"/>
      <c r="BJ502" s="454"/>
      <c r="BK502" s="454"/>
      <c r="BL502" s="454"/>
      <c r="BM502" s="454"/>
      <c r="BN502" s="454"/>
      <c r="BO502" s="454"/>
      <c r="BP502" s="454"/>
      <c r="BQ502" s="454"/>
      <c r="BR502" s="454"/>
      <c r="BS502" s="454"/>
      <c r="BT502" s="454"/>
      <c r="BU502" s="454"/>
      <c r="BV502" s="454"/>
      <c r="BW502" s="454"/>
      <c r="BX502" s="454"/>
      <c r="BY502" s="454"/>
      <c r="BZ502" s="454"/>
      <c r="CA502" s="454"/>
      <c r="CB502" s="454"/>
      <c r="CC502" s="454"/>
      <c r="CD502" s="454"/>
      <c r="CE502" s="454"/>
      <c r="CF502" s="454"/>
      <c r="CG502" s="454"/>
      <c r="CH502" s="454"/>
      <c r="CI502" s="454"/>
      <c r="CJ502" s="454"/>
      <c r="CK502" s="454"/>
      <c r="CL502" s="454"/>
      <c r="CM502" s="454"/>
      <c r="CN502" s="454"/>
      <c r="CO502" s="454"/>
      <c r="CP502" s="454"/>
      <c r="CQ502" s="454"/>
      <c r="CR502" s="454"/>
      <c r="CS502" s="454"/>
      <c r="CT502" s="454"/>
      <c r="CU502" s="454"/>
      <c r="CV502" s="517"/>
      <c r="CW502" s="517"/>
      <c r="CX502" s="517"/>
      <c r="CY502" s="517"/>
      <c r="CZ502" s="517"/>
      <c r="DA502" s="517"/>
      <c r="DB502" s="517"/>
      <c r="DC502" s="517"/>
      <c r="DD502" s="517"/>
      <c r="DE502" s="517"/>
      <c r="DF502" s="517"/>
      <c r="DG502" s="517"/>
      <c r="DH502" s="517"/>
      <c r="DI502" s="454"/>
      <c r="DJ502" s="454"/>
      <c r="DK502" s="454"/>
      <c r="DL502" s="454"/>
      <c r="DM502" s="454"/>
      <c r="DN502" s="454"/>
      <c r="DO502" s="454"/>
      <c r="DP502" s="454"/>
      <c r="DQ502" s="454"/>
      <c r="DR502" s="454"/>
      <c r="DS502" s="454"/>
      <c r="DT502" s="454"/>
      <c r="DU502" s="454"/>
      <c r="DV502" s="454"/>
      <c r="DW502" s="454"/>
      <c r="DX502" s="454"/>
      <c r="DY502" s="454"/>
      <c r="DZ502" s="454"/>
      <c r="EA502" s="454"/>
      <c r="EB502" s="454"/>
      <c r="EC502" s="454"/>
      <c r="ED502" s="454"/>
      <c r="EE502" s="454"/>
      <c r="EF502" s="454"/>
      <c r="EG502" s="454"/>
      <c r="EH502" s="454"/>
      <c r="EI502" s="454"/>
      <c r="EJ502" s="454"/>
      <c r="EK502" s="454"/>
      <c r="EL502" s="454"/>
      <c r="EM502" s="454"/>
      <c r="EN502" s="454"/>
      <c r="EO502" s="454"/>
      <c r="EP502" s="454"/>
      <c r="EQ502" s="454"/>
      <c r="ER502" s="454"/>
      <c r="ES502" s="454"/>
      <c r="ET502" s="454"/>
      <c r="EU502" s="454"/>
      <c r="EV502" s="454"/>
      <c r="EW502" s="454"/>
      <c r="EX502" s="454"/>
      <c r="EY502" s="454"/>
      <c r="EZ502" s="454"/>
      <c r="FA502" s="454"/>
      <c r="FB502" s="454"/>
      <c r="FC502" s="454"/>
      <c r="FD502" s="454"/>
      <c r="FE502" s="454"/>
      <c r="FF502" s="454"/>
      <c r="FG502" s="290"/>
    </row>
    <row r="503" spans="1:163" s="4" customFormat="1" hidden="1">
      <c r="A503" s="56"/>
      <c r="B503" s="56"/>
      <c r="C503" s="498"/>
      <c r="D503" s="498"/>
      <c r="E503" s="454"/>
      <c r="F503" s="454"/>
      <c r="G503" s="454"/>
      <c r="H503" s="454"/>
      <c r="I503" s="454"/>
      <c r="J503" s="454"/>
      <c r="K503" s="454"/>
      <c r="L503" s="454"/>
      <c r="M503" s="454"/>
      <c r="N503" s="454"/>
      <c r="O503" s="454"/>
      <c r="P503" s="454"/>
      <c r="Q503" s="454"/>
      <c r="R503" s="454"/>
      <c r="S503" s="454"/>
      <c r="T503" s="454"/>
      <c r="U503" s="454"/>
      <c r="V503" s="454"/>
      <c r="W503" s="454"/>
      <c r="X503" s="454"/>
      <c r="Y503" s="454"/>
      <c r="Z503" s="454"/>
      <c r="AA503" s="454"/>
      <c r="AB503" s="454"/>
      <c r="AC503" s="454"/>
      <c r="AD503" s="454"/>
      <c r="AE503" s="454"/>
      <c r="AF503" s="454"/>
      <c r="AG503" s="454"/>
      <c r="AH503" s="454"/>
      <c r="AI503" s="454"/>
      <c r="AJ503" s="454"/>
      <c r="AK503" s="454"/>
      <c r="AL503" s="454"/>
      <c r="AM503" s="454"/>
      <c r="AN503" s="454"/>
      <c r="AO503" s="454"/>
      <c r="AP503" s="454"/>
      <c r="AQ503" s="454"/>
      <c r="AR503" s="454"/>
      <c r="AS503" s="454"/>
      <c r="AT503" s="454"/>
      <c r="AU503" s="454"/>
      <c r="AV503" s="454"/>
      <c r="AW503" s="454"/>
      <c r="AX503" s="454"/>
      <c r="AY503" s="454"/>
      <c r="AZ503" s="454"/>
      <c r="BA503" s="454"/>
      <c r="BB503" s="454"/>
      <c r="BC503" s="454"/>
      <c r="BD503" s="454"/>
      <c r="BE503" s="454"/>
      <c r="BF503" s="454"/>
      <c r="BG503" s="454"/>
      <c r="BH503" s="454"/>
      <c r="BI503" s="454"/>
      <c r="BJ503" s="454"/>
      <c r="BK503" s="454"/>
      <c r="BL503" s="454"/>
      <c r="BM503" s="454"/>
      <c r="BN503" s="454"/>
      <c r="BO503" s="454"/>
      <c r="BP503" s="454"/>
      <c r="BQ503" s="454"/>
      <c r="BR503" s="454"/>
      <c r="BS503" s="454"/>
      <c r="BT503" s="454"/>
      <c r="BU503" s="454"/>
      <c r="BV503" s="454"/>
      <c r="BW503" s="454"/>
      <c r="BX503" s="454"/>
      <c r="BY503" s="454"/>
      <c r="BZ503" s="454"/>
      <c r="CA503" s="454"/>
      <c r="CB503" s="454"/>
      <c r="CC503" s="454"/>
      <c r="CD503" s="454"/>
      <c r="CE503" s="454"/>
      <c r="CF503" s="454"/>
      <c r="CG503" s="454"/>
      <c r="CH503" s="454"/>
      <c r="CI503" s="454"/>
      <c r="CJ503" s="454"/>
      <c r="CK503" s="454"/>
      <c r="CL503" s="454"/>
      <c r="CM503" s="454"/>
      <c r="CN503" s="454"/>
      <c r="CO503" s="454"/>
      <c r="CP503" s="454"/>
      <c r="CQ503" s="454"/>
      <c r="CR503" s="454"/>
      <c r="CS503" s="454"/>
      <c r="CT503" s="454"/>
      <c r="CU503" s="454"/>
      <c r="CV503" s="517"/>
      <c r="CW503" s="517"/>
      <c r="CX503" s="517"/>
      <c r="CY503" s="517"/>
      <c r="CZ503" s="517"/>
      <c r="DA503" s="517"/>
      <c r="DB503" s="517"/>
      <c r="DC503" s="517"/>
      <c r="DD503" s="517"/>
      <c r="DE503" s="517"/>
      <c r="DF503" s="517"/>
      <c r="DG503" s="517"/>
      <c r="DH503" s="517"/>
      <c r="DI503" s="454"/>
      <c r="DJ503" s="454"/>
      <c r="DK503" s="454"/>
      <c r="DL503" s="454"/>
      <c r="DM503" s="454"/>
      <c r="DN503" s="454"/>
      <c r="DO503" s="454"/>
      <c r="DP503" s="454"/>
      <c r="DQ503" s="454"/>
      <c r="DR503" s="454"/>
      <c r="DS503" s="454"/>
      <c r="DT503" s="454"/>
      <c r="DU503" s="454"/>
      <c r="DV503" s="454"/>
      <c r="DW503" s="454"/>
      <c r="DX503" s="454"/>
      <c r="DY503" s="454"/>
      <c r="DZ503" s="454"/>
      <c r="EA503" s="454"/>
      <c r="EB503" s="454"/>
      <c r="EC503" s="454"/>
      <c r="ED503" s="454"/>
      <c r="EE503" s="454"/>
      <c r="EF503" s="454"/>
      <c r="EG503" s="454"/>
      <c r="EH503" s="454"/>
      <c r="EI503" s="454"/>
      <c r="EJ503" s="454"/>
      <c r="EK503" s="454"/>
      <c r="EL503" s="454"/>
      <c r="EM503" s="454"/>
      <c r="EN503" s="454"/>
      <c r="EO503" s="454"/>
      <c r="EP503" s="454"/>
      <c r="EQ503" s="454"/>
      <c r="ER503" s="454"/>
      <c r="ES503" s="454"/>
      <c r="ET503" s="454"/>
      <c r="EU503" s="454"/>
      <c r="EV503" s="454"/>
      <c r="EW503" s="454"/>
      <c r="EX503" s="454"/>
      <c r="EY503" s="454"/>
      <c r="EZ503" s="454"/>
      <c r="FA503" s="454"/>
      <c r="FB503" s="454"/>
      <c r="FC503" s="454"/>
      <c r="FD503" s="454"/>
      <c r="FE503" s="454"/>
      <c r="FF503" s="454"/>
      <c r="FG503" s="290"/>
    </row>
    <row r="504" spans="1:163" s="4" customFormat="1" hidden="1">
      <c r="A504" s="56"/>
      <c r="B504" s="56"/>
      <c r="C504" s="498"/>
      <c r="D504" s="498"/>
      <c r="E504" s="454"/>
      <c r="F504" s="454"/>
      <c r="G504" s="454"/>
      <c r="H504" s="454"/>
      <c r="I504" s="454"/>
      <c r="J504" s="454"/>
      <c r="K504" s="454"/>
      <c r="L504" s="454"/>
      <c r="M504" s="454"/>
      <c r="N504" s="454"/>
      <c r="O504" s="454"/>
      <c r="P504" s="454"/>
      <c r="Q504" s="454"/>
      <c r="R504" s="454"/>
      <c r="S504" s="454"/>
      <c r="T504" s="454"/>
      <c r="U504" s="454"/>
      <c r="V504" s="454"/>
      <c r="W504" s="454"/>
      <c r="X504" s="454"/>
      <c r="Y504" s="454"/>
      <c r="Z504" s="454"/>
      <c r="AA504" s="454"/>
      <c r="AB504" s="454"/>
      <c r="AC504" s="454"/>
      <c r="AD504" s="454"/>
      <c r="AE504" s="454"/>
      <c r="AF504" s="454"/>
      <c r="AG504" s="454"/>
      <c r="AH504" s="454"/>
      <c r="AI504" s="454"/>
      <c r="AJ504" s="454"/>
      <c r="AK504" s="454"/>
      <c r="AL504" s="454"/>
      <c r="AM504" s="454"/>
      <c r="AN504" s="454"/>
      <c r="AO504" s="454"/>
      <c r="AP504" s="454"/>
      <c r="AQ504" s="454"/>
      <c r="AR504" s="454"/>
      <c r="AS504" s="454"/>
      <c r="AT504" s="454"/>
      <c r="AU504" s="454"/>
      <c r="AV504" s="454"/>
      <c r="AW504" s="454"/>
      <c r="AX504" s="454"/>
      <c r="AY504" s="454"/>
      <c r="AZ504" s="454"/>
      <c r="BA504" s="454"/>
      <c r="BB504" s="454"/>
      <c r="BC504" s="454"/>
      <c r="BD504" s="454"/>
      <c r="BE504" s="454"/>
      <c r="BF504" s="454"/>
      <c r="BG504" s="454"/>
      <c r="BH504" s="454"/>
      <c r="BI504" s="454"/>
      <c r="BJ504" s="454"/>
      <c r="BK504" s="454"/>
      <c r="BL504" s="454"/>
      <c r="BM504" s="454"/>
      <c r="BN504" s="454"/>
      <c r="BO504" s="454"/>
      <c r="BP504" s="454"/>
      <c r="BQ504" s="454"/>
      <c r="BR504" s="454"/>
      <c r="BS504" s="454"/>
      <c r="BT504" s="454"/>
      <c r="BU504" s="454"/>
      <c r="BV504" s="454"/>
      <c r="BW504" s="454"/>
      <c r="BX504" s="454"/>
      <c r="BY504" s="454"/>
      <c r="BZ504" s="454"/>
      <c r="CA504" s="454"/>
      <c r="CB504" s="454"/>
      <c r="CC504" s="454"/>
      <c r="CD504" s="454"/>
      <c r="CE504" s="454"/>
      <c r="CF504" s="454"/>
      <c r="CG504" s="454"/>
      <c r="CH504" s="454"/>
      <c r="CI504" s="454"/>
      <c r="CJ504" s="454"/>
      <c r="CK504" s="454"/>
      <c r="CL504" s="454"/>
      <c r="CM504" s="454"/>
      <c r="CN504" s="454"/>
      <c r="CO504" s="454"/>
      <c r="CP504" s="454"/>
      <c r="CQ504" s="454"/>
      <c r="CR504" s="454"/>
      <c r="CS504" s="454"/>
      <c r="CT504" s="454"/>
      <c r="CU504" s="454"/>
      <c r="CV504" s="517"/>
      <c r="CW504" s="517"/>
      <c r="CX504" s="517"/>
      <c r="CY504" s="517"/>
      <c r="CZ504" s="517"/>
      <c r="DA504" s="517"/>
      <c r="DB504" s="517"/>
      <c r="DC504" s="517"/>
      <c r="DD504" s="517"/>
      <c r="DE504" s="517"/>
      <c r="DF504" s="517"/>
      <c r="DG504" s="517"/>
      <c r="DH504" s="517"/>
      <c r="DI504" s="454"/>
      <c r="DJ504" s="454"/>
      <c r="DK504" s="454"/>
      <c r="DL504" s="454"/>
      <c r="DM504" s="454"/>
      <c r="DN504" s="454"/>
      <c r="DO504" s="454"/>
      <c r="DP504" s="454"/>
      <c r="DQ504" s="454"/>
      <c r="DR504" s="454"/>
      <c r="DS504" s="454"/>
      <c r="DT504" s="454"/>
      <c r="DU504" s="454"/>
      <c r="DV504" s="454"/>
      <c r="DW504" s="454"/>
      <c r="DX504" s="454"/>
      <c r="DY504" s="454"/>
      <c r="DZ504" s="454"/>
      <c r="EA504" s="454"/>
      <c r="EB504" s="454"/>
      <c r="EC504" s="454"/>
      <c r="ED504" s="454"/>
      <c r="EE504" s="454"/>
      <c r="EF504" s="454"/>
      <c r="EG504" s="454"/>
      <c r="EH504" s="454"/>
      <c r="EI504" s="454"/>
      <c r="EJ504" s="454"/>
      <c r="EK504" s="454"/>
      <c r="EL504" s="454"/>
      <c r="EM504" s="454"/>
      <c r="EN504" s="454"/>
      <c r="EO504" s="454"/>
      <c r="EP504" s="454"/>
      <c r="EQ504" s="454"/>
      <c r="ER504" s="454"/>
      <c r="ES504" s="454"/>
      <c r="ET504" s="454"/>
      <c r="EU504" s="454"/>
      <c r="EV504" s="454"/>
      <c r="EW504" s="454"/>
      <c r="EX504" s="454"/>
      <c r="EY504" s="454"/>
      <c r="EZ504" s="454"/>
      <c r="FA504" s="454"/>
      <c r="FB504" s="454"/>
      <c r="FC504" s="454"/>
      <c r="FD504" s="454"/>
      <c r="FE504" s="454"/>
      <c r="FF504" s="454"/>
      <c r="FG504" s="290"/>
    </row>
    <row r="505" spans="1:163" s="4" customFormat="1" hidden="1">
      <c r="A505" s="486">
        <f>MATCH(C505,$C$5:$C$507,0)</f>
        <v>501</v>
      </c>
      <c r="B505" s="56"/>
      <c r="C505" s="508" t="s">
        <v>3086</v>
      </c>
      <c r="D505" s="508"/>
      <c r="E505" s="508">
        <f t="shared" ref="E505:AM505" si="94">SUM(E495:E504)</f>
        <v>0</v>
      </c>
      <c r="F505" s="508">
        <f t="shared" si="94"/>
        <v>0</v>
      </c>
      <c r="G505" s="508">
        <f t="shared" si="94"/>
        <v>0</v>
      </c>
      <c r="H505" s="508">
        <f t="shared" si="94"/>
        <v>0</v>
      </c>
      <c r="I505" s="508">
        <f t="shared" si="94"/>
        <v>0</v>
      </c>
      <c r="J505" s="508">
        <f t="shared" si="94"/>
        <v>0</v>
      </c>
      <c r="K505" s="508">
        <f t="shared" si="94"/>
        <v>0</v>
      </c>
      <c r="L505" s="508">
        <f t="shared" si="94"/>
        <v>0</v>
      </c>
      <c r="M505" s="508">
        <f t="shared" si="94"/>
        <v>0</v>
      </c>
      <c r="N505" s="508">
        <f t="shared" si="94"/>
        <v>0</v>
      </c>
      <c r="O505" s="508">
        <f t="shared" si="94"/>
        <v>0</v>
      </c>
      <c r="P505" s="508">
        <f t="shared" si="94"/>
        <v>0</v>
      </c>
      <c r="Q505" s="508">
        <f t="shared" si="94"/>
        <v>0</v>
      </c>
      <c r="R505" s="508">
        <f t="shared" si="94"/>
        <v>0</v>
      </c>
      <c r="S505" s="508">
        <f t="shared" si="94"/>
        <v>0</v>
      </c>
      <c r="T505" s="509">
        <f t="shared" si="94"/>
        <v>0</v>
      </c>
      <c r="U505" s="509">
        <f t="shared" si="94"/>
        <v>0</v>
      </c>
      <c r="V505" s="509">
        <f t="shared" si="94"/>
        <v>0</v>
      </c>
      <c r="W505" s="509">
        <f t="shared" si="94"/>
        <v>0</v>
      </c>
      <c r="X505" s="509">
        <f>SUM(X495:X504)</f>
        <v>0</v>
      </c>
      <c r="Y505" s="509">
        <f t="shared" si="94"/>
        <v>0</v>
      </c>
      <c r="Z505" s="509">
        <f t="shared" si="94"/>
        <v>0</v>
      </c>
      <c r="AA505" s="509">
        <f t="shared" si="94"/>
        <v>0</v>
      </c>
      <c r="AB505" s="509">
        <f t="shared" si="94"/>
        <v>0</v>
      </c>
      <c r="AC505" s="509">
        <f t="shared" si="94"/>
        <v>0</v>
      </c>
      <c r="AD505" s="509">
        <f t="shared" si="94"/>
        <v>0</v>
      </c>
      <c r="AE505" s="509">
        <f t="shared" si="94"/>
        <v>0</v>
      </c>
      <c r="AF505" s="509">
        <f t="shared" si="94"/>
        <v>0</v>
      </c>
      <c r="AG505" s="509">
        <f>SUM(AG495:AG504)</f>
        <v>0</v>
      </c>
      <c r="AH505" s="509">
        <f>SUM(AH495:AH504)</f>
        <v>0</v>
      </c>
      <c r="AI505" s="509">
        <f t="shared" si="94"/>
        <v>0</v>
      </c>
      <c r="AJ505" s="509">
        <f t="shared" si="94"/>
        <v>0</v>
      </c>
      <c r="AK505" s="509">
        <f t="shared" si="94"/>
        <v>0</v>
      </c>
      <c r="AL505" s="509">
        <f t="shared" si="94"/>
        <v>0</v>
      </c>
      <c r="AM505" s="509">
        <f t="shared" si="94"/>
        <v>0</v>
      </c>
      <c r="AN505" s="509">
        <f t="shared" ref="AN505:DA505" si="95">SUM(AN495:AN504)</f>
        <v>0</v>
      </c>
      <c r="AO505" s="509">
        <f t="shared" si="95"/>
        <v>0</v>
      </c>
      <c r="AP505" s="509">
        <f t="shared" si="95"/>
        <v>0</v>
      </c>
      <c r="AQ505" s="509">
        <f t="shared" si="95"/>
        <v>0</v>
      </c>
      <c r="AR505" s="509">
        <f t="shared" si="95"/>
        <v>0</v>
      </c>
      <c r="AS505" s="509">
        <f t="shared" si="95"/>
        <v>0</v>
      </c>
      <c r="AT505" s="509">
        <f t="shared" si="95"/>
        <v>0</v>
      </c>
      <c r="AU505" s="509">
        <f t="shared" si="95"/>
        <v>0</v>
      </c>
      <c r="AV505" s="509">
        <f t="shared" si="95"/>
        <v>0</v>
      </c>
      <c r="AW505" s="509">
        <f t="shared" si="95"/>
        <v>0</v>
      </c>
      <c r="AX505" s="509">
        <f t="shared" si="95"/>
        <v>0</v>
      </c>
      <c r="AY505" s="509">
        <f t="shared" si="95"/>
        <v>0</v>
      </c>
      <c r="AZ505" s="509">
        <f t="shared" si="95"/>
        <v>0</v>
      </c>
      <c r="BA505" s="509">
        <f t="shared" si="95"/>
        <v>0</v>
      </c>
      <c r="BB505" s="509">
        <f t="shared" si="95"/>
        <v>0</v>
      </c>
      <c r="BC505" s="509">
        <f t="shared" si="95"/>
        <v>0</v>
      </c>
      <c r="BD505" s="509">
        <f t="shared" si="95"/>
        <v>0</v>
      </c>
      <c r="BE505" s="509">
        <f t="shared" si="95"/>
        <v>0</v>
      </c>
      <c r="BF505" s="509">
        <f t="shared" si="95"/>
        <v>0</v>
      </c>
      <c r="BG505" s="509">
        <f t="shared" si="95"/>
        <v>0</v>
      </c>
      <c r="BH505" s="509">
        <f t="shared" si="95"/>
        <v>0</v>
      </c>
      <c r="BI505" s="509">
        <f t="shared" si="95"/>
        <v>0</v>
      </c>
      <c r="BJ505" s="509">
        <f t="shared" si="95"/>
        <v>0</v>
      </c>
      <c r="BK505" s="509">
        <f t="shared" si="95"/>
        <v>0</v>
      </c>
      <c r="BL505" s="509">
        <f t="shared" si="95"/>
        <v>0</v>
      </c>
      <c r="BM505" s="509">
        <f t="shared" si="95"/>
        <v>0</v>
      </c>
      <c r="BN505" s="509">
        <f t="shared" si="95"/>
        <v>0</v>
      </c>
      <c r="BO505" s="509">
        <f t="shared" si="95"/>
        <v>0</v>
      </c>
      <c r="BP505" s="509">
        <f t="shared" si="95"/>
        <v>0</v>
      </c>
      <c r="BQ505" s="509">
        <f t="shared" si="95"/>
        <v>0</v>
      </c>
      <c r="BR505" s="509">
        <f t="shared" si="95"/>
        <v>0</v>
      </c>
      <c r="BS505" s="509">
        <f t="shared" si="95"/>
        <v>0</v>
      </c>
      <c r="BT505" s="509">
        <f t="shared" si="95"/>
        <v>0</v>
      </c>
      <c r="BU505" s="509">
        <f t="shared" si="95"/>
        <v>0</v>
      </c>
      <c r="BV505" s="509">
        <f t="shared" si="95"/>
        <v>0</v>
      </c>
      <c r="BW505" s="509">
        <f t="shared" si="95"/>
        <v>0</v>
      </c>
      <c r="BX505" s="509">
        <f t="shared" si="95"/>
        <v>0</v>
      </c>
      <c r="BY505" s="509">
        <f t="shared" si="95"/>
        <v>0</v>
      </c>
      <c r="BZ505" s="509">
        <f t="shared" si="95"/>
        <v>0</v>
      </c>
      <c r="CA505" s="509">
        <f t="shared" si="95"/>
        <v>0</v>
      </c>
      <c r="CB505" s="509">
        <f t="shared" si="95"/>
        <v>0</v>
      </c>
      <c r="CC505" s="509">
        <f t="shared" si="95"/>
        <v>0</v>
      </c>
      <c r="CD505" s="509">
        <f t="shared" si="95"/>
        <v>0</v>
      </c>
      <c r="CE505" s="509">
        <f t="shared" si="95"/>
        <v>0</v>
      </c>
      <c r="CF505" s="509">
        <f t="shared" si="95"/>
        <v>0</v>
      </c>
      <c r="CG505" s="509">
        <f t="shared" si="95"/>
        <v>0</v>
      </c>
      <c r="CH505" s="509">
        <f t="shared" si="95"/>
        <v>0</v>
      </c>
      <c r="CI505" s="509">
        <f t="shared" si="95"/>
        <v>0</v>
      </c>
      <c r="CJ505" s="509">
        <f t="shared" si="95"/>
        <v>0</v>
      </c>
      <c r="CK505" s="509">
        <f t="shared" si="95"/>
        <v>0</v>
      </c>
      <c r="CL505" s="509">
        <f t="shared" si="95"/>
        <v>0</v>
      </c>
      <c r="CM505" s="509">
        <f t="shared" si="95"/>
        <v>0</v>
      </c>
      <c r="CN505" s="509">
        <f t="shared" si="95"/>
        <v>0</v>
      </c>
      <c r="CO505" s="509">
        <f t="shared" si="95"/>
        <v>0</v>
      </c>
      <c r="CP505" s="509">
        <f t="shared" si="95"/>
        <v>0</v>
      </c>
      <c r="CQ505" s="509">
        <f t="shared" si="95"/>
        <v>0</v>
      </c>
      <c r="CR505" s="509">
        <f t="shared" si="95"/>
        <v>0</v>
      </c>
      <c r="CS505" s="509">
        <f t="shared" si="95"/>
        <v>0</v>
      </c>
      <c r="CT505" s="509">
        <f>SUM(CT495:CT504)</f>
        <v>0</v>
      </c>
      <c r="CU505" s="509">
        <f>SUM(CU495:CU504)</f>
        <v>0</v>
      </c>
      <c r="CV505" s="518">
        <f t="shared" si="95"/>
        <v>0</v>
      </c>
      <c r="CW505" s="518">
        <f t="shared" si="95"/>
        <v>0</v>
      </c>
      <c r="CX505" s="518">
        <f>SUM(CX495:CX504)</f>
        <v>0</v>
      </c>
      <c r="CY505" s="518">
        <f t="shared" si="95"/>
        <v>0</v>
      </c>
      <c r="CZ505" s="518">
        <f t="shared" si="95"/>
        <v>0</v>
      </c>
      <c r="DA505" s="518">
        <f t="shared" si="95"/>
        <v>0</v>
      </c>
      <c r="DB505" s="518">
        <f t="shared" ref="DB505:FE505" si="96">SUM(DB495:DB504)</f>
        <v>0</v>
      </c>
      <c r="DC505" s="518">
        <f t="shared" si="96"/>
        <v>0</v>
      </c>
      <c r="DD505" s="518">
        <f t="shared" si="96"/>
        <v>0</v>
      </c>
      <c r="DE505" s="518">
        <f t="shared" si="96"/>
        <v>0</v>
      </c>
      <c r="DF505" s="518">
        <f t="shared" si="96"/>
        <v>0</v>
      </c>
      <c r="DG505" s="518">
        <f t="shared" si="96"/>
        <v>0</v>
      </c>
      <c r="DH505" s="518">
        <f t="shared" si="96"/>
        <v>0</v>
      </c>
      <c r="DI505" s="509">
        <f t="shared" si="96"/>
        <v>0</v>
      </c>
      <c r="DJ505" s="509">
        <f t="shared" si="96"/>
        <v>0</v>
      </c>
      <c r="DK505" s="509">
        <f t="shared" si="96"/>
        <v>0</v>
      </c>
      <c r="DL505" s="509">
        <f t="shared" si="96"/>
        <v>0</v>
      </c>
      <c r="DM505" s="509">
        <f t="shared" si="96"/>
        <v>0</v>
      </c>
      <c r="DN505" s="509">
        <f t="shared" si="96"/>
        <v>0</v>
      </c>
      <c r="DO505" s="509">
        <f t="shared" si="96"/>
        <v>0</v>
      </c>
      <c r="DP505" s="509">
        <f t="shared" si="96"/>
        <v>0</v>
      </c>
      <c r="DQ505" s="509">
        <f t="shared" si="96"/>
        <v>0</v>
      </c>
      <c r="DR505" s="509">
        <f t="shared" si="96"/>
        <v>0</v>
      </c>
      <c r="DS505" s="509">
        <f t="shared" si="96"/>
        <v>0</v>
      </c>
      <c r="DT505" s="509">
        <f t="shared" si="96"/>
        <v>0</v>
      </c>
      <c r="DU505" s="509">
        <f t="shared" si="96"/>
        <v>0</v>
      </c>
      <c r="DV505" s="509">
        <f t="shared" si="96"/>
        <v>0</v>
      </c>
      <c r="DW505" s="509">
        <f t="shared" si="96"/>
        <v>0</v>
      </c>
      <c r="DX505" s="509">
        <f t="shared" si="96"/>
        <v>0</v>
      </c>
      <c r="DY505" s="509">
        <f t="shared" si="96"/>
        <v>0</v>
      </c>
      <c r="DZ505" s="509">
        <f t="shared" si="96"/>
        <v>0</v>
      </c>
      <c r="EA505" s="509">
        <f t="shared" si="96"/>
        <v>0</v>
      </c>
      <c r="EB505" s="509">
        <f t="shared" si="96"/>
        <v>0</v>
      </c>
      <c r="EC505" s="509">
        <f t="shared" si="96"/>
        <v>0</v>
      </c>
      <c r="ED505" s="509">
        <f t="shared" si="96"/>
        <v>0</v>
      </c>
      <c r="EE505" s="509">
        <f t="shared" si="96"/>
        <v>0</v>
      </c>
      <c r="EF505" s="509">
        <f t="shared" si="96"/>
        <v>0</v>
      </c>
      <c r="EG505" s="509">
        <f t="shared" si="96"/>
        <v>0</v>
      </c>
      <c r="EH505" s="509">
        <f t="shared" si="96"/>
        <v>0</v>
      </c>
      <c r="EI505" s="509">
        <f t="shared" si="96"/>
        <v>0</v>
      </c>
      <c r="EJ505" s="509">
        <f t="shared" si="96"/>
        <v>0</v>
      </c>
      <c r="EK505" s="509">
        <f t="shared" si="96"/>
        <v>0</v>
      </c>
      <c r="EL505" s="509">
        <f t="shared" si="96"/>
        <v>0</v>
      </c>
      <c r="EM505" s="509">
        <f t="shared" si="96"/>
        <v>0</v>
      </c>
      <c r="EN505" s="509">
        <f t="shared" si="96"/>
        <v>0</v>
      </c>
      <c r="EO505" s="509">
        <f t="shared" si="96"/>
        <v>0</v>
      </c>
      <c r="EP505" s="509">
        <f t="shared" si="96"/>
        <v>0</v>
      </c>
      <c r="EQ505" s="509">
        <f t="shared" si="96"/>
        <v>0</v>
      </c>
      <c r="ER505" s="509">
        <f t="shared" si="96"/>
        <v>0</v>
      </c>
      <c r="ES505" s="509">
        <f t="shared" si="96"/>
        <v>0</v>
      </c>
      <c r="ET505" s="509">
        <f t="shared" si="96"/>
        <v>0</v>
      </c>
      <c r="EU505" s="509">
        <f t="shared" si="96"/>
        <v>0</v>
      </c>
      <c r="EV505" s="509">
        <f t="shared" si="96"/>
        <v>0</v>
      </c>
      <c r="EW505" s="509">
        <f t="shared" si="96"/>
        <v>0</v>
      </c>
      <c r="EX505" s="509">
        <f t="shared" si="96"/>
        <v>0</v>
      </c>
      <c r="EY505" s="509">
        <f t="shared" si="96"/>
        <v>0</v>
      </c>
      <c r="EZ505" s="509">
        <f t="shared" si="96"/>
        <v>0</v>
      </c>
      <c r="FA505" s="509">
        <f t="shared" si="96"/>
        <v>0</v>
      </c>
      <c r="FB505" s="509">
        <f t="shared" si="96"/>
        <v>0</v>
      </c>
      <c r="FC505" s="509">
        <f t="shared" si="96"/>
        <v>0</v>
      </c>
      <c r="FD505" s="509">
        <f t="shared" si="96"/>
        <v>0</v>
      </c>
      <c r="FE505" s="509">
        <f t="shared" si="96"/>
        <v>0</v>
      </c>
      <c r="FF505" s="509"/>
      <c r="FG505" s="508"/>
    </row>
    <row r="506" spans="1:163" s="4" customFormat="1">
      <c r="A506" s="56"/>
      <c r="B506" s="56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454"/>
      <c r="V506" s="454"/>
      <c r="W506" s="454"/>
      <c r="X506" s="454"/>
      <c r="Y506" s="454"/>
      <c r="Z506" s="454"/>
      <c r="AA506" s="454"/>
      <c r="AB506" s="454"/>
      <c r="AC506" s="454"/>
      <c r="AD506" s="454"/>
      <c r="AE506" s="454"/>
      <c r="AF506" s="454"/>
      <c r="AG506" s="454"/>
      <c r="AH506" s="454"/>
      <c r="AI506" s="454"/>
      <c r="AJ506" s="454"/>
      <c r="AK506" s="454"/>
      <c r="AL506" s="454"/>
      <c r="AM506" s="454"/>
      <c r="AN506" s="454"/>
      <c r="AO506" s="454"/>
      <c r="AP506" s="454"/>
      <c r="AQ506" s="454"/>
      <c r="AR506" s="454"/>
      <c r="AS506" s="454"/>
      <c r="AT506" s="454"/>
      <c r="AU506" s="454"/>
      <c r="AV506" s="454"/>
      <c r="AW506" s="454"/>
      <c r="AX506" s="454"/>
      <c r="AY506" s="454"/>
      <c r="AZ506" s="454"/>
      <c r="BA506" s="454"/>
      <c r="BB506" s="454"/>
      <c r="BC506" s="454"/>
      <c r="BD506" s="454"/>
      <c r="BE506" s="454"/>
      <c r="BF506" s="454"/>
      <c r="BG506" s="454"/>
      <c r="BH506" s="454"/>
      <c r="BI506" s="454"/>
      <c r="BJ506" s="454"/>
      <c r="BK506" s="454"/>
      <c r="BL506" s="454"/>
      <c r="BM506" s="454"/>
      <c r="BN506" s="454"/>
      <c r="BO506" s="454"/>
      <c r="BP506" s="454"/>
      <c r="BQ506" s="454"/>
      <c r="BR506" s="454"/>
      <c r="BS506" s="454"/>
      <c r="BT506" s="454"/>
      <c r="BU506" s="454"/>
      <c r="BV506" s="454"/>
      <c r="BW506" s="454"/>
      <c r="BX506" s="454"/>
      <c r="BY506" s="454"/>
      <c r="BZ506" s="454"/>
      <c r="CA506" s="454"/>
      <c r="CB506" s="454"/>
      <c r="CC506" s="454"/>
      <c r="CD506" s="454"/>
      <c r="CE506" s="454"/>
      <c r="CF506" s="454"/>
      <c r="CG506" s="454"/>
      <c r="CH506" s="454"/>
      <c r="CI506" s="454"/>
      <c r="CJ506" s="454"/>
      <c r="CK506" s="454"/>
      <c r="CL506" s="454"/>
      <c r="CM506" s="454"/>
      <c r="CN506" s="454"/>
      <c r="CO506" s="454"/>
      <c r="CP506" s="454"/>
      <c r="CQ506" s="454"/>
      <c r="CR506" s="454"/>
      <c r="CS506" s="454"/>
      <c r="CT506" s="454"/>
      <c r="CU506" s="454"/>
      <c r="CV506" s="517"/>
      <c r="CW506" s="517"/>
      <c r="CX506" s="517"/>
      <c r="CY506" s="517"/>
      <c r="CZ506" s="517"/>
      <c r="DA506" s="517"/>
      <c r="DB506" s="517"/>
      <c r="DC506" s="517"/>
      <c r="DD506" s="517"/>
      <c r="DE506" s="517"/>
      <c r="DF506" s="517"/>
      <c r="DG506" s="517"/>
      <c r="DH506" s="517"/>
      <c r="DI506" s="454"/>
      <c r="DJ506" s="454"/>
      <c r="DK506" s="454"/>
      <c r="DL506" s="454"/>
      <c r="DM506" s="454"/>
      <c r="DN506" s="454"/>
      <c r="DO506" s="454"/>
      <c r="DP506" s="454"/>
      <c r="DQ506" s="454"/>
      <c r="DR506" s="454"/>
      <c r="DS506" s="454"/>
      <c r="DT506" s="454"/>
      <c r="DU506" s="454"/>
      <c r="DV506" s="454"/>
      <c r="DW506" s="454"/>
      <c r="DX506" s="454"/>
      <c r="DY506" s="454"/>
      <c r="DZ506" s="454"/>
      <c r="EA506" s="454"/>
      <c r="EB506" s="454"/>
      <c r="EC506" s="454"/>
      <c r="ED506" s="454"/>
      <c r="EE506" s="454"/>
      <c r="EF506" s="454"/>
      <c r="EG506" s="454"/>
      <c r="EH506" s="454"/>
      <c r="EI506" s="454"/>
      <c r="EJ506" s="454"/>
      <c r="EK506" s="454"/>
      <c r="EL506" s="454"/>
      <c r="EM506" s="454"/>
      <c r="EN506" s="454"/>
      <c r="EO506" s="454"/>
      <c r="EP506" s="454"/>
      <c r="EQ506" s="454"/>
      <c r="ER506" s="454"/>
      <c r="ES506" s="454"/>
      <c r="ET506" s="454"/>
      <c r="EU506" s="454"/>
      <c r="EV506" s="454"/>
      <c r="EW506" s="454"/>
      <c r="EX506" s="454"/>
      <c r="EY506" s="454"/>
      <c r="EZ506" s="454"/>
      <c r="FA506" s="454"/>
      <c r="FB506" s="454"/>
      <c r="FC506" s="454"/>
      <c r="FD506" s="454"/>
      <c r="FE506" s="454"/>
      <c r="FF506" s="454"/>
      <c r="FG506" s="290"/>
    </row>
    <row r="507" spans="1:163" s="4" customFormat="1">
      <c r="A507" s="486">
        <f>MATCH(C507,$C$5:$C$507,0)</f>
        <v>503</v>
      </c>
      <c r="B507" s="56"/>
      <c r="C507" s="510" t="s">
        <v>1512</v>
      </c>
      <c r="D507" s="510"/>
      <c r="E507" s="510">
        <f t="shared" ref="E507:Q507" si="97">SUM(E8:E505)/2</f>
        <v>12347.799999999997</v>
      </c>
      <c r="F507" s="510">
        <f t="shared" si="97"/>
        <v>0</v>
      </c>
      <c r="G507" s="510">
        <f t="shared" si="97"/>
        <v>0</v>
      </c>
      <c r="H507" s="510">
        <f t="shared" si="97"/>
        <v>0</v>
      </c>
      <c r="I507" s="510">
        <f t="shared" si="97"/>
        <v>0</v>
      </c>
      <c r="J507" s="510">
        <f t="shared" si="97"/>
        <v>0</v>
      </c>
      <c r="K507" s="510">
        <f t="shared" si="97"/>
        <v>0</v>
      </c>
      <c r="L507" s="510">
        <f t="shared" si="97"/>
        <v>0</v>
      </c>
      <c r="M507" s="510">
        <f t="shared" si="97"/>
        <v>0</v>
      </c>
      <c r="N507" s="510">
        <f t="shared" si="97"/>
        <v>0</v>
      </c>
      <c r="O507" s="510">
        <f t="shared" si="97"/>
        <v>0</v>
      </c>
      <c r="P507" s="510">
        <f t="shared" si="97"/>
        <v>0</v>
      </c>
      <c r="Q507" s="510">
        <f t="shared" si="97"/>
        <v>0</v>
      </c>
      <c r="R507" s="510">
        <f>R63+R453+R505</f>
        <v>0</v>
      </c>
      <c r="S507" s="510">
        <f>S63+S453+S505</f>
        <v>0</v>
      </c>
      <c r="T507" s="510">
        <f>T63+T453+T505</f>
        <v>0</v>
      </c>
      <c r="U507" s="511">
        <f>U63+U453+U505</f>
        <v>0</v>
      </c>
      <c r="V507" s="511">
        <f t="shared" ref="V507:BA507" si="98">SUM(V7:V505)/2</f>
        <v>0</v>
      </c>
      <c r="W507" s="511">
        <f t="shared" si="98"/>
        <v>0</v>
      </c>
      <c r="X507" s="511">
        <f t="shared" si="98"/>
        <v>0</v>
      </c>
      <c r="Y507" s="511">
        <f t="shared" si="98"/>
        <v>0</v>
      </c>
      <c r="Z507" s="511">
        <f t="shared" si="98"/>
        <v>0</v>
      </c>
      <c r="AA507" s="511">
        <f t="shared" si="98"/>
        <v>0</v>
      </c>
      <c r="AB507" s="511">
        <f t="shared" si="98"/>
        <v>0</v>
      </c>
      <c r="AC507" s="511">
        <f t="shared" si="98"/>
        <v>0</v>
      </c>
      <c r="AD507" s="511">
        <f t="shared" si="98"/>
        <v>0</v>
      </c>
      <c r="AE507" s="511">
        <f t="shared" si="98"/>
        <v>0</v>
      </c>
      <c r="AF507" s="511">
        <f t="shared" si="98"/>
        <v>0</v>
      </c>
      <c r="AG507" s="511">
        <f t="shared" si="98"/>
        <v>0</v>
      </c>
      <c r="AH507" s="511">
        <f t="shared" si="98"/>
        <v>0</v>
      </c>
      <c r="AI507" s="511">
        <f t="shared" si="98"/>
        <v>0</v>
      </c>
      <c r="AJ507" s="511">
        <f t="shared" si="98"/>
        <v>0</v>
      </c>
      <c r="AK507" s="511">
        <f t="shared" si="98"/>
        <v>0</v>
      </c>
      <c r="AL507" s="511">
        <f t="shared" si="98"/>
        <v>0</v>
      </c>
      <c r="AM507" s="511">
        <f t="shared" si="98"/>
        <v>0</v>
      </c>
      <c r="AN507" s="511">
        <f t="shared" si="98"/>
        <v>0</v>
      </c>
      <c r="AO507" s="511">
        <f t="shared" si="98"/>
        <v>0</v>
      </c>
      <c r="AP507" s="511">
        <f t="shared" si="98"/>
        <v>0</v>
      </c>
      <c r="AQ507" s="511">
        <f t="shared" si="98"/>
        <v>0</v>
      </c>
      <c r="AR507" s="511">
        <f t="shared" si="98"/>
        <v>0</v>
      </c>
      <c r="AS507" s="511">
        <f t="shared" si="98"/>
        <v>0</v>
      </c>
      <c r="AT507" s="511">
        <f t="shared" si="98"/>
        <v>0</v>
      </c>
      <c r="AU507" s="511">
        <f t="shared" si="98"/>
        <v>0</v>
      </c>
      <c r="AV507" s="511">
        <f t="shared" si="98"/>
        <v>0</v>
      </c>
      <c r="AW507" s="511">
        <f t="shared" si="98"/>
        <v>0</v>
      </c>
      <c r="AX507" s="511">
        <f t="shared" si="98"/>
        <v>0</v>
      </c>
      <c r="AY507" s="511">
        <f t="shared" si="98"/>
        <v>0</v>
      </c>
      <c r="AZ507" s="511">
        <f t="shared" si="98"/>
        <v>0</v>
      </c>
      <c r="BA507" s="511">
        <f t="shared" si="98"/>
        <v>0</v>
      </c>
      <c r="BB507" s="511">
        <f t="shared" ref="BB507:CG507" si="99">SUM(BB7:BB505)/2</f>
        <v>0</v>
      </c>
      <c r="BC507" s="511">
        <f t="shared" si="99"/>
        <v>0</v>
      </c>
      <c r="BD507" s="511">
        <f t="shared" si="99"/>
        <v>0</v>
      </c>
      <c r="BE507" s="511">
        <f t="shared" si="99"/>
        <v>0</v>
      </c>
      <c r="BF507" s="511">
        <f t="shared" si="99"/>
        <v>0</v>
      </c>
      <c r="BG507" s="511">
        <f t="shared" si="99"/>
        <v>0</v>
      </c>
      <c r="BH507" s="511">
        <f t="shared" si="99"/>
        <v>0</v>
      </c>
      <c r="BI507" s="511">
        <f t="shared" si="99"/>
        <v>0</v>
      </c>
      <c r="BJ507" s="511">
        <f t="shared" si="99"/>
        <v>0</v>
      </c>
      <c r="BK507" s="511">
        <f t="shared" si="99"/>
        <v>0</v>
      </c>
      <c r="BL507" s="511">
        <f t="shared" si="99"/>
        <v>0</v>
      </c>
      <c r="BM507" s="511">
        <f t="shared" si="99"/>
        <v>0</v>
      </c>
      <c r="BN507" s="511">
        <f t="shared" si="99"/>
        <v>0</v>
      </c>
      <c r="BO507" s="511">
        <f t="shared" si="99"/>
        <v>0</v>
      </c>
      <c r="BP507" s="511">
        <f t="shared" si="99"/>
        <v>0</v>
      </c>
      <c r="BQ507" s="511">
        <f t="shared" si="99"/>
        <v>0</v>
      </c>
      <c r="BR507" s="511">
        <f t="shared" si="99"/>
        <v>0</v>
      </c>
      <c r="BS507" s="511">
        <f t="shared" si="99"/>
        <v>0</v>
      </c>
      <c r="BT507" s="511">
        <f t="shared" si="99"/>
        <v>0</v>
      </c>
      <c r="BU507" s="511">
        <f t="shared" si="99"/>
        <v>0</v>
      </c>
      <c r="BV507" s="511">
        <f t="shared" si="99"/>
        <v>0</v>
      </c>
      <c r="BW507" s="511">
        <f t="shared" si="99"/>
        <v>0</v>
      </c>
      <c r="BX507" s="511">
        <f t="shared" si="99"/>
        <v>0</v>
      </c>
      <c r="BY507" s="511">
        <f t="shared" si="99"/>
        <v>0</v>
      </c>
      <c r="BZ507" s="511">
        <f t="shared" si="99"/>
        <v>0</v>
      </c>
      <c r="CA507" s="511">
        <f t="shared" si="99"/>
        <v>0</v>
      </c>
      <c r="CB507" s="511">
        <f t="shared" si="99"/>
        <v>0</v>
      </c>
      <c r="CC507" s="511">
        <f t="shared" si="99"/>
        <v>0</v>
      </c>
      <c r="CD507" s="511">
        <f t="shared" si="99"/>
        <v>0</v>
      </c>
      <c r="CE507" s="511">
        <f t="shared" si="99"/>
        <v>0</v>
      </c>
      <c r="CF507" s="511">
        <f t="shared" si="99"/>
        <v>0</v>
      </c>
      <c r="CG507" s="511">
        <f t="shared" si="99"/>
        <v>0</v>
      </c>
      <c r="CH507" s="511">
        <f t="shared" ref="CH507:DM507" si="100">SUM(CH7:CH505)/2</f>
        <v>0</v>
      </c>
      <c r="CI507" s="511">
        <f t="shared" si="100"/>
        <v>0</v>
      </c>
      <c r="CJ507" s="511">
        <f t="shared" si="100"/>
        <v>0</v>
      </c>
      <c r="CK507" s="511">
        <f t="shared" si="100"/>
        <v>0</v>
      </c>
      <c r="CL507" s="511">
        <f t="shared" si="100"/>
        <v>0</v>
      </c>
      <c r="CM507" s="511">
        <f t="shared" si="100"/>
        <v>0</v>
      </c>
      <c r="CN507" s="511">
        <f t="shared" si="100"/>
        <v>0</v>
      </c>
      <c r="CO507" s="511">
        <f t="shared" si="100"/>
        <v>0</v>
      </c>
      <c r="CP507" s="511">
        <f t="shared" si="100"/>
        <v>22</v>
      </c>
      <c r="CQ507" s="511">
        <f t="shared" si="100"/>
        <v>19</v>
      </c>
      <c r="CR507" s="511">
        <f t="shared" si="100"/>
        <v>0</v>
      </c>
      <c r="CS507" s="511">
        <f t="shared" si="100"/>
        <v>0</v>
      </c>
      <c r="CT507" s="511">
        <f t="shared" si="100"/>
        <v>0</v>
      </c>
      <c r="CU507" s="511">
        <f t="shared" si="100"/>
        <v>11</v>
      </c>
      <c r="CV507" s="520">
        <f t="shared" si="100"/>
        <v>1207.4999999999998</v>
      </c>
      <c r="CW507" s="520">
        <f t="shared" si="100"/>
        <v>8018.4999999999991</v>
      </c>
      <c r="CX507" s="520">
        <f t="shared" si="100"/>
        <v>1668.6</v>
      </c>
      <c r="CY507" s="520">
        <f t="shared" si="100"/>
        <v>0</v>
      </c>
      <c r="CZ507" s="520">
        <f t="shared" si="100"/>
        <v>2414.9999999999995</v>
      </c>
      <c r="DA507" s="520">
        <f t="shared" si="100"/>
        <v>19426.999999999993</v>
      </c>
      <c r="DB507" s="520">
        <f t="shared" si="100"/>
        <v>5005.8</v>
      </c>
      <c r="DC507" s="520">
        <f t="shared" si="100"/>
        <v>0</v>
      </c>
      <c r="DD507" s="520">
        <f t="shared" si="100"/>
        <v>466.4</v>
      </c>
      <c r="DE507" s="520">
        <f t="shared" si="100"/>
        <v>0</v>
      </c>
      <c r="DF507" s="520">
        <f t="shared" si="100"/>
        <v>0</v>
      </c>
      <c r="DG507" s="520">
        <f t="shared" si="100"/>
        <v>0</v>
      </c>
      <c r="DH507" s="520">
        <f t="shared" si="100"/>
        <v>0</v>
      </c>
      <c r="DI507" s="511">
        <f t="shared" si="100"/>
        <v>0</v>
      </c>
      <c r="DJ507" s="511">
        <f t="shared" si="100"/>
        <v>0</v>
      </c>
      <c r="DK507" s="511">
        <f t="shared" si="100"/>
        <v>190</v>
      </c>
      <c r="DL507" s="511">
        <f t="shared" si="100"/>
        <v>146</v>
      </c>
      <c r="DM507" s="511">
        <f t="shared" si="100"/>
        <v>1150</v>
      </c>
      <c r="DN507" s="511">
        <f t="shared" ref="DN507:ES507" si="101">SUM(DN7:DN505)/2</f>
        <v>263</v>
      </c>
      <c r="DO507" s="511">
        <f t="shared" si="101"/>
        <v>780</v>
      </c>
      <c r="DP507" s="511">
        <f t="shared" si="101"/>
        <v>653</v>
      </c>
      <c r="DQ507" s="511">
        <f t="shared" si="101"/>
        <v>28</v>
      </c>
      <c r="DR507" s="511">
        <f t="shared" si="101"/>
        <v>16</v>
      </c>
      <c r="DS507" s="511">
        <f t="shared" si="101"/>
        <v>68</v>
      </c>
      <c r="DT507" s="511">
        <f t="shared" si="101"/>
        <v>53</v>
      </c>
      <c r="DU507" s="511">
        <f t="shared" si="101"/>
        <v>628</v>
      </c>
      <c r="DV507" s="511">
        <f t="shared" si="101"/>
        <v>16</v>
      </c>
      <c r="DW507" s="511">
        <f t="shared" si="101"/>
        <v>2</v>
      </c>
      <c r="DX507" s="511">
        <f t="shared" si="101"/>
        <v>0</v>
      </c>
      <c r="DY507" s="511">
        <f t="shared" si="101"/>
        <v>0</v>
      </c>
      <c r="DZ507" s="511">
        <f t="shared" si="101"/>
        <v>158</v>
      </c>
      <c r="EA507" s="511">
        <f t="shared" si="101"/>
        <v>332</v>
      </c>
      <c r="EB507" s="511">
        <f t="shared" si="101"/>
        <v>93</v>
      </c>
      <c r="EC507" s="511">
        <f t="shared" si="101"/>
        <v>0</v>
      </c>
      <c r="ED507" s="511">
        <f t="shared" si="101"/>
        <v>23</v>
      </c>
      <c r="EE507" s="511">
        <f t="shared" si="101"/>
        <v>4</v>
      </c>
      <c r="EF507" s="511">
        <f t="shared" si="101"/>
        <v>0</v>
      </c>
      <c r="EG507" s="511">
        <f t="shared" si="101"/>
        <v>0</v>
      </c>
      <c r="EH507" s="511">
        <f t="shared" si="101"/>
        <v>0</v>
      </c>
      <c r="EI507" s="511">
        <f t="shared" si="101"/>
        <v>0</v>
      </c>
      <c r="EJ507" s="511">
        <f t="shared" si="101"/>
        <v>0</v>
      </c>
      <c r="EK507" s="511">
        <f t="shared" si="101"/>
        <v>0</v>
      </c>
      <c r="EL507" s="511">
        <f t="shared" si="101"/>
        <v>0</v>
      </c>
      <c r="EM507" s="511">
        <f t="shared" si="101"/>
        <v>0</v>
      </c>
      <c r="EN507" s="511">
        <f t="shared" si="101"/>
        <v>0</v>
      </c>
      <c r="EO507" s="511">
        <f t="shared" si="101"/>
        <v>0</v>
      </c>
      <c r="EP507" s="511">
        <f t="shared" si="101"/>
        <v>0</v>
      </c>
      <c r="EQ507" s="511">
        <f t="shared" si="101"/>
        <v>0</v>
      </c>
      <c r="ER507" s="511">
        <f t="shared" si="101"/>
        <v>0</v>
      </c>
      <c r="ES507" s="511">
        <f t="shared" si="101"/>
        <v>0</v>
      </c>
      <c r="ET507" s="511">
        <f t="shared" ref="ET507:FE507" si="102">SUM(ET7:ET505)/2</f>
        <v>0</v>
      </c>
      <c r="EU507" s="511">
        <f t="shared" si="102"/>
        <v>0</v>
      </c>
      <c r="EV507" s="511">
        <f t="shared" si="102"/>
        <v>0</v>
      </c>
      <c r="EW507" s="511">
        <f t="shared" si="102"/>
        <v>0</v>
      </c>
      <c r="EX507" s="511">
        <f t="shared" si="102"/>
        <v>32</v>
      </c>
      <c r="EY507" s="511">
        <f t="shared" si="102"/>
        <v>26</v>
      </c>
      <c r="EZ507" s="511">
        <f t="shared" si="102"/>
        <v>11</v>
      </c>
      <c r="FA507" s="511">
        <f t="shared" si="102"/>
        <v>5</v>
      </c>
      <c r="FB507" s="511">
        <f t="shared" si="102"/>
        <v>0</v>
      </c>
      <c r="FC507" s="511">
        <f t="shared" si="102"/>
        <v>0</v>
      </c>
      <c r="FD507" s="511">
        <f t="shared" si="102"/>
        <v>0</v>
      </c>
      <c r="FE507" s="511">
        <f t="shared" si="102"/>
        <v>0</v>
      </c>
      <c r="FF507" s="511"/>
      <c r="FG507" s="510"/>
    </row>
    <row r="509" spans="1:163">
      <c r="BV509" s="1">
        <f>BV91+BV185+BV449+BV505</f>
        <v>0</v>
      </c>
    </row>
    <row r="510" spans="1:163">
      <c r="AB510" s="1">
        <f>Y507+Z507+AA507+AB507*2</f>
        <v>0</v>
      </c>
      <c r="BV510" s="1">
        <f>BV507-BV509</f>
        <v>0</v>
      </c>
    </row>
    <row r="511" spans="1:163">
      <c r="AB511" s="1">
        <f>AB510-V507</f>
        <v>0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86" orientation="landscape" blackAndWhite="1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S39"/>
  <sheetViews>
    <sheetView showZeros="0" view="pageBreakPreview" topLeftCell="A4" zoomScale="85" zoomScaleNormal="100" zoomScaleSheetLayoutView="85" workbookViewId="0">
      <pane xSplit="2" ySplit="3" topLeftCell="D13" activePane="bottomRight" state="frozen"/>
      <selection activeCell="A4" sqref="A4"/>
      <selection pane="topRight" activeCell="C4" sqref="C4"/>
      <selection pane="bottomLeft" activeCell="A7" sqref="A7"/>
      <selection pane="bottomRight" activeCell="X4" sqref="X1:Z1048576"/>
    </sheetView>
  </sheetViews>
  <sheetFormatPr defaultColWidth="9.109375" defaultRowHeight="15.6"/>
  <cols>
    <col min="1" max="1" width="5.109375" style="56" bestFit="1" customWidth="1"/>
    <col min="2" max="2" width="17" style="4" bestFit="1" customWidth="1"/>
    <col min="3" max="3" width="0" style="56" hidden="1" customWidth="1"/>
    <col min="4" max="7" width="9.109375" style="56"/>
    <col min="8" max="10" width="8" style="56" customWidth="1"/>
    <col min="11" max="12" width="9.109375" style="56"/>
    <col min="13" max="14" width="8.44140625" style="56" customWidth="1"/>
    <col min="15" max="16" width="8" style="56" customWidth="1"/>
    <col min="17" max="18" width="8.109375" style="56" customWidth="1"/>
    <col min="19" max="19" width="8.109375" style="56" hidden="1" customWidth="1"/>
    <col min="20" max="24" width="8.109375" style="56" customWidth="1"/>
    <col min="25" max="25" width="0" style="56" hidden="1" customWidth="1"/>
    <col min="26" max="26" width="9.109375" style="56"/>
    <col min="27" max="27" width="8.109375" style="56" hidden="1" customWidth="1"/>
    <col min="28" max="28" width="8.109375" style="56" customWidth="1"/>
    <col min="29" max="30" width="10.5546875" style="56" bestFit="1" customWidth="1"/>
    <col min="31" max="34" width="8.33203125" style="56" customWidth="1"/>
    <col min="35" max="35" width="9.109375" style="56"/>
    <col min="36" max="36" width="13.5546875" style="56" bestFit="1" customWidth="1"/>
    <col min="37" max="45" width="9.109375" style="56"/>
    <col min="46" max="16384" width="9.109375" style="4"/>
  </cols>
  <sheetData>
    <row r="1" spans="1:45">
      <c r="A1" s="1056" t="s">
        <v>3541</v>
      </c>
      <c r="B1" s="1056"/>
      <c r="C1" s="1056"/>
      <c r="D1" s="1056"/>
      <c r="E1" s="1056"/>
      <c r="F1" s="1056"/>
      <c r="G1" s="1056"/>
      <c r="H1" s="1056"/>
      <c r="I1" s="1056"/>
      <c r="J1" s="1056"/>
      <c r="K1" s="1056"/>
      <c r="L1" s="1056"/>
      <c r="M1" s="1056"/>
      <c r="N1" s="1056"/>
      <c r="O1" s="1056"/>
      <c r="P1" s="1056"/>
      <c r="Q1" s="1056"/>
      <c r="R1" s="1056"/>
      <c r="S1" s="1056"/>
      <c r="T1" s="1056"/>
      <c r="U1" s="1056"/>
      <c r="V1" s="1056"/>
      <c r="W1" s="1056"/>
      <c r="X1" s="1056"/>
      <c r="Y1" s="1056"/>
      <c r="Z1" s="1056"/>
      <c r="AA1" s="1056"/>
      <c r="AB1" s="1056"/>
      <c r="AC1" s="1056"/>
      <c r="AD1" s="1056"/>
      <c r="AE1" s="1056"/>
      <c r="AF1" s="1056"/>
      <c r="AG1" s="1056"/>
      <c r="AH1" s="1056"/>
    </row>
    <row r="2" spans="1:45" hidden="1"/>
    <row r="3" spans="1:45" hidden="1"/>
    <row r="4" spans="1:45">
      <c r="A4" s="688" t="s">
        <v>3589</v>
      </c>
    </row>
    <row r="5" spans="1:45" s="452" customFormat="1" ht="46.8">
      <c r="A5" s="1075" t="s">
        <v>1763</v>
      </c>
      <c r="B5" s="1075" t="s">
        <v>3461</v>
      </c>
      <c r="C5" s="649" t="s">
        <v>3499</v>
      </c>
      <c r="D5" s="453" t="s">
        <v>3486</v>
      </c>
      <c r="E5" s="453" t="s">
        <v>3462</v>
      </c>
      <c r="F5" s="453" t="s">
        <v>3463</v>
      </c>
      <c r="G5" s="453" t="s">
        <v>3485</v>
      </c>
      <c r="H5" s="453" t="s">
        <v>3464</v>
      </c>
      <c r="I5" s="453" t="s">
        <v>3465</v>
      </c>
      <c r="J5" s="453" t="s">
        <v>3466</v>
      </c>
      <c r="K5" s="453" t="s">
        <v>3467</v>
      </c>
      <c r="L5" s="453" t="s">
        <v>3468</v>
      </c>
      <c r="M5" s="453" t="s">
        <v>3124</v>
      </c>
      <c r="N5" s="453" t="s">
        <v>2743</v>
      </c>
      <c r="O5" s="453" t="s">
        <v>3469</v>
      </c>
      <c r="P5" s="453" t="s">
        <v>3470</v>
      </c>
      <c r="Q5" s="453" t="s">
        <v>3471</v>
      </c>
      <c r="R5" s="453" t="s">
        <v>3472</v>
      </c>
      <c r="S5" s="453" t="s">
        <v>3473</v>
      </c>
      <c r="T5" s="453" t="s">
        <v>3474</v>
      </c>
      <c r="U5" s="453" t="s">
        <v>3475</v>
      </c>
      <c r="V5" s="453" t="s">
        <v>3476</v>
      </c>
      <c r="W5" s="453" t="s">
        <v>3477</v>
      </c>
      <c r="X5" s="453" t="s">
        <v>3478</v>
      </c>
      <c r="Y5" s="453" t="s">
        <v>3479</v>
      </c>
      <c r="Z5" s="453" t="s">
        <v>3484</v>
      </c>
      <c r="AA5" s="453" t="s">
        <v>3487</v>
      </c>
      <c r="AB5" s="453" t="s">
        <v>3482</v>
      </c>
      <c r="AC5" s="453" t="s">
        <v>3121</v>
      </c>
      <c r="AD5" s="453" t="s">
        <v>3483</v>
      </c>
      <c r="AE5" s="453" t="s">
        <v>3120</v>
      </c>
      <c r="AF5" s="453" t="s">
        <v>3122</v>
      </c>
      <c r="AG5" s="453" t="s">
        <v>1464</v>
      </c>
      <c r="AH5" s="453" t="s">
        <v>1434</v>
      </c>
    </row>
    <row r="6" spans="1:45" s="646" customFormat="1">
      <c r="A6" s="1075"/>
      <c r="B6" s="1075"/>
      <c r="C6" s="647" t="s">
        <v>2148</v>
      </c>
      <c r="D6" s="647" t="s">
        <v>2148</v>
      </c>
      <c r="E6" s="647" t="s">
        <v>2148</v>
      </c>
      <c r="F6" s="647" t="s">
        <v>2148</v>
      </c>
      <c r="G6" s="647" t="s">
        <v>2148</v>
      </c>
      <c r="H6" s="647" t="s">
        <v>1912</v>
      </c>
      <c r="I6" s="647" t="s">
        <v>1912</v>
      </c>
      <c r="J6" s="647" t="s">
        <v>3480</v>
      </c>
      <c r="K6" s="647" t="s">
        <v>138</v>
      </c>
      <c r="L6" s="647" t="s">
        <v>138</v>
      </c>
      <c r="M6" s="647" t="s">
        <v>3481</v>
      </c>
      <c r="N6" s="647" t="s">
        <v>3481</v>
      </c>
      <c r="O6" s="647" t="s">
        <v>1912</v>
      </c>
      <c r="P6" s="647" t="s">
        <v>1912</v>
      </c>
      <c r="Q6" s="647" t="s">
        <v>1912</v>
      </c>
      <c r="R6" s="647" t="s">
        <v>1912</v>
      </c>
      <c r="S6" s="647" t="s">
        <v>3481</v>
      </c>
      <c r="T6" s="647" t="s">
        <v>3481</v>
      </c>
      <c r="U6" s="647" t="s">
        <v>3481</v>
      </c>
      <c r="V6" s="647" t="s">
        <v>3481</v>
      </c>
      <c r="W6" s="647" t="s">
        <v>3481</v>
      </c>
      <c r="X6" s="647" t="s">
        <v>3481</v>
      </c>
      <c r="Y6" s="647" t="s">
        <v>3481</v>
      </c>
      <c r="Z6" s="647" t="s">
        <v>3481</v>
      </c>
      <c r="AA6" s="647" t="s">
        <v>3481</v>
      </c>
      <c r="AB6" s="647" t="s">
        <v>138</v>
      </c>
      <c r="AC6" s="647" t="s">
        <v>138</v>
      </c>
      <c r="AD6" s="647" t="s">
        <v>138</v>
      </c>
      <c r="AE6" s="647" t="s">
        <v>138</v>
      </c>
      <c r="AF6" s="647" t="s">
        <v>138</v>
      </c>
      <c r="AG6" s="647" t="s">
        <v>138</v>
      </c>
      <c r="AH6" s="647" t="s">
        <v>138</v>
      </c>
    </row>
    <row r="7" spans="1:45" s="706" customFormat="1">
      <c r="A7" s="703">
        <v>1</v>
      </c>
      <c r="B7" s="704" t="s">
        <v>3868</v>
      </c>
      <c r="C7" s="703"/>
      <c r="D7" s="703"/>
      <c r="E7" s="703"/>
      <c r="F7" s="703"/>
      <c r="G7" s="703">
        <v>3</v>
      </c>
      <c r="H7" s="703">
        <v>3</v>
      </c>
      <c r="I7" s="703">
        <v>3</v>
      </c>
      <c r="J7" s="703">
        <v>1</v>
      </c>
      <c r="K7" s="703">
        <v>3</v>
      </c>
      <c r="L7" s="703">
        <v>6</v>
      </c>
      <c r="M7" s="703">
        <f>4</f>
        <v>4</v>
      </c>
      <c r="N7" s="703">
        <f>5+5</f>
        <v>10</v>
      </c>
      <c r="O7" s="703">
        <v>1</v>
      </c>
      <c r="P7" s="703">
        <v>1</v>
      </c>
      <c r="Q7" s="703">
        <v>6</v>
      </c>
      <c r="R7" s="703">
        <v>2</v>
      </c>
      <c r="S7" s="703"/>
      <c r="T7" s="703">
        <f>8*3+3*7+3*7</f>
        <v>66</v>
      </c>
      <c r="U7" s="703"/>
      <c r="V7" s="703">
        <f>8+5+7+7</f>
        <v>27</v>
      </c>
      <c r="W7" s="703"/>
      <c r="X7" s="703"/>
      <c r="Y7" s="703"/>
      <c r="Z7" s="703">
        <v>9</v>
      </c>
      <c r="AA7" s="703"/>
      <c r="AB7" s="703"/>
      <c r="AC7" s="703"/>
      <c r="AD7" s="703">
        <v>1</v>
      </c>
      <c r="AE7" s="703"/>
      <c r="AF7" s="703">
        <v>3</v>
      </c>
      <c r="AG7" s="703"/>
      <c r="AH7" s="703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</row>
    <row r="8" spans="1:45" s="706" customFormat="1">
      <c r="A8" s="703">
        <v>2</v>
      </c>
      <c r="B8" s="704" t="s">
        <v>3869</v>
      </c>
      <c r="C8" s="703"/>
      <c r="D8" s="703"/>
      <c r="E8" s="703"/>
      <c r="F8" s="703"/>
      <c r="G8" s="703"/>
      <c r="H8" s="703"/>
      <c r="I8" s="703"/>
      <c r="J8" s="703">
        <v>1</v>
      </c>
      <c r="K8" s="703">
        <v>1</v>
      </c>
      <c r="L8" s="703">
        <v>4</v>
      </c>
      <c r="M8" s="703">
        <v>3.5</v>
      </c>
      <c r="N8" s="703">
        <v>8</v>
      </c>
      <c r="O8" s="703">
        <v>2</v>
      </c>
      <c r="P8" s="703"/>
      <c r="Q8" s="703">
        <v>6</v>
      </c>
      <c r="R8" s="703"/>
      <c r="S8" s="703"/>
      <c r="T8" s="703">
        <f>7.5*3</f>
        <v>22.5</v>
      </c>
      <c r="U8" s="703">
        <f>5.5*6</f>
        <v>33</v>
      </c>
      <c r="V8" s="703">
        <f>8+5</f>
        <v>13</v>
      </c>
      <c r="W8" s="703"/>
      <c r="X8" s="703"/>
      <c r="Y8" s="703"/>
      <c r="Z8" s="703"/>
      <c r="AA8" s="703"/>
      <c r="AB8" s="703"/>
      <c r="AC8" s="703"/>
      <c r="AD8" s="703"/>
      <c r="AE8" s="703"/>
      <c r="AF8" s="703"/>
      <c r="AG8" s="703"/>
      <c r="AH8" s="703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</row>
    <row r="9" spans="1:45" s="706" customFormat="1">
      <c r="A9" s="703">
        <v>3</v>
      </c>
      <c r="B9" s="704" t="s">
        <v>3871</v>
      </c>
      <c r="C9" s="703"/>
      <c r="D9" s="703"/>
      <c r="E9" s="703">
        <v>3</v>
      </c>
      <c r="F9" s="703"/>
      <c r="G9" s="703"/>
      <c r="H9" s="703">
        <v>3</v>
      </c>
      <c r="I9" s="703">
        <v>3</v>
      </c>
      <c r="J9" s="703">
        <v>1</v>
      </c>
      <c r="K9" s="703"/>
      <c r="L9" s="703">
        <f>3+3+3</f>
        <v>9</v>
      </c>
      <c r="M9" s="703"/>
      <c r="N9" s="703">
        <f>5+6+6</f>
        <v>17</v>
      </c>
      <c r="O9" s="703"/>
      <c r="P9" s="703"/>
      <c r="Q9" s="703">
        <f>1+3+3</f>
        <v>7</v>
      </c>
      <c r="R9" s="703">
        <f>1+1+1</f>
        <v>3</v>
      </c>
      <c r="S9" s="703"/>
      <c r="T9" s="703">
        <f>27</f>
        <v>27</v>
      </c>
      <c r="U9" s="703">
        <f>9+5+27</f>
        <v>41</v>
      </c>
      <c r="V9" s="703">
        <f>36</f>
        <v>36</v>
      </c>
      <c r="W9" s="703">
        <f>9</f>
        <v>9</v>
      </c>
      <c r="X9" s="703"/>
      <c r="Y9" s="703"/>
      <c r="Z9" s="703">
        <f>10.5</f>
        <v>10.5</v>
      </c>
      <c r="AA9" s="703"/>
      <c r="AB9" s="703"/>
      <c r="AC9" s="703"/>
      <c r="AD9" s="703">
        <v>2</v>
      </c>
      <c r="AE9" s="703">
        <v>6</v>
      </c>
      <c r="AF9" s="703"/>
      <c r="AG9" s="703">
        <v>3</v>
      </c>
      <c r="AH9" s="703">
        <v>3</v>
      </c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</row>
    <row r="10" spans="1:45" s="706" customFormat="1">
      <c r="A10" s="703">
        <v>4</v>
      </c>
      <c r="B10" s="704" t="s">
        <v>3873</v>
      </c>
      <c r="C10" s="703"/>
      <c r="D10" s="703"/>
      <c r="E10" s="703"/>
      <c r="F10" s="703"/>
      <c r="G10" s="703">
        <v>2</v>
      </c>
      <c r="H10" s="703">
        <v>1</v>
      </c>
      <c r="I10" s="703">
        <v>1</v>
      </c>
      <c r="J10" s="703">
        <v>1</v>
      </c>
      <c r="K10" s="703"/>
      <c r="L10" s="703">
        <v>6</v>
      </c>
      <c r="M10" s="703"/>
      <c r="N10" s="703">
        <f>5+6</f>
        <v>11</v>
      </c>
      <c r="O10" s="703"/>
      <c r="P10" s="703"/>
      <c r="Q10" s="703">
        <f>1+3</f>
        <v>4</v>
      </c>
      <c r="R10" s="703">
        <f>1+1</f>
        <v>2</v>
      </c>
      <c r="S10" s="703"/>
      <c r="T10" s="703">
        <f>9*2</f>
        <v>18</v>
      </c>
      <c r="U10" s="703">
        <f>8.5*2</f>
        <v>17</v>
      </c>
      <c r="V10" s="703">
        <f>9+8.5</f>
        <v>17.5</v>
      </c>
      <c r="W10" s="703"/>
      <c r="X10" s="703"/>
      <c r="Y10" s="703"/>
      <c r="Z10" s="703">
        <v>4.5</v>
      </c>
      <c r="AA10" s="703"/>
      <c r="AB10" s="703"/>
      <c r="AC10" s="703">
        <v>1</v>
      </c>
      <c r="AD10" s="703">
        <v>1</v>
      </c>
      <c r="AE10" s="703"/>
      <c r="AF10" s="703">
        <v>1</v>
      </c>
      <c r="AG10" s="703"/>
      <c r="AH10" s="703">
        <v>1</v>
      </c>
      <c r="AI10" s="700"/>
      <c r="AK10" s="758"/>
      <c r="AL10" s="700"/>
      <c r="AM10" s="700"/>
      <c r="AN10" s="700"/>
      <c r="AO10" s="700"/>
      <c r="AP10" s="700"/>
      <c r="AQ10" s="700"/>
      <c r="AR10" s="700"/>
      <c r="AS10" s="700"/>
    </row>
    <row r="11" spans="1:45" s="706" customFormat="1">
      <c r="A11" s="703">
        <v>5</v>
      </c>
      <c r="B11" s="704" t="s">
        <v>3874</v>
      </c>
      <c r="C11" s="703"/>
      <c r="D11" s="703">
        <v>2</v>
      </c>
      <c r="E11" s="703"/>
      <c r="F11" s="703"/>
      <c r="G11" s="703"/>
      <c r="H11" s="703">
        <v>1</v>
      </c>
      <c r="I11" s="703">
        <v>1</v>
      </c>
      <c r="J11" s="703">
        <v>1</v>
      </c>
      <c r="K11" s="703"/>
      <c r="L11" s="703">
        <v>6</v>
      </c>
      <c r="M11" s="703"/>
      <c r="N11" s="703">
        <f>5+5</f>
        <v>10</v>
      </c>
      <c r="O11" s="703"/>
      <c r="P11" s="703"/>
      <c r="Q11" s="703">
        <f>1+3</f>
        <v>4</v>
      </c>
      <c r="R11" s="703">
        <v>1</v>
      </c>
      <c r="S11" s="703"/>
      <c r="T11" s="703"/>
      <c r="U11" s="703"/>
      <c r="V11" s="703">
        <f>8.5*2+8.5*2</f>
        <v>34</v>
      </c>
      <c r="W11" s="703"/>
      <c r="X11" s="703">
        <f>8.5</f>
        <v>8.5</v>
      </c>
      <c r="Y11" s="703"/>
      <c r="Z11" s="703"/>
      <c r="AA11" s="703"/>
      <c r="AB11" s="703">
        <v>1</v>
      </c>
      <c r="AC11" s="703"/>
      <c r="AD11" s="703"/>
      <c r="AE11" s="703"/>
      <c r="AF11" s="703"/>
      <c r="AG11" s="703"/>
      <c r="AH11" s="703"/>
      <c r="AI11" s="700"/>
      <c r="AK11" s="758"/>
      <c r="AL11" s="700"/>
      <c r="AM11" s="700"/>
      <c r="AN11" s="700"/>
      <c r="AO11" s="700"/>
      <c r="AP11" s="700"/>
      <c r="AQ11" s="700"/>
      <c r="AR11" s="700"/>
      <c r="AS11" s="700"/>
    </row>
    <row r="12" spans="1:45" s="769" customFormat="1">
      <c r="A12" s="703">
        <v>6</v>
      </c>
      <c r="B12" s="767" t="s">
        <v>3870</v>
      </c>
      <c r="C12" s="766"/>
      <c r="D12" s="766"/>
      <c r="E12" s="766"/>
      <c r="F12" s="766"/>
      <c r="G12" s="766">
        <v>1</v>
      </c>
      <c r="H12" s="766">
        <v>1</v>
      </c>
      <c r="I12" s="766">
        <v>1</v>
      </c>
      <c r="J12" s="766">
        <v>1</v>
      </c>
      <c r="K12" s="766"/>
      <c r="L12" s="766">
        <f>3+3</f>
        <v>6</v>
      </c>
      <c r="M12" s="766"/>
      <c r="N12" s="766">
        <f>4+5</f>
        <v>9</v>
      </c>
      <c r="O12" s="766"/>
      <c r="P12" s="766"/>
      <c r="Q12" s="766">
        <f>1+3</f>
        <v>4</v>
      </c>
      <c r="R12" s="766">
        <f>1+1</f>
        <v>2</v>
      </c>
      <c r="S12" s="766"/>
      <c r="T12" s="766">
        <f>7.5*2</f>
        <v>15</v>
      </c>
      <c r="U12" s="766">
        <f>2*7</f>
        <v>14</v>
      </c>
      <c r="V12" s="766">
        <f>7.5</f>
        <v>7.5</v>
      </c>
      <c r="W12" s="766"/>
      <c r="X12" s="766"/>
      <c r="Y12" s="766"/>
      <c r="Z12" s="766">
        <v>3.5</v>
      </c>
      <c r="AA12" s="766"/>
      <c r="AB12" s="766"/>
      <c r="AC12" s="766">
        <v>1</v>
      </c>
      <c r="AD12" s="766"/>
      <c r="AE12" s="766"/>
      <c r="AF12" s="766">
        <v>1</v>
      </c>
      <c r="AG12" s="766"/>
      <c r="AH12" s="766">
        <v>1</v>
      </c>
      <c r="AI12" s="768"/>
      <c r="AJ12" s="768"/>
      <c r="AK12" s="768"/>
      <c r="AL12" s="768"/>
      <c r="AM12" s="768"/>
      <c r="AN12" s="768"/>
      <c r="AO12" s="768"/>
      <c r="AP12" s="768"/>
      <c r="AQ12" s="768"/>
      <c r="AR12" s="768"/>
      <c r="AS12" s="768"/>
    </row>
    <row r="13" spans="1:45" s="769" customFormat="1">
      <c r="A13" s="703">
        <v>7</v>
      </c>
      <c r="B13" s="767" t="s">
        <v>3876</v>
      </c>
      <c r="C13" s="766"/>
      <c r="D13" s="766"/>
      <c r="E13" s="766"/>
      <c r="F13" s="766"/>
      <c r="G13" s="766">
        <v>1</v>
      </c>
      <c r="H13" s="766">
        <v>1</v>
      </c>
      <c r="I13" s="766">
        <v>1</v>
      </c>
      <c r="J13" s="766">
        <v>1</v>
      </c>
      <c r="K13" s="766"/>
      <c r="L13" s="766">
        <f>3+3+3</f>
        <v>9</v>
      </c>
      <c r="M13" s="766"/>
      <c r="N13" s="766">
        <f>5.5+12.5</f>
        <v>18</v>
      </c>
      <c r="O13" s="766"/>
      <c r="P13" s="766"/>
      <c r="Q13" s="766">
        <f>1+3+3</f>
        <v>7</v>
      </c>
      <c r="R13" s="766">
        <f>1+1+1</f>
        <v>3</v>
      </c>
      <c r="S13" s="766"/>
      <c r="T13" s="766"/>
      <c r="U13" s="766">
        <f>9.5*2</f>
        <v>19</v>
      </c>
      <c r="V13" s="766">
        <f>9.5</f>
        <v>9.5</v>
      </c>
      <c r="W13" s="766">
        <f>8.5*6</f>
        <v>51</v>
      </c>
      <c r="X13" s="766"/>
      <c r="Y13" s="766"/>
      <c r="Z13" s="766">
        <v>3</v>
      </c>
      <c r="AA13" s="766"/>
      <c r="AB13" s="766">
        <v>1</v>
      </c>
      <c r="AC13" s="766"/>
      <c r="AD13" s="766"/>
      <c r="AE13" s="766">
        <v>2</v>
      </c>
      <c r="AF13" s="766"/>
      <c r="AG13" s="766"/>
      <c r="AH13" s="766">
        <v>1</v>
      </c>
      <c r="AI13" s="768"/>
      <c r="AJ13" s="768"/>
      <c r="AK13" s="768"/>
      <c r="AL13" s="768"/>
      <c r="AM13" s="768"/>
      <c r="AN13" s="768"/>
      <c r="AO13" s="768"/>
      <c r="AP13" s="768"/>
      <c r="AQ13" s="768"/>
      <c r="AR13" s="768"/>
      <c r="AS13" s="768"/>
    </row>
    <row r="14" spans="1:45" s="761" customFormat="1">
      <c r="A14" s="703">
        <v>8</v>
      </c>
      <c r="B14" s="759" t="s">
        <v>3872</v>
      </c>
      <c r="C14" s="721"/>
      <c r="D14" s="721"/>
      <c r="E14" s="721"/>
      <c r="F14" s="721">
        <v>2</v>
      </c>
      <c r="G14" s="721"/>
      <c r="H14" s="721">
        <v>1</v>
      </c>
      <c r="I14" s="721">
        <v>1</v>
      </c>
      <c r="J14" s="721">
        <v>1</v>
      </c>
      <c r="K14" s="721"/>
      <c r="L14" s="721">
        <f>3+3</f>
        <v>6</v>
      </c>
      <c r="M14" s="721"/>
      <c r="N14" s="721">
        <f>5+6</f>
        <v>11</v>
      </c>
      <c r="O14" s="721"/>
      <c r="P14" s="721"/>
      <c r="Q14" s="721">
        <f>1+3</f>
        <v>4</v>
      </c>
      <c r="R14" s="721">
        <f>1+1</f>
        <v>2</v>
      </c>
      <c r="S14" s="721"/>
      <c r="T14" s="721">
        <f>9.5*2+8.5*2</f>
        <v>36</v>
      </c>
      <c r="U14" s="721"/>
      <c r="V14" s="721">
        <f>9+2+8.5</f>
        <v>19.5</v>
      </c>
      <c r="W14" s="721"/>
      <c r="X14" s="721"/>
      <c r="Y14" s="721"/>
      <c r="Z14" s="721">
        <v>3.5</v>
      </c>
      <c r="AA14" s="721"/>
      <c r="AB14" s="721"/>
      <c r="AC14" s="721">
        <v>1</v>
      </c>
      <c r="AD14" s="721"/>
      <c r="AE14" s="721"/>
      <c r="AF14" s="721">
        <v>1</v>
      </c>
      <c r="AG14" s="721">
        <v>1</v>
      </c>
      <c r="AH14" s="721">
        <v>1</v>
      </c>
      <c r="AI14" s="760"/>
      <c r="AJ14" s="760"/>
      <c r="AK14" s="760"/>
      <c r="AL14" s="760"/>
      <c r="AM14" s="760"/>
      <c r="AN14" s="760"/>
      <c r="AO14" s="760"/>
      <c r="AP14" s="760"/>
      <c r="AQ14" s="760"/>
      <c r="AR14" s="760"/>
      <c r="AS14" s="760"/>
    </row>
    <row r="15" spans="1:45" s="761" customFormat="1">
      <c r="A15" s="703">
        <v>9</v>
      </c>
      <c r="B15" s="759" t="s">
        <v>3875</v>
      </c>
      <c r="C15" s="721"/>
      <c r="D15" s="721"/>
      <c r="E15" s="721"/>
      <c r="F15" s="721">
        <v>2</v>
      </c>
      <c r="G15" s="721"/>
      <c r="H15" s="721">
        <v>1</v>
      </c>
      <c r="I15" s="721">
        <v>1</v>
      </c>
      <c r="J15" s="721">
        <v>1</v>
      </c>
      <c r="K15" s="721"/>
      <c r="L15" s="721">
        <f>2+2</f>
        <v>4</v>
      </c>
      <c r="M15" s="721"/>
      <c r="N15" s="721">
        <f>4+5</f>
        <v>9</v>
      </c>
      <c r="O15" s="721"/>
      <c r="P15" s="721"/>
      <c r="Q15" s="721">
        <f>1+3</f>
        <v>4</v>
      </c>
      <c r="R15" s="721">
        <f>1+1</f>
        <v>2</v>
      </c>
      <c r="S15" s="721"/>
      <c r="T15" s="721">
        <f>2*8</f>
        <v>16</v>
      </c>
      <c r="U15" s="721">
        <f>8+6.5*2</f>
        <v>21</v>
      </c>
      <c r="V15" s="721"/>
      <c r="W15" s="721"/>
      <c r="X15" s="721"/>
      <c r="Y15" s="721"/>
      <c r="Z15" s="721">
        <v>3.5</v>
      </c>
      <c r="AA15" s="721"/>
      <c r="AB15" s="721">
        <v>1</v>
      </c>
      <c r="AC15" s="721"/>
      <c r="AD15" s="721"/>
      <c r="AE15" s="721">
        <v>2</v>
      </c>
      <c r="AF15" s="721"/>
      <c r="AG15" s="721"/>
      <c r="AH15" s="721">
        <v>1</v>
      </c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</row>
    <row r="16" spans="1:45" s="765" customFormat="1">
      <c r="A16" s="703">
        <v>10</v>
      </c>
      <c r="B16" s="763" t="s">
        <v>3877</v>
      </c>
      <c r="C16" s="762"/>
      <c r="D16" s="762"/>
      <c r="E16" s="762"/>
      <c r="F16" s="762"/>
      <c r="G16" s="762">
        <v>2</v>
      </c>
      <c r="H16" s="762">
        <v>1</v>
      </c>
      <c r="I16" s="762">
        <v>1</v>
      </c>
      <c r="J16" s="762">
        <v>1</v>
      </c>
      <c r="K16" s="762"/>
      <c r="L16" s="762">
        <f>1+3+3+3</f>
        <v>10</v>
      </c>
      <c r="M16" s="762"/>
      <c r="N16" s="762">
        <f>5+6+6+6</f>
        <v>23</v>
      </c>
      <c r="O16" s="762"/>
      <c r="P16" s="762"/>
      <c r="Q16" s="762">
        <f>1+4+4+3</f>
        <v>12</v>
      </c>
      <c r="R16" s="762">
        <f>1</f>
        <v>1</v>
      </c>
      <c r="S16" s="762"/>
      <c r="T16" s="762">
        <f>2*8.5</f>
        <v>17</v>
      </c>
      <c r="U16" s="762">
        <f>8*2+8*2+8.5*2+8.5+2</f>
        <v>59.5</v>
      </c>
      <c r="V16" s="762">
        <f>8.5</f>
        <v>8.5</v>
      </c>
      <c r="W16" s="762"/>
      <c r="X16" s="762"/>
      <c r="Y16" s="762"/>
      <c r="Z16" s="762">
        <v>3</v>
      </c>
      <c r="AA16" s="762"/>
      <c r="AB16" s="762">
        <v>1</v>
      </c>
      <c r="AC16" s="762"/>
      <c r="AD16" s="762"/>
      <c r="AE16" s="762">
        <v>2</v>
      </c>
      <c r="AF16" s="762"/>
      <c r="AG16" s="762"/>
      <c r="AH16" s="762"/>
      <c r="AI16" s="764"/>
      <c r="AJ16" s="764"/>
      <c r="AK16" s="764"/>
      <c r="AL16" s="764"/>
      <c r="AM16" s="764"/>
      <c r="AN16" s="764"/>
      <c r="AO16" s="764"/>
      <c r="AP16" s="764"/>
      <c r="AQ16" s="764"/>
      <c r="AR16" s="764"/>
      <c r="AS16" s="764"/>
    </row>
    <row r="17" spans="1:45" s="706" customFormat="1" hidden="1">
      <c r="A17" s="703"/>
      <c r="B17" s="704"/>
      <c r="C17" s="703"/>
      <c r="D17" s="703"/>
      <c r="E17" s="703"/>
      <c r="F17" s="703"/>
      <c r="G17" s="703"/>
      <c r="H17" s="703"/>
      <c r="I17" s="703"/>
      <c r="J17" s="703"/>
      <c r="K17" s="703"/>
      <c r="L17" s="703"/>
      <c r="M17" s="703"/>
      <c r="N17" s="703"/>
      <c r="O17" s="703"/>
      <c r="P17" s="703"/>
      <c r="Q17" s="703"/>
      <c r="R17" s="703"/>
      <c r="S17" s="703"/>
      <c r="T17" s="703"/>
      <c r="U17" s="703"/>
      <c r="V17" s="703"/>
      <c r="W17" s="703"/>
      <c r="X17" s="703"/>
      <c r="Y17" s="703"/>
      <c r="Z17" s="703"/>
      <c r="AA17" s="703"/>
      <c r="AB17" s="703"/>
      <c r="AC17" s="703"/>
      <c r="AD17" s="703"/>
      <c r="AE17" s="703"/>
      <c r="AF17" s="703"/>
      <c r="AG17" s="703"/>
      <c r="AH17" s="703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</row>
    <row r="18" spans="1:45" s="706" customFormat="1" hidden="1">
      <c r="A18" s="703"/>
      <c r="B18" s="704"/>
      <c r="C18" s="703"/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3"/>
      <c r="U18" s="703"/>
      <c r="V18" s="703"/>
      <c r="W18" s="703"/>
      <c r="X18" s="703"/>
      <c r="Y18" s="703"/>
      <c r="Z18" s="703"/>
      <c r="AA18" s="703"/>
      <c r="AB18" s="703"/>
      <c r="AC18" s="703"/>
      <c r="AD18" s="703"/>
      <c r="AE18" s="703"/>
      <c r="AF18" s="703"/>
      <c r="AG18" s="703"/>
      <c r="AH18" s="703"/>
      <c r="AI18" s="700"/>
      <c r="AJ18" s="700"/>
      <c r="AK18" s="700"/>
      <c r="AL18" s="700"/>
      <c r="AM18" s="700"/>
      <c r="AN18" s="700"/>
      <c r="AO18" s="700"/>
      <c r="AP18" s="700"/>
      <c r="AQ18" s="700"/>
      <c r="AR18" s="700"/>
      <c r="AS18" s="700"/>
    </row>
    <row r="19" spans="1:45" s="706" customFormat="1" hidden="1">
      <c r="A19" s="703"/>
      <c r="B19" s="704"/>
      <c r="C19" s="703"/>
      <c r="D19" s="703"/>
      <c r="E19" s="703"/>
      <c r="F19" s="703"/>
      <c r="G19" s="703"/>
      <c r="H19" s="703"/>
      <c r="I19" s="703"/>
      <c r="J19" s="703"/>
      <c r="K19" s="703"/>
      <c r="L19" s="703"/>
      <c r="M19" s="703"/>
      <c r="N19" s="703"/>
      <c r="O19" s="703"/>
      <c r="P19" s="703"/>
      <c r="Q19" s="703"/>
      <c r="R19" s="703"/>
      <c r="S19" s="703"/>
      <c r="T19" s="703"/>
      <c r="U19" s="703"/>
      <c r="V19" s="703"/>
      <c r="W19" s="703"/>
      <c r="X19" s="703"/>
      <c r="Y19" s="703"/>
      <c r="Z19" s="703"/>
      <c r="AA19" s="703"/>
      <c r="AB19" s="703"/>
      <c r="AC19" s="703"/>
      <c r="AD19" s="703"/>
      <c r="AE19" s="703"/>
      <c r="AF19" s="703"/>
      <c r="AG19" s="703"/>
      <c r="AH19" s="703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</row>
    <row r="21" spans="1:45" s="18" customFormat="1">
      <c r="A21" s="671"/>
      <c r="B21" s="672" t="s">
        <v>3540</v>
      </c>
      <c r="C21" s="671">
        <f>SUM(C7:C19)</f>
        <v>0</v>
      </c>
      <c r="D21" s="671">
        <f>SUM(D7:D19)</f>
        <v>2</v>
      </c>
      <c r="E21" s="671">
        <f t="shared" ref="E21:AH21" si="0">SUM(E7:E19)</f>
        <v>3</v>
      </c>
      <c r="F21" s="671">
        <f t="shared" si="0"/>
        <v>4</v>
      </c>
      <c r="G21" s="671">
        <f t="shared" si="0"/>
        <v>9</v>
      </c>
      <c r="H21" s="671">
        <f t="shared" si="0"/>
        <v>13</v>
      </c>
      <c r="I21" s="671">
        <f t="shared" si="0"/>
        <v>13</v>
      </c>
      <c r="J21" s="671">
        <f t="shared" si="0"/>
        <v>10</v>
      </c>
      <c r="K21" s="671">
        <f t="shared" si="0"/>
        <v>4</v>
      </c>
      <c r="L21" s="671">
        <f t="shared" si="0"/>
        <v>66</v>
      </c>
      <c r="M21" s="671">
        <f t="shared" si="0"/>
        <v>7.5</v>
      </c>
      <c r="N21" s="671">
        <f t="shared" si="0"/>
        <v>126</v>
      </c>
      <c r="O21" s="671">
        <f t="shared" si="0"/>
        <v>3</v>
      </c>
      <c r="P21" s="671">
        <f t="shared" si="0"/>
        <v>1</v>
      </c>
      <c r="Q21" s="671">
        <f t="shared" si="0"/>
        <v>58</v>
      </c>
      <c r="R21" s="671">
        <f t="shared" si="0"/>
        <v>18</v>
      </c>
      <c r="S21" s="671">
        <f t="shared" si="0"/>
        <v>0</v>
      </c>
      <c r="T21" s="671">
        <f t="shared" si="0"/>
        <v>217.5</v>
      </c>
      <c r="U21" s="671">
        <f t="shared" si="0"/>
        <v>204.5</v>
      </c>
      <c r="V21" s="671">
        <f t="shared" si="0"/>
        <v>172.5</v>
      </c>
      <c r="W21" s="671">
        <f t="shared" si="0"/>
        <v>60</v>
      </c>
      <c r="X21" s="671">
        <f t="shared" si="0"/>
        <v>8.5</v>
      </c>
      <c r="Y21" s="671">
        <f t="shared" si="0"/>
        <v>0</v>
      </c>
      <c r="Z21" s="671">
        <f t="shared" si="0"/>
        <v>40.5</v>
      </c>
      <c r="AA21" s="671">
        <f t="shared" si="0"/>
        <v>0</v>
      </c>
      <c r="AB21" s="671">
        <f t="shared" si="0"/>
        <v>4</v>
      </c>
      <c r="AC21" s="671">
        <f t="shared" si="0"/>
        <v>3</v>
      </c>
      <c r="AD21" s="671">
        <f t="shared" si="0"/>
        <v>4</v>
      </c>
      <c r="AE21" s="671">
        <f t="shared" si="0"/>
        <v>12</v>
      </c>
      <c r="AF21" s="671">
        <f t="shared" si="0"/>
        <v>6</v>
      </c>
      <c r="AG21" s="671">
        <f t="shared" si="0"/>
        <v>4</v>
      </c>
      <c r="AH21" s="671">
        <f t="shared" si="0"/>
        <v>8</v>
      </c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</row>
    <row r="23" spans="1:45">
      <c r="A23" s="688" t="s">
        <v>3588</v>
      </c>
    </row>
    <row r="24" spans="1:45" s="452" customFormat="1" ht="46.8">
      <c r="A24" s="1075" t="s">
        <v>1763</v>
      </c>
      <c r="B24" s="1075" t="s">
        <v>3461</v>
      </c>
      <c r="C24" s="685" t="s">
        <v>3499</v>
      </c>
      <c r="D24" s="685" t="s">
        <v>3486</v>
      </c>
      <c r="E24" s="685" t="s">
        <v>3462</v>
      </c>
      <c r="F24" s="685" t="s">
        <v>3463</v>
      </c>
      <c r="G24" s="685" t="s">
        <v>3485</v>
      </c>
      <c r="H24" s="685" t="s">
        <v>3464</v>
      </c>
      <c r="I24" s="685" t="s">
        <v>3465</v>
      </c>
      <c r="J24" s="685" t="s">
        <v>3466</v>
      </c>
      <c r="K24" s="685" t="s">
        <v>3467</v>
      </c>
      <c r="L24" s="685" t="s">
        <v>3468</v>
      </c>
      <c r="M24" s="685" t="s">
        <v>3124</v>
      </c>
      <c r="N24" s="685" t="s">
        <v>2743</v>
      </c>
      <c r="O24" s="685" t="s">
        <v>3469</v>
      </c>
      <c r="P24" s="685" t="s">
        <v>3470</v>
      </c>
      <c r="Q24" s="685" t="s">
        <v>3471</v>
      </c>
      <c r="R24" s="685" t="s">
        <v>3472</v>
      </c>
      <c r="S24" s="685" t="s">
        <v>3473</v>
      </c>
      <c r="T24" s="685" t="s">
        <v>3474</v>
      </c>
      <c r="U24" s="685" t="s">
        <v>3475</v>
      </c>
      <c r="V24" s="685" t="s">
        <v>3476</v>
      </c>
      <c r="W24" s="685" t="s">
        <v>3477</v>
      </c>
      <c r="X24" s="685" t="s">
        <v>3478</v>
      </c>
      <c r="Y24" s="685" t="s">
        <v>3479</v>
      </c>
      <c r="Z24" s="685" t="s">
        <v>3484</v>
      </c>
      <c r="AA24" s="685" t="s">
        <v>3487</v>
      </c>
      <c r="AB24" s="685" t="s">
        <v>3482</v>
      </c>
      <c r="AC24" s="685" t="s">
        <v>3121</v>
      </c>
      <c r="AD24" s="685" t="s">
        <v>3483</v>
      </c>
      <c r="AE24" s="685" t="s">
        <v>3120</v>
      </c>
      <c r="AF24" s="685" t="s">
        <v>3122</v>
      </c>
      <c r="AG24" s="685" t="s">
        <v>1464</v>
      </c>
      <c r="AH24" s="685" t="s">
        <v>1434</v>
      </c>
    </row>
    <row r="25" spans="1:45" s="646" customFormat="1">
      <c r="A25" s="1075"/>
      <c r="B25" s="1075"/>
      <c r="C25" s="647" t="s">
        <v>2148</v>
      </c>
      <c r="D25" s="647" t="s">
        <v>2148</v>
      </c>
      <c r="E25" s="647" t="s">
        <v>2148</v>
      </c>
      <c r="F25" s="647" t="s">
        <v>2148</v>
      </c>
      <c r="G25" s="647" t="s">
        <v>2148</v>
      </c>
      <c r="H25" s="647" t="s">
        <v>1912</v>
      </c>
      <c r="I25" s="647" t="s">
        <v>1912</v>
      </c>
      <c r="J25" s="647" t="s">
        <v>3480</v>
      </c>
      <c r="K25" s="647" t="s">
        <v>138</v>
      </c>
      <c r="L25" s="647" t="s">
        <v>138</v>
      </c>
      <c r="M25" s="647" t="s">
        <v>3481</v>
      </c>
      <c r="N25" s="647" t="s">
        <v>3481</v>
      </c>
      <c r="O25" s="647" t="s">
        <v>1912</v>
      </c>
      <c r="P25" s="647" t="s">
        <v>1912</v>
      </c>
      <c r="Q25" s="647" t="s">
        <v>1912</v>
      </c>
      <c r="R25" s="647" t="s">
        <v>1912</v>
      </c>
      <c r="S25" s="647" t="s">
        <v>3481</v>
      </c>
      <c r="T25" s="647" t="s">
        <v>3481</v>
      </c>
      <c r="U25" s="647" t="s">
        <v>3481</v>
      </c>
      <c r="V25" s="647" t="s">
        <v>3481</v>
      </c>
      <c r="W25" s="647" t="s">
        <v>3481</v>
      </c>
      <c r="X25" s="647" t="s">
        <v>3481</v>
      </c>
      <c r="Y25" s="647" t="s">
        <v>3481</v>
      </c>
      <c r="Z25" s="647" t="s">
        <v>3481</v>
      </c>
      <c r="AA25" s="647" t="s">
        <v>3481</v>
      </c>
      <c r="AB25" s="647" t="s">
        <v>138</v>
      </c>
      <c r="AC25" s="647" t="s">
        <v>138</v>
      </c>
      <c r="AD25" s="647" t="s">
        <v>138</v>
      </c>
      <c r="AE25" s="647" t="s">
        <v>138</v>
      </c>
      <c r="AF25" s="647" t="s">
        <v>138</v>
      </c>
      <c r="AG25" s="647" t="s">
        <v>138</v>
      </c>
      <c r="AH25" s="647" t="s">
        <v>138</v>
      </c>
    </row>
    <row r="26" spans="1:45" s="706" customFormat="1">
      <c r="A26" s="703">
        <v>1</v>
      </c>
      <c r="B26" s="704" t="s">
        <v>3868</v>
      </c>
      <c r="C26" s="703"/>
      <c r="D26" s="703"/>
      <c r="E26" s="703"/>
      <c r="F26" s="703"/>
      <c r="G26" s="703">
        <v>3</v>
      </c>
      <c r="H26" s="703">
        <v>3</v>
      </c>
      <c r="I26" s="703">
        <v>3</v>
      </c>
      <c r="J26" s="703"/>
      <c r="K26" s="703"/>
      <c r="L26" s="703"/>
      <c r="M26" s="703"/>
      <c r="N26" s="703"/>
      <c r="O26" s="703"/>
      <c r="P26" s="703"/>
      <c r="Q26" s="703"/>
      <c r="R26" s="703"/>
      <c r="S26" s="703"/>
      <c r="T26" s="703">
        <f>8*3</f>
        <v>24</v>
      </c>
      <c r="U26" s="703"/>
      <c r="V26" s="703">
        <f>8</f>
        <v>8</v>
      </c>
      <c r="W26" s="703"/>
      <c r="X26" s="703"/>
      <c r="Y26" s="703"/>
      <c r="Z26" s="703"/>
      <c r="AA26" s="703"/>
      <c r="AB26" s="703"/>
      <c r="AC26" s="703"/>
      <c r="AD26" s="703">
        <v>1</v>
      </c>
      <c r="AE26" s="703"/>
      <c r="AF26" s="703">
        <v>3</v>
      </c>
      <c r="AG26" s="703"/>
      <c r="AH26" s="703"/>
      <c r="AI26" s="700"/>
      <c r="AJ26" s="700"/>
      <c r="AK26" s="700"/>
      <c r="AL26" s="700"/>
      <c r="AM26" s="700"/>
      <c r="AN26" s="700"/>
      <c r="AO26" s="700"/>
      <c r="AP26" s="700"/>
      <c r="AQ26" s="700"/>
      <c r="AR26" s="700"/>
      <c r="AS26" s="700"/>
    </row>
    <row r="27" spans="1:45" s="706" customFormat="1">
      <c r="A27" s="703">
        <v>2</v>
      </c>
      <c r="B27" s="704" t="s">
        <v>3869</v>
      </c>
      <c r="C27" s="703"/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>
        <f>T8</f>
        <v>22.5</v>
      </c>
      <c r="U27" s="703"/>
      <c r="V27" s="703">
        <v>7.5</v>
      </c>
      <c r="W27" s="703"/>
      <c r="X27" s="703"/>
      <c r="Y27" s="703"/>
      <c r="Z27" s="703"/>
      <c r="AA27" s="703"/>
      <c r="AB27" s="703"/>
      <c r="AC27" s="703"/>
      <c r="AD27" s="703"/>
      <c r="AE27" s="703"/>
      <c r="AF27" s="703"/>
      <c r="AG27" s="703"/>
      <c r="AH27" s="703"/>
      <c r="AI27" s="700"/>
      <c r="AJ27" s="700"/>
      <c r="AK27" s="700"/>
      <c r="AL27" s="700"/>
      <c r="AM27" s="700"/>
      <c r="AN27" s="700"/>
      <c r="AO27" s="700"/>
      <c r="AP27" s="700"/>
      <c r="AQ27" s="700"/>
      <c r="AR27" s="700"/>
      <c r="AS27" s="700"/>
    </row>
    <row r="28" spans="1:45" s="706" customFormat="1">
      <c r="A28" s="703">
        <v>3</v>
      </c>
      <c r="B28" s="704" t="s">
        <v>3871</v>
      </c>
      <c r="C28" s="703"/>
      <c r="D28" s="703"/>
      <c r="E28" s="703">
        <v>3</v>
      </c>
      <c r="F28" s="703"/>
      <c r="G28" s="703"/>
      <c r="H28" s="703">
        <v>3</v>
      </c>
      <c r="I28" s="703">
        <v>3</v>
      </c>
      <c r="J28" s="703">
        <v>1</v>
      </c>
      <c r="K28" s="703"/>
      <c r="L28" s="703">
        <f>L9</f>
        <v>9</v>
      </c>
      <c r="M28" s="703">
        <f t="shared" ref="M28:AH28" si="1">M9</f>
        <v>0</v>
      </c>
      <c r="N28" s="703">
        <f t="shared" si="1"/>
        <v>17</v>
      </c>
      <c r="O28" s="703">
        <f t="shared" si="1"/>
        <v>0</v>
      </c>
      <c r="P28" s="703">
        <f t="shared" si="1"/>
        <v>0</v>
      </c>
      <c r="Q28" s="703">
        <f t="shared" si="1"/>
        <v>7</v>
      </c>
      <c r="R28" s="703">
        <f t="shared" si="1"/>
        <v>3</v>
      </c>
      <c r="S28" s="703">
        <f t="shared" si="1"/>
        <v>0</v>
      </c>
      <c r="T28" s="703">
        <f t="shared" si="1"/>
        <v>27</v>
      </c>
      <c r="U28" s="703">
        <f t="shared" si="1"/>
        <v>41</v>
      </c>
      <c r="V28" s="703">
        <f t="shared" si="1"/>
        <v>36</v>
      </c>
      <c r="W28" s="703">
        <f t="shared" si="1"/>
        <v>9</v>
      </c>
      <c r="X28" s="703">
        <f t="shared" si="1"/>
        <v>0</v>
      </c>
      <c r="Y28" s="703">
        <f t="shared" si="1"/>
        <v>0</v>
      </c>
      <c r="Z28" s="703">
        <f t="shared" si="1"/>
        <v>10.5</v>
      </c>
      <c r="AA28" s="703">
        <f t="shared" si="1"/>
        <v>0</v>
      </c>
      <c r="AB28" s="703">
        <f t="shared" si="1"/>
        <v>0</v>
      </c>
      <c r="AC28" s="703">
        <f t="shared" si="1"/>
        <v>0</v>
      </c>
      <c r="AD28" s="703">
        <f t="shared" si="1"/>
        <v>2</v>
      </c>
      <c r="AE28" s="703">
        <f t="shared" si="1"/>
        <v>6</v>
      </c>
      <c r="AF28" s="703">
        <f t="shared" si="1"/>
        <v>0</v>
      </c>
      <c r="AG28" s="703">
        <f t="shared" si="1"/>
        <v>3</v>
      </c>
      <c r="AH28" s="703">
        <f t="shared" si="1"/>
        <v>3</v>
      </c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</row>
    <row r="29" spans="1:45" s="706" customFormat="1">
      <c r="A29" s="703">
        <v>4</v>
      </c>
      <c r="B29" s="704" t="s">
        <v>3873</v>
      </c>
      <c r="C29" s="703"/>
      <c r="D29" s="703"/>
      <c r="E29" s="703"/>
      <c r="F29" s="703"/>
      <c r="G29" s="703">
        <v>2</v>
      </c>
      <c r="H29" s="703">
        <v>1</v>
      </c>
      <c r="I29" s="703">
        <v>1</v>
      </c>
      <c r="J29" s="703">
        <v>1</v>
      </c>
      <c r="K29" s="703">
        <f>K10</f>
        <v>0</v>
      </c>
      <c r="L29" s="703">
        <f t="shared" ref="L29:AH29" si="2">L10</f>
        <v>6</v>
      </c>
      <c r="M29" s="703">
        <f t="shared" si="2"/>
        <v>0</v>
      </c>
      <c r="N29" s="703">
        <f t="shared" si="2"/>
        <v>11</v>
      </c>
      <c r="O29" s="703">
        <f t="shared" si="2"/>
        <v>0</v>
      </c>
      <c r="P29" s="703">
        <f t="shared" si="2"/>
        <v>0</v>
      </c>
      <c r="Q29" s="703">
        <f t="shared" si="2"/>
        <v>4</v>
      </c>
      <c r="R29" s="703">
        <f t="shared" si="2"/>
        <v>2</v>
      </c>
      <c r="S29" s="703">
        <f t="shared" si="2"/>
        <v>0</v>
      </c>
      <c r="T29" s="703">
        <f t="shared" si="2"/>
        <v>18</v>
      </c>
      <c r="U29" s="703">
        <f t="shared" si="2"/>
        <v>17</v>
      </c>
      <c r="V29" s="703">
        <f t="shared" si="2"/>
        <v>17.5</v>
      </c>
      <c r="W29" s="703">
        <f t="shared" si="2"/>
        <v>0</v>
      </c>
      <c r="X29" s="703">
        <f t="shared" si="2"/>
        <v>0</v>
      </c>
      <c r="Y29" s="703">
        <f t="shared" si="2"/>
        <v>0</v>
      </c>
      <c r="Z29" s="703">
        <f t="shared" si="2"/>
        <v>4.5</v>
      </c>
      <c r="AA29" s="703">
        <f t="shared" si="2"/>
        <v>0</v>
      </c>
      <c r="AB29" s="703">
        <f t="shared" si="2"/>
        <v>0</v>
      </c>
      <c r="AC29" s="703">
        <f t="shared" si="2"/>
        <v>1</v>
      </c>
      <c r="AD29" s="703">
        <f t="shared" si="2"/>
        <v>1</v>
      </c>
      <c r="AE29" s="703">
        <f t="shared" si="2"/>
        <v>0</v>
      </c>
      <c r="AF29" s="703">
        <f t="shared" si="2"/>
        <v>1</v>
      </c>
      <c r="AG29" s="703">
        <f t="shared" si="2"/>
        <v>0</v>
      </c>
      <c r="AH29" s="703">
        <f t="shared" si="2"/>
        <v>1</v>
      </c>
      <c r="AI29" s="700"/>
      <c r="AK29" s="758"/>
      <c r="AL29" s="700"/>
      <c r="AM29" s="700"/>
      <c r="AN29" s="700"/>
      <c r="AO29" s="700"/>
      <c r="AP29" s="700"/>
      <c r="AQ29" s="700"/>
      <c r="AR29" s="700"/>
      <c r="AS29" s="700"/>
    </row>
    <row r="30" spans="1:45" s="706" customFormat="1">
      <c r="A30" s="703">
        <v>5</v>
      </c>
      <c r="B30" s="704" t="s">
        <v>3874</v>
      </c>
      <c r="C30" s="703"/>
      <c r="D30" s="703">
        <v>2</v>
      </c>
      <c r="E30" s="703"/>
      <c r="F30" s="703"/>
      <c r="G30" s="703"/>
      <c r="H30" s="703"/>
      <c r="I30" s="703">
        <v>1</v>
      </c>
      <c r="J30" s="703">
        <v>1</v>
      </c>
      <c r="K30" s="703">
        <f>K11</f>
        <v>0</v>
      </c>
      <c r="L30" s="703">
        <v>3</v>
      </c>
      <c r="M30" s="703">
        <f t="shared" ref="M30:AH30" si="3">M11</f>
        <v>0</v>
      </c>
      <c r="N30" s="703"/>
      <c r="O30" s="703">
        <f t="shared" si="3"/>
        <v>0</v>
      </c>
      <c r="P30" s="703">
        <f t="shared" si="3"/>
        <v>0</v>
      </c>
      <c r="Q30" s="703"/>
      <c r="R30" s="703"/>
      <c r="S30" s="703">
        <f t="shared" si="3"/>
        <v>0</v>
      </c>
      <c r="T30" s="703">
        <f t="shared" si="3"/>
        <v>0</v>
      </c>
      <c r="U30" s="703">
        <f t="shared" si="3"/>
        <v>0</v>
      </c>
      <c r="V30" s="703">
        <f t="shared" si="3"/>
        <v>34</v>
      </c>
      <c r="W30" s="703">
        <f t="shared" si="3"/>
        <v>0</v>
      </c>
      <c r="X30" s="703"/>
      <c r="Y30" s="703">
        <f t="shared" si="3"/>
        <v>0</v>
      </c>
      <c r="Z30" s="703">
        <f t="shared" si="3"/>
        <v>0</v>
      </c>
      <c r="AA30" s="703">
        <f t="shared" si="3"/>
        <v>0</v>
      </c>
      <c r="AB30" s="703"/>
      <c r="AC30" s="703">
        <f t="shared" si="3"/>
        <v>0</v>
      </c>
      <c r="AD30" s="703">
        <f t="shared" si="3"/>
        <v>0</v>
      </c>
      <c r="AE30" s="703">
        <f t="shared" si="3"/>
        <v>0</v>
      </c>
      <c r="AF30" s="703">
        <f t="shared" si="3"/>
        <v>0</v>
      </c>
      <c r="AG30" s="703">
        <f t="shared" si="3"/>
        <v>0</v>
      </c>
      <c r="AH30" s="703">
        <f t="shared" si="3"/>
        <v>0</v>
      </c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</row>
    <row r="31" spans="1:45" s="769" customFormat="1">
      <c r="A31" s="703">
        <v>6</v>
      </c>
      <c r="B31" s="767" t="s">
        <v>3870</v>
      </c>
      <c r="C31" s="766"/>
      <c r="D31" s="766"/>
      <c r="E31" s="766"/>
      <c r="F31" s="766"/>
      <c r="G31" s="766">
        <v>1</v>
      </c>
      <c r="H31" s="766">
        <v>1</v>
      </c>
      <c r="I31" s="766">
        <v>1</v>
      </c>
      <c r="J31" s="766"/>
      <c r="K31" s="766"/>
      <c r="L31" s="766"/>
      <c r="M31" s="766"/>
      <c r="N31" s="766"/>
      <c r="O31" s="766"/>
      <c r="P31" s="766"/>
      <c r="Q31" s="766"/>
      <c r="R31" s="766"/>
      <c r="S31" s="766"/>
      <c r="T31" s="766"/>
      <c r="U31" s="766"/>
      <c r="V31" s="766"/>
      <c r="W31" s="766"/>
      <c r="X31" s="766"/>
      <c r="Y31" s="766"/>
      <c r="Z31" s="766"/>
      <c r="AA31" s="766"/>
      <c r="AB31" s="766"/>
      <c r="AC31" s="766"/>
      <c r="AD31" s="766"/>
      <c r="AE31" s="766"/>
      <c r="AF31" s="766">
        <v>1</v>
      </c>
      <c r="AG31" s="766"/>
      <c r="AH31" s="766">
        <v>1</v>
      </c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</row>
    <row r="32" spans="1:45" s="769" customFormat="1">
      <c r="A32" s="703">
        <v>7</v>
      </c>
      <c r="B32" s="767" t="s">
        <v>3876</v>
      </c>
      <c r="C32" s="766"/>
      <c r="D32" s="766"/>
      <c r="E32" s="766"/>
      <c r="F32" s="766"/>
      <c r="G32" s="766">
        <v>1</v>
      </c>
      <c r="H32" s="766">
        <v>1</v>
      </c>
      <c r="I32" s="766">
        <v>1</v>
      </c>
      <c r="J32" s="766">
        <v>1</v>
      </c>
      <c r="K32" s="766"/>
      <c r="L32" s="766">
        <f>L13</f>
        <v>9</v>
      </c>
      <c r="M32" s="766">
        <f t="shared" ref="M32:AH32" si="4">M13</f>
        <v>0</v>
      </c>
      <c r="N32" s="766">
        <f t="shared" si="4"/>
        <v>18</v>
      </c>
      <c r="O32" s="766">
        <f t="shared" si="4"/>
        <v>0</v>
      </c>
      <c r="P32" s="766">
        <f t="shared" si="4"/>
        <v>0</v>
      </c>
      <c r="Q32" s="766">
        <f t="shared" si="4"/>
        <v>7</v>
      </c>
      <c r="R32" s="766">
        <f t="shared" si="4"/>
        <v>3</v>
      </c>
      <c r="S32" s="766">
        <f t="shared" si="4"/>
        <v>0</v>
      </c>
      <c r="T32" s="766">
        <f t="shared" si="4"/>
        <v>0</v>
      </c>
      <c r="U32" s="766">
        <f t="shared" si="4"/>
        <v>19</v>
      </c>
      <c r="V32" s="766">
        <f t="shared" si="4"/>
        <v>9.5</v>
      </c>
      <c r="W32" s="766">
        <f t="shared" si="4"/>
        <v>51</v>
      </c>
      <c r="X32" s="766">
        <f t="shared" si="4"/>
        <v>0</v>
      </c>
      <c r="Y32" s="766">
        <f t="shared" si="4"/>
        <v>0</v>
      </c>
      <c r="Z32" s="766">
        <f t="shared" si="4"/>
        <v>3</v>
      </c>
      <c r="AA32" s="766">
        <f t="shared" si="4"/>
        <v>0</v>
      </c>
      <c r="AB32" s="766"/>
      <c r="AC32" s="766">
        <f t="shared" si="4"/>
        <v>0</v>
      </c>
      <c r="AD32" s="766">
        <f t="shared" si="4"/>
        <v>0</v>
      </c>
      <c r="AE32" s="766">
        <f t="shared" si="4"/>
        <v>2</v>
      </c>
      <c r="AF32" s="766">
        <f t="shared" si="4"/>
        <v>0</v>
      </c>
      <c r="AG32" s="766">
        <f t="shared" si="4"/>
        <v>0</v>
      </c>
      <c r="AH32" s="766">
        <f t="shared" si="4"/>
        <v>1</v>
      </c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</row>
    <row r="33" spans="1:45" s="761" customFormat="1">
      <c r="A33" s="703">
        <v>8</v>
      </c>
      <c r="B33" s="759" t="s">
        <v>3872</v>
      </c>
      <c r="C33" s="721"/>
      <c r="D33" s="721"/>
      <c r="E33" s="721"/>
      <c r="F33" s="721">
        <v>2</v>
      </c>
      <c r="G33" s="721"/>
      <c r="H33" s="721">
        <v>1</v>
      </c>
      <c r="I33" s="721">
        <v>1</v>
      </c>
      <c r="J33" s="721">
        <v>1</v>
      </c>
      <c r="K33" s="721">
        <f>K14</f>
        <v>0</v>
      </c>
      <c r="L33" s="721">
        <f>L14</f>
        <v>6</v>
      </c>
      <c r="M33" s="721">
        <f t="shared" ref="M33:AH33" si="5">M14</f>
        <v>0</v>
      </c>
      <c r="N33" s="721">
        <f t="shared" si="5"/>
        <v>11</v>
      </c>
      <c r="O33" s="721">
        <f t="shared" si="5"/>
        <v>0</v>
      </c>
      <c r="P33" s="721">
        <f t="shared" si="5"/>
        <v>0</v>
      </c>
      <c r="Q33" s="721">
        <f t="shared" si="5"/>
        <v>4</v>
      </c>
      <c r="R33" s="721">
        <f t="shared" si="5"/>
        <v>2</v>
      </c>
      <c r="S33" s="721">
        <f t="shared" si="5"/>
        <v>0</v>
      </c>
      <c r="T33" s="721">
        <f t="shared" si="5"/>
        <v>36</v>
      </c>
      <c r="U33" s="721">
        <f t="shared" si="5"/>
        <v>0</v>
      </c>
      <c r="V33" s="721">
        <f t="shared" si="5"/>
        <v>19.5</v>
      </c>
      <c r="W33" s="721">
        <f t="shared" si="5"/>
        <v>0</v>
      </c>
      <c r="X33" s="721">
        <f t="shared" si="5"/>
        <v>0</v>
      </c>
      <c r="Y33" s="721">
        <f t="shared" si="5"/>
        <v>0</v>
      </c>
      <c r="Z33" s="721">
        <f t="shared" si="5"/>
        <v>3.5</v>
      </c>
      <c r="AA33" s="721">
        <f t="shared" si="5"/>
        <v>0</v>
      </c>
      <c r="AB33" s="721">
        <f t="shared" si="5"/>
        <v>0</v>
      </c>
      <c r="AC33" s="721"/>
      <c r="AD33" s="721">
        <f t="shared" si="5"/>
        <v>0</v>
      </c>
      <c r="AE33" s="721">
        <f t="shared" si="5"/>
        <v>0</v>
      </c>
      <c r="AF33" s="721">
        <f t="shared" si="5"/>
        <v>1</v>
      </c>
      <c r="AG33" s="721">
        <f t="shared" si="5"/>
        <v>1</v>
      </c>
      <c r="AH33" s="721">
        <f t="shared" si="5"/>
        <v>1</v>
      </c>
      <c r="AI33" s="760"/>
      <c r="AJ33" s="760"/>
      <c r="AK33" s="760"/>
      <c r="AL33" s="760"/>
      <c r="AM33" s="760"/>
      <c r="AN33" s="760"/>
      <c r="AO33" s="760"/>
      <c r="AP33" s="760"/>
      <c r="AQ33" s="760"/>
      <c r="AR33" s="760"/>
      <c r="AS33" s="760"/>
    </row>
    <row r="34" spans="1:45" s="761" customFormat="1">
      <c r="A34" s="703">
        <v>9</v>
      </c>
      <c r="B34" s="759" t="s">
        <v>3875</v>
      </c>
      <c r="C34" s="721"/>
      <c r="D34" s="721"/>
      <c r="E34" s="721"/>
      <c r="F34" s="721">
        <v>2</v>
      </c>
      <c r="G34" s="721"/>
      <c r="H34" s="721">
        <v>1</v>
      </c>
      <c r="I34" s="721">
        <v>1</v>
      </c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>
        <f>8*2</f>
        <v>16</v>
      </c>
      <c r="U34" s="721">
        <f>8</f>
        <v>8</v>
      </c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>
        <v>1</v>
      </c>
      <c r="AI34" s="760"/>
      <c r="AJ34" s="760"/>
      <c r="AK34" s="760"/>
      <c r="AL34" s="760"/>
      <c r="AM34" s="760"/>
      <c r="AN34" s="760"/>
      <c r="AO34" s="760"/>
      <c r="AP34" s="760"/>
      <c r="AQ34" s="760"/>
      <c r="AR34" s="760"/>
      <c r="AS34" s="760"/>
    </row>
    <row r="35" spans="1:45" s="765" customFormat="1">
      <c r="A35" s="703">
        <v>10</v>
      </c>
      <c r="B35" s="763" t="s">
        <v>3877</v>
      </c>
      <c r="C35" s="762"/>
      <c r="D35" s="762"/>
      <c r="E35" s="762"/>
      <c r="F35" s="762"/>
      <c r="G35" s="762">
        <v>2</v>
      </c>
      <c r="H35" s="762">
        <v>1</v>
      </c>
      <c r="I35" s="762">
        <v>1</v>
      </c>
      <c r="J35" s="762"/>
      <c r="K35" s="762"/>
      <c r="L35" s="762">
        <f>3</f>
        <v>3</v>
      </c>
      <c r="M35" s="762"/>
      <c r="N35" s="762">
        <f>6</f>
        <v>6</v>
      </c>
      <c r="O35" s="762"/>
      <c r="P35" s="762"/>
      <c r="Q35" s="762">
        <f>3</f>
        <v>3</v>
      </c>
      <c r="R35" s="762">
        <f>1</f>
        <v>1</v>
      </c>
      <c r="S35" s="762"/>
      <c r="T35" s="762">
        <f>T16</f>
        <v>17</v>
      </c>
      <c r="U35" s="762">
        <f>U16</f>
        <v>59.5</v>
      </c>
      <c r="V35" s="762">
        <f>8.5+8.5</f>
        <v>17</v>
      </c>
      <c r="W35" s="762"/>
      <c r="X35" s="762"/>
      <c r="Y35" s="762"/>
      <c r="Z35" s="762"/>
      <c r="AA35" s="762"/>
      <c r="AB35" s="762"/>
      <c r="AC35" s="762"/>
      <c r="AD35" s="762"/>
      <c r="AE35" s="762"/>
      <c r="AF35" s="762"/>
      <c r="AG35" s="762"/>
      <c r="AH35" s="762"/>
      <c r="AI35" s="764"/>
      <c r="AJ35" s="764"/>
      <c r="AK35" s="764"/>
      <c r="AL35" s="764"/>
      <c r="AM35" s="764"/>
      <c r="AN35" s="764"/>
      <c r="AO35" s="764"/>
      <c r="AP35" s="764"/>
      <c r="AQ35" s="764"/>
      <c r="AR35" s="764"/>
      <c r="AS35" s="764"/>
    </row>
    <row r="36" spans="1:45" s="706" customFormat="1" hidden="1">
      <c r="A36" s="703"/>
      <c r="B36" s="704"/>
      <c r="C36" s="703"/>
      <c r="D36" s="703"/>
      <c r="E36" s="703"/>
      <c r="F36" s="703"/>
      <c r="G36" s="703"/>
      <c r="H36" s="703"/>
      <c r="I36" s="703"/>
      <c r="J36" s="703"/>
      <c r="K36" s="703"/>
      <c r="L36" s="703"/>
      <c r="M36" s="703"/>
      <c r="N36" s="703"/>
      <c r="O36" s="703"/>
      <c r="P36" s="703"/>
      <c r="Q36" s="703"/>
      <c r="R36" s="703"/>
      <c r="S36" s="703"/>
      <c r="T36" s="703"/>
      <c r="U36" s="703"/>
      <c r="V36" s="703"/>
      <c r="W36" s="703"/>
      <c r="X36" s="703"/>
      <c r="Y36" s="703"/>
      <c r="Z36" s="703"/>
      <c r="AA36" s="703"/>
      <c r="AB36" s="703"/>
      <c r="AC36" s="703"/>
      <c r="AD36" s="703"/>
      <c r="AE36" s="703"/>
      <c r="AF36" s="703"/>
      <c r="AG36" s="703"/>
      <c r="AH36" s="703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</row>
    <row r="37" spans="1:45" s="706" customFormat="1" hidden="1">
      <c r="A37" s="703"/>
      <c r="B37" s="704"/>
      <c r="C37" s="703"/>
      <c r="D37" s="703"/>
      <c r="E37" s="703"/>
      <c r="F37" s="703"/>
      <c r="G37" s="703"/>
      <c r="H37" s="703"/>
      <c r="I37" s="703"/>
      <c r="J37" s="703"/>
      <c r="K37" s="703"/>
      <c r="L37" s="703"/>
      <c r="M37" s="703"/>
      <c r="N37" s="703"/>
      <c r="O37" s="703"/>
      <c r="P37" s="703"/>
      <c r="Q37" s="703"/>
      <c r="R37" s="703"/>
      <c r="S37" s="703"/>
      <c r="T37" s="703"/>
      <c r="U37" s="703"/>
      <c r="V37" s="703"/>
      <c r="W37" s="703"/>
      <c r="X37" s="703"/>
      <c r="Y37" s="703"/>
      <c r="Z37" s="703"/>
      <c r="AA37" s="703"/>
      <c r="AB37" s="703"/>
      <c r="AC37" s="703"/>
      <c r="AD37" s="703"/>
      <c r="AE37" s="703"/>
      <c r="AF37" s="703"/>
      <c r="AG37" s="703"/>
      <c r="AH37" s="703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</row>
    <row r="39" spans="1:45" s="18" customFormat="1">
      <c r="A39" s="671"/>
      <c r="B39" s="672" t="s">
        <v>3540</v>
      </c>
      <c r="C39" s="671">
        <f>SUM(C26:C37)</f>
        <v>0</v>
      </c>
      <c r="D39" s="671">
        <f>SUM(D26:D37)</f>
        <v>2</v>
      </c>
      <c r="E39" s="671">
        <f t="shared" ref="E39:AH39" si="6">SUM(E26:E37)</f>
        <v>3</v>
      </c>
      <c r="F39" s="671">
        <f t="shared" si="6"/>
        <v>4</v>
      </c>
      <c r="G39" s="671">
        <f t="shared" si="6"/>
        <v>9</v>
      </c>
      <c r="H39" s="671">
        <f t="shared" si="6"/>
        <v>12</v>
      </c>
      <c r="I39" s="671">
        <f t="shared" si="6"/>
        <v>13</v>
      </c>
      <c r="J39" s="671">
        <f t="shared" si="6"/>
        <v>5</v>
      </c>
      <c r="K39" s="671">
        <f t="shared" si="6"/>
        <v>0</v>
      </c>
      <c r="L39" s="671">
        <f t="shared" si="6"/>
        <v>36</v>
      </c>
      <c r="M39" s="671">
        <f t="shared" si="6"/>
        <v>0</v>
      </c>
      <c r="N39" s="671">
        <f t="shared" si="6"/>
        <v>63</v>
      </c>
      <c r="O39" s="671">
        <f t="shared" si="6"/>
        <v>0</v>
      </c>
      <c r="P39" s="671">
        <f t="shared" si="6"/>
        <v>0</v>
      </c>
      <c r="Q39" s="671">
        <f t="shared" si="6"/>
        <v>25</v>
      </c>
      <c r="R39" s="671">
        <f t="shared" si="6"/>
        <v>11</v>
      </c>
      <c r="S39" s="671">
        <f t="shared" si="6"/>
        <v>0</v>
      </c>
      <c r="T39" s="671">
        <f t="shared" si="6"/>
        <v>160.5</v>
      </c>
      <c r="U39" s="671">
        <f t="shared" si="6"/>
        <v>144.5</v>
      </c>
      <c r="V39" s="671">
        <f t="shared" si="6"/>
        <v>149</v>
      </c>
      <c r="W39" s="671">
        <f t="shared" si="6"/>
        <v>60</v>
      </c>
      <c r="X39" s="671">
        <f t="shared" si="6"/>
        <v>0</v>
      </c>
      <c r="Y39" s="671">
        <f t="shared" si="6"/>
        <v>0</v>
      </c>
      <c r="Z39" s="671">
        <f t="shared" si="6"/>
        <v>21.5</v>
      </c>
      <c r="AA39" s="671">
        <f t="shared" si="6"/>
        <v>0</v>
      </c>
      <c r="AB39" s="671">
        <f t="shared" si="6"/>
        <v>0</v>
      </c>
      <c r="AC39" s="671">
        <f t="shared" si="6"/>
        <v>1</v>
      </c>
      <c r="AD39" s="671">
        <f t="shared" si="6"/>
        <v>4</v>
      </c>
      <c r="AE39" s="671">
        <f t="shared" si="6"/>
        <v>8</v>
      </c>
      <c r="AF39" s="671">
        <f t="shared" si="6"/>
        <v>6</v>
      </c>
      <c r="AG39" s="671">
        <f t="shared" si="6"/>
        <v>4</v>
      </c>
      <c r="AH39" s="671">
        <f t="shared" si="6"/>
        <v>8</v>
      </c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</row>
  </sheetData>
  <mergeCells count="5">
    <mergeCell ref="A24:A25"/>
    <mergeCell ref="B24:B25"/>
    <mergeCell ref="A5:A6"/>
    <mergeCell ref="B5:B6"/>
    <mergeCell ref="A1:AH1"/>
  </mergeCells>
  <printOptions horizontalCentered="1"/>
  <pageMargins left="0.39370078740157483" right="0.39370078740157483" top="0.78740157480314965" bottom="0.78740157480314965" header="0.31496062992125984" footer="0.31496062992125984"/>
  <pageSetup paperSize="8" scale="69" orientation="landscape" blackAndWhite="1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L79"/>
  <sheetViews>
    <sheetView view="pageBreakPreview" topLeftCell="A42" zoomScale="85" zoomScaleNormal="100" zoomScaleSheetLayoutView="85" workbookViewId="0">
      <selection activeCell="F51" sqref="F51:F59"/>
    </sheetView>
  </sheetViews>
  <sheetFormatPr defaultColWidth="9.109375" defaultRowHeight="15.6"/>
  <cols>
    <col min="1" max="1" width="10.33203125" style="4" bestFit="1" customWidth="1"/>
    <col min="2" max="2" width="9.6640625" style="4" bestFit="1" customWidth="1"/>
    <col min="3" max="3" width="9.109375" style="4"/>
    <col min="4" max="4" width="35.88671875" style="4" bestFit="1" customWidth="1"/>
    <col min="5" max="5" width="9.109375" style="4"/>
    <col min="6" max="8" width="12.6640625" style="4" customWidth="1"/>
    <col min="9" max="10" width="18.44140625" style="4" customWidth="1"/>
    <col min="11" max="16384" width="9.109375" style="4"/>
  </cols>
  <sheetData>
    <row r="1" spans="1:10">
      <c r="D1" s="4" t="s">
        <v>2475</v>
      </c>
      <c r="E1" s="252">
        <f>I71</f>
        <v>0</v>
      </c>
    </row>
    <row r="2" spans="1:10">
      <c r="D2" s="4" t="s">
        <v>2476</v>
      </c>
      <c r="E2" s="4">
        <v>1</v>
      </c>
    </row>
    <row r="6" spans="1:10">
      <c r="A6" s="253"/>
      <c r="B6" s="254"/>
      <c r="C6" s="254"/>
      <c r="D6" s="254"/>
      <c r="E6" s="254"/>
      <c r="F6" s="254"/>
      <c r="G6" s="254"/>
      <c r="H6" s="254"/>
      <c r="I6" s="254"/>
      <c r="J6" s="254"/>
    </row>
    <row r="7" spans="1:10">
      <c r="A7" s="253"/>
      <c r="B7" s="254"/>
      <c r="C7" s="255" t="s">
        <v>2477</v>
      </c>
      <c r="D7" s="256"/>
      <c r="E7" s="256"/>
      <c r="F7" s="256"/>
      <c r="G7" s="256"/>
      <c r="H7" s="256"/>
      <c r="I7" s="256"/>
      <c r="J7" s="256"/>
    </row>
    <row r="8" spans="1:10">
      <c r="A8" s="253"/>
      <c r="B8" s="254"/>
      <c r="C8" s="256"/>
      <c r="D8" s="257" t="s">
        <v>2478</v>
      </c>
      <c r="E8" s="254">
        <f>CLVC*1000</f>
        <v>0</v>
      </c>
      <c r="F8" s="258" t="s">
        <v>146</v>
      </c>
      <c r="G8" s="256"/>
      <c r="H8" s="256"/>
      <c r="I8" s="256"/>
      <c r="J8" s="256"/>
    </row>
    <row r="9" spans="1:10">
      <c r="A9" s="253"/>
      <c r="B9" s="254"/>
      <c r="C9" s="256"/>
      <c r="D9" s="257" t="s">
        <v>3582</v>
      </c>
      <c r="E9" s="254">
        <v>1.5</v>
      </c>
      <c r="F9" s="683" t="s">
        <v>3583</v>
      </c>
      <c r="G9" s="256"/>
      <c r="H9" s="256"/>
      <c r="I9" s="256"/>
      <c r="J9" s="256"/>
    </row>
    <row r="10" spans="1:10">
      <c r="A10" s="253"/>
      <c r="B10" s="254"/>
      <c r="C10" s="254"/>
      <c r="D10" s="254"/>
      <c r="E10" s="254"/>
      <c r="F10" s="254"/>
      <c r="G10" s="254"/>
      <c r="H10" s="254"/>
      <c r="I10" s="254"/>
      <c r="J10" s="254"/>
    </row>
    <row r="11" spans="1:10">
      <c r="A11" s="1080" t="s">
        <v>2479</v>
      </c>
      <c r="B11" s="1081" t="s">
        <v>1625</v>
      </c>
      <c r="C11" s="1079" t="s">
        <v>2544</v>
      </c>
      <c r="D11" s="1079" t="s">
        <v>2480</v>
      </c>
      <c r="E11" s="1079" t="s">
        <v>1747</v>
      </c>
      <c r="F11" s="270" t="s">
        <v>2481</v>
      </c>
      <c r="G11" s="270" t="s">
        <v>2482</v>
      </c>
      <c r="H11" s="270" t="s">
        <v>2253</v>
      </c>
      <c r="I11" s="1079" t="s">
        <v>2483</v>
      </c>
      <c r="J11" s="1079"/>
    </row>
    <row r="12" spans="1:10" ht="31.2">
      <c r="A12" s="1080"/>
      <c r="B12" s="1081"/>
      <c r="C12" s="1079"/>
      <c r="D12" s="1079"/>
      <c r="E12" s="1079"/>
      <c r="F12" s="270" t="s">
        <v>2484</v>
      </c>
      <c r="G12" s="270" t="s">
        <v>2484</v>
      </c>
      <c r="H12" s="270" t="s">
        <v>2485</v>
      </c>
      <c r="I12" s="270" t="s">
        <v>2486</v>
      </c>
      <c r="J12" s="270" t="s">
        <v>2487</v>
      </c>
    </row>
    <row r="13" spans="1:10">
      <c r="A13" s="259">
        <v>1</v>
      </c>
      <c r="B13" s="260">
        <v>2</v>
      </c>
      <c r="C13" s="261">
        <v>3</v>
      </c>
      <c r="D13" s="261">
        <v>4</v>
      </c>
      <c r="E13" s="261">
        <v>5</v>
      </c>
      <c r="F13" s="261">
        <v>6</v>
      </c>
      <c r="G13" s="261">
        <v>7</v>
      </c>
      <c r="H13" s="261">
        <v>8</v>
      </c>
      <c r="I13" s="261">
        <v>9</v>
      </c>
      <c r="J13" s="261">
        <v>10</v>
      </c>
    </row>
    <row r="14" spans="1:10">
      <c r="A14" s="259"/>
      <c r="B14" s="260"/>
      <c r="C14" s="261"/>
      <c r="D14" s="271"/>
      <c r="E14" s="261"/>
      <c r="F14" s="272"/>
      <c r="G14" s="272"/>
      <c r="H14" s="272"/>
      <c r="I14" s="272"/>
      <c r="J14" s="271"/>
    </row>
    <row r="15" spans="1:10">
      <c r="A15" s="259" t="s">
        <v>2488</v>
      </c>
      <c r="B15" s="260">
        <f>IF(AND(0.05&lt;=CLVC,CLVC&lt;=0.1),"VCFE1",IF(AND(0.1&lt;=CLVC,CLVC&lt;=0.3),"VCFE2",IF(AND(0.3&lt;=CLVC,CLVC&lt;=0.5),"VCFE3",IF(AND(CLVC&gt;0.5),"VCFE4",))))</f>
        <v>0</v>
      </c>
      <c r="C15" s="261" t="s">
        <v>2489</v>
      </c>
      <c r="D15" s="271" t="s">
        <v>2490</v>
      </c>
      <c r="E15" s="261" t="s">
        <v>1634</v>
      </c>
      <c r="F15" s="272">
        <v>1</v>
      </c>
      <c r="G15" s="272">
        <v>1</v>
      </c>
      <c r="H15" s="273">
        <f>$E$9</f>
        <v>1.5</v>
      </c>
      <c r="I15" s="274">
        <v>221974</v>
      </c>
      <c r="J15" s="272">
        <f t="shared" ref="J15:J32" si="0">I15*CLVC*H15</f>
        <v>0</v>
      </c>
    </row>
    <row r="16" spans="1:10">
      <c r="A16" s="259" t="s">
        <v>2491</v>
      </c>
      <c r="B16" s="260">
        <f>IF(AND(0.05&lt;=CLVC,CLVC&lt;=0.1),"VCXM1",IF(AND(0.1&lt;=CLVC,CLVC&lt;=0.3),"VCXM2",IF(AND(0.3&lt;=CLVC,CLVC&lt;=0.5),"VCXM3",IF(AND(CLVC&gt;0.5),"VCXM4",))))</f>
        <v>0</v>
      </c>
      <c r="C16" s="261" t="s">
        <v>2492</v>
      </c>
      <c r="D16" s="271" t="s">
        <v>2493</v>
      </c>
      <c r="E16" s="261" t="s">
        <v>1634</v>
      </c>
      <c r="F16" s="272">
        <v>1</v>
      </c>
      <c r="G16" s="272">
        <v>1</v>
      </c>
      <c r="H16" s="273">
        <f t="shared" ref="H16:H32" si="1">$E$9</f>
        <v>1.5</v>
      </c>
      <c r="I16" s="274">
        <v>144624</v>
      </c>
      <c r="J16" s="272">
        <f t="shared" si="0"/>
        <v>0</v>
      </c>
    </row>
    <row r="17" spans="1:12">
      <c r="A17" s="259" t="s">
        <v>2494</v>
      </c>
      <c r="B17" s="260">
        <f>IF(AND(0.05&lt;=CLVC,CLVC&lt;=0.1),"VCCAT1",IF(AND(0.1&lt;=CLVC,CLVC&lt;=0.3),"VCCAT2",IF(AND(0.3&lt;=CLVC,CLVC&lt;=0.5),"VCCAT3",IF(AND(CLVC&gt;0.5),"VCCAT4",))))</f>
        <v>0</v>
      </c>
      <c r="C17" s="261" t="s">
        <v>2495</v>
      </c>
      <c r="D17" s="271" t="s">
        <v>2496</v>
      </c>
      <c r="E17" s="261" t="s">
        <v>308</v>
      </c>
      <c r="F17" s="272">
        <v>1</v>
      </c>
      <c r="G17" s="272">
        <v>1</v>
      </c>
      <c r="H17" s="273">
        <f t="shared" si="1"/>
        <v>1.5</v>
      </c>
      <c r="I17" s="274">
        <v>135437</v>
      </c>
      <c r="J17" s="272">
        <f t="shared" si="0"/>
        <v>0</v>
      </c>
    </row>
    <row r="18" spans="1:12">
      <c r="A18" s="259" t="s">
        <v>2497</v>
      </c>
      <c r="B18" s="260">
        <f>IF(AND(0.05&lt;=CLVC,CLVC&lt;=0.1),"VCLD1",IF(AND(0.1&lt;=CLVC,CLVC&lt;=0.3),"VCLD2",IF(AND(0.3&lt;=CLVC,CLVC&lt;=0.5),"VCLD3",IF(AND(CLVC&gt;0.5),"VCLD4",))))</f>
        <v>0</v>
      </c>
      <c r="C18" s="261" t="s">
        <v>2498</v>
      </c>
      <c r="D18" s="271" t="s">
        <v>2499</v>
      </c>
      <c r="E18" s="261" t="s">
        <v>308</v>
      </c>
      <c r="F18" s="272">
        <v>1</v>
      </c>
      <c r="G18" s="272">
        <v>1</v>
      </c>
      <c r="H18" s="273">
        <f t="shared" si="1"/>
        <v>1.5</v>
      </c>
      <c r="I18" s="274">
        <v>142253</v>
      </c>
      <c r="J18" s="272">
        <f t="shared" si="0"/>
        <v>0</v>
      </c>
    </row>
    <row r="19" spans="1:12">
      <c r="A19" s="259" t="s">
        <v>2500</v>
      </c>
      <c r="B19" s="260">
        <f>IF(AND(0.05&lt;=CLVC,CLVC&lt;=0.1),"VCDA1",IF(AND(0.1&lt;=CLVC,CLVC&lt;=0.3),"VCDA2",IF(AND(0.3&lt;=CLVC,CLVC&lt;=0.5),"VCDA3",IF(AND(CLVC&gt;0.5),"VCDA4",))))</f>
        <v>0</v>
      </c>
      <c r="C19" s="261" t="s">
        <v>2501</v>
      </c>
      <c r="D19" s="271" t="s">
        <v>2502</v>
      </c>
      <c r="E19" s="261" t="s">
        <v>1634</v>
      </c>
      <c r="F19" s="272">
        <v>1</v>
      </c>
      <c r="G19" s="272">
        <v>1</v>
      </c>
      <c r="H19" s="273">
        <f t="shared" si="1"/>
        <v>1.5</v>
      </c>
      <c r="I19" s="274">
        <v>181669</v>
      </c>
      <c r="J19" s="272">
        <f t="shared" si="0"/>
        <v>0</v>
      </c>
    </row>
    <row r="20" spans="1:12">
      <c r="A20" s="259" t="s">
        <v>2503</v>
      </c>
      <c r="B20" s="260">
        <f>IF(AND(0.05&lt;=CLVC,CLVC&lt;=0.1),"VCTD1",IF(AND(0.1&lt;=CLVC,CLVC&lt;=0.3),"VCTD2",IF(AND(0.3&lt;=CLVC,CLVC&lt;=0.5),"VCTD3",IF(AND(CLVC&gt;0.5),"VCTD4",))))</f>
        <v>0</v>
      </c>
      <c r="C20" s="261" t="s">
        <v>2489</v>
      </c>
      <c r="D20" s="271" t="s">
        <v>2504</v>
      </c>
      <c r="E20" s="261" t="s">
        <v>1634</v>
      </c>
      <c r="F20" s="272">
        <v>1</v>
      </c>
      <c r="G20" s="272">
        <v>1</v>
      </c>
      <c r="H20" s="273">
        <f t="shared" si="1"/>
        <v>1.5</v>
      </c>
      <c r="I20" s="274">
        <v>221974</v>
      </c>
      <c r="J20" s="272">
        <f t="shared" si="0"/>
        <v>0</v>
      </c>
    </row>
    <row r="21" spans="1:12">
      <c r="A21" s="259" t="s">
        <v>2505</v>
      </c>
      <c r="B21" s="260">
        <f>IF(AND(0.05&lt;=CLVC,CLVC&lt;=0.1),"VCDN1",IF(AND(0.1&lt;=CLVC,CLVC&lt;=0.3),"VCDN2",IF(AND(0.3&lt;=CLVC,CLVC&lt;=0.5),"VCDN3",IF(AND(CLVC&gt;0.5),"VCDN4",))))</f>
        <v>0</v>
      </c>
      <c r="C21" s="261" t="s">
        <v>2501</v>
      </c>
      <c r="D21" s="271" t="s">
        <v>2506</v>
      </c>
      <c r="E21" s="261" t="s">
        <v>1634</v>
      </c>
      <c r="F21" s="272">
        <v>1</v>
      </c>
      <c r="G21" s="272">
        <v>1</v>
      </c>
      <c r="H21" s="273">
        <f t="shared" si="1"/>
        <v>1.5</v>
      </c>
      <c r="I21" s="274">
        <v>181669</v>
      </c>
      <c r="J21" s="272">
        <f t="shared" si="0"/>
        <v>0</v>
      </c>
    </row>
    <row r="22" spans="1:12">
      <c r="A22" s="259" t="s">
        <v>452</v>
      </c>
      <c r="B22" s="260">
        <f>IF(AND(0.05&lt;=CLVC,CLVC&lt;=0.1),"VCNX1",IF(AND(0.1&lt;=CLVC,CLVC&lt;=0.3),"VCNX2",IF(AND(0.3&lt;=CLVC,CLVC&lt;=0.5),"VCNX3",IF(AND(CLVC&gt;0.5),"VCNX4",))))</f>
        <v>0</v>
      </c>
      <c r="C22" s="261" t="s">
        <v>2507</v>
      </c>
      <c r="D22" s="271" t="s">
        <v>2508</v>
      </c>
      <c r="E22" s="261" t="s">
        <v>1634</v>
      </c>
      <c r="F22" s="272">
        <v>1</v>
      </c>
      <c r="G22" s="272">
        <v>1</v>
      </c>
      <c r="H22" s="273">
        <f t="shared" si="1"/>
        <v>1.5</v>
      </c>
      <c r="I22" s="274">
        <v>199747</v>
      </c>
      <c r="J22" s="272">
        <f t="shared" si="0"/>
        <v>0</v>
      </c>
    </row>
    <row r="23" spans="1:12">
      <c r="A23" s="259" t="s">
        <v>2509</v>
      </c>
      <c r="B23" s="260">
        <f>IF(AND(0.05&lt;=CLVC,CLVC&lt;=0.1),"VCC1",IF(AND(0.1&lt;=CLVC,CLVC&lt;=0.3),"VCC2",IF(AND(0.3&lt;=CLVC,CLVC&lt;=0.5),"VCC3",IF(AND(CLVC&gt;0.5),"VCC4",))))</f>
        <v>0</v>
      </c>
      <c r="C23" s="275" t="s">
        <v>2546</v>
      </c>
      <c r="D23" s="271" t="s">
        <v>2510</v>
      </c>
      <c r="E23" s="261" t="s">
        <v>1634</v>
      </c>
      <c r="F23" s="272">
        <v>1</v>
      </c>
      <c r="G23" s="272">
        <v>1</v>
      </c>
      <c r="H23" s="273">
        <f t="shared" si="1"/>
        <v>1.5</v>
      </c>
      <c r="I23" s="274">
        <f>VLOOKUP(K23,DGNC,5,0)*L23</f>
        <v>1926441.8499999999</v>
      </c>
      <c r="J23" s="272">
        <f t="shared" si="0"/>
        <v>0</v>
      </c>
      <c r="K23" s="4" t="s">
        <v>1311</v>
      </c>
      <c r="L23" s="4">
        <v>9.5299999999999994</v>
      </c>
    </row>
    <row r="24" spans="1:12">
      <c r="A24" s="259" t="s">
        <v>2511</v>
      </c>
      <c r="B24" s="260">
        <f>IF(AND(0.05&lt;=CLVC,CLVC&lt;=0.1),"VCC1",IF(AND(0.1&lt;=CLVC,CLVC&lt;=0.3),"VCC2",IF(AND(0.3&lt;=CLVC,CLVC&lt;=0.5),"VCC3",IF(AND(CLVC&gt;0.5),"VCC4",))))</f>
        <v>0</v>
      </c>
      <c r="C24" s="275" t="s">
        <v>2548</v>
      </c>
      <c r="D24" s="271" t="s">
        <v>2512</v>
      </c>
      <c r="E24" s="261" t="s">
        <v>1634</v>
      </c>
      <c r="F24" s="272">
        <v>1</v>
      </c>
      <c r="G24" s="272">
        <v>1</v>
      </c>
      <c r="H24" s="273">
        <f t="shared" si="1"/>
        <v>1.5</v>
      </c>
      <c r="I24" s="274">
        <f>VLOOKUP(K24,DGNC,5,0)*L24</f>
        <v>1768768.75</v>
      </c>
      <c r="J24" s="272">
        <f t="shared" si="0"/>
        <v>0</v>
      </c>
      <c r="K24" s="4" t="s">
        <v>1311</v>
      </c>
      <c r="L24" s="4">
        <v>8.75</v>
      </c>
    </row>
    <row r="25" spans="1:12">
      <c r="A25" s="259" t="s">
        <v>2513</v>
      </c>
      <c r="B25" s="260">
        <f>IF(AND(0.05&lt;=CLVC,CLVC&lt;=0.1),"VCC1",IF(AND(0.1&lt;=CLVC,CLVC&lt;=0.3),"VCC2",IF(AND(0.3&lt;=CLVC,CLVC&lt;=0.5),"VCC3",IF(AND(CLVC&gt;0.5),"VCC4",))))</f>
        <v>0</v>
      </c>
      <c r="C25" s="275" t="s">
        <v>2545</v>
      </c>
      <c r="D25" s="271" t="s">
        <v>2514</v>
      </c>
      <c r="E25" s="261" t="s">
        <v>1634</v>
      </c>
      <c r="F25" s="272">
        <v>1</v>
      </c>
      <c r="G25" s="272">
        <v>1</v>
      </c>
      <c r="H25" s="273">
        <f t="shared" si="1"/>
        <v>1.5</v>
      </c>
      <c r="I25" s="274">
        <f>VLOOKUP(K25,DGNC,5,0)*L25</f>
        <v>1784940.35</v>
      </c>
      <c r="J25" s="276">
        <f t="shared" si="0"/>
        <v>0</v>
      </c>
      <c r="K25" s="4" t="s">
        <v>1311</v>
      </c>
      <c r="L25" s="4">
        <v>8.83</v>
      </c>
    </row>
    <row r="26" spans="1:12">
      <c r="A26" s="259" t="s">
        <v>2515</v>
      </c>
      <c r="B26" s="260">
        <f>IF(AND(0.05&lt;=CLVC,CLVC&lt;=0.1),"VCC1",IF(AND(0.1&lt;=CLVC,CLVC&lt;=0.3),"VCC2",IF(AND(0.3&lt;=CLVC,CLVC&lt;=0.5),"VCC3",IF(AND(CLVC&gt;0.5),"VCC4",))))</f>
        <v>0</v>
      </c>
      <c r="C26" s="275" t="s">
        <v>2547</v>
      </c>
      <c r="D26" s="271" t="s">
        <v>2516</v>
      </c>
      <c r="E26" s="261" t="s">
        <v>1634</v>
      </c>
      <c r="F26" s="272">
        <v>1</v>
      </c>
      <c r="G26" s="272">
        <v>1</v>
      </c>
      <c r="H26" s="273">
        <f t="shared" si="1"/>
        <v>1.5</v>
      </c>
      <c r="I26" s="274">
        <f>VLOOKUP(K26,DGNC,5,0)*L26</f>
        <v>1809197.7499999998</v>
      </c>
      <c r="J26" s="272">
        <f t="shared" si="0"/>
        <v>0</v>
      </c>
      <c r="K26" s="4" t="s">
        <v>1311</v>
      </c>
      <c r="L26" s="4">
        <v>8.9499999999999993</v>
      </c>
    </row>
    <row r="27" spans="1:12">
      <c r="A27" s="259" t="s">
        <v>2517</v>
      </c>
      <c r="B27" s="260">
        <f>IF(AND(0.05&lt;=CLVC,CLVC&lt;=0.1),"VCC1",IF(AND(0.1&lt;=CLVC,CLVC&lt;=0.3),"VCC2",IF(AND(0.3&lt;=CLVC,CLVC&lt;=0.5),"VCC3",IF(AND(CLVC&gt;0.5),"VCC4",))))</f>
        <v>0</v>
      </c>
      <c r="C27" s="275" t="s">
        <v>2546</v>
      </c>
      <c r="D27" s="271" t="s">
        <v>2510</v>
      </c>
      <c r="E27" s="261" t="s">
        <v>1634</v>
      </c>
      <c r="F27" s="272">
        <v>1</v>
      </c>
      <c r="G27" s="272">
        <v>1</v>
      </c>
      <c r="H27" s="273">
        <f t="shared" si="1"/>
        <v>1.5</v>
      </c>
      <c r="I27" s="274">
        <f>VLOOKUP(K27,DGNC,5,0)*L27</f>
        <v>1926441.8499999999</v>
      </c>
      <c r="J27" s="272">
        <f t="shared" si="0"/>
        <v>0</v>
      </c>
      <c r="K27" s="4" t="s">
        <v>1311</v>
      </c>
      <c r="L27" s="4">
        <v>9.5299999999999994</v>
      </c>
    </row>
    <row r="28" spans="1:12">
      <c r="A28" s="259" t="s">
        <v>2518</v>
      </c>
      <c r="B28" s="260">
        <f>IF(AND(0.05&lt;=CLVC,CLVC&lt;=0.1),"VCX1",IF(AND(0.1&lt;=CLVC,CLVC&lt;=0.3),"VCX2",IF(AND(0.3&lt;=CLVC,CLVC&lt;=0.5),"VCX3",IF(AND(CLVC&gt;0.5),"VCX4",))))</f>
        <v>0</v>
      </c>
      <c r="C28" s="261" t="s">
        <v>2519</v>
      </c>
      <c r="D28" s="271" t="s">
        <v>2520</v>
      </c>
      <c r="E28" s="261" t="s">
        <v>1634</v>
      </c>
      <c r="F28" s="272">
        <v>1</v>
      </c>
      <c r="G28" s="272">
        <v>1</v>
      </c>
      <c r="H28" s="273">
        <f t="shared" si="1"/>
        <v>1.5</v>
      </c>
      <c r="I28" s="274">
        <v>201821</v>
      </c>
      <c r="J28" s="272">
        <f t="shared" si="0"/>
        <v>0</v>
      </c>
    </row>
    <row r="29" spans="1:12">
      <c r="A29" s="259" t="s">
        <v>2521</v>
      </c>
      <c r="B29" s="260">
        <f>IF(AND(0.05&lt;=CLVC,CLVC&lt;=0.1),"VCPK1",IF(AND(0.1&lt;=CLVC,CLVC&lt;=0.3),"VCPK2",IF(AND(0.3&lt;=CLVC,CLVC&lt;=0.5),"VCPK3",IF(AND(CLVC&gt;0.5),"VCPK4",))))</f>
        <v>0</v>
      </c>
      <c r="C29" s="261" t="s">
        <v>2507</v>
      </c>
      <c r="D29" s="271" t="s">
        <v>2522</v>
      </c>
      <c r="E29" s="261" t="s">
        <v>1634</v>
      </c>
      <c r="F29" s="272">
        <v>1</v>
      </c>
      <c r="G29" s="272">
        <v>1</v>
      </c>
      <c r="H29" s="273">
        <f t="shared" si="1"/>
        <v>1.5</v>
      </c>
      <c r="I29" s="274">
        <v>199747</v>
      </c>
      <c r="J29" s="272">
        <f t="shared" si="0"/>
        <v>0</v>
      </c>
    </row>
    <row r="30" spans="1:12">
      <c r="A30" s="259" t="s">
        <v>2523</v>
      </c>
      <c r="B30" s="260">
        <f>IF(AND(0.05&lt;=CLVC,CLVC&lt;=0.1),"VCct5",IF(AND(0.1&lt;=CLVC,CLVC&lt;=0.3),"VCct6",IF(AND(0.3&lt;=CLVC,CLVC&lt;=0.5),"VCct7",IF(AND(CLVC&gt;0.5),"VCct8",))))</f>
        <v>0</v>
      </c>
      <c r="C30" s="261" t="s">
        <v>2524</v>
      </c>
      <c r="D30" s="271" t="s">
        <v>2525</v>
      </c>
      <c r="E30" s="261" t="s">
        <v>142</v>
      </c>
      <c r="F30" s="272">
        <v>1</v>
      </c>
      <c r="G30" s="272">
        <v>1</v>
      </c>
      <c r="H30" s="273">
        <f t="shared" si="1"/>
        <v>1.5</v>
      </c>
      <c r="I30" s="274">
        <v>2661.31</v>
      </c>
      <c r="J30" s="272">
        <f t="shared" si="0"/>
        <v>0</v>
      </c>
    </row>
    <row r="31" spans="1:12">
      <c r="A31" s="259" t="s">
        <v>2526</v>
      </c>
      <c r="B31" s="260">
        <f>IF(AND(0.05&lt;=CLVC,CLVC&lt;=0.1),"VCD1",IF(AND(0.1&lt;=CLVC,CLVC&lt;=0.3),"VCD2",IF(AND(0.3&lt;=CLVC,CLVC&lt;=0.5),"VCD3",IF(AND(CLVC&gt;0.5),"VCD4",))))</f>
        <v>0</v>
      </c>
      <c r="C31" s="261" t="s">
        <v>2527</v>
      </c>
      <c r="D31" s="271" t="s">
        <v>2528</v>
      </c>
      <c r="E31" s="261" t="s">
        <v>1634</v>
      </c>
      <c r="F31" s="272">
        <v>1</v>
      </c>
      <c r="G31" s="272">
        <v>1</v>
      </c>
      <c r="H31" s="273">
        <f t="shared" si="1"/>
        <v>1.5</v>
      </c>
      <c r="I31" s="274">
        <v>201821</v>
      </c>
      <c r="J31" s="272">
        <f t="shared" si="0"/>
        <v>0</v>
      </c>
    </row>
    <row r="32" spans="1:12">
      <c r="A32" s="259" t="s">
        <v>2529</v>
      </c>
      <c r="B32" s="260">
        <f>IF(AND(0.05&lt;=CLVC,CLVC&lt;=0.1),"VCDC1",IF(AND(0.1&lt;=CLVC,CLVC&lt;=0.3),"VCDC2",IF(AND(0.3&lt;=CLVC,CLVC&lt;=0.5),"VCDC3",IF(AND(CLVC&gt;0.5),"VCDC4",))))</f>
        <v>0</v>
      </c>
      <c r="C32" s="261" t="s">
        <v>2530</v>
      </c>
      <c r="D32" s="271" t="s">
        <v>2531</v>
      </c>
      <c r="E32" s="261" t="s">
        <v>1634</v>
      </c>
      <c r="F32" s="272">
        <v>1</v>
      </c>
      <c r="G32" s="272">
        <v>1</v>
      </c>
      <c r="H32" s="273">
        <f t="shared" si="1"/>
        <v>1.5</v>
      </c>
      <c r="I32" s="274">
        <v>183447</v>
      </c>
      <c r="J32" s="272">
        <f t="shared" si="0"/>
        <v>0</v>
      </c>
    </row>
    <row r="33" spans="1:10">
      <c r="A33" s="259"/>
      <c r="B33" s="260"/>
      <c r="C33" s="261"/>
      <c r="D33" s="271"/>
      <c r="E33" s="271"/>
      <c r="F33" s="271"/>
      <c r="G33" s="271"/>
      <c r="H33" s="271"/>
      <c r="I33" s="271"/>
      <c r="J33" s="271"/>
    </row>
    <row r="34" spans="1:10">
      <c r="A34" s="253"/>
      <c r="B34" s="254"/>
      <c r="C34" s="254"/>
      <c r="D34" s="254"/>
      <c r="E34" s="254"/>
      <c r="F34" s="254"/>
      <c r="G34" s="254"/>
      <c r="H34" s="254"/>
      <c r="I34" s="254"/>
      <c r="J34" s="254"/>
    </row>
    <row r="35" spans="1:10">
      <c r="A35" s="253"/>
      <c r="B35" s="254"/>
      <c r="C35" s="254"/>
      <c r="D35" s="254"/>
      <c r="E35" s="254"/>
      <c r="F35" s="254"/>
      <c r="G35" s="254"/>
      <c r="H35" s="254"/>
      <c r="I35" s="254"/>
      <c r="J35" s="254"/>
    </row>
    <row r="36" spans="1:10">
      <c r="A36" s="253"/>
      <c r="B36" s="254"/>
      <c r="C36" s="254"/>
      <c r="D36" s="254"/>
      <c r="E36" s="254"/>
      <c r="F36" s="254"/>
      <c r="G36" s="254"/>
      <c r="H36" s="254"/>
      <c r="I36" s="254"/>
      <c r="J36" s="254"/>
    </row>
    <row r="37" spans="1:10">
      <c r="A37" s="253"/>
      <c r="B37" s="254"/>
      <c r="C37" s="254"/>
      <c r="D37" s="254"/>
      <c r="E37" s="254"/>
      <c r="F37" s="254"/>
      <c r="G37" s="254"/>
      <c r="H37" s="254"/>
      <c r="I37" s="254"/>
      <c r="J37" s="254"/>
    </row>
    <row r="38" spans="1:10">
      <c r="A38" s="253"/>
      <c r="B38" s="254"/>
      <c r="C38" s="254"/>
      <c r="D38" s="254"/>
      <c r="E38" s="254"/>
      <c r="F38" s="254"/>
      <c r="G38" s="254"/>
      <c r="H38" s="254"/>
      <c r="I38" s="254"/>
      <c r="J38" s="254"/>
    </row>
    <row r="39" spans="1:10">
      <c r="A39" s="253"/>
      <c r="B39" s="262"/>
      <c r="C39" s="263" t="s">
        <v>2532</v>
      </c>
      <c r="D39" s="264"/>
      <c r="E39" s="264"/>
      <c r="F39" s="264"/>
      <c r="G39" s="264"/>
      <c r="H39" s="264"/>
      <c r="I39" s="264"/>
      <c r="J39" s="254"/>
    </row>
    <row r="40" spans="1:10">
      <c r="A40" s="253"/>
      <c r="B40" s="262"/>
      <c r="C40" s="263"/>
      <c r="D40" s="264"/>
      <c r="E40" s="264"/>
      <c r="F40" s="264"/>
      <c r="G40" s="264"/>
      <c r="H40" s="264"/>
      <c r="I40" s="264"/>
      <c r="J40" s="254"/>
    </row>
    <row r="41" spans="1:10">
      <c r="A41" s="253"/>
      <c r="B41" s="262"/>
      <c r="C41" s="262"/>
      <c r="D41" s="262"/>
      <c r="E41" s="262"/>
      <c r="F41" s="262"/>
      <c r="G41" s="262"/>
      <c r="H41" s="262"/>
      <c r="I41" s="262"/>
      <c r="J41" s="254"/>
    </row>
    <row r="42" spans="1:10">
      <c r="A42" s="253"/>
      <c r="B42" s="262"/>
      <c r="C42" s="1082" t="s">
        <v>2533</v>
      </c>
      <c r="D42" s="1083"/>
      <c r="E42" s="1083"/>
      <c r="F42" s="1083"/>
      <c r="G42" s="1083"/>
      <c r="H42" s="1083"/>
      <c r="I42" s="1083"/>
      <c r="J42" s="254"/>
    </row>
    <row r="43" spans="1:10">
      <c r="A43" s="253"/>
      <c r="B43" s="262"/>
      <c r="C43" s="1082" t="s">
        <v>2534</v>
      </c>
      <c r="D43" s="1083"/>
      <c r="E43" s="1083"/>
      <c r="F43" s="1083"/>
      <c r="G43" s="1083"/>
      <c r="H43" s="1083"/>
      <c r="I43" s="1083"/>
      <c r="J43" s="254"/>
    </row>
    <row r="44" spans="1:10">
      <c r="A44" s="253"/>
      <c r="B44" s="262"/>
      <c r="C44" s="262"/>
      <c r="D44" s="262"/>
      <c r="E44" s="262"/>
      <c r="F44" s="262"/>
      <c r="G44" s="262"/>
      <c r="H44" s="262"/>
      <c r="I44" s="262"/>
      <c r="J44" s="254"/>
    </row>
    <row r="45" spans="1:10">
      <c r="A45" s="253"/>
      <c r="B45" s="265"/>
      <c r="C45" s="1084" t="s">
        <v>1763</v>
      </c>
      <c r="D45" s="1085" t="s">
        <v>2535</v>
      </c>
      <c r="E45" s="1085" t="s">
        <v>2536</v>
      </c>
      <c r="F45" s="266" t="s">
        <v>2537</v>
      </c>
      <c r="G45" s="266"/>
      <c r="H45" s="266"/>
      <c r="I45" s="1084" t="s">
        <v>2538</v>
      </c>
      <c r="J45" s="254"/>
    </row>
    <row r="46" spans="1:10">
      <c r="A46" s="253"/>
      <c r="B46" s="265"/>
      <c r="C46" s="1084"/>
      <c r="D46" s="1084"/>
      <c r="E46" s="1084"/>
      <c r="F46" s="267" t="s">
        <v>2539</v>
      </c>
      <c r="G46" s="268" t="s">
        <v>2540</v>
      </c>
      <c r="H46" s="267" t="s">
        <v>1512</v>
      </c>
      <c r="I46" s="1084"/>
      <c r="J46" s="254"/>
    </row>
    <row r="47" spans="1:10">
      <c r="A47" s="253"/>
      <c r="B47" s="262"/>
      <c r="C47" s="229"/>
      <c r="D47" s="230"/>
      <c r="E47" s="250"/>
      <c r="F47" s="231">
        <f>PP3P!W76</f>
        <v>0</v>
      </c>
      <c r="G47" s="231"/>
      <c r="H47" s="231">
        <f>SUM(F47:G47)</f>
        <v>0</v>
      </c>
      <c r="I47" s="229">
        <f>PP3P!D76/1000+0.98</f>
        <v>1.02</v>
      </c>
      <c r="J47" s="254">
        <f>H47*I47</f>
        <v>0</v>
      </c>
    </row>
    <row r="48" spans="1:10">
      <c r="A48" s="253"/>
      <c r="B48" s="262"/>
      <c r="C48" s="232"/>
      <c r="D48" s="233"/>
      <c r="E48" s="234"/>
      <c r="F48" s="235">
        <f>PP3P!W77</f>
        <v>0</v>
      </c>
      <c r="G48" s="235"/>
      <c r="H48" s="235">
        <f>SUM(F48:G48)</f>
        <v>0</v>
      </c>
      <c r="I48" s="232">
        <f>SUM(PP3P!$D$76:D77)/1000+0.98</f>
        <v>1.0649999999999999</v>
      </c>
      <c r="J48" s="254">
        <f t="shared" ref="J48:J69" si="2">H48*I48</f>
        <v>0</v>
      </c>
    </row>
    <row r="49" spans="1:10">
      <c r="A49" s="253"/>
      <c r="B49" s="262"/>
      <c r="C49" s="232"/>
      <c r="D49" s="233"/>
      <c r="E49" s="234"/>
      <c r="F49" s="235">
        <f>PP3P!W78</f>
        <v>0</v>
      </c>
      <c r="G49" s="235"/>
      <c r="H49" s="235">
        <f t="shared" ref="H49:H59" si="3">SUM(F49:G49)</f>
        <v>0</v>
      </c>
      <c r="I49" s="232">
        <f>SUM(PP3P!$D$76:D78)/1000+0.98</f>
        <v>1.105</v>
      </c>
      <c r="J49" s="254">
        <f t="shared" si="2"/>
        <v>0</v>
      </c>
    </row>
    <row r="50" spans="1:10">
      <c r="A50" s="253"/>
      <c r="B50" s="262"/>
      <c r="C50" s="232"/>
      <c r="D50" s="233"/>
      <c r="E50" s="234"/>
      <c r="F50" s="235">
        <f>PP3P!W79</f>
        <v>0</v>
      </c>
      <c r="G50" s="235"/>
      <c r="H50" s="235">
        <f t="shared" si="3"/>
        <v>0</v>
      </c>
      <c r="I50" s="232">
        <f>SUM(PP3P!$D$76:D79)/1000+0.98</f>
        <v>1.145</v>
      </c>
      <c r="J50" s="254">
        <f t="shared" si="2"/>
        <v>0</v>
      </c>
    </row>
    <row r="51" spans="1:10">
      <c r="A51" s="253"/>
      <c r="B51" s="262"/>
      <c r="C51" s="232"/>
      <c r="D51" s="233"/>
      <c r="E51" s="234"/>
      <c r="F51" s="235"/>
      <c r="G51" s="235"/>
      <c r="H51" s="235">
        <f t="shared" si="3"/>
        <v>0</v>
      </c>
      <c r="I51" s="232">
        <f>SUM(PP3P!$D$76:D79)/1000+0.98</f>
        <v>1.145</v>
      </c>
      <c r="J51" s="254">
        <f t="shared" si="2"/>
        <v>0</v>
      </c>
    </row>
    <row r="52" spans="1:10">
      <c r="A52" s="253"/>
      <c r="B52" s="262"/>
      <c r="C52" s="232"/>
      <c r="D52" s="233"/>
      <c r="E52" s="234"/>
      <c r="F52" s="235"/>
      <c r="G52" s="235"/>
      <c r="H52" s="235">
        <f t="shared" si="3"/>
        <v>0</v>
      </c>
      <c r="I52" s="232">
        <f>SUM(PP3P!$D$76:D79)/1000+0.98</f>
        <v>1.145</v>
      </c>
      <c r="J52" s="254">
        <f t="shared" si="2"/>
        <v>0</v>
      </c>
    </row>
    <row r="53" spans="1:10">
      <c r="A53" s="253"/>
      <c r="B53" s="262"/>
      <c r="C53" s="232"/>
      <c r="D53" s="233"/>
      <c r="E53" s="234"/>
      <c r="F53" s="235"/>
      <c r="G53" s="235"/>
      <c r="H53" s="235">
        <f t="shared" si="3"/>
        <v>0</v>
      </c>
      <c r="I53" s="232">
        <f>SUM(PP3P!$D$76:D79)/1000+0.98</f>
        <v>1.145</v>
      </c>
      <c r="J53" s="254">
        <f t="shared" si="2"/>
        <v>0</v>
      </c>
    </row>
    <row r="54" spans="1:10">
      <c r="A54" s="253"/>
      <c r="B54" s="262"/>
      <c r="C54" s="232"/>
      <c r="D54" s="233"/>
      <c r="E54" s="234"/>
      <c r="F54" s="235"/>
      <c r="G54" s="235"/>
      <c r="H54" s="235">
        <f t="shared" si="3"/>
        <v>0</v>
      </c>
      <c r="I54" s="232">
        <f>SUM(PP3P!$D$76:D79)/1000+0.98</f>
        <v>1.145</v>
      </c>
      <c r="J54" s="254">
        <f t="shared" si="2"/>
        <v>0</v>
      </c>
    </row>
    <row r="55" spans="1:10">
      <c r="A55" s="253"/>
      <c r="B55" s="262"/>
      <c r="C55" s="232"/>
      <c r="D55" s="233"/>
      <c r="E55" s="234"/>
      <c r="F55" s="235"/>
      <c r="G55" s="235"/>
      <c r="H55" s="235">
        <f t="shared" si="3"/>
        <v>0</v>
      </c>
      <c r="I55" s="232">
        <f>SUM(PP3P!$D$76:D79)/1000+0.98</f>
        <v>1.145</v>
      </c>
      <c r="J55" s="254">
        <f t="shared" si="2"/>
        <v>0</v>
      </c>
    </row>
    <row r="56" spans="1:10">
      <c r="A56" s="253"/>
      <c r="B56" s="262"/>
      <c r="C56" s="232"/>
      <c r="D56" s="233"/>
      <c r="E56" s="234"/>
      <c r="F56" s="235"/>
      <c r="G56" s="235"/>
      <c r="H56" s="235">
        <f t="shared" si="3"/>
        <v>0</v>
      </c>
      <c r="I56" s="232">
        <f>SUM(PP3P!$D$76:D79)/1000+0.98</f>
        <v>1.145</v>
      </c>
      <c r="J56" s="254">
        <f t="shared" si="2"/>
        <v>0</v>
      </c>
    </row>
    <row r="57" spans="1:10">
      <c r="A57" s="253"/>
      <c r="B57" s="262"/>
      <c r="C57" s="232"/>
      <c r="D57" s="233"/>
      <c r="E57" s="234"/>
      <c r="F57" s="235"/>
      <c r="G57" s="235"/>
      <c r="H57" s="235">
        <f t="shared" si="3"/>
        <v>0</v>
      </c>
      <c r="I57" s="232">
        <f>SUM(PP3P!$D$76:D79)/1000+0.98</f>
        <v>1.145</v>
      </c>
      <c r="J57" s="254">
        <f t="shared" si="2"/>
        <v>0</v>
      </c>
    </row>
    <row r="58" spans="1:10">
      <c r="A58" s="253"/>
      <c r="B58" s="262"/>
      <c r="C58" s="232"/>
      <c r="D58" s="233"/>
      <c r="E58" s="234"/>
      <c r="F58" s="235"/>
      <c r="G58" s="235"/>
      <c r="H58" s="235">
        <f t="shared" si="3"/>
        <v>0</v>
      </c>
      <c r="I58" s="232">
        <f>SUM(PP3P!$D$76:D79)/1000+0.98</f>
        <v>1.145</v>
      </c>
      <c r="J58" s="254">
        <f t="shared" si="2"/>
        <v>0</v>
      </c>
    </row>
    <row r="59" spans="1:10">
      <c r="A59" s="253"/>
      <c r="B59" s="262"/>
      <c r="C59" s="232"/>
      <c r="D59" s="233"/>
      <c r="E59" s="234"/>
      <c r="F59" s="235"/>
      <c r="G59" s="235"/>
      <c r="H59" s="235">
        <f t="shared" si="3"/>
        <v>0</v>
      </c>
      <c r="I59" s="232">
        <f>SUM(PP3P!$D$76:D79)/1000+0.98</f>
        <v>1.145</v>
      </c>
      <c r="J59" s="254">
        <f t="shared" si="2"/>
        <v>0</v>
      </c>
    </row>
    <row r="60" spans="1:10">
      <c r="A60" s="253"/>
      <c r="B60" s="262"/>
      <c r="C60" s="232"/>
      <c r="D60" s="233"/>
      <c r="E60" s="234"/>
      <c r="F60" s="235"/>
      <c r="G60" s="235"/>
      <c r="H60" s="232"/>
      <c r="I60" s="232"/>
      <c r="J60" s="254">
        <f t="shared" si="2"/>
        <v>0</v>
      </c>
    </row>
    <row r="61" spans="1:10">
      <c r="A61" s="253"/>
      <c r="B61" s="262"/>
      <c r="C61" s="232"/>
      <c r="D61" s="233"/>
      <c r="E61" s="234"/>
      <c r="F61" s="235"/>
      <c r="G61" s="235"/>
      <c r="H61" s="232"/>
      <c r="I61" s="232"/>
      <c r="J61" s="254">
        <f t="shared" si="2"/>
        <v>0</v>
      </c>
    </row>
    <row r="62" spans="1:10">
      <c r="A62" s="253"/>
      <c r="B62" s="262"/>
      <c r="C62" s="232"/>
      <c r="D62" s="233"/>
      <c r="E62" s="234"/>
      <c r="F62" s="235"/>
      <c r="G62" s="235"/>
      <c r="H62" s="232"/>
      <c r="I62" s="232"/>
      <c r="J62" s="254">
        <f t="shared" si="2"/>
        <v>0</v>
      </c>
    </row>
    <row r="63" spans="1:10">
      <c r="A63" s="253"/>
      <c r="B63" s="262"/>
      <c r="C63" s="232"/>
      <c r="D63" s="233"/>
      <c r="E63" s="234"/>
      <c r="F63" s="235"/>
      <c r="G63" s="235"/>
      <c r="H63" s="232"/>
      <c r="I63" s="232"/>
      <c r="J63" s="254">
        <f>H63*I63</f>
        <v>0</v>
      </c>
    </row>
    <row r="64" spans="1:10">
      <c r="A64" s="253"/>
      <c r="B64" s="262"/>
      <c r="C64" s="232"/>
      <c r="D64" s="233"/>
      <c r="E64" s="234"/>
      <c r="F64" s="235"/>
      <c r="G64" s="235"/>
      <c r="H64" s="232"/>
      <c r="I64" s="236"/>
      <c r="J64" s="254">
        <f t="shared" si="2"/>
        <v>0</v>
      </c>
    </row>
    <row r="65" spans="1:10">
      <c r="A65" s="253"/>
      <c r="B65" s="262"/>
      <c r="C65" s="232"/>
      <c r="D65" s="233"/>
      <c r="E65" s="234"/>
      <c r="F65" s="235"/>
      <c r="G65" s="235"/>
      <c r="H65" s="232"/>
      <c r="I65" s="232"/>
      <c r="J65" s="254">
        <f t="shared" si="2"/>
        <v>0</v>
      </c>
    </row>
    <row r="66" spans="1:10">
      <c r="A66" s="253"/>
      <c r="B66" s="262"/>
      <c r="C66" s="232"/>
      <c r="D66" s="233"/>
      <c r="E66" s="234"/>
      <c r="F66" s="235"/>
      <c r="G66" s="235"/>
      <c r="H66" s="232"/>
      <c r="I66" s="236"/>
      <c r="J66" s="254">
        <f t="shared" si="2"/>
        <v>0</v>
      </c>
    </row>
    <row r="67" spans="1:10">
      <c r="A67" s="253"/>
      <c r="B67" s="262"/>
      <c r="C67" s="232"/>
      <c r="D67" s="233"/>
      <c r="E67" s="234"/>
      <c r="F67" s="235"/>
      <c r="G67" s="235"/>
      <c r="H67" s="232"/>
      <c r="I67" s="232"/>
      <c r="J67" s="254">
        <f t="shared" si="2"/>
        <v>0</v>
      </c>
    </row>
    <row r="68" spans="1:10">
      <c r="A68" s="253"/>
      <c r="B68" s="262"/>
      <c r="C68" s="232"/>
      <c r="D68" s="233"/>
      <c r="E68" s="234"/>
      <c r="F68" s="235"/>
      <c r="G68" s="235"/>
      <c r="H68" s="232"/>
      <c r="I68" s="236"/>
      <c r="J68" s="254">
        <f t="shared" si="2"/>
        <v>0</v>
      </c>
    </row>
    <row r="69" spans="1:10">
      <c r="A69" s="253"/>
      <c r="B69" s="262"/>
      <c r="C69" s="232"/>
      <c r="D69" s="233"/>
      <c r="E69" s="234"/>
      <c r="F69" s="235"/>
      <c r="G69" s="235"/>
      <c r="H69" s="232"/>
      <c r="I69" s="236"/>
      <c r="J69" s="254">
        <f t="shared" si="2"/>
        <v>0</v>
      </c>
    </row>
    <row r="70" spans="1:10">
      <c r="A70" s="253"/>
      <c r="B70" s="262"/>
      <c r="C70" s="232"/>
      <c r="D70" s="233"/>
      <c r="E70" s="237"/>
      <c r="F70" s="235"/>
      <c r="G70" s="235"/>
      <c r="H70" s="232"/>
      <c r="I70" s="236"/>
      <c r="J70" s="254"/>
    </row>
    <row r="71" spans="1:10" ht="16.2">
      <c r="A71" s="253"/>
      <c r="B71" s="262"/>
      <c r="C71" s="238"/>
      <c r="D71" s="239" t="s">
        <v>2541</v>
      </c>
      <c r="E71" s="240"/>
      <c r="F71" s="241">
        <f>SUM(F47:F70)</f>
        <v>0</v>
      </c>
      <c r="G71" s="241">
        <f>SUM(G47:G70)</f>
        <v>0</v>
      </c>
      <c r="H71" s="241">
        <f>SUM(H47:H70)</f>
        <v>0</v>
      </c>
      <c r="I71" s="251">
        <f>IF(H71=0,0,ROUND(J71/H71,3))</f>
        <v>0</v>
      </c>
      <c r="J71" s="254">
        <f>SUM(J47:J70)</f>
        <v>0</v>
      </c>
    </row>
    <row r="72" spans="1:10">
      <c r="A72" s="253"/>
      <c r="B72" s="262"/>
      <c r="C72" s="242"/>
      <c r="D72" s="243"/>
      <c r="E72" s="242"/>
      <c r="F72" s="242"/>
      <c r="G72" s="242"/>
      <c r="H72" s="242">
        <f>SUM(F72:G72)</f>
        <v>0</v>
      </c>
      <c r="I72" s="242"/>
      <c r="J72" s="254"/>
    </row>
    <row r="73" spans="1:10">
      <c r="A73" s="253"/>
      <c r="B73" s="262"/>
      <c r="C73" s="244"/>
      <c r="D73" s="245"/>
      <c r="E73" s="244"/>
      <c r="F73" s="244"/>
      <c r="G73" s="244"/>
      <c r="H73" s="244"/>
      <c r="I73" s="244"/>
      <c r="J73" s="254"/>
    </row>
    <row r="74" spans="1:10">
      <c r="A74" s="253"/>
      <c r="B74" s="262"/>
      <c r="C74" s="269" t="s">
        <v>2542</v>
      </c>
      <c r="D74" s="245"/>
      <c r="E74" s="244"/>
      <c r="F74" s="244"/>
      <c r="G74" s="244"/>
      <c r="H74" s="244"/>
      <c r="I74" s="244"/>
      <c r="J74" s="254"/>
    </row>
    <row r="75" spans="1:10">
      <c r="A75" s="253"/>
      <c r="B75" s="262"/>
      <c r="C75" s="262"/>
      <c r="D75" s="262"/>
      <c r="E75" s="244"/>
      <c r="F75" s="244"/>
      <c r="G75" s="244"/>
      <c r="H75" s="244"/>
      <c r="I75" s="244"/>
      <c r="J75" s="254"/>
    </row>
    <row r="76" spans="1:10">
      <c r="A76" s="253"/>
      <c r="B76" s="262"/>
      <c r="C76" s="1076" t="s">
        <v>2543</v>
      </c>
      <c r="D76" s="246" t="str">
        <f>H47&amp;"x"&amp;TEXT(I47,"#,#")&amp;" + "&amp;H65&amp;"x"&amp;TEXT(I65,"#,#")&amp;" + "&amp;H66&amp;"x"&amp;TEXT(I66,"#,#")&amp;" +  "&amp;H67&amp;"x"&amp;TEXT(I67,"#,#")&amp;" + "&amp;H68&amp;"x"&amp;TEXT(I68,"#,#")&amp;" +  "&amp;H69&amp;"x"&amp;TEXT(I69,"#,#")&amp;" + "&amp;H70&amp;"x"&amp;TEXT(I70,"##,##")&amp;""</f>
        <v>0x1, + x, + x, +  x, + x, +  x, + x,</v>
      </c>
      <c r="E76" s="247"/>
      <c r="F76" s="1077">
        <f>IF(H71=0,0,(H47*I47+H65*I65+H66*I66+H67*I67+H68*I68+H69*I69+H70*I70)/H71)</f>
        <v>0</v>
      </c>
      <c r="G76" s="1078" t="s">
        <v>730</v>
      </c>
      <c r="H76" s="244"/>
      <c r="I76" s="248"/>
      <c r="J76" s="254"/>
    </row>
    <row r="77" spans="1:10">
      <c r="A77" s="253"/>
      <c r="B77" s="262"/>
      <c r="C77" s="1076"/>
      <c r="D77" s="249" t="str">
        <f>H47&amp;" + "&amp;H65&amp;" + "&amp;H66&amp;" + "&amp;H67&amp;" + "&amp;H68&amp;" + "&amp;H69&amp;" + "&amp;H70&amp;""</f>
        <v xml:space="preserve">0 +  +  +  +  +  + </v>
      </c>
      <c r="E77" s="249"/>
      <c r="F77" s="1077"/>
      <c r="G77" s="1078"/>
      <c r="H77" s="244"/>
      <c r="I77" s="244"/>
      <c r="J77" s="254"/>
    </row>
    <row r="78" spans="1:10">
      <c r="A78" s="253"/>
      <c r="B78" s="262"/>
      <c r="C78" s="244"/>
      <c r="D78" s="245"/>
      <c r="E78" s="244"/>
      <c r="F78" s="244"/>
      <c r="G78" s="244"/>
      <c r="H78" s="244"/>
      <c r="I78" s="244"/>
      <c r="J78" s="254"/>
    </row>
    <row r="79" spans="1:10">
      <c r="A79" s="253"/>
      <c r="B79" s="262"/>
      <c r="C79" s="244"/>
      <c r="D79" s="245"/>
      <c r="E79" s="244"/>
      <c r="F79" s="244"/>
      <c r="G79" s="244"/>
      <c r="H79" s="244"/>
      <c r="I79" s="244"/>
      <c r="J79" s="254"/>
    </row>
  </sheetData>
  <mergeCells count="15">
    <mergeCell ref="C76:C77"/>
    <mergeCell ref="F76:F77"/>
    <mergeCell ref="G76:G77"/>
    <mergeCell ref="I11:J11"/>
    <mergeCell ref="A11:A12"/>
    <mergeCell ref="B11:B12"/>
    <mergeCell ref="C11:C12"/>
    <mergeCell ref="D11:D12"/>
    <mergeCell ref="E11:E12"/>
    <mergeCell ref="C42:I42"/>
    <mergeCell ref="C43:I43"/>
    <mergeCell ref="C45:C46"/>
    <mergeCell ref="D45:D46"/>
    <mergeCell ref="E45:E46"/>
    <mergeCell ref="I45:I4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109</vt:i4>
      </vt:variant>
    </vt:vector>
  </HeadingPairs>
  <TitlesOfParts>
    <vt:vector size="143" baseType="lpstr">
      <vt:lpstr>SO LIEU</vt:lpstr>
      <vt:lpstr>Sheet1</vt:lpstr>
      <vt:lpstr>1.TONG HOP</vt:lpstr>
      <vt:lpstr>2.TCP-XD</vt:lpstr>
      <vt:lpstr>3.XL-DD</vt:lpstr>
      <vt:lpstr>4.GT</vt:lpstr>
      <vt:lpstr>5.CT-DD</vt:lpstr>
      <vt:lpstr>6.XL-TR</vt:lpstr>
      <vt:lpstr>7.CT-TBA</vt:lpstr>
      <vt:lpstr>DG</vt:lpstr>
      <vt:lpstr>8.LD-TB</vt:lpstr>
      <vt:lpstr>9.CPTN</vt:lpstr>
      <vt:lpstr>10.TNTB</vt:lpstr>
      <vt:lpstr>11.CP-VTTH</vt:lpstr>
      <vt:lpstr>13.VCDD</vt:lpstr>
      <vt:lpstr>14.CP-TK</vt:lpstr>
      <vt:lpstr>15.CP-KS</vt:lpstr>
      <vt:lpstr>16.CTKS</vt:lpstr>
      <vt:lpstr>17.TH-HOTLINE</vt:lpstr>
      <vt:lpstr>18.CT-HOTLINE</vt:lpstr>
      <vt:lpstr>19.VC-HL</vt:lpstr>
      <vt:lpstr>20. LAI VAY</vt:lpstr>
      <vt:lpstr>PP3P</vt:lpstr>
      <vt:lpstr>PP1P</vt:lpstr>
      <vt:lpstr>12.VTTH</vt:lpstr>
      <vt:lpstr>PPHT</vt:lpstr>
      <vt:lpstr>BANG KE MONG TRU</vt:lpstr>
      <vt:lpstr>Sheet2</vt:lpstr>
      <vt:lpstr>BANG KE MONG TRU THUC TE</vt:lpstr>
      <vt:lpstr>Word</vt:lpstr>
      <vt:lpstr>THUC TE LAM VIEC</vt:lpstr>
      <vt:lpstr>BKTL</vt:lpstr>
      <vt:lpstr>BKTL Tram</vt:lpstr>
      <vt:lpstr>VCTC</vt:lpstr>
      <vt:lpstr>BK1P</vt:lpstr>
      <vt:lpstr>BK3P</vt:lpstr>
      <vt:lpstr>BKHT</vt:lpstr>
      <vt:lpstr>BKTL!BKTL</vt:lpstr>
      <vt:lpstr>CLVC</vt:lpstr>
      <vt:lpstr>CPHOTLINE</vt:lpstr>
      <vt:lpstr>CPTN</vt:lpstr>
      <vt:lpstr>CPVCDD</vt:lpstr>
      <vt:lpstr>CTDD</vt:lpstr>
      <vt:lpstr>CTTBA</vt:lpstr>
      <vt:lpstr>DAOTD</vt:lpstr>
      <vt:lpstr>DCNC</vt:lpstr>
      <vt:lpstr>DGHOTLINE</vt:lpstr>
      <vt:lpstr>DGMTC</vt:lpstr>
      <vt:lpstr>DGNC</vt:lpstr>
      <vt:lpstr>DGTN</vt:lpstr>
      <vt:lpstr>DGVC</vt:lpstr>
      <vt:lpstr>DGVCDD</vt:lpstr>
      <vt:lpstr>DONGIA</vt:lpstr>
      <vt:lpstr>DTR1P</vt:lpstr>
      <vt:lpstr>DTR3P</vt:lpstr>
      <vt:lpstr>GTDD</vt:lpstr>
      <vt:lpstr>HSKK</vt:lpstr>
      <vt:lpstr>KLDD</vt:lpstr>
      <vt:lpstr>LD</vt:lpstr>
      <vt:lpstr>LDL</vt:lpstr>
      <vt:lpstr>LDTB</vt:lpstr>
      <vt:lpstr>MTCDD</vt:lpstr>
      <vt:lpstr>NCDD</vt:lpstr>
      <vt:lpstr>NCTBA</vt:lpstr>
      <vt:lpstr>NCTL</vt:lpstr>
      <vt:lpstr>'1.TONG HOP'!Print_Area</vt:lpstr>
      <vt:lpstr>'10.TNTB'!Print_Area</vt:lpstr>
      <vt:lpstr>'11.CP-VTTH'!Print_Area</vt:lpstr>
      <vt:lpstr>'12.VTTH'!Print_Area</vt:lpstr>
      <vt:lpstr>'13.VCDD'!Print_Area</vt:lpstr>
      <vt:lpstr>'14.CP-TK'!Print_Area</vt:lpstr>
      <vt:lpstr>'15.CP-KS'!Print_Area</vt:lpstr>
      <vt:lpstr>'16.CTKS'!Print_Area</vt:lpstr>
      <vt:lpstr>'17.TH-HOTLINE'!Print_Area</vt:lpstr>
      <vt:lpstr>'18.CT-HOTLINE'!Print_Area</vt:lpstr>
      <vt:lpstr>'2.TCP-XD'!Print_Area</vt:lpstr>
      <vt:lpstr>'20. LAI VAY'!Print_Area</vt:lpstr>
      <vt:lpstr>'3.XL-DD'!Print_Area</vt:lpstr>
      <vt:lpstr>'4.GT'!Print_Area</vt:lpstr>
      <vt:lpstr>'5.CT-DD'!Print_Area</vt:lpstr>
      <vt:lpstr>'6.XL-TR'!Print_Area</vt:lpstr>
      <vt:lpstr>'7.CT-TBA'!Print_Area</vt:lpstr>
      <vt:lpstr>'8.LD-TB'!Print_Area</vt:lpstr>
      <vt:lpstr>'9.CPTN'!Print_Area</vt:lpstr>
      <vt:lpstr>BKTL!Print_Area</vt:lpstr>
      <vt:lpstr>'BKTL Tram'!Print_Area</vt:lpstr>
      <vt:lpstr>PP1P!Print_Area</vt:lpstr>
      <vt:lpstr>PP3P!Print_Area</vt:lpstr>
      <vt:lpstr>PPHT!Print_Area</vt:lpstr>
      <vt:lpstr>Word!Print_Area</vt:lpstr>
      <vt:lpstr>'10.TNTB'!Print_Titles</vt:lpstr>
      <vt:lpstr>'11.CP-VTTH'!Print_Titles</vt:lpstr>
      <vt:lpstr>'12.VTTH'!Print_Titles</vt:lpstr>
      <vt:lpstr>'13.VCDD'!Print_Titles</vt:lpstr>
      <vt:lpstr>'15.CP-KS'!Print_Titles</vt:lpstr>
      <vt:lpstr>'16.CTKS'!Print_Titles</vt:lpstr>
      <vt:lpstr>'2.TCP-XD'!Print_Titles</vt:lpstr>
      <vt:lpstr>'3.XL-DD'!Print_Titles</vt:lpstr>
      <vt:lpstr>'4.GT'!Print_Titles</vt:lpstr>
      <vt:lpstr>'5.CT-DD'!Print_Titles</vt:lpstr>
      <vt:lpstr>'6.XL-TR'!Print_Titles</vt:lpstr>
      <vt:lpstr>'7.CT-TBA'!Print_Titles</vt:lpstr>
      <vt:lpstr>'8.LD-TB'!Print_Titles</vt:lpstr>
      <vt:lpstr>'9.CPTN'!Print_Titles</vt:lpstr>
      <vt:lpstr>BKTL!Print_Titles</vt:lpstr>
      <vt:lpstr>'BKTL Tram'!Print_Titles</vt:lpstr>
      <vt:lpstr>PP1P!Print_Titles</vt:lpstr>
      <vt:lpstr>PP3P!Print_Titles</vt:lpstr>
      <vt:lpstr>PPHT!Print_Titles</vt:lpstr>
      <vt:lpstr>'THUC TE LAM VIEC'!Print_Titles</vt:lpstr>
      <vt:lpstr>Word!Print_Titles</vt:lpstr>
      <vt:lpstr>T1P100</vt:lpstr>
      <vt:lpstr>T1P25</vt:lpstr>
      <vt:lpstr>T1P2X25</vt:lpstr>
      <vt:lpstr>T1P2X375</vt:lpstr>
      <vt:lpstr>T1P375</vt:lpstr>
      <vt:lpstr>T1P50</vt:lpstr>
      <vt:lpstr>T1P75</vt:lpstr>
      <vt:lpstr>T3P160</vt:lpstr>
      <vt:lpstr>T3P160N</vt:lpstr>
      <vt:lpstr>T3P250</vt:lpstr>
      <vt:lpstr>T3P320</vt:lpstr>
      <vt:lpstr>T3P400</vt:lpstr>
      <vt:lpstr>T3P560</vt:lpstr>
      <vt:lpstr>T3P630</vt:lpstr>
      <vt:lpstr>TANL</vt:lpstr>
      <vt:lpstr>TANN</vt:lpstr>
      <vt:lpstr>TDTR1P</vt:lpstr>
      <vt:lpstr>TDTR3P</vt:lpstr>
      <vt:lpstr>TNTB</vt:lpstr>
      <vt:lpstr>TR3X100</vt:lpstr>
      <vt:lpstr>TR3X25</vt:lpstr>
      <vt:lpstr>TR3X375</vt:lpstr>
      <vt:lpstr>TR3X50</vt:lpstr>
      <vt:lpstr>TR3X75</vt:lpstr>
      <vt:lpstr>TRNC100</vt:lpstr>
      <vt:lpstr>TRNC2X100</vt:lpstr>
      <vt:lpstr>TRNC2X375</vt:lpstr>
      <vt:lpstr>TRNC2X50</vt:lpstr>
      <vt:lpstr>TRNC2X75</vt:lpstr>
      <vt:lpstr>TRNC3X50</vt:lpstr>
      <vt:lpstr>XLDD</vt:lpstr>
      <vt:lpstr>XLTBA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Tuan Nguyen</dc:creator>
  <cp:lastModifiedBy>Thuc Tran</cp:lastModifiedBy>
  <cp:lastPrinted>2020-10-24T14:29:38Z</cp:lastPrinted>
  <dcterms:created xsi:type="dcterms:W3CDTF">2017-04-20T12:08:37Z</dcterms:created>
  <dcterms:modified xsi:type="dcterms:W3CDTF">2020-11-06T12:08:41Z</dcterms:modified>
</cp:coreProperties>
</file>